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athias.engel\Desktop\"/>
    </mc:Choice>
  </mc:AlternateContent>
  <xr:revisionPtr revIDLastSave="0" documentId="8_{AB539B3D-1C83-4C04-ACE6-474E514A283C}" xr6:coauthVersionLast="47" xr6:coauthVersionMax="47" xr10:uidLastSave="{00000000-0000-0000-0000-000000000000}"/>
  <bookViews>
    <workbookView xWindow="-98" yWindow="-98" windowWidth="22695" windowHeight="14595" xr2:uid="{834F0437-4DCF-4EAF-B770-401CE8FDACCD}"/>
  </bookViews>
  <sheets>
    <sheet name="#vw"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8327" i="1" l="1"/>
  <c r="E8327" i="1"/>
  <c r="B8327" i="1"/>
  <c r="O8326" i="1"/>
  <c r="E8326" i="1"/>
  <c r="B8326" i="1"/>
  <c r="O8325" i="1"/>
  <c r="E8325" i="1"/>
  <c r="B8325" i="1"/>
  <c r="O8324" i="1"/>
  <c r="E8324" i="1"/>
  <c r="B8324" i="1"/>
  <c r="O8323" i="1"/>
  <c r="E8323" i="1"/>
  <c r="B8323" i="1"/>
  <c r="O8322" i="1"/>
  <c r="E8322" i="1"/>
  <c r="B8322" i="1"/>
  <c r="O8321" i="1"/>
  <c r="E8321" i="1"/>
  <c r="B8321" i="1"/>
  <c r="O8320" i="1"/>
  <c r="E8320" i="1"/>
  <c r="B8320" i="1"/>
  <c r="O8319" i="1"/>
  <c r="E8319" i="1"/>
  <c r="B8319" i="1"/>
  <c r="O8318" i="1"/>
  <c r="E8318" i="1"/>
  <c r="B8318" i="1"/>
  <c r="O8317" i="1"/>
  <c r="E8317" i="1"/>
  <c r="B8317" i="1"/>
  <c r="O8316" i="1"/>
  <c r="E8316" i="1"/>
  <c r="B8316" i="1"/>
  <c r="O8315" i="1"/>
  <c r="E8315" i="1"/>
  <c r="B8315" i="1"/>
  <c r="O8314" i="1"/>
  <c r="E8314" i="1"/>
  <c r="B8314" i="1"/>
  <c r="O8313" i="1"/>
  <c r="E8313" i="1"/>
  <c r="B8313" i="1"/>
  <c r="O8312" i="1"/>
  <c r="E8312" i="1"/>
  <c r="B8312" i="1"/>
  <c r="O8311" i="1"/>
  <c r="E8311" i="1"/>
  <c r="B8311" i="1"/>
  <c r="O8310" i="1"/>
  <c r="E8310" i="1"/>
  <c r="B8310" i="1"/>
  <c r="O8309" i="1"/>
  <c r="E8309" i="1"/>
  <c r="B8309" i="1"/>
  <c r="O8308" i="1"/>
  <c r="E8308" i="1"/>
  <c r="B8308" i="1"/>
  <c r="O8307" i="1"/>
  <c r="E8307" i="1"/>
  <c r="B8307" i="1"/>
  <c r="O8306" i="1"/>
  <c r="E8306" i="1"/>
  <c r="B8306" i="1"/>
  <c r="O8305" i="1"/>
  <c r="E8305" i="1"/>
  <c r="B8305" i="1"/>
  <c r="O8304" i="1"/>
  <c r="E8304" i="1"/>
  <c r="B8304" i="1"/>
  <c r="O8303" i="1"/>
  <c r="E8303" i="1"/>
  <c r="B8303" i="1"/>
  <c r="O8302" i="1"/>
  <c r="E8302" i="1"/>
  <c r="B8302" i="1"/>
  <c r="O8301" i="1"/>
  <c r="E8301" i="1"/>
  <c r="B8301" i="1"/>
  <c r="O8300" i="1"/>
  <c r="E8300" i="1"/>
  <c r="B8300" i="1"/>
  <c r="O8299" i="1"/>
  <c r="E8299" i="1"/>
  <c r="B8299" i="1"/>
  <c r="O8298" i="1"/>
  <c r="E8298" i="1"/>
  <c r="B8298" i="1"/>
  <c r="O8297" i="1"/>
  <c r="E8297" i="1"/>
  <c r="B8297" i="1"/>
  <c r="O8296" i="1"/>
  <c r="E8296" i="1"/>
  <c r="B8296" i="1"/>
  <c r="O8295" i="1"/>
  <c r="E8295" i="1"/>
  <c r="B8295" i="1"/>
  <c r="O8294" i="1"/>
  <c r="E8294" i="1"/>
  <c r="B8294" i="1"/>
  <c r="O8293" i="1"/>
  <c r="E8293" i="1"/>
  <c r="B8293" i="1"/>
  <c r="O8292" i="1"/>
  <c r="E8292" i="1"/>
  <c r="B8292" i="1"/>
  <c r="O8291" i="1"/>
  <c r="E8291" i="1"/>
  <c r="B8291" i="1"/>
  <c r="O8290" i="1"/>
  <c r="E8290" i="1"/>
  <c r="B8290" i="1"/>
  <c r="O8289" i="1"/>
  <c r="E8289" i="1"/>
  <c r="B8289" i="1"/>
  <c r="O8288" i="1"/>
  <c r="E8288" i="1"/>
  <c r="B8288" i="1"/>
  <c r="O8287" i="1"/>
  <c r="E8287" i="1"/>
  <c r="B8287" i="1"/>
  <c r="O8286" i="1"/>
  <c r="E8286" i="1"/>
  <c r="B8286" i="1"/>
  <c r="O8285" i="1"/>
  <c r="E8285" i="1"/>
  <c r="B8285" i="1"/>
  <c r="O8284" i="1"/>
  <c r="E8284" i="1"/>
  <c r="B8284" i="1"/>
  <c r="O8283" i="1"/>
  <c r="E8283" i="1"/>
  <c r="B8283" i="1"/>
  <c r="O8282" i="1"/>
  <c r="E8282" i="1"/>
  <c r="B8282" i="1"/>
  <c r="O8281" i="1"/>
  <c r="E8281" i="1"/>
  <c r="B8281" i="1"/>
  <c r="O8280" i="1"/>
  <c r="E8280" i="1"/>
  <c r="B8280" i="1"/>
  <c r="O8279" i="1"/>
  <c r="E8279" i="1"/>
  <c r="B8279" i="1"/>
  <c r="O8278" i="1"/>
  <c r="E8278" i="1"/>
  <c r="B8278" i="1"/>
  <c r="O8277" i="1"/>
  <c r="E8277" i="1"/>
  <c r="B8277" i="1"/>
  <c r="O8276" i="1"/>
  <c r="E8276" i="1"/>
  <c r="B8276" i="1"/>
  <c r="O8275" i="1"/>
  <c r="E8275" i="1"/>
  <c r="B8275" i="1"/>
  <c r="O8274" i="1"/>
  <c r="E8274" i="1"/>
  <c r="B8274" i="1"/>
  <c r="O8273" i="1"/>
  <c r="E8273" i="1"/>
  <c r="B8273" i="1"/>
  <c r="O8272" i="1"/>
  <c r="E8272" i="1"/>
  <c r="B8272" i="1"/>
  <c r="O8271" i="1"/>
  <c r="E8271" i="1"/>
  <c r="B8271" i="1"/>
  <c r="O8270" i="1"/>
  <c r="E8270" i="1"/>
  <c r="B8270" i="1"/>
  <c r="O8269" i="1"/>
  <c r="E8269" i="1"/>
  <c r="B8269" i="1"/>
  <c r="O8268" i="1"/>
  <c r="E8268" i="1"/>
  <c r="B8268" i="1"/>
  <c r="O8267" i="1"/>
  <c r="E8267" i="1"/>
  <c r="B8267" i="1"/>
  <c r="O8266" i="1"/>
  <c r="E8266" i="1"/>
  <c r="B8266" i="1"/>
  <c r="O8265" i="1"/>
  <c r="E8265" i="1"/>
  <c r="B8265" i="1"/>
  <c r="O8264" i="1"/>
  <c r="E8264" i="1"/>
  <c r="B8264" i="1"/>
  <c r="O8263" i="1"/>
  <c r="E8263" i="1"/>
  <c r="B8263" i="1"/>
  <c r="O8262" i="1"/>
  <c r="E8262" i="1"/>
  <c r="B8262" i="1"/>
  <c r="O8261" i="1"/>
  <c r="E8261" i="1"/>
  <c r="B8261" i="1"/>
  <c r="O8260" i="1"/>
  <c r="E8260" i="1"/>
  <c r="B8260" i="1"/>
  <c r="O8259" i="1"/>
  <c r="E8259" i="1"/>
  <c r="B8259" i="1"/>
  <c r="O8258" i="1"/>
  <c r="E8258" i="1"/>
  <c r="B8258" i="1"/>
  <c r="O8257" i="1"/>
  <c r="E8257" i="1"/>
  <c r="B8257" i="1"/>
  <c r="O8256" i="1"/>
  <c r="E8256" i="1"/>
  <c r="B8256" i="1"/>
  <c r="O8255" i="1"/>
  <c r="E8255" i="1"/>
  <c r="B8255" i="1"/>
  <c r="O8254" i="1"/>
  <c r="E8254" i="1"/>
  <c r="B8254" i="1"/>
  <c r="P8253" i="1"/>
  <c r="O8253" i="1"/>
  <c r="E8253" i="1"/>
  <c r="B8253" i="1"/>
  <c r="O8252" i="1"/>
  <c r="E8252" i="1"/>
  <c r="B8252" i="1"/>
  <c r="O8251" i="1"/>
  <c r="E8251" i="1"/>
  <c r="B8251" i="1"/>
  <c r="O8250" i="1"/>
  <c r="E8250" i="1"/>
  <c r="B8250" i="1"/>
  <c r="O8249" i="1"/>
  <c r="E8249" i="1"/>
  <c r="B8249" i="1"/>
  <c r="O8248" i="1"/>
  <c r="E8248" i="1"/>
  <c r="B8248" i="1"/>
  <c r="O8247" i="1"/>
  <c r="E8247" i="1"/>
  <c r="B8247" i="1"/>
  <c r="O8246" i="1"/>
  <c r="E8246" i="1"/>
  <c r="B8246" i="1"/>
  <c r="O8245" i="1"/>
  <c r="E8245" i="1"/>
  <c r="B8245" i="1"/>
  <c r="O8244" i="1"/>
  <c r="E8244" i="1"/>
  <c r="B8244" i="1"/>
  <c r="O8243" i="1"/>
  <c r="E8243" i="1"/>
  <c r="B8243" i="1"/>
  <c r="O8242" i="1"/>
  <c r="E8242" i="1"/>
  <c r="B8242" i="1"/>
  <c r="O8241" i="1"/>
  <c r="E8241" i="1"/>
  <c r="B8241" i="1"/>
  <c r="O8240" i="1"/>
  <c r="E8240" i="1"/>
  <c r="B8240" i="1"/>
  <c r="O8239" i="1"/>
  <c r="E8239" i="1"/>
  <c r="B8239" i="1"/>
  <c r="O8238" i="1"/>
  <c r="E8238" i="1"/>
  <c r="B8238" i="1"/>
  <c r="O8237" i="1"/>
  <c r="E8237" i="1"/>
  <c r="B8237" i="1"/>
  <c r="O8236" i="1"/>
  <c r="E8236" i="1"/>
  <c r="B8236" i="1"/>
  <c r="O8235" i="1"/>
  <c r="E8235" i="1"/>
  <c r="B8235" i="1"/>
  <c r="O8234" i="1"/>
  <c r="E8234" i="1"/>
  <c r="B8234" i="1"/>
  <c r="O8233" i="1"/>
  <c r="E8233" i="1"/>
  <c r="B8233" i="1"/>
  <c r="O8232" i="1"/>
  <c r="E8232" i="1"/>
  <c r="B8232" i="1"/>
  <c r="O8231" i="1"/>
  <c r="E8231" i="1"/>
  <c r="B8231" i="1"/>
  <c r="O8230" i="1"/>
  <c r="E8230" i="1"/>
  <c r="B8230" i="1"/>
  <c r="O8229" i="1"/>
  <c r="E8229" i="1"/>
  <c r="B8229" i="1"/>
  <c r="O8228" i="1"/>
  <c r="E8228" i="1"/>
  <c r="B8228" i="1"/>
  <c r="O8227" i="1"/>
  <c r="E8227" i="1"/>
  <c r="B8227" i="1"/>
  <c r="O8226" i="1"/>
  <c r="E8226" i="1"/>
  <c r="B8226" i="1"/>
  <c r="O8225" i="1"/>
  <c r="E8225" i="1"/>
  <c r="B8225" i="1"/>
  <c r="O8224" i="1"/>
  <c r="E8224" i="1"/>
  <c r="B8224" i="1"/>
  <c r="O8223" i="1"/>
  <c r="E8223" i="1"/>
  <c r="B8223" i="1"/>
  <c r="O8222" i="1"/>
  <c r="E8222" i="1"/>
  <c r="B8222" i="1"/>
  <c r="O8221" i="1"/>
  <c r="E8221" i="1"/>
  <c r="B8221" i="1"/>
  <c r="O8220" i="1"/>
  <c r="E8220" i="1"/>
  <c r="B8220" i="1"/>
  <c r="O8219" i="1"/>
  <c r="E8219" i="1"/>
  <c r="B8219" i="1"/>
  <c r="O8218" i="1"/>
  <c r="E8218" i="1"/>
  <c r="B8218" i="1"/>
  <c r="O8217" i="1"/>
  <c r="E8217" i="1"/>
  <c r="B8217" i="1"/>
  <c r="O8216" i="1"/>
  <c r="E8216" i="1"/>
  <c r="B8216" i="1"/>
  <c r="O8215" i="1"/>
  <c r="E8215" i="1"/>
  <c r="B8215" i="1"/>
  <c r="O8214" i="1"/>
  <c r="E8214" i="1"/>
  <c r="B8214" i="1"/>
  <c r="O8213" i="1"/>
  <c r="E8213" i="1"/>
  <c r="B8213" i="1"/>
  <c r="O8212" i="1"/>
  <c r="E8212" i="1"/>
  <c r="B8212" i="1"/>
  <c r="O8211" i="1"/>
  <c r="E8211" i="1"/>
  <c r="B8211" i="1"/>
  <c r="O8210" i="1"/>
  <c r="E8210" i="1"/>
  <c r="B8210" i="1"/>
  <c r="O8209" i="1"/>
  <c r="E8209" i="1"/>
  <c r="B8209" i="1"/>
  <c r="O8208" i="1"/>
  <c r="E8208" i="1"/>
  <c r="B8208" i="1"/>
  <c r="O8207" i="1"/>
  <c r="E8207" i="1"/>
  <c r="B8207" i="1"/>
  <c r="O8206" i="1"/>
  <c r="E8206" i="1"/>
  <c r="B8206" i="1"/>
  <c r="O8205" i="1"/>
  <c r="E8205" i="1"/>
  <c r="B8205" i="1"/>
  <c r="O8204" i="1"/>
  <c r="E8204" i="1"/>
  <c r="B8204" i="1"/>
  <c r="O8203" i="1"/>
  <c r="E8203" i="1"/>
  <c r="B8203" i="1"/>
  <c r="O8202" i="1"/>
  <c r="E8202" i="1"/>
  <c r="B8202" i="1"/>
  <c r="O8201" i="1"/>
  <c r="E8201" i="1"/>
  <c r="B8201" i="1"/>
  <c r="O8200" i="1"/>
  <c r="E8200" i="1"/>
  <c r="B8200" i="1"/>
  <c r="O8199" i="1"/>
  <c r="E8199" i="1"/>
  <c r="B8199" i="1"/>
  <c r="O8198" i="1"/>
  <c r="E8198" i="1"/>
  <c r="B8198" i="1"/>
  <c r="O8197" i="1"/>
  <c r="E8197" i="1"/>
  <c r="B8197" i="1"/>
  <c r="O8196" i="1"/>
  <c r="E8196" i="1"/>
  <c r="B8196" i="1"/>
  <c r="O8195" i="1"/>
  <c r="E8195" i="1"/>
  <c r="B8195" i="1"/>
  <c r="O8194" i="1"/>
  <c r="E8194" i="1"/>
  <c r="B8194" i="1"/>
  <c r="O8193" i="1"/>
  <c r="E8193" i="1"/>
  <c r="B8193" i="1"/>
  <c r="O8192" i="1"/>
  <c r="E8192" i="1"/>
  <c r="B8192" i="1"/>
  <c r="O8191" i="1"/>
  <c r="E8191" i="1"/>
  <c r="B8191" i="1"/>
  <c r="O8190" i="1"/>
  <c r="E8190" i="1"/>
  <c r="B8190" i="1"/>
  <c r="O8189" i="1"/>
  <c r="E8189" i="1"/>
  <c r="B8189" i="1"/>
  <c r="O8188" i="1"/>
  <c r="E8188" i="1"/>
  <c r="B8188" i="1"/>
  <c r="O8187" i="1"/>
  <c r="E8187" i="1"/>
  <c r="B8187" i="1"/>
  <c r="O8186" i="1"/>
  <c r="E8186" i="1"/>
  <c r="B8186" i="1"/>
  <c r="O8185" i="1"/>
  <c r="E8185" i="1"/>
  <c r="B8185" i="1"/>
  <c r="O8184" i="1"/>
  <c r="E8184" i="1"/>
  <c r="B8184" i="1"/>
  <c r="O8183" i="1"/>
  <c r="E8183" i="1"/>
  <c r="B8183" i="1"/>
  <c r="O8182" i="1"/>
  <c r="E8182" i="1"/>
  <c r="B8182" i="1"/>
  <c r="O8181" i="1"/>
  <c r="E8181" i="1"/>
  <c r="B8181" i="1"/>
  <c r="O8180" i="1"/>
  <c r="E8180" i="1"/>
  <c r="B8180" i="1"/>
  <c r="O8179" i="1"/>
  <c r="E8179" i="1"/>
  <c r="B8179" i="1"/>
  <c r="O8178" i="1"/>
  <c r="E8178" i="1"/>
  <c r="B8178" i="1"/>
  <c r="O8177" i="1"/>
  <c r="E8177" i="1"/>
  <c r="B8177" i="1"/>
  <c r="O8176" i="1"/>
  <c r="E8176" i="1"/>
  <c r="B8176" i="1"/>
  <c r="O8175" i="1"/>
  <c r="E8175" i="1"/>
  <c r="B8175" i="1"/>
  <c r="O8174" i="1"/>
  <c r="E8174" i="1"/>
  <c r="B8174" i="1"/>
  <c r="O8173" i="1"/>
  <c r="E8173" i="1"/>
  <c r="B8173" i="1"/>
  <c r="O8172" i="1"/>
  <c r="E8172" i="1"/>
  <c r="B8172" i="1"/>
  <c r="O8171" i="1"/>
  <c r="E8171" i="1"/>
  <c r="B8171" i="1"/>
  <c r="P8170" i="1"/>
  <c r="O8170" i="1"/>
  <c r="E8170" i="1"/>
  <c r="B8170" i="1"/>
  <c r="O8169" i="1"/>
  <c r="E8169" i="1"/>
  <c r="B8169" i="1"/>
  <c r="O8168" i="1"/>
  <c r="E8168" i="1"/>
  <c r="B8168" i="1"/>
  <c r="O8167" i="1"/>
  <c r="E8167" i="1"/>
  <c r="B8167" i="1"/>
  <c r="O8166" i="1"/>
  <c r="E8166" i="1"/>
  <c r="B8166" i="1"/>
  <c r="O8165" i="1"/>
  <c r="E8165" i="1"/>
  <c r="B8165" i="1"/>
  <c r="O8164" i="1"/>
  <c r="E8164" i="1"/>
  <c r="B8164" i="1"/>
  <c r="O8163" i="1"/>
  <c r="E8163" i="1"/>
  <c r="B8163" i="1"/>
  <c r="O8162" i="1"/>
  <c r="E8162" i="1"/>
  <c r="B8162" i="1"/>
  <c r="O8161" i="1"/>
  <c r="E8161" i="1"/>
  <c r="B8161" i="1"/>
  <c r="O8160" i="1"/>
  <c r="E8160" i="1"/>
  <c r="B8160" i="1"/>
  <c r="O8159" i="1"/>
  <c r="E8159" i="1"/>
  <c r="B8159" i="1"/>
  <c r="O8158" i="1"/>
  <c r="E8158" i="1"/>
  <c r="B8158" i="1"/>
  <c r="O8157" i="1"/>
  <c r="E8157" i="1"/>
  <c r="B8157" i="1"/>
  <c r="O8156" i="1"/>
  <c r="E8156" i="1"/>
  <c r="B8156" i="1"/>
  <c r="O8155" i="1"/>
  <c r="E8155" i="1"/>
  <c r="B8155" i="1"/>
  <c r="O8154" i="1"/>
  <c r="E8154" i="1"/>
  <c r="B8154" i="1"/>
  <c r="O8153" i="1"/>
  <c r="E8153" i="1"/>
  <c r="B8153" i="1"/>
  <c r="O8152" i="1"/>
  <c r="E8152" i="1"/>
  <c r="B8152" i="1"/>
  <c r="O8151" i="1"/>
  <c r="E8151" i="1"/>
  <c r="B8151" i="1"/>
  <c r="P8150" i="1"/>
  <c r="O8150" i="1"/>
  <c r="E8150" i="1"/>
  <c r="B8150" i="1"/>
  <c r="O8149" i="1"/>
  <c r="E8149" i="1"/>
  <c r="B8149" i="1"/>
  <c r="O8148" i="1"/>
  <c r="E8148" i="1"/>
  <c r="B8148" i="1"/>
  <c r="O8147" i="1"/>
  <c r="E8147" i="1"/>
  <c r="B8147" i="1"/>
  <c r="O8146" i="1"/>
  <c r="E8146" i="1"/>
  <c r="B8146" i="1"/>
  <c r="O8145" i="1"/>
  <c r="E8145" i="1"/>
  <c r="B8145" i="1"/>
  <c r="O8144" i="1"/>
  <c r="E8144" i="1"/>
  <c r="B8144" i="1"/>
  <c r="O8143" i="1"/>
  <c r="E8143" i="1"/>
  <c r="B8143" i="1"/>
  <c r="O8142" i="1"/>
  <c r="E8142" i="1"/>
  <c r="B8142" i="1"/>
  <c r="O8141" i="1"/>
  <c r="E8141" i="1"/>
  <c r="B8141" i="1"/>
  <c r="O8140" i="1"/>
  <c r="E8140" i="1"/>
  <c r="B8140" i="1"/>
  <c r="O8139" i="1"/>
  <c r="E8139" i="1"/>
  <c r="B8139" i="1"/>
  <c r="O8138" i="1"/>
  <c r="E8138" i="1"/>
  <c r="B8138" i="1"/>
  <c r="O8137" i="1"/>
  <c r="E8137" i="1"/>
  <c r="B8137" i="1"/>
  <c r="O8136" i="1"/>
  <c r="E8136" i="1"/>
  <c r="B8136" i="1"/>
  <c r="O8135" i="1"/>
  <c r="E8135" i="1"/>
  <c r="B8135" i="1"/>
  <c r="O8134" i="1"/>
  <c r="E8134" i="1"/>
  <c r="B8134" i="1"/>
  <c r="O8133" i="1"/>
  <c r="E8133" i="1"/>
  <c r="B8133" i="1"/>
  <c r="O8132" i="1"/>
  <c r="E8132" i="1"/>
  <c r="B8132" i="1"/>
  <c r="O8131" i="1"/>
  <c r="E8131" i="1"/>
  <c r="B8131" i="1"/>
  <c r="O8130" i="1"/>
  <c r="E8130" i="1"/>
  <c r="B8130" i="1"/>
  <c r="O8129" i="1"/>
  <c r="E8129" i="1"/>
  <c r="B8129" i="1"/>
  <c r="O8128" i="1"/>
  <c r="E8128" i="1"/>
  <c r="B8128" i="1"/>
  <c r="O8127" i="1"/>
  <c r="E8127" i="1"/>
  <c r="B8127" i="1"/>
  <c r="O8126" i="1"/>
  <c r="E8126" i="1"/>
  <c r="B8126" i="1"/>
  <c r="O8125" i="1"/>
  <c r="E8125" i="1"/>
  <c r="B8125" i="1"/>
  <c r="O8124" i="1"/>
  <c r="E8124" i="1"/>
  <c r="B8124" i="1"/>
  <c r="O8123" i="1"/>
  <c r="E8123" i="1"/>
  <c r="B8123" i="1"/>
  <c r="O8122" i="1"/>
  <c r="E8122" i="1"/>
  <c r="B8122" i="1"/>
  <c r="O8121" i="1"/>
  <c r="E8121" i="1"/>
  <c r="B8121" i="1"/>
  <c r="O8120" i="1"/>
  <c r="E8120" i="1"/>
  <c r="B8120" i="1"/>
  <c r="O8119" i="1"/>
  <c r="E8119" i="1"/>
  <c r="B8119" i="1"/>
  <c r="O8118" i="1"/>
  <c r="E8118" i="1"/>
  <c r="B8118" i="1"/>
  <c r="O8117" i="1"/>
  <c r="E8117" i="1"/>
  <c r="B8117" i="1"/>
  <c r="O8116" i="1"/>
  <c r="E8116" i="1"/>
  <c r="B8116" i="1"/>
  <c r="O8115" i="1"/>
  <c r="E8115" i="1"/>
  <c r="B8115" i="1"/>
  <c r="O8114" i="1"/>
  <c r="E8114" i="1"/>
  <c r="B8114" i="1"/>
  <c r="O8113" i="1"/>
  <c r="E8113" i="1"/>
  <c r="B8113" i="1"/>
  <c r="O8112" i="1"/>
  <c r="E8112" i="1"/>
  <c r="B8112" i="1"/>
  <c r="O8111" i="1"/>
  <c r="E8111" i="1"/>
  <c r="B8111" i="1"/>
  <c r="O8110" i="1"/>
  <c r="E8110" i="1"/>
  <c r="B8110" i="1"/>
  <c r="O8109" i="1"/>
  <c r="E8109" i="1"/>
  <c r="B8109" i="1"/>
  <c r="O8108" i="1"/>
  <c r="E8108" i="1"/>
  <c r="B8108" i="1"/>
  <c r="O8107" i="1"/>
  <c r="E8107" i="1"/>
  <c r="B8107" i="1"/>
  <c r="O8106" i="1"/>
  <c r="E8106" i="1"/>
  <c r="B8106" i="1"/>
  <c r="O8105" i="1"/>
  <c r="E8105" i="1"/>
  <c r="B8105" i="1"/>
  <c r="O8104" i="1"/>
  <c r="E8104" i="1"/>
  <c r="B8104" i="1"/>
  <c r="O8103" i="1"/>
  <c r="E8103" i="1"/>
  <c r="B8103" i="1"/>
  <c r="O8102" i="1"/>
  <c r="E8102" i="1"/>
  <c r="B8102" i="1"/>
  <c r="O8101" i="1"/>
  <c r="E8101" i="1"/>
  <c r="B8101" i="1"/>
  <c r="O8100" i="1"/>
  <c r="E8100" i="1"/>
  <c r="B8100" i="1"/>
  <c r="O8099" i="1"/>
  <c r="E8099" i="1"/>
  <c r="B8099" i="1"/>
  <c r="O8098" i="1"/>
  <c r="E8098" i="1"/>
  <c r="B8098" i="1"/>
  <c r="O8097" i="1"/>
  <c r="E8097" i="1"/>
  <c r="B8097" i="1"/>
  <c r="O8096" i="1"/>
  <c r="E8096" i="1"/>
  <c r="B8096" i="1"/>
  <c r="O8095" i="1"/>
  <c r="E8095" i="1"/>
  <c r="B8095" i="1"/>
  <c r="O8094" i="1"/>
  <c r="E8094" i="1"/>
  <c r="B8094" i="1"/>
  <c r="O8093" i="1"/>
  <c r="E8093" i="1"/>
  <c r="B8093" i="1"/>
  <c r="O8092" i="1"/>
  <c r="E8092" i="1"/>
  <c r="B8092" i="1"/>
  <c r="O8091" i="1"/>
  <c r="E8091" i="1"/>
  <c r="B8091" i="1"/>
  <c r="O8090" i="1"/>
  <c r="E8090" i="1"/>
  <c r="B8090" i="1"/>
  <c r="O8089" i="1"/>
  <c r="E8089" i="1"/>
  <c r="B8089" i="1"/>
  <c r="O8088" i="1"/>
  <c r="E8088" i="1"/>
  <c r="B8088" i="1"/>
  <c r="O8087" i="1"/>
  <c r="E8087" i="1"/>
  <c r="B8087" i="1"/>
  <c r="O8086" i="1"/>
  <c r="E8086" i="1"/>
  <c r="B8086" i="1"/>
  <c r="O8085" i="1"/>
  <c r="E8085" i="1"/>
  <c r="B8085" i="1"/>
  <c r="O8084" i="1"/>
  <c r="E8084" i="1"/>
  <c r="B8084" i="1"/>
  <c r="O8083" i="1"/>
  <c r="E8083" i="1"/>
  <c r="B8083" i="1"/>
  <c r="O8082" i="1"/>
  <c r="E8082" i="1"/>
  <c r="B8082" i="1"/>
  <c r="O8081" i="1"/>
  <c r="E8081" i="1"/>
  <c r="B8081" i="1"/>
  <c r="O8080" i="1"/>
  <c r="E8080" i="1"/>
  <c r="B8080" i="1"/>
  <c r="O8079" i="1"/>
  <c r="E8079" i="1"/>
  <c r="B8079" i="1"/>
  <c r="O8078" i="1"/>
  <c r="E8078" i="1"/>
  <c r="B8078" i="1"/>
  <c r="O8077" i="1"/>
  <c r="E8077" i="1"/>
  <c r="B8077" i="1"/>
  <c r="O8076" i="1"/>
  <c r="E8076" i="1"/>
  <c r="B8076" i="1"/>
  <c r="O8075" i="1"/>
  <c r="E8075" i="1"/>
  <c r="B8075" i="1"/>
  <c r="O8074" i="1"/>
  <c r="E8074" i="1"/>
  <c r="B8074" i="1"/>
  <c r="O8073" i="1"/>
  <c r="E8073" i="1"/>
  <c r="B8073" i="1"/>
  <c r="O8072" i="1"/>
  <c r="E8072" i="1"/>
  <c r="B8072" i="1"/>
  <c r="O8071" i="1"/>
  <c r="E8071" i="1"/>
  <c r="B8071" i="1"/>
  <c r="O8070" i="1"/>
  <c r="E8070" i="1"/>
  <c r="B8070" i="1"/>
  <c r="O8069" i="1"/>
  <c r="E8069" i="1"/>
  <c r="B8069" i="1"/>
  <c r="O8068" i="1"/>
  <c r="E8068" i="1"/>
  <c r="B8068" i="1"/>
  <c r="O8067" i="1"/>
  <c r="E8067" i="1"/>
  <c r="B8067" i="1"/>
  <c r="O8066" i="1"/>
  <c r="E8066" i="1"/>
  <c r="B8066" i="1"/>
  <c r="O8065" i="1"/>
  <c r="E8065" i="1"/>
  <c r="B8065" i="1"/>
  <c r="P8064" i="1"/>
  <c r="O8064" i="1"/>
  <c r="E8064" i="1"/>
  <c r="B8064" i="1"/>
  <c r="O8063" i="1"/>
  <c r="E8063" i="1"/>
  <c r="B8063" i="1"/>
  <c r="O8062" i="1"/>
  <c r="E8062" i="1"/>
  <c r="B8062" i="1"/>
  <c r="O8061" i="1"/>
  <c r="E8061" i="1"/>
  <c r="B8061" i="1"/>
  <c r="O8060" i="1"/>
  <c r="E8060" i="1"/>
  <c r="B8060" i="1"/>
  <c r="O8059" i="1"/>
  <c r="E8059" i="1"/>
  <c r="B8059" i="1"/>
  <c r="O8058" i="1"/>
  <c r="E8058" i="1"/>
  <c r="B8058" i="1"/>
  <c r="O8057" i="1"/>
  <c r="E8057" i="1"/>
  <c r="B8057" i="1"/>
  <c r="O8056" i="1"/>
  <c r="E8056" i="1"/>
  <c r="B8056" i="1"/>
  <c r="O8055" i="1"/>
  <c r="E8055" i="1"/>
  <c r="B8055" i="1"/>
  <c r="O8054" i="1"/>
  <c r="E8054" i="1"/>
  <c r="B8054" i="1"/>
  <c r="O8053" i="1"/>
  <c r="E8053" i="1"/>
  <c r="B8053" i="1"/>
  <c r="O8052" i="1"/>
  <c r="E8052" i="1"/>
  <c r="B8052" i="1"/>
  <c r="O8051" i="1"/>
  <c r="E8051" i="1"/>
  <c r="B8051" i="1"/>
  <c r="O8050" i="1"/>
  <c r="E8050" i="1"/>
  <c r="B8050" i="1"/>
  <c r="O8049" i="1"/>
  <c r="E8049" i="1"/>
  <c r="B8049" i="1"/>
  <c r="O8048" i="1"/>
  <c r="E8048" i="1"/>
  <c r="B8048" i="1"/>
  <c r="O8047" i="1"/>
  <c r="E8047" i="1"/>
  <c r="B8047" i="1"/>
  <c r="O8046" i="1"/>
  <c r="E8046" i="1"/>
  <c r="B8046" i="1"/>
  <c r="O8045" i="1"/>
  <c r="E8045" i="1"/>
  <c r="B8045" i="1"/>
  <c r="O8044" i="1"/>
  <c r="E8044" i="1"/>
  <c r="B8044" i="1"/>
  <c r="O8043" i="1"/>
  <c r="E8043" i="1"/>
  <c r="B8043" i="1"/>
  <c r="O8042" i="1"/>
  <c r="E8042" i="1"/>
  <c r="B8042" i="1"/>
  <c r="O8041" i="1"/>
  <c r="E8041" i="1"/>
  <c r="B8041" i="1"/>
  <c r="O8040" i="1"/>
  <c r="E8040" i="1"/>
  <c r="B8040" i="1"/>
  <c r="O8039" i="1"/>
  <c r="E8039" i="1"/>
  <c r="B8039" i="1"/>
  <c r="O8038" i="1"/>
  <c r="E8038" i="1"/>
  <c r="B8038" i="1"/>
  <c r="O8037" i="1"/>
  <c r="E8037" i="1"/>
  <c r="B8037" i="1"/>
  <c r="O8036" i="1"/>
  <c r="E8036" i="1"/>
  <c r="B8036" i="1"/>
  <c r="O8035" i="1"/>
  <c r="E8035" i="1"/>
  <c r="B8035" i="1"/>
  <c r="O8034" i="1"/>
  <c r="E8034" i="1"/>
  <c r="B8034" i="1"/>
  <c r="O8033" i="1"/>
  <c r="E8033" i="1"/>
  <c r="B8033" i="1"/>
  <c r="O8032" i="1"/>
  <c r="E8032" i="1"/>
  <c r="B8032" i="1"/>
  <c r="O8031" i="1"/>
  <c r="E8031" i="1"/>
  <c r="B8031" i="1"/>
  <c r="O8030" i="1"/>
  <c r="E8030" i="1"/>
  <c r="B8030" i="1"/>
  <c r="O8029" i="1"/>
  <c r="E8029" i="1"/>
  <c r="B8029" i="1"/>
  <c r="O8028" i="1"/>
  <c r="E8028" i="1"/>
  <c r="B8028" i="1"/>
  <c r="O8027" i="1"/>
  <c r="E8027" i="1"/>
  <c r="B8027" i="1"/>
  <c r="O8026" i="1"/>
  <c r="E8026" i="1"/>
  <c r="B8026" i="1"/>
  <c r="O8025" i="1"/>
  <c r="E8025" i="1"/>
  <c r="B8025" i="1"/>
  <c r="O8024" i="1"/>
  <c r="E8024" i="1"/>
  <c r="B8024" i="1"/>
  <c r="O8023" i="1"/>
  <c r="E8023" i="1"/>
  <c r="B8023" i="1"/>
  <c r="O8022" i="1"/>
  <c r="E8022" i="1"/>
  <c r="B8022" i="1"/>
  <c r="O8021" i="1"/>
  <c r="E8021" i="1"/>
  <c r="B8021" i="1"/>
  <c r="O8020" i="1"/>
  <c r="E8020" i="1"/>
  <c r="B8020" i="1"/>
  <c r="O8019" i="1"/>
  <c r="E8019" i="1"/>
  <c r="B8019" i="1"/>
  <c r="O8018" i="1"/>
  <c r="E8018" i="1"/>
  <c r="B8018" i="1"/>
  <c r="O8017" i="1"/>
  <c r="E8017" i="1"/>
  <c r="B8017" i="1"/>
  <c r="O8016" i="1"/>
  <c r="E8016" i="1"/>
  <c r="B8016" i="1"/>
  <c r="O8015" i="1"/>
  <c r="E8015" i="1"/>
  <c r="B8015" i="1"/>
  <c r="O8014" i="1"/>
  <c r="E8014" i="1"/>
  <c r="B8014" i="1"/>
  <c r="O8013" i="1"/>
  <c r="E8013" i="1"/>
  <c r="B8013" i="1"/>
  <c r="O8012" i="1"/>
  <c r="E8012" i="1"/>
  <c r="B8012" i="1"/>
  <c r="O8011" i="1"/>
  <c r="E8011" i="1"/>
  <c r="B8011" i="1"/>
  <c r="O8010" i="1"/>
  <c r="E8010" i="1"/>
  <c r="B8010" i="1"/>
  <c r="O8009" i="1"/>
  <c r="E8009" i="1"/>
  <c r="B8009" i="1"/>
  <c r="O8008" i="1"/>
  <c r="E8008" i="1"/>
  <c r="B8008" i="1"/>
  <c r="O8007" i="1"/>
  <c r="E8007" i="1"/>
  <c r="B8007" i="1"/>
  <c r="O8006" i="1"/>
  <c r="E8006" i="1"/>
  <c r="B8006" i="1"/>
  <c r="O8005" i="1"/>
  <c r="E8005" i="1"/>
  <c r="B8005" i="1"/>
  <c r="O8004" i="1"/>
  <c r="E8004" i="1"/>
  <c r="B8004" i="1"/>
  <c r="O8003" i="1"/>
  <c r="E8003" i="1"/>
  <c r="B8003" i="1"/>
  <c r="O8002" i="1"/>
  <c r="E8002" i="1"/>
  <c r="B8002" i="1"/>
  <c r="O8001" i="1"/>
  <c r="E8001" i="1"/>
  <c r="B8001" i="1"/>
  <c r="O8000" i="1"/>
  <c r="E8000" i="1"/>
  <c r="B8000" i="1"/>
  <c r="O7999" i="1"/>
  <c r="E7999" i="1"/>
  <c r="B7999" i="1"/>
  <c r="O7998" i="1"/>
  <c r="E7998" i="1"/>
  <c r="B7998" i="1"/>
  <c r="O7997" i="1"/>
  <c r="E7997" i="1"/>
  <c r="B7997" i="1"/>
  <c r="O7996" i="1"/>
  <c r="E7996" i="1"/>
  <c r="B7996" i="1"/>
  <c r="O7995" i="1"/>
  <c r="E7995" i="1"/>
  <c r="B7995" i="1"/>
  <c r="O7994" i="1"/>
  <c r="E7994" i="1"/>
  <c r="B7994" i="1"/>
  <c r="P7993" i="1"/>
  <c r="O7993" i="1"/>
  <c r="E7993" i="1"/>
  <c r="B7993" i="1"/>
  <c r="O7992" i="1"/>
  <c r="E7992" i="1"/>
  <c r="B7992" i="1"/>
  <c r="O7991" i="1"/>
  <c r="E7991" i="1"/>
  <c r="B7991" i="1"/>
  <c r="O7990" i="1"/>
  <c r="E7990" i="1"/>
  <c r="B7990" i="1"/>
  <c r="O7989" i="1"/>
  <c r="E7989" i="1"/>
  <c r="B7989" i="1"/>
  <c r="O7988" i="1"/>
  <c r="E7988" i="1"/>
  <c r="B7988" i="1"/>
  <c r="O7987" i="1"/>
  <c r="E7987" i="1"/>
  <c r="B7987" i="1"/>
  <c r="O7986" i="1"/>
  <c r="E7986" i="1"/>
  <c r="B7986" i="1"/>
  <c r="O7985" i="1"/>
  <c r="E7985" i="1"/>
  <c r="B7985" i="1"/>
  <c r="O7984" i="1"/>
  <c r="E7984" i="1"/>
  <c r="B7984" i="1"/>
  <c r="O7983" i="1"/>
  <c r="E7983" i="1"/>
  <c r="B7983" i="1"/>
  <c r="O7982" i="1"/>
  <c r="E7982" i="1"/>
  <c r="B7982" i="1"/>
  <c r="O7981" i="1"/>
  <c r="E7981" i="1"/>
  <c r="B7981" i="1"/>
  <c r="O7980" i="1"/>
  <c r="E7980" i="1"/>
  <c r="B7980" i="1"/>
  <c r="O7979" i="1"/>
  <c r="E7979" i="1"/>
  <c r="B7979" i="1"/>
  <c r="O7978" i="1"/>
  <c r="E7978" i="1"/>
  <c r="B7978" i="1"/>
  <c r="O7977" i="1"/>
  <c r="E7977" i="1"/>
  <c r="B7977" i="1"/>
  <c r="O7976" i="1"/>
  <c r="E7976" i="1"/>
  <c r="B7976" i="1"/>
  <c r="O7975" i="1"/>
  <c r="E7975" i="1"/>
  <c r="B7975" i="1"/>
  <c r="O7974" i="1"/>
  <c r="E7974" i="1"/>
  <c r="B7974" i="1"/>
  <c r="O7973" i="1"/>
  <c r="E7973" i="1"/>
  <c r="B7973" i="1"/>
  <c r="O7972" i="1"/>
  <c r="E7972" i="1"/>
  <c r="B7972" i="1"/>
  <c r="O7971" i="1"/>
  <c r="E7971" i="1"/>
  <c r="B7971" i="1"/>
  <c r="O7970" i="1"/>
  <c r="E7970" i="1"/>
  <c r="B7970" i="1"/>
  <c r="O7969" i="1"/>
  <c r="E7969" i="1"/>
  <c r="B7969" i="1"/>
  <c r="O7968" i="1"/>
  <c r="E7968" i="1"/>
  <c r="B7968" i="1"/>
  <c r="O7967" i="1"/>
  <c r="E7967" i="1"/>
  <c r="B7967" i="1"/>
  <c r="O7966" i="1"/>
  <c r="E7966" i="1"/>
  <c r="B7966" i="1"/>
  <c r="O7965" i="1"/>
  <c r="E7965" i="1"/>
  <c r="B7965" i="1"/>
  <c r="O7964" i="1"/>
  <c r="E7964" i="1"/>
  <c r="B7964" i="1"/>
  <c r="O7963" i="1"/>
  <c r="E7963" i="1"/>
  <c r="B7963" i="1"/>
  <c r="O7962" i="1"/>
  <c r="E7962" i="1"/>
  <c r="B7962" i="1"/>
  <c r="O7961" i="1"/>
  <c r="E7961" i="1"/>
  <c r="B7961" i="1"/>
  <c r="O7960" i="1"/>
  <c r="E7960" i="1"/>
  <c r="B7960" i="1"/>
  <c r="O7959" i="1"/>
  <c r="E7959" i="1"/>
  <c r="B7959" i="1"/>
  <c r="O7958" i="1"/>
  <c r="E7958" i="1"/>
  <c r="B7958" i="1"/>
  <c r="O7957" i="1"/>
  <c r="E7957" i="1"/>
  <c r="B7957" i="1"/>
  <c r="O7956" i="1"/>
  <c r="E7956" i="1"/>
  <c r="B7956" i="1"/>
  <c r="O7955" i="1"/>
  <c r="E7955" i="1"/>
  <c r="B7955" i="1"/>
  <c r="O7954" i="1"/>
  <c r="E7954" i="1"/>
  <c r="B7954" i="1"/>
  <c r="O7953" i="1"/>
  <c r="E7953" i="1"/>
  <c r="B7953" i="1"/>
  <c r="P7952" i="1"/>
  <c r="O7952" i="1"/>
  <c r="E7952" i="1"/>
  <c r="B7952" i="1"/>
  <c r="O7951" i="1"/>
  <c r="E7951" i="1"/>
  <c r="B7951" i="1"/>
  <c r="O7950" i="1"/>
  <c r="E7950" i="1"/>
  <c r="B7950" i="1"/>
  <c r="O7949" i="1"/>
  <c r="E7949" i="1"/>
  <c r="B7949" i="1"/>
  <c r="O7948" i="1"/>
  <c r="E7948" i="1"/>
  <c r="B7948" i="1"/>
  <c r="O7947" i="1"/>
  <c r="E7947" i="1"/>
  <c r="B7947" i="1"/>
  <c r="O7946" i="1"/>
  <c r="E7946" i="1"/>
  <c r="B7946" i="1"/>
  <c r="O7945" i="1"/>
  <c r="E7945" i="1"/>
  <c r="B7945" i="1"/>
  <c r="O7944" i="1"/>
  <c r="E7944" i="1"/>
  <c r="B7944" i="1"/>
  <c r="O7943" i="1"/>
  <c r="E7943" i="1"/>
  <c r="B7943" i="1"/>
  <c r="O7942" i="1"/>
  <c r="E7942" i="1"/>
  <c r="B7942" i="1"/>
  <c r="O7941" i="1"/>
  <c r="E7941" i="1"/>
  <c r="B7941" i="1"/>
  <c r="O7940" i="1"/>
  <c r="E7940" i="1"/>
  <c r="B7940" i="1"/>
  <c r="O7939" i="1"/>
  <c r="E7939" i="1"/>
  <c r="B7939" i="1"/>
  <c r="O7938" i="1"/>
  <c r="E7938" i="1"/>
  <c r="B7938" i="1"/>
  <c r="O7937" i="1"/>
  <c r="E7937" i="1"/>
  <c r="B7937" i="1"/>
  <c r="O7936" i="1"/>
  <c r="E7936" i="1"/>
  <c r="B7936" i="1"/>
  <c r="O7935" i="1"/>
  <c r="E7935" i="1"/>
  <c r="B7935" i="1"/>
  <c r="O7934" i="1"/>
  <c r="E7934" i="1"/>
  <c r="B7934" i="1"/>
  <c r="O7933" i="1"/>
  <c r="E7933" i="1"/>
  <c r="B7933" i="1"/>
  <c r="O7932" i="1"/>
  <c r="E7932" i="1"/>
  <c r="B7932" i="1"/>
  <c r="O7931" i="1"/>
  <c r="E7931" i="1"/>
  <c r="B7931" i="1"/>
  <c r="O7930" i="1"/>
  <c r="E7930" i="1"/>
  <c r="B7930" i="1"/>
  <c r="O7929" i="1"/>
  <c r="E7929" i="1"/>
  <c r="B7929" i="1"/>
  <c r="O7928" i="1"/>
  <c r="E7928" i="1"/>
  <c r="B7928" i="1"/>
  <c r="O7927" i="1"/>
  <c r="E7927" i="1"/>
  <c r="B7927" i="1"/>
  <c r="O7926" i="1"/>
  <c r="E7926" i="1"/>
  <c r="B7926" i="1"/>
  <c r="O7925" i="1"/>
  <c r="E7925" i="1"/>
  <c r="B7925" i="1"/>
  <c r="O7924" i="1"/>
  <c r="E7924" i="1"/>
  <c r="B7924" i="1"/>
  <c r="O7923" i="1"/>
  <c r="E7923" i="1"/>
  <c r="B7923" i="1"/>
  <c r="O7922" i="1"/>
  <c r="E7922" i="1"/>
  <c r="B7922" i="1"/>
  <c r="O7921" i="1"/>
  <c r="E7921" i="1"/>
  <c r="B7921" i="1"/>
  <c r="O7920" i="1"/>
  <c r="E7920" i="1"/>
  <c r="B7920" i="1"/>
  <c r="O7919" i="1"/>
  <c r="E7919" i="1"/>
  <c r="B7919" i="1"/>
  <c r="O7918" i="1"/>
  <c r="E7918" i="1"/>
  <c r="B7918" i="1"/>
  <c r="O7917" i="1"/>
  <c r="E7917" i="1"/>
  <c r="B7917" i="1"/>
  <c r="O7916" i="1"/>
  <c r="E7916" i="1"/>
  <c r="B7916" i="1"/>
  <c r="O7915" i="1"/>
  <c r="E7915" i="1"/>
  <c r="B7915" i="1"/>
  <c r="O7914" i="1"/>
  <c r="E7914" i="1"/>
  <c r="B7914" i="1"/>
  <c r="O7913" i="1"/>
  <c r="E7913" i="1"/>
  <c r="B7913" i="1"/>
  <c r="O7912" i="1"/>
  <c r="E7912" i="1"/>
  <c r="B7912" i="1"/>
  <c r="P7911" i="1"/>
  <c r="O7911" i="1"/>
  <c r="E7911" i="1"/>
  <c r="B7911" i="1"/>
  <c r="O7910" i="1"/>
  <c r="E7910" i="1"/>
  <c r="B7910" i="1"/>
  <c r="O7909" i="1"/>
  <c r="E7909" i="1"/>
  <c r="B7909" i="1"/>
  <c r="O7908" i="1"/>
  <c r="E7908" i="1"/>
  <c r="B7908" i="1"/>
  <c r="O7907" i="1"/>
  <c r="E7907" i="1"/>
  <c r="B7907" i="1"/>
  <c r="O7906" i="1"/>
  <c r="E7906" i="1"/>
  <c r="B7906" i="1"/>
  <c r="O7905" i="1"/>
  <c r="E7905" i="1"/>
  <c r="B7905" i="1"/>
  <c r="O7904" i="1"/>
  <c r="E7904" i="1"/>
  <c r="B7904" i="1"/>
  <c r="O7903" i="1"/>
  <c r="E7903" i="1"/>
  <c r="B7903" i="1"/>
  <c r="O7902" i="1"/>
  <c r="E7902" i="1"/>
  <c r="B7902" i="1"/>
  <c r="O7901" i="1"/>
  <c r="E7901" i="1"/>
  <c r="B7901" i="1"/>
  <c r="O7900" i="1"/>
  <c r="E7900" i="1"/>
  <c r="B7900" i="1"/>
  <c r="O7899" i="1"/>
  <c r="E7899" i="1"/>
  <c r="B7899" i="1"/>
  <c r="O7898" i="1"/>
  <c r="E7898" i="1"/>
  <c r="B7898" i="1"/>
  <c r="O7897" i="1"/>
  <c r="E7897" i="1"/>
  <c r="B7897" i="1"/>
  <c r="O7896" i="1"/>
  <c r="E7896" i="1"/>
  <c r="B7896" i="1"/>
  <c r="O7895" i="1"/>
  <c r="E7895" i="1"/>
  <c r="B7895" i="1"/>
  <c r="O7894" i="1"/>
  <c r="E7894" i="1"/>
  <c r="B7894" i="1"/>
  <c r="O7893" i="1"/>
  <c r="E7893" i="1"/>
  <c r="B7893" i="1"/>
  <c r="O7892" i="1"/>
  <c r="E7892" i="1"/>
  <c r="B7892" i="1"/>
  <c r="O7891" i="1"/>
  <c r="E7891" i="1"/>
  <c r="B7891" i="1"/>
  <c r="O7890" i="1"/>
  <c r="E7890" i="1"/>
  <c r="B7890" i="1"/>
  <c r="O7889" i="1"/>
  <c r="E7889" i="1"/>
  <c r="B7889" i="1"/>
  <c r="P7888" i="1"/>
  <c r="O7888" i="1"/>
  <c r="E7888" i="1"/>
  <c r="B7888" i="1"/>
  <c r="O7887" i="1"/>
  <c r="E7887" i="1"/>
  <c r="B7887" i="1"/>
  <c r="O7886" i="1"/>
  <c r="E7886" i="1"/>
  <c r="B7886" i="1"/>
  <c r="O7885" i="1"/>
  <c r="E7885" i="1"/>
  <c r="B7885" i="1"/>
  <c r="O7884" i="1"/>
  <c r="E7884" i="1"/>
  <c r="B7884" i="1"/>
  <c r="O7883" i="1"/>
  <c r="E7883" i="1"/>
  <c r="B7883" i="1"/>
  <c r="O7882" i="1"/>
  <c r="E7882" i="1"/>
  <c r="B7882" i="1"/>
  <c r="O7881" i="1"/>
  <c r="E7881" i="1"/>
  <c r="B7881" i="1"/>
  <c r="O7880" i="1"/>
  <c r="E7880" i="1"/>
  <c r="B7880" i="1"/>
  <c r="O7879" i="1"/>
  <c r="E7879" i="1"/>
  <c r="B7879" i="1"/>
  <c r="O7878" i="1"/>
  <c r="E7878" i="1"/>
  <c r="B7878" i="1"/>
  <c r="O7877" i="1"/>
  <c r="E7877" i="1"/>
  <c r="B7877" i="1"/>
  <c r="O7876" i="1"/>
  <c r="E7876" i="1"/>
  <c r="B7876" i="1"/>
  <c r="O7875" i="1"/>
  <c r="E7875" i="1"/>
  <c r="B7875" i="1"/>
  <c r="O7874" i="1"/>
  <c r="E7874" i="1"/>
  <c r="B7874" i="1"/>
  <c r="O7873" i="1"/>
  <c r="E7873" i="1"/>
  <c r="B7873" i="1"/>
  <c r="O7872" i="1"/>
  <c r="E7872" i="1"/>
  <c r="B7872" i="1"/>
  <c r="O7871" i="1"/>
  <c r="E7871" i="1"/>
  <c r="B7871" i="1"/>
  <c r="O7870" i="1"/>
  <c r="E7870" i="1"/>
  <c r="B7870" i="1"/>
  <c r="O7869" i="1"/>
  <c r="E7869" i="1"/>
  <c r="B7869" i="1"/>
  <c r="O7868" i="1"/>
  <c r="E7868" i="1"/>
  <c r="B7868" i="1"/>
  <c r="O7867" i="1"/>
  <c r="E7867" i="1"/>
  <c r="B7867" i="1"/>
  <c r="O7866" i="1"/>
  <c r="E7866" i="1"/>
  <c r="B7866" i="1"/>
  <c r="O7865" i="1"/>
  <c r="E7865" i="1"/>
  <c r="B7865" i="1"/>
  <c r="O7864" i="1"/>
  <c r="E7864" i="1"/>
  <c r="B7864" i="1"/>
  <c r="O7863" i="1"/>
  <c r="E7863" i="1"/>
  <c r="B7863" i="1"/>
  <c r="O7862" i="1"/>
  <c r="E7862" i="1"/>
  <c r="B7862" i="1"/>
  <c r="O7861" i="1"/>
  <c r="E7861" i="1"/>
  <c r="B7861" i="1"/>
  <c r="O7860" i="1"/>
  <c r="E7860" i="1"/>
  <c r="B7860" i="1"/>
  <c r="O7859" i="1"/>
  <c r="E7859" i="1"/>
  <c r="B7859" i="1"/>
  <c r="O7858" i="1"/>
  <c r="E7858" i="1"/>
  <c r="B7858" i="1"/>
  <c r="P7857" i="1"/>
  <c r="O7857" i="1"/>
  <c r="E7857" i="1"/>
  <c r="B7857" i="1"/>
  <c r="O7856" i="1"/>
  <c r="E7856" i="1"/>
  <c r="B7856" i="1"/>
  <c r="O7855" i="1"/>
  <c r="E7855" i="1"/>
  <c r="B7855" i="1"/>
  <c r="O7854" i="1"/>
  <c r="E7854" i="1"/>
  <c r="B7854" i="1"/>
  <c r="O7853" i="1"/>
  <c r="E7853" i="1"/>
  <c r="B7853" i="1"/>
  <c r="O7852" i="1"/>
  <c r="E7852" i="1"/>
  <c r="B7852" i="1"/>
  <c r="O7851" i="1"/>
  <c r="E7851" i="1"/>
  <c r="B7851" i="1"/>
  <c r="O7850" i="1"/>
  <c r="E7850" i="1"/>
  <c r="B7850" i="1"/>
  <c r="O7849" i="1"/>
  <c r="E7849" i="1"/>
  <c r="B7849" i="1"/>
  <c r="O7848" i="1"/>
  <c r="E7848" i="1"/>
  <c r="B7848" i="1"/>
  <c r="O7847" i="1"/>
  <c r="E7847" i="1"/>
  <c r="B7847" i="1"/>
  <c r="O7846" i="1"/>
  <c r="E7846" i="1"/>
  <c r="B7846" i="1"/>
  <c r="O7845" i="1"/>
  <c r="E7845" i="1"/>
  <c r="B7845" i="1"/>
  <c r="O7844" i="1"/>
  <c r="E7844" i="1"/>
  <c r="B7844" i="1"/>
  <c r="O7843" i="1"/>
  <c r="E7843" i="1"/>
  <c r="B7843" i="1"/>
  <c r="O7842" i="1"/>
  <c r="E7842" i="1"/>
  <c r="B7842" i="1"/>
  <c r="O7841" i="1"/>
  <c r="E7841" i="1"/>
  <c r="B7841" i="1"/>
  <c r="O7840" i="1"/>
  <c r="E7840" i="1"/>
  <c r="B7840" i="1"/>
  <c r="O7839" i="1"/>
  <c r="E7839" i="1"/>
  <c r="B7839" i="1"/>
  <c r="O7838" i="1"/>
  <c r="E7838" i="1"/>
  <c r="B7838" i="1"/>
  <c r="O7837" i="1"/>
  <c r="E7837" i="1"/>
  <c r="B7837" i="1"/>
  <c r="O7836" i="1"/>
  <c r="E7836" i="1"/>
  <c r="B7836" i="1"/>
  <c r="O7835" i="1"/>
  <c r="E7835" i="1"/>
  <c r="B7835" i="1"/>
  <c r="O7834" i="1"/>
  <c r="E7834" i="1"/>
  <c r="B7834" i="1"/>
  <c r="O7833" i="1"/>
  <c r="E7833" i="1"/>
  <c r="B7833" i="1"/>
  <c r="O7832" i="1"/>
  <c r="E7832" i="1"/>
  <c r="B7832" i="1"/>
  <c r="O7831" i="1"/>
  <c r="E7831" i="1"/>
  <c r="B7831" i="1"/>
  <c r="O7830" i="1"/>
  <c r="E7830" i="1"/>
  <c r="B7830" i="1"/>
  <c r="O7829" i="1"/>
  <c r="E7829" i="1"/>
  <c r="B7829" i="1"/>
  <c r="O7828" i="1"/>
  <c r="E7828" i="1"/>
  <c r="B7828" i="1"/>
  <c r="O7827" i="1"/>
  <c r="E7827" i="1"/>
  <c r="B7827" i="1"/>
  <c r="O7826" i="1"/>
  <c r="E7826" i="1"/>
  <c r="B7826" i="1"/>
  <c r="O7825" i="1"/>
  <c r="E7825" i="1"/>
  <c r="B7825" i="1"/>
  <c r="O7824" i="1"/>
  <c r="E7824" i="1"/>
  <c r="B7824" i="1"/>
  <c r="O7823" i="1"/>
  <c r="E7823" i="1"/>
  <c r="B7823" i="1"/>
  <c r="O7822" i="1"/>
  <c r="E7822" i="1"/>
  <c r="B7822" i="1"/>
  <c r="O7821" i="1"/>
  <c r="E7821" i="1"/>
  <c r="B7821" i="1"/>
  <c r="O7820" i="1"/>
  <c r="E7820" i="1"/>
  <c r="B7820" i="1"/>
  <c r="O7819" i="1"/>
  <c r="E7819" i="1"/>
  <c r="B7819" i="1"/>
  <c r="O7818" i="1"/>
  <c r="E7818" i="1"/>
  <c r="B7818" i="1"/>
  <c r="O7817" i="1"/>
  <c r="E7817" i="1"/>
  <c r="B7817" i="1"/>
  <c r="O7816" i="1"/>
  <c r="E7816" i="1"/>
  <c r="B7816" i="1"/>
  <c r="O7815" i="1"/>
  <c r="E7815" i="1"/>
  <c r="B7815" i="1"/>
  <c r="O7814" i="1"/>
  <c r="E7814" i="1"/>
  <c r="B7814" i="1"/>
  <c r="O7813" i="1"/>
  <c r="E7813" i="1"/>
  <c r="B7813" i="1"/>
  <c r="O7812" i="1"/>
  <c r="E7812" i="1"/>
  <c r="B7812" i="1"/>
  <c r="O7811" i="1"/>
  <c r="E7811" i="1"/>
  <c r="B7811" i="1"/>
  <c r="O7810" i="1"/>
  <c r="E7810" i="1"/>
  <c r="B7810" i="1"/>
  <c r="O7809" i="1"/>
  <c r="E7809" i="1"/>
  <c r="B7809" i="1"/>
  <c r="O7808" i="1"/>
  <c r="E7808" i="1"/>
  <c r="B7808" i="1"/>
  <c r="O7807" i="1"/>
  <c r="E7807" i="1"/>
  <c r="B7807" i="1"/>
  <c r="O7806" i="1"/>
  <c r="E7806" i="1"/>
  <c r="B7806" i="1"/>
  <c r="O7805" i="1"/>
  <c r="E7805" i="1"/>
  <c r="B7805" i="1"/>
  <c r="O7804" i="1"/>
  <c r="E7804" i="1"/>
  <c r="B7804" i="1"/>
  <c r="O7803" i="1"/>
  <c r="E7803" i="1"/>
  <c r="B7803" i="1"/>
  <c r="O7802" i="1"/>
  <c r="E7802" i="1"/>
  <c r="B7802" i="1"/>
  <c r="O7801" i="1"/>
  <c r="E7801" i="1"/>
  <c r="B7801" i="1"/>
  <c r="O7800" i="1"/>
  <c r="E7800" i="1"/>
  <c r="B7800" i="1"/>
  <c r="O7799" i="1"/>
  <c r="E7799" i="1"/>
  <c r="B7799" i="1"/>
  <c r="O7798" i="1"/>
  <c r="E7798" i="1"/>
  <c r="B7798" i="1"/>
  <c r="O7797" i="1"/>
  <c r="E7797" i="1"/>
  <c r="B7797" i="1"/>
  <c r="O7796" i="1"/>
  <c r="E7796" i="1"/>
  <c r="B7796" i="1"/>
  <c r="O7795" i="1"/>
  <c r="E7795" i="1"/>
  <c r="B7795" i="1"/>
  <c r="O7794" i="1"/>
  <c r="E7794" i="1"/>
  <c r="B7794" i="1"/>
  <c r="O7793" i="1"/>
  <c r="E7793" i="1"/>
  <c r="B7793" i="1"/>
  <c r="O7792" i="1"/>
  <c r="E7792" i="1"/>
  <c r="B7792" i="1"/>
  <c r="O7791" i="1"/>
  <c r="E7791" i="1"/>
  <c r="B7791" i="1"/>
  <c r="O7790" i="1"/>
  <c r="E7790" i="1"/>
  <c r="B7790" i="1"/>
  <c r="O7789" i="1"/>
  <c r="E7789" i="1"/>
  <c r="B7789" i="1"/>
  <c r="O7788" i="1"/>
  <c r="E7788" i="1"/>
  <c r="B7788" i="1"/>
  <c r="O7787" i="1"/>
  <c r="E7787" i="1"/>
  <c r="B7787" i="1"/>
  <c r="O7786" i="1"/>
  <c r="E7786" i="1"/>
  <c r="B7786" i="1"/>
  <c r="O7785" i="1"/>
  <c r="E7785" i="1"/>
  <c r="B7785" i="1"/>
  <c r="O7784" i="1"/>
  <c r="E7784" i="1"/>
  <c r="B7784" i="1"/>
  <c r="O7783" i="1"/>
  <c r="E7783" i="1"/>
  <c r="B7783" i="1"/>
  <c r="O7782" i="1"/>
  <c r="E7782" i="1"/>
  <c r="B7782" i="1"/>
  <c r="O7781" i="1"/>
  <c r="E7781" i="1"/>
  <c r="B7781" i="1"/>
  <c r="O7780" i="1"/>
  <c r="E7780" i="1"/>
  <c r="B7780" i="1"/>
  <c r="O7779" i="1"/>
  <c r="E7779" i="1"/>
  <c r="B7779" i="1"/>
  <c r="O7778" i="1"/>
  <c r="E7778" i="1"/>
  <c r="B7778" i="1"/>
  <c r="O7777" i="1"/>
  <c r="E7777" i="1"/>
  <c r="B7777" i="1"/>
  <c r="O7776" i="1"/>
  <c r="E7776" i="1"/>
  <c r="B7776" i="1"/>
  <c r="O7775" i="1"/>
  <c r="E7775" i="1"/>
  <c r="B7775" i="1"/>
  <c r="O7774" i="1"/>
  <c r="E7774" i="1"/>
  <c r="B7774" i="1"/>
  <c r="O7773" i="1"/>
  <c r="E7773" i="1"/>
  <c r="B7773" i="1"/>
  <c r="O7772" i="1"/>
  <c r="E7772" i="1"/>
  <c r="B7772" i="1"/>
  <c r="O7771" i="1"/>
  <c r="E7771" i="1"/>
  <c r="B7771" i="1"/>
  <c r="O7770" i="1"/>
  <c r="E7770" i="1"/>
  <c r="B7770" i="1"/>
  <c r="O7769" i="1"/>
  <c r="E7769" i="1"/>
  <c r="B7769" i="1"/>
  <c r="O7768" i="1"/>
  <c r="E7768" i="1"/>
  <c r="B7768" i="1"/>
  <c r="O7767" i="1"/>
  <c r="E7767" i="1"/>
  <c r="B7767" i="1"/>
  <c r="O7766" i="1"/>
  <c r="E7766" i="1"/>
  <c r="B7766" i="1"/>
  <c r="O7765" i="1"/>
  <c r="E7765" i="1"/>
  <c r="B7765" i="1"/>
  <c r="O7764" i="1"/>
  <c r="E7764" i="1"/>
  <c r="B7764" i="1"/>
  <c r="O7763" i="1"/>
  <c r="E7763" i="1"/>
  <c r="B7763" i="1"/>
  <c r="O7762" i="1"/>
  <c r="E7762" i="1"/>
  <c r="B7762" i="1"/>
  <c r="O7761" i="1"/>
  <c r="E7761" i="1"/>
  <c r="B7761" i="1"/>
  <c r="O7760" i="1"/>
  <c r="E7760" i="1"/>
  <c r="B7760" i="1"/>
  <c r="O7759" i="1"/>
  <c r="E7759" i="1"/>
  <c r="B7759" i="1"/>
  <c r="O7758" i="1"/>
  <c r="E7758" i="1"/>
  <c r="B7758" i="1"/>
  <c r="O7757" i="1"/>
  <c r="E7757" i="1"/>
  <c r="B7757" i="1"/>
  <c r="O7756" i="1"/>
  <c r="E7756" i="1"/>
  <c r="B7756" i="1"/>
  <c r="O7755" i="1"/>
  <c r="E7755" i="1"/>
  <c r="B7755" i="1"/>
  <c r="O7754" i="1"/>
  <c r="E7754" i="1"/>
  <c r="B7754" i="1"/>
  <c r="O7753" i="1"/>
  <c r="E7753" i="1"/>
  <c r="B7753" i="1"/>
  <c r="O7752" i="1"/>
  <c r="E7752" i="1"/>
  <c r="B7752" i="1"/>
  <c r="O7751" i="1"/>
  <c r="E7751" i="1"/>
  <c r="B7751" i="1"/>
  <c r="O7750" i="1"/>
  <c r="E7750" i="1"/>
  <c r="B7750" i="1"/>
  <c r="O7749" i="1"/>
  <c r="E7749" i="1"/>
  <c r="B7749" i="1"/>
  <c r="O7748" i="1"/>
  <c r="E7748" i="1"/>
  <c r="B7748" i="1"/>
  <c r="O7747" i="1"/>
  <c r="E7747" i="1"/>
  <c r="B7747" i="1"/>
  <c r="O7746" i="1"/>
  <c r="E7746" i="1"/>
  <c r="B7746" i="1"/>
  <c r="O7745" i="1"/>
  <c r="E7745" i="1"/>
  <c r="B7745" i="1"/>
  <c r="O7744" i="1"/>
  <c r="E7744" i="1"/>
  <c r="B7744" i="1"/>
  <c r="O7743" i="1"/>
  <c r="E7743" i="1"/>
  <c r="B7743" i="1"/>
  <c r="O7742" i="1"/>
  <c r="E7742" i="1"/>
  <c r="B7742" i="1"/>
  <c r="O7741" i="1"/>
  <c r="E7741" i="1"/>
  <c r="B7741" i="1"/>
  <c r="O7740" i="1"/>
  <c r="E7740" i="1"/>
  <c r="B7740" i="1"/>
  <c r="O7739" i="1"/>
  <c r="E7739" i="1"/>
  <c r="B7739" i="1"/>
  <c r="O7738" i="1"/>
  <c r="E7738" i="1"/>
  <c r="B7738" i="1"/>
  <c r="O7737" i="1"/>
  <c r="E7737" i="1"/>
  <c r="B7737" i="1"/>
  <c r="O7736" i="1"/>
  <c r="E7736" i="1"/>
  <c r="B7736" i="1"/>
  <c r="O7735" i="1"/>
  <c r="E7735" i="1"/>
  <c r="B7735" i="1"/>
  <c r="O7734" i="1"/>
  <c r="E7734" i="1"/>
  <c r="B7734" i="1"/>
  <c r="O7733" i="1"/>
  <c r="E7733" i="1"/>
  <c r="B7733" i="1"/>
  <c r="O7732" i="1"/>
  <c r="E7732" i="1"/>
  <c r="B7732" i="1"/>
  <c r="O7731" i="1"/>
  <c r="E7731" i="1"/>
  <c r="B7731" i="1"/>
  <c r="O7730" i="1"/>
  <c r="E7730" i="1"/>
  <c r="B7730" i="1"/>
  <c r="O7729" i="1"/>
  <c r="E7729" i="1"/>
  <c r="B7729" i="1"/>
  <c r="O7728" i="1"/>
  <c r="E7728" i="1"/>
  <c r="B7728" i="1"/>
  <c r="O7727" i="1"/>
  <c r="E7727" i="1"/>
  <c r="B7727" i="1"/>
  <c r="O7726" i="1"/>
  <c r="E7726" i="1"/>
  <c r="B7726" i="1"/>
  <c r="O7725" i="1"/>
  <c r="E7725" i="1"/>
  <c r="B7725" i="1"/>
  <c r="O7724" i="1"/>
  <c r="E7724" i="1"/>
  <c r="B7724" i="1"/>
  <c r="O7723" i="1"/>
  <c r="E7723" i="1"/>
  <c r="B7723" i="1"/>
  <c r="O7722" i="1"/>
  <c r="E7722" i="1"/>
  <c r="B7722" i="1"/>
  <c r="O7721" i="1"/>
  <c r="E7721" i="1"/>
  <c r="B7721" i="1"/>
  <c r="O7720" i="1"/>
  <c r="E7720" i="1"/>
  <c r="B7720" i="1"/>
  <c r="O7719" i="1"/>
  <c r="E7719" i="1"/>
  <c r="B7719" i="1"/>
  <c r="O7718" i="1"/>
  <c r="E7718" i="1"/>
  <c r="B7718" i="1"/>
  <c r="O7717" i="1"/>
  <c r="E7717" i="1"/>
  <c r="B7717" i="1"/>
  <c r="O7716" i="1"/>
  <c r="E7716" i="1"/>
  <c r="B7716" i="1"/>
  <c r="O7715" i="1"/>
  <c r="E7715" i="1"/>
  <c r="B7715" i="1"/>
  <c r="O7714" i="1"/>
  <c r="E7714" i="1"/>
  <c r="B7714" i="1"/>
  <c r="O7713" i="1"/>
  <c r="E7713" i="1"/>
  <c r="B7713" i="1"/>
  <c r="O7712" i="1"/>
  <c r="E7712" i="1"/>
  <c r="B7712" i="1"/>
  <c r="O7711" i="1"/>
  <c r="E7711" i="1"/>
  <c r="B7711" i="1"/>
  <c r="O7710" i="1"/>
  <c r="E7710" i="1"/>
  <c r="B7710" i="1"/>
  <c r="O7709" i="1"/>
  <c r="E7709" i="1"/>
  <c r="B7709" i="1"/>
  <c r="O7708" i="1"/>
  <c r="E7708" i="1"/>
  <c r="B7708" i="1"/>
  <c r="O7707" i="1"/>
  <c r="E7707" i="1"/>
  <c r="B7707" i="1"/>
  <c r="O7706" i="1"/>
  <c r="E7706" i="1"/>
  <c r="B7706" i="1"/>
  <c r="O7705" i="1"/>
  <c r="E7705" i="1"/>
  <c r="B7705" i="1"/>
  <c r="O7704" i="1"/>
  <c r="E7704" i="1"/>
  <c r="B7704" i="1"/>
  <c r="O7703" i="1"/>
  <c r="E7703" i="1"/>
  <c r="B7703" i="1"/>
  <c r="O7702" i="1"/>
  <c r="E7702" i="1"/>
  <c r="B7702" i="1"/>
  <c r="P7701" i="1"/>
  <c r="O7701" i="1"/>
  <c r="E7701" i="1"/>
  <c r="B7701" i="1"/>
  <c r="O7700" i="1"/>
  <c r="E7700" i="1"/>
  <c r="B7700" i="1"/>
  <c r="O7699" i="1"/>
  <c r="E7699" i="1"/>
  <c r="B7699" i="1"/>
  <c r="O7698" i="1"/>
  <c r="E7698" i="1"/>
  <c r="B7698" i="1"/>
  <c r="O7697" i="1"/>
  <c r="E7697" i="1"/>
  <c r="B7697" i="1"/>
  <c r="O7696" i="1"/>
  <c r="E7696" i="1"/>
  <c r="B7696" i="1"/>
  <c r="O7695" i="1"/>
  <c r="E7695" i="1"/>
  <c r="B7695" i="1"/>
  <c r="O7694" i="1"/>
  <c r="E7694" i="1"/>
  <c r="B7694" i="1"/>
  <c r="O7693" i="1"/>
  <c r="E7693" i="1"/>
  <c r="B7693" i="1"/>
  <c r="O7692" i="1"/>
  <c r="E7692" i="1"/>
  <c r="B7692" i="1"/>
  <c r="O7691" i="1"/>
  <c r="E7691" i="1"/>
  <c r="B7691" i="1"/>
  <c r="O7690" i="1"/>
  <c r="E7690" i="1"/>
  <c r="B7690" i="1"/>
  <c r="O7689" i="1"/>
  <c r="E7689" i="1"/>
  <c r="B7689" i="1"/>
  <c r="O7688" i="1"/>
  <c r="E7688" i="1"/>
  <c r="B7688" i="1"/>
  <c r="O7687" i="1"/>
  <c r="E7687" i="1"/>
  <c r="B7687" i="1"/>
  <c r="O7686" i="1"/>
  <c r="E7686" i="1"/>
  <c r="B7686" i="1"/>
  <c r="O7685" i="1"/>
  <c r="E7685" i="1"/>
  <c r="B7685" i="1"/>
  <c r="O7684" i="1"/>
  <c r="E7684" i="1"/>
  <c r="B7684" i="1"/>
  <c r="O7683" i="1"/>
  <c r="E7683" i="1"/>
  <c r="B7683" i="1"/>
  <c r="O7682" i="1"/>
  <c r="E7682" i="1"/>
  <c r="B7682" i="1"/>
  <c r="O7681" i="1"/>
  <c r="E7681" i="1"/>
  <c r="B7681" i="1"/>
  <c r="O7680" i="1"/>
  <c r="E7680" i="1"/>
  <c r="B7680" i="1"/>
  <c r="O7679" i="1"/>
  <c r="E7679" i="1"/>
  <c r="B7679" i="1"/>
  <c r="O7678" i="1"/>
  <c r="E7678" i="1"/>
  <c r="B7678" i="1"/>
  <c r="O7677" i="1"/>
  <c r="E7677" i="1"/>
  <c r="B7677" i="1"/>
  <c r="O7676" i="1"/>
  <c r="E7676" i="1"/>
  <c r="B7676" i="1"/>
  <c r="O7675" i="1"/>
  <c r="E7675" i="1"/>
  <c r="B7675" i="1"/>
  <c r="O7674" i="1"/>
  <c r="E7674" i="1"/>
  <c r="B7674" i="1"/>
  <c r="O7673" i="1"/>
  <c r="E7673" i="1"/>
  <c r="B7673" i="1"/>
  <c r="O7672" i="1"/>
  <c r="E7672" i="1"/>
  <c r="B7672" i="1"/>
  <c r="O7671" i="1"/>
  <c r="E7671" i="1"/>
  <c r="B7671" i="1"/>
  <c r="O7670" i="1"/>
  <c r="E7670" i="1"/>
  <c r="B7670" i="1"/>
  <c r="O7669" i="1"/>
  <c r="E7669" i="1"/>
  <c r="B7669" i="1"/>
  <c r="O7668" i="1"/>
  <c r="E7668" i="1"/>
  <c r="B7668" i="1"/>
  <c r="O7667" i="1"/>
  <c r="E7667" i="1"/>
  <c r="B7667" i="1"/>
  <c r="O7666" i="1"/>
  <c r="E7666" i="1"/>
  <c r="B7666" i="1"/>
  <c r="O7665" i="1"/>
  <c r="E7665" i="1"/>
  <c r="B7665" i="1"/>
  <c r="O7664" i="1"/>
  <c r="E7664" i="1"/>
  <c r="B7664" i="1"/>
  <c r="O7663" i="1"/>
  <c r="E7663" i="1"/>
  <c r="B7663" i="1"/>
  <c r="O7662" i="1"/>
  <c r="E7662" i="1"/>
  <c r="B7662" i="1"/>
  <c r="O7661" i="1"/>
  <c r="E7661" i="1"/>
  <c r="B7661" i="1"/>
  <c r="O7660" i="1"/>
  <c r="E7660" i="1"/>
  <c r="B7660" i="1"/>
  <c r="O7659" i="1"/>
  <c r="E7659" i="1"/>
  <c r="B7659" i="1"/>
  <c r="O7658" i="1"/>
  <c r="E7658" i="1"/>
  <c r="B7658" i="1"/>
  <c r="O7657" i="1"/>
  <c r="E7657" i="1"/>
  <c r="B7657" i="1"/>
  <c r="O7656" i="1"/>
  <c r="E7656" i="1"/>
  <c r="B7656" i="1"/>
  <c r="O7655" i="1"/>
  <c r="E7655" i="1"/>
  <c r="B7655" i="1"/>
  <c r="O7654" i="1"/>
  <c r="E7654" i="1"/>
  <c r="B7654" i="1"/>
  <c r="O7653" i="1"/>
  <c r="E7653" i="1"/>
  <c r="B7653" i="1"/>
  <c r="O7652" i="1"/>
  <c r="E7652" i="1"/>
  <c r="B7652" i="1"/>
  <c r="O7651" i="1"/>
  <c r="E7651" i="1"/>
  <c r="B7651" i="1"/>
  <c r="O7650" i="1"/>
  <c r="E7650" i="1"/>
  <c r="B7650" i="1"/>
  <c r="O7649" i="1"/>
  <c r="E7649" i="1"/>
  <c r="B7649" i="1"/>
  <c r="O7648" i="1"/>
  <c r="E7648" i="1"/>
  <c r="B7648" i="1"/>
  <c r="O7647" i="1"/>
  <c r="E7647" i="1"/>
  <c r="B7647" i="1"/>
  <c r="P7646" i="1"/>
  <c r="O7646" i="1"/>
  <c r="E7646" i="1"/>
  <c r="B7646" i="1"/>
  <c r="O7645" i="1"/>
  <c r="E7645" i="1"/>
  <c r="B7645" i="1"/>
  <c r="O7644" i="1"/>
  <c r="E7644" i="1"/>
  <c r="B7644" i="1"/>
  <c r="O7643" i="1"/>
  <c r="E7643" i="1"/>
  <c r="B7643" i="1"/>
  <c r="O7642" i="1"/>
  <c r="E7642" i="1"/>
  <c r="B7642" i="1"/>
  <c r="O7641" i="1"/>
  <c r="E7641" i="1"/>
  <c r="B7641" i="1"/>
  <c r="O7640" i="1"/>
  <c r="E7640" i="1"/>
  <c r="B7640" i="1"/>
  <c r="O7639" i="1"/>
  <c r="E7639" i="1"/>
  <c r="B7639" i="1"/>
  <c r="O7638" i="1"/>
  <c r="E7638" i="1"/>
  <c r="B7638" i="1"/>
  <c r="O7637" i="1"/>
  <c r="E7637" i="1"/>
  <c r="B7637" i="1"/>
  <c r="O7636" i="1"/>
  <c r="E7636" i="1"/>
  <c r="B7636" i="1"/>
  <c r="O7635" i="1"/>
  <c r="E7635" i="1"/>
  <c r="B7635" i="1"/>
  <c r="O7634" i="1"/>
  <c r="E7634" i="1"/>
  <c r="B7634" i="1"/>
  <c r="O7633" i="1"/>
  <c r="E7633" i="1"/>
  <c r="B7633" i="1"/>
  <c r="O7632" i="1"/>
  <c r="E7632" i="1"/>
  <c r="B7632" i="1"/>
  <c r="O7631" i="1"/>
  <c r="E7631" i="1"/>
  <c r="B7631" i="1"/>
  <c r="O7630" i="1"/>
  <c r="E7630" i="1"/>
  <c r="B7630" i="1"/>
  <c r="O7629" i="1"/>
  <c r="E7629" i="1"/>
  <c r="B7629" i="1"/>
  <c r="O7628" i="1"/>
  <c r="E7628" i="1"/>
  <c r="B7628" i="1"/>
  <c r="O7627" i="1"/>
  <c r="E7627" i="1"/>
  <c r="B7627" i="1"/>
  <c r="O7626" i="1"/>
  <c r="E7626" i="1"/>
  <c r="B7626" i="1"/>
  <c r="O7625" i="1"/>
  <c r="E7625" i="1"/>
  <c r="B7625" i="1"/>
  <c r="O7624" i="1"/>
  <c r="E7624" i="1"/>
  <c r="B7624" i="1"/>
  <c r="O7623" i="1"/>
  <c r="E7623" i="1"/>
  <c r="B7623" i="1"/>
  <c r="O7622" i="1"/>
  <c r="E7622" i="1"/>
  <c r="B7622" i="1"/>
  <c r="O7621" i="1"/>
  <c r="E7621" i="1"/>
  <c r="B7621" i="1"/>
  <c r="O7620" i="1"/>
  <c r="E7620" i="1"/>
  <c r="B7620" i="1"/>
  <c r="O7619" i="1"/>
  <c r="E7619" i="1"/>
  <c r="B7619" i="1"/>
  <c r="O7618" i="1"/>
  <c r="E7618" i="1"/>
  <c r="B7618" i="1"/>
  <c r="O7617" i="1"/>
  <c r="E7617" i="1"/>
  <c r="B7617" i="1"/>
  <c r="O7616" i="1"/>
  <c r="E7616" i="1"/>
  <c r="B7616" i="1"/>
  <c r="O7615" i="1"/>
  <c r="E7615" i="1"/>
  <c r="B7615" i="1"/>
  <c r="O7614" i="1"/>
  <c r="E7614" i="1"/>
  <c r="B7614" i="1"/>
  <c r="O7613" i="1"/>
  <c r="E7613" i="1"/>
  <c r="B7613" i="1"/>
  <c r="O7612" i="1"/>
  <c r="E7612" i="1"/>
  <c r="B7612" i="1"/>
  <c r="O7611" i="1"/>
  <c r="E7611" i="1"/>
  <c r="B7611" i="1"/>
  <c r="O7610" i="1"/>
  <c r="E7610" i="1"/>
  <c r="B7610" i="1"/>
  <c r="O7609" i="1"/>
  <c r="E7609" i="1"/>
  <c r="B7609" i="1"/>
  <c r="O7608" i="1"/>
  <c r="E7608" i="1"/>
  <c r="B7608" i="1"/>
  <c r="O7607" i="1"/>
  <c r="E7607" i="1"/>
  <c r="B7607" i="1"/>
  <c r="O7606" i="1"/>
  <c r="E7606" i="1"/>
  <c r="B7606" i="1"/>
  <c r="O7605" i="1"/>
  <c r="E7605" i="1"/>
  <c r="B7605" i="1"/>
  <c r="O7604" i="1"/>
  <c r="E7604" i="1"/>
  <c r="B7604" i="1"/>
  <c r="O7603" i="1"/>
  <c r="E7603" i="1"/>
  <c r="B7603" i="1"/>
  <c r="O7602" i="1"/>
  <c r="E7602" i="1"/>
  <c r="B7602" i="1"/>
  <c r="O7601" i="1"/>
  <c r="E7601" i="1"/>
  <c r="B7601" i="1"/>
  <c r="O7600" i="1"/>
  <c r="E7600" i="1"/>
  <c r="B7600" i="1"/>
  <c r="O7599" i="1"/>
  <c r="E7599" i="1"/>
  <c r="B7599" i="1"/>
  <c r="O7598" i="1"/>
  <c r="E7598" i="1"/>
  <c r="B7598" i="1"/>
  <c r="O7597" i="1"/>
  <c r="E7597" i="1"/>
  <c r="B7597" i="1"/>
  <c r="O7596" i="1"/>
  <c r="E7596" i="1"/>
  <c r="B7596" i="1"/>
  <c r="O7595" i="1"/>
  <c r="E7595" i="1"/>
  <c r="B7595" i="1"/>
  <c r="O7594" i="1"/>
  <c r="E7594" i="1"/>
  <c r="B7594" i="1"/>
  <c r="P7593" i="1"/>
  <c r="O7593" i="1"/>
  <c r="E7593" i="1"/>
  <c r="B7593" i="1"/>
  <c r="O7592" i="1"/>
  <c r="E7592" i="1"/>
  <c r="B7592" i="1"/>
  <c r="O7591" i="1"/>
  <c r="E7591" i="1"/>
  <c r="B7591" i="1"/>
  <c r="O7590" i="1"/>
  <c r="E7590" i="1"/>
  <c r="B7590" i="1"/>
  <c r="O7589" i="1"/>
  <c r="E7589" i="1"/>
  <c r="B7589" i="1"/>
  <c r="O7588" i="1"/>
  <c r="E7588" i="1"/>
  <c r="B7588" i="1"/>
  <c r="O7587" i="1"/>
  <c r="E7587" i="1"/>
  <c r="B7587" i="1"/>
  <c r="O7586" i="1"/>
  <c r="E7586" i="1"/>
  <c r="B7586" i="1"/>
  <c r="O7585" i="1"/>
  <c r="E7585" i="1"/>
  <c r="B7585" i="1"/>
  <c r="O7584" i="1"/>
  <c r="E7584" i="1"/>
  <c r="B7584" i="1"/>
  <c r="O7583" i="1"/>
  <c r="E7583" i="1"/>
  <c r="B7583" i="1"/>
  <c r="O7582" i="1"/>
  <c r="E7582" i="1"/>
  <c r="B7582" i="1"/>
  <c r="O7581" i="1"/>
  <c r="E7581" i="1"/>
  <c r="B7581" i="1"/>
  <c r="O7580" i="1"/>
  <c r="E7580" i="1"/>
  <c r="B7580" i="1"/>
  <c r="O7579" i="1"/>
  <c r="E7579" i="1"/>
  <c r="B7579" i="1"/>
  <c r="O7578" i="1"/>
  <c r="E7578" i="1"/>
  <c r="B7578" i="1"/>
  <c r="O7577" i="1"/>
  <c r="E7577" i="1"/>
  <c r="B7577" i="1"/>
  <c r="O7576" i="1"/>
  <c r="E7576" i="1"/>
  <c r="B7576" i="1"/>
  <c r="O7575" i="1"/>
  <c r="E7575" i="1"/>
  <c r="B7575" i="1"/>
  <c r="O7574" i="1"/>
  <c r="E7574" i="1"/>
  <c r="B7574" i="1"/>
  <c r="O7573" i="1"/>
  <c r="E7573" i="1"/>
  <c r="B7573" i="1"/>
  <c r="O7572" i="1"/>
  <c r="E7572" i="1"/>
  <c r="B7572" i="1"/>
  <c r="O7571" i="1"/>
  <c r="E7571" i="1"/>
  <c r="B7571" i="1"/>
  <c r="O7570" i="1"/>
  <c r="E7570" i="1"/>
  <c r="B7570" i="1"/>
  <c r="O7569" i="1"/>
  <c r="E7569" i="1"/>
  <c r="B7569" i="1"/>
  <c r="O7568" i="1"/>
  <c r="E7568" i="1"/>
  <c r="B7568" i="1"/>
  <c r="O7567" i="1"/>
  <c r="E7567" i="1"/>
  <c r="B7567" i="1"/>
  <c r="O7566" i="1"/>
  <c r="E7566" i="1"/>
  <c r="B7566" i="1"/>
  <c r="O7565" i="1"/>
  <c r="E7565" i="1"/>
  <c r="B7565" i="1"/>
  <c r="O7564" i="1"/>
  <c r="E7564" i="1"/>
  <c r="B7564" i="1"/>
  <c r="O7563" i="1"/>
  <c r="E7563" i="1"/>
  <c r="B7563" i="1"/>
  <c r="O7562" i="1"/>
  <c r="E7562" i="1"/>
  <c r="B7562" i="1"/>
  <c r="O7561" i="1"/>
  <c r="E7561" i="1"/>
  <c r="B7561" i="1"/>
  <c r="O7560" i="1"/>
  <c r="E7560" i="1"/>
  <c r="B7560" i="1"/>
  <c r="O7559" i="1"/>
  <c r="E7559" i="1"/>
  <c r="B7559" i="1"/>
  <c r="O7558" i="1"/>
  <c r="E7558" i="1"/>
  <c r="B7558" i="1"/>
  <c r="O7557" i="1"/>
  <c r="E7557" i="1"/>
  <c r="B7557" i="1"/>
  <c r="O7556" i="1"/>
  <c r="E7556" i="1"/>
  <c r="B7556" i="1"/>
  <c r="O7555" i="1"/>
  <c r="E7555" i="1"/>
  <c r="B7555" i="1"/>
  <c r="O7554" i="1"/>
  <c r="E7554" i="1"/>
  <c r="B7554" i="1"/>
  <c r="O7553" i="1"/>
  <c r="E7553" i="1"/>
  <c r="B7553" i="1"/>
  <c r="O7552" i="1"/>
  <c r="E7552" i="1"/>
  <c r="B7552" i="1"/>
  <c r="O7551" i="1"/>
  <c r="E7551" i="1"/>
  <c r="B7551" i="1"/>
  <c r="O7550" i="1"/>
  <c r="E7550" i="1"/>
  <c r="B7550" i="1"/>
  <c r="O7549" i="1"/>
  <c r="E7549" i="1"/>
  <c r="B7549" i="1"/>
  <c r="O7548" i="1"/>
  <c r="E7548" i="1"/>
  <c r="B7548" i="1"/>
  <c r="O7547" i="1"/>
  <c r="E7547" i="1"/>
  <c r="B7547" i="1"/>
  <c r="O7546" i="1"/>
  <c r="E7546" i="1"/>
  <c r="B7546" i="1"/>
  <c r="O7545" i="1"/>
  <c r="E7545" i="1"/>
  <c r="B7545" i="1"/>
  <c r="O7544" i="1"/>
  <c r="E7544" i="1"/>
  <c r="B7544" i="1"/>
  <c r="O7543" i="1"/>
  <c r="E7543" i="1"/>
  <c r="B7543" i="1"/>
  <c r="O7542" i="1"/>
  <c r="E7542" i="1"/>
  <c r="B7542" i="1"/>
  <c r="O7541" i="1"/>
  <c r="E7541" i="1"/>
  <c r="B7541" i="1"/>
  <c r="O7540" i="1"/>
  <c r="E7540" i="1"/>
  <c r="B7540" i="1"/>
  <c r="O7539" i="1"/>
  <c r="E7539" i="1"/>
  <c r="B7539" i="1"/>
  <c r="O7538" i="1"/>
  <c r="E7538" i="1"/>
  <c r="B7538" i="1"/>
  <c r="O7537" i="1"/>
  <c r="E7537" i="1"/>
  <c r="B7537" i="1"/>
  <c r="O7536" i="1"/>
  <c r="E7536" i="1"/>
  <c r="B7536" i="1"/>
  <c r="O7535" i="1"/>
  <c r="E7535" i="1"/>
  <c r="B7535" i="1"/>
  <c r="O7534" i="1"/>
  <c r="E7534" i="1"/>
  <c r="B7534" i="1"/>
  <c r="O7533" i="1"/>
  <c r="E7533" i="1"/>
  <c r="B7533" i="1"/>
  <c r="O7532" i="1"/>
  <c r="E7532" i="1"/>
  <c r="B7532" i="1"/>
  <c r="O7531" i="1"/>
  <c r="E7531" i="1"/>
  <c r="B7531" i="1"/>
  <c r="O7530" i="1"/>
  <c r="E7530" i="1"/>
  <c r="B7530" i="1"/>
  <c r="O7529" i="1"/>
  <c r="E7529" i="1"/>
  <c r="B7529" i="1"/>
  <c r="O7528" i="1"/>
  <c r="E7528" i="1"/>
  <c r="B7528" i="1"/>
  <c r="O7527" i="1"/>
  <c r="E7527" i="1"/>
  <c r="B7527" i="1"/>
  <c r="O7526" i="1"/>
  <c r="E7526" i="1"/>
  <c r="B7526" i="1"/>
  <c r="O7525" i="1"/>
  <c r="E7525" i="1"/>
  <c r="B7525" i="1"/>
  <c r="O7524" i="1"/>
  <c r="E7524" i="1"/>
  <c r="B7524" i="1"/>
  <c r="P7523" i="1"/>
  <c r="O7523" i="1"/>
  <c r="E7523" i="1"/>
  <c r="B7523" i="1"/>
  <c r="O7522" i="1"/>
  <c r="E7522" i="1"/>
  <c r="B7522" i="1"/>
  <c r="O7521" i="1"/>
  <c r="E7521" i="1"/>
  <c r="B7521" i="1"/>
  <c r="O7520" i="1"/>
  <c r="E7520" i="1"/>
  <c r="B7520" i="1"/>
  <c r="O7519" i="1"/>
  <c r="E7519" i="1"/>
  <c r="B7519" i="1"/>
  <c r="O7518" i="1"/>
  <c r="E7518" i="1"/>
  <c r="B7518" i="1"/>
  <c r="O7517" i="1"/>
  <c r="E7517" i="1"/>
  <c r="B7517" i="1"/>
  <c r="O7516" i="1"/>
  <c r="E7516" i="1"/>
  <c r="B7516" i="1"/>
  <c r="O7515" i="1"/>
  <c r="E7515" i="1"/>
  <c r="B7515" i="1"/>
  <c r="O7514" i="1"/>
  <c r="E7514" i="1"/>
  <c r="B7514" i="1"/>
  <c r="O7513" i="1"/>
  <c r="E7513" i="1"/>
  <c r="B7513" i="1"/>
  <c r="P7512" i="1"/>
  <c r="O7512" i="1"/>
  <c r="E7512" i="1"/>
  <c r="B7512" i="1"/>
  <c r="O7511" i="1"/>
  <c r="E7511" i="1"/>
  <c r="B7511" i="1"/>
  <c r="O7510" i="1"/>
  <c r="E7510" i="1"/>
  <c r="B7510" i="1"/>
  <c r="O7509" i="1"/>
  <c r="E7509" i="1"/>
  <c r="B7509" i="1"/>
  <c r="O7508" i="1"/>
  <c r="E7508" i="1"/>
  <c r="B7508" i="1"/>
  <c r="O7507" i="1"/>
  <c r="E7507" i="1"/>
  <c r="B7507" i="1"/>
  <c r="O7506" i="1"/>
  <c r="E7506" i="1"/>
  <c r="B7506" i="1"/>
  <c r="O7505" i="1"/>
  <c r="E7505" i="1"/>
  <c r="B7505" i="1"/>
  <c r="O7504" i="1"/>
  <c r="E7504" i="1"/>
  <c r="B7504" i="1"/>
  <c r="O7503" i="1"/>
  <c r="E7503" i="1"/>
  <c r="B7503" i="1"/>
  <c r="O7502" i="1"/>
  <c r="E7502" i="1"/>
  <c r="B7502" i="1"/>
  <c r="O7501" i="1"/>
  <c r="E7501" i="1"/>
  <c r="B7501" i="1"/>
  <c r="O7500" i="1"/>
  <c r="E7500" i="1"/>
  <c r="B7500" i="1"/>
  <c r="O7499" i="1"/>
  <c r="E7499" i="1"/>
  <c r="B7499" i="1"/>
  <c r="O7498" i="1"/>
  <c r="E7498" i="1"/>
  <c r="B7498" i="1"/>
  <c r="O7497" i="1"/>
  <c r="E7497" i="1"/>
  <c r="B7497" i="1"/>
  <c r="O7496" i="1"/>
  <c r="E7496" i="1"/>
  <c r="B7496" i="1"/>
  <c r="O7495" i="1"/>
  <c r="E7495" i="1"/>
  <c r="B7495" i="1"/>
  <c r="O7494" i="1"/>
  <c r="E7494" i="1"/>
  <c r="B7494" i="1"/>
  <c r="O7493" i="1"/>
  <c r="E7493" i="1"/>
  <c r="B7493" i="1"/>
  <c r="O7492" i="1"/>
  <c r="E7492" i="1"/>
  <c r="B7492" i="1"/>
  <c r="O7491" i="1"/>
  <c r="E7491" i="1"/>
  <c r="B7491" i="1"/>
  <c r="O7490" i="1"/>
  <c r="E7490" i="1"/>
  <c r="B7490" i="1"/>
  <c r="O7489" i="1"/>
  <c r="E7489" i="1"/>
  <c r="B7489" i="1"/>
  <c r="O7488" i="1"/>
  <c r="E7488" i="1"/>
  <c r="B7488" i="1"/>
  <c r="O7487" i="1"/>
  <c r="E7487" i="1"/>
  <c r="B7487" i="1"/>
  <c r="O7486" i="1"/>
  <c r="E7486" i="1"/>
  <c r="B7486" i="1"/>
  <c r="O7485" i="1"/>
  <c r="E7485" i="1"/>
  <c r="B7485" i="1"/>
  <c r="O7484" i="1"/>
  <c r="E7484" i="1"/>
  <c r="B7484" i="1"/>
  <c r="O7483" i="1"/>
  <c r="E7483" i="1"/>
  <c r="B7483" i="1"/>
  <c r="O7482" i="1"/>
  <c r="E7482" i="1"/>
  <c r="B7482" i="1"/>
  <c r="O7481" i="1"/>
  <c r="E7481" i="1"/>
  <c r="B7481" i="1"/>
  <c r="O7480" i="1"/>
  <c r="E7480" i="1"/>
  <c r="B7480" i="1"/>
  <c r="O7479" i="1"/>
  <c r="E7479" i="1"/>
  <c r="B7479" i="1"/>
  <c r="O7478" i="1"/>
  <c r="E7478" i="1"/>
  <c r="B7478" i="1"/>
  <c r="O7477" i="1"/>
  <c r="E7477" i="1"/>
  <c r="B7477" i="1"/>
  <c r="O7476" i="1"/>
  <c r="E7476" i="1"/>
  <c r="B7476" i="1"/>
  <c r="O7475" i="1"/>
  <c r="E7475" i="1"/>
  <c r="B7475" i="1"/>
  <c r="O7474" i="1"/>
  <c r="E7474" i="1"/>
  <c r="B7474" i="1"/>
  <c r="O7473" i="1"/>
  <c r="E7473" i="1"/>
  <c r="B7473" i="1"/>
  <c r="O7472" i="1"/>
  <c r="E7472" i="1"/>
  <c r="B7472" i="1"/>
  <c r="P7471" i="1"/>
  <c r="O7471" i="1"/>
  <c r="E7471" i="1"/>
  <c r="B7471" i="1"/>
  <c r="O7470" i="1"/>
  <c r="E7470" i="1"/>
  <c r="B7470" i="1"/>
  <c r="O7469" i="1"/>
  <c r="E7469" i="1"/>
  <c r="B7469" i="1"/>
  <c r="O7468" i="1"/>
  <c r="E7468" i="1"/>
  <c r="B7468" i="1"/>
  <c r="O7467" i="1"/>
  <c r="E7467" i="1"/>
  <c r="B7467" i="1"/>
  <c r="O7466" i="1"/>
  <c r="E7466" i="1"/>
  <c r="B7466" i="1"/>
  <c r="O7465" i="1"/>
  <c r="E7465" i="1"/>
  <c r="B7465" i="1"/>
  <c r="O7464" i="1"/>
  <c r="E7464" i="1"/>
  <c r="B7464" i="1"/>
  <c r="O7463" i="1"/>
  <c r="E7463" i="1"/>
  <c r="B7463" i="1"/>
  <c r="O7462" i="1"/>
  <c r="E7462" i="1"/>
  <c r="B7462" i="1"/>
  <c r="O7461" i="1"/>
  <c r="E7461" i="1"/>
  <c r="B7461" i="1"/>
  <c r="O7460" i="1"/>
  <c r="E7460" i="1"/>
  <c r="B7460" i="1"/>
  <c r="O7459" i="1"/>
  <c r="E7459" i="1"/>
  <c r="B7459" i="1"/>
  <c r="O7458" i="1"/>
  <c r="E7458" i="1"/>
  <c r="B7458" i="1"/>
  <c r="O7457" i="1"/>
  <c r="E7457" i="1"/>
  <c r="B7457" i="1"/>
  <c r="O7456" i="1"/>
  <c r="E7456" i="1"/>
  <c r="B7456" i="1"/>
  <c r="O7455" i="1"/>
  <c r="E7455" i="1"/>
  <c r="B7455" i="1"/>
  <c r="O7454" i="1"/>
  <c r="E7454" i="1"/>
  <c r="B7454" i="1"/>
  <c r="O7453" i="1"/>
  <c r="E7453" i="1"/>
  <c r="B7453" i="1"/>
  <c r="O7452" i="1"/>
  <c r="E7452" i="1"/>
  <c r="B7452" i="1"/>
  <c r="O7451" i="1"/>
  <c r="E7451" i="1"/>
  <c r="B7451" i="1"/>
  <c r="O7450" i="1"/>
  <c r="E7450" i="1"/>
  <c r="B7450" i="1"/>
  <c r="O7449" i="1"/>
  <c r="E7449" i="1"/>
  <c r="B7449" i="1"/>
  <c r="O7448" i="1"/>
  <c r="E7448" i="1"/>
  <c r="B7448" i="1"/>
  <c r="O7447" i="1"/>
  <c r="E7447" i="1"/>
  <c r="B7447" i="1"/>
  <c r="O7446" i="1"/>
  <c r="E7446" i="1"/>
  <c r="B7446" i="1"/>
  <c r="O7445" i="1"/>
  <c r="E7445" i="1"/>
  <c r="B7445" i="1"/>
  <c r="O7444" i="1"/>
  <c r="E7444" i="1"/>
  <c r="B7444" i="1"/>
  <c r="O7443" i="1"/>
  <c r="E7443" i="1"/>
  <c r="B7443" i="1"/>
  <c r="O7442" i="1"/>
  <c r="E7442" i="1"/>
  <c r="B7442" i="1"/>
  <c r="O7441" i="1"/>
  <c r="E7441" i="1"/>
  <c r="B7441" i="1"/>
  <c r="O7440" i="1"/>
  <c r="E7440" i="1"/>
  <c r="B7440" i="1"/>
  <c r="O7439" i="1"/>
  <c r="E7439" i="1"/>
  <c r="B7439" i="1"/>
  <c r="O7438" i="1"/>
  <c r="E7438" i="1"/>
  <c r="B7438" i="1"/>
  <c r="O7437" i="1"/>
  <c r="E7437" i="1"/>
  <c r="B7437" i="1"/>
  <c r="O7436" i="1"/>
  <c r="E7436" i="1"/>
  <c r="B7436" i="1"/>
  <c r="O7435" i="1"/>
  <c r="E7435" i="1"/>
  <c r="B7435" i="1"/>
  <c r="O7434" i="1"/>
  <c r="E7434" i="1"/>
  <c r="B7434" i="1"/>
  <c r="O7433" i="1"/>
  <c r="E7433" i="1"/>
  <c r="B7433" i="1"/>
  <c r="O7432" i="1"/>
  <c r="E7432" i="1"/>
  <c r="B7432" i="1"/>
  <c r="O7431" i="1"/>
  <c r="E7431" i="1"/>
  <c r="B7431" i="1"/>
  <c r="O7430" i="1"/>
  <c r="E7430" i="1"/>
  <c r="B7430" i="1"/>
  <c r="O7429" i="1"/>
  <c r="E7429" i="1"/>
  <c r="B7429" i="1"/>
  <c r="O7428" i="1"/>
  <c r="E7428" i="1"/>
  <c r="B7428" i="1"/>
  <c r="O7427" i="1"/>
  <c r="E7427" i="1"/>
  <c r="B7427" i="1"/>
  <c r="O7426" i="1"/>
  <c r="E7426" i="1"/>
  <c r="B7426" i="1"/>
  <c r="O7425" i="1"/>
  <c r="E7425" i="1"/>
  <c r="B7425" i="1"/>
  <c r="O7424" i="1"/>
  <c r="E7424" i="1"/>
  <c r="B7424" i="1"/>
  <c r="O7423" i="1"/>
  <c r="E7423" i="1"/>
  <c r="B7423" i="1"/>
  <c r="O7422" i="1"/>
  <c r="E7422" i="1"/>
  <c r="B7422" i="1"/>
  <c r="O7421" i="1"/>
  <c r="E7421" i="1"/>
  <c r="B7421" i="1"/>
  <c r="P7420" i="1"/>
  <c r="O7420" i="1"/>
  <c r="E7420" i="1"/>
  <c r="B7420" i="1"/>
  <c r="O7419" i="1"/>
  <c r="E7419" i="1"/>
  <c r="B7419" i="1"/>
  <c r="O7418" i="1"/>
  <c r="E7418" i="1"/>
  <c r="B7418" i="1"/>
  <c r="O7417" i="1"/>
  <c r="E7417" i="1"/>
  <c r="B7417" i="1"/>
  <c r="O7416" i="1"/>
  <c r="E7416" i="1"/>
  <c r="B7416" i="1"/>
  <c r="O7415" i="1"/>
  <c r="E7415" i="1"/>
  <c r="B7415" i="1"/>
  <c r="O7414" i="1"/>
  <c r="E7414" i="1"/>
  <c r="B7414" i="1"/>
  <c r="O7413" i="1"/>
  <c r="E7413" i="1"/>
  <c r="B7413" i="1"/>
  <c r="O7412" i="1"/>
  <c r="E7412" i="1"/>
  <c r="B7412" i="1"/>
  <c r="O7411" i="1"/>
  <c r="E7411" i="1"/>
  <c r="B7411" i="1"/>
  <c r="O7410" i="1"/>
  <c r="E7410" i="1"/>
  <c r="B7410" i="1"/>
  <c r="O7409" i="1"/>
  <c r="E7409" i="1"/>
  <c r="B7409" i="1"/>
  <c r="O7408" i="1"/>
  <c r="E7408" i="1"/>
  <c r="B7408" i="1"/>
  <c r="O7407" i="1"/>
  <c r="E7407" i="1"/>
  <c r="B7407" i="1"/>
  <c r="O7406" i="1"/>
  <c r="E7406" i="1"/>
  <c r="B7406" i="1"/>
  <c r="O7405" i="1"/>
  <c r="E7405" i="1"/>
  <c r="B7405" i="1"/>
  <c r="O7404" i="1"/>
  <c r="E7404" i="1"/>
  <c r="B7404" i="1"/>
  <c r="O7403" i="1"/>
  <c r="E7403" i="1"/>
  <c r="B7403" i="1"/>
  <c r="O7402" i="1"/>
  <c r="E7402" i="1"/>
  <c r="B7402" i="1"/>
  <c r="O7401" i="1"/>
  <c r="E7401" i="1"/>
  <c r="B7401" i="1"/>
  <c r="O7400" i="1"/>
  <c r="E7400" i="1"/>
  <c r="B7400" i="1"/>
  <c r="O7399" i="1"/>
  <c r="E7399" i="1"/>
  <c r="B7399" i="1"/>
  <c r="O7398" i="1"/>
  <c r="E7398" i="1"/>
  <c r="B7398" i="1"/>
  <c r="O7397" i="1"/>
  <c r="E7397" i="1"/>
  <c r="B7397" i="1"/>
  <c r="O7396" i="1"/>
  <c r="E7396" i="1"/>
  <c r="B7396" i="1"/>
  <c r="P7395" i="1"/>
  <c r="O7395" i="1"/>
  <c r="E7395" i="1"/>
  <c r="B7395" i="1"/>
  <c r="O7394" i="1"/>
  <c r="E7394" i="1"/>
  <c r="B7394" i="1"/>
  <c r="O7393" i="1"/>
  <c r="E7393" i="1"/>
  <c r="B7393" i="1"/>
  <c r="O7392" i="1"/>
  <c r="E7392" i="1"/>
  <c r="B7392" i="1"/>
  <c r="O7391" i="1"/>
  <c r="E7391" i="1"/>
  <c r="B7391" i="1"/>
  <c r="O7390" i="1"/>
  <c r="E7390" i="1"/>
  <c r="B7390" i="1"/>
  <c r="O7389" i="1"/>
  <c r="E7389" i="1"/>
  <c r="B7389" i="1"/>
  <c r="O7388" i="1"/>
  <c r="E7388" i="1"/>
  <c r="B7388" i="1"/>
  <c r="O7387" i="1"/>
  <c r="E7387" i="1"/>
  <c r="B7387" i="1"/>
  <c r="O7386" i="1"/>
  <c r="E7386" i="1"/>
  <c r="B7386" i="1"/>
  <c r="O7385" i="1"/>
  <c r="E7385" i="1"/>
  <c r="B7385" i="1"/>
  <c r="O7384" i="1"/>
  <c r="E7384" i="1"/>
  <c r="B7384" i="1"/>
  <c r="O7383" i="1"/>
  <c r="E7383" i="1"/>
  <c r="B7383" i="1"/>
  <c r="O7382" i="1"/>
  <c r="E7382" i="1"/>
  <c r="B7382" i="1"/>
  <c r="P7381" i="1"/>
  <c r="O7381" i="1"/>
  <c r="E7381" i="1"/>
  <c r="B7381" i="1"/>
  <c r="O7380" i="1"/>
  <c r="E7380" i="1"/>
  <c r="B7380" i="1"/>
  <c r="O7379" i="1"/>
  <c r="E7379" i="1"/>
  <c r="B7379" i="1"/>
  <c r="O7378" i="1"/>
  <c r="E7378" i="1"/>
  <c r="B7378" i="1"/>
  <c r="O7377" i="1"/>
  <c r="E7377" i="1"/>
  <c r="B7377" i="1"/>
  <c r="O7376" i="1"/>
  <c r="E7376" i="1"/>
  <c r="B7376" i="1"/>
  <c r="O7375" i="1"/>
  <c r="E7375" i="1"/>
  <c r="B7375" i="1"/>
  <c r="O7374" i="1"/>
  <c r="E7374" i="1"/>
  <c r="B7374" i="1"/>
  <c r="O7373" i="1"/>
  <c r="E7373" i="1"/>
  <c r="B7373" i="1"/>
  <c r="O7372" i="1"/>
  <c r="E7372" i="1"/>
  <c r="B7372" i="1"/>
  <c r="O7371" i="1"/>
  <c r="E7371" i="1"/>
  <c r="B7371" i="1"/>
  <c r="O7370" i="1"/>
  <c r="E7370" i="1"/>
  <c r="B7370" i="1"/>
  <c r="O7369" i="1"/>
  <c r="E7369" i="1"/>
  <c r="B7369" i="1"/>
  <c r="O7368" i="1"/>
  <c r="E7368" i="1"/>
  <c r="B7368" i="1"/>
  <c r="P7367" i="1"/>
  <c r="O7367" i="1"/>
  <c r="E7367" i="1"/>
  <c r="B7367" i="1"/>
  <c r="O7366" i="1"/>
  <c r="E7366" i="1"/>
  <c r="B7366" i="1"/>
  <c r="O7365" i="1"/>
  <c r="E7365" i="1"/>
  <c r="B7365" i="1"/>
  <c r="O7364" i="1"/>
  <c r="E7364" i="1"/>
  <c r="B7364" i="1"/>
  <c r="O7363" i="1"/>
  <c r="E7363" i="1"/>
  <c r="B7363" i="1"/>
  <c r="O7362" i="1"/>
  <c r="E7362" i="1"/>
  <c r="B7362" i="1"/>
  <c r="O7361" i="1"/>
  <c r="E7361" i="1"/>
  <c r="B7361" i="1"/>
  <c r="O7360" i="1"/>
  <c r="E7360" i="1"/>
  <c r="B7360" i="1"/>
  <c r="O7359" i="1"/>
  <c r="E7359" i="1"/>
  <c r="B7359" i="1"/>
  <c r="O7358" i="1"/>
  <c r="E7358" i="1"/>
  <c r="B7358" i="1"/>
  <c r="O7357" i="1"/>
  <c r="E7357" i="1"/>
  <c r="B7357" i="1"/>
  <c r="O7356" i="1"/>
  <c r="E7356" i="1"/>
  <c r="B7356" i="1"/>
  <c r="O7355" i="1"/>
  <c r="E7355" i="1"/>
  <c r="B7355" i="1"/>
  <c r="O7354" i="1"/>
  <c r="E7354" i="1"/>
  <c r="B7354" i="1"/>
  <c r="P7353" i="1"/>
  <c r="O7353" i="1"/>
  <c r="E7353" i="1"/>
  <c r="B7353" i="1"/>
  <c r="O7352" i="1"/>
  <c r="E7352" i="1"/>
  <c r="B7352" i="1"/>
  <c r="P7351" i="1"/>
  <c r="O7351" i="1"/>
  <c r="E7351" i="1"/>
  <c r="B7351" i="1"/>
  <c r="O7350" i="1"/>
  <c r="E7350" i="1"/>
  <c r="B7350" i="1"/>
  <c r="O7349" i="1"/>
  <c r="E7349" i="1"/>
  <c r="B7349" i="1"/>
  <c r="O7348" i="1"/>
  <c r="E7348" i="1"/>
  <c r="B7348" i="1"/>
  <c r="O7347" i="1"/>
  <c r="E7347" i="1"/>
  <c r="B7347" i="1"/>
  <c r="O7346" i="1"/>
  <c r="E7346" i="1"/>
  <c r="B7346" i="1"/>
  <c r="O7345" i="1"/>
  <c r="E7345" i="1"/>
  <c r="B7345" i="1"/>
  <c r="O7344" i="1"/>
  <c r="E7344" i="1"/>
  <c r="B7344" i="1"/>
  <c r="O7343" i="1"/>
  <c r="E7343" i="1"/>
  <c r="B7343" i="1"/>
  <c r="O7342" i="1"/>
  <c r="E7342" i="1"/>
  <c r="B7342" i="1"/>
  <c r="P7341" i="1"/>
  <c r="O7341" i="1"/>
  <c r="E7341" i="1"/>
  <c r="B7341" i="1"/>
  <c r="O7340" i="1"/>
  <c r="E7340" i="1"/>
  <c r="B7340" i="1"/>
  <c r="O7339" i="1"/>
  <c r="E7339" i="1"/>
  <c r="B7339" i="1"/>
  <c r="O7338" i="1"/>
  <c r="E7338" i="1"/>
  <c r="B7338" i="1"/>
  <c r="O7337" i="1"/>
  <c r="E7337" i="1"/>
  <c r="B7337" i="1"/>
  <c r="O7336" i="1"/>
  <c r="E7336" i="1"/>
  <c r="B7336" i="1"/>
  <c r="O7335" i="1"/>
  <c r="E7335" i="1"/>
  <c r="B7335" i="1"/>
  <c r="O7334" i="1"/>
  <c r="E7334" i="1"/>
  <c r="B7334" i="1"/>
  <c r="O7333" i="1"/>
  <c r="E7333" i="1"/>
  <c r="B7333" i="1"/>
  <c r="O7332" i="1"/>
  <c r="E7332" i="1"/>
  <c r="B7332" i="1"/>
  <c r="O7331" i="1"/>
  <c r="E7331" i="1"/>
  <c r="B7331" i="1"/>
  <c r="O7330" i="1"/>
  <c r="E7330" i="1"/>
  <c r="B7330" i="1"/>
  <c r="O7329" i="1"/>
  <c r="E7329" i="1"/>
  <c r="B7329" i="1"/>
  <c r="O7328" i="1"/>
  <c r="E7328" i="1"/>
  <c r="B7328" i="1"/>
  <c r="O7327" i="1"/>
  <c r="E7327" i="1"/>
  <c r="B7327" i="1"/>
  <c r="O7326" i="1"/>
  <c r="E7326" i="1"/>
  <c r="B7326" i="1"/>
  <c r="O7325" i="1"/>
  <c r="E7325" i="1"/>
  <c r="B7325" i="1"/>
  <c r="O7324" i="1"/>
  <c r="E7324" i="1"/>
  <c r="B7324" i="1"/>
  <c r="O7323" i="1"/>
  <c r="E7323" i="1"/>
  <c r="B7323" i="1"/>
  <c r="O7322" i="1"/>
  <c r="E7322" i="1"/>
  <c r="B7322" i="1"/>
  <c r="O7321" i="1"/>
  <c r="E7321" i="1"/>
  <c r="B7321" i="1"/>
  <c r="O7320" i="1"/>
  <c r="E7320" i="1"/>
  <c r="B7320" i="1"/>
  <c r="O7319" i="1"/>
  <c r="E7319" i="1"/>
  <c r="B7319" i="1"/>
  <c r="O7318" i="1"/>
  <c r="E7318" i="1"/>
  <c r="B7318" i="1"/>
  <c r="O7317" i="1"/>
  <c r="E7317" i="1"/>
  <c r="B7317" i="1"/>
  <c r="O7316" i="1"/>
  <c r="E7316" i="1"/>
  <c r="B7316" i="1"/>
  <c r="O7315" i="1"/>
  <c r="E7315" i="1"/>
  <c r="B7315" i="1"/>
  <c r="O7314" i="1"/>
  <c r="E7314" i="1"/>
  <c r="B7314" i="1"/>
  <c r="O7313" i="1"/>
  <c r="E7313" i="1"/>
  <c r="B7313" i="1"/>
  <c r="O7312" i="1"/>
  <c r="E7312" i="1"/>
  <c r="B7312" i="1"/>
  <c r="O7311" i="1"/>
  <c r="E7311" i="1"/>
  <c r="B7311" i="1"/>
  <c r="O7310" i="1"/>
  <c r="E7310" i="1"/>
  <c r="B7310" i="1"/>
  <c r="O7309" i="1"/>
  <c r="E7309" i="1"/>
  <c r="B7309" i="1"/>
  <c r="O7308" i="1"/>
  <c r="E7308" i="1"/>
  <c r="B7308" i="1"/>
  <c r="O7307" i="1"/>
  <c r="E7307" i="1"/>
  <c r="B7307" i="1"/>
  <c r="O7306" i="1"/>
  <c r="E7306" i="1"/>
  <c r="B7306" i="1"/>
  <c r="O7305" i="1"/>
  <c r="E7305" i="1"/>
  <c r="B7305" i="1"/>
  <c r="O7304" i="1"/>
  <c r="E7304" i="1"/>
  <c r="B7304" i="1"/>
  <c r="O7303" i="1"/>
  <c r="E7303" i="1"/>
  <c r="B7303" i="1"/>
  <c r="O7302" i="1"/>
  <c r="E7302" i="1"/>
  <c r="B7302" i="1"/>
  <c r="O7301" i="1"/>
  <c r="E7301" i="1"/>
  <c r="B7301" i="1"/>
  <c r="O7300" i="1"/>
  <c r="E7300" i="1"/>
  <c r="B7300" i="1"/>
  <c r="O7299" i="1"/>
  <c r="E7299" i="1"/>
  <c r="B7299" i="1"/>
  <c r="O7298" i="1"/>
  <c r="E7298" i="1"/>
  <c r="B7298" i="1"/>
  <c r="O7297" i="1"/>
  <c r="E7297" i="1"/>
  <c r="B7297" i="1"/>
  <c r="O7296" i="1"/>
  <c r="E7296" i="1"/>
  <c r="B7296" i="1"/>
  <c r="O7295" i="1"/>
  <c r="E7295" i="1"/>
  <c r="B7295" i="1"/>
  <c r="O7294" i="1"/>
  <c r="E7294" i="1"/>
  <c r="B7294" i="1"/>
  <c r="O7293" i="1"/>
  <c r="E7293" i="1"/>
  <c r="B7293" i="1"/>
  <c r="O7292" i="1"/>
  <c r="E7292" i="1"/>
  <c r="B7292" i="1"/>
  <c r="O7291" i="1"/>
  <c r="E7291" i="1"/>
  <c r="B7291" i="1"/>
  <c r="O7290" i="1"/>
  <c r="E7290" i="1"/>
  <c r="B7290" i="1"/>
  <c r="O7289" i="1"/>
  <c r="E7289" i="1"/>
  <c r="B7289" i="1"/>
  <c r="O7288" i="1"/>
  <c r="E7288" i="1"/>
  <c r="B7288" i="1"/>
  <c r="O7287" i="1"/>
  <c r="E7287" i="1"/>
  <c r="B7287" i="1"/>
  <c r="O7286" i="1"/>
  <c r="E7286" i="1"/>
  <c r="B7286" i="1"/>
  <c r="O7285" i="1"/>
  <c r="E7285" i="1"/>
  <c r="B7285" i="1"/>
  <c r="O7284" i="1"/>
  <c r="E7284" i="1"/>
  <c r="B7284" i="1"/>
  <c r="O7283" i="1"/>
  <c r="E7283" i="1"/>
  <c r="B7283" i="1"/>
  <c r="O7282" i="1"/>
  <c r="E7282" i="1"/>
  <c r="B7282" i="1"/>
  <c r="O7281" i="1"/>
  <c r="E7281" i="1"/>
  <c r="B7281" i="1"/>
  <c r="O7280" i="1"/>
  <c r="E7280" i="1"/>
  <c r="B7280" i="1"/>
  <c r="O7279" i="1"/>
  <c r="E7279" i="1"/>
  <c r="B7279" i="1"/>
  <c r="O7278" i="1"/>
  <c r="E7278" i="1"/>
  <c r="B7278" i="1"/>
  <c r="O7277" i="1"/>
  <c r="E7277" i="1"/>
  <c r="B7277" i="1"/>
  <c r="O7276" i="1"/>
  <c r="E7276" i="1"/>
  <c r="B7276" i="1"/>
  <c r="O7275" i="1"/>
  <c r="E7275" i="1"/>
  <c r="B7275" i="1"/>
  <c r="O7274" i="1"/>
  <c r="E7274" i="1"/>
  <c r="B7274" i="1"/>
  <c r="O7273" i="1"/>
  <c r="E7273" i="1"/>
  <c r="B7273" i="1"/>
  <c r="O7272" i="1"/>
  <c r="E7272" i="1"/>
  <c r="B7272" i="1"/>
  <c r="O7271" i="1"/>
  <c r="E7271" i="1"/>
  <c r="B7271" i="1"/>
  <c r="O7270" i="1"/>
  <c r="E7270" i="1"/>
  <c r="B7270" i="1"/>
  <c r="O7269" i="1"/>
  <c r="E7269" i="1"/>
  <c r="B7269" i="1"/>
  <c r="O7268" i="1"/>
  <c r="E7268" i="1"/>
  <c r="B7268" i="1"/>
  <c r="O7267" i="1"/>
  <c r="E7267" i="1"/>
  <c r="B7267" i="1"/>
  <c r="O7266" i="1"/>
  <c r="E7266" i="1"/>
  <c r="B7266" i="1"/>
  <c r="O7265" i="1"/>
  <c r="E7265" i="1"/>
  <c r="B7265" i="1"/>
  <c r="O7264" i="1"/>
  <c r="E7264" i="1"/>
  <c r="B7264" i="1"/>
  <c r="O7263" i="1"/>
  <c r="E7263" i="1"/>
  <c r="B7263" i="1"/>
  <c r="O7262" i="1"/>
  <c r="E7262" i="1"/>
  <c r="B7262" i="1"/>
  <c r="O7261" i="1"/>
  <c r="E7261" i="1"/>
  <c r="B7261" i="1"/>
  <c r="O7260" i="1"/>
  <c r="E7260" i="1"/>
  <c r="B7260" i="1"/>
  <c r="O7259" i="1"/>
  <c r="E7259" i="1"/>
  <c r="B7259" i="1"/>
  <c r="O7258" i="1"/>
  <c r="E7258" i="1"/>
  <c r="B7258" i="1"/>
  <c r="O7257" i="1"/>
  <c r="E7257" i="1"/>
  <c r="B7257" i="1"/>
  <c r="O7256" i="1"/>
  <c r="E7256" i="1"/>
  <c r="B7256" i="1"/>
  <c r="O7255" i="1"/>
  <c r="E7255" i="1"/>
  <c r="B7255" i="1"/>
  <c r="O7254" i="1"/>
  <c r="E7254" i="1"/>
  <c r="B7254" i="1"/>
  <c r="O7253" i="1"/>
  <c r="E7253" i="1"/>
  <c r="B7253" i="1"/>
  <c r="O7252" i="1"/>
  <c r="E7252" i="1"/>
  <c r="B7252" i="1"/>
  <c r="O7251" i="1"/>
  <c r="E7251" i="1"/>
  <c r="B7251" i="1"/>
  <c r="O7250" i="1"/>
  <c r="E7250" i="1"/>
  <c r="B7250" i="1"/>
  <c r="O7249" i="1"/>
  <c r="E7249" i="1"/>
  <c r="B7249" i="1"/>
  <c r="O7248" i="1"/>
  <c r="E7248" i="1"/>
  <c r="B7248" i="1"/>
  <c r="O7247" i="1"/>
  <c r="E7247" i="1"/>
  <c r="B7247" i="1"/>
  <c r="O7246" i="1"/>
  <c r="E7246" i="1"/>
  <c r="B7246" i="1"/>
  <c r="O7245" i="1"/>
  <c r="E7245" i="1"/>
  <c r="B7245" i="1"/>
  <c r="O7244" i="1"/>
  <c r="E7244" i="1"/>
  <c r="B7244" i="1"/>
  <c r="O7243" i="1"/>
  <c r="E7243" i="1"/>
  <c r="B7243" i="1"/>
  <c r="O7242" i="1"/>
  <c r="E7242" i="1"/>
  <c r="B7242" i="1"/>
  <c r="O7241" i="1"/>
  <c r="E7241" i="1"/>
  <c r="B7241" i="1"/>
  <c r="O7240" i="1"/>
  <c r="E7240" i="1"/>
  <c r="B7240" i="1"/>
  <c r="O7239" i="1"/>
  <c r="E7239" i="1"/>
  <c r="B7239" i="1"/>
  <c r="O7238" i="1"/>
  <c r="E7238" i="1"/>
  <c r="B7238" i="1"/>
  <c r="O7237" i="1"/>
  <c r="E7237" i="1"/>
  <c r="B7237" i="1"/>
  <c r="O7236" i="1"/>
  <c r="E7236" i="1"/>
  <c r="B7236" i="1"/>
  <c r="O7235" i="1"/>
  <c r="E7235" i="1"/>
  <c r="B7235" i="1"/>
  <c r="O7234" i="1"/>
  <c r="E7234" i="1"/>
  <c r="B7234" i="1"/>
  <c r="O7233" i="1"/>
  <c r="E7233" i="1"/>
  <c r="B7233" i="1"/>
  <c r="O7232" i="1"/>
  <c r="E7232" i="1"/>
  <c r="B7232" i="1"/>
  <c r="O7231" i="1"/>
  <c r="E7231" i="1"/>
  <c r="B7231" i="1"/>
  <c r="O7230" i="1"/>
  <c r="E7230" i="1"/>
  <c r="B7230" i="1"/>
  <c r="O7229" i="1"/>
  <c r="E7229" i="1"/>
  <c r="B7229" i="1"/>
  <c r="O7228" i="1"/>
  <c r="E7228" i="1"/>
  <c r="B7228" i="1"/>
  <c r="O7227" i="1"/>
  <c r="E7227" i="1"/>
  <c r="B7227" i="1"/>
  <c r="O7226" i="1"/>
  <c r="E7226" i="1"/>
  <c r="B7226" i="1"/>
  <c r="O7225" i="1"/>
  <c r="E7225" i="1"/>
  <c r="B7225" i="1"/>
  <c r="O7224" i="1"/>
  <c r="E7224" i="1"/>
  <c r="B7224" i="1"/>
  <c r="O7223" i="1"/>
  <c r="E7223" i="1"/>
  <c r="B7223" i="1"/>
  <c r="O7222" i="1"/>
  <c r="E7222" i="1"/>
  <c r="B7222" i="1"/>
  <c r="O7221" i="1"/>
  <c r="E7221" i="1"/>
  <c r="B7221" i="1"/>
  <c r="O7220" i="1"/>
  <c r="E7220" i="1"/>
  <c r="B7220" i="1"/>
  <c r="O7219" i="1"/>
  <c r="E7219" i="1"/>
  <c r="B7219" i="1"/>
  <c r="O7218" i="1"/>
  <c r="E7218" i="1"/>
  <c r="B7218" i="1"/>
  <c r="O7217" i="1"/>
  <c r="E7217" i="1"/>
  <c r="B7217" i="1"/>
  <c r="O7216" i="1"/>
  <c r="E7216" i="1"/>
  <c r="B7216" i="1"/>
  <c r="O7215" i="1"/>
  <c r="E7215" i="1"/>
  <c r="B7215" i="1"/>
  <c r="O7214" i="1"/>
  <c r="E7214" i="1"/>
  <c r="B7214" i="1"/>
  <c r="O7213" i="1"/>
  <c r="E7213" i="1"/>
  <c r="B7213" i="1"/>
  <c r="O7212" i="1"/>
  <c r="E7212" i="1"/>
  <c r="B7212" i="1"/>
  <c r="O7211" i="1"/>
  <c r="E7211" i="1"/>
  <c r="B7211" i="1"/>
  <c r="O7210" i="1"/>
  <c r="E7210" i="1"/>
  <c r="B7210" i="1"/>
  <c r="O7209" i="1"/>
  <c r="E7209" i="1"/>
  <c r="B7209" i="1"/>
  <c r="O7208" i="1"/>
  <c r="E7208" i="1"/>
  <c r="B7208" i="1"/>
  <c r="O7207" i="1"/>
  <c r="E7207" i="1"/>
  <c r="B7207" i="1"/>
  <c r="O7206" i="1"/>
  <c r="E7206" i="1"/>
  <c r="B7206" i="1"/>
  <c r="O7205" i="1"/>
  <c r="E7205" i="1"/>
  <c r="B7205" i="1"/>
  <c r="P7204" i="1"/>
  <c r="O7204" i="1"/>
  <c r="E7204" i="1"/>
  <c r="B7204" i="1"/>
  <c r="O7203" i="1"/>
  <c r="E7203" i="1"/>
  <c r="B7203" i="1"/>
  <c r="O7202" i="1"/>
  <c r="E7202" i="1"/>
  <c r="B7202" i="1"/>
  <c r="O7201" i="1"/>
  <c r="E7201" i="1"/>
  <c r="B7201" i="1"/>
  <c r="O7200" i="1"/>
  <c r="E7200" i="1"/>
  <c r="B7200" i="1"/>
  <c r="O7199" i="1"/>
  <c r="E7199" i="1"/>
  <c r="B7199" i="1"/>
  <c r="O7198" i="1"/>
  <c r="E7198" i="1"/>
  <c r="B7198" i="1"/>
  <c r="O7197" i="1"/>
  <c r="E7197" i="1"/>
  <c r="B7197" i="1"/>
  <c r="O7196" i="1"/>
  <c r="E7196" i="1"/>
  <c r="B7196" i="1"/>
  <c r="O7195" i="1"/>
  <c r="E7195" i="1"/>
  <c r="B7195" i="1"/>
  <c r="O7194" i="1"/>
  <c r="E7194" i="1"/>
  <c r="B7194" i="1"/>
  <c r="O7193" i="1"/>
  <c r="E7193" i="1"/>
  <c r="B7193" i="1"/>
  <c r="O7192" i="1"/>
  <c r="E7192" i="1"/>
  <c r="B7192" i="1"/>
  <c r="O7191" i="1"/>
  <c r="E7191" i="1"/>
  <c r="B7191" i="1"/>
  <c r="O7190" i="1"/>
  <c r="E7190" i="1"/>
  <c r="B7190" i="1"/>
  <c r="O7189" i="1"/>
  <c r="E7189" i="1"/>
  <c r="B7189" i="1"/>
  <c r="O7188" i="1"/>
  <c r="E7188" i="1"/>
  <c r="B7188" i="1"/>
  <c r="O7187" i="1"/>
  <c r="E7187" i="1"/>
  <c r="B7187" i="1"/>
  <c r="O7186" i="1"/>
  <c r="E7186" i="1"/>
  <c r="B7186" i="1"/>
  <c r="O7185" i="1"/>
  <c r="E7185" i="1"/>
  <c r="B7185" i="1"/>
  <c r="O7184" i="1"/>
  <c r="E7184" i="1"/>
  <c r="B7184" i="1"/>
  <c r="O7183" i="1"/>
  <c r="E7183" i="1"/>
  <c r="B7183" i="1"/>
  <c r="O7182" i="1"/>
  <c r="E7182" i="1"/>
  <c r="B7182" i="1"/>
  <c r="O7181" i="1"/>
  <c r="E7181" i="1"/>
  <c r="B7181" i="1"/>
  <c r="O7180" i="1"/>
  <c r="E7180" i="1"/>
  <c r="B7180" i="1"/>
  <c r="O7179" i="1"/>
  <c r="E7179" i="1"/>
  <c r="B7179" i="1"/>
  <c r="O7178" i="1"/>
  <c r="E7178" i="1"/>
  <c r="B7178" i="1"/>
  <c r="O7177" i="1"/>
  <c r="E7177" i="1"/>
  <c r="B7177" i="1"/>
  <c r="O7176" i="1"/>
  <c r="E7176" i="1"/>
  <c r="B7176" i="1"/>
  <c r="O7175" i="1"/>
  <c r="E7175" i="1"/>
  <c r="B7175" i="1"/>
  <c r="O7174" i="1"/>
  <c r="E7174" i="1"/>
  <c r="B7174" i="1"/>
  <c r="O7173" i="1"/>
  <c r="E7173" i="1"/>
  <c r="B7173" i="1"/>
  <c r="O7172" i="1"/>
  <c r="E7172" i="1"/>
  <c r="B7172" i="1"/>
  <c r="O7171" i="1"/>
  <c r="E7171" i="1"/>
  <c r="B7171" i="1"/>
  <c r="O7170" i="1"/>
  <c r="E7170" i="1"/>
  <c r="B7170" i="1"/>
  <c r="O7169" i="1"/>
  <c r="E7169" i="1"/>
  <c r="B7169" i="1"/>
  <c r="O7168" i="1"/>
  <c r="E7168" i="1"/>
  <c r="B7168" i="1"/>
  <c r="O7167" i="1"/>
  <c r="E7167" i="1"/>
  <c r="B7167" i="1"/>
  <c r="O7166" i="1"/>
  <c r="E7166" i="1"/>
  <c r="B7166" i="1"/>
  <c r="O7165" i="1"/>
  <c r="E7165" i="1"/>
  <c r="B7165" i="1"/>
  <c r="O7164" i="1"/>
  <c r="E7164" i="1"/>
  <c r="B7164" i="1"/>
  <c r="O7163" i="1"/>
  <c r="E7163" i="1"/>
  <c r="B7163" i="1"/>
  <c r="O7162" i="1"/>
  <c r="E7162" i="1"/>
  <c r="B7162" i="1"/>
  <c r="O7161" i="1"/>
  <c r="E7161" i="1"/>
  <c r="B7161" i="1"/>
  <c r="O7160" i="1"/>
  <c r="E7160" i="1"/>
  <c r="B7160" i="1"/>
  <c r="O7159" i="1"/>
  <c r="E7159" i="1"/>
  <c r="B7159" i="1"/>
  <c r="O7158" i="1"/>
  <c r="E7158" i="1"/>
  <c r="B7158" i="1"/>
  <c r="O7157" i="1"/>
  <c r="E7157" i="1"/>
  <c r="B7157" i="1"/>
  <c r="O7156" i="1"/>
  <c r="E7156" i="1"/>
  <c r="B7156" i="1"/>
  <c r="O7155" i="1"/>
  <c r="E7155" i="1"/>
  <c r="B7155" i="1"/>
  <c r="O7154" i="1"/>
  <c r="E7154" i="1"/>
  <c r="B7154" i="1"/>
  <c r="O7153" i="1"/>
  <c r="E7153" i="1"/>
  <c r="B7153" i="1"/>
  <c r="O7152" i="1"/>
  <c r="E7152" i="1"/>
  <c r="B7152" i="1"/>
  <c r="O7151" i="1"/>
  <c r="E7151" i="1"/>
  <c r="B7151" i="1"/>
  <c r="O7150" i="1"/>
  <c r="E7150" i="1"/>
  <c r="B7150" i="1"/>
  <c r="O7149" i="1"/>
  <c r="E7149" i="1"/>
  <c r="B7149" i="1"/>
  <c r="O7148" i="1"/>
  <c r="E7148" i="1"/>
  <c r="B7148" i="1"/>
  <c r="O7147" i="1"/>
  <c r="E7147" i="1"/>
  <c r="B7147" i="1"/>
  <c r="O7146" i="1"/>
  <c r="E7146" i="1"/>
  <c r="B7146" i="1"/>
  <c r="O7145" i="1"/>
  <c r="E7145" i="1"/>
  <c r="B7145" i="1"/>
  <c r="O7144" i="1"/>
  <c r="E7144" i="1"/>
  <c r="B7144" i="1"/>
  <c r="O7143" i="1"/>
  <c r="E7143" i="1"/>
  <c r="B7143" i="1"/>
  <c r="O7142" i="1"/>
  <c r="E7142" i="1"/>
  <c r="B7142" i="1"/>
  <c r="O7141" i="1"/>
  <c r="E7141" i="1"/>
  <c r="B7141" i="1"/>
  <c r="O7140" i="1"/>
  <c r="E7140" i="1"/>
  <c r="B7140" i="1"/>
  <c r="O7139" i="1"/>
  <c r="E7139" i="1"/>
  <c r="B7139" i="1"/>
  <c r="O7138" i="1"/>
  <c r="E7138" i="1"/>
  <c r="B7138" i="1"/>
  <c r="O7137" i="1"/>
  <c r="E7137" i="1"/>
  <c r="B7137" i="1"/>
  <c r="O7136" i="1"/>
  <c r="E7136" i="1"/>
  <c r="B7136" i="1"/>
  <c r="O7135" i="1"/>
  <c r="E7135" i="1"/>
  <c r="B7135" i="1"/>
  <c r="O7134" i="1"/>
  <c r="E7134" i="1"/>
  <c r="B7134" i="1"/>
  <c r="O7133" i="1"/>
  <c r="E7133" i="1"/>
  <c r="B7133" i="1"/>
  <c r="O7132" i="1"/>
  <c r="E7132" i="1"/>
  <c r="B7132" i="1"/>
  <c r="O7131" i="1"/>
  <c r="E7131" i="1"/>
  <c r="B7131" i="1"/>
  <c r="O7130" i="1"/>
  <c r="E7130" i="1"/>
  <c r="B7130" i="1"/>
  <c r="O7129" i="1"/>
  <c r="E7129" i="1"/>
  <c r="B7129" i="1"/>
  <c r="O7128" i="1"/>
  <c r="E7128" i="1"/>
  <c r="B7128" i="1"/>
  <c r="O7127" i="1"/>
  <c r="E7127" i="1"/>
  <c r="B7127" i="1"/>
  <c r="O7126" i="1"/>
  <c r="E7126" i="1"/>
  <c r="B7126" i="1"/>
  <c r="O7125" i="1"/>
  <c r="E7125" i="1"/>
  <c r="B7125" i="1"/>
  <c r="O7124" i="1"/>
  <c r="E7124" i="1"/>
  <c r="B7124" i="1"/>
  <c r="O7123" i="1"/>
  <c r="E7123" i="1"/>
  <c r="B7123" i="1"/>
  <c r="O7122" i="1"/>
  <c r="E7122" i="1"/>
  <c r="B7122" i="1"/>
  <c r="O7121" i="1"/>
  <c r="E7121" i="1"/>
  <c r="B7121" i="1"/>
  <c r="O7120" i="1"/>
  <c r="E7120" i="1"/>
  <c r="B7120" i="1"/>
  <c r="O7119" i="1"/>
  <c r="E7119" i="1"/>
  <c r="B7119" i="1"/>
  <c r="O7118" i="1"/>
  <c r="E7118" i="1"/>
  <c r="B7118" i="1"/>
  <c r="O7117" i="1"/>
  <c r="E7117" i="1"/>
  <c r="B7117" i="1"/>
  <c r="O7116" i="1"/>
  <c r="E7116" i="1"/>
  <c r="B7116" i="1"/>
  <c r="O7115" i="1"/>
  <c r="E7115" i="1"/>
  <c r="B7115" i="1"/>
  <c r="O7114" i="1"/>
  <c r="E7114" i="1"/>
  <c r="B7114" i="1"/>
  <c r="O7113" i="1"/>
  <c r="E7113" i="1"/>
  <c r="B7113" i="1"/>
  <c r="O7112" i="1"/>
  <c r="E7112" i="1"/>
  <c r="B7112" i="1"/>
  <c r="O7111" i="1"/>
  <c r="E7111" i="1"/>
  <c r="B7111" i="1"/>
  <c r="O7110" i="1"/>
  <c r="E7110" i="1"/>
  <c r="B7110" i="1"/>
  <c r="O7109" i="1"/>
  <c r="E7109" i="1"/>
  <c r="B7109" i="1"/>
  <c r="O7108" i="1"/>
  <c r="E7108" i="1"/>
  <c r="B7108" i="1"/>
  <c r="O7107" i="1"/>
  <c r="E7107" i="1"/>
  <c r="B7107" i="1"/>
  <c r="O7106" i="1"/>
  <c r="E7106" i="1"/>
  <c r="B7106" i="1"/>
  <c r="O7105" i="1"/>
  <c r="E7105" i="1"/>
  <c r="B7105" i="1"/>
  <c r="O7104" i="1"/>
  <c r="E7104" i="1"/>
  <c r="B7104" i="1"/>
  <c r="O7103" i="1"/>
  <c r="E7103" i="1"/>
  <c r="B7103" i="1"/>
  <c r="O7102" i="1"/>
  <c r="E7102" i="1"/>
  <c r="B7102" i="1"/>
  <c r="O7101" i="1"/>
  <c r="E7101" i="1"/>
  <c r="B7101" i="1"/>
  <c r="O7100" i="1"/>
  <c r="E7100" i="1"/>
  <c r="B7100" i="1"/>
  <c r="O7099" i="1"/>
  <c r="E7099" i="1"/>
  <c r="B7099" i="1"/>
  <c r="O7098" i="1"/>
  <c r="E7098" i="1"/>
  <c r="B7098" i="1"/>
  <c r="O7097" i="1"/>
  <c r="E7097" i="1"/>
  <c r="B7097" i="1"/>
  <c r="O7096" i="1"/>
  <c r="E7096" i="1"/>
  <c r="B7096" i="1"/>
  <c r="O7095" i="1"/>
  <c r="E7095" i="1"/>
  <c r="B7095" i="1"/>
  <c r="O7094" i="1"/>
  <c r="E7094" i="1"/>
  <c r="B7094" i="1"/>
  <c r="O7093" i="1"/>
  <c r="E7093" i="1"/>
  <c r="B7093" i="1"/>
  <c r="O7092" i="1"/>
  <c r="E7092" i="1"/>
  <c r="B7092" i="1"/>
  <c r="O7091" i="1"/>
  <c r="E7091" i="1"/>
  <c r="B7091" i="1"/>
  <c r="O7090" i="1"/>
  <c r="E7090" i="1"/>
  <c r="B7090" i="1"/>
  <c r="O7089" i="1"/>
  <c r="E7089" i="1"/>
  <c r="B7089" i="1"/>
  <c r="O7088" i="1"/>
  <c r="E7088" i="1"/>
  <c r="B7088" i="1"/>
  <c r="O7087" i="1"/>
  <c r="E7087" i="1"/>
  <c r="B7087" i="1"/>
  <c r="O7086" i="1"/>
  <c r="E7086" i="1"/>
  <c r="B7086" i="1"/>
  <c r="O7085" i="1"/>
  <c r="E7085" i="1"/>
  <c r="B7085" i="1"/>
  <c r="O7084" i="1"/>
  <c r="E7084" i="1"/>
  <c r="B7084" i="1"/>
  <c r="O7083" i="1"/>
  <c r="E7083" i="1"/>
  <c r="B7083" i="1"/>
  <c r="O7082" i="1"/>
  <c r="E7082" i="1"/>
  <c r="B7082" i="1"/>
  <c r="O7081" i="1"/>
  <c r="E7081" i="1"/>
  <c r="B7081" i="1"/>
  <c r="O7080" i="1"/>
  <c r="E7080" i="1"/>
  <c r="B7080" i="1"/>
  <c r="O7079" i="1"/>
  <c r="E7079" i="1"/>
  <c r="B7079" i="1"/>
  <c r="O7078" i="1"/>
  <c r="E7078" i="1"/>
  <c r="B7078" i="1"/>
  <c r="O7077" i="1"/>
  <c r="E7077" i="1"/>
  <c r="B7077" i="1"/>
  <c r="O7076" i="1"/>
  <c r="E7076" i="1"/>
  <c r="B7076" i="1"/>
  <c r="O7075" i="1"/>
  <c r="E7075" i="1"/>
  <c r="B7075" i="1"/>
  <c r="O7074" i="1"/>
  <c r="E7074" i="1"/>
  <c r="B7074" i="1"/>
  <c r="O7073" i="1"/>
  <c r="E7073" i="1"/>
  <c r="B7073" i="1"/>
  <c r="O7072" i="1"/>
  <c r="E7072" i="1"/>
  <c r="B7072" i="1"/>
  <c r="O7071" i="1"/>
  <c r="E7071" i="1"/>
  <c r="B7071" i="1"/>
  <c r="O7070" i="1"/>
  <c r="E7070" i="1"/>
  <c r="B7070" i="1"/>
  <c r="O7069" i="1"/>
  <c r="E7069" i="1"/>
  <c r="B7069" i="1"/>
  <c r="O7068" i="1"/>
  <c r="E7068" i="1"/>
  <c r="B7068" i="1"/>
  <c r="O7067" i="1"/>
  <c r="E7067" i="1"/>
  <c r="B7067" i="1"/>
  <c r="O7066" i="1"/>
  <c r="E7066" i="1"/>
  <c r="B7066" i="1"/>
  <c r="O7065" i="1"/>
  <c r="E7065" i="1"/>
  <c r="B7065" i="1"/>
  <c r="O7064" i="1"/>
  <c r="E7064" i="1"/>
  <c r="B7064" i="1"/>
  <c r="O7063" i="1"/>
  <c r="E7063" i="1"/>
  <c r="B7063" i="1"/>
  <c r="O7062" i="1"/>
  <c r="E7062" i="1"/>
  <c r="B7062" i="1"/>
  <c r="O7061" i="1"/>
  <c r="E7061" i="1"/>
  <c r="B7061" i="1"/>
  <c r="O7060" i="1"/>
  <c r="E7060" i="1"/>
  <c r="B7060" i="1"/>
  <c r="O7059" i="1"/>
  <c r="E7059" i="1"/>
  <c r="B7059" i="1"/>
  <c r="O7058" i="1"/>
  <c r="E7058" i="1"/>
  <c r="B7058" i="1"/>
  <c r="O7057" i="1"/>
  <c r="E7057" i="1"/>
  <c r="B7057" i="1"/>
  <c r="O7056" i="1"/>
  <c r="E7056" i="1"/>
  <c r="B7056" i="1"/>
  <c r="O7055" i="1"/>
  <c r="E7055" i="1"/>
  <c r="B7055" i="1"/>
  <c r="O7054" i="1"/>
  <c r="E7054" i="1"/>
  <c r="B7054" i="1"/>
  <c r="O7053" i="1"/>
  <c r="E7053" i="1"/>
  <c r="B7053" i="1"/>
  <c r="O7052" i="1"/>
  <c r="E7052" i="1"/>
  <c r="B7052" i="1"/>
  <c r="O7051" i="1"/>
  <c r="E7051" i="1"/>
  <c r="B7051" i="1"/>
  <c r="O7050" i="1"/>
  <c r="E7050" i="1"/>
  <c r="B7050" i="1"/>
  <c r="O7049" i="1"/>
  <c r="E7049" i="1"/>
  <c r="B7049" i="1"/>
  <c r="O7048" i="1"/>
  <c r="E7048" i="1"/>
  <c r="B7048" i="1"/>
  <c r="O7047" i="1"/>
  <c r="E7047" i="1"/>
  <c r="B7047" i="1"/>
  <c r="O7046" i="1"/>
  <c r="E7046" i="1"/>
  <c r="B7046" i="1"/>
  <c r="O7045" i="1"/>
  <c r="E7045" i="1"/>
  <c r="B7045" i="1"/>
  <c r="O7044" i="1"/>
  <c r="E7044" i="1"/>
  <c r="B7044" i="1"/>
  <c r="O7043" i="1"/>
  <c r="E7043" i="1"/>
  <c r="B7043" i="1"/>
  <c r="O7042" i="1"/>
  <c r="E7042" i="1"/>
  <c r="B7042" i="1"/>
  <c r="O7041" i="1"/>
  <c r="E7041" i="1"/>
  <c r="B7041" i="1"/>
  <c r="O7040" i="1"/>
  <c r="E7040" i="1"/>
  <c r="B7040" i="1"/>
  <c r="O7039" i="1"/>
  <c r="E7039" i="1"/>
  <c r="B7039" i="1"/>
  <c r="O7038" i="1"/>
  <c r="E7038" i="1"/>
  <c r="B7038" i="1"/>
  <c r="O7037" i="1"/>
  <c r="E7037" i="1"/>
  <c r="B7037" i="1"/>
  <c r="O7036" i="1"/>
  <c r="E7036" i="1"/>
  <c r="B7036" i="1"/>
  <c r="O7035" i="1"/>
  <c r="E7035" i="1"/>
  <c r="B7035" i="1"/>
  <c r="O7034" i="1"/>
  <c r="E7034" i="1"/>
  <c r="B7034" i="1"/>
  <c r="O7033" i="1"/>
  <c r="E7033" i="1"/>
  <c r="B7033" i="1"/>
  <c r="O7032" i="1"/>
  <c r="E7032" i="1"/>
  <c r="B7032" i="1"/>
  <c r="O7031" i="1"/>
  <c r="E7031" i="1"/>
  <c r="B7031" i="1"/>
  <c r="O7030" i="1"/>
  <c r="E7030" i="1"/>
  <c r="B7030" i="1"/>
  <c r="O7029" i="1"/>
  <c r="E7029" i="1"/>
  <c r="B7029" i="1"/>
  <c r="O7028" i="1"/>
  <c r="E7028" i="1"/>
  <c r="B7028" i="1"/>
  <c r="O7027" i="1"/>
  <c r="E7027" i="1"/>
  <c r="B7027" i="1"/>
  <c r="O7026" i="1"/>
  <c r="E7026" i="1"/>
  <c r="B7026" i="1"/>
  <c r="O7025" i="1"/>
  <c r="E7025" i="1"/>
  <c r="B7025" i="1"/>
  <c r="O7024" i="1"/>
  <c r="E7024" i="1"/>
  <c r="B7024" i="1"/>
  <c r="O7023" i="1"/>
  <c r="E7023" i="1"/>
  <c r="B7023" i="1"/>
  <c r="O7022" i="1"/>
  <c r="E7022" i="1"/>
  <c r="B7022" i="1"/>
  <c r="O7021" i="1"/>
  <c r="E7021" i="1"/>
  <c r="B7021" i="1"/>
  <c r="O7020" i="1"/>
  <c r="E7020" i="1"/>
  <c r="B7020" i="1"/>
  <c r="O7019" i="1"/>
  <c r="E7019" i="1"/>
  <c r="B7019" i="1"/>
  <c r="O7018" i="1"/>
  <c r="E7018" i="1"/>
  <c r="B7018" i="1"/>
  <c r="O7017" i="1"/>
  <c r="E7017" i="1"/>
  <c r="B7017" i="1"/>
  <c r="O7016" i="1"/>
  <c r="E7016" i="1"/>
  <c r="B7016" i="1"/>
  <c r="O7015" i="1"/>
  <c r="E7015" i="1"/>
  <c r="B7015" i="1"/>
  <c r="O7014" i="1"/>
  <c r="E7014" i="1"/>
  <c r="B7014" i="1"/>
  <c r="O7013" i="1"/>
  <c r="E7013" i="1"/>
  <c r="B7013" i="1"/>
  <c r="O7012" i="1"/>
  <c r="E7012" i="1"/>
  <c r="B7012" i="1"/>
  <c r="O7011" i="1"/>
  <c r="E7011" i="1"/>
  <c r="B7011" i="1"/>
  <c r="O7010" i="1"/>
  <c r="E7010" i="1"/>
  <c r="B7010" i="1"/>
  <c r="O7009" i="1"/>
  <c r="E7009" i="1"/>
  <c r="B7009" i="1"/>
  <c r="O7008" i="1"/>
  <c r="E7008" i="1"/>
  <c r="B7008" i="1"/>
  <c r="O7007" i="1"/>
  <c r="E7007" i="1"/>
  <c r="B7007" i="1"/>
  <c r="P7006" i="1"/>
  <c r="O7006" i="1"/>
  <c r="E7006" i="1"/>
  <c r="B7006" i="1"/>
  <c r="O7005" i="1"/>
  <c r="E7005" i="1"/>
  <c r="B7005" i="1"/>
  <c r="O7004" i="1"/>
  <c r="E7004" i="1"/>
  <c r="B7004" i="1"/>
  <c r="O7003" i="1"/>
  <c r="E7003" i="1"/>
  <c r="B7003" i="1"/>
  <c r="O7002" i="1"/>
  <c r="E7002" i="1"/>
  <c r="B7002" i="1"/>
  <c r="O7001" i="1"/>
  <c r="E7001" i="1"/>
  <c r="B7001" i="1"/>
  <c r="O7000" i="1"/>
  <c r="E7000" i="1"/>
  <c r="B7000" i="1"/>
  <c r="O6999" i="1"/>
  <c r="E6999" i="1"/>
  <c r="B6999" i="1"/>
  <c r="O6998" i="1"/>
  <c r="E6998" i="1"/>
  <c r="B6998" i="1"/>
  <c r="O6997" i="1"/>
  <c r="E6997" i="1"/>
  <c r="B6997" i="1"/>
  <c r="O6996" i="1"/>
  <c r="E6996" i="1"/>
  <c r="B6996" i="1"/>
  <c r="O6995" i="1"/>
  <c r="E6995" i="1"/>
  <c r="B6995" i="1"/>
  <c r="O6994" i="1"/>
  <c r="E6994" i="1"/>
  <c r="B6994" i="1"/>
  <c r="O6993" i="1"/>
  <c r="E6993" i="1"/>
  <c r="B6993" i="1"/>
  <c r="O6992" i="1"/>
  <c r="E6992" i="1"/>
  <c r="B6992" i="1"/>
  <c r="O6991" i="1"/>
  <c r="E6991" i="1"/>
  <c r="B6991" i="1"/>
  <c r="O6990" i="1"/>
  <c r="E6990" i="1"/>
  <c r="B6990" i="1"/>
  <c r="O6989" i="1"/>
  <c r="E6989" i="1"/>
  <c r="B6989" i="1"/>
  <c r="O6988" i="1"/>
  <c r="E6988" i="1"/>
  <c r="B6988" i="1"/>
  <c r="O6987" i="1"/>
  <c r="E6987" i="1"/>
  <c r="B6987" i="1"/>
  <c r="O6986" i="1"/>
  <c r="E6986" i="1"/>
  <c r="B6986" i="1"/>
  <c r="O6985" i="1"/>
  <c r="E6985" i="1"/>
  <c r="B6985" i="1"/>
  <c r="O6984" i="1"/>
  <c r="E6984" i="1"/>
  <c r="B6984" i="1"/>
  <c r="O6983" i="1"/>
  <c r="E6983" i="1"/>
  <c r="B6983" i="1"/>
  <c r="O6982" i="1"/>
  <c r="E6982" i="1"/>
  <c r="B6982" i="1"/>
  <c r="O6981" i="1"/>
  <c r="E6981" i="1"/>
  <c r="B6981" i="1"/>
  <c r="O6980" i="1"/>
  <c r="E6980" i="1"/>
  <c r="B6980" i="1"/>
  <c r="O6979" i="1"/>
  <c r="E6979" i="1"/>
  <c r="B6979" i="1"/>
  <c r="O6978" i="1"/>
  <c r="E6978" i="1"/>
  <c r="B6978" i="1"/>
  <c r="O6977" i="1"/>
  <c r="E6977" i="1"/>
  <c r="B6977" i="1"/>
  <c r="O6976" i="1"/>
  <c r="E6976" i="1"/>
  <c r="B6976" i="1"/>
  <c r="O6975" i="1"/>
  <c r="E6975" i="1"/>
  <c r="B6975" i="1"/>
  <c r="O6974" i="1"/>
  <c r="E6974" i="1"/>
  <c r="B6974" i="1"/>
  <c r="O6973" i="1"/>
  <c r="E6973" i="1"/>
  <c r="B6973" i="1"/>
  <c r="O6972" i="1"/>
  <c r="E6972" i="1"/>
  <c r="B6972" i="1"/>
  <c r="O6971" i="1"/>
  <c r="E6971" i="1"/>
  <c r="B6971" i="1"/>
  <c r="O6970" i="1"/>
  <c r="E6970" i="1"/>
  <c r="B6970" i="1"/>
  <c r="O6969" i="1"/>
  <c r="E6969" i="1"/>
  <c r="B6969" i="1"/>
  <c r="O6968" i="1"/>
  <c r="E6968" i="1"/>
  <c r="B6968" i="1"/>
  <c r="O6967" i="1"/>
  <c r="E6967" i="1"/>
  <c r="B6967" i="1"/>
  <c r="O6966" i="1"/>
  <c r="E6966" i="1"/>
  <c r="B6966" i="1"/>
  <c r="O6965" i="1"/>
  <c r="E6965" i="1"/>
  <c r="B6965" i="1"/>
  <c r="O6964" i="1"/>
  <c r="E6964" i="1"/>
  <c r="B6964" i="1"/>
  <c r="O6963" i="1"/>
  <c r="E6963" i="1"/>
  <c r="B6963" i="1"/>
  <c r="O6962" i="1"/>
  <c r="E6962" i="1"/>
  <c r="B6962" i="1"/>
  <c r="O6961" i="1"/>
  <c r="E6961" i="1"/>
  <c r="B6961" i="1"/>
  <c r="O6960" i="1"/>
  <c r="E6960" i="1"/>
  <c r="B6960" i="1"/>
  <c r="O6959" i="1"/>
  <c r="E6959" i="1"/>
  <c r="B6959" i="1"/>
  <c r="O6958" i="1"/>
  <c r="E6958" i="1"/>
  <c r="B6958" i="1"/>
  <c r="O6957" i="1"/>
  <c r="E6957" i="1"/>
  <c r="B6957" i="1"/>
  <c r="O6956" i="1"/>
  <c r="E6956" i="1"/>
  <c r="B6956" i="1"/>
  <c r="O6955" i="1"/>
  <c r="E6955" i="1"/>
  <c r="B6955" i="1"/>
  <c r="O6954" i="1"/>
  <c r="E6954" i="1"/>
  <c r="B6954" i="1"/>
  <c r="O6953" i="1"/>
  <c r="E6953" i="1"/>
  <c r="B6953" i="1"/>
  <c r="O6952" i="1"/>
  <c r="E6952" i="1"/>
  <c r="B6952" i="1"/>
  <c r="O6951" i="1"/>
  <c r="E6951" i="1"/>
  <c r="B6951" i="1"/>
  <c r="O6950" i="1"/>
  <c r="E6950" i="1"/>
  <c r="B6950" i="1"/>
  <c r="O6949" i="1"/>
  <c r="E6949" i="1"/>
  <c r="B6949" i="1"/>
  <c r="O6948" i="1"/>
  <c r="E6948" i="1"/>
  <c r="B6948" i="1"/>
  <c r="O6947" i="1"/>
  <c r="E6947" i="1"/>
  <c r="B6947" i="1"/>
  <c r="O6946" i="1"/>
  <c r="E6946" i="1"/>
  <c r="B6946" i="1"/>
  <c r="O6945" i="1"/>
  <c r="E6945" i="1"/>
  <c r="B6945" i="1"/>
  <c r="O6944" i="1"/>
  <c r="E6944" i="1"/>
  <c r="B6944" i="1"/>
  <c r="O6943" i="1"/>
  <c r="E6943" i="1"/>
  <c r="B6943" i="1"/>
  <c r="O6942" i="1"/>
  <c r="E6942" i="1"/>
  <c r="B6942" i="1"/>
  <c r="O6941" i="1"/>
  <c r="E6941" i="1"/>
  <c r="B6941" i="1"/>
  <c r="O6940" i="1"/>
  <c r="E6940" i="1"/>
  <c r="B6940" i="1"/>
  <c r="O6939" i="1"/>
  <c r="E6939" i="1"/>
  <c r="B6939" i="1"/>
  <c r="O6938" i="1"/>
  <c r="E6938" i="1"/>
  <c r="B6938" i="1"/>
  <c r="O6937" i="1"/>
  <c r="E6937" i="1"/>
  <c r="B6937" i="1"/>
  <c r="O6936" i="1"/>
  <c r="E6936" i="1"/>
  <c r="B6936" i="1"/>
  <c r="O6935" i="1"/>
  <c r="E6935" i="1"/>
  <c r="B6935" i="1"/>
  <c r="O6934" i="1"/>
  <c r="E6934" i="1"/>
  <c r="B6934" i="1"/>
  <c r="O6933" i="1"/>
  <c r="E6933" i="1"/>
  <c r="B6933" i="1"/>
  <c r="O6932" i="1"/>
  <c r="E6932" i="1"/>
  <c r="B6932" i="1"/>
  <c r="O6931" i="1"/>
  <c r="E6931" i="1"/>
  <c r="B6931" i="1"/>
  <c r="O6930" i="1"/>
  <c r="E6930" i="1"/>
  <c r="B6930" i="1"/>
  <c r="O6929" i="1"/>
  <c r="E6929" i="1"/>
  <c r="B6929" i="1"/>
  <c r="O6928" i="1"/>
  <c r="E6928" i="1"/>
  <c r="B6928" i="1"/>
  <c r="O6927" i="1"/>
  <c r="E6927" i="1"/>
  <c r="B6927" i="1"/>
  <c r="O6926" i="1"/>
  <c r="E6926" i="1"/>
  <c r="B6926" i="1"/>
  <c r="O6925" i="1"/>
  <c r="E6925" i="1"/>
  <c r="B6925" i="1"/>
  <c r="O6924" i="1"/>
  <c r="E6924" i="1"/>
  <c r="B6924" i="1"/>
  <c r="O6923" i="1"/>
  <c r="E6923" i="1"/>
  <c r="B6923" i="1"/>
  <c r="O6922" i="1"/>
  <c r="E6922" i="1"/>
  <c r="B6922" i="1"/>
  <c r="O6921" i="1"/>
  <c r="E6921" i="1"/>
  <c r="B6921" i="1"/>
  <c r="O6920" i="1"/>
  <c r="E6920" i="1"/>
  <c r="B6920" i="1"/>
  <c r="O6919" i="1"/>
  <c r="E6919" i="1"/>
  <c r="B6919" i="1"/>
  <c r="O6918" i="1"/>
  <c r="E6918" i="1"/>
  <c r="B6918" i="1"/>
  <c r="O6917" i="1"/>
  <c r="E6917" i="1"/>
  <c r="B6917" i="1"/>
  <c r="O6916" i="1"/>
  <c r="E6916" i="1"/>
  <c r="B6916" i="1"/>
  <c r="O6915" i="1"/>
  <c r="E6915" i="1"/>
  <c r="B6915" i="1"/>
  <c r="O6914" i="1"/>
  <c r="E6914" i="1"/>
  <c r="B6914" i="1"/>
  <c r="O6913" i="1"/>
  <c r="E6913" i="1"/>
  <c r="B6913" i="1"/>
  <c r="O6912" i="1"/>
  <c r="E6912" i="1"/>
  <c r="B6912" i="1"/>
  <c r="O6911" i="1"/>
  <c r="E6911" i="1"/>
  <c r="B6911" i="1"/>
  <c r="O6910" i="1"/>
  <c r="E6910" i="1"/>
  <c r="B6910" i="1"/>
  <c r="O6909" i="1"/>
  <c r="E6909" i="1"/>
  <c r="B6909" i="1"/>
  <c r="O6908" i="1"/>
  <c r="E6908" i="1"/>
  <c r="B6908" i="1"/>
  <c r="O6907" i="1"/>
  <c r="E6907" i="1"/>
  <c r="B6907" i="1"/>
  <c r="O6906" i="1"/>
  <c r="E6906" i="1"/>
  <c r="B6906" i="1"/>
  <c r="O6905" i="1"/>
  <c r="E6905" i="1"/>
  <c r="B6905" i="1"/>
  <c r="O6904" i="1"/>
  <c r="E6904" i="1"/>
  <c r="B6904" i="1"/>
  <c r="O6903" i="1"/>
  <c r="E6903" i="1"/>
  <c r="B6903" i="1"/>
  <c r="O6902" i="1"/>
  <c r="E6902" i="1"/>
  <c r="B6902" i="1"/>
  <c r="O6901" i="1"/>
  <c r="E6901" i="1"/>
  <c r="B6901" i="1"/>
  <c r="O6900" i="1"/>
  <c r="E6900" i="1"/>
  <c r="B6900" i="1"/>
  <c r="O6899" i="1"/>
  <c r="E6899" i="1"/>
  <c r="B6899" i="1"/>
  <c r="O6898" i="1"/>
  <c r="E6898" i="1"/>
  <c r="B6898" i="1"/>
  <c r="O6897" i="1"/>
  <c r="E6897" i="1"/>
  <c r="B6897" i="1"/>
  <c r="O6896" i="1"/>
  <c r="E6896" i="1"/>
  <c r="B6896" i="1"/>
  <c r="O6895" i="1"/>
  <c r="E6895" i="1"/>
  <c r="B6895" i="1"/>
  <c r="O6894" i="1"/>
  <c r="E6894" i="1"/>
  <c r="B6894" i="1"/>
  <c r="O6893" i="1"/>
  <c r="E6893" i="1"/>
  <c r="B6893" i="1"/>
  <c r="O6892" i="1"/>
  <c r="E6892" i="1"/>
  <c r="B6892" i="1"/>
  <c r="O6891" i="1"/>
  <c r="E6891" i="1"/>
  <c r="B6891" i="1"/>
  <c r="O6890" i="1"/>
  <c r="E6890" i="1"/>
  <c r="B6890" i="1"/>
  <c r="O6889" i="1"/>
  <c r="E6889" i="1"/>
  <c r="B6889" i="1"/>
  <c r="O6888" i="1"/>
  <c r="E6888" i="1"/>
  <c r="B6888" i="1"/>
  <c r="O6887" i="1"/>
  <c r="E6887" i="1"/>
  <c r="B6887" i="1"/>
  <c r="O6886" i="1"/>
  <c r="E6886" i="1"/>
  <c r="B6886" i="1"/>
  <c r="O6885" i="1"/>
  <c r="E6885" i="1"/>
  <c r="B6885" i="1"/>
  <c r="O6884" i="1"/>
  <c r="E6884" i="1"/>
  <c r="B6884" i="1"/>
  <c r="O6883" i="1"/>
  <c r="E6883" i="1"/>
  <c r="B6883" i="1"/>
  <c r="O6882" i="1"/>
  <c r="E6882" i="1"/>
  <c r="B6882" i="1"/>
  <c r="O6881" i="1"/>
  <c r="E6881" i="1"/>
  <c r="B6881" i="1"/>
  <c r="O6880" i="1"/>
  <c r="E6880" i="1"/>
  <c r="B6880" i="1"/>
  <c r="O6879" i="1"/>
  <c r="E6879" i="1"/>
  <c r="B6879" i="1"/>
  <c r="O6878" i="1"/>
  <c r="E6878" i="1"/>
  <c r="B6878" i="1"/>
  <c r="O6877" i="1"/>
  <c r="E6877" i="1"/>
  <c r="B6877" i="1"/>
  <c r="O6876" i="1"/>
  <c r="E6876" i="1"/>
  <c r="B6876" i="1"/>
  <c r="O6875" i="1"/>
  <c r="E6875" i="1"/>
  <c r="B6875" i="1"/>
  <c r="O6874" i="1"/>
  <c r="E6874" i="1"/>
  <c r="B6874" i="1"/>
  <c r="O6873" i="1"/>
  <c r="E6873" i="1"/>
  <c r="B6873" i="1"/>
  <c r="O6872" i="1"/>
  <c r="E6872" i="1"/>
  <c r="B6872" i="1"/>
  <c r="O6871" i="1"/>
  <c r="E6871" i="1"/>
  <c r="B6871" i="1"/>
  <c r="O6870" i="1"/>
  <c r="E6870" i="1"/>
  <c r="B6870" i="1"/>
  <c r="O6869" i="1"/>
  <c r="E6869" i="1"/>
  <c r="B6869" i="1"/>
  <c r="O6868" i="1"/>
  <c r="E6868" i="1"/>
  <c r="B6868" i="1"/>
  <c r="O6867" i="1"/>
  <c r="E6867" i="1"/>
  <c r="B6867" i="1"/>
  <c r="O6866" i="1"/>
  <c r="E6866" i="1"/>
  <c r="B6866" i="1"/>
  <c r="O6865" i="1"/>
  <c r="E6865" i="1"/>
  <c r="B6865" i="1"/>
  <c r="O6864" i="1"/>
  <c r="E6864" i="1"/>
  <c r="B6864" i="1"/>
  <c r="O6863" i="1"/>
  <c r="E6863" i="1"/>
  <c r="B6863" i="1"/>
  <c r="O6862" i="1"/>
  <c r="E6862" i="1"/>
  <c r="B6862" i="1"/>
  <c r="O6861" i="1"/>
  <c r="E6861" i="1"/>
  <c r="B6861" i="1"/>
  <c r="O6860" i="1"/>
  <c r="E6860" i="1"/>
  <c r="B6860" i="1"/>
  <c r="O6859" i="1"/>
  <c r="E6859" i="1"/>
  <c r="B6859" i="1"/>
  <c r="O6858" i="1"/>
  <c r="E6858" i="1"/>
  <c r="B6858" i="1"/>
  <c r="O6857" i="1"/>
  <c r="E6857" i="1"/>
  <c r="B6857" i="1"/>
  <c r="O6856" i="1"/>
  <c r="E6856" i="1"/>
  <c r="B6856" i="1"/>
  <c r="O6855" i="1"/>
  <c r="E6855" i="1"/>
  <c r="B6855" i="1"/>
  <c r="O6854" i="1"/>
  <c r="E6854" i="1"/>
  <c r="B6854" i="1"/>
  <c r="O6853" i="1"/>
  <c r="E6853" i="1"/>
  <c r="B6853" i="1"/>
  <c r="O6852" i="1"/>
  <c r="E6852" i="1"/>
  <c r="B6852" i="1"/>
  <c r="O6851" i="1"/>
  <c r="E6851" i="1"/>
  <c r="B6851" i="1"/>
  <c r="O6850" i="1"/>
  <c r="E6850" i="1"/>
  <c r="B6850" i="1"/>
  <c r="O6849" i="1"/>
  <c r="E6849" i="1"/>
  <c r="B6849" i="1"/>
  <c r="O6848" i="1"/>
  <c r="E6848" i="1"/>
  <c r="B6848" i="1"/>
  <c r="O6847" i="1"/>
  <c r="E6847" i="1"/>
  <c r="B6847" i="1"/>
  <c r="O6846" i="1"/>
  <c r="E6846" i="1"/>
  <c r="B6846" i="1"/>
  <c r="O6845" i="1"/>
  <c r="E6845" i="1"/>
  <c r="B6845" i="1"/>
  <c r="O6844" i="1"/>
  <c r="E6844" i="1"/>
  <c r="B6844" i="1"/>
  <c r="O6843" i="1"/>
  <c r="E6843" i="1"/>
  <c r="B6843" i="1"/>
  <c r="O6842" i="1"/>
  <c r="E6842" i="1"/>
  <c r="B6842" i="1"/>
  <c r="O6841" i="1"/>
  <c r="E6841" i="1"/>
  <c r="B6841" i="1"/>
  <c r="O6840" i="1"/>
  <c r="E6840" i="1"/>
  <c r="B6840" i="1"/>
  <c r="O6839" i="1"/>
  <c r="E6839" i="1"/>
  <c r="B6839" i="1"/>
  <c r="O6838" i="1"/>
  <c r="E6838" i="1"/>
  <c r="B6838" i="1"/>
  <c r="O6837" i="1"/>
  <c r="E6837" i="1"/>
  <c r="B6837" i="1"/>
  <c r="O6836" i="1"/>
  <c r="E6836" i="1"/>
  <c r="B6836" i="1"/>
  <c r="O6835" i="1"/>
  <c r="E6835" i="1"/>
  <c r="B6835" i="1"/>
  <c r="O6834" i="1"/>
  <c r="E6834" i="1"/>
  <c r="B6834" i="1"/>
  <c r="O6833" i="1"/>
  <c r="E6833" i="1"/>
  <c r="B6833" i="1"/>
  <c r="O6832" i="1"/>
  <c r="E6832" i="1"/>
  <c r="B6832" i="1"/>
  <c r="O6831" i="1"/>
  <c r="E6831" i="1"/>
  <c r="B6831" i="1"/>
  <c r="O6830" i="1"/>
  <c r="E6830" i="1"/>
  <c r="B6830" i="1"/>
  <c r="O6829" i="1"/>
  <c r="E6829" i="1"/>
  <c r="B6829" i="1"/>
  <c r="O6828" i="1"/>
  <c r="E6828" i="1"/>
  <c r="B6828" i="1"/>
  <c r="O6827" i="1"/>
  <c r="E6827" i="1"/>
  <c r="B6827" i="1"/>
  <c r="O6826" i="1"/>
  <c r="E6826" i="1"/>
  <c r="B6826" i="1"/>
  <c r="O6825" i="1"/>
  <c r="E6825" i="1"/>
  <c r="B6825" i="1"/>
  <c r="O6824" i="1"/>
  <c r="E6824" i="1"/>
  <c r="B6824" i="1"/>
  <c r="O6823" i="1"/>
  <c r="E6823" i="1"/>
  <c r="B6823" i="1"/>
  <c r="O6822" i="1"/>
  <c r="E6822" i="1"/>
  <c r="B6822" i="1"/>
  <c r="O6821" i="1"/>
  <c r="E6821" i="1"/>
  <c r="B6821" i="1"/>
  <c r="O6820" i="1"/>
  <c r="E6820" i="1"/>
  <c r="B6820" i="1"/>
  <c r="O6819" i="1"/>
  <c r="E6819" i="1"/>
  <c r="B6819" i="1"/>
  <c r="O6818" i="1"/>
  <c r="E6818" i="1"/>
  <c r="B6818" i="1"/>
  <c r="O6817" i="1"/>
  <c r="E6817" i="1"/>
  <c r="B6817" i="1"/>
  <c r="O6816" i="1"/>
  <c r="E6816" i="1"/>
  <c r="B6816" i="1"/>
  <c r="O6815" i="1"/>
  <c r="E6815" i="1"/>
  <c r="B6815" i="1"/>
  <c r="O6814" i="1"/>
  <c r="E6814" i="1"/>
  <c r="B6814" i="1"/>
  <c r="O6813" i="1"/>
  <c r="E6813" i="1"/>
  <c r="B6813" i="1"/>
  <c r="O6812" i="1"/>
  <c r="E6812" i="1"/>
  <c r="B6812" i="1"/>
  <c r="O6811" i="1"/>
  <c r="E6811" i="1"/>
  <c r="B6811" i="1"/>
  <c r="O6810" i="1"/>
  <c r="E6810" i="1"/>
  <c r="B6810" i="1"/>
  <c r="O6809" i="1"/>
  <c r="E6809" i="1"/>
  <c r="B6809" i="1"/>
  <c r="O6808" i="1"/>
  <c r="E6808" i="1"/>
  <c r="B6808" i="1"/>
  <c r="O6807" i="1"/>
  <c r="E6807" i="1"/>
  <c r="B6807" i="1"/>
  <c r="O6806" i="1"/>
  <c r="E6806" i="1"/>
  <c r="B6806" i="1"/>
  <c r="O6805" i="1"/>
  <c r="E6805" i="1"/>
  <c r="B6805" i="1"/>
  <c r="O6804" i="1"/>
  <c r="E6804" i="1"/>
  <c r="B6804" i="1"/>
  <c r="O6803" i="1"/>
  <c r="E6803" i="1"/>
  <c r="B6803" i="1"/>
  <c r="O6802" i="1"/>
  <c r="E6802" i="1"/>
  <c r="B6802" i="1"/>
  <c r="O6801" i="1"/>
  <c r="E6801" i="1"/>
  <c r="B6801" i="1"/>
  <c r="O6800" i="1"/>
  <c r="E6800" i="1"/>
  <c r="B6800" i="1"/>
  <c r="O6799" i="1"/>
  <c r="E6799" i="1"/>
  <c r="B6799" i="1"/>
  <c r="O6798" i="1"/>
  <c r="E6798" i="1"/>
  <c r="B6798" i="1"/>
  <c r="O6797" i="1"/>
  <c r="E6797" i="1"/>
  <c r="B6797" i="1"/>
  <c r="O6796" i="1"/>
  <c r="E6796" i="1"/>
  <c r="B6796" i="1"/>
  <c r="O6795" i="1"/>
  <c r="E6795" i="1"/>
  <c r="B6795" i="1"/>
  <c r="O6794" i="1"/>
  <c r="E6794" i="1"/>
  <c r="B6794" i="1"/>
  <c r="O6793" i="1"/>
  <c r="E6793" i="1"/>
  <c r="B6793" i="1"/>
  <c r="O6792" i="1"/>
  <c r="E6792" i="1"/>
  <c r="B6792" i="1"/>
  <c r="O6791" i="1"/>
  <c r="E6791" i="1"/>
  <c r="B6791" i="1"/>
  <c r="O6790" i="1"/>
  <c r="E6790" i="1"/>
  <c r="B6790" i="1"/>
  <c r="O6789" i="1"/>
  <c r="E6789" i="1"/>
  <c r="B6789" i="1"/>
  <c r="O6788" i="1"/>
  <c r="E6788" i="1"/>
  <c r="B6788" i="1"/>
  <c r="O6787" i="1"/>
  <c r="E6787" i="1"/>
  <c r="B6787" i="1"/>
  <c r="O6786" i="1"/>
  <c r="E6786" i="1"/>
  <c r="B6786" i="1"/>
  <c r="O6785" i="1"/>
  <c r="E6785" i="1"/>
  <c r="B6785" i="1"/>
  <c r="O6784" i="1"/>
  <c r="E6784" i="1"/>
  <c r="B6784" i="1"/>
  <c r="O6783" i="1"/>
  <c r="E6783" i="1"/>
  <c r="B6783" i="1"/>
  <c r="O6782" i="1"/>
  <c r="E6782" i="1"/>
  <c r="B6782" i="1"/>
  <c r="O6781" i="1"/>
  <c r="E6781" i="1"/>
  <c r="B6781" i="1"/>
  <c r="O6780" i="1"/>
  <c r="E6780" i="1"/>
  <c r="B6780" i="1"/>
  <c r="O6779" i="1"/>
  <c r="E6779" i="1"/>
  <c r="B6779" i="1"/>
  <c r="O6778" i="1"/>
  <c r="E6778" i="1"/>
  <c r="B6778" i="1"/>
  <c r="O6777" i="1"/>
  <c r="E6777" i="1"/>
  <c r="B6777" i="1"/>
  <c r="O6776" i="1"/>
  <c r="E6776" i="1"/>
  <c r="B6776" i="1"/>
  <c r="P6775" i="1"/>
  <c r="O6775" i="1"/>
  <c r="E6775" i="1"/>
  <c r="B6775" i="1"/>
  <c r="O6774" i="1"/>
  <c r="E6774" i="1"/>
  <c r="B6774" i="1"/>
  <c r="O6773" i="1"/>
  <c r="E6773" i="1"/>
  <c r="B6773" i="1"/>
  <c r="O6772" i="1"/>
  <c r="E6772" i="1"/>
  <c r="B6772" i="1"/>
  <c r="O6771" i="1"/>
  <c r="E6771" i="1"/>
  <c r="B6771" i="1"/>
  <c r="O6770" i="1"/>
  <c r="E6770" i="1"/>
  <c r="B6770" i="1"/>
  <c r="O6769" i="1"/>
  <c r="E6769" i="1"/>
  <c r="B6769" i="1"/>
  <c r="O6768" i="1"/>
  <c r="E6768" i="1"/>
  <c r="B6768" i="1"/>
  <c r="P6767" i="1"/>
  <c r="O6767" i="1"/>
  <c r="E6767" i="1"/>
  <c r="B6767" i="1"/>
  <c r="O6766" i="1"/>
  <c r="E6766" i="1"/>
  <c r="B6766" i="1"/>
  <c r="O6765" i="1"/>
  <c r="E6765" i="1"/>
  <c r="B6765" i="1"/>
  <c r="O6764" i="1"/>
  <c r="E6764" i="1"/>
  <c r="B6764" i="1"/>
  <c r="O6763" i="1"/>
  <c r="E6763" i="1"/>
  <c r="B6763" i="1"/>
  <c r="O6762" i="1"/>
  <c r="E6762" i="1"/>
  <c r="B6762" i="1"/>
  <c r="O6761" i="1"/>
  <c r="E6761" i="1"/>
  <c r="B6761" i="1"/>
  <c r="O6760" i="1"/>
  <c r="E6760" i="1"/>
  <c r="B6760" i="1"/>
  <c r="O6759" i="1"/>
  <c r="E6759" i="1"/>
  <c r="B6759" i="1"/>
  <c r="O6758" i="1"/>
  <c r="E6758" i="1"/>
  <c r="B6758" i="1"/>
  <c r="O6757" i="1"/>
  <c r="E6757" i="1"/>
  <c r="B6757" i="1"/>
  <c r="O6756" i="1"/>
  <c r="E6756" i="1"/>
  <c r="B6756" i="1"/>
  <c r="O6755" i="1"/>
  <c r="E6755" i="1"/>
  <c r="B6755" i="1"/>
  <c r="O6754" i="1"/>
  <c r="E6754" i="1"/>
  <c r="B6754" i="1"/>
  <c r="O6753" i="1"/>
  <c r="E6753" i="1"/>
  <c r="B6753" i="1"/>
  <c r="O6752" i="1"/>
  <c r="E6752" i="1"/>
  <c r="B6752" i="1"/>
  <c r="O6751" i="1"/>
  <c r="E6751" i="1"/>
  <c r="B6751" i="1"/>
  <c r="O6750" i="1"/>
  <c r="E6750" i="1"/>
  <c r="B6750" i="1"/>
  <c r="O6749" i="1"/>
  <c r="E6749" i="1"/>
  <c r="B6749" i="1"/>
  <c r="O6748" i="1"/>
  <c r="E6748" i="1"/>
  <c r="B6748" i="1"/>
  <c r="O6747" i="1"/>
  <c r="E6747" i="1"/>
  <c r="B6747" i="1"/>
  <c r="O6746" i="1"/>
  <c r="E6746" i="1"/>
  <c r="B6746" i="1"/>
  <c r="O6745" i="1"/>
  <c r="E6745" i="1"/>
  <c r="B6745" i="1"/>
  <c r="O6744" i="1"/>
  <c r="E6744" i="1"/>
  <c r="B6744" i="1"/>
  <c r="O6743" i="1"/>
  <c r="E6743" i="1"/>
  <c r="B6743" i="1"/>
  <c r="O6742" i="1"/>
  <c r="E6742" i="1"/>
  <c r="B6742" i="1"/>
  <c r="O6741" i="1"/>
  <c r="E6741" i="1"/>
  <c r="B6741" i="1"/>
  <c r="O6740" i="1"/>
  <c r="E6740" i="1"/>
  <c r="B6740" i="1"/>
  <c r="O6739" i="1"/>
  <c r="E6739" i="1"/>
  <c r="B6739" i="1"/>
  <c r="O6738" i="1"/>
  <c r="E6738" i="1"/>
  <c r="B6738" i="1"/>
  <c r="O6737" i="1"/>
  <c r="E6737" i="1"/>
  <c r="B6737" i="1"/>
  <c r="O6736" i="1"/>
  <c r="E6736" i="1"/>
  <c r="B6736" i="1"/>
  <c r="P6735" i="1"/>
  <c r="O6735" i="1"/>
  <c r="E6735" i="1"/>
  <c r="B6735" i="1"/>
  <c r="O6734" i="1"/>
  <c r="E6734" i="1"/>
  <c r="B6734" i="1"/>
  <c r="O6733" i="1"/>
  <c r="E6733" i="1"/>
  <c r="B6733" i="1"/>
  <c r="O6732" i="1"/>
  <c r="E6732" i="1"/>
  <c r="B6732" i="1"/>
  <c r="O6731" i="1"/>
  <c r="E6731" i="1"/>
  <c r="B6731" i="1"/>
  <c r="O6730" i="1"/>
  <c r="E6730" i="1"/>
  <c r="B6730" i="1"/>
  <c r="O6729" i="1"/>
  <c r="E6729" i="1"/>
  <c r="B6729" i="1"/>
  <c r="O6728" i="1"/>
  <c r="E6728" i="1"/>
  <c r="B6728" i="1"/>
  <c r="O6727" i="1"/>
  <c r="E6727" i="1"/>
  <c r="B6727" i="1"/>
  <c r="O6726" i="1"/>
  <c r="E6726" i="1"/>
  <c r="B6726" i="1"/>
  <c r="O6725" i="1"/>
  <c r="E6725" i="1"/>
  <c r="B6725" i="1"/>
  <c r="O6724" i="1"/>
  <c r="E6724" i="1"/>
  <c r="B6724" i="1"/>
  <c r="P6723" i="1"/>
  <c r="O6723" i="1"/>
  <c r="E6723" i="1"/>
  <c r="B6723" i="1"/>
  <c r="O6722" i="1"/>
  <c r="E6722" i="1"/>
  <c r="B6722" i="1"/>
  <c r="O6721" i="1"/>
  <c r="E6721" i="1"/>
  <c r="B6721" i="1"/>
  <c r="O6720" i="1"/>
  <c r="E6720" i="1"/>
  <c r="B6720" i="1"/>
  <c r="O6719" i="1"/>
  <c r="E6719" i="1"/>
  <c r="B6719" i="1"/>
  <c r="O6718" i="1"/>
  <c r="E6718" i="1"/>
  <c r="B6718" i="1"/>
  <c r="O6717" i="1"/>
  <c r="E6717" i="1"/>
  <c r="B6717" i="1"/>
  <c r="O6716" i="1"/>
  <c r="E6716" i="1"/>
  <c r="B6716" i="1"/>
  <c r="O6715" i="1"/>
  <c r="E6715" i="1"/>
  <c r="B6715" i="1"/>
  <c r="O6714" i="1"/>
  <c r="E6714" i="1"/>
  <c r="B6714" i="1"/>
  <c r="O6713" i="1"/>
  <c r="E6713" i="1"/>
  <c r="B6713" i="1"/>
  <c r="O6712" i="1"/>
  <c r="E6712" i="1"/>
  <c r="B6712" i="1"/>
  <c r="O6711" i="1"/>
  <c r="E6711" i="1"/>
  <c r="B6711" i="1"/>
  <c r="O6710" i="1"/>
  <c r="E6710" i="1"/>
  <c r="B6710" i="1"/>
  <c r="O6709" i="1"/>
  <c r="E6709" i="1"/>
  <c r="B6709" i="1"/>
  <c r="O6708" i="1"/>
  <c r="E6708" i="1"/>
  <c r="B6708" i="1"/>
  <c r="O6707" i="1"/>
  <c r="E6707" i="1"/>
  <c r="B6707" i="1"/>
  <c r="O6706" i="1"/>
  <c r="E6706" i="1"/>
  <c r="B6706" i="1"/>
  <c r="O6705" i="1"/>
  <c r="E6705" i="1"/>
  <c r="B6705" i="1"/>
  <c r="O6704" i="1"/>
  <c r="E6704" i="1"/>
  <c r="B6704" i="1"/>
  <c r="O6703" i="1"/>
  <c r="E6703" i="1"/>
  <c r="B6703" i="1"/>
  <c r="O6702" i="1"/>
  <c r="E6702" i="1"/>
  <c r="B6702" i="1"/>
  <c r="P6701" i="1"/>
  <c r="O6701" i="1"/>
  <c r="E6701" i="1"/>
  <c r="B6701" i="1"/>
  <c r="O6700" i="1"/>
  <c r="E6700" i="1"/>
  <c r="B6700" i="1"/>
  <c r="O6699" i="1"/>
  <c r="E6699" i="1"/>
  <c r="B6699" i="1"/>
  <c r="O6698" i="1"/>
  <c r="E6698" i="1"/>
  <c r="B6698" i="1"/>
  <c r="O6697" i="1"/>
  <c r="E6697" i="1"/>
  <c r="B6697" i="1"/>
  <c r="O6696" i="1"/>
  <c r="E6696" i="1"/>
  <c r="B6696" i="1"/>
  <c r="O6695" i="1"/>
  <c r="E6695" i="1"/>
  <c r="B6695" i="1"/>
  <c r="O6694" i="1"/>
  <c r="E6694" i="1"/>
  <c r="B6694" i="1"/>
  <c r="O6693" i="1"/>
  <c r="E6693" i="1"/>
  <c r="B6693" i="1"/>
  <c r="O6692" i="1"/>
  <c r="E6692" i="1"/>
  <c r="B6692" i="1"/>
  <c r="O6691" i="1"/>
  <c r="E6691" i="1"/>
  <c r="B6691" i="1"/>
  <c r="O6690" i="1"/>
  <c r="E6690" i="1"/>
  <c r="B6690" i="1"/>
  <c r="O6689" i="1"/>
  <c r="E6689" i="1"/>
  <c r="B6689" i="1"/>
  <c r="O6688" i="1"/>
  <c r="E6688" i="1"/>
  <c r="B6688" i="1"/>
  <c r="O6687" i="1"/>
  <c r="E6687" i="1"/>
  <c r="B6687" i="1"/>
  <c r="O6686" i="1"/>
  <c r="E6686" i="1"/>
  <c r="B6686" i="1"/>
  <c r="O6685" i="1"/>
  <c r="E6685" i="1"/>
  <c r="B6685" i="1"/>
  <c r="O6684" i="1"/>
  <c r="E6684" i="1"/>
  <c r="B6684" i="1"/>
  <c r="P6683" i="1"/>
  <c r="O6683" i="1"/>
  <c r="E6683" i="1"/>
  <c r="B6683" i="1"/>
  <c r="O6682" i="1"/>
  <c r="E6682" i="1"/>
  <c r="B6682" i="1"/>
  <c r="O6681" i="1"/>
  <c r="E6681" i="1"/>
  <c r="B6681" i="1"/>
  <c r="O6680" i="1"/>
  <c r="E6680" i="1"/>
  <c r="B6680" i="1"/>
  <c r="O6679" i="1"/>
  <c r="E6679" i="1"/>
  <c r="B6679" i="1"/>
  <c r="O6678" i="1"/>
  <c r="E6678" i="1"/>
  <c r="B6678" i="1"/>
  <c r="O6677" i="1"/>
  <c r="E6677" i="1"/>
  <c r="B6677" i="1"/>
  <c r="O6676" i="1"/>
  <c r="E6676" i="1"/>
  <c r="B6676" i="1"/>
  <c r="O6675" i="1"/>
  <c r="E6675" i="1"/>
  <c r="B6675" i="1"/>
  <c r="O6674" i="1"/>
  <c r="E6674" i="1"/>
  <c r="B6674" i="1"/>
  <c r="O6673" i="1"/>
  <c r="E6673" i="1"/>
  <c r="B6673" i="1"/>
  <c r="O6672" i="1"/>
  <c r="E6672" i="1"/>
  <c r="B6672" i="1"/>
  <c r="O6671" i="1"/>
  <c r="E6671" i="1"/>
  <c r="B6671" i="1"/>
  <c r="O6670" i="1"/>
  <c r="E6670" i="1"/>
  <c r="B6670" i="1"/>
  <c r="O6669" i="1"/>
  <c r="E6669" i="1"/>
  <c r="B6669" i="1"/>
  <c r="O6668" i="1"/>
  <c r="E6668" i="1"/>
  <c r="B6668" i="1"/>
  <c r="O6667" i="1"/>
  <c r="E6667" i="1"/>
  <c r="B6667" i="1"/>
  <c r="O6666" i="1"/>
  <c r="E6666" i="1"/>
  <c r="B6666" i="1"/>
  <c r="O6665" i="1"/>
  <c r="E6665" i="1"/>
  <c r="B6665" i="1"/>
  <c r="O6664" i="1"/>
  <c r="E6664" i="1"/>
  <c r="B6664" i="1"/>
  <c r="P6663" i="1"/>
  <c r="O6663" i="1"/>
  <c r="E6663" i="1"/>
  <c r="B6663" i="1"/>
  <c r="O6662" i="1"/>
  <c r="E6662" i="1"/>
  <c r="B6662" i="1"/>
  <c r="O6661" i="1"/>
  <c r="E6661" i="1"/>
  <c r="B6661" i="1"/>
  <c r="O6660" i="1"/>
  <c r="E6660" i="1"/>
  <c r="B6660" i="1"/>
  <c r="O6659" i="1"/>
  <c r="E6659" i="1"/>
  <c r="B6659" i="1"/>
  <c r="O6658" i="1"/>
  <c r="E6658" i="1"/>
  <c r="B6658" i="1"/>
  <c r="O6657" i="1"/>
  <c r="E6657" i="1"/>
  <c r="B6657" i="1"/>
  <c r="O6656" i="1"/>
  <c r="E6656" i="1"/>
  <c r="B6656" i="1"/>
  <c r="O6655" i="1"/>
  <c r="E6655" i="1"/>
  <c r="B6655" i="1"/>
  <c r="O6654" i="1"/>
  <c r="E6654" i="1"/>
  <c r="B6654" i="1"/>
  <c r="O6653" i="1"/>
  <c r="E6653" i="1"/>
  <c r="B6653" i="1"/>
  <c r="O6652" i="1"/>
  <c r="E6652" i="1"/>
  <c r="B6652" i="1"/>
  <c r="O6651" i="1"/>
  <c r="E6651" i="1"/>
  <c r="B6651" i="1"/>
  <c r="O6650" i="1"/>
  <c r="E6650" i="1"/>
  <c r="B6650" i="1"/>
  <c r="O6649" i="1"/>
  <c r="E6649" i="1"/>
  <c r="B6649" i="1"/>
  <c r="O6648" i="1"/>
  <c r="E6648" i="1"/>
  <c r="B6648" i="1"/>
  <c r="O6647" i="1"/>
  <c r="E6647" i="1"/>
  <c r="B6647" i="1"/>
  <c r="O6646" i="1"/>
  <c r="E6646" i="1"/>
  <c r="B6646" i="1"/>
  <c r="O6645" i="1"/>
  <c r="E6645" i="1"/>
  <c r="B6645" i="1"/>
  <c r="O6644" i="1"/>
  <c r="E6644" i="1"/>
  <c r="B6644" i="1"/>
  <c r="O6643" i="1"/>
  <c r="E6643" i="1"/>
  <c r="B6643" i="1"/>
  <c r="O6642" i="1"/>
  <c r="E6642" i="1"/>
  <c r="B6642" i="1"/>
  <c r="O6641" i="1"/>
  <c r="E6641" i="1"/>
  <c r="B6641" i="1"/>
  <c r="O6640" i="1"/>
  <c r="E6640" i="1"/>
  <c r="B6640" i="1"/>
  <c r="O6639" i="1"/>
  <c r="E6639" i="1"/>
  <c r="B6639" i="1"/>
  <c r="P6638" i="1"/>
  <c r="O6638" i="1"/>
  <c r="E6638" i="1"/>
  <c r="B6638" i="1"/>
  <c r="O6637" i="1"/>
  <c r="E6637" i="1"/>
  <c r="B6637" i="1"/>
  <c r="O6636" i="1"/>
  <c r="E6636" i="1"/>
  <c r="B6636" i="1"/>
  <c r="O6635" i="1"/>
  <c r="E6635" i="1"/>
  <c r="B6635" i="1"/>
  <c r="O6634" i="1"/>
  <c r="E6634" i="1"/>
  <c r="B6634" i="1"/>
  <c r="P6633" i="1"/>
  <c r="O6633" i="1"/>
  <c r="E6633" i="1"/>
  <c r="B6633" i="1"/>
  <c r="O6632" i="1"/>
  <c r="E6632" i="1"/>
  <c r="B6632" i="1"/>
  <c r="O6631" i="1"/>
  <c r="E6631" i="1"/>
  <c r="B6631" i="1"/>
  <c r="O6630" i="1"/>
  <c r="E6630" i="1"/>
  <c r="B6630" i="1"/>
  <c r="O6629" i="1"/>
  <c r="E6629" i="1"/>
  <c r="B6629" i="1"/>
  <c r="O6628" i="1"/>
  <c r="E6628" i="1"/>
  <c r="B6628" i="1"/>
  <c r="O6627" i="1"/>
  <c r="E6627" i="1"/>
  <c r="B6627" i="1"/>
  <c r="O6626" i="1"/>
  <c r="E6626" i="1"/>
  <c r="B6626" i="1"/>
  <c r="O6625" i="1"/>
  <c r="E6625" i="1"/>
  <c r="B6625" i="1"/>
  <c r="O6624" i="1"/>
  <c r="E6624" i="1"/>
  <c r="B6624" i="1"/>
  <c r="O6623" i="1"/>
  <c r="E6623" i="1"/>
  <c r="B6623" i="1"/>
  <c r="O6622" i="1"/>
  <c r="E6622" i="1"/>
  <c r="B6622" i="1"/>
  <c r="O6621" i="1"/>
  <c r="E6621" i="1"/>
  <c r="B6621" i="1"/>
  <c r="O6620" i="1"/>
  <c r="E6620" i="1"/>
  <c r="B6620" i="1"/>
  <c r="O6619" i="1"/>
  <c r="E6619" i="1"/>
  <c r="B6619" i="1"/>
  <c r="O6618" i="1"/>
  <c r="E6618" i="1"/>
  <c r="B6618" i="1"/>
  <c r="O6617" i="1"/>
  <c r="E6617" i="1"/>
  <c r="B6617" i="1"/>
  <c r="O6616" i="1"/>
  <c r="E6616" i="1"/>
  <c r="B6616" i="1"/>
  <c r="O6615" i="1"/>
  <c r="E6615" i="1"/>
  <c r="B6615" i="1"/>
  <c r="O6614" i="1"/>
  <c r="E6614" i="1"/>
  <c r="B6614" i="1"/>
  <c r="O6613" i="1"/>
  <c r="E6613" i="1"/>
  <c r="B6613" i="1"/>
  <c r="O6612" i="1"/>
  <c r="E6612" i="1"/>
  <c r="B6612" i="1"/>
  <c r="O6611" i="1"/>
  <c r="E6611" i="1"/>
  <c r="B6611" i="1"/>
  <c r="O6610" i="1"/>
  <c r="E6610" i="1"/>
  <c r="B6610" i="1"/>
  <c r="O6609" i="1"/>
  <c r="E6609" i="1"/>
  <c r="B6609" i="1"/>
  <c r="O6608" i="1"/>
  <c r="E6608" i="1"/>
  <c r="B6608" i="1"/>
  <c r="O6607" i="1"/>
  <c r="E6607" i="1"/>
  <c r="B6607" i="1"/>
  <c r="O6606" i="1"/>
  <c r="E6606" i="1"/>
  <c r="B6606" i="1"/>
  <c r="O6605" i="1"/>
  <c r="E6605" i="1"/>
  <c r="B6605" i="1"/>
  <c r="O6604" i="1"/>
  <c r="E6604" i="1"/>
  <c r="B6604" i="1"/>
  <c r="O6603" i="1"/>
  <c r="E6603" i="1"/>
  <c r="B6603" i="1"/>
  <c r="O6602" i="1"/>
  <c r="E6602" i="1"/>
  <c r="B6602" i="1"/>
  <c r="O6601" i="1"/>
  <c r="E6601" i="1"/>
  <c r="B6601" i="1"/>
  <c r="O6600" i="1"/>
  <c r="E6600" i="1"/>
  <c r="B6600" i="1"/>
  <c r="O6599" i="1"/>
  <c r="E6599" i="1"/>
  <c r="B6599" i="1"/>
  <c r="O6598" i="1"/>
  <c r="E6598" i="1"/>
  <c r="B6598" i="1"/>
  <c r="O6597" i="1"/>
  <c r="E6597" i="1"/>
  <c r="B6597" i="1"/>
  <c r="O6596" i="1"/>
  <c r="E6596" i="1"/>
  <c r="B6596" i="1"/>
  <c r="O6595" i="1"/>
  <c r="E6595" i="1"/>
  <c r="B6595" i="1"/>
  <c r="O6594" i="1"/>
  <c r="E6594" i="1"/>
  <c r="B6594" i="1"/>
  <c r="O6593" i="1"/>
  <c r="E6593" i="1"/>
  <c r="B6593" i="1"/>
  <c r="O6592" i="1"/>
  <c r="E6592" i="1"/>
  <c r="B6592" i="1"/>
  <c r="O6591" i="1"/>
  <c r="E6591" i="1"/>
  <c r="B6591" i="1"/>
  <c r="O6590" i="1"/>
  <c r="E6590" i="1"/>
  <c r="B6590" i="1"/>
  <c r="O6589" i="1"/>
  <c r="E6589" i="1"/>
  <c r="B6589" i="1"/>
  <c r="O6588" i="1"/>
  <c r="E6588" i="1"/>
  <c r="B6588" i="1"/>
  <c r="O6587" i="1"/>
  <c r="E6587" i="1"/>
  <c r="B6587" i="1"/>
  <c r="O6586" i="1"/>
  <c r="E6586" i="1"/>
  <c r="B6586" i="1"/>
  <c r="O6585" i="1"/>
  <c r="E6585" i="1"/>
  <c r="B6585" i="1"/>
  <c r="O6584" i="1"/>
  <c r="E6584" i="1"/>
  <c r="B6584" i="1"/>
  <c r="O6583" i="1"/>
  <c r="E6583" i="1"/>
  <c r="B6583" i="1"/>
  <c r="O6582" i="1"/>
  <c r="E6582" i="1"/>
  <c r="B6582" i="1"/>
  <c r="O6581" i="1"/>
  <c r="E6581" i="1"/>
  <c r="B6581" i="1"/>
  <c r="O6580" i="1"/>
  <c r="E6580" i="1"/>
  <c r="B6580" i="1"/>
  <c r="O6579" i="1"/>
  <c r="E6579" i="1"/>
  <c r="B6579" i="1"/>
  <c r="O6578" i="1"/>
  <c r="E6578" i="1"/>
  <c r="B6578" i="1"/>
  <c r="O6577" i="1"/>
  <c r="E6577" i="1"/>
  <c r="B6577" i="1"/>
  <c r="O6576" i="1"/>
  <c r="E6576" i="1"/>
  <c r="B6576" i="1"/>
  <c r="O6575" i="1"/>
  <c r="E6575" i="1"/>
  <c r="B6575" i="1"/>
  <c r="O6574" i="1"/>
  <c r="E6574" i="1"/>
  <c r="B6574" i="1"/>
  <c r="O6573" i="1"/>
  <c r="E6573" i="1"/>
  <c r="B6573" i="1"/>
  <c r="O6572" i="1"/>
  <c r="E6572" i="1"/>
  <c r="B6572" i="1"/>
  <c r="O6571" i="1"/>
  <c r="E6571" i="1"/>
  <c r="B6571" i="1"/>
  <c r="O6570" i="1"/>
  <c r="E6570" i="1"/>
  <c r="B6570" i="1"/>
  <c r="O6569" i="1"/>
  <c r="E6569" i="1"/>
  <c r="B6569" i="1"/>
  <c r="O6568" i="1"/>
  <c r="E6568" i="1"/>
  <c r="B6568" i="1"/>
  <c r="O6567" i="1"/>
  <c r="E6567" i="1"/>
  <c r="B6567" i="1"/>
  <c r="O6566" i="1"/>
  <c r="E6566" i="1"/>
  <c r="B6566" i="1"/>
  <c r="P6565" i="1"/>
  <c r="O6565" i="1"/>
  <c r="E6565" i="1"/>
  <c r="B6565" i="1"/>
  <c r="O6564" i="1"/>
  <c r="E6564" i="1"/>
  <c r="B6564" i="1"/>
  <c r="O6563" i="1"/>
  <c r="E6563" i="1"/>
  <c r="B6563" i="1"/>
  <c r="O6562" i="1"/>
  <c r="E6562" i="1"/>
  <c r="B6562" i="1"/>
  <c r="O6561" i="1"/>
  <c r="E6561" i="1"/>
  <c r="B6561" i="1"/>
  <c r="O6560" i="1"/>
  <c r="E6560" i="1"/>
  <c r="B6560" i="1"/>
  <c r="O6559" i="1"/>
  <c r="E6559" i="1"/>
  <c r="B6559" i="1"/>
  <c r="O6558" i="1"/>
  <c r="E6558" i="1"/>
  <c r="B6558" i="1"/>
  <c r="O6557" i="1"/>
  <c r="E6557" i="1"/>
  <c r="B6557" i="1"/>
  <c r="O6556" i="1"/>
  <c r="E6556" i="1"/>
  <c r="B6556" i="1"/>
  <c r="O6555" i="1"/>
  <c r="E6555" i="1"/>
  <c r="B6555" i="1"/>
  <c r="O6554" i="1"/>
  <c r="E6554" i="1"/>
  <c r="B6554" i="1"/>
  <c r="O6553" i="1"/>
  <c r="E6553" i="1"/>
  <c r="B6553" i="1"/>
  <c r="O6552" i="1"/>
  <c r="E6552" i="1"/>
  <c r="B6552" i="1"/>
  <c r="O6551" i="1"/>
  <c r="E6551" i="1"/>
  <c r="B6551" i="1"/>
  <c r="O6550" i="1"/>
  <c r="E6550" i="1"/>
  <c r="B6550" i="1"/>
  <c r="O6549" i="1"/>
  <c r="E6549" i="1"/>
  <c r="B6549" i="1"/>
  <c r="O6548" i="1"/>
  <c r="E6548" i="1"/>
  <c r="B6548" i="1"/>
  <c r="O6547" i="1"/>
  <c r="E6547" i="1"/>
  <c r="B6547" i="1"/>
  <c r="O6546" i="1"/>
  <c r="E6546" i="1"/>
  <c r="B6546" i="1"/>
  <c r="O6545" i="1"/>
  <c r="E6545" i="1"/>
  <c r="B6545" i="1"/>
  <c r="O6544" i="1"/>
  <c r="E6544" i="1"/>
  <c r="B6544" i="1"/>
  <c r="O6543" i="1"/>
  <c r="E6543" i="1"/>
  <c r="B6543" i="1"/>
  <c r="O6542" i="1"/>
  <c r="E6542" i="1"/>
  <c r="B6542" i="1"/>
  <c r="O6541" i="1"/>
  <c r="E6541" i="1"/>
  <c r="B6541" i="1"/>
  <c r="O6540" i="1"/>
  <c r="E6540" i="1"/>
  <c r="B6540" i="1"/>
  <c r="O6539" i="1"/>
  <c r="E6539" i="1"/>
  <c r="B6539" i="1"/>
  <c r="O6538" i="1"/>
  <c r="E6538" i="1"/>
  <c r="B6538" i="1"/>
  <c r="O6537" i="1"/>
  <c r="E6537" i="1"/>
  <c r="B6537" i="1"/>
  <c r="O6536" i="1"/>
  <c r="E6536" i="1"/>
  <c r="B6536" i="1"/>
  <c r="O6535" i="1"/>
  <c r="E6535" i="1"/>
  <c r="B6535" i="1"/>
  <c r="O6534" i="1"/>
  <c r="E6534" i="1"/>
  <c r="B6534" i="1"/>
  <c r="O6533" i="1"/>
  <c r="E6533" i="1"/>
  <c r="B6533" i="1"/>
  <c r="O6532" i="1"/>
  <c r="E6532" i="1"/>
  <c r="B6532" i="1"/>
  <c r="O6531" i="1"/>
  <c r="E6531" i="1"/>
  <c r="B6531" i="1"/>
  <c r="O6530" i="1"/>
  <c r="E6530" i="1"/>
  <c r="B6530" i="1"/>
  <c r="O6529" i="1"/>
  <c r="E6529" i="1"/>
  <c r="B6529" i="1"/>
  <c r="O6528" i="1"/>
  <c r="E6528" i="1"/>
  <c r="B6528" i="1"/>
  <c r="O6527" i="1"/>
  <c r="E6527" i="1"/>
  <c r="B6527" i="1"/>
  <c r="O6526" i="1"/>
  <c r="E6526" i="1"/>
  <c r="B6526" i="1"/>
  <c r="O6525" i="1"/>
  <c r="E6525" i="1"/>
  <c r="B6525" i="1"/>
  <c r="O6524" i="1"/>
  <c r="E6524" i="1"/>
  <c r="B6524" i="1"/>
  <c r="O6523" i="1"/>
  <c r="E6523" i="1"/>
  <c r="B6523" i="1"/>
  <c r="O6522" i="1"/>
  <c r="E6522" i="1"/>
  <c r="B6522" i="1"/>
  <c r="O6521" i="1"/>
  <c r="E6521" i="1"/>
  <c r="B6521" i="1"/>
  <c r="O6520" i="1"/>
  <c r="E6520" i="1"/>
  <c r="B6520" i="1"/>
  <c r="O6519" i="1"/>
  <c r="E6519" i="1"/>
  <c r="B6519" i="1"/>
  <c r="O6518" i="1"/>
  <c r="E6518" i="1"/>
  <c r="B6518" i="1"/>
  <c r="O6517" i="1"/>
  <c r="E6517" i="1"/>
  <c r="B6517" i="1"/>
  <c r="O6516" i="1"/>
  <c r="E6516" i="1"/>
  <c r="B6516" i="1"/>
  <c r="O6515" i="1"/>
  <c r="E6515" i="1"/>
  <c r="B6515" i="1"/>
  <c r="O6514" i="1"/>
  <c r="E6514" i="1"/>
  <c r="B6514" i="1"/>
  <c r="O6513" i="1"/>
  <c r="E6513" i="1"/>
  <c r="B6513" i="1"/>
  <c r="O6512" i="1"/>
  <c r="E6512" i="1"/>
  <c r="B6512" i="1"/>
  <c r="O6511" i="1"/>
  <c r="E6511" i="1"/>
  <c r="B6511" i="1"/>
  <c r="O6510" i="1"/>
  <c r="E6510" i="1"/>
  <c r="B6510" i="1"/>
  <c r="O6509" i="1"/>
  <c r="E6509" i="1"/>
  <c r="B6509" i="1"/>
  <c r="O6508" i="1"/>
  <c r="E6508" i="1"/>
  <c r="B6508" i="1"/>
  <c r="O6507" i="1"/>
  <c r="E6507" i="1"/>
  <c r="B6507" i="1"/>
  <c r="O6506" i="1"/>
  <c r="E6506" i="1"/>
  <c r="B6506" i="1"/>
  <c r="P6505" i="1"/>
  <c r="O6505" i="1"/>
  <c r="E6505" i="1"/>
  <c r="B6505" i="1"/>
  <c r="O6504" i="1"/>
  <c r="E6504" i="1"/>
  <c r="B6504" i="1"/>
  <c r="O6503" i="1"/>
  <c r="E6503" i="1"/>
  <c r="B6503" i="1"/>
  <c r="O6502" i="1"/>
  <c r="E6502" i="1"/>
  <c r="B6502" i="1"/>
  <c r="O6501" i="1"/>
  <c r="E6501" i="1"/>
  <c r="B6501" i="1"/>
  <c r="O6500" i="1"/>
  <c r="E6500" i="1"/>
  <c r="B6500" i="1"/>
  <c r="O6499" i="1"/>
  <c r="E6499" i="1"/>
  <c r="B6499" i="1"/>
  <c r="O6498" i="1"/>
  <c r="E6498" i="1"/>
  <c r="B6498" i="1"/>
  <c r="O6497" i="1"/>
  <c r="E6497" i="1"/>
  <c r="B6497" i="1"/>
  <c r="P6496" i="1"/>
  <c r="O6496" i="1"/>
  <c r="E6496" i="1"/>
  <c r="B6496" i="1"/>
  <c r="O6495" i="1"/>
  <c r="E6495" i="1"/>
  <c r="B6495" i="1"/>
  <c r="O6494" i="1"/>
  <c r="E6494" i="1"/>
  <c r="B6494" i="1"/>
  <c r="O6493" i="1"/>
  <c r="E6493" i="1"/>
  <c r="B6493" i="1"/>
  <c r="O6492" i="1"/>
  <c r="E6492" i="1"/>
  <c r="B6492" i="1"/>
  <c r="O6491" i="1"/>
  <c r="E6491" i="1"/>
  <c r="B6491" i="1"/>
  <c r="O6490" i="1"/>
  <c r="E6490" i="1"/>
  <c r="B6490" i="1"/>
  <c r="O6489" i="1"/>
  <c r="E6489" i="1"/>
  <c r="B6489" i="1"/>
  <c r="O6488" i="1"/>
  <c r="E6488" i="1"/>
  <c r="B6488" i="1"/>
  <c r="O6487" i="1"/>
  <c r="E6487" i="1"/>
  <c r="B6487" i="1"/>
  <c r="O6486" i="1"/>
  <c r="E6486" i="1"/>
  <c r="B6486" i="1"/>
  <c r="O6485" i="1"/>
  <c r="E6485" i="1"/>
  <c r="B6485" i="1"/>
  <c r="O6484" i="1"/>
  <c r="E6484" i="1"/>
  <c r="B6484" i="1"/>
  <c r="P6483" i="1"/>
  <c r="O6483" i="1"/>
  <c r="E6483" i="1"/>
  <c r="B6483" i="1"/>
  <c r="O6482" i="1"/>
  <c r="E6482" i="1"/>
  <c r="B6482" i="1"/>
  <c r="O6481" i="1"/>
  <c r="E6481" i="1"/>
  <c r="B6481" i="1"/>
  <c r="O6480" i="1"/>
  <c r="E6480" i="1"/>
  <c r="B6480" i="1"/>
  <c r="O6479" i="1"/>
  <c r="E6479" i="1"/>
  <c r="B6479" i="1"/>
  <c r="O6478" i="1"/>
  <c r="E6478" i="1"/>
  <c r="B6478" i="1"/>
  <c r="O6477" i="1"/>
  <c r="E6477" i="1"/>
  <c r="B6477" i="1"/>
  <c r="O6476" i="1"/>
  <c r="E6476" i="1"/>
  <c r="B6476" i="1"/>
  <c r="P6475" i="1"/>
  <c r="O6475" i="1"/>
  <c r="E6475" i="1"/>
  <c r="B6475" i="1"/>
  <c r="O6474" i="1"/>
  <c r="E6474" i="1"/>
  <c r="B6474" i="1"/>
  <c r="O6473" i="1"/>
  <c r="E6473" i="1"/>
  <c r="B6473" i="1"/>
  <c r="O6472" i="1"/>
  <c r="E6472" i="1"/>
  <c r="B6472" i="1"/>
  <c r="O6471" i="1"/>
  <c r="E6471" i="1"/>
  <c r="B6471" i="1"/>
  <c r="O6470" i="1"/>
  <c r="E6470" i="1"/>
  <c r="B6470" i="1"/>
  <c r="O6469" i="1"/>
  <c r="E6469" i="1"/>
  <c r="B6469" i="1"/>
  <c r="O6468" i="1"/>
  <c r="E6468" i="1"/>
  <c r="B6468" i="1"/>
  <c r="O6467" i="1"/>
  <c r="E6467" i="1"/>
  <c r="B6467" i="1"/>
  <c r="O6466" i="1"/>
  <c r="E6466" i="1"/>
  <c r="B6466" i="1"/>
  <c r="O6465" i="1"/>
  <c r="E6465" i="1"/>
  <c r="B6465" i="1"/>
  <c r="O6464" i="1"/>
  <c r="E6464" i="1"/>
  <c r="B6464" i="1"/>
  <c r="O6463" i="1"/>
  <c r="E6463" i="1"/>
  <c r="B6463" i="1"/>
  <c r="O6462" i="1"/>
  <c r="E6462" i="1"/>
  <c r="B6462" i="1"/>
  <c r="O6461" i="1"/>
  <c r="E6461" i="1"/>
  <c r="B6461" i="1"/>
  <c r="O6460" i="1"/>
  <c r="E6460" i="1"/>
  <c r="B6460" i="1"/>
  <c r="O6459" i="1"/>
  <c r="E6459" i="1"/>
  <c r="B6459" i="1"/>
  <c r="O6458" i="1"/>
  <c r="E6458" i="1"/>
  <c r="B6458" i="1"/>
  <c r="O6457" i="1"/>
  <c r="E6457" i="1"/>
  <c r="B6457" i="1"/>
  <c r="O6456" i="1"/>
  <c r="E6456" i="1"/>
  <c r="B6456" i="1"/>
  <c r="O6455" i="1"/>
  <c r="E6455" i="1"/>
  <c r="B6455" i="1"/>
  <c r="O6454" i="1"/>
  <c r="E6454" i="1"/>
  <c r="B6454" i="1"/>
  <c r="O6453" i="1"/>
  <c r="E6453" i="1"/>
  <c r="B6453" i="1"/>
  <c r="O6452" i="1"/>
  <c r="E6452" i="1"/>
  <c r="B6452" i="1"/>
  <c r="O6451" i="1"/>
  <c r="E6451" i="1"/>
  <c r="B6451" i="1"/>
  <c r="O6450" i="1"/>
  <c r="E6450" i="1"/>
  <c r="B6450" i="1"/>
  <c r="O6449" i="1"/>
  <c r="E6449" i="1"/>
  <c r="B6449" i="1"/>
  <c r="O6448" i="1"/>
  <c r="E6448" i="1"/>
  <c r="B6448" i="1"/>
  <c r="O6447" i="1"/>
  <c r="E6447" i="1"/>
  <c r="B6447" i="1"/>
  <c r="O6446" i="1"/>
  <c r="E6446" i="1"/>
  <c r="B6446" i="1"/>
  <c r="O6445" i="1"/>
  <c r="E6445" i="1"/>
  <c r="B6445" i="1"/>
  <c r="O6444" i="1"/>
  <c r="E6444" i="1"/>
  <c r="B6444" i="1"/>
  <c r="O6443" i="1"/>
  <c r="E6443" i="1"/>
  <c r="B6443" i="1"/>
  <c r="O6442" i="1"/>
  <c r="E6442" i="1"/>
  <c r="B6442" i="1"/>
  <c r="O6441" i="1"/>
  <c r="E6441" i="1"/>
  <c r="B6441" i="1"/>
  <c r="O6440" i="1"/>
  <c r="E6440" i="1"/>
  <c r="B6440" i="1"/>
  <c r="O6439" i="1"/>
  <c r="E6439" i="1"/>
  <c r="B6439" i="1"/>
  <c r="O6438" i="1"/>
  <c r="E6438" i="1"/>
  <c r="B6438" i="1"/>
  <c r="O6437" i="1"/>
  <c r="E6437" i="1"/>
  <c r="B6437" i="1"/>
  <c r="O6436" i="1"/>
  <c r="E6436" i="1"/>
  <c r="B6436" i="1"/>
  <c r="O6435" i="1"/>
  <c r="E6435" i="1"/>
  <c r="B6435" i="1"/>
  <c r="O6434" i="1"/>
  <c r="E6434" i="1"/>
  <c r="B6434" i="1"/>
  <c r="O6433" i="1"/>
  <c r="E6433" i="1"/>
  <c r="B6433" i="1"/>
  <c r="O6432" i="1"/>
  <c r="E6432" i="1"/>
  <c r="B6432" i="1"/>
  <c r="O6431" i="1"/>
  <c r="E6431" i="1"/>
  <c r="B6431" i="1"/>
  <c r="O6430" i="1"/>
  <c r="E6430" i="1"/>
  <c r="B6430" i="1"/>
  <c r="O6429" i="1"/>
  <c r="E6429" i="1"/>
  <c r="B6429" i="1"/>
  <c r="O6428" i="1"/>
  <c r="E6428" i="1"/>
  <c r="B6428" i="1"/>
  <c r="O6427" i="1"/>
  <c r="E6427" i="1"/>
  <c r="B6427" i="1"/>
  <c r="O6426" i="1"/>
  <c r="E6426" i="1"/>
  <c r="B6426" i="1"/>
  <c r="O6425" i="1"/>
  <c r="E6425" i="1"/>
  <c r="B6425" i="1"/>
  <c r="O6424" i="1"/>
  <c r="E6424" i="1"/>
  <c r="B6424" i="1"/>
  <c r="O6423" i="1"/>
  <c r="E6423" i="1"/>
  <c r="B6423" i="1"/>
  <c r="O6422" i="1"/>
  <c r="E6422" i="1"/>
  <c r="B6422" i="1"/>
  <c r="O6421" i="1"/>
  <c r="E6421" i="1"/>
  <c r="B6421" i="1"/>
  <c r="O6420" i="1"/>
  <c r="E6420" i="1"/>
  <c r="B6420" i="1"/>
  <c r="O6419" i="1"/>
  <c r="E6419" i="1"/>
  <c r="B6419" i="1"/>
  <c r="O6418" i="1"/>
  <c r="E6418" i="1"/>
  <c r="B6418" i="1"/>
  <c r="O6417" i="1"/>
  <c r="E6417" i="1"/>
  <c r="B6417" i="1"/>
  <c r="O6416" i="1"/>
  <c r="E6416" i="1"/>
  <c r="B6416" i="1"/>
  <c r="O6415" i="1"/>
  <c r="E6415" i="1"/>
  <c r="B6415" i="1"/>
  <c r="O6414" i="1"/>
  <c r="E6414" i="1"/>
  <c r="B6414" i="1"/>
  <c r="O6413" i="1"/>
  <c r="E6413" i="1"/>
  <c r="B6413" i="1"/>
  <c r="O6412" i="1"/>
  <c r="E6412" i="1"/>
  <c r="B6412" i="1"/>
  <c r="O6411" i="1"/>
  <c r="E6411" i="1"/>
  <c r="B6411" i="1"/>
  <c r="O6410" i="1"/>
  <c r="E6410" i="1"/>
  <c r="B6410" i="1"/>
  <c r="O6409" i="1"/>
  <c r="E6409" i="1"/>
  <c r="B6409" i="1"/>
  <c r="O6408" i="1"/>
  <c r="E6408" i="1"/>
  <c r="B6408" i="1"/>
  <c r="O6407" i="1"/>
  <c r="E6407" i="1"/>
  <c r="B6407" i="1"/>
  <c r="O6406" i="1"/>
  <c r="E6406" i="1"/>
  <c r="B6406" i="1"/>
  <c r="O6405" i="1"/>
  <c r="E6405" i="1"/>
  <c r="B6405" i="1"/>
  <c r="O6404" i="1"/>
  <c r="E6404" i="1"/>
  <c r="B6404" i="1"/>
  <c r="O6403" i="1"/>
  <c r="E6403" i="1"/>
  <c r="B6403" i="1"/>
  <c r="O6402" i="1"/>
  <c r="E6402" i="1"/>
  <c r="B6402" i="1"/>
  <c r="O6401" i="1"/>
  <c r="E6401" i="1"/>
  <c r="B6401" i="1"/>
  <c r="O6400" i="1"/>
  <c r="E6400" i="1"/>
  <c r="B6400" i="1"/>
  <c r="O6399" i="1"/>
  <c r="E6399" i="1"/>
  <c r="B6399" i="1"/>
  <c r="O6398" i="1"/>
  <c r="E6398" i="1"/>
  <c r="B6398" i="1"/>
  <c r="P6397" i="1"/>
  <c r="O6397" i="1"/>
  <c r="E6397" i="1"/>
  <c r="B6397" i="1"/>
  <c r="O6396" i="1"/>
  <c r="E6396" i="1"/>
  <c r="B6396" i="1"/>
  <c r="O6395" i="1"/>
  <c r="E6395" i="1"/>
  <c r="B6395" i="1"/>
  <c r="O6394" i="1"/>
  <c r="E6394" i="1"/>
  <c r="B6394" i="1"/>
  <c r="O6393" i="1"/>
  <c r="E6393" i="1"/>
  <c r="B6393" i="1"/>
  <c r="O6392" i="1"/>
  <c r="E6392" i="1"/>
  <c r="B6392" i="1"/>
  <c r="O6391" i="1"/>
  <c r="E6391" i="1"/>
  <c r="B6391" i="1"/>
  <c r="O6390" i="1"/>
  <c r="E6390" i="1"/>
  <c r="B6390" i="1"/>
  <c r="O6389" i="1"/>
  <c r="E6389" i="1"/>
  <c r="B6389" i="1"/>
  <c r="O6388" i="1"/>
  <c r="E6388" i="1"/>
  <c r="B6388" i="1"/>
  <c r="O6387" i="1"/>
  <c r="E6387" i="1"/>
  <c r="B6387" i="1"/>
  <c r="O6386" i="1"/>
  <c r="E6386" i="1"/>
  <c r="B6386" i="1"/>
  <c r="O6385" i="1"/>
  <c r="E6385" i="1"/>
  <c r="B6385" i="1"/>
  <c r="O6384" i="1"/>
  <c r="E6384" i="1"/>
  <c r="B6384" i="1"/>
  <c r="O6383" i="1"/>
  <c r="E6383" i="1"/>
  <c r="B6383" i="1"/>
  <c r="O6382" i="1"/>
  <c r="E6382" i="1"/>
  <c r="B6382" i="1"/>
  <c r="O6381" i="1"/>
  <c r="E6381" i="1"/>
  <c r="B6381" i="1"/>
  <c r="O6380" i="1"/>
  <c r="E6380" i="1"/>
  <c r="B6380" i="1"/>
  <c r="O6379" i="1"/>
  <c r="E6379" i="1"/>
  <c r="B6379" i="1"/>
  <c r="O6378" i="1"/>
  <c r="E6378" i="1"/>
  <c r="B6378" i="1"/>
  <c r="O6377" i="1"/>
  <c r="E6377" i="1"/>
  <c r="B6377" i="1"/>
  <c r="O6376" i="1"/>
  <c r="E6376" i="1"/>
  <c r="B6376" i="1"/>
  <c r="O6375" i="1"/>
  <c r="E6375" i="1"/>
  <c r="B6375" i="1"/>
  <c r="O6374" i="1"/>
  <c r="E6374" i="1"/>
  <c r="B6374" i="1"/>
  <c r="O6373" i="1"/>
  <c r="E6373" i="1"/>
  <c r="B6373" i="1"/>
  <c r="O6372" i="1"/>
  <c r="E6372" i="1"/>
  <c r="B6372" i="1"/>
  <c r="O6371" i="1"/>
  <c r="E6371" i="1"/>
  <c r="B6371" i="1"/>
  <c r="O6370" i="1"/>
  <c r="E6370" i="1"/>
  <c r="B6370" i="1"/>
  <c r="O6369" i="1"/>
  <c r="E6369" i="1"/>
  <c r="B6369" i="1"/>
  <c r="O6368" i="1"/>
  <c r="E6368" i="1"/>
  <c r="B6368" i="1"/>
  <c r="O6367" i="1"/>
  <c r="E6367" i="1"/>
  <c r="B6367" i="1"/>
  <c r="O6366" i="1"/>
  <c r="E6366" i="1"/>
  <c r="B6366" i="1"/>
  <c r="O6365" i="1"/>
  <c r="E6365" i="1"/>
  <c r="B6365" i="1"/>
  <c r="O6364" i="1"/>
  <c r="E6364" i="1"/>
  <c r="B6364" i="1"/>
  <c r="O6363" i="1"/>
  <c r="E6363" i="1"/>
  <c r="B6363" i="1"/>
  <c r="O6362" i="1"/>
  <c r="E6362" i="1"/>
  <c r="B6362" i="1"/>
  <c r="O6361" i="1"/>
  <c r="E6361" i="1"/>
  <c r="B6361" i="1"/>
  <c r="O6360" i="1"/>
  <c r="E6360" i="1"/>
  <c r="B6360" i="1"/>
  <c r="O6359" i="1"/>
  <c r="E6359" i="1"/>
  <c r="B6359" i="1"/>
  <c r="O6358" i="1"/>
  <c r="E6358" i="1"/>
  <c r="B6358" i="1"/>
  <c r="O6357" i="1"/>
  <c r="E6357" i="1"/>
  <c r="B6357" i="1"/>
  <c r="O6356" i="1"/>
  <c r="E6356" i="1"/>
  <c r="B6356" i="1"/>
  <c r="O6355" i="1"/>
  <c r="E6355" i="1"/>
  <c r="B6355" i="1"/>
  <c r="P6354" i="1"/>
  <c r="O6354" i="1"/>
  <c r="E6354" i="1"/>
  <c r="B6354" i="1"/>
  <c r="O6353" i="1"/>
  <c r="E6353" i="1"/>
  <c r="B6353" i="1"/>
  <c r="O6352" i="1"/>
  <c r="E6352" i="1"/>
  <c r="B6352" i="1"/>
  <c r="O6351" i="1"/>
  <c r="E6351" i="1"/>
  <c r="B6351" i="1"/>
  <c r="O6350" i="1"/>
  <c r="E6350" i="1"/>
  <c r="B6350" i="1"/>
  <c r="O6349" i="1"/>
  <c r="E6349" i="1"/>
  <c r="B6349" i="1"/>
  <c r="O6348" i="1"/>
  <c r="E6348" i="1"/>
  <c r="B6348" i="1"/>
  <c r="O6347" i="1"/>
  <c r="E6347" i="1"/>
  <c r="B6347" i="1"/>
  <c r="O6346" i="1"/>
  <c r="E6346" i="1"/>
  <c r="B6346" i="1"/>
  <c r="O6345" i="1"/>
  <c r="E6345" i="1"/>
  <c r="B6345" i="1"/>
  <c r="O6344" i="1"/>
  <c r="E6344" i="1"/>
  <c r="B6344" i="1"/>
  <c r="O6343" i="1"/>
  <c r="E6343" i="1"/>
  <c r="B6343" i="1"/>
  <c r="O6342" i="1"/>
  <c r="E6342" i="1"/>
  <c r="B6342" i="1"/>
  <c r="O6341" i="1"/>
  <c r="E6341" i="1"/>
  <c r="B6341" i="1"/>
  <c r="O6340" i="1"/>
  <c r="E6340" i="1"/>
  <c r="B6340" i="1"/>
  <c r="O6339" i="1"/>
  <c r="E6339" i="1"/>
  <c r="B6339" i="1"/>
  <c r="O6338" i="1"/>
  <c r="E6338" i="1"/>
  <c r="B6338" i="1"/>
  <c r="O6337" i="1"/>
  <c r="E6337" i="1"/>
  <c r="B6337" i="1"/>
  <c r="O6336" i="1"/>
  <c r="E6336" i="1"/>
  <c r="B6336" i="1"/>
  <c r="O6335" i="1"/>
  <c r="E6335" i="1"/>
  <c r="B6335" i="1"/>
  <c r="O6334" i="1"/>
  <c r="E6334" i="1"/>
  <c r="B6334" i="1"/>
  <c r="O6333" i="1"/>
  <c r="E6333" i="1"/>
  <c r="B6333" i="1"/>
  <c r="O6332" i="1"/>
  <c r="E6332" i="1"/>
  <c r="B6332" i="1"/>
  <c r="O6331" i="1"/>
  <c r="E6331" i="1"/>
  <c r="B6331" i="1"/>
  <c r="O6330" i="1"/>
  <c r="E6330" i="1"/>
  <c r="B6330" i="1"/>
  <c r="O6329" i="1"/>
  <c r="E6329" i="1"/>
  <c r="B6329" i="1"/>
  <c r="O6328" i="1"/>
  <c r="E6328" i="1"/>
  <c r="B6328" i="1"/>
  <c r="O6327" i="1"/>
  <c r="E6327" i="1"/>
  <c r="B6327" i="1"/>
  <c r="O6326" i="1"/>
  <c r="E6326" i="1"/>
  <c r="B6326" i="1"/>
  <c r="O6325" i="1"/>
  <c r="E6325" i="1"/>
  <c r="B6325" i="1"/>
  <c r="O6324" i="1"/>
  <c r="E6324" i="1"/>
  <c r="B6324" i="1"/>
  <c r="O6323" i="1"/>
  <c r="E6323" i="1"/>
  <c r="B6323" i="1"/>
  <c r="O6322" i="1"/>
  <c r="E6322" i="1"/>
  <c r="B6322" i="1"/>
  <c r="O6321" i="1"/>
  <c r="E6321" i="1"/>
  <c r="B6321" i="1"/>
  <c r="O6320" i="1"/>
  <c r="E6320" i="1"/>
  <c r="B6320" i="1"/>
  <c r="O6319" i="1"/>
  <c r="E6319" i="1"/>
  <c r="B6319" i="1"/>
  <c r="O6318" i="1"/>
  <c r="E6318" i="1"/>
  <c r="B6318" i="1"/>
  <c r="O6317" i="1"/>
  <c r="E6317" i="1"/>
  <c r="B6317" i="1"/>
  <c r="O6316" i="1"/>
  <c r="E6316" i="1"/>
  <c r="B6316" i="1"/>
  <c r="O6315" i="1"/>
  <c r="E6315" i="1"/>
  <c r="B6315" i="1"/>
  <c r="O6314" i="1"/>
  <c r="E6314" i="1"/>
  <c r="B6314" i="1"/>
  <c r="O6313" i="1"/>
  <c r="E6313" i="1"/>
  <c r="B6313" i="1"/>
  <c r="O6312" i="1"/>
  <c r="E6312" i="1"/>
  <c r="B6312" i="1"/>
  <c r="O6311" i="1"/>
  <c r="E6311" i="1"/>
  <c r="B6311" i="1"/>
  <c r="O6310" i="1"/>
  <c r="E6310" i="1"/>
  <c r="B6310" i="1"/>
  <c r="O6309" i="1"/>
  <c r="E6309" i="1"/>
  <c r="B6309" i="1"/>
  <c r="O6308" i="1"/>
  <c r="E6308" i="1"/>
  <c r="B6308" i="1"/>
  <c r="O6307" i="1"/>
  <c r="E6307" i="1"/>
  <c r="B6307" i="1"/>
  <c r="P6306" i="1"/>
  <c r="O6306" i="1"/>
  <c r="E6306" i="1"/>
  <c r="B6306" i="1"/>
  <c r="O6305" i="1"/>
  <c r="E6305" i="1"/>
  <c r="B6305" i="1"/>
  <c r="O6304" i="1"/>
  <c r="E6304" i="1"/>
  <c r="B6304" i="1"/>
  <c r="O6303" i="1"/>
  <c r="E6303" i="1"/>
  <c r="B6303" i="1"/>
  <c r="O6302" i="1"/>
  <c r="E6302" i="1"/>
  <c r="B6302" i="1"/>
  <c r="P6301" i="1"/>
  <c r="O6301" i="1"/>
  <c r="E6301" i="1"/>
  <c r="B6301" i="1"/>
  <c r="O6300" i="1"/>
  <c r="E6300" i="1"/>
  <c r="B6300" i="1"/>
  <c r="O6299" i="1"/>
  <c r="E6299" i="1"/>
  <c r="B6299" i="1"/>
  <c r="O6298" i="1"/>
  <c r="E6298" i="1"/>
  <c r="B6298" i="1"/>
  <c r="O6297" i="1"/>
  <c r="E6297" i="1"/>
  <c r="B6297" i="1"/>
  <c r="O6296" i="1"/>
  <c r="E6296" i="1"/>
  <c r="B6296" i="1"/>
  <c r="O6295" i="1"/>
  <c r="E6295" i="1"/>
  <c r="B6295" i="1"/>
  <c r="O6294" i="1"/>
  <c r="E6294" i="1"/>
  <c r="B6294" i="1"/>
  <c r="O6293" i="1"/>
  <c r="E6293" i="1"/>
  <c r="B6293" i="1"/>
  <c r="O6292" i="1"/>
  <c r="E6292" i="1"/>
  <c r="B6292" i="1"/>
  <c r="P6291" i="1"/>
  <c r="O6291" i="1"/>
  <c r="E6291" i="1"/>
  <c r="B6291" i="1"/>
  <c r="O6290" i="1"/>
  <c r="E6290" i="1"/>
  <c r="B6290" i="1"/>
  <c r="O6289" i="1"/>
  <c r="E6289" i="1"/>
  <c r="B6289" i="1"/>
  <c r="O6288" i="1"/>
  <c r="E6288" i="1"/>
  <c r="B6288" i="1"/>
  <c r="O6287" i="1"/>
  <c r="E6287" i="1"/>
  <c r="B6287" i="1"/>
  <c r="O6286" i="1"/>
  <c r="E6286" i="1"/>
  <c r="B6286" i="1"/>
  <c r="O6285" i="1"/>
  <c r="E6285" i="1"/>
  <c r="B6285" i="1"/>
  <c r="O6284" i="1"/>
  <c r="E6284" i="1"/>
  <c r="B6284" i="1"/>
  <c r="O6283" i="1"/>
  <c r="E6283" i="1"/>
  <c r="B6283" i="1"/>
  <c r="O6282" i="1"/>
  <c r="E6282" i="1"/>
  <c r="B6282" i="1"/>
  <c r="O6281" i="1"/>
  <c r="E6281" i="1"/>
  <c r="B6281" i="1"/>
  <c r="O6280" i="1"/>
  <c r="E6280" i="1"/>
  <c r="B6280" i="1"/>
  <c r="O6279" i="1"/>
  <c r="E6279" i="1"/>
  <c r="B6279" i="1"/>
  <c r="O6278" i="1"/>
  <c r="E6278" i="1"/>
  <c r="B6278" i="1"/>
  <c r="O6277" i="1"/>
  <c r="E6277" i="1"/>
  <c r="B6277" i="1"/>
  <c r="O6276" i="1"/>
  <c r="E6276" i="1"/>
  <c r="B6276" i="1"/>
  <c r="O6275" i="1"/>
  <c r="E6275" i="1"/>
  <c r="B6275" i="1"/>
  <c r="O6274" i="1"/>
  <c r="E6274" i="1"/>
  <c r="B6274" i="1"/>
  <c r="O6273" i="1"/>
  <c r="E6273" i="1"/>
  <c r="B6273" i="1"/>
  <c r="O6272" i="1"/>
  <c r="E6272" i="1"/>
  <c r="B6272" i="1"/>
  <c r="O6271" i="1"/>
  <c r="E6271" i="1"/>
  <c r="B6271" i="1"/>
  <c r="O6270" i="1"/>
  <c r="E6270" i="1"/>
  <c r="B6270" i="1"/>
  <c r="O6269" i="1"/>
  <c r="E6269" i="1"/>
  <c r="B6269" i="1"/>
  <c r="O6268" i="1"/>
  <c r="E6268" i="1"/>
  <c r="B6268" i="1"/>
  <c r="O6267" i="1"/>
  <c r="E6267" i="1"/>
  <c r="B6267" i="1"/>
  <c r="O6266" i="1"/>
  <c r="E6266" i="1"/>
  <c r="B6266" i="1"/>
  <c r="O6265" i="1"/>
  <c r="E6265" i="1"/>
  <c r="B6265" i="1"/>
  <c r="O6264" i="1"/>
  <c r="E6264" i="1"/>
  <c r="B6264" i="1"/>
  <c r="O6263" i="1"/>
  <c r="E6263" i="1"/>
  <c r="B6263" i="1"/>
  <c r="O6262" i="1"/>
  <c r="E6262" i="1"/>
  <c r="B6262" i="1"/>
  <c r="O6261" i="1"/>
  <c r="E6261" i="1"/>
  <c r="B6261" i="1"/>
  <c r="O6260" i="1"/>
  <c r="E6260" i="1"/>
  <c r="B6260" i="1"/>
  <c r="O6259" i="1"/>
  <c r="E6259" i="1"/>
  <c r="B6259" i="1"/>
  <c r="O6258" i="1"/>
  <c r="E6258" i="1"/>
  <c r="B6258" i="1"/>
  <c r="O6257" i="1"/>
  <c r="E6257" i="1"/>
  <c r="B6257" i="1"/>
  <c r="O6256" i="1"/>
  <c r="E6256" i="1"/>
  <c r="B6256" i="1"/>
  <c r="O6255" i="1"/>
  <c r="E6255" i="1"/>
  <c r="B6255" i="1"/>
  <c r="O6254" i="1"/>
  <c r="E6254" i="1"/>
  <c r="B6254" i="1"/>
  <c r="O6253" i="1"/>
  <c r="E6253" i="1"/>
  <c r="B6253" i="1"/>
  <c r="O6252" i="1"/>
  <c r="E6252" i="1"/>
  <c r="B6252" i="1"/>
  <c r="O6251" i="1"/>
  <c r="E6251" i="1"/>
  <c r="B6251" i="1"/>
  <c r="O6250" i="1"/>
  <c r="E6250" i="1"/>
  <c r="B6250" i="1"/>
  <c r="O6249" i="1"/>
  <c r="E6249" i="1"/>
  <c r="B6249" i="1"/>
  <c r="O6248" i="1"/>
  <c r="E6248" i="1"/>
  <c r="B6248" i="1"/>
  <c r="O6247" i="1"/>
  <c r="E6247" i="1"/>
  <c r="B6247" i="1"/>
  <c r="O6246" i="1"/>
  <c r="E6246" i="1"/>
  <c r="B6246" i="1"/>
  <c r="O6245" i="1"/>
  <c r="E6245" i="1"/>
  <c r="B6245" i="1"/>
  <c r="O6244" i="1"/>
  <c r="E6244" i="1"/>
  <c r="B6244" i="1"/>
  <c r="O6243" i="1"/>
  <c r="E6243" i="1"/>
  <c r="B6243" i="1"/>
  <c r="O6242" i="1"/>
  <c r="E6242" i="1"/>
  <c r="B6242" i="1"/>
  <c r="O6241" i="1"/>
  <c r="E6241" i="1"/>
  <c r="B6241" i="1"/>
  <c r="O6240" i="1"/>
  <c r="E6240" i="1"/>
  <c r="B6240" i="1"/>
  <c r="O6239" i="1"/>
  <c r="E6239" i="1"/>
  <c r="B6239" i="1"/>
  <c r="O6238" i="1"/>
  <c r="E6238" i="1"/>
  <c r="B6238" i="1"/>
  <c r="O6237" i="1"/>
  <c r="E6237" i="1"/>
  <c r="B6237" i="1"/>
  <c r="O6236" i="1"/>
  <c r="E6236" i="1"/>
  <c r="B6236" i="1"/>
  <c r="O6235" i="1"/>
  <c r="E6235" i="1"/>
  <c r="B6235" i="1"/>
  <c r="O6234" i="1"/>
  <c r="E6234" i="1"/>
  <c r="B6234" i="1"/>
  <c r="O6233" i="1"/>
  <c r="E6233" i="1"/>
  <c r="B6233" i="1"/>
  <c r="O6232" i="1"/>
  <c r="E6232" i="1"/>
  <c r="B6232" i="1"/>
  <c r="O6231" i="1"/>
  <c r="E6231" i="1"/>
  <c r="B6231" i="1"/>
  <c r="O6230" i="1"/>
  <c r="E6230" i="1"/>
  <c r="B6230" i="1"/>
  <c r="O6229" i="1"/>
  <c r="E6229" i="1"/>
  <c r="B6229" i="1"/>
  <c r="O6228" i="1"/>
  <c r="E6228" i="1"/>
  <c r="B6228" i="1"/>
  <c r="O6227" i="1"/>
  <c r="E6227" i="1"/>
  <c r="B6227" i="1"/>
  <c r="O6226" i="1"/>
  <c r="E6226" i="1"/>
  <c r="B6226" i="1"/>
  <c r="O6225" i="1"/>
  <c r="E6225" i="1"/>
  <c r="B6225" i="1"/>
  <c r="O6224" i="1"/>
  <c r="E6224" i="1"/>
  <c r="B6224" i="1"/>
  <c r="O6223" i="1"/>
  <c r="E6223" i="1"/>
  <c r="B6223" i="1"/>
  <c r="O6222" i="1"/>
  <c r="E6222" i="1"/>
  <c r="B6222" i="1"/>
  <c r="O6221" i="1"/>
  <c r="E6221" i="1"/>
  <c r="B6221" i="1"/>
  <c r="O6220" i="1"/>
  <c r="E6220" i="1"/>
  <c r="B6220" i="1"/>
  <c r="O6219" i="1"/>
  <c r="E6219" i="1"/>
  <c r="B6219" i="1"/>
  <c r="O6218" i="1"/>
  <c r="E6218" i="1"/>
  <c r="B6218" i="1"/>
  <c r="O6217" i="1"/>
  <c r="E6217" i="1"/>
  <c r="B6217" i="1"/>
  <c r="P6216" i="1"/>
  <c r="O6216" i="1"/>
  <c r="E6216" i="1"/>
  <c r="B6216" i="1"/>
  <c r="O6215" i="1"/>
  <c r="E6215" i="1"/>
  <c r="B6215" i="1"/>
  <c r="O6214" i="1"/>
  <c r="E6214" i="1"/>
  <c r="B6214" i="1"/>
  <c r="O6213" i="1"/>
  <c r="E6213" i="1"/>
  <c r="B6213" i="1"/>
  <c r="O6212" i="1"/>
  <c r="E6212" i="1"/>
  <c r="B6212" i="1"/>
  <c r="O6211" i="1"/>
  <c r="E6211" i="1"/>
  <c r="B6211" i="1"/>
  <c r="O6210" i="1"/>
  <c r="E6210" i="1"/>
  <c r="B6210" i="1"/>
  <c r="O6209" i="1"/>
  <c r="E6209" i="1"/>
  <c r="B6209" i="1"/>
  <c r="P6208" i="1"/>
  <c r="O6208" i="1"/>
  <c r="E6208" i="1"/>
  <c r="B6208" i="1"/>
  <c r="O6207" i="1"/>
  <c r="E6207" i="1"/>
  <c r="B6207" i="1"/>
  <c r="O6206" i="1"/>
  <c r="E6206" i="1"/>
  <c r="B6206" i="1"/>
  <c r="O6205" i="1"/>
  <c r="E6205" i="1"/>
  <c r="B6205" i="1"/>
  <c r="O6204" i="1"/>
  <c r="E6204" i="1"/>
  <c r="B6204" i="1"/>
  <c r="O6203" i="1"/>
  <c r="E6203" i="1"/>
  <c r="B6203" i="1"/>
  <c r="P6202" i="1"/>
  <c r="O6202" i="1"/>
  <c r="E6202" i="1"/>
  <c r="B6202" i="1"/>
  <c r="O6201" i="1"/>
  <c r="E6201" i="1"/>
  <c r="B6201" i="1"/>
  <c r="O6200" i="1"/>
  <c r="E6200" i="1"/>
  <c r="B6200" i="1"/>
  <c r="P6199" i="1"/>
  <c r="O6199" i="1"/>
  <c r="E6199" i="1"/>
  <c r="B6199" i="1"/>
  <c r="O6198" i="1"/>
  <c r="E6198" i="1"/>
  <c r="B6198" i="1"/>
  <c r="P6197" i="1"/>
  <c r="O6197" i="1"/>
  <c r="E6197" i="1"/>
  <c r="B6197" i="1"/>
  <c r="O6196" i="1"/>
  <c r="E6196" i="1"/>
  <c r="B6196" i="1"/>
  <c r="P6195" i="1"/>
  <c r="O6195" i="1"/>
  <c r="E6195" i="1"/>
  <c r="B6195" i="1"/>
  <c r="O6194" i="1"/>
  <c r="E6194" i="1"/>
  <c r="B6194" i="1"/>
  <c r="O6193" i="1"/>
  <c r="E6193" i="1"/>
  <c r="B6193" i="1"/>
  <c r="O6192" i="1"/>
  <c r="E6192" i="1"/>
  <c r="B6192" i="1"/>
  <c r="O6191" i="1"/>
  <c r="E6191" i="1"/>
  <c r="B6191" i="1"/>
  <c r="O6190" i="1"/>
  <c r="E6190" i="1"/>
  <c r="B6190" i="1"/>
  <c r="O6189" i="1"/>
  <c r="E6189" i="1"/>
  <c r="B6189" i="1"/>
  <c r="O6188" i="1"/>
  <c r="E6188" i="1"/>
  <c r="B6188" i="1"/>
  <c r="O6187" i="1"/>
  <c r="E6187" i="1"/>
  <c r="B6187" i="1"/>
  <c r="O6186" i="1"/>
  <c r="E6186" i="1"/>
  <c r="B6186" i="1"/>
  <c r="O6185" i="1"/>
  <c r="E6185" i="1"/>
  <c r="B6185" i="1"/>
  <c r="O6184" i="1"/>
  <c r="E6184" i="1"/>
  <c r="B6184" i="1"/>
  <c r="O6183" i="1"/>
  <c r="E6183" i="1"/>
  <c r="B6183" i="1"/>
  <c r="O6182" i="1"/>
  <c r="E6182" i="1"/>
  <c r="B6182" i="1"/>
  <c r="O6181" i="1"/>
  <c r="E6181" i="1"/>
  <c r="B6181" i="1"/>
  <c r="O6180" i="1"/>
  <c r="E6180" i="1"/>
  <c r="B6180" i="1"/>
  <c r="O6179" i="1"/>
  <c r="E6179" i="1"/>
  <c r="B6179" i="1"/>
  <c r="O6178" i="1"/>
  <c r="E6178" i="1"/>
  <c r="B6178" i="1"/>
  <c r="O6177" i="1"/>
  <c r="E6177" i="1"/>
  <c r="B6177" i="1"/>
  <c r="O6176" i="1"/>
  <c r="E6176" i="1"/>
  <c r="B6176" i="1"/>
  <c r="O6175" i="1"/>
  <c r="E6175" i="1"/>
  <c r="B6175" i="1"/>
  <c r="O6174" i="1"/>
  <c r="E6174" i="1"/>
  <c r="B6174" i="1"/>
  <c r="O6173" i="1"/>
  <c r="E6173" i="1"/>
  <c r="B6173" i="1"/>
  <c r="P6172" i="1"/>
  <c r="O6172" i="1"/>
  <c r="E6172" i="1"/>
  <c r="B6172" i="1"/>
  <c r="O6171" i="1"/>
  <c r="E6171" i="1"/>
  <c r="B6171" i="1"/>
  <c r="O6170" i="1"/>
  <c r="E6170" i="1"/>
  <c r="B6170" i="1"/>
  <c r="O6169" i="1"/>
  <c r="E6169" i="1"/>
  <c r="B6169" i="1"/>
  <c r="O6168" i="1"/>
  <c r="E6168" i="1"/>
  <c r="B6168" i="1"/>
  <c r="O6167" i="1"/>
  <c r="E6167" i="1"/>
  <c r="B6167" i="1"/>
  <c r="P6166" i="1"/>
  <c r="O6166" i="1"/>
  <c r="E6166" i="1"/>
  <c r="B6166" i="1"/>
  <c r="O6165" i="1"/>
  <c r="E6165" i="1"/>
  <c r="B6165" i="1"/>
  <c r="O6164" i="1"/>
  <c r="E6164" i="1"/>
  <c r="B6164" i="1"/>
  <c r="O6163" i="1"/>
  <c r="E6163" i="1"/>
  <c r="B6163" i="1"/>
  <c r="O6162" i="1"/>
  <c r="E6162" i="1"/>
  <c r="B6162" i="1"/>
  <c r="O6161" i="1"/>
  <c r="E6161" i="1"/>
  <c r="B6161" i="1"/>
  <c r="O6160" i="1"/>
  <c r="E6160" i="1"/>
  <c r="B6160" i="1"/>
  <c r="O6159" i="1"/>
  <c r="E6159" i="1"/>
  <c r="B6159" i="1"/>
  <c r="P6158" i="1"/>
  <c r="O6158" i="1"/>
  <c r="E6158" i="1"/>
  <c r="B6158" i="1"/>
  <c r="O6157" i="1"/>
  <c r="E6157" i="1"/>
  <c r="B6157" i="1"/>
  <c r="O6156" i="1"/>
  <c r="E6156" i="1"/>
  <c r="B6156" i="1"/>
  <c r="O6155" i="1"/>
  <c r="E6155" i="1"/>
  <c r="B6155" i="1"/>
  <c r="O6154" i="1"/>
  <c r="E6154" i="1"/>
  <c r="B6154" i="1"/>
  <c r="O6153" i="1"/>
  <c r="E6153" i="1"/>
  <c r="B6153" i="1"/>
  <c r="O6152" i="1"/>
  <c r="E6152" i="1"/>
  <c r="B6152" i="1"/>
  <c r="O6151" i="1"/>
  <c r="E6151" i="1"/>
  <c r="B6151" i="1"/>
  <c r="O6150" i="1"/>
  <c r="E6150" i="1"/>
  <c r="B6150" i="1"/>
  <c r="O6149" i="1"/>
  <c r="E6149" i="1"/>
  <c r="B6149" i="1"/>
  <c r="O6148" i="1"/>
  <c r="E6148" i="1"/>
  <c r="B6148" i="1"/>
  <c r="O6147" i="1"/>
  <c r="E6147" i="1"/>
  <c r="B6147" i="1"/>
  <c r="O6146" i="1"/>
  <c r="E6146" i="1"/>
  <c r="B6146" i="1"/>
  <c r="O6145" i="1"/>
  <c r="E6145" i="1"/>
  <c r="B6145" i="1"/>
  <c r="O6144" i="1"/>
  <c r="E6144" i="1"/>
  <c r="B6144" i="1"/>
  <c r="O6143" i="1"/>
  <c r="E6143" i="1"/>
  <c r="B6143" i="1"/>
  <c r="O6142" i="1"/>
  <c r="E6142" i="1"/>
  <c r="B6142" i="1"/>
  <c r="O6141" i="1"/>
  <c r="E6141" i="1"/>
  <c r="B6141" i="1"/>
  <c r="O6140" i="1"/>
  <c r="E6140" i="1"/>
  <c r="B6140" i="1"/>
  <c r="O6139" i="1"/>
  <c r="E6139" i="1"/>
  <c r="B6139" i="1"/>
  <c r="O6138" i="1"/>
  <c r="E6138" i="1"/>
  <c r="B6138" i="1"/>
  <c r="O6137" i="1"/>
  <c r="E6137" i="1"/>
  <c r="B6137" i="1"/>
  <c r="O6136" i="1"/>
  <c r="E6136" i="1"/>
  <c r="B6136" i="1"/>
  <c r="O6135" i="1"/>
  <c r="E6135" i="1"/>
  <c r="B6135" i="1"/>
  <c r="O6134" i="1"/>
  <c r="E6134" i="1"/>
  <c r="B6134" i="1"/>
  <c r="O6133" i="1"/>
  <c r="E6133" i="1"/>
  <c r="B6133" i="1"/>
  <c r="O6132" i="1"/>
  <c r="E6132" i="1"/>
  <c r="B6132" i="1"/>
  <c r="O6131" i="1"/>
  <c r="E6131" i="1"/>
  <c r="B6131" i="1"/>
  <c r="P6130" i="1"/>
  <c r="O6130" i="1"/>
  <c r="E6130" i="1"/>
  <c r="B6130" i="1"/>
  <c r="O6129" i="1"/>
  <c r="E6129" i="1"/>
  <c r="B6129" i="1"/>
  <c r="O6128" i="1"/>
  <c r="E6128" i="1"/>
  <c r="B6128" i="1"/>
  <c r="O6127" i="1"/>
  <c r="E6127" i="1"/>
  <c r="B6127" i="1"/>
  <c r="O6126" i="1"/>
  <c r="E6126" i="1"/>
  <c r="B6126" i="1"/>
  <c r="O6125" i="1"/>
  <c r="E6125" i="1"/>
  <c r="B6125" i="1"/>
  <c r="P6124" i="1"/>
  <c r="O6124" i="1"/>
  <c r="E6124" i="1"/>
  <c r="B6124" i="1"/>
  <c r="O6123" i="1"/>
  <c r="E6123" i="1"/>
  <c r="B6123" i="1"/>
  <c r="O6122" i="1"/>
  <c r="E6122" i="1"/>
  <c r="B6122" i="1"/>
  <c r="O6121" i="1"/>
  <c r="E6121" i="1"/>
  <c r="B6121" i="1"/>
  <c r="O6120" i="1"/>
  <c r="E6120" i="1"/>
  <c r="B6120" i="1"/>
  <c r="O6119" i="1"/>
  <c r="E6119" i="1"/>
  <c r="B6119" i="1"/>
  <c r="O6118" i="1"/>
  <c r="E6118" i="1"/>
  <c r="B6118" i="1"/>
  <c r="O6117" i="1"/>
  <c r="E6117" i="1"/>
  <c r="B6117" i="1"/>
  <c r="O6116" i="1"/>
  <c r="E6116" i="1"/>
  <c r="B6116" i="1"/>
  <c r="O6115" i="1"/>
  <c r="E6115" i="1"/>
  <c r="B6115" i="1"/>
  <c r="O6114" i="1"/>
  <c r="E6114" i="1"/>
  <c r="B6114" i="1"/>
  <c r="O6113" i="1"/>
  <c r="E6113" i="1"/>
  <c r="B6113" i="1"/>
  <c r="O6112" i="1"/>
  <c r="E6112" i="1"/>
  <c r="B6112" i="1"/>
  <c r="O6111" i="1"/>
  <c r="E6111" i="1"/>
  <c r="B6111" i="1"/>
  <c r="O6110" i="1"/>
  <c r="E6110" i="1"/>
  <c r="B6110" i="1"/>
  <c r="O6109" i="1"/>
  <c r="E6109" i="1"/>
  <c r="B6109" i="1"/>
  <c r="O6108" i="1"/>
  <c r="E6108" i="1"/>
  <c r="B6108" i="1"/>
  <c r="O6107" i="1"/>
  <c r="E6107" i="1"/>
  <c r="B6107" i="1"/>
  <c r="O6106" i="1"/>
  <c r="E6106" i="1"/>
  <c r="B6106" i="1"/>
  <c r="O6105" i="1"/>
  <c r="E6105" i="1"/>
  <c r="B6105" i="1"/>
  <c r="O6104" i="1"/>
  <c r="E6104" i="1"/>
  <c r="B6104" i="1"/>
  <c r="O6103" i="1"/>
  <c r="E6103" i="1"/>
  <c r="B6103" i="1"/>
  <c r="O6102" i="1"/>
  <c r="E6102" i="1"/>
  <c r="B6102" i="1"/>
  <c r="O6101" i="1"/>
  <c r="E6101" i="1"/>
  <c r="B6101" i="1"/>
  <c r="O6100" i="1"/>
  <c r="E6100" i="1"/>
  <c r="B6100" i="1"/>
  <c r="O6099" i="1"/>
  <c r="E6099" i="1"/>
  <c r="B6099" i="1"/>
  <c r="O6098" i="1"/>
  <c r="E6098" i="1"/>
  <c r="B6098" i="1"/>
  <c r="O6097" i="1"/>
  <c r="E6097" i="1"/>
  <c r="B6097" i="1"/>
  <c r="O6096" i="1"/>
  <c r="E6096" i="1"/>
  <c r="B6096" i="1"/>
  <c r="O6095" i="1"/>
  <c r="E6095" i="1"/>
  <c r="B6095" i="1"/>
  <c r="O6094" i="1"/>
  <c r="E6094" i="1"/>
  <c r="B6094" i="1"/>
  <c r="O6093" i="1"/>
  <c r="E6093" i="1"/>
  <c r="B6093" i="1"/>
  <c r="O6092" i="1"/>
  <c r="E6092" i="1"/>
  <c r="B6092" i="1"/>
  <c r="O6091" i="1"/>
  <c r="E6091" i="1"/>
  <c r="B6091" i="1"/>
  <c r="O6090" i="1"/>
  <c r="E6090" i="1"/>
  <c r="B6090" i="1"/>
  <c r="O6089" i="1"/>
  <c r="E6089" i="1"/>
  <c r="B6089" i="1"/>
  <c r="O6088" i="1"/>
  <c r="E6088" i="1"/>
  <c r="B6088" i="1"/>
  <c r="O6087" i="1"/>
  <c r="E6087" i="1"/>
  <c r="B6087" i="1"/>
  <c r="O6086" i="1"/>
  <c r="E6086" i="1"/>
  <c r="B6086" i="1"/>
  <c r="O6085" i="1"/>
  <c r="E6085" i="1"/>
  <c r="B6085" i="1"/>
  <c r="O6084" i="1"/>
  <c r="E6084" i="1"/>
  <c r="B6084" i="1"/>
  <c r="O6083" i="1"/>
  <c r="E6083" i="1"/>
  <c r="B6083" i="1"/>
  <c r="O6082" i="1"/>
  <c r="E6082" i="1"/>
  <c r="B6082" i="1"/>
  <c r="O6081" i="1"/>
  <c r="E6081" i="1"/>
  <c r="B6081" i="1"/>
  <c r="O6080" i="1"/>
  <c r="E6080" i="1"/>
  <c r="B6080" i="1"/>
  <c r="O6079" i="1"/>
  <c r="E6079" i="1"/>
  <c r="B6079" i="1"/>
  <c r="O6078" i="1"/>
  <c r="E6078" i="1"/>
  <c r="B6078" i="1"/>
  <c r="O6077" i="1"/>
  <c r="E6077" i="1"/>
  <c r="B6077" i="1"/>
  <c r="O6076" i="1"/>
  <c r="E6076" i="1"/>
  <c r="B6076" i="1"/>
  <c r="O6075" i="1"/>
  <c r="E6075" i="1"/>
  <c r="B6075" i="1"/>
  <c r="O6074" i="1"/>
  <c r="E6074" i="1"/>
  <c r="B6074" i="1"/>
  <c r="O6073" i="1"/>
  <c r="E6073" i="1"/>
  <c r="B6073" i="1"/>
  <c r="O6072" i="1"/>
  <c r="E6072" i="1"/>
  <c r="B6072" i="1"/>
  <c r="O6071" i="1"/>
  <c r="E6071" i="1"/>
  <c r="B6071" i="1"/>
  <c r="O6070" i="1"/>
  <c r="E6070" i="1"/>
  <c r="B6070" i="1"/>
  <c r="O6069" i="1"/>
  <c r="E6069" i="1"/>
  <c r="B6069" i="1"/>
  <c r="P6068" i="1"/>
  <c r="O6068" i="1"/>
  <c r="E6068" i="1"/>
  <c r="B6068" i="1"/>
  <c r="P6067" i="1"/>
  <c r="O6067" i="1"/>
  <c r="E6067" i="1"/>
  <c r="B6067" i="1"/>
  <c r="O6066" i="1"/>
  <c r="E6066" i="1"/>
  <c r="B6066" i="1"/>
  <c r="O6065" i="1"/>
  <c r="E6065" i="1"/>
  <c r="B6065" i="1"/>
  <c r="O6064" i="1"/>
  <c r="E6064" i="1"/>
  <c r="B6064" i="1"/>
  <c r="O6063" i="1"/>
  <c r="E6063" i="1"/>
  <c r="B6063" i="1"/>
  <c r="O6062" i="1"/>
  <c r="E6062" i="1"/>
  <c r="B6062" i="1"/>
  <c r="O6061" i="1"/>
  <c r="E6061" i="1"/>
  <c r="B6061" i="1"/>
  <c r="O6060" i="1"/>
  <c r="E6060" i="1"/>
  <c r="B6060" i="1"/>
  <c r="O6059" i="1"/>
  <c r="E6059" i="1"/>
  <c r="B6059" i="1"/>
  <c r="O6058" i="1"/>
  <c r="E6058" i="1"/>
  <c r="B6058" i="1"/>
  <c r="O6057" i="1"/>
  <c r="E6057" i="1"/>
  <c r="B6057" i="1"/>
  <c r="O6056" i="1"/>
  <c r="E6056" i="1"/>
  <c r="B6056" i="1"/>
  <c r="O6055" i="1"/>
  <c r="E6055" i="1"/>
  <c r="B6055" i="1"/>
  <c r="O6054" i="1"/>
  <c r="E6054" i="1"/>
  <c r="B6054" i="1"/>
  <c r="O6053" i="1"/>
  <c r="E6053" i="1"/>
  <c r="B6053" i="1"/>
  <c r="O6052" i="1"/>
  <c r="E6052" i="1"/>
  <c r="B6052" i="1"/>
  <c r="O6051" i="1"/>
  <c r="E6051" i="1"/>
  <c r="B6051" i="1"/>
  <c r="P6050" i="1"/>
  <c r="O6050" i="1"/>
  <c r="E6050" i="1"/>
  <c r="B6050" i="1"/>
  <c r="O6049" i="1"/>
  <c r="E6049" i="1"/>
  <c r="B6049" i="1"/>
  <c r="O6048" i="1"/>
  <c r="E6048" i="1"/>
  <c r="B6048" i="1"/>
  <c r="O6047" i="1"/>
  <c r="E6047" i="1"/>
  <c r="B6047" i="1"/>
  <c r="O6046" i="1"/>
  <c r="E6046" i="1"/>
  <c r="B6046" i="1"/>
  <c r="O6045" i="1"/>
  <c r="E6045" i="1"/>
  <c r="B6045" i="1"/>
  <c r="O6044" i="1"/>
  <c r="E6044" i="1"/>
  <c r="B6044" i="1"/>
  <c r="O6043" i="1"/>
  <c r="E6043" i="1"/>
  <c r="B6043" i="1"/>
  <c r="O6042" i="1"/>
  <c r="E6042" i="1"/>
  <c r="B6042" i="1"/>
  <c r="O6041" i="1"/>
  <c r="E6041" i="1"/>
  <c r="B6041" i="1"/>
  <c r="O6040" i="1"/>
  <c r="E6040" i="1"/>
  <c r="B6040" i="1"/>
  <c r="O6039" i="1"/>
  <c r="E6039" i="1"/>
  <c r="B6039" i="1"/>
  <c r="O6038" i="1"/>
  <c r="E6038" i="1"/>
  <c r="B6038" i="1"/>
  <c r="O6037" i="1"/>
  <c r="E6037" i="1"/>
  <c r="B6037" i="1"/>
  <c r="O6036" i="1"/>
  <c r="E6036" i="1"/>
  <c r="B6036" i="1"/>
  <c r="O6035" i="1"/>
  <c r="E6035" i="1"/>
  <c r="B6035" i="1"/>
  <c r="P6034" i="1"/>
  <c r="O6034" i="1"/>
  <c r="E6034" i="1"/>
  <c r="B6034" i="1"/>
  <c r="O6033" i="1"/>
  <c r="E6033" i="1"/>
  <c r="B6033" i="1"/>
  <c r="O6032" i="1"/>
  <c r="E6032" i="1"/>
  <c r="B6032" i="1"/>
  <c r="O6031" i="1"/>
  <c r="E6031" i="1"/>
  <c r="B6031" i="1"/>
  <c r="O6030" i="1"/>
  <c r="E6030" i="1"/>
  <c r="B6030" i="1"/>
  <c r="O6029" i="1"/>
  <c r="E6029" i="1"/>
  <c r="B6029" i="1"/>
  <c r="O6028" i="1"/>
  <c r="E6028" i="1"/>
  <c r="B6028" i="1"/>
  <c r="O6027" i="1"/>
  <c r="E6027" i="1"/>
  <c r="B6027" i="1"/>
  <c r="O6026" i="1"/>
  <c r="E6026" i="1"/>
  <c r="B6026" i="1"/>
  <c r="O6025" i="1"/>
  <c r="E6025" i="1"/>
  <c r="B6025" i="1"/>
  <c r="O6024" i="1"/>
  <c r="E6024" i="1"/>
  <c r="B6024" i="1"/>
  <c r="O6023" i="1"/>
  <c r="E6023" i="1"/>
  <c r="B6023" i="1"/>
  <c r="O6022" i="1"/>
  <c r="E6022" i="1"/>
  <c r="B6022" i="1"/>
  <c r="O6021" i="1"/>
  <c r="E6021" i="1"/>
  <c r="B6021" i="1"/>
  <c r="O6020" i="1"/>
  <c r="E6020" i="1"/>
  <c r="B6020" i="1"/>
  <c r="O6019" i="1"/>
  <c r="E6019" i="1"/>
  <c r="B6019" i="1"/>
  <c r="O6018" i="1"/>
  <c r="E6018" i="1"/>
  <c r="B6018" i="1"/>
  <c r="O6017" i="1"/>
  <c r="E6017" i="1"/>
  <c r="B6017" i="1"/>
  <c r="O6016" i="1"/>
  <c r="E6016" i="1"/>
  <c r="B6016" i="1"/>
  <c r="O6015" i="1"/>
  <c r="E6015" i="1"/>
  <c r="B6015" i="1"/>
  <c r="O6014" i="1"/>
  <c r="E6014" i="1"/>
  <c r="B6014" i="1"/>
  <c r="O6013" i="1"/>
  <c r="E6013" i="1"/>
  <c r="B6013" i="1"/>
  <c r="O6012" i="1"/>
  <c r="E6012" i="1"/>
  <c r="B6012" i="1"/>
  <c r="O6011" i="1"/>
  <c r="E6011" i="1"/>
  <c r="B6011" i="1"/>
  <c r="O6010" i="1"/>
  <c r="E6010" i="1"/>
  <c r="B6010" i="1"/>
  <c r="O6009" i="1"/>
  <c r="E6009" i="1"/>
  <c r="B6009" i="1"/>
  <c r="O6008" i="1"/>
  <c r="E6008" i="1"/>
  <c r="B6008" i="1"/>
  <c r="O6007" i="1"/>
  <c r="E6007" i="1"/>
  <c r="B6007" i="1"/>
  <c r="O6006" i="1"/>
  <c r="E6006" i="1"/>
  <c r="B6006" i="1"/>
  <c r="P6005" i="1"/>
  <c r="O6005" i="1"/>
  <c r="E6005" i="1"/>
  <c r="B6005" i="1"/>
  <c r="O6004" i="1"/>
  <c r="E6004" i="1"/>
  <c r="B6004" i="1"/>
  <c r="O6003" i="1"/>
  <c r="E6003" i="1"/>
  <c r="B6003" i="1"/>
  <c r="O6002" i="1"/>
  <c r="E6002" i="1"/>
  <c r="B6002" i="1"/>
  <c r="O6001" i="1"/>
  <c r="E6001" i="1"/>
  <c r="B6001" i="1"/>
  <c r="O6000" i="1"/>
  <c r="E6000" i="1"/>
  <c r="B6000" i="1"/>
  <c r="O5999" i="1"/>
  <c r="E5999" i="1"/>
  <c r="B5999" i="1"/>
  <c r="O5998" i="1"/>
  <c r="E5998" i="1"/>
  <c r="B5998" i="1"/>
  <c r="O5997" i="1"/>
  <c r="E5997" i="1"/>
  <c r="B5997" i="1"/>
  <c r="O5996" i="1"/>
  <c r="E5996" i="1"/>
  <c r="B5996" i="1"/>
  <c r="O5995" i="1"/>
  <c r="E5995" i="1"/>
  <c r="B5995" i="1"/>
  <c r="O5994" i="1"/>
  <c r="E5994" i="1"/>
  <c r="B5994" i="1"/>
  <c r="O5993" i="1"/>
  <c r="E5993" i="1"/>
  <c r="B5993" i="1"/>
  <c r="O5992" i="1"/>
  <c r="E5992" i="1"/>
  <c r="B5992" i="1"/>
  <c r="O5991" i="1"/>
  <c r="E5991" i="1"/>
  <c r="B5991" i="1"/>
  <c r="O5990" i="1"/>
  <c r="E5990" i="1"/>
  <c r="B5990" i="1"/>
  <c r="O5989" i="1"/>
  <c r="E5989" i="1"/>
  <c r="B5989" i="1"/>
  <c r="O5988" i="1"/>
  <c r="E5988" i="1"/>
  <c r="B5988" i="1"/>
  <c r="O5987" i="1"/>
  <c r="E5987" i="1"/>
  <c r="B5987" i="1"/>
  <c r="O5986" i="1"/>
  <c r="E5986" i="1"/>
  <c r="B5986" i="1"/>
  <c r="O5985" i="1"/>
  <c r="E5985" i="1"/>
  <c r="B5985" i="1"/>
  <c r="O5984" i="1"/>
  <c r="E5984" i="1"/>
  <c r="B5984" i="1"/>
  <c r="O5983" i="1"/>
  <c r="E5983" i="1"/>
  <c r="B5983" i="1"/>
  <c r="O5982" i="1"/>
  <c r="E5982" i="1"/>
  <c r="B5982" i="1"/>
  <c r="O5981" i="1"/>
  <c r="E5981" i="1"/>
  <c r="B5981" i="1"/>
  <c r="O5980" i="1"/>
  <c r="E5980" i="1"/>
  <c r="B5980" i="1"/>
  <c r="O5979" i="1"/>
  <c r="E5979" i="1"/>
  <c r="B5979" i="1"/>
  <c r="O5978" i="1"/>
  <c r="E5978" i="1"/>
  <c r="B5978" i="1"/>
  <c r="O5977" i="1"/>
  <c r="E5977" i="1"/>
  <c r="B5977" i="1"/>
  <c r="O5976" i="1"/>
  <c r="E5976" i="1"/>
  <c r="B5976" i="1"/>
  <c r="O5975" i="1"/>
  <c r="E5975" i="1"/>
  <c r="B5975" i="1"/>
  <c r="O5974" i="1"/>
  <c r="E5974" i="1"/>
  <c r="B5974" i="1"/>
  <c r="O5973" i="1"/>
  <c r="E5973" i="1"/>
  <c r="B5973" i="1"/>
  <c r="O5972" i="1"/>
  <c r="E5972" i="1"/>
  <c r="B5972" i="1"/>
  <c r="O5971" i="1"/>
  <c r="E5971" i="1"/>
  <c r="B5971" i="1"/>
  <c r="O5970" i="1"/>
  <c r="E5970" i="1"/>
  <c r="B5970" i="1"/>
  <c r="O5969" i="1"/>
  <c r="E5969" i="1"/>
  <c r="B5969" i="1"/>
  <c r="O5968" i="1"/>
  <c r="E5968" i="1"/>
  <c r="B5968" i="1"/>
  <c r="O5967" i="1"/>
  <c r="E5967" i="1"/>
  <c r="B5967" i="1"/>
  <c r="O5966" i="1"/>
  <c r="E5966" i="1"/>
  <c r="B5966" i="1"/>
  <c r="O5965" i="1"/>
  <c r="E5965" i="1"/>
  <c r="B5965" i="1"/>
  <c r="O5964" i="1"/>
  <c r="E5964" i="1"/>
  <c r="B5964" i="1"/>
  <c r="O5963" i="1"/>
  <c r="E5963" i="1"/>
  <c r="B5963" i="1"/>
  <c r="O5962" i="1"/>
  <c r="E5962" i="1"/>
  <c r="B5962" i="1"/>
  <c r="O5961" i="1"/>
  <c r="E5961" i="1"/>
  <c r="B5961" i="1"/>
  <c r="O5960" i="1"/>
  <c r="E5960" i="1"/>
  <c r="B5960" i="1"/>
  <c r="O5959" i="1"/>
  <c r="E5959" i="1"/>
  <c r="B5959" i="1"/>
  <c r="O5958" i="1"/>
  <c r="E5958" i="1"/>
  <c r="B5958" i="1"/>
  <c r="O5957" i="1"/>
  <c r="E5957" i="1"/>
  <c r="B5957" i="1"/>
  <c r="O5956" i="1"/>
  <c r="E5956" i="1"/>
  <c r="B5956" i="1"/>
  <c r="O5955" i="1"/>
  <c r="E5955" i="1"/>
  <c r="B5955" i="1"/>
  <c r="O5954" i="1"/>
  <c r="E5954" i="1"/>
  <c r="B5954" i="1"/>
  <c r="O5953" i="1"/>
  <c r="E5953" i="1"/>
  <c r="B5953" i="1"/>
  <c r="O5952" i="1"/>
  <c r="E5952" i="1"/>
  <c r="B5952" i="1"/>
  <c r="O5951" i="1"/>
  <c r="E5951" i="1"/>
  <c r="B5951" i="1"/>
  <c r="O5950" i="1"/>
  <c r="E5950" i="1"/>
  <c r="B5950" i="1"/>
  <c r="O5949" i="1"/>
  <c r="E5949" i="1"/>
  <c r="B5949" i="1"/>
  <c r="O5948" i="1"/>
  <c r="E5948" i="1"/>
  <c r="B5948" i="1"/>
  <c r="O5947" i="1"/>
  <c r="E5947" i="1"/>
  <c r="B5947" i="1"/>
  <c r="O5946" i="1"/>
  <c r="E5946" i="1"/>
  <c r="B5946" i="1"/>
  <c r="O5945" i="1"/>
  <c r="E5945" i="1"/>
  <c r="B5945" i="1"/>
  <c r="O5944" i="1"/>
  <c r="E5944" i="1"/>
  <c r="B5944" i="1"/>
  <c r="O5943" i="1"/>
  <c r="E5943" i="1"/>
  <c r="B5943" i="1"/>
  <c r="O5942" i="1"/>
  <c r="E5942" i="1"/>
  <c r="B5942" i="1"/>
  <c r="O5941" i="1"/>
  <c r="E5941" i="1"/>
  <c r="B5941" i="1"/>
  <c r="O5940" i="1"/>
  <c r="E5940" i="1"/>
  <c r="B5940" i="1"/>
  <c r="O5939" i="1"/>
  <c r="E5939" i="1"/>
  <c r="B5939" i="1"/>
  <c r="O5938" i="1"/>
  <c r="E5938" i="1"/>
  <c r="B5938" i="1"/>
  <c r="O5937" i="1"/>
  <c r="E5937" i="1"/>
  <c r="B5937" i="1"/>
  <c r="O5936" i="1"/>
  <c r="E5936" i="1"/>
  <c r="B5936" i="1"/>
  <c r="O5935" i="1"/>
  <c r="E5935" i="1"/>
  <c r="B5935" i="1"/>
  <c r="O5934" i="1"/>
  <c r="E5934" i="1"/>
  <c r="B5934" i="1"/>
  <c r="O5933" i="1"/>
  <c r="E5933" i="1"/>
  <c r="B5933" i="1"/>
  <c r="O5932" i="1"/>
  <c r="E5932" i="1"/>
  <c r="B5932" i="1"/>
  <c r="O5931" i="1"/>
  <c r="E5931" i="1"/>
  <c r="B5931" i="1"/>
  <c r="O5930" i="1"/>
  <c r="E5930" i="1"/>
  <c r="B5930" i="1"/>
  <c r="O5929" i="1"/>
  <c r="E5929" i="1"/>
  <c r="B5929" i="1"/>
  <c r="O5928" i="1"/>
  <c r="E5928" i="1"/>
  <c r="B5928" i="1"/>
  <c r="O5927" i="1"/>
  <c r="E5927" i="1"/>
  <c r="B5927" i="1"/>
  <c r="O5926" i="1"/>
  <c r="E5926" i="1"/>
  <c r="B5926" i="1"/>
  <c r="O5925" i="1"/>
  <c r="E5925" i="1"/>
  <c r="B5925" i="1"/>
  <c r="O5924" i="1"/>
  <c r="E5924" i="1"/>
  <c r="B5924" i="1"/>
  <c r="O5923" i="1"/>
  <c r="E5923" i="1"/>
  <c r="B5923" i="1"/>
  <c r="O5922" i="1"/>
  <c r="E5922" i="1"/>
  <c r="B5922" i="1"/>
  <c r="O5921" i="1"/>
  <c r="E5921" i="1"/>
  <c r="B5921" i="1"/>
  <c r="O5920" i="1"/>
  <c r="E5920" i="1"/>
  <c r="B5920" i="1"/>
  <c r="O5919" i="1"/>
  <c r="E5919" i="1"/>
  <c r="B5919" i="1"/>
  <c r="O5918" i="1"/>
  <c r="E5918" i="1"/>
  <c r="B5918" i="1"/>
  <c r="O5917" i="1"/>
  <c r="E5917" i="1"/>
  <c r="B5917" i="1"/>
  <c r="O5916" i="1"/>
  <c r="E5916" i="1"/>
  <c r="B5916" i="1"/>
  <c r="O5915" i="1"/>
  <c r="E5915" i="1"/>
  <c r="B5915" i="1"/>
  <c r="O5914" i="1"/>
  <c r="E5914" i="1"/>
  <c r="B5914" i="1"/>
  <c r="O5913" i="1"/>
  <c r="E5913" i="1"/>
  <c r="B5913" i="1"/>
  <c r="O5912" i="1"/>
  <c r="E5912" i="1"/>
  <c r="B5912" i="1"/>
  <c r="O5911" i="1"/>
  <c r="E5911" i="1"/>
  <c r="B5911" i="1"/>
  <c r="O5910" i="1"/>
  <c r="E5910" i="1"/>
  <c r="B5910" i="1"/>
  <c r="O5909" i="1"/>
  <c r="E5909" i="1"/>
  <c r="B5909" i="1"/>
  <c r="O5908" i="1"/>
  <c r="E5908" i="1"/>
  <c r="B5908" i="1"/>
  <c r="O5907" i="1"/>
  <c r="E5907" i="1"/>
  <c r="B5907" i="1"/>
  <c r="O5906" i="1"/>
  <c r="E5906" i="1"/>
  <c r="B5906" i="1"/>
  <c r="O5905" i="1"/>
  <c r="E5905" i="1"/>
  <c r="B5905" i="1"/>
  <c r="O5904" i="1"/>
  <c r="E5904" i="1"/>
  <c r="B5904" i="1"/>
  <c r="O5903" i="1"/>
  <c r="E5903" i="1"/>
  <c r="B5903" i="1"/>
  <c r="O5902" i="1"/>
  <c r="E5902" i="1"/>
  <c r="B5902" i="1"/>
  <c r="O5901" i="1"/>
  <c r="E5901" i="1"/>
  <c r="B5901" i="1"/>
  <c r="O5900" i="1"/>
  <c r="E5900" i="1"/>
  <c r="B5900" i="1"/>
  <c r="O5899" i="1"/>
  <c r="E5899" i="1"/>
  <c r="B5899" i="1"/>
  <c r="O5898" i="1"/>
  <c r="E5898" i="1"/>
  <c r="B5898" i="1"/>
  <c r="O5897" i="1"/>
  <c r="E5897" i="1"/>
  <c r="B5897" i="1"/>
  <c r="O5896" i="1"/>
  <c r="E5896" i="1"/>
  <c r="B5896" i="1"/>
  <c r="O5895" i="1"/>
  <c r="E5895" i="1"/>
  <c r="B5895" i="1"/>
  <c r="O5894" i="1"/>
  <c r="E5894" i="1"/>
  <c r="B5894" i="1"/>
  <c r="O5893" i="1"/>
  <c r="E5893" i="1"/>
  <c r="B5893" i="1"/>
  <c r="O5892" i="1"/>
  <c r="E5892" i="1"/>
  <c r="B5892" i="1"/>
  <c r="O5891" i="1"/>
  <c r="E5891" i="1"/>
  <c r="B5891" i="1"/>
  <c r="O5890" i="1"/>
  <c r="E5890" i="1"/>
  <c r="B5890" i="1"/>
  <c r="O5889" i="1"/>
  <c r="E5889" i="1"/>
  <c r="B5889" i="1"/>
  <c r="O5888" i="1"/>
  <c r="E5888" i="1"/>
  <c r="B5888" i="1"/>
  <c r="O5887" i="1"/>
  <c r="E5887" i="1"/>
  <c r="B5887" i="1"/>
  <c r="O5886" i="1"/>
  <c r="E5886" i="1"/>
  <c r="B5886" i="1"/>
  <c r="O5885" i="1"/>
  <c r="E5885" i="1"/>
  <c r="B5885" i="1"/>
  <c r="O5884" i="1"/>
  <c r="E5884" i="1"/>
  <c r="B5884" i="1"/>
  <c r="O5883" i="1"/>
  <c r="E5883" i="1"/>
  <c r="B5883" i="1"/>
  <c r="O5882" i="1"/>
  <c r="E5882" i="1"/>
  <c r="B5882" i="1"/>
  <c r="O5881" i="1"/>
  <c r="E5881" i="1"/>
  <c r="B5881" i="1"/>
  <c r="O5880" i="1"/>
  <c r="E5880" i="1"/>
  <c r="B5880" i="1"/>
  <c r="O5879" i="1"/>
  <c r="E5879" i="1"/>
  <c r="B5879" i="1"/>
  <c r="O5878" i="1"/>
  <c r="E5878" i="1"/>
  <c r="B5878" i="1"/>
  <c r="O5877" i="1"/>
  <c r="E5877" i="1"/>
  <c r="B5877" i="1"/>
  <c r="O5876" i="1"/>
  <c r="E5876" i="1"/>
  <c r="B5876" i="1"/>
  <c r="O5875" i="1"/>
  <c r="E5875" i="1"/>
  <c r="B5875" i="1"/>
  <c r="O5874" i="1"/>
  <c r="E5874" i="1"/>
  <c r="B5874" i="1"/>
  <c r="O5873" i="1"/>
  <c r="E5873" i="1"/>
  <c r="B5873" i="1"/>
  <c r="O5872" i="1"/>
  <c r="E5872" i="1"/>
  <c r="B5872" i="1"/>
  <c r="O5871" i="1"/>
  <c r="E5871" i="1"/>
  <c r="B5871" i="1"/>
  <c r="O5870" i="1"/>
  <c r="E5870" i="1"/>
  <c r="B5870" i="1"/>
  <c r="O5869" i="1"/>
  <c r="E5869" i="1"/>
  <c r="B5869" i="1"/>
  <c r="O5868" i="1"/>
  <c r="E5868" i="1"/>
  <c r="B5868" i="1"/>
  <c r="O5867" i="1"/>
  <c r="E5867" i="1"/>
  <c r="B5867" i="1"/>
  <c r="O5866" i="1"/>
  <c r="E5866" i="1"/>
  <c r="B5866" i="1"/>
  <c r="O5865" i="1"/>
  <c r="E5865" i="1"/>
  <c r="B5865" i="1"/>
  <c r="O5864" i="1"/>
  <c r="E5864" i="1"/>
  <c r="B5864" i="1"/>
  <c r="O5863" i="1"/>
  <c r="E5863" i="1"/>
  <c r="B5863" i="1"/>
  <c r="O5862" i="1"/>
  <c r="E5862" i="1"/>
  <c r="B5862" i="1"/>
  <c r="O5861" i="1"/>
  <c r="E5861" i="1"/>
  <c r="B5861" i="1"/>
  <c r="O5860" i="1"/>
  <c r="E5860" i="1"/>
  <c r="B5860" i="1"/>
  <c r="P5859" i="1"/>
  <c r="O5859" i="1"/>
  <c r="E5859" i="1"/>
  <c r="B5859" i="1"/>
  <c r="O5858" i="1"/>
  <c r="E5858" i="1"/>
  <c r="B5858" i="1"/>
  <c r="O5857" i="1"/>
  <c r="E5857" i="1"/>
  <c r="B5857" i="1"/>
  <c r="O5856" i="1"/>
  <c r="E5856" i="1"/>
  <c r="B5856" i="1"/>
  <c r="O5855" i="1"/>
  <c r="E5855" i="1"/>
  <c r="B5855" i="1"/>
  <c r="O5854" i="1"/>
  <c r="E5854" i="1"/>
  <c r="B5854" i="1"/>
  <c r="O5853" i="1"/>
  <c r="E5853" i="1"/>
  <c r="B5853" i="1"/>
  <c r="O5852" i="1"/>
  <c r="E5852" i="1"/>
  <c r="B5852" i="1"/>
  <c r="O5851" i="1"/>
  <c r="E5851" i="1"/>
  <c r="B5851" i="1"/>
  <c r="O5850" i="1"/>
  <c r="E5850" i="1"/>
  <c r="B5850" i="1"/>
  <c r="O5849" i="1"/>
  <c r="E5849" i="1"/>
  <c r="B5849" i="1"/>
  <c r="O5848" i="1"/>
  <c r="E5848" i="1"/>
  <c r="B5848" i="1"/>
  <c r="O5847" i="1"/>
  <c r="E5847" i="1"/>
  <c r="B5847" i="1"/>
  <c r="O5846" i="1"/>
  <c r="E5846" i="1"/>
  <c r="B5846" i="1"/>
  <c r="O5845" i="1"/>
  <c r="E5845" i="1"/>
  <c r="B5845" i="1"/>
  <c r="O5844" i="1"/>
  <c r="E5844" i="1"/>
  <c r="B5844" i="1"/>
  <c r="O5843" i="1"/>
  <c r="E5843" i="1"/>
  <c r="B5843" i="1"/>
  <c r="O5842" i="1"/>
  <c r="E5842" i="1"/>
  <c r="B5842" i="1"/>
  <c r="O5841" i="1"/>
  <c r="E5841" i="1"/>
  <c r="B5841" i="1"/>
  <c r="O5840" i="1"/>
  <c r="E5840" i="1"/>
  <c r="B5840" i="1"/>
  <c r="O5839" i="1"/>
  <c r="E5839" i="1"/>
  <c r="B5839" i="1"/>
  <c r="P5838" i="1"/>
  <c r="O5838" i="1"/>
  <c r="E5838" i="1"/>
  <c r="B5838" i="1"/>
  <c r="O5837" i="1"/>
  <c r="E5837" i="1"/>
  <c r="B5837" i="1"/>
  <c r="O5836" i="1"/>
  <c r="E5836" i="1"/>
  <c r="B5836" i="1"/>
  <c r="O5835" i="1"/>
  <c r="E5835" i="1"/>
  <c r="B5835" i="1"/>
  <c r="O5834" i="1"/>
  <c r="E5834" i="1"/>
  <c r="B5834" i="1"/>
  <c r="O5833" i="1"/>
  <c r="E5833" i="1"/>
  <c r="B5833" i="1"/>
  <c r="O5832" i="1"/>
  <c r="E5832" i="1"/>
  <c r="B5832" i="1"/>
  <c r="O5831" i="1"/>
  <c r="E5831" i="1"/>
  <c r="B5831" i="1"/>
  <c r="O5830" i="1"/>
  <c r="E5830" i="1"/>
  <c r="B5830" i="1"/>
  <c r="O5829" i="1"/>
  <c r="E5829" i="1"/>
  <c r="B5829" i="1"/>
  <c r="O5828" i="1"/>
  <c r="E5828" i="1"/>
  <c r="B5828" i="1"/>
  <c r="O5827" i="1"/>
  <c r="E5827" i="1"/>
  <c r="B5827" i="1"/>
  <c r="O5826" i="1"/>
  <c r="E5826" i="1"/>
  <c r="B5826" i="1"/>
  <c r="O5825" i="1"/>
  <c r="E5825" i="1"/>
  <c r="B5825" i="1"/>
  <c r="O5824" i="1"/>
  <c r="E5824" i="1"/>
  <c r="B5824" i="1"/>
  <c r="O5823" i="1"/>
  <c r="E5823" i="1"/>
  <c r="B5823" i="1"/>
  <c r="O5822" i="1"/>
  <c r="E5822" i="1"/>
  <c r="B5822" i="1"/>
  <c r="O5821" i="1"/>
  <c r="E5821" i="1"/>
  <c r="B5821" i="1"/>
  <c r="O5820" i="1"/>
  <c r="E5820" i="1"/>
  <c r="B5820" i="1"/>
  <c r="O5819" i="1"/>
  <c r="E5819" i="1"/>
  <c r="B5819" i="1"/>
  <c r="O5818" i="1"/>
  <c r="E5818" i="1"/>
  <c r="B5818" i="1"/>
  <c r="O5817" i="1"/>
  <c r="E5817" i="1"/>
  <c r="B5817" i="1"/>
  <c r="O5816" i="1"/>
  <c r="E5816" i="1"/>
  <c r="B5816" i="1"/>
  <c r="O5815" i="1"/>
  <c r="E5815" i="1"/>
  <c r="B5815" i="1"/>
  <c r="O5814" i="1"/>
  <c r="E5814" i="1"/>
  <c r="B5814" i="1"/>
  <c r="O5813" i="1"/>
  <c r="E5813" i="1"/>
  <c r="B5813" i="1"/>
  <c r="O5812" i="1"/>
  <c r="E5812" i="1"/>
  <c r="B5812" i="1"/>
  <c r="O5811" i="1"/>
  <c r="E5811" i="1"/>
  <c r="B5811" i="1"/>
  <c r="O5810" i="1"/>
  <c r="E5810" i="1"/>
  <c r="B5810" i="1"/>
  <c r="O5809" i="1"/>
  <c r="E5809" i="1"/>
  <c r="B5809" i="1"/>
  <c r="O5808" i="1"/>
  <c r="E5808" i="1"/>
  <c r="B5808" i="1"/>
  <c r="O5807" i="1"/>
  <c r="E5807" i="1"/>
  <c r="B5807" i="1"/>
  <c r="O5806" i="1"/>
  <c r="E5806" i="1"/>
  <c r="B5806" i="1"/>
  <c r="O5805" i="1"/>
  <c r="E5805" i="1"/>
  <c r="B5805" i="1"/>
  <c r="O5804" i="1"/>
  <c r="E5804" i="1"/>
  <c r="B5804" i="1"/>
  <c r="O5803" i="1"/>
  <c r="E5803" i="1"/>
  <c r="B5803" i="1"/>
  <c r="O5802" i="1"/>
  <c r="E5802" i="1"/>
  <c r="B5802" i="1"/>
  <c r="O5801" i="1"/>
  <c r="E5801" i="1"/>
  <c r="B5801" i="1"/>
  <c r="O5800" i="1"/>
  <c r="E5800" i="1"/>
  <c r="B5800" i="1"/>
  <c r="O5799" i="1"/>
  <c r="E5799" i="1"/>
  <c r="B5799" i="1"/>
  <c r="O5798" i="1"/>
  <c r="E5798" i="1"/>
  <c r="B5798" i="1"/>
  <c r="O5797" i="1"/>
  <c r="E5797" i="1"/>
  <c r="B5797" i="1"/>
  <c r="O5796" i="1"/>
  <c r="E5796" i="1"/>
  <c r="B5796" i="1"/>
  <c r="O5795" i="1"/>
  <c r="E5795" i="1"/>
  <c r="B5795" i="1"/>
  <c r="O5794" i="1"/>
  <c r="E5794" i="1"/>
  <c r="B5794" i="1"/>
  <c r="O5793" i="1"/>
  <c r="E5793" i="1"/>
  <c r="B5793" i="1"/>
  <c r="O5792" i="1"/>
  <c r="E5792" i="1"/>
  <c r="B5792" i="1"/>
  <c r="O5791" i="1"/>
  <c r="E5791" i="1"/>
  <c r="B5791" i="1"/>
  <c r="O5790" i="1"/>
  <c r="E5790" i="1"/>
  <c r="B5790" i="1"/>
  <c r="O5789" i="1"/>
  <c r="E5789" i="1"/>
  <c r="B5789" i="1"/>
  <c r="O5788" i="1"/>
  <c r="E5788" i="1"/>
  <c r="B5788" i="1"/>
  <c r="O5787" i="1"/>
  <c r="E5787" i="1"/>
  <c r="B5787" i="1"/>
  <c r="O5786" i="1"/>
  <c r="E5786" i="1"/>
  <c r="B5786" i="1"/>
  <c r="O5785" i="1"/>
  <c r="E5785" i="1"/>
  <c r="B5785" i="1"/>
  <c r="O5784" i="1"/>
  <c r="E5784" i="1"/>
  <c r="B5784" i="1"/>
  <c r="O5783" i="1"/>
  <c r="E5783" i="1"/>
  <c r="B5783" i="1"/>
  <c r="O5782" i="1"/>
  <c r="E5782" i="1"/>
  <c r="B5782" i="1"/>
  <c r="O5781" i="1"/>
  <c r="E5781" i="1"/>
  <c r="B5781" i="1"/>
  <c r="O5780" i="1"/>
  <c r="E5780" i="1"/>
  <c r="B5780" i="1"/>
  <c r="O5779" i="1"/>
  <c r="E5779" i="1"/>
  <c r="B5779" i="1"/>
  <c r="O5778" i="1"/>
  <c r="E5778" i="1"/>
  <c r="B5778" i="1"/>
  <c r="O5777" i="1"/>
  <c r="E5777" i="1"/>
  <c r="B5777" i="1"/>
  <c r="O5776" i="1"/>
  <c r="E5776" i="1"/>
  <c r="B5776" i="1"/>
  <c r="O5775" i="1"/>
  <c r="E5775" i="1"/>
  <c r="B5775" i="1"/>
  <c r="O5774" i="1"/>
  <c r="E5774" i="1"/>
  <c r="B5774" i="1"/>
  <c r="O5773" i="1"/>
  <c r="E5773" i="1"/>
  <c r="B5773" i="1"/>
  <c r="O5772" i="1"/>
  <c r="E5772" i="1"/>
  <c r="B5772" i="1"/>
  <c r="O5771" i="1"/>
  <c r="E5771" i="1"/>
  <c r="B5771" i="1"/>
  <c r="O5770" i="1"/>
  <c r="E5770" i="1"/>
  <c r="B5770" i="1"/>
  <c r="O5769" i="1"/>
  <c r="E5769" i="1"/>
  <c r="B5769" i="1"/>
  <c r="O5768" i="1"/>
  <c r="E5768" i="1"/>
  <c r="B5768" i="1"/>
  <c r="O5767" i="1"/>
  <c r="E5767" i="1"/>
  <c r="B5767" i="1"/>
  <c r="O5766" i="1"/>
  <c r="E5766" i="1"/>
  <c r="B5766" i="1"/>
  <c r="O5765" i="1"/>
  <c r="E5765" i="1"/>
  <c r="B5765" i="1"/>
  <c r="O5764" i="1"/>
  <c r="E5764" i="1"/>
  <c r="B5764" i="1"/>
  <c r="O5763" i="1"/>
  <c r="E5763" i="1"/>
  <c r="B5763" i="1"/>
  <c r="O5762" i="1"/>
  <c r="E5762" i="1"/>
  <c r="B5762" i="1"/>
  <c r="O5761" i="1"/>
  <c r="E5761" i="1"/>
  <c r="B5761" i="1"/>
  <c r="O5760" i="1"/>
  <c r="E5760" i="1"/>
  <c r="B5760" i="1"/>
  <c r="O5759" i="1"/>
  <c r="E5759" i="1"/>
  <c r="B5759" i="1"/>
  <c r="O5758" i="1"/>
  <c r="E5758" i="1"/>
  <c r="B5758" i="1"/>
  <c r="O5757" i="1"/>
  <c r="E5757" i="1"/>
  <c r="B5757" i="1"/>
  <c r="O5756" i="1"/>
  <c r="E5756" i="1"/>
  <c r="B5756" i="1"/>
  <c r="O5755" i="1"/>
  <c r="E5755" i="1"/>
  <c r="B5755" i="1"/>
  <c r="O5754" i="1"/>
  <c r="E5754" i="1"/>
  <c r="B5754" i="1"/>
  <c r="O5753" i="1"/>
  <c r="E5753" i="1"/>
  <c r="B5753" i="1"/>
  <c r="O5752" i="1"/>
  <c r="E5752" i="1"/>
  <c r="B5752" i="1"/>
  <c r="O5751" i="1"/>
  <c r="E5751" i="1"/>
  <c r="B5751" i="1"/>
  <c r="O5750" i="1"/>
  <c r="E5750" i="1"/>
  <c r="B5750" i="1"/>
  <c r="O5749" i="1"/>
  <c r="E5749" i="1"/>
  <c r="B5749" i="1"/>
  <c r="O5748" i="1"/>
  <c r="E5748" i="1"/>
  <c r="B5748" i="1"/>
  <c r="O5747" i="1"/>
  <c r="E5747" i="1"/>
  <c r="B5747" i="1"/>
  <c r="O5746" i="1"/>
  <c r="E5746" i="1"/>
  <c r="B5746" i="1"/>
  <c r="O5745" i="1"/>
  <c r="E5745" i="1"/>
  <c r="B5745" i="1"/>
  <c r="O5744" i="1"/>
  <c r="E5744" i="1"/>
  <c r="B5744" i="1"/>
  <c r="O5743" i="1"/>
  <c r="E5743" i="1"/>
  <c r="B5743" i="1"/>
  <c r="O5742" i="1"/>
  <c r="E5742" i="1"/>
  <c r="B5742" i="1"/>
  <c r="O5741" i="1"/>
  <c r="E5741" i="1"/>
  <c r="B5741" i="1"/>
  <c r="O5740" i="1"/>
  <c r="E5740" i="1"/>
  <c r="B5740" i="1"/>
  <c r="O5739" i="1"/>
  <c r="E5739" i="1"/>
  <c r="B5739" i="1"/>
  <c r="O5738" i="1"/>
  <c r="E5738" i="1"/>
  <c r="B5738" i="1"/>
  <c r="O5737" i="1"/>
  <c r="E5737" i="1"/>
  <c r="B5737" i="1"/>
  <c r="O5736" i="1"/>
  <c r="E5736" i="1"/>
  <c r="B5736" i="1"/>
  <c r="O5735" i="1"/>
  <c r="E5735" i="1"/>
  <c r="B5735" i="1"/>
  <c r="O5734" i="1"/>
  <c r="E5734" i="1"/>
  <c r="B5734" i="1"/>
  <c r="O5733" i="1"/>
  <c r="E5733" i="1"/>
  <c r="B5733" i="1"/>
  <c r="O5732" i="1"/>
  <c r="E5732" i="1"/>
  <c r="B5732" i="1"/>
  <c r="O5731" i="1"/>
  <c r="E5731" i="1"/>
  <c r="B5731" i="1"/>
  <c r="O5730" i="1"/>
  <c r="E5730" i="1"/>
  <c r="B5730" i="1"/>
  <c r="O5729" i="1"/>
  <c r="E5729" i="1"/>
  <c r="B5729" i="1"/>
  <c r="O5728" i="1"/>
  <c r="E5728" i="1"/>
  <c r="B5728" i="1"/>
  <c r="O5727" i="1"/>
  <c r="E5727" i="1"/>
  <c r="B5727" i="1"/>
  <c r="O5726" i="1"/>
  <c r="E5726" i="1"/>
  <c r="B5726" i="1"/>
  <c r="O5725" i="1"/>
  <c r="E5725" i="1"/>
  <c r="B5725" i="1"/>
  <c r="O5724" i="1"/>
  <c r="E5724" i="1"/>
  <c r="B5724" i="1"/>
  <c r="O5723" i="1"/>
  <c r="E5723" i="1"/>
  <c r="B5723" i="1"/>
  <c r="O5722" i="1"/>
  <c r="E5722" i="1"/>
  <c r="B5722" i="1"/>
  <c r="O5721" i="1"/>
  <c r="E5721" i="1"/>
  <c r="B5721" i="1"/>
  <c r="O5720" i="1"/>
  <c r="E5720" i="1"/>
  <c r="B5720" i="1"/>
  <c r="O5719" i="1"/>
  <c r="E5719" i="1"/>
  <c r="B5719" i="1"/>
  <c r="O5718" i="1"/>
  <c r="E5718" i="1"/>
  <c r="B5718" i="1"/>
  <c r="O5717" i="1"/>
  <c r="E5717" i="1"/>
  <c r="B5717" i="1"/>
  <c r="O5716" i="1"/>
  <c r="E5716" i="1"/>
  <c r="B5716" i="1"/>
  <c r="O5715" i="1"/>
  <c r="E5715" i="1"/>
  <c r="B5715" i="1"/>
  <c r="O5714" i="1"/>
  <c r="E5714" i="1"/>
  <c r="B5714" i="1"/>
  <c r="O5713" i="1"/>
  <c r="E5713" i="1"/>
  <c r="B5713" i="1"/>
  <c r="O5712" i="1"/>
  <c r="E5712" i="1"/>
  <c r="B5712" i="1"/>
  <c r="O5711" i="1"/>
  <c r="E5711" i="1"/>
  <c r="B5711" i="1"/>
  <c r="O5710" i="1"/>
  <c r="E5710" i="1"/>
  <c r="B5710" i="1"/>
  <c r="O5709" i="1"/>
  <c r="E5709" i="1"/>
  <c r="B5709" i="1"/>
  <c r="O5708" i="1"/>
  <c r="E5708" i="1"/>
  <c r="B5708" i="1"/>
  <c r="O5707" i="1"/>
  <c r="E5707" i="1"/>
  <c r="B5707" i="1"/>
  <c r="O5706" i="1"/>
  <c r="E5706" i="1"/>
  <c r="B5706" i="1"/>
  <c r="O5705" i="1"/>
  <c r="E5705" i="1"/>
  <c r="B5705" i="1"/>
  <c r="O5704" i="1"/>
  <c r="E5704" i="1"/>
  <c r="B5704" i="1"/>
  <c r="O5703" i="1"/>
  <c r="E5703" i="1"/>
  <c r="B5703" i="1"/>
  <c r="O5702" i="1"/>
  <c r="E5702" i="1"/>
  <c r="B5702" i="1"/>
  <c r="O5701" i="1"/>
  <c r="E5701" i="1"/>
  <c r="B5701" i="1"/>
  <c r="O5700" i="1"/>
  <c r="E5700" i="1"/>
  <c r="B5700" i="1"/>
  <c r="O5699" i="1"/>
  <c r="E5699" i="1"/>
  <c r="B5699" i="1"/>
  <c r="O5698" i="1"/>
  <c r="E5698" i="1"/>
  <c r="B5698" i="1"/>
  <c r="O5697" i="1"/>
  <c r="E5697" i="1"/>
  <c r="B5697" i="1"/>
  <c r="O5696" i="1"/>
  <c r="E5696" i="1"/>
  <c r="B5696" i="1"/>
  <c r="O5695" i="1"/>
  <c r="E5695" i="1"/>
  <c r="B5695" i="1"/>
  <c r="O5694" i="1"/>
  <c r="E5694" i="1"/>
  <c r="B5694" i="1"/>
  <c r="O5693" i="1"/>
  <c r="E5693" i="1"/>
  <c r="B5693" i="1"/>
  <c r="O5692" i="1"/>
  <c r="E5692" i="1"/>
  <c r="B5692" i="1"/>
  <c r="O5691" i="1"/>
  <c r="E5691" i="1"/>
  <c r="B5691" i="1"/>
  <c r="O5690" i="1"/>
  <c r="E5690" i="1"/>
  <c r="B5690" i="1"/>
  <c r="O5689" i="1"/>
  <c r="E5689" i="1"/>
  <c r="B5689" i="1"/>
  <c r="O5688" i="1"/>
  <c r="E5688" i="1"/>
  <c r="B5688" i="1"/>
  <c r="O5687" i="1"/>
  <c r="E5687" i="1"/>
  <c r="B5687" i="1"/>
  <c r="O5686" i="1"/>
  <c r="E5686" i="1"/>
  <c r="B5686" i="1"/>
  <c r="O5685" i="1"/>
  <c r="E5685" i="1"/>
  <c r="B5685" i="1"/>
  <c r="O5684" i="1"/>
  <c r="E5684" i="1"/>
  <c r="B5684" i="1"/>
  <c r="O5683" i="1"/>
  <c r="E5683" i="1"/>
  <c r="B5683" i="1"/>
  <c r="O5682" i="1"/>
  <c r="E5682" i="1"/>
  <c r="B5682" i="1"/>
  <c r="O5681" i="1"/>
  <c r="E5681" i="1"/>
  <c r="B5681" i="1"/>
  <c r="O5680" i="1"/>
  <c r="E5680" i="1"/>
  <c r="B5680" i="1"/>
  <c r="O5679" i="1"/>
  <c r="E5679" i="1"/>
  <c r="B5679" i="1"/>
  <c r="O5678" i="1"/>
  <c r="E5678" i="1"/>
  <c r="B5678" i="1"/>
  <c r="O5677" i="1"/>
  <c r="E5677" i="1"/>
  <c r="B5677" i="1"/>
  <c r="O5676" i="1"/>
  <c r="E5676" i="1"/>
  <c r="B5676" i="1"/>
  <c r="O5675" i="1"/>
  <c r="E5675" i="1"/>
  <c r="B5675" i="1"/>
  <c r="O5674" i="1"/>
  <c r="E5674" i="1"/>
  <c r="B5674" i="1"/>
  <c r="O5673" i="1"/>
  <c r="E5673" i="1"/>
  <c r="B5673" i="1"/>
  <c r="O5672" i="1"/>
  <c r="E5672" i="1"/>
  <c r="B5672" i="1"/>
  <c r="O5671" i="1"/>
  <c r="E5671" i="1"/>
  <c r="B5671" i="1"/>
  <c r="O5670" i="1"/>
  <c r="E5670" i="1"/>
  <c r="B5670" i="1"/>
  <c r="O5669" i="1"/>
  <c r="E5669" i="1"/>
  <c r="B5669" i="1"/>
  <c r="O5668" i="1"/>
  <c r="E5668" i="1"/>
  <c r="B5668" i="1"/>
  <c r="O5667" i="1"/>
  <c r="E5667" i="1"/>
  <c r="B5667" i="1"/>
  <c r="O5666" i="1"/>
  <c r="E5666" i="1"/>
  <c r="B5666" i="1"/>
  <c r="O5665" i="1"/>
  <c r="E5665" i="1"/>
  <c r="B5665" i="1"/>
  <c r="O5664" i="1"/>
  <c r="E5664" i="1"/>
  <c r="B5664" i="1"/>
  <c r="O5663" i="1"/>
  <c r="E5663" i="1"/>
  <c r="B5663" i="1"/>
  <c r="O5662" i="1"/>
  <c r="E5662" i="1"/>
  <c r="B5662" i="1"/>
  <c r="O5661" i="1"/>
  <c r="E5661" i="1"/>
  <c r="B5661" i="1"/>
  <c r="O5660" i="1"/>
  <c r="E5660" i="1"/>
  <c r="B5660" i="1"/>
  <c r="O5659" i="1"/>
  <c r="E5659" i="1"/>
  <c r="B5659" i="1"/>
  <c r="O5658" i="1"/>
  <c r="E5658" i="1"/>
  <c r="B5658" i="1"/>
  <c r="O5657" i="1"/>
  <c r="E5657" i="1"/>
  <c r="B5657" i="1"/>
  <c r="O5656" i="1"/>
  <c r="E5656" i="1"/>
  <c r="B5656" i="1"/>
  <c r="O5655" i="1"/>
  <c r="E5655" i="1"/>
  <c r="B5655" i="1"/>
  <c r="O5654" i="1"/>
  <c r="E5654" i="1"/>
  <c r="B5654" i="1"/>
  <c r="O5653" i="1"/>
  <c r="E5653" i="1"/>
  <c r="B5653" i="1"/>
  <c r="O5652" i="1"/>
  <c r="E5652" i="1"/>
  <c r="B5652" i="1"/>
  <c r="O5651" i="1"/>
  <c r="E5651" i="1"/>
  <c r="B5651" i="1"/>
  <c r="O5650" i="1"/>
  <c r="E5650" i="1"/>
  <c r="B5650" i="1"/>
  <c r="O5649" i="1"/>
  <c r="E5649" i="1"/>
  <c r="B5649" i="1"/>
  <c r="O5648" i="1"/>
  <c r="E5648" i="1"/>
  <c r="B5648" i="1"/>
  <c r="O5647" i="1"/>
  <c r="E5647" i="1"/>
  <c r="B5647" i="1"/>
  <c r="O5646" i="1"/>
  <c r="E5646" i="1"/>
  <c r="B5646" i="1"/>
  <c r="O5645" i="1"/>
  <c r="E5645" i="1"/>
  <c r="B5645" i="1"/>
  <c r="O5644" i="1"/>
  <c r="E5644" i="1"/>
  <c r="B5644" i="1"/>
  <c r="O5643" i="1"/>
  <c r="E5643" i="1"/>
  <c r="B5643" i="1"/>
  <c r="O5642" i="1"/>
  <c r="E5642" i="1"/>
  <c r="B5642" i="1"/>
  <c r="O5641" i="1"/>
  <c r="E5641" i="1"/>
  <c r="B5641" i="1"/>
  <c r="O5640" i="1"/>
  <c r="E5640" i="1"/>
  <c r="B5640" i="1"/>
  <c r="O5639" i="1"/>
  <c r="E5639" i="1"/>
  <c r="B5639" i="1"/>
  <c r="O5638" i="1"/>
  <c r="E5638" i="1"/>
  <c r="B5638" i="1"/>
  <c r="O5637" i="1"/>
  <c r="E5637" i="1"/>
  <c r="B5637" i="1"/>
  <c r="O5636" i="1"/>
  <c r="E5636" i="1"/>
  <c r="B5636" i="1"/>
  <c r="O5635" i="1"/>
  <c r="E5635" i="1"/>
  <c r="B5635" i="1"/>
  <c r="O5634" i="1"/>
  <c r="E5634" i="1"/>
  <c r="B5634" i="1"/>
  <c r="O5633" i="1"/>
  <c r="E5633" i="1"/>
  <c r="B5633" i="1"/>
  <c r="O5632" i="1"/>
  <c r="E5632" i="1"/>
  <c r="B5632" i="1"/>
  <c r="O5631" i="1"/>
  <c r="E5631" i="1"/>
  <c r="B5631" i="1"/>
  <c r="O5630" i="1"/>
  <c r="E5630" i="1"/>
  <c r="B5630" i="1"/>
  <c r="O5629" i="1"/>
  <c r="E5629" i="1"/>
  <c r="B5629" i="1"/>
  <c r="O5628" i="1"/>
  <c r="E5628" i="1"/>
  <c r="B5628" i="1"/>
  <c r="O5627" i="1"/>
  <c r="E5627" i="1"/>
  <c r="B5627" i="1"/>
  <c r="O5626" i="1"/>
  <c r="E5626" i="1"/>
  <c r="B5626" i="1"/>
  <c r="O5625" i="1"/>
  <c r="E5625" i="1"/>
  <c r="B5625" i="1"/>
  <c r="O5624" i="1"/>
  <c r="E5624" i="1"/>
  <c r="B5624" i="1"/>
  <c r="O5623" i="1"/>
  <c r="E5623" i="1"/>
  <c r="B5623" i="1"/>
  <c r="O5622" i="1"/>
  <c r="E5622" i="1"/>
  <c r="B5622" i="1"/>
  <c r="P5621" i="1"/>
  <c r="O5621" i="1"/>
  <c r="E5621" i="1"/>
  <c r="B5621" i="1"/>
  <c r="O5620" i="1"/>
  <c r="E5620" i="1"/>
  <c r="B5620" i="1"/>
  <c r="O5619" i="1"/>
  <c r="E5619" i="1"/>
  <c r="B5619" i="1"/>
  <c r="O5618" i="1"/>
  <c r="E5618" i="1"/>
  <c r="B5618" i="1"/>
  <c r="O5617" i="1"/>
  <c r="E5617" i="1"/>
  <c r="B5617" i="1"/>
  <c r="O5616" i="1"/>
  <c r="E5616" i="1"/>
  <c r="B5616" i="1"/>
  <c r="O5615" i="1"/>
  <c r="E5615" i="1"/>
  <c r="B5615" i="1"/>
  <c r="O5614" i="1"/>
  <c r="E5614" i="1"/>
  <c r="B5614" i="1"/>
  <c r="O5613" i="1"/>
  <c r="E5613" i="1"/>
  <c r="B5613" i="1"/>
  <c r="O5612" i="1"/>
  <c r="E5612" i="1"/>
  <c r="B5612" i="1"/>
  <c r="O5611" i="1"/>
  <c r="E5611" i="1"/>
  <c r="B5611" i="1"/>
  <c r="O5610" i="1"/>
  <c r="E5610" i="1"/>
  <c r="B5610" i="1"/>
  <c r="O5609" i="1"/>
  <c r="E5609" i="1"/>
  <c r="B5609" i="1"/>
  <c r="O5608" i="1"/>
  <c r="E5608" i="1"/>
  <c r="B5608" i="1"/>
  <c r="O5607" i="1"/>
  <c r="E5607" i="1"/>
  <c r="B5607" i="1"/>
  <c r="O5606" i="1"/>
  <c r="E5606" i="1"/>
  <c r="B5606" i="1"/>
  <c r="O5605" i="1"/>
  <c r="E5605" i="1"/>
  <c r="B5605" i="1"/>
  <c r="O5604" i="1"/>
  <c r="E5604" i="1"/>
  <c r="B5604" i="1"/>
  <c r="O5603" i="1"/>
  <c r="E5603" i="1"/>
  <c r="B5603" i="1"/>
  <c r="O5602" i="1"/>
  <c r="E5602" i="1"/>
  <c r="B5602" i="1"/>
  <c r="O5601" i="1"/>
  <c r="E5601" i="1"/>
  <c r="B5601" i="1"/>
  <c r="O5600" i="1"/>
  <c r="E5600" i="1"/>
  <c r="B5600" i="1"/>
  <c r="O5599" i="1"/>
  <c r="E5599" i="1"/>
  <c r="B5599" i="1"/>
  <c r="O5598" i="1"/>
  <c r="E5598" i="1"/>
  <c r="B5598" i="1"/>
  <c r="O5597" i="1"/>
  <c r="E5597" i="1"/>
  <c r="B5597" i="1"/>
  <c r="O5596" i="1"/>
  <c r="E5596" i="1"/>
  <c r="B5596" i="1"/>
  <c r="O5595" i="1"/>
  <c r="E5595" i="1"/>
  <c r="B5595" i="1"/>
  <c r="O5594" i="1"/>
  <c r="E5594" i="1"/>
  <c r="B5594" i="1"/>
  <c r="O5593" i="1"/>
  <c r="E5593" i="1"/>
  <c r="B5593" i="1"/>
  <c r="O5592" i="1"/>
  <c r="E5592" i="1"/>
  <c r="B5592" i="1"/>
  <c r="O5591" i="1"/>
  <c r="E5591" i="1"/>
  <c r="B5591" i="1"/>
  <c r="O5590" i="1"/>
  <c r="E5590" i="1"/>
  <c r="B5590" i="1"/>
  <c r="O5589" i="1"/>
  <c r="E5589" i="1"/>
  <c r="B5589" i="1"/>
  <c r="O5588" i="1"/>
  <c r="E5588" i="1"/>
  <c r="B5588" i="1"/>
  <c r="O5587" i="1"/>
  <c r="E5587" i="1"/>
  <c r="B5587" i="1"/>
  <c r="O5586" i="1"/>
  <c r="E5586" i="1"/>
  <c r="B5586" i="1"/>
  <c r="P5585" i="1"/>
  <c r="O5585" i="1"/>
  <c r="E5585" i="1"/>
  <c r="B5585" i="1"/>
  <c r="O5584" i="1"/>
  <c r="E5584" i="1"/>
  <c r="B5584" i="1"/>
  <c r="O5583" i="1"/>
  <c r="E5583" i="1"/>
  <c r="B5583" i="1"/>
  <c r="O5582" i="1"/>
  <c r="E5582" i="1"/>
  <c r="B5582" i="1"/>
  <c r="O5581" i="1"/>
  <c r="E5581" i="1"/>
  <c r="B5581" i="1"/>
  <c r="O5580" i="1"/>
  <c r="E5580" i="1"/>
  <c r="B5580" i="1"/>
  <c r="O5579" i="1"/>
  <c r="E5579" i="1"/>
  <c r="B5579" i="1"/>
  <c r="O5578" i="1"/>
  <c r="E5578" i="1"/>
  <c r="B5578" i="1"/>
  <c r="O5577" i="1"/>
  <c r="E5577" i="1"/>
  <c r="B5577" i="1"/>
  <c r="O5576" i="1"/>
  <c r="E5576" i="1"/>
  <c r="B5576" i="1"/>
  <c r="O5575" i="1"/>
  <c r="E5575" i="1"/>
  <c r="B5575" i="1"/>
  <c r="O5574" i="1"/>
  <c r="E5574" i="1"/>
  <c r="B5574" i="1"/>
  <c r="O5573" i="1"/>
  <c r="E5573" i="1"/>
  <c r="B5573" i="1"/>
  <c r="O5572" i="1"/>
  <c r="E5572" i="1"/>
  <c r="B5572" i="1"/>
  <c r="O5571" i="1"/>
  <c r="E5571" i="1"/>
  <c r="B5571" i="1"/>
  <c r="O5570" i="1"/>
  <c r="E5570" i="1"/>
  <c r="B5570" i="1"/>
  <c r="O5569" i="1"/>
  <c r="E5569" i="1"/>
  <c r="B5569" i="1"/>
  <c r="O5568" i="1"/>
  <c r="E5568" i="1"/>
  <c r="B5568" i="1"/>
  <c r="O5567" i="1"/>
  <c r="E5567" i="1"/>
  <c r="B5567" i="1"/>
  <c r="O5566" i="1"/>
  <c r="E5566" i="1"/>
  <c r="B5566" i="1"/>
  <c r="O5565" i="1"/>
  <c r="E5565" i="1"/>
  <c r="B5565" i="1"/>
  <c r="O5564" i="1"/>
  <c r="E5564" i="1"/>
  <c r="B5564" i="1"/>
  <c r="O5563" i="1"/>
  <c r="E5563" i="1"/>
  <c r="B5563" i="1"/>
  <c r="O5562" i="1"/>
  <c r="E5562" i="1"/>
  <c r="B5562" i="1"/>
  <c r="O5561" i="1"/>
  <c r="E5561" i="1"/>
  <c r="B5561" i="1"/>
  <c r="O5560" i="1"/>
  <c r="E5560" i="1"/>
  <c r="B5560" i="1"/>
  <c r="O5559" i="1"/>
  <c r="E5559" i="1"/>
  <c r="B5559" i="1"/>
  <c r="O5558" i="1"/>
  <c r="E5558" i="1"/>
  <c r="B5558" i="1"/>
  <c r="O5557" i="1"/>
  <c r="E5557" i="1"/>
  <c r="B5557" i="1"/>
  <c r="O5556" i="1"/>
  <c r="E5556" i="1"/>
  <c r="B5556" i="1"/>
  <c r="O5555" i="1"/>
  <c r="E5555" i="1"/>
  <c r="B5555" i="1"/>
  <c r="O5554" i="1"/>
  <c r="E5554" i="1"/>
  <c r="B5554" i="1"/>
  <c r="O5553" i="1"/>
  <c r="E5553" i="1"/>
  <c r="B5553" i="1"/>
  <c r="O5552" i="1"/>
  <c r="E5552" i="1"/>
  <c r="B5552" i="1"/>
  <c r="O5551" i="1"/>
  <c r="E5551" i="1"/>
  <c r="B5551" i="1"/>
  <c r="O5550" i="1"/>
  <c r="E5550" i="1"/>
  <c r="B5550" i="1"/>
  <c r="O5549" i="1"/>
  <c r="E5549" i="1"/>
  <c r="B5549" i="1"/>
  <c r="O5548" i="1"/>
  <c r="E5548" i="1"/>
  <c r="B5548" i="1"/>
  <c r="O5547" i="1"/>
  <c r="E5547" i="1"/>
  <c r="B5547" i="1"/>
  <c r="O5546" i="1"/>
  <c r="E5546" i="1"/>
  <c r="B5546" i="1"/>
  <c r="O5545" i="1"/>
  <c r="E5545" i="1"/>
  <c r="B5545" i="1"/>
  <c r="O5544" i="1"/>
  <c r="E5544" i="1"/>
  <c r="B5544" i="1"/>
  <c r="O5543" i="1"/>
  <c r="E5543" i="1"/>
  <c r="B5543" i="1"/>
  <c r="O5542" i="1"/>
  <c r="E5542" i="1"/>
  <c r="B5542" i="1"/>
  <c r="O5541" i="1"/>
  <c r="E5541" i="1"/>
  <c r="B5541" i="1"/>
  <c r="O5540" i="1"/>
  <c r="E5540" i="1"/>
  <c r="B5540" i="1"/>
  <c r="O5539" i="1"/>
  <c r="E5539" i="1"/>
  <c r="B5539" i="1"/>
  <c r="O5538" i="1"/>
  <c r="E5538" i="1"/>
  <c r="B5538" i="1"/>
  <c r="P5537" i="1"/>
  <c r="O5537" i="1"/>
  <c r="E5537" i="1"/>
  <c r="B5537" i="1"/>
  <c r="O5536" i="1"/>
  <c r="E5536" i="1"/>
  <c r="B5536" i="1"/>
  <c r="O5535" i="1"/>
  <c r="E5535" i="1"/>
  <c r="B5535" i="1"/>
  <c r="O5534" i="1"/>
  <c r="E5534" i="1"/>
  <c r="B5534" i="1"/>
  <c r="O5533" i="1"/>
  <c r="E5533" i="1"/>
  <c r="B5533" i="1"/>
  <c r="O5532" i="1"/>
  <c r="E5532" i="1"/>
  <c r="B5532" i="1"/>
  <c r="O5531" i="1"/>
  <c r="E5531" i="1"/>
  <c r="B5531" i="1"/>
  <c r="O5530" i="1"/>
  <c r="E5530" i="1"/>
  <c r="B5530" i="1"/>
  <c r="O5529" i="1"/>
  <c r="E5529" i="1"/>
  <c r="B5529" i="1"/>
  <c r="O5528" i="1"/>
  <c r="E5528" i="1"/>
  <c r="B5528" i="1"/>
  <c r="O5527" i="1"/>
  <c r="E5527" i="1"/>
  <c r="B5527" i="1"/>
  <c r="O5526" i="1"/>
  <c r="E5526" i="1"/>
  <c r="B5526" i="1"/>
  <c r="O5525" i="1"/>
  <c r="E5525" i="1"/>
  <c r="B5525" i="1"/>
  <c r="O5524" i="1"/>
  <c r="E5524" i="1"/>
  <c r="B5524" i="1"/>
  <c r="O5523" i="1"/>
  <c r="E5523" i="1"/>
  <c r="B5523" i="1"/>
  <c r="O5522" i="1"/>
  <c r="E5522" i="1"/>
  <c r="B5522" i="1"/>
  <c r="O5521" i="1"/>
  <c r="E5521" i="1"/>
  <c r="B5521" i="1"/>
  <c r="P5520" i="1"/>
  <c r="O5520" i="1"/>
  <c r="E5520" i="1"/>
  <c r="B5520" i="1"/>
  <c r="P5519" i="1"/>
  <c r="O5519" i="1"/>
  <c r="E5519" i="1"/>
  <c r="B5519" i="1"/>
  <c r="O5518" i="1"/>
  <c r="E5518" i="1"/>
  <c r="B5518" i="1"/>
  <c r="O5517" i="1"/>
  <c r="E5517" i="1"/>
  <c r="B5517" i="1"/>
  <c r="O5516" i="1"/>
  <c r="E5516" i="1"/>
  <c r="B5516" i="1"/>
  <c r="O5515" i="1"/>
  <c r="E5515" i="1"/>
  <c r="B5515" i="1"/>
  <c r="O5514" i="1"/>
  <c r="E5514" i="1"/>
  <c r="B5514" i="1"/>
  <c r="O5513" i="1"/>
  <c r="E5513" i="1"/>
  <c r="B5513" i="1"/>
  <c r="O5512" i="1"/>
  <c r="E5512" i="1"/>
  <c r="B5512" i="1"/>
  <c r="O5511" i="1"/>
  <c r="E5511" i="1"/>
  <c r="B5511" i="1"/>
  <c r="O5510" i="1"/>
  <c r="E5510" i="1"/>
  <c r="B5510" i="1"/>
  <c r="O5509" i="1"/>
  <c r="E5509" i="1"/>
  <c r="B5509" i="1"/>
  <c r="O5508" i="1"/>
  <c r="E5508" i="1"/>
  <c r="B5508" i="1"/>
  <c r="O5507" i="1"/>
  <c r="E5507" i="1"/>
  <c r="B5507" i="1"/>
  <c r="O5506" i="1"/>
  <c r="E5506" i="1"/>
  <c r="B5506" i="1"/>
  <c r="O5505" i="1"/>
  <c r="E5505" i="1"/>
  <c r="B5505" i="1"/>
  <c r="O5504" i="1"/>
  <c r="E5504" i="1"/>
  <c r="B5504" i="1"/>
  <c r="O5503" i="1"/>
  <c r="E5503" i="1"/>
  <c r="B5503" i="1"/>
  <c r="O5502" i="1"/>
  <c r="E5502" i="1"/>
  <c r="B5502" i="1"/>
  <c r="O5501" i="1"/>
  <c r="E5501" i="1"/>
  <c r="B5501" i="1"/>
  <c r="O5500" i="1"/>
  <c r="E5500" i="1"/>
  <c r="B5500" i="1"/>
  <c r="O5499" i="1"/>
  <c r="E5499" i="1"/>
  <c r="B5499" i="1"/>
  <c r="O5498" i="1"/>
  <c r="E5498" i="1"/>
  <c r="B5498" i="1"/>
  <c r="O5497" i="1"/>
  <c r="E5497" i="1"/>
  <c r="B5497" i="1"/>
  <c r="O5496" i="1"/>
  <c r="E5496" i="1"/>
  <c r="B5496" i="1"/>
  <c r="O5495" i="1"/>
  <c r="E5495" i="1"/>
  <c r="B5495" i="1"/>
  <c r="O5494" i="1"/>
  <c r="E5494" i="1"/>
  <c r="B5494" i="1"/>
  <c r="O5493" i="1"/>
  <c r="E5493" i="1"/>
  <c r="B5493" i="1"/>
  <c r="O5492" i="1"/>
  <c r="E5492" i="1"/>
  <c r="B5492" i="1"/>
  <c r="O5491" i="1"/>
  <c r="E5491" i="1"/>
  <c r="B5491" i="1"/>
  <c r="O5490" i="1"/>
  <c r="E5490" i="1"/>
  <c r="B5490" i="1"/>
  <c r="O5489" i="1"/>
  <c r="E5489" i="1"/>
  <c r="B5489" i="1"/>
  <c r="O5488" i="1"/>
  <c r="E5488" i="1"/>
  <c r="B5488" i="1"/>
  <c r="O5487" i="1"/>
  <c r="E5487" i="1"/>
  <c r="B5487" i="1"/>
  <c r="O5486" i="1"/>
  <c r="E5486" i="1"/>
  <c r="B5486" i="1"/>
  <c r="O5485" i="1"/>
  <c r="E5485" i="1"/>
  <c r="B5485" i="1"/>
  <c r="O5484" i="1"/>
  <c r="E5484" i="1"/>
  <c r="B5484" i="1"/>
  <c r="O5483" i="1"/>
  <c r="E5483" i="1"/>
  <c r="B5483" i="1"/>
  <c r="O5482" i="1"/>
  <c r="E5482" i="1"/>
  <c r="B5482" i="1"/>
  <c r="O5481" i="1"/>
  <c r="E5481" i="1"/>
  <c r="B5481" i="1"/>
  <c r="O5480" i="1"/>
  <c r="E5480" i="1"/>
  <c r="B5480" i="1"/>
  <c r="O5479" i="1"/>
  <c r="E5479" i="1"/>
  <c r="B5479" i="1"/>
  <c r="O5478" i="1"/>
  <c r="E5478" i="1"/>
  <c r="B5478" i="1"/>
  <c r="O5477" i="1"/>
  <c r="E5477" i="1"/>
  <c r="B5477" i="1"/>
  <c r="O5476" i="1"/>
  <c r="E5476" i="1"/>
  <c r="B5476" i="1"/>
  <c r="O5475" i="1"/>
  <c r="E5475" i="1"/>
  <c r="B5475" i="1"/>
  <c r="O5474" i="1"/>
  <c r="E5474" i="1"/>
  <c r="B5474" i="1"/>
  <c r="O5473" i="1"/>
  <c r="E5473" i="1"/>
  <c r="B5473" i="1"/>
  <c r="O5472" i="1"/>
  <c r="E5472" i="1"/>
  <c r="B5472" i="1"/>
  <c r="O5471" i="1"/>
  <c r="E5471" i="1"/>
  <c r="B5471" i="1"/>
  <c r="O5470" i="1"/>
  <c r="E5470" i="1"/>
  <c r="B5470" i="1"/>
  <c r="O5469" i="1"/>
  <c r="E5469" i="1"/>
  <c r="B5469" i="1"/>
  <c r="O5468" i="1"/>
  <c r="E5468" i="1"/>
  <c r="B5468" i="1"/>
  <c r="O5467" i="1"/>
  <c r="E5467" i="1"/>
  <c r="B5467" i="1"/>
  <c r="O5466" i="1"/>
  <c r="E5466" i="1"/>
  <c r="B5466" i="1"/>
  <c r="O5465" i="1"/>
  <c r="E5465" i="1"/>
  <c r="B5465" i="1"/>
  <c r="O5464" i="1"/>
  <c r="E5464" i="1"/>
  <c r="B5464" i="1"/>
  <c r="O5463" i="1"/>
  <c r="E5463" i="1"/>
  <c r="B5463" i="1"/>
  <c r="O5462" i="1"/>
  <c r="E5462" i="1"/>
  <c r="B5462" i="1"/>
  <c r="O5461" i="1"/>
  <c r="E5461" i="1"/>
  <c r="B5461" i="1"/>
  <c r="O5460" i="1"/>
  <c r="E5460" i="1"/>
  <c r="B5460" i="1"/>
  <c r="O5459" i="1"/>
  <c r="E5459" i="1"/>
  <c r="B5459" i="1"/>
  <c r="O5458" i="1"/>
  <c r="E5458" i="1"/>
  <c r="B5458" i="1"/>
  <c r="O5457" i="1"/>
  <c r="E5457" i="1"/>
  <c r="B5457" i="1"/>
  <c r="O5456" i="1"/>
  <c r="E5456" i="1"/>
  <c r="B5456" i="1"/>
  <c r="O5455" i="1"/>
  <c r="E5455" i="1"/>
  <c r="B5455" i="1"/>
  <c r="O5454" i="1"/>
  <c r="E5454" i="1"/>
  <c r="B5454" i="1"/>
  <c r="O5453" i="1"/>
  <c r="E5453" i="1"/>
  <c r="B5453" i="1"/>
  <c r="O5452" i="1"/>
  <c r="E5452" i="1"/>
  <c r="B5452" i="1"/>
  <c r="O5451" i="1"/>
  <c r="E5451" i="1"/>
  <c r="B5451" i="1"/>
  <c r="O5450" i="1"/>
  <c r="E5450" i="1"/>
  <c r="B5450" i="1"/>
  <c r="P5449" i="1"/>
  <c r="O5449" i="1"/>
  <c r="E5449" i="1"/>
  <c r="B5449" i="1"/>
  <c r="O5448" i="1"/>
  <c r="E5448" i="1"/>
  <c r="B5448" i="1"/>
  <c r="O5447" i="1"/>
  <c r="E5447" i="1"/>
  <c r="B5447" i="1"/>
  <c r="O5446" i="1"/>
  <c r="E5446" i="1"/>
  <c r="B5446" i="1"/>
  <c r="O5445" i="1"/>
  <c r="E5445" i="1"/>
  <c r="B5445" i="1"/>
  <c r="O5444" i="1"/>
  <c r="E5444" i="1"/>
  <c r="B5444" i="1"/>
  <c r="O5443" i="1"/>
  <c r="E5443" i="1"/>
  <c r="B5443" i="1"/>
  <c r="O5442" i="1"/>
  <c r="E5442" i="1"/>
  <c r="B5442" i="1"/>
  <c r="O5441" i="1"/>
  <c r="E5441" i="1"/>
  <c r="B5441" i="1"/>
  <c r="O5440" i="1"/>
  <c r="E5440" i="1"/>
  <c r="B5440" i="1"/>
  <c r="O5439" i="1"/>
  <c r="E5439" i="1"/>
  <c r="B5439" i="1"/>
  <c r="O5438" i="1"/>
  <c r="E5438" i="1"/>
  <c r="B5438" i="1"/>
  <c r="O5437" i="1"/>
  <c r="E5437" i="1"/>
  <c r="B5437" i="1"/>
  <c r="O5436" i="1"/>
  <c r="E5436" i="1"/>
  <c r="B5436" i="1"/>
  <c r="O5435" i="1"/>
  <c r="E5435" i="1"/>
  <c r="B5435" i="1"/>
  <c r="O5434" i="1"/>
  <c r="E5434" i="1"/>
  <c r="B5434" i="1"/>
  <c r="O5433" i="1"/>
  <c r="E5433" i="1"/>
  <c r="B5433" i="1"/>
  <c r="O5432" i="1"/>
  <c r="E5432" i="1"/>
  <c r="B5432" i="1"/>
  <c r="O5431" i="1"/>
  <c r="E5431" i="1"/>
  <c r="B5431" i="1"/>
  <c r="O5430" i="1"/>
  <c r="E5430" i="1"/>
  <c r="B5430" i="1"/>
  <c r="O5429" i="1"/>
  <c r="E5429" i="1"/>
  <c r="B5429" i="1"/>
  <c r="O5428" i="1"/>
  <c r="E5428" i="1"/>
  <c r="B5428" i="1"/>
  <c r="O5427" i="1"/>
  <c r="E5427" i="1"/>
  <c r="B5427" i="1"/>
  <c r="O5426" i="1"/>
  <c r="E5426" i="1"/>
  <c r="B5426" i="1"/>
  <c r="O5425" i="1"/>
  <c r="E5425" i="1"/>
  <c r="B5425" i="1"/>
  <c r="O5424" i="1"/>
  <c r="E5424" i="1"/>
  <c r="B5424" i="1"/>
  <c r="O5423" i="1"/>
  <c r="E5423" i="1"/>
  <c r="B5423" i="1"/>
  <c r="O5422" i="1"/>
  <c r="E5422" i="1"/>
  <c r="B5422" i="1"/>
  <c r="O5421" i="1"/>
  <c r="E5421" i="1"/>
  <c r="B5421" i="1"/>
  <c r="O5420" i="1"/>
  <c r="E5420" i="1"/>
  <c r="B5420" i="1"/>
  <c r="O5419" i="1"/>
  <c r="E5419" i="1"/>
  <c r="B5419" i="1"/>
  <c r="O5418" i="1"/>
  <c r="E5418" i="1"/>
  <c r="B5418" i="1"/>
  <c r="P5417" i="1"/>
  <c r="O5417" i="1"/>
  <c r="E5417" i="1"/>
  <c r="B5417" i="1"/>
  <c r="O5416" i="1"/>
  <c r="E5416" i="1"/>
  <c r="B5416" i="1"/>
  <c r="O5415" i="1"/>
  <c r="E5415" i="1"/>
  <c r="B5415" i="1"/>
  <c r="O5414" i="1"/>
  <c r="E5414" i="1"/>
  <c r="B5414" i="1"/>
  <c r="O5413" i="1"/>
  <c r="E5413" i="1"/>
  <c r="B5413" i="1"/>
  <c r="O5412" i="1"/>
  <c r="E5412" i="1"/>
  <c r="B5412" i="1"/>
  <c r="O5411" i="1"/>
  <c r="E5411" i="1"/>
  <c r="B5411" i="1"/>
  <c r="O5410" i="1"/>
  <c r="E5410" i="1"/>
  <c r="B5410" i="1"/>
  <c r="O5409" i="1"/>
  <c r="E5409" i="1"/>
  <c r="B5409" i="1"/>
  <c r="O5408" i="1"/>
  <c r="E5408" i="1"/>
  <c r="B5408" i="1"/>
  <c r="O5407" i="1"/>
  <c r="E5407" i="1"/>
  <c r="B5407" i="1"/>
  <c r="O5406" i="1"/>
  <c r="E5406" i="1"/>
  <c r="B5406" i="1"/>
  <c r="O5405" i="1"/>
  <c r="E5405" i="1"/>
  <c r="B5405" i="1"/>
  <c r="O5404" i="1"/>
  <c r="E5404" i="1"/>
  <c r="B5404" i="1"/>
  <c r="O5403" i="1"/>
  <c r="E5403" i="1"/>
  <c r="B5403" i="1"/>
  <c r="O5402" i="1"/>
  <c r="E5402" i="1"/>
  <c r="B5402" i="1"/>
  <c r="O5401" i="1"/>
  <c r="E5401" i="1"/>
  <c r="B5401" i="1"/>
  <c r="O5400" i="1"/>
  <c r="E5400" i="1"/>
  <c r="B5400" i="1"/>
  <c r="O5399" i="1"/>
  <c r="E5399" i="1"/>
  <c r="B5399" i="1"/>
  <c r="O5398" i="1"/>
  <c r="E5398" i="1"/>
  <c r="B5398" i="1"/>
  <c r="O5397" i="1"/>
  <c r="E5397" i="1"/>
  <c r="B5397" i="1"/>
  <c r="O5396" i="1"/>
  <c r="E5396" i="1"/>
  <c r="B5396" i="1"/>
  <c r="O5395" i="1"/>
  <c r="E5395" i="1"/>
  <c r="B5395" i="1"/>
  <c r="O5394" i="1"/>
  <c r="E5394" i="1"/>
  <c r="B5394" i="1"/>
  <c r="O5393" i="1"/>
  <c r="E5393" i="1"/>
  <c r="B5393" i="1"/>
  <c r="O5392" i="1"/>
  <c r="E5392" i="1"/>
  <c r="B5392" i="1"/>
  <c r="O5391" i="1"/>
  <c r="E5391" i="1"/>
  <c r="B5391" i="1"/>
  <c r="O5390" i="1"/>
  <c r="E5390" i="1"/>
  <c r="B5390" i="1"/>
  <c r="O5389" i="1"/>
  <c r="E5389" i="1"/>
  <c r="B5389" i="1"/>
  <c r="O5388" i="1"/>
  <c r="E5388" i="1"/>
  <c r="B5388" i="1"/>
  <c r="O5387" i="1"/>
  <c r="E5387" i="1"/>
  <c r="B5387" i="1"/>
  <c r="O5386" i="1"/>
  <c r="E5386" i="1"/>
  <c r="B5386" i="1"/>
  <c r="O5385" i="1"/>
  <c r="E5385" i="1"/>
  <c r="B5385" i="1"/>
  <c r="O5384" i="1"/>
  <c r="E5384" i="1"/>
  <c r="B5384" i="1"/>
  <c r="O5383" i="1"/>
  <c r="E5383" i="1"/>
  <c r="B5383" i="1"/>
  <c r="O5382" i="1"/>
  <c r="E5382" i="1"/>
  <c r="B5382" i="1"/>
  <c r="O5381" i="1"/>
  <c r="E5381" i="1"/>
  <c r="B5381" i="1"/>
  <c r="O5380" i="1"/>
  <c r="E5380" i="1"/>
  <c r="B5380" i="1"/>
  <c r="O5379" i="1"/>
  <c r="E5379" i="1"/>
  <c r="B5379" i="1"/>
  <c r="O5378" i="1"/>
  <c r="E5378" i="1"/>
  <c r="B5378" i="1"/>
  <c r="O5377" i="1"/>
  <c r="E5377" i="1"/>
  <c r="B5377" i="1"/>
  <c r="O5376" i="1"/>
  <c r="E5376" i="1"/>
  <c r="B5376" i="1"/>
  <c r="O5375" i="1"/>
  <c r="E5375" i="1"/>
  <c r="B5375" i="1"/>
  <c r="O5374" i="1"/>
  <c r="E5374" i="1"/>
  <c r="B5374" i="1"/>
  <c r="O5373" i="1"/>
  <c r="E5373" i="1"/>
  <c r="B5373" i="1"/>
  <c r="O5372" i="1"/>
  <c r="E5372" i="1"/>
  <c r="B5372" i="1"/>
  <c r="O5371" i="1"/>
  <c r="E5371" i="1"/>
  <c r="B5371" i="1"/>
  <c r="O5370" i="1"/>
  <c r="E5370" i="1"/>
  <c r="B5370" i="1"/>
  <c r="O5369" i="1"/>
  <c r="E5369" i="1"/>
  <c r="B5369" i="1"/>
  <c r="O5368" i="1"/>
  <c r="E5368" i="1"/>
  <c r="B5368" i="1"/>
  <c r="O5367" i="1"/>
  <c r="E5367" i="1"/>
  <c r="B5367" i="1"/>
  <c r="O5366" i="1"/>
  <c r="E5366" i="1"/>
  <c r="B5366" i="1"/>
  <c r="O5365" i="1"/>
  <c r="E5365" i="1"/>
  <c r="B5365" i="1"/>
  <c r="O5364" i="1"/>
  <c r="E5364" i="1"/>
  <c r="B5364" i="1"/>
  <c r="O5363" i="1"/>
  <c r="E5363" i="1"/>
  <c r="B5363" i="1"/>
  <c r="O5362" i="1"/>
  <c r="E5362" i="1"/>
  <c r="B5362" i="1"/>
  <c r="O5361" i="1"/>
  <c r="E5361" i="1"/>
  <c r="B5361" i="1"/>
  <c r="O5360" i="1"/>
  <c r="E5360" i="1"/>
  <c r="B5360" i="1"/>
  <c r="O5359" i="1"/>
  <c r="E5359" i="1"/>
  <c r="B5359" i="1"/>
  <c r="O5358" i="1"/>
  <c r="E5358" i="1"/>
  <c r="B5358" i="1"/>
  <c r="O5357" i="1"/>
  <c r="E5357" i="1"/>
  <c r="B5357" i="1"/>
  <c r="O5356" i="1"/>
  <c r="E5356" i="1"/>
  <c r="B5356" i="1"/>
  <c r="O5355" i="1"/>
  <c r="E5355" i="1"/>
  <c r="B5355" i="1"/>
  <c r="O5354" i="1"/>
  <c r="E5354" i="1"/>
  <c r="B5354" i="1"/>
  <c r="O5353" i="1"/>
  <c r="E5353" i="1"/>
  <c r="B5353" i="1"/>
  <c r="O5352" i="1"/>
  <c r="E5352" i="1"/>
  <c r="B5352" i="1"/>
  <c r="O5351" i="1"/>
  <c r="E5351" i="1"/>
  <c r="B5351" i="1"/>
  <c r="O5350" i="1"/>
  <c r="E5350" i="1"/>
  <c r="B5350" i="1"/>
  <c r="O5349" i="1"/>
  <c r="E5349" i="1"/>
  <c r="B5349" i="1"/>
  <c r="O5348" i="1"/>
  <c r="E5348" i="1"/>
  <c r="B5348" i="1"/>
  <c r="O5347" i="1"/>
  <c r="E5347" i="1"/>
  <c r="B5347" i="1"/>
  <c r="O5346" i="1"/>
  <c r="E5346" i="1"/>
  <c r="B5346" i="1"/>
  <c r="O5345" i="1"/>
  <c r="E5345" i="1"/>
  <c r="B5345" i="1"/>
  <c r="O5344" i="1"/>
  <c r="E5344" i="1"/>
  <c r="B5344" i="1"/>
  <c r="O5343" i="1"/>
  <c r="E5343" i="1"/>
  <c r="B5343" i="1"/>
  <c r="O5342" i="1"/>
  <c r="E5342" i="1"/>
  <c r="B5342" i="1"/>
  <c r="O5341" i="1"/>
  <c r="E5341" i="1"/>
  <c r="B5341" i="1"/>
  <c r="O5340" i="1"/>
  <c r="E5340" i="1"/>
  <c r="B5340" i="1"/>
  <c r="O5339" i="1"/>
  <c r="E5339" i="1"/>
  <c r="B5339" i="1"/>
  <c r="O5338" i="1"/>
  <c r="E5338" i="1"/>
  <c r="B5338" i="1"/>
  <c r="O5337" i="1"/>
  <c r="E5337" i="1"/>
  <c r="B5337" i="1"/>
  <c r="O5336" i="1"/>
  <c r="E5336" i="1"/>
  <c r="B5336" i="1"/>
  <c r="O5335" i="1"/>
  <c r="E5335" i="1"/>
  <c r="B5335" i="1"/>
  <c r="O5334" i="1"/>
  <c r="E5334" i="1"/>
  <c r="B5334" i="1"/>
  <c r="O5333" i="1"/>
  <c r="E5333" i="1"/>
  <c r="B5333" i="1"/>
  <c r="O5332" i="1"/>
  <c r="E5332" i="1"/>
  <c r="B5332" i="1"/>
  <c r="O5331" i="1"/>
  <c r="E5331" i="1"/>
  <c r="B5331" i="1"/>
  <c r="O5330" i="1"/>
  <c r="E5330" i="1"/>
  <c r="B5330" i="1"/>
  <c r="O5329" i="1"/>
  <c r="E5329" i="1"/>
  <c r="B5329" i="1"/>
  <c r="O5328" i="1"/>
  <c r="E5328" i="1"/>
  <c r="B5328" i="1"/>
  <c r="P5327" i="1"/>
  <c r="O5327" i="1"/>
  <c r="E5327" i="1"/>
  <c r="B5327" i="1"/>
  <c r="O5326" i="1"/>
  <c r="E5326" i="1"/>
  <c r="B5326" i="1"/>
  <c r="O5325" i="1"/>
  <c r="E5325" i="1"/>
  <c r="B5325" i="1"/>
  <c r="O5324" i="1"/>
  <c r="E5324" i="1"/>
  <c r="B5324" i="1"/>
  <c r="O5323" i="1"/>
  <c r="E5323" i="1"/>
  <c r="B5323" i="1"/>
  <c r="O5322" i="1"/>
  <c r="E5322" i="1"/>
  <c r="B5322" i="1"/>
  <c r="O5321" i="1"/>
  <c r="E5321" i="1"/>
  <c r="B5321" i="1"/>
  <c r="O5320" i="1"/>
  <c r="E5320" i="1"/>
  <c r="B5320" i="1"/>
  <c r="O5319" i="1"/>
  <c r="E5319" i="1"/>
  <c r="B5319" i="1"/>
  <c r="O5318" i="1"/>
  <c r="E5318" i="1"/>
  <c r="B5318" i="1"/>
  <c r="O5317" i="1"/>
  <c r="E5317" i="1"/>
  <c r="B5317" i="1"/>
  <c r="O5316" i="1"/>
  <c r="E5316" i="1"/>
  <c r="B5316" i="1"/>
  <c r="O5315" i="1"/>
  <c r="E5315" i="1"/>
  <c r="B5315" i="1"/>
  <c r="O5314" i="1"/>
  <c r="E5314" i="1"/>
  <c r="B5314" i="1"/>
  <c r="O5313" i="1"/>
  <c r="E5313" i="1"/>
  <c r="B5313" i="1"/>
  <c r="O5312" i="1"/>
  <c r="E5312" i="1"/>
  <c r="B5312" i="1"/>
  <c r="O5311" i="1"/>
  <c r="E5311" i="1"/>
  <c r="B5311" i="1"/>
  <c r="O5310" i="1"/>
  <c r="E5310" i="1"/>
  <c r="B5310" i="1"/>
  <c r="O5309" i="1"/>
  <c r="E5309" i="1"/>
  <c r="B5309" i="1"/>
  <c r="O5308" i="1"/>
  <c r="E5308" i="1"/>
  <c r="B5308" i="1"/>
  <c r="O5307" i="1"/>
  <c r="E5307" i="1"/>
  <c r="B5307" i="1"/>
  <c r="O5306" i="1"/>
  <c r="E5306" i="1"/>
  <c r="B5306" i="1"/>
  <c r="O5305" i="1"/>
  <c r="E5305" i="1"/>
  <c r="B5305" i="1"/>
  <c r="O5304" i="1"/>
  <c r="E5304" i="1"/>
  <c r="B5304" i="1"/>
  <c r="O5303" i="1"/>
  <c r="E5303" i="1"/>
  <c r="B5303" i="1"/>
  <c r="O5302" i="1"/>
  <c r="E5302" i="1"/>
  <c r="B5302" i="1"/>
  <c r="O5301" i="1"/>
  <c r="E5301" i="1"/>
  <c r="B5301" i="1"/>
  <c r="O5300" i="1"/>
  <c r="E5300" i="1"/>
  <c r="B5300" i="1"/>
  <c r="O5299" i="1"/>
  <c r="E5299" i="1"/>
  <c r="B5299" i="1"/>
  <c r="O5298" i="1"/>
  <c r="E5298" i="1"/>
  <c r="B5298" i="1"/>
  <c r="O5297" i="1"/>
  <c r="E5297" i="1"/>
  <c r="B5297" i="1"/>
  <c r="O5296" i="1"/>
  <c r="E5296" i="1"/>
  <c r="B5296" i="1"/>
  <c r="O5295" i="1"/>
  <c r="E5295" i="1"/>
  <c r="B5295" i="1"/>
  <c r="O5294" i="1"/>
  <c r="E5294" i="1"/>
  <c r="B5294" i="1"/>
  <c r="O5293" i="1"/>
  <c r="E5293" i="1"/>
  <c r="B5293" i="1"/>
  <c r="O5292" i="1"/>
  <c r="E5292" i="1"/>
  <c r="B5292" i="1"/>
  <c r="O5291" i="1"/>
  <c r="E5291" i="1"/>
  <c r="B5291" i="1"/>
  <c r="O5290" i="1"/>
  <c r="E5290" i="1"/>
  <c r="B5290" i="1"/>
  <c r="O5289" i="1"/>
  <c r="E5289" i="1"/>
  <c r="B5289" i="1"/>
  <c r="O5288" i="1"/>
  <c r="E5288" i="1"/>
  <c r="B5288" i="1"/>
  <c r="O5287" i="1"/>
  <c r="E5287" i="1"/>
  <c r="B5287" i="1"/>
  <c r="O5286" i="1"/>
  <c r="E5286" i="1"/>
  <c r="B5286" i="1"/>
  <c r="O5285" i="1"/>
  <c r="E5285" i="1"/>
  <c r="B5285" i="1"/>
  <c r="O5284" i="1"/>
  <c r="E5284" i="1"/>
  <c r="B5284" i="1"/>
  <c r="O5283" i="1"/>
  <c r="E5283" i="1"/>
  <c r="B5283" i="1"/>
  <c r="O5282" i="1"/>
  <c r="E5282" i="1"/>
  <c r="B5282" i="1"/>
  <c r="O5281" i="1"/>
  <c r="E5281" i="1"/>
  <c r="B5281" i="1"/>
  <c r="O5280" i="1"/>
  <c r="E5280" i="1"/>
  <c r="B5280" i="1"/>
  <c r="O5279" i="1"/>
  <c r="E5279" i="1"/>
  <c r="B5279" i="1"/>
  <c r="O5278" i="1"/>
  <c r="E5278" i="1"/>
  <c r="B5278" i="1"/>
  <c r="O5277" i="1"/>
  <c r="E5277" i="1"/>
  <c r="B5277" i="1"/>
  <c r="O5276" i="1"/>
  <c r="E5276" i="1"/>
  <c r="B5276" i="1"/>
  <c r="O5275" i="1"/>
  <c r="E5275" i="1"/>
  <c r="B5275" i="1"/>
  <c r="O5274" i="1"/>
  <c r="E5274" i="1"/>
  <c r="B5274" i="1"/>
  <c r="O5273" i="1"/>
  <c r="E5273" i="1"/>
  <c r="B5273" i="1"/>
  <c r="O5272" i="1"/>
  <c r="E5272" i="1"/>
  <c r="B5272" i="1"/>
  <c r="O5271" i="1"/>
  <c r="E5271" i="1"/>
  <c r="B5271" i="1"/>
  <c r="O5270" i="1"/>
  <c r="E5270" i="1"/>
  <c r="B5270" i="1"/>
  <c r="O5269" i="1"/>
  <c r="E5269" i="1"/>
  <c r="B5269" i="1"/>
  <c r="O5268" i="1"/>
  <c r="E5268" i="1"/>
  <c r="B5268" i="1"/>
  <c r="O5267" i="1"/>
  <c r="E5267" i="1"/>
  <c r="B5267" i="1"/>
  <c r="O5266" i="1"/>
  <c r="E5266" i="1"/>
  <c r="B5266" i="1"/>
  <c r="O5265" i="1"/>
  <c r="E5265" i="1"/>
  <c r="B5265" i="1"/>
  <c r="O5264" i="1"/>
  <c r="E5264" i="1"/>
  <c r="B5264" i="1"/>
  <c r="O5263" i="1"/>
  <c r="E5263" i="1"/>
  <c r="B5263" i="1"/>
  <c r="O5262" i="1"/>
  <c r="E5262" i="1"/>
  <c r="B5262" i="1"/>
  <c r="O5261" i="1"/>
  <c r="E5261" i="1"/>
  <c r="B5261" i="1"/>
  <c r="O5260" i="1"/>
  <c r="E5260" i="1"/>
  <c r="B5260" i="1"/>
  <c r="O5259" i="1"/>
  <c r="E5259" i="1"/>
  <c r="B5259" i="1"/>
  <c r="O5258" i="1"/>
  <c r="E5258" i="1"/>
  <c r="B5258" i="1"/>
  <c r="O5257" i="1"/>
  <c r="E5257" i="1"/>
  <c r="B5257" i="1"/>
  <c r="O5256" i="1"/>
  <c r="E5256" i="1"/>
  <c r="B5256" i="1"/>
  <c r="O5255" i="1"/>
  <c r="E5255" i="1"/>
  <c r="B5255" i="1"/>
  <c r="O5254" i="1"/>
  <c r="E5254" i="1"/>
  <c r="B5254" i="1"/>
  <c r="O5253" i="1"/>
  <c r="E5253" i="1"/>
  <c r="B5253" i="1"/>
  <c r="O5252" i="1"/>
  <c r="E5252" i="1"/>
  <c r="B5252" i="1"/>
  <c r="O5251" i="1"/>
  <c r="E5251" i="1"/>
  <c r="B5251" i="1"/>
  <c r="O5250" i="1"/>
  <c r="E5250" i="1"/>
  <c r="B5250" i="1"/>
  <c r="O5249" i="1"/>
  <c r="E5249" i="1"/>
  <c r="B5249" i="1"/>
  <c r="O5248" i="1"/>
  <c r="E5248" i="1"/>
  <c r="B5248" i="1"/>
  <c r="O5247" i="1"/>
  <c r="E5247" i="1"/>
  <c r="B5247" i="1"/>
  <c r="O5246" i="1"/>
  <c r="E5246" i="1"/>
  <c r="B5246" i="1"/>
  <c r="O5245" i="1"/>
  <c r="E5245" i="1"/>
  <c r="B5245" i="1"/>
  <c r="O5244" i="1"/>
  <c r="E5244" i="1"/>
  <c r="B5244" i="1"/>
  <c r="O5243" i="1"/>
  <c r="E5243" i="1"/>
  <c r="B5243" i="1"/>
  <c r="O5242" i="1"/>
  <c r="E5242" i="1"/>
  <c r="B5242" i="1"/>
  <c r="O5241" i="1"/>
  <c r="E5241" i="1"/>
  <c r="B5241" i="1"/>
  <c r="O5240" i="1"/>
  <c r="E5240" i="1"/>
  <c r="B5240" i="1"/>
  <c r="O5239" i="1"/>
  <c r="E5239" i="1"/>
  <c r="B5239" i="1"/>
  <c r="O5238" i="1"/>
  <c r="E5238" i="1"/>
  <c r="B5238" i="1"/>
  <c r="O5237" i="1"/>
  <c r="E5237" i="1"/>
  <c r="B5237" i="1"/>
  <c r="O5236" i="1"/>
  <c r="E5236" i="1"/>
  <c r="B5236" i="1"/>
  <c r="O5235" i="1"/>
  <c r="E5235" i="1"/>
  <c r="B5235" i="1"/>
  <c r="O5234" i="1"/>
  <c r="E5234" i="1"/>
  <c r="B5234" i="1"/>
  <c r="O5233" i="1"/>
  <c r="E5233" i="1"/>
  <c r="B5233" i="1"/>
  <c r="O5232" i="1"/>
  <c r="E5232" i="1"/>
  <c r="B5232" i="1"/>
  <c r="O5231" i="1"/>
  <c r="E5231" i="1"/>
  <c r="B5231" i="1"/>
  <c r="O5230" i="1"/>
  <c r="E5230" i="1"/>
  <c r="B5230" i="1"/>
  <c r="O5229" i="1"/>
  <c r="E5229" i="1"/>
  <c r="B5229" i="1"/>
  <c r="O5228" i="1"/>
  <c r="E5228" i="1"/>
  <c r="B5228" i="1"/>
  <c r="O5227" i="1"/>
  <c r="E5227" i="1"/>
  <c r="B5227" i="1"/>
  <c r="O5226" i="1"/>
  <c r="E5226" i="1"/>
  <c r="B5226" i="1"/>
  <c r="O5225" i="1"/>
  <c r="E5225" i="1"/>
  <c r="B5225" i="1"/>
  <c r="O5224" i="1"/>
  <c r="E5224" i="1"/>
  <c r="B5224" i="1"/>
  <c r="O5223" i="1"/>
  <c r="E5223" i="1"/>
  <c r="B5223" i="1"/>
  <c r="O5222" i="1"/>
  <c r="E5222" i="1"/>
  <c r="B5222" i="1"/>
  <c r="O5221" i="1"/>
  <c r="E5221" i="1"/>
  <c r="B5221" i="1"/>
  <c r="O5220" i="1"/>
  <c r="E5220" i="1"/>
  <c r="B5220" i="1"/>
  <c r="O5219" i="1"/>
  <c r="E5219" i="1"/>
  <c r="B5219" i="1"/>
  <c r="O5218" i="1"/>
  <c r="E5218" i="1"/>
  <c r="B5218" i="1"/>
  <c r="O5217" i="1"/>
  <c r="E5217" i="1"/>
  <c r="B5217" i="1"/>
  <c r="O5216" i="1"/>
  <c r="E5216" i="1"/>
  <c r="B5216" i="1"/>
  <c r="O5215" i="1"/>
  <c r="E5215" i="1"/>
  <c r="B5215" i="1"/>
  <c r="O5214" i="1"/>
  <c r="E5214" i="1"/>
  <c r="B5214" i="1"/>
  <c r="O5213" i="1"/>
  <c r="E5213" i="1"/>
  <c r="B5213" i="1"/>
  <c r="O5212" i="1"/>
  <c r="E5212" i="1"/>
  <c r="B5212" i="1"/>
  <c r="O5211" i="1"/>
  <c r="E5211" i="1"/>
  <c r="B5211" i="1"/>
  <c r="P5210" i="1"/>
  <c r="O5210" i="1"/>
  <c r="E5210" i="1"/>
  <c r="B5210" i="1"/>
  <c r="O5209" i="1"/>
  <c r="E5209" i="1"/>
  <c r="B5209" i="1"/>
  <c r="O5208" i="1"/>
  <c r="E5208" i="1"/>
  <c r="B5208" i="1"/>
  <c r="O5207" i="1"/>
  <c r="E5207" i="1"/>
  <c r="B5207" i="1"/>
  <c r="O5206" i="1"/>
  <c r="E5206" i="1"/>
  <c r="B5206" i="1"/>
  <c r="O5205" i="1"/>
  <c r="E5205" i="1"/>
  <c r="B5205" i="1"/>
  <c r="O5204" i="1"/>
  <c r="E5204" i="1"/>
  <c r="B5204" i="1"/>
  <c r="O5203" i="1"/>
  <c r="E5203" i="1"/>
  <c r="B5203" i="1"/>
  <c r="O5202" i="1"/>
  <c r="E5202" i="1"/>
  <c r="B5202" i="1"/>
  <c r="O5201" i="1"/>
  <c r="E5201" i="1"/>
  <c r="B5201" i="1"/>
  <c r="O5200" i="1"/>
  <c r="E5200" i="1"/>
  <c r="B5200" i="1"/>
  <c r="O5199" i="1"/>
  <c r="E5199" i="1"/>
  <c r="B5199" i="1"/>
  <c r="O5198" i="1"/>
  <c r="E5198" i="1"/>
  <c r="B5198" i="1"/>
  <c r="O5197" i="1"/>
  <c r="E5197" i="1"/>
  <c r="B5197" i="1"/>
  <c r="O5196" i="1"/>
  <c r="E5196" i="1"/>
  <c r="B5196" i="1"/>
  <c r="O5195" i="1"/>
  <c r="E5195" i="1"/>
  <c r="B5195" i="1"/>
  <c r="O5194" i="1"/>
  <c r="E5194" i="1"/>
  <c r="B5194" i="1"/>
  <c r="O5193" i="1"/>
  <c r="E5193" i="1"/>
  <c r="B5193" i="1"/>
  <c r="O5192" i="1"/>
  <c r="E5192" i="1"/>
  <c r="B5192" i="1"/>
  <c r="O5191" i="1"/>
  <c r="E5191" i="1"/>
  <c r="B5191" i="1"/>
  <c r="O5190" i="1"/>
  <c r="E5190" i="1"/>
  <c r="B5190" i="1"/>
  <c r="O5189" i="1"/>
  <c r="E5189" i="1"/>
  <c r="B5189" i="1"/>
  <c r="O5188" i="1"/>
  <c r="E5188" i="1"/>
  <c r="B5188" i="1"/>
  <c r="O5187" i="1"/>
  <c r="E5187" i="1"/>
  <c r="B5187" i="1"/>
  <c r="O5186" i="1"/>
  <c r="E5186" i="1"/>
  <c r="B5186" i="1"/>
  <c r="O5185" i="1"/>
  <c r="E5185" i="1"/>
  <c r="B5185" i="1"/>
  <c r="O5184" i="1"/>
  <c r="E5184" i="1"/>
  <c r="B5184" i="1"/>
  <c r="O5183" i="1"/>
  <c r="E5183" i="1"/>
  <c r="B5183" i="1"/>
  <c r="O5182" i="1"/>
  <c r="E5182" i="1"/>
  <c r="B5182" i="1"/>
  <c r="O5181" i="1"/>
  <c r="E5181" i="1"/>
  <c r="B5181" i="1"/>
  <c r="O5180" i="1"/>
  <c r="E5180" i="1"/>
  <c r="B5180" i="1"/>
  <c r="O5179" i="1"/>
  <c r="E5179" i="1"/>
  <c r="B5179" i="1"/>
  <c r="O5178" i="1"/>
  <c r="E5178" i="1"/>
  <c r="B5178" i="1"/>
  <c r="O5177" i="1"/>
  <c r="E5177" i="1"/>
  <c r="B5177" i="1"/>
  <c r="O5176" i="1"/>
  <c r="E5176" i="1"/>
  <c r="B5176" i="1"/>
  <c r="O5175" i="1"/>
  <c r="E5175" i="1"/>
  <c r="B5175" i="1"/>
  <c r="O5174" i="1"/>
  <c r="E5174" i="1"/>
  <c r="B5174" i="1"/>
  <c r="O5173" i="1"/>
  <c r="E5173" i="1"/>
  <c r="B5173" i="1"/>
  <c r="O5172" i="1"/>
  <c r="E5172" i="1"/>
  <c r="B5172" i="1"/>
  <c r="O5171" i="1"/>
  <c r="E5171" i="1"/>
  <c r="B5171" i="1"/>
  <c r="O5170" i="1"/>
  <c r="E5170" i="1"/>
  <c r="B5170" i="1"/>
  <c r="O5169" i="1"/>
  <c r="E5169" i="1"/>
  <c r="B5169" i="1"/>
  <c r="O5168" i="1"/>
  <c r="E5168" i="1"/>
  <c r="B5168" i="1"/>
  <c r="O5167" i="1"/>
  <c r="E5167" i="1"/>
  <c r="B5167" i="1"/>
  <c r="O5166" i="1"/>
  <c r="E5166" i="1"/>
  <c r="B5166" i="1"/>
  <c r="O5165" i="1"/>
  <c r="E5165" i="1"/>
  <c r="B5165" i="1"/>
  <c r="O5164" i="1"/>
  <c r="E5164" i="1"/>
  <c r="B5164" i="1"/>
  <c r="O5163" i="1"/>
  <c r="E5163" i="1"/>
  <c r="B5163" i="1"/>
  <c r="O5162" i="1"/>
  <c r="E5162" i="1"/>
  <c r="B5162" i="1"/>
  <c r="O5161" i="1"/>
  <c r="E5161" i="1"/>
  <c r="B5161" i="1"/>
  <c r="O5160" i="1"/>
  <c r="E5160" i="1"/>
  <c r="B5160" i="1"/>
  <c r="O5159" i="1"/>
  <c r="E5159" i="1"/>
  <c r="B5159" i="1"/>
  <c r="O5158" i="1"/>
  <c r="E5158" i="1"/>
  <c r="B5158" i="1"/>
  <c r="O5157" i="1"/>
  <c r="E5157" i="1"/>
  <c r="B5157" i="1"/>
  <c r="O5156" i="1"/>
  <c r="E5156" i="1"/>
  <c r="B5156" i="1"/>
  <c r="P5155" i="1"/>
  <c r="O5155" i="1"/>
  <c r="E5155" i="1"/>
  <c r="B5155" i="1"/>
  <c r="O5154" i="1"/>
  <c r="E5154" i="1"/>
  <c r="B5154" i="1"/>
  <c r="P5153" i="1"/>
  <c r="O5153" i="1"/>
  <c r="E5153" i="1"/>
  <c r="B5153" i="1"/>
  <c r="O5152" i="1"/>
  <c r="E5152" i="1"/>
  <c r="B5152" i="1"/>
  <c r="O5151" i="1"/>
  <c r="E5151" i="1"/>
  <c r="B5151" i="1"/>
  <c r="O5150" i="1"/>
  <c r="E5150" i="1"/>
  <c r="B5150" i="1"/>
  <c r="O5149" i="1"/>
  <c r="E5149" i="1"/>
  <c r="B5149" i="1"/>
  <c r="O5148" i="1"/>
  <c r="E5148" i="1"/>
  <c r="B5148" i="1"/>
  <c r="P5147" i="1"/>
  <c r="O5147" i="1"/>
  <c r="E5147" i="1"/>
  <c r="B5147" i="1"/>
  <c r="O5146" i="1"/>
  <c r="E5146" i="1"/>
  <c r="B5146" i="1"/>
  <c r="O5145" i="1"/>
  <c r="E5145" i="1"/>
  <c r="B5145" i="1"/>
  <c r="O5144" i="1"/>
  <c r="E5144" i="1"/>
  <c r="B5144" i="1"/>
  <c r="O5143" i="1"/>
  <c r="E5143" i="1"/>
  <c r="B5143" i="1"/>
  <c r="O5142" i="1"/>
  <c r="E5142" i="1"/>
  <c r="B5142" i="1"/>
  <c r="O5141" i="1"/>
  <c r="E5141" i="1"/>
  <c r="B5141" i="1"/>
  <c r="O5140" i="1"/>
  <c r="E5140" i="1"/>
  <c r="B5140" i="1"/>
  <c r="O5139" i="1"/>
  <c r="E5139" i="1"/>
  <c r="B5139" i="1"/>
  <c r="O5138" i="1"/>
  <c r="E5138" i="1"/>
  <c r="B5138" i="1"/>
  <c r="O5137" i="1"/>
  <c r="E5137" i="1"/>
  <c r="B5137" i="1"/>
  <c r="O5136" i="1"/>
  <c r="E5136" i="1"/>
  <c r="B5136" i="1"/>
  <c r="O5135" i="1"/>
  <c r="E5135" i="1"/>
  <c r="B5135" i="1"/>
  <c r="O5134" i="1"/>
  <c r="E5134" i="1"/>
  <c r="B5134" i="1"/>
  <c r="O5133" i="1"/>
  <c r="E5133" i="1"/>
  <c r="B5133" i="1"/>
  <c r="O5132" i="1"/>
  <c r="E5132" i="1"/>
  <c r="B5132" i="1"/>
  <c r="O5131" i="1"/>
  <c r="E5131" i="1"/>
  <c r="B5131" i="1"/>
  <c r="O5130" i="1"/>
  <c r="E5130" i="1"/>
  <c r="B5130" i="1"/>
  <c r="O5129" i="1"/>
  <c r="E5129" i="1"/>
  <c r="B5129" i="1"/>
  <c r="O5128" i="1"/>
  <c r="E5128" i="1"/>
  <c r="B5128" i="1"/>
  <c r="O5127" i="1"/>
  <c r="E5127" i="1"/>
  <c r="B5127" i="1"/>
  <c r="O5126" i="1"/>
  <c r="E5126" i="1"/>
  <c r="B5126" i="1"/>
  <c r="O5125" i="1"/>
  <c r="E5125" i="1"/>
  <c r="B5125" i="1"/>
  <c r="O5124" i="1"/>
  <c r="E5124" i="1"/>
  <c r="B5124" i="1"/>
  <c r="O5123" i="1"/>
  <c r="E5123" i="1"/>
  <c r="B5123" i="1"/>
  <c r="O5122" i="1"/>
  <c r="E5122" i="1"/>
  <c r="B5122" i="1"/>
  <c r="O5121" i="1"/>
  <c r="E5121" i="1"/>
  <c r="B5121" i="1"/>
  <c r="O5120" i="1"/>
  <c r="E5120" i="1"/>
  <c r="B5120" i="1"/>
  <c r="O5119" i="1"/>
  <c r="E5119" i="1"/>
  <c r="B5119" i="1"/>
  <c r="O5118" i="1"/>
  <c r="E5118" i="1"/>
  <c r="B5118" i="1"/>
  <c r="O5117" i="1"/>
  <c r="E5117" i="1"/>
  <c r="B5117" i="1"/>
  <c r="O5116" i="1"/>
  <c r="E5116" i="1"/>
  <c r="B5116" i="1"/>
  <c r="O5115" i="1"/>
  <c r="E5115" i="1"/>
  <c r="B5115" i="1"/>
  <c r="O5114" i="1"/>
  <c r="E5114" i="1"/>
  <c r="B5114" i="1"/>
  <c r="O5113" i="1"/>
  <c r="E5113" i="1"/>
  <c r="B5113" i="1"/>
  <c r="O5112" i="1"/>
  <c r="E5112" i="1"/>
  <c r="B5112" i="1"/>
  <c r="O5111" i="1"/>
  <c r="E5111" i="1"/>
  <c r="B5111" i="1"/>
  <c r="O5110" i="1"/>
  <c r="E5110" i="1"/>
  <c r="B5110" i="1"/>
  <c r="O5109" i="1"/>
  <c r="E5109" i="1"/>
  <c r="B5109" i="1"/>
  <c r="O5108" i="1"/>
  <c r="E5108" i="1"/>
  <c r="B5108" i="1"/>
  <c r="O5107" i="1"/>
  <c r="E5107" i="1"/>
  <c r="B5107" i="1"/>
  <c r="O5106" i="1"/>
  <c r="E5106" i="1"/>
  <c r="B5106" i="1"/>
  <c r="O5105" i="1"/>
  <c r="E5105" i="1"/>
  <c r="B5105" i="1"/>
  <c r="O5104" i="1"/>
  <c r="E5104" i="1"/>
  <c r="B5104" i="1"/>
  <c r="O5103" i="1"/>
  <c r="E5103" i="1"/>
  <c r="B5103" i="1"/>
  <c r="O5102" i="1"/>
  <c r="E5102" i="1"/>
  <c r="B5102" i="1"/>
  <c r="O5101" i="1"/>
  <c r="E5101" i="1"/>
  <c r="B5101" i="1"/>
  <c r="P5100" i="1"/>
  <c r="O5100" i="1"/>
  <c r="E5100" i="1"/>
  <c r="B5100" i="1"/>
  <c r="O5099" i="1"/>
  <c r="E5099" i="1"/>
  <c r="B5099" i="1"/>
  <c r="O5098" i="1"/>
  <c r="E5098" i="1"/>
  <c r="B5098" i="1"/>
  <c r="O5097" i="1"/>
  <c r="E5097" i="1"/>
  <c r="B5097" i="1"/>
  <c r="O5096" i="1"/>
  <c r="E5096" i="1"/>
  <c r="B5096" i="1"/>
  <c r="O5095" i="1"/>
  <c r="E5095" i="1"/>
  <c r="B5095" i="1"/>
  <c r="O5094" i="1"/>
  <c r="E5094" i="1"/>
  <c r="B5094" i="1"/>
  <c r="O5093" i="1"/>
  <c r="E5093" i="1"/>
  <c r="B5093" i="1"/>
  <c r="O5092" i="1"/>
  <c r="E5092" i="1"/>
  <c r="B5092" i="1"/>
  <c r="O5091" i="1"/>
  <c r="E5091" i="1"/>
  <c r="B5091" i="1"/>
  <c r="O5090" i="1"/>
  <c r="E5090" i="1"/>
  <c r="B5090" i="1"/>
  <c r="O5089" i="1"/>
  <c r="E5089" i="1"/>
  <c r="B5089" i="1"/>
  <c r="O5088" i="1"/>
  <c r="E5088" i="1"/>
  <c r="B5088" i="1"/>
  <c r="O5087" i="1"/>
  <c r="E5087" i="1"/>
  <c r="B5087" i="1"/>
  <c r="O5086" i="1"/>
  <c r="E5086" i="1"/>
  <c r="B5086" i="1"/>
  <c r="O5085" i="1"/>
  <c r="E5085" i="1"/>
  <c r="B5085" i="1"/>
  <c r="O5084" i="1"/>
  <c r="E5084" i="1"/>
  <c r="B5084" i="1"/>
  <c r="O5083" i="1"/>
  <c r="E5083" i="1"/>
  <c r="B5083" i="1"/>
  <c r="O5082" i="1"/>
  <c r="E5082" i="1"/>
  <c r="B5082" i="1"/>
  <c r="O5081" i="1"/>
  <c r="E5081" i="1"/>
  <c r="B5081" i="1"/>
  <c r="O5080" i="1"/>
  <c r="E5080" i="1"/>
  <c r="B5080" i="1"/>
  <c r="O5079" i="1"/>
  <c r="E5079" i="1"/>
  <c r="B5079" i="1"/>
  <c r="O5078" i="1"/>
  <c r="E5078" i="1"/>
  <c r="B5078" i="1"/>
  <c r="O5077" i="1"/>
  <c r="E5077" i="1"/>
  <c r="B5077" i="1"/>
  <c r="O5076" i="1"/>
  <c r="E5076" i="1"/>
  <c r="B5076" i="1"/>
  <c r="O5075" i="1"/>
  <c r="E5075" i="1"/>
  <c r="B5075" i="1"/>
  <c r="O5074" i="1"/>
  <c r="E5074" i="1"/>
  <c r="B5074" i="1"/>
  <c r="O5073" i="1"/>
  <c r="E5073" i="1"/>
  <c r="B5073" i="1"/>
  <c r="O5072" i="1"/>
  <c r="E5072" i="1"/>
  <c r="B5072" i="1"/>
  <c r="O5071" i="1"/>
  <c r="E5071" i="1"/>
  <c r="B5071" i="1"/>
  <c r="O5070" i="1"/>
  <c r="E5070" i="1"/>
  <c r="B5070" i="1"/>
  <c r="O5069" i="1"/>
  <c r="E5069" i="1"/>
  <c r="B5069" i="1"/>
  <c r="P5068" i="1"/>
  <c r="O5068" i="1"/>
  <c r="E5068" i="1"/>
  <c r="B5068" i="1"/>
  <c r="O5067" i="1"/>
  <c r="E5067" i="1"/>
  <c r="B5067" i="1"/>
  <c r="O5066" i="1"/>
  <c r="E5066" i="1"/>
  <c r="B5066" i="1"/>
  <c r="O5065" i="1"/>
  <c r="E5065" i="1"/>
  <c r="B5065" i="1"/>
  <c r="O5064" i="1"/>
  <c r="E5064" i="1"/>
  <c r="B5064" i="1"/>
  <c r="O5063" i="1"/>
  <c r="E5063" i="1"/>
  <c r="B5063" i="1"/>
  <c r="O5062" i="1"/>
  <c r="E5062" i="1"/>
  <c r="B5062" i="1"/>
  <c r="O5061" i="1"/>
  <c r="E5061" i="1"/>
  <c r="B5061" i="1"/>
  <c r="O5060" i="1"/>
  <c r="E5060" i="1"/>
  <c r="B5060" i="1"/>
  <c r="O5059" i="1"/>
  <c r="E5059" i="1"/>
  <c r="B5059" i="1"/>
  <c r="O5058" i="1"/>
  <c r="E5058" i="1"/>
  <c r="B5058" i="1"/>
  <c r="O5057" i="1"/>
  <c r="E5057" i="1"/>
  <c r="B5057" i="1"/>
  <c r="O5056" i="1"/>
  <c r="E5056" i="1"/>
  <c r="B5056" i="1"/>
  <c r="O5055" i="1"/>
  <c r="E5055" i="1"/>
  <c r="B5055" i="1"/>
  <c r="O5054" i="1"/>
  <c r="E5054" i="1"/>
  <c r="B5054" i="1"/>
  <c r="P5053" i="1"/>
  <c r="O5053" i="1"/>
  <c r="E5053" i="1"/>
  <c r="B5053" i="1"/>
  <c r="O5052" i="1"/>
  <c r="E5052" i="1"/>
  <c r="B5052" i="1"/>
  <c r="O5051" i="1"/>
  <c r="E5051" i="1"/>
  <c r="B5051" i="1"/>
  <c r="O5050" i="1"/>
  <c r="E5050" i="1"/>
  <c r="B5050" i="1"/>
  <c r="O5049" i="1"/>
  <c r="E5049" i="1"/>
  <c r="B5049" i="1"/>
  <c r="O5048" i="1"/>
  <c r="E5048" i="1"/>
  <c r="B5048" i="1"/>
  <c r="O5047" i="1"/>
  <c r="E5047" i="1"/>
  <c r="B5047" i="1"/>
  <c r="O5046" i="1"/>
  <c r="E5046" i="1"/>
  <c r="B5046" i="1"/>
  <c r="O5045" i="1"/>
  <c r="E5045" i="1"/>
  <c r="B5045" i="1"/>
  <c r="O5044" i="1"/>
  <c r="E5044" i="1"/>
  <c r="B5044" i="1"/>
  <c r="O5043" i="1"/>
  <c r="E5043" i="1"/>
  <c r="B5043" i="1"/>
  <c r="O5042" i="1"/>
  <c r="E5042" i="1"/>
  <c r="B5042" i="1"/>
  <c r="O5041" i="1"/>
  <c r="E5041" i="1"/>
  <c r="B5041" i="1"/>
  <c r="O5040" i="1"/>
  <c r="E5040" i="1"/>
  <c r="B5040" i="1"/>
  <c r="O5039" i="1"/>
  <c r="E5039" i="1"/>
  <c r="B5039" i="1"/>
  <c r="O5038" i="1"/>
  <c r="E5038" i="1"/>
  <c r="B5038" i="1"/>
  <c r="O5037" i="1"/>
  <c r="E5037" i="1"/>
  <c r="B5037" i="1"/>
  <c r="O5036" i="1"/>
  <c r="E5036" i="1"/>
  <c r="B5036" i="1"/>
  <c r="O5035" i="1"/>
  <c r="E5035" i="1"/>
  <c r="B5035" i="1"/>
  <c r="O5034" i="1"/>
  <c r="E5034" i="1"/>
  <c r="B5034" i="1"/>
  <c r="O5033" i="1"/>
  <c r="E5033" i="1"/>
  <c r="B5033" i="1"/>
  <c r="O5032" i="1"/>
  <c r="E5032" i="1"/>
  <c r="B5032" i="1"/>
  <c r="O5031" i="1"/>
  <c r="E5031" i="1"/>
  <c r="B5031" i="1"/>
  <c r="O5030" i="1"/>
  <c r="E5030" i="1"/>
  <c r="B5030" i="1"/>
  <c r="O5029" i="1"/>
  <c r="E5029" i="1"/>
  <c r="B5029" i="1"/>
  <c r="O5028" i="1"/>
  <c r="E5028" i="1"/>
  <c r="B5028" i="1"/>
  <c r="O5027" i="1"/>
  <c r="E5027" i="1"/>
  <c r="B5027" i="1"/>
  <c r="O5026" i="1"/>
  <c r="E5026" i="1"/>
  <c r="B5026" i="1"/>
  <c r="O5025" i="1"/>
  <c r="E5025" i="1"/>
  <c r="B5025" i="1"/>
  <c r="O5024" i="1"/>
  <c r="E5024" i="1"/>
  <c r="B5024" i="1"/>
  <c r="O5023" i="1"/>
  <c r="E5023" i="1"/>
  <c r="B5023" i="1"/>
  <c r="O5022" i="1"/>
  <c r="E5022" i="1"/>
  <c r="B5022" i="1"/>
  <c r="O5021" i="1"/>
  <c r="E5021" i="1"/>
  <c r="B5021" i="1"/>
  <c r="O5020" i="1"/>
  <c r="E5020" i="1"/>
  <c r="B5020" i="1"/>
  <c r="O5019" i="1"/>
  <c r="E5019" i="1"/>
  <c r="B5019" i="1"/>
  <c r="O5018" i="1"/>
  <c r="E5018" i="1"/>
  <c r="B5018" i="1"/>
  <c r="O5017" i="1"/>
  <c r="E5017" i="1"/>
  <c r="B5017" i="1"/>
  <c r="O5016" i="1"/>
  <c r="E5016" i="1"/>
  <c r="B5016" i="1"/>
  <c r="O5015" i="1"/>
  <c r="E5015" i="1"/>
  <c r="B5015" i="1"/>
  <c r="O5014" i="1"/>
  <c r="E5014" i="1"/>
  <c r="B5014" i="1"/>
  <c r="O5013" i="1"/>
  <c r="E5013" i="1"/>
  <c r="B5013" i="1"/>
  <c r="O5012" i="1"/>
  <c r="E5012" i="1"/>
  <c r="B5012" i="1"/>
  <c r="O5011" i="1"/>
  <c r="E5011" i="1"/>
  <c r="B5011" i="1"/>
  <c r="O5010" i="1"/>
  <c r="E5010" i="1"/>
  <c r="B5010" i="1"/>
  <c r="O5009" i="1"/>
  <c r="E5009" i="1"/>
  <c r="B5009" i="1"/>
  <c r="O5008" i="1"/>
  <c r="E5008" i="1"/>
  <c r="B5008" i="1"/>
  <c r="O5007" i="1"/>
  <c r="E5007" i="1"/>
  <c r="B5007" i="1"/>
  <c r="O5006" i="1"/>
  <c r="E5006" i="1"/>
  <c r="B5006" i="1"/>
  <c r="O5005" i="1"/>
  <c r="E5005" i="1"/>
  <c r="B5005" i="1"/>
  <c r="O5004" i="1"/>
  <c r="E5004" i="1"/>
  <c r="B5004" i="1"/>
  <c r="O5003" i="1"/>
  <c r="E5003" i="1"/>
  <c r="B5003" i="1"/>
  <c r="O5002" i="1"/>
  <c r="E5002" i="1"/>
  <c r="B5002" i="1"/>
  <c r="O5001" i="1"/>
  <c r="E5001" i="1"/>
  <c r="B5001" i="1"/>
  <c r="O5000" i="1"/>
  <c r="E5000" i="1"/>
  <c r="B5000" i="1"/>
  <c r="O4999" i="1"/>
  <c r="E4999" i="1"/>
  <c r="B4999" i="1"/>
  <c r="O4998" i="1"/>
  <c r="E4998" i="1"/>
  <c r="B4998" i="1"/>
  <c r="O4997" i="1"/>
  <c r="E4997" i="1"/>
  <c r="B4997" i="1"/>
  <c r="O4996" i="1"/>
  <c r="E4996" i="1"/>
  <c r="B4996" i="1"/>
  <c r="O4995" i="1"/>
  <c r="E4995" i="1"/>
  <c r="B4995" i="1"/>
  <c r="O4994" i="1"/>
  <c r="E4994" i="1"/>
  <c r="B4994" i="1"/>
  <c r="O4993" i="1"/>
  <c r="E4993" i="1"/>
  <c r="B4993" i="1"/>
  <c r="O4992" i="1"/>
  <c r="E4992" i="1"/>
  <c r="B4992" i="1"/>
  <c r="O4991" i="1"/>
  <c r="E4991" i="1"/>
  <c r="B4991" i="1"/>
  <c r="O4990" i="1"/>
  <c r="E4990" i="1"/>
  <c r="B4990" i="1"/>
  <c r="O4989" i="1"/>
  <c r="E4989" i="1"/>
  <c r="B4989" i="1"/>
  <c r="O4988" i="1"/>
  <c r="E4988" i="1"/>
  <c r="B4988" i="1"/>
  <c r="O4987" i="1"/>
  <c r="E4987" i="1"/>
  <c r="B4987" i="1"/>
  <c r="O4986" i="1"/>
  <c r="E4986" i="1"/>
  <c r="B4986" i="1"/>
  <c r="O4985" i="1"/>
  <c r="E4985" i="1"/>
  <c r="B4985" i="1"/>
  <c r="O4984" i="1"/>
  <c r="E4984" i="1"/>
  <c r="B4984" i="1"/>
  <c r="O4983" i="1"/>
  <c r="E4983" i="1"/>
  <c r="B4983" i="1"/>
  <c r="O4982" i="1"/>
  <c r="E4982" i="1"/>
  <c r="B4982" i="1"/>
  <c r="O4981" i="1"/>
  <c r="E4981" i="1"/>
  <c r="B4981" i="1"/>
  <c r="O4980" i="1"/>
  <c r="E4980" i="1"/>
  <c r="B4980" i="1"/>
  <c r="O4979" i="1"/>
  <c r="E4979" i="1"/>
  <c r="B4979" i="1"/>
  <c r="O4978" i="1"/>
  <c r="E4978" i="1"/>
  <c r="B4978" i="1"/>
  <c r="O4977" i="1"/>
  <c r="E4977" i="1"/>
  <c r="B4977" i="1"/>
  <c r="O4976" i="1"/>
  <c r="E4976" i="1"/>
  <c r="B4976" i="1"/>
  <c r="O4975" i="1"/>
  <c r="E4975" i="1"/>
  <c r="B4975" i="1"/>
  <c r="O4974" i="1"/>
  <c r="E4974" i="1"/>
  <c r="B4974" i="1"/>
  <c r="O4973" i="1"/>
  <c r="E4973" i="1"/>
  <c r="B4973" i="1"/>
  <c r="O4972" i="1"/>
  <c r="E4972" i="1"/>
  <c r="B4972" i="1"/>
  <c r="O4971" i="1"/>
  <c r="E4971" i="1"/>
  <c r="B4971" i="1"/>
  <c r="O4970" i="1"/>
  <c r="E4970" i="1"/>
  <c r="B4970" i="1"/>
  <c r="O4969" i="1"/>
  <c r="E4969" i="1"/>
  <c r="B4969" i="1"/>
  <c r="O4968" i="1"/>
  <c r="E4968" i="1"/>
  <c r="B4968" i="1"/>
  <c r="O4967" i="1"/>
  <c r="E4967" i="1"/>
  <c r="B4967" i="1"/>
  <c r="O4966" i="1"/>
  <c r="E4966" i="1"/>
  <c r="B4966" i="1"/>
  <c r="O4965" i="1"/>
  <c r="E4965" i="1"/>
  <c r="B4965" i="1"/>
  <c r="O4964" i="1"/>
  <c r="E4964" i="1"/>
  <c r="B4964" i="1"/>
  <c r="O4963" i="1"/>
  <c r="E4963" i="1"/>
  <c r="B4963" i="1"/>
  <c r="O4962" i="1"/>
  <c r="E4962" i="1"/>
  <c r="B4962" i="1"/>
  <c r="O4961" i="1"/>
  <c r="E4961" i="1"/>
  <c r="B4961" i="1"/>
  <c r="O4960" i="1"/>
  <c r="E4960" i="1"/>
  <c r="B4960" i="1"/>
  <c r="O4959" i="1"/>
  <c r="E4959" i="1"/>
  <c r="B4959" i="1"/>
  <c r="O4958" i="1"/>
  <c r="E4958" i="1"/>
  <c r="B4958" i="1"/>
  <c r="O4957" i="1"/>
  <c r="E4957" i="1"/>
  <c r="B4957" i="1"/>
  <c r="O4956" i="1"/>
  <c r="E4956" i="1"/>
  <c r="B4956" i="1"/>
  <c r="O4955" i="1"/>
  <c r="E4955" i="1"/>
  <c r="B4955" i="1"/>
  <c r="O4954" i="1"/>
  <c r="E4954" i="1"/>
  <c r="B4954" i="1"/>
  <c r="O4953" i="1"/>
  <c r="E4953" i="1"/>
  <c r="B4953" i="1"/>
  <c r="O4952" i="1"/>
  <c r="E4952" i="1"/>
  <c r="B4952" i="1"/>
  <c r="O4951" i="1"/>
  <c r="E4951" i="1"/>
  <c r="B4951" i="1"/>
  <c r="O4950" i="1"/>
  <c r="E4950" i="1"/>
  <c r="B4950" i="1"/>
  <c r="O4949" i="1"/>
  <c r="E4949" i="1"/>
  <c r="B4949" i="1"/>
  <c r="O4948" i="1"/>
  <c r="E4948" i="1"/>
  <c r="B4948" i="1"/>
  <c r="O4947" i="1"/>
  <c r="E4947" i="1"/>
  <c r="B4947" i="1"/>
  <c r="O4946" i="1"/>
  <c r="E4946" i="1"/>
  <c r="B4946" i="1"/>
  <c r="O4945" i="1"/>
  <c r="E4945" i="1"/>
  <c r="B4945" i="1"/>
  <c r="O4944" i="1"/>
  <c r="E4944" i="1"/>
  <c r="B4944" i="1"/>
  <c r="O4943" i="1"/>
  <c r="E4943" i="1"/>
  <c r="B4943" i="1"/>
  <c r="O4942" i="1"/>
  <c r="E4942" i="1"/>
  <c r="B4942" i="1"/>
  <c r="O4941" i="1"/>
  <c r="E4941" i="1"/>
  <c r="B4941" i="1"/>
  <c r="O4940" i="1"/>
  <c r="E4940" i="1"/>
  <c r="B4940" i="1"/>
  <c r="O4939" i="1"/>
  <c r="E4939" i="1"/>
  <c r="B4939" i="1"/>
  <c r="O4938" i="1"/>
  <c r="E4938" i="1"/>
  <c r="B4938" i="1"/>
  <c r="O4937" i="1"/>
  <c r="E4937" i="1"/>
  <c r="B4937" i="1"/>
  <c r="O4936" i="1"/>
  <c r="E4936" i="1"/>
  <c r="B4936" i="1"/>
  <c r="O4935" i="1"/>
  <c r="E4935" i="1"/>
  <c r="B4935" i="1"/>
  <c r="O4934" i="1"/>
  <c r="E4934" i="1"/>
  <c r="B4934" i="1"/>
  <c r="O4933" i="1"/>
  <c r="E4933" i="1"/>
  <c r="B4933" i="1"/>
  <c r="O4932" i="1"/>
  <c r="E4932" i="1"/>
  <c r="B4932" i="1"/>
  <c r="O4931" i="1"/>
  <c r="E4931" i="1"/>
  <c r="B4931" i="1"/>
  <c r="O4930" i="1"/>
  <c r="E4930" i="1"/>
  <c r="B4930" i="1"/>
  <c r="O4929" i="1"/>
  <c r="E4929" i="1"/>
  <c r="B4929" i="1"/>
  <c r="O4928" i="1"/>
  <c r="E4928" i="1"/>
  <c r="B4928" i="1"/>
  <c r="O4927" i="1"/>
  <c r="E4927" i="1"/>
  <c r="B4927" i="1"/>
  <c r="O4926" i="1"/>
  <c r="E4926" i="1"/>
  <c r="B4926" i="1"/>
  <c r="O4925" i="1"/>
  <c r="E4925" i="1"/>
  <c r="B4925" i="1"/>
  <c r="O4924" i="1"/>
  <c r="E4924" i="1"/>
  <c r="B4924" i="1"/>
  <c r="O4923" i="1"/>
  <c r="E4923" i="1"/>
  <c r="B4923" i="1"/>
  <c r="O4922" i="1"/>
  <c r="E4922" i="1"/>
  <c r="B4922" i="1"/>
  <c r="O4921" i="1"/>
  <c r="E4921" i="1"/>
  <c r="B4921" i="1"/>
  <c r="O4920" i="1"/>
  <c r="E4920" i="1"/>
  <c r="B4920" i="1"/>
  <c r="O4919" i="1"/>
  <c r="E4919" i="1"/>
  <c r="B4919" i="1"/>
  <c r="O4918" i="1"/>
  <c r="E4918" i="1"/>
  <c r="B4918" i="1"/>
  <c r="O4917" i="1"/>
  <c r="E4917" i="1"/>
  <c r="B4917" i="1"/>
  <c r="O4916" i="1"/>
  <c r="E4916" i="1"/>
  <c r="B4916" i="1"/>
  <c r="O4915" i="1"/>
  <c r="E4915" i="1"/>
  <c r="B4915" i="1"/>
  <c r="O4914" i="1"/>
  <c r="E4914" i="1"/>
  <c r="B4914" i="1"/>
  <c r="O4913" i="1"/>
  <c r="E4913" i="1"/>
  <c r="B4913" i="1"/>
  <c r="O4912" i="1"/>
  <c r="E4912" i="1"/>
  <c r="B4912" i="1"/>
  <c r="O4911" i="1"/>
  <c r="E4911" i="1"/>
  <c r="B4911" i="1"/>
  <c r="O4910" i="1"/>
  <c r="E4910" i="1"/>
  <c r="B4910" i="1"/>
  <c r="O4909" i="1"/>
  <c r="E4909" i="1"/>
  <c r="B4909" i="1"/>
  <c r="O4908" i="1"/>
  <c r="E4908" i="1"/>
  <c r="B4908" i="1"/>
  <c r="O4907" i="1"/>
  <c r="E4907" i="1"/>
  <c r="B4907" i="1"/>
  <c r="O4906" i="1"/>
  <c r="E4906" i="1"/>
  <c r="B4906" i="1"/>
  <c r="O4905" i="1"/>
  <c r="E4905" i="1"/>
  <c r="B4905" i="1"/>
  <c r="O4904" i="1"/>
  <c r="E4904" i="1"/>
  <c r="B4904" i="1"/>
  <c r="O4903" i="1"/>
  <c r="E4903" i="1"/>
  <c r="B4903" i="1"/>
  <c r="O4902" i="1"/>
  <c r="E4902" i="1"/>
  <c r="B4902" i="1"/>
  <c r="O4901" i="1"/>
  <c r="E4901" i="1"/>
  <c r="B4901" i="1"/>
  <c r="O4900" i="1"/>
  <c r="E4900" i="1"/>
  <c r="B4900" i="1"/>
  <c r="O4899" i="1"/>
  <c r="E4899" i="1"/>
  <c r="B4899" i="1"/>
  <c r="O4898" i="1"/>
  <c r="E4898" i="1"/>
  <c r="B4898" i="1"/>
  <c r="O4897" i="1"/>
  <c r="E4897" i="1"/>
  <c r="B4897" i="1"/>
  <c r="O4896" i="1"/>
  <c r="E4896" i="1"/>
  <c r="B4896" i="1"/>
  <c r="O4895" i="1"/>
  <c r="E4895" i="1"/>
  <c r="B4895" i="1"/>
  <c r="O4894" i="1"/>
  <c r="E4894" i="1"/>
  <c r="B4894" i="1"/>
  <c r="O4893" i="1"/>
  <c r="E4893" i="1"/>
  <c r="B4893" i="1"/>
  <c r="O4892" i="1"/>
  <c r="E4892" i="1"/>
  <c r="B4892" i="1"/>
  <c r="O4891" i="1"/>
  <c r="E4891" i="1"/>
  <c r="B4891" i="1"/>
  <c r="O4890" i="1"/>
  <c r="E4890" i="1"/>
  <c r="B4890" i="1"/>
  <c r="O4889" i="1"/>
  <c r="E4889" i="1"/>
  <c r="B4889" i="1"/>
  <c r="O4888" i="1"/>
  <c r="E4888" i="1"/>
  <c r="B4888" i="1"/>
  <c r="O4887" i="1"/>
  <c r="E4887" i="1"/>
  <c r="B4887" i="1"/>
  <c r="O4886" i="1"/>
  <c r="E4886" i="1"/>
  <c r="B4886" i="1"/>
  <c r="O4885" i="1"/>
  <c r="E4885" i="1"/>
  <c r="B4885" i="1"/>
  <c r="O4884" i="1"/>
  <c r="E4884" i="1"/>
  <c r="B4884" i="1"/>
  <c r="O4883" i="1"/>
  <c r="E4883" i="1"/>
  <c r="B4883" i="1"/>
  <c r="O4882" i="1"/>
  <c r="E4882" i="1"/>
  <c r="B4882" i="1"/>
  <c r="O4881" i="1"/>
  <c r="E4881" i="1"/>
  <c r="B4881" i="1"/>
  <c r="O4880" i="1"/>
  <c r="E4880" i="1"/>
  <c r="B4880" i="1"/>
  <c r="O4879" i="1"/>
  <c r="E4879" i="1"/>
  <c r="B4879" i="1"/>
  <c r="O4878" i="1"/>
  <c r="E4878" i="1"/>
  <c r="B4878" i="1"/>
  <c r="O4877" i="1"/>
  <c r="E4877" i="1"/>
  <c r="B4877" i="1"/>
  <c r="O4876" i="1"/>
  <c r="E4876" i="1"/>
  <c r="B4876" i="1"/>
  <c r="O4875" i="1"/>
  <c r="E4875" i="1"/>
  <c r="B4875" i="1"/>
  <c r="O4874" i="1"/>
  <c r="E4874" i="1"/>
  <c r="B4874" i="1"/>
  <c r="O4873" i="1"/>
  <c r="E4873" i="1"/>
  <c r="B4873" i="1"/>
  <c r="O4872" i="1"/>
  <c r="E4872" i="1"/>
  <c r="B4872" i="1"/>
  <c r="O4871" i="1"/>
  <c r="E4871" i="1"/>
  <c r="B4871" i="1"/>
  <c r="O4870" i="1"/>
  <c r="E4870" i="1"/>
  <c r="B4870" i="1"/>
  <c r="O4869" i="1"/>
  <c r="E4869" i="1"/>
  <c r="B4869" i="1"/>
  <c r="O4868" i="1"/>
  <c r="E4868" i="1"/>
  <c r="B4868" i="1"/>
  <c r="O4867" i="1"/>
  <c r="E4867" i="1"/>
  <c r="B4867" i="1"/>
  <c r="O4866" i="1"/>
  <c r="E4866" i="1"/>
  <c r="B4866" i="1"/>
  <c r="O4865" i="1"/>
  <c r="E4865" i="1"/>
  <c r="B4865" i="1"/>
  <c r="O4864" i="1"/>
  <c r="E4864" i="1"/>
  <c r="B4864" i="1"/>
  <c r="O4863" i="1"/>
  <c r="E4863" i="1"/>
  <c r="B4863" i="1"/>
  <c r="O4862" i="1"/>
  <c r="E4862" i="1"/>
  <c r="B4862" i="1"/>
  <c r="O4861" i="1"/>
  <c r="E4861" i="1"/>
  <c r="B4861" i="1"/>
  <c r="O4860" i="1"/>
  <c r="E4860" i="1"/>
  <c r="B4860" i="1"/>
  <c r="O4859" i="1"/>
  <c r="E4859" i="1"/>
  <c r="B4859" i="1"/>
  <c r="O4858" i="1"/>
  <c r="E4858" i="1"/>
  <c r="B4858" i="1"/>
  <c r="O4857" i="1"/>
  <c r="E4857" i="1"/>
  <c r="B4857" i="1"/>
  <c r="O4856" i="1"/>
  <c r="E4856" i="1"/>
  <c r="B4856" i="1"/>
  <c r="O4855" i="1"/>
  <c r="E4855" i="1"/>
  <c r="B4855" i="1"/>
  <c r="O4854" i="1"/>
  <c r="E4854" i="1"/>
  <c r="B4854" i="1"/>
  <c r="O4853" i="1"/>
  <c r="E4853" i="1"/>
  <c r="B4853" i="1"/>
  <c r="O4852" i="1"/>
  <c r="E4852" i="1"/>
  <c r="B4852" i="1"/>
  <c r="O4851" i="1"/>
  <c r="E4851" i="1"/>
  <c r="B4851" i="1"/>
  <c r="O4850" i="1"/>
  <c r="E4850" i="1"/>
  <c r="B4850" i="1"/>
  <c r="O4849" i="1"/>
  <c r="E4849" i="1"/>
  <c r="B4849" i="1"/>
  <c r="O4848" i="1"/>
  <c r="E4848" i="1"/>
  <c r="B4848" i="1"/>
  <c r="O4847" i="1"/>
  <c r="E4847" i="1"/>
  <c r="B4847" i="1"/>
  <c r="O4846" i="1"/>
  <c r="E4846" i="1"/>
  <c r="B4846" i="1"/>
  <c r="O4845" i="1"/>
  <c r="E4845" i="1"/>
  <c r="B4845" i="1"/>
  <c r="O4844" i="1"/>
  <c r="E4844" i="1"/>
  <c r="B4844" i="1"/>
  <c r="O4843" i="1"/>
  <c r="E4843" i="1"/>
  <c r="B4843" i="1"/>
  <c r="O4842" i="1"/>
  <c r="E4842" i="1"/>
  <c r="B4842" i="1"/>
  <c r="O4841" i="1"/>
  <c r="E4841" i="1"/>
  <c r="B4841" i="1"/>
  <c r="O4840" i="1"/>
  <c r="E4840" i="1"/>
  <c r="B4840" i="1"/>
  <c r="O4839" i="1"/>
  <c r="E4839" i="1"/>
  <c r="B4839" i="1"/>
  <c r="O4838" i="1"/>
  <c r="E4838" i="1"/>
  <c r="B4838" i="1"/>
  <c r="O4837" i="1"/>
  <c r="E4837" i="1"/>
  <c r="B4837" i="1"/>
  <c r="O4836" i="1"/>
  <c r="E4836" i="1"/>
  <c r="B4836" i="1"/>
  <c r="O4835" i="1"/>
  <c r="E4835" i="1"/>
  <c r="B4835" i="1"/>
  <c r="O4834" i="1"/>
  <c r="E4834" i="1"/>
  <c r="B4834" i="1"/>
  <c r="O4833" i="1"/>
  <c r="E4833" i="1"/>
  <c r="B4833" i="1"/>
  <c r="O4832" i="1"/>
  <c r="E4832" i="1"/>
  <c r="B4832" i="1"/>
  <c r="O4831" i="1"/>
  <c r="E4831" i="1"/>
  <c r="B4831" i="1"/>
  <c r="O4830" i="1"/>
  <c r="E4830" i="1"/>
  <c r="B4830" i="1"/>
  <c r="O4829" i="1"/>
  <c r="E4829" i="1"/>
  <c r="B4829" i="1"/>
  <c r="O4828" i="1"/>
  <c r="E4828" i="1"/>
  <c r="B4828" i="1"/>
  <c r="O4827" i="1"/>
  <c r="E4827" i="1"/>
  <c r="B4827" i="1"/>
  <c r="O4826" i="1"/>
  <c r="E4826" i="1"/>
  <c r="B4826" i="1"/>
  <c r="O4825" i="1"/>
  <c r="E4825" i="1"/>
  <c r="B4825" i="1"/>
  <c r="O4824" i="1"/>
  <c r="E4824" i="1"/>
  <c r="B4824" i="1"/>
  <c r="O4823" i="1"/>
  <c r="E4823" i="1"/>
  <c r="B4823" i="1"/>
  <c r="O4822" i="1"/>
  <c r="E4822" i="1"/>
  <c r="B4822" i="1"/>
  <c r="O4821" i="1"/>
  <c r="E4821" i="1"/>
  <c r="B4821" i="1"/>
  <c r="P4820" i="1"/>
  <c r="O4820" i="1"/>
  <c r="E4820" i="1"/>
  <c r="B4820" i="1"/>
  <c r="O4819" i="1"/>
  <c r="E4819" i="1"/>
  <c r="B4819" i="1"/>
  <c r="O4818" i="1"/>
  <c r="E4818" i="1"/>
  <c r="B4818" i="1"/>
  <c r="O4817" i="1"/>
  <c r="E4817" i="1"/>
  <c r="B4817" i="1"/>
  <c r="O4816" i="1"/>
  <c r="E4816" i="1"/>
  <c r="B4816" i="1"/>
  <c r="O4815" i="1"/>
  <c r="E4815" i="1"/>
  <c r="B4815" i="1"/>
  <c r="O4814" i="1"/>
  <c r="E4814" i="1"/>
  <c r="B4814" i="1"/>
  <c r="O4813" i="1"/>
  <c r="E4813" i="1"/>
  <c r="B4813" i="1"/>
  <c r="O4812" i="1"/>
  <c r="E4812" i="1"/>
  <c r="B4812" i="1"/>
  <c r="O4811" i="1"/>
  <c r="E4811" i="1"/>
  <c r="B4811" i="1"/>
  <c r="O4810" i="1"/>
  <c r="E4810" i="1"/>
  <c r="B4810" i="1"/>
  <c r="O4809" i="1"/>
  <c r="E4809" i="1"/>
  <c r="B4809" i="1"/>
  <c r="O4808" i="1"/>
  <c r="E4808" i="1"/>
  <c r="B4808" i="1"/>
  <c r="O4807" i="1"/>
  <c r="E4807" i="1"/>
  <c r="B4807" i="1"/>
  <c r="O4806" i="1"/>
  <c r="E4806" i="1"/>
  <c r="B4806" i="1"/>
  <c r="O4805" i="1"/>
  <c r="E4805" i="1"/>
  <c r="B4805" i="1"/>
  <c r="O4804" i="1"/>
  <c r="E4804" i="1"/>
  <c r="B4804" i="1"/>
  <c r="O4803" i="1"/>
  <c r="E4803" i="1"/>
  <c r="B4803" i="1"/>
  <c r="O4802" i="1"/>
  <c r="E4802" i="1"/>
  <c r="B4802" i="1"/>
  <c r="O4801" i="1"/>
  <c r="E4801" i="1"/>
  <c r="B4801" i="1"/>
  <c r="O4800" i="1"/>
  <c r="E4800" i="1"/>
  <c r="B4800" i="1"/>
  <c r="O4799" i="1"/>
  <c r="E4799" i="1"/>
  <c r="B4799" i="1"/>
  <c r="O4798" i="1"/>
  <c r="E4798" i="1"/>
  <c r="B4798" i="1"/>
  <c r="O4797" i="1"/>
  <c r="E4797" i="1"/>
  <c r="B4797" i="1"/>
  <c r="O4796" i="1"/>
  <c r="E4796" i="1"/>
  <c r="B4796" i="1"/>
  <c r="O4795" i="1"/>
  <c r="E4795" i="1"/>
  <c r="B4795" i="1"/>
  <c r="O4794" i="1"/>
  <c r="E4794" i="1"/>
  <c r="B4794" i="1"/>
  <c r="O4793" i="1"/>
  <c r="E4793" i="1"/>
  <c r="B4793" i="1"/>
  <c r="O4792" i="1"/>
  <c r="E4792" i="1"/>
  <c r="B4792" i="1"/>
  <c r="O4791" i="1"/>
  <c r="E4791" i="1"/>
  <c r="B4791" i="1"/>
  <c r="O4790" i="1"/>
  <c r="E4790" i="1"/>
  <c r="B4790" i="1"/>
  <c r="O4789" i="1"/>
  <c r="E4789" i="1"/>
  <c r="B4789" i="1"/>
  <c r="O4788" i="1"/>
  <c r="E4788" i="1"/>
  <c r="B4788" i="1"/>
  <c r="O4787" i="1"/>
  <c r="E4787" i="1"/>
  <c r="B4787" i="1"/>
  <c r="O4786" i="1"/>
  <c r="E4786" i="1"/>
  <c r="B4786" i="1"/>
  <c r="O4785" i="1"/>
  <c r="E4785" i="1"/>
  <c r="B4785" i="1"/>
  <c r="O4784" i="1"/>
  <c r="E4784" i="1"/>
  <c r="B4784" i="1"/>
  <c r="O4783" i="1"/>
  <c r="E4783" i="1"/>
  <c r="B4783" i="1"/>
  <c r="O4782" i="1"/>
  <c r="E4782" i="1"/>
  <c r="B4782" i="1"/>
  <c r="O4781" i="1"/>
  <c r="E4781" i="1"/>
  <c r="B4781" i="1"/>
  <c r="O4780" i="1"/>
  <c r="E4780" i="1"/>
  <c r="B4780" i="1"/>
  <c r="O4779" i="1"/>
  <c r="E4779" i="1"/>
  <c r="B4779" i="1"/>
  <c r="O4778" i="1"/>
  <c r="E4778" i="1"/>
  <c r="B4778" i="1"/>
  <c r="O4777" i="1"/>
  <c r="E4777" i="1"/>
  <c r="B4777" i="1"/>
  <c r="O4776" i="1"/>
  <c r="E4776" i="1"/>
  <c r="B4776" i="1"/>
  <c r="O4775" i="1"/>
  <c r="E4775" i="1"/>
  <c r="B4775" i="1"/>
  <c r="O4774" i="1"/>
  <c r="E4774" i="1"/>
  <c r="B4774" i="1"/>
  <c r="O4773" i="1"/>
  <c r="E4773" i="1"/>
  <c r="B4773" i="1"/>
  <c r="O4772" i="1"/>
  <c r="E4772" i="1"/>
  <c r="B4772" i="1"/>
  <c r="O4771" i="1"/>
  <c r="E4771" i="1"/>
  <c r="B4771" i="1"/>
  <c r="O4770" i="1"/>
  <c r="E4770" i="1"/>
  <c r="B4770" i="1"/>
  <c r="O4769" i="1"/>
  <c r="E4769" i="1"/>
  <c r="B4769" i="1"/>
  <c r="O4768" i="1"/>
  <c r="E4768" i="1"/>
  <c r="B4768" i="1"/>
  <c r="O4767" i="1"/>
  <c r="E4767" i="1"/>
  <c r="B4767" i="1"/>
  <c r="O4766" i="1"/>
  <c r="E4766" i="1"/>
  <c r="B4766" i="1"/>
  <c r="O4765" i="1"/>
  <c r="E4765" i="1"/>
  <c r="B4765" i="1"/>
  <c r="O4764" i="1"/>
  <c r="E4764" i="1"/>
  <c r="B4764" i="1"/>
  <c r="O4763" i="1"/>
  <c r="E4763" i="1"/>
  <c r="B4763" i="1"/>
  <c r="O4762" i="1"/>
  <c r="E4762" i="1"/>
  <c r="B4762" i="1"/>
  <c r="O4761" i="1"/>
  <c r="E4761" i="1"/>
  <c r="B4761" i="1"/>
  <c r="O4760" i="1"/>
  <c r="E4760" i="1"/>
  <c r="B4760" i="1"/>
  <c r="O4759" i="1"/>
  <c r="E4759" i="1"/>
  <c r="B4759" i="1"/>
  <c r="O4758" i="1"/>
  <c r="E4758" i="1"/>
  <c r="B4758" i="1"/>
  <c r="O4757" i="1"/>
  <c r="E4757" i="1"/>
  <c r="B4757" i="1"/>
  <c r="O4756" i="1"/>
  <c r="E4756" i="1"/>
  <c r="B4756" i="1"/>
  <c r="P4755" i="1"/>
  <c r="O4755" i="1"/>
  <c r="E4755" i="1"/>
  <c r="B4755" i="1"/>
  <c r="O4754" i="1"/>
  <c r="E4754" i="1"/>
  <c r="B4754" i="1"/>
  <c r="O4753" i="1"/>
  <c r="E4753" i="1"/>
  <c r="B4753" i="1"/>
  <c r="O4752" i="1"/>
  <c r="E4752" i="1"/>
  <c r="B4752" i="1"/>
  <c r="O4751" i="1"/>
  <c r="E4751" i="1"/>
  <c r="B4751" i="1"/>
  <c r="O4750" i="1"/>
  <c r="E4750" i="1"/>
  <c r="B4750" i="1"/>
  <c r="O4749" i="1"/>
  <c r="E4749" i="1"/>
  <c r="B4749" i="1"/>
  <c r="O4748" i="1"/>
  <c r="E4748" i="1"/>
  <c r="B4748" i="1"/>
  <c r="O4747" i="1"/>
  <c r="E4747" i="1"/>
  <c r="B4747" i="1"/>
  <c r="O4746" i="1"/>
  <c r="E4746" i="1"/>
  <c r="B4746" i="1"/>
  <c r="O4745" i="1"/>
  <c r="E4745" i="1"/>
  <c r="B4745" i="1"/>
  <c r="O4744" i="1"/>
  <c r="E4744" i="1"/>
  <c r="B4744" i="1"/>
  <c r="O4743" i="1"/>
  <c r="E4743" i="1"/>
  <c r="B4743" i="1"/>
  <c r="O4742" i="1"/>
  <c r="E4742" i="1"/>
  <c r="B4742" i="1"/>
  <c r="O4741" i="1"/>
  <c r="E4741" i="1"/>
  <c r="B4741" i="1"/>
  <c r="O4740" i="1"/>
  <c r="E4740" i="1"/>
  <c r="B4740" i="1"/>
  <c r="O4739" i="1"/>
  <c r="E4739" i="1"/>
  <c r="B4739" i="1"/>
  <c r="O4738" i="1"/>
  <c r="E4738" i="1"/>
  <c r="B4738" i="1"/>
  <c r="O4737" i="1"/>
  <c r="E4737" i="1"/>
  <c r="B4737" i="1"/>
  <c r="O4736" i="1"/>
  <c r="E4736" i="1"/>
  <c r="B4736" i="1"/>
  <c r="O4735" i="1"/>
  <c r="E4735" i="1"/>
  <c r="B4735" i="1"/>
  <c r="O4734" i="1"/>
  <c r="E4734" i="1"/>
  <c r="B4734" i="1"/>
  <c r="O4733" i="1"/>
  <c r="E4733" i="1"/>
  <c r="B4733" i="1"/>
  <c r="O4732" i="1"/>
  <c r="E4732" i="1"/>
  <c r="B4732" i="1"/>
  <c r="O4731" i="1"/>
  <c r="E4731" i="1"/>
  <c r="B4731" i="1"/>
  <c r="O4730" i="1"/>
  <c r="E4730" i="1"/>
  <c r="B4730" i="1"/>
  <c r="O4729" i="1"/>
  <c r="E4729" i="1"/>
  <c r="B4729" i="1"/>
  <c r="O4728" i="1"/>
  <c r="E4728" i="1"/>
  <c r="B4728" i="1"/>
  <c r="O4727" i="1"/>
  <c r="E4727" i="1"/>
  <c r="B4727" i="1"/>
  <c r="O4726" i="1"/>
  <c r="E4726" i="1"/>
  <c r="B4726" i="1"/>
  <c r="O4725" i="1"/>
  <c r="E4725" i="1"/>
  <c r="B4725" i="1"/>
  <c r="O4724" i="1"/>
  <c r="E4724" i="1"/>
  <c r="B4724" i="1"/>
  <c r="O4723" i="1"/>
  <c r="E4723" i="1"/>
  <c r="B4723" i="1"/>
  <c r="O4722" i="1"/>
  <c r="E4722" i="1"/>
  <c r="B4722" i="1"/>
  <c r="O4721" i="1"/>
  <c r="E4721" i="1"/>
  <c r="B4721" i="1"/>
  <c r="O4720" i="1"/>
  <c r="E4720" i="1"/>
  <c r="B4720" i="1"/>
  <c r="O4719" i="1"/>
  <c r="E4719" i="1"/>
  <c r="B4719" i="1"/>
  <c r="O4718" i="1"/>
  <c r="E4718" i="1"/>
  <c r="B4718" i="1"/>
  <c r="O4717" i="1"/>
  <c r="E4717" i="1"/>
  <c r="B4717" i="1"/>
  <c r="O4716" i="1"/>
  <c r="E4716" i="1"/>
  <c r="B4716" i="1"/>
  <c r="O4715" i="1"/>
  <c r="E4715" i="1"/>
  <c r="B4715" i="1"/>
  <c r="O4714" i="1"/>
  <c r="E4714" i="1"/>
  <c r="B4714" i="1"/>
  <c r="O4713" i="1"/>
  <c r="E4713" i="1"/>
  <c r="B4713" i="1"/>
  <c r="O4712" i="1"/>
  <c r="E4712" i="1"/>
  <c r="B4712" i="1"/>
  <c r="O4711" i="1"/>
  <c r="E4711" i="1"/>
  <c r="B4711" i="1"/>
  <c r="O4710" i="1"/>
  <c r="E4710" i="1"/>
  <c r="B4710" i="1"/>
  <c r="O4709" i="1"/>
  <c r="E4709" i="1"/>
  <c r="B4709" i="1"/>
  <c r="O4708" i="1"/>
  <c r="E4708" i="1"/>
  <c r="B4708" i="1"/>
  <c r="O4707" i="1"/>
  <c r="E4707" i="1"/>
  <c r="B4707" i="1"/>
  <c r="O4706" i="1"/>
  <c r="E4706" i="1"/>
  <c r="B4706" i="1"/>
  <c r="O4705" i="1"/>
  <c r="E4705" i="1"/>
  <c r="B4705" i="1"/>
  <c r="O4704" i="1"/>
  <c r="E4704" i="1"/>
  <c r="B4704" i="1"/>
  <c r="O4703" i="1"/>
  <c r="E4703" i="1"/>
  <c r="B4703" i="1"/>
  <c r="O4702" i="1"/>
  <c r="E4702" i="1"/>
  <c r="B4702" i="1"/>
  <c r="O4701" i="1"/>
  <c r="E4701" i="1"/>
  <c r="B4701" i="1"/>
  <c r="O4700" i="1"/>
  <c r="E4700" i="1"/>
  <c r="B4700" i="1"/>
  <c r="O4699" i="1"/>
  <c r="E4699" i="1"/>
  <c r="B4699" i="1"/>
  <c r="O4698" i="1"/>
  <c r="E4698" i="1"/>
  <c r="B4698" i="1"/>
  <c r="O4697" i="1"/>
  <c r="E4697" i="1"/>
  <c r="B4697" i="1"/>
  <c r="O4696" i="1"/>
  <c r="E4696" i="1"/>
  <c r="B4696" i="1"/>
  <c r="O4695" i="1"/>
  <c r="E4695" i="1"/>
  <c r="B4695" i="1"/>
  <c r="O4694" i="1"/>
  <c r="E4694" i="1"/>
  <c r="B4694" i="1"/>
  <c r="O4693" i="1"/>
  <c r="E4693" i="1"/>
  <c r="B4693" i="1"/>
  <c r="O4692" i="1"/>
  <c r="E4692" i="1"/>
  <c r="B4692" i="1"/>
  <c r="O4691" i="1"/>
  <c r="E4691" i="1"/>
  <c r="B4691" i="1"/>
  <c r="O4690" i="1"/>
  <c r="E4690" i="1"/>
  <c r="B4690" i="1"/>
  <c r="O4689" i="1"/>
  <c r="E4689" i="1"/>
  <c r="B4689" i="1"/>
  <c r="O4688" i="1"/>
  <c r="E4688" i="1"/>
  <c r="B4688" i="1"/>
  <c r="O4687" i="1"/>
  <c r="E4687" i="1"/>
  <c r="B4687" i="1"/>
  <c r="O4686" i="1"/>
  <c r="E4686" i="1"/>
  <c r="B4686" i="1"/>
  <c r="O4685" i="1"/>
  <c r="E4685" i="1"/>
  <c r="B4685" i="1"/>
  <c r="O4684" i="1"/>
  <c r="E4684" i="1"/>
  <c r="B4684" i="1"/>
  <c r="O4683" i="1"/>
  <c r="E4683" i="1"/>
  <c r="B4683" i="1"/>
  <c r="O4682" i="1"/>
  <c r="E4682" i="1"/>
  <c r="B4682" i="1"/>
  <c r="O4681" i="1"/>
  <c r="E4681" i="1"/>
  <c r="B4681" i="1"/>
  <c r="O4680" i="1"/>
  <c r="E4680" i="1"/>
  <c r="B4680" i="1"/>
  <c r="O4679" i="1"/>
  <c r="E4679" i="1"/>
  <c r="B4679" i="1"/>
  <c r="O4678" i="1"/>
  <c r="E4678" i="1"/>
  <c r="B4678" i="1"/>
  <c r="O4677" i="1"/>
  <c r="E4677" i="1"/>
  <c r="B4677" i="1"/>
  <c r="O4676" i="1"/>
  <c r="E4676" i="1"/>
  <c r="B4676" i="1"/>
  <c r="O4675" i="1"/>
  <c r="E4675" i="1"/>
  <c r="B4675" i="1"/>
  <c r="O4674" i="1"/>
  <c r="E4674" i="1"/>
  <c r="B4674" i="1"/>
  <c r="O4673" i="1"/>
  <c r="E4673" i="1"/>
  <c r="B4673" i="1"/>
  <c r="O4672" i="1"/>
  <c r="E4672" i="1"/>
  <c r="B4672" i="1"/>
  <c r="O4671" i="1"/>
  <c r="E4671" i="1"/>
  <c r="B4671" i="1"/>
  <c r="O4670" i="1"/>
  <c r="E4670" i="1"/>
  <c r="B4670" i="1"/>
  <c r="O4669" i="1"/>
  <c r="E4669" i="1"/>
  <c r="B4669" i="1"/>
  <c r="O4668" i="1"/>
  <c r="E4668" i="1"/>
  <c r="B4668" i="1"/>
  <c r="O4667" i="1"/>
  <c r="E4667" i="1"/>
  <c r="B4667" i="1"/>
  <c r="O4666" i="1"/>
  <c r="E4666" i="1"/>
  <c r="B4666" i="1"/>
  <c r="O4665" i="1"/>
  <c r="E4665" i="1"/>
  <c r="B4665" i="1"/>
  <c r="O4664" i="1"/>
  <c r="E4664" i="1"/>
  <c r="B4664" i="1"/>
  <c r="P4663" i="1"/>
  <c r="O4663" i="1"/>
  <c r="E4663" i="1"/>
  <c r="B4663" i="1"/>
  <c r="O4662" i="1"/>
  <c r="E4662" i="1"/>
  <c r="B4662" i="1"/>
  <c r="O4661" i="1"/>
  <c r="E4661" i="1"/>
  <c r="B4661" i="1"/>
  <c r="O4660" i="1"/>
  <c r="E4660" i="1"/>
  <c r="B4660" i="1"/>
  <c r="O4659" i="1"/>
  <c r="E4659" i="1"/>
  <c r="B4659" i="1"/>
  <c r="O4658" i="1"/>
  <c r="E4658" i="1"/>
  <c r="B4658" i="1"/>
  <c r="O4657" i="1"/>
  <c r="E4657" i="1"/>
  <c r="B4657" i="1"/>
  <c r="P4656" i="1"/>
  <c r="O4656" i="1"/>
  <c r="E4656" i="1"/>
  <c r="B4656" i="1"/>
  <c r="O4655" i="1"/>
  <c r="E4655" i="1"/>
  <c r="B4655" i="1"/>
  <c r="P4654" i="1"/>
  <c r="O4654" i="1"/>
  <c r="E4654" i="1"/>
  <c r="B4654" i="1"/>
  <c r="P4653" i="1"/>
  <c r="O4653" i="1"/>
  <c r="E4653" i="1"/>
  <c r="B4653" i="1"/>
  <c r="O4652" i="1"/>
  <c r="E4652" i="1"/>
  <c r="B4652" i="1"/>
  <c r="P4651" i="1"/>
  <c r="O4651" i="1"/>
  <c r="E4651" i="1"/>
  <c r="B4651" i="1"/>
  <c r="O4650" i="1"/>
  <c r="E4650" i="1"/>
  <c r="B4650" i="1"/>
  <c r="O4649" i="1"/>
  <c r="E4649" i="1"/>
  <c r="B4649" i="1"/>
  <c r="O4648" i="1"/>
  <c r="E4648" i="1"/>
  <c r="B4648" i="1"/>
  <c r="O4647" i="1"/>
  <c r="E4647" i="1"/>
  <c r="B4647" i="1"/>
  <c r="O4646" i="1"/>
  <c r="E4646" i="1"/>
  <c r="B4646" i="1"/>
  <c r="O4645" i="1"/>
  <c r="E4645" i="1"/>
  <c r="B4645" i="1"/>
  <c r="O4644" i="1"/>
  <c r="E4644" i="1"/>
  <c r="B4644" i="1"/>
  <c r="O4643" i="1"/>
  <c r="E4643" i="1"/>
  <c r="B4643" i="1"/>
  <c r="O4642" i="1"/>
  <c r="E4642" i="1"/>
  <c r="B4642" i="1"/>
  <c r="O4641" i="1"/>
  <c r="E4641" i="1"/>
  <c r="B4641" i="1"/>
  <c r="O4640" i="1"/>
  <c r="E4640" i="1"/>
  <c r="B4640" i="1"/>
  <c r="O4639" i="1"/>
  <c r="E4639" i="1"/>
  <c r="B4639" i="1"/>
  <c r="O4638" i="1"/>
  <c r="E4638" i="1"/>
  <c r="B4638" i="1"/>
  <c r="O4637" i="1"/>
  <c r="E4637" i="1"/>
  <c r="B4637" i="1"/>
  <c r="O4636" i="1"/>
  <c r="E4636" i="1"/>
  <c r="B4636" i="1"/>
  <c r="O4635" i="1"/>
  <c r="E4635" i="1"/>
  <c r="B4635" i="1"/>
  <c r="O4634" i="1"/>
  <c r="E4634" i="1"/>
  <c r="B4634" i="1"/>
  <c r="O4633" i="1"/>
  <c r="E4633" i="1"/>
  <c r="B4633" i="1"/>
  <c r="O4632" i="1"/>
  <c r="E4632" i="1"/>
  <c r="B4632" i="1"/>
  <c r="O4631" i="1"/>
  <c r="E4631" i="1"/>
  <c r="B4631" i="1"/>
  <c r="O4630" i="1"/>
  <c r="E4630" i="1"/>
  <c r="B4630" i="1"/>
  <c r="O4629" i="1"/>
  <c r="E4629" i="1"/>
  <c r="B4629" i="1"/>
  <c r="O4628" i="1"/>
  <c r="E4628" i="1"/>
  <c r="B4628" i="1"/>
  <c r="O4627" i="1"/>
  <c r="E4627" i="1"/>
  <c r="B4627" i="1"/>
  <c r="O4626" i="1"/>
  <c r="E4626" i="1"/>
  <c r="B4626" i="1"/>
  <c r="O4625" i="1"/>
  <c r="E4625" i="1"/>
  <c r="B4625" i="1"/>
  <c r="O4624" i="1"/>
  <c r="E4624" i="1"/>
  <c r="B4624" i="1"/>
  <c r="O4623" i="1"/>
  <c r="E4623" i="1"/>
  <c r="B4623" i="1"/>
  <c r="O4622" i="1"/>
  <c r="E4622" i="1"/>
  <c r="B4622" i="1"/>
  <c r="O4621" i="1"/>
  <c r="E4621" i="1"/>
  <c r="B4621" i="1"/>
  <c r="O4620" i="1"/>
  <c r="E4620" i="1"/>
  <c r="B4620" i="1"/>
  <c r="O4619" i="1"/>
  <c r="E4619" i="1"/>
  <c r="B4619" i="1"/>
  <c r="O4618" i="1"/>
  <c r="E4618" i="1"/>
  <c r="B4618" i="1"/>
  <c r="O4617" i="1"/>
  <c r="E4617" i="1"/>
  <c r="B4617" i="1"/>
  <c r="O4616" i="1"/>
  <c r="E4616" i="1"/>
  <c r="B4616" i="1"/>
  <c r="O4615" i="1"/>
  <c r="E4615" i="1"/>
  <c r="B4615" i="1"/>
  <c r="O4614" i="1"/>
  <c r="E4614" i="1"/>
  <c r="B4614" i="1"/>
  <c r="O4613" i="1"/>
  <c r="E4613" i="1"/>
  <c r="B4613" i="1"/>
  <c r="O4612" i="1"/>
  <c r="E4612" i="1"/>
  <c r="B4612" i="1"/>
  <c r="O4611" i="1"/>
  <c r="E4611" i="1"/>
  <c r="B4611" i="1"/>
  <c r="O4610" i="1"/>
  <c r="E4610" i="1"/>
  <c r="B4610" i="1"/>
  <c r="O4609" i="1"/>
  <c r="E4609" i="1"/>
  <c r="B4609" i="1"/>
  <c r="O4608" i="1"/>
  <c r="E4608" i="1"/>
  <c r="B4608" i="1"/>
  <c r="O4607" i="1"/>
  <c r="E4607" i="1"/>
  <c r="B4607" i="1"/>
  <c r="O4606" i="1"/>
  <c r="E4606" i="1"/>
  <c r="B4606" i="1"/>
  <c r="O4605" i="1"/>
  <c r="E4605" i="1"/>
  <c r="B4605" i="1"/>
  <c r="O4604" i="1"/>
  <c r="E4604" i="1"/>
  <c r="B4604" i="1"/>
  <c r="O4603" i="1"/>
  <c r="E4603" i="1"/>
  <c r="B4603" i="1"/>
  <c r="O4602" i="1"/>
  <c r="E4602" i="1"/>
  <c r="B4602" i="1"/>
  <c r="O4601" i="1"/>
  <c r="E4601" i="1"/>
  <c r="B4601" i="1"/>
  <c r="O4600" i="1"/>
  <c r="E4600" i="1"/>
  <c r="B4600" i="1"/>
  <c r="O4599" i="1"/>
  <c r="E4599" i="1"/>
  <c r="B4599" i="1"/>
  <c r="O4598" i="1"/>
  <c r="E4598" i="1"/>
  <c r="B4598" i="1"/>
  <c r="O4597" i="1"/>
  <c r="E4597" i="1"/>
  <c r="B4597" i="1"/>
  <c r="O4596" i="1"/>
  <c r="E4596" i="1"/>
  <c r="B4596" i="1"/>
  <c r="O4595" i="1"/>
  <c r="E4595" i="1"/>
  <c r="B4595" i="1"/>
  <c r="O4594" i="1"/>
  <c r="E4594" i="1"/>
  <c r="B4594" i="1"/>
  <c r="O4593" i="1"/>
  <c r="E4593" i="1"/>
  <c r="B4593" i="1"/>
  <c r="O4592" i="1"/>
  <c r="E4592" i="1"/>
  <c r="B4592" i="1"/>
  <c r="P4591" i="1"/>
  <c r="O4591" i="1"/>
  <c r="E4591" i="1"/>
  <c r="B4591" i="1"/>
  <c r="O4590" i="1"/>
  <c r="E4590" i="1"/>
  <c r="B4590" i="1"/>
  <c r="O4589" i="1"/>
  <c r="E4589" i="1"/>
  <c r="B4589" i="1"/>
  <c r="O4588" i="1"/>
  <c r="E4588" i="1"/>
  <c r="B4588" i="1"/>
  <c r="O4587" i="1"/>
  <c r="E4587" i="1"/>
  <c r="B4587" i="1"/>
  <c r="O4586" i="1"/>
  <c r="E4586" i="1"/>
  <c r="B4586" i="1"/>
  <c r="O4585" i="1"/>
  <c r="E4585" i="1"/>
  <c r="B4585" i="1"/>
  <c r="O4584" i="1"/>
  <c r="E4584" i="1"/>
  <c r="B4584" i="1"/>
  <c r="O4583" i="1"/>
  <c r="E4583" i="1"/>
  <c r="B4583" i="1"/>
  <c r="O4582" i="1"/>
  <c r="E4582" i="1"/>
  <c r="B4582" i="1"/>
  <c r="O4581" i="1"/>
  <c r="E4581" i="1"/>
  <c r="B4581" i="1"/>
  <c r="O4580" i="1"/>
  <c r="E4580" i="1"/>
  <c r="B4580" i="1"/>
  <c r="O4579" i="1"/>
  <c r="E4579" i="1"/>
  <c r="B4579" i="1"/>
  <c r="O4578" i="1"/>
  <c r="E4578" i="1"/>
  <c r="B4578" i="1"/>
  <c r="O4577" i="1"/>
  <c r="E4577" i="1"/>
  <c r="B4577" i="1"/>
  <c r="O4576" i="1"/>
  <c r="E4576" i="1"/>
  <c r="B4576" i="1"/>
  <c r="O4575" i="1"/>
  <c r="E4575" i="1"/>
  <c r="B4575" i="1"/>
  <c r="O4574" i="1"/>
  <c r="E4574" i="1"/>
  <c r="B4574" i="1"/>
  <c r="O4573" i="1"/>
  <c r="E4573" i="1"/>
  <c r="B4573" i="1"/>
  <c r="O4572" i="1"/>
  <c r="E4572" i="1"/>
  <c r="B4572" i="1"/>
  <c r="O4571" i="1"/>
  <c r="E4571" i="1"/>
  <c r="B4571" i="1"/>
  <c r="O4570" i="1"/>
  <c r="E4570" i="1"/>
  <c r="B4570" i="1"/>
  <c r="O4569" i="1"/>
  <c r="E4569" i="1"/>
  <c r="B4569" i="1"/>
  <c r="O4568" i="1"/>
  <c r="E4568" i="1"/>
  <c r="B4568" i="1"/>
  <c r="O4567" i="1"/>
  <c r="E4567" i="1"/>
  <c r="B4567" i="1"/>
  <c r="O4566" i="1"/>
  <c r="E4566" i="1"/>
  <c r="B4566" i="1"/>
  <c r="O4565" i="1"/>
  <c r="E4565" i="1"/>
  <c r="B4565" i="1"/>
  <c r="O4564" i="1"/>
  <c r="E4564" i="1"/>
  <c r="B4564" i="1"/>
  <c r="O4563" i="1"/>
  <c r="E4563" i="1"/>
  <c r="B4563" i="1"/>
  <c r="O4562" i="1"/>
  <c r="E4562" i="1"/>
  <c r="B4562" i="1"/>
  <c r="O4561" i="1"/>
  <c r="E4561" i="1"/>
  <c r="B4561" i="1"/>
  <c r="O4560" i="1"/>
  <c r="E4560" i="1"/>
  <c r="B4560" i="1"/>
  <c r="O4559" i="1"/>
  <c r="E4559" i="1"/>
  <c r="B4559" i="1"/>
  <c r="O4558" i="1"/>
  <c r="E4558" i="1"/>
  <c r="B4558" i="1"/>
  <c r="O4557" i="1"/>
  <c r="E4557" i="1"/>
  <c r="B4557" i="1"/>
  <c r="O4556" i="1"/>
  <c r="E4556" i="1"/>
  <c r="B4556" i="1"/>
  <c r="O4555" i="1"/>
  <c r="E4555" i="1"/>
  <c r="B4555" i="1"/>
  <c r="O4554" i="1"/>
  <c r="E4554" i="1"/>
  <c r="B4554" i="1"/>
  <c r="O4553" i="1"/>
  <c r="E4553" i="1"/>
  <c r="B4553" i="1"/>
  <c r="O4552" i="1"/>
  <c r="E4552" i="1"/>
  <c r="B4552" i="1"/>
  <c r="O4551" i="1"/>
  <c r="E4551" i="1"/>
  <c r="B4551" i="1"/>
  <c r="O4550" i="1"/>
  <c r="E4550" i="1"/>
  <c r="B4550" i="1"/>
  <c r="P4549" i="1"/>
  <c r="O4549" i="1"/>
  <c r="E4549" i="1"/>
  <c r="B4549" i="1"/>
  <c r="O4548" i="1"/>
  <c r="E4548" i="1"/>
  <c r="B4548" i="1"/>
  <c r="O4547" i="1"/>
  <c r="E4547" i="1"/>
  <c r="B4547" i="1"/>
  <c r="O4546" i="1"/>
  <c r="E4546" i="1"/>
  <c r="B4546" i="1"/>
  <c r="O4545" i="1"/>
  <c r="E4545" i="1"/>
  <c r="B4545" i="1"/>
  <c r="O4544" i="1"/>
  <c r="E4544" i="1"/>
  <c r="B4544" i="1"/>
  <c r="O4543" i="1"/>
  <c r="E4543" i="1"/>
  <c r="B4543" i="1"/>
  <c r="O4542" i="1"/>
  <c r="E4542" i="1"/>
  <c r="B4542" i="1"/>
  <c r="O4541" i="1"/>
  <c r="E4541" i="1"/>
  <c r="B4541" i="1"/>
  <c r="O4540" i="1"/>
  <c r="E4540" i="1"/>
  <c r="B4540" i="1"/>
  <c r="O4539" i="1"/>
  <c r="E4539" i="1"/>
  <c r="B4539" i="1"/>
  <c r="O4538" i="1"/>
  <c r="E4538" i="1"/>
  <c r="B4538" i="1"/>
  <c r="O4537" i="1"/>
  <c r="E4537" i="1"/>
  <c r="B4537" i="1"/>
  <c r="O4536" i="1"/>
  <c r="E4536" i="1"/>
  <c r="B4536" i="1"/>
  <c r="O4535" i="1"/>
  <c r="E4535" i="1"/>
  <c r="B4535" i="1"/>
  <c r="O4534" i="1"/>
  <c r="E4534" i="1"/>
  <c r="B4534" i="1"/>
  <c r="O4533" i="1"/>
  <c r="E4533" i="1"/>
  <c r="B4533" i="1"/>
  <c r="O4532" i="1"/>
  <c r="E4532" i="1"/>
  <c r="B4532" i="1"/>
  <c r="O4531" i="1"/>
  <c r="E4531" i="1"/>
  <c r="B4531" i="1"/>
  <c r="O4530" i="1"/>
  <c r="E4530" i="1"/>
  <c r="B4530" i="1"/>
  <c r="O4529" i="1"/>
  <c r="E4529" i="1"/>
  <c r="B4529" i="1"/>
  <c r="O4528" i="1"/>
  <c r="E4528" i="1"/>
  <c r="B4528" i="1"/>
  <c r="O4527" i="1"/>
  <c r="E4527" i="1"/>
  <c r="B4527" i="1"/>
  <c r="O4526" i="1"/>
  <c r="E4526" i="1"/>
  <c r="B4526" i="1"/>
  <c r="O4525" i="1"/>
  <c r="E4525" i="1"/>
  <c r="B4525" i="1"/>
  <c r="O4524" i="1"/>
  <c r="E4524" i="1"/>
  <c r="B4524" i="1"/>
  <c r="O4523" i="1"/>
  <c r="E4523" i="1"/>
  <c r="B4523" i="1"/>
  <c r="O4522" i="1"/>
  <c r="E4522" i="1"/>
  <c r="B4522" i="1"/>
  <c r="O4521" i="1"/>
  <c r="E4521" i="1"/>
  <c r="B4521" i="1"/>
  <c r="O4520" i="1"/>
  <c r="E4520" i="1"/>
  <c r="B4520" i="1"/>
  <c r="O4519" i="1"/>
  <c r="E4519" i="1"/>
  <c r="B4519" i="1"/>
  <c r="O4518" i="1"/>
  <c r="E4518" i="1"/>
  <c r="B4518" i="1"/>
  <c r="O4517" i="1"/>
  <c r="E4517" i="1"/>
  <c r="B4517" i="1"/>
  <c r="O4516" i="1"/>
  <c r="E4516" i="1"/>
  <c r="B4516" i="1"/>
  <c r="O4515" i="1"/>
  <c r="E4515" i="1"/>
  <c r="B4515" i="1"/>
  <c r="O4514" i="1"/>
  <c r="E4514" i="1"/>
  <c r="B4514" i="1"/>
  <c r="O4513" i="1"/>
  <c r="E4513" i="1"/>
  <c r="B4513" i="1"/>
  <c r="O4512" i="1"/>
  <c r="E4512" i="1"/>
  <c r="B4512" i="1"/>
  <c r="O4511" i="1"/>
  <c r="E4511" i="1"/>
  <c r="B4511" i="1"/>
  <c r="O4510" i="1"/>
  <c r="E4510" i="1"/>
  <c r="B4510" i="1"/>
  <c r="O4509" i="1"/>
  <c r="E4509" i="1"/>
  <c r="B4509" i="1"/>
  <c r="O4508" i="1"/>
  <c r="E4508" i="1"/>
  <c r="B4508" i="1"/>
  <c r="O4507" i="1"/>
  <c r="E4507" i="1"/>
  <c r="B4507" i="1"/>
  <c r="O4506" i="1"/>
  <c r="E4506" i="1"/>
  <c r="B4506" i="1"/>
  <c r="O4505" i="1"/>
  <c r="E4505" i="1"/>
  <c r="B4505" i="1"/>
  <c r="O4504" i="1"/>
  <c r="E4504" i="1"/>
  <c r="B4504" i="1"/>
  <c r="O4503" i="1"/>
  <c r="E4503" i="1"/>
  <c r="B4503" i="1"/>
  <c r="O4502" i="1"/>
  <c r="E4502" i="1"/>
  <c r="B4502" i="1"/>
  <c r="O4501" i="1"/>
  <c r="E4501" i="1"/>
  <c r="B4501" i="1"/>
  <c r="O4500" i="1"/>
  <c r="E4500" i="1"/>
  <c r="B4500" i="1"/>
  <c r="O4499" i="1"/>
  <c r="E4499" i="1"/>
  <c r="B4499" i="1"/>
  <c r="O4498" i="1"/>
  <c r="E4498" i="1"/>
  <c r="B4498" i="1"/>
  <c r="O4497" i="1"/>
  <c r="E4497" i="1"/>
  <c r="B4497" i="1"/>
  <c r="O4496" i="1"/>
  <c r="E4496" i="1"/>
  <c r="B4496" i="1"/>
  <c r="O4495" i="1"/>
  <c r="E4495" i="1"/>
  <c r="B4495" i="1"/>
  <c r="O4494" i="1"/>
  <c r="E4494" i="1"/>
  <c r="B4494" i="1"/>
  <c r="O4493" i="1"/>
  <c r="E4493" i="1"/>
  <c r="B4493" i="1"/>
  <c r="O4492" i="1"/>
  <c r="E4492" i="1"/>
  <c r="B4492" i="1"/>
  <c r="O4491" i="1"/>
  <c r="E4491" i="1"/>
  <c r="B4491" i="1"/>
  <c r="O4490" i="1"/>
  <c r="E4490" i="1"/>
  <c r="B4490" i="1"/>
  <c r="O4489" i="1"/>
  <c r="E4489" i="1"/>
  <c r="B4489" i="1"/>
  <c r="O4488" i="1"/>
  <c r="E4488" i="1"/>
  <c r="B4488" i="1"/>
  <c r="P4487" i="1"/>
  <c r="O4487" i="1"/>
  <c r="E4487" i="1"/>
  <c r="B4487" i="1"/>
  <c r="P4486" i="1"/>
  <c r="O4486" i="1"/>
  <c r="E4486" i="1"/>
  <c r="B4486" i="1"/>
  <c r="O4485" i="1"/>
  <c r="E4485" i="1"/>
  <c r="B4485" i="1"/>
  <c r="O4484" i="1"/>
  <c r="E4484" i="1"/>
  <c r="B4484" i="1"/>
  <c r="O4483" i="1"/>
  <c r="E4483" i="1"/>
  <c r="B4483" i="1"/>
  <c r="O4482" i="1"/>
  <c r="E4482" i="1"/>
  <c r="B4482" i="1"/>
  <c r="O4481" i="1"/>
  <c r="E4481" i="1"/>
  <c r="B4481" i="1"/>
  <c r="O4480" i="1"/>
  <c r="E4480" i="1"/>
  <c r="B4480" i="1"/>
  <c r="O4479" i="1"/>
  <c r="E4479" i="1"/>
  <c r="B4479" i="1"/>
  <c r="O4478" i="1"/>
  <c r="E4478" i="1"/>
  <c r="B4478" i="1"/>
  <c r="O4477" i="1"/>
  <c r="E4477" i="1"/>
  <c r="B4477" i="1"/>
  <c r="O4476" i="1"/>
  <c r="E4476" i="1"/>
  <c r="B4476" i="1"/>
  <c r="O4475" i="1"/>
  <c r="E4475" i="1"/>
  <c r="B4475" i="1"/>
  <c r="O4474" i="1"/>
  <c r="E4474" i="1"/>
  <c r="B4474" i="1"/>
  <c r="O4473" i="1"/>
  <c r="E4473" i="1"/>
  <c r="B4473" i="1"/>
  <c r="O4472" i="1"/>
  <c r="E4472" i="1"/>
  <c r="B4472" i="1"/>
  <c r="O4471" i="1"/>
  <c r="E4471" i="1"/>
  <c r="B4471" i="1"/>
  <c r="O4470" i="1"/>
  <c r="E4470" i="1"/>
  <c r="B4470" i="1"/>
  <c r="O4469" i="1"/>
  <c r="E4469" i="1"/>
  <c r="B4469" i="1"/>
  <c r="O4468" i="1"/>
  <c r="E4468" i="1"/>
  <c r="B4468" i="1"/>
  <c r="O4467" i="1"/>
  <c r="E4467" i="1"/>
  <c r="B4467" i="1"/>
  <c r="O4466" i="1"/>
  <c r="E4466" i="1"/>
  <c r="B4466" i="1"/>
  <c r="O4465" i="1"/>
  <c r="E4465" i="1"/>
  <c r="B4465" i="1"/>
  <c r="O4464" i="1"/>
  <c r="E4464" i="1"/>
  <c r="B4464" i="1"/>
  <c r="O4463" i="1"/>
  <c r="E4463" i="1"/>
  <c r="B4463" i="1"/>
  <c r="O4462" i="1"/>
  <c r="E4462" i="1"/>
  <c r="B4462" i="1"/>
  <c r="O4461" i="1"/>
  <c r="E4461" i="1"/>
  <c r="B4461" i="1"/>
  <c r="O4460" i="1"/>
  <c r="E4460" i="1"/>
  <c r="B4460" i="1"/>
  <c r="O4459" i="1"/>
  <c r="E4459" i="1"/>
  <c r="B4459" i="1"/>
  <c r="O4458" i="1"/>
  <c r="E4458" i="1"/>
  <c r="B4458" i="1"/>
  <c r="O4457" i="1"/>
  <c r="E4457" i="1"/>
  <c r="B4457" i="1"/>
  <c r="O4456" i="1"/>
  <c r="E4456" i="1"/>
  <c r="B4456" i="1"/>
  <c r="O4455" i="1"/>
  <c r="E4455" i="1"/>
  <c r="B4455" i="1"/>
  <c r="O4454" i="1"/>
  <c r="E4454" i="1"/>
  <c r="B4454" i="1"/>
  <c r="O4453" i="1"/>
  <c r="E4453" i="1"/>
  <c r="B4453" i="1"/>
  <c r="O4452" i="1"/>
  <c r="E4452" i="1"/>
  <c r="B4452" i="1"/>
  <c r="O4451" i="1"/>
  <c r="E4451" i="1"/>
  <c r="B4451" i="1"/>
  <c r="O4450" i="1"/>
  <c r="E4450" i="1"/>
  <c r="B4450" i="1"/>
  <c r="O4449" i="1"/>
  <c r="E4449" i="1"/>
  <c r="B4449" i="1"/>
  <c r="O4448" i="1"/>
  <c r="E4448" i="1"/>
  <c r="B4448" i="1"/>
  <c r="O4447" i="1"/>
  <c r="E4447" i="1"/>
  <c r="B4447" i="1"/>
  <c r="O4446" i="1"/>
  <c r="E4446" i="1"/>
  <c r="B4446" i="1"/>
  <c r="O4445" i="1"/>
  <c r="E4445" i="1"/>
  <c r="B4445" i="1"/>
  <c r="O4444" i="1"/>
  <c r="E4444" i="1"/>
  <c r="B4444" i="1"/>
  <c r="O4443" i="1"/>
  <c r="E4443" i="1"/>
  <c r="B4443" i="1"/>
  <c r="O4442" i="1"/>
  <c r="E4442" i="1"/>
  <c r="B4442" i="1"/>
  <c r="O4441" i="1"/>
  <c r="E4441" i="1"/>
  <c r="B4441" i="1"/>
  <c r="O4440" i="1"/>
  <c r="E4440" i="1"/>
  <c r="B4440" i="1"/>
  <c r="O4439" i="1"/>
  <c r="E4439" i="1"/>
  <c r="B4439" i="1"/>
  <c r="O4438" i="1"/>
  <c r="E4438" i="1"/>
  <c r="B4438" i="1"/>
  <c r="O4437" i="1"/>
  <c r="E4437" i="1"/>
  <c r="B4437" i="1"/>
  <c r="O4436" i="1"/>
  <c r="E4436" i="1"/>
  <c r="B4436" i="1"/>
  <c r="O4435" i="1"/>
  <c r="E4435" i="1"/>
  <c r="B4435" i="1"/>
  <c r="O4434" i="1"/>
  <c r="E4434" i="1"/>
  <c r="B4434" i="1"/>
  <c r="O4433" i="1"/>
  <c r="E4433" i="1"/>
  <c r="B4433" i="1"/>
  <c r="O4432" i="1"/>
  <c r="E4432" i="1"/>
  <c r="B4432" i="1"/>
  <c r="O4431" i="1"/>
  <c r="E4431" i="1"/>
  <c r="B4431" i="1"/>
  <c r="O4430" i="1"/>
  <c r="E4430" i="1"/>
  <c r="B4430" i="1"/>
  <c r="O4429" i="1"/>
  <c r="E4429" i="1"/>
  <c r="B4429" i="1"/>
  <c r="O4428" i="1"/>
  <c r="E4428" i="1"/>
  <c r="B4428" i="1"/>
  <c r="O4427" i="1"/>
  <c r="E4427" i="1"/>
  <c r="B4427" i="1"/>
  <c r="O4426" i="1"/>
  <c r="E4426" i="1"/>
  <c r="B4426" i="1"/>
  <c r="O4425" i="1"/>
  <c r="E4425" i="1"/>
  <c r="B4425" i="1"/>
  <c r="O4424" i="1"/>
  <c r="E4424" i="1"/>
  <c r="B4424" i="1"/>
  <c r="O4423" i="1"/>
  <c r="E4423" i="1"/>
  <c r="B4423" i="1"/>
  <c r="O4422" i="1"/>
  <c r="E4422" i="1"/>
  <c r="B4422" i="1"/>
  <c r="O4421" i="1"/>
  <c r="E4421" i="1"/>
  <c r="B4421" i="1"/>
  <c r="O4420" i="1"/>
  <c r="E4420" i="1"/>
  <c r="B4420" i="1"/>
  <c r="O4419" i="1"/>
  <c r="E4419" i="1"/>
  <c r="B4419" i="1"/>
  <c r="O4418" i="1"/>
  <c r="E4418" i="1"/>
  <c r="B4418" i="1"/>
  <c r="O4417" i="1"/>
  <c r="E4417" i="1"/>
  <c r="B4417" i="1"/>
  <c r="O4416" i="1"/>
  <c r="E4416" i="1"/>
  <c r="B4416" i="1"/>
  <c r="O4415" i="1"/>
  <c r="E4415" i="1"/>
  <c r="B4415" i="1"/>
  <c r="O4414" i="1"/>
  <c r="E4414" i="1"/>
  <c r="B4414" i="1"/>
  <c r="O4413" i="1"/>
  <c r="E4413" i="1"/>
  <c r="B4413" i="1"/>
  <c r="O4412" i="1"/>
  <c r="E4412" i="1"/>
  <c r="B4412" i="1"/>
  <c r="O4411" i="1"/>
  <c r="E4411" i="1"/>
  <c r="B4411" i="1"/>
  <c r="O4410" i="1"/>
  <c r="E4410" i="1"/>
  <c r="B4410" i="1"/>
  <c r="O4409" i="1"/>
  <c r="E4409" i="1"/>
  <c r="B4409" i="1"/>
  <c r="O4408" i="1"/>
  <c r="E4408" i="1"/>
  <c r="B4408" i="1"/>
  <c r="O4407" i="1"/>
  <c r="E4407" i="1"/>
  <c r="B4407" i="1"/>
  <c r="O4406" i="1"/>
  <c r="E4406" i="1"/>
  <c r="B4406" i="1"/>
  <c r="O4405" i="1"/>
  <c r="E4405" i="1"/>
  <c r="B4405" i="1"/>
  <c r="O4404" i="1"/>
  <c r="E4404" i="1"/>
  <c r="B4404" i="1"/>
  <c r="O4403" i="1"/>
  <c r="E4403" i="1"/>
  <c r="B4403" i="1"/>
  <c r="O4402" i="1"/>
  <c r="E4402" i="1"/>
  <c r="B4402" i="1"/>
  <c r="O4401" i="1"/>
  <c r="E4401" i="1"/>
  <c r="B4401" i="1"/>
  <c r="O4400" i="1"/>
  <c r="E4400" i="1"/>
  <c r="B4400" i="1"/>
  <c r="O4399" i="1"/>
  <c r="E4399" i="1"/>
  <c r="B4399" i="1"/>
  <c r="O4398" i="1"/>
  <c r="E4398" i="1"/>
  <c r="B4398" i="1"/>
  <c r="O4397" i="1"/>
  <c r="E4397" i="1"/>
  <c r="B4397" i="1"/>
  <c r="O4396" i="1"/>
  <c r="E4396" i="1"/>
  <c r="B4396" i="1"/>
  <c r="O4395" i="1"/>
  <c r="E4395" i="1"/>
  <c r="B4395" i="1"/>
  <c r="O4394" i="1"/>
  <c r="E4394" i="1"/>
  <c r="B4394" i="1"/>
  <c r="O4393" i="1"/>
  <c r="E4393" i="1"/>
  <c r="B4393" i="1"/>
  <c r="O4392" i="1"/>
  <c r="E4392" i="1"/>
  <c r="B4392" i="1"/>
  <c r="O4391" i="1"/>
  <c r="E4391" i="1"/>
  <c r="B4391" i="1"/>
  <c r="O4390" i="1"/>
  <c r="E4390" i="1"/>
  <c r="B4390" i="1"/>
  <c r="O4389" i="1"/>
  <c r="E4389" i="1"/>
  <c r="B4389" i="1"/>
  <c r="O4388" i="1"/>
  <c r="E4388" i="1"/>
  <c r="B4388" i="1"/>
  <c r="O4387" i="1"/>
  <c r="E4387" i="1"/>
  <c r="B4387" i="1"/>
  <c r="O4386" i="1"/>
  <c r="E4386" i="1"/>
  <c r="B4386" i="1"/>
  <c r="O4385" i="1"/>
  <c r="E4385" i="1"/>
  <c r="B4385" i="1"/>
  <c r="O4384" i="1"/>
  <c r="E4384" i="1"/>
  <c r="B4384" i="1"/>
  <c r="O4383" i="1"/>
  <c r="E4383" i="1"/>
  <c r="B4383" i="1"/>
  <c r="O4382" i="1"/>
  <c r="E4382" i="1"/>
  <c r="B4382" i="1"/>
  <c r="O4381" i="1"/>
  <c r="E4381" i="1"/>
  <c r="B4381" i="1"/>
  <c r="O4380" i="1"/>
  <c r="E4380" i="1"/>
  <c r="B4380" i="1"/>
  <c r="O4379" i="1"/>
  <c r="E4379" i="1"/>
  <c r="B4379" i="1"/>
  <c r="O4378" i="1"/>
  <c r="E4378" i="1"/>
  <c r="B4378" i="1"/>
  <c r="O4377" i="1"/>
  <c r="E4377" i="1"/>
  <c r="B4377" i="1"/>
  <c r="O4376" i="1"/>
  <c r="E4376" i="1"/>
  <c r="B4376" i="1"/>
  <c r="O4375" i="1"/>
  <c r="E4375" i="1"/>
  <c r="B4375" i="1"/>
  <c r="O4374" i="1"/>
  <c r="E4374" i="1"/>
  <c r="B4374" i="1"/>
  <c r="O4373" i="1"/>
  <c r="E4373" i="1"/>
  <c r="B4373" i="1"/>
  <c r="O4372" i="1"/>
  <c r="E4372" i="1"/>
  <c r="B4372" i="1"/>
  <c r="O4371" i="1"/>
  <c r="E4371" i="1"/>
  <c r="B4371" i="1"/>
  <c r="O4370" i="1"/>
  <c r="E4370" i="1"/>
  <c r="B4370" i="1"/>
  <c r="O4369" i="1"/>
  <c r="E4369" i="1"/>
  <c r="B4369" i="1"/>
  <c r="O4368" i="1"/>
  <c r="E4368" i="1"/>
  <c r="B4368" i="1"/>
  <c r="O4367" i="1"/>
  <c r="E4367" i="1"/>
  <c r="B4367" i="1"/>
  <c r="O4366" i="1"/>
  <c r="E4366" i="1"/>
  <c r="B4366" i="1"/>
  <c r="O4365" i="1"/>
  <c r="E4365" i="1"/>
  <c r="B4365" i="1"/>
  <c r="O4364" i="1"/>
  <c r="E4364" i="1"/>
  <c r="B4364" i="1"/>
  <c r="O4363" i="1"/>
  <c r="E4363" i="1"/>
  <c r="B4363" i="1"/>
  <c r="O4362" i="1"/>
  <c r="E4362" i="1"/>
  <c r="B4362" i="1"/>
  <c r="O4361" i="1"/>
  <c r="E4361" i="1"/>
  <c r="B4361" i="1"/>
  <c r="O4360" i="1"/>
  <c r="E4360" i="1"/>
  <c r="B4360" i="1"/>
  <c r="O4359" i="1"/>
  <c r="E4359" i="1"/>
  <c r="B4359" i="1"/>
  <c r="O4358" i="1"/>
  <c r="E4358" i="1"/>
  <c r="B4358" i="1"/>
  <c r="O4357" i="1"/>
  <c r="E4357" i="1"/>
  <c r="B4357" i="1"/>
  <c r="O4356" i="1"/>
  <c r="E4356" i="1"/>
  <c r="B4356" i="1"/>
  <c r="O4355" i="1"/>
  <c r="E4355" i="1"/>
  <c r="B4355" i="1"/>
  <c r="O4354" i="1"/>
  <c r="E4354" i="1"/>
  <c r="B4354" i="1"/>
  <c r="O4353" i="1"/>
  <c r="E4353" i="1"/>
  <c r="B4353" i="1"/>
  <c r="O4352" i="1"/>
  <c r="E4352" i="1"/>
  <c r="B4352" i="1"/>
  <c r="O4351" i="1"/>
  <c r="E4351" i="1"/>
  <c r="B4351" i="1"/>
  <c r="P4350" i="1"/>
  <c r="O4350" i="1"/>
  <c r="E4350" i="1"/>
  <c r="B4350" i="1"/>
  <c r="O4349" i="1"/>
  <c r="E4349" i="1"/>
  <c r="B4349" i="1"/>
  <c r="O4348" i="1"/>
  <c r="E4348" i="1"/>
  <c r="B4348" i="1"/>
  <c r="O4347" i="1"/>
  <c r="E4347" i="1"/>
  <c r="B4347" i="1"/>
  <c r="O4346" i="1"/>
  <c r="E4346" i="1"/>
  <c r="B4346" i="1"/>
  <c r="O4345" i="1"/>
  <c r="E4345" i="1"/>
  <c r="B4345" i="1"/>
  <c r="O4344" i="1"/>
  <c r="E4344" i="1"/>
  <c r="B4344" i="1"/>
  <c r="O4343" i="1"/>
  <c r="E4343" i="1"/>
  <c r="B4343" i="1"/>
  <c r="O4342" i="1"/>
  <c r="E4342" i="1"/>
  <c r="B4342" i="1"/>
  <c r="O4341" i="1"/>
  <c r="E4341" i="1"/>
  <c r="B4341" i="1"/>
  <c r="O4340" i="1"/>
  <c r="E4340" i="1"/>
  <c r="B4340" i="1"/>
  <c r="O4339" i="1"/>
  <c r="E4339" i="1"/>
  <c r="B4339" i="1"/>
  <c r="O4338" i="1"/>
  <c r="E4338" i="1"/>
  <c r="B4338" i="1"/>
  <c r="O4337" i="1"/>
  <c r="E4337" i="1"/>
  <c r="B4337" i="1"/>
  <c r="O4336" i="1"/>
  <c r="E4336" i="1"/>
  <c r="B4336" i="1"/>
  <c r="O4335" i="1"/>
  <c r="E4335" i="1"/>
  <c r="B4335" i="1"/>
  <c r="O4334" i="1"/>
  <c r="E4334" i="1"/>
  <c r="B4334" i="1"/>
  <c r="O4333" i="1"/>
  <c r="E4333" i="1"/>
  <c r="B4333" i="1"/>
  <c r="O4332" i="1"/>
  <c r="E4332" i="1"/>
  <c r="B4332" i="1"/>
  <c r="O4331" i="1"/>
  <c r="E4331" i="1"/>
  <c r="B4331" i="1"/>
  <c r="O4330" i="1"/>
  <c r="E4330" i="1"/>
  <c r="B4330" i="1"/>
  <c r="O4329" i="1"/>
  <c r="E4329" i="1"/>
  <c r="B4329" i="1"/>
  <c r="O4328" i="1"/>
  <c r="E4328" i="1"/>
  <c r="B4328" i="1"/>
  <c r="O4327" i="1"/>
  <c r="E4327" i="1"/>
  <c r="B4327" i="1"/>
  <c r="O4326" i="1"/>
  <c r="E4326" i="1"/>
  <c r="B4326" i="1"/>
  <c r="O4325" i="1"/>
  <c r="E4325" i="1"/>
  <c r="B4325" i="1"/>
  <c r="O4324" i="1"/>
  <c r="E4324" i="1"/>
  <c r="B4324" i="1"/>
  <c r="O4323" i="1"/>
  <c r="E4323" i="1"/>
  <c r="B4323" i="1"/>
  <c r="O4322" i="1"/>
  <c r="E4322" i="1"/>
  <c r="B4322" i="1"/>
  <c r="O4321" i="1"/>
  <c r="E4321" i="1"/>
  <c r="B4321" i="1"/>
  <c r="O4320" i="1"/>
  <c r="E4320" i="1"/>
  <c r="B4320" i="1"/>
  <c r="O4319" i="1"/>
  <c r="E4319" i="1"/>
  <c r="B4319" i="1"/>
  <c r="O4318" i="1"/>
  <c r="E4318" i="1"/>
  <c r="B4318" i="1"/>
  <c r="O4317" i="1"/>
  <c r="E4317" i="1"/>
  <c r="B4317" i="1"/>
  <c r="O4316" i="1"/>
  <c r="E4316" i="1"/>
  <c r="B4316" i="1"/>
  <c r="O4315" i="1"/>
  <c r="E4315" i="1"/>
  <c r="B4315" i="1"/>
  <c r="O4314" i="1"/>
  <c r="E4314" i="1"/>
  <c r="B4314" i="1"/>
  <c r="O4313" i="1"/>
  <c r="E4313" i="1"/>
  <c r="B4313" i="1"/>
  <c r="O4312" i="1"/>
  <c r="E4312" i="1"/>
  <c r="B4312" i="1"/>
  <c r="O4311" i="1"/>
  <c r="E4311" i="1"/>
  <c r="B4311" i="1"/>
  <c r="O4310" i="1"/>
  <c r="E4310" i="1"/>
  <c r="B4310" i="1"/>
  <c r="O4309" i="1"/>
  <c r="E4309" i="1"/>
  <c r="B4309" i="1"/>
  <c r="O4308" i="1"/>
  <c r="E4308" i="1"/>
  <c r="B4308" i="1"/>
  <c r="O4307" i="1"/>
  <c r="E4307" i="1"/>
  <c r="B4307" i="1"/>
  <c r="O4306" i="1"/>
  <c r="E4306" i="1"/>
  <c r="B4306" i="1"/>
  <c r="O4305" i="1"/>
  <c r="E4305" i="1"/>
  <c r="B4305" i="1"/>
  <c r="O4304" i="1"/>
  <c r="E4304" i="1"/>
  <c r="B4304" i="1"/>
  <c r="O4303" i="1"/>
  <c r="E4303" i="1"/>
  <c r="B4303" i="1"/>
  <c r="O4302" i="1"/>
  <c r="E4302" i="1"/>
  <c r="B4302" i="1"/>
  <c r="O4301" i="1"/>
  <c r="E4301" i="1"/>
  <c r="B4301" i="1"/>
  <c r="O4300" i="1"/>
  <c r="E4300" i="1"/>
  <c r="B4300" i="1"/>
  <c r="O4299" i="1"/>
  <c r="E4299" i="1"/>
  <c r="B4299" i="1"/>
  <c r="O4298" i="1"/>
  <c r="E4298" i="1"/>
  <c r="B4298" i="1"/>
  <c r="O4297" i="1"/>
  <c r="E4297" i="1"/>
  <c r="B4297" i="1"/>
  <c r="O4296" i="1"/>
  <c r="E4296" i="1"/>
  <c r="B4296" i="1"/>
  <c r="O4295" i="1"/>
  <c r="E4295" i="1"/>
  <c r="B4295" i="1"/>
  <c r="O4294" i="1"/>
  <c r="E4294" i="1"/>
  <c r="B4294" i="1"/>
  <c r="O4293" i="1"/>
  <c r="E4293" i="1"/>
  <c r="B4293" i="1"/>
  <c r="O4292" i="1"/>
  <c r="E4292" i="1"/>
  <c r="B4292" i="1"/>
  <c r="O4291" i="1"/>
  <c r="E4291" i="1"/>
  <c r="B4291" i="1"/>
  <c r="O4290" i="1"/>
  <c r="E4290" i="1"/>
  <c r="B4290" i="1"/>
  <c r="O4289" i="1"/>
  <c r="E4289" i="1"/>
  <c r="B4289" i="1"/>
  <c r="O4288" i="1"/>
  <c r="E4288" i="1"/>
  <c r="B4288" i="1"/>
  <c r="O4287" i="1"/>
  <c r="E4287" i="1"/>
  <c r="B4287" i="1"/>
  <c r="O4286" i="1"/>
  <c r="E4286" i="1"/>
  <c r="B4286" i="1"/>
  <c r="O4285" i="1"/>
  <c r="E4285" i="1"/>
  <c r="B4285" i="1"/>
  <c r="O4284" i="1"/>
  <c r="E4284" i="1"/>
  <c r="B4284" i="1"/>
  <c r="O4283" i="1"/>
  <c r="E4283" i="1"/>
  <c r="B4283" i="1"/>
  <c r="O4282" i="1"/>
  <c r="E4282" i="1"/>
  <c r="B4282" i="1"/>
  <c r="O4281" i="1"/>
  <c r="E4281" i="1"/>
  <c r="B4281" i="1"/>
  <c r="O4280" i="1"/>
  <c r="E4280" i="1"/>
  <c r="B4280" i="1"/>
  <c r="O4279" i="1"/>
  <c r="E4279" i="1"/>
  <c r="B4279" i="1"/>
  <c r="O4278" i="1"/>
  <c r="E4278" i="1"/>
  <c r="B4278" i="1"/>
  <c r="O4277" i="1"/>
  <c r="E4277" i="1"/>
  <c r="B4277" i="1"/>
  <c r="O4276" i="1"/>
  <c r="E4276" i="1"/>
  <c r="B4276" i="1"/>
  <c r="O4275" i="1"/>
  <c r="E4275" i="1"/>
  <c r="B4275" i="1"/>
  <c r="O4274" i="1"/>
  <c r="E4274" i="1"/>
  <c r="B4274" i="1"/>
  <c r="O4273" i="1"/>
  <c r="E4273" i="1"/>
  <c r="B4273" i="1"/>
  <c r="O4272" i="1"/>
  <c r="E4272" i="1"/>
  <c r="B4272" i="1"/>
  <c r="O4271" i="1"/>
  <c r="E4271" i="1"/>
  <c r="B4271" i="1"/>
  <c r="O4270" i="1"/>
  <c r="E4270" i="1"/>
  <c r="B4270" i="1"/>
  <c r="O4269" i="1"/>
  <c r="E4269" i="1"/>
  <c r="B4269" i="1"/>
  <c r="O4268" i="1"/>
  <c r="E4268" i="1"/>
  <c r="B4268" i="1"/>
  <c r="O4267" i="1"/>
  <c r="E4267" i="1"/>
  <c r="B4267" i="1"/>
  <c r="O4266" i="1"/>
  <c r="E4266" i="1"/>
  <c r="B4266" i="1"/>
  <c r="P4265" i="1"/>
  <c r="O4265" i="1"/>
  <c r="E4265" i="1"/>
  <c r="B4265" i="1"/>
  <c r="O4264" i="1"/>
  <c r="E4264" i="1"/>
  <c r="B4264" i="1"/>
  <c r="O4263" i="1"/>
  <c r="E4263" i="1"/>
  <c r="B4263" i="1"/>
  <c r="O4262" i="1"/>
  <c r="E4262" i="1"/>
  <c r="B4262" i="1"/>
  <c r="O4261" i="1"/>
  <c r="E4261" i="1"/>
  <c r="B4261" i="1"/>
  <c r="O4260" i="1"/>
  <c r="E4260" i="1"/>
  <c r="B4260" i="1"/>
  <c r="O4259" i="1"/>
  <c r="E4259" i="1"/>
  <c r="B4259" i="1"/>
  <c r="O4258" i="1"/>
  <c r="E4258" i="1"/>
  <c r="B4258" i="1"/>
  <c r="O4257" i="1"/>
  <c r="E4257" i="1"/>
  <c r="B4257" i="1"/>
  <c r="O4256" i="1"/>
  <c r="E4256" i="1"/>
  <c r="B4256" i="1"/>
  <c r="O4255" i="1"/>
  <c r="E4255" i="1"/>
  <c r="B4255" i="1"/>
  <c r="O4254" i="1"/>
  <c r="E4254" i="1"/>
  <c r="B4254" i="1"/>
  <c r="O4253" i="1"/>
  <c r="E4253" i="1"/>
  <c r="B4253" i="1"/>
  <c r="O4252" i="1"/>
  <c r="E4252" i="1"/>
  <c r="B4252" i="1"/>
  <c r="O4251" i="1"/>
  <c r="E4251" i="1"/>
  <c r="B4251" i="1"/>
  <c r="O4250" i="1"/>
  <c r="E4250" i="1"/>
  <c r="B4250" i="1"/>
  <c r="O4249" i="1"/>
  <c r="E4249" i="1"/>
  <c r="B4249" i="1"/>
  <c r="O4248" i="1"/>
  <c r="E4248" i="1"/>
  <c r="B4248" i="1"/>
  <c r="O4247" i="1"/>
  <c r="E4247" i="1"/>
  <c r="B4247" i="1"/>
  <c r="O4246" i="1"/>
  <c r="E4246" i="1"/>
  <c r="B4246" i="1"/>
  <c r="O4245" i="1"/>
  <c r="E4245" i="1"/>
  <c r="B4245" i="1"/>
  <c r="O4244" i="1"/>
  <c r="E4244" i="1"/>
  <c r="B4244" i="1"/>
  <c r="O4243" i="1"/>
  <c r="E4243" i="1"/>
  <c r="B4243" i="1"/>
  <c r="O4242" i="1"/>
  <c r="E4242" i="1"/>
  <c r="B4242" i="1"/>
  <c r="O4241" i="1"/>
  <c r="E4241" i="1"/>
  <c r="B4241" i="1"/>
  <c r="O4240" i="1"/>
  <c r="E4240" i="1"/>
  <c r="B4240" i="1"/>
  <c r="O4239" i="1"/>
  <c r="E4239" i="1"/>
  <c r="B4239" i="1"/>
  <c r="O4238" i="1"/>
  <c r="E4238" i="1"/>
  <c r="B4238" i="1"/>
  <c r="O4237" i="1"/>
  <c r="E4237" i="1"/>
  <c r="B4237" i="1"/>
  <c r="O4236" i="1"/>
  <c r="E4236" i="1"/>
  <c r="B4236" i="1"/>
  <c r="O4235" i="1"/>
  <c r="E4235" i="1"/>
  <c r="B4235" i="1"/>
  <c r="O4234" i="1"/>
  <c r="E4234" i="1"/>
  <c r="B4234" i="1"/>
  <c r="O4233" i="1"/>
  <c r="E4233" i="1"/>
  <c r="B4233" i="1"/>
  <c r="O4232" i="1"/>
  <c r="E4232" i="1"/>
  <c r="B4232" i="1"/>
  <c r="O4231" i="1"/>
  <c r="E4231" i="1"/>
  <c r="B4231" i="1"/>
  <c r="O4230" i="1"/>
  <c r="E4230" i="1"/>
  <c r="B4230" i="1"/>
  <c r="O4229" i="1"/>
  <c r="E4229" i="1"/>
  <c r="B4229" i="1"/>
  <c r="O4228" i="1"/>
  <c r="E4228" i="1"/>
  <c r="B4228" i="1"/>
  <c r="O4227" i="1"/>
  <c r="E4227" i="1"/>
  <c r="B4227" i="1"/>
  <c r="O4226" i="1"/>
  <c r="E4226" i="1"/>
  <c r="B4226" i="1"/>
  <c r="O4225" i="1"/>
  <c r="E4225" i="1"/>
  <c r="B4225" i="1"/>
  <c r="O4224" i="1"/>
  <c r="E4224" i="1"/>
  <c r="B4224" i="1"/>
  <c r="O4223" i="1"/>
  <c r="E4223" i="1"/>
  <c r="B4223" i="1"/>
  <c r="O4222" i="1"/>
  <c r="E4222" i="1"/>
  <c r="B4222" i="1"/>
  <c r="O4221" i="1"/>
  <c r="E4221" i="1"/>
  <c r="B4221" i="1"/>
  <c r="O4220" i="1"/>
  <c r="E4220" i="1"/>
  <c r="B4220" i="1"/>
  <c r="P4219" i="1"/>
  <c r="O4219" i="1"/>
  <c r="E4219" i="1"/>
  <c r="B4219" i="1"/>
  <c r="O4218" i="1"/>
  <c r="E4218" i="1"/>
  <c r="B4218" i="1"/>
  <c r="O4217" i="1"/>
  <c r="E4217" i="1"/>
  <c r="B4217" i="1"/>
  <c r="O4216" i="1"/>
  <c r="E4216" i="1"/>
  <c r="B4216" i="1"/>
  <c r="O4215" i="1"/>
  <c r="E4215" i="1"/>
  <c r="B4215" i="1"/>
  <c r="O4214" i="1"/>
  <c r="E4214" i="1"/>
  <c r="B4214" i="1"/>
  <c r="O4213" i="1"/>
  <c r="E4213" i="1"/>
  <c r="B4213" i="1"/>
  <c r="O4212" i="1"/>
  <c r="E4212" i="1"/>
  <c r="B4212" i="1"/>
  <c r="O4211" i="1"/>
  <c r="E4211" i="1"/>
  <c r="B4211" i="1"/>
  <c r="P4210" i="1"/>
  <c r="O4210" i="1"/>
  <c r="E4210" i="1"/>
  <c r="B4210" i="1"/>
  <c r="O4209" i="1"/>
  <c r="E4209" i="1"/>
  <c r="B4209" i="1"/>
  <c r="O4208" i="1"/>
  <c r="E4208" i="1"/>
  <c r="B4208" i="1"/>
  <c r="O4207" i="1"/>
  <c r="E4207" i="1"/>
  <c r="B4207" i="1"/>
  <c r="O4206" i="1"/>
  <c r="E4206" i="1"/>
  <c r="B4206" i="1"/>
  <c r="O4205" i="1"/>
  <c r="E4205" i="1"/>
  <c r="B4205" i="1"/>
  <c r="O4204" i="1"/>
  <c r="E4204" i="1"/>
  <c r="B4204" i="1"/>
  <c r="O4203" i="1"/>
  <c r="E4203" i="1"/>
  <c r="B4203" i="1"/>
  <c r="O4202" i="1"/>
  <c r="E4202" i="1"/>
  <c r="B4202" i="1"/>
  <c r="O4201" i="1"/>
  <c r="E4201" i="1"/>
  <c r="B4201" i="1"/>
  <c r="O4200" i="1"/>
  <c r="E4200" i="1"/>
  <c r="B4200" i="1"/>
  <c r="O4199" i="1"/>
  <c r="E4199" i="1"/>
  <c r="B4199" i="1"/>
  <c r="O4198" i="1"/>
  <c r="E4198" i="1"/>
  <c r="B4198" i="1"/>
  <c r="O4197" i="1"/>
  <c r="E4197" i="1"/>
  <c r="B4197" i="1"/>
  <c r="O4196" i="1"/>
  <c r="E4196" i="1"/>
  <c r="B4196" i="1"/>
  <c r="O4195" i="1"/>
  <c r="E4195" i="1"/>
  <c r="B4195" i="1"/>
  <c r="O4194" i="1"/>
  <c r="E4194" i="1"/>
  <c r="B4194" i="1"/>
  <c r="O4193" i="1"/>
  <c r="E4193" i="1"/>
  <c r="B4193" i="1"/>
  <c r="O4192" i="1"/>
  <c r="E4192" i="1"/>
  <c r="B4192" i="1"/>
  <c r="O4191" i="1"/>
  <c r="E4191" i="1"/>
  <c r="B4191" i="1"/>
  <c r="O4190" i="1"/>
  <c r="E4190" i="1"/>
  <c r="B4190" i="1"/>
  <c r="O4189" i="1"/>
  <c r="E4189" i="1"/>
  <c r="B4189" i="1"/>
  <c r="O4188" i="1"/>
  <c r="E4188" i="1"/>
  <c r="B4188" i="1"/>
  <c r="O4187" i="1"/>
  <c r="E4187" i="1"/>
  <c r="B4187" i="1"/>
  <c r="O4186" i="1"/>
  <c r="E4186" i="1"/>
  <c r="B4186" i="1"/>
  <c r="O4185" i="1"/>
  <c r="E4185" i="1"/>
  <c r="B4185" i="1"/>
  <c r="O4184" i="1"/>
  <c r="E4184" i="1"/>
  <c r="B4184" i="1"/>
  <c r="O4183" i="1"/>
  <c r="E4183" i="1"/>
  <c r="B4183" i="1"/>
  <c r="O4182" i="1"/>
  <c r="E4182" i="1"/>
  <c r="B4182" i="1"/>
  <c r="O4181" i="1"/>
  <c r="E4181" i="1"/>
  <c r="B4181" i="1"/>
  <c r="O4180" i="1"/>
  <c r="E4180" i="1"/>
  <c r="B4180" i="1"/>
  <c r="O4179" i="1"/>
  <c r="E4179" i="1"/>
  <c r="B4179" i="1"/>
  <c r="O4178" i="1"/>
  <c r="E4178" i="1"/>
  <c r="B4178" i="1"/>
  <c r="O4177" i="1"/>
  <c r="E4177" i="1"/>
  <c r="B4177" i="1"/>
  <c r="O4176" i="1"/>
  <c r="E4176" i="1"/>
  <c r="B4176" i="1"/>
  <c r="O4175" i="1"/>
  <c r="E4175" i="1"/>
  <c r="B4175" i="1"/>
  <c r="O4174" i="1"/>
  <c r="E4174" i="1"/>
  <c r="B4174" i="1"/>
  <c r="O4173" i="1"/>
  <c r="E4173" i="1"/>
  <c r="B4173" i="1"/>
  <c r="O4172" i="1"/>
  <c r="E4172" i="1"/>
  <c r="B4172" i="1"/>
  <c r="O4171" i="1"/>
  <c r="E4171" i="1"/>
  <c r="B4171" i="1"/>
  <c r="O4170" i="1"/>
  <c r="E4170" i="1"/>
  <c r="B4170" i="1"/>
  <c r="P4169" i="1"/>
  <c r="O4169" i="1"/>
  <c r="E4169" i="1"/>
  <c r="B4169" i="1"/>
  <c r="O4168" i="1"/>
  <c r="E4168" i="1"/>
  <c r="B4168" i="1"/>
  <c r="O4167" i="1"/>
  <c r="E4167" i="1"/>
  <c r="B4167" i="1"/>
  <c r="O4166" i="1"/>
  <c r="E4166" i="1"/>
  <c r="B4166" i="1"/>
  <c r="O4165" i="1"/>
  <c r="E4165" i="1"/>
  <c r="B4165" i="1"/>
  <c r="O4164" i="1"/>
  <c r="E4164" i="1"/>
  <c r="B4164" i="1"/>
  <c r="O4163" i="1"/>
  <c r="E4163" i="1"/>
  <c r="B4163" i="1"/>
  <c r="O4162" i="1"/>
  <c r="E4162" i="1"/>
  <c r="B4162" i="1"/>
  <c r="O4161" i="1"/>
  <c r="E4161" i="1"/>
  <c r="B4161" i="1"/>
  <c r="O4160" i="1"/>
  <c r="E4160" i="1"/>
  <c r="B4160" i="1"/>
  <c r="O4159" i="1"/>
  <c r="E4159" i="1"/>
  <c r="B4159" i="1"/>
  <c r="O4158" i="1"/>
  <c r="E4158" i="1"/>
  <c r="B4158" i="1"/>
  <c r="O4157" i="1"/>
  <c r="E4157" i="1"/>
  <c r="B4157" i="1"/>
  <c r="P4156" i="1"/>
  <c r="O4156" i="1"/>
  <c r="E4156" i="1"/>
  <c r="B4156" i="1"/>
  <c r="O4155" i="1"/>
  <c r="E4155" i="1"/>
  <c r="B4155" i="1"/>
  <c r="O4154" i="1"/>
  <c r="E4154" i="1"/>
  <c r="B4154" i="1"/>
  <c r="O4153" i="1"/>
  <c r="E4153" i="1"/>
  <c r="B4153" i="1"/>
  <c r="O4152" i="1"/>
  <c r="E4152" i="1"/>
  <c r="B4152" i="1"/>
  <c r="O4151" i="1"/>
  <c r="E4151" i="1"/>
  <c r="B4151" i="1"/>
  <c r="O4150" i="1"/>
  <c r="E4150" i="1"/>
  <c r="B4150" i="1"/>
  <c r="O4149" i="1"/>
  <c r="E4149" i="1"/>
  <c r="B4149" i="1"/>
  <c r="O4148" i="1"/>
  <c r="E4148" i="1"/>
  <c r="B4148" i="1"/>
  <c r="O4147" i="1"/>
  <c r="E4147" i="1"/>
  <c r="B4147" i="1"/>
  <c r="O4146" i="1"/>
  <c r="E4146" i="1"/>
  <c r="B4146" i="1"/>
  <c r="O4145" i="1"/>
  <c r="E4145" i="1"/>
  <c r="B4145" i="1"/>
  <c r="O4144" i="1"/>
  <c r="E4144" i="1"/>
  <c r="B4144" i="1"/>
  <c r="O4143" i="1"/>
  <c r="E4143" i="1"/>
  <c r="B4143" i="1"/>
  <c r="O4142" i="1"/>
  <c r="E4142" i="1"/>
  <c r="B4142" i="1"/>
  <c r="O4141" i="1"/>
  <c r="E4141" i="1"/>
  <c r="B4141" i="1"/>
  <c r="P4140" i="1"/>
  <c r="O4140" i="1"/>
  <c r="E4140" i="1"/>
  <c r="B4140" i="1"/>
  <c r="P4139" i="1"/>
  <c r="O4139" i="1"/>
  <c r="E4139" i="1"/>
  <c r="B4139" i="1"/>
  <c r="P4138" i="1"/>
  <c r="O4138" i="1"/>
  <c r="E4138" i="1"/>
  <c r="B4138" i="1"/>
  <c r="P4137" i="1"/>
  <c r="O4137" i="1"/>
  <c r="E4137" i="1"/>
  <c r="B4137" i="1"/>
  <c r="O4136" i="1"/>
  <c r="E4136" i="1"/>
  <c r="B4136" i="1"/>
  <c r="O4135" i="1"/>
  <c r="E4135" i="1"/>
  <c r="B4135" i="1"/>
  <c r="O4134" i="1"/>
  <c r="E4134" i="1"/>
  <c r="B4134" i="1"/>
  <c r="O4133" i="1"/>
  <c r="E4133" i="1"/>
  <c r="B4133" i="1"/>
  <c r="O4132" i="1"/>
  <c r="E4132" i="1"/>
  <c r="B4132" i="1"/>
  <c r="O4131" i="1"/>
  <c r="E4131" i="1"/>
  <c r="B4131" i="1"/>
  <c r="O4130" i="1"/>
  <c r="E4130" i="1"/>
  <c r="B4130" i="1"/>
  <c r="O4129" i="1"/>
  <c r="E4129" i="1"/>
  <c r="B4129" i="1"/>
  <c r="O4128" i="1"/>
  <c r="E4128" i="1"/>
  <c r="B4128" i="1"/>
  <c r="O4127" i="1"/>
  <c r="E4127" i="1"/>
  <c r="B4127" i="1"/>
  <c r="O4126" i="1"/>
  <c r="E4126" i="1"/>
  <c r="B4126" i="1"/>
  <c r="O4125" i="1"/>
  <c r="E4125" i="1"/>
  <c r="B4125" i="1"/>
  <c r="O4124" i="1"/>
  <c r="E4124" i="1"/>
  <c r="B4124" i="1"/>
  <c r="O4123" i="1"/>
  <c r="E4123" i="1"/>
  <c r="B4123" i="1"/>
  <c r="O4122" i="1"/>
  <c r="E4122" i="1"/>
  <c r="B4122" i="1"/>
  <c r="O4121" i="1"/>
  <c r="E4121" i="1"/>
  <c r="B4121" i="1"/>
  <c r="O4120" i="1"/>
  <c r="E4120" i="1"/>
  <c r="B4120" i="1"/>
  <c r="O4119" i="1"/>
  <c r="E4119" i="1"/>
  <c r="B4119" i="1"/>
  <c r="O4118" i="1"/>
  <c r="E4118" i="1"/>
  <c r="B4118" i="1"/>
  <c r="O4117" i="1"/>
  <c r="E4117" i="1"/>
  <c r="B4117" i="1"/>
  <c r="O4116" i="1"/>
  <c r="E4116" i="1"/>
  <c r="B4116" i="1"/>
  <c r="O4115" i="1"/>
  <c r="E4115" i="1"/>
  <c r="B4115" i="1"/>
  <c r="O4114" i="1"/>
  <c r="E4114" i="1"/>
  <c r="B4114" i="1"/>
  <c r="O4113" i="1"/>
  <c r="E4113" i="1"/>
  <c r="B4113" i="1"/>
  <c r="O4112" i="1"/>
  <c r="E4112" i="1"/>
  <c r="B4112" i="1"/>
  <c r="O4111" i="1"/>
  <c r="E4111" i="1"/>
  <c r="B4111" i="1"/>
  <c r="O4110" i="1"/>
  <c r="E4110" i="1"/>
  <c r="B4110" i="1"/>
  <c r="O4109" i="1"/>
  <c r="E4109" i="1"/>
  <c r="B4109" i="1"/>
  <c r="O4108" i="1"/>
  <c r="E4108" i="1"/>
  <c r="B4108" i="1"/>
  <c r="O4107" i="1"/>
  <c r="E4107" i="1"/>
  <c r="B4107" i="1"/>
  <c r="O4106" i="1"/>
  <c r="E4106" i="1"/>
  <c r="B4106" i="1"/>
  <c r="O4105" i="1"/>
  <c r="E4105" i="1"/>
  <c r="B4105" i="1"/>
  <c r="O4104" i="1"/>
  <c r="E4104" i="1"/>
  <c r="B4104" i="1"/>
  <c r="O4103" i="1"/>
  <c r="E4103" i="1"/>
  <c r="B4103" i="1"/>
  <c r="O4102" i="1"/>
  <c r="E4102" i="1"/>
  <c r="B4102" i="1"/>
  <c r="O4101" i="1"/>
  <c r="E4101" i="1"/>
  <c r="B4101" i="1"/>
  <c r="O4100" i="1"/>
  <c r="E4100" i="1"/>
  <c r="B4100" i="1"/>
  <c r="O4099" i="1"/>
  <c r="E4099" i="1"/>
  <c r="B4099" i="1"/>
  <c r="O4098" i="1"/>
  <c r="E4098" i="1"/>
  <c r="B4098" i="1"/>
  <c r="O4097" i="1"/>
  <c r="E4097" i="1"/>
  <c r="B4097" i="1"/>
  <c r="O4096" i="1"/>
  <c r="E4096" i="1"/>
  <c r="B4096" i="1"/>
  <c r="O4095" i="1"/>
  <c r="E4095" i="1"/>
  <c r="B4095" i="1"/>
  <c r="O4094" i="1"/>
  <c r="E4094" i="1"/>
  <c r="B4094" i="1"/>
  <c r="O4093" i="1"/>
  <c r="E4093" i="1"/>
  <c r="B4093" i="1"/>
  <c r="O4092" i="1"/>
  <c r="E4092" i="1"/>
  <c r="B4092" i="1"/>
  <c r="O4091" i="1"/>
  <c r="E4091" i="1"/>
  <c r="B4091" i="1"/>
  <c r="O4090" i="1"/>
  <c r="E4090" i="1"/>
  <c r="B4090" i="1"/>
  <c r="O4089" i="1"/>
  <c r="E4089" i="1"/>
  <c r="B4089" i="1"/>
  <c r="O4088" i="1"/>
  <c r="E4088" i="1"/>
  <c r="B4088" i="1"/>
  <c r="O4087" i="1"/>
  <c r="E4087" i="1"/>
  <c r="B4087" i="1"/>
  <c r="O4086" i="1"/>
  <c r="E4086" i="1"/>
  <c r="B4086" i="1"/>
  <c r="O4085" i="1"/>
  <c r="E4085" i="1"/>
  <c r="B4085" i="1"/>
  <c r="O4084" i="1"/>
  <c r="E4084" i="1"/>
  <c r="B4084" i="1"/>
  <c r="O4083" i="1"/>
  <c r="E4083" i="1"/>
  <c r="B4083" i="1"/>
  <c r="O4082" i="1"/>
  <c r="E4082" i="1"/>
  <c r="B4082" i="1"/>
  <c r="O4081" i="1"/>
  <c r="E4081" i="1"/>
  <c r="B4081" i="1"/>
  <c r="O4080" i="1"/>
  <c r="E4080" i="1"/>
  <c r="B4080" i="1"/>
  <c r="O4079" i="1"/>
  <c r="E4079" i="1"/>
  <c r="B4079" i="1"/>
  <c r="O4078" i="1"/>
  <c r="E4078" i="1"/>
  <c r="B4078" i="1"/>
  <c r="O4077" i="1"/>
  <c r="E4077" i="1"/>
  <c r="B4077" i="1"/>
  <c r="O4076" i="1"/>
  <c r="E4076" i="1"/>
  <c r="B4076" i="1"/>
  <c r="O4075" i="1"/>
  <c r="E4075" i="1"/>
  <c r="B4075" i="1"/>
  <c r="O4074" i="1"/>
  <c r="E4074" i="1"/>
  <c r="B4074" i="1"/>
  <c r="O4073" i="1"/>
  <c r="E4073" i="1"/>
  <c r="B4073" i="1"/>
  <c r="O4072" i="1"/>
  <c r="E4072" i="1"/>
  <c r="B4072" i="1"/>
  <c r="O4071" i="1"/>
  <c r="E4071" i="1"/>
  <c r="B4071" i="1"/>
  <c r="O4070" i="1"/>
  <c r="E4070" i="1"/>
  <c r="B4070" i="1"/>
  <c r="O4069" i="1"/>
  <c r="E4069" i="1"/>
  <c r="B4069" i="1"/>
  <c r="O4068" i="1"/>
  <c r="E4068" i="1"/>
  <c r="B4068" i="1"/>
  <c r="O4067" i="1"/>
  <c r="E4067" i="1"/>
  <c r="B4067" i="1"/>
  <c r="O4066" i="1"/>
  <c r="E4066" i="1"/>
  <c r="B4066" i="1"/>
  <c r="O4065" i="1"/>
  <c r="E4065" i="1"/>
  <c r="B4065" i="1"/>
  <c r="O4064" i="1"/>
  <c r="E4064" i="1"/>
  <c r="B4064" i="1"/>
  <c r="O4063" i="1"/>
  <c r="E4063" i="1"/>
  <c r="B4063" i="1"/>
  <c r="O4062" i="1"/>
  <c r="E4062" i="1"/>
  <c r="B4062" i="1"/>
  <c r="O4061" i="1"/>
  <c r="E4061" i="1"/>
  <c r="B4061" i="1"/>
  <c r="O4060" i="1"/>
  <c r="E4060" i="1"/>
  <c r="B4060" i="1"/>
  <c r="O4059" i="1"/>
  <c r="E4059" i="1"/>
  <c r="B4059" i="1"/>
  <c r="O4058" i="1"/>
  <c r="E4058" i="1"/>
  <c r="B4058" i="1"/>
  <c r="O4057" i="1"/>
  <c r="E4057" i="1"/>
  <c r="B4057" i="1"/>
  <c r="O4056" i="1"/>
  <c r="E4056" i="1"/>
  <c r="B4056" i="1"/>
  <c r="O4055" i="1"/>
  <c r="E4055" i="1"/>
  <c r="B4055" i="1"/>
  <c r="O4054" i="1"/>
  <c r="E4054" i="1"/>
  <c r="B4054" i="1"/>
  <c r="O4053" i="1"/>
  <c r="E4053" i="1"/>
  <c r="B4053" i="1"/>
  <c r="O4052" i="1"/>
  <c r="E4052" i="1"/>
  <c r="B4052" i="1"/>
  <c r="O4051" i="1"/>
  <c r="E4051" i="1"/>
  <c r="B4051" i="1"/>
  <c r="O4050" i="1"/>
  <c r="E4050" i="1"/>
  <c r="B4050" i="1"/>
  <c r="O4049" i="1"/>
  <c r="E4049" i="1"/>
  <c r="B4049" i="1"/>
  <c r="O4048" i="1"/>
  <c r="E4048" i="1"/>
  <c r="B4048" i="1"/>
  <c r="O4047" i="1"/>
  <c r="E4047" i="1"/>
  <c r="B4047" i="1"/>
  <c r="O4046" i="1"/>
  <c r="E4046" i="1"/>
  <c r="B4046" i="1"/>
  <c r="O4045" i="1"/>
  <c r="E4045" i="1"/>
  <c r="B4045" i="1"/>
  <c r="O4044" i="1"/>
  <c r="E4044" i="1"/>
  <c r="B4044" i="1"/>
  <c r="O4043" i="1"/>
  <c r="E4043" i="1"/>
  <c r="B4043" i="1"/>
  <c r="O4042" i="1"/>
  <c r="E4042" i="1"/>
  <c r="B4042" i="1"/>
  <c r="O4041" i="1"/>
  <c r="E4041" i="1"/>
  <c r="B4041" i="1"/>
  <c r="O4040" i="1"/>
  <c r="E4040" i="1"/>
  <c r="B4040" i="1"/>
  <c r="O4039" i="1"/>
  <c r="E4039" i="1"/>
  <c r="B4039" i="1"/>
  <c r="O4038" i="1"/>
  <c r="E4038" i="1"/>
  <c r="B4038" i="1"/>
  <c r="O4037" i="1"/>
  <c r="E4037" i="1"/>
  <c r="B4037" i="1"/>
  <c r="O4036" i="1"/>
  <c r="E4036" i="1"/>
  <c r="B4036" i="1"/>
  <c r="O4035" i="1"/>
  <c r="E4035" i="1"/>
  <c r="B4035" i="1"/>
  <c r="O4034" i="1"/>
  <c r="E4034" i="1"/>
  <c r="B4034" i="1"/>
  <c r="O4033" i="1"/>
  <c r="E4033" i="1"/>
  <c r="B4033" i="1"/>
  <c r="O4032" i="1"/>
  <c r="E4032" i="1"/>
  <c r="B4032" i="1"/>
  <c r="O4031" i="1"/>
  <c r="E4031" i="1"/>
  <c r="B4031" i="1"/>
  <c r="O4030" i="1"/>
  <c r="E4030" i="1"/>
  <c r="B4030" i="1"/>
  <c r="O4029" i="1"/>
  <c r="E4029" i="1"/>
  <c r="B4029" i="1"/>
  <c r="O4028" i="1"/>
  <c r="E4028" i="1"/>
  <c r="B4028" i="1"/>
  <c r="O4027" i="1"/>
  <c r="E4027" i="1"/>
  <c r="B4027" i="1"/>
  <c r="O4026" i="1"/>
  <c r="E4026" i="1"/>
  <c r="B4026" i="1"/>
  <c r="O4025" i="1"/>
  <c r="E4025" i="1"/>
  <c r="B4025" i="1"/>
  <c r="O4024" i="1"/>
  <c r="E4024" i="1"/>
  <c r="B4024" i="1"/>
  <c r="O4023" i="1"/>
  <c r="E4023" i="1"/>
  <c r="B4023" i="1"/>
  <c r="O4022" i="1"/>
  <c r="E4022" i="1"/>
  <c r="B4022" i="1"/>
  <c r="O4021" i="1"/>
  <c r="E4021" i="1"/>
  <c r="B4021" i="1"/>
  <c r="O4020" i="1"/>
  <c r="E4020" i="1"/>
  <c r="B4020" i="1"/>
  <c r="O4019" i="1"/>
  <c r="E4019" i="1"/>
  <c r="B4019" i="1"/>
  <c r="O4018" i="1"/>
  <c r="E4018" i="1"/>
  <c r="B4018" i="1"/>
  <c r="O4017" i="1"/>
  <c r="E4017" i="1"/>
  <c r="B4017" i="1"/>
  <c r="O4016" i="1"/>
  <c r="E4016" i="1"/>
  <c r="B4016" i="1"/>
  <c r="O4015" i="1"/>
  <c r="E4015" i="1"/>
  <c r="B4015" i="1"/>
  <c r="O4014" i="1"/>
  <c r="E4014" i="1"/>
  <c r="B4014" i="1"/>
  <c r="O4013" i="1"/>
  <c r="E4013" i="1"/>
  <c r="B4013" i="1"/>
  <c r="O4012" i="1"/>
  <c r="E4012" i="1"/>
  <c r="B4012" i="1"/>
  <c r="O4011" i="1"/>
  <c r="E4011" i="1"/>
  <c r="B4011" i="1"/>
  <c r="O4010" i="1"/>
  <c r="E4010" i="1"/>
  <c r="B4010" i="1"/>
  <c r="O4009" i="1"/>
  <c r="E4009" i="1"/>
  <c r="B4009" i="1"/>
  <c r="O4008" i="1"/>
  <c r="E4008" i="1"/>
  <c r="B4008" i="1"/>
  <c r="O4007" i="1"/>
  <c r="E4007" i="1"/>
  <c r="B4007" i="1"/>
  <c r="O4006" i="1"/>
  <c r="E4006" i="1"/>
  <c r="B4006" i="1"/>
  <c r="O4005" i="1"/>
  <c r="E4005" i="1"/>
  <c r="B4005" i="1"/>
  <c r="O4004" i="1"/>
  <c r="E4004" i="1"/>
  <c r="B4004" i="1"/>
  <c r="O4003" i="1"/>
  <c r="E4003" i="1"/>
  <c r="B4003" i="1"/>
  <c r="O4002" i="1"/>
  <c r="E4002" i="1"/>
  <c r="B4002" i="1"/>
  <c r="O4001" i="1"/>
  <c r="E4001" i="1"/>
  <c r="B4001" i="1"/>
  <c r="O4000" i="1"/>
  <c r="E4000" i="1"/>
  <c r="B4000" i="1"/>
  <c r="O3999" i="1"/>
  <c r="E3999" i="1"/>
  <c r="B3999" i="1"/>
  <c r="O3998" i="1"/>
  <c r="E3998" i="1"/>
  <c r="B3998" i="1"/>
  <c r="O3997" i="1"/>
  <c r="E3997" i="1"/>
  <c r="B3997" i="1"/>
  <c r="O3996" i="1"/>
  <c r="E3996" i="1"/>
  <c r="B3996" i="1"/>
  <c r="O3995" i="1"/>
  <c r="E3995" i="1"/>
  <c r="B3995" i="1"/>
  <c r="O3994" i="1"/>
  <c r="E3994" i="1"/>
  <c r="B3994" i="1"/>
  <c r="O3993" i="1"/>
  <c r="E3993" i="1"/>
  <c r="B3993" i="1"/>
  <c r="O3992" i="1"/>
  <c r="E3992" i="1"/>
  <c r="B3992" i="1"/>
  <c r="O3991" i="1"/>
  <c r="E3991" i="1"/>
  <c r="B3991" i="1"/>
  <c r="O3990" i="1"/>
  <c r="E3990" i="1"/>
  <c r="B3990" i="1"/>
  <c r="O3989" i="1"/>
  <c r="E3989" i="1"/>
  <c r="B3989" i="1"/>
  <c r="O3988" i="1"/>
  <c r="E3988" i="1"/>
  <c r="B3988" i="1"/>
  <c r="O3987" i="1"/>
  <c r="E3987" i="1"/>
  <c r="B3987" i="1"/>
  <c r="O3986" i="1"/>
  <c r="E3986" i="1"/>
  <c r="B3986" i="1"/>
  <c r="O3985" i="1"/>
  <c r="E3985" i="1"/>
  <c r="B3985" i="1"/>
  <c r="O3984" i="1"/>
  <c r="E3984" i="1"/>
  <c r="B3984" i="1"/>
  <c r="O3983" i="1"/>
  <c r="E3983" i="1"/>
  <c r="B3983" i="1"/>
  <c r="O3982" i="1"/>
  <c r="E3982" i="1"/>
  <c r="B3982" i="1"/>
  <c r="O3981" i="1"/>
  <c r="E3981" i="1"/>
  <c r="B3981" i="1"/>
  <c r="O3980" i="1"/>
  <c r="E3980" i="1"/>
  <c r="B3980" i="1"/>
  <c r="O3979" i="1"/>
  <c r="E3979" i="1"/>
  <c r="B3979" i="1"/>
  <c r="O3978" i="1"/>
  <c r="E3978" i="1"/>
  <c r="B3978" i="1"/>
  <c r="O3977" i="1"/>
  <c r="E3977" i="1"/>
  <c r="B3977" i="1"/>
  <c r="O3976" i="1"/>
  <c r="E3976" i="1"/>
  <c r="B3976" i="1"/>
  <c r="O3975" i="1"/>
  <c r="E3975" i="1"/>
  <c r="B3975" i="1"/>
  <c r="O3974" i="1"/>
  <c r="E3974" i="1"/>
  <c r="B3974" i="1"/>
  <c r="O3973" i="1"/>
  <c r="E3973" i="1"/>
  <c r="B3973" i="1"/>
  <c r="O3972" i="1"/>
  <c r="E3972" i="1"/>
  <c r="B3972" i="1"/>
  <c r="O3971" i="1"/>
  <c r="E3971" i="1"/>
  <c r="B3971" i="1"/>
  <c r="O3970" i="1"/>
  <c r="E3970" i="1"/>
  <c r="B3970" i="1"/>
  <c r="O3969" i="1"/>
  <c r="E3969" i="1"/>
  <c r="B3969" i="1"/>
  <c r="O3968" i="1"/>
  <c r="E3968" i="1"/>
  <c r="B3968" i="1"/>
  <c r="O3967" i="1"/>
  <c r="E3967" i="1"/>
  <c r="B3967" i="1"/>
  <c r="O3966" i="1"/>
  <c r="E3966" i="1"/>
  <c r="B3966" i="1"/>
  <c r="O3965" i="1"/>
  <c r="E3965" i="1"/>
  <c r="B3965" i="1"/>
  <c r="O3964" i="1"/>
  <c r="E3964" i="1"/>
  <c r="B3964" i="1"/>
  <c r="P3963" i="1"/>
  <c r="O3963" i="1"/>
  <c r="E3963" i="1"/>
  <c r="B3963" i="1"/>
  <c r="O3962" i="1"/>
  <c r="E3962" i="1"/>
  <c r="B3962" i="1"/>
  <c r="O3961" i="1"/>
  <c r="E3961" i="1"/>
  <c r="B3961" i="1"/>
  <c r="O3960" i="1"/>
  <c r="E3960" i="1"/>
  <c r="B3960" i="1"/>
  <c r="O3959" i="1"/>
  <c r="E3959" i="1"/>
  <c r="B3959" i="1"/>
  <c r="O3958" i="1"/>
  <c r="E3958" i="1"/>
  <c r="B3958" i="1"/>
  <c r="O3957" i="1"/>
  <c r="E3957" i="1"/>
  <c r="B3957" i="1"/>
  <c r="O3956" i="1"/>
  <c r="E3956" i="1"/>
  <c r="B3956" i="1"/>
  <c r="O3955" i="1"/>
  <c r="E3955" i="1"/>
  <c r="B3955" i="1"/>
  <c r="O3954" i="1"/>
  <c r="E3954" i="1"/>
  <c r="B3954" i="1"/>
  <c r="O3953" i="1"/>
  <c r="E3953" i="1"/>
  <c r="B3953" i="1"/>
  <c r="O3952" i="1"/>
  <c r="E3952" i="1"/>
  <c r="B3952" i="1"/>
  <c r="O3951" i="1"/>
  <c r="E3951" i="1"/>
  <c r="B3951" i="1"/>
  <c r="O3950" i="1"/>
  <c r="E3950" i="1"/>
  <c r="B3950" i="1"/>
  <c r="O3949" i="1"/>
  <c r="E3949" i="1"/>
  <c r="B3949" i="1"/>
  <c r="O3948" i="1"/>
  <c r="E3948" i="1"/>
  <c r="B3948" i="1"/>
  <c r="O3947" i="1"/>
  <c r="E3947" i="1"/>
  <c r="B3947" i="1"/>
  <c r="O3946" i="1"/>
  <c r="E3946" i="1"/>
  <c r="B3946" i="1"/>
  <c r="O3945" i="1"/>
  <c r="E3945" i="1"/>
  <c r="B3945" i="1"/>
  <c r="O3944" i="1"/>
  <c r="E3944" i="1"/>
  <c r="B3944" i="1"/>
  <c r="O3943" i="1"/>
  <c r="E3943" i="1"/>
  <c r="B3943" i="1"/>
  <c r="O3942" i="1"/>
  <c r="E3942" i="1"/>
  <c r="B3942" i="1"/>
  <c r="O3941" i="1"/>
  <c r="E3941" i="1"/>
  <c r="B3941" i="1"/>
  <c r="O3940" i="1"/>
  <c r="E3940" i="1"/>
  <c r="B3940" i="1"/>
  <c r="O3939" i="1"/>
  <c r="E3939" i="1"/>
  <c r="B3939" i="1"/>
  <c r="O3938" i="1"/>
  <c r="E3938" i="1"/>
  <c r="B3938" i="1"/>
  <c r="O3937" i="1"/>
  <c r="E3937" i="1"/>
  <c r="B3937" i="1"/>
  <c r="O3936" i="1"/>
  <c r="E3936" i="1"/>
  <c r="B3936" i="1"/>
  <c r="O3935" i="1"/>
  <c r="E3935" i="1"/>
  <c r="B3935" i="1"/>
  <c r="O3934" i="1"/>
  <c r="E3934" i="1"/>
  <c r="B3934" i="1"/>
  <c r="O3933" i="1"/>
  <c r="E3933" i="1"/>
  <c r="B3933" i="1"/>
  <c r="O3932" i="1"/>
  <c r="E3932" i="1"/>
  <c r="B3932" i="1"/>
  <c r="O3931" i="1"/>
  <c r="E3931" i="1"/>
  <c r="B3931" i="1"/>
  <c r="O3930" i="1"/>
  <c r="E3930" i="1"/>
  <c r="B3930" i="1"/>
  <c r="O3929" i="1"/>
  <c r="E3929" i="1"/>
  <c r="B3929" i="1"/>
  <c r="O3928" i="1"/>
  <c r="E3928" i="1"/>
  <c r="B3928" i="1"/>
  <c r="O3927" i="1"/>
  <c r="E3927" i="1"/>
  <c r="B3927" i="1"/>
  <c r="O3926" i="1"/>
  <c r="E3926" i="1"/>
  <c r="B3926" i="1"/>
  <c r="O3925" i="1"/>
  <c r="E3925" i="1"/>
  <c r="B3925" i="1"/>
  <c r="O3924" i="1"/>
  <c r="E3924" i="1"/>
  <c r="B3924" i="1"/>
  <c r="O3923" i="1"/>
  <c r="E3923" i="1"/>
  <c r="B3923" i="1"/>
  <c r="O3922" i="1"/>
  <c r="E3922" i="1"/>
  <c r="B3922" i="1"/>
  <c r="O3921" i="1"/>
  <c r="E3921" i="1"/>
  <c r="B3921" i="1"/>
  <c r="O3920" i="1"/>
  <c r="E3920" i="1"/>
  <c r="B3920" i="1"/>
  <c r="O3919" i="1"/>
  <c r="E3919" i="1"/>
  <c r="B3919" i="1"/>
  <c r="O3918" i="1"/>
  <c r="E3918" i="1"/>
  <c r="B3918" i="1"/>
  <c r="O3917" i="1"/>
  <c r="E3917" i="1"/>
  <c r="B3917" i="1"/>
  <c r="O3916" i="1"/>
  <c r="E3916" i="1"/>
  <c r="B3916" i="1"/>
  <c r="O3915" i="1"/>
  <c r="E3915" i="1"/>
  <c r="B3915" i="1"/>
  <c r="O3914" i="1"/>
  <c r="E3914" i="1"/>
  <c r="B3914" i="1"/>
  <c r="O3913" i="1"/>
  <c r="E3913" i="1"/>
  <c r="B3913" i="1"/>
  <c r="O3912" i="1"/>
  <c r="E3912" i="1"/>
  <c r="B3912" i="1"/>
  <c r="O3911" i="1"/>
  <c r="E3911" i="1"/>
  <c r="B3911" i="1"/>
  <c r="O3910" i="1"/>
  <c r="E3910" i="1"/>
  <c r="B3910" i="1"/>
  <c r="O3909" i="1"/>
  <c r="E3909" i="1"/>
  <c r="B3909" i="1"/>
  <c r="O3908" i="1"/>
  <c r="E3908" i="1"/>
  <c r="B3908" i="1"/>
  <c r="O3907" i="1"/>
  <c r="E3907" i="1"/>
  <c r="B3907" i="1"/>
  <c r="O3906" i="1"/>
  <c r="E3906" i="1"/>
  <c r="B3906" i="1"/>
  <c r="O3905" i="1"/>
  <c r="E3905" i="1"/>
  <c r="B3905" i="1"/>
  <c r="O3904" i="1"/>
  <c r="E3904" i="1"/>
  <c r="B3904" i="1"/>
  <c r="O3903" i="1"/>
  <c r="E3903" i="1"/>
  <c r="B3903" i="1"/>
  <c r="O3902" i="1"/>
  <c r="E3902" i="1"/>
  <c r="B3902" i="1"/>
  <c r="O3901" i="1"/>
  <c r="E3901" i="1"/>
  <c r="B3901" i="1"/>
  <c r="O3900" i="1"/>
  <c r="E3900" i="1"/>
  <c r="B3900" i="1"/>
  <c r="O3899" i="1"/>
  <c r="E3899" i="1"/>
  <c r="B3899" i="1"/>
  <c r="O3898" i="1"/>
  <c r="E3898" i="1"/>
  <c r="B3898" i="1"/>
  <c r="O3897" i="1"/>
  <c r="E3897" i="1"/>
  <c r="B3897" i="1"/>
  <c r="O3896" i="1"/>
  <c r="E3896" i="1"/>
  <c r="B3896" i="1"/>
  <c r="O3895" i="1"/>
  <c r="E3895" i="1"/>
  <c r="B3895" i="1"/>
  <c r="O3894" i="1"/>
  <c r="E3894" i="1"/>
  <c r="B3894" i="1"/>
  <c r="O3893" i="1"/>
  <c r="E3893" i="1"/>
  <c r="B3893" i="1"/>
  <c r="O3892" i="1"/>
  <c r="E3892" i="1"/>
  <c r="B3892" i="1"/>
  <c r="O3891" i="1"/>
  <c r="E3891" i="1"/>
  <c r="B3891" i="1"/>
  <c r="O3890" i="1"/>
  <c r="E3890" i="1"/>
  <c r="B3890" i="1"/>
  <c r="O3889" i="1"/>
  <c r="E3889" i="1"/>
  <c r="B3889" i="1"/>
  <c r="O3888" i="1"/>
  <c r="E3888" i="1"/>
  <c r="B3888" i="1"/>
  <c r="O3887" i="1"/>
  <c r="E3887" i="1"/>
  <c r="B3887" i="1"/>
  <c r="O3886" i="1"/>
  <c r="E3886" i="1"/>
  <c r="B3886" i="1"/>
  <c r="O3885" i="1"/>
  <c r="E3885" i="1"/>
  <c r="B3885" i="1"/>
  <c r="O3884" i="1"/>
  <c r="E3884" i="1"/>
  <c r="B3884" i="1"/>
  <c r="O3883" i="1"/>
  <c r="E3883" i="1"/>
  <c r="B3883" i="1"/>
  <c r="O3882" i="1"/>
  <c r="E3882" i="1"/>
  <c r="B3882" i="1"/>
  <c r="O3881" i="1"/>
  <c r="E3881" i="1"/>
  <c r="B3881" i="1"/>
  <c r="O3880" i="1"/>
  <c r="E3880" i="1"/>
  <c r="B3880" i="1"/>
  <c r="O3879" i="1"/>
  <c r="E3879" i="1"/>
  <c r="B3879" i="1"/>
  <c r="O3878" i="1"/>
  <c r="E3878" i="1"/>
  <c r="B3878" i="1"/>
  <c r="O3877" i="1"/>
  <c r="E3877" i="1"/>
  <c r="B3877" i="1"/>
  <c r="O3876" i="1"/>
  <c r="E3876" i="1"/>
  <c r="B3876" i="1"/>
  <c r="O3875" i="1"/>
  <c r="E3875" i="1"/>
  <c r="B3875" i="1"/>
  <c r="O3874" i="1"/>
  <c r="E3874" i="1"/>
  <c r="B3874" i="1"/>
  <c r="O3873" i="1"/>
  <c r="E3873" i="1"/>
  <c r="B3873" i="1"/>
  <c r="O3872" i="1"/>
  <c r="E3872" i="1"/>
  <c r="B3872" i="1"/>
  <c r="O3871" i="1"/>
  <c r="E3871" i="1"/>
  <c r="B3871" i="1"/>
  <c r="O3870" i="1"/>
  <c r="E3870" i="1"/>
  <c r="B3870" i="1"/>
  <c r="O3869" i="1"/>
  <c r="E3869" i="1"/>
  <c r="B3869" i="1"/>
  <c r="O3868" i="1"/>
  <c r="E3868" i="1"/>
  <c r="B3868" i="1"/>
  <c r="O3867" i="1"/>
  <c r="E3867" i="1"/>
  <c r="B3867" i="1"/>
  <c r="O3866" i="1"/>
  <c r="E3866" i="1"/>
  <c r="B3866" i="1"/>
  <c r="O3865" i="1"/>
  <c r="E3865" i="1"/>
  <c r="B3865" i="1"/>
  <c r="O3864" i="1"/>
  <c r="E3864" i="1"/>
  <c r="B3864" i="1"/>
  <c r="O3863" i="1"/>
  <c r="E3863" i="1"/>
  <c r="B3863" i="1"/>
  <c r="O3862" i="1"/>
  <c r="E3862" i="1"/>
  <c r="B3862" i="1"/>
  <c r="O3861" i="1"/>
  <c r="E3861" i="1"/>
  <c r="B3861" i="1"/>
  <c r="O3860" i="1"/>
  <c r="E3860" i="1"/>
  <c r="B3860" i="1"/>
  <c r="O3859" i="1"/>
  <c r="E3859" i="1"/>
  <c r="B3859" i="1"/>
  <c r="O3858" i="1"/>
  <c r="E3858" i="1"/>
  <c r="B3858" i="1"/>
  <c r="O3857" i="1"/>
  <c r="E3857" i="1"/>
  <c r="B3857" i="1"/>
  <c r="O3856" i="1"/>
  <c r="E3856" i="1"/>
  <c r="B3856" i="1"/>
  <c r="O3855" i="1"/>
  <c r="E3855" i="1"/>
  <c r="B3855" i="1"/>
  <c r="O3854" i="1"/>
  <c r="E3854" i="1"/>
  <c r="B3854" i="1"/>
  <c r="O3853" i="1"/>
  <c r="E3853" i="1"/>
  <c r="B3853" i="1"/>
  <c r="O3852" i="1"/>
  <c r="E3852" i="1"/>
  <c r="B3852" i="1"/>
  <c r="O3851" i="1"/>
  <c r="E3851" i="1"/>
  <c r="B3851" i="1"/>
  <c r="O3850" i="1"/>
  <c r="E3850" i="1"/>
  <c r="B3850" i="1"/>
  <c r="O3849" i="1"/>
  <c r="E3849" i="1"/>
  <c r="B3849" i="1"/>
  <c r="O3848" i="1"/>
  <c r="E3848" i="1"/>
  <c r="B3848" i="1"/>
  <c r="O3847" i="1"/>
  <c r="E3847" i="1"/>
  <c r="B3847" i="1"/>
  <c r="O3846" i="1"/>
  <c r="E3846" i="1"/>
  <c r="B3846" i="1"/>
  <c r="O3845" i="1"/>
  <c r="E3845" i="1"/>
  <c r="B3845" i="1"/>
  <c r="O3844" i="1"/>
  <c r="E3844" i="1"/>
  <c r="B3844" i="1"/>
  <c r="O3843" i="1"/>
  <c r="E3843" i="1"/>
  <c r="B3843" i="1"/>
  <c r="P3842" i="1"/>
  <c r="O3842" i="1"/>
  <c r="E3842" i="1"/>
  <c r="B3842" i="1"/>
  <c r="O3841" i="1"/>
  <c r="E3841" i="1"/>
  <c r="B3841" i="1"/>
  <c r="O3840" i="1"/>
  <c r="E3840" i="1"/>
  <c r="B3840" i="1"/>
  <c r="O3839" i="1"/>
  <c r="E3839" i="1"/>
  <c r="B3839" i="1"/>
  <c r="O3838" i="1"/>
  <c r="E3838" i="1"/>
  <c r="B3838" i="1"/>
  <c r="O3837" i="1"/>
  <c r="E3837" i="1"/>
  <c r="B3837" i="1"/>
  <c r="O3836" i="1"/>
  <c r="E3836" i="1"/>
  <c r="B3836" i="1"/>
  <c r="O3835" i="1"/>
  <c r="E3835" i="1"/>
  <c r="B3835" i="1"/>
  <c r="O3834" i="1"/>
  <c r="E3834" i="1"/>
  <c r="B3834" i="1"/>
  <c r="O3833" i="1"/>
  <c r="E3833" i="1"/>
  <c r="B3833" i="1"/>
  <c r="O3832" i="1"/>
  <c r="E3832" i="1"/>
  <c r="B3832" i="1"/>
  <c r="O3831" i="1"/>
  <c r="E3831" i="1"/>
  <c r="B3831" i="1"/>
  <c r="O3830" i="1"/>
  <c r="E3830" i="1"/>
  <c r="B3830" i="1"/>
  <c r="O3829" i="1"/>
  <c r="E3829" i="1"/>
  <c r="B3829" i="1"/>
  <c r="O3828" i="1"/>
  <c r="E3828" i="1"/>
  <c r="B3828" i="1"/>
  <c r="O3827" i="1"/>
  <c r="E3827" i="1"/>
  <c r="B3827" i="1"/>
  <c r="O3826" i="1"/>
  <c r="E3826" i="1"/>
  <c r="B3826" i="1"/>
  <c r="O3825" i="1"/>
  <c r="E3825" i="1"/>
  <c r="B3825" i="1"/>
  <c r="O3824" i="1"/>
  <c r="E3824" i="1"/>
  <c r="B3824" i="1"/>
  <c r="O3823" i="1"/>
  <c r="E3823" i="1"/>
  <c r="B3823" i="1"/>
  <c r="O3822" i="1"/>
  <c r="E3822" i="1"/>
  <c r="B3822" i="1"/>
  <c r="O3821" i="1"/>
  <c r="E3821" i="1"/>
  <c r="B3821" i="1"/>
  <c r="O3820" i="1"/>
  <c r="E3820" i="1"/>
  <c r="B3820" i="1"/>
  <c r="O3819" i="1"/>
  <c r="E3819" i="1"/>
  <c r="B3819" i="1"/>
  <c r="O3818" i="1"/>
  <c r="E3818" i="1"/>
  <c r="B3818" i="1"/>
  <c r="O3817" i="1"/>
  <c r="E3817" i="1"/>
  <c r="B3817" i="1"/>
  <c r="O3816" i="1"/>
  <c r="E3816" i="1"/>
  <c r="B3816" i="1"/>
  <c r="O3815" i="1"/>
  <c r="E3815" i="1"/>
  <c r="B3815" i="1"/>
  <c r="O3814" i="1"/>
  <c r="E3814" i="1"/>
  <c r="B3814" i="1"/>
  <c r="O3813" i="1"/>
  <c r="E3813" i="1"/>
  <c r="B3813" i="1"/>
  <c r="O3812" i="1"/>
  <c r="E3812" i="1"/>
  <c r="B3812" i="1"/>
  <c r="O3811" i="1"/>
  <c r="E3811" i="1"/>
  <c r="B3811" i="1"/>
  <c r="O3810" i="1"/>
  <c r="E3810" i="1"/>
  <c r="B3810" i="1"/>
  <c r="O3809" i="1"/>
  <c r="E3809" i="1"/>
  <c r="B3809" i="1"/>
  <c r="O3808" i="1"/>
  <c r="E3808" i="1"/>
  <c r="B3808" i="1"/>
  <c r="O3807" i="1"/>
  <c r="E3807" i="1"/>
  <c r="B3807" i="1"/>
  <c r="O3806" i="1"/>
  <c r="E3806" i="1"/>
  <c r="B3806" i="1"/>
  <c r="O3805" i="1"/>
  <c r="E3805" i="1"/>
  <c r="B3805" i="1"/>
  <c r="O3804" i="1"/>
  <c r="E3804" i="1"/>
  <c r="B3804" i="1"/>
  <c r="O3803" i="1"/>
  <c r="E3803" i="1"/>
  <c r="B3803" i="1"/>
  <c r="O3802" i="1"/>
  <c r="E3802" i="1"/>
  <c r="B3802" i="1"/>
  <c r="O3801" i="1"/>
  <c r="E3801" i="1"/>
  <c r="B3801" i="1"/>
  <c r="O3800" i="1"/>
  <c r="E3800" i="1"/>
  <c r="B3800" i="1"/>
  <c r="O3799" i="1"/>
  <c r="E3799" i="1"/>
  <c r="B3799" i="1"/>
  <c r="O3798" i="1"/>
  <c r="E3798" i="1"/>
  <c r="B3798" i="1"/>
  <c r="O3797" i="1"/>
  <c r="E3797" i="1"/>
  <c r="B3797" i="1"/>
  <c r="O3796" i="1"/>
  <c r="E3796" i="1"/>
  <c r="B3796" i="1"/>
  <c r="O3795" i="1"/>
  <c r="E3795" i="1"/>
  <c r="B3795" i="1"/>
  <c r="O3794" i="1"/>
  <c r="E3794" i="1"/>
  <c r="B3794" i="1"/>
  <c r="O3793" i="1"/>
  <c r="E3793" i="1"/>
  <c r="B3793" i="1"/>
  <c r="O3792" i="1"/>
  <c r="E3792" i="1"/>
  <c r="B3792" i="1"/>
  <c r="O3791" i="1"/>
  <c r="E3791" i="1"/>
  <c r="B3791" i="1"/>
  <c r="O3790" i="1"/>
  <c r="E3790" i="1"/>
  <c r="B3790" i="1"/>
  <c r="O3789" i="1"/>
  <c r="E3789" i="1"/>
  <c r="B3789" i="1"/>
  <c r="O3788" i="1"/>
  <c r="E3788" i="1"/>
  <c r="B3788" i="1"/>
  <c r="O3787" i="1"/>
  <c r="E3787" i="1"/>
  <c r="B3787" i="1"/>
  <c r="O3786" i="1"/>
  <c r="E3786" i="1"/>
  <c r="B3786" i="1"/>
  <c r="O3785" i="1"/>
  <c r="E3785" i="1"/>
  <c r="B3785" i="1"/>
  <c r="O3784" i="1"/>
  <c r="E3784" i="1"/>
  <c r="B3784" i="1"/>
  <c r="O3783" i="1"/>
  <c r="E3783" i="1"/>
  <c r="B3783" i="1"/>
  <c r="O3782" i="1"/>
  <c r="E3782" i="1"/>
  <c r="B3782" i="1"/>
  <c r="O3781" i="1"/>
  <c r="E3781" i="1"/>
  <c r="B3781" i="1"/>
  <c r="O3780" i="1"/>
  <c r="E3780" i="1"/>
  <c r="B3780" i="1"/>
  <c r="O3779" i="1"/>
  <c r="E3779" i="1"/>
  <c r="B3779" i="1"/>
  <c r="O3778" i="1"/>
  <c r="E3778" i="1"/>
  <c r="B3778" i="1"/>
  <c r="O3777" i="1"/>
  <c r="E3777" i="1"/>
  <c r="B3777" i="1"/>
  <c r="O3776" i="1"/>
  <c r="E3776" i="1"/>
  <c r="B3776" i="1"/>
  <c r="O3775" i="1"/>
  <c r="E3775" i="1"/>
  <c r="B3775" i="1"/>
  <c r="O3774" i="1"/>
  <c r="E3774" i="1"/>
  <c r="B3774" i="1"/>
  <c r="O3773" i="1"/>
  <c r="E3773" i="1"/>
  <c r="B3773" i="1"/>
  <c r="O3772" i="1"/>
  <c r="E3772" i="1"/>
  <c r="B3772" i="1"/>
  <c r="O3771" i="1"/>
  <c r="E3771" i="1"/>
  <c r="B3771" i="1"/>
  <c r="O3770" i="1"/>
  <c r="E3770" i="1"/>
  <c r="B3770" i="1"/>
  <c r="O3769" i="1"/>
  <c r="E3769" i="1"/>
  <c r="B3769" i="1"/>
  <c r="O3768" i="1"/>
  <c r="E3768" i="1"/>
  <c r="B3768" i="1"/>
  <c r="O3767" i="1"/>
  <c r="E3767" i="1"/>
  <c r="B3767" i="1"/>
  <c r="O3766" i="1"/>
  <c r="E3766" i="1"/>
  <c r="B3766" i="1"/>
  <c r="O3765" i="1"/>
  <c r="E3765" i="1"/>
  <c r="B3765" i="1"/>
  <c r="O3764" i="1"/>
  <c r="E3764" i="1"/>
  <c r="B3764" i="1"/>
  <c r="O3763" i="1"/>
  <c r="E3763" i="1"/>
  <c r="B3763" i="1"/>
  <c r="O3762" i="1"/>
  <c r="E3762" i="1"/>
  <c r="B3762" i="1"/>
  <c r="O3761" i="1"/>
  <c r="E3761" i="1"/>
  <c r="B3761" i="1"/>
  <c r="O3760" i="1"/>
  <c r="E3760" i="1"/>
  <c r="B3760" i="1"/>
  <c r="P3759" i="1"/>
  <c r="O3759" i="1"/>
  <c r="E3759" i="1"/>
  <c r="B3759" i="1"/>
  <c r="O3758" i="1"/>
  <c r="E3758" i="1"/>
  <c r="B3758" i="1"/>
  <c r="O3757" i="1"/>
  <c r="E3757" i="1"/>
  <c r="B3757" i="1"/>
  <c r="O3756" i="1"/>
  <c r="E3756" i="1"/>
  <c r="B3756" i="1"/>
  <c r="O3755" i="1"/>
  <c r="E3755" i="1"/>
  <c r="B3755" i="1"/>
  <c r="O3754" i="1"/>
  <c r="E3754" i="1"/>
  <c r="B3754" i="1"/>
  <c r="O3753" i="1"/>
  <c r="E3753" i="1"/>
  <c r="B3753" i="1"/>
  <c r="O3752" i="1"/>
  <c r="E3752" i="1"/>
  <c r="B3752" i="1"/>
  <c r="O3751" i="1"/>
  <c r="E3751" i="1"/>
  <c r="B3751" i="1"/>
  <c r="O3750" i="1"/>
  <c r="E3750" i="1"/>
  <c r="B3750" i="1"/>
  <c r="O3749" i="1"/>
  <c r="E3749" i="1"/>
  <c r="B3749" i="1"/>
  <c r="O3748" i="1"/>
  <c r="E3748" i="1"/>
  <c r="B3748" i="1"/>
  <c r="O3747" i="1"/>
  <c r="E3747" i="1"/>
  <c r="B3747" i="1"/>
  <c r="O3746" i="1"/>
  <c r="E3746" i="1"/>
  <c r="B3746" i="1"/>
  <c r="O3745" i="1"/>
  <c r="E3745" i="1"/>
  <c r="B3745" i="1"/>
  <c r="O3744" i="1"/>
  <c r="E3744" i="1"/>
  <c r="B3744" i="1"/>
  <c r="O3743" i="1"/>
  <c r="E3743" i="1"/>
  <c r="B3743" i="1"/>
  <c r="O3742" i="1"/>
  <c r="E3742" i="1"/>
  <c r="B3742" i="1"/>
  <c r="O3741" i="1"/>
  <c r="E3741" i="1"/>
  <c r="B3741" i="1"/>
  <c r="O3740" i="1"/>
  <c r="E3740" i="1"/>
  <c r="B3740" i="1"/>
  <c r="O3739" i="1"/>
  <c r="E3739" i="1"/>
  <c r="B3739" i="1"/>
  <c r="O3738" i="1"/>
  <c r="E3738" i="1"/>
  <c r="B3738" i="1"/>
  <c r="O3737" i="1"/>
  <c r="E3737" i="1"/>
  <c r="B3737" i="1"/>
  <c r="O3736" i="1"/>
  <c r="E3736" i="1"/>
  <c r="B3736" i="1"/>
  <c r="O3735" i="1"/>
  <c r="E3735" i="1"/>
  <c r="B3735" i="1"/>
  <c r="O3734" i="1"/>
  <c r="E3734" i="1"/>
  <c r="B3734" i="1"/>
  <c r="O3733" i="1"/>
  <c r="E3733" i="1"/>
  <c r="B3733" i="1"/>
  <c r="O3732" i="1"/>
  <c r="E3732" i="1"/>
  <c r="B3732" i="1"/>
  <c r="O3731" i="1"/>
  <c r="E3731" i="1"/>
  <c r="B3731" i="1"/>
  <c r="O3730" i="1"/>
  <c r="E3730" i="1"/>
  <c r="B3730" i="1"/>
  <c r="O3729" i="1"/>
  <c r="E3729" i="1"/>
  <c r="B3729" i="1"/>
  <c r="O3728" i="1"/>
  <c r="E3728" i="1"/>
  <c r="B3728" i="1"/>
  <c r="O3727" i="1"/>
  <c r="E3727" i="1"/>
  <c r="B3727" i="1"/>
  <c r="O3726" i="1"/>
  <c r="E3726" i="1"/>
  <c r="B3726" i="1"/>
  <c r="O3725" i="1"/>
  <c r="E3725" i="1"/>
  <c r="B3725" i="1"/>
  <c r="O3724" i="1"/>
  <c r="E3724" i="1"/>
  <c r="B3724" i="1"/>
  <c r="O3723" i="1"/>
  <c r="E3723" i="1"/>
  <c r="B3723" i="1"/>
  <c r="O3722" i="1"/>
  <c r="E3722" i="1"/>
  <c r="B3722" i="1"/>
  <c r="O3721" i="1"/>
  <c r="E3721" i="1"/>
  <c r="B3721" i="1"/>
  <c r="O3720" i="1"/>
  <c r="E3720" i="1"/>
  <c r="B3720" i="1"/>
  <c r="O3719" i="1"/>
  <c r="E3719" i="1"/>
  <c r="B3719" i="1"/>
  <c r="O3718" i="1"/>
  <c r="E3718" i="1"/>
  <c r="B3718" i="1"/>
  <c r="O3717" i="1"/>
  <c r="E3717" i="1"/>
  <c r="B3717" i="1"/>
  <c r="O3716" i="1"/>
  <c r="E3716" i="1"/>
  <c r="B3716" i="1"/>
  <c r="O3715" i="1"/>
  <c r="E3715" i="1"/>
  <c r="B3715" i="1"/>
  <c r="O3714" i="1"/>
  <c r="E3714" i="1"/>
  <c r="B3714" i="1"/>
  <c r="O3713" i="1"/>
  <c r="E3713" i="1"/>
  <c r="B3713" i="1"/>
  <c r="O3712" i="1"/>
  <c r="E3712" i="1"/>
  <c r="B3712" i="1"/>
  <c r="O3711" i="1"/>
  <c r="E3711" i="1"/>
  <c r="B3711" i="1"/>
  <c r="O3710" i="1"/>
  <c r="E3710" i="1"/>
  <c r="B3710" i="1"/>
  <c r="O3709" i="1"/>
  <c r="E3709" i="1"/>
  <c r="B3709" i="1"/>
  <c r="O3708" i="1"/>
  <c r="E3708" i="1"/>
  <c r="B3708" i="1"/>
  <c r="O3707" i="1"/>
  <c r="E3707" i="1"/>
  <c r="B3707" i="1"/>
  <c r="O3706" i="1"/>
  <c r="E3706" i="1"/>
  <c r="B3706" i="1"/>
  <c r="O3705" i="1"/>
  <c r="E3705" i="1"/>
  <c r="B3705" i="1"/>
  <c r="O3704" i="1"/>
  <c r="E3704" i="1"/>
  <c r="B3704" i="1"/>
  <c r="O3703" i="1"/>
  <c r="E3703" i="1"/>
  <c r="B3703" i="1"/>
  <c r="O3702" i="1"/>
  <c r="E3702" i="1"/>
  <c r="B3702" i="1"/>
  <c r="O3701" i="1"/>
  <c r="E3701" i="1"/>
  <c r="B3701" i="1"/>
  <c r="O3700" i="1"/>
  <c r="E3700" i="1"/>
  <c r="B3700" i="1"/>
  <c r="O3699" i="1"/>
  <c r="E3699" i="1"/>
  <c r="B3699" i="1"/>
  <c r="O3698" i="1"/>
  <c r="E3698" i="1"/>
  <c r="B3698" i="1"/>
  <c r="O3697" i="1"/>
  <c r="E3697" i="1"/>
  <c r="B3697" i="1"/>
  <c r="O3696" i="1"/>
  <c r="E3696" i="1"/>
  <c r="B3696" i="1"/>
  <c r="O3695" i="1"/>
  <c r="E3695" i="1"/>
  <c r="B3695" i="1"/>
  <c r="O3694" i="1"/>
  <c r="E3694" i="1"/>
  <c r="B3694" i="1"/>
  <c r="O3693" i="1"/>
  <c r="E3693" i="1"/>
  <c r="B3693" i="1"/>
  <c r="O3692" i="1"/>
  <c r="E3692" i="1"/>
  <c r="B3692" i="1"/>
  <c r="O3691" i="1"/>
  <c r="E3691" i="1"/>
  <c r="B3691" i="1"/>
  <c r="O3690" i="1"/>
  <c r="E3690" i="1"/>
  <c r="B3690" i="1"/>
  <c r="O3689" i="1"/>
  <c r="E3689" i="1"/>
  <c r="B3689" i="1"/>
  <c r="O3688" i="1"/>
  <c r="E3688" i="1"/>
  <c r="B3688" i="1"/>
  <c r="O3687" i="1"/>
  <c r="E3687" i="1"/>
  <c r="B3687" i="1"/>
  <c r="O3686" i="1"/>
  <c r="E3686" i="1"/>
  <c r="B3686" i="1"/>
  <c r="O3685" i="1"/>
  <c r="E3685" i="1"/>
  <c r="B3685" i="1"/>
  <c r="O3684" i="1"/>
  <c r="E3684" i="1"/>
  <c r="B3684" i="1"/>
  <c r="O3683" i="1"/>
  <c r="E3683" i="1"/>
  <c r="B3683" i="1"/>
  <c r="O3682" i="1"/>
  <c r="E3682" i="1"/>
  <c r="B3682" i="1"/>
  <c r="O3681" i="1"/>
  <c r="E3681" i="1"/>
  <c r="B3681" i="1"/>
  <c r="O3680" i="1"/>
  <c r="E3680" i="1"/>
  <c r="B3680" i="1"/>
  <c r="O3679" i="1"/>
  <c r="E3679" i="1"/>
  <c r="B3679" i="1"/>
  <c r="O3678" i="1"/>
  <c r="E3678" i="1"/>
  <c r="B3678" i="1"/>
  <c r="O3677" i="1"/>
  <c r="E3677" i="1"/>
  <c r="B3677" i="1"/>
  <c r="O3676" i="1"/>
  <c r="E3676" i="1"/>
  <c r="B3676" i="1"/>
  <c r="O3675" i="1"/>
  <c r="E3675" i="1"/>
  <c r="B3675" i="1"/>
  <c r="O3674" i="1"/>
  <c r="E3674" i="1"/>
  <c r="B3674" i="1"/>
  <c r="O3673" i="1"/>
  <c r="E3673" i="1"/>
  <c r="B3673" i="1"/>
  <c r="O3672" i="1"/>
  <c r="E3672" i="1"/>
  <c r="B3672" i="1"/>
  <c r="O3671" i="1"/>
  <c r="E3671" i="1"/>
  <c r="B3671" i="1"/>
  <c r="O3670" i="1"/>
  <c r="E3670" i="1"/>
  <c r="B3670" i="1"/>
  <c r="O3669" i="1"/>
  <c r="E3669" i="1"/>
  <c r="B3669" i="1"/>
  <c r="O3668" i="1"/>
  <c r="E3668" i="1"/>
  <c r="B3668" i="1"/>
  <c r="O3667" i="1"/>
  <c r="E3667" i="1"/>
  <c r="B3667" i="1"/>
  <c r="O3666" i="1"/>
  <c r="E3666" i="1"/>
  <c r="B3666" i="1"/>
  <c r="O3665" i="1"/>
  <c r="E3665" i="1"/>
  <c r="B3665" i="1"/>
  <c r="O3664" i="1"/>
  <c r="E3664" i="1"/>
  <c r="B3664" i="1"/>
  <c r="O3663" i="1"/>
  <c r="E3663" i="1"/>
  <c r="B3663" i="1"/>
  <c r="O3662" i="1"/>
  <c r="E3662" i="1"/>
  <c r="B3662" i="1"/>
  <c r="O3661" i="1"/>
  <c r="E3661" i="1"/>
  <c r="B3661" i="1"/>
  <c r="O3660" i="1"/>
  <c r="E3660" i="1"/>
  <c r="B3660" i="1"/>
  <c r="O3659" i="1"/>
  <c r="E3659" i="1"/>
  <c r="B3659" i="1"/>
  <c r="O3658" i="1"/>
  <c r="E3658" i="1"/>
  <c r="B3658" i="1"/>
  <c r="O3657" i="1"/>
  <c r="E3657" i="1"/>
  <c r="B3657" i="1"/>
  <c r="O3656" i="1"/>
  <c r="E3656" i="1"/>
  <c r="B3656" i="1"/>
  <c r="O3655" i="1"/>
  <c r="E3655" i="1"/>
  <c r="B3655" i="1"/>
  <c r="O3654" i="1"/>
  <c r="E3654" i="1"/>
  <c r="B3654" i="1"/>
  <c r="O3653" i="1"/>
  <c r="E3653" i="1"/>
  <c r="B3653" i="1"/>
  <c r="O3652" i="1"/>
  <c r="E3652" i="1"/>
  <c r="B3652" i="1"/>
  <c r="O3651" i="1"/>
  <c r="E3651" i="1"/>
  <c r="B3651" i="1"/>
  <c r="O3650" i="1"/>
  <c r="E3650" i="1"/>
  <c r="B3650" i="1"/>
  <c r="O3649" i="1"/>
  <c r="E3649" i="1"/>
  <c r="B3649" i="1"/>
  <c r="O3648" i="1"/>
  <c r="E3648" i="1"/>
  <c r="B3648" i="1"/>
  <c r="O3647" i="1"/>
  <c r="E3647" i="1"/>
  <c r="B3647" i="1"/>
  <c r="O3646" i="1"/>
  <c r="E3646" i="1"/>
  <c r="B3646" i="1"/>
  <c r="O3645" i="1"/>
  <c r="E3645" i="1"/>
  <c r="B3645" i="1"/>
  <c r="O3644" i="1"/>
  <c r="E3644" i="1"/>
  <c r="B3644" i="1"/>
  <c r="O3643" i="1"/>
  <c r="E3643" i="1"/>
  <c r="B3643" i="1"/>
  <c r="O3642" i="1"/>
  <c r="E3642" i="1"/>
  <c r="B3642" i="1"/>
  <c r="O3641" i="1"/>
  <c r="E3641" i="1"/>
  <c r="B3641" i="1"/>
  <c r="O3640" i="1"/>
  <c r="E3640" i="1"/>
  <c r="B3640" i="1"/>
  <c r="O3639" i="1"/>
  <c r="E3639" i="1"/>
  <c r="B3639" i="1"/>
  <c r="O3638" i="1"/>
  <c r="E3638" i="1"/>
  <c r="B3638" i="1"/>
  <c r="O3637" i="1"/>
  <c r="E3637" i="1"/>
  <c r="B3637" i="1"/>
  <c r="O3636" i="1"/>
  <c r="E3636" i="1"/>
  <c r="B3636" i="1"/>
  <c r="O3635" i="1"/>
  <c r="E3635" i="1"/>
  <c r="B3635" i="1"/>
  <c r="O3634" i="1"/>
  <c r="E3634" i="1"/>
  <c r="B3634" i="1"/>
  <c r="O3633" i="1"/>
  <c r="E3633" i="1"/>
  <c r="B3633" i="1"/>
  <c r="O3632" i="1"/>
  <c r="E3632" i="1"/>
  <c r="B3632" i="1"/>
  <c r="O3631" i="1"/>
  <c r="E3631" i="1"/>
  <c r="B3631" i="1"/>
  <c r="O3630" i="1"/>
  <c r="E3630" i="1"/>
  <c r="B3630" i="1"/>
  <c r="O3629" i="1"/>
  <c r="E3629" i="1"/>
  <c r="B3629" i="1"/>
  <c r="O3628" i="1"/>
  <c r="E3628" i="1"/>
  <c r="B3628" i="1"/>
  <c r="O3627" i="1"/>
  <c r="E3627" i="1"/>
  <c r="B3627" i="1"/>
  <c r="O3626" i="1"/>
  <c r="E3626" i="1"/>
  <c r="B3626" i="1"/>
  <c r="O3625" i="1"/>
  <c r="E3625" i="1"/>
  <c r="B3625" i="1"/>
  <c r="O3624" i="1"/>
  <c r="E3624" i="1"/>
  <c r="B3624" i="1"/>
  <c r="O3623" i="1"/>
  <c r="E3623" i="1"/>
  <c r="B3623" i="1"/>
  <c r="O3622" i="1"/>
  <c r="E3622" i="1"/>
  <c r="B3622" i="1"/>
  <c r="O3621" i="1"/>
  <c r="E3621" i="1"/>
  <c r="B3621" i="1"/>
  <c r="O3620" i="1"/>
  <c r="E3620" i="1"/>
  <c r="B3620" i="1"/>
  <c r="O3619" i="1"/>
  <c r="E3619" i="1"/>
  <c r="B3619" i="1"/>
  <c r="O3618" i="1"/>
  <c r="E3618" i="1"/>
  <c r="B3618" i="1"/>
  <c r="O3617" i="1"/>
  <c r="E3617" i="1"/>
  <c r="B3617" i="1"/>
  <c r="O3616" i="1"/>
  <c r="E3616" i="1"/>
  <c r="B3616" i="1"/>
  <c r="O3615" i="1"/>
  <c r="E3615" i="1"/>
  <c r="B3615" i="1"/>
  <c r="O3614" i="1"/>
  <c r="E3614" i="1"/>
  <c r="B3614" i="1"/>
  <c r="O3613" i="1"/>
  <c r="E3613" i="1"/>
  <c r="B3613" i="1"/>
  <c r="O3612" i="1"/>
  <c r="E3612" i="1"/>
  <c r="B3612" i="1"/>
  <c r="O3611" i="1"/>
  <c r="E3611" i="1"/>
  <c r="B3611" i="1"/>
  <c r="O3610" i="1"/>
  <c r="E3610" i="1"/>
  <c r="B3610" i="1"/>
  <c r="O3609" i="1"/>
  <c r="E3609" i="1"/>
  <c r="B3609" i="1"/>
  <c r="O3608" i="1"/>
  <c r="E3608" i="1"/>
  <c r="B3608" i="1"/>
  <c r="O3607" i="1"/>
  <c r="E3607" i="1"/>
  <c r="B3607" i="1"/>
  <c r="O3606" i="1"/>
  <c r="E3606" i="1"/>
  <c r="B3606" i="1"/>
  <c r="O3605" i="1"/>
  <c r="E3605" i="1"/>
  <c r="B3605" i="1"/>
  <c r="O3604" i="1"/>
  <c r="E3604" i="1"/>
  <c r="B3604" i="1"/>
  <c r="O3603" i="1"/>
  <c r="E3603" i="1"/>
  <c r="B3603" i="1"/>
  <c r="O3602" i="1"/>
  <c r="E3602" i="1"/>
  <c r="B3602" i="1"/>
  <c r="O3601" i="1"/>
  <c r="E3601" i="1"/>
  <c r="B3601" i="1"/>
  <c r="O3600" i="1"/>
  <c r="E3600" i="1"/>
  <c r="B3600" i="1"/>
  <c r="O3599" i="1"/>
  <c r="E3599" i="1"/>
  <c r="B3599" i="1"/>
  <c r="O3598" i="1"/>
  <c r="E3598" i="1"/>
  <c r="B3598" i="1"/>
  <c r="O3597" i="1"/>
  <c r="E3597" i="1"/>
  <c r="B3597" i="1"/>
  <c r="O3596" i="1"/>
  <c r="E3596" i="1"/>
  <c r="B3596" i="1"/>
  <c r="O3595" i="1"/>
  <c r="E3595" i="1"/>
  <c r="B3595" i="1"/>
  <c r="O3594" i="1"/>
  <c r="E3594" i="1"/>
  <c r="B3594" i="1"/>
  <c r="O3593" i="1"/>
  <c r="E3593" i="1"/>
  <c r="B3593" i="1"/>
  <c r="O3592" i="1"/>
  <c r="E3592" i="1"/>
  <c r="B3592" i="1"/>
  <c r="O3591" i="1"/>
  <c r="E3591" i="1"/>
  <c r="B3591" i="1"/>
  <c r="O3590" i="1"/>
  <c r="E3590" i="1"/>
  <c r="B3590" i="1"/>
  <c r="O3589" i="1"/>
  <c r="E3589" i="1"/>
  <c r="B3589" i="1"/>
  <c r="O3588" i="1"/>
  <c r="E3588" i="1"/>
  <c r="B3588" i="1"/>
  <c r="O3587" i="1"/>
  <c r="E3587" i="1"/>
  <c r="B3587" i="1"/>
  <c r="O3586" i="1"/>
  <c r="E3586" i="1"/>
  <c r="B3586" i="1"/>
  <c r="O3585" i="1"/>
  <c r="E3585" i="1"/>
  <c r="B3585" i="1"/>
  <c r="O3584" i="1"/>
  <c r="E3584" i="1"/>
  <c r="B3584" i="1"/>
  <c r="O3583" i="1"/>
  <c r="E3583" i="1"/>
  <c r="B3583" i="1"/>
  <c r="O3582" i="1"/>
  <c r="E3582" i="1"/>
  <c r="B3582" i="1"/>
  <c r="O3581" i="1"/>
  <c r="E3581" i="1"/>
  <c r="B3581" i="1"/>
  <c r="O3580" i="1"/>
  <c r="E3580" i="1"/>
  <c r="B3580" i="1"/>
  <c r="O3579" i="1"/>
  <c r="E3579" i="1"/>
  <c r="B3579" i="1"/>
  <c r="O3578" i="1"/>
  <c r="E3578" i="1"/>
  <c r="B3578" i="1"/>
  <c r="O3577" i="1"/>
  <c r="E3577" i="1"/>
  <c r="B3577" i="1"/>
  <c r="O3576" i="1"/>
  <c r="E3576" i="1"/>
  <c r="B3576" i="1"/>
  <c r="O3575" i="1"/>
  <c r="E3575" i="1"/>
  <c r="B3575" i="1"/>
  <c r="O3574" i="1"/>
  <c r="E3574" i="1"/>
  <c r="B3574" i="1"/>
  <c r="O3573" i="1"/>
  <c r="E3573" i="1"/>
  <c r="B3573" i="1"/>
  <c r="O3572" i="1"/>
  <c r="E3572" i="1"/>
  <c r="B3572" i="1"/>
  <c r="O3571" i="1"/>
  <c r="E3571" i="1"/>
  <c r="B3571" i="1"/>
  <c r="O3570" i="1"/>
  <c r="E3570" i="1"/>
  <c r="B3570" i="1"/>
  <c r="O3569" i="1"/>
  <c r="E3569" i="1"/>
  <c r="B3569" i="1"/>
  <c r="O3568" i="1"/>
  <c r="E3568" i="1"/>
  <c r="B3568" i="1"/>
  <c r="O3567" i="1"/>
  <c r="E3567" i="1"/>
  <c r="B3567" i="1"/>
  <c r="O3566" i="1"/>
  <c r="E3566" i="1"/>
  <c r="B3566" i="1"/>
  <c r="O3565" i="1"/>
  <c r="E3565" i="1"/>
  <c r="B3565" i="1"/>
  <c r="O3564" i="1"/>
  <c r="E3564" i="1"/>
  <c r="B3564" i="1"/>
  <c r="O3563" i="1"/>
  <c r="E3563" i="1"/>
  <c r="B3563" i="1"/>
  <c r="O3562" i="1"/>
  <c r="E3562" i="1"/>
  <c r="B3562" i="1"/>
  <c r="O3561" i="1"/>
  <c r="E3561" i="1"/>
  <c r="B3561" i="1"/>
  <c r="O3560" i="1"/>
  <c r="E3560" i="1"/>
  <c r="B3560" i="1"/>
  <c r="O3559" i="1"/>
  <c r="E3559" i="1"/>
  <c r="B3559" i="1"/>
  <c r="O3558" i="1"/>
  <c r="E3558" i="1"/>
  <c r="B3558" i="1"/>
  <c r="O3557" i="1"/>
  <c r="E3557" i="1"/>
  <c r="B3557" i="1"/>
  <c r="O3556" i="1"/>
  <c r="E3556" i="1"/>
  <c r="B3556" i="1"/>
  <c r="O3555" i="1"/>
  <c r="E3555" i="1"/>
  <c r="B3555" i="1"/>
  <c r="O3554" i="1"/>
  <c r="E3554" i="1"/>
  <c r="B3554" i="1"/>
  <c r="O3553" i="1"/>
  <c r="E3553" i="1"/>
  <c r="B3553" i="1"/>
  <c r="O3552" i="1"/>
  <c r="E3552" i="1"/>
  <c r="B3552" i="1"/>
  <c r="O3551" i="1"/>
  <c r="E3551" i="1"/>
  <c r="B3551" i="1"/>
  <c r="O3550" i="1"/>
  <c r="E3550" i="1"/>
  <c r="B3550" i="1"/>
  <c r="O3549" i="1"/>
  <c r="E3549" i="1"/>
  <c r="B3549" i="1"/>
  <c r="O3548" i="1"/>
  <c r="E3548" i="1"/>
  <c r="B3548" i="1"/>
  <c r="O3547" i="1"/>
  <c r="E3547" i="1"/>
  <c r="B3547" i="1"/>
  <c r="O3546" i="1"/>
  <c r="E3546" i="1"/>
  <c r="B3546" i="1"/>
  <c r="O3545" i="1"/>
  <c r="E3545" i="1"/>
  <c r="B3545" i="1"/>
  <c r="O3544" i="1"/>
  <c r="E3544" i="1"/>
  <c r="B3544" i="1"/>
  <c r="O3543" i="1"/>
  <c r="E3543" i="1"/>
  <c r="B3543" i="1"/>
  <c r="O3542" i="1"/>
  <c r="E3542" i="1"/>
  <c r="B3542" i="1"/>
  <c r="O3541" i="1"/>
  <c r="E3541" i="1"/>
  <c r="B3541" i="1"/>
  <c r="O3540" i="1"/>
  <c r="E3540" i="1"/>
  <c r="B3540" i="1"/>
  <c r="O3539" i="1"/>
  <c r="E3539" i="1"/>
  <c r="B3539" i="1"/>
  <c r="O3538" i="1"/>
  <c r="E3538" i="1"/>
  <c r="B3538" i="1"/>
  <c r="O3537" i="1"/>
  <c r="E3537" i="1"/>
  <c r="B3537" i="1"/>
  <c r="O3536" i="1"/>
  <c r="E3536" i="1"/>
  <c r="B3536" i="1"/>
  <c r="O3535" i="1"/>
  <c r="E3535" i="1"/>
  <c r="B3535" i="1"/>
  <c r="O3534" i="1"/>
  <c r="E3534" i="1"/>
  <c r="B3534" i="1"/>
  <c r="O3533" i="1"/>
  <c r="E3533" i="1"/>
  <c r="B3533" i="1"/>
  <c r="O3532" i="1"/>
  <c r="E3532" i="1"/>
  <c r="B3532" i="1"/>
  <c r="O3531" i="1"/>
  <c r="E3531" i="1"/>
  <c r="B3531" i="1"/>
  <c r="O3530" i="1"/>
  <c r="E3530" i="1"/>
  <c r="B3530" i="1"/>
  <c r="O3529" i="1"/>
  <c r="E3529" i="1"/>
  <c r="B3529" i="1"/>
  <c r="O3528" i="1"/>
  <c r="E3528" i="1"/>
  <c r="B3528" i="1"/>
  <c r="O3527" i="1"/>
  <c r="E3527" i="1"/>
  <c r="B3527" i="1"/>
  <c r="O3526" i="1"/>
  <c r="E3526" i="1"/>
  <c r="B3526" i="1"/>
  <c r="O3525" i="1"/>
  <c r="E3525" i="1"/>
  <c r="B3525" i="1"/>
  <c r="O3524" i="1"/>
  <c r="E3524" i="1"/>
  <c r="B3524" i="1"/>
  <c r="O3523" i="1"/>
  <c r="E3523" i="1"/>
  <c r="B3523" i="1"/>
  <c r="O3522" i="1"/>
  <c r="E3522" i="1"/>
  <c r="B3522" i="1"/>
  <c r="O3521" i="1"/>
  <c r="E3521" i="1"/>
  <c r="B3521" i="1"/>
  <c r="O3520" i="1"/>
  <c r="E3520" i="1"/>
  <c r="B3520" i="1"/>
  <c r="O3519" i="1"/>
  <c r="E3519" i="1"/>
  <c r="B3519" i="1"/>
  <c r="O3518" i="1"/>
  <c r="E3518" i="1"/>
  <c r="B3518" i="1"/>
  <c r="O3517" i="1"/>
  <c r="E3517" i="1"/>
  <c r="B3517" i="1"/>
  <c r="O3516" i="1"/>
  <c r="E3516" i="1"/>
  <c r="B3516" i="1"/>
  <c r="O3515" i="1"/>
  <c r="E3515" i="1"/>
  <c r="B3515" i="1"/>
  <c r="O3514" i="1"/>
  <c r="E3514" i="1"/>
  <c r="B3514" i="1"/>
  <c r="O3513" i="1"/>
  <c r="E3513" i="1"/>
  <c r="B3513" i="1"/>
  <c r="O3512" i="1"/>
  <c r="E3512" i="1"/>
  <c r="B3512" i="1"/>
  <c r="O3511" i="1"/>
  <c r="E3511" i="1"/>
  <c r="B3511" i="1"/>
  <c r="O3510" i="1"/>
  <c r="E3510" i="1"/>
  <c r="B3510" i="1"/>
  <c r="O3509" i="1"/>
  <c r="E3509" i="1"/>
  <c r="B3509" i="1"/>
  <c r="O3508" i="1"/>
  <c r="E3508" i="1"/>
  <c r="B3508" i="1"/>
  <c r="O3507" i="1"/>
  <c r="E3507" i="1"/>
  <c r="B3507" i="1"/>
  <c r="O3506" i="1"/>
  <c r="E3506" i="1"/>
  <c r="B3506" i="1"/>
  <c r="O3505" i="1"/>
  <c r="E3505" i="1"/>
  <c r="B3505" i="1"/>
  <c r="O3504" i="1"/>
  <c r="E3504" i="1"/>
  <c r="B3504" i="1"/>
  <c r="O3503" i="1"/>
  <c r="E3503" i="1"/>
  <c r="B3503" i="1"/>
  <c r="O3502" i="1"/>
  <c r="E3502" i="1"/>
  <c r="B3502" i="1"/>
  <c r="O3501" i="1"/>
  <c r="E3501" i="1"/>
  <c r="B3501" i="1"/>
  <c r="O3500" i="1"/>
  <c r="E3500" i="1"/>
  <c r="B3500" i="1"/>
  <c r="O3499" i="1"/>
  <c r="E3499" i="1"/>
  <c r="B3499" i="1"/>
  <c r="O3498" i="1"/>
  <c r="E3498" i="1"/>
  <c r="B3498" i="1"/>
  <c r="O3497" i="1"/>
  <c r="E3497" i="1"/>
  <c r="B3497" i="1"/>
  <c r="O3496" i="1"/>
  <c r="E3496" i="1"/>
  <c r="B3496" i="1"/>
  <c r="O3495" i="1"/>
  <c r="E3495" i="1"/>
  <c r="B3495" i="1"/>
  <c r="O3494" i="1"/>
  <c r="E3494" i="1"/>
  <c r="B3494" i="1"/>
  <c r="O3493" i="1"/>
  <c r="E3493" i="1"/>
  <c r="B3493" i="1"/>
  <c r="O3492" i="1"/>
  <c r="E3492" i="1"/>
  <c r="B3492" i="1"/>
  <c r="O3491" i="1"/>
  <c r="E3491" i="1"/>
  <c r="B3491" i="1"/>
  <c r="O3490" i="1"/>
  <c r="E3490" i="1"/>
  <c r="B3490" i="1"/>
  <c r="O3489" i="1"/>
  <c r="E3489" i="1"/>
  <c r="B3489" i="1"/>
  <c r="O3488" i="1"/>
  <c r="E3488" i="1"/>
  <c r="B3488" i="1"/>
  <c r="O3487" i="1"/>
  <c r="E3487" i="1"/>
  <c r="B3487" i="1"/>
  <c r="O3486" i="1"/>
  <c r="E3486" i="1"/>
  <c r="B3486" i="1"/>
  <c r="O3485" i="1"/>
  <c r="E3485" i="1"/>
  <c r="B3485" i="1"/>
  <c r="O3484" i="1"/>
  <c r="E3484" i="1"/>
  <c r="B3484" i="1"/>
  <c r="O3483" i="1"/>
  <c r="E3483" i="1"/>
  <c r="B3483" i="1"/>
  <c r="O3482" i="1"/>
  <c r="E3482" i="1"/>
  <c r="B3482" i="1"/>
  <c r="O3481" i="1"/>
  <c r="E3481" i="1"/>
  <c r="B3481" i="1"/>
  <c r="O3480" i="1"/>
  <c r="E3480" i="1"/>
  <c r="B3480" i="1"/>
  <c r="O3479" i="1"/>
  <c r="E3479" i="1"/>
  <c r="B3479" i="1"/>
  <c r="O3478" i="1"/>
  <c r="E3478" i="1"/>
  <c r="B3478" i="1"/>
  <c r="O3477" i="1"/>
  <c r="E3477" i="1"/>
  <c r="B3477" i="1"/>
  <c r="O3476" i="1"/>
  <c r="E3476" i="1"/>
  <c r="B3476" i="1"/>
  <c r="O3475" i="1"/>
  <c r="E3475" i="1"/>
  <c r="B3475" i="1"/>
  <c r="O3474" i="1"/>
  <c r="E3474" i="1"/>
  <c r="B3474" i="1"/>
  <c r="O3473" i="1"/>
  <c r="E3473" i="1"/>
  <c r="B3473" i="1"/>
  <c r="O3472" i="1"/>
  <c r="E3472" i="1"/>
  <c r="B3472" i="1"/>
  <c r="O3471" i="1"/>
  <c r="E3471" i="1"/>
  <c r="B3471" i="1"/>
  <c r="O3470" i="1"/>
  <c r="E3470" i="1"/>
  <c r="B3470" i="1"/>
  <c r="O3469" i="1"/>
  <c r="E3469" i="1"/>
  <c r="B3469" i="1"/>
  <c r="O3468" i="1"/>
  <c r="E3468" i="1"/>
  <c r="B3468" i="1"/>
  <c r="O3467" i="1"/>
  <c r="E3467" i="1"/>
  <c r="B3467" i="1"/>
  <c r="O3466" i="1"/>
  <c r="E3466" i="1"/>
  <c r="B3466" i="1"/>
  <c r="O3465" i="1"/>
  <c r="E3465" i="1"/>
  <c r="B3465" i="1"/>
  <c r="O3464" i="1"/>
  <c r="E3464" i="1"/>
  <c r="B3464" i="1"/>
  <c r="O3463" i="1"/>
  <c r="E3463" i="1"/>
  <c r="B3463" i="1"/>
  <c r="O3462" i="1"/>
  <c r="E3462" i="1"/>
  <c r="B3462" i="1"/>
  <c r="O3461" i="1"/>
  <c r="E3461" i="1"/>
  <c r="B3461" i="1"/>
  <c r="O3460" i="1"/>
  <c r="E3460" i="1"/>
  <c r="B3460" i="1"/>
  <c r="O3459" i="1"/>
  <c r="E3459" i="1"/>
  <c r="B3459" i="1"/>
  <c r="O3458" i="1"/>
  <c r="E3458" i="1"/>
  <c r="B3458" i="1"/>
  <c r="O3457" i="1"/>
  <c r="E3457" i="1"/>
  <c r="B3457" i="1"/>
  <c r="O3456" i="1"/>
  <c r="E3456" i="1"/>
  <c r="B3456" i="1"/>
  <c r="O3455" i="1"/>
  <c r="E3455" i="1"/>
  <c r="B3455" i="1"/>
  <c r="O3454" i="1"/>
  <c r="E3454" i="1"/>
  <c r="B3454" i="1"/>
  <c r="O3453" i="1"/>
  <c r="E3453" i="1"/>
  <c r="B3453" i="1"/>
  <c r="O3452" i="1"/>
  <c r="E3452" i="1"/>
  <c r="B3452" i="1"/>
  <c r="O3451" i="1"/>
  <c r="E3451" i="1"/>
  <c r="B3451" i="1"/>
  <c r="O3450" i="1"/>
  <c r="E3450" i="1"/>
  <c r="B3450" i="1"/>
  <c r="O3449" i="1"/>
  <c r="E3449" i="1"/>
  <c r="B3449" i="1"/>
  <c r="O3448" i="1"/>
  <c r="E3448" i="1"/>
  <c r="B3448" i="1"/>
  <c r="O3447" i="1"/>
  <c r="E3447" i="1"/>
  <c r="B3447" i="1"/>
  <c r="O3446" i="1"/>
  <c r="E3446" i="1"/>
  <c r="B3446" i="1"/>
  <c r="O3445" i="1"/>
  <c r="E3445" i="1"/>
  <c r="B3445" i="1"/>
  <c r="O3444" i="1"/>
  <c r="E3444" i="1"/>
  <c r="B3444" i="1"/>
  <c r="O3443" i="1"/>
  <c r="E3443" i="1"/>
  <c r="B3443" i="1"/>
  <c r="O3442" i="1"/>
  <c r="E3442" i="1"/>
  <c r="B3442" i="1"/>
  <c r="O3441" i="1"/>
  <c r="E3441" i="1"/>
  <c r="B3441" i="1"/>
  <c r="O3440" i="1"/>
  <c r="E3440" i="1"/>
  <c r="B3440" i="1"/>
  <c r="O3439" i="1"/>
  <c r="E3439" i="1"/>
  <c r="B3439" i="1"/>
  <c r="O3438" i="1"/>
  <c r="E3438" i="1"/>
  <c r="B3438" i="1"/>
  <c r="O3437" i="1"/>
  <c r="E3437" i="1"/>
  <c r="B3437" i="1"/>
  <c r="O3436" i="1"/>
  <c r="E3436" i="1"/>
  <c r="B3436" i="1"/>
  <c r="O3435" i="1"/>
  <c r="E3435" i="1"/>
  <c r="B3435" i="1"/>
  <c r="O3434" i="1"/>
  <c r="E3434" i="1"/>
  <c r="B3434" i="1"/>
  <c r="O3433" i="1"/>
  <c r="E3433" i="1"/>
  <c r="B3433" i="1"/>
  <c r="O3432" i="1"/>
  <c r="E3432" i="1"/>
  <c r="B3432" i="1"/>
  <c r="O3431" i="1"/>
  <c r="E3431" i="1"/>
  <c r="B3431" i="1"/>
  <c r="O3430" i="1"/>
  <c r="E3430" i="1"/>
  <c r="B3430" i="1"/>
  <c r="O3429" i="1"/>
  <c r="E3429" i="1"/>
  <c r="B3429" i="1"/>
  <c r="O3428" i="1"/>
  <c r="E3428" i="1"/>
  <c r="B3428" i="1"/>
  <c r="O3427" i="1"/>
  <c r="E3427" i="1"/>
  <c r="B3427" i="1"/>
  <c r="O3426" i="1"/>
  <c r="E3426" i="1"/>
  <c r="B3426" i="1"/>
  <c r="O3425" i="1"/>
  <c r="E3425" i="1"/>
  <c r="B3425" i="1"/>
  <c r="O3424" i="1"/>
  <c r="E3424" i="1"/>
  <c r="B3424" i="1"/>
  <c r="O3423" i="1"/>
  <c r="E3423" i="1"/>
  <c r="B3423" i="1"/>
  <c r="O3422" i="1"/>
  <c r="E3422" i="1"/>
  <c r="B3422" i="1"/>
  <c r="O3421" i="1"/>
  <c r="E3421" i="1"/>
  <c r="B3421" i="1"/>
  <c r="O3420" i="1"/>
  <c r="E3420" i="1"/>
  <c r="B3420" i="1"/>
  <c r="O3419" i="1"/>
  <c r="E3419" i="1"/>
  <c r="B3419" i="1"/>
  <c r="O3418" i="1"/>
  <c r="E3418" i="1"/>
  <c r="B3418" i="1"/>
  <c r="O3417" i="1"/>
  <c r="E3417" i="1"/>
  <c r="B3417" i="1"/>
  <c r="O3416" i="1"/>
  <c r="E3416" i="1"/>
  <c r="B3416" i="1"/>
  <c r="O3415" i="1"/>
  <c r="E3415" i="1"/>
  <c r="B3415" i="1"/>
  <c r="O3414" i="1"/>
  <c r="E3414" i="1"/>
  <c r="B3414" i="1"/>
  <c r="O3413" i="1"/>
  <c r="E3413" i="1"/>
  <c r="B3413" i="1"/>
  <c r="O3412" i="1"/>
  <c r="E3412" i="1"/>
  <c r="B3412" i="1"/>
  <c r="O3411" i="1"/>
  <c r="E3411" i="1"/>
  <c r="B3411" i="1"/>
  <c r="O3410" i="1"/>
  <c r="E3410" i="1"/>
  <c r="B3410" i="1"/>
  <c r="O3409" i="1"/>
  <c r="E3409" i="1"/>
  <c r="B3409" i="1"/>
  <c r="O3408" i="1"/>
  <c r="E3408" i="1"/>
  <c r="B3408" i="1"/>
  <c r="O3407" i="1"/>
  <c r="E3407" i="1"/>
  <c r="B3407" i="1"/>
  <c r="P3406" i="1"/>
  <c r="O3406" i="1"/>
  <c r="E3406" i="1"/>
  <c r="B3406" i="1"/>
  <c r="O3405" i="1"/>
  <c r="E3405" i="1"/>
  <c r="B3405" i="1"/>
  <c r="O3404" i="1"/>
  <c r="E3404" i="1"/>
  <c r="B3404" i="1"/>
  <c r="O3403" i="1"/>
  <c r="E3403" i="1"/>
  <c r="B3403" i="1"/>
  <c r="P3402" i="1"/>
  <c r="O3402" i="1"/>
  <c r="E3402" i="1"/>
  <c r="B3402" i="1"/>
  <c r="O3401" i="1"/>
  <c r="E3401" i="1"/>
  <c r="B3401" i="1"/>
  <c r="O3400" i="1"/>
  <c r="E3400" i="1"/>
  <c r="B3400" i="1"/>
  <c r="O3399" i="1"/>
  <c r="E3399" i="1"/>
  <c r="B3399" i="1"/>
  <c r="O3398" i="1"/>
  <c r="E3398" i="1"/>
  <c r="B3398" i="1"/>
  <c r="O3397" i="1"/>
  <c r="E3397" i="1"/>
  <c r="B3397" i="1"/>
  <c r="O3396" i="1"/>
  <c r="E3396" i="1"/>
  <c r="B3396" i="1"/>
  <c r="O3395" i="1"/>
  <c r="E3395" i="1"/>
  <c r="B3395" i="1"/>
  <c r="O3394" i="1"/>
  <c r="E3394" i="1"/>
  <c r="B3394" i="1"/>
  <c r="O3393" i="1"/>
  <c r="E3393" i="1"/>
  <c r="B3393" i="1"/>
  <c r="O3392" i="1"/>
  <c r="E3392" i="1"/>
  <c r="B3392" i="1"/>
  <c r="O3391" i="1"/>
  <c r="E3391" i="1"/>
  <c r="B3391" i="1"/>
  <c r="O3390" i="1"/>
  <c r="E3390" i="1"/>
  <c r="B3390" i="1"/>
  <c r="O3389" i="1"/>
  <c r="E3389" i="1"/>
  <c r="B3389" i="1"/>
  <c r="O3388" i="1"/>
  <c r="E3388" i="1"/>
  <c r="B3388" i="1"/>
  <c r="O3387" i="1"/>
  <c r="E3387" i="1"/>
  <c r="B3387" i="1"/>
  <c r="O3386" i="1"/>
  <c r="E3386" i="1"/>
  <c r="B3386" i="1"/>
  <c r="O3385" i="1"/>
  <c r="E3385" i="1"/>
  <c r="B3385" i="1"/>
  <c r="O3384" i="1"/>
  <c r="E3384" i="1"/>
  <c r="B3384" i="1"/>
  <c r="O3383" i="1"/>
  <c r="E3383" i="1"/>
  <c r="B3383" i="1"/>
  <c r="O3382" i="1"/>
  <c r="E3382" i="1"/>
  <c r="B3382" i="1"/>
  <c r="O3381" i="1"/>
  <c r="E3381" i="1"/>
  <c r="B3381" i="1"/>
  <c r="O3380" i="1"/>
  <c r="E3380" i="1"/>
  <c r="B3380" i="1"/>
  <c r="O3379" i="1"/>
  <c r="E3379" i="1"/>
  <c r="B3379" i="1"/>
  <c r="O3378" i="1"/>
  <c r="E3378" i="1"/>
  <c r="B3378" i="1"/>
  <c r="O3377" i="1"/>
  <c r="E3377" i="1"/>
  <c r="B3377" i="1"/>
  <c r="O3376" i="1"/>
  <c r="E3376" i="1"/>
  <c r="B3376" i="1"/>
  <c r="O3375" i="1"/>
  <c r="E3375" i="1"/>
  <c r="B3375" i="1"/>
  <c r="O3374" i="1"/>
  <c r="E3374" i="1"/>
  <c r="B3374" i="1"/>
  <c r="O3373" i="1"/>
  <c r="E3373" i="1"/>
  <c r="B3373" i="1"/>
  <c r="O3372" i="1"/>
  <c r="E3372" i="1"/>
  <c r="B3372" i="1"/>
  <c r="O3371" i="1"/>
  <c r="E3371" i="1"/>
  <c r="B3371" i="1"/>
  <c r="O3370" i="1"/>
  <c r="E3370" i="1"/>
  <c r="B3370" i="1"/>
  <c r="O3369" i="1"/>
  <c r="E3369" i="1"/>
  <c r="B3369" i="1"/>
  <c r="O3368" i="1"/>
  <c r="E3368" i="1"/>
  <c r="B3368" i="1"/>
  <c r="O3367" i="1"/>
  <c r="E3367" i="1"/>
  <c r="B3367" i="1"/>
  <c r="O3366" i="1"/>
  <c r="E3366" i="1"/>
  <c r="B3366" i="1"/>
  <c r="O3365" i="1"/>
  <c r="E3365" i="1"/>
  <c r="B3365" i="1"/>
  <c r="O3364" i="1"/>
  <c r="E3364" i="1"/>
  <c r="B3364" i="1"/>
  <c r="O3363" i="1"/>
  <c r="E3363" i="1"/>
  <c r="B3363" i="1"/>
  <c r="O3362" i="1"/>
  <c r="E3362" i="1"/>
  <c r="B3362" i="1"/>
  <c r="O3361" i="1"/>
  <c r="E3361" i="1"/>
  <c r="B3361" i="1"/>
  <c r="O3360" i="1"/>
  <c r="E3360" i="1"/>
  <c r="B3360" i="1"/>
  <c r="O3359" i="1"/>
  <c r="E3359" i="1"/>
  <c r="B3359" i="1"/>
  <c r="O3358" i="1"/>
  <c r="E3358" i="1"/>
  <c r="B3358" i="1"/>
  <c r="O3357" i="1"/>
  <c r="E3357" i="1"/>
  <c r="B3357" i="1"/>
  <c r="O3356" i="1"/>
  <c r="E3356" i="1"/>
  <c r="B3356" i="1"/>
  <c r="O3355" i="1"/>
  <c r="E3355" i="1"/>
  <c r="B3355" i="1"/>
  <c r="O3354" i="1"/>
  <c r="E3354" i="1"/>
  <c r="B3354" i="1"/>
  <c r="O3353" i="1"/>
  <c r="E3353" i="1"/>
  <c r="B3353" i="1"/>
  <c r="O3352" i="1"/>
  <c r="E3352" i="1"/>
  <c r="B3352" i="1"/>
  <c r="O3351" i="1"/>
  <c r="E3351" i="1"/>
  <c r="B3351" i="1"/>
  <c r="O3350" i="1"/>
  <c r="E3350" i="1"/>
  <c r="B3350" i="1"/>
  <c r="O3349" i="1"/>
  <c r="E3349" i="1"/>
  <c r="B3349" i="1"/>
  <c r="O3348" i="1"/>
  <c r="E3348" i="1"/>
  <c r="B3348" i="1"/>
  <c r="O3347" i="1"/>
  <c r="E3347" i="1"/>
  <c r="B3347" i="1"/>
  <c r="O3346" i="1"/>
  <c r="E3346" i="1"/>
  <c r="B3346" i="1"/>
  <c r="O3345" i="1"/>
  <c r="E3345" i="1"/>
  <c r="B3345" i="1"/>
  <c r="O3344" i="1"/>
  <c r="E3344" i="1"/>
  <c r="B3344" i="1"/>
  <c r="O3343" i="1"/>
  <c r="E3343" i="1"/>
  <c r="B3343" i="1"/>
  <c r="O3342" i="1"/>
  <c r="E3342" i="1"/>
  <c r="B3342" i="1"/>
  <c r="O3341" i="1"/>
  <c r="E3341" i="1"/>
  <c r="B3341" i="1"/>
  <c r="O3340" i="1"/>
  <c r="E3340" i="1"/>
  <c r="B3340" i="1"/>
  <c r="O3339" i="1"/>
  <c r="E3339" i="1"/>
  <c r="B3339" i="1"/>
  <c r="O3338" i="1"/>
  <c r="E3338" i="1"/>
  <c r="B3338" i="1"/>
  <c r="O3337" i="1"/>
  <c r="E3337" i="1"/>
  <c r="B3337" i="1"/>
  <c r="O3336" i="1"/>
  <c r="E3336" i="1"/>
  <c r="B3336" i="1"/>
  <c r="O3335" i="1"/>
  <c r="E3335" i="1"/>
  <c r="B3335" i="1"/>
  <c r="O3334" i="1"/>
  <c r="E3334" i="1"/>
  <c r="B3334" i="1"/>
  <c r="O3333" i="1"/>
  <c r="E3333" i="1"/>
  <c r="B3333" i="1"/>
  <c r="O3332" i="1"/>
  <c r="E3332" i="1"/>
  <c r="B3332" i="1"/>
  <c r="O3331" i="1"/>
  <c r="E3331" i="1"/>
  <c r="B3331" i="1"/>
  <c r="O3330" i="1"/>
  <c r="E3330" i="1"/>
  <c r="B3330" i="1"/>
  <c r="O3329" i="1"/>
  <c r="E3329" i="1"/>
  <c r="B3329" i="1"/>
  <c r="O3328" i="1"/>
  <c r="E3328" i="1"/>
  <c r="B3328" i="1"/>
  <c r="O3327" i="1"/>
  <c r="E3327" i="1"/>
  <c r="B3327" i="1"/>
  <c r="O3326" i="1"/>
  <c r="E3326" i="1"/>
  <c r="B3326" i="1"/>
  <c r="O3325" i="1"/>
  <c r="E3325" i="1"/>
  <c r="B3325" i="1"/>
  <c r="O3324" i="1"/>
  <c r="E3324" i="1"/>
  <c r="B3324" i="1"/>
  <c r="O3323" i="1"/>
  <c r="E3323" i="1"/>
  <c r="B3323" i="1"/>
  <c r="O3322" i="1"/>
  <c r="E3322" i="1"/>
  <c r="B3322" i="1"/>
  <c r="O3321" i="1"/>
  <c r="E3321" i="1"/>
  <c r="B3321" i="1"/>
  <c r="O3320" i="1"/>
  <c r="E3320" i="1"/>
  <c r="B3320" i="1"/>
  <c r="O3319" i="1"/>
  <c r="E3319" i="1"/>
  <c r="B3319" i="1"/>
  <c r="O3318" i="1"/>
  <c r="E3318" i="1"/>
  <c r="B3318" i="1"/>
  <c r="O3317" i="1"/>
  <c r="E3317" i="1"/>
  <c r="B3317" i="1"/>
  <c r="O3316" i="1"/>
  <c r="E3316" i="1"/>
  <c r="B3316" i="1"/>
  <c r="O3315" i="1"/>
  <c r="E3315" i="1"/>
  <c r="B3315" i="1"/>
  <c r="O3314" i="1"/>
  <c r="E3314" i="1"/>
  <c r="B3314" i="1"/>
  <c r="O3313" i="1"/>
  <c r="E3313" i="1"/>
  <c r="B3313" i="1"/>
  <c r="O3312" i="1"/>
  <c r="E3312" i="1"/>
  <c r="B3312" i="1"/>
  <c r="O3311" i="1"/>
  <c r="E3311" i="1"/>
  <c r="B3311" i="1"/>
  <c r="O3310" i="1"/>
  <c r="E3310" i="1"/>
  <c r="B3310" i="1"/>
  <c r="O3309" i="1"/>
  <c r="E3309" i="1"/>
  <c r="B3309" i="1"/>
  <c r="O3308" i="1"/>
  <c r="E3308" i="1"/>
  <c r="B3308" i="1"/>
  <c r="O3307" i="1"/>
  <c r="E3307" i="1"/>
  <c r="B3307" i="1"/>
  <c r="O3306" i="1"/>
  <c r="E3306" i="1"/>
  <c r="B3306" i="1"/>
  <c r="O3305" i="1"/>
  <c r="E3305" i="1"/>
  <c r="B3305" i="1"/>
  <c r="O3304" i="1"/>
  <c r="E3304" i="1"/>
  <c r="B3304" i="1"/>
  <c r="O3303" i="1"/>
  <c r="E3303" i="1"/>
  <c r="B3303" i="1"/>
  <c r="O3302" i="1"/>
  <c r="E3302" i="1"/>
  <c r="B3302" i="1"/>
  <c r="O3301" i="1"/>
  <c r="E3301" i="1"/>
  <c r="B3301" i="1"/>
  <c r="O3300" i="1"/>
  <c r="E3300" i="1"/>
  <c r="B3300" i="1"/>
  <c r="O3299" i="1"/>
  <c r="E3299" i="1"/>
  <c r="B3299" i="1"/>
  <c r="O3298" i="1"/>
  <c r="E3298" i="1"/>
  <c r="B3298" i="1"/>
  <c r="O3297" i="1"/>
  <c r="E3297" i="1"/>
  <c r="B3297" i="1"/>
  <c r="O3296" i="1"/>
  <c r="E3296" i="1"/>
  <c r="B3296" i="1"/>
  <c r="O3295" i="1"/>
  <c r="E3295" i="1"/>
  <c r="B3295" i="1"/>
  <c r="O3294" i="1"/>
  <c r="E3294" i="1"/>
  <c r="B3294" i="1"/>
  <c r="O3293" i="1"/>
  <c r="E3293" i="1"/>
  <c r="B3293" i="1"/>
  <c r="O3292" i="1"/>
  <c r="E3292" i="1"/>
  <c r="B3292" i="1"/>
  <c r="O3291" i="1"/>
  <c r="E3291" i="1"/>
  <c r="B3291" i="1"/>
  <c r="O3290" i="1"/>
  <c r="E3290" i="1"/>
  <c r="B3290" i="1"/>
  <c r="O3289" i="1"/>
  <c r="E3289" i="1"/>
  <c r="B3289" i="1"/>
  <c r="O3288" i="1"/>
  <c r="E3288" i="1"/>
  <c r="B3288" i="1"/>
  <c r="O3287" i="1"/>
  <c r="E3287" i="1"/>
  <c r="B3287" i="1"/>
  <c r="O3286" i="1"/>
  <c r="E3286" i="1"/>
  <c r="B3286" i="1"/>
  <c r="O3285" i="1"/>
  <c r="E3285" i="1"/>
  <c r="B3285" i="1"/>
  <c r="O3284" i="1"/>
  <c r="E3284" i="1"/>
  <c r="B3284" i="1"/>
  <c r="O3283" i="1"/>
  <c r="E3283" i="1"/>
  <c r="B3283" i="1"/>
  <c r="O3282" i="1"/>
  <c r="E3282" i="1"/>
  <c r="B3282" i="1"/>
  <c r="O3281" i="1"/>
  <c r="E3281" i="1"/>
  <c r="B3281" i="1"/>
  <c r="O3280" i="1"/>
  <c r="E3280" i="1"/>
  <c r="B3280" i="1"/>
  <c r="O3279" i="1"/>
  <c r="E3279" i="1"/>
  <c r="B3279" i="1"/>
  <c r="O3278" i="1"/>
  <c r="E3278" i="1"/>
  <c r="B3278" i="1"/>
  <c r="O3277" i="1"/>
  <c r="E3277" i="1"/>
  <c r="B3277" i="1"/>
  <c r="O3276" i="1"/>
  <c r="E3276" i="1"/>
  <c r="B3276" i="1"/>
  <c r="O3275" i="1"/>
  <c r="E3275" i="1"/>
  <c r="B3275" i="1"/>
  <c r="O3274" i="1"/>
  <c r="E3274" i="1"/>
  <c r="B3274" i="1"/>
  <c r="O3273" i="1"/>
  <c r="E3273" i="1"/>
  <c r="B3273" i="1"/>
  <c r="O3272" i="1"/>
  <c r="E3272" i="1"/>
  <c r="B3272" i="1"/>
  <c r="O3271" i="1"/>
  <c r="E3271" i="1"/>
  <c r="B3271" i="1"/>
  <c r="O3270" i="1"/>
  <c r="E3270" i="1"/>
  <c r="B3270" i="1"/>
  <c r="O3269" i="1"/>
  <c r="E3269" i="1"/>
  <c r="B3269" i="1"/>
  <c r="O3268" i="1"/>
  <c r="E3268" i="1"/>
  <c r="B3268" i="1"/>
  <c r="O3267" i="1"/>
  <c r="E3267" i="1"/>
  <c r="B3267" i="1"/>
  <c r="P3266" i="1"/>
  <c r="O3266" i="1"/>
  <c r="E3266" i="1"/>
  <c r="B3266" i="1"/>
  <c r="O3265" i="1"/>
  <c r="E3265" i="1"/>
  <c r="B3265" i="1"/>
  <c r="O3264" i="1"/>
  <c r="E3264" i="1"/>
  <c r="B3264" i="1"/>
  <c r="O3263" i="1"/>
  <c r="E3263" i="1"/>
  <c r="B3263" i="1"/>
  <c r="O3262" i="1"/>
  <c r="E3262" i="1"/>
  <c r="B3262" i="1"/>
  <c r="O3261" i="1"/>
  <c r="E3261" i="1"/>
  <c r="B3261" i="1"/>
  <c r="O3260" i="1"/>
  <c r="E3260" i="1"/>
  <c r="B3260" i="1"/>
  <c r="O3259" i="1"/>
  <c r="E3259" i="1"/>
  <c r="B3259" i="1"/>
  <c r="O3258" i="1"/>
  <c r="E3258" i="1"/>
  <c r="B3258" i="1"/>
  <c r="O3257" i="1"/>
  <c r="E3257" i="1"/>
  <c r="B3257" i="1"/>
  <c r="O3256" i="1"/>
  <c r="E3256" i="1"/>
  <c r="B3256" i="1"/>
  <c r="O3255" i="1"/>
  <c r="E3255" i="1"/>
  <c r="B3255" i="1"/>
  <c r="O3254" i="1"/>
  <c r="E3254" i="1"/>
  <c r="B3254" i="1"/>
  <c r="O3253" i="1"/>
  <c r="E3253" i="1"/>
  <c r="B3253" i="1"/>
  <c r="O3252" i="1"/>
  <c r="E3252" i="1"/>
  <c r="B3252" i="1"/>
  <c r="O3251" i="1"/>
  <c r="E3251" i="1"/>
  <c r="B3251" i="1"/>
  <c r="O3250" i="1"/>
  <c r="E3250" i="1"/>
  <c r="B3250" i="1"/>
  <c r="O3249" i="1"/>
  <c r="E3249" i="1"/>
  <c r="B3249" i="1"/>
  <c r="O3248" i="1"/>
  <c r="E3248" i="1"/>
  <c r="B3248" i="1"/>
  <c r="O3247" i="1"/>
  <c r="E3247" i="1"/>
  <c r="B3247" i="1"/>
  <c r="O3246" i="1"/>
  <c r="E3246" i="1"/>
  <c r="B3246" i="1"/>
  <c r="O3245" i="1"/>
  <c r="E3245" i="1"/>
  <c r="B3245" i="1"/>
  <c r="O3244" i="1"/>
  <c r="E3244" i="1"/>
  <c r="B3244" i="1"/>
  <c r="O3243" i="1"/>
  <c r="E3243" i="1"/>
  <c r="B3243" i="1"/>
  <c r="O3242" i="1"/>
  <c r="E3242" i="1"/>
  <c r="B3242" i="1"/>
  <c r="O3241" i="1"/>
  <c r="E3241" i="1"/>
  <c r="B3241" i="1"/>
  <c r="O3240" i="1"/>
  <c r="E3240" i="1"/>
  <c r="B3240" i="1"/>
  <c r="O3239" i="1"/>
  <c r="E3239" i="1"/>
  <c r="B3239" i="1"/>
  <c r="O3238" i="1"/>
  <c r="E3238" i="1"/>
  <c r="B3238" i="1"/>
  <c r="O3237" i="1"/>
  <c r="E3237" i="1"/>
  <c r="B3237" i="1"/>
  <c r="O3236" i="1"/>
  <c r="E3236" i="1"/>
  <c r="B3236" i="1"/>
  <c r="O3235" i="1"/>
  <c r="E3235" i="1"/>
  <c r="B3235" i="1"/>
  <c r="O3234" i="1"/>
  <c r="E3234" i="1"/>
  <c r="B3234" i="1"/>
  <c r="O3233" i="1"/>
  <c r="E3233" i="1"/>
  <c r="B3233" i="1"/>
  <c r="O3232" i="1"/>
  <c r="E3232" i="1"/>
  <c r="B3232" i="1"/>
  <c r="O3231" i="1"/>
  <c r="E3231" i="1"/>
  <c r="B3231" i="1"/>
  <c r="O3230" i="1"/>
  <c r="E3230" i="1"/>
  <c r="B3230" i="1"/>
  <c r="O3229" i="1"/>
  <c r="E3229" i="1"/>
  <c r="B3229" i="1"/>
  <c r="O3228" i="1"/>
  <c r="E3228" i="1"/>
  <c r="B3228" i="1"/>
  <c r="O3227" i="1"/>
  <c r="E3227" i="1"/>
  <c r="B3227" i="1"/>
  <c r="O3226" i="1"/>
  <c r="E3226" i="1"/>
  <c r="B3226" i="1"/>
  <c r="O3225" i="1"/>
  <c r="E3225" i="1"/>
  <c r="B3225" i="1"/>
  <c r="O3224" i="1"/>
  <c r="E3224" i="1"/>
  <c r="B3224" i="1"/>
  <c r="O3223" i="1"/>
  <c r="E3223" i="1"/>
  <c r="B3223" i="1"/>
  <c r="O3222" i="1"/>
  <c r="E3222" i="1"/>
  <c r="B3222" i="1"/>
  <c r="O3221" i="1"/>
  <c r="E3221" i="1"/>
  <c r="B3221" i="1"/>
  <c r="O3220" i="1"/>
  <c r="E3220" i="1"/>
  <c r="B3220" i="1"/>
  <c r="O3219" i="1"/>
  <c r="E3219" i="1"/>
  <c r="B3219" i="1"/>
  <c r="O3218" i="1"/>
  <c r="E3218" i="1"/>
  <c r="B3218" i="1"/>
  <c r="O3217" i="1"/>
  <c r="E3217" i="1"/>
  <c r="B3217" i="1"/>
  <c r="O3216" i="1"/>
  <c r="E3216" i="1"/>
  <c r="B3216" i="1"/>
  <c r="O3215" i="1"/>
  <c r="E3215" i="1"/>
  <c r="B3215" i="1"/>
  <c r="O3214" i="1"/>
  <c r="E3214" i="1"/>
  <c r="B3214" i="1"/>
  <c r="O3213" i="1"/>
  <c r="E3213" i="1"/>
  <c r="B3213" i="1"/>
  <c r="O3212" i="1"/>
  <c r="E3212" i="1"/>
  <c r="B3212" i="1"/>
  <c r="O3211" i="1"/>
  <c r="E3211" i="1"/>
  <c r="B3211" i="1"/>
  <c r="O3210" i="1"/>
  <c r="E3210" i="1"/>
  <c r="B3210" i="1"/>
  <c r="O3209" i="1"/>
  <c r="E3209" i="1"/>
  <c r="B3209" i="1"/>
  <c r="O3208" i="1"/>
  <c r="E3208" i="1"/>
  <c r="B3208" i="1"/>
  <c r="O3207" i="1"/>
  <c r="E3207" i="1"/>
  <c r="B3207" i="1"/>
  <c r="O3206" i="1"/>
  <c r="E3206" i="1"/>
  <c r="B3206" i="1"/>
  <c r="O3205" i="1"/>
  <c r="E3205" i="1"/>
  <c r="B3205" i="1"/>
  <c r="O3204" i="1"/>
  <c r="E3204" i="1"/>
  <c r="B3204" i="1"/>
  <c r="O3203" i="1"/>
  <c r="E3203" i="1"/>
  <c r="B3203" i="1"/>
  <c r="O3202" i="1"/>
  <c r="E3202" i="1"/>
  <c r="B3202" i="1"/>
  <c r="O3201" i="1"/>
  <c r="E3201" i="1"/>
  <c r="B3201" i="1"/>
  <c r="O3200" i="1"/>
  <c r="E3200" i="1"/>
  <c r="B3200" i="1"/>
  <c r="O3199" i="1"/>
  <c r="E3199" i="1"/>
  <c r="B3199" i="1"/>
  <c r="O3198" i="1"/>
  <c r="E3198" i="1"/>
  <c r="B3198" i="1"/>
  <c r="O3197" i="1"/>
  <c r="E3197" i="1"/>
  <c r="B3197" i="1"/>
  <c r="O3196" i="1"/>
  <c r="E3196" i="1"/>
  <c r="B3196" i="1"/>
  <c r="O3195" i="1"/>
  <c r="E3195" i="1"/>
  <c r="B3195" i="1"/>
  <c r="O3194" i="1"/>
  <c r="E3194" i="1"/>
  <c r="B3194" i="1"/>
  <c r="O3193" i="1"/>
  <c r="E3193" i="1"/>
  <c r="B3193" i="1"/>
  <c r="O3192" i="1"/>
  <c r="E3192" i="1"/>
  <c r="B3192" i="1"/>
  <c r="O3191" i="1"/>
  <c r="E3191" i="1"/>
  <c r="B3191" i="1"/>
  <c r="O3190" i="1"/>
  <c r="E3190" i="1"/>
  <c r="B3190" i="1"/>
  <c r="O3189" i="1"/>
  <c r="E3189" i="1"/>
  <c r="B3189" i="1"/>
  <c r="O3188" i="1"/>
  <c r="E3188" i="1"/>
  <c r="B3188" i="1"/>
  <c r="O3187" i="1"/>
  <c r="E3187" i="1"/>
  <c r="B3187" i="1"/>
  <c r="O3186" i="1"/>
  <c r="E3186" i="1"/>
  <c r="B3186" i="1"/>
  <c r="O3185" i="1"/>
  <c r="E3185" i="1"/>
  <c r="B3185" i="1"/>
  <c r="O3184" i="1"/>
  <c r="E3184" i="1"/>
  <c r="B3184" i="1"/>
  <c r="O3183" i="1"/>
  <c r="E3183" i="1"/>
  <c r="B3183" i="1"/>
  <c r="O3182" i="1"/>
  <c r="E3182" i="1"/>
  <c r="B3182" i="1"/>
  <c r="O3181" i="1"/>
  <c r="E3181" i="1"/>
  <c r="B3181" i="1"/>
  <c r="O3180" i="1"/>
  <c r="E3180" i="1"/>
  <c r="B3180" i="1"/>
  <c r="O3179" i="1"/>
  <c r="E3179" i="1"/>
  <c r="B3179" i="1"/>
  <c r="O3178" i="1"/>
  <c r="E3178" i="1"/>
  <c r="B3178" i="1"/>
  <c r="O3177" i="1"/>
  <c r="E3177" i="1"/>
  <c r="B3177" i="1"/>
  <c r="O3176" i="1"/>
  <c r="E3176" i="1"/>
  <c r="B3176" i="1"/>
  <c r="O3175" i="1"/>
  <c r="E3175" i="1"/>
  <c r="B3175" i="1"/>
  <c r="O3174" i="1"/>
  <c r="E3174" i="1"/>
  <c r="B3174" i="1"/>
  <c r="O3173" i="1"/>
  <c r="E3173" i="1"/>
  <c r="B3173" i="1"/>
  <c r="O3172" i="1"/>
  <c r="E3172" i="1"/>
  <c r="B3172" i="1"/>
  <c r="O3171" i="1"/>
  <c r="E3171" i="1"/>
  <c r="B3171" i="1"/>
  <c r="O3170" i="1"/>
  <c r="E3170" i="1"/>
  <c r="B3170" i="1"/>
  <c r="O3169" i="1"/>
  <c r="E3169" i="1"/>
  <c r="B3169" i="1"/>
  <c r="O3168" i="1"/>
  <c r="E3168" i="1"/>
  <c r="B3168" i="1"/>
  <c r="O3167" i="1"/>
  <c r="E3167" i="1"/>
  <c r="B3167" i="1"/>
  <c r="O3166" i="1"/>
  <c r="E3166" i="1"/>
  <c r="B3166" i="1"/>
  <c r="O3165" i="1"/>
  <c r="E3165" i="1"/>
  <c r="B3165" i="1"/>
  <c r="O3164" i="1"/>
  <c r="E3164" i="1"/>
  <c r="B3164" i="1"/>
  <c r="O3163" i="1"/>
  <c r="E3163" i="1"/>
  <c r="B3163" i="1"/>
  <c r="O3162" i="1"/>
  <c r="E3162" i="1"/>
  <c r="B3162" i="1"/>
  <c r="O3161" i="1"/>
  <c r="E3161" i="1"/>
  <c r="B3161" i="1"/>
  <c r="O3160" i="1"/>
  <c r="E3160" i="1"/>
  <c r="B3160" i="1"/>
  <c r="O3159" i="1"/>
  <c r="E3159" i="1"/>
  <c r="B3159" i="1"/>
  <c r="O3158" i="1"/>
  <c r="E3158" i="1"/>
  <c r="B3158" i="1"/>
  <c r="O3157" i="1"/>
  <c r="E3157" i="1"/>
  <c r="B3157" i="1"/>
  <c r="O3156" i="1"/>
  <c r="E3156" i="1"/>
  <c r="B3156" i="1"/>
  <c r="O3155" i="1"/>
  <c r="E3155" i="1"/>
  <c r="B3155" i="1"/>
  <c r="O3154" i="1"/>
  <c r="E3154" i="1"/>
  <c r="B3154" i="1"/>
  <c r="O3153" i="1"/>
  <c r="E3153" i="1"/>
  <c r="B3153" i="1"/>
  <c r="O3152" i="1"/>
  <c r="E3152" i="1"/>
  <c r="B3152" i="1"/>
  <c r="O3151" i="1"/>
  <c r="E3151" i="1"/>
  <c r="B3151" i="1"/>
  <c r="O3150" i="1"/>
  <c r="E3150" i="1"/>
  <c r="B3150" i="1"/>
  <c r="O3149" i="1"/>
  <c r="E3149" i="1"/>
  <c r="B3149" i="1"/>
  <c r="O3148" i="1"/>
  <c r="E3148" i="1"/>
  <c r="B3148" i="1"/>
  <c r="O3147" i="1"/>
  <c r="E3147" i="1"/>
  <c r="B3147" i="1"/>
  <c r="O3146" i="1"/>
  <c r="E3146" i="1"/>
  <c r="B3146" i="1"/>
  <c r="O3145" i="1"/>
  <c r="E3145" i="1"/>
  <c r="B3145" i="1"/>
  <c r="O3144" i="1"/>
  <c r="E3144" i="1"/>
  <c r="B3144" i="1"/>
  <c r="O3143" i="1"/>
  <c r="E3143" i="1"/>
  <c r="B3143" i="1"/>
  <c r="O3142" i="1"/>
  <c r="E3142" i="1"/>
  <c r="B3142" i="1"/>
  <c r="O3141" i="1"/>
  <c r="E3141" i="1"/>
  <c r="B3141" i="1"/>
  <c r="O3140" i="1"/>
  <c r="E3140" i="1"/>
  <c r="B3140" i="1"/>
  <c r="P3139" i="1"/>
  <c r="O3139" i="1"/>
  <c r="E3139" i="1"/>
  <c r="B3139" i="1"/>
  <c r="O3138" i="1"/>
  <c r="E3138" i="1"/>
  <c r="B3138" i="1"/>
  <c r="O3137" i="1"/>
  <c r="E3137" i="1"/>
  <c r="B3137" i="1"/>
  <c r="O3136" i="1"/>
  <c r="E3136" i="1"/>
  <c r="B3136" i="1"/>
  <c r="O3135" i="1"/>
  <c r="E3135" i="1"/>
  <c r="B3135" i="1"/>
  <c r="O3134" i="1"/>
  <c r="E3134" i="1"/>
  <c r="B3134" i="1"/>
  <c r="O3133" i="1"/>
  <c r="E3133" i="1"/>
  <c r="B3133" i="1"/>
  <c r="O3132" i="1"/>
  <c r="E3132" i="1"/>
  <c r="B3132" i="1"/>
  <c r="O3131" i="1"/>
  <c r="E3131" i="1"/>
  <c r="B3131" i="1"/>
  <c r="O3130" i="1"/>
  <c r="E3130" i="1"/>
  <c r="B3130" i="1"/>
  <c r="O3129" i="1"/>
  <c r="E3129" i="1"/>
  <c r="B3129" i="1"/>
  <c r="P3128" i="1"/>
  <c r="O3128" i="1"/>
  <c r="E3128" i="1"/>
  <c r="B3128" i="1"/>
  <c r="O3127" i="1"/>
  <c r="E3127" i="1"/>
  <c r="B3127" i="1"/>
  <c r="O3126" i="1"/>
  <c r="E3126" i="1"/>
  <c r="B3126" i="1"/>
  <c r="O3125" i="1"/>
  <c r="E3125" i="1"/>
  <c r="B3125" i="1"/>
  <c r="O3124" i="1"/>
  <c r="E3124" i="1"/>
  <c r="B3124" i="1"/>
  <c r="O3123" i="1"/>
  <c r="E3123" i="1"/>
  <c r="B3123" i="1"/>
  <c r="O3122" i="1"/>
  <c r="E3122" i="1"/>
  <c r="B3122" i="1"/>
  <c r="O3121" i="1"/>
  <c r="E3121" i="1"/>
  <c r="B3121" i="1"/>
  <c r="O3120" i="1"/>
  <c r="E3120" i="1"/>
  <c r="B3120" i="1"/>
  <c r="O3119" i="1"/>
  <c r="E3119" i="1"/>
  <c r="B3119" i="1"/>
  <c r="O3118" i="1"/>
  <c r="E3118" i="1"/>
  <c r="B3118" i="1"/>
  <c r="O3117" i="1"/>
  <c r="E3117" i="1"/>
  <c r="B3117" i="1"/>
  <c r="O3116" i="1"/>
  <c r="E3116" i="1"/>
  <c r="B3116" i="1"/>
  <c r="O3115" i="1"/>
  <c r="E3115" i="1"/>
  <c r="B3115" i="1"/>
  <c r="O3114" i="1"/>
  <c r="E3114" i="1"/>
  <c r="B3114" i="1"/>
  <c r="O3113" i="1"/>
  <c r="E3113" i="1"/>
  <c r="B3113" i="1"/>
  <c r="O3112" i="1"/>
  <c r="E3112" i="1"/>
  <c r="B3112" i="1"/>
  <c r="O3111" i="1"/>
  <c r="E3111" i="1"/>
  <c r="B3111" i="1"/>
  <c r="O3110" i="1"/>
  <c r="E3110" i="1"/>
  <c r="B3110" i="1"/>
  <c r="O3109" i="1"/>
  <c r="E3109" i="1"/>
  <c r="B3109" i="1"/>
  <c r="O3108" i="1"/>
  <c r="E3108" i="1"/>
  <c r="B3108" i="1"/>
  <c r="O3107" i="1"/>
  <c r="E3107" i="1"/>
  <c r="B3107" i="1"/>
  <c r="O3106" i="1"/>
  <c r="E3106" i="1"/>
  <c r="B3106" i="1"/>
  <c r="O3105" i="1"/>
  <c r="E3105" i="1"/>
  <c r="B3105" i="1"/>
  <c r="O3104" i="1"/>
  <c r="E3104" i="1"/>
  <c r="B3104" i="1"/>
  <c r="O3103" i="1"/>
  <c r="E3103" i="1"/>
  <c r="B3103" i="1"/>
  <c r="O3102" i="1"/>
  <c r="E3102" i="1"/>
  <c r="B3102" i="1"/>
  <c r="O3101" i="1"/>
  <c r="E3101" i="1"/>
  <c r="B3101" i="1"/>
  <c r="O3100" i="1"/>
  <c r="E3100" i="1"/>
  <c r="B3100" i="1"/>
  <c r="O3099" i="1"/>
  <c r="E3099" i="1"/>
  <c r="B3099" i="1"/>
  <c r="O3098" i="1"/>
  <c r="E3098" i="1"/>
  <c r="B3098" i="1"/>
  <c r="O3097" i="1"/>
  <c r="E3097" i="1"/>
  <c r="B3097" i="1"/>
  <c r="O3096" i="1"/>
  <c r="E3096" i="1"/>
  <c r="B3096" i="1"/>
  <c r="O3095" i="1"/>
  <c r="E3095" i="1"/>
  <c r="B3095" i="1"/>
  <c r="O3094" i="1"/>
  <c r="E3094" i="1"/>
  <c r="B3094" i="1"/>
  <c r="O3093" i="1"/>
  <c r="E3093" i="1"/>
  <c r="B3093" i="1"/>
  <c r="O3092" i="1"/>
  <c r="E3092" i="1"/>
  <c r="B3092" i="1"/>
  <c r="O3091" i="1"/>
  <c r="E3091" i="1"/>
  <c r="B3091" i="1"/>
  <c r="O3090" i="1"/>
  <c r="E3090" i="1"/>
  <c r="B3090" i="1"/>
  <c r="O3089" i="1"/>
  <c r="E3089" i="1"/>
  <c r="B3089" i="1"/>
  <c r="O3088" i="1"/>
  <c r="E3088" i="1"/>
  <c r="B3088" i="1"/>
  <c r="O3087" i="1"/>
  <c r="E3087" i="1"/>
  <c r="B3087" i="1"/>
  <c r="O3086" i="1"/>
  <c r="E3086" i="1"/>
  <c r="B3086" i="1"/>
  <c r="O3085" i="1"/>
  <c r="E3085" i="1"/>
  <c r="B3085" i="1"/>
  <c r="O3084" i="1"/>
  <c r="E3084" i="1"/>
  <c r="B3084" i="1"/>
  <c r="O3083" i="1"/>
  <c r="E3083" i="1"/>
  <c r="B3083" i="1"/>
  <c r="O3082" i="1"/>
  <c r="E3082" i="1"/>
  <c r="B3082" i="1"/>
  <c r="O3081" i="1"/>
  <c r="E3081" i="1"/>
  <c r="B3081" i="1"/>
  <c r="O3080" i="1"/>
  <c r="E3080" i="1"/>
  <c r="B3080" i="1"/>
  <c r="O3079" i="1"/>
  <c r="E3079" i="1"/>
  <c r="B3079" i="1"/>
  <c r="O3078" i="1"/>
  <c r="E3078" i="1"/>
  <c r="B3078" i="1"/>
  <c r="O3077" i="1"/>
  <c r="E3077" i="1"/>
  <c r="B3077" i="1"/>
  <c r="O3076" i="1"/>
  <c r="E3076" i="1"/>
  <c r="B3076" i="1"/>
  <c r="O3075" i="1"/>
  <c r="E3075" i="1"/>
  <c r="B3075" i="1"/>
  <c r="O3074" i="1"/>
  <c r="E3074" i="1"/>
  <c r="B3074" i="1"/>
  <c r="O3073" i="1"/>
  <c r="E3073" i="1"/>
  <c r="B3073" i="1"/>
  <c r="O3072" i="1"/>
  <c r="E3072" i="1"/>
  <c r="B3072" i="1"/>
  <c r="O3071" i="1"/>
  <c r="E3071" i="1"/>
  <c r="B3071" i="1"/>
  <c r="O3070" i="1"/>
  <c r="E3070" i="1"/>
  <c r="B3070" i="1"/>
  <c r="O3069" i="1"/>
  <c r="E3069" i="1"/>
  <c r="B3069" i="1"/>
  <c r="O3068" i="1"/>
  <c r="E3068" i="1"/>
  <c r="B3068" i="1"/>
  <c r="O3067" i="1"/>
  <c r="E3067" i="1"/>
  <c r="B3067" i="1"/>
  <c r="O3066" i="1"/>
  <c r="E3066" i="1"/>
  <c r="B3066" i="1"/>
  <c r="O3065" i="1"/>
  <c r="E3065" i="1"/>
  <c r="B3065" i="1"/>
  <c r="O3064" i="1"/>
  <c r="E3064" i="1"/>
  <c r="B3064" i="1"/>
  <c r="O3063" i="1"/>
  <c r="E3063" i="1"/>
  <c r="B3063" i="1"/>
  <c r="O3062" i="1"/>
  <c r="E3062" i="1"/>
  <c r="B3062" i="1"/>
  <c r="O3061" i="1"/>
  <c r="E3061" i="1"/>
  <c r="B3061" i="1"/>
  <c r="O3060" i="1"/>
  <c r="E3060" i="1"/>
  <c r="B3060" i="1"/>
  <c r="O3059" i="1"/>
  <c r="E3059" i="1"/>
  <c r="B3059" i="1"/>
  <c r="O3058" i="1"/>
  <c r="E3058" i="1"/>
  <c r="B3058" i="1"/>
  <c r="O3057" i="1"/>
  <c r="E3057" i="1"/>
  <c r="B3057" i="1"/>
  <c r="O3056" i="1"/>
  <c r="E3056" i="1"/>
  <c r="B3056" i="1"/>
  <c r="O3055" i="1"/>
  <c r="E3055" i="1"/>
  <c r="B3055" i="1"/>
  <c r="O3054" i="1"/>
  <c r="E3054" i="1"/>
  <c r="B3054" i="1"/>
  <c r="O3053" i="1"/>
  <c r="E3053" i="1"/>
  <c r="B3053" i="1"/>
  <c r="O3052" i="1"/>
  <c r="E3052" i="1"/>
  <c r="B3052" i="1"/>
  <c r="O3051" i="1"/>
  <c r="E3051" i="1"/>
  <c r="B3051" i="1"/>
  <c r="O3050" i="1"/>
  <c r="E3050" i="1"/>
  <c r="B3050" i="1"/>
  <c r="O3049" i="1"/>
  <c r="E3049" i="1"/>
  <c r="B3049" i="1"/>
  <c r="O3048" i="1"/>
  <c r="E3048" i="1"/>
  <c r="B3048" i="1"/>
  <c r="O3047" i="1"/>
  <c r="E3047" i="1"/>
  <c r="B3047" i="1"/>
  <c r="O3046" i="1"/>
  <c r="E3046" i="1"/>
  <c r="B3046" i="1"/>
  <c r="O3045" i="1"/>
  <c r="E3045" i="1"/>
  <c r="B3045" i="1"/>
  <c r="O3044" i="1"/>
  <c r="E3044" i="1"/>
  <c r="B3044" i="1"/>
  <c r="O3043" i="1"/>
  <c r="E3043" i="1"/>
  <c r="B3043" i="1"/>
  <c r="O3042" i="1"/>
  <c r="E3042" i="1"/>
  <c r="B3042" i="1"/>
  <c r="O3041" i="1"/>
  <c r="E3041" i="1"/>
  <c r="B3041" i="1"/>
  <c r="O3040" i="1"/>
  <c r="E3040" i="1"/>
  <c r="B3040" i="1"/>
  <c r="O3039" i="1"/>
  <c r="E3039" i="1"/>
  <c r="B3039" i="1"/>
  <c r="O3038" i="1"/>
  <c r="E3038" i="1"/>
  <c r="B3038" i="1"/>
  <c r="O3037" i="1"/>
  <c r="E3037" i="1"/>
  <c r="B3037" i="1"/>
  <c r="O3036" i="1"/>
  <c r="E3036" i="1"/>
  <c r="B3036" i="1"/>
  <c r="O3035" i="1"/>
  <c r="E3035" i="1"/>
  <c r="B3035" i="1"/>
  <c r="O3034" i="1"/>
  <c r="E3034" i="1"/>
  <c r="B3034" i="1"/>
  <c r="O3033" i="1"/>
  <c r="E3033" i="1"/>
  <c r="B3033" i="1"/>
  <c r="O3032" i="1"/>
  <c r="E3032" i="1"/>
  <c r="B3032" i="1"/>
  <c r="O3031" i="1"/>
  <c r="E3031" i="1"/>
  <c r="B3031" i="1"/>
  <c r="O3030" i="1"/>
  <c r="E3030" i="1"/>
  <c r="B3030" i="1"/>
  <c r="O3029" i="1"/>
  <c r="E3029" i="1"/>
  <c r="B3029" i="1"/>
  <c r="O3028" i="1"/>
  <c r="E3028" i="1"/>
  <c r="B3028" i="1"/>
  <c r="O3027" i="1"/>
  <c r="E3027" i="1"/>
  <c r="B3027" i="1"/>
  <c r="O3026" i="1"/>
  <c r="E3026" i="1"/>
  <c r="B3026" i="1"/>
  <c r="O3025" i="1"/>
  <c r="E3025" i="1"/>
  <c r="B3025" i="1"/>
  <c r="O3024" i="1"/>
  <c r="E3024" i="1"/>
  <c r="B3024" i="1"/>
  <c r="O3023" i="1"/>
  <c r="E3023" i="1"/>
  <c r="B3023" i="1"/>
  <c r="O3022" i="1"/>
  <c r="E3022" i="1"/>
  <c r="B3022" i="1"/>
  <c r="O3021" i="1"/>
  <c r="E3021" i="1"/>
  <c r="B3021" i="1"/>
  <c r="O3020" i="1"/>
  <c r="E3020" i="1"/>
  <c r="B3020" i="1"/>
  <c r="O3019" i="1"/>
  <c r="E3019" i="1"/>
  <c r="B3019" i="1"/>
  <c r="O3018" i="1"/>
  <c r="E3018" i="1"/>
  <c r="B3018" i="1"/>
  <c r="O3017" i="1"/>
  <c r="E3017" i="1"/>
  <c r="B3017" i="1"/>
  <c r="O3016" i="1"/>
  <c r="E3016" i="1"/>
  <c r="B3016" i="1"/>
  <c r="O3015" i="1"/>
  <c r="E3015" i="1"/>
  <c r="B3015" i="1"/>
  <c r="O3014" i="1"/>
  <c r="E3014" i="1"/>
  <c r="B3014" i="1"/>
  <c r="O3013" i="1"/>
  <c r="E3013" i="1"/>
  <c r="B3013" i="1"/>
  <c r="O3012" i="1"/>
  <c r="E3012" i="1"/>
  <c r="B3012" i="1"/>
  <c r="O3011" i="1"/>
  <c r="E3011" i="1"/>
  <c r="B3011" i="1"/>
  <c r="O3010" i="1"/>
  <c r="E3010" i="1"/>
  <c r="B3010" i="1"/>
  <c r="O3009" i="1"/>
  <c r="E3009" i="1"/>
  <c r="B3009" i="1"/>
  <c r="O3008" i="1"/>
  <c r="E3008" i="1"/>
  <c r="B3008" i="1"/>
  <c r="O3007" i="1"/>
  <c r="E3007" i="1"/>
  <c r="B3007" i="1"/>
  <c r="O3006" i="1"/>
  <c r="E3006" i="1"/>
  <c r="B3006" i="1"/>
  <c r="O3005" i="1"/>
  <c r="E3005" i="1"/>
  <c r="B3005" i="1"/>
  <c r="O3004" i="1"/>
  <c r="E3004" i="1"/>
  <c r="B3004" i="1"/>
  <c r="O3003" i="1"/>
  <c r="E3003" i="1"/>
  <c r="B3003" i="1"/>
  <c r="O3002" i="1"/>
  <c r="E3002" i="1"/>
  <c r="B3002" i="1"/>
  <c r="O3001" i="1"/>
  <c r="E3001" i="1"/>
  <c r="B3001" i="1"/>
  <c r="O3000" i="1"/>
  <c r="E3000" i="1"/>
  <c r="B3000" i="1"/>
  <c r="O2999" i="1"/>
  <c r="E2999" i="1"/>
  <c r="B2999" i="1"/>
  <c r="O2998" i="1"/>
  <c r="E2998" i="1"/>
  <c r="B2998" i="1"/>
  <c r="O2997" i="1"/>
  <c r="E2997" i="1"/>
  <c r="B2997" i="1"/>
  <c r="O2996" i="1"/>
  <c r="E2996" i="1"/>
  <c r="B2996" i="1"/>
  <c r="O2995" i="1"/>
  <c r="E2995" i="1"/>
  <c r="B2995" i="1"/>
  <c r="O2994" i="1"/>
  <c r="E2994" i="1"/>
  <c r="B2994" i="1"/>
  <c r="O2993" i="1"/>
  <c r="E2993" i="1"/>
  <c r="B2993" i="1"/>
  <c r="O2992" i="1"/>
  <c r="E2992" i="1"/>
  <c r="B2992" i="1"/>
  <c r="O2991" i="1"/>
  <c r="E2991" i="1"/>
  <c r="B2991" i="1"/>
  <c r="O2990" i="1"/>
  <c r="E2990" i="1"/>
  <c r="B2990" i="1"/>
  <c r="O2989" i="1"/>
  <c r="E2989" i="1"/>
  <c r="B2989" i="1"/>
  <c r="O2988" i="1"/>
  <c r="E2988" i="1"/>
  <c r="B2988" i="1"/>
  <c r="O2987" i="1"/>
  <c r="E2987" i="1"/>
  <c r="B2987" i="1"/>
  <c r="O2986" i="1"/>
  <c r="E2986" i="1"/>
  <c r="B2986" i="1"/>
  <c r="O2985" i="1"/>
  <c r="E2985" i="1"/>
  <c r="B2985" i="1"/>
  <c r="O2984" i="1"/>
  <c r="E2984" i="1"/>
  <c r="B2984" i="1"/>
  <c r="O2983" i="1"/>
  <c r="E2983" i="1"/>
  <c r="B2983" i="1"/>
  <c r="O2982" i="1"/>
  <c r="E2982" i="1"/>
  <c r="B2982" i="1"/>
  <c r="O2981" i="1"/>
  <c r="E2981" i="1"/>
  <c r="B2981" i="1"/>
  <c r="O2980" i="1"/>
  <c r="E2980" i="1"/>
  <c r="B2980" i="1"/>
  <c r="O2979" i="1"/>
  <c r="E2979" i="1"/>
  <c r="B2979" i="1"/>
  <c r="O2978" i="1"/>
  <c r="E2978" i="1"/>
  <c r="B2978" i="1"/>
  <c r="O2977" i="1"/>
  <c r="E2977" i="1"/>
  <c r="B2977" i="1"/>
  <c r="O2976" i="1"/>
  <c r="E2976" i="1"/>
  <c r="B2976" i="1"/>
  <c r="O2975" i="1"/>
  <c r="E2975" i="1"/>
  <c r="B2975" i="1"/>
  <c r="O2974" i="1"/>
  <c r="E2974" i="1"/>
  <c r="B2974" i="1"/>
  <c r="O2973" i="1"/>
  <c r="E2973" i="1"/>
  <c r="B2973" i="1"/>
  <c r="O2972" i="1"/>
  <c r="E2972" i="1"/>
  <c r="B2972" i="1"/>
  <c r="O2971" i="1"/>
  <c r="E2971" i="1"/>
  <c r="B2971" i="1"/>
  <c r="O2970" i="1"/>
  <c r="E2970" i="1"/>
  <c r="B2970" i="1"/>
  <c r="O2969" i="1"/>
  <c r="E2969" i="1"/>
  <c r="B2969" i="1"/>
  <c r="O2968" i="1"/>
  <c r="E2968" i="1"/>
  <c r="B2968" i="1"/>
  <c r="O2967" i="1"/>
  <c r="E2967" i="1"/>
  <c r="B2967" i="1"/>
  <c r="O2966" i="1"/>
  <c r="E2966" i="1"/>
  <c r="B2966" i="1"/>
  <c r="O2965" i="1"/>
  <c r="E2965" i="1"/>
  <c r="B2965" i="1"/>
  <c r="O2964" i="1"/>
  <c r="E2964" i="1"/>
  <c r="B2964" i="1"/>
  <c r="O2963" i="1"/>
  <c r="E2963" i="1"/>
  <c r="B2963" i="1"/>
  <c r="O2962" i="1"/>
  <c r="E2962" i="1"/>
  <c r="B2962" i="1"/>
  <c r="O2961" i="1"/>
  <c r="E2961" i="1"/>
  <c r="B2961" i="1"/>
  <c r="O2960" i="1"/>
  <c r="E2960" i="1"/>
  <c r="B2960" i="1"/>
  <c r="O2959" i="1"/>
  <c r="E2959" i="1"/>
  <c r="B2959" i="1"/>
  <c r="O2958" i="1"/>
  <c r="E2958" i="1"/>
  <c r="B2958" i="1"/>
  <c r="P2957" i="1"/>
  <c r="O2957" i="1"/>
  <c r="E2957" i="1"/>
  <c r="B2957" i="1"/>
  <c r="O2956" i="1"/>
  <c r="E2956" i="1"/>
  <c r="B2956" i="1"/>
  <c r="P2955" i="1"/>
  <c r="O2955" i="1"/>
  <c r="E2955" i="1"/>
  <c r="B2955" i="1"/>
  <c r="P2954" i="1"/>
  <c r="O2954" i="1"/>
  <c r="E2954" i="1"/>
  <c r="B2954" i="1"/>
  <c r="O2953" i="1"/>
  <c r="E2953" i="1"/>
  <c r="B2953" i="1"/>
  <c r="P2952" i="1"/>
  <c r="O2952" i="1"/>
  <c r="E2952" i="1"/>
  <c r="B2952" i="1"/>
  <c r="O2951" i="1"/>
  <c r="E2951" i="1"/>
  <c r="B2951" i="1"/>
  <c r="O2950" i="1"/>
  <c r="E2950" i="1"/>
  <c r="B2950" i="1"/>
  <c r="O2949" i="1"/>
  <c r="E2949" i="1"/>
  <c r="B2949" i="1"/>
  <c r="O2948" i="1"/>
  <c r="E2948" i="1"/>
  <c r="B2948" i="1"/>
  <c r="O2947" i="1"/>
  <c r="E2947" i="1"/>
  <c r="B2947" i="1"/>
  <c r="O2946" i="1"/>
  <c r="E2946" i="1"/>
  <c r="B2946" i="1"/>
  <c r="O2945" i="1"/>
  <c r="E2945" i="1"/>
  <c r="B2945" i="1"/>
  <c r="O2944" i="1"/>
  <c r="E2944" i="1"/>
  <c r="B2944" i="1"/>
  <c r="O2943" i="1"/>
  <c r="E2943" i="1"/>
  <c r="B2943" i="1"/>
  <c r="O2942" i="1"/>
  <c r="E2942" i="1"/>
  <c r="B2942" i="1"/>
  <c r="O2941" i="1"/>
  <c r="E2941" i="1"/>
  <c r="B2941" i="1"/>
  <c r="O2940" i="1"/>
  <c r="E2940" i="1"/>
  <c r="B2940" i="1"/>
  <c r="O2939" i="1"/>
  <c r="E2939" i="1"/>
  <c r="B2939" i="1"/>
  <c r="O2938" i="1"/>
  <c r="E2938" i="1"/>
  <c r="B2938" i="1"/>
  <c r="O2937" i="1"/>
  <c r="E2937" i="1"/>
  <c r="B2937" i="1"/>
  <c r="O2936" i="1"/>
  <c r="E2936" i="1"/>
  <c r="B2936" i="1"/>
  <c r="O2935" i="1"/>
  <c r="E2935" i="1"/>
  <c r="B2935" i="1"/>
  <c r="O2934" i="1"/>
  <c r="E2934" i="1"/>
  <c r="B2934" i="1"/>
  <c r="O2933" i="1"/>
  <c r="E2933" i="1"/>
  <c r="B2933" i="1"/>
  <c r="O2932" i="1"/>
  <c r="E2932" i="1"/>
  <c r="B2932" i="1"/>
  <c r="O2931" i="1"/>
  <c r="E2931" i="1"/>
  <c r="B2931" i="1"/>
  <c r="O2930" i="1"/>
  <c r="E2930" i="1"/>
  <c r="B2930" i="1"/>
  <c r="O2929" i="1"/>
  <c r="E2929" i="1"/>
  <c r="B2929" i="1"/>
  <c r="O2928" i="1"/>
  <c r="E2928" i="1"/>
  <c r="B2928" i="1"/>
  <c r="O2927" i="1"/>
  <c r="E2927" i="1"/>
  <c r="B2927" i="1"/>
  <c r="O2926" i="1"/>
  <c r="E2926" i="1"/>
  <c r="B2926" i="1"/>
  <c r="O2925" i="1"/>
  <c r="E2925" i="1"/>
  <c r="B2925" i="1"/>
  <c r="O2924" i="1"/>
  <c r="E2924" i="1"/>
  <c r="B2924" i="1"/>
  <c r="O2923" i="1"/>
  <c r="E2923" i="1"/>
  <c r="B2923" i="1"/>
  <c r="O2922" i="1"/>
  <c r="E2922" i="1"/>
  <c r="B2922" i="1"/>
  <c r="O2921" i="1"/>
  <c r="E2921" i="1"/>
  <c r="B2921" i="1"/>
  <c r="O2920" i="1"/>
  <c r="E2920" i="1"/>
  <c r="B2920" i="1"/>
  <c r="O2919" i="1"/>
  <c r="E2919" i="1"/>
  <c r="B2919" i="1"/>
  <c r="O2918" i="1"/>
  <c r="E2918" i="1"/>
  <c r="B2918" i="1"/>
  <c r="O2917" i="1"/>
  <c r="E2917" i="1"/>
  <c r="B2917" i="1"/>
  <c r="O2916" i="1"/>
  <c r="E2916" i="1"/>
  <c r="B2916" i="1"/>
  <c r="O2915" i="1"/>
  <c r="E2915" i="1"/>
  <c r="B2915" i="1"/>
  <c r="O2914" i="1"/>
  <c r="E2914" i="1"/>
  <c r="B2914" i="1"/>
  <c r="O2913" i="1"/>
  <c r="E2913" i="1"/>
  <c r="B2913" i="1"/>
  <c r="O2912" i="1"/>
  <c r="E2912" i="1"/>
  <c r="B2912" i="1"/>
  <c r="O2911" i="1"/>
  <c r="E2911" i="1"/>
  <c r="B2911" i="1"/>
  <c r="O2910" i="1"/>
  <c r="E2910" i="1"/>
  <c r="B2910" i="1"/>
  <c r="O2909" i="1"/>
  <c r="E2909" i="1"/>
  <c r="B2909" i="1"/>
  <c r="O2908" i="1"/>
  <c r="E2908" i="1"/>
  <c r="B2908" i="1"/>
  <c r="O2907" i="1"/>
  <c r="E2907" i="1"/>
  <c r="B2907" i="1"/>
  <c r="O2906" i="1"/>
  <c r="E2906" i="1"/>
  <c r="B2906" i="1"/>
  <c r="O2905" i="1"/>
  <c r="E2905" i="1"/>
  <c r="B2905" i="1"/>
  <c r="O2904" i="1"/>
  <c r="E2904" i="1"/>
  <c r="B2904" i="1"/>
  <c r="O2903" i="1"/>
  <c r="E2903" i="1"/>
  <c r="B2903" i="1"/>
  <c r="O2902" i="1"/>
  <c r="E2902" i="1"/>
  <c r="B2902" i="1"/>
  <c r="O2901" i="1"/>
  <c r="E2901" i="1"/>
  <c r="B2901" i="1"/>
  <c r="O2900" i="1"/>
  <c r="E2900" i="1"/>
  <c r="B2900" i="1"/>
  <c r="O2899" i="1"/>
  <c r="E2899" i="1"/>
  <c r="B2899" i="1"/>
  <c r="O2898" i="1"/>
  <c r="E2898" i="1"/>
  <c r="B2898" i="1"/>
  <c r="O2897" i="1"/>
  <c r="E2897" i="1"/>
  <c r="B2897" i="1"/>
  <c r="O2896" i="1"/>
  <c r="E2896" i="1"/>
  <c r="B2896" i="1"/>
  <c r="O2895" i="1"/>
  <c r="E2895" i="1"/>
  <c r="B2895" i="1"/>
  <c r="O2894" i="1"/>
  <c r="E2894" i="1"/>
  <c r="B2894" i="1"/>
  <c r="O2893" i="1"/>
  <c r="E2893" i="1"/>
  <c r="B2893" i="1"/>
  <c r="O2892" i="1"/>
  <c r="E2892" i="1"/>
  <c r="B2892" i="1"/>
  <c r="O2891" i="1"/>
  <c r="E2891" i="1"/>
  <c r="B2891" i="1"/>
  <c r="O2890" i="1"/>
  <c r="E2890" i="1"/>
  <c r="B2890" i="1"/>
  <c r="O2889" i="1"/>
  <c r="E2889" i="1"/>
  <c r="B2889" i="1"/>
  <c r="O2888" i="1"/>
  <c r="E2888" i="1"/>
  <c r="B2888" i="1"/>
  <c r="O2887" i="1"/>
  <c r="E2887" i="1"/>
  <c r="B2887" i="1"/>
  <c r="O2886" i="1"/>
  <c r="E2886" i="1"/>
  <c r="B2886" i="1"/>
  <c r="O2885" i="1"/>
  <c r="E2885" i="1"/>
  <c r="B2885" i="1"/>
  <c r="O2884" i="1"/>
  <c r="E2884" i="1"/>
  <c r="B2884" i="1"/>
  <c r="O2883" i="1"/>
  <c r="E2883" i="1"/>
  <c r="B2883" i="1"/>
  <c r="O2882" i="1"/>
  <c r="E2882" i="1"/>
  <c r="B2882" i="1"/>
  <c r="O2881" i="1"/>
  <c r="E2881" i="1"/>
  <c r="B2881" i="1"/>
  <c r="O2880" i="1"/>
  <c r="E2880" i="1"/>
  <c r="B2880" i="1"/>
  <c r="O2879" i="1"/>
  <c r="E2879" i="1"/>
  <c r="B2879" i="1"/>
  <c r="O2878" i="1"/>
  <c r="E2878" i="1"/>
  <c r="B2878" i="1"/>
  <c r="O2877" i="1"/>
  <c r="E2877" i="1"/>
  <c r="B2877" i="1"/>
  <c r="O2876" i="1"/>
  <c r="E2876" i="1"/>
  <c r="B2876" i="1"/>
  <c r="O2875" i="1"/>
  <c r="E2875" i="1"/>
  <c r="B2875" i="1"/>
  <c r="O2874" i="1"/>
  <c r="E2874" i="1"/>
  <c r="B2874" i="1"/>
  <c r="O2873" i="1"/>
  <c r="E2873" i="1"/>
  <c r="B2873" i="1"/>
  <c r="O2872" i="1"/>
  <c r="E2872" i="1"/>
  <c r="B2872" i="1"/>
  <c r="O2871" i="1"/>
  <c r="E2871" i="1"/>
  <c r="B2871" i="1"/>
  <c r="O2870" i="1"/>
  <c r="E2870" i="1"/>
  <c r="B2870" i="1"/>
  <c r="O2869" i="1"/>
  <c r="E2869" i="1"/>
  <c r="B2869" i="1"/>
  <c r="O2868" i="1"/>
  <c r="E2868" i="1"/>
  <c r="B2868" i="1"/>
  <c r="O2867" i="1"/>
  <c r="E2867" i="1"/>
  <c r="B2867" i="1"/>
  <c r="O2866" i="1"/>
  <c r="E2866" i="1"/>
  <c r="B2866" i="1"/>
  <c r="O2865" i="1"/>
  <c r="E2865" i="1"/>
  <c r="B2865" i="1"/>
  <c r="O2864" i="1"/>
  <c r="E2864" i="1"/>
  <c r="B2864" i="1"/>
  <c r="O2863" i="1"/>
  <c r="E2863" i="1"/>
  <c r="B2863" i="1"/>
  <c r="O2862" i="1"/>
  <c r="E2862" i="1"/>
  <c r="B2862" i="1"/>
  <c r="O2861" i="1"/>
  <c r="E2861" i="1"/>
  <c r="B2861" i="1"/>
  <c r="O2860" i="1"/>
  <c r="E2860" i="1"/>
  <c r="B2860" i="1"/>
  <c r="O2859" i="1"/>
  <c r="E2859" i="1"/>
  <c r="B2859" i="1"/>
  <c r="O2858" i="1"/>
  <c r="E2858" i="1"/>
  <c r="B2858" i="1"/>
  <c r="O2857" i="1"/>
  <c r="E2857" i="1"/>
  <c r="B2857" i="1"/>
  <c r="O2856" i="1"/>
  <c r="E2856" i="1"/>
  <c r="B2856" i="1"/>
  <c r="O2855" i="1"/>
  <c r="E2855" i="1"/>
  <c r="B2855" i="1"/>
  <c r="O2854" i="1"/>
  <c r="E2854" i="1"/>
  <c r="B2854" i="1"/>
  <c r="O2853" i="1"/>
  <c r="E2853" i="1"/>
  <c r="B2853" i="1"/>
  <c r="O2852" i="1"/>
  <c r="E2852" i="1"/>
  <c r="B2852" i="1"/>
  <c r="O2851" i="1"/>
  <c r="E2851" i="1"/>
  <c r="B2851" i="1"/>
  <c r="O2850" i="1"/>
  <c r="E2850" i="1"/>
  <c r="B2850" i="1"/>
  <c r="O2849" i="1"/>
  <c r="E2849" i="1"/>
  <c r="B2849" i="1"/>
  <c r="O2848" i="1"/>
  <c r="E2848" i="1"/>
  <c r="B2848" i="1"/>
  <c r="O2847" i="1"/>
  <c r="E2847" i="1"/>
  <c r="B2847" i="1"/>
  <c r="O2846" i="1"/>
  <c r="E2846" i="1"/>
  <c r="B2846" i="1"/>
  <c r="O2845" i="1"/>
  <c r="E2845" i="1"/>
  <c r="B2845" i="1"/>
  <c r="O2844" i="1"/>
  <c r="E2844" i="1"/>
  <c r="B2844" i="1"/>
  <c r="O2843" i="1"/>
  <c r="E2843" i="1"/>
  <c r="B2843" i="1"/>
  <c r="O2842" i="1"/>
  <c r="E2842" i="1"/>
  <c r="B2842" i="1"/>
  <c r="O2841" i="1"/>
  <c r="E2841" i="1"/>
  <c r="B2841" i="1"/>
  <c r="O2840" i="1"/>
  <c r="E2840" i="1"/>
  <c r="B2840" i="1"/>
  <c r="O2839" i="1"/>
  <c r="E2839" i="1"/>
  <c r="B2839" i="1"/>
  <c r="O2838" i="1"/>
  <c r="E2838" i="1"/>
  <c r="B2838" i="1"/>
  <c r="O2837" i="1"/>
  <c r="E2837" i="1"/>
  <c r="B2837" i="1"/>
  <c r="O2836" i="1"/>
  <c r="E2836" i="1"/>
  <c r="B2836" i="1"/>
  <c r="O2835" i="1"/>
  <c r="E2835" i="1"/>
  <c r="B2835" i="1"/>
  <c r="O2834" i="1"/>
  <c r="E2834" i="1"/>
  <c r="B2834" i="1"/>
  <c r="O2833" i="1"/>
  <c r="E2833" i="1"/>
  <c r="B2833" i="1"/>
  <c r="O2832" i="1"/>
  <c r="E2832" i="1"/>
  <c r="B2832" i="1"/>
  <c r="O2831" i="1"/>
  <c r="E2831" i="1"/>
  <c r="B2831" i="1"/>
  <c r="O2830" i="1"/>
  <c r="E2830" i="1"/>
  <c r="B2830" i="1"/>
  <c r="O2829" i="1"/>
  <c r="E2829" i="1"/>
  <c r="B2829" i="1"/>
  <c r="O2828" i="1"/>
  <c r="E2828" i="1"/>
  <c r="B2828" i="1"/>
  <c r="O2827" i="1"/>
  <c r="E2827" i="1"/>
  <c r="B2827" i="1"/>
  <c r="O2826" i="1"/>
  <c r="E2826" i="1"/>
  <c r="B2826" i="1"/>
  <c r="O2825" i="1"/>
  <c r="E2825" i="1"/>
  <c r="B2825" i="1"/>
  <c r="O2824" i="1"/>
  <c r="E2824" i="1"/>
  <c r="B2824" i="1"/>
  <c r="O2823" i="1"/>
  <c r="E2823" i="1"/>
  <c r="B2823" i="1"/>
  <c r="O2822" i="1"/>
  <c r="E2822" i="1"/>
  <c r="B2822" i="1"/>
  <c r="O2821" i="1"/>
  <c r="E2821" i="1"/>
  <c r="B2821" i="1"/>
  <c r="O2820" i="1"/>
  <c r="E2820" i="1"/>
  <c r="B2820" i="1"/>
  <c r="O2819" i="1"/>
  <c r="E2819" i="1"/>
  <c r="B2819" i="1"/>
  <c r="O2818" i="1"/>
  <c r="E2818" i="1"/>
  <c r="B2818" i="1"/>
  <c r="O2817" i="1"/>
  <c r="E2817" i="1"/>
  <c r="B2817" i="1"/>
  <c r="O2816" i="1"/>
  <c r="E2816" i="1"/>
  <c r="B2816" i="1"/>
  <c r="O2815" i="1"/>
  <c r="E2815" i="1"/>
  <c r="B2815" i="1"/>
  <c r="O2814" i="1"/>
  <c r="E2814" i="1"/>
  <c r="B2814" i="1"/>
  <c r="O2813" i="1"/>
  <c r="E2813" i="1"/>
  <c r="B2813" i="1"/>
  <c r="O2812" i="1"/>
  <c r="E2812" i="1"/>
  <c r="B2812" i="1"/>
  <c r="O2811" i="1"/>
  <c r="E2811" i="1"/>
  <c r="B2811" i="1"/>
  <c r="O2810" i="1"/>
  <c r="E2810" i="1"/>
  <c r="B2810" i="1"/>
  <c r="O2809" i="1"/>
  <c r="E2809" i="1"/>
  <c r="B2809" i="1"/>
  <c r="O2808" i="1"/>
  <c r="E2808" i="1"/>
  <c r="B2808" i="1"/>
  <c r="O2807" i="1"/>
  <c r="E2807" i="1"/>
  <c r="B2807" i="1"/>
  <c r="O2806" i="1"/>
  <c r="E2806" i="1"/>
  <c r="B2806" i="1"/>
  <c r="O2805" i="1"/>
  <c r="E2805" i="1"/>
  <c r="B2805" i="1"/>
  <c r="O2804" i="1"/>
  <c r="E2804" i="1"/>
  <c r="B2804" i="1"/>
  <c r="O2803" i="1"/>
  <c r="E2803" i="1"/>
  <c r="B2803" i="1"/>
  <c r="O2802" i="1"/>
  <c r="E2802" i="1"/>
  <c r="B2802" i="1"/>
  <c r="O2801" i="1"/>
  <c r="E2801" i="1"/>
  <c r="B2801" i="1"/>
  <c r="O2800" i="1"/>
  <c r="E2800" i="1"/>
  <c r="B2800" i="1"/>
  <c r="O2799" i="1"/>
  <c r="E2799" i="1"/>
  <c r="B2799" i="1"/>
  <c r="O2798" i="1"/>
  <c r="E2798" i="1"/>
  <c r="B2798" i="1"/>
  <c r="O2797" i="1"/>
  <c r="E2797" i="1"/>
  <c r="B2797" i="1"/>
  <c r="O2796" i="1"/>
  <c r="E2796" i="1"/>
  <c r="B2796" i="1"/>
  <c r="O2795" i="1"/>
  <c r="E2795" i="1"/>
  <c r="B2795" i="1"/>
  <c r="O2794" i="1"/>
  <c r="E2794" i="1"/>
  <c r="B2794" i="1"/>
  <c r="O2793" i="1"/>
  <c r="E2793" i="1"/>
  <c r="B2793" i="1"/>
  <c r="O2792" i="1"/>
  <c r="E2792" i="1"/>
  <c r="B2792" i="1"/>
  <c r="O2791" i="1"/>
  <c r="E2791" i="1"/>
  <c r="B2791" i="1"/>
  <c r="O2790" i="1"/>
  <c r="E2790" i="1"/>
  <c r="B2790" i="1"/>
  <c r="O2789" i="1"/>
  <c r="E2789" i="1"/>
  <c r="B2789" i="1"/>
  <c r="O2788" i="1"/>
  <c r="E2788" i="1"/>
  <c r="B2788" i="1"/>
  <c r="O2787" i="1"/>
  <c r="E2787" i="1"/>
  <c r="B2787" i="1"/>
  <c r="O2786" i="1"/>
  <c r="E2786" i="1"/>
  <c r="B2786" i="1"/>
  <c r="O2785" i="1"/>
  <c r="E2785" i="1"/>
  <c r="B2785" i="1"/>
  <c r="O2784" i="1"/>
  <c r="E2784" i="1"/>
  <c r="B2784" i="1"/>
  <c r="O2783" i="1"/>
  <c r="E2783" i="1"/>
  <c r="B2783" i="1"/>
  <c r="O2782" i="1"/>
  <c r="E2782" i="1"/>
  <c r="B2782" i="1"/>
  <c r="O2781" i="1"/>
  <c r="E2781" i="1"/>
  <c r="B2781" i="1"/>
  <c r="O2780" i="1"/>
  <c r="E2780" i="1"/>
  <c r="B2780" i="1"/>
  <c r="O2779" i="1"/>
  <c r="E2779" i="1"/>
  <c r="B2779" i="1"/>
  <c r="O2778" i="1"/>
  <c r="E2778" i="1"/>
  <c r="B2778" i="1"/>
  <c r="O2777" i="1"/>
  <c r="E2777" i="1"/>
  <c r="B2777" i="1"/>
  <c r="O2776" i="1"/>
  <c r="E2776" i="1"/>
  <c r="B2776" i="1"/>
  <c r="O2775" i="1"/>
  <c r="E2775" i="1"/>
  <c r="B2775" i="1"/>
  <c r="O2774" i="1"/>
  <c r="E2774" i="1"/>
  <c r="B2774" i="1"/>
  <c r="O2773" i="1"/>
  <c r="E2773" i="1"/>
  <c r="B2773" i="1"/>
  <c r="O2772" i="1"/>
  <c r="E2772" i="1"/>
  <c r="B2772" i="1"/>
  <c r="O2771" i="1"/>
  <c r="E2771" i="1"/>
  <c r="B2771" i="1"/>
  <c r="O2770" i="1"/>
  <c r="E2770" i="1"/>
  <c r="B2770" i="1"/>
  <c r="O2769" i="1"/>
  <c r="E2769" i="1"/>
  <c r="B2769" i="1"/>
  <c r="P2768" i="1"/>
  <c r="O2768" i="1"/>
  <c r="E2768" i="1"/>
  <c r="B2768" i="1"/>
  <c r="O2767" i="1"/>
  <c r="E2767" i="1"/>
  <c r="B2767" i="1"/>
  <c r="O2766" i="1"/>
  <c r="E2766" i="1"/>
  <c r="B2766" i="1"/>
  <c r="O2765" i="1"/>
  <c r="E2765" i="1"/>
  <c r="B2765" i="1"/>
  <c r="O2764" i="1"/>
  <c r="E2764" i="1"/>
  <c r="B2764" i="1"/>
  <c r="O2763" i="1"/>
  <c r="E2763" i="1"/>
  <c r="B2763" i="1"/>
  <c r="O2762" i="1"/>
  <c r="E2762" i="1"/>
  <c r="B2762" i="1"/>
  <c r="O2761" i="1"/>
  <c r="E2761" i="1"/>
  <c r="B2761" i="1"/>
  <c r="O2760" i="1"/>
  <c r="E2760" i="1"/>
  <c r="B2760" i="1"/>
  <c r="O2759" i="1"/>
  <c r="E2759" i="1"/>
  <c r="B2759" i="1"/>
  <c r="O2758" i="1"/>
  <c r="E2758" i="1"/>
  <c r="B2758" i="1"/>
  <c r="O2757" i="1"/>
  <c r="E2757" i="1"/>
  <c r="B2757" i="1"/>
  <c r="O2756" i="1"/>
  <c r="E2756" i="1"/>
  <c r="B2756" i="1"/>
  <c r="O2755" i="1"/>
  <c r="E2755" i="1"/>
  <c r="B2755" i="1"/>
  <c r="O2754" i="1"/>
  <c r="E2754" i="1"/>
  <c r="B2754" i="1"/>
  <c r="O2753" i="1"/>
  <c r="E2753" i="1"/>
  <c r="B2753" i="1"/>
  <c r="O2752" i="1"/>
  <c r="E2752" i="1"/>
  <c r="B2752" i="1"/>
  <c r="O2751" i="1"/>
  <c r="E2751" i="1"/>
  <c r="B2751" i="1"/>
  <c r="O2750" i="1"/>
  <c r="E2750" i="1"/>
  <c r="B2750" i="1"/>
  <c r="O2749" i="1"/>
  <c r="E2749" i="1"/>
  <c r="B2749" i="1"/>
  <c r="O2748" i="1"/>
  <c r="E2748" i="1"/>
  <c r="B2748" i="1"/>
  <c r="O2747" i="1"/>
  <c r="E2747" i="1"/>
  <c r="B2747" i="1"/>
  <c r="O2746" i="1"/>
  <c r="E2746" i="1"/>
  <c r="B2746" i="1"/>
  <c r="O2745" i="1"/>
  <c r="E2745" i="1"/>
  <c r="B2745" i="1"/>
  <c r="O2744" i="1"/>
  <c r="E2744" i="1"/>
  <c r="B2744" i="1"/>
  <c r="O2743" i="1"/>
  <c r="E2743" i="1"/>
  <c r="B2743" i="1"/>
  <c r="P2742" i="1"/>
  <c r="O2742" i="1"/>
  <c r="E2742" i="1"/>
  <c r="B2742" i="1"/>
  <c r="O2741" i="1"/>
  <c r="E2741" i="1"/>
  <c r="B2741" i="1"/>
  <c r="O2740" i="1"/>
  <c r="E2740" i="1"/>
  <c r="B2740" i="1"/>
  <c r="O2739" i="1"/>
  <c r="E2739" i="1"/>
  <c r="B2739" i="1"/>
  <c r="O2738" i="1"/>
  <c r="E2738" i="1"/>
  <c r="B2738" i="1"/>
  <c r="O2737" i="1"/>
  <c r="E2737" i="1"/>
  <c r="B2737" i="1"/>
  <c r="O2736" i="1"/>
  <c r="E2736" i="1"/>
  <c r="B2736" i="1"/>
  <c r="O2735" i="1"/>
  <c r="E2735" i="1"/>
  <c r="B2735" i="1"/>
  <c r="O2734" i="1"/>
  <c r="E2734" i="1"/>
  <c r="B2734" i="1"/>
  <c r="O2733" i="1"/>
  <c r="E2733" i="1"/>
  <c r="B2733" i="1"/>
  <c r="O2732" i="1"/>
  <c r="E2732" i="1"/>
  <c r="B2732" i="1"/>
  <c r="O2731" i="1"/>
  <c r="E2731" i="1"/>
  <c r="B2731" i="1"/>
  <c r="P2730" i="1"/>
  <c r="O2730" i="1"/>
  <c r="E2730" i="1"/>
  <c r="B2730" i="1"/>
  <c r="O2729" i="1"/>
  <c r="E2729" i="1"/>
  <c r="B2729" i="1"/>
  <c r="O2728" i="1"/>
  <c r="E2728" i="1"/>
  <c r="B2728" i="1"/>
  <c r="O2727" i="1"/>
  <c r="E2727" i="1"/>
  <c r="B2727" i="1"/>
  <c r="O2726" i="1"/>
  <c r="E2726" i="1"/>
  <c r="B2726" i="1"/>
  <c r="O2725" i="1"/>
  <c r="E2725" i="1"/>
  <c r="B2725" i="1"/>
  <c r="O2724" i="1"/>
  <c r="E2724" i="1"/>
  <c r="B2724" i="1"/>
  <c r="O2723" i="1"/>
  <c r="E2723" i="1"/>
  <c r="B2723" i="1"/>
  <c r="O2722" i="1"/>
  <c r="E2722" i="1"/>
  <c r="B2722" i="1"/>
  <c r="O2721" i="1"/>
  <c r="E2721" i="1"/>
  <c r="B2721" i="1"/>
  <c r="O2720" i="1"/>
  <c r="E2720" i="1"/>
  <c r="B2720" i="1"/>
  <c r="O2719" i="1"/>
  <c r="E2719" i="1"/>
  <c r="B2719" i="1"/>
  <c r="O2718" i="1"/>
  <c r="E2718" i="1"/>
  <c r="B2718" i="1"/>
  <c r="O2717" i="1"/>
  <c r="E2717" i="1"/>
  <c r="B2717" i="1"/>
  <c r="O2716" i="1"/>
  <c r="E2716" i="1"/>
  <c r="B2716" i="1"/>
  <c r="O2715" i="1"/>
  <c r="E2715" i="1"/>
  <c r="B2715" i="1"/>
  <c r="O2714" i="1"/>
  <c r="E2714" i="1"/>
  <c r="B2714" i="1"/>
  <c r="O2713" i="1"/>
  <c r="E2713" i="1"/>
  <c r="B2713" i="1"/>
  <c r="O2712" i="1"/>
  <c r="E2712" i="1"/>
  <c r="B2712" i="1"/>
  <c r="O2711" i="1"/>
  <c r="E2711" i="1"/>
  <c r="B2711" i="1"/>
  <c r="O2710" i="1"/>
  <c r="E2710" i="1"/>
  <c r="B2710" i="1"/>
  <c r="O2709" i="1"/>
  <c r="E2709" i="1"/>
  <c r="B2709" i="1"/>
  <c r="O2708" i="1"/>
  <c r="E2708" i="1"/>
  <c r="B2708" i="1"/>
  <c r="O2707" i="1"/>
  <c r="E2707" i="1"/>
  <c r="B2707" i="1"/>
  <c r="O2706" i="1"/>
  <c r="E2706" i="1"/>
  <c r="B2706" i="1"/>
  <c r="O2705" i="1"/>
  <c r="E2705" i="1"/>
  <c r="B2705" i="1"/>
  <c r="O2704" i="1"/>
  <c r="E2704" i="1"/>
  <c r="B2704" i="1"/>
  <c r="O2703" i="1"/>
  <c r="E2703" i="1"/>
  <c r="B2703" i="1"/>
  <c r="O2702" i="1"/>
  <c r="E2702" i="1"/>
  <c r="B2702" i="1"/>
  <c r="O2701" i="1"/>
  <c r="E2701" i="1"/>
  <c r="B2701" i="1"/>
  <c r="O2700" i="1"/>
  <c r="E2700" i="1"/>
  <c r="B2700" i="1"/>
  <c r="O2699" i="1"/>
  <c r="E2699" i="1"/>
  <c r="B2699" i="1"/>
  <c r="O2698" i="1"/>
  <c r="E2698" i="1"/>
  <c r="B2698" i="1"/>
  <c r="O2697" i="1"/>
  <c r="E2697" i="1"/>
  <c r="B2697" i="1"/>
  <c r="O2696" i="1"/>
  <c r="E2696" i="1"/>
  <c r="B2696" i="1"/>
  <c r="O2695" i="1"/>
  <c r="E2695" i="1"/>
  <c r="B2695" i="1"/>
  <c r="O2694" i="1"/>
  <c r="E2694" i="1"/>
  <c r="B2694" i="1"/>
  <c r="O2693" i="1"/>
  <c r="E2693" i="1"/>
  <c r="B2693" i="1"/>
  <c r="O2692" i="1"/>
  <c r="E2692" i="1"/>
  <c r="B2692" i="1"/>
  <c r="O2691" i="1"/>
  <c r="E2691" i="1"/>
  <c r="B2691" i="1"/>
  <c r="O2690" i="1"/>
  <c r="E2690" i="1"/>
  <c r="B2690" i="1"/>
  <c r="O2689" i="1"/>
  <c r="E2689" i="1"/>
  <c r="B2689" i="1"/>
  <c r="O2688" i="1"/>
  <c r="E2688" i="1"/>
  <c r="B2688" i="1"/>
  <c r="O2687" i="1"/>
  <c r="E2687" i="1"/>
  <c r="B2687" i="1"/>
  <c r="O2686" i="1"/>
  <c r="E2686" i="1"/>
  <c r="B2686" i="1"/>
  <c r="O2685" i="1"/>
  <c r="E2685" i="1"/>
  <c r="B2685" i="1"/>
  <c r="O2684" i="1"/>
  <c r="E2684" i="1"/>
  <c r="B2684" i="1"/>
  <c r="O2683" i="1"/>
  <c r="E2683" i="1"/>
  <c r="B2683" i="1"/>
  <c r="O2682" i="1"/>
  <c r="E2682" i="1"/>
  <c r="B2682" i="1"/>
  <c r="O2681" i="1"/>
  <c r="E2681" i="1"/>
  <c r="B2681" i="1"/>
  <c r="O2680" i="1"/>
  <c r="E2680" i="1"/>
  <c r="B2680" i="1"/>
  <c r="O2679" i="1"/>
  <c r="E2679" i="1"/>
  <c r="B2679" i="1"/>
  <c r="O2678" i="1"/>
  <c r="E2678" i="1"/>
  <c r="B2678" i="1"/>
  <c r="O2677" i="1"/>
  <c r="E2677" i="1"/>
  <c r="B2677" i="1"/>
  <c r="O2676" i="1"/>
  <c r="E2676" i="1"/>
  <c r="B2676" i="1"/>
  <c r="O2675" i="1"/>
  <c r="E2675" i="1"/>
  <c r="B2675" i="1"/>
  <c r="O2674" i="1"/>
  <c r="E2674" i="1"/>
  <c r="B2674" i="1"/>
  <c r="O2673" i="1"/>
  <c r="E2673" i="1"/>
  <c r="B2673" i="1"/>
  <c r="O2672" i="1"/>
  <c r="E2672" i="1"/>
  <c r="B2672" i="1"/>
  <c r="O2671" i="1"/>
  <c r="E2671" i="1"/>
  <c r="B2671" i="1"/>
  <c r="O2670" i="1"/>
  <c r="E2670" i="1"/>
  <c r="B2670" i="1"/>
  <c r="O2669" i="1"/>
  <c r="E2669" i="1"/>
  <c r="B2669" i="1"/>
  <c r="O2668" i="1"/>
  <c r="E2668" i="1"/>
  <c r="B2668" i="1"/>
  <c r="O2667" i="1"/>
  <c r="E2667" i="1"/>
  <c r="B2667" i="1"/>
  <c r="O2666" i="1"/>
  <c r="E2666" i="1"/>
  <c r="B2666" i="1"/>
  <c r="O2665" i="1"/>
  <c r="E2665" i="1"/>
  <c r="B2665" i="1"/>
  <c r="O2664" i="1"/>
  <c r="E2664" i="1"/>
  <c r="B2664" i="1"/>
  <c r="O2663" i="1"/>
  <c r="E2663" i="1"/>
  <c r="B2663" i="1"/>
  <c r="O2662" i="1"/>
  <c r="E2662" i="1"/>
  <c r="B2662" i="1"/>
  <c r="O2661" i="1"/>
  <c r="E2661" i="1"/>
  <c r="B2661" i="1"/>
  <c r="O2660" i="1"/>
  <c r="E2660" i="1"/>
  <c r="B2660" i="1"/>
  <c r="O2659" i="1"/>
  <c r="E2659" i="1"/>
  <c r="B2659" i="1"/>
  <c r="O2658" i="1"/>
  <c r="E2658" i="1"/>
  <c r="B2658" i="1"/>
  <c r="O2657" i="1"/>
  <c r="E2657" i="1"/>
  <c r="B2657" i="1"/>
  <c r="O2656" i="1"/>
  <c r="E2656" i="1"/>
  <c r="B2656" i="1"/>
  <c r="O2655" i="1"/>
  <c r="E2655" i="1"/>
  <c r="B2655" i="1"/>
  <c r="O2654" i="1"/>
  <c r="E2654" i="1"/>
  <c r="B2654" i="1"/>
  <c r="P2653" i="1"/>
  <c r="O2653" i="1"/>
  <c r="E2653" i="1"/>
  <c r="B2653" i="1"/>
  <c r="O2652" i="1"/>
  <c r="E2652" i="1"/>
  <c r="B2652" i="1"/>
  <c r="O2651" i="1"/>
  <c r="E2651" i="1"/>
  <c r="B2651" i="1"/>
  <c r="O2650" i="1"/>
  <c r="E2650" i="1"/>
  <c r="B2650" i="1"/>
  <c r="O2649" i="1"/>
  <c r="E2649" i="1"/>
  <c r="B2649" i="1"/>
  <c r="O2648" i="1"/>
  <c r="E2648" i="1"/>
  <c r="B2648" i="1"/>
  <c r="O2647" i="1"/>
  <c r="E2647" i="1"/>
  <c r="B2647" i="1"/>
  <c r="O2646" i="1"/>
  <c r="E2646" i="1"/>
  <c r="B2646" i="1"/>
  <c r="O2645" i="1"/>
  <c r="E2645" i="1"/>
  <c r="B2645" i="1"/>
  <c r="O2644" i="1"/>
  <c r="E2644" i="1"/>
  <c r="B2644" i="1"/>
  <c r="O2643" i="1"/>
  <c r="E2643" i="1"/>
  <c r="B2643" i="1"/>
  <c r="O2642" i="1"/>
  <c r="E2642" i="1"/>
  <c r="B2642" i="1"/>
  <c r="O2641" i="1"/>
  <c r="E2641" i="1"/>
  <c r="B2641" i="1"/>
  <c r="O2640" i="1"/>
  <c r="E2640" i="1"/>
  <c r="B2640" i="1"/>
  <c r="O2639" i="1"/>
  <c r="E2639" i="1"/>
  <c r="B2639" i="1"/>
  <c r="O2638" i="1"/>
  <c r="E2638" i="1"/>
  <c r="B2638" i="1"/>
  <c r="O2637" i="1"/>
  <c r="E2637" i="1"/>
  <c r="B2637" i="1"/>
  <c r="O2636" i="1"/>
  <c r="E2636" i="1"/>
  <c r="B2636" i="1"/>
  <c r="O2635" i="1"/>
  <c r="E2635" i="1"/>
  <c r="B2635" i="1"/>
  <c r="O2634" i="1"/>
  <c r="E2634" i="1"/>
  <c r="B2634" i="1"/>
  <c r="O2633" i="1"/>
  <c r="E2633" i="1"/>
  <c r="B2633" i="1"/>
  <c r="O2632" i="1"/>
  <c r="E2632" i="1"/>
  <c r="B2632" i="1"/>
  <c r="O2631" i="1"/>
  <c r="E2631" i="1"/>
  <c r="B2631" i="1"/>
  <c r="O2630" i="1"/>
  <c r="E2630" i="1"/>
  <c r="B2630" i="1"/>
  <c r="O2629" i="1"/>
  <c r="E2629" i="1"/>
  <c r="B2629" i="1"/>
  <c r="O2628" i="1"/>
  <c r="E2628" i="1"/>
  <c r="B2628" i="1"/>
  <c r="O2627" i="1"/>
  <c r="E2627" i="1"/>
  <c r="B2627" i="1"/>
  <c r="O2626" i="1"/>
  <c r="E2626" i="1"/>
  <c r="B2626" i="1"/>
  <c r="O2625" i="1"/>
  <c r="E2625" i="1"/>
  <c r="B2625" i="1"/>
  <c r="O2624" i="1"/>
  <c r="E2624" i="1"/>
  <c r="B2624" i="1"/>
  <c r="O2623" i="1"/>
  <c r="E2623" i="1"/>
  <c r="B2623" i="1"/>
  <c r="O2622" i="1"/>
  <c r="E2622" i="1"/>
  <c r="B2622" i="1"/>
  <c r="O2621" i="1"/>
  <c r="E2621" i="1"/>
  <c r="B2621" i="1"/>
  <c r="O2620" i="1"/>
  <c r="E2620" i="1"/>
  <c r="B2620" i="1"/>
  <c r="O2619" i="1"/>
  <c r="E2619" i="1"/>
  <c r="B2619" i="1"/>
  <c r="O2618" i="1"/>
  <c r="E2618" i="1"/>
  <c r="B2618" i="1"/>
  <c r="O2617" i="1"/>
  <c r="E2617" i="1"/>
  <c r="B2617" i="1"/>
  <c r="O2616" i="1"/>
  <c r="E2616" i="1"/>
  <c r="B2616" i="1"/>
  <c r="O2615" i="1"/>
  <c r="E2615" i="1"/>
  <c r="B2615" i="1"/>
  <c r="O2614" i="1"/>
  <c r="E2614" i="1"/>
  <c r="B2614" i="1"/>
  <c r="O2613" i="1"/>
  <c r="E2613" i="1"/>
  <c r="B2613" i="1"/>
  <c r="O2612" i="1"/>
  <c r="E2612" i="1"/>
  <c r="B2612" i="1"/>
  <c r="O2611" i="1"/>
  <c r="E2611" i="1"/>
  <c r="B2611" i="1"/>
  <c r="O2610" i="1"/>
  <c r="E2610" i="1"/>
  <c r="B2610" i="1"/>
  <c r="O2609" i="1"/>
  <c r="E2609" i="1"/>
  <c r="B2609" i="1"/>
  <c r="O2608" i="1"/>
  <c r="E2608" i="1"/>
  <c r="B2608" i="1"/>
  <c r="O2607" i="1"/>
  <c r="E2607" i="1"/>
  <c r="B2607" i="1"/>
  <c r="O2606" i="1"/>
  <c r="E2606" i="1"/>
  <c r="B2606" i="1"/>
  <c r="O2605" i="1"/>
  <c r="E2605" i="1"/>
  <c r="B2605" i="1"/>
  <c r="O2604" i="1"/>
  <c r="E2604" i="1"/>
  <c r="B2604" i="1"/>
  <c r="O2603" i="1"/>
  <c r="E2603" i="1"/>
  <c r="B2603" i="1"/>
  <c r="O2602" i="1"/>
  <c r="E2602" i="1"/>
  <c r="B2602" i="1"/>
  <c r="O2601" i="1"/>
  <c r="E2601" i="1"/>
  <c r="B2601" i="1"/>
  <c r="O2600" i="1"/>
  <c r="E2600" i="1"/>
  <c r="B2600" i="1"/>
  <c r="O2599" i="1"/>
  <c r="E2599" i="1"/>
  <c r="B2599" i="1"/>
  <c r="O2598" i="1"/>
  <c r="E2598" i="1"/>
  <c r="B2598" i="1"/>
  <c r="O2597" i="1"/>
  <c r="E2597" i="1"/>
  <c r="B2597" i="1"/>
  <c r="O2596" i="1"/>
  <c r="E2596" i="1"/>
  <c r="B2596" i="1"/>
  <c r="O2595" i="1"/>
  <c r="E2595" i="1"/>
  <c r="B2595" i="1"/>
  <c r="O2594" i="1"/>
  <c r="E2594" i="1"/>
  <c r="B2594" i="1"/>
  <c r="O2593" i="1"/>
  <c r="E2593" i="1"/>
  <c r="B2593" i="1"/>
  <c r="O2592" i="1"/>
  <c r="E2592" i="1"/>
  <c r="B2592" i="1"/>
  <c r="O2591" i="1"/>
  <c r="E2591" i="1"/>
  <c r="B2591" i="1"/>
  <c r="O2590" i="1"/>
  <c r="E2590" i="1"/>
  <c r="B2590" i="1"/>
  <c r="O2589" i="1"/>
  <c r="E2589" i="1"/>
  <c r="B2589" i="1"/>
  <c r="O2588" i="1"/>
  <c r="E2588" i="1"/>
  <c r="B2588" i="1"/>
  <c r="O2587" i="1"/>
  <c r="E2587" i="1"/>
  <c r="B2587" i="1"/>
  <c r="O2586" i="1"/>
  <c r="E2586" i="1"/>
  <c r="B2586" i="1"/>
  <c r="O2585" i="1"/>
  <c r="E2585" i="1"/>
  <c r="B2585" i="1"/>
  <c r="O2584" i="1"/>
  <c r="E2584" i="1"/>
  <c r="B2584" i="1"/>
  <c r="O2583" i="1"/>
  <c r="E2583" i="1"/>
  <c r="B2583" i="1"/>
  <c r="O2582" i="1"/>
  <c r="E2582" i="1"/>
  <c r="B2582" i="1"/>
  <c r="O2581" i="1"/>
  <c r="E2581" i="1"/>
  <c r="B2581" i="1"/>
  <c r="O2580" i="1"/>
  <c r="E2580" i="1"/>
  <c r="B2580" i="1"/>
  <c r="O2579" i="1"/>
  <c r="E2579" i="1"/>
  <c r="B2579" i="1"/>
  <c r="O2578" i="1"/>
  <c r="E2578" i="1"/>
  <c r="B2578" i="1"/>
  <c r="O2577" i="1"/>
  <c r="E2577" i="1"/>
  <c r="B2577" i="1"/>
  <c r="O2576" i="1"/>
  <c r="E2576" i="1"/>
  <c r="B2576" i="1"/>
  <c r="O2575" i="1"/>
  <c r="E2575" i="1"/>
  <c r="B2575" i="1"/>
  <c r="O2574" i="1"/>
  <c r="E2574" i="1"/>
  <c r="B2574" i="1"/>
  <c r="O2573" i="1"/>
  <c r="E2573" i="1"/>
  <c r="B2573" i="1"/>
  <c r="O2572" i="1"/>
  <c r="E2572" i="1"/>
  <c r="B2572" i="1"/>
  <c r="O2571" i="1"/>
  <c r="E2571" i="1"/>
  <c r="B2571" i="1"/>
  <c r="O2570" i="1"/>
  <c r="E2570" i="1"/>
  <c r="B2570" i="1"/>
  <c r="O2569" i="1"/>
  <c r="E2569" i="1"/>
  <c r="B2569" i="1"/>
  <c r="O2568" i="1"/>
  <c r="E2568" i="1"/>
  <c r="B2568" i="1"/>
  <c r="O2567" i="1"/>
  <c r="E2567" i="1"/>
  <c r="B2567" i="1"/>
  <c r="O2566" i="1"/>
  <c r="E2566" i="1"/>
  <c r="B2566" i="1"/>
  <c r="O2565" i="1"/>
  <c r="E2565" i="1"/>
  <c r="B2565" i="1"/>
  <c r="O2564" i="1"/>
  <c r="E2564" i="1"/>
  <c r="B2564" i="1"/>
  <c r="O2563" i="1"/>
  <c r="E2563" i="1"/>
  <c r="B2563" i="1"/>
  <c r="O2562" i="1"/>
  <c r="E2562" i="1"/>
  <c r="B2562" i="1"/>
  <c r="O2561" i="1"/>
  <c r="E2561" i="1"/>
  <c r="B2561" i="1"/>
  <c r="O2560" i="1"/>
  <c r="E2560" i="1"/>
  <c r="B2560" i="1"/>
  <c r="O2559" i="1"/>
  <c r="E2559" i="1"/>
  <c r="B2559" i="1"/>
  <c r="O2558" i="1"/>
  <c r="E2558" i="1"/>
  <c r="B2558" i="1"/>
  <c r="O2557" i="1"/>
  <c r="E2557" i="1"/>
  <c r="B2557" i="1"/>
  <c r="O2556" i="1"/>
  <c r="E2556" i="1"/>
  <c r="B2556" i="1"/>
  <c r="O2555" i="1"/>
  <c r="E2555" i="1"/>
  <c r="B2555" i="1"/>
  <c r="O2554" i="1"/>
  <c r="E2554" i="1"/>
  <c r="B2554" i="1"/>
  <c r="O2553" i="1"/>
  <c r="E2553" i="1"/>
  <c r="B2553" i="1"/>
  <c r="O2552" i="1"/>
  <c r="E2552" i="1"/>
  <c r="B2552" i="1"/>
  <c r="O2551" i="1"/>
  <c r="E2551" i="1"/>
  <c r="B2551" i="1"/>
  <c r="O2550" i="1"/>
  <c r="E2550" i="1"/>
  <c r="B2550" i="1"/>
  <c r="O2549" i="1"/>
  <c r="E2549" i="1"/>
  <c r="B2549" i="1"/>
  <c r="O2548" i="1"/>
  <c r="E2548" i="1"/>
  <c r="B2548" i="1"/>
  <c r="O2547" i="1"/>
  <c r="E2547" i="1"/>
  <c r="B2547" i="1"/>
  <c r="O2546" i="1"/>
  <c r="E2546" i="1"/>
  <c r="B2546" i="1"/>
  <c r="O2545" i="1"/>
  <c r="E2545" i="1"/>
  <c r="B2545" i="1"/>
  <c r="O2544" i="1"/>
  <c r="E2544" i="1"/>
  <c r="B2544" i="1"/>
  <c r="O2543" i="1"/>
  <c r="E2543" i="1"/>
  <c r="B2543" i="1"/>
  <c r="O2542" i="1"/>
  <c r="E2542" i="1"/>
  <c r="B2542" i="1"/>
  <c r="O2541" i="1"/>
  <c r="E2541" i="1"/>
  <c r="B2541" i="1"/>
  <c r="O2540" i="1"/>
  <c r="E2540" i="1"/>
  <c r="B2540" i="1"/>
  <c r="O2539" i="1"/>
  <c r="E2539" i="1"/>
  <c r="B2539" i="1"/>
  <c r="O2538" i="1"/>
  <c r="E2538" i="1"/>
  <c r="B2538" i="1"/>
  <c r="O2537" i="1"/>
  <c r="E2537" i="1"/>
  <c r="B2537" i="1"/>
  <c r="O2536" i="1"/>
  <c r="E2536" i="1"/>
  <c r="B2536" i="1"/>
  <c r="O2535" i="1"/>
  <c r="E2535" i="1"/>
  <c r="B2535" i="1"/>
  <c r="O2534" i="1"/>
  <c r="E2534" i="1"/>
  <c r="B2534" i="1"/>
  <c r="O2533" i="1"/>
  <c r="E2533" i="1"/>
  <c r="B2533" i="1"/>
  <c r="O2532" i="1"/>
  <c r="E2532" i="1"/>
  <c r="B2532" i="1"/>
  <c r="O2531" i="1"/>
  <c r="E2531" i="1"/>
  <c r="B2531" i="1"/>
  <c r="O2530" i="1"/>
  <c r="E2530" i="1"/>
  <c r="B2530" i="1"/>
  <c r="O2529" i="1"/>
  <c r="E2529" i="1"/>
  <c r="B2529" i="1"/>
  <c r="O2528" i="1"/>
  <c r="E2528" i="1"/>
  <c r="B2528" i="1"/>
  <c r="O2527" i="1"/>
  <c r="E2527" i="1"/>
  <c r="B2527" i="1"/>
  <c r="O2526" i="1"/>
  <c r="E2526" i="1"/>
  <c r="B2526" i="1"/>
  <c r="O2525" i="1"/>
  <c r="E2525" i="1"/>
  <c r="B2525" i="1"/>
  <c r="O2524" i="1"/>
  <c r="E2524" i="1"/>
  <c r="B2524" i="1"/>
  <c r="O2523" i="1"/>
  <c r="E2523" i="1"/>
  <c r="B2523" i="1"/>
  <c r="O2522" i="1"/>
  <c r="E2522" i="1"/>
  <c r="B2522" i="1"/>
  <c r="O2521" i="1"/>
  <c r="E2521" i="1"/>
  <c r="B2521" i="1"/>
  <c r="O2520" i="1"/>
  <c r="E2520" i="1"/>
  <c r="B2520" i="1"/>
  <c r="O2519" i="1"/>
  <c r="E2519" i="1"/>
  <c r="B2519" i="1"/>
  <c r="O2518" i="1"/>
  <c r="E2518" i="1"/>
  <c r="B2518" i="1"/>
  <c r="O2517" i="1"/>
  <c r="E2517" i="1"/>
  <c r="B2517" i="1"/>
  <c r="O2516" i="1"/>
  <c r="E2516" i="1"/>
  <c r="B2516" i="1"/>
  <c r="O2515" i="1"/>
  <c r="E2515" i="1"/>
  <c r="B2515" i="1"/>
  <c r="O2514" i="1"/>
  <c r="E2514" i="1"/>
  <c r="B2514" i="1"/>
  <c r="O2513" i="1"/>
  <c r="E2513" i="1"/>
  <c r="B2513" i="1"/>
  <c r="O2512" i="1"/>
  <c r="E2512" i="1"/>
  <c r="B2512" i="1"/>
  <c r="O2511" i="1"/>
  <c r="E2511" i="1"/>
  <c r="B2511" i="1"/>
  <c r="P2510" i="1"/>
  <c r="O2510" i="1"/>
  <c r="E2510" i="1"/>
  <c r="B2510" i="1"/>
  <c r="O2509" i="1"/>
  <c r="E2509" i="1"/>
  <c r="B2509" i="1"/>
  <c r="O2508" i="1"/>
  <c r="E2508" i="1"/>
  <c r="B2508" i="1"/>
  <c r="O2507" i="1"/>
  <c r="E2507" i="1"/>
  <c r="B2507" i="1"/>
  <c r="O2506" i="1"/>
  <c r="E2506" i="1"/>
  <c r="B2506" i="1"/>
  <c r="O2505" i="1"/>
  <c r="E2505" i="1"/>
  <c r="B2505" i="1"/>
  <c r="O2504" i="1"/>
  <c r="E2504" i="1"/>
  <c r="B2504" i="1"/>
  <c r="O2503" i="1"/>
  <c r="E2503" i="1"/>
  <c r="B2503" i="1"/>
  <c r="O2502" i="1"/>
  <c r="E2502" i="1"/>
  <c r="B2502" i="1"/>
  <c r="O2501" i="1"/>
  <c r="E2501" i="1"/>
  <c r="B2501" i="1"/>
  <c r="O2500" i="1"/>
  <c r="E2500" i="1"/>
  <c r="B2500" i="1"/>
  <c r="O2499" i="1"/>
  <c r="E2499" i="1"/>
  <c r="B2499" i="1"/>
  <c r="O2498" i="1"/>
  <c r="E2498" i="1"/>
  <c r="B2498" i="1"/>
  <c r="O2497" i="1"/>
  <c r="E2497" i="1"/>
  <c r="B2497" i="1"/>
  <c r="O2496" i="1"/>
  <c r="E2496" i="1"/>
  <c r="B2496" i="1"/>
  <c r="O2495" i="1"/>
  <c r="E2495" i="1"/>
  <c r="B2495" i="1"/>
  <c r="O2494" i="1"/>
  <c r="E2494" i="1"/>
  <c r="B2494" i="1"/>
  <c r="O2493" i="1"/>
  <c r="E2493" i="1"/>
  <c r="B2493" i="1"/>
  <c r="O2492" i="1"/>
  <c r="E2492" i="1"/>
  <c r="B2492" i="1"/>
  <c r="O2491" i="1"/>
  <c r="E2491" i="1"/>
  <c r="B2491" i="1"/>
  <c r="O2490" i="1"/>
  <c r="E2490" i="1"/>
  <c r="B2490" i="1"/>
  <c r="O2489" i="1"/>
  <c r="E2489" i="1"/>
  <c r="B2489" i="1"/>
  <c r="O2488" i="1"/>
  <c r="E2488" i="1"/>
  <c r="B2488" i="1"/>
  <c r="O2487" i="1"/>
  <c r="E2487" i="1"/>
  <c r="B2487" i="1"/>
  <c r="O2486" i="1"/>
  <c r="E2486" i="1"/>
  <c r="B2486" i="1"/>
  <c r="O2485" i="1"/>
  <c r="E2485" i="1"/>
  <c r="B2485" i="1"/>
  <c r="O2484" i="1"/>
  <c r="E2484" i="1"/>
  <c r="B2484" i="1"/>
  <c r="O2483" i="1"/>
  <c r="E2483" i="1"/>
  <c r="B2483" i="1"/>
  <c r="O2482" i="1"/>
  <c r="E2482" i="1"/>
  <c r="B2482" i="1"/>
  <c r="O2481" i="1"/>
  <c r="E2481" i="1"/>
  <c r="B2481" i="1"/>
  <c r="O2480" i="1"/>
  <c r="E2480" i="1"/>
  <c r="B2480" i="1"/>
  <c r="O2479" i="1"/>
  <c r="E2479" i="1"/>
  <c r="B2479" i="1"/>
  <c r="O2478" i="1"/>
  <c r="E2478" i="1"/>
  <c r="B2478" i="1"/>
  <c r="O2477" i="1"/>
  <c r="E2477" i="1"/>
  <c r="B2477" i="1"/>
  <c r="O2476" i="1"/>
  <c r="E2476" i="1"/>
  <c r="B2476" i="1"/>
  <c r="O2475" i="1"/>
  <c r="E2475" i="1"/>
  <c r="B2475" i="1"/>
  <c r="O2474" i="1"/>
  <c r="E2474" i="1"/>
  <c r="B2474" i="1"/>
  <c r="O2473" i="1"/>
  <c r="E2473" i="1"/>
  <c r="B2473" i="1"/>
  <c r="O2472" i="1"/>
  <c r="E2472" i="1"/>
  <c r="B2472" i="1"/>
  <c r="O2471" i="1"/>
  <c r="E2471" i="1"/>
  <c r="B2471" i="1"/>
  <c r="O2470" i="1"/>
  <c r="E2470" i="1"/>
  <c r="B2470" i="1"/>
  <c r="O2469" i="1"/>
  <c r="E2469" i="1"/>
  <c r="B2469" i="1"/>
  <c r="O2468" i="1"/>
  <c r="E2468" i="1"/>
  <c r="B2468" i="1"/>
  <c r="O2467" i="1"/>
  <c r="E2467" i="1"/>
  <c r="B2467" i="1"/>
  <c r="O2466" i="1"/>
  <c r="E2466" i="1"/>
  <c r="B2466" i="1"/>
  <c r="O2465" i="1"/>
  <c r="E2465" i="1"/>
  <c r="B2465" i="1"/>
  <c r="O2464" i="1"/>
  <c r="E2464" i="1"/>
  <c r="B2464" i="1"/>
  <c r="O2463" i="1"/>
  <c r="E2463" i="1"/>
  <c r="B2463" i="1"/>
  <c r="O2462" i="1"/>
  <c r="E2462" i="1"/>
  <c r="B2462" i="1"/>
  <c r="O2461" i="1"/>
  <c r="E2461" i="1"/>
  <c r="B2461" i="1"/>
  <c r="O2460" i="1"/>
  <c r="E2460" i="1"/>
  <c r="B2460" i="1"/>
  <c r="O2459" i="1"/>
  <c r="E2459" i="1"/>
  <c r="B2459" i="1"/>
  <c r="O2458" i="1"/>
  <c r="E2458" i="1"/>
  <c r="B2458" i="1"/>
  <c r="O2457" i="1"/>
  <c r="E2457" i="1"/>
  <c r="B2457" i="1"/>
  <c r="O2456" i="1"/>
  <c r="E2456" i="1"/>
  <c r="B2456" i="1"/>
  <c r="O2455" i="1"/>
  <c r="E2455" i="1"/>
  <c r="B2455" i="1"/>
  <c r="O2454" i="1"/>
  <c r="E2454" i="1"/>
  <c r="B2454" i="1"/>
  <c r="O2453" i="1"/>
  <c r="E2453" i="1"/>
  <c r="B2453" i="1"/>
  <c r="P2452" i="1"/>
  <c r="O2452" i="1"/>
  <c r="E2452" i="1"/>
  <c r="B2452" i="1"/>
  <c r="O2451" i="1"/>
  <c r="E2451" i="1"/>
  <c r="B2451" i="1"/>
  <c r="O2450" i="1"/>
  <c r="E2450" i="1"/>
  <c r="B2450" i="1"/>
  <c r="O2449" i="1"/>
  <c r="E2449" i="1"/>
  <c r="B2449" i="1"/>
  <c r="P2448" i="1"/>
  <c r="O2448" i="1"/>
  <c r="E2448" i="1"/>
  <c r="B2448" i="1"/>
  <c r="O2447" i="1"/>
  <c r="E2447" i="1"/>
  <c r="B2447" i="1"/>
  <c r="O2446" i="1"/>
  <c r="E2446" i="1"/>
  <c r="B2446" i="1"/>
  <c r="O2445" i="1"/>
  <c r="E2445" i="1"/>
  <c r="B2445" i="1"/>
  <c r="O2444" i="1"/>
  <c r="E2444" i="1"/>
  <c r="B2444" i="1"/>
  <c r="O2443" i="1"/>
  <c r="E2443" i="1"/>
  <c r="B2443" i="1"/>
  <c r="O2442" i="1"/>
  <c r="E2442" i="1"/>
  <c r="B2442" i="1"/>
  <c r="O2441" i="1"/>
  <c r="E2441" i="1"/>
  <c r="B2441" i="1"/>
  <c r="O2440" i="1"/>
  <c r="E2440" i="1"/>
  <c r="B2440" i="1"/>
  <c r="O2439" i="1"/>
  <c r="E2439" i="1"/>
  <c r="B2439" i="1"/>
  <c r="O2438" i="1"/>
  <c r="E2438" i="1"/>
  <c r="B2438" i="1"/>
  <c r="O2437" i="1"/>
  <c r="E2437" i="1"/>
  <c r="B2437" i="1"/>
  <c r="O2436" i="1"/>
  <c r="E2436" i="1"/>
  <c r="B2436" i="1"/>
  <c r="O2435" i="1"/>
  <c r="E2435" i="1"/>
  <c r="B2435" i="1"/>
  <c r="O2434" i="1"/>
  <c r="E2434" i="1"/>
  <c r="B2434" i="1"/>
  <c r="O2433" i="1"/>
  <c r="E2433" i="1"/>
  <c r="B2433" i="1"/>
  <c r="O2432" i="1"/>
  <c r="E2432" i="1"/>
  <c r="B2432" i="1"/>
  <c r="O2431" i="1"/>
  <c r="E2431" i="1"/>
  <c r="B2431" i="1"/>
  <c r="O2430" i="1"/>
  <c r="E2430" i="1"/>
  <c r="B2430" i="1"/>
  <c r="O2429" i="1"/>
  <c r="E2429" i="1"/>
  <c r="B2429" i="1"/>
  <c r="O2428" i="1"/>
  <c r="E2428" i="1"/>
  <c r="B2428" i="1"/>
  <c r="O2427" i="1"/>
  <c r="E2427" i="1"/>
  <c r="B2427" i="1"/>
  <c r="O2426" i="1"/>
  <c r="E2426" i="1"/>
  <c r="B2426" i="1"/>
  <c r="O2425" i="1"/>
  <c r="E2425" i="1"/>
  <c r="B2425" i="1"/>
  <c r="O2424" i="1"/>
  <c r="E2424" i="1"/>
  <c r="B2424" i="1"/>
  <c r="O2423" i="1"/>
  <c r="E2423" i="1"/>
  <c r="B2423" i="1"/>
  <c r="O2422" i="1"/>
  <c r="E2422" i="1"/>
  <c r="B2422" i="1"/>
  <c r="O2421" i="1"/>
  <c r="E2421" i="1"/>
  <c r="B2421" i="1"/>
  <c r="O2420" i="1"/>
  <c r="E2420" i="1"/>
  <c r="B2420" i="1"/>
  <c r="O2419" i="1"/>
  <c r="E2419" i="1"/>
  <c r="B2419" i="1"/>
  <c r="O2418" i="1"/>
  <c r="E2418" i="1"/>
  <c r="B2418" i="1"/>
  <c r="O2417" i="1"/>
  <c r="E2417" i="1"/>
  <c r="B2417" i="1"/>
  <c r="O2416" i="1"/>
  <c r="E2416" i="1"/>
  <c r="B2416" i="1"/>
  <c r="O2415" i="1"/>
  <c r="E2415" i="1"/>
  <c r="B2415" i="1"/>
  <c r="O2414" i="1"/>
  <c r="E2414" i="1"/>
  <c r="B2414" i="1"/>
  <c r="O2413" i="1"/>
  <c r="E2413" i="1"/>
  <c r="B2413" i="1"/>
  <c r="O2412" i="1"/>
  <c r="E2412" i="1"/>
  <c r="B2412" i="1"/>
  <c r="O2411" i="1"/>
  <c r="E2411" i="1"/>
  <c r="B2411" i="1"/>
  <c r="O2410" i="1"/>
  <c r="E2410" i="1"/>
  <c r="B2410" i="1"/>
  <c r="O2409" i="1"/>
  <c r="E2409" i="1"/>
  <c r="B2409" i="1"/>
  <c r="O2408" i="1"/>
  <c r="E2408" i="1"/>
  <c r="B2408" i="1"/>
  <c r="O2407" i="1"/>
  <c r="E2407" i="1"/>
  <c r="B2407" i="1"/>
  <c r="O2406" i="1"/>
  <c r="E2406" i="1"/>
  <c r="B2406" i="1"/>
  <c r="O2405" i="1"/>
  <c r="E2405" i="1"/>
  <c r="B2405" i="1"/>
  <c r="O2404" i="1"/>
  <c r="E2404" i="1"/>
  <c r="B2404" i="1"/>
  <c r="O2403" i="1"/>
  <c r="E2403" i="1"/>
  <c r="B2403" i="1"/>
  <c r="O2402" i="1"/>
  <c r="E2402" i="1"/>
  <c r="B2402" i="1"/>
  <c r="O2401" i="1"/>
  <c r="E2401" i="1"/>
  <c r="B2401" i="1"/>
  <c r="O2400" i="1"/>
  <c r="E2400" i="1"/>
  <c r="B2400" i="1"/>
  <c r="O2399" i="1"/>
  <c r="E2399" i="1"/>
  <c r="B2399" i="1"/>
  <c r="O2398" i="1"/>
  <c r="E2398" i="1"/>
  <c r="B2398" i="1"/>
  <c r="O2397" i="1"/>
  <c r="E2397" i="1"/>
  <c r="B2397" i="1"/>
  <c r="O2396" i="1"/>
  <c r="E2396" i="1"/>
  <c r="B2396" i="1"/>
  <c r="O2395" i="1"/>
  <c r="E2395" i="1"/>
  <c r="B2395" i="1"/>
  <c r="O2394" i="1"/>
  <c r="E2394" i="1"/>
  <c r="B2394" i="1"/>
  <c r="O2393" i="1"/>
  <c r="E2393" i="1"/>
  <c r="B2393" i="1"/>
  <c r="O2392" i="1"/>
  <c r="E2392" i="1"/>
  <c r="B2392" i="1"/>
  <c r="O2391" i="1"/>
  <c r="E2391" i="1"/>
  <c r="B2391" i="1"/>
  <c r="O2390" i="1"/>
  <c r="E2390" i="1"/>
  <c r="B2390" i="1"/>
  <c r="O2389" i="1"/>
  <c r="E2389" i="1"/>
  <c r="B2389" i="1"/>
  <c r="O2388" i="1"/>
  <c r="E2388" i="1"/>
  <c r="B2388" i="1"/>
  <c r="O2387" i="1"/>
  <c r="E2387" i="1"/>
  <c r="B2387" i="1"/>
  <c r="O2386" i="1"/>
  <c r="E2386" i="1"/>
  <c r="B2386" i="1"/>
  <c r="O2385" i="1"/>
  <c r="E2385" i="1"/>
  <c r="B2385" i="1"/>
  <c r="O2384" i="1"/>
  <c r="E2384" i="1"/>
  <c r="B2384" i="1"/>
  <c r="O2383" i="1"/>
  <c r="E2383" i="1"/>
  <c r="B2383" i="1"/>
  <c r="O2382" i="1"/>
  <c r="E2382" i="1"/>
  <c r="B2382" i="1"/>
  <c r="O2381" i="1"/>
  <c r="E2381" i="1"/>
  <c r="B2381" i="1"/>
  <c r="O2380" i="1"/>
  <c r="E2380" i="1"/>
  <c r="B2380" i="1"/>
  <c r="O2379" i="1"/>
  <c r="E2379" i="1"/>
  <c r="B2379" i="1"/>
  <c r="O2378" i="1"/>
  <c r="E2378" i="1"/>
  <c r="B2378" i="1"/>
  <c r="O2377" i="1"/>
  <c r="E2377" i="1"/>
  <c r="B2377" i="1"/>
  <c r="O2376" i="1"/>
  <c r="E2376" i="1"/>
  <c r="B2376" i="1"/>
  <c r="O2375" i="1"/>
  <c r="E2375" i="1"/>
  <c r="B2375" i="1"/>
  <c r="O2374" i="1"/>
  <c r="E2374" i="1"/>
  <c r="B2374" i="1"/>
  <c r="O2373" i="1"/>
  <c r="E2373" i="1"/>
  <c r="B2373" i="1"/>
  <c r="O2372" i="1"/>
  <c r="E2372" i="1"/>
  <c r="B2372" i="1"/>
  <c r="O2371" i="1"/>
  <c r="E2371" i="1"/>
  <c r="B2371" i="1"/>
  <c r="O2370" i="1"/>
  <c r="E2370" i="1"/>
  <c r="B2370" i="1"/>
  <c r="O2369" i="1"/>
  <c r="E2369" i="1"/>
  <c r="B2369" i="1"/>
  <c r="O2368" i="1"/>
  <c r="E2368" i="1"/>
  <c r="B2368" i="1"/>
  <c r="O2367" i="1"/>
  <c r="E2367" i="1"/>
  <c r="B2367" i="1"/>
  <c r="O2366" i="1"/>
  <c r="E2366" i="1"/>
  <c r="B2366" i="1"/>
  <c r="O2365" i="1"/>
  <c r="E2365" i="1"/>
  <c r="B2365" i="1"/>
  <c r="O2364" i="1"/>
  <c r="E2364" i="1"/>
  <c r="B2364" i="1"/>
  <c r="O2363" i="1"/>
  <c r="E2363" i="1"/>
  <c r="B2363" i="1"/>
  <c r="O2362" i="1"/>
  <c r="E2362" i="1"/>
  <c r="B2362" i="1"/>
  <c r="O2361" i="1"/>
  <c r="E2361" i="1"/>
  <c r="B2361" i="1"/>
  <c r="O2360" i="1"/>
  <c r="E2360" i="1"/>
  <c r="B2360" i="1"/>
  <c r="O2359" i="1"/>
  <c r="E2359" i="1"/>
  <c r="B2359" i="1"/>
  <c r="O2358" i="1"/>
  <c r="E2358" i="1"/>
  <c r="B2358" i="1"/>
  <c r="O2357" i="1"/>
  <c r="E2357" i="1"/>
  <c r="B2357" i="1"/>
  <c r="O2356" i="1"/>
  <c r="E2356" i="1"/>
  <c r="B2356" i="1"/>
  <c r="P2355" i="1"/>
  <c r="O2355" i="1"/>
  <c r="E2355" i="1"/>
  <c r="B2355" i="1"/>
  <c r="O2354" i="1"/>
  <c r="E2354" i="1"/>
  <c r="B2354" i="1"/>
  <c r="O2353" i="1"/>
  <c r="E2353" i="1"/>
  <c r="B2353" i="1"/>
  <c r="O2352" i="1"/>
  <c r="E2352" i="1"/>
  <c r="B2352" i="1"/>
  <c r="O2351" i="1"/>
  <c r="E2351" i="1"/>
  <c r="B2351" i="1"/>
  <c r="O2350" i="1"/>
  <c r="E2350" i="1"/>
  <c r="B2350" i="1"/>
  <c r="O2349" i="1"/>
  <c r="E2349" i="1"/>
  <c r="B2349" i="1"/>
  <c r="O2348" i="1"/>
  <c r="E2348" i="1"/>
  <c r="B2348" i="1"/>
  <c r="O2347" i="1"/>
  <c r="E2347" i="1"/>
  <c r="B2347" i="1"/>
  <c r="O2346" i="1"/>
  <c r="E2346" i="1"/>
  <c r="B2346" i="1"/>
  <c r="O2345" i="1"/>
  <c r="E2345" i="1"/>
  <c r="B2345" i="1"/>
  <c r="O2344" i="1"/>
  <c r="E2344" i="1"/>
  <c r="B2344" i="1"/>
  <c r="O2343" i="1"/>
  <c r="E2343" i="1"/>
  <c r="B2343" i="1"/>
  <c r="O2342" i="1"/>
  <c r="E2342" i="1"/>
  <c r="B2342" i="1"/>
  <c r="O2341" i="1"/>
  <c r="E2341" i="1"/>
  <c r="B2341" i="1"/>
  <c r="O2340" i="1"/>
  <c r="E2340" i="1"/>
  <c r="B2340" i="1"/>
  <c r="O2339" i="1"/>
  <c r="E2339" i="1"/>
  <c r="B2339" i="1"/>
  <c r="O2338" i="1"/>
  <c r="E2338" i="1"/>
  <c r="B2338" i="1"/>
  <c r="O2337" i="1"/>
  <c r="E2337" i="1"/>
  <c r="B2337" i="1"/>
  <c r="O2336" i="1"/>
  <c r="E2336" i="1"/>
  <c r="B2336" i="1"/>
  <c r="O2335" i="1"/>
  <c r="E2335" i="1"/>
  <c r="B2335" i="1"/>
  <c r="O2334" i="1"/>
  <c r="E2334" i="1"/>
  <c r="B2334" i="1"/>
  <c r="O2333" i="1"/>
  <c r="E2333" i="1"/>
  <c r="B2333" i="1"/>
  <c r="O2332" i="1"/>
  <c r="E2332" i="1"/>
  <c r="B2332" i="1"/>
  <c r="O2331" i="1"/>
  <c r="E2331" i="1"/>
  <c r="B2331" i="1"/>
  <c r="O2330" i="1"/>
  <c r="E2330" i="1"/>
  <c r="B2330" i="1"/>
  <c r="O2329" i="1"/>
  <c r="E2329" i="1"/>
  <c r="B2329" i="1"/>
  <c r="O2328" i="1"/>
  <c r="E2328" i="1"/>
  <c r="B2328" i="1"/>
  <c r="O2327" i="1"/>
  <c r="E2327" i="1"/>
  <c r="B2327" i="1"/>
  <c r="O2326" i="1"/>
  <c r="E2326" i="1"/>
  <c r="B2326" i="1"/>
  <c r="O2325" i="1"/>
  <c r="E2325" i="1"/>
  <c r="B2325" i="1"/>
  <c r="O2324" i="1"/>
  <c r="E2324" i="1"/>
  <c r="B2324" i="1"/>
  <c r="O2323" i="1"/>
  <c r="E2323" i="1"/>
  <c r="B2323" i="1"/>
  <c r="O2322" i="1"/>
  <c r="E2322" i="1"/>
  <c r="B2322" i="1"/>
  <c r="O2321" i="1"/>
  <c r="E2321" i="1"/>
  <c r="B2321" i="1"/>
  <c r="O2320" i="1"/>
  <c r="E2320" i="1"/>
  <c r="B2320" i="1"/>
  <c r="O2319" i="1"/>
  <c r="E2319" i="1"/>
  <c r="B2319" i="1"/>
  <c r="O2318" i="1"/>
  <c r="E2318" i="1"/>
  <c r="B2318" i="1"/>
  <c r="O2317" i="1"/>
  <c r="E2317" i="1"/>
  <c r="B2317" i="1"/>
  <c r="O2316" i="1"/>
  <c r="E2316" i="1"/>
  <c r="B2316" i="1"/>
  <c r="P2315" i="1"/>
  <c r="O2315" i="1"/>
  <c r="E2315" i="1"/>
  <c r="B2315" i="1"/>
  <c r="O2314" i="1"/>
  <c r="E2314" i="1"/>
  <c r="B2314" i="1"/>
  <c r="O2313" i="1"/>
  <c r="E2313" i="1"/>
  <c r="B2313" i="1"/>
  <c r="O2312" i="1"/>
  <c r="E2312" i="1"/>
  <c r="B2312" i="1"/>
  <c r="O2311" i="1"/>
  <c r="E2311" i="1"/>
  <c r="B2311" i="1"/>
  <c r="O2310" i="1"/>
  <c r="E2310" i="1"/>
  <c r="B2310" i="1"/>
  <c r="O2309" i="1"/>
  <c r="E2309" i="1"/>
  <c r="B2309" i="1"/>
  <c r="O2308" i="1"/>
  <c r="E2308" i="1"/>
  <c r="B2308" i="1"/>
  <c r="O2307" i="1"/>
  <c r="E2307" i="1"/>
  <c r="B2307" i="1"/>
  <c r="O2306" i="1"/>
  <c r="E2306" i="1"/>
  <c r="B2306" i="1"/>
  <c r="O2305" i="1"/>
  <c r="E2305" i="1"/>
  <c r="B2305" i="1"/>
  <c r="O2304" i="1"/>
  <c r="E2304" i="1"/>
  <c r="B2304" i="1"/>
  <c r="O2303" i="1"/>
  <c r="E2303" i="1"/>
  <c r="B2303" i="1"/>
  <c r="O2302" i="1"/>
  <c r="E2302" i="1"/>
  <c r="B2302" i="1"/>
  <c r="O2301" i="1"/>
  <c r="E2301" i="1"/>
  <c r="B2301" i="1"/>
  <c r="O2300" i="1"/>
  <c r="E2300" i="1"/>
  <c r="B2300" i="1"/>
  <c r="O2299" i="1"/>
  <c r="E2299" i="1"/>
  <c r="B2299" i="1"/>
  <c r="O2298" i="1"/>
  <c r="E2298" i="1"/>
  <c r="B2298" i="1"/>
  <c r="O2297" i="1"/>
  <c r="E2297" i="1"/>
  <c r="B2297" i="1"/>
  <c r="O2296" i="1"/>
  <c r="E2296" i="1"/>
  <c r="B2296" i="1"/>
  <c r="O2295" i="1"/>
  <c r="E2295" i="1"/>
  <c r="B2295" i="1"/>
  <c r="O2294" i="1"/>
  <c r="E2294" i="1"/>
  <c r="B2294" i="1"/>
  <c r="O2293" i="1"/>
  <c r="E2293" i="1"/>
  <c r="B2293" i="1"/>
  <c r="O2292" i="1"/>
  <c r="E2292" i="1"/>
  <c r="B2292" i="1"/>
  <c r="O2291" i="1"/>
  <c r="E2291" i="1"/>
  <c r="B2291" i="1"/>
  <c r="O2290" i="1"/>
  <c r="E2290" i="1"/>
  <c r="B2290" i="1"/>
  <c r="O2289" i="1"/>
  <c r="E2289" i="1"/>
  <c r="B2289" i="1"/>
  <c r="O2288" i="1"/>
  <c r="E2288" i="1"/>
  <c r="B2288" i="1"/>
  <c r="O2287" i="1"/>
  <c r="E2287" i="1"/>
  <c r="B2287" i="1"/>
  <c r="O2286" i="1"/>
  <c r="E2286" i="1"/>
  <c r="B2286" i="1"/>
  <c r="O2285" i="1"/>
  <c r="E2285" i="1"/>
  <c r="B2285" i="1"/>
  <c r="O2284" i="1"/>
  <c r="E2284" i="1"/>
  <c r="B2284" i="1"/>
  <c r="O2283" i="1"/>
  <c r="E2283" i="1"/>
  <c r="B2283" i="1"/>
  <c r="O2282" i="1"/>
  <c r="E2282" i="1"/>
  <c r="B2282" i="1"/>
  <c r="O2281" i="1"/>
  <c r="E2281" i="1"/>
  <c r="B2281" i="1"/>
  <c r="O2280" i="1"/>
  <c r="E2280" i="1"/>
  <c r="B2280" i="1"/>
  <c r="P2279" i="1"/>
  <c r="O2279" i="1"/>
  <c r="E2279" i="1"/>
  <c r="B2279" i="1"/>
  <c r="O2278" i="1"/>
  <c r="E2278" i="1"/>
  <c r="B2278" i="1"/>
  <c r="O2277" i="1"/>
  <c r="E2277" i="1"/>
  <c r="B2277" i="1"/>
  <c r="O2276" i="1"/>
  <c r="E2276" i="1"/>
  <c r="B2276" i="1"/>
  <c r="O2275" i="1"/>
  <c r="E2275" i="1"/>
  <c r="B2275" i="1"/>
  <c r="O2274" i="1"/>
  <c r="E2274" i="1"/>
  <c r="B2274" i="1"/>
  <c r="O2273" i="1"/>
  <c r="E2273" i="1"/>
  <c r="B2273" i="1"/>
  <c r="O2272" i="1"/>
  <c r="E2272" i="1"/>
  <c r="B2272" i="1"/>
  <c r="O2271" i="1"/>
  <c r="E2271" i="1"/>
  <c r="B2271" i="1"/>
  <c r="O2270" i="1"/>
  <c r="E2270" i="1"/>
  <c r="B2270" i="1"/>
  <c r="O2269" i="1"/>
  <c r="E2269" i="1"/>
  <c r="B2269" i="1"/>
  <c r="O2268" i="1"/>
  <c r="E2268" i="1"/>
  <c r="B2268" i="1"/>
  <c r="O2267" i="1"/>
  <c r="E2267" i="1"/>
  <c r="B2267" i="1"/>
  <c r="O2266" i="1"/>
  <c r="E2266" i="1"/>
  <c r="B2266" i="1"/>
  <c r="O2265" i="1"/>
  <c r="E2265" i="1"/>
  <c r="B2265" i="1"/>
  <c r="O2264" i="1"/>
  <c r="E2264" i="1"/>
  <c r="B2264" i="1"/>
  <c r="O2263" i="1"/>
  <c r="E2263" i="1"/>
  <c r="B2263" i="1"/>
  <c r="O2262" i="1"/>
  <c r="E2262" i="1"/>
  <c r="B2262" i="1"/>
  <c r="O2261" i="1"/>
  <c r="E2261" i="1"/>
  <c r="B2261" i="1"/>
  <c r="O2260" i="1"/>
  <c r="E2260" i="1"/>
  <c r="B2260" i="1"/>
  <c r="O2259" i="1"/>
  <c r="E2259" i="1"/>
  <c r="B2259" i="1"/>
  <c r="O2258" i="1"/>
  <c r="E2258" i="1"/>
  <c r="B2258" i="1"/>
  <c r="O2257" i="1"/>
  <c r="E2257" i="1"/>
  <c r="B2257" i="1"/>
  <c r="O2256" i="1"/>
  <c r="E2256" i="1"/>
  <c r="B2256" i="1"/>
  <c r="O2255" i="1"/>
  <c r="E2255" i="1"/>
  <c r="B2255" i="1"/>
  <c r="O2254" i="1"/>
  <c r="E2254" i="1"/>
  <c r="B2254" i="1"/>
  <c r="O2253" i="1"/>
  <c r="E2253" i="1"/>
  <c r="B2253" i="1"/>
  <c r="O2252" i="1"/>
  <c r="E2252" i="1"/>
  <c r="B2252" i="1"/>
  <c r="O2251" i="1"/>
  <c r="E2251" i="1"/>
  <c r="B2251" i="1"/>
  <c r="O2250" i="1"/>
  <c r="E2250" i="1"/>
  <c r="B2250" i="1"/>
  <c r="O2249" i="1"/>
  <c r="E2249" i="1"/>
  <c r="B2249" i="1"/>
  <c r="O2248" i="1"/>
  <c r="E2248" i="1"/>
  <c r="B2248" i="1"/>
  <c r="O2247" i="1"/>
  <c r="E2247" i="1"/>
  <c r="B2247" i="1"/>
  <c r="P2246" i="1"/>
  <c r="O2246" i="1"/>
  <c r="E2246" i="1"/>
  <c r="B2246" i="1"/>
  <c r="O2245" i="1"/>
  <c r="E2245" i="1"/>
  <c r="B2245" i="1"/>
  <c r="O2244" i="1"/>
  <c r="E2244" i="1"/>
  <c r="B2244" i="1"/>
  <c r="O2243" i="1"/>
  <c r="E2243" i="1"/>
  <c r="B2243" i="1"/>
  <c r="O2242" i="1"/>
  <c r="E2242" i="1"/>
  <c r="B2242" i="1"/>
  <c r="O2241" i="1"/>
  <c r="E2241" i="1"/>
  <c r="B2241" i="1"/>
  <c r="O2240" i="1"/>
  <c r="E2240" i="1"/>
  <c r="B2240" i="1"/>
  <c r="O2239" i="1"/>
  <c r="E2239" i="1"/>
  <c r="B2239" i="1"/>
  <c r="O2238" i="1"/>
  <c r="E2238" i="1"/>
  <c r="B2238" i="1"/>
  <c r="O2237" i="1"/>
  <c r="E2237" i="1"/>
  <c r="B2237" i="1"/>
  <c r="O2236" i="1"/>
  <c r="E2236" i="1"/>
  <c r="B2236" i="1"/>
  <c r="O2235" i="1"/>
  <c r="E2235" i="1"/>
  <c r="B2235" i="1"/>
  <c r="O2234" i="1"/>
  <c r="E2234" i="1"/>
  <c r="B2234" i="1"/>
  <c r="O2233" i="1"/>
  <c r="E2233" i="1"/>
  <c r="B2233" i="1"/>
  <c r="O2232" i="1"/>
  <c r="E2232" i="1"/>
  <c r="B2232" i="1"/>
  <c r="O2231" i="1"/>
  <c r="E2231" i="1"/>
  <c r="B2231" i="1"/>
  <c r="O2230" i="1"/>
  <c r="E2230" i="1"/>
  <c r="B2230" i="1"/>
  <c r="O2229" i="1"/>
  <c r="E2229" i="1"/>
  <c r="B2229" i="1"/>
  <c r="O2228" i="1"/>
  <c r="E2228" i="1"/>
  <c r="B2228" i="1"/>
  <c r="O2227" i="1"/>
  <c r="E2227" i="1"/>
  <c r="B2227" i="1"/>
  <c r="O2226" i="1"/>
  <c r="E2226" i="1"/>
  <c r="B2226" i="1"/>
  <c r="O2225" i="1"/>
  <c r="E2225" i="1"/>
  <c r="B2225" i="1"/>
  <c r="O2224" i="1"/>
  <c r="E2224" i="1"/>
  <c r="B2224" i="1"/>
  <c r="O2223" i="1"/>
  <c r="E2223" i="1"/>
  <c r="B2223" i="1"/>
  <c r="O2222" i="1"/>
  <c r="E2222" i="1"/>
  <c r="B2222" i="1"/>
  <c r="O2221" i="1"/>
  <c r="E2221" i="1"/>
  <c r="B2221" i="1"/>
  <c r="O2220" i="1"/>
  <c r="E2220" i="1"/>
  <c r="B2220" i="1"/>
  <c r="O2219" i="1"/>
  <c r="E2219" i="1"/>
  <c r="B2219" i="1"/>
  <c r="O2218" i="1"/>
  <c r="E2218" i="1"/>
  <c r="B2218" i="1"/>
  <c r="O2217" i="1"/>
  <c r="E2217" i="1"/>
  <c r="B2217" i="1"/>
  <c r="O2216" i="1"/>
  <c r="E2216" i="1"/>
  <c r="B2216" i="1"/>
  <c r="O2215" i="1"/>
  <c r="E2215" i="1"/>
  <c r="B2215" i="1"/>
  <c r="O2214" i="1"/>
  <c r="E2214" i="1"/>
  <c r="B2214" i="1"/>
  <c r="O2213" i="1"/>
  <c r="E2213" i="1"/>
  <c r="B2213" i="1"/>
  <c r="O2212" i="1"/>
  <c r="E2212" i="1"/>
  <c r="B2212" i="1"/>
  <c r="O2211" i="1"/>
  <c r="E2211" i="1"/>
  <c r="B2211" i="1"/>
  <c r="O2210" i="1"/>
  <c r="E2210" i="1"/>
  <c r="B2210" i="1"/>
  <c r="O2209" i="1"/>
  <c r="E2209" i="1"/>
  <c r="B2209" i="1"/>
  <c r="O2208" i="1"/>
  <c r="E2208" i="1"/>
  <c r="B2208" i="1"/>
  <c r="O2207" i="1"/>
  <c r="E2207" i="1"/>
  <c r="B2207" i="1"/>
  <c r="O2206" i="1"/>
  <c r="E2206" i="1"/>
  <c r="B2206" i="1"/>
  <c r="O2205" i="1"/>
  <c r="E2205" i="1"/>
  <c r="B2205" i="1"/>
  <c r="O2204" i="1"/>
  <c r="E2204" i="1"/>
  <c r="B2204" i="1"/>
  <c r="O2203" i="1"/>
  <c r="E2203" i="1"/>
  <c r="B2203" i="1"/>
  <c r="O2202" i="1"/>
  <c r="E2202" i="1"/>
  <c r="B2202" i="1"/>
  <c r="O2201" i="1"/>
  <c r="E2201" i="1"/>
  <c r="B2201" i="1"/>
  <c r="O2200" i="1"/>
  <c r="E2200" i="1"/>
  <c r="B2200" i="1"/>
  <c r="O2199" i="1"/>
  <c r="E2199" i="1"/>
  <c r="B2199" i="1"/>
  <c r="O2198" i="1"/>
  <c r="E2198" i="1"/>
  <c r="B2198" i="1"/>
  <c r="O2197" i="1"/>
  <c r="E2197" i="1"/>
  <c r="B2197" i="1"/>
  <c r="O2196" i="1"/>
  <c r="E2196" i="1"/>
  <c r="B2196" i="1"/>
  <c r="O2195" i="1"/>
  <c r="E2195" i="1"/>
  <c r="B2195" i="1"/>
  <c r="O2194" i="1"/>
  <c r="E2194" i="1"/>
  <c r="B2194" i="1"/>
  <c r="O2193" i="1"/>
  <c r="E2193" i="1"/>
  <c r="B2193" i="1"/>
  <c r="O2192" i="1"/>
  <c r="E2192" i="1"/>
  <c r="B2192" i="1"/>
  <c r="O2191" i="1"/>
  <c r="E2191" i="1"/>
  <c r="B2191" i="1"/>
  <c r="O2190" i="1"/>
  <c r="E2190" i="1"/>
  <c r="B2190" i="1"/>
  <c r="O2189" i="1"/>
  <c r="E2189" i="1"/>
  <c r="B2189" i="1"/>
  <c r="O2188" i="1"/>
  <c r="E2188" i="1"/>
  <c r="B2188" i="1"/>
  <c r="O2187" i="1"/>
  <c r="E2187" i="1"/>
  <c r="B2187" i="1"/>
  <c r="O2186" i="1"/>
  <c r="E2186" i="1"/>
  <c r="B2186" i="1"/>
  <c r="O2185" i="1"/>
  <c r="E2185" i="1"/>
  <c r="B2185" i="1"/>
  <c r="O2184" i="1"/>
  <c r="E2184" i="1"/>
  <c r="B2184" i="1"/>
  <c r="O2183" i="1"/>
  <c r="E2183" i="1"/>
  <c r="B2183" i="1"/>
  <c r="O2182" i="1"/>
  <c r="E2182" i="1"/>
  <c r="B2182" i="1"/>
  <c r="O2181" i="1"/>
  <c r="E2181" i="1"/>
  <c r="B2181" i="1"/>
  <c r="O2180" i="1"/>
  <c r="E2180" i="1"/>
  <c r="B2180" i="1"/>
  <c r="O2179" i="1"/>
  <c r="E2179" i="1"/>
  <c r="B2179" i="1"/>
  <c r="O2178" i="1"/>
  <c r="E2178" i="1"/>
  <c r="B2178" i="1"/>
  <c r="O2177" i="1"/>
  <c r="E2177" i="1"/>
  <c r="B2177" i="1"/>
  <c r="O2176" i="1"/>
  <c r="E2176" i="1"/>
  <c r="B2176" i="1"/>
  <c r="O2175" i="1"/>
  <c r="E2175" i="1"/>
  <c r="B2175" i="1"/>
  <c r="O2174" i="1"/>
  <c r="E2174" i="1"/>
  <c r="B2174" i="1"/>
  <c r="O2173" i="1"/>
  <c r="E2173" i="1"/>
  <c r="B2173" i="1"/>
  <c r="O2172" i="1"/>
  <c r="E2172" i="1"/>
  <c r="B2172" i="1"/>
  <c r="O2171" i="1"/>
  <c r="E2171" i="1"/>
  <c r="B2171" i="1"/>
  <c r="O2170" i="1"/>
  <c r="E2170" i="1"/>
  <c r="B2170" i="1"/>
  <c r="O2169" i="1"/>
  <c r="E2169" i="1"/>
  <c r="B2169" i="1"/>
  <c r="O2168" i="1"/>
  <c r="E2168" i="1"/>
  <c r="B2168" i="1"/>
  <c r="O2167" i="1"/>
  <c r="E2167" i="1"/>
  <c r="B2167" i="1"/>
  <c r="O2166" i="1"/>
  <c r="E2166" i="1"/>
  <c r="B2166" i="1"/>
  <c r="O2165" i="1"/>
  <c r="E2165" i="1"/>
  <c r="B2165" i="1"/>
  <c r="O2164" i="1"/>
  <c r="E2164" i="1"/>
  <c r="B2164" i="1"/>
  <c r="O2163" i="1"/>
  <c r="E2163" i="1"/>
  <c r="B2163" i="1"/>
  <c r="O2162" i="1"/>
  <c r="E2162" i="1"/>
  <c r="B2162" i="1"/>
  <c r="O2161" i="1"/>
  <c r="E2161" i="1"/>
  <c r="B2161" i="1"/>
  <c r="O2160" i="1"/>
  <c r="E2160" i="1"/>
  <c r="B2160" i="1"/>
  <c r="O2159" i="1"/>
  <c r="E2159" i="1"/>
  <c r="B2159" i="1"/>
  <c r="O2158" i="1"/>
  <c r="E2158" i="1"/>
  <c r="B2158" i="1"/>
  <c r="O2157" i="1"/>
  <c r="E2157" i="1"/>
  <c r="B2157" i="1"/>
  <c r="O2156" i="1"/>
  <c r="E2156" i="1"/>
  <c r="B2156" i="1"/>
  <c r="O2155" i="1"/>
  <c r="E2155" i="1"/>
  <c r="B2155" i="1"/>
  <c r="O2154" i="1"/>
  <c r="E2154" i="1"/>
  <c r="B2154" i="1"/>
  <c r="O2153" i="1"/>
  <c r="E2153" i="1"/>
  <c r="B2153" i="1"/>
  <c r="O2152" i="1"/>
  <c r="E2152" i="1"/>
  <c r="B2152" i="1"/>
  <c r="O2151" i="1"/>
  <c r="E2151" i="1"/>
  <c r="B2151" i="1"/>
  <c r="O2150" i="1"/>
  <c r="E2150" i="1"/>
  <c r="B2150" i="1"/>
  <c r="O2149" i="1"/>
  <c r="E2149" i="1"/>
  <c r="B2149" i="1"/>
  <c r="O2148" i="1"/>
  <c r="E2148" i="1"/>
  <c r="B2148" i="1"/>
  <c r="O2147" i="1"/>
  <c r="E2147" i="1"/>
  <c r="B2147" i="1"/>
  <c r="O2146" i="1"/>
  <c r="E2146" i="1"/>
  <c r="B2146" i="1"/>
  <c r="O2145" i="1"/>
  <c r="E2145" i="1"/>
  <c r="B2145" i="1"/>
  <c r="O2144" i="1"/>
  <c r="E2144" i="1"/>
  <c r="B2144" i="1"/>
  <c r="O2143" i="1"/>
  <c r="E2143" i="1"/>
  <c r="B2143" i="1"/>
  <c r="O2142" i="1"/>
  <c r="E2142" i="1"/>
  <c r="B2142" i="1"/>
  <c r="O2141" i="1"/>
  <c r="E2141" i="1"/>
  <c r="B2141" i="1"/>
  <c r="O2140" i="1"/>
  <c r="E2140" i="1"/>
  <c r="B2140" i="1"/>
  <c r="O2139" i="1"/>
  <c r="E2139" i="1"/>
  <c r="B2139" i="1"/>
  <c r="O2138" i="1"/>
  <c r="E2138" i="1"/>
  <c r="B2138" i="1"/>
  <c r="O2137" i="1"/>
  <c r="E2137" i="1"/>
  <c r="B2137" i="1"/>
  <c r="O2136" i="1"/>
  <c r="E2136" i="1"/>
  <c r="B2136" i="1"/>
  <c r="O2135" i="1"/>
  <c r="E2135" i="1"/>
  <c r="B2135" i="1"/>
  <c r="O2134" i="1"/>
  <c r="E2134" i="1"/>
  <c r="B2134" i="1"/>
  <c r="O2133" i="1"/>
  <c r="E2133" i="1"/>
  <c r="B2133" i="1"/>
  <c r="O2132" i="1"/>
  <c r="E2132" i="1"/>
  <c r="B2132" i="1"/>
  <c r="O2131" i="1"/>
  <c r="E2131" i="1"/>
  <c r="B2131" i="1"/>
  <c r="O2130" i="1"/>
  <c r="E2130" i="1"/>
  <c r="B2130" i="1"/>
  <c r="O2129" i="1"/>
  <c r="E2129" i="1"/>
  <c r="B2129" i="1"/>
  <c r="O2128" i="1"/>
  <c r="E2128" i="1"/>
  <c r="B2128" i="1"/>
  <c r="O2127" i="1"/>
  <c r="E2127" i="1"/>
  <c r="B2127" i="1"/>
  <c r="O2126" i="1"/>
  <c r="E2126" i="1"/>
  <c r="B2126" i="1"/>
  <c r="O2125" i="1"/>
  <c r="E2125" i="1"/>
  <c r="B2125" i="1"/>
  <c r="O2124" i="1"/>
  <c r="E2124" i="1"/>
  <c r="B2124" i="1"/>
  <c r="O2123" i="1"/>
  <c r="E2123" i="1"/>
  <c r="B2123" i="1"/>
  <c r="O2122" i="1"/>
  <c r="E2122" i="1"/>
  <c r="B2122" i="1"/>
  <c r="O2121" i="1"/>
  <c r="E2121" i="1"/>
  <c r="B2121" i="1"/>
  <c r="O2120" i="1"/>
  <c r="E2120" i="1"/>
  <c r="B2120" i="1"/>
  <c r="O2119" i="1"/>
  <c r="E2119" i="1"/>
  <c r="B2119" i="1"/>
  <c r="O2118" i="1"/>
  <c r="E2118" i="1"/>
  <c r="B2118" i="1"/>
  <c r="O2117" i="1"/>
  <c r="E2117" i="1"/>
  <c r="B2117" i="1"/>
  <c r="O2116" i="1"/>
  <c r="E2116" i="1"/>
  <c r="B2116" i="1"/>
  <c r="O2115" i="1"/>
  <c r="E2115" i="1"/>
  <c r="B2115" i="1"/>
  <c r="O2114" i="1"/>
  <c r="E2114" i="1"/>
  <c r="B2114" i="1"/>
  <c r="O2113" i="1"/>
  <c r="E2113" i="1"/>
  <c r="B2113" i="1"/>
  <c r="O2112" i="1"/>
  <c r="E2112" i="1"/>
  <c r="B2112" i="1"/>
  <c r="O2111" i="1"/>
  <c r="E2111" i="1"/>
  <c r="B2111" i="1"/>
  <c r="O2110" i="1"/>
  <c r="E2110" i="1"/>
  <c r="B2110" i="1"/>
  <c r="O2109" i="1"/>
  <c r="E2109" i="1"/>
  <c r="B2109" i="1"/>
  <c r="O2108" i="1"/>
  <c r="E2108" i="1"/>
  <c r="B2108" i="1"/>
  <c r="O2107" i="1"/>
  <c r="E2107" i="1"/>
  <c r="B2107" i="1"/>
  <c r="O2106" i="1"/>
  <c r="E2106" i="1"/>
  <c r="B2106" i="1"/>
  <c r="O2105" i="1"/>
  <c r="E2105" i="1"/>
  <c r="B2105" i="1"/>
  <c r="O2104" i="1"/>
  <c r="E2104" i="1"/>
  <c r="B2104" i="1"/>
  <c r="P2103" i="1"/>
  <c r="O2103" i="1"/>
  <c r="E2103" i="1"/>
  <c r="B2103" i="1"/>
  <c r="O2102" i="1"/>
  <c r="E2102" i="1"/>
  <c r="B2102" i="1"/>
  <c r="O2101" i="1"/>
  <c r="E2101" i="1"/>
  <c r="B2101" i="1"/>
  <c r="O2100" i="1"/>
  <c r="E2100" i="1"/>
  <c r="B2100" i="1"/>
  <c r="O2099" i="1"/>
  <c r="E2099" i="1"/>
  <c r="B2099" i="1"/>
  <c r="O2098" i="1"/>
  <c r="E2098" i="1"/>
  <c r="B2098" i="1"/>
  <c r="O2097" i="1"/>
  <c r="E2097" i="1"/>
  <c r="B2097" i="1"/>
  <c r="O2096" i="1"/>
  <c r="E2096" i="1"/>
  <c r="B2096" i="1"/>
  <c r="O2095" i="1"/>
  <c r="E2095" i="1"/>
  <c r="B2095" i="1"/>
  <c r="O2094" i="1"/>
  <c r="E2094" i="1"/>
  <c r="B2094" i="1"/>
  <c r="O2093" i="1"/>
  <c r="E2093" i="1"/>
  <c r="B2093" i="1"/>
  <c r="O2092" i="1"/>
  <c r="E2092" i="1"/>
  <c r="B2092" i="1"/>
  <c r="O2091" i="1"/>
  <c r="E2091" i="1"/>
  <c r="B2091" i="1"/>
  <c r="O2090" i="1"/>
  <c r="E2090" i="1"/>
  <c r="B2090" i="1"/>
  <c r="O2089" i="1"/>
  <c r="E2089" i="1"/>
  <c r="B2089" i="1"/>
  <c r="O2088" i="1"/>
  <c r="E2088" i="1"/>
  <c r="B2088" i="1"/>
  <c r="O2087" i="1"/>
  <c r="E2087" i="1"/>
  <c r="B2087" i="1"/>
  <c r="O2086" i="1"/>
  <c r="E2086" i="1"/>
  <c r="B2086" i="1"/>
  <c r="O2085" i="1"/>
  <c r="E2085" i="1"/>
  <c r="B2085" i="1"/>
  <c r="O2084" i="1"/>
  <c r="E2084" i="1"/>
  <c r="B2084" i="1"/>
  <c r="O2083" i="1"/>
  <c r="E2083" i="1"/>
  <c r="B2083" i="1"/>
  <c r="O2082" i="1"/>
  <c r="E2082" i="1"/>
  <c r="B2082" i="1"/>
  <c r="O2081" i="1"/>
  <c r="E2081" i="1"/>
  <c r="B2081" i="1"/>
  <c r="O2080" i="1"/>
  <c r="E2080" i="1"/>
  <c r="B2080" i="1"/>
  <c r="O2079" i="1"/>
  <c r="E2079" i="1"/>
  <c r="B2079" i="1"/>
  <c r="O2078" i="1"/>
  <c r="E2078" i="1"/>
  <c r="B2078" i="1"/>
  <c r="O2077" i="1"/>
  <c r="E2077" i="1"/>
  <c r="B2077" i="1"/>
  <c r="O2076" i="1"/>
  <c r="E2076" i="1"/>
  <c r="B2076" i="1"/>
  <c r="O2075" i="1"/>
  <c r="E2075" i="1"/>
  <c r="B2075" i="1"/>
  <c r="O2074" i="1"/>
  <c r="E2074" i="1"/>
  <c r="B2074" i="1"/>
  <c r="O2073" i="1"/>
  <c r="E2073" i="1"/>
  <c r="B2073" i="1"/>
  <c r="O2072" i="1"/>
  <c r="E2072" i="1"/>
  <c r="B2072" i="1"/>
  <c r="O2071" i="1"/>
  <c r="E2071" i="1"/>
  <c r="B2071" i="1"/>
  <c r="O2070" i="1"/>
  <c r="E2070" i="1"/>
  <c r="B2070" i="1"/>
  <c r="O2069" i="1"/>
  <c r="E2069" i="1"/>
  <c r="B2069" i="1"/>
  <c r="O2068" i="1"/>
  <c r="E2068" i="1"/>
  <c r="B2068" i="1"/>
  <c r="O2067" i="1"/>
  <c r="E2067" i="1"/>
  <c r="B2067" i="1"/>
  <c r="O2066" i="1"/>
  <c r="E2066" i="1"/>
  <c r="B2066" i="1"/>
  <c r="O2065" i="1"/>
  <c r="E2065" i="1"/>
  <c r="B2065" i="1"/>
  <c r="O2064" i="1"/>
  <c r="E2064" i="1"/>
  <c r="B2064" i="1"/>
  <c r="O2063" i="1"/>
  <c r="E2063" i="1"/>
  <c r="B2063" i="1"/>
  <c r="O2062" i="1"/>
  <c r="E2062" i="1"/>
  <c r="B2062" i="1"/>
  <c r="O2061" i="1"/>
  <c r="E2061" i="1"/>
  <c r="B2061" i="1"/>
  <c r="O2060" i="1"/>
  <c r="E2060" i="1"/>
  <c r="B2060" i="1"/>
  <c r="O2059" i="1"/>
  <c r="E2059" i="1"/>
  <c r="B2059" i="1"/>
  <c r="O2058" i="1"/>
  <c r="E2058" i="1"/>
  <c r="B2058" i="1"/>
  <c r="O2057" i="1"/>
  <c r="E2057" i="1"/>
  <c r="B2057" i="1"/>
  <c r="O2056" i="1"/>
  <c r="E2056" i="1"/>
  <c r="B2056" i="1"/>
  <c r="O2055" i="1"/>
  <c r="E2055" i="1"/>
  <c r="B2055" i="1"/>
  <c r="O2054" i="1"/>
  <c r="E2054" i="1"/>
  <c r="B2054" i="1"/>
  <c r="O2053" i="1"/>
  <c r="E2053" i="1"/>
  <c r="B2053" i="1"/>
  <c r="O2052" i="1"/>
  <c r="E2052" i="1"/>
  <c r="B2052" i="1"/>
  <c r="O2051" i="1"/>
  <c r="E2051" i="1"/>
  <c r="B2051" i="1"/>
  <c r="O2050" i="1"/>
  <c r="E2050" i="1"/>
  <c r="B2050" i="1"/>
  <c r="O2049" i="1"/>
  <c r="E2049" i="1"/>
  <c r="B2049" i="1"/>
  <c r="O2048" i="1"/>
  <c r="E2048" i="1"/>
  <c r="B2048" i="1"/>
  <c r="O2047" i="1"/>
  <c r="E2047" i="1"/>
  <c r="B2047" i="1"/>
  <c r="O2046" i="1"/>
  <c r="E2046" i="1"/>
  <c r="B2046" i="1"/>
  <c r="O2045" i="1"/>
  <c r="E2045" i="1"/>
  <c r="B2045" i="1"/>
  <c r="O2044" i="1"/>
  <c r="E2044" i="1"/>
  <c r="B2044" i="1"/>
  <c r="O2043" i="1"/>
  <c r="E2043" i="1"/>
  <c r="B2043" i="1"/>
  <c r="O2042" i="1"/>
  <c r="E2042" i="1"/>
  <c r="B2042" i="1"/>
  <c r="O2041" i="1"/>
  <c r="E2041" i="1"/>
  <c r="B2041" i="1"/>
  <c r="O2040" i="1"/>
  <c r="E2040" i="1"/>
  <c r="B2040" i="1"/>
  <c r="O2039" i="1"/>
  <c r="E2039" i="1"/>
  <c r="B2039" i="1"/>
  <c r="O2038" i="1"/>
  <c r="E2038" i="1"/>
  <c r="B2038" i="1"/>
  <c r="O2037" i="1"/>
  <c r="E2037" i="1"/>
  <c r="B2037" i="1"/>
  <c r="O2036" i="1"/>
  <c r="E2036" i="1"/>
  <c r="B2036" i="1"/>
  <c r="O2035" i="1"/>
  <c r="E2035" i="1"/>
  <c r="B2035" i="1"/>
  <c r="O2034" i="1"/>
  <c r="E2034" i="1"/>
  <c r="B2034" i="1"/>
  <c r="O2033" i="1"/>
  <c r="E2033" i="1"/>
  <c r="B2033" i="1"/>
  <c r="O2032" i="1"/>
  <c r="E2032" i="1"/>
  <c r="B2032" i="1"/>
  <c r="O2031" i="1"/>
  <c r="E2031" i="1"/>
  <c r="B2031" i="1"/>
  <c r="O2030" i="1"/>
  <c r="E2030" i="1"/>
  <c r="B2030" i="1"/>
  <c r="O2029" i="1"/>
  <c r="E2029" i="1"/>
  <c r="B2029" i="1"/>
  <c r="O2028" i="1"/>
  <c r="E2028" i="1"/>
  <c r="B2028" i="1"/>
  <c r="O2027" i="1"/>
  <c r="E2027" i="1"/>
  <c r="B2027" i="1"/>
  <c r="O2026" i="1"/>
  <c r="E2026" i="1"/>
  <c r="B2026" i="1"/>
  <c r="O2025" i="1"/>
  <c r="E2025" i="1"/>
  <c r="B2025" i="1"/>
  <c r="O2024" i="1"/>
  <c r="E2024" i="1"/>
  <c r="B2024" i="1"/>
  <c r="O2023" i="1"/>
  <c r="E2023" i="1"/>
  <c r="B2023" i="1"/>
  <c r="O2022" i="1"/>
  <c r="E2022" i="1"/>
  <c r="B2022" i="1"/>
  <c r="O2021" i="1"/>
  <c r="E2021" i="1"/>
  <c r="B2021" i="1"/>
  <c r="O2020" i="1"/>
  <c r="E2020" i="1"/>
  <c r="B2020" i="1"/>
  <c r="O2019" i="1"/>
  <c r="E2019" i="1"/>
  <c r="B2019" i="1"/>
  <c r="O2018" i="1"/>
  <c r="E2018" i="1"/>
  <c r="B2018" i="1"/>
  <c r="O2017" i="1"/>
  <c r="E2017" i="1"/>
  <c r="B2017" i="1"/>
  <c r="O2016" i="1"/>
  <c r="E2016" i="1"/>
  <c r="B2016" i="1"/>
  <c r="O2015" i="1"/>
  <c r="E2015" i="1"/>
  <c r="B2015" i="1"/>
  <c r="O2014" i="1"/>
  <c r="E2014" i="1"/>
  <c r="B2014" i="1"/>
  <c r="O2013" i="1"/>
  <c r="E2013" i="1"/>
  <c r="B2013" i="1"/>
  <c r="O2012" i="1"/>
  <c r="E2012" i="1"/>
  <c r="B2012" i="1"/>
  <c r="O2011" i="1"/>
  <c r="E2011" i="1"/>
  <c r="B2011" i="1"/>
  <c r="O2010" i="1"/>
  <c r="E2010" i="1"/>
  <c r="B2010" i="1"/>
  <c r="O2009" i="1"/>
  <c r="E2009" i="1"/>
  <c r="B2009" i="1"/>
  <c r="O2008" i="1"/>
  <c r="E2008" i="1"/>
  <c r="B2008" i="1"/>
  <c r="O2007" i="1"/>
  <c r="E2007" i="1"/>
  <c r="B2007" i="1"/>
  <c r="O2006" i="1"/>
  <c r="E2006" i="1"/>
  <c r="B2006" i="1"/>
  <c r="O2005" i="1"/>
  <c r="E2005" i="1"/>
  <c r="B2005" i="1"/>
  <c r="O2004" i="1"/>
  <c r="E2004" i="1"/>
  <c r="B2004" i="1"/>
  <c r="O2003" i="1"/>
  <c r="E2003" i="1"/>
  <c r="B2003" i="1"/>
  <c r="O2002" i="1"/>
  <c r="E2002" i="1"/>
  <c r="B2002" i="1"/>
  <c r="O2001" i="1"/>
  <c r="E2001" i="1"/>
  <c r="B2001" i="1"/>
  <c r="O2000" i="1"/>
  <c r="E2000" i="1"/>
  <c r="B2000" i="1"/>
  <c r="O1999" i="1"/>
  <c r="E1999" i="1"/>
  <c r="B1999" i="1"/>
  <c r="O1998" i="1"/>
  <c r="E1998" i="1"/>
  <c r="B1998" i="1"/>
  <c r="O1997" i="1"/>
  <c r="E1997" i="1"/>
  <c r="B1997" i="1"/>
  <c r="O1996" i="1"/>
  <c r="E1996" i="1"/>
  <c r="B1996" i="1"/>
  <c r="O1995" i="1"/>
  <c r="E1995" i="1"/>
  <c r="B1995" i="1"/>
  <c r="O1994" i="1"/>
  <c r="E1994" i="1"/>
  <c r="B1994" i="1"/>
  <c r="O1993" i="1"/>
  <c r="E1993" i="1"/>
  <c r="B1993" i="1"/>
  <c r="O1992" i="1"/>
  <c r="E1992" i="1"/>
  <c r="B1992" i="1"/>
  <c r="O1991" i="1"/>
  <c r="E1991" i="1"/>
  <c r="B1991" i="1"/>
  <c r="O1990" i="1"/>
  <c r="E1990" i="1"/>
  <c r="B1990" i="1"/>
  <c r="O1989" i="1"/>
  <c r="E1989" i="1"/>
  <c r="B1989" i="1"/>
  <c r="O1988" i="1"/>
  <c r="E1988" i="1"/>
  <c r="B1988" i="1"/>
  <c r="P1987" i="1"/>
  <c r="O1987" i="1"/>
  <c r="E1987" i="1"/>
  <c r="B1987" i="1"/>
  <c r="O1986" i="1"/>
  <c r="E1986" i="1"/>
  <c r="B1986" i="1"/>
  <c r="O1985" i="1"/>
  <c r="E1985" i="1"/>
  <c r="B1985" i="1"/>
  <c r="O1984" i="1"/>
  <c r="E1984" i="1"/>
  <c r="B1984" i="1"/>
  <c r="O1983" i="1"/>
  <c r="E1983" i="1"/>
  <c r="B1983" i="1"/>
  <c r="O1982" i="1"/>
  <c r="E1982" i="1"/>
  <c r="B1982" i="1"/>
  <c r="O1981" i="1"/>
  <c r="E1981" i="1"/>
  <c r="B1981" i="1"/>
  <c r="O1980" i="1"/>
  <c r="E1980" i="1"/>
  <c r="B1980" i="1"/>
  <c r="O1979" i="1"/>
  <c r="E1979" i="1"/>
  <c r="B1979" i="1"/>
  <c r="O1978" i="1"/>
  <c r="E1978" i="1"/>
  <c r="B1978" i="1"/>
  <c r="O1977" i="1"/>
  <c r="E1977" i="1"/>
  <c r="B1977" i="1"/>
  <c r="O1976" i="1"/>
  <c r="E1976" i="1"/>
  <c r="B1976" i="1"/>
  <c r="O1975" i="1"/>
  <c r="E1975" i="1"/>
  <c r="B1975" i="1"/>
  <c r="O1974" i="1"/>
  <c r="E1974" i="1"/>
  <c r="B1974" i="1"/>
  <c r="O1973" i="1"/>
  <c r="E1973" i="1"/>
  <c r="B1973" i="1"/>
  <c r="O1972" i="1"/>
  <c r="E1972" i="1"/>
  <c r="B1972" i="1"/>
  <c r="O1971" i="1"/>
  <c r="E1971" i="1"/>
  <c r="B1971" i="1"/>
  <c r="O1970" i="1"/>
  <c r="E1970" i="1"/>
  <c r="B1970" i="1"/>
  <c r="O1969" i="1"/>
  <c r="E1969" i="1"/>
  <c r="B1969" i="1"/>
  <c r="O1968" i="1"/>
  <c r="E1968" i="1"/>
  <c r="B1968" i="1"/>
  <c r="O1967" i="1"/>
  <c r="E1967" i="1"/>
  <c r="B1967" i="1"/>
  <c r="O1966" i="1"/>
  <c r="E1966" i="1"/>
  <c r="B1966" i="1"/>
  <c r="O1965" i="1"/>
  <c r="E1965" i="1"/>
  <c r="B1965" i="1"/>
  <c r="O1964" i="1"/>
  <c r="E1964" i="1"/>
  <c r="B1964" i="1"/>
  <c r="O1963" i="1"/>
  <c r="E1963" i="1"/>
  <c r="B1963" i="1"/>
  <c r="O1962" i="1"/>
  <c r="E1962" i="1"/>
  <c r="B1962" i="1"/>
  <c r="O1961" i="1"/>
  <c r="E1961" i="1"/>
  <c r="B1961" i="1"/>
  <c r="O1960" i="1"/>
  <c r="E1960" i="1"/>
  <c r="B1960" i="1"/>
  <c r="O1959" i="1"/>
  <c r="E1959" i="1"/>
  <c r="B1959" i="1"/>
  <c r="O1958" i="1"/>
  <c r="E1958" i="1"/>
  <c r="B1958" i="1"/>
  <c r="O1957" i="1"/>
  <c r="E1957" i="1"/>
  <c r="B1957" i="1"/>
  <c r="O1956" i="1"/>
  <c r="E1956" i="1"/>
  <c r="B1956" i="1"/>
  <c r="O1955" i="1"/>
  <c r="E1955" i="1"/>
  <c r="B1955" i="1"/>
  <c r="O1954" i="1"/>
  <c r="E1954" i="1"/>
  <c r="B1954" i="1"/>
  <c r="O1953" i="1"/>
  <c r="E1953" i="1"/>
  <c r="B1953" i="1"/>
  <c r="O1952" i="1"/>
  <c r="E1952" i="1"/>
  <c r="B1952" i="1"/>
  <c r="O1951" i="1"/>
  <c r="E1951" i="1"/>
  <c r="B1951" i="1"/>
  <c r="O1950" i="1"/>
  <c r="E1950" i="1"/>
  <c r="B1950" i="1"/>
  <c r="O1949" i="1"/>
  <c r="E1949" i="1"/>
  <c r="B1949" i="1"/>
  <c r="O1948" i="1"/>
  <c r="E1948" i="1"/>
  <c r="B1948" i="1"/>
  <c r="O1947" i="1"/>
  <c r="E1947" i="1"/>
  <c r="B1947" i="1"/>
  <c r="O1946" i="1"/>
  <c r="E1946" i="1"/>
  <c r="B1946" i="1"/>
  <c r="O1945" i="1"/>
  <c r="E1945" i="1"/>
  <c r="B1945" i="1"/>
  <c r="O1944" i="1"/>
  <c r="E1944" i="1"/>
  <c r="B1944" i="1"/>
  <c r="O1943" i="1"/>
  <c r="E1943" i="1"/>
  <c r="B1943" i="1"/>
  <c r="O1942" i="1"/>
  <c r="E1942" i="1"/>
  <c r="B1942" i="1"/>
  <c r="O1941" i="1"/>
  <c r="E1941" i="1"/>
  <c r="B1941" i="1"/>
  <c r="O1940" i="1"/>
  <c r="E1940" i="1"/>
  <c r="B1940" i="1"/>
  <c r="O1939" i="1"/>
  <c r="E1939" i="1"/>
  <c r="B1939" i="1"/>
  <c r="O1938" i="1"/>
  <c r="E1938" i="1"/>
  <c r="B1938" i="1"/>
  <c r="O1937" i="1"/>
  <c r="E1937" i="1"/>
  <c r="B1937" i="1"/>
  <c r="O1936" i="1"/>
  <c r="E1936" i="1"/>
  <c r="B1936" i="1"/>
  <c r="O1935" i="1"/>
  <c r="E1935" i="1"/>
  <c r="B1935" i="1"/>
  <c r="O1934" i="1"/>
  <c r="E1934" i="1"/>
  <c r="B1934" i="1"/>
  <c r="O1933" i="1"/>
  <c r="E1933" i="1"/>
  <c r="B1933" i="1"/>
  <c r="O1932" i="1"/>
  <c r="E1932" i="1"/>
  <c r="B1932" i="1"/>
  <c r="O1931" i="1"/>
  <c r="E1931" i="1"/>
  <c r="B1931" i="1"/>
  <c r="P1930" i="1"/>
  <c r="O1930" i="1"/>
  <c r="E1930" i="1"/>
  <c r="B1930" i="1"/>
  <c r="O1929" i="1"/>
  <c r="E1929" i="1"/>
  <c r="B1929" i="1"/>
  <c r="O1928" i="1"/>
  <c r="E1928" i="1"/>
  <c r="B1928" i="1"/>
  <c r="O1927" i="1"/>
  <c r="E1927" i="1"/>
  <c r="B1927" i="1"/>
  <c r="O1926" i="1"/>
  <c r="E1926" i="1"/>
  <c r="B1926" i="1"/>
  <c r="O1925" i="1"/>
  <c r="E1925" i="1"/>
  <c r="B1925" i="1"/>
  <c r="O1924" i="1"/>
  <c r="E1924" i="1"/>
  <c r="B1924" i="1"/>
  <c r="O1923" i="1"/>
  <c r="E1923" i="1"/>
  <c r="B1923" i="1"/>
  <c r="O1922" i="1"/>
  <c r="E1922" i="1"/>
  <c r="B1922" i="1"/>
  <c r="O1921" i="1"/>
  <c r="E1921" i="1"/>
  <c r="B1921" i="1"/>
  <c r="O1920" i="1"/>
  <c r="E1920" i="1"/>
  <c r="B1920" i="1"/>
  <c r="O1919" i="1"/>
  <c r="E1919" i="1"/>
  <c r="B1919" i="1"/>
  <c r="O1918" i="1"/>
  <c r="E1918" i="1"/>
  <c r="B1918" i="1"/>
  <c r="O1917" i="1"/>
  <c r="E1917" i="1"/>
  <c r="B1917" i="1"/>
  <c r="O1916" i="1"/>
  <c r="E1916" i="1"/>
  <c r="B1916" i="1"/>
  <c r="O1915" i="1"/>
  <c r="E1915" i="1"/>
  <c r="B1915" i="1"/>
  <c r="P1914" i="1"/>
  <c r="O1914" i="1"/>
  <c r="E1914" i="1"/>
  <c r="B1914" i="1"/>
  <c r="O1913" i="1"/>
  <c r="E1913" i="1"/>
  <c r="B1913" i="1"/>
  <c r="O1912" i="1"/>
  <c r="E1912" i="1"/>
  <c r="B1912" i="1"/>
  <c r="O1911" i="1"/>
  <c r="E1911" i="1"/>
  <c r="B1911" i="1"/>
  <c r="O1910" i="1"/>
  <c r="E1910" i="1"/>
  <c r="B1910" i="1"/>
  <c r="O1909" i="1"/>
  <c r="E1909" i="1"/>
  <c r="B1909" i="1"/>
  <c r="O1908" i="1"/>
  <c r="E1908" i="1"/>
  <c r="B1908" i="1"/>
  <c r="O1907" i="1"/>
  <c r="E1907" i="1"/>
  <c r="B1907" i="1"/>
  <c r="P1906" i="1"/>
  <c r="O1906" i="1"/>
  <c r="E1906" i="1"/>
  <c r="B1906" i="1"/>
  <c r="O1905" i="1"/>
  <c r="E1905" i="1"/>
  <c r="B1905" i="1"/>
  <c r="O1904" i="1"/>
  <c r="E1904" i="1"/>
  <c r="B1904" i="1"/>
  <c r="O1903" i="1"/>
  <c r="E1903" i="1"/>
  <c r="B1903" i="1"/>
  <c r="O1902" i="1"/>
  <c r="E1902" i="1"/>
  <c r="B1902" i="1"/>
  <c r="O1901" i="1"/>
  <c r="E1901" i="1"/>
  <c r="B1901" i="1"/>
  <c r="O1900" i="1"/>
  <c r="E1900" i="1"/>
  <c r="B1900" i="1"/>
  <c r="O1899" i="1"/>
  <c r="E1899" i="1"/>
  <c r="B1899" i="1"/>
  <c r="O1898" i="1"/>
  <c r="E1898" i="1"/>
  <c r="B1898" i="1"/>
  <c r="P1897" i="1"/>
  <c r="O1897" i="1"/>
  <c r="E1897" i="1"/>
  <c r="B1897" i="1"/>
  <c r="O1896" i="1"/>
  <c r="E1896" i="1"/>
  <c r="B1896" i="1"/>
  <c r="O1895" i="1"/>
  <c r="E1895" i="1"/>
  <c r="B1895" i="1"/>
  <c r="O1894" i="1"/>
  <c r="E1894" i="1"/>
  <c r="B1894" i="1"/>
  <c r="O1893" i="1"/>
  <c r="E1893" i="1"/>
  <c r="B1893" i="1"/>
  <c r="O1892" i="1"/>
  <c r="E1892" i="1"/>
  <c r="B1892" i="1"/>
  <c r="O1891" i="1"/>
  <c r="E1891" i="1"/>
  <c r="B1891" i="1"/>
  <c r="O1890" i="1"/>
  <c r="E1890" i="1"/>
  <c r="B1890" i="1"/>
  <c r="O1889" i="1"/>
  <c r="E1889" i="1"/>
  <c r="B1889" i="1"/>
  <c r="O1888" i="1"/>
  <c r="E1888" i="1"/>
  <c r="B1888" i="1"/>
  <c r="O1887" i="1"/>
  <c r="E1887" i="1"/>
  <c r="B1887" i="1"/>
  <c r="O1886" i="1"/>
  <c r="E1886" i="1"/>
  <c r="B1886" i="1"/>
  <c r="O1885" i="1"/>
  <c r="E1885" i="1"/>
  <c r="B1885" i="1"/>
  <c r="O1884" i="1"/>
  <c r="E1884" i="1"/>
  <c r="B1884" i="1"/>
  <c r="O1883" i="1"/>
  <c r="E1883" i="1"/>
  <c r="B1883" i="1"/>
  <c r="O1882" i="1"/>
  <c r="E1882" i="1"/>
  <c r="B1882" i="1"/>
  <c r="O1881" i="1"/>
  <c r="E1881" i="1"/>
  <c r="B1881" i="1"/>
  <c r="O1880" i="1"/>
  <c r="E1880" i="1"/>
  <c r="B1880" i="1"/>
  <c r="O1879" i="1"/>
  <c r="E1879" i="1"/>
  <c r="B1879" i="1"/>
  <c r="O1878" i="1"/>
  <c r="E1878" i="1"/>
  <c r="B1878" i="1"/>
  <c r="O1877" i="1"/>
  <c r="E1877" i="1"/>
  <c r="B1877" i="1"/>
  <c r="O1876" i="1"/>
  <c r="E1876" i="1"/>
  <c r="B1876" i="1"/>
  <c r="O1875" i="1"/>
  <c r="E1875" i="1"/>
  <c r="B1875" i="1"/>
  <c r="O1874" i="1"/>
  <c r="E1874" i="1"/>
  <c r="B1874" i="1"/>
  <c r="O1873" i="1"/>
  <c r="E1873" i="1"/>
  <c r="B1873" i="1"/>
  <c r="O1872" i="1"/>
  <c r="E1872" i="1"/>
  <c r="B1872" i="1"/>
  <c r="O1871" i="1"/>
  <c r="E1871" i="1"/>
  <c r="B1871" i="1"/>
  <c r="O1870" i="1"/>
  <c r="E1870" i="1"/>
  <c r="B1870" i="1"/>
  <c r="O1869" i="1"/>
  <c r="E1869" i="1"/>
  <c r="B1869" i="1"/>
  <c r="O1868" i="1"/>
  <c r="E1868" i="1"/>
  <c r="B1868" i="1"/>
  <c r="O1867" i="1"/>
  <c r="E1867" i="1"/>
  <c r="B1867" i="1"/>
  <c r="O1866" i="1"/>
  <c r="E1866" i="1"/>
  <c r="B1866" i="1"/>
  <c r="O1865" i="1"/>
  <c r="E1865" i="1"/>
  <c r="B1865" i="1"/>
  <c r="O1864" i="1"/>
  <c r="E1864" i="1"/>
  <c r="B1864" i="1"/>
  <c r="O1863" i="1"/>
  <c r="E1863" i="1"/>
  <c r="B1863" i="1"/>
  <c r="O1862" i="1"/>
  <c r="E1862" i="1"/>
  <c r="B1862" i="1"/>
  <c r="O1861" i="1"/>
  <c r="E1861" i="1"/>
  <c r="B1861" i="1"/>
  <c r="O1860" i="1"/>
  <c r="E1860" i="1"/>
  <c r="B1860" i="1"/>
  <c r="O1859" i="1"/>
  <c r="E1859" i="1"/>
  <c r="B1859" i="1"/>
  <c r="O1858" i="1"/>
  <c r="E1858" i="1"/>
  <c r="B1858" i="1"/>
  <c r="O1857" i="1"/>
  <c r="E1857" i="1"/>
  <c r="B1857" i="1"/>
  <c r="O1856" i="1"/>
  <c r="E1856" i="1"/>
  <c r="B1856" i="1"/>
  <c r="O1855" i="1"/>
  <c r="E1855" i="1"/>
  <c r="B1855" i="1"/>
  <c r="O1854" i="1"/>
  <c r="E1854" i="1"/>
  <c r="B1854" i="1"/>
  <c r="O1853" i="1"/>
  <c r="E1853" i="1"/>
  <c r="B1853" i="1"/>
  <c r="O1852" i="1"/>
  <c r="E1852" i="1"/>
  <c r="B1852" i="1"/>
  <c r="O1851" i="1"/>
  <c r="E1851" i="1"/>
  <c r="B1851" i="1"/>
  <c r="O1850" i="1"/>
  <c r="E1850" i="1"/>
  <c r="B1850" i="1"/>
  <c r="O1849" i="1"/>
  <c r="E1849" i="1"/>
  <c r="B1849" i="1"/>
  <c r="O1848" i="1"/>
  <c r="E1848" i="1"/>
  <c r="B1848" i="1"/>
  <c r="O1847" i="1"/>
  <c r="E1847" i="1"/>
  <c r="B1847" i="1"/>
  <c r="O1846" i="1"/>
  <c r="E1846" i="1"/>
  <c r="B1846" i="1"/>
  <c r="O1845" i="1"/>
  <c r="E1845" i="1"/>
  <c r="B1845" i="1"/>
  <c r="O1844" i="1"/>
  <c r="E1844" i="1"/>
  <c r="B1844" i="1"/>
  <c r="O1843" i="1"/>
  <c r="E1843" i="1"/>
  <c r="B1843" i="1"/>
  <c r="O1842" i="1"/>
  <c r="E1842" i="1"/>
  <c r="B1842" i="1"/>
  <c r="O1841" i="1"/>
  <c r="E1841" i="1"/>
  <c r="B1841" i="1"/>
  <c r="O1840" i="1"/>
  <c r="E1840" i="1"/>
  <c r="B1840" i="1"/>
  <c r="O1839" i="1"/>
  <c r="E1839" i="1"/>
  <c r="B1839" i="1"/>
  <c r="O1838" i="1"/>
  <c r="E1838" i="1"/>
  <c r="B1838" i="1"/>
  <c r="O1837" i="1"/>
  <c r="E1837" i="1"/>
  <c r="B1837" i="1"/>
  <c r="O1836" i="1"/>
  <c r="E1836" i="1"/>
  <c r="B1836" i="1"/>
  <c r="O1835" i="1"/>
  <c r="E1835" i="1"/>
  <c r="B1835" i="1"/>
  <c r="O1834" i="1"/>
  <c r="E1834" i="1"/>
  <c r="B1834" i="1"/>
  <c r="O1833" i="1"/>
  <c r="E1833" i="1"/>
  <c r="B1833" i="1"/>
  <c r="O1832" i="1"/>
  <c r="E1832" i="1"/>
  <c r="B1832" i="1"/>
  <c r="O1831" i="1"/>
  <c r="E1831" i="1"/>
  <c r="B1831" i="1"/>
  <c r="O1830" i="1"/>
  <c r="E1830" i="1"/>
  <c r="B1830" i="1"/>
  <c r="O1829" i="1"/>
  <c r="E1829" i="1"/>
  <c r="B1829" i="1"/>
  <c r="O1828" i="1"/>
  <c r="E1828" i="1"/>
  <c r="B1828" i="1"/>
  <c r="O1827" i="1"/>
  <c r="E1827" i="1"/>
  <c r="B1827" i="1"/>
  <c r="O1826" i="1"/>
  <c r="E1826" i="1"/>
  <c r="B1826" i="1"/>
  <c r="O1825" i="1"/>
  <c r="E1825" i="1"/>
  <c r="B1825" i="1"/>
  <c r="O1824" i="1"/>
  <c r="E1824" i="1"/>
  <c r="B1824" i="1"/>
  <c r="O1823" i="1"/>
  <c r="E1823" i="1"/>
  <c r="B1823" i="1"/>
  <c r="O1822" i="1"/>
  <c r="E1822" i="1"/>
  <c r="B1822" i="1"/>
  <c r="O1821" i="1"/>
  <c r="E1821" i="1"/>
  <c r="B1821" i="1"/>
  <c r="O1820" i="1"/>
  <c r="E1820" i="1"/>
  <c r="B1820" i="1"/>
  <c r="O1819" i="1"/>
  <c r="E1819" i="1"/>
  <c r="B1819" i="1"/>
  <c r="O1818" i="1"/>
  <c r="E1818" i="1"/>
  <c r="B1818" i="1"/>
  <c r="O1817" i="1"/>
  <c r="E1817" i="1"/>
  <c r="B1817" i="1"/>
  <c r="O1816" i="1"/>
  <c r="E1816" i="1"/>
  <c r="B1816" i="1"/>
  <c r="O1815" i="1"/>
  <c r="E1815" i="1"/>
  <c r="B1815" i="1"/>
  <c r="O1814" i="1"/>
  <c r="E1814" i="1"/>
  <c r="B1814" i="1"/>
  <c r="O1813" i="1"/>
  <c r="E1813" i="1"/>
  <c r="B1813" i="1"/>
  <c r="O1812" i="1"/>
  <c r="E1812" i="1"/>
  <c r="B1812" i="1"/>
  <c r="O1811" i="1"/>
  <c r="E1811" i="1"/>
  <c r="B1811" i="1"/>
  <c r="O1810" i="1"/>
  <c r="E1810" i="1"/>
  <c r="B1810" i="1"/>
  <c r="O1809" i="1"/>
  <c r="E1809" i="1"/>
  <c r="B1809" i="1"/>
  <c r="O1808" i="1"/>
  <c r="E1808" i="1"/>
  <c r="B1808" i="1"/>
  <c r="O1807" i="1"/>
  <c r="E1807" i="1"/>
  <c r="B1807" i="1"/>
  <c r="O1806" i="1"/>
  <c r="E1806" i="1"/>
  <c r="B1806" i="1"/>
  <c r="O1805" i="1"/>
  <c r="E1805" i="1"/>
  <c r="B1805" i="1"/>
  <c r="O1804" i="1"/>
  <c r="E1804" i="1"/>
  <c r="B1804" i="1"/>
  <c r="O1803" i="1"/>
  <c r="E1803" i="1"/>
  <c r="B1803" i="1"/>
  <c r="O1802" i="1"/>
  <c r="E1802" i="1"/>
  <c r="B1802" i="1"/>
  <c r="O1801" i="1"/>
  <c r="E1801" i="1"/>
  <c r="B1801" i="1"/>
  <c r="O1800" i="1"/>
  <c r="E1800" i="1"/>
  <c r="B1800" i="1"/>
  <c r="O1799" i="1"/>
  <c r="E1799" i="1"/>
  <c r="B1799" i="1"/>
  <c r="O1798" i="1"/>
  <c r="E1798" i="1"/>
  <c r="B1798" i="1"/>
  <c r="O1797" i="1"/>
  <c r="E1797" i="1"/>
  <c r="B1797" i="1"/>
  <c r="O1796" i="1"/>
  <c r="E1796" i="1"/>
  <c r="B1796" i="1"/>
  <c r="O1795" i="1"/>
  <c r="E1795" i="1"/>
  <c r="B1795" i="1"/>
  <c r="O1794" i="1"/>
  <c r="E1794" i="1"/>
  <c r="B1794" i="1"/>
  <c r="O1793" i="1"/>
  <c r="E1793" i="1"/>
  <c r="B1793" i="1"/>
  <c r="O1792" i="1"/>
  <c r="E1792" i="1"/>
  <c r="B1792" i="1"/>
  <c r="O1791" i="1"/>
  <c r="E1791" i="1"/>
  <c r="B1791" i="1"/>
  <c r="O1790" i="1"/>
  <c r="E1790" i="1"/>
  <c r="B1790" i="1"/>
  <c r="O1789" i="1"/>
  <c r="E1789" i="1"/>
  <c r="B1789" i="1"/>
  <c r="O1788" i="1"/>
  <c r="E1788" i="1"/>
  <c r="B1788" i="1"/>
  <c r="O1787" i="1"/>
  <c r="E1787" i="1"/>
  <c r="B1787" i="1"/>
  <c r="O1786" i="1"/>
  <c r="E1786" i="1"/>
  <c r="B1786" i="1"/>
  <c r="O1785" i="1"/>
  <c r="E1785" i="1"/>
  <c r="B1785" i="1"/>
  <c r="O1784" i="1"/>
  <c r="E1784" i="1"/>
  <c r="B1784" i="1"/>
  <c r="O1783" i="1"/>
  <c r="E1783" i="1"/>
  <c r="B1783" i="1"/>
  <c r="O1782" i="1"/>
  <c r="E1782" i="1"/>
  <c r="B1782" i="1"/>
  <c r="O1781" i="1"/>
  <c r="E1781" i="1"/>
  <c r="B1781" i="1"/>
  <c r="O1780" i="1"/>
  <c r="E1780" i="1"/>
  <c r="B1780" i="1"/>
  <c r="O1779" i="1"/>
  <c r="E1779" i="1"/>
  <c r="B1779" i="1"/>
  <c r="O1778" i="1"/>
  <c r="E1778" i="1"/>
  <c r="B1778" i="1"/>
  <c r="O1777" i="1"/>
  <c r="E1777" i="1"/>
  <c r="B1777" i="1"/>
  <c r="O1776" i="1"/>
  <c r="E1776" i="1"/>
  <c r="B1776" i="1"/>
  <c r="O1775" i="1"/>
  <c r="E1775" i="1"/>
  <c r="B1775" i="1"/>
  <c r="O1774" i="1"/>
  <c r="E1774" i="1"/>
  <c r="B1774" i="1"/>
  <c r="O1773" i="1"/>
  <c r="E1773" i="1"/>
  <c r="B1773" i="1"/>
  <c r="O1772" i="1"/>
  <c r="E1772" i="1"/>
  <c r="B1772" i="1"/>
  <c r="O1771" i="1"/>
  <c r="E1771" i="1"/>
  <c r="B1771" i="1"/>
  <c r="O1770" i="1"/>
  <c r="E1770" i="1"/>
  <c r="B1770" i="1"/>
  <c r="O1769" i="1"/>
  <c r="E1769" i="1"/>
  <c r="B1769" i="1"/>
  <c r="O1768" i="1"/>
  <c r="E1768" i="1"/>
  <c r="B1768" i="1"/>
  <c r="O1767" i="1"/>
  <c r="E1767" i="1"/>
  <c r="B1767" i="1"/>
  <c r="O1766" i="1"/>
  <c r="E1766" i="1"/>
  <c r="B1766" i="1"/>
  <c r="O1765" i="1"/>
  <c r="E1765" i="1"/>
  <c r="B1765" i="1"/>
  <c r="O1764" i="1"/>
  <c r="E1764" i="1"/>
  <c r="B1764" i="1"/>
  <c r="O1763" i="1"/>
  <c r="E1763" i="1"/>
  <c r="B1763" i="1"/>
  <c r="O1762" i="1"/>
  <c r="E1762" i="1"/>
  <c r="B1762" i="1"/>
  <c r="O1761" i="1"/>
  <c r="E1761" i="1"/>
  <c r="B1761" i="1"/>
  <c r="O1760" i="1"/>
  <c r="E1760" i="1"/>
  <c r="B1760" i="1"/>
  <c r="O1759" i="1"/>
  <c r="E1759" i="1"/>
  <c r="B1759" i="1"/>
  <c r="O1758" i="1"/>
  <c r="E1758" i="1"/>
  <c r="B1758" i="1"/>
  <c r="O1757" i="1"/>
  <c r="E1757" i="1"/>
  <c r="B1757" i="1"/>
  <c r="O1756" i="1"/>
  <c r="E1756" i="1"/>
  <c r="B1756" i="1"/>
  <c r="O1755" i="1"/>
  <c r="E1755" i="1"/>
  <c r="B1755" i="1"/>
  <c r="O1754" i="1"/>
  <c r="E1754" i="1"/>
  <c r="B1754" i="1"/>
  <c r="O1753" i="1"/>
  <c r="E1753" i="1"/>
  <c r="B1753" i="1"/>
  <c r="O1752" i="1"/>
  <c r="E1752" i="1"/>
  <c r="B1752" i="1"/>
  <c r="O1751" i="1"/>
  <c r="E1751" i="1"/>
  <c r="B1751" i="1"/>
  <c r="O1750" i="1"/>
  <c r="E1750" i="1"/>
  <c r="B1750" i="1"/>
  <c r="O1749" i="1"/>
  <c r="E1749" i="1"/>
  <c r="B1749" i="1"/>
  <c r="O1748" i="1"/>
  <c r="E1748" i="1"/>
  <c r="B1748" i="1"/>
  <c r="O1747" i="1"/>
  <c r="E1747" i="1"/>
  <c r="B1747" i="1"/>
  <c r="O1746" i="1"/>
  <c r="E1746" i="1"/>
  <c r="B1746" i="1"/>
  <c r="O1745" i="1"/>
  <c r="E1745" i="1"/>
  <c r="B1745" i="1"/>
  <c r="O1744" i="1"/>
  <c r="E1744" i="1"/>
  <c r="B1744" i="1"/>
  <c r="O1743" i="1"/>
  <c r="E1743" i="1"/>
  <c r="B1743" i="1"/>
  <c r="O1742" i="1"/>
  <c r="E1742" i="1"/>
  <c r="B1742" i="1"/>
  <c r="O1741" i="1"/>
  <c r="E1741" i="1"/>
  <c r="B1741" i="1"/>
  <c r="O1740" i="1"/>
  <c r="E1740" i="1"/>
  <c r="B1740" i="1"/>
  <c r="O1739" i="1"/>
  <c r="E1739" i="1"/>
  <c r="B1739" i="1"/>
  <c r="O1738" i="1"/>
  <c r="E1738" i="1"/>
  <c r="B1738" i="1"/>
  <c r="O1737" i="1"/>
  <c r="E1737" i="1"/>
  <c r="B1737" i="1"/>
  <c r="O1736" i="1"/>
  <c r="E1736" i="1"/>
  <c r="B1736" i="1"/>
  <c r="O1735" i="1"/>
  <c r="E1735" i="1"/>
  <c r="B1735" i="1"/>
  <c r="O1734" i="1"/>
  <c r="E1734" i="1"/>
  <c r="B1734" i="1"/>
  <c r="O1733" i="1"/>
  <c r="E1733" i="1"/>
  <c r="B1733" i="1"/>
  <c r="O1732" i="1"/>
  <c r="E1732" i="1"/>
  <c r="B1732" i="1"/>
  <c r="O1731" i="1"/>
  <c r="E1731" i="1"/>
  <c r="B1731" i="1"/>
  <c r="O1730" i="1"/>
  <c r="E1730" i="1"/>
  <c r="B1730" i="1"/>
  <c r="O1729" i="1"/>
  <c r="E1729" i="1"/>
  <c r="B1729" i="1"/>
  <c r="O1728" i="1"/>
  <c r="E1728" i="1"/>
  <c r="B1728" i="1"/>
  <c r="O1727" i="1"/>
  <c r="E1727" i="1"/>
  <c r="B1727" i="1"/>
  <c r="O1726" i="1"/>
  <c r="E1726" i="1"/>
  <c r="B1726" i="1"/>
  <c r="O1725" i="1"/>
  <c r="E1725" i="1"/>
  <c r="B1725" i="1"/>
  <c r="O1724" i="1"/>
  <c r="E1724" i="1"/>
  <c r="B1724" i="1"/>
  <c r="O1723" i="1"/>
  <c r="E1723" i="1"/>
  <c r="B1723" i="1"/>
  <c r="O1722" i="1"/>
  <c r="E1722" i="1"/>
  <c r="B1722" i="1"/>
  <c r="O1721" i="1"/>
  <c r="E1721" i="1"/>
  <c r="B1721" i="1"/>
  <c r="O1720" i="1"/>
  <c r="E1720" i="1"/>
  <c r="B1720" i="1"/>
  <c r="O1719" i="1"/>
  <c r="E1719" i="1"/>
  <c r="B1719" i="1"/>
  <c r="O1718" i="1"/>
  <c r="E1718" i="1"/>
  <c r="B1718" i="1"/>
  <c r="O1717" i="1"/>
  <c r="E1717" i="1"/>
  <c r="B1717" i="1"/>
  <c r="O1716" i="1"/>
  <c r="E1716" i="1"/>
  <c r="B1716" i="1"/>
  <c r="O1715" i="1"/>
  <c r="E1715" i="1"/>
  <c r="B1715" i="1"/>
  <c r="O1714" i="1"/>
  <c r="E1714" i="1"/>
  <c r="B1714" i="1"/>
  <c r="O1713" i="1"/>
  <c r="E1713" i="1"/>
  <c r="B1713" i="1"/>
  <c r="O1712" i="1"/>
  <c r="E1712" i="1"/>
  <c r="B1712" i="1"/>
  <c r="O1711" i="1"/>
  <c r="E1711" i="1"/>
  <c r="B1711" i="1"/>
  <c r="O1710" i="1"/>
  <c r="E1710" i="1"/>
  <c r="B1710" i="1"/>
  <c r="O1709" i="1"/>
  <c r="E1709" i="1"/>
  <c r="B1709" i="1"/>
  <c r="O1708" i="1"/>
  <c r="E1708" i="1"/>
  <c r="B1708" i="1"/>
  <c r="O1707" i="1"/>
  <c r="E1707" i="1"/>
  <c r="B1707" i="1"/>
  <c r="O1706" i="1"/>
  <c r="E1706" i="1"/>
  <c r="B1706" i="1"/>
  <c r="O1705" i="1"/>
  <c r="E1705" i="1"/>
  <c r="B1705" i="1"/>
  <c r="O1704" i="1"/>
  <c r="E1704" i="1"/>
  <c r="B1704" i="1"/>
  <c r="O1703" i="1"/>
  <c r="E1703" i="1"/>
  <c r="B1703" i="1"/>
  <c r="O1702" i="1"/>
  <c r="E1702" i="1"/>
  <c r="B1702" i="1"/>
  <c r="O1701" i="1"/>
  <c r="E1701" i="1"/>
  <c r="B1701" i="1"/>
  <c r="O1700" i="1"/>
  <c r="E1700" i="1"/>
  <c r="B1700" i="1"/>
  <c r="O1699" i="1"/>
  <c r="E1699" i="1"/>
  <c r="B1699" i="1"/>
  <c r="O1698" i="1"/>
  <c r="E1698" i="1"/>
  <c r="B1698" i="1"/>
  <c r="O1697" i="1"/>
  <c r="E1697" i="1"/>
  <c r="B1697" i="1"/>
  <c r="O1696" i="1"/>
  <c r="E1696" i="1"/>
  <c r="B1696" i="1"/>
  <c r="O1695" i="1"/>
  <c r="E1695" i="1"/>
  <c r="B1695" i="1"/>
  <c r="O1694" i="1"/>
  <c r="E1694" i="1"/>
  <c r="B1694" i="1"/>
  <c r="P1693" i="1"/>
  <c r="O1693" i="1"/>
  <c r="E1693" i="1"/>
  <c r="B1693" i="1"/>
  <c r="O1692" i="1"/>
  <c r="E1692" i="1"/>
  <c r="B1692" i="1"/>
  <c r="O1691" i="1"/>
  <c r="E1691" i="1"/>
  <c r="B1691" i="1"/>
  <c r="O1690" i="1"/>
  <c r="E1690" i="1"/>
  <c r="B1690" i="1"/>
  <c r="O1689" i="1"/>
  <c r="E1689" i="1"/>
  <c r="B1689" i="1"/>
  <c r="O1688" i="1"/>
  <c r="E1688" i="1"/>
  <c r="B1688" i="1"/>
  <c r="O1687" i="1"/>
  <c r="E1687" i="1"/>
  <c r="B1687" i="1"/>
  <c r="O1686" i="1"/>
  <c r="E1686" i="1"/>
  <c r="B1686" i="1"/>
  <c r="O1685" i="1"/>
  <c r="E1685" i="1"/>
  <c r="B1685" i="1"/>
  <c r="O1684" i="1"/>
  <c r="E1684" i="1"/>
  <c r="B1684" i="1"/>
  <c r="O1683" i="1"/>
  <c r="E1683" i="1"/>
  <c r="B1683" i="1"/>
  <c r="O1682" i="1"/>
  <c r="E1682" i="1"/>
  <c r="B1682" i="1"/>
  <c r="O1681" i="1"/>
  <c r="E1681" i="1"/>
  <c r="B1681" i="1"/>
  <c r="O1680" i="1"/>
  <c r="E1680" i="1"/>
  <c r="B1680" i="1"/>
  <c r="O1679" i="1"/>
  <c r="E1679" i="1"/>
  <c r="B1679" i="1"/>
  <c r="O1678" i="1"/>
  <c r="E1678" i="1"/>
  <c r="B1678" i="1"/>
  <c r="O1677" i="1"/>
  <c r="E1677" i="1"/>
  <c r="B1677" i="1"/>
  <c r="O1676" i="1"/>
  <c r="E1676" i="1"/>
  <c r="B1676" i="1"/>
  <c r="O1675" i="1"/>
  <c r="E1675" i="1"/>
  <c r="B1675" i="1"/>
  <c r="O1674" i="1"/>
  <c r="E1674" i="1"/>
  <c r="B1674" i="1"/>
  <c r="O1673" i="1"/>
  <c r="E1673" i="1"/>
  <c r="B1673" i="1"/>
  <c r="O1672" i="1"/>
  <c r="E1672" i="1"/>
  <c r="B1672" i="1"/>
  <c r="O1671" i="1"/>
  <c r="E1671" i="1"/>
  <c r="B1671" i="1"/>
  <c r="O1670" i="1"/>
  <c r="E1670" i="1"/>
  <c r="B1670" i="1"/>
  <c r="O1669" i="1"/>
  <c r="E1669" i="1"/>
  <c r="B1669" i="1"/>
  <c r="O1668" i="1"/>
  <c r="E1668" i="1"/>
  <c r="B1668" i="1"/>
  <c r="O1667" i="1"/>
  <c r="E1667" i="1"/>
  <c r="B1667" i="1"/>
  <c r="O1666" i="1"/>
  <c r="E1666" i="1"/>
  <c r="B1666" i="1"/>
  <c r="O1665" i="1"/>
  <c r="E1665" i="1"/>
  <c r="B1665" i="1"/>
  <c r="O1664" i="1"/>
  <c r="E1664" i="1"/>
  <c r="B1664" i="1"/>
  <c r="O1663" i="1"/>
  <c r="E1663" i="1"/>
  <c r="B1663" i="1"/>
  <c r="O1662" i="1"/>
  <c r="E1662" i="1"/>
  <c r="B1662" i="1"/>
  <c r="O1661" i="1"/>
  <c r="E1661" i="1"/>
  <c r="B1661" i="1"/>
  <c r="O1660" i="1"/>
  <c r="E1660" i="1"/>
  <c r="B1660" i="1"/>
  <c r="O1659" i="1"/>
  <c r="E1659" i="1"/>
  <c r="B1659" i="1"/>
  <c r="O1658" i="1"/>
  <c r="E1658" i="1"/>
  <c r="B1658" i="1"/>
  <c r="O1657" i="1"/>
  <c r="E1657" i="1"/>
  <c r="B1657" i="1"/>
  <c r="O1656" i="1"/>
  <c r="E1656" i="1"/>
  <c r="B1656" i="1"/>
  <c r="O1655" i="1"/>
  <c r="E1655" i="1"/>
  <c r="B1655" i="1"/>
  <c r="O1654" i="1"/>
  <c r="E1654" i="1"/>
  <c r="B1654" i="1"/>
  <c r="O1653" i="1"/>
  <c r="E1653" i="1"/>
  <c r="B1653" i="1"/>
  <c r="O1652" i="1"/>
  <c r="E1652" i="1"/>
  <c r="B1652" i="1"/>
  <c r="O1651" i="1"/>
  <c r="E1651" i="1"/>
  <c r="B1651" i="1"/>
  <c r="O1650" i="1"/>
  <c r="E1650" i="1"/>
  <c r="B1650" i="1"/>
  <c r="O1649" i="1"/>
  <c r="E1649" i="1"/>
  <c r="B1649" i="1"/>
  <c r="O1648" i="1"/>
  <c r="E1648" i="1"/>
  <c r="B1648" i="1"/>
  <c r="O1647" i="1"/>
  <c r="E1647" i="1"/>
  <c r="B1647" i="1"/>
  <c r="O1646" i="1"/>
  <c r="E1646" i="1"/>
  <c r="B1646" i="1"/>
  <c r="O1645" i="1"/>
  <c r="E1645" i="1"/>
  <c r="B1645" i="1"/>
  <c r="O1644" i="1"/>
  <c r="E1644" i="1"/>
  <c r="B1644" i="1"/>
  <c r="O1643" i="1"/>
  <c r="E1643" i="1"/>
  <c r="B1643" i="1"/>
  <c r="O1642" i="1"/>
  <c r="E1642" i="1"/>
  <c r="B1642" i="1"/>
  <c r="O1641" i="1"/>
  <c r="E1641" i="1"/>
  <c r="B1641" i="1"/>
  <c r="O1640" i="1"/>
  <c r="E1640" i="1"/>
  <c r="B1640" i="1"/>
  <c r="O1639" i="1"/>
  <c r="E1639" i="1"/>
  <c r="B1639" i="1"/>
  <c r="O1638" i="1"/>
  <c r="E1638" i="1"/>
  <c r="B1638" i="1"/>
  <c r="O1637" i="1"/>
  <c r="E1637" i="1"/>
  <c r="B1637" i="1"/>
  <c r="O1636" i="1"/>
  <c r="E1636" i="1"/>
  <c r="B1636" i="1"/>
  <c r="O1635" i="1"/>
  <c r="E1635" i="1"/>
  <c r="B1635" i="1"/>
  <c r="O1634" i="1"/>
  <c r="E1634" i="1"/>
  <c r="B1634" i="1"/>
  <c r="O1633" i="1"/>
  <c r="E1633" i="1"/>
  <c r="B1633" i="1"/>
  <c r="O1632" i="1"/>
  <c r="E1632" i="1"/>
  <c r="B1632" i="1"/>
  <c r="O1631" i="1"/>
  <c r="E1631" i="1"/>
  <c r="B1631" i="1"/>
  <c r="O1630" i="1"/>
  <c r="E1630" i="1"/>
  <c r="B1630" i="1"/>
  <c r="O1629" i="1"/>
  <c r="E1629" i="1"/>
  <c r="B1629" i="1"/>
  <c r="O1628" i="1"/>
  <c r="E1628" i="1"/>
  <c r="B1628" i="1"/>
  <c r="O1627" i="1"/>
  <c r="E1627" i="1"/>
  <c r="B1627" i="1"/>
  <c r="O1626" i="1"/>
  <c r="E1626" i="1"/>
  <c r="B1626" i="1"/>
  <c r="O1625" i="1"/>
  <c r="E1625" i="1"/>
  <c r="B1625" i="1"/>
  <c r="O1624" i="1"/>
  <c r="E1624" i="1"/>
  <c r="B1624" i="1"/>
  <c r="O1623" i="1"/>
  <c r="E1623" i="1"/>
  <c r="B1623" i="1"/>
  <c r="O1622" i="1"/>
  <c r="E1622" i="1"/>
  <c r="B1622" i="1"/>
  <c r="O1621" i="1"/>
  <c r="E1621" i="1"/>
  <c r="B1621" i="1"/>
  <c r="O1620" i="1"/>
  <c r="E1620" i="1"/>
  <c r="B1620" i="1"/>
  <c r="O1619" i="1"/>
  <c r="E1619" i="1"/>
  <c r="B1619" i="1"/>
  <c r="O1618" i="1"/>
  <c r="E1618" i="1"/>
  <c r="B1618" i="1"/>
  <c r="O1617" i="1"/>
  <c r="E1617" i="1"/>
  <c r="B1617" i="1"/>
  <c r="O1616" i="1"/>
  <c r="E1616" i="1"/>
  <c r="B1616" i="1"/>
  <c r="O1615" i="1"/>
  <c r="E1615" i="1"/>
  <c r="B1615" i="1"/>
  <c r="O1614" i="1"/>
  <c r="E1614" i="1"/>
  <c r="B1614" i="1"/>
  <c r="O1613" i="1"/>
  <c r="E1613" i="1"/>
  <c r="B1613" i="1"/>
  <c r="O1612" i="1"/>
  <c r="E1612" i="1"/>
  <c r="B1612" i="1"/>
  <c r="O1611" i="1"/>
  <c r="E1611" i="1"/>
  <c r="B1611" i="1"/>
  <c r="O1610" i="1"/>
  <c r="E1610" i="1"/>
  <c r="B1610" i="1"/>
  <c r="O1609" i="1"/>
  <c r="E1609" i="1"/>
  <c r="B1609" i="1"/>
  <c r="O1608" i="1"/>
  <c r="E1608" i="1"/>
  <c r="B1608" i="1"/>
  <c r="O1607" i="1"/>
  <c r="E1607" i="1"/>
  <c r="B1607" i="1"/>
  <c r="O1606" i="1"/>
  <c r="E1606" i="1"/>
  <c r="B1606" i="1"/>
  <c r="O1605" i="1"/>
  <c r="E1605" i="1"/>
  <c r="B1605" i="1"/>
  <c r="O1604" i="1"/>
  <c r="E1604" i="1"/>
  <c r="B1604" i="1"/>
  <c r="O1603" i="1"/>
  <c r="E1603" i="1"/>
  <c r="B1603" i="1"/>
  <c r="O1602" i="1"/>
  <c r="E1602" i="1"/>
  <c r="B1602" i="1"/>
  <c r="O1601" i="1"/>
  <c r="E1601" i="1"/>
  <c r="B1601" i="1"/>
  <c r="O1600" i="1"/>
  <c r="E1600" i="1"/>
  <c r="B1600" i="1"/>
  <c r="O1599" i="1"/>
  <c r="E1599" i="1"/>
  <c r="B1599" i="1"/>
  <c r="O1598" i="1"/>
  <c r="E1598" i="1"/>
  <c r="B1598" i="1"/>
  <c r="O1597" i="1"/>
  <c r="E1597" i="1"/>
  <c r="B1597" i="1"/>
  <c r="O1596" i="1"/>
  <c r="E1596" i="1"/>
  <c r="B1596" i="1"/>
  <c r="O1595" i="1"/>
  <c r="E1595" i="1"/>
  <c r="B1595" i="1"/>
  <c r="O1594" i="1"/>
  <c r="E1594" i="1"/>
  <c r="B1594" i="1"/>
  <c r="O1593" i="1"/>
  <c r="E1593" i="1"/>
  <c r="B1593" i="1"/>
  <c r="O1592" i="1"/>
  <c r="E1592" i="1"/>
  <c r="B1592" i="1"/>
  <c r="O1591" i="1"/>
  <c r="E1591" i="1"/>
  <c r="B1591" i="1"/>
  <c r="O1590" i="1"/>
  <c r="E1590" i="1"/>
  <c r="B1590" i="1"/>
  <c r="O1589" i="1"/>
  <c r="E1589" i="1"/>
  <c r="B1589" i="1"/>
  <c r="O1588" i="1"/>
  <c r="E1588" i="1"/>
  <c r="B1588" i="1"/>
  <c r="O1587" i="1"/>
  <c r="E1587" i="1"/>
  <c r="B1587" i="1"/>
  <c r="O1586" i="1"/>
  <c r="E1586" i="1"/>
  <c r="B1586" i="1"/>
  <c r="O1585" i="1"/>
  <c r="E1585" i="1"/>
  <c r="B1585" i="1"/>
  <c r="O1584" i="1"/>
  <c r="E1584" i="1"/>
  <c r="B1584" i="1"/>
  <c r="O1583" i="1"/>
  <c r="E1583" i="1"/>
  <c r="B1583" i="1"/>
  <c r="O1582" i="1"/>
  <c r="E1582" i="1"/>
  <c r="B1582" i="1"/>
  <c r="O1581" i="1"/>
  <c r="E1581" i="1"/>
  <c r="B1581" i="1"/>
  <c r="O1580" i="1"/>
  <c r="E1580" i="1"/>
  <c r="B1580" i="1"/>
  <c r="O1579" i="1"/>
  <c r="E1579" i="1"/>
  <c r="B1579" i="1"/>
  <c r="O1578" i="1"/>
  <c r="E1578" i="1"/>
  <c r="B1578" i="1"/>
  <c r="O1577" i="1"/>
  <c r="E1577" i="1"/>
  <c r="B1577" i="1"/>
  <c r="O1576" i="1"/>
  <c r="E1576" i="1"/>
  <c r="B1576" i="1"/>
  <c r="O1575" i="1"/>
  <c r="E1575" i="1"/>
  <c r="B1575" i="1"/>
  <c r="O1574" i="1"/>
  <c r="E1574" i="1"/>
  <c r="B1574" i="1"/>
  <c r="O1573" i="1"/>
  <c r="E1573" i="1"/>
  <c r="B1573" i="1"/>
  <c r="O1572" i="1"/>
  <c r="E1572" i="1"/>
  <c r="B1572" i="1"/>
  <c r="O1571" i="1"/>
  <c r="E1571" i="1"/>
  <c r="B1571" i="1"/>
  <c r="O1570" i="1"/>
  <c r="E1570" i="1"/>
  <c r="B1570" i="1"/>
  <c r="O1569" i="1"/>
  <c r="E1569" i="1"/>
  <c r="B1569" i="1"/>
  <c r="O1568" i="1"/>
  <c r="E1568" i="1"/>
  <c r="B1568" i="1"/>
  <c r="O1567" i="1"/>
  <c r="E1567" i="1"/>
  <c r="B1567" i="1"/>
  <c r="O1566" i="1"/>
  <c r="E1566" i="1"/>
  <c r="B1566" i="1"/>
  <c r="O1565" i="1"/>
  <c r="E1565" i="1"/>
  <c r="B1565" i="1"/>
  <c r="O1564" i="1"/>
  <c r="E1564" i="1"/>
  <c r="B1564" i="1"/>
  <c r="O1563" i="1"/>
  <c r="E1563" i="1"/>
  <c r="B1563" i="1"/>
  <c r="O1562" i="1"/>
  <c r="E1562" i="1"/>
  <c r="B1562" i="1"/>
  <c r="O1561" i="1"/>
  <c r="E1561" i="1"/>
  <c r="B1561" i="1"/>
  <c r="O1560" i="1"/>
  <c r="E1560" i="1"/>
  <c r="B1560" i="1"/>
  <c r="O1559" i="1"/>
  <c r="E1559" i="1"/>
  <c r="B1559" i="1"/>
  <c r="O1558" i="1"/>
  <c r="E1558" i="1"/>
  <c r="B1558" i="1"/>
  <c r="O1557" i="1"/>
  <c r="E1557" i="1"/>
  <c r="B1557" i="1"/>
  <c r="O1556" i="1"/>
  <c r="E1556" i="1"/>
  <c r="B1556" i="1"/>
  <c r="O1555" i="1"/>
  <c r="E1555" i="1"/>
  <c r="B1555" i="1"/>
  <c r="O1554" i="1"/>
  <c r="E1554" i="1"/>
  <c r="B1554" i="1"/>
  <c r="O1553" i="1"/>
  <c r="E1553" i="1"/>
  <c r="B1553" i="1"/>
  <c r="O1552" i="1"/>
  <c r="E1552" i="1"/>
  <c r="B1552" i="1"/>
  <c r="O1551" i="1"/>
  <c r="E1551" i="1"/>
  <c r="B1551" i="1"/>
  <c r="O1550" i="1"/>
  <c r="E1550" i="1"/>
  <c r="B1550" i="1"/>
  <c r="O1549" i="1"/>
  <c r="E1549" i="1"/>
  <c r="B1549" i="1"/>
  <c r="O1548" i="1"/>
  <c r="E1548" i="1"/>
  <c r="B1548" i="1"/>
  <c r="O1547" i="1"/>
  <c r="E1547" i="1"/>
  <c r="B1547" i="1"/>
  <c r="O1546" i="1"/>
  <c r="E1546" i="1"/>
  <c r="B1546" i="1"/>
  <c r="O1545" i="1"/>
  <c r="E1545" i="1"/>
  <c r="B1545" i="1"/>
  <c r="O1544" i="1"/>
  <c r="E1544" i="1"/>
  <c r="B1544" i="1"/>
  <c r="O1543" i="1"/>
  <c r="E1543" i="1"/>
  <c r="B1543" i="1"/>
  <c r="O1542" i="1"/>
  <c r="E1542" i="1"/>
  <c r="B1542" i="1"/>
  <c r="O1541" i="1"/>
  <c r="E1541" i="1"/>
  <c r="B1541" i="1"/>
  <c r="O1540" i="1"/>
  <c r="E1540" i="1"/>
  <c r="B1540" i="1"/>
  <c r="O1539" i="1"/>
  <c r="E1539" i="1"/>
  <c r="B1539" i="1"/>
  <c r="O1538" i="1"/>
  <c r="E1538" i="1"/>
  <c r="B1538" i="1"/>
  <c r="O1537" i="1"/>
  <c r="E1537" i="1"/>
  <c r="B1537" i="1"/>
  <c r="O1536" i="1"/>
  <c r="E1536" i="1"/>
  <c r="B1536" i="1"/>
  <c r="O1535" i="1"/>
  <c r="E1535" i="1"/>
  <c r="B1535" i="1"/>
  <c r="O1534" i="1"/>
  <c r="E1534" i="1"/>
  <c r="B1534" i="1"/>
  <c r="O1533" i="1"/>
  <c r="E1533" i="1"/>
  <c r="B1533" i="1"/>
  <c r="O1532" i="1"/>
  <c r="E1532" i="1"/>
  <c r="B1532" i="1"/>
  <c r="O1531" i="1"/>
  <c r="E1531" i="1"/>
  <c r="B1531" i="1"/>
  <c r="O1530" i="1"/>
  <c r="E1530" i="1"/>
  <c r="B1530" i="1"/>
  <c r="O1529" i="1"/>
  <c r="E1529" i="1"/>
  <c r="B1529" i="1"/>
  <c r="O1528" i="1"/>
  <c r="E1528" i="1"/>
  <c r="B1528" i="1"/>
  <c r="O1527" i="1"/>
  <c r="E1527" i="1"/>
  <c r="B1527" i="1"/>
  <c r="O1526" i="1"/>
  <c r="E1526" i="1"/>
  <c r="B1526" i="1"/>
  <c r="O1525" i="1"/>
  <c r="E1525" i="1"/>
  <c r="B1525" i="1"/>
  <c r="O1524" i="1"/>
  <c r="E1524" i="1"/>
  <c r="B1524" i="1"/>
  <c r="O1523" i="1"/>
  <c r="E1523" i="1"/>
  <c r="B1523" i="1"/>
  <c r="O1522" i="1"/>
  <c r="E1522" i="1"/>
  <c r="B1522" i="1"/>
  <c r="O1521" i="1"/>
  <c r="E1521" i="1"/>
  <c r="B1521" i="1"/>
  <c r="O1520" i="1"/>
  <c r="E1520" i="1"/>
  <c r="B1520" i="1"/>
  <c r="O1519" i="1"/>
  <c r="E1519" i="1"/>
  <c r="B1519" i="1"/>
  <c r="O1518" i="1"/>
  <c r="E1518" i="1"/>
  <c r="B1518" i="1"/>
  <c r="O1517" i="1"/>
  <c r="E1517" i="1"/>
  <c r="B1517" i="1"/>
  <c r="O1516" i="1"/>
  <c r="E1516" i="1"/>
  <c r="B1516" i="1"/>
  <c r="O1515" i="1"/>
  <c r="E1515" i="1"/>
  <c r="B1515" i="1"/>
  <c r="O1514" i="1"/>
  <c r="E1514" i="1"/>
  <c r="B1514" i="1"/>
  <c r="O1513" i="1"/>
  <c r="E1513" i="1"/>
  <c r="B1513" i="1"/>
  <c r="O1512" i="1"/>
  <c r="E1512" i="1"/>
  <c r="B1512" i="1"/>
  <c r="O1511" i="1"/>
  <c r="E1511" i="1"/>
  <c r="B1511" i="1"/>
  <c r="O1510" i="1"/>
  <c r="E1510" i="1"/>
  <c r="B1510" i="1"/>
  <c r="O1509" i="1"/>
  <c r="E1509" i="1"/>
  <c r="B1509" i="1"/>
  <c r="O1508" i="1"/>
  <c r="E1508" i="1"/>
  <c r="B1508" i="1"/>
  <c r="O1507" i="1"/>
  <c r="E1507" i="1"/>
  <c r="B1507" i="1"/>
  <c r="P1506" i="1"/>
  <c r="O1506" i="1"/>
  <c r="E1506" i="1"/>
  <c r="B1506" i="1"/>
  <c r="O1505" i="1"/>
  <c r="E1505" i="1"/>
  <c r="B1505" i="1"/>
  <c r="O1504" i="1"/>
  <c r="E1504" i="1"/>
  <c r="B1504" i="1"/>
  <c r="O1503" i="1"/>
  <c r="E1503" i="1"/>
  <c r="B1503" i="1"/>
  <c r="O1502" i="1"/>
  <c r="E1502" i="1"/>
  <c r="B1502" i="1"/>
  <c r="O1501" i="1"/>
  <c r="E1501" i="1"/>
  <c r="B1501" i="1"/>
  <c r="O1500" i="1"/>
  <c r="E1500" i="1"/>
  <c r="B1500" i="1"/>
  <c r="O1499" i="1"/>
  <c r="E1499" i="1"/>
  <c r="B1499" i="1"/>
  <c r="O1498" i="1"/>
  <c r="E1498" i="1"/>
  <c r="B1498" i="1"/>
  <c r="O1497" i="1"/>
  <c r="E1497" i="1"/>
  <c r="B1497" i="1"/>
  <c r="O1496" i="1"/>
  <c r="E1496" i="1"/>
  <c r="B1496" i="1"/>
  <c r="O1495" i="1"/>
  <c r="E1495" i="1"/>
  <c r="B1495" i="1"/>
  <c r="O1494" i="1"/>
  <c r="E1494" i="1"/>
  <c r="B1494" i="1"/>
  <c r="O1493" i="1"/>
  <c r="E1493" i="1"/>
  <c r="B1493" i="1"/>
  <c r="O1492" i="1"/>
  <c r="E1492" i="1"/>
  <c r="B1492" i="1"/>
  <c r="O1491" i="1"/>
  <c r="E1491" i="1"/>
  <c r="B1491" i="1"/>
  <c r="O1490" i="1"/>
  <c r="E1490" i="1"/>
  <c r="B1490" i="1"/>
  <c r="O1489" i="1"/>
  <c r="E1489" i="1"/>
  <c r="B1489" i="1"/>
  <c r="O1488" i="1"/>
  <c r="E1488" i="1"/>
  <c r="B1488" i="1"/>
  <c r="O1487" i="1"/>
  <c r="E1487" i="1"/>
  <c r="B1487" i="1"/>
  <c r="O1486" i="1"/>
  <c r="E1486" i="1"/>
  <c r="B1486" i="1"/>
  <c r="O1485" i="1"/>
  <c r="E1485" i="1"/>
  <c r="B1485" i="1"/>
  <c r="O1484" i="1"/>
  <c r="E1484" i="1"/>
  <c r="B1484" i="1"/>
  <c r="O1483" i="1"/>
  <c r="E1483" i="1"/>
  <c r="B1483" i="1"/>
  <c r="O1482" i="1"/>
  <c r="E1482" i="1"/>
  <c r="B1482" i="1"/>
  <c r="O1481" i="1"/>
  <c r="E1481" i="1"/>
  <c r="B1481" i="1"/>
  <c r="O1480" i="1"/>
  <c r="E1480" i="1"/>
  <c r="B1480" i="1"/>
  <c r="O1479" i="1"/>
  <c r="E1479" i="1"/>
  <c r="B1479" i="1"/>
  <c r="O1478" i="1"/>
  <c r="E1478" i="1"/>
  <c r="B1478" i="1"/>
  <c r="O1477" i="1"/>
  <c r="E1477" i="1"/>
  <c r="B1477" i="1"/>
  <c r="O1476" i="1"/>
  <c r="E1476" i="1"/>
  <c r="B1476" i="1"/>
  <c r="O1475" i="1"/>
  <c r="E1475" i="1"/>
  <c r="B1475" i="1"/>
  <c r="O1474" i="1"/>
  <c r="E1474" i="1"/>
  <c r="B1474" i="1"/>
  <c r="O1473" i="1"/>
  <c r="E1473" i="1"/>
  <c r="B1473" i="1"/>
  <c r="O1472" i="1"/>
  <c r="E1472" i="1"/>
  <c r="B1472" i="1"/>
  <c r="O1471" i="1"/>
  <c r="E1471" i="1"/>
  <c r="B1471" i="1"/>
  <c r="O1470" i="1"/>
  <c r="E1470" i="1"/>
  <c r="B1470" i="1"/>
  <c r="O1469" i="1"/>
  <c r="E1469" i="1"/>
  <c r="B1469" i="1"/>
  <c r="O1468" i="1"/>
  <c r="E1468" i="1"/>
  <c r="B1468" i="1"/>
  <c r="O1467" i="1"/>
  <c r="E1467" i="1"/>
  <c r="B1467" i="1"/>
  <c r="O1466" i="1"/>
  <c r="E1466" i="1"/>
  <c r="B1466" i="1"/>
  <c r="O1465" i="1"/>
  <c r="E1465" i="1"/>
  <c r="B1465" i="1"/>
  <c r="O1464" i="1"/>
  <c r="E1464" i="1"/>
  <c r="B1464" i="1"/>
  <c r="O1463" i="1"/>
  <c r="E1463" i="1"/>
  <c r="B1463" i="1"/>
  <c r="O1462" i="1"/>
  <c r="E1462" i="1"/>
  <c r="B1462" i="1"/>
  <c r="O1461" i="1"/>
  <c r="E1461" i="1"/>
  <c r="B1461" i="1"/>
  <c r="O1460" i="1"/>
  <c r="E1460" i="1"/>
  <c r="B1460" i="1"/>
  <c r="O1459" i="1"/>
  <c r="E1459" i="1"/>
  <c r="B1459" i="1"/>
  <c r="O1458" i="1"/>
  <c r="E1458" i="1"/>
  <c r="B1458" i="1"/>
  <c r="O1457" i="1"/>
  <c r="E1457" i="1"/>
  <c r="B1457" i="1"/>
  <c r="O1456" i="1"/>
  <c r="E1456" i="1"/>
  <c r="B1456" i="1"/>
  <c r="O1455" i="1"/>
  <c r="E1455" i="1"/>
  <c r="B1455" i="1"/>
  <c r="O1454" i="1"/>
  <c r="E1454" i="1"/>
  <c r="B1454" i="1"/>
  <c r="O1453" i="1"/>
  <c r="E1453" i="1"/>
  <c r="B1453" i="1"/>
  <c r="O1452" i="1"/>
  <c r="E1452" i="1"/>
  <c r="B1452" i="1"/>
  <c r="O1451" i="1"/>
  <c r="E1451" i="1"/>
  <c r="B1451" i="1"/>
  <c r="O1450" i="1"/>
  <c r="E1450" i="1"/>
  <c r="B1450" i="1"/>
  <c r="O1449" i="1"/>
  <c r="E1449" i="1"/>
  <c r="B1449" i="1"/>
  <c r="O1448" i="1"/>
  <c r="E1448" i="1"/>
  <c r="B1448" i="1"/>
  <c r="O1447" i="1"/>
  <c r="E1447" i="1"/>
  <c r="B1447" i="1"/>
  <c r="O1446" i="1"/>
  <c r="E1446" i="1"/>
  <c r="B1446" i="1"/>
  <c r="O1445" i="1"/>
  <c r="E1445" i="1"/>
  <c r="B1445" i="1"/>
  <c r="O1444" i="1"/>
  <c r="E1444" i="1"/>
  <c r="B1444" i="1"/>
  <c r="O1443" i="1"/>
  <c r="E1443" i="1"/>
  <c r="B1443" i="1"/>
  <c r="O1442" i="1"/>
  <c r="E1442" i="1"/>
  <c r="B1442" i="1"/>
  <c r="O1441" i="1"/>
  <c r="E1441" i="1"/>
  <c r="B1441" i="1"/>
  <c r="O1440" i="1"/>
  <c r="E1440" i="1"/>
  <c r="B1440" i="1"/>
  <c r="O1439" i="1"/>
  <c r="E1439" i="1"/>
  <c r="B1439" i="1"/>
  <c r="O1438" i="1"/>
  <c r="E1438" i="1"/>
  <c r="B1438" i="1"/>
  <c r="O1437" i="1"/>
  <c r="E1437" i="1"/>
  <c r="B1437" i="1"/>
  <c r="O1436" i="1"/>
  <c r="E1436" i="1"/>
  <c r="B1436" i="1"/>
  <c r="O1435" i="1"/>
  <c r="E1435" i="1"/>
  <c r="B1435" i="1"/>
  <c r="O1434" i="1"/>
  <c r="E1434" i="1"/>
  <c r="B1434" i="1"/>
  <c r="O1433" i="1"/>
  <c r="E1433" i="1"/>
  <c r="B1433" i="1"/>
  <c r="O1432" i="1"/>
  <c r="E1432" i="1"/>
  <c r="B1432" i="1"/>
  <c r="O1431" i="1"/>
  <c r="E1431" i="1"/>
  <c r="B1431" i="1"/>
  <c r="O1430" i="1"/>
  <c r="E1430" i="1"/>
  <c r="B1430" i="1"/>
  <c r="O1429" i="1"/>
  <c r="E1429" i="1"/>
  <c r="B1429" i="1"/>
  <c r="O1428" i="1"/>
  <c r="E1428" i="1"/>
  <c r="B1428" i="1"/>
  <c r="O1427" i="1"/>
  <c r="E1427" i="1"/>
  <c r="B1427" i="1"/>
  <c r="O1426" i="1"/>
  <c r="E1426" i="1"/>
  <c r="B1426" i="1"/>
  <c r="O1425" i="1"/>
  <c r="E1425" i="1"/>
  <c r="B1425" i="1"/>
  <c r="O1424" i="1"/>
  <c r="E1424" i="1"/>
  <c r="B1424" i="1"/>
  <c r="O1423" i="1"/>
  <c r="E1423" i="1"/>
  <c r="B1423" i="1"/>
  <c r="O1422" i="1"/>
  <c r="E1422" i="1"/>
  <c r="B1422" i="1"/>
  <c r="O1421" i="1"/>
  <c r="E1421" i="1"/>
  <c r="B1421" i="1"/>
  <c r="O1420" i="1"/>
  <c r="E1420" i="1"/>
  <c r="B1420" i="1"/>
  <c r="O1419" i="1"/>
  <c r="E1419" i="1"/>
  <c r="B1419" i="1"/>
  <c r="O1418" i="1"/>
  <c r="E1418" i="1"/>
  <c r="B1418" i="1"/>
  <c r="O1417" i="1"/>
  <c r="E1417" i="1"/>
  <c r="B1417" i="1"/>
  <c r="O1416" i="1"/>
  <c r="E1416" i="1"/>
  <c r="B1416" i="1"/>
  <c r="O1415" i="1"/>
  <c r="E1415" i="1"/>
  <c r="B1415" i="1"/>
  <c r="O1414" i="1"/>
  <c r="E1414" i="1"/>
  <c r="B1414" i="1"/>
  <c r="O1413" i="1"/>
  <c r="E1413" i="1"/>
  <c r="B1413" i="1"/>
  <c r="O1412" i="1"/>
  <c r="E1412" i="1"/>
  <c r="B1412" i="1"/>
  <c r="O1411" i="1"/>
  <c r="E1411" i="1"/>
  <c r="B1411" i="1"/>
  <c r="O1410" i="1"/>
  <c r="E1410" i="1"/>
  <c r="B1410" i="1"/>
  <c r="O1409" i="1"/>
  <c r="E1409" i="1"/>
  <c r="B1409" i="1"/>
  <c r="O1408" i="1"/>
  <c r="E1408" i="1"/>
  <c r="B1408" i="1"/>
  <c r="O1407" i="1"/>
  <c r="E1407" i="1"/>
  <c r="B1407" i="1"/>
  <c r="O1406" i="1"/>
  <c r="E1406" i="1"/>
  <c r="B1406" i="1"/>
  <c r="O1405" i="1"/>
  <c r="E1405" i="1"/>
  <c r="B1405" i="1"/>
  <c r="O1404" i="1"/>
  <c r="E1404" i="1"/>
  <c r="B1404" i="1"/>
  <c r="O1403" i="1"/>
  <c r="E1403" i="1"/>
  <c r="B1403" i="1"/>
  <c r="O1402" i="1"/>
  <c r="E1402" i="1"/>
  <c r="B1402" i="1"/>
  <c r="O1401" i="1"/>
  <c r="E1401" i="1"/>
  <c r="B1401" i="1"/>
  <c r="O1400" i="1"/>
  <c r="E1400" i="1"/>
  <c r="B1400" i="1"/>
  <c r="O1399" i="1"/>
  <c r="E1399" i="1"/>
  <c r="B1399" i="1"/>
  <c r="O1398" i="1"/>
  <c r="E1398" i="1"/>
  <c r="B1398" i="1"/>
  <c r="O1397" i="1"/>
  <c r="E1397" i="1"/>
  <c r="B1397" i="1"/>
  <c r="O1396" i="1"/>
  <c r="E1396" i="1"/>
  <c r="B1396" i="1"/>
  <c r="O1395" i="1"/>
  <c r="E1395" i="1"/>
  <c r="B1395" i="1"/>
  <c r="O1394" i="1"/>
  <c r="E1394" i="1"/>
  <c r="B1394" i="1"/>
  <c r="O1393" i="1"/>
  <c r="E1393" i="1"/>
  <c r="B1393" i="1"/>
  <c r="O1392" i="1"/>
  <c r="E1392" i="1"/>
  <c r="B1392" i="1"/>
  <c r="O1391" i="1"/>
  <c r="E1391" i="1"/>
  <c r="B1391" i="1"/>
  <c r="O1390" i="1"/>
  <c r="E1390" i="1"/>
  <c r="B1390" i="1"/>
  <c r="O1389" i="1"/>
  <c r="E1389" i="1"/>
  <c r="B1389" i="1"/>
  <c r="O1388" i="1"/>
  <c r="E1388" i="1"/>
  <c r="B1388" i="1"/>
  <c r="O1387" i="1"/>
  <c r="E1387" i="1"/>
  <c r="B1387" i="1"/>
  <c r="O1386" i="1"/>
  <c r="E1386" i="1"/>
  <c r="B1386" i="1"/>
  <c r="O1385" i="1"/>
  <c r="E1385" i="1"/>
  <c r="B1385" i="1"/>
  <c r="O1384" i="1"/>
  <c r="E1384" i="1"/>
  <c r="B1384" i="1"/>
  <c r="O1383" i="1"/>
  <c r="E1383" i="1"/>
  <c r="B1383" i="1"/>
  <c r="O1382" i="1"/>
  <c r="E1382" i="1"/>
  <c r="B1382" i="1"/>
  <c r="O1381" i="1"/>
  <c r="E1381" i="1"/>
  <c r="B1381" i="1"/>
  <c r="O1380" i="1"/>
  <c r="E1380" i="1"/>
  <c r="B1380" i="1"/>
  <c r="O1379" i="1"/>
  <c r="E1379" i="1"/>
  <c r="B1379" i="1"/>
  <c r="O1378" i="1"/>
  <c r="E1378" i="1"/>
  <c r="B1378" i="1"/>
  <c r="O1377" i="1"/>
  <c r="E1377" i="1"/>
  <c r="B1377" i="1"/>
  <c r="O1376" i="1"/>
  <c r="E1376" i="1"/>
  <c r="B1376" i="1"/>
  <c r="O1375" i="1"/>
  <c r="E1375" i="1"/>
  <c r="B1375" i="1"/>
  <c r="O1374" i="1"/>
  <c r="E1374" i="1"/>
  <c r="B1374" i="1"/>
  <c r="O1373" i="1"/>
  <c r="E1373" i="1"/>
  <c r="B1373" i="1"/>
  <c r="O1372" i="1"/>
  <c r="E1372" i="1"/>
  <c r="B1372" i="1"/>
  <c r="O1371" i="1"/>
  <c r="E1371" i="1"/>
  <c r="B1371" i="1"/>
  <c r="O1370" i="1"/>
  <c r="E1370" i="1"/>
  <c r="B1370" i="1"/>
  <c r="O1369" i="1"/>
  <c r="E1369" i="1"/>
  <c r="B1369" i="1"/>
  <c r="O1368" i="1"/>
  <c r="E1368" i="1"/>
  <c r="B1368" i="1"/>
  <c r="O1367" i="1"/>
  <c r="E1367" i="1"/>
  <c r="B1367" i="1"/>
  <c r="O1366" i="1"/>
  <c r="E1366" i="1"/>
  <c r="B1366" i="1"/>
  <c r="O1365" i="1"/>
  <c r="E1365" i="1"/>
  <c r="B1365" i="1"/>
  <c r="O1364" i="1"/>
  <c r="E1364" i="1"/>
  <c r="B1364" i="1"/>
  <c r="O1363" i="1"/>
  <c r="E1363" i="1"/>
  <c r="B1363" i="1"/>
  <c r="O1362" i="1"/>
  <c r="E1362" i="1"/>
  <c r="B1362" i="1"/>
  <c r="O1361" i="1"/>
  <c r="E1361" i="1"/>
  <c r="B1361" i="1"/>
  <c r="O1360" i="1"/>
  <c r="E1360" i="1"/>
  <c r="B1360" i="1"/>
  <c r="O1359" i="1"/>
  <c r="E1359" i="1"/>
  <c r="B1359" i="1"/>
  <c r="O1358" i="1"/>
  <c r="E1358" i="1"/>
  <c r="B1358" i="1"/>
  <c r="O1357" i="1"/>
  <c r="E1357" i="1"/>
  <c r="B1357" i="1"/>
  <c r="O1356" i="1"/>
  <c r="E1356" i="1"/>
  <c r="B1356" i="1"/>
  <c r="O1355" i="1"/>
  <c r="E1355" i="1"/>
  <c r="B1355" i="1"/>
  <c r="O1354" i="1"/>
  <c r="E1354" i="1"/>
  <c r="B1354" i="1"/>
  <c r="O1353" i="1"/>
  <c r="E1353" i="1"/>
  <c r="B1353" i="1"/>
  <c r="O1352" i="1"/>
  <c r="E1352" i="1"/>
  <c r="B1352" i="1"/>
  <c r="O1351" i="1"/>
  <c r="E1351" i="1"/>
  <c r="B1351" i="1"/>
  <c r="O1350" i="1"/>
  <c r="E1350" i="1"/>
  <c r="B1350" i="1"/>
  <c r="O1349" i="1"/>
  <c r="E1349" i="1"/>
  <c r="B1349" i="1"/>
  <c r="O1348" i="1"/>
  <c r="E1348" i="1"/>
  <c r="B1348" i="1"/>
  <c r="O1347" i="1"/>
  <c r="E1347" i="1"/>
  <c r="B1347" i="1"/>
  <c r="O1346" i="1"/>
  <c r="E1346" i="1"/>
  <c r="B1346" i="1"/>
  <c r="O1345" i="1"/>
  <c r="E1345" i="1"/>
  <c r="B1345" i="1"/>
  <c r="O1344" i="1"/>
  <c r="E1344" i="1"/>
  <c r="B1344" i="1"/>
  <c r="O1343" i="1"/>
  <c r="E1343" i="1"/>
  <c r="B1343" i="1"/>
  <c r="O1342" i="1"/>
  <c r="E1342" i="1"/>
  <c r="B1342" i="1"/>
  <c r="O1341" i="1"/>
  <c r="E1341" i="1"/>
  <c r="B1341" i="1"/>
  <c r="O1340" i="1"/>
  <c r="E1340" i="1"/>
  <c r="B1340" i="1"/>
  <c r="O1339" i="1"/>
  <c r="E1339" i="1"/>
  <c r="B1339" i="1"/>
  <c r="O1338" i="1"/>
  <c r="E1338" i="1"/>
  <c r="B1338" i="1"/>
  <c r="O1337" i="1"/>
  <c r="E1337" i="1"/>
  <c r="B1337" i="1"/>
  <c r="O1336" i="1"/>
  <c r="E1336" i="1"/>
  <c r="B1336" i="1"/>
  <c r="O1335" i="1"/>
  <c r="E1335" i="1"/>
  <c r="B1335" i="1"/>
  <c r="O1334" i="1"/>
  <c r="E1334" i="1"/>
  <c r="B1334" i="1"/>
  <c r="O1333" i="1"/>
  <c r="E1333" i="1"/>
  <c r="B1333" i="1"/>
  <c r="O1332" i="1"/>
  <c r="E1332" i="1"/>
  <c r="B1332" i="1"/>
  <c r="O1331" i="1"/>
  <c r="E1331" i="1"/>
  <c r="B1331" i="1"/>
  <c r="O1330" i="1"/>
  <c r="E1330" i="1"/>
  <c r="B1330" i="1"/>
  <c r="O1329" i="1"/>
  <c r="E1329" i="1"/>
  <c r="B1329" i="1"/>
  <c r="O1328" i="1"/>
  <c r="E1328" i="1"/>
  <c r="B1328" i="1"/>
  <c r="O1327" i="1"/>
  <c r="E1327" i="1"/>
  <c r="B1327" i="1"/>
  <c r="O1326" i="1"/>
  <c r="E1326" i="1"/>
  <c r="B1326" i="1"/>
  <c r="O1325" i="1"/>
  <c r="E1325" i="1"/>
  <c r="B1325" i="1"/>
  <c r="O1324" i="1"/>
  <c r="E1324" i="1"/>
  <c r="B1324" i="1"/>
  <c r="O1323" i="1"/>
  <c r="E1323" i="1"/>
  <c r="B1323" i="1"/>
  <c r="O1322" i="1"/>
  <c r="E1322" i="1"/>
  <c r="B1322" i="1"/>
  <c r="O1321" i="1"/>
  <c r="E1321" i="1"/>
  <c r="B1321" i="1"/>
  <c r="O1320" i="1"/>
  <c r="E1320" i="1"/>
  <c r="B1320" i="1"/>
  <c r="O1319" i="1"/>
  <c r="E1319" i="1"/>
  <c r="B1319" i="1"/>
  <c r="O1318" i="1"/>
  <c r="E1318" i="1"/>
  <c r="B1318" i="1"/>
  <c r="O1317" i="1"/>
  <c r="E1317" i="1"/>
  <c r="B1317" i="1"/>
  <c r="O1316" i="1"/>
  <c r="E1316" i="1"/>
  <c r="B1316" i="1"/>
  <c r="O1315" i="1"/>
  <c r="E1315" i="1"/>
  <c r="B1315" i="1"/>
  <c r="O1314" i="1"/>
  <c r="E1314" i="1"/>
  <c r="B1314" i="1"/>
  <c r="O1313" i="1"/>
  <c r="E1313" i="1"/>
  <c r="B1313" i="1"/>
  <c r="O1312" i="1"/>
  <c r="E1312" i="1"/>
  <c r="B1312" i="1"/>
  <c r="O1311" i="1"/>
  <c r="E1311" i="1"/>
  <c r="B1311" i="1"/>
  <c r="O1310" i="1"/>
  <c r="E1310" i="1"/>
  <c r="B1310" i="1"/>
  <c r="O1309" i="1"/>
  <c r="E1309" i="1"/>
  <c r="B1309" i="1"/>
  <c r="O1308" i="1"/>
  <c r="E1308" i="1"/>
  <c r="B1308" i="1"/>
  <c r="O1307" i="1"/>
  <c r="E1307" i="1"/>
  <c r="B1307" i="1"/>
  <c r="O1306" i="1"/>
  <c r="E1306" i="1"/>
  <c r="B1306" i="1"/>
  <c r="O1305" i="1"/>
  <c r="E1305" i="1"/>
  <c r="B1305" i="1"/>
  <c r="O1304" i="1"/>
  <c r="E1304" i="1"/>
  <c r="B1304" i="1"/>
  <c r="O1303" i="1"/>
  <c r="E1303" i="1"/>
  <c r="B1303" i="1"/>
  <c r="O1302" i="1"/>
  <c r="E1302" i="1"/>
  <c r="B1302" i="1"/>
  <c r="O1301" i="1"/>
  <c r="E1301" i="1"/>
  <c r="B1301" i="1"/>
  <c r="O1300" i="1"/>
  <c r="E1300" i="1"/>
  <c r="B1300" i="1"/>
  <c r="O1299" i="1"/>
  <c r="E1299" i="1"/>
  <c r="B1299" i="1"/>
  <c r="O1298" i="1"/>
  <c r="E1298" i="1"/>
  <c r="B1298" i="1"/>
  <c r="O1297" i="1"/>
  <c r="E1297" i="1"/>
  <c r="B1297" i="1"/>
  <c r="O1296" i="1"/>
  <c r="E1296" i="1"/>
  <c r="B1296" i="1"/>
  <c r="O1295" i="1"/>
  <c r="E1295" i="1"/>
  <c r="B1295" i="1"/>
  <c r="O1294" i="1"/>
  <c r="E1294" i="1"/>
  <c r="B1294" i="1"/>
  <c r="O1293" i="1"/>
  <c r="E1293" i="1"/>
  <c r="B1293" i="1"/>
  <c r="O1292" i="1"/>
  <c r="E1292" i="1"/>
  <c r="B1292" i="1"/>
  <c r="O1291" i="1"/>
  <c r="E1291" i="1"/>
  <c r="B1291" i="1"/>
  <c r="O1290" i="1"/>
  <c r="E1290" i="1"/>
  <c r="B1290" i="1"/>
  <c r="O1289" i="1"/>
  <c r="E1289" i="1"/>
  <c r="B1289" i="1"/>
  <c r="O1288" i="1"/>
  <c r="E1288" i="1"/>
  <c r="B1288" i="1"/>
  <c r="O1287" i="1"/>
  <c r="E1287" i="1"/>
  <c r="B1287" i="1"/>
  <c r="O1286" i="1"/>
  <c r="E1286" i="1"/>
  <c r="B1286" i="1"/>
  <c r="O1285" i="1"/>
  <c r="E1285" i="1"/>
  <c r="B1285" i="1"/>
  <c r="O1284" i="1"/>
  <c r="E1284" i="1"/>
  <c r="B1284" i="1"/>
  <c r="O1283" i="1"/>
  <c r="E1283" i="1"/>
  <c r="B1283" i="1"/>
  <c r="O1282" i="1"/>
  <c r="E1282" i="1"/>
  <c r="B1282" i="1"/>
  <c r="O1281" i="1"/>
  <c r="E1281" i="1"/>
  <c r="B1281" i="1"/>
  <c r="O1280" i="1"/>
  <c r="E1280" i="1"/>
  <c r="B1280" i="1"/>
  <c r="O1279" i="1"/>
  <c r="E1279" i="1"/>
  <c r="B1279" i="1"/>
  <c r="O1278" i="1"/>
  <c r="E1278" i="1"/>
  <c r="B1278" i="1"/>
  <c r="O1277" i="1"/>
  <c r="E1277" i="1"/>
  <c r="B1277" i="1"/>
  <c r="O1276" i="1"/>
  <c r="E1276" i="1"/>
  <c r="B1276" i="1"/>
  <c r="O1275" i="1"/>
  <c r="E1275" i="1"/>
  <c r="B1275" i="1"/>
  <c r="O1274" i="1"/>
  <c r="E1274" i="1"/>
  <c r="B1274" i="1"/>
  <c r="O1273" i="1"/>
  <c r="E1273" i="1"/>
  <c r="B1273" i="1"/>
  <c r="O1272" i="1"/>
  <c r="E1272" i="1"/>
  <c r="B1272" i="1"/>
  <c r="O1271" i="1"/>
  <c r="E1271" i="1"/>
  <c r="B1271" i="1"/>
  <c r="O1270" i="1"/>
  <c r="E1270" i="1"/>
  <c r="B1270" i="1"/>
  <c r="O1269" i="1"/>
  <c r="E1269" i="1"/>
  <c r="B1269" i="1"/>
  <c r="O1268" i="1"/>
  <c r="E1268" i="1"/>
  <c r="B1268" i="1"/>
  <c r="O1267" i="1"/>
  <c r="E1267" i="1"/>
  <c r="B1267" i="1"/>
  <c r="O1266" i="1"/>
  <c r="E1266" i="1"/>
  <c r="B1266" i="1"/>
  <c r="O1265" i="1"/>
  <c r="E1265" i="1"/>
  <c r="B1265" i="1"/>
  <c r="O1264" i="1"/>
  <c r="E1264" i="1"/>
  <c r="B1264" i="1"/>
  <c r="O1263" i="1"/>
  <c r="E1263" i="1"/>
  <c r="B1263" i="1"/>
  <c r="O1262" i="1"/>
  <c r="E1262" i="1"/>
  <c r="B1262" i="1"/>
  <c r="O1261" i="1"/>
  <c r="E1261" i="1"/>
  <c r="B1261" i="1"/>
  <c r="O1260" i="1"/>
  <c r="E1260" i="1"/>
  <c r="B1260" i="1"/>
  <c r="O1259" i="1"/>
  <c r="E1259" i="1"/>
  <c r="B1259" i="1"/>
  <c r="O1258" i="1"/>
  <c r="E1258" i="1"/>
  <c r="B1258" i="1"/>
  <c r="O1257" i="1"/>
  <c r="E1257" i="1"/>
  <c r="B1257" i="1"/>
  <c r="O1256" i="1"/>
  <c r="E1256" i="1"/>
  <c r="B1256" i="1"/>
  <c r="O1255" i="1"/>
  <c r="E1255" i="1"/>
  <c r="B1255" i="1"/>
  <c r="O1254" i="1"/>
  <c r="E1254" i="1"/>
  <c r="B1254" i="1"/>
  <c r="O1253" i="1"/>
  <c r="E1253" i="1"/>
  <c r="B1253" i="1"/>
  <c r="O1252" i="1"/>
  <c r="E1252" i="1"/>
  <c r="B1252" i="1"/>
  <c r="O1251" i="1"/>
  <c r="E1251" i="1"/>
  <c r="B1251" i="1"/>
  <c r="O1250" i="1"/>
  <c r="E1250" i="1"/>
  <c r="B1250" i="1"/>
  <c r="P1249" i="1"/>
  <c r="O1249" i="1"/>
  <c r="E1249" i="1"/>
  <c r="B1249" i="1"/>
  <c r="O1248" i="1"/>
  <c r="E1248" i="1"/>
  <c r="B1248" i="1"/>
  <c r="O1247" i="1"/>
  <c r="E1247" i="1"/>
  <c r="B1247" i="1"/>
  <c r="O1246" i="1"/>
  <c r="E1246" i="1"/>
  <c r="B1246" i="1"/>
  <c r="O1245" i="1"/>
  <c r="E1245" i="1"/>
  <c r="B1245" i="1"/>
  <c r="O1244" i="1"/>
  <c r="E1244" i="1"/>
  <c r="B1244" i="1"/>
  <c r="O1243" i="1"/>
  <c r="E1243" i="1"/>
  <c r="B1243" i="1"/>
  <c r="O1242" i="1"/>
  <c r="E1242" i="1"/>
  <c r="B1242" i="1"/>
  <c r="O1241" i="1"/>
  <c r="E1241" i="1"/>
  <c r="B1241" i="1"/>
  <c r="O1240" i="1"/>
  <c r="E1240" i="1"/>
  <c r="B1240" i="1"/>
  <c r="O1239" i="1"/>
  <c r="E1239" i="1"/>
  <c r="B1239" i="1"/>
  <c r="O1238" i="1"/>
  <c r="E1238" i="1"/>
  <c r="B1238" i="1"/>
  <c r="O1237" i="1"/>
  <c r="E1237" i="1"/>
  <c r="B1237" i="1"/>
  <c r="O1236" i="1"/>
  <c r="E1236" i="1"/>
  <c r="B1236" i="1"/>
  <c r="O1235" i="1"/>
  <c r="E1235" i="1"/>
  <c r="B1235" i="1"/>
  <c r="O1234" i="1"/>
  <c r="E1234" i="1"/>
  <c r="B1234" i="1"/>
  <c r="O1233" i="1"/>
  <c r="E1233" i="1"/>
  <c r="B1233" i="1"/>
  <c r="O1232" i="1"/>
  <c r="E1232" i="1"/>
  <c r="B1232" i="1"/>
  <c r="O1231" i="1"/>
  <c r="E1231" i="1"/>
  <c r="B1231" i="1"/>
  <c r="O1230" i="1"/>
  <c r="E1230" i="1"/>
  <c r="B1230" i="1"/>
  <c r="O1229" i="1"/>
  <c r="E1229" i="1"/>
  <c r="B1229" i="1"/>
  <c r="O1228" i="1"/>
  <c r="E1228" i="1"/>
  <c r="B1228" i="1"/>
  <c r="O1227" i="1"/>
  <c r="E1227" i="1"/>
  <c r="B1227" i="1"/>
  <c r="O1226" i="1"/>
  <c r="E1226" i="1"/>
  <c r="B1226" i="1"/>
  <c r="O1225" i="1"/>
  <c r="E1225" i="1"/>
  <c r="B1225" i="1"/>
  <c r="O1224" i="1"/>
  <c r="E1224" i="1"/>
  <c r="B1224" i="1"/>
  <c r="O1223" i="1"/>
  <c r="E1223" i="1"/>
  <c r="B1223" i="1"/>
  <c r="O1222" i="1"/>
  <c r="E1222" i="1"/>
  <c r="B1222" i="1"/>
  <c r="O1221" i="1"/>
  <c r="E1221" i="1"/>
  <c r="B1221" i="1"/>
  <c r="O1220" i="1"/>
  <c r="E1220" i="1"/>
  <c r="B1220" i="1"/>
  <c r="O1219" i="1"/>
  <c r="E1219" i="1"/>
  <c r="B1219" i="1"/>
  <c r="O1218" i="1"/>
  <c r="E1218" i="1"/>
  <c r="B1218" i="1"/>
  <c r="O1217" i="1"/>
  <c r="E1217" i="1"/>
  <c r="B1217" i="1"/>
  <c r="O1216" i="1"/>
  <c r="E1216" i="1"/>
  <c r="B1216" i="1"/>
  <c r="O1215" i="1"/>
  <c r="E1215" i="1"/>
  <c r="B1215" i="1"/>
  <c r="O1214" i="1"/>
  <c r="E1214" i="1"/>
  <c r="B1214" i="1"/>
  <c r="O1213" i="1"/>
  <c r="E1213" i="1"/>
  <c r="B1213" i="1"/>
  <c r="O1212" i="1"/>
  <c r="E1212" i="1"/>
  <c r="B1212" i="1"/>
  <c r="O1211" i="1"/>
  <c r="E1211" i="1"/>
  <c r="B1211" i="1"/>
  <c r="O1210" i="1"/>
  <c r="E1210" i="1"/>
  <c r="B1210" i="1"/>
  <c r="O1209" i="1"/>
  <c r="E1209" i="1"/>
  <c r="B1209" i="1"/>
  <c r="O1208" i="1"/>
  <c r="E1208" i="1"/>
  <c r="B1208" i="1"/>
  <c r="O1207" i="1"/>
  <c r="E1207" i="1"/>
  <c r="B1207" i="1"/>
  <c r="O1206" i="1"/>
  <c r="E1206" i="1"/>
  <c r="B1206" i="1"/>
  <c r="O1205" i="1"/>
  <c r="E1205" i="1"/>
  <c r="B1205" i="1"/>
  <c r="O1204" i="1"/>
  <c r="E1204" i="1"/>
  <c r="B1204" i="1"/>
  <c r="O1203" i="1"/>
  <c r="E1203" i="1"/>
  <c r="B1203" i="1"/>
  <c r="O1202" i="1"/>
  <c r="E1202" i="1"/>
  <c r="B1202" i="1"/>
  <c r="O1201" i="1"/>
  <c r="E1201" i="1"/>
  <c r="B1201" i="1"/>
  <c r="O1200" i="1"/>
  <c r="E1200" i="1"/>
  <c r="B1200" i="1"/>
  <c r="O1199" i="1"/>
  <c r="E1199" i="1"/>
  <c r="B1199" i="1"/>
  <c r="O1198" i="1"/>
  <c r="E1198" i="1"/>
  <c r="B1198" i="1"/>
  <c r="O1197" i="1"/>
  <c r="E1197" i="1"/>
  <c r="B1197" i="1"/>
  <c r="O1196" i="1"/>
  <c r="E1196" i="1"/>
  <c r="B1196" i="1"/>
  <c r="O1195" i="1"/>
  <c r="E1195" i="1"/>
  <c r="B1195" i="1"/>
  <c r="O1194" i="1"/>
  <c r="E1194" i="1"/>
  <c r="B1194" i="1"/>
  <c r="O1193" i="1"/>
  <c r="E1193" i="1"/>
  <c r="B1193" i="1"/>
  <c r="O1192" i="1"/>
  <c r="E1192" i="1"/>
  <c r="B1192" i="1"/>
  <c r="O1191" i="1"/>
  <c r="E1191" i="1"/>
  <c r="B1191" i="1"/>
  <c r="O1190" i="1"/>
  <c r="E1190" i="1"/>
  <c r="B1190" i="1"/>
  <c r="O1189" i="1"/>
  <c r="E1189" i="1"/>
  <c r="B1189" i="1"/>
  <c r="O1188" i="1"/>
  <c r="E1188" i="1"/>
  <c r="B1188" i="1"/>
  <c r="O1187" i="1"/>
  <c r="E1187" i="1"/>
  <c r="B1187" i="1"/>
  <c r="O1186" i="1"/>
  <c r="E1186" i="1"/>
  <c r="B1186" i="1"/>
  <c r="O1185" i="1"/>
  <c r="E1185" i="1"/>
  <c r="B1185" i="1"/>
  <c r="O1184" i="1"/>
  <c r="E1184" i="1"/>
  <c r="B1184" i="1"/>
  <c r="O1183" i="1"/>
  <c r="E1183" i="1"/>
  <c r="B1183" i="1"/>
  <c r="O1182" i="1"/>
  <c r="E1182" i="1"/>
  <c r="B1182" i="1"/>
  <c r="O1181" i="1"/>
  <c r="E1181" i="1"/>
  <c r="B1181" i="1"/>
  <c r="O1180" i="1"/>
  <c r="E1180" i="1"/>
  <c r="B1180" i="1"/>
  <c r="O1179" i="1"/>
  <c r="E1179" i="1"/>
  <c r="B1179" i="1"/>
  <c r="O1178" i="1"/>
  <c r="E1178" i="1"/>
  <c r="B1178" i="1"/>
  <c r="O1177" i="1"/>
  <c r="E1177" i="1"/>
  <c r="B1177" i="1"/>
  <c r="O1176" i="1"/>
  <c r="E1176" i="1"/>
  <c r="B1176" i="1"/>
  <c r="O1175" i="1"/>
  <c r="E1175" i="1"/>
  <c r="B1175" i="1"/>
  <c r="O1174" i="1"/>
  <c r="E1174" i="1"/>
  <c r="B1174" i="1"/>
  <c r="O1173" i="1"/>
  <c r="E1173" i="1"/>
  <c r="B1173" i="1"/>
  <c r="O1172" i="1"/>
  <c r="E1172" i="1"/>
  <c r="B1172" i="1"/>
  <c r="O1171" i="1"/>
  <c r="E1171" i="1"/>
  <c r="B1171" i="1"/>
  <c r="P1170" i="1"/>
  <c r="O1170" i="1"/>
  <c r="E1170" i="1"/>
  <c r="B1170" i="1"/>
  <c r="O1169" i="1"/>
  <c r="E1169" i="1"/>
  <c r="B1169" i="1"/>
  <c r="O1168" i="1"/>
  <c r="E1168" i="1"/>
  <c r="B1168" i="1"/>
  <c r="O1167" i="1"/>
  <c r="E1167" i="1"/>
  <c r="B1167" i="1"/>
  <c r="O1166" i="1"/>
  <c r="E1166" i="1"/>
  <c r="B1166" i="1"/>
  <c r="O1165" i="1"/>
  <c r="E1165" i="1"/>
  <c r="B1165" i="1"/>
  <c r="O1164" i="1"/>
  <c r="E1164" i="1"/>
  <c r="B1164" i="1"/>
  <c r="O1163" i="1"/>
  <c r="E1163" i="1"/>
  <c r="B1163" i="1"/>
  <c r="O1162" i="1"/>
  <c r="E1162" i="1"/>
  <c r="B1162" i="1"/>
  <c r="O1161" i="1"/>
  <c r="E1161" i="1"/>
  <c r="B1161" i="1"/>
  <c r="O1160" i="1"/>
  <c r="E1160" i="1"/>
  <c r="B1160" i="1"/>
  <c r="O1159" i="1"/>
  <c r="E1159" i="1"/>
  <c r="B1159" i="1"/>
  <c r="O1158" i="1"/>
  <c r="E1158" i="1"/>
  <c r="B1158" i="1"/>
  <c r="O1157" i="1"/>
  <c r="E1157" i="1"/>
  <c r="B1157" i="1"/>
  <c r="O1156" i="1"/>
  <c r="E1156" i="1"/>
  <c r="B1156" i="1"/>
  <c r="O1155" i="1"/>
  <c r="E1155" i="1"/>
  <c r="B1155" i="1"/>
  <c r="O1154" i="1"/>
  <c r="E1154" i="1"/>
  <c r="B1154" i="1"/>
  <c r="O1153" i="1"/>
  <c r="E1153" i="1"/>
  <c r="B1153" i="1"/>
  <c r="O1152" i="1"/>
  <c r="E1152" i="1"/>
  <c r="B1152" i="1"/>
  <c r="O1151" i="1"/>
  <c r="E1151" i="1"/>
  <c r="B1151" i="1"/>
  <c r="O1150" i="1"/>
  <c r="E1150" i="1"/>
  <c r="B1150" i="1"/>
  <c r="O1149" i="1"/>
  <c r="E1149" i="1"/>
  <c r="B1149" i="1"/>
  <c r="O1148" i="1"/>
  <c r="E1148" i="1"/>
  <c r="B1148" i="1"/>
  <c r="O1147" i="1"/>
  <c r="E1147" i="1"/>
  <c r="B1147" i="1"/>
  <c r="O1146" i="1"/>
  <c r="E1146" i="1"/>
  <c r="B1146" i="1"/>
  <c r="O1145" i="1"/>
  <c r="E1145" i="1"/>
  <c r="B1145" i="1"/>
  <c r="O1144" i="1"/>
  <c r="E1144" i="1"/>
  <c r="B1144" i="1"/>
  <c r="O1143" i="1"/>
  <c r="E1143" i="1"/>
  <c r="B1143" i="1"/>
  <c r="O1142" i="1"/>
  <c r="E1142" i="1"/>
  <c r="B1142" i="1"/>
  <c r="O1141" i="1"/>
  <c r="E1141" i="1"/>
  <c r="B1141" i="1"/>
  <c r="O1140" i="1"/>
  <c r="E1140" i="1"/>
  <c r="B1140" i="1"/>
  <c r="O1139" i="1"/>
  <c r="E1139" i="1"/>
  <c r="B1139" i="1"/>
  <c r="O1138" i="1"/>
  <c r="E1138" i="1"/>
  <c r="B1138" i="1"/>
  <c r="O1137" i="1"/>
  <c r="E1137" i="1"/>
  <c r="B1137" i="1"/>
  <c r="O1136" i="1"/>
  <c r="E1136" i="1"/>
  <c r="B1136" i="1"/>
  <c r="O1135" i="1"/>
  <c r="E1135" i="1"/>
  <c r="B1135" i="1"/>
  <c r="O1134" i="1"/>
  <c r="E1134" i="1"/>
  <c r="B1134" i="1"/>
  <c r="O1133" i="1"/>
  <c r="E1133" i="1"/>
  <c r="B1133" i="1"/>
  <c r="O1132" i="1"/>
  <c r="E1132" i="1"/>
  <c r="B1132" i="1"/>
  <c r="O1131" i="1"/>
  <c r="E1131" i="1"/>
  <c r="B1131" i="1"/>
  <c r="O1130" i="1"/>
  <c r="E1130" i="1"/>
  <c r="B1130" i="1"/>
  <c r="O1129" i="1"/>
  <c r="E1129" i="1"/>
  <c r="B1129" i="1"/>
  <c r="O1128" i="1"/>
  <c r="E1128" i="1"/>
  <c r="B1128" i="1"/>
  <c r="O1127" i="1"/>
  <c r="E1127" i="1"/>
  <c r="B1127" i="1"/>
  <c r="O1126" i="1"/>
  <c r="E1126" i="1"/>
  <c r="B1126" i="1"/>
  <c r="O1125" i="1"/>
  <c r="E1125" i="1"/>
  <c r="B1125" i="1"/>
  <c r="O1124" i="1"/>
  <c r="E1124" i="1"/>
  <c r="B1124" i="1"/>
  <c r="O1123" i="1"/>
  <c r="E1123" i="1"/>
  <c r="B1123" i="1"/>
  <c r="O1122" i="1"/>
  <c r="E1122" i="1"/>
  <c r="B1122" i="1"/>
  <c r="O1121" i="1"/>
  <c r="E1121" i="1"/>
  <c r="B1121" i="1"/>
  <c r="O1120" i="1"/>
  <c r="E1120" i="1"/>
  <c r="B1120" i="1"/>
  <c r="O1119" i="1"/>
  <c r="E1119" i="1"/>
  <c r="B1119" i="1"/>
  <c r="O1118" i="1"/>
  <c r="E1118" i="1"/>
  <c r="B1118" i="1"/>
  <c r="O1117" i="1"/>
  <c r="E1117" i="1"/>
  <c r="B1117" i="1"/>
  <c r="O1116" i="1"/>
  <c r="E1116" i="1"/>
  <c r="B1116" i="1"/>
  <c r="O1115" i="1"/>
  <c r="E1115" i="1"/>
  <c r="B1115" i="1"/>
  <c r="O1114" i="1"/>
  <c r="E1114" i="1"/>
  <c r="B1114" i="1"/>
  <c r="O1113" i="1"/>
  <c r="E1113" i="1"/>
  <c r="B1113" i="1"/>
  <c r="O1112" i="1"/>
  <c r="E1112" i="1"/>
  <c r="B1112" i="1"/>
  <c r="P1111" i="1"/>
  <c r="O1111" i="1"/>
  <c r="E1111" i="1"/>
  <c r="B1111" i="1"/>
  <c r="O1110" i="1"/>
  <c r="E1110" i="1"/>
  <c r="B1110" i="1"/>
  <c r="O1109" i="1"/>
  <c r="E1109" i="1"/>
  <c r="B1109" i="1"/>
  <c r="O1108" i="1"/>
  <c r="E1108" i="1"/>
  <c r="B1108" i="1"/>
  <c r="O1107" i="1"/>
  <c r="E1107" i="1"/>
  <c r="B1107" i="1"/>
  <c r="O1106" i="1"/>
  <c r="E1106" i="1"/>
  <c r="B1106" i="1"/>
  <c r="O1105" i="1"/>
  <c r="E1105" i="1"/>
  <c r="B1105" i="1"/>
  <c r="O1104" i="1"/>
  <c r="E1104" i="1"/>
  <c r="B1104" i="1"/>
  <c r="O1103" i="1"/>
  <c r="E1103" i="1"/>
  <c r="B1103" i="1"/>
  <c r="O1102" i="1"/>
  <c r="E1102" i="1"/>
  <c r="B1102" i="1"/>
  <c r="O1101" i="1"/>
  <c r="E1101" i="1"/>
  <c r="B1101" i="1"/>
  <c r="O1100" i="1"/>
  <c r="E1100" i="1"/>
  <c r="B1100" i="1"/>
  <c r="O1099" i="1"/>
  <c r="E1099" i="1"/>
  <c r="B1099" i="1"/>
  <c r="O1098" i="1"/>
  <c r="E1098" i="1"/>
  <c r="B1098" i="1"/>
  <c r="O1097" i="1"/>
  <c r="E1097" i="1"/>
  <c r="B1097" i="1"/>
  <c r="O1096" i="1"/>
  <c r="E1096" i="1"/>
  <c r="B1096" i="1"/>
  <c r="O1095" i="1"/>
  <c r="E1095" i="1"/>
  <c r="B1095" i="1"/>
  <c r="O1094" i="1"/>
  <c r="E1094" i="1"/>
  <c r="B1094" i="1"/>
  <c r="O1093" i="1"/>
  <c r="E1093" i="1"/>
  <c r="B1093" i="1"/>
  <c r="O1092" i="1"/>
  <c r="E1092" i="1"/>
  <c r="B1092" i="1"/>
  <c r="O1091" i="1"/>
  <c r="E1091" i="1"/>
  <c r="B1091" i="1"/>
  <c r="O1090" i="1"/>
  <c r="E1090" i="1"/>
  <c r="B1090" i="1"/>
  <c r="O1089" i="1"/>
  <c r="E1089" i="1"/>
  <c r="B1089" i="1"/>
  <c r="O1088" i="1"/>
  <c r="E1088" i="1"/>
  <c r="B1088" i="1"/>
  <c r="O1087" i="1"/>
  <c r="E1087" i="1"/>
  <c r="B1087" i="1"/>
  <c r="O1086" i="1"/>
  <c r="E1086" i="1"/>
  <c r="B1086" i="1"/>
  <c r="O1085" i="1"/>
  <c r="E1085" i="1"/>
  <c r="B1085" i="1"/>
  <c r="O1084" i="1"/>
  <c r="E1084" i="1"/>
  <c r="B1084" i="1"/>
  <c r="O1083" i="1"/>
  <c r="E1083" i="1"/>
  <c r="B1083" i="1"/>
  <c r="O1082" i="1"/>
  <c r="E1082" i="1"/>
  <c r="B1082" i="1"/>
  <c r="O1081" i="1"/>
  <c r="E1081" i="1"/>
  <c r="B1081" i="1"/>
  <c r="O1080" i="1"/>
  <c r="E1080" i="1"/>
  <c r="B1080" i="1"/>
  <c r="O1079" i="1"/>
  <c r="E1079" i="1"/>
  <c r="B1079" i="1"/>
  <c r="O1078" i="1"/>
  <c r="E1078" i="1"/>
  <c r="B1078" i="1"/>
  <c r="O1077" i="1"/>
  <c r="E1077" i="1"/>
  <c r="B1077" i="1"/>
  <c r="O1076" i="1"/>
  <c r="E1076" i="1"/>
  <c r="B1076" i="1"/>
  <c r="O1075" i="1"/>
  <c r="E1075" i="1"/>
  <c r="B1075" i="1"/>
  <c r="O1074" i="1"/>
  <c r="E1074" i="1"/>
  <c r="B1074" i="1"/>
  <c r="P1073" i="1"/>
  <c r="O1073" i="1"/>
  <c r="E1073" i="1"/>
  <c r="B1073" i="1"/>
  <c r="O1072" i="1"/>
  <c r="E1072" i="1"/>
  <c r="B1072" i="1"/>
  <c r="O1071" i="1"/>
  <c r="E1071" i="1"/>
  <c r="B1071" i="1"/>
  <c r="O1070" i="1"/>
  <c r="E1070" i="1"/>
  <c r="B1070" i="1"/>
  <c r="O1069" i="1"/>
  <c r="E1069" i="1"/>
  <c r="B1069" i="1"/>
  <c r="O1068" i="1"/>
  <c r="E1068" i="1"/>
  <c r="B1068" i="1"/>
  <c r="O1067" i="1"/>
  <c r="E1067" i="1"/>
  <c r="B1067" i="1"/>
  <c r="O1066" i="1"/>
  <c r="E1066" i="1"/>
  <c r="B1066" i="1"/>
  <c r="O1065" i="1"/>
  <c r="E1065" i="1"/>
  <c r="B1065" i="1"/>
  <c r="O1064" i="1"/>
  <c r="E1064" i="1"/>
  <c r="B1064" i="1"/>
  <c r="O1063" i="1"/>
  <c r="E1063" i="1"/>
  <c r="B1063" i="1"/>
  <c r="O1062" i="1"/>
  <c r="E1062" i="1"/>
  <c r="B1062" i="1"/>
  <c r="O1061" i="1"/>
  <c r="E1061" i="1"/>
  <c r="B1061" i="1"/>
  <c r="O1060" i="1"/>
  <c r="E1060" i="1"/>
  <c r="B1060" i="1"/>
  <c r="O1059" i="1"/>
  <c r="E1059" i="1"/>
  <c r="B1059" i="1"/>
  <c r="O1058" i="1"/>
  <c r="E1058" i="1"/>
  <c r="B1058" i="1"/>
  <c r="O1057" i="1"/>
  <c r="E1057" i="1"/>
  <c r="B1057" i="1"/>
  <c r="O1056" i="1"/>
  <c r="E1056" i="1"/>
  <c r="B1056" i="1"/>
  <c r="O1055" i="1"/>
  <c r="E1055" i="1"/>
  <c r="B1055" i="1"/>
  <c r="O1054" i="1"/>
  <c r="E1054" i="1"/>
  <c r="B1054" i="1"/>
  <c r="O1053" i="1"/>
  <c r="E1053" i="1"/>
  <c r="B1053" i="1"/>
  <c r="O1052" i="1"/>
  <c r="E1052" i="1"/>
  <c r="B1052" i="1"/>
  <c r="O1051" i="1"/>
  <c r="E1051" i="1"/>
  <c r="B1051" i="1"/>
  <c r="O1050" i="1"/>
  <c r="E1050" i="1"/>
  <c r="B1050" i="1"/>
  <c r="O1049" i="1"/>
  <c r="E1049" i="1"/>
  <c r="B1049" i="1"/>
  <c r="O1048" i="1"/>
  <c r="E1048" i="1"/>
  <c r="B1048" i="1"/>
  <c r="O1047" i="1"/>
  <c r="E1047" i="1"/>
  <c r="B1047" i="1"/>
  <c r="O1046" i="1"/>
  <c r="E1046" i="1"/>
  <c r="B1046" i="1"/>
  <c r="O1045" i="1"/>
  <c r="E1045" i="1"/>
  <c r="B1045" i="1"/>
  <c r="O1044" i="1"/>
  <c r="E1044" i="1"/>
  <c r="B1044" i="1"/>
  <c r="O1043" i="1"/>
  <c r="E1043" i="1"/>
  <c r="B1043" i="1"/>
  <c r="O1042" i="1"/>
  <c r="E1042" i="1"/>
  <c r="B1042" i="1"/>
  <c r="O1041" i="1"/>
  <c r="E1041" i="1"/>
  <c r="B1041" i="1"/>
  <c r="O1040" i="1"/>
  <c r="E1040" i="1"/>
  <c r="B1040" i="1"/>
  <c r="O1039" i="1"/>
  <c r="E1039" i="1"/>
  <c r="B1039" i="1"/>
  <c r="O1038" i="1"/>
  <c r="E1038" i="1"/>
  <c r="B1038" i="1"/>
  <c r="O1037" i="1"/>
  <c r="E1037" i="1"/>
  <c r="B1037" i="1"/>
  <c r="O1036" i="1"/>
  <c r="E1036" i="1"/>
  <c r="B1036" i="1"/>
  <c r="O1035" i="1"/>
  <c r="E1035" i="1"/>
  <c r="B1035" i="1"/>
  <c r="O1034" i="1"/>
  <c r="E1034" i="1"/>
  <c r="B1034" i="1"/>
  <c r="O1033" i="1"/>
  <c r="E1033" i="1"/>
  <c r="B1033" i="1"/>
  <c r="O1032" i="1"/>
  <c r="E1032" i="1"/>
  <c r="B1032" i="1"/>
  <c r="O1031" i="1"/>
  <c r="E1031" i="1"/>
  <c r="B1031" i="1"/>
  <c r="O1030" i="1"/>
  <c r="E1030" i="1"/>
  <c r="B1030" i="1"/>
  <c r="O1029" i="1"/>
  <c r="E1029" i="1"/>
  <c r="B1029" i="1"/>
  <c r="O1028" i="1"/>
  <c r="E1028" i="1"/>
  <c r="B1028" i="1"/>
  <c r="O1027" i="1"/>
  <c r="E1027" i="1"/>
  <c r="B1027" i="1"/>
  <c r="O1026" i="1"/>
  <c r="E1026" i="1"/>
  <c r="B1026" i="1"/>
  <c r="O1025" i="1"/>
  <c r="E1025" i="1"/>
  <c r="B1025" i="1"/>
  <c r="O1024" i="1"/>
  <c r="E1024" i="1"/>
  <c r="B1024" i="1"/>
  <c r="O1023" i="1"/>
  <c r="E1023" i="1"/>
  <c r="B1023" i="1"/>
  <c r="O1022" i="1"/>
  <c r="E1022" i="1"/>
  <c r="B1022" i="1"/>
  <c r="O1021" i="1"/>
  <c r="E1021" i="1"/>
  <c r="B1021" i="1"/>
  <c r="O1020" i="1"/>
  <c r="E1020" i="1"/>
  <c r="B1020" i="1"/>
  <c r="O1019" i="1"/>
  <c r="E1019" i="1"/>
  <c r="B1019" i="1"/>
  <c r="O1018" i="1"/>
  <c r="E1018" i="1"/>
  <c r="B1018" i="1"/>
  <c r="O1017" i="1"/>
  <c r="E1017" i="1"/>
  <c r="B1017" i="1"/>
  <c r="O1016" i="1"/>
  <c r="E1016" i="1"/>
  <c r="B1016" i="1"/>
  <c r="O1015" i="1"/>
  <c r="E1015" i="1"/>
  <c r="B1015" i="1"/>
  <c r="O1014" i="1"/>
  <c r="E1014" i="1"/>
  <c r="B1014" i="1"/>
  <c r="O1013" i="1"/>
  <c r="E1013" i="1"/>
  <c r="B1013" i="1"/>
  <c r="O1012" i="1"/>
  <c r="E1012" i="1"/>
  <c r="B1012" i="1"/>
  <c r="O1011" i="1"/>
  <c r="E1011" i="1"/>
  <c r="B1011" i="1"/>
  <c r="O1010" i="1"/>
  <c r="E1010" i="1"/>
  <c r="B1010" i="1"/>
  <c r="O1009" i="1"/>
  <c r="E1009" i="1"/>
  <c r="B1009" i="1"/>
  <c r="O1008" i="1"/>
  <c r="E1008" i="1"/>
  <c r="B1008" i="1"/>
  <c r="O1007" i="1"/>
  <c r="E1007" i="1"/>
  <c r="B1007" i="1"/>
  <c r="O1006" i="1"/>
  <c r="E1006" i="1"/>
  <c r="B1006" i="1"/>
  <c r="O1005" i="1"/>
  <c r="E1005" i="1"/>
  <c r="B1005" i="1"/>
  <c r="O1004" i="1"/>
  <c r="E1004" i="1"/>
  <c r="B1004" i="1"/>
  <c r="O1003" i="1"/>
  <c r="E1003" i="1"/>
  <c r="B1003" i="1"/>
  <c r="O1002" i="1"/>
  <c r="E1002" i="1"/>
  <c r="B1002" i="1"/>
  <c r="O1001" i="1"/>
  <c r="E1001" i="1"/>
  <c r="B1001" i="1"/>
  <c r="O1000" i="1"/>
  <c r="E1000" i="1"/>
  <c r="B1000" i="1"/>
  <c r="O999" i="1"/>
  <c r="E999" i="1"/>
  <c r="B999" i="1"/>
  <c r="O998" i="1"/>
  <c r="E998" i="1"/>
  <c r="B998" i="1"/>
  <c r="O997" i="1"/>
  <c r="E997" i="1"/>
  <c r="B997" i="1"/>
  <c r="O996" i="1"/>
  <c r="E996" i="1"/>
  <c r="B996" i="1"/>
  <c r="O995" i="1"/>
  <c r="E995" i="1"/>
  <c r="B995" i="1"/>
  <c r="O994" i="1"/>
  <c r="E994" i="1"/>
  <c r="B994" i="1"/>
  <c r="O993" i="1"/>
  <c r="E993" i="1"/>
  <c r="B993" i="1"/>
  <c r="O992" i="1"/>
  <c r="E992" i="1"/>
  <c r="B992" i="1"/>
  <c r="O991" i="1"/>
  <c r="E991" i="1"/>
  <c r="B991" i="1"/>
  <c r="O990" i="1"/>
  <c r="E990" i="1"/>
  <c r="B990" i="1"/>
  <c r="O989" i="1"/>
  <c r="E989" i="1"/>
  <c r="B989" i="1"/>
  <c r="O988" i="1"/>
  <c r="E988" i="1"/>
  <c r="B988" i="1"/>
  <c r="O987" i="1"/>
  <c r="E987" i="1"/>
  <c r="B987" i="1"/>
  <c r="O986" i="1"/>
  <c r="E986" i="1"/>
  <c r="B986" i="1"/>
  <c r="O985" i="1"/>
  <c r="E985" i="1"/>
  <c r="B985" i="1"/>
  <c r="O984" i="1"/>
  <c r="E984" i="1"/>
  <c r="B984" i="1"/>
  <c r="O983" i="1"/>
  <c r="E983" i="1"/>
  <c r="B983" i="1"/>
  <c r="O982" i="1"/>
  <c r="E982" i="1"/>
  <c r="B982" i="1"/>
  <c r="O981" i="1"/>
  <c r="E981" i="1"/>
  <c r="B981" i="1"/>
  <c r="O980" i="1"/>
  <c r="E980" i="1"/>
  <c r="B980" i="1"/>
  <c r="O979" i="1"/>
  <c r="E979" i="1"/>
  <c r="B979" i="1"/>
  <c r="O978" i="1"/>
  <c r="E978" i="1"/>
  <c r="B978" i="1"/>
  <c r="O977" i="1"/>
  <c r="E977" i="1"/>
  <c r="B977" i="1"/>
  <c r="O976" i="1"/>
  <c r="E976" i="1"/>
  <c r="B976" i="1"/>
  <c r="O975" i="1"/>
  <c r="E975" i="1"/>
  <c r="B975" i="1"/>
  <c r="O974" i="1"/>
  <c r="E974" i="1"/>
  <c r="B974" i="1"/>
  <c r="O973" i="1"/>
  <c r="E973" i="1"/>
  <c r="B973" i="1"/>
  <c r="O972" i="1"/>
  <c r="E972" i="1"/>
  <c r="B972" i="1"/>
  <c r="O971" i="1"/>
  <c r="E971" i="1"/>
  <c r="B971" i="1"/>
  <c r="O970" i="1"/>
  <c r="E970" i="1"/>
  <c r="B970" i="1"/>
  <c r="O969" i="1"/>
  <c r="E969" i="1"/>
  <c r="B969" i="1"/>
  <c r="O968" i="1"/>
  <c r="E968" i="1"/>
  <c r="B968" i="1"/>
  <c r="O967" i="1"/>
  <c r="E967" i="1"/>
  <c r="B967" i="1"/>
  <c r="O966" i="1"/>
  <c r="E966" i="1"/>
  <c r="B966" i="1"/>
  <c r="O965" i="1"/>
  <c r="E965" i="1"/>
  <c r="B965" i="1"/>
  <c r="O964" i="1"/>
  <c r="E964" i="1"/>
  <c r="B964" i="1"/>
  <c r="O963" i="1"/>
  <c r="E963" i="1"/>
  <c r="B963" i="1"/>
  <c r="O962" i="1"/>
  <c r="E962" i="1"/>
  <c r="B962" i="1"/>
  <c r="O961" i="1"/>
  <c r="E961" i="1"/>
  <c r="B961" i="1"/>
  <c r="O960" i="1"/>
  <c r="E960" i="1"/>
  <c r="B960" i="1"/>
  <c r="O959" i="1"/>
  <c r="E959" i="1"/>
  <c r="B959" i="1"/>
  <c r="O958" i="1"/>
  <c r="E958" i="1"/>
  <c r="B958" i="1"/>
  <c r="O957" i="1"/>
  <c r="E957" i="1"/>
  <c r="B957" i="1"/>
  <c r="O956" i="1"/>
  <c r="E956" i="1"/>
  <c r="B956" i="1"/>
  <c r="O955" i="1"/>
  <c r="E955" i="1"/>
  <c r="B955" i="1"/>
  <c r="O954" i="1"/>
  <c r="E954" i="1"/>
  <c r="B954" i="1"/>
  <c r="O953" i="1"/>
  <c r="E953" i="1"/>
  <c r="B953" i="1"/>
  <c r="O952" i="1"/>
  <c r="E952" i="1"/>
  <c r="B952" i="1"/>
  <c r="O951" i="1"/>
  <c r="E951" i="1"/>
  <c r="B951" i="1"/>
  <c r="O950" i="1"/>
  <c r="E950" i="1"/>
  <c r="B950" i="1"/>
  <c r="O949" i="1"/>
  <c r="E949" i="1"/>
  <c r="B949" i="1"/>
  <c r="O948" i="1"/>
  <c r="E948" i="1"/>
  <c r="B948" i="1"/>
  <c r="O947" i="1"/>
  <c r="E947" i="1"/>
  <c r="B947" i="1"/>
  <c r="O946" i="1"/>
  <c r="E946" i="1"/>
  <c r="B946" i="1"/>
  <c r="O945" i="1"/>
  <c r="E945" i="1"/>
  <c r="B945" i="1"/>
  <c r="O944" i="1"/>
  <c r="E944" i="1"/>
  <c r="B944" i="1"/>
  <c r="O943" i="1"/>
  <c r="E943" i="1"/>
  <c r="B943" i="1"/>
  <c r="O942" i="1"/>
  <c r="E942" i="1"/>
  <c r="B942" i="1"/>
  <c r="O941" i="1"/>
  <c r="E941" i="1"/>
  <c r="B941" i="1"/>
  <c r="O940" i="1"/>
  <c r="E940" i="1"/>
  <c r="B940" i="1"/>
  <c r="O939" i="1"/>
  <c r="E939" i="1"/>
  <c r="B939" i="1"/>
  <c r="O938" i="1"/>
  <c r="E938" i="1"/>
  <c r="B938" i="1"/>
  <c r="O937" i="1"/>
  <c r="E937" i="1"/>
  <c r="B937" i="1"/>
  <c r="O936" i="1"/>
  <c r="E936" i="1"/>
  <c r="B936" i="1"/>
  <c r="O935" i="1"/>
  <c r="E935" i="1"/>
  <c r="B935" i="1"/>
  <c r="O934" i="1"/>
  <c r="E934" i="1"/>
  <c r="B934" i="1"/>
  <c r="O933" i="1"/>
  <c r="E933" i="1"/>
  <c r="B933" i="1"/>
  <c r="O932" i="1"/>
  <c r="E932" i="1"/>
  <c r="B932" i="1"/>
  <c r="O931" i="1"/>
  <c r="E931" i="1"/>
  <c r="B931" i="1"/>
  <c r="O930" i="1"/>
  <c r="E930" i="1"/>
  <c r="B930" i="1"/>
  <c r="O929" i="1"/>
  <c r="E929" i="1"/>
  <c r="B929" i="1"/>
  <c r="O928" i="1"/>
  <c r="E928" i="1"/>
  <c r="B928" i="1"/>
  <c r="O927" i="1"/>
  <c r="E927" i="1"/>
  <c r="B927" i="1"/>
  <c r="O926" i="1"/>
  <c r="E926" i="1"/>
  <c r="B926" i="1"/>
  <c r="O925" i="1"/>
  <c r="E925" i="1"/>
  <c r="B925" i="1"/>
  <c r="O924" i="1"/>
  <c r="E924" i="1"/>
  <c r="B924" i="1"/>
  <c r="O923" i="1"/>
  <c r="E923" i="1"/>
  <c r="B923" i="1"/>
  <c r="O922" i="1"/>
  <c r="E922" i="1"/>
  <c r="B922" i="1"/>
  <c r="O921" i="1"/>
  <c r="E921" i="1"/>
  <c r="B921" i="1"/>
  <c r="O920" i="1"/>
  <c r="E920" i="1"/>
  <c r="B920" i="1"/>
  <c r="O919" i="1"/>
  <c r="E919" i="1"/>
  <c r="B919" i="1"/>
  <c r="O918" i="1"/>
  <c r="E918" i="1"/>
  <c r="B918" i="1"/>
  <c r="O917" i="1"/>
  <c r="E917" i="1"/>
  <c r="B917" i="1"/>
  <c r="O916" i="1"/>
  <c r="E916" i="1"/>
  <c r="B916" i="1"/>
  <c r="O915" i="1"/>
  <c r="E915" i="1"/>
  <c r="B915" i="1"/>
  <c r="O914" i="1"/>
  <c r="E914" i="1"/>
  <c r="B914" i="1"/>
  <c r="O913" i="1"/>
  <c r="E913" i="1"/>
  <c r="B913" i="1"/>
  <c r="O912" i="1"/>
  <c r="E912" i="1"/>
  <c r="B912" i="1"/>
  <c r="O911" i="1"/>
  <c r="E911" i="1"/>
  <c r="B911" i="1"/>
  <c r="O910" i="1"/>
  <c r="E910" i="1"/>
  <c r="B910" i="1"/>
  <c r="O909" i="1"/>
  <c r="E909" i="1"/>
  <c r="B909" i="1"/>
  <c r="O908" i="1"/>
  <c r="E908" i="1"/>
  <c r="B908" i="1"/>
  <c r="O907" i="1"/>
  <c r="E907" i="1"/>
  <c r="B907" i="1"/>
  <c r="O906" i="1"/>
  <c r="E906" i="1"/>
  <c r="B906" i="1"/>
  <c r="O905" i="1"/>
  <c r="E905" i="1"/>
  <c r="B905" i="1"/>
  <c r="O904" i="1"/>
  <c r="E904" i="1"/>
  <c r="B904" i="1"/>
  <c r="O903" i="1"/>
  <c r="E903" i="1"/>
  <c r="B903" i="1"/>
  <c r="O902" i="1"/>
  <c r="E902" i="1"/>
  <c r="B902" i="1"/>
  <c r="O901" i="1"/>
  <c r="E901" i="1"/>
  <c r="B901" i="1"/>
  <c r="O900" i="1"/>
  <c r="E900" i="1"/>
  <c r="B900" i="1"/>
  <c r="O899" i="1"/>
  <c r="E899" i="1"/>
  <c r="B899" i="1"/>
  <c r="O898" i="1"/>
  <c r="E898" i="1"/>
  <c r="B898" i="1"/>
  <c r="O897" i="1"/>
  <c r="E897" i="1"/>
  <c r="B897" i="1"/>
  <c r="O896" i="1"/>
  <c r="E896" i="1"/>
  <c r="B896" i="1"/>
  <c r="O895" i="1"/>
  <c r="E895" i="1"/>
  <c r="B895" i="1"/>
  <c r="O894" i="1"/>
  <c r="E894" i="1"/>
  <c r="B894" i="1"/>
  <c r="O893" i="1"/>
  <c r="E893" i="1"/>
  <c r="B893" i="1"/>
  <c r="O892" i="1"/>
  <c r="E892" i="1"/>
  <c r="B892" i="1"/>
  <c r="O891" i="1"/>
  <c r="E891" i="1"/>
  <c r="B891" i="1"/>
  <c r="O890" i="1"/>
  <c r="E890" i="1"/>
  <c r="B890" i="1"/>
  <c r="O889" i="1"/>
  <c r="E889" i="1"/>
  <c r="B889" i="1"/>
  <c r="O888" i="1"/>
  <c r="E888" i="1"/>
  <c r="B888" i="1"/>
  <c r="O887" i="1"/>
  <c r="E887" i="1"/>
  <c r="B887" i="1"/>
  <c r="O886" i="1"/>
  <c r="E886" i="1"/>
  <c r="B886" i="1"/>
  <c r="O885" i="1"/>
  <c r="E885" i="1"/>
  <c r="B885" i="1"/>
  <c r="O884" i="1"/>
  <c r="E884" i="1"/>
  <c r="B884" i="1"/>
  <c r="O883" i="1"/>
  <c r="E883" i="1"/>
  <c r="B883" i="1"/>
  <c r="O882" i="1"/>
  <c r="E882" i="1"/>
  <c r="B882" i="1"/>
  <c r="O881" i="1"/>
  <c r="E881" i="1"/>
  <c r="B881" i="1"/>
  <c r="O880" i="1"/>
  <c r="E880" i="1"/>
  <c r="B880" i="1"/>
  <c r="O879" i="1"/>
  <c r="E879" i="1"/>
  <c r="B879" i="1"/>
  <c r="O878" i="1"/>
  <c r="E878" i="1"/>
  <c r="B878" i="1"/>
  <c r="O877" i="1"/>
  <c r="E877" i="1"/>
  <c r="B877" i="1"/>
  <c r="O876" i="1"/>
  <c r="E876" i="1"/>
  <c r="B876" i="1"/>
  <c r="O875" i="1"/>
  <c r="E875" i="1"/>
  <c r="B875" i="1"/>
  <c r="O874" i="1"/>
  <c r="E874" i="1"/>
  <c r="B874" i="1"/>
  <c r="O873" i="1"/>
  <c r="E873" i="1"/>
  <c r="B873" i="1"/>
  <c r="O872" i="1"/>
  <c r="E872" i="1"/>
  <c r="B872" i="1"/>
  <c r="O871" i="1"/>
  <c r="E871" i="1"/>
  <c r="B871" i="1"/>
  <c r="P870" i="1"/>
  <c r="O870" i="1"/>
  <c r="E870" i="1"/>
  <c r="B870" i="1"/>
  <c r="O869" i="1"/>
  <c r="E869" i="1"/>
  <c r="B869" i="1"/>
  <c r="O868" i="1"/>
  <c r="E868" i="1"/>
  <c r="B868" i="1"/>
  <c r="O867" i="1"/>
  <c r="E867" i="1"/>
  <c r="B867" i="1"/>
  <c r="O866" i="1"/>
  <c r="E866" i="1"/>
  <c r="B866" i="1"/>
  <c r="O865" i="1"/>
  <c r="E865" i="1"/>
  <c r="B865" i="1"/>
  <c r="O864" i="1"/>
  <c r="E864" i="1"/>
  <c r="B864" i="1"/>
  <c r="O863" i="1"/>
  <c r="E863" i="1"/>
  <c r="B863" i="1"/>
  <c r="O862" i="1"/>
  <c r="E862" i="1"/>
  <c r="B862" i="1"/>
  <c r="O861" i="1"/>
  <c r="E861" i="1"/>
  <c r="B861" i="1"/>
  <c r="O860" i="1"/>
  <c r="E860" i="1"/>
  <c r="B860" i="1"/>
  <c r="O859" i="1"/>
  <c r="E859" i="1"/>
  <c r="B859" i="1"/>
  <c r="O858" i="1"/>
  <c r="E858" i="1"/>
  <c r="B858" i="1"/>
  <c r="O857" i="1"/>
  <c r="E857" i="1"/>
  <c r="B857" i="1"/>
  <c r="O856" i="1"/>
  <c r="E856" i="1"/>
  <c r="B856" i="1"/>
  <c r="O855" i="1"/>
  <c r="E855" i="1"/>
  <c r="B855" i="1"/>
  <c r="O854" i="1"/>
  <c r="E854" i="1"/>
  <c r="B854" i="1"/>
  <c r="O853" i="1"/>
  <c r="E853" i="1"/>
  <c r="B853" i="1"/>
  <c r="O852" i="1"/>
  <c r="E852" i="1"/>
  <c r="B852" i="1"/>
  <c r="O851" i="1"/>
  <c r="E851" i="1"/>
  <c r="B851" i="1"/>
  <c r="O850" i="1"/>
  <c r="E850" i="1"/>
  <c r="B850" i="1"/>
  <c r="O849" i="1"/>
  <c r="E849" i="1"/>
  <c r="B849" i="1"/>
  <c r="O848" i="1"/>
  <c r="E848" i="1"/>
  <c r="B848" i="1"/>
  <c r="O847" i="1"/>
  <c r="E847" i="1"/>
  <c r="B847" i="1"/>
  <c r="O846" i="1"/>
  <c r="E846" i="1"/>
  <c r="B846" i="1"/>
  <c r="O845" i="1"/>
  <c r="E845" i="1"/>
  <c r="B845" i="1"/>
  <c r="O844" i="1"/>
  <c r="E844" i="1"/>
  <c r="B844" i="1"/>
  <c r="O843" i="1"/>
  <c r="E843" i="1"/>
  <c r="B843" i="1"/>
  <c r="O842" i="1"/>
  <c r="E842" i="1"/>
  <c r="B842" i="1"/>
  <c r="O841" i="1"/>
  <c r="E841" i="1"/>
  <c r="B841" i="1"/>
  <c r="O840" i="1"/>
  <c r="E840" i="1"/>
  <c r="B840" i="1"/>
  <c r="O839" i="1"/>
  <c r="E839" i="1"/>
  <c r="B839" i="1"/>
  <c r="O838" i="1"/>
  <c r="E838" i="1"/>
  <c r="B838" i="1"/>
  <c r="O837" i="1"/>
  <c r="E837" i="1"/>
  <c r="B837" i="1"/>
  <c r="O836" i="1"/>
  <c r="E836" i="1"/>
  <c r="B836" i="1"/>
  <c r="O835" i="1"/>
  <c r="E835" i="1"/>
  <c r="B835" i="1"/>
  <c r="O834" i="1"/>
  <c r="E834" i="1"/>
  <c r="B834" i="1"/>
  <c r="O833" i="1"/>
  <c r="E833" i="1"/>
  <c r="B833" i="1"/>
  <c r="O832" i="1"/>
  <c r="E832" i="1"/>
  <c r="B832" i="1"/>
  <c r="O831" i="1"/>
  <c r="E831" i="1"/>
  <c r="B831" i="1"/>
  <c r="O830" i="1"/>
  <c r="E830" i="1"/>
  <c r="B830" i="1"/>
  <c r="O829" i="1"/>
  <c r="E829" i="1"/>
  <c r="B829" i="1"/>
  <c r="O828" i="1"/>
  <c r="E828" i="1"/>
  <c r="B828" i="1"/>
  <c r="O827" i="1"/>
  <c r="E827" i="1"/>
  <c r="B827" i="1"/>
  <c r="P826" i="1"/>
  <c r="O826" i="1"/>
  <c r="E826" i="1"/>
  <c r="B826" i="1"/>
  <c r="O825" i="1"/>
  <c r="E825" i="1"/>
  <c r="B825" i="1"/>
  <c r="O824" i="1"/>
  <c r="E824" i="1"/>
  <c r="B824" i="1"/>
  <c r="O823" i="1"/>
  <c r="E823" i="1"/>
  <c r="B823" i="1"/>
  <c r="O822" i="1"/>
  <c r="E822" i="1"/>
  <c r="B822" i="1"/>
  <c r="O821" i="1"/>
  <c r="E821" i="1"/>
  <c r="B821" i="1"/>
  <c r="O820" i="1"/>
  <c r="E820" i="1"/>
  <c r="B820" i="1"/>
  <c r="O819" i="1"/>
  <c r="E819" i="1"/>
  <c r="B819" i="1"/>
  <c r="O818" i="1"/>
  <c r="E818" i="1"/>
  <c r="B818" i="1"/>
  <c r="O817" i="1"/>
  <c r="E817" i="1"/>
  <c r="B817" i="1"/>
  <c r="O816" i="1"/>
  <c r="E816" i="1"/>
  <c r="B816" i="1"/>
  <c r="O815" i="1"/>
  <c r="E815" i="1"/>
  <c r="B815" i="1"/>
  <c r="O814" i="1"/>
  <c r="E814" i="1"/>
  <c r="B814" i="1"/>
  <c r="O813" i="1"/>
  <c r="E813" i="1"/>
  <c r="B813" i="1"/>
  <c r="P812" i="1"/>
  <c r="O812" i="1"/>
  <c r="E812" i="1"/>
  <c r="B812" i="1"/>
  <c r="P811" i="1"/>
  <c r="O811" i="1"/>
  <c r="E811" i="1"/>
  <c r="B811" i="1"/>
  <c r="O810" i="1"/>
  <c r="E810" i="1"/>
  <c r="B810" i="1"/>
  <c r="P809" i="1"/>
  <c r="O809" i="1"/>
  <c r="E809" i="1"/>
  <c r="B809" i="1"/>
  <c r="O808" i="1"/>
  <c r="E808" i="1"/>
  <c r="B808" i="1"/>
  <c r="O807" i="1"/>
  <c r="E807" i="1"/>
  <c r="B807" i="1"/>
  <c r="P806" i="1"/>
  <c r="O806" i="1"/>
  <c r="E806" i="1"/>
  <c r="B806" i="1"/>
  <c r="O805" i="1"/>
  <c r="E805" i="1"/>
  <c r="B805" i="1"/>
  <c r="O804" i="1"/>
  <c r="E804" i="1"/>
  <c r="B804" i="1"/>
  <c r="P803" i="1"/>
  <c r="O803" i="1"/>
  <c r="E803" i="1"/>
  <c r="B803" i="1"/>
  <c r="P802" i="1"/>
  <c r="O802" i="1"/>
  <c r="E802" i="1"/>
  <c r="B802" i="1"/>
  <c r="O801" i="1"/>
  <c r="E801" i="1"/>
  <c r="B801" i="1"/>
  <c r="O800" i="1"/>
  <c r="E800" i="1"/>
  <c r="B800" i="1"/>
  <c r="O799" i="1"/>
  <c r="E799" i="1"/>
  <c r="B799" i="1"/>
  <c r="O798" i="1"/>
  <c r="E798" i="1"/>
  <c r="B798" i="1"/>
  <c r="O797" i="1"/>
  <c r="E797" i="1"/>
  <c r="B797" i="1"/>
  <c r="O796" i="1"/>
  <c r="E796" i="1"/>
  <c r="B796" i="1"/>
  <c r="O795" i="1"/>
  <c r="E795" i="1"/>
  <c r="B795" i="1"/>
  <c r="O794" i="1"/>
  <c r="E794" i="1"/>
  <c r="B794" i="1"/>
  <c r="O793" i="1"/>
  <c r="E793" i="1"/>
  <c r="B793" i="1"/>
  <c r="O792" i="1"/>
  <c r="E792" i="1"/>
  <c r="B792" i="1"/>
  <c r="O791" i="1"/>
  <c r="E791" i="1"/>
  <c r="B791" i="1"/>
  <c r="O790" i="1"/>
  <c r="E790" i="1"/>
  <c r="B790" i="1"/>
  <c r="O789" i="1"/>
  <c r="E789" i="1"/>
  <c r="B789" i="1"/>
  <c r="O788" i="1"/>
  <c r="E788" i="1"/>
  <c r="B788" i="1"/>
  <c r="O787" i="1"/>
  <c r="E787" i="1"/>
  <c r="B787" i="1"/>
  <c r="O786" i="1"/>
  <c r="E786" i="1"/>
  <c r="B786" i="1"/>
  <c r="O785" i="1"/>
  <c r="E785" i="1"/>
  <c r="B785" i="1"/>
  <c r="O784" i="1"/>
  <c r="E784" i="1"/>
  <c r="B784" i="1"/>
  <c r="O783" i="1"/>
  <c r="E783" i="1"/>
  <c r="B783" i="1"/>
  <c r="O782" i="1"/>
  <c r="E782" i="1"/>
  <c r="B782" i="1"/>
  <c r="P781" i="1"/>
  <c r="O781" i="1"/>
  <c r="E781" i="1"/>
  <c r="B781" i="1"/>
  <c r="O780" i="1"/>
  <c r="E780" i="1"/>
  <c r="B780" i="1"/>
  <c r="P779" i="1"/>
  <c r="O779" i="1"/>
  <c r="E779" i="1"/>
  <c r="B779" i="1"/>
  <c r="O778" i="1"/>
  <c r="E778" i="1"/>
  <c r="B778" i="1"/>
  <c r="O777" i="1"/>
  <c r="E777" i="1"/>
  <c r="B777" i="1"/>
  <c r="O776" i="1"/>
  <c r="E776" i="1"/>
  <c r="B776" i="1"/>
  <c r="P775" i="1"/>
  <c r="O775" i="1"/>
  <c r="E775" i="1"/>
  <c r="B775" i="1"/>
  <c r="P774" i="1"/>
  <c r="O774" i="1"/>
  <c r="E774" i="1"/>
  <c r="B774" i="1"/>
  <c r="P773" i="1"/>
  <c r="O773" i="1"/>
  <c r="E773" i="1"/>
  <c r="B773" i="1"/>
  <c r="O772" i="1"/>
  <c r="E772" i="1"/>
  <c r="B772" i="1"/>
  <c r="P771" i="1"/>
  <c r="O771" i="1"/>
  <c r="E771" i="1"/>
  <c r="B771" i="1"/>
  <c r="P770" i="1"/>
  <c r="O770" i="1"/>
  <c r="E770" i="1"/>
  <c r="B770" i="1"/>
  <c r="O769" i="1"/>
  <c r="E769" i="1"/>
  <c r="B769" i="1"/>
  <c r="O768" i="1"/>
  <c r="E768" i="1"/>
  <c r="B768" i="1"/>
  <c r="O767" i="1"/>
  <c r="E767" i="1"/>
  <c r="B767" i="1"/>
  <c r="O766" i="1"/>
  <c r="E766" i="1"/>
  <c r="B766" i="1"/>
  <c r="O765" i="1"/>
  <c r="E765" i="1"/>
  <c r="B765" i="1"/>
  <c r="O764" i="1"/>
  <c r="E764" i="1"/>
  <c r="B764" i="1"/>
  <c r="O763" i="1"/>
  <c r="E763" i="1"/>
  <c r="B763" i="1"/>
  <c r="O762" i="1"/>
  <c r="E762" i="1"/>
  <c r="B762" i="1"/>
  <c r="O761" i="1"/>
  <c r="E761" i="1"/>
  <c r="B761" i="1"/>
  <c r="O760" i="1"/>
  <c r="E760" i="1"/>
  <c r="B760" i="1"/>
  <c r="O759" i="1"/>
  <c r="E759" i="1"/>
  <c r="B759" i="1"/>
  <c r="O758" i="1"/>
  <c r="E758" i="1"/>
  <c r="B758" i="1"/>
  <c r="O757" i="1"/>
  <c r="E757" i="1"/>
  <c r="B757" i="1"/>
  <c r="O756" i="1"/>
  <c r="E756" i="1"/>
  <c r="B756" i="1"/>
  <c r="O755" i="1"/>
  <c r="E755" i="1"/>
  <c r="B755" i="1"/>
  <c r="O754" i="1"/>
  <c r="E754" i="1"/>
  <c r="B754" i="1"/>
  <c r="O753" i="1"/>
  <c r="E753" i="1"/>
  <c r="B753" i="1"/>
  <c r="O752" i="1"/>
  <c r="E752" i="1"/>
  <c r="B752" i="1"/>
  <c r="O751" i="1"/>
  <c r="E751" i="1"/>
  <c r="B751" i="1"/>
  <c r="O750" i="1"/>
  <c r="E750" i="1"/>
  <c r="B750" i="1"/>
  <c r="O749" i="1"/>
  <c r="E749" i="1"/>
  <c r="B749" i="1"/>
  <c r="O748" i="1"/>
  <c r="E748" i="1"/>
  <c r="B748" i="1"/>
  <c r="O747" i="1"/>
  <c r="E747" i="1"/>
  <c r="B747" i="1"/>
  <c r="O746" i="1"/>
  <c r="E746" i="1"/>
  <c r="B746" i="1"/>
  <c r="O745" i="1"/>
  <c r="E745" i="1"/>
  <c r="B745" i="1"/>
  <c r="O744" i="1"/>
  <c r="E744" i="1"/>
  <c r="B744" i="1"/>
  <c r="O743" i="1"/>
  <c r="E743" i="1"/>
  <c r="B743" i="1"/>
  <c r="O742" i="1"/>
  <c r="E742" i="1"/>
  <c r="B742" i="1"/>
  <c r="O741" i="1"/>
  <c r="E741" i="1"/>
  <c r="B741" i="1"/>
  <c r="O740" i="1"/>
  <c r="E740" i="1"/>
  <c r="B740" i="1"/>
  <c r="O739" i="1"/>
  <c r="E739" i="1"/>
  <c r="B739" i="1"/>
  <c r="O738" i="1"/>
  <c r="E738" i="1"/>
  <c r="B738" i="1"/>
  <c r="O737" i="1"/>
  <c r="E737" i="1"/>
  <c r="B737" i="1"/>
  <c r="O736" i="1"/>
  <c r="E736" i="1"/>
  <c r="B736" i="1"/>
  <c r="O735" i="1"/>
  <c r="E735" i="1"/>
  <c r="B735" i="1"/>
  <c r="O734" i="1"/>
  <c r="E734" i="1"/>
  <c r="B734" i="1"/>
  <c r="O733" i="1"/>
  <c r="E733" i="1"/>
  <c r="B733" i="1"/>
  <c r="O732" i="1"/>
  <c r="E732" i="1"/>
  <c r="B732" i="1"/>
  <c r="O731" i="1"/>
  <c r="E731" i="1"/>
  <c r="B731" i="1"/>
  <c r="O730" i="1"/>
  <c r="E730" i="1"/>
  <c r="B730" i="1"/>
  <c r="O729" i="1"/>
  <c r="E729" i="1"/>
  <c r="B729" i="1"/>
  <c r="O728" i="1"/>
  <c r="E728" i="1"/>
  <c r="B728" i="1"/>
  <c r="O727" i="1"/>
  <c r="E727" i="1"/>
  <c r="B727" i="1"/>
  <c r="O726" i="1"/>
  <c r="E726" i="1"/>
  <c r="B726" i="1"/>
  <c r="O725" i="1"/>
  <c r="E725" i="1"/>
  <c r="B725" i="1"/>
  <c r="O724" i="1"/>
  <c r="E724" i="1"/>
  <c r="B724" i="1"/>
  <c r="O723" i="1"/>
  <c r="E723" i="1"/>
  <c r="B723" i="1"/>
  <c r="O722" i="1"/>
  <c r="E722" i="1"/>
  <c r="B722" i="1"/>
  <c r="O721" i="1"/>
  <c r="E721" i="1"/>
  <c r="B721" i="1"/>
  <c r="O720" i="1"/>
  <c r="E720" i="1"/>
  <c r="B720" i="1"/>
  <c r="O719" i="1"/>
  <c r="E719" i="1"/>
  <c r="B719" i="1"/>
  <c r="O718" i="1"/>
  <c r="E718" i="1"/>
  <c r="B718" i="1"/>
  <c r="O717" i="1"/>
  <c r="E717" i="1"/>
  <c r="B717" i="1"/>
  <c r="O716" i="1"/>
  <c r="E716" i="1"/>
  <c r="B716" i="1"/>
  <c r="O715" i="1"/>
  <c r="E715" i="1"/>
  <c r="B715" i="1"/>
  <c r="O714" i="1"/>
  <c r="E714" i="1"/>
  <c r="B714" i="1"/>
  <c r="O713" i="1"/>
  <c r="E713" i="1"/>
  <c r="B713" i="1"/>
  <c r="O712" i="1"/>
  <c r="E712" i="1"/>
  <c r="B712" i="1"/>
  <c r="O711" i="1"/>
  <c r="E711" i="1"/>
  <c r="B711" i="1"/>
  <c r="O710" i="1"/>
  <c r="E710" i="1"/>
  <c r="B710" i="1"/>
  <c r="O709" i="1"/>
  <c r="E709" i="1"/>
  <c r="B709" i="1"/>
  <c r="O708" i="1"/>
  <c r="E708" i="1"/>
  <c r="B708" i="1"/>
  <c r="O707" i="1"/>
  <c r="E707" i="1"/>
  <c r="B707" i="1"/>
  <c r="O706" i="1"/>
  <c r="E706" i="1"/>
  <c r="B706" i="1"/>
  <c r="O705" i="1"/>
  <c r="E705" i="1"/>
  <c r="B705" i="1"/>
  <c r="O704" i="1"/>
  <c r="E704" i="1"/>
  <c r="B704" i="1"/>
  <c r="O703" i="1"/>
  <c r="E703" i="1"/>
  <c r="B703" i="1"/>
  <c r="O702" i="1"/>
  <c r="E702" i="1"/>
  <c r="B702" i="1"/>
  <c r="O701" i="1"/>
  <c r="E701" i="1"/>
  <c r="B701" i="1"/>
  <c r="O700" i="1"/>
  <c r="E700" i="1"/>
  <c r="B700" i="1"/>
  <c r="O699" i="1"/>
  <c r="E699" i="1"/>
  <c r="B699" i="1"/>
  <c r="O698" i="1"/>
  <c r="E698" i="1"/>
  <c r="B698" i="1"/>
  <c r="O697" i="1"/>
  <c r="E697" i="1"/>
  <c r="B697" i="1"/>
  <c r="O696" i="1"/>
  <c r="E696" i="1"/>
  <c r="B696" i="1"/>
  <c r="O695" i="1"/>
  <c r="E695" i="1"/>
  <c r="B695" i="1"/>
  <c r="O694" i="1"/>
  <c r="E694" i="1"/>
  <c r="B694" i="1"/>
  <c r="O693" i="1"/>
  <c r="E693" i="1"/>
  <c r="B693" i="1"/>
  <c r="O692" i="1"/>
  <c r="E692" i="1"/>
  <c r="B692" i="1"/>
  <c r="O691" i="1"/>
  <c r="E691" i="1"/>
  <c r="B691" i="1"/>
  <c r="O690" i="1"/>
  <c r="E690" i="1"/>
  <c r="B690" i="1"/>
  <c r="O689" i="1"/>
  <c r="E689" i="1"/>
  <c r="B689" i="1"/>
  <c r="O688" i="1"/>
  <c r="E688" i="1"/>
  <c r="B688" i="1"/>
  <c r="O687" i="1"/>
  <c r="E687" i="1"/>
  <c r="B687" i="1"/>
  <c r="O686" i="1"/>
  <c r="E686" i="1"/>
  <c r="B686" i="1"/>
  <c r="O685" i="1"/>
  <c r="E685" i="1"/>
  <c r="B685" i="1"/>
  <c r="O684" i="1"/>
  <c r="E684" i="1"/>
  <c r="B684" i="1"/>
  <c r="O683" i="1"/>
  <c r="E683" i="1"/>
  <c r="B683" i="1"/>
  <c r="O682" i="1"/>
  <c r="E682" i="1"/>
  <c r="B682" i="1"/>
  <c r="O681" i="1"/>
  <c r="E681" i="1"/>
  <c r="B681" i="1"/>
  <c r="O680" i="1"/>
  <c r="E680" i="1"/>
  <c r="B680" i="1"/>
  <c r="O679" i="1"/>
  <c r="E679" i="1"/>
  <c r="B679" i="1"/>
  <c r="O678" i="1"/>
  <c r="E678" i="1"/>
  <c r="B678" i="1"/>
  <c r="O677" i="1"/>
  <c r="E677" i="1"/>
  <c r="B677" i="1"/>
  <c r="O676" i="1"/>
  <c r="E676" i="1"/>
  <c r="B676" i="1"/>
  <c r="O675" i="1"/>
  <c r="E675" i="1"/>
  <c r="B675" i="1"/>
  <c r="O674" i="1"/>
  <c r="E674" i="1"/>
  <c r="B674" i="1"/>
  <c r="O673" i="1"/>
  <c r="E673" i="1"/>
  <c r="B673" i="1"/>
  <c r="O672" i="1"/>
  <c r="E672" i="1"/>
  <c r="B672" i="1"/>
  <c r="O671" i="1"/>
  <c r="E671" i="1"/>
  <c r="B671" i="1"/>
  <c r="O670" i="1"/>
  <c r="E670" i="1"/>
  <c r="B670" i="1"/>
  <c r="O669" i="1"/>
  <c r="E669" i="1"/>
  <c r="B669" i="1"/>
  <c r="O668" i="1"/>
  <c r="E668" i="1"/>
  <c r="B668" i="1"/>
  <c r="O667" i="1"/>
  <c r="E667" i="1"/>
  <c r="B667" i="1"/>
  <c r="O666" i="1"/>
  <c r="E666" i="1"/>
  <c r="B666" i="1"/>
  <c r="O665" i="1"/>
  <c r="E665" i="1"/>
  <c r="B665" i="1"/>
  <c r="O664" i="1"/>
  <c r="E664" i="1"/>
  <c r="B664" i="1"/>
  <c r="O663" i="1"/>
  <c r="E663" i="1"/>
  <c r="B663" i="1"/>
  <c r="O662" i="1"/>
  <c r="E662" i="1"/>
  <c r="B662" i="1"/>
  <c r="O661" i="1"/>
  <c r="E661" i="1"/>
  <c r="B661" i="1"/>
  <c r="O660" i="1"/>
  <c r="E660" i="1"/>
  <c r="B660" i="1"/>
  <c r="O659" i="1"/>
  <c r="E659" i="1"/>
  <c r="B659" i="1"/>
  <c r="O658" i="1"/>
  <c r="E658" i="1"/>
  <c r="B658" i="1"/>
  <c r="O657" i="1"/>
  <c r="E657" i="1"/>
  <c r="B657" i="1"/>
  <c r="O656" i="1"/>
  <c r="E656" i="1"/>
  <c r="B656" i="1"/>
  <c r="O655" i="1"/>
  <c r="E655" i="1"/>
  <c r="B655" i="1"/>
  <c r="O654" i="1"/>
  <c r="E654" i="1"/>
  <c r="B654" i="1"/>
  <c r="O653" i="1"/>
  <c r="E653" i="1"/>
  <c r="B653" i="1"/>
  <c r="O652" i="1"/>
  <c r="E652" i="1"/>
  <c r="B652" i="1"/>
  <c r="O651" i="1"/>
  <c r="E651" i="1"/>
  <c r="B651" i="1"/>
  <c r="O650" i="1"/>
  <c r="E650" i="1"/>
  <c r="B650" i="1"/>
  <c r="O649" i="1"/>
  <c r="E649" i="1"/>
  <c r="B649" i="1"/>
  <c r="O648" i="1"/>
  <c r="E648" i="1"/>
  <c r="B648" i="1"/>
  <c r="O647" i="1"/>
  <c r="E647" i="1"/>
  <c r="B647" i="1"/>
  <c r="O646" i="1"/>
  <c r="E646" i="1"/>
  <c r="B646" i="1"/>
  <c r="O645" i="1"/>
  <c r="E645" i="1"/>
  <c r="B645" i="1"/>
  <c r="O644" i="1"/>
  <c r="E644" i="1"/>
  <c r="B644" i="1"/>
  <c r="O643" i="1"/>
  <c r="E643" i="1"/>
  <c r="B643" i="1"/>
  <c r="O642" i="1"/>
  <c r="E642" i="1"/>
  <c r="B642" i="1"/>
  <c r="O641" i="1"/>
  <c r="E641" i="1"/>
  <c r="B641" i="1"/>
  <c r="O640" i="1"/>
  <c r="E640" i="1"/>
  <c r="B640" i="1"/>
  <c r="O639" i="1"/>
  <c r="E639" i="1"/>
  <c r="B639" i="1"/>
  <c r="O638" i="1"/>
  <c r="E638" i="1"/>
  <c r="B638" i="1"/>
  <c r="O637" i="1"/>
  <c r="E637" i="1"/>
  <c r="B637" i="1"/>
  <c r="O636" i="1"/>
  <c r="E636" i="1"/>
  <c r="B636" i="1"/>
  <c r="O635" i="1"/>
  <c r="E635" i="1"/>
  <c r="B635" i="1"/>
  <c r="O634" i="1"/>
  <c r="E634" i="1"/>
  <c r="B634" i="1"/>
  <c r="O633" i="1"/>
  <c r="E633" i="1"/>
  <c r="B633" i="1"/>
  <c r="O632" i="1"/>
  <c r="E632" i="1"/>
  <c r="B632" i="1"/>
  <c r="O631" i="1"/>
  <c r="E631" i="1"/>
  <c r="B631" i="1"/>
  <c r="O630" i="1"/>
  <c r="E630" i="1"/>
  <c r="B630" i="1"/>
  <c r="O629" i="1"/>
  <c r="E629" i="1"/>
  <c r="B629" i="1"/>
  <c r="O628" i="1"/>
  <c r="E628" i="1"/>
  <c r="B628" i="1"/>
  <c r="O627" i="1"/>
  <c r="E627" i="1"/>
  <c r="B627" i="1"/>
  <c r="O626" i="1"/>
  <c r="E626" i="1"/>
  <c r="B626" i="1"/>
  <c r="O625" i="1"/>
  <c r="E625" i="1"/>
  <c r="B625" i="1"/>
  <c r="O624" i="1"/>
  <c r="E624" i="1"/>
  <c r="B624" i="1"/>
  <c r="O623" i="1"/>
  <c r="E623" i="1"/>
  <c r="B623" i="1"/>
  <c r="O622" i="1"/>
  <c r="E622" i="1"/>
  <c r="B622" i="1"/>
  <c r="O621" i="1"/>
  <c r="E621" i="1"/>
  <c r="B621" i="1"/>
  <c r="O620" i="1"/>
  <c r="E620" i="1"/>
  <c r="B620" i="1"/>
  <c r="O619" i="1"/>
  <c r="E619" i="1"/>
  <c r="B619" i="1"/>
  <c r="O618" i="1"/>
  <c r="E618" i="1"/>
  <c r="B618" i="1"/>
  <c r="O617" i="1"/>
  <c r="E617" i="1"/>
  <c r="B617" i="1"/>
  <c r="O616" i="1"/>
  <c r="E616" i="1"/>
  <c r="B616" i="1"/>
  <c r="O615" i="1"/>
  <c r="E615" i="1"/>
  <c r="B615" i="1"/>
  <c r="O614" i="1"/>
  <c r="E614" i="1"/>
  <c r="B614" i="1"/>
  <c r="O613" i="1"/>
  <c r="E613" i="1"/>
  <c r="B613" i="1"/>
  <c r="O612" i="1"/>
  <c r="E612" i="1"/>
  <c r="B612" i="1"/>
  <c r="O611" i="1"/>
  <c r="E611" i="1"/>
  <c r="B611" i="1"/>
  <c r="O610" i="1"/>
  <c r="E610" i="1"/>
  <c r="B610" i="1"/>
  <c r="O609" i="1"/>
  <c r="E609" i="1"/>
  <c r="B609" i="1"/>
  <c r="O608" i="1"/>
  <c r="E608" i="1"/>
  <c r="B608" i="1"/>
  <c r="O607" i="1"/>
  <c r="E607" i="1"/>
  <c r="B607" i="1"/>
  <c r="O606" i="1"/>
  <c r="E606" i="1"/>
  <c r="B606" i="1"/>
  <c r="O605" i="1"/>
  <c r="E605" i="1"/>
  <c r="B605" i="1"/>
  <c r="O604" i="1"/>
  <c r="E604" i="1"/>
  <c r="B604" i="1"/>
  <c r="O603" i="1"/>
  <c r="E603" i="1"/>
  <c r="B603" i="1"/>
  <c r="O602" i="1"/>
  <c r="E602" i="1"/>
  <c r="B602" i="1"/>
  <c r="O601" i="1"/>
  <c r="E601" i="1"/>
  <c r="B601" i="1"/>
  <c r="O600" i="1"/>
  <c r="E600" i="1"/>
  <c r="B600" i="1"/>
  <c r="O599" i="1"/>
  <c r="E599" i="1"/>
  <c r="B599" i="1"/>
  <c r="O598" i="1"/>
  <c r="E598" i="1"/>
  <c r="B598" i="1"/>
  <c r="O597" i="1"/>
  <c r="E597" i="1"/>
  <c r="B597" i="1"/>
  <c r="O596" i="1"/>
  <c r="E596" i="1"/>
  <c r="B596" i="1"/>
  <c r="O595" i="1"/>
  <c r="E595" i="1"/>
  <c r="B595" i="1"/>
  <c r="O594" i="1"/>
  <c r="E594" i="1"/>
  <c r="B594" i="1"/>
  <c r="O593" i="1"/>
  <c r="E593" i="1"/>
  <c r="B593" i="1"/>
  <c r="O592" i="1"/>
  <c r="E592" i="1"/>
  <c r="B592" i="1"/>
  <c r="O591" i="1"/>
  <c r="E591" i="1"/>
  <c r="B591" i="1"/>
  <c r="O590" i="1"/>
  <c r="E590" i="1"/>
  <c r="B590" i="1"/>
  <c r="O589" i="1"/>
  <c r="E589" i="1"/>
  <c r="B589" i="1"/>
  <c r="P588" i="1"/>
  <c r="O588" i="1"/>
  <c r="E588" i="1"/>
  <c r="B588" i="1"/>
  <c r="O587" i="1"/>
  <c r="E587" i="1"/>
  <c r="B587" i="1"/>
  <c r="O586" i="1"/>
  <c r="E586" i="1"/>
  <c r="B586" i="1"/>
  <c r="O585" i="1"/>
  <c r="E585" i="1"/>
  <c r="B585" i="1"/>
  <c r="O584" i="1"/>
  <c r="E584" i="1"/>
  <c r="B584" i="1"/>
  <c r="O583" i="1"/>
  <c r="E583" i="1"/>
  <c r="B583" i="1"/>
  <c r="O582" i="1"/>
  <c r="E582" i="1"/>
  <c r="B582" i="1"/>
  <c r="O581" i="1"/>
  <c r="E581" i="1"/>
  <c r="B581" i="1"/>
  <c r="O580" i="1"/>
  <c r="E580" i="1"/>
  <c r="B580" i="1"/>
  <c r="O579" i="1"/>
  <c r="E579" i="1"/>
  <c r="B579" i="1"/>
  <c r="O578" i="1"/>
  <c r="E578" i="1"/>
  <c r="B578" i="1"/>
  <c r="O577" i="1"/>
  <c r="E577" i="1"/>
  <c r="B577" i="1"/>
  <c r="O576" i="1"/>
  <c r="E576" i="1"/>
  <c r="B576" i="1"/>
  <c r="O575" i="1"/>
  <c r="E575" i="1"/>
  <c r="B575" i="1"/>
  <c r="O574" i="1"/>
  <c r="E574" i="1"/>
  <c r="B574" i="1"/>
  <c r="O573" i="1"/>
  <c r="E573" i="1"/>
  <c r="B573" i="1"/>
  <c r="O572" i="1"/>
  <c r="E572" i="1"/>
  <c r="B572" i="1"/>
  <c r="O571" i="1"/>
  <c r="E571" i="1"/>
  <c r="B571" i="1"/>
  <c r="O570" i="1"/>
  <c r="E570" i="1"/>
  <c r="B570" i="1"/>
  <c r="O569" i="1"/>
  <c r="E569" i="1"/>
  <c r="B569" i="1"/>
  <c r="O568" i="1"/>
  <c r="E568" i="1"/>
  <c r="B568" i="1"/>
  <c r="O567" i="1"/>
  <c r="E567" i="1"/>
  <c r="B567" i="1"/>
  <c r="O566" i="1"/>
  <c r="E566" i="1"/>
  <c r="B566" i="1"/>
  <c r="O565" i="1"/>
  <c r="E565" i="1"/>
  <c r="B565" i="1"/>
  <c r="O564" i="1"/>
  <c r="E564" i="1"/>
  <c r="B564" i="1"/>
  <c r="O563" i="1"/>
  <c r="E563" i="1"/>
  <c r="B563" i="1"/>
  <c r="O562" i="1"/>
  <c r="E562" i="1"/>
  <c r="B562" i="1"/>
  <c r="O561" i="1"/>
  <c r="E561" i="1"/>
  <c r="B561" i="1"/>
  <c r="O560" i="1"/>
  <c r="E560" i="1"/>
  <c r="B560" i="1"/>
  <c r="O559" i="1"/>
  <c r="E559" i="1"/>
  <c r="B559" i="1"/>
  <c r="O558" i="1"/>
  <c r="E558" i="1"/>
  <c r="B558" i="1"/>
  <c r="O557" i="1"/>
  <c r="E557" i="1"/>
  <c r="B557" i="1"/>
  <c r="O556" i="1"/>
  <c r="E556" i="1"/>
  <c r="B556" i="1"/>
  <c r="O555" i="1"/>
  <c r="E555" i="1"/>
  <c r="B555" i="1"/>
  <c r="O554" i="1"/>
  <c r="E554" i="1"/>
  <c r="B554" i="1"/>
  <c r="O553" i="1"/>
  <c r="E553" i="1"/>
  <c r="B553" i="1"/>
  <c r="O552" i="1"/>
  <c r="E552" i="1"/>
  <c r="B552" i="1"/>
  <c r="O551" i="1"/>
  <c r="E551" i="1"/>
  <c r="B551" i="1"/>
  <c r="O550" i="1"/>
  <c r="E550" i="1"/>
  <c r="B550" i="1"/>
  <c r="O549" i="1"/>
  <c r="E549" i="1"/>
  <c r="B549" i="1"/>
  <c r="O548" i="1"/>
  <c r="E548" i="1"/>
  <c r="B548" i="1"/>
  <c r="O547" i="1"/>
  <c r="E547" i="1"/>
  <c r="B547" i="1"/>
  <c r="O546" i="1"/>
  <c r="E546" i="1"/>
  <c r="B546" i="1"/>
  <c r="O545" i="1"/>
  <c r="E545" i="1"/>
  <c r="B545" i="1"/>
  <c r="O544" i="1"/>
  <c r="E544" i="1"/>
  <c r="B544" i="1"/>
  <c r="O543" i="1"/>
  <c r="E543" i="1"/>
  <c r="B543" i="1"/>
  <c r="O542" i="1"/>
  <c r="E542" i="1"/>
  <c r="B542" i="1"/>
  <c r="O541" i="1"/>
  <c r="E541" i="1"/>
  <c r="B541" i="1"/>
  <c r="O540" i="1"/>
  <c r="E540" i="1"/>
  <c r="B540" i="1"/>
  <c r="O539" i="1"/>
  <c r="E539" i="1"/>
  <c r="B539" i="1"/>
  <c r="O538" i="1"/>
  <c r="E538" i="1"/>
  <c r="B538" i="1"/>
  <c r="O537" i="1"/>
  <c r="E537" i="1"/>
  <c r="B537" i="1"/>
  <c r="O536" i="1"/>
  <c r="E536" i="1"/>
  <c r="B536" i="1"/>
  <c r="O535" i="1"/>
  <c r="E535" i="1"/>
  <c r="B535" i="1"/>
  <c r="O534" i="1"/>
  <c r="E534" i="1"/>
  <c r="B534" i="1"/>
  <c r="O533" i="1"/>
  <c r="E533" i="1"/>
  <c r="B533" i="1"/>
  <c r="O532" i="1"/>
  <c r="E532" i="1"/>
  <c r="B532" i="1"/>
  <c r="O531" i="1"/>
  <c r="E531" i="1"/>
  <c r="B531" i="1"/>
  <c r="O530" i="1"/>
  <c r="E530" i="1"/>
  <c r="B530" i="1"/>
  <c r="O529" i="1"/>
  <c r="E529" i="1"/>
  <c r="B529" i="1"/>
  <c r="O528" i="1"/>
  <c r="E528" i="1"/>
  <c r="B528" i="1"/>
  <c r="O527" i="1"/>
  <c r="E527" i="1"/>
  <c r="B527" i="1"/>
  <c r="O526" i="1"/>
  <c r="E526" i="1"/>
  <c r="B526" i="1"/>
  <c r="O525" i="1"/>
  <c r="E525" i="1"/>
  <c r="B525" i="1"/>
  <c r="O524" i="1"/>
  <c r="E524" i="1"/>
  <c r="B524" i="1"/>
  <c r="O523" i="1"/>
  <c r="E523" i="1"/>
  <c r="B523" i="1"/>
  <c r="O522" i="1"/>
  <c r="E522" i="1"/>
  <c r="B522" i="1"/>
  <c r="O521" i="1"/>
  <c r="E521" i="1"/>
  <c r="B521" i="1"/>
  <c r="O520" i="1"/>
  <c r="E520" i="1"/>
  <c r="B520" i="1"/>
  <c r="O519" i="1"/>
  <c r="E519" i="1"/>
  <c r="B519" i="1"/>
  <c r="O518" i="1"/>
  <c r="E518" i="1"/>
  <c r="B518" i="1"/>
  <c r="O517" i="1"/>
  <c r="E517" i="1"/>
  <c r="B517" i="1"/>
  <c r="O516" i="1"/>
  <c r="E516" i="1"/>
  <c r="B516" i="1"/>
  <c r="O515" i="1"/>
  <c r="E515" i="1"/>
  <c r="B515" i="1"/>
  <c r="O514" i="1"/>
  <c r="E514" i="1"/>
  <c r="B514" i="1"/>
  <c r="O513" i="1"/>
  <c r="E513" i="1"/>
  <c r="B513" i="1"/>
  <c r="O512" i="1"/>
  <c r="E512" i="1"/>
  <c r="B512" i="1"/>
  <c r="O511" i="1"/>
  <c r="E511" i="1"/>
  <c r="B511" i="1"/>
  <c r="O510" i="1"/>
  <c r="E510" i="1"/>
  <c r="B510" i="1"/>
  <c r="O509" i="1"/>
  <c r="E509" i="1"/>
  <c r="B509" i="1"/>
  <c r="O508" i="1"/>
  <c r="E508" i="1"/>
  <c r="B508" i="1"/>
  <c r="O507" i="1"/>
  <c r="E507" i="1"/>
  <c r="B507" i="1"/>
  <c r="O506" i="1"/>
  <c r="E506" i="1"/>
  <c r="B506" i="1"/>
  <c r="O505" i="1"/>
  <c r="E505" i="1"/>
  <c r="B505" i="1"/>
  <c r="O504" i="1"/>
  <c r="E504" i="1"/>
  <c r="B504" i="1"/>
  <c r="O503" i="1"/>
  <c r="E503" i="1"/>
  <c r="B503" i="1"/>
  <c r="O502" i="1"/>
  <c r="E502" i="1"/>
  <c r="B502" i="1"/>
  <c r="O501" i="1"/>
  <c r="E501" i="1"/>
  <c r="B501" i="1"/>
  <c r="O500" i="1"/>
  <c r="E500" i="1"/>
  <c r="B500" i="1"/>
  <c r="O499" i="1"/>
  <c r="E499" i="1"/>
  <c r="B499" i="1"/>
  <c r="O498" i="1"/>
  <c r="E498" i="1"/>
  <c r="B498" i="1"/>
  <c r="O497" i="1"/>
  <c r="E497" i="1"/>
  <c r="B497" i="1"/>
  <c r="O496" i="1"/>
  <c r="E496" i="1"/>
  <c r="B496" i="1"/>
  <c r="O495" i="1"/>
  <c r="E495" i="1"/>
  <c r="B495" i="1"/>
  <c r="O494" i="1"/>
  <c r="E494" i="1"/>
  <c r="B494" i="1"/>
  <c r="O493" i="1"/>
  <c r="E493" i="1"/>
  <c r="B493" i="1"/>
  <c r="O492" i="1"/>
  <c r="E492" i="1"/>
  <c r="B492" i="1"/>
  <c r="O491" i="1"/>
  <c r="E491" i="1"/>
  <c r="B491" i="1"/>
  <c r="O490" i="1"/>
  <c r="E490" i="1"/>
  <c r="B490" i="1"/>
  <c r="O489" i="1"/>
  <c r="E489" i="1"/>
  <c r="B489" i="1"/>
  <c r="O488" i="1"/>
  <c r="E488" i="1"/>
  <c r="B488" i="1"/>
  <c r="O487" i="1"/>
  <c r="E487" i="1"/>
  <c r="B487" i="1"/>
  <c r="O486" i="1"/>
  <c r="E486" i="1"/>
  <c r="B486" i="1"/>
  <c r="O485" i="1"/>
  <c r="E485" i="1"/>
  <c r="B485" i="1"/>
  <c r="O484" i="1"/>
  <c r="E484" i="1"/>
  <c r="B484" i="1"/>
  <c r="O483" i="1"/>
  <c r="E483" i="1"/>
  <c r="B483" i="1"/>
  <c r="O482" i="1"/>
  <c r="E482" i="1"/>
  <c r="B482" i="1"/>
  <c r="O481" i="1"/>
  <c r="E481" i="1"/>
  <c r="B481" i="1"/>
  <c r="O480" i="1"/>
  <c r="E480" i="1"/>
  <c r="B480" i="1"/>
  <c r="O479" i="1"/>
  <c r="E479" i="1"/>
  <c r="B479" i="1"/>
  <c r="O478" i="1"/>
  <c r="E478" i="1"/>
  <c r="B478" i="1"/>
  <c r="O477" i="1"/>
  <c r="E477" i="1"/>
  <c r="B477" i="1"/>
  <c r="O476" i="1"/>
  <c r="E476" i="1"/>
  <c r="B476" i="1"/>
  <c r="O475" i="1"/>
  <c r="E475" i="1"/>
  <c r="B475" i="1"/>
  <c r="O474" i="1"/>
  <c r="E474" i="1"/>
  <c r="B474" i="1"/>
  <c r="O473" i="1"/>
  <c r="E473" i="1"/>
  <c r="B473" i="1"/>
  <c r="O472" i="1"/>
  <c r="E472" i="1"/>
  <c r="B472" i="1"/>
  <c r="O471" i="1"/>
  <c r="E471" i="1"/>
  <c r="B471" i="1"/>
  <c r="O470" i="1"/>
  <c r="E470" i="1"/>
  <c r="B470" i="1"/>
  <c r="O469" i="1"/>
  <c r="E469" i="1"/>
  <c r="B469" i="1"/>
  <c r="O468" i="1"/>
  <c r="E468" i="1"/>
  <c r="B468" i="1"/>
  <c r="O467" i="1"/>
  <c r="E467" i="1"/>
  <c r="B467" i="1"/>
  <c r="O466" i="1"/>
  <c r="E466" i="1"/>
  <c r="B466" i="1"/>
  <c r="O465" i="1"/>
  <c r="E465" i="1"/>
  <c r="B465" i="1"/>
  <c r="O464" i="1"/>
  <c r="E464" i="1"/>
  <c r="B464" i="1"/>
  <c r="O463" i="1"/>
  <c r="E463" i="1"/>
  <c r="B463" i="1"/>
  <c r="O462" i="1"/>
  <c r="E462" i="1"/>
  <c r="B462" i="1"/>
  <c r="O461" i="1"/>
  <c r="E461" i="1"/>
  <c r="B461" i="1"/>
  <c r="O460" i="1"/>
  <c r="E460" i="1"/>
  <c r="B460" i="1"/>
  <c r="O459" i="1"/>
  <c r="E459" i="1"/>
  <c r="B459" i="1"/>
  <c r="O458" i="1"/>
  <c r="E458" i="1"/>
  <c r="B458" i="1"/>
  <c r="O457" i="1"/>
  <c r="E457" i="1"/>
  <c r="B457" i="1"/>
  <c r="O456" i="1"/>
  <c r="E456" i="1"/>
  <c r="B456" i="1"/>
  <c r="O455" i="1"/>
  <c r="E455" i="1"/>
  <c r="B455" i="1"/>
  <c r="O454" i="1"/>
  <c r="E454" i="1"/>
  <c r="B454" i="1"/>
  <c r="O453" i="1"/>
  <c r="E453" i="1"/>
  <c r="B453" i="1"/>
  <c r="O452" i="1"/>
  <c r="E452" i="1"/>
  <c r="B452" i="1"/>
  <c r="O451" i="1"/>
  <c r="E451" i="1"/>
  <c r="B451" i="1"/>
  <c r="O450" i="1"/>
  <c r="E450" i="1"/>
  <c r="B450" i="1"/>
  <c r="O449" i="1"/>
  <c r="E449" i="1"/>
  <c r="B449" i="1"/>
  <c r="O448" i="1"/>
  <c r="E448" i="1"/>
  <c r="B448" i="1"/>
  <c r="O447" i="1"/>
  <c r="E447" i="1"/>
  <c r="B447" i="1"/>
  <c r="O446" i="1"/>
  <c r="E446" i="1"/>
  <c r="B446" i="1"/>
  <c r="O445" i="1"/>
  <c r="E445" i="1"/>
  <c r="B445" i="1"/>
  <c r="O444" i="1"/>
  <c r="E444" i="1"/>
  <c r="B444" i="1"/>
  <c r="P443" i="1"/>
  <c r="O443" i="1"/>
  <c r="E443" i="1"/>
  <c r="B443" i="1"/>
  <c r="O442" i="1"/>
  <c r="E442" i="1"/>
  <c r="B442" i="1"/>
  <c r="O441" i="1"/>
  <c r="E441" i="1"/>
  <c r="B441" i="1"/>
  <c r="O440" i="1"/>
  <c r="E440" i="1"/>
  <c r="B440" i="1"/>
  <c r="O439" i="1"/>
  <c r="E439" i="1"/>
  <c r="B439" i="1"/>
  <c r="O438" i="1"/>
  <c r="E438" i="1"/>
  <c r="B438" i="1"/>
  <c r="O437" i="1"/>
  <c r="E437" i="1"/>
  <c r="B437" i="1"/>
  <c r="O436" i="1"/>
  <c r="E436" i="1"/>
  <c r="B436" i="1"/>
  <c r="O435" i="1"/>
  <c r="E435" i="1"/>
  <c r="B435" i="1"/>
  <c r="O434" i="1"/>
  <c r="E434" i="1"/>
  <c r="B434" i="1"/>
  <c r="O433" i="1"/>
  <c r="E433" i="1"/>
  <c r="B433" i="1"/>
  <c r="O432" i="1"/>
  <c r="E432" i="1"/>
  <c r="B432" i="1"/>
  <c r="O431" i="1"/>
  <c r="E431" i="1"/>
  <c r="B431" i="1"/>
  <c r="O430" i="1"/>
  <c r="E430" i="1"/>
  <c r="B430" i="1"/>
  <c r="O429" i="1"/>
  <c r="E429" i="1"/>
  <c r="B429" i="1"/>
  <c r="O428" i="1"/>
  <c r="E428" i="1"/>
  <c r="B428" i="1"/>
  <c r="O427" i="1"/>
  <c r="E427" i="1"/>
  <c r="B427" i="1"/>
  <c r="O426" i="1"/>
  <c r="E426" i="1"/>
  <c r="B426" i="1"/>
  <c r="O425" i="1"/>
  <c r="E425" i="1"/>
  <c r="B425" i="1"/>
  <c r="O424" i="1"/>
  <c r="E424" i="1"/>
  <c r="B424" i="1"/>
  <c r="O423" i="1"/>
  <c r="E423" i="1"/>
  <c r="B423" i="1"/>
  <c r="O422" i="1"/>
  <c r="E422" i="1"/>
  <c r="B422" i="1"/>
  <c r="O421" i="1"/>
  <c r="E421" i="1"/>
  <c r="B421" i="1"/>
  <c r="O420" i="1"/>
  <c r="E420" i="1"/>
  <c r="B420" i="1"/>
  <c r="O419" i="1"/>
  <c r="E419" i="1"/>
  <c r="B419" i="1"/>
  <c r="O418" i="1"/>
  <c r="E418" i="1"/>
  <c r="B418" i="1"/>
  <c r="O417" i="1"/>
  <c r="E417" i="1"/>
  <c r="B417" i="1"/>
  <c r="O416" i="1"/>
  <c r="E416" i="1"/>
  <c r="B416" i="1"/>
  <c r="O415" i="1"/>
  <c r="E415" i="1"/>
  <c r="B415" i="1"/>
  <c r="O414" i="1"/>
  <c r="E414" i="1"/>
  <c r="B414" i="1"/>
  <c r="O413" i="1"/>
  <c r="E413" i="1"/>
  <c r="B413" i="1"/>
  <c r="O412" i="1"/>
  <c r="E412" i="1"/>
  <c r="B412" i="1"/>
  <c r="O411" i="1"/>
  <c r="E411" i="1"/>
  <c r="B411" i="1"/>
  <c r="O410" i="1"/>
  <c r="E410" i="1"/>
  <c r="B410" i="1"/>
  <c r="O409" i="1"/>
  <c r="E409" i="1"/>
  <c r="B409" i="1"/>
  <c r="O408" i="1"/>
  <c r="E408" i="1"/>
  <c r="B408" i="1"/>
  <c r="O407" i="1"/>
  <c r="E407" i="1"/>
  <c r="B407" i="1"/>
  <c r="O406" i="1"/>
  <c r="E406" i="1"/>
  <c r="B406" i="1"/>
  <c r="O405" i="1"/>
  <c r="E405" i="1"/>
  <c r="B405" i="1"/>
  <c r="O404" i="1"/>
  <c r="E404" i="1"/>
  <c r="B404" i="1"/>
  <c r="O403" i="1"/>
  <c r="E403" i="1"/>
  <c r="B403" i="1"/>
  <c r="O402" i="1"/>
  <c r="E402" i="1"/>
  <c r="B402" i="1"/>
  <c r="O401" i="1"/>
  <c r="E401" i="1"/>
  <c r="B401" i="1"/>
  <c r="O400" i="1"/>
  <c r="E400" i="1"/>
  <c r="B400" i="1"/>
  <c r="O399" i="1"/>
  <c r="E399" i="1"/>
  <c r="B399" i="1"/>
  <c r="O398" i="1"/>
  <c r="E398" i="1"/>
  <c r="B398" i="1"/>
  <c r="O397" i="1"/>
  <c r="E397" i="1"/>
  <c r="B397" i="1"/>
  <c r="O396" i="1"/>
  <c r="E396" i="1"/>
  <c r="B396" i="1"/>
  <c r="O395" i="1"/>
  <c r="E395" i="1"/>
  <c r="B395" i="1"/>
  <c r="O394" i="1"/>
  <c r="E394" i="1"/>
  <c r="B394" i="1"/>
  <c r="O393" i="1"/>
  <c r="E393" i="1"/>
  <c r="B393" i="1"/>
  <c r="O392" i="1"/>
  <c r="E392" i="1"/>
  <c r="B392" i="1"/>
  <c r="O391" i="1"/>
  <c r="E391" i="1"/>
  <c r="B391" i="1"/>
  <c r="O390" i="1"/>
  <c r="E390" i="1"/>
  <c r="B390" i="1"/>
  <c r="O389" i="1"/>
  <c r="E389" i="1"/>
  <c r="B389" i="1"/>
  <c r="O388" i="1"/>
  <c r="E388" i="1"/>
  <c r="B388" i="1"/>
  <c r="O387" i="1"/>
  <c r="E387" i="1"/>
  <c r="B387" i="1"/>
  <c r="O386" i="1"/>
  <c r="E386" i="1"/>
  <c r="B386" i="1"/>
  <c r="O385" i="1"/>
  <c r="E385" i="1"/>
  <c r="B385" i="1"/>
  <c r="O384" i="1"/>
  <c r="E384" i="1"/>
  <c r="B384" i="1"/>
  <c r="O383" i="1"/>
  <c r="E383" i="1"/>
  <c r="B383" i="1"/>
  <c r="O382" i="1"/>
  <c r="E382" i="1"/>
  <c r="B382" i="1"/>
  <c r="O381" i="1"/>
  <c r="E381" i="1"/>
  <c r="B381" i="1"/>
  <c r="O380" i="1"/>
  <c r="E380" i="1"/>
  <c r="B380" i="1"/>
  <c r="O379" i="1"/>
  <c r="E379" i="1"/>
  <c r="B379" i="1"/>
  <c r="O378" i="1"/>
  <c r="E378" i="1"/>
  <c r="B378" i="1"/>
  <c r="O377" i="1"/>
  <c r="E377" i="1"/>
  <c r="B377" i="1"/>
  <c r="O376" i="1"/>
  <c r="E376" i="1"/>
  <c r="B376" i="1"/>
  <c r="O375" i="1"/>
  <c r="E375" i="1"/>
  <c r="B375" i="1"/>
  <c r="O374" i="1"/>
  <c r="E374" i="1"/>
  <c r="B374" i="1"/>
  <c r="O373" i="1"/>
  <c r="E373" i="1"/>
  <c r="B373" i="1"/>
  <c r="O372" i="1"/>
  <c r="E372" i="1"/>
  <c r="B372" i="1"/>
  <c r="O371" i="1"/>
  <c r="E371" i="1"/>
  <c r="B371" i="1"/>
  <c r="O370" i="1"/>
  <c r="E370" i="1"/>
  <c r="B370" i="1"/>
  <c r="O369" i="1"/>
  <c r="E369" i="1"/>
  <c r="B369" i="1"/>
  <c r="O368" i="1"/>
  <c r="E368" i="1"/>
  <c r="B368" i="1"/>
  <c r="O367" i="1"/>
  <c r="E367" i="1"/>
  <c r="B367" i="1"/>
  <c r="O366" i="1"/>
  <c r="E366" i="1"/>
  <c r="B366" i="1"/>
  <c r="O365" i="1"/>
  <c r="E365" i="1"/>
  <c r="B365" i="1"/>
  <c r="O364" i="1"/>
  <c r="E364" i="1"/>
  <c r="B364" i="1"/>
  <c r="O363" i="1"/>
  <c r="E363" i="1"/>
  <c r="B363" i="1"/>
  <c r="O362" i="1"/>
  <c r="E362" i="1"/>
  <c r="B362" i="1"/>
  <c r="O361" i="1"/>
  <c r="E361" i="1"/>
  <c r="B361" i="1"/>
  <c r="O360" i="1"/>
  <c r="E360" i="1"/>
  <c r="B360" i="1"/>
  <c r="O359" i="1"/>
  <c r="E359" i="1"/>
  <c r="B359" i="1"/>
  <c r="P358" i="1"/>
  <c r="O358" i="1"/>
  <c r="E358" i="1"/>
  <c r="B358" i="1"/>
  <c r="O357" i="1"/>
  <c r="E357" i="1"/>
  <c r="B357" i="1"/>
  <c r="O356" i="1"/>
  <c r="E356" i="1"/>
  <c r="B356" i="1"/>
  <c r="O355" i="1"/>
  <c r="E355" i="1"/>
  <c r="B355" i="1"/>
  <c r="O354" i="1"/>
  <c r="E354" i="1"/>
  <c r="B354" i="1"/>
  <c r="O353" i="1"/>
  <c r="E353" i="1"/>
  <c r="B353" i="1"/>
  <c r="O352" i="1"/>
  <c r="E352" i="1"/>
  <c r="B352" i="1"/>
  <c r="O351" i="1"/>
  <c r="E351" i="1"/>
  <c r="B351" i="1"/>
  <c r="O350" i="1"/>
  <c r="E350" i="1"/>
  <c r="B350" i="1"/>
  <c r="O349" i="1"/>
  <c r="E349" i="1"/>
  <c r="B349" i="1"/>
  <c r="O348" i="1"/>
  <c r="E348" i="1"/>
  <c r="B348" i="1"/>
  <c r="O347" i="1"/>
  <c r="E347" i="1"/>
  <c r="B347" i="1"/>
  <c r="O346" i="1"/>
  <c r="E346" i="1"/>
  <c r="B346" i="1"/>
  <c r="O345" i="1"/>
  <c r="E345" i="1"/>
  <c r="B345" i="1"/>
  <c r="O344" i="1"/>
  <c r="E344" i="1"/>
  <c r="B344" i="1"/>
  <c r="O343" i="1"/>
  <c r="E343" i="1"/>
  <c r="B343" i="1"/>
  <c r="O342" i="1"/>
  <c r="E342" i="1"/>
  <c r="B342" i="1"/>
  <c r="O341" i="1"/>
  <c r="E341" i="1"/>
  <c r="B341" i="1"/>
  <c r="O340" i="1"/>
  <c r="E340" i="1"/>
  <c r="B340" i="1"/>
  <c r="O339" i="1"/>
  <c r="E339" i="1"/>
  <c r="B339" i="1"/>
  <c r="O338" i="1"/>
  <c r="E338" i="1"/>
  <c r="B338" i="1"/>
  <c r="O337" i="1"/>
  <c r="E337" i="1"/>
  <c r="B337" i="1"/>
  <c r="O336" i="1"/>
  <c r="E336" i="1"/>
  <c r="B336" i="1"/>
  <c r="P335" i="1"/>
  <c r="O335" i="1"/>
  <c r="E335" i="1"/>
  <c r="B335" i="1"/>
  <c r="O334" i="1"/>
  <c r="E334" i="1"/>
  <c r="B334" i="1"/>
  <c r="O333" i="1"/>
  <c r="E333" i="1"/>
  <c r="B333" i="1"/>
  <c r="O332" i="1"/>
  <c r="E332" i="1"/>
  <c r="B332" i="1"/>
  <c r="O331" i="1"/>
  <c r="E331" i="1"/>
  <c r="B331" i="1"/>
  <c r="O330" i="1"/>
  <c r="E330" i="1"/>
  <c r="B330" i="1"/>
  <c r="O329" i="1"/>
  <c r="E329" i="1"/>
  <c r="B329" i="1"/>
  <c r="O328" i="1"/>
  <c r="E328" i="1"/>
  <c r="B328" i="1"/>
  <c r="O327" i="1"/>
  <c r="E327" i="1"/>
  <c r="B327" i="1"/>
  <c r="O326" i="1"/>
  <c r="E326" i="1"/>
  <c r="B326" i="1"/>
  <c r="O325" i="1"/>
  <c r="E325" i="1"/>
  <c r="B325" i="1"/>
  <c r="O324" i="1"/>
  <c r="E324" i="1"/>
  <c r="B324" i="1"/>
  <c r="O323" i="1"/>
  <c r="E323" i="1"/>
  <c r="B323" i="1"/>
  <c r="O322" i="1"/>
  <c r="E322" i="1"/>
  <c r="B322" i="1"/>
  <c r="O321" i="1"/>
  <c r="E321" i="1"/>
  <c r="B321" i="1"/>
  <c r="O320" i="1"/>
  <c r="E320" i="1"/>
  <c r="B320" i="1"/>
  <c r="O319" i="1"/>
  <c r="E319" i="1"/>
  <c r="B319" i="1"/>
  <c r="O318" i="1"/>
  <c r="E318" i="1"/>
  <c r="B318" i="1"/>
  <c r="O317" i="1"/>
  <c r="E317" i="1"/>
  <c r="B317" i="1"/>
  <c r="O316" i="1"/>
  <c r="E316" i="1"/>
  <c r="B316" i="1"/>
  <c r="O315" i="1"/>
  <c r="E315" i="1"/>
  <c r="B315" i="1"/>
  <c r="O314" i="1"/>
  <c r="E314" i="1"/>
  <c r="B314" i="1"/>
  <c r="O313" i="1"/>
  <c r="E313" i="1"/>
  <c r="B313" i="1"/>
  <c r="O312" i="1"/>
  <c r="E312" i="1"/>
  <c r="B312" i="1"/>
  <c r="O311" i="1"/>
  <c r="E311" i="1"/>
  <c r="B311" i="1"/>
  <c r="O310" i="1"/>
  <c r="E310" i="1"/>
  <c r="B310" i="1"/>
  <c r="O309" i="1"/>
  <c r="E309" i="1"/>
  <c r="B309" i="1"/>
  <c r="O308" i="1"/>
  <c r="E308" i="1"/>
  <c r="B308" i="1"/>
  <c r="O307" i="1"/>
  <c r="E307" i="1"/>
  <c r="B307" i="1"/>
  <c r="O306" i="1"/>
  <c r="E306" i="1"/>
  <c r="B306" i="1"/>
  <c r="O305" i="1"/>
  <c r="E305" i="1"/>
  <c r="B305" i="1"/>
  <c r="O304" i="1"/>
  <c r="E304" i="1"/>
  <c r="B304" i="1"/>
  <c r="O303" i="1"/>
  <c r="E303" i="1"/>
  <c r="B303" i="1"/>
  <c r="O302" i="1"/>
  <c r="E302" i="1"/>
  <c r="B302" i="1"/>
  <c r="O301" i="1"/>
  <c r="E301" i="1"/>
  <c r="B301" i="1"/>
  <c r="O300" i="1"/>
  <c r="E300" i="1"/>
  <c r="B300" i="1"/>
  <c r="O299" i="1"/>
  <c r="E299" i="1"/>
  <c r="B299" i="1"/>
  <c r="O298" i="1"/>
  <c r="E298" i="1"/>
  <c r="B298" i="1"/>
  <c r="O297" i="1"/>
  <c r="E297" i="1"/>
  <c r="B297" i="1"/>
  <c r="O296" i="1"/>
  <c r="E296" i="1"/>
  <c r="B296" i="1"/>
  <c r="O295" i="1"/>
  <c r="E295" i="1"/>
  <c r="B295" i="1"/>
  <c r="O294" i="1"/>
  <c r="E294" i="1"/>
  <c r="B294" i="1"/>
  <c r="O293" i="1"/>
  <c r="E293" i="1"/>
  <c r="B293" i="1"/>
  <c r="O292" i="1"/>
  <c r="E292" i="1"/>
  <c r="B292" i="1"/>
  <c r="O291" i="1"/>
  <c r="E291" i="1"/>
  <c r="B291" i="1"/>
  <c r="O290" i="1"/>
  <c r="E290" i="1"/>
  <c r="B290" i="1"/>
  <c r="O289" i="1"/>
  <c r="E289" i="1"/>
  <c r="B289" i="1"/>
  <c r="O288" i="1"/>
  <c r="E288" i="1"/>
  <c r="B288" i="1"/>
  <c r="O287" i="1"/>
  <c r="E287" i="1"/>
  <c r="B287" i="1"/>
  <c r="O286" i="1"/>
  <c r="E286" i="1"/>
  <c r="B286" i="1"/>
  <c r="O285" i="1"/>
  <c r="E285" i="1"/>
  <c r="B285" i="1"/>
  <c r="O284" i="1"/>
  <c r="E284" i="1"/>
  <c r="B284" i="1"/>
  <c r="O283" i="1"/>
  <c r="E283" i="1"/>
  <c r="B283" i="1"/>
  <c r="O282" i="1"/>
  <c r="E282" i="1"/>
  <c r="B282" i="1"/>
  <c r="O281" i="1"/>
  <c r="E281" i="1"/>
  <c r="B281" i="1"/>
  <c r="O280" i="1"/>
  <c r="E280" i="1"/>
  <c r="B280" i="1"/>
  <c r="O279" i="1"/>
  <c r="E279" i="1"/>
  <c r="B279" i="1"/>
  <c r="O278" i="1"/>
  <c r="E278" i="1"/>
  <c r="B278" i="1"/>
  <c r="O277" i="1"/>
  <c r="E277" i="1"/>
  <c r="B277" i="1"/>
  <c r="O276" i="1"/>
  <c r="E276" i="1"/>
  <c r="B276" i="1"/>
  <c r="O275" i="1"/>
  <c r="E275" i="1"/>
  <c r="B275" i="1"/>
  <c r="O274" i="1"/>
  <c r="E274" i="1"/>
  <c r="B274" i="1"/>
  <c r="O273" i="1"/>
  <c r="E273" i="1"/>
  <c r="B273" i="1"/>
  <c r="O272" i="1"/>
  <c r="E272" i="1"/>
  <c r="B272" i="1"/>
  <c r="O271" i="1"/>
  <c r="E271" i="1"/>
  <c r="B271" i="1"/>
  <c r="O270" i="1"/>
  <c r="E270" i="1"/>
  <c r="B270" i="1"/>
  <c r="O269" i="1"/>
  <c r="E269" i="1"/>
  <c r="B269" i="1"/>
  <c r="O268" i="1"/>
  <c r="E268" i="1"/>
  <c r="B268" i="1"/>
  <c r="O267" i="1"/>
  <c r="E267" i="1"/>
  <c r="B267" i="1"/>
  <c r="O266" i="1"/>
  <c r="E266" i="1"/>
  <c r="B266" i="1"/>
  <c r="O265" i="1"/>
  <c r="E265" i="1"/>
  <c r="B265" i="1"/>
  <c r="O264" i="1"/>
  <c r="E264" i="1"/>
  <c r="B264" i="1"/>
  <c r="O263" i="1"/>
  <c r="E263" i="1"/>
  <c r="B263" i="1"/>
  <c r="O262" i="1"/>
  <c r="E262" i="1"/>
  <c r="B262" i="1"/>
  <c r="O261" i="1"/>
  <c r="E261" i="1"/>
  <c r="B261" i="1"/>
  <c r="O260" i="1"/>
  <c r="E260" i="1"/>
  <c r="B260" i="1"/>
  <c r="O259" i="1"/>
  <c r="E259" i="1"/>
  <c r="B259" i="1"/>
  <c r="O258" i="1"/>
  <c r="E258" i="1"/>
  <c r="B258" i="1"/>
  <c r="O257" i="1"/>
  <c r="E257" i="1"/>
  <c r="B257" i="1"/>
  <c r="O256" i="1"/>
  <c r="E256" i="1"/>
  <c r="B256" i="1"/>
  <c r="O255" i="1"/>
  <c r="E255" i="1"/>
  <c r="B255" i="1"/>
  <c r="O254" i="1"/>
  <c r="E254" i="1"/>
  <c r="B254" i="1"/>
  <c r="O253" i="1"/>
  <c r="E253" i="1"/>
  <c r="B253" i="1"/>
  <c r="O252" i="1"/>
  <c r="E252" i="1"/>
  <c r="B252" i="1"/>
  <c r="O251" i="1"/>
  <c r="E251" i="1"/>
  <c r="B251" i="1"/>
  <c r="O250" i="1"/>
  <c r="E250" i="1"/>
  <c r="B250" i="1"/>
  <c r="O249" i="1"/>
  <c r="E249" i="1"/>
  <c r="B249" i="1"/>
  <c r="O248" i="1"/>
  <c r="E248" i="1"/>
  <c r="B248" i="1"/>
  <c r="O247" i="1"/>
  <c r="E247" i="1"/>
  <c r="B247" i="1"/>
  <c r="O246" i="1"/>
  <c r="E246" i="1"/>
  <c r="B246" i="1"/>
  <c r="O245" i="1"/>
  <c r="E245" i="1"/>
  <c r="B245" i="1"/>
  <c r="O244" i="1"/>
  <c r="E244" i="1"/>
  <c r="B244" i="1"/>
  <c r="O243" i="1"/>
  <c r="E243" i="1"/>
  <c r="B243" i="1"/>
  <c r="O242" i="1"/>
  <c r="E242" i="1"/>
  <c r="B242" i="1"/>
  <c r="O241" i="1"/>
  <c r="E241" i="1"/>
  <c r="B241" i="1"/>
  <c r="O240" i="1"/>
  <c r="E240" i="1"/>
  <c r="B240" i="1"/>
  <c r="O239" i="1"/>
  <c r="E239" i="1"/>
  <c r="B239" i="1"/>
  <c r="O238" i="1"/>
  <c r="E238" i="1"/>
  <c r="B238" i="1"/>
  <c r="O237" i="1"/>
  <c r="E237" i="1"/>
  <c r="B237" i="1"/>
  <c r="P236" i="1"/>
  <c r="O236" i="1"/>
  <c r="E236" i="1"/>
  <c r="B236" i="1"/>
  <c r="O235" i="1"/>
  <c r="E235" i="1"/>
  <c r="B235" i="1"/>
  <c r="O234" i="1"/>
  <c r="E234" i="1"/>
  <c r="B234" i="1"/>
  <c r="O233" i="1"/>
  <c r="E233" i="1"/>
  <c r="B233" i="1"/>
  <c r="O232" i="1"/>
  <c r="E232" i="1"/>
  <c r="B232" i="1"/>
  <c r="O231" i="1"/>
  <c r="E231" i="1"/>
  <c r="B231" i="1"/>
  <c r="O230" i="1"/>
  <c r="E230" i="1"/>
  <c r="B230" i="1"/>
  <c r="O229" i="1"/>
  <c r="E229" i="1"/>
  <c r="B229" i="1"/>
  <c r="O228" i="1"/>
  <c r="E228" i="1"/>
  <c r="B228" i="1"/>
  <c r="O227" i="1"/>
  <c r="E227" i="1"/>
  <c r="B227" i="1"/>
  <c r="O226" i="1"/>
  <c r="E226" i="1"/>
  <c r="B226" i="1"/>
  <c r="O225" i="1"/>
  <c r="E225" i="1"/>
  <c r="B225" i="1"/>
  <c r="O224" i="1"/>
  <c r="E224" i="1"/>
  <c r="B224" i="1"/>
  <c r="O223" i="1"/>
  <c r="E223" i="1"/>
  <c r="B223" i="1"/>
  <c r="O222" i="1"/>
  <c r="E222" i="1"/>
  <c r="B222" i="1"/>
  <c r="O221" i="1"/>
  <c r="E221" i="1"/>
  <c r="B221" i="1"/>
  <c r="O220" i="1"/>
  <c r="E220" i="1"/>
  <c r="B220" i="1"/>
  <c r="O219" i="1"/>
  <c r="E219" i="1"/>
  <c r="B219" i="1"/>
  <c r="O218" i="1"/>
  <c r="E218" i="1"/>
  <c r="B218" i="1"/>
  <c r="O217" i="1"/>
  <c r="E217" i="1"/>
  <c r="B217" i="1"/>
  <c r="O216" i="1"/>
  <c r="E216" i="1"/>
  <c r="B216" i="1"/>
  <c r="O215" i="1"/>
  <c r="E215" i="1"/>
  <c r="B215" i="1"/>
  <c r="O214" i="1"/>
  <c r="E214" i="1"/>
  <c r="B214" i="1"/>
  <c r="O213" i="1"/>
  <c r="E213" i="1"/>
  <c r="B213" i="1"/>
  <c r="O212" i="1"/>
  <c r="E212" i="1"/>
  <c r="B212" i="1"/>
  <c r="O211" i="1"/>
  <c r="E211" i="1"/>
  <c r="B211" i="1"/>
  <c r="O210" i="1"/>
  <c r="E210" i="1"/>
  <c r="B210" i="1"/>
  <c r="O209" i="1"/>
  <c r="E209" i="1"/>
  <c r="B209" i="1"/>
  <c r="O208" i="1"/>
  <c r="E208" i="1"/>
  <c r="B208" i="1"/>
  <c r="O207" i="1"/>
  <c r="E207" i="1"/>
  <c r="B207" i="1"/>
  <c r="O206" i="1"/>
  <c r="E206" i="1"/>
  <c r="B206" i="1"/>
  <c r="O205" i="1"/>
  <c r="E205" i="1"/>
  <c r="B205" i="1"/>
  <c r="O204" i="1"/>
  <c r="E204" i="1"/>
  <c r="B204" i="1"/>
  <c r="O203" i="1"/>
  <c r="E203" i="1"/>
  <c r="B203" i="1"/>
  <c r="O202" i="1"/>
  <c r="E202" i="1"/>
  <c r="B202" i="1"/>
  <c r="O201" i="1"/>
  <c r="E201" i="1"/>
  <c r="B201" i="1"/>
  <c r="O200" i="1"/>
  <c r="E200" i="1"/>
  <c r="B200" i="1"/>
  <c r="O199" i="1"/>
  <c r="E199" i="1"/>
  <c r="B199" i="1"/>
  <c r="O198" i="1"/>
  <c r="E198" i="1"/>
  <c r="B198" i="1"/>
  <c r="O197" i="1"/>
  <c r="E197" i="1"/>
  <c r="B197" i="1"/>
  <c r="O196" i="1"/>
  <c r="E196" i="1"/>
  <c r="B196" i="1"/>
  <c r="O195" i="1"/>
  <c r="E195" i="1"/>
  <c r="B195" i="1"/>
  <c r="O194" i="1"/>
  <c r="E194" i="1"/>
  <c r="B194" i="1"/>
  <c r="O193" i="1"/>
  <c r="E193" i="1"/>
  <c r="B193" i="1"/>
  <c r="O192" i="1"/>
  <c r="E192" i="1"/>
  <c r="B192" i="1"/>
  <c r="O191" i="1"/>
  <c r="E191" i="1"/>
  <c r="B191" i="1"/>
  <c r="O190" i="1"/>
  <c r="E190" i="1"/>
  <c r="B190" i="1"/>
  <c r="O189" i="1"/>
  <c r="E189" i="1"/>
  <c r="B189" i="1"/>
  <c r="O188" i="1"/>
  <c r="E188" i="1"/>
  <c r="B188" i="1"/>
  <c r="O187" i="1"/>
  <c r="E187" i="1"/>
  <c r="B187" i="1"/>
  <c r="O186" i="1"/>
  <c r="E186" i="1"/>
  <c r="B186" i="1"/>
  <c r="O185" i="1"/>
  <c r="E185" i="1"/>
  <c r="B185" i="1"/>
  <c r="O184" i="1"/>
  <c r="E184" i="1"/>
  <c r="B184" i="1"/>
  <c r="O183" i="1"/>
  <c r="E183" i="1"/>
  <c r="B183" i="1"/>
  <c r="O182" i="1"/>
  <c r="E182" i="1"/>
  <c r="B182" i="1"/>
  <c r="O181" i="1"/>
  <c r="E181" i="1"/>
  <c r="B181" i="1"/>
  <c r="O180" i="1"/>
  <c r="E180" i="1"/>
  <c r="B180" i="1"/>
  <c r="O179" i="1"/>
  <c r="E179" i="1"/>
  <c r="B179" i="1"/>
  <c r="O178" i="1"/>
  <c r="E178" i="1"/>
  <c r="B178" i="1"/>
  <c r="O177" i="1"/>
  <c r="E177" i="1"/>
  <c r="B177" i="1"/>
  <c r="O176" i="1"/>
  <c r="E176" i="1"/>
  <c r="B176" i="1"/>
  <c r="O175" i="1"/>
  <c r="E175" i="1"/>
  <c r="B175" i="1"/>
  <c r="O174" i="1"/>
  <c r="E174" i="1"/>
  <c r="B174" i="1"/>
  <c r="O173" i="1"/>
  <c r="E173" i="1"/>
  <c r="B173" i="1"/>
  <c r="O172" i="1"/>
  <c r="E172" i="1"/>
  <c r="B172" i="1"/>
  <c r="O171" i="1"/>
  <c r="E171" i="1"/>
  <c r="B171" i="1"/>
  <c r="O170" i="1"/>
  <c r="E170" i="1"/>
  <c r="B170" i="1"/>
  <c r="O169" i="1"/>
  <c r="E169" i="1"/>
  <c r="B169" i="1"/>
  <c r="O168" i="1"/>
  <c r="E168" i="1"/>
  <c r="B168" i="1"/>
  <c r="O167" i="1"/>
  <c r="E167" i="1"/>
  <c r="B167" i="1"/>
  <c r="O166" i="1"/>
  <c r="E166" i="1"/>
  <c r="B166" i="1"/>
  <c r="O165" i="1"/>
  <c r="E165" i="1"/>
  <c r="B165" i="1"/>
  <c r="O164" i="1"/>
  <c r="E164" i="1"/>
  <c r="B164" i="1"/>
  <c r="O163" i="1"/>
  <c r="E163" i="1"/>
  <c r="B163" i="1"/>
  <c r="O162" i="1"/>
  <c r="E162" i="1"/>
  <c r="B162" i="1"/>
  <c r="O161" i="1"/>
  <c r="E161" i="1"/>
  <c r="B161" i="1"/>
  <c r="O160" i="1"/>
  <c r="E160" i="1"/>
  <c r="B160" i="1"/>
  <c r="O159" i="1"/>
  <c r="E159" i="1"/>
  <c r="B159" i="1"/>
  <c r="O158" i="1"/>
  <c r="E158" i="1"/>
  <c r="B158" i="1"/>
  <c r="O157" i="1"/>
  <c r="E157" i="1"/>
  <c r="B157" i="1"/>
  <c r="O156" i="1"/>
  <c r="E156" i="1"/>
  <c r="B156" i="1"/>
  <c r="O155" i="1"/>
  <c r="E155" i="1"/>
  <c r="B155" i="1"/>
  <c r="O154" i="1"/>
  <c r="E154" i="1"/>
  <c r="B154" i="1"/>
  <c r="O153" i="1"/>
  <c r="E153" i="1"/>
  <c r="B153" i="1"/>
  <c r="O152" i="1"/>
  <c r="E152" i="1"/>
  <c r="B152" i="1"/>
  <c r="O151" i="1"/>
  <c r="E151" i="1"/>
  <c r="B151" i="1"/>
  <c r="O150" i="1"/>
  <c r="E150" i="1"/>
  <c r="B150" i="1"/>
  <c r="O149" i="1"/>
  <c r="E149" i="1"/>
  <c r="B149" i="1"/>
  <c r="O148" i="1"/>
  <c r="E148" i="1"/>
  <c r="B148" i="1"/>
  <c r="O147" i="1"/>
  <c r="E147" i="1"/>
  <c r="B147" i="1"/>
  <c r="O146" i="1"/>
  <c r="E146" i="1"/>
  <c r="B146" i="1"/>
  <c r="O145" i="1"/>
  <c r="E145" i="1"/>
  <c r="B145" i="1"/>
  <c r="O144" i="1"/>
  <c r="E144" i="1"/>
  <c r="B144" i="1"/>
  <c r="O143" i="1"/>
  <c r="E143" i="1"/>
  <c r="B143" i="1"/>
  <c r="O142" i="1"/>
  <c r="E142" i="1"/>
  <c r="B142" i="1"/>
  <c r="O141" i="1"/>
  <c r="E141" i="1"/>
  <c r="B141" i="1"/>
  <c r="O140" i="1"/>
  <c r="E140" i="1"/>
  <c r="B140" i="1"/>
  <c r="O139" i="1"/>
  <c r="E139" i="1"/>
  <c r="B139" i="1"/>
  <c r="O138" i="1"/>
  <c r="E138" i="1"/>
  <c r="B138" i="1"/>
  <c r="O137" i="1"/>
  <c r="E137" i="1"/>
  <c r="B137" i="1"/>
  <c r="O136" i="1"/>
  <c r="E136" i="1"/>
  <c r="B136" i="1"/>
  <c r="O135" i="1"/>
  <c r="E135" i="1"/>
  <c r="B135" i="1"/>
  <c r="O134" i="1"/>
  <c r="E134" i="1"/>
  <c r="B134" i="1"/>
  <c r="O133" i="1"/>
  <c r="E133" i="1"/>
  <c r="B133" i="1"/>
  <c r="O132" i="1"/>
  <c r="E132" i="1"/>
  <c r="B132" i="1"/>
  <c r="O131" i="1"/>
  <c r="E131" i="1"/>
  <c r="B131" i="1"/>
  <c r="O130" i="1"/>
  <c r="E130" i="1"/>
  <c r="B130" i="1"/>
  <c r="O129" i="1"/>
  <c r="E129" i="1"/>
  <c r="B129" i="1"/>
  <c r="O128" i="1"/>
  <c r="E128" i="1"/>
  <c r="B128" i="1"/>
  <c r="O127" i="1"/>
  <c r="E127" i="1"/>
  <c r="B127" i="1"/>
  <c r="O126" i="1"/>
  <c r="E126" i="1"/>
  <c r="B126" i="1"/>
  <c r="O125" i="1"/>
  <c r="E125" i="1"/>
  <c r="B125" i="1"/>
  <c r="O124" i="1"/>
  <c r="E124" i="1"/>
  <c r="B124" i="1"/>
  <c r="O123" i="1"/>
  <c r="E123" i="1"/>
  <c r="B123" i="1"/>
  <c r="O122" i="1"/>
  <c r="E122" i="1"/>
  <c r="B122" i="1"/>
  <c r="O121" i="1"/>
  <c r="E121" i="1"/>
  <c r="B121" i="1"/>
  <c r="O120" i="1"/>
  <c r="E120" i="1"/>
  <c r="B120" i="1"/>
  <c r="O119" i="1"/>
  <c r="E119" i="1"/>
  <c r="B119" i="1"/>
  <c r="O118" i="1"/>
  <c r="E118" i="1"/>
  <c r="B118" i="1"/>
  <c r="O117" i="1"/>
  <c r="E117" i="1"/>
  <c r="B117" i="1"/>
  <c r="O116" i="1"/>
  <c r="E116" i="1"/>
  <c r="B116" i="1"/>
  <c r="O115" i="1"/>
  <c r="E115" i="1"/>
  <c r="B115" i="1"/>
  <c r="O114" i="1"/>
  <c r="E114" i="1"/>
  <c r="B114" i="1"/>
  <c r="O113" i="1"/>
  <c r="E113" i="1"/>
  <c r="B113" i="1"/>
  <c r="O112" i="1"/>
  <c r="E112" i="1"/>
  <c r="B112" i="1"/>
  <c r="O111" i="1"/>
  <c r="E111" i="1"/>
  <c r="B111" i="1"/>
  <c r="O110" i="1"/>
  <c r="E110" i="1"/>
  <c r="B110" i="1"/>
  <c r="O109" i="1"/>
  <c r="E109" i="1"/>
  <c r="B109" i="1"/>
  <c r="O108" i="1"/>
  <c r="E108" i="1"/>
  <c r="B108" i="1"/>
  <c r="O107" i="1"/>
  <c r="E107" i="1"/>
  <c r="B107" i="1"/>
  <c r="O106" i="1"/>
  <c r="E106" i="1"/>
  <c r="B106" i="1"/>
  <c r="O105" i="1"/>
  <c r="E105" i="1"/>
  <c r="B105" i="1"/>
  <c r="O104" i="1"/>
  <c r="E104" i="1"/>
  <c r="B104" i="1"/>
  <c r="O103" i="1"/>
  <c r="E103" i="1"/>
  <c r="B103" i="1"/>
  <c r="O102" i="1"/>
  <c r="E102" i="1"/>
  <c r="B102" i="1"/>
  <c r="O101" i="1"/>
  <c r="E101" i="1"/>
  <c r="B101" i="1"/>
  <c r="O100" i="1"/>
  <c r="E100" i="1"/>
  <c r="B100" i="1"/>
  <c r="O99" i="1"/>
  <c r="E99" i="1"/>
  <c r="B99" i="1"/>
  <c r="O98" i="1"/>
  <c r="E98" i="1"/>
  <c r="B98" i="1"/>
  <c r="O97" i="1"/>
  <c r="E97" i="1"/>
  <c r="B97" i="1"/>
  <c r="O96" i="1"/>
  <c r="E96" i="1"/>
  <c r="B96" i="1"/>
  <c r="O95" i="1"/>
  <c r="E95" i="1"/>
  <c r="B95" i="1"/>
  <c r="O94" i="1"/>
  <c r="E94" i="1"/>
  <c r="B94" i="1"/>
  <c r="O93" i="1"/>
  <c r="E93" i="1"/>
  <c r="B93" i="1"/>
  <c r="O92" i="1"/>
  <c r="E92" i="1"/>
  <c r="B92" i="1"/>
  <c r="O91" i="1"/>
  <c r="E91" i="1"/>
  <c r="B91" i="1"/>
  <c r="O90" i="1"/>
  <c r="E90" i="1"/>
  <c r="B90" i="1"/>
  <c r="O89" i="1"/>
  <c r="E89" i="1"/>
  <c r="B89" i="1"/>
  <c r="O88" i="1"/>
  <c r="E88" i="1"/>
  <c r="B88" i="1"/>
  <c r="O87" i="1"/>
  <c r="E87" i="1"/>
  <c r="B87" i="1"/>
  <c r="O86" i="1"/>
  <c r="E86" i="1"/>
  <c r="B86" i="1"/>
  <c r="O85" i="1"/>
  <c r="E85" i="1"/>
  <c r="B85" i="1"/>
  <c r="O84" i="1"/>
  <c r="E84" i="1"/>
  <c r="B84" i="1"/>
  <c r="O83" i="1"/>
  <c r="E83" i="1"/>
  <c r="B83" i="1"/>
  <c r="O82" i="1"/>
  <c r="E82" i="1"/>
  <c r="B82" i="1"/>
  <c r="O81" i="1"/>
  <c r="E81" i="1"/>
  <c r="B81" i="1"/>
  <c r="O80" i="1"/>
  <c r="E80" i="1"/>
  <c r="B80" i="1"/>
  <c r="O79" i="1"/>
  <c r="E79" i="1"/>
  <c r="B79" i="1"/>
  <c r="O78" i="1"/>
  <c r="E78" i="1"/>
  <c r="B78" i="1"/>
  <c r="O77" i="1"/>
  <c r="E77" i="1"/>
  <c r="B77" i="1"/>
  <c r="O76" i="1"/>
  <c r="E76" i="1"/>
  <c r="B76" i="1"/>
  <c r="O75" i="1"/>
  <c r="E75" i="1"/>
  <c r="B75" i="1"/>
  <c r="O74" i="1"/>
  <c r="E74" i="1"/>
  <c r="B74" i="1"/>
  <c r="O73" i="1"/>
  <c r="E73" i="1"/>
  <c r="B73" i="1"/>
  <c r="O72" i="1"/>
  <c r="E72" i="1"/>
  <c r="B72" i="1"/>
  <c r="O71" i="1"/>
  <c r="E71" i="1"/>
  <c r="B71" i="1"/>
  <c r="O70" i="1"/>
  <c r="E70" i="1"/>
  <c r="B70" i="1"/>
  <c r="O69" i="1"/>
  <c r="E69" i="1"/>
  <c r="B69" i="1"/>
  <c r="O68" i="1"/>
  <c r="E68" i="1"/>
  <c r="B68" i="1"/>
  <c r="O67" i="1"/>
  <c r="E67" i="1"/>
  <c r="B67" i="1"/>
  <c r="O66" i="1"/>
  <c r="E66" i="1"/>
  <c r="B66" i="1"/>
  <c r="O65" i="1"/>
  <c r="E65" i="1"/>
  <c r="B65" i="1"/>
  <c r="O64" i="1"/>
  <c r="E64" i="1"/>
  <c r="B64" i="1"/>
  <c r="O63" i="1"/>
  <c r="E63" i="1"/>
  <c r="B63" i="1"/>
  <c r="O62" i="1"/>
  <c r="E62" i="1"/>
  <c r="B62" i="1"/>
  <c r="O61" i="1"/>
  <c r="E61" i="1"/>
  <c r="B61" i="1"/>
  <c r="O60" i="1"/>
  <c r="E60" i="1"/>
  <c r="B60" i="1"/>
  <c r="O59" i="1"/>
  <c r="E59" i="1"/>
  <c r="B59" i="1"/>
  <c r="O58" i="1"/>
  <c r="E58" i="1"/>
  <c r="B58" i="1"/>
  <c r="O57" i="1"/>
  <c r="E57" i="1"/>
  <c r="B57" i="1"/>
  <c r="O56" i="1"/>
  <c r="E56" i="1"/>
  <c r="B56" i="1"/>
  <c r="O55" i="1"/>
  <c r="E55" i="1"/>
  <c r="B55" i="1"/>
  <c r="O54" i="1"/>
  <c r="E54" i="1"/>
  <c r="B54" i="1"/>
  <c r="O53" i="1"/>
  <c r="E53" i="1"/>
  <c r="B53" i="1"/>
  <c r="O52" i="1"/>
  <c r="E52" i="1"/>
  <c r="B52" i="1"/>
  <c r="O51" i="1"/>
  <c r="E51" i="1"/>
  <c r="B51" i="1"/>
  <c r="O50" i="1"/>
  <c r="E50" i="1"/>
  <c r="B50" i="1"/>
  <c r="O49" i="1"/>
  <c r="E49" i="1"/>
  <c r="B49" i="1"/>
  <c r="O48" i="1"/>
  <c r="E48" i="1"/>
  <c r="B48" i="1"/>
  <c r="O47" i="1"/>
  <c r="E47" i="1"/>
  <c r="B47" i="1"/>
  <c r="O46" i="1"/>
  <c r="E46" i="1"/>
  <c r="B46" i="1"/>
  <c r="O45" i="1"/>
  <c r="E45" i="1"/>
  <c r="B45" i="1"/>
  <c r="O44" i="1"/>
  <c r="E44" i="1"/>
  <c r="B44" i="1"/>
  <c r="O43" i="1"/>
  <c r="E43" i="1"/>
  <c r="B43" i="1"/>
  <c r="O42" i="1"/>
  <c r="E42" i="1"/>
  <c r="B42" i="1"/>
  <c r="O41" i="1"/>
  <c r="E41" i="1"/>
  <c r="B41" i="1"/>
  <c r="O40" i="1"/>
  <c r="E40" i="1"/>
  <c r="B40" i="1"/>
  <c r="O39" i="1"/>
  <c r="E39" i="1"/>
  <c r="B39" i="1"/>
  <c r="O38" i="1"/>
  <c r="E38" i="1"/>
  <c r="B38" i="1"/>
  <c r="O37" i="1"/>
  <c r="E37" i="1"/>
  <c r="B37" i="1"/>
  <c r="O36" i="1"/>
  <c r="E36" i="1"/>
  <c r="B36" i="1"/>
  <c r="O35" i="1"/>
  <c r="E35" i="1"/>
  <c r="B35" i="1"/>
  <c r="O34" i="1"/>
  <c r="E34" i="1"/>
  <c r="B34" i="1"/>
  <c r="O33" i="1"/>
  <c r="E33" i="1"/>
  <c r="B33" i="1"/>
  <c r="O32" i="1"/>
  <c r="E32" i="1"/>
  <c r="B32" i="1"/>
  <c r="O31" i="1"/>
  <c r="E31" i="1"/>
  <c r="B31" i="1"/>
  <c r="O30" i="1"/>
  <c r="E30" i="1"/>
  <c r="B30" i="1"/>
  <c r="O29" i="1"/>
  <c r="E29" i="1"/>
  <c r="B29" i="1"/>
  <c r="O28" i="1"/>
  <c r="E28" i="1"/>
  <c r="B28" i="1"/>
  <c r="O27" i="1"/>
  <c r="E27" i="1"/>
  <c r="B27" i="1"/>
  <c r="O26" i="1"/>
  <c r="E26" i="1"/>
  <c r="B26" i="1"/>
  <c r="O25" i="1"/>
  <c r="E25" i="1"/>
  <c r="B25" i="1"/>
  <c r="O24" i="1"/>
  <c r="E24" i="1"/>
  <c r="B24" i="1"/>
  <c r="O23" i="1"/>
  <c r="E23" i="1"/>
  <c r="B23" i="1"/>
  <c r="O22" i="1"/>
  <c r="E22" i="1"/>
  <c r="B22" i="1"/>
  <c r="O21" i="1"/>
  <c r="E21" i="1"/>
  <c r="B21" i="1"/>
  <c r="O20" i="1"/>
  <c r="E20" i="1"/>
  <c r="B20" i="1"/>
  <c r="O19" i="1"/>
  <c r="E19" i="1"/>
  <c r="B19" i="1"/>
  <c r="O18" i="1"/>
  <c r="E18" i="1"/>
  <c r="B18" i="1"/>
  <c r="O17" i="1"/>
  <c r="E17" i="1"/>
  <c r="B17" i="1"/>
  <c r="O16" i="1"/>
  <c r="E16" i="1"/>
  <c r="B16" i="1"/>
  <c r="O15" i="1"/>
  <c r="E15" i="1"/>
  <c r="B15" i="1"/>
  <c r="O14" i="1"/>
  <c r="E14" i="1"/>
  <c r="B14" i="1"/>
  <c r="O13" i="1"/>
  <c r="E13" i="1"/>
  <c r="B13" i="1"/>
  <c r="O12" i="1"/>
  <c r="E12" i="1"/>
  <c r="B12" i="1"/>
  <c r="O11" i="1"/>
  <c r="E11" i="1"/>
  <c r="B11" i="1"/>
  <c r="O10" i="1"/>
  <c r="E10" i="1"/>
  <c r="B10" i="1"/>
  <c r="O9" i="1"/>
  <c r="E9" i="1"/>
  <c r="B9" i="1"/>
  <c r="O8" i="1"/>
  <c r="E8" i="1"/>
  <c r="B8" i="1"/>
  <c r="O7" i="1"/>
  <c r="E7" i="1"/>
  <c r="B7" i="1"/>
  <c r="O6" i="1"/>
  <c r="E6" i="1"/>
  <c r="B6" i="1"/>
  <c r="O5" i="1"/>
  <c r="E5" i="1"/>
  <c r="B5" i="1"/>
  <c r="O4" i="1"/>
  <c r="E4" i="1"/>
  <c r="B4" i="1"/>
  <c r="O3" i="1"/>
  <c r="E3" i="1"/>
  <c r="B3" i="1"/>
</calcChain>
</file>

<file path=xl/sharedStrings.xml><?xml version="1.0" encoding="utf-8"?>
<sst xmlns="http://schemas.openxmlformats.org/spreadsheetml/2006/main" count="46231" uniqueCount="18055">
  <si>
    <t>Twitter Search Rule: #vw</t>
  </si>
  <si>
    <t>User Details</t>
  </si>
  <si>
    <t>Date</t>
  </si>
  <si>
    <t>Screen Name</t>
  </si>
  <si>
    <t>Full Name</t>
  </si>
  <si>
    <t>Tweet Text</t>
  </si>
  <si>
    <t>Tweet ID</t>
  </si>
  <si>
    <t>App</t>
  </si>
  <si>
    <t>Followers</t>
  </si>
  <si>
    <t>Follows</t>
  </si>
  <si>
    <t>Retweets</t>
  </si>
  <si>
    <t>Favorites</t>
  </si>
  <si>
    <t>Verfied</t>
  </si>
  <si>
    <t>User Since</t>
  </si>
  <si>
    <t>Location</t>
  </si>
  <si>
    <t>Bio</t>
  </si>
  <si>
    <t>Profile Image</t>
  </si>
  <si>
    <t>Google Maps</t>
  </si>
  <si>
    <t>Christopher Hough</t>
  </si>
  <si>
    <t>RT @Oregonian: Volkswagen nears deal to pay diesel owners $1 billion, buy back some cars #VW https://t.co/YtrK1xsAHd https://t.co/cELxnnXKXU</t>
  </si>
  <si>
    <t>Twitter for iPhone</t>
  </si>
  <si>
    <t>No</t>
  </si>
  <si>
    <t>Beaverton, Oregon</t>
  </si>
  <si>
    <t>Wife. Family. Dogs. Running. Outdoors. Marketing. Product Creation with @NIKEiD / Views = ✋</t>
  </si>
  <si>
    <t>Nino</t>
  </si>
  <si>
    <t>RT @Lebeaucarnews: Breaking: #VW agrees to pay each U.S owner of impacted car $5,000 as part of settlement over emissions scandal (per Die…</t>
  </si>
  <si>
    <t>CT/NY</t>
  </si>
  <si>
    <t>SCSU Alumni. Pace Law 2017. Coffee addict, and an undying love for all things sneaker-related. Retweets are not my own. All tweets are purely opinion.</t>
  </si>
  <si>
    <t>khilo.</t>
  </si>
  <si>
    <t>#NSU #ODU #HamptonU #VW #BeachWeekend2016</t>
  </si>
  <si>
    <t xml:space="preserve">Girl Boss Avenue </t>
  </si>
  <si>
    <t>Real Estate (VA) | | Hot 91 M-F 6a-10a || NSU Alum | | SC &amp; IG: @khilogram || #TheKHIToYourRealEstateNeeds</t>
  </si>
  <si>
    <t>Mk1 Golfs for sale</t>
  </si>
  <si>
    <t>#vw #mk1golf B Reg MK 1 Golf convertible https://t.co/zR86jAVXg6 #forsale</t>
  </si>
  <si>
    <t>twitterfeed</t>
  </si>
  <si>
    <t>UK</t>
  </si>
  <si>
    <t>Looking for MK1 Golfs for sale? Look no further.</t>
  </si>
  <si>
    <t>WorldWide Stance</t>
  </si>
  <si>
    <t>RT @BF_Images: RIMS DOE. | #VW #volkswagen #euro #import #stance #stancenation #fitment #bagged #cambergang #slammedenuff https://t.co/cllk…</t>
  </si>
  <si>
    <t>WorldWide - Toronto</t>
  </si>
  <si>
    <t>Automotive Media • #TeamWorldWide • Original Content • https://t.co/NoiANnMJpR • Snapchat: WorldWideStance • EST.2015</t>
  </si>
  <si>
    <t>Wise PLLC</t>
  </si>
  <si>
    <t>the #vw 'rumored' offer applies to buyback cases right? so everyone else is out of luck?? 3.0L owners too.</t>
  </si>
  <si>
    <t>Twitter Web Client</t>
  </si>
  <si>
    <t>A Gulf South Law Firm</t>
  </si>
  <si>
    <t>We assist individual and corporate clients with defective vehicle and equipment breach of warranty clams (lemon law).</t>
  </si>
  <si>
    <t>Fran~</t>
  </si>
  <si>
    <t>RT @PicadasArg: Planchada 😍👌 #Vw https://t.co/jeEM1PP59L</t>
  </si>
  <si>
    <t>Twitter for Android</t>
  </si>
  <si>
    <t>Neuquén, Argentina</t>
  </si>
  <si>
    <t>- 16 años -Rincón de los Sauces -Boca Juniors -Cahuin Ruca! - Capricornio</t>
  </si>
  <si>
    <t>Ben Smith</t>
  </si>
  <si>
    <t>FanCar Picture - Send me your Scirocco pictures!!! (PM Please) #VW #Volkswagen #Scirocco #Tuning https://t.co/U9QWzHQsUX</t>
  </si>
  <si>
    <t>Facebook</t>
  </si>
  <si>
    <t>Shaney Waney ❄️</t>
  </si>
  <si>
    <t>Staffghanistan, VA</t>
  </si>
  <si>
    <t>Risk is what keeps us young | Copenhagen smile | Need For Speed is life | Wrastlin and Cars</t>
  </si>
  <si>
    <t>TedFlitton</t>
  </si>
  <si>
    <t>RT @jocmbarnett: RT @bernsteincrisis: More evidence of the harm #VW crisis has caused the brand - https://t.co/jTcx0WZVyr</t>
  </si>
  <si>
    <t>Calgary, Alberta</t>
  </si>
  <si>
    <t>I help businesses grow by solving problems and avoiding crises through improved communications, marketing &amp; customer experiences. Special interest - healthcare.</t>
  </si>
  <si>
    <t>Julio Kronbauer</t>
  </si>
  <si>
    <t>#Volkswagen reportedly reaches #DieselGate settlement, will compensate owners https://t.co/npNqtBNYKa #VWGate #VolkswagenScandal #VW</t>
  </si>
  <si>
    <t>TweetDeck</t>
  </si>
  <si>
    <t>Vale Verde, RS, Brasil</t>
  </si>
  <si>
    <t>Safra 1981, sócio-proprietário da @dropweb, Zend Certified Engineer, car enthusiast, colorado. Seu maior sonho é pilotar um Fórmula 1.</t>
  </si>
  <si>
    <t>VW Beetle</t>
  </si>
  <si>
    <t>#tattycartravels #vw #vwbug #vwbeetle #slammed #low #lowered #old #classiccar #classic #vintage #historic #aircoole… https://t.co/herHEV0SRK</t>
  </si>
  <si>
    <t>IFTTT</t>
  </si>
  <si>
    <t>VW Land</t>
  </si>
  <si>
    <t>Trilogia Fusca - Red #aquarela #watercolor #watercolours #acuarela #sandrakuniwake #fusca #vwbeetle #vw #vwbug #vwb… https://t.co/vs7a8geFwO</t>
  </si>
  <si>
    <t>Boa noite! #vw #vocho #volks #vwbug #vwlow #vwold #vw1301 #vwlove #vwlife #vwbeetle #vwvocho #vwvosvos #vwvintage #… https://t.co/P8jgIyacPb</t>
  </si>
  <si>
    <t>#aircooled #aircooledvw #aircooledvolkswagen #aircooledvdub #vdub #bug #beetle #vwbug #vwbeetle #vwporn #vwlove #vw… https://t.co/SymuMnLK7E</t>
  </si>
  <si>
    <t>Would love one of these!!😍 #kingdubsvw #vw #vdub #volkswagen #vwlife #vwlove #vdublife #vdublove #volkswagens #lowl… https://t.co/FfASFjBVXD</t>
  </si>
  <si>
    <t>Fusca World</t>
  </si>
  <si>
    <t>RT @beetlebug1938: Trilogia Fusca - Red #aquarela #watercolor #watercolours #acuarela #sandrakuniwake #fusca #vwbeetle #vw #vwbug #vwb… htt…</t>
  </si>
  <si>
    <t>monitorfuscas</t>
  </si>
  <si>
    <t>If you love Beetle follow us</t>
  </si>
  <si>
    <t>Louis C. Roberts</t>
  </si>
  <si>
    <t>Nissan Outs Mitsubishi for Cheating. No one Outed #VW https://t.co/ECTF8V8tDu</t>
  </si>
  <si>
    <t>Buffer</t>
  </si>
  <si>
    <t>Jackson, MS</t>
  </si>
  <si>
    <t>I work as Telephone Station Installer.</t>
  </si>
  <si>
    <t>Watercolor Paintings</t>
  </si>
  <si>
    <t>Scottsdale, AZ</t>
  </si>
  <si>
    <t>Watercolor Paintings and Pencil Art</t>
  </si>
  <si>
    <t>pictman</t>
  </si>
  <si>
    <t>So after all the crap the #media gave #VW here saying "that can never happen in Japan" well it happened #Mitsubishimotors Who's next?</t>
  </si>
  <si>
    <t>lying on the road in shock</t>
  </si>
  <si>
    <t>I am who I am.tattoos,krav maga,vaping and if I can get it copious amounts of sex.</t>
  </si>
  <si>
    <t>Jeff Dial</t>
  </si>
  <si>
    <t>Twitter for iPad</t>
  </si>
  <si>
    <t>Kenosha, WI</t>
  </si>
  <si>
    <t>Retiree, fitness fan, philomath . Eschew Obfuscation !</t>
  </si>
  <si>
    <t>Jeff Quitney</t>
  </si>
  <si>
    <t>Volkswagen Beetle TV Commercial circa 1962 Volkswagen; Italian Designer Improves VW https://t.co/i0b7svWUmz #VW #Volkswagen #commercial</t>
  </si>
  <si>
    <t>Las Vegas, NV</t>
  </si>
  <si>
    <t>Documentary film videos, educational film videos, &amp; training #film &amp; #video; #NASA #space &amp; more; https://t.co/41tikBNkrB - http://t.co/J9XrB1LJRy</t>
  </si>
  <si>
    <t>RT @beetlebug1938: VW Beetle cake! #kitticakes #volkswagen #beetle #vw #vwbeetle #volkswagonbeetle #carcake #cakesformen #cakesforboys… htt…</t>
  </si>
  <si>
    <t>Ian Donovan</t>
  </si>
  <si>
    <t>Oregonian: Volkswagen nears deal to pay diesel owners $1 billion, buy back some cars #VW https://t.co/vsBtnb4nR5 https://t.co/980UbbmisN</t>
  </si>
  <si>
    <t>Oklahoma City, Varet Street</t>
  </si>
  <si>
    <t>Official D&amp;B corporation</t>
  </si>
  <si>
    <t>NeedTechs</t>
  </si>
  <si>
    <t>Low Country Volkswagen Mount Pleasant #SCjobs #VW &amp; European Trained Techs wanted #autojobs https://t.co/eT9NutNUt9 https://t.co/o87J9XR5OE</t>
  </si>
  <si>
    <t xml:space="preserve">Headquarters in Florida </t>
  </si>
  <si>
    <t>Since 1998 http://t.co/Aoolsyvi6p has been helping technicians find work locally and nationwide. Employers can also advertises and search for technicians.</t>
  </si>
  <si>
    <t>McIyengar</t>
  </si>
  <si>
    <t>Merchant of Leapfrogging</t>
  </si>
  <si>
    <t>tuning-carz</t>
  </si>
  <si>
    <t>RT @VeeDubMk1_: May as well throw another one in on #mk1monday 😛 @beany1234 and his #floridablue #series1 #mk1golf ! - - #vw #volks… https:…</t>
  </si>
  <si>
    <t>stanced cars. south Africa,cape town.</t>
  </si>
  <si>
    <t>Rafael Rodriguez</t>
  </si>
  <si>
    <t>#vw #vdubs #pics #aircooled #canon https://t.co/p0gHWMdbsM</t>
  </si>
  <si>
    <t>Instagram</t>
  </si>
  <si>
    <t>San Juan P.R.</t>
  </si>
  <si>
    <t>Earning a living by fixing Porsches</t>
  </si>
  <si>
    <t>Andrew Duncan</t>
  </si>
  <si>
    <t>Exclusive - VW to offer to buy back nearly 500,000 U.S. diesel cars: sources. Why not in UK? 🇩🇪#VW #Emissions https://t.co/P0c4xcoWet</t>
  </si>
  <si>
    <t>iOS</t>
  </si>
  <si>
    <t>London. United Kingdom</t>
  </si>
  <si>
    <t>Journalist Extraordinaire. Retweets/follow are not an endorsement.</t>
  </si>
  <si>
    <t>Carscoops</t>
  </si>
  <si>
    <t>#VW #Dieselgate Solution Could Include $5,000 To Owners, Buybacks https://t.co/8sDS2tlzt0 https://t.co/DZWLHTQzJ4</t>
  </si>
  <si>
    <t>dlvr.it</t>
  </si>
  <si>
    <t>Everywhere</t>
  </si>
  <si>
    <t>We're absolutely passionate about cars</t>
  </si>
  <si>
    <t>VW Beetle Sales</t>
  </si>
  <si>
    <t>eBay: 2004 04 VOLKSWAGEN BEETLE 2.3 V5 SPORT -… https://t.co/uhvBvK6wwF #vwbeetle #vwbug #vw https://t.co/xvfL74PTgl https://t.co/mao8Wfn256</t>
  </si>
  <si>
    <t>United Kingdom</t>
  </si>
  <si>
    <t>View the latest VW Beetle Cars For Sale on eBay UK.</t>
  </si>
  <si>
    <t>Shannon Leinert</t>
  </si>
  <si>
    <t>San Diego</t>
  </si>
  <si>
    <t>Teaching kids, running pro, and learning as I go. PHD in special education. Coached by Cruz. Co creator @ZAMboost4u. Sponsored by @brooksrunning @SFA_trackclub</t>
  </si>
  <si>
    <t>VW Depo</t>
  </si>
  <si>
    <t>szabomark2907vw! Loveher❤🚘 #love #her #imadom #eztakisszart #vw #golf #vwdepo #tatechnix #hungary #mik #faketaxi... https://t.co/ewkxh7hVuL</t>
  </si>
  <si>
    <t>Hungary</t>
  </si>
  <si>
    <t>KULT. WAGEN. MAGAZIN.</t>
  </si>
  <si>
    <t>Three County VW</t>
  </si>
  <si>
    <t>All the #VW model research you need in one convenient place. Check out our website for more info! #ThreeCountyVW https://t.co/hI3PqAq4Ur</t>
  </si>
  <si>
    <t>Sprout Social</t>
  </si>
  <si>
    <t>Backed by 50 years of history selling Volkswagen cars to the people of NJ and NY, you can trust Three County Volkswagen to help you find your dream car.</t>
  </si>
  <si>
    <t>Chris Costner</t>
  </si>
  <si>
    <t>UPDATE: #VW AGREES TO BUY BACK 500,000 AFFECTED #TDI VEHICLES IN U.S. MARKET https://t.co/cXEl9ixlaX via @RoadandTrack #AutoMarketing</t>
  </si>
  <si>
    <t>Chesapeake, VA</t>
  </si>
  <si>
    <t>Dad • Internet Sales Director at @DrivingSouthern #VW #AutoMarketing • Horse Racing Enthusiast</t>
  </si>
  <si>
    <t>APMA Canada</t>
  </si>
  <si>
    <t>RT @Lebeaucarnews: Breaking: #VW agrees to settlement with U.S. govt. over diesel emissions scandal. (per German newspaper Die Welt)</t>
  </si>
  <si>
    <t>Toronto, Ontario</t>
  </si>
  <si>
    <t>APMA is Canada's national association representing OEM producers of parts, equipment, tools, supplies and services for the worldwide automotive industry.</t>
  </si>
  <si>
    <t>CNBC</t>
  </si>
  <si>
    <t>RT @CNBCi: First #VW, Now #Mitsubishi. Fudging numbers on fuel economy. What is your trust level on automakers' own data?</t>
  </si>
  <si>
    <t>Hootsuite</t>
  </si>
  <si>
    <t>First in Business Worldwide</t>
  </si>
  <si>
    <t>CNBC Tech</t>
  </si>
  <si>
    <t>San Francisco</t>
  </si>
  <si>
    <t>Follow for the latest tech news from Silicon Valley. Tweets from @CNBCJosh, @levynews, @MattMHunter, @mcwellons, @dfindles @harri8t @jeniecep</t>
  </si>
  <si>
    <t>VENOM</t>
  </si>
  <si>
    <t>RT @vwpress_en: The Concept Car by #VW at the #VWBeijingAutoshow16. https://t.co/gZkoib9jEb</t>
  </si>
  <si>
    <t>Justin Miller</t>
  </si>
  <si>
    <t>Tweetbot for iΟS</t>
  </si>
  <si>
    <t>Portland, Oregon, USA</t>
  </si>
  <si>
    <t>Mobile @Mapbox &amp; photographer @MallornImagery. Code, photography, travel, trying, learning, discovering. Currently helping @mpetruzzi79 beat pancreatic cancer.</t>
  </si>
  <si>
    <t>daninfinity</t>
  </si>
  <si>
    <t>#Mitsubishi oh no.... Should have took note of #VW #emissionsgate</t>
  </si>
  <si>
    <t>North East England</t>
  </si>
  <si>
    <t>*CHECK OUT MY BLOG - https://t.co/vNtOngxxEy* The random bloke behind the #mackemmonkey https://t.co/x40iFB5h4J</t>
  </si>
  <si>
    <t>Mike Murphy</t>
  </si>
  <si>
    <t>Windsor, CT</t>
  </si>
  <si>
    <t>Reformed banker/consultant. Analysis collector-RT/riffer-QRT RT x=agree Loomis Chaffee - NEbrdngsch Econ/IR/USHist Teacher Asst Coach Varsity Hockey/Soccer</t>
  </si>
  <si>
    <t>The New Auto News</t>
  </si>
  <si>
    <t>RT @VW: If you're at #CritNats in Greenville today stop by the #VW tent for complimentary waffles until 12. 😛 #VW4Cycling https://t.co/MJDn…</t>
  </si>
  <si>
    <t>United States</t>
  </si>
  <si>
    <t>The best source for automotive news and updates</t>
  </si>
  <si>
    <t>jamelise</t>
  </si>
  <si>
    <t>Tech enthusiast, gamer, at-home-chef, literature junkie, WIP policy wonk. PR supports these habits.</t>
  </si>
  <si>
    <t>Online Car Review</t>
  </si>
  <si>
    <t>VW to pay customers $US5000 to settle https://t.co/EdXtT8hRBA #VW #AutoNews</t>
  </si>
  <si>
    <t>Every day, every hour we are looking for reviews of new cars for our followers #cars #auto #news #review #runors http://t.co/BZWE5NsPl3 #followback</t>
  </si>
  <si>
    <t>Drive a Volkswagen? You Might Be Entitled to $5000 https://t.co/GZ9omVLTco #VW #AutoNews</t>
  </si>
  <si>
    <t>Volkswagen To Buy Back Emissions-Cheating Cars https://t.co/PdBKIekT4R #VW #AutoNews</t>
  </si>
  <si>
    <t>Insta-VWT</t>
  </si>
  <si>
    <t>https://t.co/gBlYME5cTC - Checking out the view @jamesrice91 #vw #vwbus #vanlife #vwt4 #e… https://t.co/suPHJ9pXAM https://t.co/c2APLS6P0E</t>
  </si>
  <si>
    <t>Birmingham, UK</t>
  </si>
  <si>
    <t>Aggregating T4 &amp; T5 Pics :-)</t>
  </si>
  <si>
    <t>VeeDuberz Tops</t>
  </si>
  <si>
    <t>#mk1 #mk1vw #mk1gti #mk1golf #mk1cabby #vw #vag #vdub #vwcabrio #volkswagen #volkswagencabby #savethesquares #backy… https://t.co/pMxELULukw</t>
  </si>
  <si>
    <t>Hashtag VanLife</t>
  </si>
  <si>
    <t>RT @Insta_VWT: https://t.co/gBlYME5cTC - Checking out the view @jamesrice91 #vw #vwbus #vanlife #vwt4 #e… https://t.co/suPHJ9pXAM https://t…</t>
  </si>
  <si>
    <t>Retweet Bot HVL</t>
  </si>
  <si>
    <t>An online chat community for anyone interested in the #vanlife</t>
  </si>
  <si>
    <t>Jonathan L. Yarmis</t>
  </si>
  <si>
    <t>#VW 'Dieselgate' software developed at Audi in 1999: report https://t.co/GKgJDwVbRm via @Reuters</t>
  </si>
  <si>
    <t>Mobile Web</t>
  </si>
  <si>
    <t>Stamford, CT and the world</t>
  </si>
  <si>
    <t>Industry analyst (aka Doctor Disruptive): Social, mobile, cloud &amp; big data.Augmented Reality, IoT, cognitive. Retweet conveys amusement, not endorsement.</t>
  </si>
  <si>
    <t>Curmudgeon-at-Large</t>
  </si>
  <si>
    <t>Another #VW Type Lie? #BoycottMitsubishi! https://t.co/QfakOK5IR3</t>
  </si>
  <si>
    <t>UltraConservativeSmallTown, MI</t>
  </si>
  <si>
    <t>VCT Motorsport Intl.</t>
  </si>
  <si>
    <t>#scirocco #sciroccor #sciroccorline #vw #vwscirocco #sciroccom #sciroccorestyling #facelift #tsi #tdi #tfsi #turbo … https://t.co/Inr2SUiRQk</t>
  </si>
  <si>
    <t>DE-91623 Sachsen b.A.</t>
  </si>
  <si>
    <t>VCT Motorsport is a German specialist for bodykits, performance tuning and custom cars. Est.2010</t>
  </si>
  <si>
    <t>#scirocco #sciroccor #sciroccorline #vw #vwscirocco #sciroccom #sciroccorestyling #facelift #tsi #tdi #tfsi #turbo … https://t.co/RHGiU4BDpk</t>
  </si>
  <si>
    <t>#scirocco #sciroccor #sciroccorline #vw #vwscirocco #sciroccom #sciroccorestyling #facelift #tsi #tdi #tfsi #turbo … https://t.co/RBmJyUp4WG</t>
  </si>
  <si>
    <t>#scirocco #sciroccor #sciroccorline #vw #vwscirocco #sciroccom #sciroccorestyling #facelift #tsi #tdi #tfsi #turbo … https://t.co/S6OQkLWYTj</t>
  </si>
  <si>
    <t>#scirocco #sciroccor #sciroccorline #vw #vwscirocco #sciroccom #sciroccorestyling #facelift #tsi #tdi #tfsi #turbo … https://t.co/Msj3wOqQEU</t>
  </si>
  <si>
    <t>Ara H.</t>
  </si>
  <si>
    <t>#VW to pay US customers $5,000 in settlement https://t.co/cOXsp55MUW</t>
  </si>
  <si>
    <t>Los Angeles, CA</t>
  </si>
  <si>
    <t>Hospital IT Director/Car nut living in LA, CA. Thinking about and consuming technology while I dodge the cones on the racetrack.</t>
  </si>
  <si>
    <t>Lindsay Volkswagen</t>
  </si>
  <si>
    <t>Join our winning team! Employment opportunities available on our website. #VW Apply: https://t.co/Vrs1trQAxY https://t.co/0WomkrOOAB</t>
  </si>
  <si>
    <t>SocialOomph</t>
  </si>
  <si>
    <t>Sterling, VA</t>
  </si>
  <si>
    <t>Lindsay #Volkswagen has been the #1 #VW dealer serving Northern Virginia, MD and DC since opening in 2004. Come see why! Call us at 866-375-5639</t>
  </si>
  <si>
    <t>VW Camper Sales</t>
  </si>
  <si>
    <t>eBay: vw t2 baywindow campervan… https://t.co/hGq25jU78i #vwcamper #vwbus #vw https://t.co/ZEadscsjBy https://t.co/WzLP4BUlN0</t>
  </si>
  <si>
    <t>View the latest VW Camper Vans For Sale on eBay UK.</t>
  </si>
  <si>
    <t>We appreciate when our #VW customers share their experiences with others. Read reviews: https://t.co/Mb9HsdhqWc https://t.co/eDKpV9oy7L</t>
  </si>
  <si>
    <t>SignatureCustomWraps</t>
  </si>
  <si>
    <t>Just pure sex! @orafolwraps #bluegreen #colorshift #oracal970 #vw #vdub #vwcc #vossen vossen… https://t.co/qQC3IKMRJL</t>
  </si>
  <si>
    <t xml:space="preserve">Fort Lauderdale </t>
  </si>
  <si>
    <t>RESTYLE. PROTECT. REMOVE. .wrapping the future. 3M. Arlon. Avery. Oracal. Hexis.</t>
  </si>
  <si>
    <t>Tony del Fierro</t>
  </si>
  <si>
    <t>RT CNBC "RT CNBCi: First #VW, Now #Mitsubishi. Fudging numbers on fuel economy. What is your trust level on automakers' own data?"</t>
  </si>
  <si>
    <t>Seattle Washington</t>
  </si>
  <si>
    <t>Turning possibilities into progress...</t>
  </si>
  <si>
    <t>Jahiir Hdez</t>
  </si>
  <si>
    <t>#golfmk3 #vw #lovelive https://t.co/bTOOCXkWJ8</t>
  </si>
  <si>
    <t xml:space="preserve">México </t>
  </si>
  <si>
    <t>ersoy</t>
  </si>
  <si>
    <t>#VW HAT SİCH ANGEBLİCH MİT DEN AMERİKANERN GEEINIGT...PRO KUNDE 5.000 Dolar !!!! Und wir bekommen einen ARSCHTRITT ALS BELOHNUNG 😤😤</t>
  </si>
  <si>
    <t>Eskiden hırsızlık yapanın kolunu keserlermiş, fitneye sebeb olanın başını.Eğer bu nizam hala geçerli olsaydı.. Koldan fazla baş giderdi!! Uğur ışılak.</t>
  </si>
  <si>
    <t>FanCar Picture - Send me your Scirocco pictures!!! (PM Please) #VW #Volkswagen #Scirocco #Tuning https://t.co/qlzreYgaDD</t>
  </si>
  <si>
    <t>Milap Patel</t>
  </si>
  <si>
    <t>What reason is there to trust what any car manufacturer has to say about their product anymore? https://t.co/2Ipe8am3qN #Mitsubishi #VW</t>
  </si>
  <si>
    <t>New York</t>
  </si>
  <si>
    <t>Head in the clouds; environment, social justice, and development; South Asia, East Africa and beyond. @OpenSociety, @OSFellows; tweeting personally.</t>
  </si>
  <si>
    <t>Pat</t>
  </si>
  <si>
    <t>The world</t>
  </si>
  <si>
    <t>Drummer, photographer, traveler, dreamer, firewalker, geek</t>
  </si>
  <si>
    <t>Tim Dalrymple</t>
  </si>
  <si>
    <t>Twitter for Mac</t>
  </si>
  <si>
    <t>San Francisco, CA</t>
  </si>
  <si>
    <t>Growth @ Vango</t>
  </si>
  <si>
    <t>Techhippie</t>
  </si>
  <si>
    <t>#techhippie #golf #6 #gtd #folie #ralley #fun #life #vw #volkswagen #auto #tuning by trealjensen https://t.co/MkXfu1dBWh</t>
  </si>
  <si>
    <t>worldwide</t>
  </si>
  <si>
    <t>Share ur project/app/startup/kickstarter campaign, I'll pin them on top for a day for Free #hustler #startupfriend #entrepreneur #techhippie</t>
  </si>
  <si>
    <t>#techhippie To auto mi pasuje! #old #classic #bestcar #fresh #eurofresh #mk2crew #gtd #vw by bujaka_mk2 https://t.co/8iX8lS2XSb</t>
  </si>
  <si>
    <t>#techhippie #2k16 #wheelies #gtd #r18 #mk6 #leather #dsg #tdi #vw #lowlife #oncoils #leds #charleston #vwcharlesto… https://t.co/BRjDuDiYHi</t>
  </si>
  <si>
    <t>Volkswagen LatAm</t>
  </si>
  <si>
    <t>Diseñado para conquistarte. #VWGol #VW #Volkswagen https://t.co/eCwgKhJoKN</t>
  </si>
  <si>
    <t>Twitter Ads</t>
  </si>
  <si>
    <t>Cuenta official de Twitter para Volkswagen Latinoamérica. Nos encanta compartir historias VW y todos tienen por compartir. Comparte las tuyas usando #VWLatAm</t>
  </si>
  <si>
    <t>EverCharge</t>
  </si>
  <si>
    <t>Can Other Auto Manufacturers Recreate Tesla’s EV Success? https://t.co/ivgsIHoSIT #GM #VW #Tesla https://t.co/2Az4HvGaM6</t>
  </si>
  <si>
    <t>The worlds most intelligent and #EnergyEfficient EV Charging system for #MultiFamily housing... Over 15,000 Residents Served!</t>
  </si>
  <si>
    <t>Chris Pillen</t>
  </si>
  <si>
    <t>Der Skandal um gefälschte Abgaswerte hat dem #vw-konzern im dritten Quartal einen Verlust von 3,5 Milliarden Euro vor Zinsen und Steu [...]</t>
  </si>
  <si>
    <t>sportytweety</t>
  </si>
  <si>
    <t>Deutschland</t>
  </si>
  <si>
    <t>Die wichtigsten Nachrichten des Tages</t>
  </si>
  <si>
    <t>#TenemosRepública!!!</t>
  </si>
  <si>
    <t>RT @EverCharge: Can Other Auto Manufacturers Recreate Tesla’s EV Success? https://t.co/ivgsIHoSIT #GM #VW #Tesla https://t.co/2Az4HvGaM6</t>
  </si>
  <si>
    <t>Río Gallegos, Argentina</t>
  </si>
  <si>
    <t>Alejandra grupo de amigas, Fabio Noticias, Bienvenidos</t>
  </si>
  <si>
    <t>Fusca Elite BR</t>
  </si>
  <si>
    <t>#VW 󾌧󾮞 https://t.co/MImJU8QSVG</t>
  </si>
  <si>
    <t>Ibate SP</t>
  </si>
  <si>
    <t>Twitter dedicado ao carro do século VW Fusca. ADM: Douglas Scuzatte ADM: Bruno Henrique Email: fuscaelitebr@hootmail.com</t>
  </si>
  <si>
    <t>Rob Shiveley</t>
  </si>
  <si>
    <t>#VW to offer to buy back nearly 500,000 U.S. #diesel cars @Reuters https://t.co/J5BUOrssKb https://t.co/MNpyf7I9iy</t>
  </si>
  <si>
    <t>Portland, OR</t>
  </si>
  <si>
    <t>Sharing stories related to tech, business, society, culture, relationships, people &amp; progress. Work at Intel. Climb on rocks for fun. I own my tweets.</t>
  </si>
  <si>
    <t>Diego Fortunato</t>
  </si>
  <si>
    <t>La golera de mi vida. #volkswagengol #vw #volkswagenbola #fixa https://t.co/UGjM3DeELG</t>
  </si>
  <si>
    <t xml:space="preserve">Buenos Aires - Argentina. </t>
  </si>
  <si>
    <t>Baterista / Drummer de Brhonson y sesionista. Endorser de DT Music. Instagram: TheDiegoFortunato - Pagina Facebook: Diego Fortunato.</t>
  </si>
  <si>
    <t>Timothy Karera</t>
  </si>
  <si>
    <t>Exclusive: #VW to offer to buy back nearly 500,000 U.S. #diesel cars - sources - Reuters #AG https://t.co/80pVvxG6v0</t>
  </si>
  <si>
    <t>AL, USA</t>
  </si>
  <si>
    <t>IFDC Director of Training. Passionate #learner, thrilled by our #networked society. Bridging skills gap thru #globaltraining.Tweets r my own. RTs mean nothing</t>
  </si>
  <si>
    <t>Geek Porn</t>
  </si>
  <si>
    <t>The#Hippie #VW #Bug Shredding Machine https://t.co/G558H5mmAR https://t.co/isIYgX6Ilz</t>
  </si>
  <si>
    <t>PostcronApp</t>
  </si>
  <si>
    <t>EV laadpalen</t>
  </si>
  <si>
    <t>RoundTeam</t>
  </si>
  <si>
    <t>s-Hertogenbosch</t>
  </si>
  <si>
    <t>2016 het Jaar van #elektrische #auto #EV? En van #laadpalen en #thuisbatterij</t>
  </si>
  <si>
    <t>LifeBlab</t>
  </si>
  <si>
    <t>Simple, colorful #watercolor #art print of a #VW bus van. https://t.co/HUg4rGdqPN</t>
  </si>
  <si>
    <t>Florida</t>
  </si>
  <si>
    <t>http://t.co/3QIA8kGMfu provides unique and useful blabs on life's key topics such health, jobs, business, coupons, savings, food, recipes and more.</t>
  </si>
  <si>
    <t>moteking</t>
  </si>
  <si>
    <t>天気下り坂みたいだけどォ!! 今日をがんばります\ ♪♪ / #vw #volkswagen #thebeetle #rays #volkracing #g27 https://t.co/nMYvU6xzNY</t>
  </si>
  <si>
    <t>神奈川県</t>
  </si>
  <si>
    <t>VW/Audi Web Magazine運営会社☆1☆ キザス株式会社 https://t.co/saILCscLlG /1to8.net</t>
  </si>
  <si>
    <t>Dub Luv Tuning</t>
  </si>
  <si>
    <t>RT @moteking25: 天気下り坂みたいだけどォ!! 今日をがんばります\ ♪♪ / #vw #volkswagen #thebeetle #rays #volkracing #g27 https://t.co/nMYvU6xzNY</t>
  </si>
  <si>
    <t>NJ</t>
  </si>
  <si>
    <t>DIY Volkswagen Enthusiasts</t>
  </si>
  <si>
    <t>Vanagon News</t>
  </si>
  <si>
    <t>vwbug #vwbus #vw #vwlove #vwbeetle #vwkombi #vwsociety #vwfusca #vdublove #vdub #old ...: vwbug #vwbus #vw #vw... https://t.co/U7ug7wV6N3</t>
  </si>
  <si>
    <t>USA</t>
  </si>
  <si>
    <t>Updated Daily News About Vanagons from Campers Buses Microbuses Syncros Westfalias Even Eurovans. Air Cooled to Waterboxers. Its All VW Vans. Enjoy The Ride</t>
  </si>
  <si>
    <t>Tiago J Natal</t>
  </si>
  <si>
    <t>#VW fazendo escola! !! https://t.co/JoBhcjOQSh</t>
  </si>
  <si>
    <t>Belo Horizonte, Brasil</t>
  </si>
  <si>
    <t>Superi</t>
  </si>
  <si>
    <t>210hp at the crank.. This bug is scootin! #Volkswagen #vw #beetle #bug #farfegnugen #Superi https://t.co/poL8mhmL9m</t>
  </si>
  <si>
    <t>Washington, USA</t>
  </si>
  <si>
    <t>svperiphotography@gmail.com #superi</t>
  </si>
  <si>
    <t>Reeves Volkswagen</t>
  </si>
  <si>
    <t>First time car buyers! Congrats to Juan and Jose on their new #Jetta. Zaidi &amp; the entire Reeves #VW team thank you! https://t.co/f76pHwvfZ6</t>
  </si>
  <si>
    <t>Tampa, FL</t>
  </si>
  <si>
    <t>Are you ready to put the “fun” back in “function?” It’s time for a Volkswagen!</t>
  </si>
  <si>
    <t>Reeves Tampa</t>
  </si>
  <si>
    <t>RT @ReevesVW: First time car buyers! Congrats to Juan and Jose on their new #Jetta. Zaidi &amp; the entire Reeves #VW team thank you! https://t…</t>
  </si>
  <si>
    <t>Luxury automotive dealer and certified repair center in Tampa, FL with over 41 years of experience! #DrivenByAHigherStandard #7Brands1Location</t>
  </si>
  <si>
    <t>Volkswagen Post</t>
  </si>
  <si>
    <t>RT @Lindsay_VW: Join our winning team! Employment opportunities available on our website. #VW Apply: https://t.co/Vrs1trQAxY https://t.co/0…</t>
  </si>
  <si>
    <t>RT @Lindsay_VW: We appreciate when our #VW customers share their experiences with others. Read reviews: https://t.co/Mb9HsdhqWc https://t.c…</t>
  </si>
  <si>
    <t>RT @VolkswagenLatAm: Diseñado para conquistarte. #VWGol #VW #Volkswagen https://t.co/eCwgKhJoKN</t>
  </si>
  <si>
    <t>newsAnglr Business</t>
  </si>
  <si>
    <t>#VW to offer US #diesel #buy back deal https://t.co/stRvL2r6Jd https://t.co/IP3k05MMy6</t>
  </si>
  <si>
    <t>BusinessAnglr</t>
  </si>
  <si>
    <t>Tracks all major business related news sources in the world and tweets the most important business topics of the moment</t>
  </si>
  <si>
    <t>-x- Cerys -x-</t>
  </si>
  <si>
    <t>I am after a #VW Camper moneybox. Can anyone #help? #RT https://t.co/cOWNsI2FtV</t>
  </si>
  <si>
    <t>Pentre Ffwrndan, Cymru</t>
  </si>
  <si>
    <t>Balch Cymraes / Proud Welshie / Siaradwyr Cymraeg / Welsh speaker / Trydar popeth am Cymru / Tweets all things about Wales / Barn fy hun / Own views</t>
  </si>
  <si>
    <t>そろそろ出るかもォ(≧з≦)ﾌﾟﾌﾟﾌﾟ･････✨✨✨ #vw #volkswagen #golf7 #polo #6c #touran #keycover… https://t.co/L43XuQovja</t>
  </si>
  <si>
    <t>Steven S.</t>
  </si>
  <si>
    <t>VW to offer to buy back nearly 500,000 U.S. diesel cars - sources https://t.co/qKbVeglv5Y #dieselgate #VW</t>
  </si>
  <si>
    <t>Chicago, IL USA</t>
  </si>
  <si>
    <t>Geek. Software Developer. Photographer. Dim sum enthusiast. Also tweets at @foodishappiness.</t>
  </si>
  <si>
    <t>Pethau Bach O Gymru</t>
  </si>
  <si>
    <t>I am after a #VW Camper moneybox. Can anyone #help? #RT https://t.co/7LJ5Dc63cg</t>
  </si>
  <si>
    <t>Flint, Wales</t>
  </si>
  <si>
    <t>Cerys dw i. Gwerthwr o anrhegion Cymreig / Seller of Welsh gifts.</t>
  </si>
  <si>
    <t>RT @moteking25: そろそろ出るかもォ(≧з≦)ﾌﾟﾌﾟﾌﾟ･････✨✨✨ #vw #volkswagen #golf7 #polo #6c #touran #keycover… https://t.co/L43XuQovja</t>
  </si>
  <si>
    <t>Volkswagen Diesel Deal Likely To Be Announced Thursday https://t.co/bj8q0X8vOE #VW #AutoNews</t>
  </si>
  <si>
    <t>Source: VW, US government ink deal to pay owners of cheating diesels https://t.co/MTyLEWfssV #VW #AutoNews</t>
  </si>
  <si>
    <t>Volkswagen to buy back 500000 defeat-device enabled cars, Reuters sources say https://t.co/cHkd4lebUQ #VW #AutoNews</t>
  </si>
  <si>
    <t>The fix is in: VW will offer to buy back nearly 500000 diesel vehicles in the US: Affected car... https://t.co/WIpSsG1pvx #VW #jetta #car</t>
  </si>
  <si>
    <t>Report: VW Will Offer to Buy Back 500000 Diesel Cars: The buy-back offer will be available on ... https://t.co/We5KjaRee9 #VW #jetta #car</t>
  </si>
  <si>
    <t>VW Reportedly To Buy Back 500000 Diesel Cars Equipped With Cheat Software: VW Reportedly To Bu... https://t.co/T0Gq6QYanw #VW #jetta #car</t>
  </si>
  <si>
    <t>Review: 2017 Hyundai Elantra packs advanced features: Other competing compacts include the Dod... https://t.co/cqYjEcCbWG #VW #jetta #car</t>
  </si>
  <si>
    <t>Own a dirty diesel VW? You might get $5000: While Volkswagen strives to go green after a run-i... https://t.co/xqIRNA5ELo #VW #jetta #car</t>
  </si>
  <si>
    <t>Kara Selim</t>
  </si>
  <si>
    <t>RT @NZZ: #VW soll sich laut Insidern in der Abgas-Affäre mit den USA grundsätzlich geeinigt haben. https://t.co/g6qKc2tckr</t>
  </si>
  <si>
    <t>Steven Pecoraro</t>
  </si>
  <si>
    <t>The #VW payout is bullshit. They pay people to prevent lawsuits if your vehicle doesn't pass emissions. Don't take the money!!! #educate</t>
  </si>
  <si>
    <t>Seattle, WA</t>
  </si>
  <si>
    <t>constantly learning. aware, atheist, scientist, artist, husband, grad student. human rights, animal rights, politically and globally aware.</t>
  </si>
  <si>
    <t>eBay: VW T4 Caravelle camper van 2.5 Tdi Reimo… https://t.co/FECSoMjEwS #vwcamper #vwbus #vw https://t.co/ZEadscsjBy https://t.co/QxboTEFeoF</t>
  </si>
  <si>
    <t>Appy Geek México</t>
  </si>
  <si>
    <t>#VW pagará 5.000 dólares por cliente debido al escándalo de las emisiones. Toda la información por #AppyGeek https://t.co/H5qJBEUKyg</t>
  </si>
  <si>
    <t>Ciudad de México</t>
  </si>
  <si>
    <t>APPY GEEK – La aplicación #1 de noticias de tecnología.</t>
  </si>
  <si>
    <t>JL P.</t>
  </si>
  <si>
    <t>Et un autre.. #VW https://t.co/yIWKNgDtb7</t>
  </si>
  <si>
    <t>Rive-Nord</t>
  </si>
  <si>
    <t>I code shit</t>
  </si>
  <si>
    <t>Anchit Roy</t>
  </si>
  <si>
    <t>Twitter for Windows Phone</t>
  </si>
  <si>
    <t>Guwahati</t>
  </si>
  <si>
    <t>A crazy control freak interested in tech, games and science, mostly physics.</t>
  </si>
  <si>
    <t>Kristi Beck</t>
  </si>
  <si>
    <t>Peace, Love &amp; flower power ✌🏼️💙🌻 #peace #love #flowerpower #vwvan #vw #bus #vwbus vw #gypsy… https://t.co/pr6jdt3BaJ</t>
  </si>
  <si>
    <t>Santa Cruz</t>
  </si>
  <si>
    <t>Dream Vacations Travel Agent. Yoga*Reiki*Dance*Laughter*Nature*Surfing*Mermaids*Nature*cycling*scuba*sunsets* peace. Parental Alienation Awareness Activist</t>
  </si>
  <si>
    <t>George</t>
  </si>
  <si>
    <t>#vw #vwbug #Volkswagen volkswagen #vdub #dubempire #karmannghia https://t.co/hSDYBTmr7O</t>
  </si>
  <si>
    <t>Tampa area</t>
  </si>
  <si>
    <t>好久沒跟小b去兜風 #beetle #thebeetle #vwlove #vwbeetle #vw #vintage #vscocam #midroom by toymax1970 https://t.co/BOA6QxQeta</t>
  </si>
  <si>
    <t>Buggin' | 4/20/16 | #vw #volkswagen #vwbeetle #vwclub #streetbug #aircooled #dasauto | @jonditty by a_ortizzz https://t.co/GbbxYN871C</t>
  </si>
  <si>
    <t>#Repost @igor_vwpenelope with @repostapp ・・・ Do parceiro @carlosef31 Fuqueta 🔑🔑 #aircooled #aircooledvw #fusca #vw… https://t.co/8ATiDe94gj</t>
  </si>
  <si>
    <t>Lonely little bug #work #vw #vwbeetle by sophia_ramsey https://t.co/DWN5vquFXj</t>
  </si>
  <si>
    <t>😎💪 ⚫⚫⚫ Foto via: @turbodon ・・・ #volkswagen #offroad #vwbajabug #volkswagenoffroad #rustic #4wd #VW #escarabajo #vwb… https://t.co/mRyDQlk43x</t>
  </si>
  <si>
    <t>Kevin Ritchie</t>
  </si>
  <si>
    <t>RT @cdnvoice: @VWcanada @leavensvw well not only does VW lie about emissions but they also do not respond to emails from customers??#vw ow…</t>
  </si>
  <si>
    <t>MGL</t>
  </si>
  <si>
    <t>Personally, I think #VW owes me what I paid for, basically, bait and switch and for their pollutemobile https://t.co/n17q8pRxKR</t>
  </si>
  <si>
    <t>Writer, editor, football fan. Relentless hunter of lost laundry socks.</t>
  </si>
  <si>
    <t>Brett Akagi</t>
  </si>
  <si>
    <t>Source: #VW to pay $1B to #diesel owners, buy back some cars (from @AP) https://t.co/BUJUuCNVoZ</t>
  </si>
  <si>
    <t>Kansas City</t>
  </si>
  <si>
    <t>Award winning journalist and storyteller. Mentor to pros and students. 27 years in the business at KCTV, KARE11, NPPA, Star Tribune, WDAF, KSHB, WIBW and KU.</t>
  </si>
  <si>
    <t>RT @beetlebug1938: #Repost @igor_vwpenelope with @repostapp ・・・ Do parceiro @carlosef31 Fuqueta 🔑🔑 #aircooled #aircooledvw #fusca #vw… htt…</t>
  </si>
  <si>
    <t>Fran ♠</t>
  </si>
  <si>
    <t>Leproso hasta la muerte</t>
  </si>
  <si>
    <t>fc: franco newells inst: FRANKITOVEAS</t>
  </si>
  <si>
    <t>SocialMAX</t>
  </si>
  <si>
    <t>RT @Volkswagen4ever: I saw this on eBay #vw #sofabug #Volkswagen #vwaddict #dublife https://t.co/MMEfX6mN22</t>
  </si>
  <si>
    <t>Morgan City, Louisiana</t>
  </si>
  <si>
    <t>Partner of MAG #socialmedia #brand promoter #networking #business #music #talent #promotions #entertainment #technology #blab #periscope</t>
  </si>
  <si>
    <t>Kenneth Minesinger</t>
  </si>
  <si>
    <t>That's a start. Exclusive: #VW to offer to buy back nearly 500,000 U.S. #diesel cars - sources - Reuters https://t.co/GaL7Ep6c3D</t>
  </si>
  <si>
    <t>Riverside, California</t>
  </si>
  <si>
    <t>California business and tax lawyer and Associate Professor of Law @cbuonline. Also, Associate Editor @statebarca @calbarbuslaw journal. Tweet not endorsement.</t>
  </si>
  <si>
    <t>ashley treat</t>
  </si>
  <si>
    <t>When you accidentally record nothing but love it. #oops #atlas #austin #atx #spring #vw https://t.co/cqzItlnIpp</t>
  </si>
  <si>
    <t>Manuel Silva Bretón</t>
  </si>
  <si>
    <t>Psss aquí extrañando a #cantinflas #vw #sedan #Volkswagen #hp #Vocho https://t.co/DdLkJmCDRY</t>
  </si>
  <si>
    <t>Lawyer Postulant Candidate to Master of Public Administration, APreu Universidad Anáhuac Xalapa, PoleVault, Thriatlon, Photography. Success &amp; Balanced</t>
  </si>
  <si>
    <t>VolkswagenEscarabajo</t>
  </si>
  <si>
    <t>No es un Volkswagen, es un Streetmachine! https://t.co/bVToX6k2vq #vocho #poncho #fusca #volks #volky #vwbug #vw https://t.co/z3JydQZieM</t>
  </si>
  <si>
    <t>TTYtter</t>
  </si>
  <si>
    <t>Nos gustan los escarabajos, fuscas, vochos o como se llamen en tu país. Nos encanta tomar fotos a escarabajos, las publicamos en nuestro sitio.</t>
  </si>
  <si>
    <t>Srujan Shinde</t>
  </si>
  <si>
    <t>#VW chief says its managers should voluntarily forego bonuses https://t.co/Meh5JRTVB6 News@ #US #USnews #news #USA #Cars #Companies #German</t>
  </si>
  <si>
    <t>Mumbai, India</t>
  </si>
  <si>
    <t>Hey, This is Srujan Shinde @srujanshinde27. meet SEO Expert in mumbai, india. Visit- https://t.co/ULblAFgKZS. tag: #seo #Internetmarketing #digitalmarketing</t>
  </si>
  <si>
    <t>maniacs</t>
  </si>
  <si>
    <t>おはようございます、maniacsです！ 夜から雨の予報も出ている本日ですが、元気に営業を開始します！ お越しの際は安全運転でどうぞ^^ #maniacscojp #maniacs #vw… https://t.co/Vz8MVOsGrL</t>
  </si>
  <si>
    <t>横浜市都筑区川向町855-1</t>
  </si>
  <si>
    <t>maniacsです。VWとAudiの専門店です。店舗と通販を行っています。VW、Audiの情報、新商品情報、入荷情報、ブログ更新などをお知らせします。相互フォロー希望の方は、フォロー後に、何か話しかけてください。お問合せはショップよりお願いします。http://t.co/4hoHO5natQ</t>
  </si>
  <si>
    <t>RT @vw_escarabajo: No es un Volkswagen, es un Streetmachine! https://t.co/bVToX6k2vq #vocho #poncho #fusca #volks #volky #vwbug #vw https:/…</t>
  </si>
  <si>
    <t>Jordan Maglich</t>
  </si>
  <si>
    <t>RT @kenminesinger: That's a start. Exclusive: #VW to offer to buy back nearly 500,000 U.S. #diesel cars - sources - Reuters https://t.co/Ga…</t>
  </si>
  <si>
    <t>Securities and Business Law Attorney at @WiandGuerraKing, MBA. Author and Editor of Ponzitracker, @Forbes Contributor</t>
  </si>
  <si>
    <t>junior rodriguez</t>
  </si>
  <si>
    <t>RT @oldcar_photo: Beetle/vocho/Fusca ☆☆☆☆☆ #fusca #beetle #vocho #vw #volkswagen #vintagecar #old #oldcar #fuscabrasil #lovefusca #lo… http…</t>
  </si>
  <si>
    <t>Bogotá, Colombia</t>
  </si>
  <si>
    <t>amó a mí familia, aficionado a los autos clásicos y a la fórmula uno, equipo favorito escudería Ferrari</t>
  </si>
  <si>
    <t>RT @oldcar_photo: Beetle/Vocho/Fusca ☆☆☆☆☆ #fusca #beetle #vocho #vw #volkswagen #vintagecar #old #oldcar #fuscabrasil #lovefusca #lo… http…</t>
  </si>
  <si>
    <t>ertlife</t>
  </si>
  <si>
    <t>You can't sell the decades of hard work for quarterly results #cheatcar #vw #Mitsubishi #governance #startup #founder #entrepreneur #CEO #vc</t>
  </si>
  <si>
    <t>Dubai, United Arab Emirates</t>
  </si>
  <si>
    <t>We can accelerate the advancement of human life by creating better entrepreneurs. We do it by sharing tested ideas, principles and lessons that works.</t>
  </si>
  <si>
    <t>VAG Fan Argentina</t>
  </si>
  <si>
    <t>VW Beetle by AJ Hill - Blacklight Propaganda Photography #VW #Beetle #Kafer #Escarabajo #Fusca #VAG #Volkswagen https://t.co/oJNZew8mKA</t>
  </si>
  <si>
    <t>Fer eme eme</t>
  </si>
  <si>
    <t>Al</t>
  </si>
  <si>
    <t>Makes me wonder if Canadian #TDI owners are getting shafted? #vw Current exchange would be $6300 cdn. I’d accept that.</t>
  </si>
  <si>
    <t>United Provinces of N. America</t>
  </si>
  <si>
    <t>motorsport &amp; audio.</t>
  </si>
  <si>
    <t>VW Passat B3 GT Vladimir's by Eurodubs .com #VW #Passat #B3 #GT #VAG #Volkswagen https://t.co/C2GQECGdSL</t>
  </si>
  <si>
    <t>SakuraTeria</t>
  </si>
  <si>
    <t>大房総共和国</t>
  </si>
  <si>
    <t>20代男性てりあ。/カオスヘッド〜カオスチャイルドほぼ網羅/いつもはプログラマして、それ以外はプログラム書いてますビシィ</t>
  </si>
  <si>
    <t>VW Polo 6R GTi by JBP Automotive Photography #VW #Polo #6R #GTi #VAW #Volkswagen https://t.co/uZGI7yWoGw</t>
  </si>
  <si>
    <t>Jeffrey molek</t>
  </si>
  <si>
    <t>This bearing failure will mark the one Tim you'll ever hear wubwubwub in my car. #edmsucks #vw #gti https://t.co/uWBbF4fUv7</t>
  </si>
  <si>
    <t>Fyrestar</t>
  </si>
  <si>
    <t>BBC News - #VW 'to offer diesel buy back deal in US' https://t.co/eUHpkQtNnt</t>
  </si>
  <si>
    <t>Connecting dots #Climate #GMO #Vegan #Periscope #NASA #ESA #Music #Art #Science #Legalize #Technology #GoPro #Surfing #BlackLivesMatter #Humanity #Bernie2016</t>
  </si>
  <si>
    <t>Ryan Milledge</t>
  </si>
  <si>
    <t>Hmmm... If #vw buys back my diesel... Do i go #bmw335 awd.... Or #R32.... Maybe an rline #cc? So many options... But that 335 is so sexy</t>
  </si>
  <si>
    <t>Huntington, In</t>
  </si>
  <si>
    <t>Living life 1 mile at a time.....</t>
  </si>
  <si>
    <t>Neal Boudette</t>
  </si>
  <si>
    <t>Memos mentioned in this story detail #VW knew of diesel cheating more than 1 yr before admitting it @WSJ @berlindiary</t>
  </si>
  <si>
    <t>Michigan</t>
  </si>
  <si>
    <t>All Things Auto - reporter for the New York Times</t>
  </si>
  <si>
    <t>RT @VAGFanArg: VW Beetle by AJ Hill - Blacklight Propaganda Photography #VW #Beetle #Kafer #Escarabajo #Fusca #VAG #Volkswagen https://t.c…</t>
  </si>
  <si>
    <t>FanCar Picture - Send me your Scirocco pictures!!! (PM Please) #VW #Volkswagen #Scirocco #Tuning https://t.co/KIHSUf9lud</t>
  </si>
  <si>
    <t>Ⓜ️arcos</t>
  </si>
  <si>
    <t>RT @Appy_GeekMEX: #VW pagará 5.000 dólares por cliente debido al escándalo de las emisiones. Toda la información por #AppyGeek https://t.co…</t>
  </si>
  <si>
    <t>México</t>
  </si>
  <si>
    <t>Analiza, Estudia, Decide, Actúa... Vive! El mundo cambia con tu ejemplo, no con tu opinión (P.C.)</t>
  </si>
  <si>
    <t>Marcio Lopes</t>
  </si>
  <si>
    <t>#WheelWednesday @mrnodaysoff301's Rotiform IND-T 💎 #h2oi #h2oiprep #jetta #jetta_society #vw… https://t.co/7iwOnMxRym</t>
  </si>
  <si>
    <t>photography • bookings/shoots contact marciolopesphotography@gmail.com</t>
  </si>
  <si>
    <t>Euroshop VW</t>
  </si>
  <si>
    <t>¡Atención #EuroFan! Compra tu auto nuevo en #Euroshop y si financias tu #VW con el BBVA Continental, te llevas... https://t.co/nSYbRfZJwU</t>
  </si>
  <si>
    <t xml:space="preserve">Lima - Peru </t>
  </si>
  <si>
    <t>Concesionaria oficial de Volkswagen en Perú. Venta de autos, Taller Automotriz y Accesorios Originales. Euroshop Surquillo.</t>
  </si>
  <si>
    <t>Volkswagen, US reportedly reach deal for carmaker to buy back 500000 vehicles https://t.co/MecPO4mKtB #VW #AutoNews</t>
  </si>
  <si>
    <t>VW cheated buyers, but didn't destroy the environment https://t.co/pkdC5ZWxai #VW #AutoNews</t>
  </si>
  <si>
    <t>VW May Buy Back Afflicted American Diesel Vehicles https://t.co/5LFgCPqiHT #VW #AutoNews</t>
  </si>
  <si>
    <t>Ian Barlow</t>
  </si>
  <si>
    <t>Reuters article: VW to pay each U.S. customer $5,000 to settle dieselgate: Die Welt https://t.co/F7zw4TX50Z via @Reuters #VW #vwemissions</t>
  </si>
  <si>
    <t>Sacramento, CA</t>
  </si>
  <si>
    <t>Attorney at Kershaw, Cook &amp; Talley, Sacramento class action, mass tort, litigation and personal injury attorneys. @KCTLegal</t>
  </si>
  <si>
    <t>From Reuters: VW to offer to buy back nearly 500,000 U.S. diesel cars - sources https://t.co/e691aKPEhW via @Reuters #VW #vwemissions</t>
  </si>
  <si>
    <t>Rhales conversions</t>
  </si>
  <si>
    <t>Bit of mood lighting #VW #campervan #motorhome roll on summer https://t.co/tat9yD6p40</t>
  </si>
  <si>
    <t>Jason Smeall</t>
  </si>
  <si>
    <t>Matching bikes. #limegreen #roofrack #VW #konabikes #norcobikes #Tiguan https://t.co/4d7TmG7xTc</t>
  </si>
  <si>
    <t>Ontario</t>
  </si>
  <si>
    <t>Est. 1980 Canada. Husband, Daddy, Rider of Bikes, Drinker of Whisky &amp; Coffee!, Driver of VW, Lumbersexual.</t>
  </si>
  <si>
    <t>Woori Korindo</t>
  </si>
  <si>
    <t>The affiliation of Korea's largest finansial institution. This tweet is handled by Aria Supangkat. Managing personal investment. INDONESIA</t>
  </si>
  <si>
    <t>Colin Osborn</t>
  </si>
  <si>
    <t>I guess I get a new car? #VW https://t.co/9sIAUheW3C</t>
  </si>
  <si>
    <t>Mountain Bike Racer, Student at @turingschool, Lover of all Motorsport and fully functioning coffee addict.</t>
  </si>
  <si>
    <t>Tammy</t>
  </si>
  <si>
    <t>RT @JasonSmeall: Matching bikes. #limegreen #roofrack #VW #konabikes #norcobikes #Tiguan https://t.co/4d7TmG7xTc</t>
  </si>
  <si>
    <t>Leonel Castillo</t>
  </si>
  <si>
    <t>Blanca y de andar elegante! #vw #suran #love https://t.co/ot7LrhEhM7</t>
  </si>
  <si>
    <t>Rosario, Argentina</t>
  </si>
  <si>
    <t>Estudiante de Derecho en la U.N.R., RRPP(BLUE VELVET). Contacto//Reservas: 0341-153360247 (Whatsapp/SMS), Rosario Central *73* L.M.D.S</t>
  </si>
  <si>
    <t>Катерина Поливанная</t>
  </si>
  <si>
    <t>Дайте мне её, и все проблемы испарятся 🍒 #vw https://t.co/J6Gc5VnO3i</t>
  </si>
  <si>
    <t>Brno, Czech Republic</t>
  </si>
  <si>
    <t>https://t.co/xQrdFFlebe</t>
  </si>
  <si>
    <t>Dejban Law</t>
  </si>
  <si>
    <t>Is #VW finally going to properly compensate its #customers? https://t.co/4hnID7Ed73 #dieselgate</t>
  </si>
  <si>
    <t>Southern California</t>
  </si>
  <si>
    <t>Founder @dejbanlaw. consumer lawyer and advocate. fiercely protective of clients and their rights. progressive politics.</t>
  </si>
  <si>
    <t>Trending Green News</t>
  </si>
  <si>
    <t>#VW Will Buy Back Your Cheating, Polluting Diesel #Reuters https://t.co/jEOEXv9ZYm https://t.co/lxnFfQcaEg</t>
  </si>
  <si>
    <t>Lead Stories Feed Publisher</t>
  </si>
  <si>
    <t>Planet Earth</t>
  </si>
  <si>
    <t>The most trending Green News, as collected by Trendolizer</t>
  </si>
  <si>
    <t>Technolizer</t>
  </si>
  <si>
    <t>#VW Will Buy Back Your Cheating, Polluting Diesel #Reuters https://t.co/VKBPPfDZzv https://t.co/nGbU7hU11R</t>
  </si>
  <si>
    <t>The most trending technology news as collected by Trendolizer</t>
  </si>
  <si>
    <t>Collect Hot Wheels</t>
  </si>
  <si>
    <t>Wasn't low enough. Polished up quite nicely #hotwheels #hotwheelscustoms #vw #volkswagen… https://t.co/LKCMMCYXZL</t>
  </si>
  <si>
    <t>CollectHW is a service aimed towards Hot Wheels Collectors. To provide an easy way to know what you have and what you're missing in your collection.</t>
  </si>
  <si>
    <t>Dave Mason</t>
  </si>
  <si>
    <t>Nothing definitive, but finally...something more than a rehash of what we've known for months. https://t.co/gwgsyFMVmA #VW #DieselGate</t>
  </si>
  <si>
    <t>Florida, USA</t>
  </si>
  <si>
    <t>Husband, Father, SQL Server DBA. I backup and restore my Tweets often.</t>
  </si>
  <si>
    <t>sateibank</t>
  </si>
  <si>
    <t>個人情報を守って一括査定！画期的な唯一のシステム! https://t.co/zWvzMnfmgg ＃ＡＵＤＩ ＃ポルシェ ＃ワーゲン ＃フォルクスワーゲン ＃ＶＷ ＃ジャガー ＃ミニ ＃ＭＩＮＩ ＃BMWミニ ＃ミニクーパー https://t.co/52gz72csms</t>
  </si>
  <si>
    <t>オークション型クルマ査定サービス！ 個人情報を保護して高く売る★ クルマの下取りや買い替えをお考えの方 査定バンクをおすすめします！</t>
  </si>
  <si>
    <t>whatsherface</t>
  </si>
  <si>
    <t>RT @dejbanlaw: Is #VW finally going to properly compensate its #customers? https://t.co/4hnID7Ed73 #dieselgate</t>
  </si>
  <si>
    <t>It's not a dirty mind. It's a sexy imagination.</t>
  </si>
  <si>
    <t>Alayna Shaw</t>
  </si>
  <si>
    <t>Fort Collins, CO</t>
  </si>
  <si>
    <t>As soon as you're born you start dying, so you might as well have a good time. #cake</t>
  </si>
  <si>
    <t>Candice</t>
  </si>
  <si>
    <t>Aus</t>
  </si>
  <si>
    <t>❤ food, dining out, travel, beach, fashion, reality tv ❤</t>
  </si>
  <si>
    <t>Jessica Lauletta</t>
  </si>
  <si>
    <t>Texas</t>
  </si>
  <si>
    <t>Life and Love go on, let the music play.</t>
  </si>
  <si>
    <t>Ben Scola</t>
  </si>
  <si>
    <t>Funky Town</t>
  </si>
  <si>
    <t>Bitch on a pension suck my dong</t>
  </si>
  <si>
    <t>Bristol Bakehouse</t>
  </si>
  <si>
    <t>Bristol, England</t>
  </si>
  <si>
    <t>We're gluten-free &amp; vegan specialists who are passionate about cake. All our designs are lovingly handmade for you. Yum!</t>
  </si>
  <si>
    <t>Fight Club</t>
  </si>
  <si>
    <t>Wrestling Convention, The Start Of A Legacy</t>
  </si>
  <si>
    <t>Róisín Kerin</t>
  </si>
  <si>
    <t>Sydney, Australia</t>
  </si>
  <si>
    <t>Reader | Writer | Public Relations | Hobbyist of many things</t>
  </si>
  <si>
    <t>Jake Lynch</t>
  </si>
  <si>
    <t>Melbourne, Australia</t>
  </si>
  <si>
    <t>jlynx A.K.A Street Pussy | I attempt to play Ken in SSFIV | #FGC | Guitarist | Alice In Chains fan.</t>
  </si>
  <si>
    <t>Paul Harvey</t>
  </si>
  <si>
    <t>Grasp every day!</t>
  </si>
  <si>
    <t>Hυssɑɪ̇и،،</t>
  </si>
  <si>
    <t>قدم الجميلّ لـ يبقىّ ذُكرك أجملّ</t>
  </si>
  <si>
    <t>Greg Rashad</t>
  </si>
  <si>
    <t xml:space="preserve">Marion Virginia </t>
  </si>
  <si>
    <t>Greetings from Mt. Pleasant Lodge #31 PHA (WM) and Tri Community Chapter #238 OES, PHA and Acorn Consistory in The Valley of Roanoke. Virginia, PHA</t>
  </si>
  <si>
    <t>صالح السرباتي</t>
  </si>
  <si>
    <t>Beeвa'1990♐</t>
  </si>
  <si>
    <t>jeddah,saudi arabia</t>
  </si>
  <si>
    <t>‏‏‏‏‏{اللهم اجعل لي فيما أحب نصيب} [N LOVE WITH AL.AHLI F.C ♡] Kik;Beeba3 #بيبا_تغرد</t>
  </si>
  <si>
    <t>Rosalie Colantuono</t>
  </si>
  <si>
    <t>not you fat jesus</t>
  </si>
  <si>
    <t>Dis$WAGMagnificent|™</t>
  </si>
  <si>
    <t>Flying With Big &amp; Pac  ✈</t>
  </si>
  <si>
    <t>A Real Nigga At Heart | #LoyaltyIsEverything | Black/French | #MoneyTeam | #TeamTrueReligionひ | Lzzz™ | Instagram: LoyalBoy_100 | ┌П┐[•__•] Fuck Tha Ops...</t>
  </si>
  <si>
    <t>beckita  valenzuela♫</t>
  </si>
  <si>
    <t xml:space="preserve">where my dreams take me) :3 </t>
  </si>
  <si>
    <t>20, adventurous, open to new things</t>
  </si>
  <si>
    <t>#VW deal in broad strokes may be announced, but lots of crucial details still need to be negotiated https://t.co/skfCrD9dFd #dieselgate</t>
  </si>
  <si>
    <t>Flemington Audi VW</t>
  </si>
  <si>
    <t>This Is Volkswagen's Big Fix for Its 'Dirty Diesel' Scandal https://t.co/XMVA4zgFVm #vwtdi #VWdieselgate #vw</t>
  </si>
  <si>
    <t>Flemington, NJ</t>
  </si>
  <si>
    <t>Family Not Corporate.Flemington Audi Volkswagen Porsche, we are all about professional expertise and outstanding customer service.</t>
  </si>
  <si>
    <t>Miguel Jimenez</t>
  </si>
  <si>
    <t>Ingeniero de Petróleos enfocado en asegurar la vida de los animales y el medio ambiente, con nuevas fuentes de energía alternativas y lugares de reserva animal.</t>
  </si>
  <si>
    <t>Jason Koch</t>
  </si>
  <si>
    <t>Be happy</t>
  </si>
  <si>
    <t>GlobalHumanCapital</t>
  </si>
  <si>
    <t>The high cost of cheating: #VW to offer to #buyback nearly 500,000 USA diesel cars https://t.co/VxmfgCdmyx</t>
  </si>
  <si>
    <t>How digital social technologies are transforming the global economy, politics and societies | by @CSRAinc &amp; @csrollyson</t>
  </si>
  <si>
    <t>Joe Bloomfield</t>
  </si>
  <si>
    <t>baton rouge state of mind</t>
  </si>
  <si>
    <t>Paranormal Reveal</t>
  </si>
  <si>
    <t>Salford. England</t>
  </si>
  <si>
    <t>Cross-Stitcher, Father, Husband, Nerd, Podcaster, Songwriter. Creator of the only blog dedicated to Star Wars-inspired needlework: http://t.co/C0tz0RIaBO</t>
  </si>
  <si>
    <t>scottnewell</t>
  </si>
  <si>
    <t>Plume for Android</t>
  </si>
  <si>
    <t>Pendleton, OR</t>
  </si>
  <si>
    <t>Resilient Comm, Health, Tech, Science, Futurist Studies.</t>
  </si>
  <si>
    <t>#techhippie #recaro #brembo #ozracing #bigbrakes #golf #r #gti #gtd #low #static #porsche #vw #vwgolf #coilovers #s… https://t.co/Q6gASMlhfK</t>
  </si>
  <si>
    <t>#techhippie #recaro #brembo #bbs #bigbrakes #golf #r #gti #gtd #r32 #low #static #porsche #vw #vwgolf #coilovers by… https://t.co/aIg3fnY4eA</t>
  </si>
  <si>
    <t>#techhippie #recaro #brembo #ozracing #bigbrakes #golf #r #gti #gtd #low #static #porsche #vw #vwgolf #coilovers #m… https://t.co/khhIW3RVIC</t>
  </si>
  <si>
    <t>#techhippie #recaro #brembo #ozracing #bigbrakes #golf #r #gti #gtd #low #static #porsche #vw #vwgolf #coilovers #m… https://t.co/Wnpe4piDz1</t>
  </si>
  <si>
    <t>#techhippie #recaro #brembo #ozracing #bigbrakes #golf #r #gti #gtd #low #static #porsche #vw #vwgolf #coilovers #m… https://t.co/VRcln1qJw5</t>
  </si>
  <si>
    <t>DeBren</t>
  </si>
  <si>
    <t>RT @dejbanlaw: #VW deal in broad strokes may be announced, but lots of crucial details still need to be negotiated https://t.co/skfCrD9dFd…</t>
  </si>
  <si>
    <t>Córdoba - Argentina</t>
  </si>
  <si>
    <t>~Un simple balón de fútbol para ser feliz y despejar tu mente por un momento ⚽~ Te amo viejo, SIEMPRE CONMIGO. 3513726778</t>
  </si>
  <si>
    <t>phoebe emmett</t>
  </si>
  <si>
    <t>meer kat</t>
  </si>
  <si>
    <t>Royal Park, Parkville</t>
  </si>
  <si>
    <t>documenting fight against eastwestlink &amp; how it affects Royal Park https://t.co/exCp4cgGiI</t>
  </si>
  <si>
    <t>shabs</t>
  </si>
  <si>
    <t>middlesbrough/santoini</t>
  </si>
  <si>
    <t>Boro lad born and bred. Worked and ahem loved all over. But always come back to Boro. UTB</t>
  </si>
  <si>
    <t>massage</t>
  </si>
  <si>
    <t>greenwich london se10 9uw</t>
  </si>
  <si>
    <t>chinese massage in greenwochi se10 9uw tel.07578572820</t>
  </si>
  <si>
    <t>Sharon Campbell</t>
  </si>
  <si>
    <t>WRITER/BLOGGER</t>
  </si>
  <si>
    <t>Lucy Smith ⭐⭐⭐⭐⭐</t>
  </si>
  <si>
    <t>Liverpool, England</t>
  </si>
  <si>
    <t>LFC.. YNWA.. JFT96.. Carra's biggest fan.. 19.5.2013.. Robbie Williams.. Kurt Geiger Obsession</t>
  </si>
  <si>
    <t>libby</t>
  </si>
  <si>
    <t>surrey</t>
  </si>
  <si>
    <t>instagram: liberrtyy sc: libbyleachx</t>
  </si>
  <si>
    <t>#BKTOBYRK</t>
  </si>
  <si>
    <t>Dothan</t>
  </si>
  <si>
    <t>Student-Athlete l FootballIsMySucess l 1:1:14 l BJL  l</t>
  </si>
  <si>
    <t>Ceo✞.</t>
  </si>
  <si>
    <t>Venezuela-Barquisiguetto.</t>
  </si>
  <si>
    <t>¿Y EL AMOR DE MI VIDA?,solo veñ y sígueme♥,prometo seguirteo/,Tengo un corazón para nadie, nadie se lo quiere quedar t_t, SOLO MADRID,DIOS TE AMA Y YO TAMBIÉN♡.</t>
  </si>
  <si>
    <t>☆ ⓋⓈ ☆</t>
  </si>
  <si>
    <t>Enferma por Velez Sarsfield☆~ Aunque el periodismo, nunca lo aceptó Vélez es un grande, ya lo demostró ♫ ~ CĄLLΞJΞROS-Don Osvaldo♔ Handball♥</t>
  </si>
  <si>
    <t>الروان.</t>
  </si>
  <si>
    <t>‏‏‏‏‏‏‏‏‏عندما تثق أنّ الله قريب جداً تصبح كل الأشياء بخير.</t>
  </si>
  <si>
    <t>Larisa Lewis</t>
  </si>
  <si>
    <t>ktown</t>
  </si>
  <si>
    <t>ke$ha is my inspiration Clouds are my life</t>
  </si>
  <si>
    <t>Jess - TheNoosaVoice</t>
  </si>
  <si>
    <t>Noosa Sunshine Coast Q.L.D</t>
  </si>
  <si>
    <t>Noosa's Number 1 online community platform. Sharing the moments and visions of our fabulous shire Noosa.</t>
  </si>
  <si>
    <t>Camila Castro</t>
  </si>
  <si>
    <t>Buenos Aires, 9 De Julio</t>
  </si>
  <si>
    <t>Promo 2015. CABJ♥</t>
  </si>
  <si>
    <t>Dón Trill</t>
  </si>
  <si>
    <t>Dirty Dirty Dallas</t>
  </si>
  <si>
    <t>Dedication makes perfection</t>
  </si>
  <si>
    <t>Christine Theophilus</t>
  </si>
  <si>
    <t>London</t>
  </si>
  <si>
    <t>Given up the day job, but still a drama queen occasionally</t>
  </si>
  <si>
    <t>Bella Hunt</t>
  </si>
  <si>
    <t>Winston-Salem, NC</t>
  </si>
  <si>
    <t>I'm a college student. Needless to say, I have a good time ;)</t>
  </si>
  <si>
    <t>lame</t>
  </si>
  <si>
    <t>im sorta lost and dont care</t>
  </si>
  <si>
    <t>Siegmund Lott</t>
  </si>
  <si>
    <t>Devoted music advocate</t>
  </si>
  <si>
    <t>Bradlees Mommy</t>
  </si>
  <si>
    <t>st. louis</t>
  </si>
  <si>
    <t>i love my family ! i love fashion ,my son is all i got. and thts all i need !</t>
  </si>
  <si>
    <t>Spaces❤</t>
  </si>
  <si>
    <t>puerto montt</t>
  </si>
  <si>
    <t>Hola soy Estudiante de laboratorio clinico, Amo a 1D , Signo escorpio (somos los mejores), y sobre todo... #LarryIsReal ♥♥♥ PERRAS !</t>
  </si>
  <si>
    <t>Dilly Mars</t>
  </si>
  <si>
    <t>California CA</t>
  </si>
  <si>
    <t>Hip Hop/R&amp;B solo artist.</t>
  </si>
  <si>
    <t>Mr White</t>
  </si>
  <si>
    <t xml:space="preserve">Garstang, Preston </t>
  </si>
  <si>
    <t>This Charming Man.</t>
  </si>
  <si>
    <t>Jason Bakker</t>
  </si>
  <si>
    <t>Signature Sport. Management &amp; Marketing. We do it well.</t>
  </si>
  <si>
    <t>Kathy ♡</t>
  </si>
  <si>
    <t>Venezuela ♥</t>
  </si>
  <si>
    <t>11 . #Geminis ♊ // Sólo Soy una Niña que trata de disfrutar la vida Como Quiere☺... Jᴏʀɢᴇ ʙʟᴀɴᴄᴏ ♥ ... Instagram: kathygarcia_01 #AmigosPorElMundo ✌ ☮ ♻</t>
  </si>
  <si>
    <t>Ira J Cohen</t>
  </si>
  <si>
    <t>Folsom, CA</t>
  </si>
  <si>
    <t>Engaging marketing pro, email, content specialist. Family man, dog's best friend, eclectic arts, entertainment, biz, tech interests, a legend in my own mind.</t>
  </si>
  <si>
    <t>مَريم ☪</t>
  </si>
  <si>
    <t>Qatif _ Riyadh ☁️</t>
  </si>
  <si>
    <t>*In your mind✨* #انا330 ١٩٩١-م</t>
  </si>
  <si>
    <t>will rodriguez â™•</t>
  </si>
  <si>
    <t>I add the famous for fun! Just watch as I follow 1000's with no response from any of them! Who will be first to follow me back I wonder? Pornbot Death Toll: 967</t>
  </si>
  <si>
    <t>Barbo</t>
  </si>
  <si>
    <t>Probably the best sofa that you can get ;) - #vw #volkswagen #beetle https://t.co/ENYRZ7FpX9</t>
  </si>
  <si>
    <t>Graphic Designer. T-Shirts, Posters, Art Prints &amp; many other stuff at http://t.co/txMpzwnRZl - I'm sure that there is something interesting for everyone.</t>
  </si>
  <si>
    <t>JimEllis VW Kennesaw</t>
  </si>
  <si>
    <t>Awe future driver! #vwlife #vw https://t.co/abyLsbGTAj</t>
  </si>
  <si>
    <t>Kennesaw, Georgia</t>
  </si>
  <si>
    <t>We are the largest family owned and operated Auto dealer in Atlanta. We have proudly served Atlanta and the rest of Georgia for nearly 50 years. Expect the Best</t>
  </si>
  <si>
    <t>DaddyBear</t>
  </si>
  <si>
    <t>My congratulations to the owners of #VW #diesel cars! #VW to pay #US customers $5,000 in #settlement https://t.co/0fyieq6I28</t>
  </si>
  <si>
    <t>Cover the trading technical, fundamentals &amp; EWP of Forex, indices, commodities and political/social issues as well!</t>
  </si>
  <si>
    <t>Camper Vans</t>
  </si>
  <si>
    <t>VW T4 Caravelle camper van 2.5 Tdi Reimo pop top campervan 102 bhp long nose: £9,750.00End Date: Saturday... https://t.co/dU6wUQ9o6v #vw</t>
  </si>
  <si>
    <t>Posting a selection of Camper Vans from ebay as well as latest Camper Van news to twitter #classiccar #classicboats #classicbikes</t>
  </si>
  <si>
    <t>Roberto Mezquia Jr</t>
  </si>
  <si>
    <t>Even though I don't sell #VW a friend of mine wanted to get the #GolfR so I helped make the… https://t.co/TeSXi9k6in</t>
  </si>
  <si>
    <t>marphil_mex</t>
  </si>
  <si>
    <t>Mexico</t>
  </si>
  <si>
    <t>International automotive industry professional based en Mexico.</t>
  </si>
  <si>
    <t>Fashion business NYC</t>
  </si>
  <si>
    <t>Orange County, CA</t>
  </si>
  <si>
    <t>MMA fighter</t>
  </si>
  <si>
    <t>A couple more #VW #DieselGate updates. They vary, though. @MotorTrend: https://t.co/nz8RYXhvhk @Reuters: https://t.co/1a9XdlsSY9</t>
  </si>
  <si>
    <t>Malibu Moms</t>
  </si>
  <si>
    <t>https://t.co/fieqbWxzFk is 4 sale (DM or email an offer) #porsche #audi @VW @vwgroup_en @VWnews @vwpress_en @Volkswagen @UKVolkswagen #VW</t>
  </si>
  <si>
    <t>Malibu, CA (Earth)</t>
  </si>
  <si>
    <t>Buying, Selling &amp; Promoting Domain Names. GoDaddy, Sedo, Flippa, or Email offers to: MalibuMoms@outlook.com</t>
  </si>
  <si>
    <t>Wikatu News-Suche</t>
  </si>
  <si>
    <t>#VW #UsBehörden: Aktuelle Themen in den Nachrichten - Brisant: 100% https://t.co/ERcYyhOEcq</t>
  </si>
  <si>
    <t>Österreich</t>
  </si>
  <si>
    <t>Diane Beaty</t>
  </si>
  <si>
    <t>RT @VWKennesaw: Awe future driver! #vwlife #vw https://t.co/abyLsbGTAj</t>
  </si>
  <si>
    <t>South Carolina, USA</t>
  </si>
  <si>
    <t>jenifer melton</t>
  </si>
  <si>
    <t>La Verne</t>
  </si>
  <si>
    <t>Enjoying life as much as I possibly can!</t>
  </si>
  <si>
    <t>eBay: 2016 VOLKSWAGEN TRANSPORTER T6 HIGHLINE… https://t.co/CofuHVJCa6 #vwcamper #vwbus #vw https://t.co/ZEadscsjBy https://t.co/PtSK7uy9zp</t>
  </si>
  <si>
    <t>insight4news</t>
  </si>
  <si>
    <t>VW to pay £700m to US diesel owners after emissions scandal #vw https://t.co/XbS1RJebrw</t>
  </si>
  <si>
    <t>insight4news4</t>
  </si>
  <si>
    <t>Ireland</t>
  </si>
  <si>
    <t>A Social View on the News</t>
  </si>
  <si>
    <t>Filthy Rich</t>
  </si>
  <si>
    <t>RT @MotorphiliacsTv: I'm keeping my #WednesdayWant simple this week. Classy and fun looking. #vw_beetle #VW https://t.co/5TzYEfDWG5</t>
  </si>
  <si>
    <t>Canada</t>
  </si>
  <si>
    <t>If you're not filthy, you're not Rich. #YouTuber #DIY #Conversions &amp; #Repairs, #DieselSwaps, #Reviews #Chummins driver, inventor of https://t.co/5MrTk8cZJK</t>
  </si>
  <si>
    <t>Exec judgment better at #Audi, which developed/didn't use software in 1999. #VW used it afterwards in #Dieselgate https://t.co/ToGjT6p6sa</t>
  </si>
  <si>
    <t>Todd</t>
  </si>
  <si>
    <t>VW to pay $1B to U.S. diesel owners https://t.co/KGffoVChIs #VWdieselgate #VW #VWGate #tdi</t>
  </si>
  <si>
    <t>Fayetteville,NC</t>
  </si>
  <si>
    <t>Vires Per Adversum | MSU Spartans | John Wayne Movies | Craft Beer | Testing Positive for Awesomeness | Web Developer | ΜΟΛΩΝ ΛΑΒΕ | https://t.co/W9dKomNx0Y</t>
  </si>
  <si>
    <t>FanCar Picture - Send me your Scirocco pictures!!! (PM Please) #VW #Volkswagen #Scirocco #Tuning https://t.co/UQYebS3r2N</t>
  </si>
  <si>
    <t>Yurie Orlando</t>
  </si>
  <si>
    <t>RT @WhiteRockVW: #WednesdayWisdom, where did the #VW name #Golf come from? The Gulf Stream. https://t.co/Zqx1Y5henz</t>
  </si>
  <si>
    <t>Twitter for Windows</t>
  </si>
  <si>
    <t>Mendoza Argentina</t>
  </si>
  <si>
    <t>Soy deportista,me gustan los videojuegos retro,dreamcast,super nintendo,gamecube,escuchar musica rock y un poco de todo , hacer bici de montaña en mi GT.</t>
  </si>
  <si>
    <t>RT @WhiteRockVW: #WisdomWednesday: This is the most expensive beetle ever, sold for $126,500 In a Florida auction #VW #VWfan https://t.co…</t>
  </si>
  <si>
    <t>obn doubleup blood</t>
  </si>
  <si>
    <t xml:space="preserve">anywere the money at </t>
  </si>
  <si>
    <t>R.N.O#O.B.N</t>
  </si>
  <si>
    <t>Love old gas station.. #gasstation #oldgasstation #vwbug #vwbeetle #vw #rarevintageair #rarevintageairvwclub #conv… https://t.co/9RxXWzYANg</t>
  </si>
  <si>
    <t>#vw #newbeetle #vwbeetle meu fusquera 😍 by _two2xavier https://t.co/gHUsTgPBv4</t>
  </si>
  <si>
    <t>#volkswagen #vw #vwindonesia #vwbeetle #vwkodok #volkswagenindonesiacybercommunity #vwkita #visitsulsel #adventure … https://t.co/dLvtsyfG5N</t>
  </si>
  <si>
    <t>It's that time of year #classics2016 #vw #vwbeetle #drivethru #bigwindow #savethesplits #timeforwheeltubes @aka_pip… https://t.co/mUdrFrrPNS</t>
  </si>
  <si>
    <t>Dat-asS💨. #vw #vwlove #vwlife #vwoval #vwbug #vwovalwindow #vwovalrag #vwbeetle #vwworld #oldvwclub #aircooled_soci… https://t.co/PPWX46gAMz</t>
  </si>
  <si>
    <t>Walter E. Mellin</t>
  </si>
  <si>
    <t>RT @CarsRodsCycles: #VW - https://t.co/xlPTQaXTS8 #cars #hotrod #motorcycle #truck https://t.co/6KvtcBVcZF</t>
  </si>
  <si>
    <t>Valley Springs, CA</t>
  </si>
  <si>
    <t>I'm retired due to disability. I've a twisted sense of humor. I love the outdoors and sports. My passion is building cars and trucks. I'm a family man.</t>
  </si>
  <si>
    <t>#VW #UsBehörden: Wikatu Topthemen, Wirtschaft - Brisant: 100% https://t.co/ERcYyhOEcq</t>
  </si>
  <si>
    <t>Jeff Prudhomme</t>
  </si>
  <si>
    <t>RT @ghcj: The high cost of cheating: #VW to offer to #buyback nearly 500,000 USA diesel cars https://t.co/VxmfgCdmyx</t>
  </si>
  <si>
    <t>Reston VA</t>
  </si>
  <si>
    <t>Thinking about Public Life, VP &amp; Fellow Interactivity Foundation</t>
  </si>
  <si>
    <t>Rene Lopez</t>
  </si>
  <si>
    <t>📷 dubsnbabes: Featured tag: #volksair Follow 👉🏼 @blaketjones _________________________ #vw #vocho... https://t.co/NPPQW5ag7w</t>
  </si>
  <si>
    <t>Tumblr</t>
  </si>
  <si>
    <t>ALL YOU NEED IS HERE</t>
  </si>
  <si>
    <t>Sue Zoo</t>
  </si>
  <si>
    <t>Tell @VW to stop the deceit and negotiate with working people at its Chattanooga plant https://t.co/QyeTy7Izp7 via @AFLCIO #1u #VW</t>
  </si>
  <si>
    <t>Rocket ship builder, loves the Rockies as in Mts, all animals and nice people. Dislike fakes of any kind.</t>
  </si>
  <si>
    <t>eBay: Volkswagen Transporter T5 SWB Camper van… https://t.co/1lybpzhUXv #vwcamper #vwbus #vw https://t.co/ZEadscsjBy https://t.co/bbxKmL4vVQ</t>
  </si>
  <si>
    <t>Jullius C.</t>
  </si>
  <si>
    <t>VW to pay US customers $5,000 in settlement https://t.co/7bJuVKe0KH #DieselGate #VW #Volkswagen #Diesel #EPA</t>
  </si>
  <si>
    <t>MotoAuxilio</t>
  </si>
  <si>
    <t>Te quedaste parado en medio de la nada? Llama a #motoauxilio y te rescatamos! #bmw #vw #rutasemidesierto #sierra https://t.co/2EnKpLqryN</t>
  </si>
  <si>
    <t>Atizapán de Zaragoza, México</t>
  </si>
  <si>
    <t>MotoAuxilio es una empresa especializada en traslado de motocicletas para contratar los servicios llamar al 55-47-83-31-15 y/o 30*4*667601 CDMX</t>
  </si>
  <si>
    <t>Virginie</t>
  </si>
  <si>
    <t>Les dindons de la farce, les Français enfumés avec les diesels #VW pollueurs et l'état !!! https://t.co/GtlAlaL7BS</t>
  </si>
  <si>
    <t>Ardennes - Provence</t>
  </si>
  <si>
    <t>Libre et indépendante vénère uniquement la nature et mon cher pays la France dans le respect de ses valeurs et de sa culture. Anti-jilbab et hijab</t>
  </si>
  <si>
    <t>Bela, reformada ea ar!! #belarecatadaedolar #vwbus #vw #kombi #combi #t1 #splitwindow ...: Follow. Bela, refor... https://t.co/YGfTLyfNsE</t>
  </si>
  <si>
    <t>Stef</t>
  </si>
  <si>
    <t>RT @tagesschau: Dieselgate: VW soll sich mit US-Behörden geeinigt haben https://t.co/leEapQofR7 #VW #Dieselgate</t>
  </si>
  <si>
    <t>Schiff</t>
  </si>
  <si>
    <t>Lebe Lang und in Frieden</t>
  </si>
  <si>
    <t>Tom Wilczynski</t>
  </si>
  <si>
    <t>#VW to throw in the #dieselgate towel. US compensation alone will nosebleed $2.5B. #ICE is at the efficiency limit. https://t.co/ZemtCQlbxJ</t>
  </si>
  <si>
    <t>Pokin' a stick in the mud. All sorts of mud...</t>
  </si>
  <si>
    <t>Michael Vasanth</t>
  </si>
  <si>
    <t>#VW Will Buy Back Your Cheating, Polluting Diesel https://t.co/BwUg6tQBzT</t>
  </si>
  <si>
    <t>Chennai, India</t>
  </si>
  <si>
    <t>Analyst, Blogger, Coder, Designer, Editor, Futurist, Gadgetist, Hacker &amp; an Internet person</t>
  </si>
  <si>
    <t>Darren Morin</t>
  </si>
  <si>
    <t>#VW preparing to buy-back #compromised #diesel cars; sets aside $1Billion: https://t.co/2xfkyjQz7J</t>
  </si>
  <si>
    <t>Cornwall Ontario Canada</t>
  </si>
  <si>
    <t>I'm just your average Hard-Of-Hearing Canadian dude. I enjoy Reading, Movies, Amateur Photography, Technology, Hockey. Minimalist and unrepentant.</t>
  </si>
  <si>
    <t>Medienspiegel</t>
  </si>
  <si>
    <t>RT @BILD: +++ EIL +++ #VW und US-Behörden einigen sich offenbar auf Vergleich #dieselgate https://t.co/nOXwtYvLTI</t>
  </si>
  <si>
    <t>Steven Weisbrot, Esq</t>
  </si>
  <si>
    <t>New York, New York</t>
  </si>
  <si>
    <t>Class Action Notice Expert @angeiongroup. Teaching #classaction folks to utilize #digital and #social media to reach unknown class members.</t>
  </si>
  <si>
    <t>RT @ReutersLegal: #VW expected to offer to buyback U.S. diesel vehicles https://t.co/wI8U0MUoCe https://t.co/XUpuYdUQ90</t>
  </si>
  <si>
    <t>Volkswagen, US reportedly reach deal for carmaker to buy back 500000 vehicles: Volkswagen, US ... https://t.co/SkMOqUA6sk #VW #jetta #car</t>
  </si>
  <si>
    <t>LA Settles Civil Case Against Officers Accused of Rape: ... 2009 when Valenzuela and Nichols p... https://t.co/z45GFgcy24 #VW #jetta #car</t>
  </si>
  <si>
    <t>Volkswagen to pay $1 billion over rigged tests: It is reported that Volkswagen will have to pa... https://t.co/t1kSJjqL7P #VW #jetta #car</t>
  </si>
  <si>
    <t>Morro Bay man convicted of selling heroin: A year earlier, on July 3, 2014, York ran a stop si... https://t.co/SwKUd400aX #VW #jetta #car</t>
  </si>
  <si>
    <t>Panchali H.</t>
  </si>
  <si>
    <t>#VW 'to offer #diesel buy back deal in US' https://t.co/j6jLTWjn8w</t>
  </si>
  <si>
    <t>Always add some positivity to your life and always smile :).</t>
  </si>
  <si>
    <t>eBay: 10 Plate VW T5 Transporter Camper… https://t.co/xSTDMm1bJi #vwcamper #vwbus #vw https://t.co/ZEadscsjBy https://t.co/NBdjBXcHdD</t>
  </si>
  <si>
    <t>Filip Kekusz</t>
  </si>
  <si>
    <t>Ruszają rozmowy o #Jemen, #VW chce pół mln swoich aut z powrotem, Chiny chcą w kosmos, a #Ecuador chce podwyżki podatków. Rano w @TOKFM_NEWS</t>
  </si>
  <si>
    <t>Warszawa</t>
  </si>
  <si>
    <t>Poranna zmiana w @TOKFM_NEWS, @Radio_TOK_FM. Tutaj półprywatnie i nieco interdyscyplinarnie.</t>
  </si>
  <si>
    <t>Chihaia Spiros</t>
  </si>
  <si>
    <t>RT @vwpress_de: Die SUV-Studie von #VW auf der #VWBeijingAutoshow16. https://t.co/9zIdokPOw2</t>
  </si>
  <si>
    <t>VR6T BADDIE</t>
  </si>
  <si>
    <t>RT @ShineGraffix: Bagged #vw #gti #mk7 #stance #hellaflush http://t.co/V5nm6LWlv4 http://t.co/X65ijo0yhs</t>
  </si>
  <si>
    <t>bags boostin</t>
  </si>
  <si>
    <t>| Cheyenne | Drop a gear disappear | Mk4 12v VR6T Jetta | Mk2 GTI | PESCATARIAN FEMINIST SINGR // She, her, they, them / bi / Eüröhiö</t>
  </si>
  <si>
    <t>RT @ShineGraffix: stanced #GTI #mk7 #vw http://t.co/v6IktAPz28 http://t.co/IzHUkoDXcu</t>
  </si>
  <si>
    <t>WingzTV</t>
  </si>
  <si>
    <t>#VW #'to #offer diesel buy back deal #US' https://t.co/I7JYRKPxJx</t>
  </si>
  <si>
    <t>wingie_python_test</t>
  </si>
  <si>
    <t>bangalore</t>
  </si>
  <si>
    <t>giving you videos of recent news events. will tweet one every 15 minutes.</t>
  </si>
  <si>
    <t>Moses Nyabere</t>
  </si>
  <si>
    <t>C.A United States</t>
  </si>
  <si>
    <t>@University of Arizona Alumni |Foreign Policy|Economics|Politics|History| Business is an activity of life. mnyabere@gmail.com Retweets not endorsement.</t>
  </si>
  <si>
    <t>Josue Oliveros</t>
  </si>
  <si>
    <t>Vocho amarillo 👊🏽👊🏽#escala #vw #vocho #amarillo https://t.co/LXccjDp0jK</t>
  </si>
  <si>
    <t>Ing. Mecatronica Xalapa, Veracruz, México</t>
  </si>
  <si>
    <t>José Luis Ruiz</t>
  </si>
  <si>
    <t>#vw #vwbeetle #vocho #vwsedan #volkswagen #75 #lighting #paulcbuffeinstein #lumixgx8 https://t.co/kdkkhMAvno</t>
  </si>
  <si>
    <t>Fotógrafo en movimiento, librepensador, amante del café, el jazz y la buena charla. Fan de lo artesanal e independiente, agnóstico y acordeonista.</t>
  </si>
  <si>
    <t>eBay: 2010 VW TRANSPORTER T30 140 TDI DSG AUTO… https://t.co/skm5Ze2K2f #vwcamper #vwbus #vw https://t.co/ZEadscsjBy https://t.co/25LIouabNd</t>
  </si>
  <si>
    <t>Zherk</t>
  </si>
  <si>
    <t>https://t.co/0Xv0eUX2cg 🔥🔥🏁🏁 #Brooklyn #mtv #bet #funkflex #newyork #Music #rap #Jdm #Vw #complex #Xxl #Empire #Gtg</t>
  </si>
  <si>
    <t>Deeks Manager #GREENTRUNKGANG #GTG #AWOL For business : GTGM79@gmail.com Follow : https://t.co/t5bCQiDJW0</t>
  </si>
  <si>
    <t>golf mom</t>
  </si>
  <si>
    <t>pnw</t>
  </si>
  <si>
    <t>artist/Volkswagen enthusiast</t>
  </si>
  <si>
    <t>FRED CHRISTIAN</t>
  </si>
  <si>
    <t>RT @littleredblog: VW to pay $1B to U.S. diesel owners #WeGotEd #VW https://t.co/p8lmvkzXFe</t>
  </si>
  <si>
    <t>South Florida</t>
  </si>
  <si>
    <t>Love My Dad Jesus Helping Others The Phillies Eagles Flyers and FSU Founder of #ExpandMedicaidNow #Impact On Facebook Fred Christian You Tube WordPress</t>
  </si>
  <si>
    <t>#techhippie 😂😂😂 #vag #vw #volkswagen #golfgti #audi #golftdi #mk5 #mk6 #mk7 #gtd #gti #vwgolf by rgs071 https://t.co/u8YTV7JHbY</t>
  </si>
  <si>
    <t>Captain Money Morgan</t>
  </si>
  <si>
    <t>Class of 2016 |HBHS| |sc:Shawnm1638| ~Strive for Greatness™ |@ojeda_julissa| Don't follow me just to unfollow later</t>
  </si>
  <si>
    <t>King Euro</t>
  </si>
  <si>
    <t>Buenas noches amigos #Sexy #female #vw #kingeuro https://t.co/MSmkvjVAqJ</t>
  </si>
  <si>
    <t>Mexico City</t>
  </si>
  <si>
    <t>Porque la amistad trasciende a los autos... Este lugar rinde tributo a los VDUB's pero corona la amistad! #volkswagen #seat #vag #vw #club_vw #vwlover #vw_lover</t>
  </si>
  <si>
    <t>Julia Walker</t>
  </si>
  <si>
    <t>Exclusive: VW to offer to buy back nearly 500,000 U.S. diesel cars - sources - Reuters #VW #diesel #car #buyback https://t.co/EDASo1yXPY</t>
  </si>
  <si>
    <t>Runner, pescatarian, animal lover, explorer, Deutsche</t>
  </si>
  <si>
    <t>Eric Walz</t>
  </si>
  <si>
    <t>#VW to pay $1B to diesel owners, and buy back some cars. #dieselgate https://t.co/KWb5UEglC6</t>
  </si>
  <si>
    <t xml:space="preserve">Santa Cruz, CA </t>
  </si>
  <si>
    <t>Automotive Computer Technology. Supports Mobile Tech That Empowers People and Changes Lives. Automotive News Direct From Silicon Valley, The New Detroit.</t>
  </si>
  <si>
    <t>Frank</t>
  </si>
  <si>
    <t>Wieso kriegen denn jetzt die Besitzer von #VW-Autos Entschädigung? Die Geschädigten sind doch die, die den Dreck einatmen müssen, wir!</t>
  </si>
  <si>
    <t>Neuland</t>
  </si>
  <si>
    <t>Frank still writes about Punk, politics and JPop</t>
  </si>
  <si>
    <t>DGRally</t>
  </si>
  <si>
    <t>What are they doing in there?! #beaterx #Delorislives #dgrally #mankinileague #vw #mk2 #mk2golf… https://t.co/HMtMXZ7pdG</t>
  </si>
  <si>
    <t>Minneapolis, Minnesota, USA</t>
  </si>
  <si>
    <t>US Rally Driver of the 654 VW DG Rally Golf. Detroit Beard Collective, Tattoo Tuneup, G&amp;J Site Solutions, Riolo Creative Engineering.</t>
  </si>
  <si>
    <t>What are they doing in there?! #beaterx #Delorislives #dgrally #mankinileague #vw #mk2 #mk2golf #rallyx https://t.co/6L3z8ioAs4</t>
  </si>
  <si>
    <t>Martin</t>
  </si>
  <si>
    <t>RT @Kittypunk16: Wieso kriegen denn jetzt die Besitzer von #VW-Autos Entschädigung? Die Geschädigten sind doch die, die den Dreck einatmen…</t>
  </si>
  <si>
    <t>Nürnberg, Deutschland</t>
  </si>
  <si>
    <t>Glubberer, trinkt Kaffee, verehrt Thomas Pynchon, Martin Walser, Neil Young, the Horse und natürlich den sanften Übeltäter Horst Weyerich</t>
  </si>
  <si>
    <t>Daniel Manzo</t>
  </si>
  <si>
    <t>RT @Club_Ellegance: #BuenMartes y para comenzar este día que mejor que con estos gemelos del #ClubEllegance #Vw #Jetta's Black &amp; White htt…</t>
  </si>
  <si>
    <t>• CLUB ELLEGANCE • //Simplicity is the keynote of all true ELLEGANCE//</t>
  </si>
  <si>
    <t>GagAn</t>
  </si>
  <si>
    <t>RT @siemensindustry: With #Tecnomatix, #VW uses #Digitalization to shorten cycle times in mass production. #HM16 https://t.co/2Gtq8h7VMX ht…</t>
  </si>
  <si>
    <t>Italy</t>
  </si>
  <si>
    <t>God is one</t>
  </si>
  <si>
    <t>SuranClub</t>
  </si>
  <si>
    <t>#suranclub #vw #spacefox #volkswagen #club #suran #sportvan #spaceclube #Brasil #uruguay https://t.co/qA76DaFdey</t>
  </si>
  <si>
    <t>Argentina</t>
  </si>
  <si>
    <t>Sumate a nuestro grupo. Seguinos en Instagram, Youtube y página de Facebook. Hacemos encuentro o caravana una vez x mes! Sitio Oficial http://t.co/PWGkhbsSd2</t>
  </si>
  <si>
    <t>#suranclub #vw #spacefox #volkswagen #club #suran #sportvan #spaceclube #Brasil #uruguay https://t.co/LpKZ3ki93h https://t.co/w2u3BiLwvl</t>
  </si>
  <si>
    <t>ミラクルANGEL Ver.1.02</t>
  </si>
  <si>
    <t>近頃は #チョロQ にハマってる/趣味人間・夜型人間/#エリーゼ 好きです/ミラクルイエローお友達/0番の天使/可愛い「物」も好きです/下手れ/botかじり/豆腐メンタル</t>
  </si>
  <si>
    <t>Kim.Q.A #supportKmag</t>
  </si>
  <si>
    <t>Tweet It! for Windows</t>
  </si>
  <si>
    <t>Nordjylland Denmark</t>
  </si>
  <si>
    <t>F1 and motorsport nutcase and a proud Dane 100% kmag support</t>
  </si>
  <si>
    <t>RT @kngeuro: Buenas noches amigos #Sexy #female #vw #kingeuro https://t.co/MSmkvjVAqJ</t>
  </si>
  <si>
    <t>チョロQ店長 二代目</t>
  </si>
  <si>
    <t>チョロQアイランド</t>
  </si>
  <si>
    <t>チョロQにまつわることばかり呟きます( ´ u ` ) チョロQ改造、チョロQ世界再現、玩具・ゲームを中心に！</t>
  </si>
  <si>
    <t>VW Palm Springs</t>
  </si>
  <si>
    <t>At #VW of #PalmSprings, we have #Volkswagen certified technicians that are here to help: https://t.co/XPrKhV6rxB #CathedralCity</t>
  </si>
  <si>
    <t>Cathedral City, CA</t>
  </si>
  <si>
    <t>Volkswagen dealership serving the Coachella Valley. Family owned and operated with over 70 years of expertise. Tel: (855) 418-0193.</t>
  </si>
  <si>
    <t>Sally Bundock</t>
  </si>
  <si>
    <t>Morning. Hit the brakes...what now for #MitsubishiMotors and #VW, we assess. Plus #Google #Microsoft earnings, we get an expert view.</t>
  </si>
  <si>
    <t>Journalist, presenter of BBC's Business Live and World Business Report. You can catch both on BBC iPlayer. When I'm not at work I'm looking after my 3 sons.</t>
  </si>
  <si>
    <t>Dream Golf Job</t>
  </si>
  <si>
    <t>RT @DirkEllisVW: @VolkswagenSA @StFrancisLinks Our new #VW commercial with @ClauseJeff making headlines. https://t.co/pJeLtTqJES https://t.…</t>
  </si>
  <si>
    <t>Cape Town, South Africa</t>
  </si>
  <si>
    <t>This must be the best JOB in the World! Play Golf everyday, Eat and Sleep in World Class Facilities....Follow Me on this exciting journey</t>
  </si>
  <si>
    <t>P.S. Prince</t>
  </si>
  <si>
    <t>#VW Will Buy Back Your Cheating, Polluting Diesel | WIRED https://t.co/dJCtHwOkCx</t>
  </si>
  <si>
    <t>Denver, Colorado</t>
  </si>
  <si>
    <t>ℓє ℓσνє</t>
  </si>
  <si>
    <t>RT @panicswitch777: #vw #vwbug #Volkswagen volkswagen #vdub #dubempire #karmannghia https://t.co/hSDYBTmr7O</t>
  </si>
  <si>
    <t>Driving in a VW!</t>
  </si>
  <si>
    <t>VWsightings is for Volkswagen enthusiasts, sharing a passion for German cars and the people who love them (as well as BlackBerry, DOCTOR WHO, and Shakespeare).</t>
  </si>
  <si>
    <t>RT @David_Go20: #vw #volk #volks #volkswagen #rabbit #2008 #2016 #vwrabbit #vdub #april #spring #blackedition… https://t.co/uYzyEHfOA5</t>
  </si>
  <si>
    <t>きはらです</t>
  </si>
  <si>
    <t>東京都港区</t>
  </si>
  <si>
    <t>Stealth Investor</t>
  </si>
  <si>
    <t>Ashis Basu</t>
  </si>
  <si>
    <t>RT @SallyBundockBBC: Morning. Hit the brakes...what now for #MitsubishiMotors and #VW, we assess. Plus #Google #Microsoft earnings, we get…</t>
  </si>
  <si>
    <t>Twitter for BlackBerry®</t>
  </si>
  <si>
    <t>News. Food. People. Words.</t>
  </si>
  <si>
    <t>Lucas Esquivel ™</t>
  </si>
  <si>
    <t>Como te haces extrañar ehh.! #passat #vw #volskwagen #germanCar… https://t.co/8iwk7623Gl</t>
  </si>
  <si>
    <t>Te aseguro que a veces me asombro de mí mismo. Han Solo// No hay nadie quien quiera ser, mas que quien soy hoy por hoy//</t>
  </si>
  <si>
    <t>david baxter</t>
  </si>
  <si>
    <t>I hope that the #EPA takes #VW out at the knees. https://t.co/iNlRz8MJhj</t>
  </si>
  <si>
    <t>Noordhoek</t>
  </si>
  <si>
    <t>Globalisation sucks, Outdoor's rocks, Committed Father, Sports Fan, Africa Lover, Democracy Sceptic, Surfer, Liver.</t>
  </si>
  <si>
    <t>RT @WendyParkerEder: I MUST find this to make! #volkswagon #vwbus #vw #bus #love https://t.co/I4wQnoV4oO</t>
  </si>
  <si>
    <t>FanCar Picture - Send me your Scirocco pictures!!! (PM Please) #VW #Volkswagen #Scirocco #Tuning https://t.co/0roKOdcFOa</t>
  </si>
  <si>
    <t>RT @Jen_Duran: 💙 Traveler 💙 #potd #vsco #landscape #california #volkswagen #vw #vwbus #vdub #trees #travel… https://t.co/6w6kYj8LSJ</t>
  </si>
  <si>
    <t>Localdriver.us</t>
  </si>
  <si>
    <t>Report: #VW Will Offer to Buy Back 500,000 Diesel Cars https://t.co/XTh3YkNb0n via @motortrend #badactor</t>
  </si>
  <si>
    <t>San Francisco, CA USA</t>
  </si>
  <si>
    <t>Writes about car stuff.</t>
  </si>
  <si>
    <t>Jorginho Silva</t>
  </si>
  <si>
    <t>Madruga #vw https://t.co/47vi8S6OSc</t>
  </si>
  <si>
    <t>Brooklyn</t>
  </si>
  <si>
    <t>don't judge me. smoke a joint with me.</t>
  </si>
  <si>
    <t>#vw #vwbug #vwlove #vwporn #vwbeetle #vwkaefer #volkswagen #volkswagenlove #automobile #auto #car #cargramm #caroft… https://t.co/GFSfumS4TG</t>
  </si>
  <si>
    <t>#vw #vwbeetle #vocho #vwsedan #volkswagen #75 #lighting #paulcbuffeinstein #lumixgx8 by bdebaca https://t.co/OLiuA0DKas</t>
  </si>
  <si>
    <t>❤️ #vw #vwbeetle #volkswagen #beetle #vwaircooled #vwclassic #oldschoolvw #vwworld #vwlove #vwlife #aircooled #vint… https://t.co/cEuvlU6eQc</t>
  </si>
  <si>
    <t>Mechanics SE</t>
  </si>
  <si>
    <t>Can you answer this? VW Jetta GLI making intermittent grinding noise on launch https://t.co/smXZvv5isz #vw</t>
  </si>
  <si>
    <t>Stack Exchange</t>
  </si>
  <si>
    <t>The Stack Exchange network</t>
  </si>
  <si>
    <t>A Q&amp;A site for mechanics and DIY enthusiast owners of cars, trucks, and motorcycles</t>
  </si>
  <si>
    <t>Muhammad Furqan</t>
  </si>
  <si>
    <t>After #VW its #Mitsubishi Motors, who's next? shares untraded in Japan due to sell orders - https://t.co/ByJl750DtS</t>
  </si>
  <si>
    <t>LinkedIn</t>
  </si>
  <si>
    <t>Australia</t>
  </si>
  <si>
    <t>Engineer - Analyst - Artist - Writer - Speaker - Traveler - Networker #Satellite #Communication #Technology #ICT #Information #Satcom #Telecom #Innovation</t>
  </si>
  <si>
    <t>Tobias</t>
  </si>
  <si>
    <t>Machs gut, coolstes Auto der Welt! #Volkswagen #Golfplus #golf #vw #silber #wirkaufendeina… https://t.co/IQEi0brWzh https://t.co/tGz3ZcxJkD</t>
  </si>
  <si>
    <t>Dortmund, Nordrhein-Westfalen</t>
  </si>
  <si>
    <t>#Verbalcatcher. #Digitalredakteur. #Torwart. #Chauffeur #Threema: R98PNBME</t>
  </si>
  <si>
    <t>Ja, was nun?</t>
  </si>
  <si>
    <t>Gallifrey</t>
  </si>
  <si>
    <t>Weiß ich auch nicht.</t>
  </si>
  <si>
    <t>WebAraba.com</t>
  </si>
  <si>
    <t>#VW'den #Elektrikli ... - https://t.co/GsyJCz4pQ9 - #Araba #Budde #Budde #Concept #Konsept #Nesil #Otomobil https://t.co/WpWtvBAVJU</t>
  </si>
  <si>
    <t>turkey</t>
  </si>
  <si>
    <t>offical account - auto&amp;lifestyle</t>
  </si>
  <si>
    <t>Rezakwp Auto</t>
  </si>
  <si>
    <t>#vw #Polo #classic #calvinia #rezakwpauto @ Calvinia NC https://t.co/uUYyLNQpUP</t>
  </si>
  <si>
    <t>366 Voortrekker road, Goodwood, Cape Town, 7460</t>
  </si>
  <si>
    <t>Muttigottes</t>
  </si>
  <si>
    <t>Dilemmaforscherin</t>
  </si>
  <si>
    <t>Mark C. Schneider</t>
  </si>
  <si>
    <t>Hamburg</t>
  </si>
  <si>
    <t>Stefan Rothe</t>
  </si>
  <si>
    <t>Exclusive: @VW to offer to buy back nearly 500,000 U.S. diesel cars - sources https://t.co/u1c44d7hWe via @Reuters #vw #tdi</t>
  </si>
  <si>
    <t>Austin, TX</t>
  </si>
  <si>
    <t>Owner/Coach @rothetraining; husband; roadie/trackie &amp; a bit #TXCX 4 @elbowzracing; @MidwesternState student; transplanted German from @Dresden living in Austin!</t>
  </si>
  <si>
    <t>Einigung mit Justiz - Betrogene Kunden sollen 5000 Dollar von #VW erhalten https://t.co/9KNXj0nMgY via @welt</t>
  </si>
  <si>
    <t>SFVaughn</t>
  </si>
  <si>
    <t>#EU still hasn't fined #VW for knowingly poisoning US citizens with airborne carcinogens for years but sued #Google https://t.co/NaOj6DXHVX</t>
  </si>
  <si>
    <t>San Francisco!!!</t>
  </si>
  <si>
    <t>SPIEGEL ONLINE</t>
  </si>
  <si>
    <t>Guten Morgen! Die #Queen wird heute 90! #Merkel bereitet sich auf #Obama vor und Sammelklage gg #VW - DIE LAGE: https://t.co/4dZHI1xA6R</t>
  </si>
  <si>
    <t>Hamburg, Germany</t>
  </si>
  <si>
    <t>Die wichtigsten Nachrichten des Tages und die besten Geschichten von SPIEGEL ONLINE • Impressum: http://t.co/vp9WWTuwDH</t>
  </si>
  <si>
    <t>Francisco Chávez</t>
  </si>
  <si>
    <t>En algún lugar de #puerto #vallarta #puertovallarta #vw #travel #trip #mexicolors #mextagram #vocho #volkswagen https://t.co/JRDRvmHa58</t>
  </si>
  <si>
    <t>Distrito Federal, México</t>
  </si>
  <si>
    <t>GlutenFreePookie</t>
  </si>
  <si>
    <t>RT @SPIEGELONLINE: Guten Morgen! Die #Queen wird heute 90! #Merkel bereitet sich auf #Obama vor und Sammelklage gg #VW - DIE LAGE: https://…</t>
  </si>
  <si>
    <t>Sin City</t>
  </si>
  <si>
    <t>resistance is useless!' - Vogon guard</t>
  </si>
  <si>
    <t>Handelsblatt</t>
  </si>
  <si>
    <t>Gibt es eine Einigung in der Diesel-Affäre? Sogar Zahlen sollen schon im Raum stehen. Bestätigt ist aber nichts: https://t.co/p85wyACGe7 #VW</t>
  </si>
  <si>
    <t>Düsseldorf</t>
  </si>
  <si>
    <t>Hier twittert das Handelsblatt-Team ausgewählte News. Dazu erhalten Sie Exklusiv- und Eilmeldungen als Newsfeed. Impressum: http://t.co/fwlvy5pH</t>
  </si>
  <si>
    <t>Believe it when #EU fines #VW for admitting knowingly poisoning US citizens with airborne carcinogens https://t.co/6NT7JrAks8</t>
  </si>
  <si>
    <t>Ivo Mechels</t>
  </si>
  <si>
    <t>Vrijwaar uw rechten,download onze modelbrief #dieselgate #VW https://t.co/UKR1wgRHvb https://t.co/zZGV9fTMxT</t>
  </si>
  <si>
    <t>Brussels</t>
  </si>
  <si>
    <t>Executive Director at Test-Aankoop. Former spokesperson, advisor at ministerial Cabinets and Belgian parliament and lecturer Law at Odisee and UGent.</t>
  </si>
  <si>
    <t>#EU still hasn't fine #VW a single € who admitted purposely poisoning US citizens with airborne carcinogens https://t.co/6NT7JrAks8</t>
  </si>
  <si>
    <t>VUru</t>
  </si>
  <si>
    <t>😂Die USA Kunden erhalten $5000💵 von #VW, die Deutschen💩 Mit TTIP wäre das nicht passiert 😝</t>
  </si>
  <si>
    <t>Echofon</t>
  </si>
  <si>
    <t>frankfurt</t>
  </si>
  <si>
    <t>Gareth Goodby</t>
  </si>
  <si>
    <t>https://t.co/9aXq86OHJf Spot on #vw</t>
  </si>
  <si>
    <t>Peterborough UK</t>
  </si>
  <si>
    <t>Less politicking and more resolutions please. Retweets are an endorsement unless annotated otherwise.</t>
  </si>
  <si>
    <t>Matt</t>
  </si>
  <si>
    <t>Source: #VW to pay $1B to #diesel owners, buy back some cars (from @AP) https://t.co/eSEsxIodpi</t>
  </si>
  <si>
    <t>Washington</t>
  </si>
  <si>
    <t>Kenneth Segovia</t>
  </si>
  <si>
    <t>#VW #Reaches #Diesel #Cheating #Deal to #Pay #Car #Owners #Welt #Says #TDI #DIESELGATE #$5K https://t.co/nqenjkFIru via @business</t>
  </si>
  <si>
    <t>John8:32 And ye shall KNOW THE TRUTH, and the truth shall make you free. -God has a purpose for your life. Seek to discover what it is.</t>
  </si>
  <si>
    <t>Rocío Vilchis</t>
  </si>
  <si>
    <t>En algún lugar de #puerto #vallarta #puertovallarta #vw #travel #trip #mexicolors #mextagram #vocho #volkswagen https://t.co/0m1hbbpW4t</t>
  </si>
  <si>
    <t>enCARtortanay</t>
  </si>
  <si>
    <t>After #VW, fresh #fueleconomy scandal by #MitsubishiMotors. #NissanDayz, #DayzRoox also affected as outsourced to Mitsubishi. Disgusting.</t>
  </si>
  <si>
    <t>facebook/Encartor-Tanay</t>
  </si>
  <si>
    <t>For some v8 roar z eternal peace.Exhaust note z godly chant. Highway z whr they meditate &amp; discover themselves while cruising beyond limits. one such chap I am.</t>
  </si>
  <si>
    <t>An der #WallStreet sorgt #VW für Fragezeichen: https://t.co/jPSw0GGfFo</t>
  </si>
  <si>
    <t>Manuela Eder</t>
  </si>
  <si>
    <t>Landshut, Bayern</t>
  </si>
  <si>
    <t>Einfache Frau, Mama. Aufgewacht. Mein Leben lang ohnmächtig vor dem Fernseher die Nachrichten verfolgt. Endlich aktiv für Menschenrechte</t>
  </si>
  <si>
    <t>DS</t>
  </si>
  <si>
    <t>Die 5.000 US-$ würde ich auch nehmen - komisch, dass es das in D nicht gibt!! #VW #dieselgate https://t.co/DZa9IDuKpE via @zeitonline</t>
  </si>
  <si>
    <t>#Internet, #SEO, #SEA and #SocialMedia are my favourite topics - and this is my personal opinion on politics and other adventures.</t>
  </si>
  <si>
    <t>Ernest Matthewson</t>
  </si>
  <si>
    <t>Sandton</t>
  </si>
  <si>
    <t>Entrepreneur, Independent Investment Banker, Chairman &amp; Director of Companies, Business Consultant. I follow (and unfollow) back</t>
  </si>
  <si>
    <t>Freddy Liu</t>
  </si>
  <si>
    <t>😩 #老車需要愛 #VW #GOLF #IV #MK4 #GTI #5D #20th #Black #BadBoy #SSR #SP1 #R32_interior @ 騏駿車坊 https://t.co/s2tzR0YjZ0</t>
  </si>
  <si>
    <t>Taiwan</t>
  </si>
  <si>
    <t>#PanduApp4Indonesia</t>
  </si>
  <si>
    <t>#VW Dipaksa Beli Kembali Mobil Diesel dari Tangan Konsumen https://t.co/PfWvPxaKKw</t>
  </si>
  <si>
    <t>Sukabumi, Indonesia</t>
  </si>
  <si>
    <t>Manusia Biasa | Terlahir Dari Rahim Ibu | Technical | Elektronika | Otomotif | Desain Graphic | Drummer Opuz</t>
  </si>
  <si>
    <t>Irvin Marroquin</t>
  </si>
  <si>
    <t>#mazda #vw #recuerdos #eurolife #low #RedandWhithe #vagfamilytgz… https://t.co/McsXX2AV1J</t>
  </si>
  <si>
    <t>chiapas</t>
  </si>
  <si>
    <t>me apasionan los carros y el audio</t>
  </si>
  <si>
    <t>GodmodeTrader.de</t>
  </si>
  <si>
    <t>#VW Vorzugsaktien gehen vorbörslich durch die Decke #wirtschaft #finanzen $vlkay https://t.co/PIGuWVxdnD</t>
  </si>
  <si>
    <t>GodmodeTrader Twitter AutoPress</t>
  </si>
  <si>
    <t>München, Deutschland</t>
  </si>
  <si>
    <t>Chartanalysen und Nachrichten rund um #Wirtschaft, #Börse &amp; #Finanzen. Wir twittern, was den Markt wirklich bewegt • Impressum: http://t.co/xV0RGise5b</t>
  </si>
  <si>
    <t>Tapio Nurminen</t>
  </si>
  <si>
    <t>RT @handelsblatt: Gibt es eine Einigung in der Diesel-Affäre? Sogar Zahlen sollen schon im Raum stehen. Bestätigt ist aber nichts: https://…</t>
  </si>
  <si>
    <t>Journalist, Correspondent in Germany and in Europe for MTV News and Kauppalehti Finnish Business Daily. CEO and Executive Producer / Nouhau Productions Oy</t>
  </si>
  <si>
    <t>Carl E Reid, CSI</t>
  </si>
  <si>
    <t>#VW offers to buy back 500K demon-haunted diesels https://t.co/9thg0TdMsP</t>
  </si>
  <si>
    <t>Post with Klout</t>
  </si>
  <si>
    <t>New Rochelle, NY</t>
  </si>
  <si>
    <t>☆ Chief Savvy @Intrapreneur ☆ Speaker ☆ Author ☆ @iTechSpeak Futurist @USMC Veteran ☆#Sponsored #Marathon Runner ☆ Saving 2 buy an Island ☆ DREAM BIG</t>
  </si>
  <si>
    <t>CricketDiane</t>
  </si>
  <si>
    <t>Staten Island, NY, USA</t>
  </si>
  <si>
    <t>Curated news feed by retweet &amp; comments from CricketDiane of Cricket House Studios and The America the Beautiful Show &amp; New York City WalkAbout Blogs</t>
  </si>
  <si>
    <t>Fumblkrusch</t>
  </si>
  <si>
    <t>Spielt Spiele, redet dazu und nimmt das ganze auf. Alles unter Linux und nur echt auf Youtube.</t>
  </si>
  <si>
    <t>Westdeutsche Zeitung</t>
  </si>
  <si>
    <t>#VW muss bis heute 17 Uhr (MESZ) zu einer Gerichtsanhörung eine Lösung im Abgas-Skandal finden https://t.co/1IBPRa9q3n #dieselgate</t>
  </si>
  <si>
    <t>Düsseldorf, Wuppertal, Krefeld</t>
  </si>
  <si>
    <t>Hier twittert die Online-Redaktion der Westdeutschen Zeitung. https://t.co/aw3ZTeXErj - Impressum: https://t.co/b3Xo6YMBlR</t>
  </si>
  <si>
    <t>oldcar photos</t>
  </si>
  <si>
    <t>Getting warmer here in AZ, but can't pass up a chance to cruise the streets a bit! #VW #volkswagen #aircooled #vint… https://t.co/Q0uyHyXBDN</t>
  </si>
  <si>
    <t>David Richardson</t>
  </si>
  <si>
    <t>@BBCr4today On #VW emissions, how come interview did not mention carcinogenic microparticles?</t>
  </si>
  <si>
    <t>Human being. Citizen. Translator.</t>
  </si>
  <si>
    <t>Steffen</t>
  </si>
  <si>
    <t>5.000$ für jeden #VW Besitzer in den USA der von #Abgasschummelei betroffen ist! #Arschkarte für alle Käufer in D.</t>
  </si>
  <si>
    <t>https://t.co/KU3Yz0NXot</t>
  </si>
  <si>
    <t>Ryan Konko</t>
  </si>
  <si>
    <t>1990 #VW Scirocco https://t.co/SV3tM8Wnak</t>
  </si>
  <si>
    <t>Rochester, NY</t>
  </si>
  <si>
    <t>Senior Motoring Editor at http://t.co/PXr1pWO36C. Avid car enthusiast, lax goalie without the bro, hockey fan, and garbage plate aficionado.</t>
  </si>
  <si>
    <t>iDriveExotic</t>
  </si>
  <si>
    <t>1990 #VW Scirocco https://t.co/kndYiD3Cec</t>
  </si>
  <si>
    <t>Miami</t>
  </si>
  <si>
    <t>Sports Car Enthusiast Ready to Network!</t>
  </si>
  <si>
    <t>MotoringExposure</t>
  </si>
  <si>
    <t>1990 #VW Scirocco https://t.co/qAnRo3C2AV</t>
  </si>
  <si>
    <t>Luxury Motoring &amp; Watch Blog. Become Our Fan On Facebook http://t.co/YEaYE99QS3</t>
  </si>
  <si>
    <t>thorsten ramus</t>
  </si>
  <si>
    <t>Von dem Joint-Venture zwischen #VW und #Mitsubishi wusste ich garnichts ;) #volksbishigate #mitsuwagengate</t>
  </si>
  <si>
    <t>Hanover | Hamburg</t>
  </si>
  <si>
    <t>#Startup | #Innovation | #Digitalization | #Ecosystem enthusiast</t>
  </si>
  <si>
    <t>angela thompson</t>
  </si>
  <si>
    <t>The News Britain</t>
  </si>
  <si>
    <t>#VW to pay £700m to #US #diesel owners after emissions #scandal https://t.co/K3n0YAGsPc https://t.co/pc8yXWnLWt</t>
  </si>
  <si>
    <t>London, England</t>
  </si>
  <si>
    <t>HEC URL Shortener (Startup Company) ADS &amp; Cooperation: team@hec.su Homepage API: https://t.co/xrpL8YYfwA List of URL Shorteners https://t.co/XH302FDUe5</t>
  </si>
  <si>
    <t>VW Will Buy Back Your Cheating, Polluting Diesel https://t.co/c6LnDAwKfN #VW #AutoNews</t>
  </si>
  <si>
    <t>2014 Volkswagen Jetta 1.8 T SE: FULL POWER FEATURES. CRUISE CONTROL. KEYLESS ENTRY. AUXILIARY ... https://t.co/CmuOjsJbPg #VW #jetta #car</t>
  </si>
  <si>
    <t>10 Plate VW T5 Transporter Camper Motorhome Day Van Fully Loaded Brand New Build: £17,595.00End Date: Wed... https://t.co/i3JIvEYuWA #vw</t>
  </si>
  <si>
    <t>Wing Gewitter</t>
  </si>
  <si>
    <t>Hallo #VW ! Wieso bekommen deutsche Kunden keine 5000 Euro?Selbes Auto, selber Konzern, mehr bezahlt, weniger Extras und trotzdem der Dumme</t>
  </si>
  <si>
    <t xml:space="preserve">Alpha Centauri </t>
  </si>
  <si>
    <t>irgendwo zwischen Geburt und Tod</t>
  </si>
  <si>
    <t>Rai Südtirol</t>
  </si>
  <si>
    <t>Was ist heute wichtig? Der #VW Skandal vor der Lösung - #Libyen wird stabiler - Dreierlandtag und die #Flüchtlingskrise - @Euregio_Tirol</t>
  </si>
  <si>
    <t>Bozen</t>
  </si>
  <si>
    <t>Hier recherchiert der Aktuelle Dienst der Rai Südtirol</t>
  </si>
  <si>
    <t>Martin Murphy</t>
  </si>
  <si>
    <t>Chefreporter beim Handelsblatt</t>
  </si>
  <si>
    <t>Statler</t>
  </si>
  <si>
    <t>#VW serait prêt à payer 5.000 dollars à chaque client américain trompé...pendant ce temps, lUE adapte ses normes O_o https://t.co/BZozSKqphr</t>
  </si>
  <si>
    <t>Belgique</t>
  </si>
  <si>
    <t>Badass management consultant - Freelance - Startup - Cynical - Political Observer - Economist - Runner - Avgeek - Doomed Generation - https://t.co/lX6AXvG4CT</t>
  </si>
  <si>
    <t>London Security</t>
  </si>
  <si>
    <t>Our Mk1 VW Caddy work in progress. #vw #caddy #mk1caddy #pickup… https://t.co/xSGC0moTeK</t>
  </si>
  <si>
    <t>11-14 Grafton St, Mayfair</t>
  </si>
  <si>
    <t>London Security Syndicate is a London based company specialising in High Quality Security Personnel and service for any purpose. 02070994811 07718373322</t>
  </si>
  <si>
    <t>Westfalen-Blatt</t>
  </si>
  <si>
    <t>Guten Morgen! Unsere ersten Themen: Angeblich #VW-Einigung in USA, #BVBFCB, Geldwäsche in Deutschland. Mehr auf https://t.co/Hm408n4PDe @dpa</t>
  </si>
  <si>
    <t>Ostwestfalen-Lippe/OWL</t>
  </si>
  <si>
    <t>Westfalen-Blatt. 25 regionale Ausgaben. Tageszeitung für Ostwestfalen-Lippe. Twittert live zu ausgewählten Ereignissen auch unter @WB_live</t>
  </si>
  <si>
    <t>Lukatron</t>
  </si>
  <si>
    <t>I'm getting a Darth Vader vibe from my new motor. #vw #passat #darthvader https://t.co/81vD2AMgx0</t>
  </si>
  <si>
    <t>eBay: EARLY 1967 VOLKSWAGEN BEETLE WIDE 5… https://t.co/sKceuojFyC #vwbeetle #vwbug #vw https://t.co/xvfL74PTgl https://t.co/NvXJXq6vpL</t>
  </si>
  <si>
    <t>David</t>
  </si>
  <si>
    <t>VW determined to trash reputation in Australia; DSG and now Dieselgate. #VW #Volkswagen https://t.co/nkNEYEDXnp https://t.co/odxmnujwc0</t>
  </si>
  <si>
    <t>Suicide survivor, victim of domestic violence and proud father of three wonderful people.</t>
  </si>
  <si>
    <t>Herr Nilsson</t>
  </si>
  <si>
    <t>Aha. Und was haben deutsche VW-Fahrer konkret an Entschädigung zu erwarten? @vwgroup_de #vw #dieselgate #klage https://t.co/O2A4RQU3RQ</t>
  </si>
  <si>
    <t>Aachen</t>
  </si>
  <si>
    <t>Ege Yıldırım</t>
  </si>
  <si>
    <t>RT @otoparkcom: İşte karşınızda 2017 #VW #Polo #R #WRC https://t.co/TPv1XAlHCe https://t.co/uERa1f31IN</t>
  </si>
  <si>
    <t>media-release.info</t>
  </si>
  <si>
    <t>#VW Will #BuyBack Your Cheating, #PollutingDiesel https://t.co/5YTyD5w2lf #vehicles #automotive</t>
  </si>
  <si>
    <t>jakarta indonesia</t>
  </si>
  <si>
    <t>Press Release isn’t about hits and it isn’t about placement. It’s about focusing your voice. It’s about finding your place in the market.</t>
  </si>
  <si>
    <t>Ben Planz</t>
  </si>
  <si>
    <t>"VW Golf Mk7 GTI vs. R" now on YouTube! #vw #golf #mk7 #gti #mk7r #bagged #stance #ozwheel… https://t.co/wQxM1ZLn5p https://t.co/cqWT3Z1dTC</t>
  </si>
  <si>
    <t>Germany</t>
  </si>
  <si>
    <t>car enthusiast, writer, filmmaker, creator of the 'summer of tuning' car video series</t>
  </si>
  <si>
    <t>M.Litze</t>
  </si>
  <si>
    <t>RT @handelsblatt: An der #WallStreet sorgt #VW für Fragezeichen: https://t.co/jPSw0GGfFo</t>
  </si>
  <si>
    <t>Plain text even though it is sometimes unclear! The world needs a reset height War</t>
  </si>
  <si>
    <t>Collin La Mey</t>
  </si>
  <si>
    <t>@annaedwardsnews # Come on sweetheart #VW &amp; #Mitsubishi, it's the same thing. I am sure they communicated. Collude &amp;amp; Conspire!!!</t>
  </si>
  <si>
    <t>New York,NY</t>
  </si>
  <si>
    <t>DeezaSun</t>
  </si>
  <si>
    <t>#California #sandiego #morning #ride #vw #vwbug #blue #surf #lifestyle breakfast gentlemens take a ride with his ba… https://t.co/IxfxoVXomY</t>
  </si>
  <si>
    <t>Urban Tech Surfers Tribe</t>
  </si>
  <si>
    <t>Jerry Wright</t>
  </si>
  <si>
    <t>BBC News - VW 'to offer diesel buy back deal in US' https://t.co/sR2fgprQpY #VolksWagon #VW #Business</t>
  </si>
  <si>
    <t>England, United Kingdom</t>
  </si>
  <si>
    <t>I Tweet about current affairs. I have a Saturday Breakfast Show with a Golden Hour 7-9 BST</t>
  </si>
  <si>
    <t>RP Online Wirtschaft</t>
  </si>
  <si>
    <t>Volkswagen: Das Ultimatum läuft ab #VW https://t.co/lIsm2T4k41</t>
  </si>
  <si>
    <t>RP ONLINE - Wirtschaft</t>
  </si>
  <si>
    <t>Nachrichten und Fotos aus dem Ressort Wirtschaft direkt von RP ONLINE. Fragen bitte an @rponline</t>
  </si>
  <si>
    <t>Rheinische Post</t>
  </si>
  <si>
    <t>RT @rpo_wirtschaft: Volkswagen: Das Ultimatum läuft ab #VW https://t.co/lIsm2T4k41</t>
  </si>
  <si>
    <t>Hier twittert die Redaktion von RP ONLINE, dem Internet-Portal der Rheinischen Post. Impressum: https://t.co/2ahV3c3xn7; Foto: CC BY-ND 2.0 von Viktor Bergmann</t>
  </si>
  <si>
    <t>TWAGD</t>
  </si>
  <si>
    <t>@itele Non mais il ne peuvent pas faire polémique car tous les constructeurs français son concerner. @RoyalSegolene accord secret ? #Vw</t>
  </si>
  <si>
    <t>Ain, Rhône-Alpes</t>
  </si>
  <si>
    <t>Wyn Emanuel</t>
  </si>
  <si>
    <t>#VW 'to offer diesel buy back deal in US.’ Why do US consumers always seem to get a better deal than UK ones? https://t.co/90ngaXJAGE</t>
  </si>
  <si>
    <t>OS X</t>
  </si>
  <si>
    <t>Cardiff, Wales</t>
  </si>
  <si>
    <t>Semi-retired but still scribbling . Cymro. FCIPR. Here for whimsy. I promise not to tell you my political views.</t>
  </si>
  <si>
    <t>AUTOMOBIL PRODUKTION</t>
  </si>
  <si>
    <t>Abgas-Skandal: #VW soll sich mit US-Behörden geeinigt haben #dieselgate https://t.co/Do9fsEkZaq</t>
  </si>
  <si>
    <t>Landsberg/Lech</t>
  </si>
  <si>
    <t>AUTOMOBIL PRODUKTION - Das Wirtschaftsmagazin für die Automotive-Elite.</t>
  </si>
  <si>
    <t>Lieven Deswaef</t>
  </si>
  <si>
    <t>RT @ivomechels: Vrijwaar uw rechten,download onze modelbrief #dieselgate #VW https://t.co/UKR1wgRHvb https://t.co/zZGV9fTMxT</t>
  </si>
  <si>
    <t>Brugge</t>
  </si>
  <si>
    <t>#Brugge | #EU | @cdenv | Tweets zijn uiteraard eigen mening.</t>
  </si>
  <si>
    <t>FanCar Picture - Send me your Scirocco pictures!!! (PM Please) #VW #Volkswagen #Scirocco #Tuning https://t.co/jiAQgDjEkQ</t>
  </si>
  <si>
    <t>Pedro J. Cuestas</t>
  </si>
  <si>
    <t>"#VW pagará 5.000 dólares por cliente en #USA debido al escándalo de las emisiones" https://t.co/3kR9dUEZAE</t>
  </si>
  <si>
    <t>Murcia, Spain</t>
  </si>
  <si>
    <t>PhD &amp; Associate Professor of Marketing @marketingUMU @umnoticias. @Catedra_RSC, @aemark &amp; Marketing, SocialMedia &amp; Pricing consultant in @CyAMarkeTeam.</t>
  </si>
  <si>
    <t>Werner Venter</t>
  </si>
  <si>
    <t>RT @motoexposure: 1990 #VW Scirocco https://t.co/qAnRo3C2AV</t>
  </si>
  <si>
    <t>pretoria, south africa</t>
  </si>
  <si>
    <t>Think for yourself, not the app.</t>
  </si>
  <si>
    <t>Stadtpirat</t>
  </si>
  <si>
    <t>„Das haben wir doch noch nie so gemacht!“ Jetzt Horizont erweitern: Konventionen, Doktrien, Irrlichter &amp; Herrenmenschentum abschütteln.</t>
  </si>
  <si>
    <t>Maxi Mus</t>
  </si>
  <si>
    <t>RT @westfalenblatt: Guten Morgen! Unsere ersten Themen: Angeblich #VW-Einigung in USA, #BVBFCB, Geldwäsche in Deutschland. Mehr auf https:/…</t>
  </si>
  <si>
    <t>Hiccup</t>
  </si>
  <si>
    <t>Wie rechtfertigt man eigentlich eine "Einigungszahlung" von 3 Mrd. gegenüber den Aktionären? #dieselgate #VW</t>
  </si>
  <si>
    <t>Stuttgart</t>
  </si>
  <si>
    <t>0, 1–6 cool, 6–20 geht so, 20–30 studiert, 30—∞ $</t>
  </si>
  <si>
    <t>Andrew Carnegie</t>
  </si>
  <si>
    <t>If Europe Has Teeth This Is The Moment They Should Be Snarling! #VW #Environment @CleanAirLondon #politics #news https://t.co/xGb51eV416</t>
  </si>
  <si>
    <t>England someplace</t>
  </si>
  <si>
    <t>Married #Christian Poor Poet~Paltry Philosopher~Pitiful Humour #God #Religion #Politics #Science #Business #Homeless #Poetry #goodread #justpray #micropoetry</t>
  </si>
  <si>
    <t>Laurent</t>
  </si>
  <si>
    <t>#techhippie Smysl pro detail 🤔#vw #vwgolf #vwgiv #giv #golf #tdi #gtd #iv #mkiv #mkkids #vwgram #ndr #madeindeutsch… https://t.co/yrIOZmuu0K</t>
  </si>
  <si>
    <t>#techhippie #vw #volkswagen #golf #mk6 #gtd #stance #deep #low #lowisalifestyle #vwdub #volksdrivers #gtdscty #gtds… https://t.co/CuQ1MnkvXP</t>
  </si>
  <si>
    <t>Stefan Kruse</t>
  </si>
  <si>
    <t>Social Media Enthusiast | Vater, Ehemann, Stehpaddler | @HH_Stealers &amp; @SurfriderHH, @freeletics Rookie https://t.co/27B3XMS7f1</t>
  </si>
  <si>
    <t>PierEmilio Gadda</t>
  </si>
  <si>
    <t>Exclusive: #VW to offer to buy back nearly 500,000 U.S. diesel cars - sources https://t.co/8fPcGjGjT6 via @Reuters #volkswagen #dieselgate</t>
  </si>
  <si>
    <t>Milano</t>
  </si>
  <si>
    <t>Financial journalist. Contributor for @CorrierEconomia (RCS Group), @MilanoFinanza (Class Editori)</t>
  </si>
  <si>
    <t>cmbautomotive</t>
  </si>
  <si>
    <t>#VW to offer #diesel buy back deal in #US https://t.co/CFBYlRaHS0</t>
  </si>
  <si>
    <t xml:space="preserve">Silverstone UK &amp; Detroit USA </t>
  </si>
  <si>
    <t>International Automotive Marketing Experts. We develop brands, drive sales and help create new business opportunities.</t>
  </si>
  <si>
    <t>AzVisionDe</t>
  </si>
  <si>
    <t>#VW steht vor Tagen der #Entscheidung https://t.co/RxRT34NvIv</t>
  </si>
  <si>
    <t>Ragsfx</t>
  </si>
  <si>
    <t>Short #MitsubishiMotors, long #VW could be a trade.</t>
  </si>
  <si>
    <t>Paris - Stockholm - Benin City</t>
  </si>
  <si>
    <t>Ex: Arthur Andersen &amp; Co, Mitsui Bank, Sakura Finance, Tradition Bond Brokers. #forex</t>
  </si>
  <si>
    <t>DhakaTribune</t>
  </si>
  <si>
    <t>#VW 'to offer diesel buy back deal in US' https://t.co/OYsR73adkK #Volkswagen #SanFrancisco https://t.co/q0Fzgbxy3f</t>
  </si>
  <si>
    <t>Dhaka, Bangladesh</t>
  </si>
  <si>
    <t>Dhaka Tribune is the fastest growing English daily in Bangladesh. News, views &amp; features from Bangladesh and the world.</t>
  </si>
  <si>
    <t>WirtschaftsWoche</t>
  </si>
  <si>
    <t>Wie wird wohl die #VW-Aktie auf die mögliche Einigung mit den US-Behörden reagieren? https://t.co/27K6KkOjvX https://t.co/ztkMezXHTC</t>
  </si>
  <si>
    <t>Das führende deutsche Wirtschaftsmagazin. News über Politik, Unternehmen, Börse und Finanzen, Job und Erfolg. • https://t.co/izbdb27mBH</t>
  </si>
  <si>
    <t>donaukurier.de</t>
  </si>
  <si>
    <t>#VW soll sich im #Abgasskandal mit den US-Behörden geeinigt haben https://t.co/SliZrwjlTc</t>
  </si>
  <si>
    <t>Ingolstadt</t>
  </si>
  <si>
    <t>Unabhängige Zeitung für Politik - Wirtschaft - Kultur - Sport - Lokales; Impressum: http://t.co/Dxs8DuOtHe</t>
  </si>
  <si>
    <t>eBay: VW beetle karmann convertible 1962 https://t.co/9O5OxkmwcL #vwbeetle #vwbug #vw https://t.co/xvfL74PTgl https://t.co/c1qS4Ff9iX</t>
  </si>
  <si>
    <t>Sara</t>
  </si>
  <si>
    <t>VW 'to offer diesel buy back deal in US' Do I get compensation? UK resident! #vw https://t.co/jmKoMN1eed</t>
  </si>
  <si>
    <t>I am me</t>
  </si>
  <si>
    <t>Christian Krebs</t>
  </si>
  <si>
    <t>Und in Deutschland gibt's einen warmen, feuchten Händedruck! #VW einigt sich mit US-Behörden vor Fristende https://t.co/OLEvi2ofz7</t>
  </si>
  <si>
    <t>Oberhausen, Deutschland</t>
  </si>
  <si>
    <t>Ich twitter über das was gerade passiert. Seien es meine täglichen Fahrten mit der Deutschen Bahn, oder den normalen wahnsinnigen Alltag der einem begegnet!</t>
  </si>
  <si>
    <t>Achille Prick</t>
  </si>
  <si>
    <t>5000 dollar schadevergoeding voor Amerikaanse #VW-rijders? Rechter spreekt vandaag over #dieselgate https://t.co/9UNwBNMB2A #Handelsblatt</t>
  </si>
  <si>
    <t>The Hague, Netherlands</t>
  </si>
  <si>
    <t>Economieredacteur NOS Journaal, Deutschland, Ciclista, Soccer HBS, Drums, OKH S&amp;B</t>
  </si>
  <si>
    <t>Laurent MERIAUX</t>
  </si>
  <si>
    <t>Chantepie</t>
  </si>
  <si>
    <t>Chargé de mission Qualité &amp; Evaluation à AIDES (@assoAIDES/www.aides.org) Conseiller municipal #Allemagne #Berlin #Europe #Indochine #LGBTI #Politique</t>
  </si>
  <si>
    <t>Volker Votsmeier</t>
  </si>
  <si>
    <t>Die bekommen auch die deutschen #VW-Dieselfahrer große Augen: 5000 Dollar für jeden US-Kunden? - https://t.co/4ldwA4P3QT #Handelsblatt</t>
  </si>
  <si>
    <t>Hier twittert Volker Votsmeier, Redakteur im Investigativ-Team des Handelsblatts. Meine Spezialitäten: Steuerrecht und Wirtschaftsprozesse</t>
  </si>
  <si>
    <t>Speak EV</t>
  </si>
  <si>
    <t>Owner's manuals online https://t.co/vZ4dcfmC8h #VW #GTE #Golf #EV</t>
  </si>
  <si>
    <t xml:space="preserve">Milton Keynes </t>
  </si>
  <si>
    <t>The online community for electric car owners and enthusiasts. Passionate about real-world electric vehicle ownership and usage.</t>
  </si>
  <si>
    <t>Börse ARD</t>
  </si>
  <si>
    <t>#VW wird den #Dax kräftig antreiben https://t.co/9Svzbv8072</t>
  </si>
  <si>
    <t>Frankfurt</t>
  </si>
  <si>
    <t>Hier twittert die Börsenredaktion der ARD. // https://t.co/kfTpPA5IBd // Impressum: https://t.co/NaG4Ew2s3g</t>
  </si>
  <si>
    <t>RT @VolkerVotsmeier: Die bekommen auch die deutschen #VW-Dieselfahrer große Augen: 5000 Dollar für jeden US-Kunden? - https://t.co/4ldwA4P3…</t>
  </si>
  <si>
    <t>Nancy Hulgrave</t>
  </si>
  <si>
    <t>#VW shares seen higher after Wed. rally on hopes for US deal. We'll crunch the numbers with Evercore ISI's Elinghorst on @StreetSignsCNBC</t>
  </si>
  <si>
    <t>@CNBCi Anchor &amp; Reporter. London based by way of NYC and Charlottesville but Detroit is still home. Go Irish / UVA Wahoos! Views are my own.</t>
  </si>
  <si>
    <t>Raul Lubian</t>
  </si>
  <si>
    <t>RT @AFECTADOGRUPOVW: #VW Las autoridades de homologación detectan que una vez retirado el software engañoso, el nivel de consumo se increme…</t>
  </si>
  <si>
    <t>dtb200</t>
  </si>
  <si>
    <t>@BBCr4today @lucyburton and in the UK? @VWUKHelp #VW</t>
  </si>
  <si>
    <t>ksta.de</t>
  </si>
  <si>
    <t>Einigung mit US-Behörden: #VW will offenbar Dieselfahrzeuge zurückkaufen. https://t.co/RE4JGEMK7z (cm)</t>
  </si>
  <si>
    <t>Köln</t>
  </si>
  <si>
    <t>Hier twittert die Online-Redaktion des Kölner Stadt-Anzeiger. Wer wir sind: http://t.co/S08M35K9qe | Impressum: http://t.co/GdfHCY2v6i</t>
  </si>
  <si>
    <t>©The Credit Chemist</t>
  </si>
  <si>
    <t>#VW 'to offer diesel buy back deal in US' - BBC News And what for the UK? Bugger All! Do I feel a hidden deal? https://t.co/iLq0uc0pfi</t>
  </si>
  <si>
    <t>Somewhere near the truth</t>
  </si>
  <si>
    <t>Financy, Credity stuff. Quite a bit on throwing off the shackles of the EU. #Brexit Love Europeans, Hate the EU</t>
  </si>
  <si>
    <t>Oleh Matsko</t>
  </si>
  <si>
    <t>RT @wiwo: Wie wird wohl die #VW-Aktie auf die mögliche Einigung mit den US-Behörden reagieren? https://t.co/27K6KkOjvX https://t.co/ztkMezX…</t>
  </si>
  <si>
    <t>Warszawa, Polska</t>
  </si>
  <si>
    <t>Tech Geek/Student/Passionate to Tech and StartUps</t>
  </si>
  <si>
    <t>RT @AFECTADOGRUPOVW: #VW Las revisiones podrían haberse paralizado por haber detectado un mayor consumo de combustible al eliminar el softw…</t>
  </si>
  <si>
    <t>DER AKTIONÄR</t>
  </si>
  <si>
    <t>#VW 128,00€ +5,31% Aktie hat technisches Potenzial bis 140 € - #TRADING-BUY /Jk https://t.co/bda5rZkliQ https://t.co/SfBPhK2pbM</t>
  </si>
  <si>
    <t>Kulmbach</t>
  </si>
  <si>
    <t>Schnell, detailliert, auf den Punkt. DER AKTIONÄR ist hautnah am Börsengeschehen dran. 20 Experten twittern für Sie täglich unter @aktionaer</t>
  </si>
  <si>
    <t>Ben Hirschler</t>
  </si>
  <si>
    <t>Exclusive: #VW to offer to buy back nearly 500,000 U.S. #diesel cars - sources https://t.co/RJDO9qIgS6</t>
  </si>
  <si>
    <t>Health, pharma, science writer for Reuters. Any opinions are mine.</t>
  </si>
  <si>
    <t>eBay: 2011 VW t5.1 camper with POPTOP Roof!… https://t.co/hBzfe39Xjo #vwcamper #vwbus #vw https://t.co/ZEadscsjBy https://t.co/JGl7kjcpGr</t>
  </si>
  <si>
    <t>eBay: VW VOLKSWAGON T25 TRANSPORTER 1987… https://t.co/N70a3iyGFA #vwcamper #vwbus #vw https://t.co/ZEadscsjBy https://t.co/5N4h0vIPih</t>
  </si>
  <si>
    <t>Stephen Bradshaw</t>
  </si>
  <si>
    <t>#vw now #mitsubishi doing #creativethinking who will be next.</t>
  </si>
  <si>
    <t>Burgess Hill</t>
  </si>
  <si>
    <t>Commuter, husband and father and not necessarily in that order. Also very importantly trustee of the Wolf Hirschhorn Syndrome Trust</t>
  </si>
  <si>
    <t>IOL Motoring</t>
  </si>
  <si>
    <t>#VW, US officials agree #Dieselgate deal for VW to buy back almost 500 000 'cheat' cars.https://t.co/nu6N7R1N08 https://t.co/Zomx31TO7P</t>
  </si>
  <si>
    <t>Johannesburg, South Africa</t>
  </si>
  <si>
    <t>News and reviews by car fanatics for car fanatics.</t>
  </si>
  <si>
    <t>Stuttgarter Zeitung</t>
  </si>
  <si>
    <t>#Abgas-Skandal: #VW soll mit der US-Regierung und Privatanwälten einen Vergleich erzielt haben https://t.co/RjQ2swDrkj</t>
  </si>
  <si>
    <t>Stuttgart, Germany</t>
  </si>
  <si>
    <t xml:space="preserve"> ++++ Hier twittert die Online-Redaktion der Stuttgarter Zeitung. ++++ FB http://t.co/OFmbZp0B Google+ http://t.co/LH7Y0YiN Impressum http://t.co/18hZviRI</t>
  </si>
  <si>
    <t>Tuğçe Baş</t>
  </si>
  <si>
    <t>Işık hüzmeli bebik. 🎈 #vw #vwbus #campervan #nofilter #red @ Coronado Island, San Diego https://t.co/YecD5zqV2S</t>
  </si>
  <si>
    <t>California, USA</t>
  </si>
  <si>
    <t>belki de gülerken ölecek.</t>
  </si>
  <si>
    <t>Mk1GolfOC</t>
  </si>
  <si>
    <t>We love a vintage advert VW advert! #throwbackthursday #tbt #vw #volkswagen #mk1 #mk1golfoc… https://t.co/Gk9eUjJovR</t>
  </si>
  <si>
    <t>Official Twitter of the VW Golf MK1 Owners Club, follow us for official club updates and much more. for enquires email marketing@vwgolfmk1.org.uk</t>
  </si>
  <si>
    <t>M philpot</t>
  </si>
  <si>
    <t>#vw beetle EARLY 1967 VOLKSWAGEN BEETLE WIDE 5 WHEELS SOLID PROJECT https://t.co/HrzbZ2hACI</t>
  </si>
  <si>
    <t>dean</t>
  </si>
  <si>
    <t>RT @Mk1GolfOC: We love a vintage advert VW advert! #throwbackthursday #tbt #vw #volkswagen #mk1 #mk1golfoc… https://t.co/Gk9eUjJovR</t>
  </si>
  <si>
    <t>South Wales</t>
  </si>
  <si>
    <t>Tall, dark, Football - LFC, Rugby, Mountain bike - Trek, WRC, VW Cars-Mk1 Special Edn Quartet. big love to my family.</t>
  </si>
  <si>
    <t>M.Kasper-Claridge</t>
  </si>
  <si>
    <t>#VW to pay US customers $5,000 each to settle suit #dieselgate @dw_business https://t.co/fhK70T5gOo</t>
  </si>
  <si>
    <t>Berlin, Germany</t>
  </si>
  <si>
    <t>Journalist,head of business and science #DW @DeutscheWelle Germanys international broadcaster passionate reporter with great interest in humans</t>
  </si>
  <si>
    <t>databaseDNA</t>
  </si>
  <si>
    <t>.#DB revelations about #gold &amp; #silver rigging same time #VW gets a settlement number for emissions violations. #MoreGoingOnBehindTheScenes</t>
  </si>
  <si>
    <t>Durkadurkastan</t>
  </si>
  <si>
    <t>There is no Santa; &amp; #Fluoride is a #RulingClass tax rape drug. #Trading #Programming #Sarcasm #Politics #Nutrition #Delphi</t>
  </si>
  <si>
    <t>Local VW owners eager to learn settlement details: The deal impacts owners of "clean diesel" V... https://t.co/6etvhP9KlW #VW #jetta #car</t>
  </si>
  <si>
    <t>2015-2016 Volkswagen Jetta recalled for brake issue: Volkswagen has issued a recall notice for... https://t.co/LOXbTpRTiU #VW #jetta #car</t>
  </si>
  <si>
    <t>Volkswagen confirms imminent arrival of new Jetta variants and all-new Passat B8: Volkswagen G... https://t.co/hnRQh8MP9I #VW #jetta #car</t>
  </si>
  <si>
    <t>ASP®™</t>
  </si>
  <si>
    <t>RT @ManuelaKC: #VW to pay US customers $5,000 each to settle suit #dieselgate @dw_business https://t.co/fhK70T5gOo</t>
  </si>
  <si>
    <t>Miami Beach (305)</t>
  </si>
  <si>
    <t>| News junkie | Tennis fan | MotoGP | RT ≠ endorsements |</t>
  </si>
  <si>
    <t>We love a vintage VW advert! #throwbackthursday #tbt #vw #volkswagen #mk1 #mk1golfoc #mk1golf… https://t.co/Gk9eUjJovR</t>
  </si>
  <si>
    <t>dwnews</t>
  </si>
  <si>
    <t>Bonn, Germany</t>
  </si>
  <si>
    <t>Your go-to account for everything DW. Tweeting our news feed + updates from editors and social media curators. http://t.co/Auk9kHTK3T #Germany</t>
  </si>
  <si>
    <t>Mike deGerman</t>
  </si>
  <si>
    <t>Im Moment sieht es wohl so aus: 5.000 $ für geschädigte US-Amerikaner. 0,0 Euro für geschädigte Deutsche. #Volkswagen #dieselgate #vw</t>
  </si>
  <si>
    <t>Wo das Meer zu Ende ist</t>
  </si>
  <si>
    <t>It's Human, and It's Got an Axe!</t>
  </si>
  <si>
    <t>Thibault Laconde</t>
  </si>
  <si>
    <t>La presse allemande affirme que le logiciel utilisé par #VW dans le #dieselgate a été développé en 1999 par Audi. https://t.co/W8n0Zqpi6p</t>
  </si>
  <si>
    <t>Paris, monde</t>
  </si>
  <si>
    <t>Consultant #énergie-#climat &amp; blogueur. Auteur d'une étude de l'impact économique de l'#AccordDeParis: https://t.co/5vbyGvnX4j contact@energie-developpement.com</t>
  </si>
  <si>
    <t>Emilia7seven</t>
  </si>
  <si>
    <t>emilia7, new and fresh,about fashion,fashion blogs,travel and culture,emiliaseven coming soon....whatsapp: 0739374151</t>
  </si>
  <si>
    <t>BelleNews</t>
  </si>
  <si>
    <t>#VW Reaches Diesel Buy Back Deal in US... https://t.co/AHlQUoFgoJ</t>
  </si>
  <si>
    <t>US</t>
  </si>
  <si>
    <t>BelleNews - Daily news from all over the world.</t>
  </si>
  <si>
    <t>Markus van de Weyer</t>
  </si>
  <si>
    <t>#VW Said to Pay At Least $10 Billion in U.S. Diesel-Cheating Suit https://t.co/Roprx1qUPA via @business #Volkswagen #DAX #Aktien #stocks</t>
  </si>
  <si>
    <t>#Fondsmanager #Unternehmer #Gründer #Investor</t>
  </si>
  <si>
    <t>Sukanya Suveesh</t>
  </si>
  <si>
    <t>Eine Zeitung</t>
  </si>
  <si>
    <t>Abgasmanipulation: #Tesla (@TeslaMotors) betankt nachts heimlich seine E-Autos mit Benzin - https://t.co/Rd6zfsQcv9 #VW (Archivmeldung)</t>
  </si>
  <si>
    <t>Deutschlands dritt- oder viertgrößtes Satiremagazin.</t>
  </si>
  <si>
    <t>Der Werni</t>
  </si>
  <si>
    <t>Berlin Lichtenrade</t>
  </si>
  <si>
    <t>BER ? ist das Kunst oder kann das weg? Kann weg und zwar sofort. Bekennender DM Umrechner und Liebhaber schöner Verschwörungstheorien. (viel davon ist wahr)</t>
  </si>
  <si>
    <t>Dolly's Delights</t>
  </si>
  <si>
    <t>RT @TheLovebusWedCo: #weddinghour our gorgeous @DollysdelightsS features in a blog here #icecream #vw #countrywedding https://t.co/l77iQ3dn…</t>
  </si>
  <si>
    <t>Newton le Willows England</t>
  </si>
  <si>
    <t>Vintage splitscreen VW Ice-cream/Candy camper van available for Festivals, Shows, Parties and Wedding hire, Get in touch to have it at your event!</t>
  </si>
  <si>
    <t>Bernd Ziesemer</t>
  </si>
  <si>
    <t>RT @MarkCSchneider: Einigung mit Justiz - Betrogene Kunden sollen 5000 Dollar von #VW erhalten https://t.co/9KNXj0nMgY via @welt</t>
  </si>
  <si>
    <t>Journalist, Buchautor, Berater und langjähriger Handelsblatt-Kolumnist. Blog über Medien, Marketing und ökonomische Vernunft</t>
  </si>
  <si>
    <t>RT @IOLmotoring: #VW, US officials agree #Dieselgate deal for VW to buy back almost 500 000 'cheat' cars.https://t.co/nu6N7R1N08 https://t.…</t>
  </si>
  <si>
    <t>Mike Spence</t>
  </si>
  <si>
    <t>Shoreham-by-Sea, England</t>
  </si>
  <si>
    <t>@ChelseaFC fan | #Shoreham | Business Development Manager for @brightec</t>
  </si>
  <si>
    <t>Jan Claesz ♓️</t>
  </si>
  <si>
    <t>#VW betaalt 5000 dollar per geval. #dieselgate https://t.co/fQL6j02jsR</t>
  </si>
  <si>
    <t xml:space="preserve">Quod Erat Demonstrandum </t>
  </si>
  <si>
    <t>geopolitics</t>
  </si>
  <si>
    <t>Bunderswehr Oval belonging to the Grundtmanns. #vwoval #ovalbeetle #ovalbug #vintagevw #aircooledvw #aircooled #vw… https://t.co/GIm7OushFa</t>
  </si>
  <si>
    <t>Swap meet at Kelley Park. #vw #rarevintageairvwclub #kelleypark #vwlife #vwbug #vwbeetle by shin58bug https://t.co/PqnfHgWO0y</t>
  </si>
  <si>
    <t>Alex von Witzleben</t>
  </si>
  <si>
    <t>Lithium War Heats Up After Epic Launch Of Tesla Model 3 – Analysis https://t.co/65YayPE8un #electriccar #electriccars #vwgate #vw</t>
  </si>
  <si>
    <t xml:space="preserve">Brussels @EU_Commission </t>
  </si>
  <si>
    <t>Views are my own - follow economic history, competitiveness, getting out of economic crisis, promote Europe, smart and innovative green policies</t>
  </si>
  <si>
    <t>Franz W. Rother</t>
  </si>
  <si>
    <t>Wird spannend heute für #vw: Um 16:00 MEZ Status Hearing in Frisco zu #dieselgate. Ergebnisse werden Managern 21:00 im Webcast präsentiert</t>
  </si>
  <si>
    <t>Wirtschaftswoche</t>
  </si>
  <si>
    <t>Beetle | Crisis 💁🏼 #ed38 #edition38 #earlyedition #vw #vwbeetle #autofinesse #bbs #3sdm #fitteduk #static #bagged #… https://t.co/F4YeqW9d8h</t>
  </si>
  <si>
    <t>Bathing🛀🏻🛀🏻🛀🏻💦💦 #vw #vwbug #vwbeetle #vwbeetlelovers #volkswagen #beetle #newbeetle #newbeetleclub #gobeetleclubhk … https://t.co/xEJeeInxr8</t>
  </si>
  <si>
    <t>Fußpflege Müller</t>
  </si>
  <si>
    <t>RT @MiManske: Jetzt werden die Kläger auch in Europa 5000€ Entschädigung fordern. Wird teuer für #VW. #dieselgate</t>
  </si>
  <si>
    <t>Delmenhorst</t>
  </si>
  <si>
    <t>Damien McGuinness</t>
  </si>
  <si>
    <t>Berlin</t>
  </si>
  <si>
    <t>BBC correspondent covering Germany. Presenter of DW's Focus on Europe. Based in Berlin. Previously BBC correspondent in Tbilisi and Riga.</t>
  </si>
  <si>
    <t>ChitChatAutos</t>
  </si>
  <si>
    <t>Could be a big step backward for German auto manufacturer Volkswagen. #VW #Volkswagen https://t.co/95Q6d0BSSR</t>
  </si>
  <si>
    <t>Texas, USA</t>
  </si>
  <si>
    <t>Group of car guys. We build cars, we work on cars, we talk cars, we write about cars, we think about cars. We like new cars, we like old cars. We like cars.</t>
  </si>
  <si>
    <t>Only Ferrari Pics</t>
  </si>
  <si>
    <t>#citywalks #ferrari #elite #lego #vw #minicooper #batman #458italia by toysmuzka https://t.co/p0WHPREvtC</t>
  </si>
  <si>
    <t>24/7 Ferrari Pics</t>
  </si>
  <si>
    <t>Leslee</t>
  </si>
  <si>
    <t>RT @VAGFanArg: VW Polo 6R GTi by JBP Automotive Photography #VW #Polo #6R #GTi #VAW #Volkswagen https://t.co/uZGI7yWoGw</t>
  </si>
  <si>
    <t>TipTop App</t>
  </si>
  <si>
    <t>くーや</t>
  </si>
  <si>
    <t>RT @SOLASAMA1: 一部の変態に贈る一眼レフシリーズ。 純正もいいけどKUSTOMとかLOWRIDERな内装もかっこよすぎる。 #lowlifevwmeeting2016 #vw #vwporn #slammed #aircooled #一眼レフ https://…</t>
  </si>
  <si>
    <t>お家☆</t>
  </si>
  <si>
    <t>家がお店してるんで、そこのお手伝いです(。・ω・。)ゞ☆音楽ちょ~好き♪♪♪漫画もちょ~好き♪♪♪ピアスもちょ~好き♪♪♪よろしくです(ゝω・´★)☆★☆</t>
  </si>
  <si>
    <t>Daniel Barnes</t>
  </si>
  <si>
    <t>RT @AlexWitzleben: Lithium War Heats Up After Epic Launch Of Tesla Model 3 – Analysis https://t.co/65YayPE8un #electriccar #electriccars #v…</t>
  </si>
  <si>
    <t>Bot_Car25</t>
  </si>
  <si>
    <t>I retweet things about cars.</t>
  </si>
  <si>
    <t>Darauf hofft #vw-Management nach langem Ringen. Um 17 Uhr MEZ ist Wolfsburg schlauer - und beginnt großes Rechnen https://t.co/3NTUNlVGAX</t>
  </si>
  <si>
    <t>ingenieur.de</t>
  </si>
  <si>
    <t>#VW will jeden US-Kunden mit 5000 Dollar entschädigen. https://t.co/Ax0eZGEFsM #dieselgate</t>
  </si>
  <si>
    <t>Das Nachrichtenportal für Technikfans. Impressum: http://t.co/JDdAki0WUs</t>
  </si>
  <si>
    <t>RT @SOLASAMA1: #lowlifevwmeeting2016 #vw #vwporn #slammed #slammedvw #kustom #veedub 一部の変態に贈る一眼レフシリーズ。 Beeeeeeeeetles https://t.co/9dvSKG…</t>
  </si>
  <si>
    <t>Pred_cnh</t>
  </si>
  <si>
    <t>RT @EineZeitung: Abgasmanipulation: #Tesla (@TeslaMotors) betankt nachts heimlich seine E-Autos mit Benzin - https://t.co/Rd6zfsQcv9 #VW (A…</t>
  </si>
  <si>
    <t>Carbon v2</t>
  </si>
  <si>
    <t>Bremerhavener; Informatiker; Gamer; Pirat; Aluhut; Bassist der Band BRAND; ...</t>
  </si>
  <si>
    <t>#VW betaalt 5000 dollar per geval #dieselgate https://t.co/Bldm6vBw6K</t>
  </si>
  <si>
    <t>#VW-Aktien klettern weiter kräftig: https://t.co/mCVWMnbs1v</t>
  </si>
  <si>
    <t>kenneth rumph</t>
  </si>
  <si>
    <t>London, Edinburgh, Berwick</t>
  </si>
  <si>
    <t>#Cleantech #Watertech #Agritech IP commercialisation financial analyst esp. #China, energy/resource efficiency, smart home/grid, transport. #film, Sci-Comedy</t>
  </si>
  <si>
    <t>Sao</t>
  </si>
  <si>
    <t>Hoping full buyback will announce tomorrow. Still not apply for goodwill caz I want full buyback original price! #vw #buybackmytdi pleease!</t>
  </si>
  <si>
    <t>Bloomberg Industry</t>
  </si>
  <si>
    <t>#SCOOP by @Rauwald @Alanrkatz and @KartikayM #VW Said to Pay At Least $10 Billion in U.S. #Diesel-Cheating Suit https://t.co/U7BZjkJdl2</t>
  </si>
  <si>
    <t>Europe</t>
  </si>
  <si>
    <t>Breaking news and analysis from Bloomberg's industry and chemicals team in Europe, the Middle East and Africa.</t>
  </si>
  <si>
    <t>Truck &amp; Trailer</t>
  </si>
  <si>
    <t>Technology is evolving at a rapid pace, and #vw is planning on bringing out some hi-tech #trucks... (https://t.co/M4aek9q0Dp) @VolkswagenSA</t>
  </si>
  <si>
    <t>Africa's premier website for Truck &amp; Trailer classifieds</t>
  </si>
  <si>
    <t>VW Heritage</t>
  </si>
  <si>
    <t>The story of the fuel-efficient and totally innovative #VW Auto 2000 concept https://t.co/a0r4aJMzxc #VWHblog</t>
  </si>
  <si>
    <t>VW Heritage is the UK Partner for VW Classic Parts. Offering genuine and top quality parts for your classic Volkswagen vehicle.</t>
  </si>
  <si>
    <t>Brett Hausfeld</t>
  </si>
  <si>
    <t>Another car maker caught out: #MitsubishiMotors has been found to fudge it's #emissions figures #BusinessEthics #VW https://t.co/Jvzz5Z4V7S</t>
  </si>
  <si>
    <t>New South Wales, Australia</t>
  </si>
  <si>
    <t>MKT and MGT Major at @UTS , enjoying the journey. Making comment on Social, Political and Economic topics in Aus and abroad</t>
  </si>
  <si>
    <t>Michael Manske</t>
  </si>
  <si>
    <t>#VW mit US-Behörden einig? Ein beteiligter Anwalt zu @BILD: "Grundsätzlich stimmt das!" #dieselgate @BILD_Reporter</t>
  </si>
  <si>
    <t>Berlin/Wolfsburg/Hamburg/Welt</t>
  </si>
  <si>
    <t>Weltoffen. Neugierig. Spontan. Work: @BILD_Reporter. Snapchat: MMManske</t>
  </si>
  <si>
    <t>ItaliaRialzati</t>
  </si>
  <si>
    <t>#VW eviterà il processo negli usa pagando 5000 ad ogni acquirente truffato con il #dieselgate. E gli europei? Perché nessuno ne parla?</t>
  </si>
  <si>
    <t>qui.</t>
  </si>
  <si>
    <t>Promemoria:ricordati di vivere oggi. Domani non sai se potrai farlo. Conosco un sacco di banalità simili a questa</t>
  </si>
  <si>
    <t>monique goyens</t>
  </si>
  <si>
    <t>so #VW would compensate every US consumer concerned for 4.400 €; What about Europeans? #dieselgate https://t.co/OuNxm0O7XY</t>
  </si>
  <si>
    <t>DG of @beuc, the consumer voice in EU, with 25+ y experience in consumer policy. Full belief in smart consumption. Views expressed personal but convinced.</t>
  </si>
  <si>
    <t>#VW avoids Federal US trial by paying diesel customers 5000 dollars https://t.co/t4S6H6fZwT https://t.co/xKRxCqUXfF</t>
  </si>
  <si>
    <t>Kipanga Capital</t>
  </si>
  <si>
    <t>A Different Kind Of Investment Banking</t>
  </si>
  <si>
    <t>BILD Investigativ</t>
  </si>
  <si>
    <t>RT @MiManske: #VW mit US-Behörden einig? Ein beteiligter Anwalt zu @BILD: "Grundsätzlich stimmt das!" #dieselgate @BILD_Reporter</t>
  </si>
  <si>
    <t>Hier twittern die BILD-Reporter des Ressorts Investigative Recherche · Impressum: http://t.co/ynvQ2EESuF</t>
  </si>
  <si>
    <t>eBay: VW T5 Camper Van ** No VAT** https://t.co/01LoZ321H2 #vwcamper #vwbus #vw https://t.co/ZEadscsjBy https://t.co/oRl3OniI8n</t>
  </si>
  <si>
    <t>eBay: VW T4 Caravelle/Transporter 1996 8 seats… https://t.co/cnThcB23vk #vwcamper #vwbus #vw https://t.co/ZEadscsjBy https://t.co/7kumM9gE4C</t>
  </si>
  <si>
    <t>Ruimtelijke Ordening</t>
  </si>
  <si>
    <t>RT @moniquegoyens: so #VW would compensate every US consumer concerned for 4.400 €; What about Europeans? #dieselgate https://t.co/OuNxm0O…</t>
  </si>
  <si>
    <t>Nederland</t>
  </si>
  <si>
    <t>De ruimtelijke ordening: stad | wonen | werken | infrastructuur | mobiliteit | landbouw | recreatie | erfgoed | landschap | natuur | water | energie</t>
  </si>
  <si>
    <t>BILD Politik</t>
  </si>
  <si>
    <t>Hier twittert das Ressort Politik und Wirtschaft von BILD · Impressum: http://t.co/LAK7NWfgdB</t>
  </si>
  <si>
    <t>Julian S.</t>
  </si>
  <si>
    <t>Das #Volkswagen Fest! Mit Auspuff-Schnuppern für die Kleinen, DIY-Rußpartikelfilter und Boni-Tombola. @heuteshow #VW https://t.co/T7ckcuAL8X</t>
  </si>
  <si>
    <t>Karlsruhe</t>
  </si>
  <si>
    <t>Karlsruhe | Sport-Content | Alltägliches | Politisches | Social Media</t>
  </si>
  <si>
    <t>Andrew Hurst</t>
  </si>
  <si>
    <t>Interesting development. #VW 'strikes #US deal to buy back #diesel cars' https://t.co/Cw6Or4M6oY #dieselgate #Volkswagen</t>
  </si>
  <si>
    <t>Newton Le Willows, UK</t>
  </si>
  <si>
    <t>@moniquegoyens Wanneer nodig zullen wij ook overgaan tot gerechtelijke actie. #VW #dieselgate</t>
  </si>
  <si>
    <t>this is this.</t>
  </si>
  <si>
    <t>Hamburg, Deutschland</t>
  </si>
  <si>
    <t>Filmemacher, Satiriker, gelegentlich Werber. Also verdienter Passagier der Arche B.</t>
  </si>
  <si>
    <t>Alcuin Bramerton</t>
  </si>
  <si>
    <t>#Germany: #Volkswagen offers to buy back 500,000 #US 2.0l #cars. https://t.co/DMLQeMnI1h #1ab #VOWG #VW #VOW #VLKAY https://t.co/G57ihfpImJ</t>
  </si>
  <si>
    <t>Alcuin Bramerton edits the Alcuin and Flutterby Blog and also writes here: https://t.co/jIAU5MI80j</t>
  </si>
  <si>
    <t>Linda Shelley</t>
  </si>
  <si>
    <t>This arrived first thing this morning - can't wait for the kids to see it! Roll on Summer! #VW #Dublove https://t.co/coMK6RVVHi</t>
  </si>
  <si>
    <t>Kent</t>
  </si>
  <si>
    <t>YOU are unique. . . so is your individual style. Let us help you make your HOME a reflection of your individual personality. Be yourself. Be you. Be COMFI. : )</t>
  </si>
  <si>
    <t>Klaus Burmeister</t>
  </si>
  <si>
    <t>deutsche #Automobilindustrie: Konkurrenz belebt das Geschäft...#VW #BMW #Daimler #innovation #Tesla #autonomouscars https://t.co/KDWNpkrbyI</t>
  </si>
  <si>
    <t>Corporate and Public Foresight, Disruption and Innovation, Future of Work, Production, Cities and Value Creation</t>
  </si>
  <si>
    <t>Paul Brooks</t>
  </si>
  <si>
    <t>RT @classicauto79: #VW Golf mk1 https://t.co/dNzR2o6HeC</t>
  </si>
  <si>
    <t>IM Erika (nicht)</t>
  </si>
  <si>
    <t>DE Sachsen-Anhalt</t>
  </si>
  <si>
    <t>Geboren, gelernt und studiert, am Arbeiten, um endlich zu leben!</t>
  </si>
  <si>
    <t>News on Hunt</t>
  </si>
  <si>
    <t>.Exclusive: #VW to offer to buy back nearly 500000 US #diesel https://t.co/OAUCPgDPaq https://t.co/DC00erdfzu</t>
  </si>
  <si>
    <t>Ulrich W. Hanke</t>
  </si>
  <si>
    <t>Heute im Guten-Morgen-Briefing: Warten auf die #EZB, Hoffen für #VW-Fahrer und Schlappe für #Apple. https://t.co/O8reLftS9f</t>
  </si>
  <si>
    <t>Frankfurt am Main</t>
  </si>
  <si>
    <t>Finanzjournalist, Herausgeber und Chefredakteur der Zeitschrift http://t.co/LooJa6sdmL</t>
  </si>
  <si>
    <t>#VW-Aktien sind nach Gerüchten über eine Einigung mit den US-Behörden im Abgasskandal gefragt. https://t.co/QoyxGj9wIc</t>
  </si>
  <si>
    <t>Caroline Hyde</t>
  </si>
  <si>
    <t>#VW leads charge as reports build come to accord 2set aside at least $10b resolve lawsuits in US over #dieselgate https://t.co/Kq4CnCuN4h</t>
  </si>
  <si>
    <t>Business Correspondent @BloombergTV. Penchant for tech, restaurants &amp; Jay-Z...Views are my own.</t>
  </si>
  <si>
    <t>moneyguru</t>
  </si>
  <si>
    <t>Συμφωνία VW - αμερικανικής κυβέρνησης για τις αποζημιώσεις! #VW #Volkswagen https://t.co/5O7MYvHbC1</t>
  </si>
  <si>
    <t>Ένας γκουρού για τα οικονομικά σας και όχι μόνο</t>
  </si>
  <si>
    <t>NDR Info</t>
  </si>
  <si>
    <t>Offenbar Einigung von #VW &amp; US-Justizbehörden: #dieselgate US-Kunden können auf 4.400 Euro Entschädigung hoffen. https://t.co/snHvvUV3Cb</t>
  </si>
  <si>
    <t>Das Informationsradio des NDR | Offizielle Präsenz | Homepage http://t.co/gy7LcwsoNy | Impressum http://t.co/7K587XoLje</t>
  </si>
  <si>
    <t>DW (Deutsch)</t>
  </si>
  <si>
    <t>#dieselgate: #VW soll sich mit den US-Behörden auf einen Vergleich verständigt haben. https://t.co/lJ7A2DCFYl https://t.co/MHWdK6vGSL</t>
  </si>
  <si>
    <t>Wir schreiben, was wichtig ist. Ihr sagt uns, was ihr denkt: Diskutiert mit uns Nachrichten aus Deutschland und der Welt.http://t.co/rqHYeLhxTr</t>
  </si>
  <si>
    <t>Vee Double Moo</t>
  </si>
  <si>
    <t>Third corporate booking for @UKVolkswagen next week. Can't wait! #pride #VW #icecreamPR #events #PR</t>
  </si>
  <si>
    <t>Softserve ice cream reinvented - local ingredients &amp; homemade touches. NOW at College Green BS1 Saturdays &amp; Sundays. Further afield too! #eatmoreicecream</t>
  </si>
  <si>
    <t>Boason Omofaye</t>
  </si>
  <si>
    <t>Lagos, Nigeria</t>
  </si>
  <si>
    <t>26-Yrs of Business Journalism in print, on Radio/TV &amp; Online: Head Business News ChannelsTV, ex-BloombergTVA, MBI, AIT, DBN, NTA Views Are Mine. @boasonbusiness</t>
  </si>
  <si>
    <t>#VW 130,00€ +7,50% Aktie testet die 200-Tage-Linie - technisches Potenzial im Anschluss bis 140€ #Trading-BUY /JK https://t.co/iRozByhF9q</t>
  </si>
  <si>
    <t>Phil Evans</t>
  </si>
  <si>
    <t>Bristol &amp; London</t>
  </si>
  <si>
    <t>Competition, trade, IPR, sports, music nut. UK Competition and Markets Authority Inquiry Chair; views entirely &amp; decidedly own. RT is not endorsement.</t>
  </si>
  <si>
    <t>Independent realworld car pollution metric EQUA added to fuel economy by @E_Analytics as #mitsubishi join #VW in #autoshame, good timing</t>
  </si>
  <si>
    <t>Jeremy Mansfield</t>
  </si>
  <si>
    <t>VW, US reach deal for carmaker to buy back 500,000 vehicles: reports https://t.co/pKQeGc1oKs - via @abcnews #VW #ethical</t>
  </si>
  <si>
    <t>Brisbane, Australia</t>
  </si>
  <si>
    <t>Passionate abt #sustainability, disaster #resilience #climate #adaptation #SMEM #em2au @GreenCrossAus #Impinv #leadership #MUFC #GoRoar.Views my own</t>
  </si>
  <si>
    <t>The Consumer Voice</t>
  </si>
  <si>
    <t>Brussels, Belgium</t>
  </si>
  <si>
    <t>BEUC represents its 41 independent national consumer organisations in Brussels and defends the interests of European consumers.</t>
  </si>
  <si>
    <t>Alex Pegg</t>
  </si>
  <si>
    <t>Another day polluting the Earth with emissions from my #VW Scirocco @volkswagen</t>
  </si>
  <si>
    <t>Leicester</t>
  </si>
  <si>
    <t>IT professional who loves: guitars, music, drinking, cinema, squash, movies, IT and my son. Contact me at: alex.pegg@outlook.com</t>
  </si>
  <si>
    <t>Julie Frère</t>
  </si>
  <si>
    <t>Porte-parole de Test-Achats - http://t.co/HfJer6HCa7</t>
  </si>
  <si>
    <t>Mark Plackett</t>
  </si>
  <si>
    <t>ID Microbiologist, Computer Eng and more recently Builder with a keen interest in the environment</t>
  </si>
  <si>
    <t>Jean-Philippe Ducart</t>
  </si>
  <si>
    <t>Belgium</t>
  </si>
  <si>
    <t>Manager Lobby&amp;Press/Porte-parole Test-Achats alias @MrConso alias J-Ph. Ducart</t>
  </si>
  <si>
    <t>Simon November</t>
  </si>
  <si>
    <t>Leuven, België</t>
  </si>
  <si>
    <t>Woordvoerder van Test-Aankoop, jurist-historicus, aspirant voetballer. Tweets are my own</t>
  </si>
  <si>
    <t>Audrey Van Hamme</t>
  </si>
  <si>
    <t>Lobby &amp; Press Assistant @ Test-Achats</t>
  </si>
  <si>
    <t>Emissions Analytics</t>
  </si>
  <si>
    <t>RT @cleantechken: Independent realworld car pollution metric EQUA added to fuel economy by @E_Analytics as #mitsubishi join #VW in #autosha…</t>
  </si>
  <si>
    <t>London and California</t>
  </si>
  <si>
    <t>Delivering automotive insight using portable emissions measurement systems for cars, trucks and buses. Fuel economy data for TrueMPG will not be published here.</t>
  </si>
  <si>
    <t>Dammo Photography</t>
  </si>
  <si>
    <t>Big Bang this weekend @SantaPodRaceway are you going? #bigbang #santapod #vw #Volkswagen #splitscreen #baywindow https://t.co/zGfffLAX8Z</t>
  </si>
  <si>
    <t>Bedfordshire</t>
  </si>
  <si>
    <t>Photography with Soul - Lensman for hire. Mod bands, contact me. Northern Soul, Ska, Rockabilly, Hot Rods, Scooters, Vintage Bikes, subculture.</t>
  </si>
  <si>
    <t>Και η Mitsubishi εμπλέκεται σε σκάνδαλο ρύπων! #Mitsubishi #Nissan #VW https://t.co/IWNrqWPzOS</t>
  </si>
  <si>
    <t>Maggie Pie</t>
  </si>
  <si>
    <t>Question... Who gets the $$ from fines imposed on #VW &amp; #Mitsubishi .#Kia recently paid millions it went to the #US https://t.co/sBICsXqnEZ</t>
  </si>
  <si>
    <t>Melbourne</t>
  </si>
  <si>
    <t>Listener Speaker</t>
  </si>
  <si>
    <t>Christoph Rauwald</t>
  </si>
  <si>
    <t>RT @EuropeIndustry: #SCOOP by @Rauwald @Alanrkatz and @KartikayM #VW Said to Pay At Least $10 Billion in U.S. #Diesel-Cheating Suit https:/…</t>
  </si>
  <si>
    <t>Bloomberg reporter covering Volkswagen, Audi, Porsche, Mercedes, BMW. Previously WSJ/DJ. Tweets reflect my own views.</t>
  </si>
  <si>
    <t>Rate My Camper</t>
  </si>
  <si>
    <t>For some amazing #campervans go to https://t.co/ICoKnUN3RN and you could win great prizes from @JustKampers #vw https://t.co/LqZlAXYoGU</t>
  </si>
  <si>
    <t>Win a Camper Cook set worth over £50 every month. Enter your campervan or rate others today!!</t>
  </si>
  <si>
    <t>Gav</t>
  </si>
  <si>
    <t>@SkyNews #VW don't cave in, tell the yanks to #FUCKOFF</t>
  </si>
  <si>
    <t>England</t>
  </si>
  <si>
    <t>English and proud.</t>
  </si>
  <si>
    <t>https://t.co/U4G8fteFBD - #vw #volks #volkswagen #vwt4 #bus #multivan #vwmultivan #vwscen… https://t.co/dUhz0I1LXT https://t.co/vEpIloDdU8</t>
  </si>
  <si>
    <t>We love a vintage VW advert! #throwbackthursday #tbt #vw #volkswagen #mk1 #mk1golfoc #mk1golf #mk1golfowners #mk1go… https://t.co/DcONVRGRFR</t>
  </si>
  <si>
    <t>Rado Bogdanowich</t>
  </si>
  <si>
    <t>Health insurance lawyer, legal procedure. Ex sprinter. Love nature. Prefer psychology versus math of economics. Article excerpts, opinions.</t>
  </si>
  <si>
    <t>Binta Balinda</t>
  </si>
  <si>
    <t>RT @vwpress_en: World premiere at #VWBeijingAutoshow16: First glimpse of the new high-tech SUV by #VW. https://t.co/05PTioFL4q https://t.co…</t>
  </si>
  <si>
    <t>Now you have came here why don't you follow me :D :P</t>
  </si>
  <si>
    <t>ふじやまぱぱ</t>
  </si>
  <si>
    <t>VWは買い取り、三菱自動車は？ 『ＶＷ、不正車５０万台を買い戻しへ 米当局と合意と報道』【朝日新聞】 https://t.co/zJAQRpnugq #燃費不正 #VW #三菱自動車</t>
  </si>
  <si>
    <t>アメブロ【ふじやまぱぱの御高説】です。</t>
  </si>
  <si>
    <t>「ネット保守連合」東京参加</t>
  </si>
  <si>
    <t>Richard Foster</t>
  </si>
  <si>
    <t>@VictoriaWoodUK was the only #VW with guaranteed clean emissions. #clean #clever #family #comedy #RIP</t>
  </si>
  <si>
    <t>Hackney, London, England</t>
  </si>
  <si>
    <t>Creative type at @casualfilms with a penchant for puns, born again runner thanks to @GoodGym and wannabe wine connoisseur</t>
  </si>
  <si>
    <t>FanCar Picture - Send me your Scirocco pictures!!! (PM Please) #VW #Volkswagen #Scirocco #Tuning https://t.co/xEedRkkH9e</t>
  </si>
  <si>
    <t>S.K. Handels GmbH</t>
  </si>
  <si>
    <t>Natascha und Konstantin mit ihrem neuen tollen Auto, einem #VW #Golf Plus in Weiß. Das Fahrzeug zeichnet sich... https://t.co/gO7ZYNKnCu</t>
  </si>
  <si>
    <t>Aicha vorm Wald</t>
  </si>
  <si>
    <t>SEAT Neu- und Gebrauchtwagen Passau, Partikelfilter, Katalysatoren, Euro 5-Umrüstungen, Anhängelasterhöhung, Auflastungen, Entwicklung Elektroauto, ...</t>
  </si>
  <si>
    <t>Sufiy</t>
  </si>
  <si>
    <t>Global.</t>
  </si>
  <si>
    <t>Investing as a way of life based on common sense. There is magic, but you have to be the magician. You have to make the magic happen.</t>
  </si>
  <si>
    <t>ZEITONLINEWirtschaft</t>
  </si>
  <si>
    <t>Die Einigung zwischen #VW und US-Behörden könnte stehen – VW will wohl 500.000 Autos in den USA zurückkaufen. (nd) https://t.co/ge7pojG3QV</t>
  </si>
  <si>
    <t>ZEITonline</t>
  </si>
  <si>
    <t>Hamburg/Berlin</t>
  </si>
  <si>
    <t>ZEIT ONLINE Wirtschaft: Marcus Gatzke (msg), Matthias Breitinger (mbr), Alexandra Endres (ae), Tina Groll (tgr), Marlies Uken (muk)</t>
  </si>
  <si>
    <t>remoot</t>
  </si>
  <si>
    <t>Exclusive: VW to offer to buy back nearly 500,000 U.S. diesel cars - sources https://t.co/ezbGMopmNe #VW #buyback</t>
  </si>
  <si>
    <t>Your Recruiting Agent. On Twitter, you will see news from https://t.co/m4JtcHeouj</t>
  </si>
  <si>
    <t>Mertcan Divrinlioğlu</t>
  </si>
  <si>
    <t>#Volkswagen #Tuning //MD #Vw #dapper #Cambergang #StanceWork #RoyalStance https://t.co/17sH8F5eyS https://t.co/HMb7h9Xubq</t>
  </si>
  <si>
    <t xml:space="preserve">Cyprus </t>
  </si>
  <si>
    <t>If one day speed kills me, don't cry, because I was smiling. Rest In Peace Paul Walker. 》♕ Volkswagen Jetta Mk6★MM 013</t>
  </si>
  <si>
    <t>Evan Shellshear</t>
  </si>
  <si>
    <t>#Volkswagen to buy back 500,000 defeat-device enabled cars, Reuters sources say https://t.co/q7AxzKOYo6 #vw #defeatdevice</t>
  </si>
  <si>
    <t>Antigoni Vokou</t>
  </si>
  <si>
    <t>@Volkswagen new #innovation and #technology center in #Germany #digitalization #HMI #VW https://t.co/imHdEyhpaU</t>
  </si>
  <si>
    <t>Analyst, PhD Journalism, Climate Change, Sustainability, E-Mobility and EU Affairs!</t>
  </si>
  <si>
    <t>Anarchist Nazi</t>
  </si>
  <si>
    <t>Not only #vw then https://t.co/mG7CATfFZ1</t>
  </si>
  <si>
    <t>‏‏لقد اتهموني بأني : #نازي #فاشي #متشدد #رجعي #إرهابي Follow على مسؤليتك</t>
  </si>
  <si>
    <t>Adalet&amp;Hukuk</t>
  </si>
  <si>
    <t>ABD ile VW 1 milyar dolar ceza üzerinde anlaşmış; Almanlar 3. köprü ve havalimanını istemiyor diyenler, VW hakkında ne yaptı? #emisyon #VW</t>
  </si>
  <si>
    <t>Mesleki paylaşımlar, sorunlar, çözümler, doğru ve yanlışlar, olanlar, olması gerekenler / Avukatlar köle kullanmadılar ama hiçbir zaman efendileri de olmadı</t>
  </si>
  <si>
    <t>Contrarian Insider</t>
  </si>
  <si>
    <t>#VW yeni #Tiguan ve yakında gelecek bir küçüğünün dış tasarımcısı bir Türk... Cihan Akçay ışık efektlerine çok hakim https://t.co/iUYCrh7jDL</t>
  </si>
  <si>
    <t>İstanbul</t>
  </si>
  <si>
    <t>breaking news from automotive sector, new automobiles, car industry insiders</t>
  </si>
  <si>
    <t>Neues Jahreshoch für den #Dax wegen #VW #Marktbericht https://t.co/quoRVZgrJW</t>
  </si>
  <si>
    <t>Okan Altan</t>
  </si>
  <si>
    <t>RT @CarsNewsTV: #VW yeni #Tiguan ve yakında gelecek bir küçüğünün dış tasarımcısı bir Türk... Cihan Akçay ışık efektlerine çok hakim https:…</t>
  </si>
  <si>
    <t>A Contrarian Motoring Journalist Editor-In-Chief of car news TV programs &amp; automobile magazines AutoBest juror</t>
  </si>
  <si>
    <t>FAZ.NET</t>
  </si>
  <si>
    <t>#VW plant angeblich, vom #Abgasskandal betroffenen Amerikanern ihre manipulierten Fahrzeuge abzukaufen. https://t.co/Wp26zxviYj #dieselgate</t>
  </si>
  <si>
    <t>Die wichtigsten Nachrichten des Tages, die besten Artikel von http://t.co/NRamiHGtwS und Lese-Empfehlungen der Redaktion. Impressum: http://t.co/P5S9CMxGyE</t>
  </si>
  <si>
    <t>AFECTADOS VOLKSWAGEN</t>
  </si>
  <si>
    <t>#VW pago de 5.000 dólares (4.426 euros) a cada uno de los usuarios afectados en Estados Unidos, según el periódico alemán 'Die Welt'.</t>
  </si>
  <si>
    <t>Madrid, Comunidad de Madrid</t>
  </si>
  <si>
    <t>Si eres uno de los afectados por el escándalo #Volkswagen y buscas una compensación, contáctanos en afectadosgrupovw@hotmail.com o al Teléfono 914570064.</t>
  </si>
  <si>
    <t>Innovation BOT</t>
  </si>
  <si>
    <t>RT @antivokou: @Volkswagen new #innovation and #technology center in #Germany #digitalization #HMI #VW https://t.co/imHdEyhpaU</t>
  </si>
  <si>
    <t>Francesco Bossi</t>
  </si>
  <si>
    <t>Bot retweeting interesting stuff from all over the world, principally focused on #innovation and change</t>
  </si>
  <si>
    <t>@1stMiniMerlin</t>
  </si>
  <si>
    <t>RT @richardfoster1: @VictoriaWoodUK was the only #VW with guaranteed clean emissions. #clean #clever #family #comedy #RIP</t>
  </si>
  <si>
    <t>@1stMiniMerlin App</t>
  </si>
  <si>
    <t>Houston, Texas</t>
  </si>
  <si>
    <t>Find Anyone, Anything, Anywhere, Anytime! https://t.co/hDD4om90EU, https://t.co/kBqi48NcPB, #autism #dementia #alzheimers #missingkids #lostkeys #lostphone</t>
  </si>
  <si>
    <t>#VW El diario alemán explica que el acuerdo se presentará en los juzgados de San Francisco con el objetivo de evitar el juicio en el caso</t>
  </si>
  <si>
    <t>Neue Presse Hannover</t>
  </si>
  <si>
    <t>Abgas-Skandal: Hoffnung auf Einigung und die VW-Aktie geht durch die Decke https://t.co/bMuoJ3CF00 #vw #skandal #usa https://t.co/OxNihFnJM9</t>
  </si>
  <si>
    <t>Hannover, Deutschland</t>
  </si>
  <si>
    <t>Best Newspaper in Town.</t>
  </si>
  <si>
    <t>arturtoextaxi®</t>
  </si>
  <si>
    <t>RT @AFECTADOGRUPOVW: #VW El diario alemán explica que el acuerdo se presentará en los juzgados de San Francisco con el objetivo de evitar e…</t>
  </si>
  <si>
    <t>Burgos, Castilla y León</t>
  </si>
  <si>
    <t>taxista Burgos - Estoy harto de que hablen a mis espaldas. - No haberte hecho taxista.</t>
  </si>
  <si>
    <t>#VW El acuerdo no detallará un plan para reparar la emisiones incorrectas de dióxido de carbono de los más de 500.000 vehículos afectados</t>
  </si>
  <si>
    <t>Alexandra Stühff</t>
  </si>
  <si>
    <t>RT @faznet: #VW plant angeblich, vom #Abgasskandal betroffenen Amerikanern ihre manipulierten Fahrzeuge abzukaufen. https://t.co/Wp26zxviYj…</t>
  </si>
  <si>
    <t xml:space="preserve">Zurich </t>
  </si>
  <si>
    <t>economist –senior editor TV&amp;print – editorial board member –text consultant – vintage furniture collector –amateur photographer –North-Sea-homesick RT≠endorsem.</t>
  </si>
  <si>
    <t>EFEverde</t>
  </si>
  <si>
    <t>#VW llega a un acuerdo en EEUU e indemnizará a los clientes con 5.000 dólares https://t.co/W7Q9k09LcN vía @efeverde</t>
  </si>
  <si>
    <t>España</t>
  </si>
  <si>
    <t>https://t.co/J57lTX5FEV. Las noticias de #ecologia, #medioambiente, #rsc, #ciencia y #tecnologia de EFE. Otros perfiles en Twitter https://t.co/HcAGHRI7Mp</t>
  </si>
  <si>
    <t>La cuantía total que deberá abonar #VW es difícil de calcular ya que podría variar en función del vehículo y su año de venta</t>
  </si>
  <si>
    <t>#VW En cualquier caso parece difícil que esa cantidad sea menor a 1.000 millones de dólares,según cálculos difundidos por la agencia Reuters</t>
  </si>
  <si>
    <t>The Maritime Gallery</t>
  </si>
  <si>
    <t>What's the UK government doing about #VW #emission #compensation, for UK owners, you've guessed it, nothing, as usual.</t>
  </si>
  <si>
    <t>Dealer in antiquarian maritime paintings, engravings, etchings and lithographs. We also have a selection of early UK and world maps.</t>
  </si>
  <si>
    <t>#VW EEUU; ofrecería la recompra del vehículo o realizar la reparación necesaria y que los clientes tengan dos años para decidir</t>
  </si>
  <si>
    <t>Dennis Dost</t>
  </si>
  <si>
    <t>#VW Y qué ocurre con los clientes Europeos?¿ #IgualdadVW</t>
  </si>
  <si>
    <t>Alloy Wheel Refurb's</t>
  </si>
  <si>
    <t>Full day ahead today. At one of my dealerships with the mobile service. #vw #alloywheels #fusionalloys. https://t.co/XWV9nRKz4i</t>
  </si>
  <si>
    <t>Essex, Suffolk &amp; London</t>
  </si>
  <si>
    <t>Mobile Alloy Wheel Specialist. Colour changes &amp; repairs from £35. Diamond Cut &amp; Polishing Service from £60. Trade &amp; private customers. Reliable &amp; honest :)</t>
  </si>
  <si>
    <t>Andrzej Nowak</t>
  </si>
  <si>
    <t>#Warszawa</t>
  </si>
  <si>
    <t>Doradzający w sprawach gospodarczych prawnik z obyciem urzędniczym i dyplomatycznym. #Rechtsanwalt - PL; Мы говорим по русски</t>
  </si>
  <si>
    <t>Faudt Nieuws</t>
  </si>
  <si>
    <t>‘VW-sjoemelsoftware komt van Audi’ 21 april 2016 #faudtnieuws #vw https://t.co/PJrmNUkwga</t>
  </si>
  <si>
    <t>Ульяна Перевалова</t>
  </si>
  <si>
    <t>☝ 91827 Followers! Have #Fun ღ 😃 🏣 #yay #vw #im #videosex https://t.co/N7ICN1hr9l</t>
  </si>
  <si>
    <t>RT @kirillklip: We are legion… #Volkswagen #DieselGate #Cancer NO to INCREASE Toxic #Emissions #EU #VW https://t.co/9hihPIpdkV … https://t…</t>
  </si>
  <si>
    <t>#BBC happy on today's business news that #VW has agreed USA #compensation. Typical BBC, no mention of UK owners, obviously we don't count.</t>
  </si>
  <si>
    <t>DAVID MUÑOZ GONZALEZ</t>
  </si>
  <si>
    <t>RT @AFECTADOGRUPOVW: #VW Y qué ocurre con los clientes Europeos?¿ #IgualdadVW</t>
  </si>
  <si>
    <t>BCN</t>
  </si>
  <si>
    <t>Der neue #VW-Multivan im #Handelsblatt-Test: https://t.co/TdRtKeLBBg</t>
  </si>
  <si>
    <t>Karen Coghlan</t>
  </si>
  <si>
    <t>Media, comms, writing, women's rights, feminism, management, human behaviour, leadership, psychology, environment, social issues, auspol</t>
  </si>
  <si>
    <t>PercyP</t>
  </si>
  <si>
    <t>RT @handelsblatt: Der neue #VW-Multivan im #Handelsblatt-Test: https://t.co/TdRtKeLBBg</t>
  </si>
  <si>
    <t>Pfälzer,Fahrzeugtechnik, Verbraucherschutz,Papa,Kind, #effzeh Altenativ, Netzfundstücke,handgemachte Musik</t>
  </si>
  <si>
    <t>EineAnderePolitik</t>
  </si>
  <si>
    <t>Stadtrat in Leverkusen ✱ Ratsgruppe Soziale Gerechtigkeit ✱ ver.di ✱ Christ ✱ Eine Andere Politik ist möglich</t>
  </si>
  <si>
    <t>Aufziehvogel_LE</t>
  </si>
  <si>
    <t>Hilfe, wo ist der Kammerjäger? #käfer #beetle #VW #exterminator #Kämmerjäger #Oldtimer… https://t.co/ZEm8U2QUhJ</t>
  </si>
  <si>
    <t>Leipzig</t>
  </si>
  <si>
    <t>PR-Fuzzi | Hobby-Fotograf | Event-Fan | @taLEntfrei @rb_fans</t>
  </si>
  <si>
    <t>NDR Reporter</t>
  </si>
  <si>
    <t>Angewandte Mathematik: @VW zahlt 5000 $ an 600.000 US-#VW-Fahrer = 3 Mrd. $. Dazu kommen Umrüstungskosten. #Abgasskandal #dieselgate @welt</t>
  </si>
  <si>
    <t>NDR-Reporter berichten hier von aktuellen Ereignissen aus Norddeutschland. | http://t.co/22PDbzkqVx</t>
  </si>
  <si>
    <t>ZEIT ONLINE</t>
  </si>
  <si>
    <t>Die Einigung zwischen #VW und US-Behörden könnte stehen – VW will wohl 500.000 Autos in den USA zurückkaufen. (nd) https://t.co/b5o69jKDQr</t>
  </si>
  <si>
    <t>SocialFlow</t>
  </si>
  <si>
    <t>Berlin und Hamburg, Germany</t>
  </si>
  <si>
    <t>Ja, das ist unser offizieller Twitter-Account. Wenn nicht der Newsdesk (nd) twittert, finden Sie hier die handelnden Personen: http://t.co/Cah6kegJeJ</t>
  </si>
  <si>
    <t>#techhippie On the way to work 🚗 #vw #volkswagen #mk7 #Golf #GTD #GolfGTD by svnty.svn https://t.co/1IjTzTMEoJ</t>
  </si>
  <si>
    <t>#techhippie This leather👌🏼#DSG #vw #volkswagen #mk7 #Golf #GTD #GolfGTD by svnty.svn https://t.co/OTuwsR7FPB</t>
  </si>
  <si>
    <t>AG</t>
  </si>
  <si>
    <t>Design engineer, sports fanatic, hobby philosopher and handsome die-hard geek</t>
  </si>
  <si>
    <t>Cars Tech</t>
  </si>
  <si>
    <t>#VW #Coccinelle | #Jantes #LDPrestige #LD827 |Finition PoliSilver | Taille 19 pouces | #Pneus #Nankang 235/40/R19. https://t.co/hzCGd9pK00</t>
  </si>
  <si>
    <t>Andrézieux-Bouthéon</t>
  </si>
  <si>
    <t>Accessoires Automobile &amp; Reprogrammation Moteur</t>
  </si>
  <si>
    <t>Fabi</t>
  </si>
  <si>
    <t>BWInvestment-de</t>
  </si>
  <si>
    <t>5000 Dollar für jeden US-Kunden #VW ist zum Dieselauto-Rückkauf bereit Kurz vor Ablauf der vom Gericht gesetzten... https://t.co/CqBXCnwyd9</t>
  </si>
  <si>
    <t>Düsseldorf, Germany</t>
  </si>
  <si>
    <t>Börseninformationen, realtime Kurse, Finanznachrichten u.v.m. Besucht uns doch einfach mal ;-) /BWINVESTMENTRESEARCH</t>
  </si>
  <si>
    <t>Marina Ilona</t>
  </si>
  <si>
    <t>RT @zeitonline: Die Einigung zwischen #VW und US-Behörden könnte stehen – VW will wohl 500.000 Autos in den USA zurückkaufen. (nd) https://…</t>
  </si>
  <si>
    <t>Berlin-Kreuzberg</t>
  </si>
  <si>
    <t>Lebe seit 35 J. in #BerlinKreuzberg Liebe meinen #Kiez Entdecke mit viel Herz auch andere Flecken von #Berlin Daneben bin ich Fan von #Hamburg</t>
  </si>
  <si>
    <t>Volkswagen News</t>
  </si>
  <si>
    <t>#VW Press Conference Auto China 2016: Technical information regarding broadcast. https://t.co/5hJ0ISZ967 #VWBeijingAutoshow16</t>
  </si>
  <si>
    <t>Wolfsburg, Germany</t>
  </si>
  <si>
    <t>Official account of Volkswagen (brand) delivering news for press, media and influencers. (Deutsch: @vwpress_de) Imprint: http://t.co/axc3ltcz7f</t>
  </si>
  <si>
    <t>#VW Pressekonferenz Auto China 2016: Technische Daten zur Übertragung. https://t.co/hKI22UBdRV #VWBeijingAutoshow16</t>
  </si>
  <si>
    <t>Wolfsburg, Deutschland</t>
  </si>
  <si>
    <t>Offizieller Account der Marke Volkswagen mit News für Presse, Medien und Influencer. (English: @vwpress_en) Impressum: http://t.co/tt06UAdP9k</t>
  </si>
  <si>
    <t>सुजे</t>
  </si>
  <si>
    <t>RT @vwpress_en: #VW Press Conference Auto China 2016: Technical information regarding broadcast. https://t.co/5hJ0ISZ967 #VWBeijingAutoshow…</t>
  </si>
  <si>
    <t>Immer beschäftigt</t>
  </si>
  <si>
    <t>Alptraum</t>
  </si>
  <si>
    <t>Die Welt dreht sich um mich und ich um Euch also bleibt nicht stehen an einem Punkt</t>
  </si>
  <si>
    <t>Chris Claydon</t>
  </si>
  <si>
    <t>2007 VW Golf after valeting in Glastonbury https://t.co/Kk3vBBIMJP 01278 652156 #VW #Valeting #Glastonbury #Somerset https://t.co/2GEWQqdXwf</t>
  </si>
  <si>
    <t>Bridgwater, Somerset</t>
  </si>
  <si>
    <t>Shine My Ride, quality mobile car valeting and detailing in Somerset . Fully mobile and fully insured. Member of @UKDNV &amp; @UKCVD #Valeting #Somerset #Detailing</t>
  </si>
  <si>
    <t>G_51</t>
  </si>
  <si>
    <t>Leipzig- Neuseeenland</t>
  </si>
  <si>
    <t>Rentner , Freund der Wahrheit in den Medien und Freund des Fußballsports</t>
  </si>
  <si>
    <t>Abgasskandal: #VW soll sich mit US-Behörden geeinigt haben https://t.co/0GwAe7Fb9P via @SPIEGELONLINE #Volkswagen #DAX #Aktien</t>
  </si>
  <si>
    <t>eBay: VW Beetle convertible 1.9TDI FSH/12… https://t.co/nZwpP15bDU #vwbeetle #vwbug #vw https://t.co/xvfL74PTgl https://t.co/8p5KMHGBPK</t>
  </si>
  <si>
    <t>intellicar.de</t>
  </si>
  <si>
    <t>Unsere neue Ausgabe ist da: #Apple kassiert Abfuhr, Koalition für Städte-Tests, #VW will nicht mit #Daimler. https://t.co/BMkvx8Kh96</t>
  </si>
  <si>
    <t>Autonomes Fahren &amp; Connectivity - der neue Branchendienst für die Autoindustrie.</t>
  </si>
  <si>
    <t>Querfeldeinschwimmer</t>
  </si>
  <si>
    <t>RhodiumCar Rental</t>
  </si>
  <si>
    <t>¿Hoy tenemos reunión de amigos?#Opel #Insignia #VW #Polo #Seat #Leon https://t.co/u9sEpAo3IB</t>
  </si>
  <si>
    <t>Rhodium nace para ofrecer al profesional, un vehículo de alquiler con todas las garantías de Transparencia,Seguridad y Calidad. Car rental for business!</t>
  </si>
  <si>
    <t>Dirk Ellis VW</t>
  </si>
  <si>
    <t>JUST ARRIVED. The #VW #Amarok Dbl Cab Ultimate in the ultimate colour, Sand Beige Metallic. https://t.co/GvH5n7G5oS https://t.co/98KHhL9hpB</t>
  </si>
  <si>
    <t>Jeffreys Bay, South Africa</t>
  </si>
  <si>
    <t>A trusted name in the motor industry for the past 30+ years. Our key focus is to champion customer satisfaction.</t>
  </si>
  <si>
    <t>10tradeDeutsche</t>
  </si>
  <si>
    <t>Fristende für #VW: Aussicht auf #Einigung mit US-Behörden lässt VW-#Aktie glänzen! https://t.co/h8hYhlJrxw https://t.co/uWRGYJYIx4</t>
  </si>
  <si>
    <t>10trade ist eine voll regulierte binäre Optionen Plattform. 10trade wird sowohl durch die CySEC als auch die BaFin unter der Nummer 141989 reguliert.</t>
  </si>
  <si>
    <t>autogazette</t>
  </si>
  <si>
    <t>#Diesel-Abgas-Skandal: #VW vor Einigung in den USA https://t.co/OYb9hcSpuy #VW #Dieselgate https://t.co/zo877Ge95G</t>
  </si>
  <si>
    <t>Autogazette.de bietet Fahrberichte, Motorradtests, News zu Alternativen Antrieben, Unternehmensnews und Reparaturtipps vom Autopapst.</t>
  </si>
  <si>
    <t>instock.de</t>
  </si>
  <si>
    <t>#Dax: #VW erneut vorneweg ++ #Deutsche #Bank klettert weiter ++ #ProSiebenSat1 gibt nach ++ Dax freundlich https://t.co/F9vXzwLAzl</t>
  </si>
  <si>
    <t xml:space="preserve"> Berlin</t>
  </si>
  <si>
    <t xml:space="preserve"> +++ Der Börseninformationsdienst +++</t>
  </si>
  <si>
    <t>ANADOLU AGENCY (AL)</t>
  </si>
  <si>
    <t>#VW arrin marëveshje me #SHBA-të që të blejë një pjesë të automjeteve https://t.co/ujjisx1goX https://t.co/Mz4ptI2OCq</t>
  </si>
  <si>
    <t>Lise Deshautel</t>
  </si>
  <si>
    <t>#VW “When you know that you have a very large part of the pol. class in your pocket then you feel safe" @ph_lamberts https://t.co/MNYodTRJD9</t>
  </si>
  <si>
    <t>Bruxelles, Strasbourg, Paris</t>
  </si>
  <si>
    <t>Coordinatrice Europe Ecologie au Parlement européen</t>
  </si>
  <si>
    <t>M. L.</t>
  </si>
  <si>
    <t>@DWN_de ist da auch mein Auto dabei? #VW #zurückkaufen</t>
  </si>
  <si>
    <t>Diese Seite ist #Piraten nur bedingt zu empfehlen. Ausgründen!</t>
  </si>
  <si>
    <t>Alert RNS</t>
  </si>
  <si>
    <t>Lithium is the future</t>
  </si>
  <si>
    <t>Todo lo Verde</t>
  </si>
  <si>
    <t>RT @EFEverde: #VW llega a un acuerdo en EEUU e indemnizará a los clientes con 5.000 dólares https://t.co/W7Q9k09LcN vía @efeverde</t>
  </si>
  <si>
    <t>Me interesa toda la información relacionada con la Naturaleza, el medio ambiente y, en general, todo lo verde.</t>
  </si>
  <si>
    <t>Guz Gas</t>
  </si>
  <si>
    <t>Pipes and cells #GOOGLE #NS2 #VW #gas- Italian "LA STAMPA": GERMAN COORDINATION BEHIND ECONOMIC ISPUTE. @JMGlachant https://t.co/lWZjbD2Dvq</t>
  </si>
  <si>
    <t>samia mebarki</t>
  </si>
  <si>
    <t>#VW Said to Pay At Least $10 Billion in U.S. Cheating Deal https://t.co/hHZOcFwC2o via @business</t>
  </si>
  <si>
    <t>Journalist, translator جزائرية المولد ،عربية الهوى و الانتماء</t>
  </si>
  <si>
    <t>Matthijs Pontier</t>
  </si>
  <si>
    <t>VW betaalt misleide klanten $5000 https://t.co/4HEIOLxCq2 #VWgate #dieselgate #VW #DRM #copywrongs https://t.co/BJmUtOiSz3</t>
  </si>
  <si>
    <t>Amsterdam</t>
  </si>
  <si>
    <t>Lijsttrekker @Piratenpartij #EP2014 Duolid @WaterschapAGV | @PP_amsterdam | Eurekaprijs #IkBenAlice | Privacy | Vrijheid | Democratie | Basisinkomen | AI</t>
  </si>
  <si>
    <t>FanCar Picture - Send me your Scirocco pictures!!! (PM Please) #VW #Volkswagen #Scirocco #Tuning https://t.co/ScSK0PWdkj</t>
  </si>
  <si>
    <t>Pete Ubhi</t>
  </si>
  <si>
    <t>I understand that there are problems with DSG gearboxes on VW cars abroad do we have problems here in the UK? #VW #VWPROBLEMS</t>
  </si>
  <si>
    <t>Chelle</t>
  </si>
  <si>
    <t>There was me thinking coq au vin was love in a lorry 😂😂👍 #VW</t>
  </si>
  <si>
    <t>Wales, United Kingdom</t>
  </si>
  <si>
    <t>Lord keep an arm around my shoulder &amp; a hand over my mouth X Where am I &amp; how did I get here? Having a fling with spring X</t>
  </si>
  <si>
    <t>Testachats</t>
  </si>
  <si>
    <t>Téléchargez notre lettre-type sur https://t.co/TwyJ8UESGI #dieselgate #VW https://t.co/GBF3l9LF2j</t>
  </si>
  <si>
    <t>Holden Braithwaite</t>
  </si>
  <si>
    <t>@Reuters #Mitsubishi &amp; #VW Volkswagen would be very happy for an order book like this</t>
  </si>
  <si>
    <t>A retired campanologist on permanent medication, now devoted to writing pure escapism - Work is easy. True idleness requires courage &amp; fortitude</t>
  </si>
  <si>
    <t>The End of Retail</t>
  </si>
  <si>
    <t>Get your #VW #repair manuals https://t.co/0GTYXna0f1 #follow #automotive #DIY</t>
  </si>
  <si>
    <t>Dynamic Tweets</t>
  </si>
  <si>
    <t>MN, USA</t>
  </si>
  <si>
    <t>Here at the #frugalmaniac #deals to help your #fugalliving http://t.co/Ja1miNt4Nf #prepping #mma #automotive #coupons #discounts #clearance #DIY #followback</t>
  </si>
  <si>
    <t>Test-Aankoop</t>
  </si>
  <si>
    <t>arif</t>
  </si>
  <si>
    <t>#VW #BIST100 #DOAS yatırımcısı olanlara SABIR SABIR SABIR sonu selamet hayırlısı ile...</t>
  </si>
  <si>
    <t>bursa</t>
  </si>
  <si>
    <t>öğrenmenin yaşı yoktur dimi...</t>
  </si>
  <si>
    <t>Autohaus VW Campers</t>
  </si>
  <si>
    <t>#Campervans FOR SALE! @SalopLeisure selling Autohaus Ashton&amp;Spartan #VW Camper Conversions https://t.co/0QHx944DHE https://t.co/wBhzSINfSb</t>
  </si>
  <si>
    <t>South West, England</t>
  </si>
  <si>
    <t>Searching for a modern campervan? We're a UK based manufacturer of new and used VW campervans.</t>
  </si>
  <si>
    <t>Federalna.ba</t>
  </si>
  <si>
    <t>#Volkswagen #dieselgate #VW #odsteta https://t.co/gkTWjaJQHO</t>
  </si>
  <si>
    <t>Sarajevo</t>
  </si>
  <si>
    <t>Javni servis Federacije Bosne i Hercegovine</t>
  </si>
  <si>
    <t>#Volkswagen #VW #Polo #VWPolo #Hatchback #Hatch #JeffreysBay #Jbay #Cars #AlgoaFM #VWSA #EasternCape #Wheels24 https://t.co/UYwFjNnOyi</t>
  </si>
  <si>
    <t>Certified 2013 Volkswagen Jetta SEL: 2013 Volkswagen Jetta from Day Apollo VW in Moon TWP, PA.... https://t.co/fxUgcXA2O1 #VW #jetta #car</t>
  </si>
  <si>
    <t>Mathias Bienstman</t>
  </si>
  <si>
    <t>Beleidscoördinator bij @beterleefmilieu Voorzitter van de Klimaatcoalitie.</t>
  </si>
  <si>
    <t>Marta Martínez</t>
  </si>
  <si>
    <t>ArmoredHorse</t>
  </si>
  <si>
    <t>#Volkswagen: Einigung im #Abgasskandal? Aktie über 136,60€ bullish! https://t.co/rNGqQbSb2x #VW</t>
  </si>
  <si>
    <t>Handels- und Investmentopportunitäten rund um den Globus und in allen Anlageklassen. #Aktien #Forex #Rohstoffe</t>
  </si>
  <si>
    <t>Muskelkater</t>
  </si>
  <si>
    <t>Nehmense die Menschen wie sie sind. Andere jibt es nich.</t>
  </si>
  <si>
    <t>FAZFINANCE.NET</t>
  </si>
  <si>
    <t>Anleger kaufen wieder: Plötzlich ist die #VW-Aktie wieder gefragt https://t.co/3sTByhQmZq</t>
  </si>
  <si>
    <t>Aktuelle Finanznachrichten über Märkte und Branchen. Impressum: http://t.co/8bNIV1XU17</t>
  </si>
  <si>
    <t>FAZ Finanzen</t>
  </si>
  <si>
    <t>Anleger kaufen wieder: Plötzlich ist die #VW-Aktie wieder gefragt https://t.co/BlyAZPodve</t>
  </si>
  <si>
    <t>Finanzen, Börse Aktien: Aktuelle Nachrichten über Märkte und deren Entwicklung aus der Frankfurter Allgemeinen Zeitung. Impressum: http://t.co/1nCQ6ofBBt</t>
  </si>
  <si>
    <t>FAZ_NET komplett</t>
  </si>
  <si>
    <t>Anleger kaufen wieder: Plötzlich ist die #VW-Aktie wieder gefragt https://t.co/NL5QcqeojZ</t>
  </si>
  <si>
    <t>Frankfurt am Main - Germany</t>
  </si>
  <si>
    <t>Aktuelle Nachrichten der Frankfurter Allgemeinen Zeitung. http://t.co/ZZy1A7iCOx</t>
  </si>
  <si>
    <t>Corp. Crime Blotter</t>
  </si>
  <si>
    <t>#VW may pay ~600,000 U.S. rigged-diesel owners $5,000 each (~$3 BILLION) &amp; either repair or buy back (+$7.3 BILLION) https://t.co/LdA2JE4VVJ</t>
  </si>
  <si>
    <t>Wherever there's Crime, Inc</t>
  </si>
  <si>
    <t>CounterCorp's news ticker highlighting the daily litany of accusations, lawsuits, investigations, indictments, settlements, and convictions for corporate crimes</t>
  </si>
  <si>
    <t>Kaz Shima</t>
  </si>
  <si>
    <t>ＶＷ、不正車補償で米当局と協議 対象50万台 * https://t.co/RDZUzJxduQ #VW #アメリカ #コンプライアンス</t>
  </si>
  <si>
    <t>Tweet from Global-SCM.pro</t>
  </si>
  <si>
    <t>Japan</t>
  </si>
  <si>
    <t>サプライチェーンに関連する情報をアップします。</t>
  </si>
  <si>
    <t>#VW steht vor Tagen der Entscheidung https://t.co/9opirUgg0Q</t>
  </si>
  <si>
    <t>Malte</t>
  </si>
  <si>
    <t>RT @FAZ_Finanzen: Anleger kaufen wieder: Plötzlich ist die #VW-Aktie wieder gefragt https://t.co/BlyAZPodve</t>
  </si>
  <si>
    <t>Volleyball, Naturkosmetik, Nachhaltigkeit, BIO, bewußte Lebensweise Volleyball - SVG Lüneburg Fußball Hannover96/UNION Berlin Handball - TSV Hannover/Burgdorf</t>
  </si>
  <si>
    <t>Julia Thrul</t>
  </si>
  <si>
    <t>a critical global citizen / human rights / social justice / ethical (business) conduct / RT ≠ endorsement</t>
  </si>
  <si>
    <t>#VW will eine halbe Million Autos zurückkaufen https://t.co/tIa0DTD8t7</t>
  </si>
  <si>
    <t>Bearded Warrior Bob</t>
  </si>
  <si>
    <t>VW gangsters😆🤘🏻 #beard #vw #vwlove #vwlife #blackandwhite #gangsters #aviators #nutters… https://t.co/2JBG0AbZtd</t>
  </si>
  <si>
    <t xml:space="preserve">planet earth from time 2 time </t>
  </si>
  <si>
    <t>climbing mountains,workout,film!wife!Guitar,WOLF!Tongue firmly in my cheek zombie killer don't follow me if you have no sense of humour.DARK</t>
  </si>
  <si>
    <t>S a L</t>
  </si>
  <si>
    <t>#volkswagen #manufacturers #manufacturing #vw #golf #factory #engineering #engineer #european #carshow #cars - Boom https://t.co/ixBTU7j6tw</t>
  </si>
  <si>
    <t xml:space="preserve">ˡᶤᶬᶤᵗᵉᵈᵉᵈᶤᵗᶤᵒᶰ https://ask.fm </t>
  </si>
  <si>
    <t>*https://t.co/bduA2oFXEe* *https://t.co/DiP4F2mJfs* *https://t.co/pPO3UDPoQK*</t>
  </si>
  <si>
    <t>Top Car News</t>
  </si>
  <si>
    <t>#Vw emissions: 'US deal struck' to #Buy back #DieselCars: https://t.co/V2vftQZrG0, https://t.co/Jkwof4asCS https://t.co/45QBohY9IU</t>
  </si>
  <si>
    <t>TopCars</t>
  </si>
  <si>
    <t>Worldwide</t>
  </si>
  <si>
    <t>Top #Car news &amp; information from media sources around the world</t>
  </si>
  <si>
    <t>Shejzije Salihi</t>
  </si>
  <si>
    <t>Felsberg, Schweiz</t>
  </si>
  <si>
    <t>BondBeterLeefmilieu</t>
  </si>
  <si>
    <t>Vlaanderen</t>
  </si>
  <si>
    <t>Bond Beter Leefmilieu (BBL) is de koepel van meer dan 140 natuur- en milieuverenigingen in Vlaanderen.</t>
  </si>
  <si>
    <t>Bodo1962</t>
  </si>
  <si>
    <t>Im Zuge des #Abgasskandals bei #VW sollen die Vorstände auf millionenschwere Boni verzichten. #Deutschland https://t.co/UE8EUpxrxN</t>
  </si>
  <si>
    <t>Wer die Wahrheit sagt, braucht ein schnelles Pferd</t>
  </si>
  <si>
    <t>Frank Martin</t>
  </si>
  <si>
    <t>Mobile Web (M5)</t>
  </si>
  <si>
    <t>HMSolsEmissionClaims</t>
  </si>
  <si>
    <t>#VW #Emissions Scandal May Go Back As Far As 1999 https://t.co/Ab6DNkWRYp</t>
  </si>
  <si>
    <t>Wilmslow, England</t>
  </si>
  <si>
    <t>Registering your interest with Hilary Meredith #Solicitors. We will keep you informed with news, information and advice regarding the #VW #emissions #scandal.</t>
  </si>
  <si>
    <t>Liam Shorte</t>
  </si>
  <si>
    <t>Will we get a demand for a #RoyalComission in to car makers...oops we have none left #auspol #Mitsubishi #vw</t>
  </si>
  <si>
    <t>Castle Hill, Sydney, Australia</t>
  </si>
  <si>
    <t>Financial Planner &amp; SMSF Specialist Advisor™. Rugby Union fanatic, writer, blogger, financial coach. #SMSF Association NSW Chapter Chairman</t>
  </si>
  <si>
    <t>Marion Jungbluth</t>
  </si>
  <si>
    <t>Verkehrsminister Dobrindt muss endlich aktiv werden u im Interesse der Geschädigten einen Vergleich mit #VW erzielen https://t.co/1YcDau1bqM</t>
  </si>
  <si>
    <t>Teamleiterin #Mobilität und #Reisen @vzbv #Verbraucherzentrale Bundesverband. Tweets drücken meine persönliche Meinung aus.</t>
  </si>
  <si>
    <t>#volkswagen #manufacturers #manufacturing #vw #factory #engineering #engine #european #carshow #cars #scirocco Boom! https://t.co/TjREqU5vgZ</t>
  </si>
  <si>
    <t>axelneuhaus</t>
  </si>
  <si>
    <t>52.501712,13.448492</t>
  </si>
  <si>
    <t>leading the digital marketing for Volkswagen in Germany, digital at heart, petrolhead, love sports, slow food, traveling and architecture - private account</t>
  </si>
  <si>
    <t>VW Campervan based on the terrific 1.9Tdi SWB T5: £16,995.00End Date: Sunday May-1-2016 9:51:44 BSTBuy It... https://t.co/z2bTGMSF3e #vw</t>
  </si>
  <si>
    <t>Salon Mobil Jogja</t>
  </si>
  <si>
    <t>VW Beetle 1970 For Sale #vw #vwbeetle #vwlovers #salonmobiljogja @ Salon Mobil Jogja https://t.co/PROQtwUS1e</t>
  </si>
  <si>
    <t>Jogjakarta</t>
  </si>
  <si>
    <t>Salon Poles Mobil Jogja Murah Jl. Magelang Km 10 Jogja,Denggung 500 m Utara RM Pring Sewu hp : 0821 3376 1188 pin 2A12213F fb/existautocare.com</t>
  </si>
  <si>
    <t>Marie-Josée Palin</t>
  </si>
  <si>
    <t>RT'd"@GoCloudSolar,"@solarnews,"@InSunWeTrust,"@Sustainablehero,"@sierraclub,"@GuardianSustBiz,"@SalonSustain ./ - #Vw-#OtherData</t>
  </si>
  <si>
    <t>Die Einigung mit den #US-Behörden. Alles zum D-Day bei #VW: https://t.co/RleN5TnSZJ #dieselgate</t>
  </si>
  <si>
    <t>RT @MiManske: Die Einigung mit den #US-Behörden. Alles zum D-Day bei #VW: https://t.co/RleN5TnSZJ #dieselgate</t>
  </si>
  <si>
    <t>Piraten NoordHolland</t>
  </si>
  <si>
    <t>RT @Matthijs85: VW betaalt misleide klanten $5000 https://t.co/4HEIOLxCq2 #VWgate #dieselgate #VW #DRM #copywrongs https://t.co/BJmUtOiSz3</t>
  </si>
  <si>
    <t>Noord-Holland</t>
  </si>
  <si>
    <t>Welkom op de Twitter van Piratenpartij Noord-Holland! Blijf op de hoogte van wat ons bezighoudt en ga hierover met ons in gesprek</t>
  </si>
  <si>
    <t>Piratenpartij A'dam</t>
  </si>
  <si>
    <t>Piratenpartij Amsterdam | Zetel in @020West | Duo in @WaterschapAGV | Vrijheid | Privacy | Transparantie | Inspraak | Lokaal | Toekomstgericht</t>
  </si>
  <si>
    <t>Melanie Engelbrecht</t>
  </si>
  <si>
    <t>RT @BaronsBellville: Receive R40 000 Trade Assistance on ALL NEW Tiguan models purchased from #BaronsBellville! #VW #Tiguan https://t.co/bL…</t>
  </si>
  <si>
    <t>Jason A. dela Cruz</t>
  </si>
  <si>
    <t>Ganda T*ng Ina! 😉 #VW #Volkswagen #GolfGTI #TheOriginalHotHatch #VDublove #boyhooddreams… https://t.co/xDygXc7cXT</t>
  </si>
  <si>
    <t>Frank Schneider</t>
  </si>
  <si>
    <t>NRW</t>
  </si>
  <si>
    <t>Chefreporter @BILD</t>
  </si>
  <si>
    <t>eBay: 2015 VOLKSWAGEN BEETLE 1.2 TSI Design… https://t.co/kFT35JnjIc #vwbeetle #vwbug #vw https://t.co/xvfL74PTgl https://t.co/xKZJIfjOUf</t>
  </si>
  <si>
    <t>Christoph Scherbaum</t>
  </si>
  <si>
    <t>Ludwigsburg</t>
  </si>
  <si>
    <t>Finanz- und Wirtschaftsjournalist Gründer von dieboersenblogger.de,@boersenblogger twittert aber keineswegs nur über Börsen und Finanzmärkte...</t>
  </si>
  <si>
    <t>tagesschau</t>
  </si>
  <si>
    <t>Manipulierte Abgaswerte: Was blüht VW? https://t.co/nV3EPIDMnX #VW #Dieselgate</t>
  </si>
  <si>
    <t>tagesschau.de</t>
  </si>
  <si>
    <t>Die Nachrichten der ARD</t>
  </si>
  <si>
    <t>Video-#News aus dem #Norden: #VW entschädigt US-#Autofahrer / #Blitzmarathon / #Warnstreiks in #SH, #Hamburg #Nds https://t.co/7D38P5zEcG</t>
  </si>
  <si>
    <t>Foro DGT</t>
  </si>
  <si>
    <t>#VW pagará hasta 5.000 $ a cada afectado por el #dieselgate en #EEUU https://t.co/9XIXsWTKlV vía @elperiodico https://t.co/vD21WjgyjE</t>
  </si>
  <si>
    <t>NO somos la DGT. Comunidad de movilidad. Plantea dudas, quejas y sugerencias sobre la DGT o el Tráfico. Peatones, ciclistas y conductores, todos somos Tráfico</t>
  </si>
  <si>
    <t>Mathias Schindler</t>
  </si>
  <si>
    <t>RT @tagesschau: Manipulierte Abgaswerte: Was blüht VW? https://t.co/nV3EPIDMnX #VW #Dieselgate</t>
  </si>
  <si>
    <t>Potsdam/Berlin, Germany</t>
  </si>
  <si>
    <t>Mitarbeiter bei Julia Reda, MdEP (@senficon), Abgeordnetenbüro Berlin</t>
  </si>
  <si>
    <t>Holger Klauser</t>
  </si>
  <si>
    <t>Hauptsache, die Haare liegen.......!!</t>
  </si>
  <si>
    <t>CreativeDesignWorks</t>
  </si>
  <si>
    <t>#Volkswagen wants to buy back the 500,000 #diesel cars, #VW will buy back your cheating, polluting diesel https://t.co/SQaPsvaTlK</t>
  </si>
  <si>
    <t>Bath, England</t>
  </si>
  <si>
    <t>Helping businesses find the most suitable agency for their #design #development #accessibility #usability and #seo requirements.</t>
  </si>
  <si>
    <t>Ernst Nordholt</t>
  </si>
  <si>
    <t>Journalist, Schrijver, Nieuwsjunk, Autogek, Scootmobielrijder, vader van Erik en Nadine. Multiple Sclerose patient sinds vijftien jaar.</t>
  </si>
  <si>
    <t>Jean-Michel Glachant</t>
  </si>
  <si>
    <t>RT @gas_guz: Pipes and cells #GOOGLE #NS2 #VW #gas- Italian "LA STAMPA": GERMAN COORDINATION BEHIND ECONOMIC ISPUTE. @JMGlachant https://t.…</t>
  </si>
  <si>
    <t>Florence, Italy</t>
  </si>
  <si>
    <t>Director, Florence School of Regulation | Holder, Loyola de Palacio Chair in Energy Policy</t>
  </si>
  <si>
    <t>Art by Brinthusha</t>
  </si>
  <si>
    <t>RT @T4PAD: #deckchairs #OilonCanvas panel #painting 12"x10" #beach #bournemouth #surf #surfing #vw #t4 https://t.co/yhBRvexxPV? https://t.c…</t>
  </si>
  <si>
    <t>Do See Everything with The Brain First, With The Heart Second and Then with The Eyes!</t>
  </si>
  <si>
    <t>Jim AK</t>
  </si>
  <si>
    <t>What compensation for pedestrians &amp; cyclists affected? #VW #Mitsubishi #wrightstuff https://t.co/xRzw49kraZ https://t.co/mJt428S5pH</t>
  </si>
  <si>
    <t>One idea can change the world. My views only and RT does not mean I agree, just that I read it...</t>
  </si>
  <si>
    <t>eBay: VOLKSWAGEN BEETLE IN RED 1.6 PETROL… https://t.co/0cS1PyZoSG #vwbeetle #vwbug #vw https://t.co/xvfL74PTgl https://t.co/kZr7GcaUrk</t>
  </si>
  <si>
    <t>eBay: 2009 vw t5 1.9 102bhp camper https://t.co/dmZ5lXSKdq #vwcamper #vwbus #vw https://t.co/ZEadscsjBy https://t.co/iPii13mnbn</t>
  </si>
  <si>
    <t>Michelle Amber Love</t>
  </si>
  <si>
    <t>RT @yog2uk: limiteddustcaps | eBay #chrysler #mini #vauxhall #mercedes #vw #peugeot #audi #landrover https://t.co/VmlGLdANeT https://t.co/4…</t>
  </si>
  <si>
    <t>#THFC #LOFC married to @yog2uk</t>
  </si>
  <si>
    <t>RT @yog2uk: slawson @ https://t.co/qTF45LVw6o: seat belt #vw #audi #vauxhall #m3 #honda #landrover #mini https://t.co/x030tEky1a https://t.…</t>
  </si>
  <si>
    <t>RT @yog2uk: limiteddustcaps #vauxhall #mg #jaguar #audi #mercedes #vw #landrover #chrysler #peugeot https://t.co/qkFvlm9lQt https://t.co/nt…</t>
  </si>
  <si>
    <t>https://t.co/icXZJRMC4r - Monthly North East T4/T5 Meetup #vwt #vwt5 #vw #vwbus by seanho… https://t.co/777QvsocqP https://t.co/OkkYd9yrJe</t>
  </si>
  <si>
    <t>Race mode :-) #mk1golfaus #nitrousexpress #mk1golf #vw #earlywatercooledaus by revnit https://t.co/8kiixDLwrC</t>
  </si>
  <si>
    <t>#VW +6,1% 127,65€ mit Ausbruch über #GD200. Nächster Widerstand bei 140€. #Trading-#Buy /SO https://t.co/ERT0KaYQWw</t>
  </si>
  <si>
    <t>Nick Williams</t>
  </si>
  <si>
    <t>Oooo what's this then @forgemotorsport we going full on #racevan with project roxy #forgemotorsport #vw... https://t.co/STc5ajYvk5</t>
  </si>
  <si>
    <t>Hampshire,UK</t>
  </si>
  <si>
    <t>Please follow me in all my photographic adventures around the world from Automotive too Models and everything in between</t>
  </si>
  <si>
    <t>Elmar Theurer</t>
  </si>
  <si>
    <t>#VW #Dieselgate #Volkswagen Rückkauf von 500.000 Dieselfahrzeugen? Driving back to Wolfsburg https://t.co/HOujCCGnol</t>
  </si>
  <si>
    <t xml:space="preserve">  Karlsruhe, Germany</t>
  </si>
  <si>
    <t>Fotograf aus Karlsruhe. Advertising and fashion photographer. Studio close to Karlsruhe. Worldwide available.</t>
  </si>
  <si>
    <t>ADAC</t>
  </si>
  <si>
    <t>#VW-Abgas-Skandal: Auch deutsche Verbraucher brauchen Lösungen -&gt; https://t.co/F5l2qWvGIW https://t.co/urIWHKmyS4</t>
  </si>
  <si>
    <t>SocialHub by maloon</t>
  </si>
  <si>
    <t>München</t>
  </si>
  <si>
    <t>Hier twittert Europas größter Automobilclub über Themen wie Mobilität, Auto, Verbraucherschutz, Reise und Verkehr.</t>
  </si>
  <si>
    <t>Oooo what's this then @forgemotorsport we going full on #racevan with project roxy #forgemotorsport #vw #volkswagen… https://t.co/30tZirKmGj</t>
  </si>
  <si>
    <t>antea ag</t>
  </si>
  <si>
    <t>#VW (Anteil VZ-Aktien im #antea-Fonds 0,3%): Einigung mit US-Behörden? #Aktie weiter kräftig ↑ https://t.co/732GyfD5tT heute um 7%, #DAX-Top</t>
  </si>
  <si>
    <t>Hansestadt Hamburg, Germany</t>
  </si>
  <si>
    <t>Der antea-Fonds ist ein vermögensverwaltender Multiasset- und Multimanager-Investmentfonds. Hier zwitschert Johannes Hirsch.</t>
  </si>
  <si>
    <t>SJ LOWTEC GmbH</t>
  </si>
  <si>
    <t>#LOWTEC #HiLOW #GEWINDEFAHRWERK #VW #CLASSIC Ein Golf MK2 mit LOWTEC Gewindefahrwerk und Ronal Felgen. Old but... https://t.co/Pwp97Vjtnp</t>
  </si>
  <si>
    <t xml:space="preserve">Germany / Waging am See </t>
  </si>
  <si>
    <t>Der Fahrwerkshersteller aus Bayern! Erfahrung und Kompetenz – seit über 30 Jahren</t>
  </si>
  <si>
    <t>olaolu</t>
  </si>
  <si>
    <t>RT @r_u_gr8ful2: Sorry #Google You'll forever be 2nd! #OldSkoolThursday #VW #Fukengrüven https://t.co/4MJK43GTtv</t>
  </si>
  <si>
    <t>Ikoyi, Nigeria</t>
  </si>
  <si>
    <t>Chris Carroll</t>
  </si>
  <si>
    <t>Interested in sustainable mobility. Tweets are personal. RT ≠ endorsement.</t>
  </si>
  <si>
    <t>WIR-Köln</t>
  </si>
  <si>
    <t>RT @ADAC: #VW-Abgas-Skandal: Auch deutsche Verbraucher brauchen Lösungen -&gt; https://t.co/F5l2qWvGIW https://t.co/urIWHKmyS4</t>
  </si>
  <si>
    <t>Köln, Sürth</t>
  </si>
  <si>
    <t>Wege und Information zur Rehabilitation. Schlaganfall Selbsthilfe-Gruppe, Treffen jeden 2. Mittwoch im Monat, 15.00 - 17.30 h Informationen:hier, Webpage kommt.</t>
  </si>
  <si>
    <t>FanCar Picture - Send me your Scirocco pictures!!! (PM Please) #VW #Volkswagen #Scirocco #Tuning https://t.co/TpZOXUR7ju</t>
  </si>
  <si>
    <t>Alexander Hansen</t>
  </si>
  <si>
    <t>#Volkswagen to offer Buyback 500,000 cars Or $5000+fixes fore each owner affected '#dieselgate' scandal in US. #VW https://t.co/UUDuvLFoCn</t>
  </si>
  <si>
    <t>Forge Motorsport</t>
  </si>
  <si>
    <t>RT @VCT_Tweets: Oooo what's this then @forgemotorsport we going full on #racevan with project roxy #forgemotorsport #vw #volkswagen… https:…</t>
  </si>
  <si>
    <t xml:space="preserve">Gloucester UK - Orlando USA </t>
  </si>
  <si>
    <t>We are dedicated in applying our wealth of knowledge and technical expertise, gained through years of research and development, to create products that deliver</t>
  </si>
  <si>
    <t>VW May Buy Back Vehicles: Volkswagen and Audi 2-liter vehicles include the 2009-2016 VW Beetle... https://t.co/NdAbETk7FU #VW #jetta #car</t>
  </si>
  <si>
    <t>Dealership thanked for service: On a Tuesday, from my home in rural Bledsoe County, I had gone... https://t.co/em02RpYMUa #VW #jetta #car</t>
  </si>
  <si>
    <t>Armed robbery suspect out on bail: The group fled the scene in a black Volkswagen Jetta that w... https://t.co/1UvqLdnxbJ #VW #jetta #car</t>
  </si>
  <si>
    <t>VW 'to buy back' emissions-cheating diesel cars in US https://t.co/kDj7AXFyQP #VW #AutoNews</t>
  </si>
  <si>
    <t>Volkswagen reportedly reaches settlement in US emissions case https://t.co/KyO4OOQpMP #VW #AutoNews</t>
  </si>
  <si>
    <t>VW In $1bn Compensation And Buy-Back 'Deal' https://t.co/das5VMnrYy #VW #AutoNews</t>
  </si>
  <si>
    <t>Lady Marina</t>
  </si>
  <si>
    <t>HARDSTYLE, HARDCORE, Speedcore DJANE from Germany Youtube channel : https://t.co/WoYkz17q3t</t>
  </si>
  <si>
    <t>RT @VolkswagenPost: Armed robbery suspect out on bail: The group fled the scene in a black Volkswagen Jetta that w... https://t.co/1UvqLdnx…</t>
  </si>
  <si>
    <t>RT @VolkswagenPost: Dealership thanked for service: On a Tuesday, from my home in rural Bledsoe County, I had gone... https://t.co/em02RpYM…</t>
  </si>
  <si>
    <t>RT @VolkswagenPost: VW May Buy Back Vehicles: Volkswagen and Audi 2-liter vehicles include the 2009-2016 VW Beetle... https://t.co/NdAbETk7…</t>
  </si>
  <si>
    <t>The Automatic Earth</t>
  </si>
  <si>
    <t>Debt Rattle April 21 2016 #Arctic #BadBank #Brexit #China #ECB #pensions #poverty #refugees #TTIP #VW #ZIRP #zombie https://t.co/SchgP1sj0N</t>
  </si>
  <si>
    <t>Atlantic Ocean</t>
  </si>
  <si>
    <t>Futurists in finance, energy and planet earth</t>
  </si>
  <si>
    <t>Auto Express</t>
  </si>
  <si>
    <t>#VW Group to buy back 600,000 cars affected by the #emissionsscandal in the US... https://t.co/Jc3G34ExJG https://t.co/aD7puSJIcn</t>
  </si>
  <si>
    <t>Auto Express is the UK's best-selling weekly car magazine. Follow us for breaking news, reviews of the latest new cars, in-depth group tests and exclusive video</t>
  </si>
  <si>
    <t>Car Liquidation</t>
  </si>
  <si>
    <t>#VW will buy back 500,000 of its #diesel_cars sold in the U.S. since 2009. https://t.co/6BaIGrvELZ https://t.co/Zbn5OjmMui</t>
  </si>
  <si>
    <t>http://t.co/5TvKtEisXb has developed close relationships with a variety of companies and customers all over the USA. Place your car once and see it worldwide.</t>
  </si>
  <si>
    <t>Towle Tompkins</t>
  </si>
  <si>
    <t>#VW reaches US deal in diesel-cheating scandal AND with #HeidiKlum for unlicensed use of her middle name, #Fahrvergnügen.</t>
  </si>
  <si>
    <t>Tweeting the News of the Day Since 1971</t>
  </si>
  <si>
    <t>BILAN</t>
  </si>
  <si>
    <t>#VW aux Etats-Unis: une indemnité de 5000 dollars pour chaque propriétaire des 600.000 véhicules concernés. https://t.co/cLamhhTlj5</t>
  </si>
  <si>
    <t>Genève</t>
  </si>
  <si>
    <t>La référence suisse de l'économie. http://t.co/bH5Dd5UuMZ http://t.co/17YynEO8gh</t>
  </si>
  <si>
    <t>Cihaz TV</t>
  </si>
  <si>
    <t>#VW ve #BASF, yenilikçi batarya teknolojisi için 100.000 Avro ödül verecek. → https://t.co/SgjCWtpGO1 #CihazTV https://t.co/6qNknmkwaa</t>
  </si>
  <si>
    <t>İstanbul, Türkiye</t>
  </si>
  <si>
    <t>Teknolojik cihazlar hakkındaki sorularınız cevapsız kalmayacak!</t>
  </si>
  <si>
    <t>tagesthemen</t>
  </si>
  <si>
    <t>RT @boerseARD: Neues Jahreshoch für den #Dax wegen #VW #Marktbericht https://t.co/quoRVZgrJW</t>
  </si>
  <si>
    <t>Das Nachrichtenmagazin der ARD</t>
  </si>
  <si>
    <t>The vw graveyard #vwbug #Volkswagen volkswagen #vdub #dubempire #vw https://t.co/yuAyST8S71</t>
  </si>
  <si>
    <t>Coodriver und #VW entwickeln virtuellen "Schutzranzen": GPS-Sender warnen Autos vor Kollision mit Kindern. Das System soll Standard werden.</t>
  </si>
  <si>
    <t>Fran Marín</t>
  </si>
  <si>
    <t>RT @foroDGT: #VW pagará hasta 5.000 $ a cada afectado por el #dieselgate en #EEUU https://t.co/9XIXsWTKlV vía @elperiodico https://t.co/vD2…</t>
  </si>
  <si>
    <t>Seguridad Vial, aficionado a las motos y con la que está cayendo, alguna cosa más. De las afueras de Bilbao. #1moto1pegatina</t>
  </si>
  <si>
    <t>Dead karmann ghia #vw #vwbug #Volkswagen volkswagen #vdub #dubempire #giah https://t.co/8jL9nygEae</t>
  </si>
  <si>
    <t>NeueDimensionen</t>
  </si>
  <si>
    <t>#VW:GroßerZahltag f Volkswagen. Gesamtbelastung 45Mrd.€ zahlen Mitarbeiter&amp;Staat, #Vorstand erh #Bonus https://t.co/e6qMNOEJtt #Handelsblatt</t>
  </si>
  <si>
    <t>eBay: 2002 02 Volkswagen Beetle 2.0 RHD 3 Door - 89k Miles Full… https://t.co/HKW7cz2iBT #vwbeetle #vwbug #vw https://t.co/xvfL74PTgl</t>
  </si>
  <si>
    <t>#thursday #vdub #dubempire #vw volkswagen #bus https://t.co/mpdWDW5AAs</t>
  </si>
  <si>
    <t>#techhippie #vw #golf3 #mk3 #gtd #tdi #love by _m4nuel_ https://t.co/KVKNp7fHDT</t>
  </si>
  <si>
    <t>#techhippie ♔🏁 #vw #mk6 #gtd #stance #led #static #dirtydiesel #dsg #straightpipe #lowered # by leon_mk6_gtd https://t.co/pCVg2jiKHD</t>
  </si>
  <si>
    <t>Carlão Veículos</t>
  </si>
  <si>
    <t>POLO 1.6 MI 8V FLEX - 2007 Ar condicionado Direção hidráulica Vidros elétricos Travas elétricas $22.900,00 #vw https://t.co/vFoOPdLmPK</t>
  </si>
  <si>
    <t>Mogi das Cruzes</t>
  </si>
  <si>
    <t>Venda de veículos Novos e Seminovos... Certeza de bom atendimento e ótimos negócios... (whats)11-992541790 https://t.co/BRgvYIC5I8…</t>
  </si>
  <si>
    <t>Camille 3</t>
  </si>
  <si>
    <t>RT @ELMEX: #VW #Dieselgate #Volkswagen Rückkauf von 500.000 Dieselfahrzeugen? Driving back to Wolfsburg https://t.co/HOujCCGnol</t>
  </si>
  <si>
    <t>CamilleEspanol</t>
  </si>
  <si>
    <t>Paris, Ile-de-France, France</t>
  </si>
  <si>
    <t>j adore les concours tech et girlie</t>
  </si>
  <si>
    <t>Volkswagen Lorient</t>
  </si>
  <si>
    <t>L'occasion de la semaine : Une Golf Cabriolet ☀ pour partir pour de nouvelles aventures ! #GOLF #VW #OCCASIONS https://t.co/Fe7pQo5vhn</t>
  </si>
  <si>
    <t>Lanester</t>
  </si>
  <si>
    <t>Actualités, humour et culture #VW et du garage Odyssée Automobiles à #Lanester #Lorient #Morbihan #Bretagne</t>
  </si>
  <si>
    <t>Van-Tech</t>
  </si>
  <si>
    <t>VW T4 sun Visors now back in stock only £170 free shipping to most of UK!! #vw #t4 https://t.co/W3C78t4QCF https://t.co/CRiA7UBgdu</t>
  </si>
  <si>
    <t>Selling accessories for VW Transporter T4 and T5 Vans alloy wheels, side bars, head lights, curtains, roof rails and more!! West Midlands U.K 01384 898014</t>
  </si>
  <si>
    <t>#Dax: #Deutsche #Bank aufwärts ++ #Coba folgt ++ #VW gesucht ++ #Adidas taucht tiefer ++ Dax testet 10.400 Punkte https://t.co/MesxeTborr</t>
  </si>
  <si>
    <t>Charmaine</t>
  </si>
  <si>
    <t>RT @AutoExpress: #VW Group to buy back 600,000 cars affected by the #emissionsscandal in the US... https://t.co/Jc3G34ExJG https://t.co/aD7…</t>
  </si>
  <si>
    <t xml:space="preserve">Benoni </t>
  </si>
  <si>
    <t>#Lovelife #Cheeky #Sarcasm #Tattoos #Tequila #wine #Shoes #Defender #Football #ManUnited #SingleMom AKA #Taglady</t>
  </si>
  <si>
    <t>SJM Marc</t>
  </si>
  <si>
    <t>Funfact: Für einen Andre #Schürrle kann #VW 6.000 US-Amerikanische VW-Halter ausbezahlen. #vwemissions</t>
  </si>
  <si>
    <t>BVB-Fan seit ich denken kann. Interessierter des guten Fußballs. Studiere Sportjournalismus/-management. Fiebere mit den Seattle Seahawks.</t>
  </si>
  <si>
    <t>Boris</t>
  </si>
  <si>
    <t>#vw #mk4 #golf4 #golfer #4 #tdi @borispucalev #vwgolf4 #vwgolf4tdi ❤❤ 🚗 💨💨🏢🏡🏰🏯 @ Hotel… https://t.co/KOM2oTLLHr</t>
  </si>
  <si>
    <t>GoOverLimitsForever</t>
  </si>
  <si>
    <t>Jessica Burt</t>
  </si>
  <si>
    <t>Campylobacter testing on chickens suspended as producers have been removing neck skin where bacteria is measured #VW #chicken</t>
  </si>
  <si>
    <t xml:space="preserve">Essex/Suffolk/Cambs borders </t>
  </si>
  <si>
    <t>Food regulatory &amp; product liability lawyer for Mills &amp; Reeve LLP; (all opinions are my own.)</t>
  </si>
  <si>
    <t>JRE</t>
  </si>
  <si>
    <t>VW 'to buy back' emissions-cheating diesel cars in US | via @telebusiness https://t.co/JNgh4LLhFn #VW</t>
  </si>
  <si>
    <t>Manchester, England</t>
  </si>
  <si>
    <t>Manchester UK</t>
  </si>
  <si>
    <t>"Schutzranzen" protects children in road traffic - Coodriver GmbH &amp; #VW sign partnership: https://t.co/gmtw10dXqb</t>
  </si>
  <si>
    <t>„Schutzranzen“ macht den Schulweg sicherer: Coodriver GmbH &amp; #VW unterzeichnen strategische Partnerschaft: https://t.co/UFBOcr3hIq</t>
  </si>
  <si>
    <t>Techislet</t>
  </si>
  <si>
    <t>TI archive: Despite VW scandal, Jaguar Land Rover pushes diesel in US https://t.co/f2Wrgyl9DT #diesel #jaguarlandrover #us #vw</t>
  </si>
  <si>
    <t>Tweet Old Post</t>
  </si>
  <si>
    <t>Nigeria's fastest growing online technology publication focused on promoting technology, mobile &amp; internet in Africa. Contact: techislet@outlook.com</t>
  </si>
  <si>
    <t>MeinAuto.de</t>
  </si>
  <si>
    <t>Update: Der #VW Touran mit neuen kräftigen Motoren und dem Designpaket "Milano" https://t.co/pQ6apbPTIb https://t.co/9oPO5X3xo6</t>
  </si>
  <si>
    <t>Neuwagen mit hohen Rabatten bei MeinAuto.de - Email: info@meinauto.de Impressum: http://t.co/UH5JqZQ3Yd</t>
  </si>
  <si>
    <t>Gian Marco Solas</t>
  </si>
  <si>
    <t>Third Party Litigation Funding PhD c. &amp; Consultant LL.M. College of Europe</t>
  </si>
  <si>
    <t>eBay: 2009 VW CADDY LWB FACTORY SPORTLINE… https://t.co/QtdiLC3Shc #vwcamper #vwbus #vw https://t.co/ZEadscsjBy https://t.co/gEnxRgNR5S</t>
  </si>
  <si>
    <t>Sophia Strelli</t>
  </si>
  <si>
    <t>#VW aux Etats-Unis: une indemnité de 5000 dollars pour chaque propriétaire des 600.000 véhicules concernés. https://t.co/kqR8RejkBK #suiss…</t>
  </si>
  <si>
    <t>Zoom Stocks</t>
  </si>
  <si>
    <t>#Europe Stocks:#VW +3.59%;500K cars buyback for #dieselgate!#Aviation drops #Lufthansa #AirFrance -1.2% -2.77%! #Sky -4.3%;churn,costs rise!</t>
  </si>
  <si>
    <t>New Delhi, Delhi</t>
  </si>
  <si>
    <t>Capital Markets. Investor Community. Live soon! Sign up now</t>
  </si>
  <si>
    <t>Daniel Pitt</t>
  </si>
  <si>
    <t>RT @WSWS_Updates: #VW hands out massive bonuses to company executives - World Socialist Web Site https://t.co/BNknYiJB4X #Volkswagen</t>
  </si>
  <si>
    <t>Mobile Web (M2)</t>
  </si>
  <si>
    <t>Mountain Ash, Rhondda Cynon Taf</t>
  </si>
  <si>
    <t>Obstinately opinionated socialist, gay guy &amp; care leaver interested in human rights. Also a director at the wonderful @VoicesFromCare charity.</t>
  </si>
  <si>
    <t>eBay: Volkswagen Beetle 1.6 2004MY RHD drives… https://t.co/DoPaMzLGH1 #vwbeetle #vwbug #vw https://t.co/xvfL74PTgl https://t.co/v4c0XiHtu9</t>
  </si>
  <si>
    <t>Zwölfender</t>
  </si>
  <si>
    <t>#dieselgate Who will work for all these #compensation #payments ? The #german #customer of course ! #merkel will announce a new #VW #tax</t>
  </si>
  <si>
    <t>Bodensee (Lake Konstanz)</t>
  </si>
  <si>
    <t>Maschinenbau-Ing.(FH) - auch Luftschiffe... und genervter Pflegevater von 2 speziellen Kindern</t>
  </si>
  <si>
    <t>Andrea Bonime-Blanc</t>
  </si>
  <si>
    <t>#VW scandal: what to expect at crucial US court hearing https://t.co/cdWiyf9VhS #CorpGov #Compliance #Reputation https://t.co/hvEj2T7qoR</t>
  </si>
  <si>
    <t>New York City</t>
  </si>
  <si>
    <t>Global Governance Risk Integrity Reputation &amp; Crisis Strategist. Board &amp; CSuite Advisor/Chair. Author The Reputation Risk Handbook http://t.co/pqFLBlTvDx</t>
  </si>
  <si>
    <t>DailyNewsDNS</t>
  </si>
  <si>
    <t>#VW 'to offer diesel buy back deal in #US'. https://t.co/4B7Rwl4F4i https://t.co/4qWQASPD6v</t>
  </si>
  <si>
    <t>Daily News Updates| - Top Headlines accross the globle| DailyNewsDNS</t>
  </si>
  <si>
    <t>#VW 'to offer diesel buy back deal in #US'. https://t.co/4B7RwlmgsS https://t.co/grtNb5SsMa</t>
  </si>
  <si>
    <t>WordPress.com</t>
  </si>
  <si>
    <t>Heinz Hafner</t>
  </si>
  <si>
    <t>@dlf #VW Zum Interview/ So nett waren die deutschen Politiker nicht mit den Schweizer Banken. Danke für Ihr Interview.</t>
  </si>
  <si>
    <t>Frauenfeld Suisse</t>
  </si>
  <si>
    <t>Lese gerne Meinungen und stelle noch lieber Fragen</t>
  </si>
  <si>
    <t>Nicolas Tétrault</t>
  </si>
  <si>
    <t>Read on i24News #VW to offer #US owners $5,000 over emissions scandal: report" #cars https://t.co/xoDxsOkJQ3</t>
  </si>
  <si>
    <t>Linkis.com</t>
  </si>
  <si>
    <t>Montréal, Québec, Canada.</t>
  </si>
  <si>
    <t>M.Sc. Politics,Ex-City Councillor in Montreal,Partner TTP Media,Canadian first/foremost but: Pro USA,ישראל,Israel,India,UK,Germany, France,Egypt,Cayman Islands</t>
  </si>
  <si>
    <t>claudia</t>
  </si>
  <si>
    <t>RT @liquidvelvet: #vw transportation for #krug #champagne #rome https://t.co/v41eFfQ19Y</t>
  </si>
  <si>
    <t>I'm pushing an elephant up the stairs I'm tossing up punch lines that were never there. Over my shoulder a piano falls... crashing to the ground</t>
  </si>
  <si>
    <t>Mika Leskinen</t>
  </si>
  <si>
    <t>Companies used to buy back their shares, these days they buy back their products. #VW #emissions #CSR #ESG https://t.co/jzjnX0tSXc</t>
  </si>
  <si>
    <t>Espoo, Suomi</t>
  </si>
  <si>
    <t>Vastuullinen sijoittaminen OP Varallisuudenhoidossa. Pelailen paljon tennistä, penkkiurheilun jätän muille. @OP_Ryhma #csr #esg #sijoittaminen #valokuvaus</t>
  </si>
  <si>
    <t>eBay: Volkswagen Beetle https://t.co/VDM0Cxym2y #vwbeetle #vwbug #vw https://t.co/xvfL74PTgl https://t.co/nbCmbFSMkJ</t>
  </si>
  <si>
    <t>Wintonsworld</t>
  </si>
  <si>
    <t>#Volkswagen Calm About To Be Upset By Important Decisions https://t.co/0xfKgmeL51 #volkswagenscandal, #VW</t>
  </si>
  <si>
    <t>WintonsWorld - dedicated to the truth about cars, and the industry in general</t>
  </si>
  <si>
    <t>Verzaehler</t>
  </si>
  <si>
    <t>Was mich bei #VW am meisten ankotzt: Die Zweiklassengesellschaft. US-Kunden bekommen 5.000,- Dollar und Kunden aus Europa keinen Cent.</t>
  </si>
  <si>
    <t>Meister des gefährlichen Halbwissens - subjektiv, politisch unkorrekt und frei erfunden. Löscht dämliche Tweets. Experte für Prokrastination.</t>
  </si>
  <si>
    <t>Zoran Nikolic</t>
  </si>
  <si>
    <t>#VW isplatiće 5.000 dolara svakom prevarenom #potrošači u SAD, deo je vansudskog dogovora. Šta je sa ostalima?</t>
  </si>
  <si>
    <t>Kragujevac, Srbija</t>
  </si>
  <si>
    <t>zaštita potrošača | NOPS - potpredsednik | savetovalište za potrošače | consumer protection</t>
  </si>
  <si>
    <t>wearevan</t>
  </si>
  <si>
    <t>https://t.co/BWALNHlplm B O L L E . #vwbus #vw #bulli #van #vanlife #t3 #wanderlust #balt… https://t.co/55sGEaQliU https://t.co/505KbIIiDs</t>
  </si>
  <si>
    <t>We are Aleks &amp; Emmy, couple soon to be living on the road in Europe, wandering and freelance designing! ...Come say hello!</t>
  </si>
  <si>
    <t>Kristofer Huzey</t>
  </si>
  <si>
    <t>Throwback Thursday to 2008! Bristol Volksfest! Check that rack 😎 #VW #Volkswagen #polo #Mk2… https://t.co/zVFEYbgYuI</t>
  </si>
  <si>
    <t>Amwal Al Ghad</t>
  </si>
  <si>
    <t>#AmwalAlGhad | #VW to offer to buy back nearly 500,000 U.S. diesel cars - Reuters https://t.co/OFT3kOfjtS https://t.co/Z9IKsLDNPp</t>
  </si>
  <si>
    <t>Egypt</t>
  </si>
  <si>
    <t>Amwal Al Ghad / English Portal</t>
  </si>
  <si>
    <t>shameReflect</t>
  </si>
  <si>
    <t>#VW – #Dieselgate: Kraftfahrt-Bundesamt, wo bleibt der Abschlussbericht? https://t.co/0EjNMByIDR</t>
  </si>
  <si>
    <t>Dort...wo Anstand, Charakter, Moral und Ehre laengst zu Grabe getragen worden sind.</t>
  </si>
  <si>
    <t>Domingo Martinez M</t>
  </si>
  <si>
    <t>Psicólogo. Técnico en Accesibilidad en los estudios superiores. Universidad de Alicante</t>
  </si>
  <si>
    <t>RT @AFECTADOGRUPOVW: #VW El acuerdo no detallará un plan para reparar la emisiones incorrectas de dióxido de carbono de los más de 500.000…</t>
  </si>
  <si>
    <t>RT @AFECTADOGRUPOVW: #VW pago de 5.000 dólares (4.426 euros) a cada uno de los usuarios afectados en Estados Unidos, según el periódico ale…</t>
  </si>
  <si>
    <t>VolkswagenCZ</t>
  </si>
  <si>
    <t>Pomrkáváte po novém Volkswagenu Touran? Tak si přečtěte, jak dopadl v testu. #VW #Volkswagen #Touran https://t.co/cuo9HM4JHf</t>
  </si>
  <si>
    <t>ZoomSphere site</t>
  </si>
  <si>
    <t>Česká republika</t>
  </si>
  <si>
    <t>RT @AFECTADOGRUPOVW: #VW EEUU; ofrecería la recompra del vehículo o realizar la reparación necesaria y que los clientes tengan dos años par…</t>
  </si>
  <si>
    <t>RT @AFECTADOGRUPOVW: La cuantía total que deberá abonar #VW es difícil de calcular ya que podría variar en función del vehículo y su año de…</t>
  </si>
  <si>
    <t>Charlie</t>
  </si>
  <si>
    <t>And it feels so good. #R32 #mk4 #vw #euro #bagged #stance #low #maserati #car #ocean #beach @… https://t.co/kpWTjsLCO5</t>
  </si>
  <si>
    <t>Lavender Town, Kanto</t>
  </si>
  <si>
    <t>Handsome pup. What a peculiar fellow. particularly agile when nude, so good luck. ⚒#BlessTheRains #NERevs</t>
  </si>
  <si>
    <t>treibholzfilm</t>
  </si>
  <si>
    <t>Our new #campervan WHITE PEARL from #SpaceCamper and #VW arrived 1/6 #lassdichtreiben… https://t.co/ntuYlYEqVI</t>
  </si>
  <si>
    <t>planet earth</t>
  </si>
  <si>
    <t>#treibholz film production company who is deeply in love with the beauty &amp; life on our planet. We film Life – We live Film. #travel #filmmaking #filmmaker</t>
  </si>
  <si>
    <t>#VW to pay US customers $5,000 in #Dieselgate settlement https://t.co/o8jMiDqzJs https://t.co/2edI4y3mVM</t>
  </si>
  <si>
    <t>Our new #campervan WHITE PEARL from #SpaceCamper and #VW arrived 2/6 #lassdichtreiben… https://t.co/isqL5excRe</t>
  </si>
  <si>
    <t>Our new #campervan WHITE PEARL from #SpaceCamper and #VW arrived 3/6 #lassdichtreiben… https://t.co/0EnfC1ZstX</t>
  </si>
  <si>
    <t>And it feels so good. #R32 #mk4 #vw #euro #golf #R #stance #low #bagged #maserati #car #ocean… https://t.co/wHfhdBJjod</t>
  </si>
  <si>
    <t>Felix Wiedemann</t>
  </si>
  <si>
    <t>Ist Tinder eigentlich auch eine Betrugssoftware? #VW #Abgasskandal</t>
  </si>
  <si>
    <t>Kiel, Deutschland</t>
  </si>
  <si>
    <t>M.A. Student of Political Science</t>
  </si>
  <si>
    <t>The Business Times</t>
  </si>
  <si>
    <t>#VW reaches deal with US authorities over engine-rigging scandal: report - https://t.co/KDg5Y8cUYf</t>
  </si>
  <si>
    <t>BT Production Site</t>
  </si>
  <si>
    <t>Singapore</t>
  </si>
  <si>
    <t>Breaking news from The Business Times, Singapore's only financial daily</t>
  </si>
  <si>
    <t>helkearo</t>
  </si>
  <si>
    <t>Volkswagen is seriously apologizing! #wearesorry #pleaseforgive #emissions #vw #buyback https://t.co/Urkz4Xrhmu</t>
  </si>
  <si>
    <t>Finland</t>
  </si>
  <si>
    <t>head of market expansion and business development @tappcommerce; keen on emerging markets, fintech, commerce, financial inclusion, wine, food, outdoors and bbq</t>
  </si>
  <si>
    <t>Our new #campervan WHITE PEARL from #SpaceCamper and #VW arrived 5/6 #lassdichtreiben… https://t.co/H3A130bRBV</t>
  </si>
  <si>
    <t>M.SaifUllah khan</t>
  </si>
  <si>
    <t>RT @dwnews: #VW to pay US customers $5,000 in #Dieselgate settlement https://t.co/o8jMiDqzJs https://t.co/2edI4y3mVM</t>
  </si>
  <si>
    <t>Twitter for BlackBerry</t>
  </si>
  <si>
    <t>Lahore,Pakistan.</t>
  </si>
  <si>
    <t>Man of few Words supports who is for pakistan and Pakistan Comes FIRST always STOP HONOUR KILLING IN PAKISTAN</t>
  </si>
  <si>
    <t>Our new #campervan WHITE PEARL from #SpaceCamper and #VW arrived 6/6 #lassdichtreiben… https://t.co/6RUhz6YbfJ</t>
  </si>
  <si>
    <t>DieselGate_es</t>
  </si>
  <si>
    <t>Asesoramos sobre qué medidas tomar en caso de estar afectado por el #DieselGate.</t>
  </si>
  <si>
    <t>John Birks</t>
  </si>
  <si>
    <t>I see your Jerk Circle ⭕</t>
  </si>
  <si>
    <t>Zaur</t>
  </si>
  <si>
    <t>#VW steht vor Tagen der Entscheidung https://t.co/ySyptncuaA</t>
  </si>
  <si>
    <t>Aserbaidschan</t>
  </si>
  <si>
    <t>eBay: 2005 Volkswagen Beetle 1.6 LUNA *FULL… https://t.co/rRNRPQyMz0 #vwbeetle #vwbug #vw https://t.co/xvfL74PTgl https://t.co/H1JbZqjsYk</t>
  </si>
  <si>
    <t>Independent tests suggest VW cars have the lowest NOx emissions https://t.co/ENhEYcHQJ3 #VW #AutoNews</t>
  </si>
  <si>
    <t>eBay: Volkswagon T4 CAMPER conversion. Ready… https://t.co/w816YayFO8 #vwcamper #vwbus #vw https://t.co/ZEadscsjBy https://t.co/QMiPVSh43O</t>
  </si>
  <si>
    <t>Axel</t>
  </si>
  <si>
    <t>Tu me dices y yo paso y te recojo en él rojo🔊 #Juueves #Pinchee #Vw #Passat https://t.co/ldDzl9Pl7O</t>
  </si>
  <si>
    <t>Tres Arroyos, Argentina</t>
  </si>
  <si>
    <t>Chevrolet♥ // Fierros // Escorpiano // GuillermoOrtelli // Sueño con la 7Ma WPP: 2983600208</t>
  </si>
  <si>
    <t>Thomas Glenn</t>
  </si>
  <si>
    <t>Twitter Apps8</t>
  </si>
  <si>
    <t>Whats up guys? I teach History in an english country town. Just fascinating isn't it?</t>
  </si>
  <si>
    <t>Will Clarke</t>
  </si>
  <si>
    <t>RT @GlobalEthicist: #VW scandal: what to expect at crucial US court hearing https://t.co/cdWiyf9VhS #CorpGov #Compliance #Reputation https:…</t>
  </si>
  <si>
    <t>Head of Comms &amp; PR for @carsales; @IABC #PR, #comms, #crisiscomms #reputationmanagement. Oh and #cycling, music, surfing, etc.</t>
  </si>
  <si>
    <t>Alexis Mautone</t>
  </si>
  <si>
    <t>RT @therealautoblog: What would you do if @VW gave you $5000? #dieselgate #VW #TreatYoSelf https://t.co/BeGGr1awDS</t>
  </si>
  <si>
    <t>No hay guerrero sin heridas,el fracaso esta en abandonar</t>
  </si>
  <si>
    <t>R&amp;GTI</t>
  </si>
  <si>
    <t>あいち</t>
  </si>
  <si>
    <t>こんにちは^ ^GTｉをよろしく(^_−)−☆</t>
  </si>
  <si>
    <t>eBay: 2006 VOLKSWAGEN BEETLE HATCHBACK 2.0 3DR… https://t.co/S2PBu33uaI #vwbeetle #vwbug #vw https://t.co/xvfL74PTgl https://t.co/KnoezYHtIu</t>
  </si>
  <si>
    <t>Marko Jokela</t>
  </si>
  <si>
    <t>Tältä näyttää ja tuntuu uusi VW Tiguan! #VW #Tiguan #testdrive #moottori https://t.co/v8wm0lMBJj https://t.co/mM9mqnpNt1</t>
  </si>
  <si>
    <t>Helsinki</t>
  </si>
  <si>
    <t>Managing editor at Moottori-magazine (cars, traffic, traveling). All opinions are mine or borrowed from those wiser than myself.</t>
  </si>
  <si>
    <t>Business Review</t>
  </si>
  <si>
    <t>VW to offer US settlement, shares spike https://t.co/fwoyrpuW6c #vw #volkswagen #emissions https://t.co/g2EXvSDBFx</t>
  </si>
  <si>
    <t>Latest business news from The Australian Business Review</t>
  </si>
  <si>
    <t>Blue #beetle of the day. #vw #volkswagen #vwkäfer #käfer #vwbeetle #bug #vwbug #volkswagenbeetle #volkswagenbug by … https://t.co/x0vq5pjjyf</t>
  </si>
  <si>
    <t>Ciocîrlan Alexandru</t>
  </si>
  <si>
    <t>#vw #beetle #bug &lt;3 https://t.co/ukrOwh0VMF</t>
  </si>
  <si>
    <t>Focşani, Vrancea</t>
  </si>
  <si>
    <t>Pasionat în materie de automobilistică, ciclism și tehnologie.</t>
  </si>
  <si>
    <t>#vw #aircooled #aircooledvw #vwclassic #volks #vwdub #vwlove #vwstories #instago #instancool #style #fusca #show #m… https://t.co/XghfVPlo2P</t>
  </si>
  <si>
    <t>😎 ⚫⚫⚫ Foto via: @jwhracing ・・・ #volkswagen #offroad #vwbajabug #volkswagenoffroad #rustic #4wd #VW #escarabajo #vwb… https://t.co/NzPNCbN2ry</t>
  </si>
  <si>
    <t>Bug Bite #vw #volkswagen #vwbeetle #volkswagenbeetle #beetle #1950s #50s #1960s #60s #1970s #70s #german #blue #yel… https://t.co/9eMJryMLGl</t>
  </si>
  <si>
    <t>Andreas Frank</t>
  </si>
  <si>
    <t>Ich sehe keine Bilder auf Twitter, nur den Text. https://t.co/iBgUXhSjJQ</t>
  </si>
  <si>
    <t>Our new #campervan WHITE PEARL from #SpaceCamper and #VW arrived #lassdichtreiben… https://t.co/LlH300TUu0</t>
  </si>
  <si>
    <t>Our new #campervan WHITE PEARL from #SpaceCamper and #VW arrived #lassdichtreiben… https://t.co/jrVsNY8WXh</t>
  </si>
  <si>
    <t>MH Customz</t>
  </si>
  <si>
    <t>our Fog Lights video ad is now up #mhcustomz #youtube #led #custom #modified #vw #golf #longford #ireland... https://t.co/FNZoXZ5XNl</t>
  </si>
  <si>
    <t>Google</t>
  </si>
  <si>
    <t>Longford, Ireland</t>
  </si>
  <si>
    <t>We are a car customizing and installation business in the midlands of Ireland.</t>
  </si>
  <si>
    <t>Christian Garrels</t>
  </si>
  <si>
    <t>Unsere aktuelle @ADAC-Position zum möglichen Vergleich von #VW in USA: https://t.co/37cXcnf8JH #dieselgate</t>
  </si>
  <si>
    <t>Munich Area, Germany</t>
  </si>
  <si>
    <t>Head of @ADAC comm, passionate @fcstpauli supporter, daddy of 2, music nerd. Views are my own</t>
  </si>
  <si>
    <t>Our new #campervan WHITE PEARL from #SpaceCamper and #VW arrived #lassdichtreiben… https://t.co/h5Qk8OnND2</t>
  </si>
  <si>
    <t>Bristol Eats</t>
  </si>
  <si>
    <t>RT @VeeDoubleMoo: Third corporate booking for @UKVolkswagen next week. Can't wait! #pride #VW #icecreamPR #events #PR</t>
  </si>
  <si>
    <t>Bristol</t>
  </si>
  <si>
    <t>Bristol's award winning street food collective. #ComeHungry to our markets: Temple Quay - 2nd &amp; 4th Thurs, Bearpit - Weds, Moor Beer - 1st Sat of month.</t>
  </si>
  <si>
    <t>#VW to Offer to Buy Back Nearly 500000 U.S. #Diesel #Cars - Sources https://t.co/y3lbDuAtvQ https://t.co/ygvZ79Hy7x</t>
  </si>
  <si>
    <t>Our new #campervan WHITE PEARL from #SpaceCamper and #VW arrived #lassdichtreiben… https://t.co/bPRrdomBjB</t>
  </si>
  <si>
    <t>Grⓐcilitarsus</t>
  </si>
  <si>
    <t>Germany and environs</t>
  </si>
  <si>
    <t>I don’t even have / the bandwidth to comprehend / how weird this all is. | Evolutionary biogeographer. Been around some, done some stuff.</t>
  </si>
  <si>
    <t>Our new #campervan WHITE PEARL from #SpaceCamper and #VW arrived #lassdichtreiben… https://t.co/dAWLyglrfo</t>
  </si>
  <si>
    <t>Our new #campervan WHITE PEARL from #SpaceCamper and #VW arrived #lassdichtreiben… https://t.co/Wu9C1R30TW</t>
  </si>
  <si>
    <t>ubaldo</t>
  </si>
  <si>
    <t>When you know that you have a very large part of the political class in your pocket then you feel safe https://t.co/7NuuqVrw6g #VW #Germany</t>
  </si>
  <si>
    <t>Brett Shearstone</t>
  </si>
  <si>
    <t>Loverly split in the square today #spitalfields #E1 #VW #lobster @… https://t.co/uomB49Gr9O</t>
  </si>
  <si>
    <t>Crouch End N8 &amp; Sheffield</t>
  </si>
  <si>
    <t>Whatever you love doing, keep doing it!!!!!</t>
  </si>
  <si>
    <t>Dieselgate: Hoffen und Bangen bei VW https://t.co/zgUhyyzXub #VW #Dieselgate</t>
  </si>
  <si>
    <t>Omar Hamid</t>
  </si>
  <si>
    <t>Blogger and commentator on EU, US &amp; UK issues. Sometimes throw odd prank vid in there! Note- All views my own</t>
  </si>
  <si>
    <t>Nick Hughes</t>
  </si>
  <si>
    <t>RT @burt_jessica: Campylobacter testing on chickens suspended as producers have been removing neck skin where bacteria is measured #VW #chi…</t>
  </si>
  <si>
    <t>East Sussex</t>
  </si>
  <si>
    <t>Freelance Writer &amp; Editor specialising in food &amp; environment. MSc in Food Policy. Formerly at The Grocer &amp; Defra, I work on food for WWF-UK. Views mine not WWF.</t>
  </si>
  <si>
    <t>Dirty-Weekender Vans</t>
  </si>
  <si>
    <t>Little workshop snippet...what's going on here then ?! #dirtyweekendervans #vw #volkswagen #vdub… https://t.co/5OXggMtd2l</t>
  </si>
  <si>
    <t>Worcester, England</t>
  </si>
  <si>
    <t>Lean, Mean, Camper Converting Dream Team!</t>
  </si>
  <si>
    <t>Leonardo</t>
  </si>
  <si>
    <t>Throw back to when we were thugs 🍻| #tbt #throwback #studentlife #drinking #thug #posers #vw… https://t.co/oAd5el1QXd</t>
  </si>
  <si>
    <t>Keeping it sexy since 1990</t>
  </si>
  <si>
    <t>RT @beetlebug1938: #vw #aircooled #aircooledvw #vwclassic #volks #vwdub #vwlove #vwstories #instago #instancool #style #fusca #show #m… htt…</t>
  </si>
  <si>
    <t>Bei #VW haben #IGMetall und der Betriebsrat riesigen Einfluss. Schlecht für das Unternehmen (ae). https://t.co/cRH1jC07Fb</t>
  </si>
  <si>
    <t>Al Grossnickle</t>
  </si>
  <si>
    <t>Source: VW, gov't ink deal to pay owners of cheating diesels via the @FoxNews App #VW https://t.co/RBIhySVbIE</t>
  </si>
  <si>
    <t>Warsaw, Indiana</t>
  </si>
  <si>
    <t>God is Great! Married, Father of two...IU, Cubs, Pacers &amp; Colts fan...still trying to live the American Dream as we once knew it...</t>
  </si>
  <si>
    <t>Markenartikel</t>
  </si>
  <si>
    <t>Autoindustrie unter Generalverdacht: #VW kein Einzelfall, auch #Mitsubishi hat bei #Emissionen getrickst https://t.co/kDd0Jd5UAf via @faznet</t>
  </si>
  <si>
    <t>Markenartikel ist das Magazin für Markenführung. Hier twittert die Redaktion.</t>
  </si>
  <si>
    <t>eBay: 2000 VOLKSWAGEN BEETLE SILVER,M.O.T… https://t.co/VxSrsFIWlV #vwbeetle #vwbug #vw https://t.co/xvfL74PTgl https://t.co/CKOH7bhLiY</t>
  </si>
  <si>
    <t>eBay: 1967 VW BEETLE in Original Colour of… https://t.co/hAqAntSWxY #vwbeetle #vwbug #vw https://t.co/xvfL74PTgl https://t.co/P3G9cmOBA8</t>
  </si>
  <si>
    <t>Lombarda Motori</t>
  </si>
  <si>
    <t>Propone: #VW #Golf Plus #Diesel, 17.12.2010, 36.242 km, 11.900 € https://t.co/37AG7A3mPw https://t.co/k8tYxr0GVH</t>
  </si>
  <si>
    <t>Monza</t>
  </si>
  <si>
    <t>Concessionaria per i marchi Audi, Volkswagen e Seat con sede a Monza. Visita il nostro sito http://t.co/37AG7zLLqW</t>
  </si>
  <si>
    <t>Über 3000 Karten in 2h: Konzert "Klassik Picknickt" ausverkauft. #GläserneManufaktur #Dresden #VW https://t.co/L8R7R7UdRm</t>
  </si>
  <si>
    <t>rene sari</t>
  </si>
  <si>
    <t>#VW, ABD'de, yalan bilgiyle sattigi araç sahiplerinin her birine 5 bin $ ödeyecek!</t>
  </si>
  <si>
    <t>France</t>
  </si>
  <si>
    <t>CO2 yayimi çok düsük, Geri dönüsümü mümkün</t>
  </si>
  <si>
    <t>VCD</t>
  </si>
  <si>
    <t>#VCD fordert: Strafzahlung von #VW im #Abgasskandal muss in Dtl. ins Gesundheitssystem fließen! https://t.co/1erqFLSmAe</t>
  </si>
  <si>
    <t>Seit 1986 der einzige ökologische Verkehrsclub. Neuigkeiten, Skurriles und Interessantes rund um das Thema Umwelt &amp; Verkehr twittern Anja &amp; Simon.</t>
  </si>
  <si>
    <t>Ма Ку</t>
  </si>
  <si>
    <t>Volkswagen назвал дату старта продаж обновленного Tiguan в России https://t.co/gsC3baEjwQ #tiguan #vw</t>
  </si>
  <si>
    <t>Нижний Новгород</t>
  </si>
  <si>
    <t>морально устойчива :)</t>
  </si>
  <si>
    <t>Aaron Shamrock</t>
  </si>
  <si>
    <t>#VW does not give #UP Ppl simply love it ;) https://t.co/bG4KtUxQ6t</t>
  </si>
  <si>
    <t xml:space="preserve">Dublin City, Ireland </t>
  </si>
  <si>
    <t>Hate waisting Time with Lies, speak Truth instead. Love meeting new People, some of them become even Friends. Love Art, Music &amp; some Cars. Sales @XadoIreland</t>
  </si>
  <si>
    <t>Peter Hollo - IC</t>
  </si>
  <si>
    <t>RT @Markenartikler: Autoindustrie unter Generalverdacht: #VW kein Einzelfall, auch #Mitsubishi hat bei #Emissionen getrickst https://t.co/k…</t>
  </si>
  <si>
    <t>Ottobeuren, Bayern</t>
  </si>
  <si>
    <t>Peter Hollo - International Consultants. Recruitment Marketing Enthusiast, Entrepreneur, Mover, Mentor, Consultant. Impressum https://t.co/qmz7gMpei6</t>
  </si>
  <si>
    <t>VRwatchingU</t>
  </si>
  <si>
    <t>#Volkswagen va verser 5.000$ par client US trompé en guise de réparation. Parce qu'on ne respire pas le même air, sachez-le. #dieselgate #VW</t>
  </si>
  <si>
    <t>#OppositionDeGauche</t>
  </si>
  <si>
    <t>Get a job. Pay your taxes. Buy stuff. Watch TV. Believe our crap. Obey. Vote for us and Shut up.</t>
  </si>
  <si>
    <t>Volkswagen PL News</t>
  </si>
  <si>
    <t>Nowy #VW #Amarok - pick-up klasy premium zyskał pierwsze oficjalne szkice https://t.co/KBmQeAyDuf</t>
  </si>
  <si>
    <t>Krańcowa 44, Poznań</t>
  </si>
  <si>
    <t>Oficjalne konto marki Volkswagen w Polsce. Znajdziesz tu najświeższe informacje dla mediów.</t>
  </si>
  <si>
    <t>sinan aslan</t>
  </si>
  <si>
    <t>Yapmam gereken mi Sadece binip gitmek... #vw #ozgurluk #vwt3 #freedom #ride #life https://t.co/kPxmoSEuLC</t>
  </si>
  <si>
    <t>MERSİN</t>
  </si>
  <si>
    <t>Hayat güzel yaşamaya değer ;)</t>
  </si>
  <si>
    <t>AzVision FR</t>
  </si>
  <si>
    <t>RT @Zaur_705: #VW steht vor Tagen der Entscheidung https://t.co/ySyptncuaA</t>
  </si>
  <si>
    <t>EvvoNewBeetleClub</t>
  </si>
  <si>
    <t>Great looking Bug!! #vw #vwbug #vwdub #vwlove #vwporn #vwbeetle #bug #beetle #vdub #wheels… https://t.co/P74b4ZwFBx</t>
  </si>
  <si>
    <t>All over the UK and beyond</t>
  </si>
  <si>
    <t>Evvo started in 2006 by a group of friends with New Beetles, Since then the club has continued to grow. Follow us on Instagram &amp; Facebook.</t>
  </si>
  <si>
    <t>Cape Cod Instagram</t>
  </si>
  <si>
    <t>And it feels so good. #R32 #mk4 #vw #euro #golf #R #stance #low... https://t.co/5eSGGBO2hB</t>
  </si>
  <si>
    <t>Cape Cod</t>
  </si>
  <si>
    <t>Instagram photos shot on Cape Cod, MA. -Photo accreditations (@) are for users on Instagram, not Twitter.</t>
  </si>
  <si>
    <t>RT @tagesschau: Dieselgate: Hoffen und Bangen bei VW https://t.co/zgUhyyzXub #VW #Dieselgate</t>
  </si>
  <si>
    <t>Robert</t>
  </si>
  <si>
    <t>#Mitsubishi, The New #VW, Admits Cheating on Fuel-Economy Tests Polluting The Air You Breathe! https://t.co/6B234GAukF</t>
  </si>
  <si>
    <t>bear ice and keeping it so</t>
  </si>
  <si>
    <t>Verbraucherzentrale</t>
  </si>
  <si>
    <t>#Verbraucherstimme | #VW #Volkswagen #Abgasskandal #dieselgate | @Klaus_Mueller https://t.co/OXh93BiRCE</t>
  </si>
  <si>
    <t>Verbraucherzentrale Bundesverband | Die Pressestelle twittert über Verbraucherpolitik | http://t.co/8yz2vfTCGF | Folgen Sie auch unserem Vorstand @Klaus_Mueller</t>
  </si>
  <si>
    <t>Francesco Canu</t>
  </si>
  <si>
    <t>Qui si fa la storia! #vw #lupo #car #volkswagen https://t.co/7l32iRriqU</t>
  </si>
  <si>
    <t>Carbonia, Sardegna, Italia</t>
  </si>
  <si>
    <t>Amministratore condominiale &amp; Futsal Player. Android, Juventus, Fitness. Join me on Facebook, Instagram, Google+</t>
  </si>
  <si>
    <t>FARES EL AROUI</t>
  </si>
  <si>
    <t>RT @Carscoop: #VW #Dieselgate Solution Could Include $5,000 To Owners, Buybacks https://t.co/8sDS2tlzt0 https://t.co/DZWLHTQzJ4</t>
  </si>
  <si>
    <t>Tommi Stough</t>
  </si>
  <si>
    <t>Great. Buy back cars at unfair price, resell in different country w/ less emissions controls. #VW https://t.co/NPJDaHFN6b</t>
  </si>
  <si>
    <t>Bengaluru, India</t>
  </si>
  <si>
    <t>Blogger, Expat</t>
  </si>
  <si>
    <t>SheBuysCars</t>
  </si>
  <si>
    <t>Triple Play: Björk, MoMA and #VW https://t.co/AXdW5r0g9v #audio #soundjourney #technology #Volkswagen</t>
  </si>
  <si>
    <t>Win the Customer</t>
  </si>
  <si>
    <t>Greenwich, CT</t>
  </si>
  <si>
    <t>Empowering women to be smarter, happier #car owners, from @ScottyReiss &amp; @KimOrlando; @MeaganShamy, @Judy511 #shebuyscars</t>
  </si>
  <si>
    <t>Michał Jaremczuk</t>
  </si>
  <si>
    <t>RT @vwpress_PL: Nowy #VW #Amarok - pick-up klasy premium zyskał pierwsze oficjalne szkice https://t.co/KBmQeAyDuf</t>
  </si>
  <si>
    <t>Poznań, EPEL</t>
  </si>
  <si>
    <t>eBay: VW Transporter 4-Berth Camper - LWB… https://t.co/TCIsqKHqe5 #vwcamper #vwbus #vw https://t.co/ZEadscsjBy https://t.co/gwQV1iHXDa</t>
  </si>
  <si>
    <t>Great looking Bug!! #vw #vwbug #vwdub #vwlove #vwporn #vwbeetle #bug #beetle #vdub #wheels… https://t.co/Bzx9xJshYh</t>
  </si>
  <si>
    <t>Klaus Müller</t>
  </si>
  <si>
    <t>RT @vzbv: #Verbraucherstimme | #VW #Volkswagen #Abgasskandal #dieselgate | @Klaus_Mueller https://t.co/OXh93BiRCE</t>
  </si>
  <si>
    <t>Hier twittert der Vorstand des Verbraucherzentrale Bundesverbands @vzbv (Foto: vzbv/Marco Urban). Views are my own. RT ≠ endorsement.</t>
  </si>
  <si>
    <t>Great looking Bug!! #vw #vwbug #vwdub #vwlove #vwporn #vwbeetle #bug #beetle #vdub #wheels… https://t.co/jVU9VFcwwt</t>
  </si>
  <si>
    <t>Great looking Bug!! #vw #vwbug #vwdub #vwlove #vwporn #vwbeetle #bug #beetle #vdub #wheels… https://t.co/2NqcQee16W</t>
  </si>
  <si>
    <t>Chloe Reynolds</t>
  </si>
  <si>
    <t>RT @TheLocalAnswer: Speedy, stylish &amp; a good all rounder! Review of the #VW Golf R in our April issue! https://t.co/SYusXedAgL #cars https:…</t>
  </si>
  <si>
    <t>Gloucestershire</t>
  </si>
  <si>
    <t>@TheLocalAnswer Publication Manager for the Cotswolds &amp; Gloucestershire South magazines #Cotswolds #GloucestershireSouth #Advertising #Marketing #Publications</t>
  </si>
  <si>
    <t>Love My Classic</t>
  </si>
  <si>
    <t>Everyday is a #ThrowbackThursday for us... but that's just how we like it! #VW Golf Clipper #ClassicCar https://t.co/gTVO7OpsiM</t>
  </si>
  <si>
    <t>Fans of classic cars + modern classics. Follow us &amp; join the conversation of all things classic cars! Share photos, tips, videos, questions + more.</t>
  </si>
  <si>
    <t>Nick Buckland</t>
  </si>
  <si>
    <t>Couple of time wasters, so still up for sale. Make me a serious offer https://t.co/tHgeC5jFgv #vw #vwt5 #t5 #vwcaravelle #caravelle</t>
  </si>
  <si>
    <t>Reading - England</t>
  </si>
  <si>
    <t>Sports Nut, particularly Spurs, Quins RU, Barca &amp; F1. Married with 2 boys, one on the autistic spectrum. I Love Spain having lived and gone to school there!</t>
  </si>
  <si>
    <t>Modified Automotive</t>
  </si>
  <si>
    <t>#vw m reg convertible #forsale £995 https://t.co/eKPNQ82Ckn</t>
  </si>
  <si>
    <t xml:space="preserve">Wirral </t>
  </si>
  <si>
    <t>We are a Wirral based company based in the Northwest of the UK. All enquires email chris-dolphin@live.co.uk or call 07538408515 between 9 AM - 6PM</t>
  </si>
  <si>
    <t>K. Nordlicht</t>
  </si>
  <si>
    <t>#NOx #VWgate #dieselgate #VW https://t.co/UNBd0hPHBh</t>
  </si>
  <si>
    <t>Menschenrechte Religion Gerechtigkeit Klima Zuwanderung Politik Human Rights Religion Justice Climate Immigration Politics Follow/retweet is not an endorsement</t>
  </si>
  <si>
    <t>Die #VW-Aktie hat kräftig zugelegt, nach den Berichten über eine Lösung im Abgasskandal. #dieselgate https://t.co/qrQXdzbklr</t>
  </si>
  <si>
    <t>Stefka Wiese</t>
  </si>
  <si>
    <t>Berlin-Pankow</t>
  </si>
  <si>
    <t>#Grüne, schon lange vom Flügelgezappel genervt; lange in #bagwifi aktiv, zuletzt Sprecherin. Twittert v.a.zu #Wirtschaftspolitik, Auto-#Verkehrswende &amp; #EUropa.</t>
  </si>
  <si>
    <t>#VW-Abgas-Skandal: Unsere Juristen und Techniker klären auf -&gt; https://t.co/NZHI0XYqvc #VW #Abgas #Diesel</t>
  </si>
  <si>
    <t>Michaela Schröder</t>
  </si>
  <si>
    <t>Referentin im Team Vorstand des @vzbv | meine Tweets drücken meine private Meinung aus</t>
  </si>
  <si>
    <t>Netzwerk gegen S21</t>
  </si>
  <si>
    <t>RT @VCDeV: #VCD fordert: Strafzahlung von #VW im #Abgasskandal muss in Dtl. ins Gesundheitssystem fließen! https://t.co/1erqFLSmAe</t>
  </si>
  <si>
    <t>www.infoOffensive.de</t>
  </si>
  <si>
    <t>Netzwerk gegen Stuttgart21 &amp; http://t.co/2EJD3O2JAC unter: http://t.co/iU8S8vWYza ; http://t.co/NkQZrrzxaH</t>
  </si>
  <si>
    <t>Riitta Karjalainen</t>
  </si>
  <si>
    <t>RT @MarkoJokela: Tältä näyttää ja tuntuu uusi VW Tiguan! #VW #Tiguan #testdrive #moottori https://t.co/v8wm0lMBJj https://t.co/mM9mqnpNt1</t>
  </si>
  <si>
    <t>Helsinki, Finland</t>
  </si>
  <si>
    <t>Autot, viestintä ja golf, siinä ne tärkeimmät. Työ VV-Auto Group Oy:n viestintäpäällikkö, twiitit omiani.</t>
  </si>
  <si>
    <t>https://t.co/lCBxwyVboW - Con La gatoneta por llanes #vwt4 #volkswagen #t4camper #vw… https://t.co/11jh6NIDXN https://t.co/6j3pRsgubs</t>
  </si>
  <si>
    <t>yukoh</t>
  </si>
  <si>
    <t>AutoConception.com</t>
  </si>
  <si>
    <t>New Volkswagen Amarok Design Revealed in Sketches https://t.co/MSEJduiczy #Volkswagen #VW #Amarok #pickup #truck #design</t>
  </si>
  <si>
    <t>E-zine dedicated to automotive and transport design</t>
  </si>
  <si>
    <t>Adam Bucci</t>
  </si>
  <si>
    <t>The beginning. #vr6swap #lowandslow #Cabrio #vw #mk1 https://t.co/OCWsZfygtL</t>
  </si>
  <si>
    <t>Levittown, PA</t>
  </si>
  <si>
    <t>#mk1 #mk1gti #mk1golf #rabbit #vwlove #vwlife #mk2gang #mk2 #mk3golf #mk2golf #vw by mk2_prestige https://t.co/jtHeFz6PtD</t>
  </si>
  <si>
    <t>Tejas</t>
  </si>
  <si>
    <t>After #VW its #Mitsubishi.. the list is growing. Mitsubishi Admits Cheating on Fuel-Economy Tests https://t.co/nhZCUD94JT</t>
  </si>
  <si>
    <t>Boston, MA</t>
  </si>
  <si>
    <t>@XLHybrids and passionate about greener and literate future..</t>
  </si>
  <si>
    <t>On-Set with the Street Dubz crew. #sundown #beachlife #beachbuzz #vwvortex #vw #mk1 #mk1golf #stance #stateofstanc… https://t.co/uxuOSJndZl</t>
  </si>
  <si>
    <t>@DeejayKK</t>
  </si>
  <si>
    <t>Top ade top!! #vw #oldschool #worshipinthewild @ USIU https://t.co/5C4bT7r5EA</t>
  </si>
  <si>
    <t>Kenya</t>
  </si>
  <si>
    <t>Deejay KK</t>
  </si>
  <si>
    <t>#VW Said to Pay At Least $10 Billion in U.S. Cheating #Deal - Bloomberg #claims https://t.co/fdV8eqajD8</t>
  </si>
  <si>
    <t>Franka Kühn</t>
  </si>
  <si>
    <t>Teamleiterin Presse Verbraucherzentrale Bundesverband @vzbv</t>
  </si>
  <si>
    <t>Rebec(c)a Samonà</t>
  </si>
  <si>
    <t>#Dieselgate: in USA #VW ricomprerà 500.000 auto 2.0 truccate e risarcirà ogni proprietario con 5.000$. E da noi? https://t.co/OotCwjqwss</t>
  </si>
  <si>
    <t>Rome, Italy</t>
  </si>
  <si>
    <t>Reporter, curator at Presa Diretta, Raitre - RT not endorsement + Here my views only</t>
  </si>
  <si>
    <t>MarcoS</t>
  </si>
  <si>
    <t>RT @OnlyCarrera: #porsche #porschedesign #porsche911 #porscheclub #porschefans #carrera #porscheturbo #porsche918 #motorsports #vw #… https…</t>
  </si>
  <si>
    <t>★ Thanks for following ★</t>
  </si>
  <si>
    <t>@Klaus_Mueller auch guter Weg: #VW-#Strafzahlung ins Gesundheitssystem.Druck vor #Verbraucherschutzministerkonferenz https://t.co/s5aCHq922O</t>
  </si>
  <si>
    <t>Autoblog.com</t>
  </si>
  <si>
    <t>#VW cheat payouts could cost company $3 billion, or roughly $5k per affected diesel car. https://t.co/BeGGr0SVMk https://t.co/VEU6pjaE3h</t>
  </si>
  <si>
    <t>We obsessively cover the auto industry</t>
  </si>
  <si>
    <t>5bieg.pl</t>
  </si>
  <si>
    <t>Pierwsze szkice nowego #VW #Amarok. Porównajcie go z poprzednikiem -&gt; https://t.co/4SPvxx8Kav #pickup #5bieg https://t.co/O4mgPwGoTr</t>
  </si>
  <si>
    <t>Testy, newsy i informacje z rynku motoryzacyjnego. Tylko samochody z charakterem.</t>
  </si>
  <si>
    <t>Marina Segura</t>
  </si>
  <si>
    <t>Madrid</t>
  </si>
  <si>
    <t>Periodista, sin más. Cosecha del '65.</t>
  </si>
  <si>
    <t>Paul Miller Auto</t>
  </si>
  <si>
    <t>Volkswagen Press Conference Auto China 2016 - https://t.co/0F1d8xKzMb #PaulMiller #VW @paulmillervw</t>
  </si>
  <si>
    <t>Paul Miller Auto Group</t>
  </si>
  <si>
    <t>New Jersey</t>
  </si>
  <si>
    <t>The Official Paul Miller Auto Group Twitter. Authorized/Certified Dealer for Audi, BMW, Porsche, VW, Rolls Royce, Bentley, Land Rover, Subaru, Honda &amp; Collision</t>
  </si>
  <si>
    <t>Derrick Barton</t>
  </si>
  <si>
    <t>You on drugs... 😂 It's VW or nothing! Lol #VW #VAG #VWLifeStyle https://t.co/dpf687HX3A</t>
  </si>
  <si>
    <t>Alabama!</t>
  </si>
  <si>
    <t>N.Y.C. Craziest! VW GTI/GLI fanatic and luv those $! Follow Me, I Follow Back, its just that simple! Instagram @GTIcrazy1</t>
  </si>
  <si>
    <t>RT @ADAC: #VW-Abgas-Skandal: Unsere Juristen und Techniker klären auf -&gt; https://t.co/NZHI0XYqvc #VW #Abgas #Diesel</t>
  </si>
  <si>
    <t>Anja Thienpont</t>
  </si>
  <si>
    <t>Heusden</t>
  </si>
  <si>
    <t>Life may not be the party we hoped for, but while we are here we might as well dance!</t>
  </si>
  <si>
    <t>eRevalue</t>
  </si>
  <si>
    <t>Bad day for automakers: #Mitsubishi apologizes, #VW is said to pay for deceptions https://t.co/GKc1wrbyxQ #emissions</t>
  </si>
  <si>
    <t>London / NYC</t>
  </si>
  <si>
    <t>Introducing Datamaran™, an emerging #risk radar with a focus on #ESG #data. Our team: @marjella_alma @jeep200 @suekatus @txarlinestx https://t.co/qEYaesRRO8</t>
  </si>
  <si>
    <t>CarNewsRT</t>
  </si>
  <si>
    <t>RT @therealautoblog: #VW cheat payouts could cost company $3 billion, or roughly $5k per affected diesel car. https://t.co/BeGGr0SVMk https…</t>
  </si>
  <si>
    <t>Florida, U.S.A</t>
  </si>
  <si>
    <t>All the news from the cars you love in one place.</t>
  </si>
  <si>
    <t>Tony Cantero Suárez</t>
  </si>
  <si>
    <t>Paris</t>
  </si>
  <si>
    <t>The poet and storyteller is a free and genuine thinker and humanist, of literary philosophical thought framed in the poetic stream The Idyllic existentialists.</t>
  </si>
  <si>
    <t>#vw beetle 1967 VW BEETLE in Original Colour of White https://t.co/Rmzm1jJtRK</t>
  </si>
  <si>
    <t>FLMediaINC</t>
  </si>
  <si>
    <t xml:space="preserve">Michigan </t>
  </si>
  <si>
    <t>I'm Amr owner of Flashing Lights Media, Inc. Cinematographer and Photographer. Entrepreneur. Obsessed with beauty movies photography video games and good music</t>
  </si>
  <si>
    <t>lo_dot_xo</t>
  </si>
  <si>
    <t>Breakfast! #vegan #chocolate #proteinpowder #blenderbottle #pink #vw https://t.co/1ksQnqf3qI</t>
  </si>
  <si>
    <t>college girl and buyer. my boyfriend, family, fashion, makeup, hiking, indie/grunge music, and coffee all make my world go round (:</t>
  </si>
  <si>
    <t>Ace News Services</t>
  </si>
  <si>
    <t>GERMANY: #VW to pay $1B to diesel owners, buy back some cars according to a source but deal… https://t.co/P9Tac1lJV5 https://t.co/BriB5jLJdy</t>
  </si>
  <si>
    <t xml:space="preserve">Warwickshire, United Kingdom </t>
  </si>
  <si>
    <t>I provide news and views as a news group together with fellow blogger's and writers who have something to say. I also believe in Freedom of the Press.</t>
  </si>
  <si>
    <t>UDelSustainability</t>
  </si>
  <si>
    <t>Today #VW announces their proposal to fix the #Volkscam - what to do with 600k cars that cheated on emissions tests in the USA</t>
  </si>
  <si>
    <t>Newark, DE</t>
  </si>
  <si>
    <t>First ever Sustainability Manager for @UDelaware. Former rafting guide, TEFL instructor. Garden enthusiast. Views are my own, RTs not endorsements</t>
  </si>
  <si>
    <t>Paul J Tame</t>
  </si>
  <si>
    <t>slawson @ https://t.co/qTF45LVw6o: purple #ford #bmw #vw #renault #mini #growler #subaru https://t.co/g0SXlyI8D6 https://t.co/3t2Am3Lqls</t>
  </si>
  <si>
    <t>PromotePictures</t>
  </si>
  <si>
    <t>help me town... England</t>
  </si>
  <si>
    <t>A business man... only fools and horses Spurs and Leyton Orient Also love Brighton. Robbie Williams, Eminem &amp; Kanye married @michellelove13</t>
  </si>
  <si>
    <t>eBay: VW Transporter 4-Berth Camper - 2014 SWB… https://t.co/OBIT7W3reh #vwcamper #vwbus #vw https://t.co/ZEadscsjBy https://t.co/ou2TPvZbW4</t>
  </si>
  <si>
    <t>limiteddustcaps #vauxhall #mg #jaguar #audi #mercedes #vw #landrover #chrysler #peugeot https://t.co/qkFvlm9lQt https://t.co/45gvBYLgpZ</t>
  </si>
  <si>
    <t>phoenix_kom</t>
  </si>
  <si>
    <t>Prof. Ferdinand Dudenhöffer über den #VW Skandal ab 14.00h in #vorOrt mit Ina Baltes https://t.co/ion1H7Y4MS</t>
  </si>
  <si>
    <t>Bonn</t>
  </si>
  <si>
    <t>Meldungen, Meinungen und Service. Der digitale Draht zur phoenix-Kommunikation für Journalisten und Meinungsmacher.</t>
  </si>
  <si>
    <t>OtoStil</t>
  </si>
  <si>
    <t>60'la giderken #kaza halinde aracınızın ne hale geldiğini görmek ister misiniz? https://t.co/0VNr5zSRJ1 #Crash #VW #Golf #GolfVII #Test</t>
  </si>
  <si>
    <t>Tek haftalık #otomobil dergisi #otostil çıktı https://t.co/qxROXfTmLx https://t.co/nkLmTr6v0I @otostil @murattosunn @mertotostil</t>
  </si>
  <si>
    <t>Anette Rogers</t>
  </si>
  <si>
    <t>Coaching on site at Möller Bil Uppsala 😄#businessdevelopment #Coachingleadership #VW https://t.co/CFjQ26sER9</t>
  </si>
  <si>
    <t>Sweden</t>
  </si>
  <si>
    <t>Business entrepreneur, Blogger (http://t.co/bwF1yYzlq6), wife and mother of four. Tweets in English and Swedish.</t>
  </si>
  <si>
    <t>eBay: 62 REG 2012 VOLKSWAGEN BEETLE DESIGN 2.0… https://t.co/z2VbXZDgHP #vwbeetle #vwbug #vw https://t.co/xvfL74PTgl https://t.co/MRswFhydBs</t>
  </si>
  <si>
    <t>Maria</t>
  </si>
  <si>
    <t>Old VW beelte in a good shape! #reflection #car #beetle #chrome #vw #oldcars https://t.co/dAcOBKaWkm</t>
  </si>
  <si>
    <t xml:space="preserve">Mariaphotos </t>
  </si>
  <si>
    <t>Amazing pictures of places, people, animals, and nature. #photography</t>
  </si>
  <si>
    <t>The Car Centre</t>
  </si>
  <si>
    <t>#newcar #vw #volkswagon #golf #red #happy #smile #thecarcentre https://t.co/57B6pazG49</t>
  </si>
  <si>
    <t>Manchester, UK</t>
  </si>
  <si>
    <t>The No1 spot for Manchester's Used Car Sales.</t>
  </si>
  <si>
    <t>#VW-Skandal: Einigung in letzter Minute? #dieselgate https://t.co/qvwCpRdyLi https://t.co/aQXm4mde2q</t>
  </si>
  <si>
    <t>MediaPost</t>
  </si>
  <si>
    <t>#vw https://t.co/ojb7wTquwr</t>
  </si>
  <si>
    <t>New York, NY</t>
  </si>
  <si>
    <t>Daily news and commentaries for media, marketing and advertising professionals looking for the most comprehensive industry coverage.</t>
  </si>
  <si>
    <t>Zdmak Tool Store</t>
  </si>
  <si>
    <t>RARE AND UNIQUE 3 Jaw - Press Master auto tools https://t.co/KfhkPhj09A via @eBay #auto #car #vw #tools #gm #chevy #ford #truck</t>
  </si>
  <si>
    <t>We have a wide variety of Special Tools for European &amp; Asian Auto Repair. We specialize in the most popular Tools - Excellent for the pro or shadetree techs!</t>
  </si>
  <si>
    <t>WMG Leasing</t>
  </si>
  <si>
    <t>#VW #TOUAREG 3.0 V6 TDI BLUEMOTION R LINE £335 +VAT P/MONTH, #BUSINESS USERS, 9+23, 10K, https://t.co/PIFsOEM0yz https://t.co/9VSL61hRJc</t>
  </si>
  <si>
    <t>Aldershot, England</t>
  </si>
  <si>
    <t>We can cater for all needs and arrange suitable finance for the private individual, business or even if you are a large fleet customer.</t>
  </si>
  <si>
    <t>Der Maschinist</t>
  </si>
  <si>
    <t>Wie wollen sie dann erst auf die richtigen Disruptoren reagieren, die sich bereit machen? Oh weh, #VW… https://t.co/1fOGHUIQjG</t>
  </si>
  <si>
    <t>Shrook Reader</t>
  </si>
  <si>
    <t>Ich mag spanische Autoren-Pornos (OmU) auf Arte.</t>
  </si>
  <si>
    <t>Jueves con todos la actitud! #vw #Volkswagen #kingeuro</t>
  </si>
  <si>
    <t>WIAT 42</t>
  </si>
  <si>
    <t>#VW to pay $1B to #diesel owners, buy back some cars https://t.co/lXJeWgJwIa</t>
  </si>
  <si>
    <t>Birmingham, Alabama</t>
  </si>
  <si>
    <t>WIAT 42 News is Coverage You Can Count On for central Alabama. Send photos and news tips to ReportIt@wiat.com.</t>
  </si>
  <si>
    <t>VAGMEN GROUP</t>
  </si>
  <si>
    <t>#vw #golf #mk2 #vagmen https://t.co/FkrUiDdmgH</t>
  </si>
  <si>
    <t>birmingham</t>
  </si>
  <si>
    <t>#vagmen #vw #vdub #vwgolf #volkswagen #audi #skoda #bmw https://t.co/OzgtyECo0C https://t.co/VsEzmVhYZd https://t.co/EUdL6Hv1GP</t>
  </si>
  <si>
    <t>#techhippie Preparados #eurocrewvalencia #eurocrew #lipieza #clean #cleaneating #vw #vwgolf #vwgolfr #vwr #mk6 #mk6… https://t.co/m9r7O4seXi</t>
  </si>
  <si>
    <t>prez sztyber</t>
  </si>
  <si>
    <t>Peter Constant</t>
  </si>
  <si>
    <t>@PeterConstant @greeksinart Why 27 member states of #EU struggle and #Germany prospers? Is it Cheating like #VW? https://t.co/GOzihhvuop</t>
  </si>
  <si>
    <t>Petors Constantinou</t>
  </si>
  <si>
    <t>Art collector /investor, writer Supports FREEDOM,DEMOCRACY,JUSTICE PEACE. Fights for UK to leave EU. Visit:https://t.co/zWMa9I8mtX and https://t.co/WdSY4UCz5x</t>
  </si>
  <si>
    <t>Dave Coffey</t>
  </si>
  <si>
    <t>RT @WIAT42: #VW to pay $1B to #diesel owners, buy back some cars https://t.co/lXJeWgJwIa</t>
  </si>
  <si>
    <t>Alabama</t>
  </si>
  <si>
    <t>Believer. Husband. Son. Brother. Cigar Lover. Instigator and former TV Sportsguy turned Mad Man . Every day is a gift &amp; adventure. Love every moment you have.</t>
  </si>
  <si>
    <t>Paul A Roberts</t>
  </si>
  <si>
    <t xml:space="preserve">Manchester </t>
  </si>
  <si>
    <t>Motor Sport History. Astronomy.</t>
  </si>
  <si>
    <t>Seán O'Shea GLOBALTV</t>
  </si>
  <si>
    <t>The #VW diesel debacle: deal on compensation done. #auto https://t.co/UcNMDw9geJ</t>
  </si>
  <si>
    <t>Toronto, Ontario Canada</t>
  </si>
  <si>
    <t>Global TV Network consumer+investigative reporter. #IWorkForTheViewer 1-866-SOS-1414 sos@globalnews.ca</t>
  </si>
  <si>
    <t>B van der Vliet</t>
  </si>
  <si>
    <t>RvS</t>
  </si>
  <si>
    <t>Munich</t>
  </si>
  <si>
    <t>Specialist in Automotive, Entrepreneur in Connected Cars and autonomous driving, Helping international companies in their Start-Up into the German market.</t>
  </si>
  <si>
    <t>Katu- ja maastouskottava Volkswagen Tiguan. #Tiguan #VW #testdrive #berlin #offroad #moottori https://t.co/zKC7ub3bW1</t>
  </si>
  <si>
    <t>#VW 127,85€ +3,57% Aktie bleibt vor dem US-Urteil stark, Analysten bleiben skeptisch/JK https://t.co/TXajhaxXNk https://t.co/ogIkBbZP5u</t>
  </si>
  <si>
    <t>GOMEX Newsroom</t>
  </si>
  <si>
    <t>#VW Press Conference feat. World Premiere #SUV study. April 25 🇬🇧/🇩🇪 https://t.co/y8q2EW7sEU #VWBeijingAutoShow16 https://t.co/UC3lO7ugcG</t>
  </si>
  <si>
    <t>updates about new video material for media, journalists and blogger - english &amp; german | news about #livestreaming events | division of @comsatmedia</t>
  </si>
  <si>
    <t>RT @PaulMillerAG: Volkswagen Press Conference Auto China 2016 - https://t.co/0F1d8xKzMb #PaulMiller #VW @paulmillervw</t>
  </si>
  <si>
    <t>RT @GTIcrazy: You on drugs... 😂 It's VW or nothing! Lol #VW #VAG #VWLifeStyle https://t.co/dpf687HX3A</t>
  </si>
  <si>
    <t>RT @kngeuro: Jueves con todos la actitud! #vw #Volkswagen #kingeuro</t>
  </si>
  <si>
    <t>Cordwallis Group</t>
  </si>
  <si>
    <t>A VW fit for The Queen! #90thbirthday #Queenat90 #QueensBirthday #VW https://t.co/LYqj2SgD5e</t>
  </si>
  <si>
    <t>South East, UK</t>
  </si>
  <si>
    <t>Volkswagen Van, MAN Truck &amp; Isuzu Truck Centres operating in London &amp; the Thames Valley.</t>
  </si>
  <si>
    <t>claire</t>
  </si>
  <si>
    <t>RT @VRwatchingU: #Volkswagen va verser 5.000$ par client US trompé en guise de réparation. Parce qu'on ne respire pas le même air, sachez-l…</t>
  </si>
  <si>
    <t xml:space="preserve">centre  </t>
  </si>
  <si>
    <t>l’actualité est moins triste quand on peut participer et donner son avis</t>
  </si>
  <si>
    <t>Len Besthoff</t>
  </si>
  <si>
    <t>Potential relief for US #VW car owners @CNBC saying automaker will buy back 500k cheating diesels @NBCConnecticut https://t.co/EpwYKdfrwh</t>
  </si>
  <si>
    <t>Hartford, CT</t>
  </si>
  <si>
    <t>Chief Investigative Reporter NBC CT Troubleshooters Unit...use data, public records, &amp; whistleblowers to expose waste, corruption, and wrongdoing.</t>
  </si>
  <si>
    <t>NorthWestDubs</t>
  </si>
  <si>
    <t>North West</t>
  </si>
  <si>
    <t>In to #Modified #VWs in the #NorthWest Area? Then you have found the right site! We also have a #forum http://t.co/tMnEcAdvKS</t>
  </si>
  <si>
    <t>Paoletto Doro</t>
  </si>
  <si>
    <t>RT @RebSamona: #Dieselgate: in USA #VW ricomprerà 500.000 auto 2.0 truccate e risarcirà ogni proprietario con 5.000$. E da noi? https://t.c…</t>
  </si>
  <si>
    <t>Sardegna, Italia</t>
  </si>
  <si>
    <t>Essere sempre sé stessi</t>
  </si>
  <si>
    <t>timhall</t>
  </si>
  <si>
    <t>Update coming today on VW's plans re: diesel emissions. #vw https://t.co/hev9rYGYpv</t>
  </si>
  <si>
    <t>Columbus, OH</t>
  </si>
  <si>
    <t>inspired Advertising / Marketing / Social Media Nut.. husband, father, music lover.</t>
  </si>
  <si>
    <t>eBay: 2012 Volkswagen Transporter T5 Camper… https://t.co/gT5v26onWK #vwcamper #vwbus #vw https://t.co/ZEadscsjBy https://t.co/nIDAOPNq2g</t>
  </si>
  <si>
    <t>eBay: 2007 Volkswagen Transporter T5 2.5 TDI… https://t.co/OmdPijYnwb #vwcamper #vwbus #vw https://t.co/ZEadscsjBy https://t.co/L9KY2szeOD</t>
  </si>
  <si>
    <t>eBay: vw transporter 2.4 lwb 2001 12m mot… https://t.co/3yhe438bnx #vwcamper #vwbus #vw https://t.co/ZEadscsjBy https://t.co/v5VYtp9rZ8</t>
  </si>
  <si>
    <t>rotefahnenews</t>
  </si>
  <si>
    <t>#VW-Krise – wie Automonopole mit Hilfe des Staates Milliardenprofite einstreichen https://t.co/VM4tXtrHFK https://t.co/4J2gqPEFdH</t>
  </si>
  <si>
    <t>Rote Fahne News versteht sich als gesellschaftskritisches Nachrichtenmagazin und als linke Alternative zu den bürgerlichen Medien. täglich aktualisiert</t>
  </si>
  <si>
    <t>Autoescuela CUELLAR</t>
  </si>
  <si>
    <t>Zaragoza</t>
  </si>
  <si>
    <t>Desde 1977 ... formando conductores.</t>
  </si>
  <si>
    <t>Retweeted Foro DGT (@foroDGT): #VW pagará hasta 5.000 $ a cada afectado por el #dieselgate en #EEUU... https://t.co/Z6HrifkG1e</t>
  </si>
  <si>
    <t>Swansway Group</t>
  </si>
  <si>
    <t>On the lookout for your next approved used #VW? Check out our featured Cars of the Week! https://t.co/vq97w19Ali https://t.co/81L0Pe7Fhb</t>
  </si>
  <si>
    <t>Crewe, Cheshire</t>
  </si>
  <si>
    <t>We are a family owned and run business and have been in the motor trade for over 48 years. We have 17 dealerships including Audi, VW, LandRover, Citroen &amp; SEAT.</t>
  </si>
  <si>
    <t>Crewe Volkswagen</t>
  </si>
  <si>
    <t>On the lookout for your next approved used #VW? Check out our featured Cars of the Week! https://t.co/kVQ5r3wZZC https://t.co/Ij0wdWeFrv</t>
  </si>
  <si>
    <t>Cheshire</t>
  </si>
  <si>
    <t>Volkswagen dealership in Crewe with a twelve car showroom offering all the latest VW models, a vast selection of Assured Used VWs and excellent customer service</t>
  </si>
  <si>
    <t>#VW: Wird 200-Tage-Linie bei ca. 130€ geknackt, hat die Aktie Potenzial bis zu 140€ /TA https://t.co/0yW8pws90H https://t.co/uzSpNHBxiL</t>
  </si>
  <si>
    <t>AKTIONÄR API</t>
  </si>
  <si>
    <t>#Dieselgate Aufklärung geht anders: #VW mauert wie eh und je https://t.co/mHKrtHzHAq via @ntvde</t>
  </si>
  <si>
    <t>Slough Swapmeet</t>
  </si>
  <si>
    <t>Another too recent #tbt - our Best Unique from 2014 #sloughswapmeet #vw #volkswagen #aircooled… https://t.co/FRicusMXdB</t>
  </si>
  <si>
    <t>Slough, South East</t>
  </si>
  <si>
    <t>Slough Swapmeet #sloughswapmeet Tabletop Sale/AutoJumble catering largely for the Vintage VW community. 6th Nov 16 - Montem Leisure Centre SL1 2QG</t>
  </si>
  <si>
    <t>Oerlikon Group</t>
  </si>
  <si>
    <t>New #technology that puts the #VW #Tiguan in a new light - in an environmental friendly way. https://t.co/XthRa8I2PD https://t.co/SUqrpnAHxp</t>
  </si>
  <si>
    <t>Innovative industrial solutions. Present in 36 countries worldwide with 200 sites and nearly 15 500 employees.</t>
  </si>
  <si>
    <t>@pochotcom En All,il n'existe pas de droit pénal applicable aux entreprises contre la criminalité économique &amp; fin.En Fr,on se demande...#VW</t>
  </si>
  <si>
    <t>Begann #Dieselgate bei Audi?: #VW wollte von Anfang an #betrügen https://t.co/N5fhMgiC29 via @ntvde</t>
  </si>
  <si>
    <t>Interne Ermittlungen stocken: #VW verschiebt Bericht zu Abgasaffäre https://t.co/euZlPzp6on via @ntvde</t>
  </si>
  <si>
    <t>Abgase: #VW will 500.000 Autos zurückkaufen https://t.co/ps4qpKqyjx</t>
  </si>
  <si>
    <t>AzVision in4</t>
  </si>
  <si>
    <t>RT @deutch_az: Abgase: #VW will 500.000 Autos zurückkaufen https://t.co/ps4qpKqyjx</t>
  </si>
  <si>
    <t>علي العمري</t>
  </si>
  <si>
    <t>تبوك-الشمالية الغربية-مدينة الملك عبدالعزيز العسكرية شارع ٣٦</t>
  </si>
  <si>
    <t>Retweeted Foro DGT (@foroDGT): #VW pagará hasta 5.000 $ a cada afectado por el #dieselgate en #EEUU... https://t.co/eCE8JhocCs</t>
  </si>
  <si>
    <t>baum reiter &amp; coll.</t>
  </si>
  <si>
    <t>Unsere aktuelle Pressemitteilung #VW #Aggasskandal #USA #Einigung https://t.co/KffJupdi9U</t>
  </si>
  <si>
    <t>40597 Düsseldorf</t>
  </si>
  <si>
    <t>baum · reiter &amp; collegen ist eine der führenden Kanzleien auf dem Gebiet des #Bankrecht #Kapitalmarktrecht. Wir vertreten bundesweit geschädigte Kapitalanleger.</t>
  </si>
  <si>
    <t>佐野博士</t>
  </si>
  <si>
    <t>BBCニュース - フォルクスワーゲン、米国の排ガス不正対象車買い取り提案へ https://t.co/EG2shR44M0 ＃ＶＷ ＃排ガス不正</t>
  </si>
  <si>
    <t>広島県廿日市市</t>
  </si>
  <si>
    <t>１９４３年生 男子 無職 趣味クラシック音楽、ドライブ、Ｆ１、囲碁、山歩き、地図 ６０・７０年代ポップス・フォーク、広島東洋カープ、サンフレッチェ広島</t>
  </si>
  <si>
    <t>Neue OZ (NOZ)</t>
  </si>
  <si>
    <t>Werden VW-Kunden für ihre #Schummeldiesel entschädigt? https://t.co/U718m0fEDU #VW #Dieselgate @Volkswagen @VW</t>
  </si>
  <si>
    <t>Osnabrück</t>
  </si>
  <si>
    <t>Hier twittert die Online-Redaktion der Neuen Osnabrücker Zeitung. Unsere Facebook-Seite: http://t.co/WzXQCIrlNj - Impressum: http://t.co/Fs3KSWPaTs</t>
  </si>
  <si>
    <t>Emsland (NOZ)</t>
  </si>
  <si>
    <t>RT @noz_de: Werden VW-Kunden für ihre #Schummeldiesel entschädigt? https://t.co/U718m0fEDU #VW #Dieselgate @Volkswagen @VW</t>
  </si>
  <si>
    <t>Hier twittert die Online-Redaktion der Neuen Osnabrücker Zeitung. Unser Nachrichten-Account: @noz_de - Impressum http://t.co/Fs3KSWPaTs</t>
  </si>
  <si>
    <t>hameles</t>
  </si>
  <si>
    <t>RT @rotefahnenews: #VW-Krise – wie Automonopole mit Hilfe des Staates Milliardenprofite einstreichen https://t.co/VM4tXtrHFK https://t.co/4…</t>
  </si>
  <si>
    <t>RW - Fleet Services</t>
  </si>
  <si>
    <t>Cracking #VW #Polo #deal call me #Burton 01283 509800 for more details #Derby #Lichfield #Nottingham #Birmingham https://t.co/rhFaxZRdBQ</t>
  </si>
  <si>
    <t>The Social Jukebox</t>
  </si>
  <si>
    <t>Burton upon Trent, England</t>
  </si>
  <si>
    <t>Richard Wileman #FleetServices the ultimate #FleetSolution for your business #fleetmanagement #Burton based serving #Derby #Nottingham #Birmingham &amp; #Lichfield</t>
  </si>
  <si>
    <t>Felipe</t>
  </si>
  <si>
    <t>Ela partiu... #kombi #vw #volkswagen #cuteburro #vendeu #foi #tchau #car #oldcar #antique #antigo https://t.co/XC96bIESE3</t>
  </si>
  <si>
    <t>Bastogne</t>
  </si>
  <si>
    <t>Full Service History</t>
  </si>
  <si>
    <t>Volkswagen Golf 2.3 V5 150 #fshdaily #golfv5 #vwgolfv5 #vwgolf #vw #golf #v5 #volkswagengo… https://t.co/M8vOWAosLz https://t.co/dSTVIiOWqf</t>
  </si>
  <si>
    <t>Pictures of Classic Cars from the 80's, 90's and 00's Daily - Purely for FUN! You can also find us on Facebook and Instagram @fshdaily #fshdaily</t>
  </si>
  <si>
    <t>RT @swanswaygroup: On the lookout for your next approved used #VW? Check out our featured Cars of the Week! https://t.co/vq97w19Ali https:/…</t>
  </si>
  <si>
    <t>RT @crewevw: On the lookout for your next approved used #VW? Check out our featured Cars of the Week! https://t.co/kVQ5r3wZZC https://t.co/…</t>
  </si>
  <si>
    <t>Unfinished Projects</t>
  </si>
  <si>
    <t>VW Type 1 splitscreen transporter/camper/bus project NO RESERVE --&gt; https://t.co/2dbHG2hZRO #VW #camper #splitscreen https://t.co/DxO792Q5I1</t>
  </si>
  <si>
    <t>Unfinished project cars and motorcycles in the UK. Unfinished kit cars, base cars/bikes for modification, race prep or restoration. #UnfinishedProjects</t>
  </si>
  <si>
    <t>Paul Billings</t>
  </si>
  <si>
    <t>Is the #VW deal good for breathers? Polluters off the road-Mitigation-Accountability-Deterrence? #CleanAir https://t.co/XzZXiDVb9z</t>
  </si>
  <si>
    <t>random babble from a lung health advocate &amp; soccer/track/lacrosse dad; follow/retweet does not mean endorsement. Tweets are my own.</t>
  </si>
  <si>
    <t>Jock Dieslag</t>
  </si>
  <si>
    <t>NYPVTT-Kersenburg</t>
  </si>
  <si>
    <t>LVI@LVIaLondres</t>
  </si>
  <si>
    <t>Please list his actions in response to #VW emissions, on UK Supreme Court ruling on #airpollution? NOTHING! https://t.co/ocWrmcUeBK</t>
  </si>
  <si>
    <t>LaVieIntellectuelle@Londres. Francophile, another contributing migrant, enthralled by life in London.</t>
  </si>
  <si>
    <t>John Voelcker</t>
  </si>
  <si>
    <t>Watch f/more #DieselGate news today: Volkswagen may buy back 500,000 illegally polluting cars, report says https://t.co/aoQOs3Noph #VW #TDI</t>
  </si>
  <si>
    <t>New York City &amp; elsewhere</t>
  </si>
  <si>
    <t>Raconteur. Editor http://t.co/GiC9gJOreq. Random cultural, political, sociological, science, technology, #LGBTQ + British car tweets. Opinions mine. Obviously.</t>
  </si>
  <si>
    <t>Amali</t>
  </si>
  <si>
    <t>@HarshadeSilvaMP congrats! Hopefully its as fruitful as the car exports from your "done deal by next week" #VW plant #lka #srilanka</t>
  </si>
  <si>
    <t>Sri Lanka</t>
  </si>
  <si>
    <t>Sri Lanka Matha ♡ You cannot wait for destiny. It's presence must be demanded.</t>
  </si>
  <si>
    <t>Jothipala Bot</t>
  </si>
  <si>
    <t>RT @TrustYourTiming: @HarshadeSilvaMP congrats! Hopefully its as fruitful as the car exports from your "done deal by next week" #VW plant #…</t>
  </si>
  <si>
    <t>I retweet any tweet with #SriLanka. I will not retweet tweets with links. Created By https://t.co/BKcnzEgdSN</t>
  </si>
  <si>
    <t>Max Decker</t>
  </si>
  <si>
    <t>#BaFin investigates share price rise in #Volkswagen $VOW Tuesday and Wednesday DO NOT EXPECT ANY RESULT #VW #VOW</t>
  </si>
  <si>
    <t>Börse Bayer04 Politik Subordinated Bonds liberal pro TTIP</t>
  </si>
  <si>
    <t>#Opel na #VW onbetrouwbaar wat uitstoot betreft. Verbruikscijfers zijn niet beter, realiteit overtreft de opgegeven data zonder moeite.</t>
  </si>
  <si>
    <t xml:space="preserve">9160 Belgium </t>
  </si>
  <si>
    <t>Cavaliers King Charles Spaniël &amp; Papillons (Vlinderhondje) # Ballooning # Motorola Moto-G @ Mobile Vikings mobile # MAC user # Honda driver</t>
  </si>
  <si>
    <t>Janice Nolen</t>
  </si>
  <si>
    <t>RT @billingspg: Is the #VW deal good for breathers? Polluters off the road-Mitigation-Accountability-Deterrence? #CleanAir https://t.co/XzZ…</t>
  </si>
  <si>
    <t>TweetCaster for Android</t>
  </si>
  <si>
    <t>Washington, DC</t>
  </si>
  <si>
    <t>Poet and geek fighting for the same body. I speak for no one except myself, and not always even me, when I write.</t>
  </si>
  <si>
    <t>Rombo</t>
  </si>
  <si>
    <t>#VW is about to offer a buyback option for 500K diesel cars in the us.If only #Toyota offered the same for probox in Kenya</t>
  </si>
  <si>
    <t>Nairobi Kenya</t>
  </si>
  <si>
    <t xml:space="preserve"> ++Kenyan,#3dprinting #photography,Baba Kayla,the world is my gym</t>
  </si>
  <si>
    <t>Renault Trafic camper van - (maybe not a VW, but just as much fun ;-): £300.00 (0 Bids)End Date: Sunday M... https://t.co/D8WeMU6dkM #vw</t>
  </si>
  <si>
    <t>Dr.Stanley Goldstein</t>
  </si>
  <si>
    <t>#VW USA deal on emissions cheating is expected: https://t.co/yXbBlvCVgb https://t.co/8IDgHDMF0E</t>
  </si>
  <si>
    <t>author and psychologist</t>
  </si>
  <si>
    <t>filipepontes</t>
  </si>
  <si>
    <t>Deco Proteste #fraud #fraude #VW https://t.co/9HNIcAxC9S</t>
  </si>
  <si>
    <t>Lisbon, Lisbon</t>
  </si>
  <si>
    <t>Fraud Control Officer in #Fraude #OBEGEF @AXAPortugal</t>
  </si>
  <si>
    <t>eBay: Renault Trafic camper van - (maybe not a… https://t.co/PXiy1PjwNv #vwcamper #vwbus #vw https://t.co/ZEadscsjBy https://t.co/MarWITpJOw</t>
  </si>
  <si>
    <t>Motorionline.com</t>
  </si>
  <si>
    <t>Prime anticipazioni del nuovo #Volkswagen #Amarok https://t.co/iCaOOpY0OW #pickup #VW #VolkswagenAmarok https://t.co/BSgMEtiyxR</t>
  </si>
  <si>
    <t>Italia</t>
  </si>
  <si>
    <t>Motorionline, pura passione per i motori! Tutti i giorni, tutto l'anno! Auto, Moto, Supercar, Formula 1, Motorsport, MotoGP, WRC e molto di più!</t>
  </si>
  <si>
    <t>migladin</t>
  </si>
  <si>
    <t>For #Coasters 4 #VW #Beetle Coloured Stripe 9cm https://t.co/zXABFYs7vX #eshopsuk https://t.co/ZbbUPdjiQ4</t>
  </si>
  <si>
    <t>Just inside the Roman Empire</t>
  </si>
  <si>
    <t>Seller of small quirky gifts and second hand books online. Member of @nationofeshops #eshopsUK</t>
  </si>
  <si>
    <t>Laser Tattoo Removal</t>
  </si>
  <si>
    <t>RT @migladin: For #Coasters 4 #VW #Beetle Coloured Stripe 9cm https://t.co/zXABFYs7vX #eshopsuk https://t.co/ZbbUPdjiQ4</t>
  </si>
  <si>
    <t>Bangor, Wales</t>
  </si>
  <si>
    <t>Laser Ninja Tattoo Removal offers a safe and effective way to shrink your ink and reclaim your skin. Call 07749437497 now. http://t.co/tB0XwjQOjX</t>
  </si>
  <si>
    <t>eBay: 2008 - 58 - VOLKSWAGEN VW BEETLE TURBO… https://t.co/gWVhyaByVu #vwbeetle #vwbug #vw https://t.co/xvfL74PTgl https://t.co/SHrONPnKeU</t>
  </si>
  <si>
    <t>Daniel Sentance</t>
  </si>
  <si>
    <t>RT @FSHDaily: Volkswagen Golf 2.3 V5 150 #fshdaily #golfv5 #vwgolfv5 #vwgolf #vw #golf #v5 #volkswagengo… https://t.co/M8vOWAosLz https://t…</t>
  </si>
  <si>
    <t>VW to pay US customers $5000 in Dieselgate settlement: In addition, Volkswagen offered to repa... https://t.co/sgwqlFlknu #VW #jetta #car</t>
  </si>
  <si>
    <t>2015 Volkswagen Jetta 2.0L TDI SE w/Connectivity Sedan: New 2015 Volkswagen Jetta, from Chico ... https://t.co/4wcGIoNZdo #VW #jetta #car</t>
  </si>
  <si>
    <t>Volkswagen scandal: what to expect at crucial US court hearing https://t.co/j0GLOMQzaY #VW #AutoNews</t>
  </si>
  <si>
    <t>VW reaches deal with US authorities over engine-rigging scandal: report https://t.co/hQGEWiwuun #VW #AutoNews</t>
  </si>
  <si>
    <t>Andreas Polzer</t>
  </si>
  <si>
    <t>Entschädigung: 4400€ USA - Deutschland 0€! Was für ein Tritt in die #Eier der deutschen #VW-Kunden. #Volkswagen https://t.co/xV0kFWbWb1</t>
  </si>
  <si>
    <t>Braunschweig</t>
  </si>
  <si>
    <t>Trash-TV und C-Promis machen mich kotzbrockig! ich liebe Satire und Kabarett und sage, was ich denke. Meine Meinung bilde ich mir am liebsten selber.</t>
  </si>
  <si>
    <t>SAT.1 NRW</t>
  </si>
  <si>
    <t>Justizminister #Kutschaty fordert erneut Unternehmensstrafrecht: #VW-Vergleich seien „sehr enttäuschend für deutsche VW-Fahrer."</t>
  </si>
  <si>
    <t>Dortmund</t>
  </si>
  <si>
    <t>Alles, was NRW bewegt. Montag bis Freitag um 17:30 Uhr in SAT.1 NRW. Impressum: http://t.co/gAv88Tl5Dh</t>
  </si>
  <si>
    <t>#Cars and #Furniture....no matter what the design-I appreciate it all!!! #bug #volkswagon #vw… https://t.co/BKchrl7Jkr</t>
  </si>
  <si>
    <t>Moonshine Aficionado,Marketing, @NCARHOF Board Memb, Brilliant friends to collaborate with! @MyBarnFind #KeepHistoryAlive #DrivingWithTheDevil #HookedUpCoWriter</t>
  </si>
  <si>
    <t>Sick beetle! #vdub #vw #vwlife #volks #volkswagen #vwbeetle #vwbug #volkswagenbeetle #volkswagenbug #beetle #lowli… https://t.co/RCTjxlsytg</t>
  </si>
  <si>
    <t>eBay: VW BEETLE CONVERTIBLE 1.4PETROL https://t.co/rS8csC6e2I #vwbeetle #vwbug #vw https://t.co/xvfL74PTgl https://t.co/93kKbH09MZ</t>
  </si>
  <si>
    <t>VW of Olympia</t>
  </si>
  <si>
    <t>#TBT with the timeless style of the legendary #VW Bus. https://t.co/lPJIJElrRN</t>
  </si>
  <si>
    <t>SOCi - Simplifying Social Media</t>
  </si>
  <si>
    <t>2107 Cooper Point RD Olympia</t>
  </si>
  <si>
    <t>Volkswagen of Olympia is your premier dealer in the Olympia Automall. Serving Olympia, Tumwater, Lacey, Rochester, Centralia and Chehalis.</t>
  </si>
  <si>
    <t>Bernhard Herget</t>
  </si>
  <si>
    <t>Hier</t>
  </si>
  <si>
    <t>Crossmediaberatung, B2B Industriemedien. Webinare, Leadgenerierung, Whitepaper,, Fachmedien, Print- Onlinewerbung, Events und Services. Hobby: Habe ich auch ;</t>
  </si>
  <si>
    <t>Cosmic Crafter</t>
  </si>
  <si>
    <t>Llanfair Pwllgwyngyll, Wales</t>
  </si>
  <si>
    <t>Artist working in a variety of media, always inspired by the woodlands, sea, and sky of my Anglesey home. https://t.co/n4XwZi4Gv1</t>
  </si>
  <si>
    <t>#Volkswagen #Tuning //MD #Vw #dapper #Cambergang #StanceWork #RoyalStance https://t.co/17sH8F5eyS https://t.co/ck8nRn2oCF</t>
  </si>
  <si>
    <t>FanCar Picture - Send me your Scirocco pictures!!! (PM Please) #VW #Volkswagen #Scirocco #Tuning https://t.co/K6eR8F8tyq</t>
  </si>
  <si>
    <t>#VW Junior Masters 2016: Nachwuchsfußball vor Spiel @VfL_Wolfsburg vs. @FCAugsburg. https://t.co/RqAiuiTHTw #VWSport https://t.co/DcN5OMmKoa</t>
  </si>
  <si>
    <t>henrry carpenter</t>
  </si>
  <si>
    <t>Ford 4x4</t>
  </si>
  <si>
    <t>Silas</t>
  </si>
  <si>
    <t>RT @boosted_videos: Check out our Youtube channel: https://t.co/OZaXPReeSM #golf7 #golf7r #racing #mk7 #vwgolf #vw #vwlove #vwr #vwporn htt…</t>
  </si>
  <si>
    <t>I COULDN'T HELP BUT TO NOTICE YOUR PAAAAIN... MY PAIN... YES! IT RUN'S DEEP.. SHARE IT WITH ME!!!!!</t>
  </si>
  <si>
    <t>BAU-Energie&amp; mehr</t>
  </si>
  <si>
    <t>RT @SPIEGELONLINE: Die #VW-Aktie hat kräftig zugelegt, nach den Berichten über eine Lösung im Abgasskandal. #dieselgate https://t.co/qrQXdz…</t>
  </si>
  <si>
    <t>DE</t>
  </si>
  <si>
    <t>HP Privat! Für Freie Energie- Nutzung, gegen einseitige Berichterstattung der Presse (unterlasse Berichte falsche Darstell.&amp; Hetze),-für Frieden, -gegen Rechts.</t>
  </si>
  <si>
    <t>Kräuter | Verbena</t>
  </si>
  <si>
    <t>VCD: #VCD fordert: Strafzahlung von #VW im #Abgasskandal muss in Dtl. ins Gesundheitssystem fließen... https://t.co/CkOOeRMeaN via @VCDeV</t>
  </si>
  <si>
    <t>Usedom</t>
  </si>
  <si>
    <t>★ Hofladen ★ Kräutergarten ★ Wildkräutermenüs ★ Rezepte aus Wildpflanzen ★ Kräuterwanderungen ★ Kräuterkunde ★ https://t.co/hPUR94BQYD ★</t>
  </si>
  <si>
    <t>Rußfrei fürs Klima</t>
  </si>
  <si>
    <t>Berlin, Germany, Europe</t>
  </si>
  <si>
    <t>Rußfrei fürs Klima' ist eine Kampagne von BUND, DUH, NABU und VCD zum Thema Luftreinhaltung</t>
  </si>
  <si>
    <t>themutti</t>
  </si>
  <si>
    <t>VW-Skandal USA-Kunden bekommen 5000$ und wir? NICHTS, #Preiserhöhung und SPD-Politiker die sich als #VW AR die Taschen voll stecken.</t>
  </si>
  <si>
    <t>küche, bad, schlafzimmer</t>
  </si>
  <si>
    <t>verheiratet,schrubben, schrubben, schrubben und kinder, hier kommt manchmal einer vorbei-mein mann! so sagt er.</t>
  </si>
  <si>
    <t>Karlo Martellone</t>
  </si>
  <si>
    <t>USA: Es ist nicht sicher, dass der Rückkauf-Plan von #VW vom Gericht in San Francisco angenommen wird -- https://t.co/ESEUyDU0fZ #dieselgate</t>
  </si>
  <si>
    <t>Grayland</t>
  </si>
  <si>
    <t>eBay: VW T5 LWB camper van https://t.co/8KxApBfm2J #vwcamper #vwbus #vw https://t.co/ZEadscsjBy https://t.co/6GEUoyifIz</t>
  </si>
  <si>
    <t>Jenkers News (ENG)</t>
  </si>
  <si>
    <t>Your daily 6: #Schilling strikes out, welcome back #Bourne and #VW's deadline day https://t.co/ACOrIKCGSt</t>
  </si>
  <si>
    <t>Jenkers Eng Posting</t>
  </si>
  <si>
    <t>Jenkers connecting news https://t.co/WOCpcAe8IM https://t.co/0ZBItSzRAg</t>
  </si>
  <si>
    <t>Todd Bianco</t>
  </si>
  <si>
    <t>Big fines + buybacks? #dieselgate #VW said to pay at least $10 billion in U.S. diesel-cheating deal @automotive_news https://t.co/jnkZZeuNkD</t>
  </si>
  <si>
    <t>Todd is a life-long car enthusiast and native of Los Angeles, CA.</t>
  </si>
  <si>
    <t>eBay: VOLKSWAGEN BEETLE 2.0 CONVERTIBLE -… https://t.co/BtPuGYYJM6 #vwbeetle #vwbug #vw https://t.co/xvfL74PTgl https://t.co/cRo6eWxOhN</t>
  </si>
  <si>
    <t>Marketing Minemedia</t>
  </si>
  <si>
    <t>Novi skandal: Nije varao samo VW #skandal #VW #Volkswagen #Mitsubishi #Micubiši #automobili #auto https://t.co/Oq902Hkvtt</t>
  </si>
  <si>
    <t>belgrade</t>
  </si>
  <si>
    <t>Mirjana Tomić</t>
  </si>
  <si>
    <t>Filtration Systems</t>
  </si>
  <si>
    <t>#VW to announce corrective measures for skirting tests, check-out "Where VW &amp; HVAC Filters Cross Paths” https://t.co/N6rSqd281k</t>
  </si>
  <si>
    <t>Minnesota</t>
  </si>
  <si>
    <t>Over 30 years providing the Minnesota, Wisconsin, and North Dakota with superior air filtration knowledge and products.</t>
  </si>
  <si>
    <t>TheLastDonDiva</t>
  </si>
  <si>
    <t>@JenWesthoven Gm! Will the #vw apply for leases? I keep telling my gf to look into it. She has not.</t>
  </si>
  <si>
    <t>Doing the most. It's okay if you don't, I will not judge you.</t>
  </si>
  <si>
    <t>Tim Mallen</t>
  </si>
  <si>
    <t>@lmbortner financially speaking it would probably be better to take the $5k unless #VW repays people's interest payments.</t>
  </si>
  <si>
    <t>eBay: VW TRANSPORTER T5 CAMPER VAN ONLY 88k… https://t.co/26u6XZhQX7 #vwcamper #vwbus #vw https://t.co/ZEadscsjBy https://t.co/rdwfinDv4S</t>
  </si>
  <si>
    <t>eBay: Volkswagen VW Transporter T4 1.9d Diesel… https://t.co/oW1HzYalHP #vwcamper #vwbus #vw https://t.co/ZEadscsjBy https://t.co/ZjZKh1yL7R</t>
  </si>
  <si>
    <t>GNTools</t>
  </si>
  <si>
    <t>Birmingham, England</t>
  </si>
  <si>
    <t>We sell a huge range of tools to suit most hobbies, crafts, and DIY. We stock auto and bike tools, plus bakeware items. We're on etsy and e-bay too!</t>
  </si>
  <si>
    <t>VW Vintage</t>
  </si>
  <si>
    <t>RT @dubbusses: Stunning Splitty around the corner from the office 😍😎 #vw #vwcamper #splitscreen #splitty #retro #oldskool #stunnin… https:/…</t>
  </si>
  <si>
    <t>Travel - VW Campervans - Vespas -Vintage/Retro - Indie/soul - Flea Markets - Marvel Heroes- Movies - Buying/Selling Antiques * Interested in the Interesting *</t>
  </si>
  <si>
    <t>Henneton Dominique</t>
  </si>
  <si>
    <t>Obaix - Belgium</t>
  </si>
  <si>
    <t>Test-Achats et second degré... Mais oui...parfaitement... c'est compatible !</t>
  </si>
  <si>
    <t>#VW to pay US customers $5,000 in Dieselgate settlement https://t.co/o8jMiDqzJs https://t.co/rJDa6mDorS</t>
  </si>
  <si>
    <t>Bernard Klopp</t>
  </si>
  <si>
    <t>RT @dwnews: #VW to pay US customers $5,000 in Dieselgate settlement https://t.co/o8jMiDqzJs https://t.co/rJDa6mDorS</t>
  </si>
  <si>
    <t>Tema, Koforidua, Ghana</t>
  </si>
  <si>
    <t>LFC|| Heartsofoak || #TeamHip hop || K'dua University of Technology|| UGARC ||GREAT APASS|| benkmens@gmail.com || sports addict|| News Junkie</t>
  </si>
  <si>
    <t>Sarah</t>
  </si>
  <si>
    <t>Fingers crossed the #weatherman is wrong. #prayforsun #BigBang #VW @SantaPodRaceway</t>
  </si>
  <si>
    <t>Survival expert. Stereophonics lover. Avid camper. VW lover.</t>
  </si>
  <si>
    <t>JustSewYorkshire</t>
  </si>
  <si>
    <t>Castleford, England</t>
  </si>
  <si>
    <t>Handmade quirky items by Joan &amp; Diana Find us also @yorkshireknits We RT too Tweets by Diana</t>
  </si>
  <si>
    <t>#VW ist zu einer teuren Lösung im #dieselgate bereit - die zurückgestellten 6,7 Mrd Euro werden wohl nicht reichen: https://t.co/PH5gJdOa2M</t>
  </si>
  <si>
    <t>eBay: VW T25 Camper Van https://t.co/rmrNxCqzvR #vwcamper #vwbus #vw https://t.co/ZEadscsjBy https://t.co/6KNIw8cWkV</t>
  </si>
  <si>
    <t>Bug in the Sunshine #vw #volkswagen #bug #beetle #oldschool #oldcar #retro #vwlove #vwbeetle by domi_official https://t.co/l4RngsJvLs</t>
  </si>
  <si>
    <t>#vw #volkswagen #alppila #helsinki #suomi #finland #visitfinland #visithelsinki #oldcar #oldie #blue #funkkis # by … https://t.co/eMHKsJlwuA</t>
  </si>
  <si>
    <t>https://t.co/ViNZQI8sAf - #t5 #t5transporter #vw #vwt5 #van #vanlife by _anto_1984 @ Inst… https://t.co/FYIhhpfzEL https://t.co/P3pKdWnGbB</t>
  </si>
  <si>
    <t>https://t.co/Y3iFnk3GpJ - #vanlife #van #vwt5 #vw #t5transporter by _anto_1984 @ Instagra… https://t.co/joEN9RWGHr https://t.co/t3HUMSgKoe</t>
  </si>
  <si>
    <t>https://t.co/NQf1m9XWtL - #vw #t5transporter #vwt5 #van #vanlife by _anto_1984 @ Instagra… https://t.co/dci4Dy50LG https://t.co/th7tr2Yo0V</t>
  </si>
  <si>
    <t>Ourisman VW Laurel</t>
  </si>
  <si>
    <t>#VW #Golf #SportWagen Features! Check them Out 😎 Call: 877-798-0313 Click: https://t.co/9Wut44eIyP https://t.co/XgWUAPiua8</t>
  </si>
  <si>
    <t>RepairRep</t>
  </si>
  <si>
    <t>Laurel, MD</t>
  </si>
  <si>
    <t>https://t.co/vFUIuGt4iv - Not long now 😃😃😃 #worthersee 📷: @ma_photoworx #vw #volkswagen… https://t.co/ZiviVPETvr https://t.co/Qbdcyllodr</t>
  </si>
  <si>
    <t>Anna Vizzari</t>
  </si>
  <si>
    <t>libera di pensare</t>
  </si>
  <si>
    <t>Little 🚙💨 #volkswagen #vw #vdub #golf #volkswagengolf #mk1golf #mk1 #mk1driver #regattablue #classic #germancars #l… https://t.co/h5mmEyNeZY</t>
  </si>
  <si>
    <t>Anna Steiner</t>
  </si>
  <si>
    <t>RT @faznet: #VW ist zu einer teuren Lösung im #dieselgate bereit - die zurückgestellten 6,7 Mrd Euro werden wohl nicht reichen: https://t.c…</t>
  </si>
  <si>
    <t>Frankfurt am Main, Hessen</t>
  </si>
  <si>
    <t>Redakteurin in der Wirtschaft @faznet | Frankfurter Allgemeine Zeitung | Mag #digital ebenso wie #analog | kreative Kindsköpfin | Snapchat: ecoimquadrat</t>
  </si>
  <si>
    <t>Martin Seibüchler</t>
  </si>
  <si>
    <t>Ich bin gerne mit meinem VW Bulli unterwegs. Überzeugter Münsteraner! Skandinavienfan. Fussballfan von Borussia Mönchengladbach und Preussen Münster.</t>
  </si>
  <si>
    <t>Karl Harenbrock</t>
  </si>
  <si>
    <t xml:space="preserve"> Privat Ansichten</t>
  </si>
  <si>
    <t>Videojournalist, Reporter, Berlin</t>
  </si>
  <si>
    <t>FAZ Wirtschaft</t>
  </si>
  <si>
    <t>Aktuelle Wirtschaftsnachrichten aus der Frankfurter Allgemeinen Zeitung. Impressum: http://t.co/4mLbYab3LZ</t>
  </si>
  <si>
    <t>Kenneth Weene</t>
  </si>
  <si>
    <t>.#VW emissions: 'US deal struck' to buy back diesel #cars - BBC News | @scoopit https://t.co/2d5Nz9IpJa #business</t>
  </si>
  <si>
    <t>Scoop.it</t>
  </si>
  <si>
    <t>Ken Weene has been a professor, psychologist, pastoral counselor and poet. He has four novels published and more on the way.</t>
  </si>
  <si>
    <t>Kostas Andrikopoulos</t>
  </si>
  <si>
    <t>#VW emissions: 'US deal struck' to buy back diesel cars https://t.co/fx8A1PdocI</t>
  </si>
  <si>
    <t>CANADA</t>
  </si>
  <si>
    <t>Ex CEO Strategic financial counsel to individuals, families and their corporations.</t>
  </si>
  <si>
    <t>Elite Automotive</t>
  </si>
  <si>
    <t>VW T5 side panel cut out ready for glass #VW #T5 #glass #window #workshop #cornwall #kernow https://t.co/T9A4t9HaRU</t>
  </si>
  <si>
    <t>Unit 6B, TR15 3RH - Cornwall</t>
  </si>
  <si>
    <t>Vw Transporter specialist workshop in Cornwall - Sales - Service - Repair - Conversion - Custom Ecu remapping / tuning.</t>
  </si>
  <si>
    <t>Way Cool</t>
  </si>
  <si>
    <t>@turbofr oui bien sûr mais niveau foutage de gueule #VAG #VW #Audi resteront les champions : je hais désormais ces marques #mepris #ringard</t>
  </si>
  <si>
    <t>RT @Elitet5: VW T5 side panel cut out ready for glass #VW #T5 #glass #window #workshop #cornwall #kernow https://t.co/T9A4t9HaRU</t>
  </si>
  <si>
    <t>Wes Hellyar</t>
  </si>
  <si>
    <t>#VW should buy back their horrid diesel cars and replace them with #electriccars... https://t.co/LYjfXgrWKE</t>
  </si>
  <si>
    <t>South Africa</t>
  </si>
  <si>
    <t>Mobile telecoms insider, interested in all things tech and business, self-proclaimed comedian, globe trotter and licensed racing cyclist.</t>
  </si>
  <si>
    <t>#Dax: #RWE fest ++ #Eon im Aufwind ++ #Deutsche #Bank gefragt ++ #VW gibt Gas ++ Dax im Rückwärtsgang https://t.co/wkIta4W4sX</t>
  </si>
  <si>
    <t>TirandoCortes™</t>
  </si>
  <si>
    <t>¿Quien dijo que la perfección no existe? #Vw♥ #Scirocco 😍 https://t.co/5PGihwvPvt</t>
  </si>
  <si>
    <t xml:space="preserve">Rawson-Chubut♥ </t>
  </si>
  <si>
    <t>✌Si algún día la Velocidad me mata, no lloren , recuerden que iba Sonriendo✌ #VwLovers #Fierrero #AutosAlPisoARG #MadrugadaFierrera #FotosDeSeguidores</t>
  </si>
  <si>
    <t>Waschtag bei geilstem Wetter!😎☀️ #vw #volkswagen #wash #carwash #golf #golf2 #mk2 #golfmk2 #static #iphone #dropped… https://t.co/HrDuvQhBgw</t>
  </si>
  <si>
    <t>Alsopi1</t>
  </si>
  <si>
    <t>RT @AutosAlPisoARG: ¿Quien dijo que la perfección no existe? #Vw♥ #Scirocco 😍 https://t.co/5PGihwvPvt</t>
  </si>
  <si>
    <t>Luchy</t>
  </si>
  <si>
    <t>El Bosque, Pilar</t>
  </si>
  <si>
    <t>Lian Augusto ♡♡♡ 1154743828×</t>
  </si>
  <si>
    <t>Пиетер</t>
  </si>
  <si>
    <t>Loner, Intellectual, Music Lover, Gin Drinker, Shisha Smoker, Coffee Critique and Joker. RTs are NOT an endorsement. YOU'RE GOING TO BE OFFENDED GET OVER IT!</t>
  </si>
  <si>
    <t>De Mi Novia♥</t>
  </si>
  <si>
    <t>♕ Scout ♥ LCR72 Sobra el que habla y hablan solo por hablar te fumas un fino y empiezan a comentar... 10/10/2015 ♥ Sos de tu novia que te ama mucho 26/12/15</t>
  </si>
  <si>
    <t>♕W♕</t>
  </si>
  <si>
    <t>Celoso/Histerico.</t>
  </si>
  <si>
    <t>Lucasssss✌</t>
  </si>
  <si>
    <t>Amo el futbol\Gallina a muerte \ Jugador De Chañar \Sueño con la Cuarta CARP\</t>
  </si>
  <si>
    <t>eBay: VW Transporter T5 HIGHLINE Camper van… https://t.co/WRYa2Twmr8 #vwcamper #vwbus #vw https://t.co/ZEadscsjBy https://t.co/9nA53vr7WO</t>
  </si>
  <si>
    <t>Gonza</t>
  </si>
  <si>
    <t>con mi auto</t>
  </si>
  <si>
    <t>100%Fiat || Fiat Racing || Fiat 600</t>
  </si>
  <si>
    <t>Славик Губатый</t>
  </si>
  <si>
    <t>Купить новые #Колодки #ручника для #VW LT 1996-2005 2,5 в #Белой #Церкви по низким ценам https://t.co/Gm8sjGP9LK</t>
  </si>
  <si>
    <t>Clari ♕</t>
  </si>
  <si>
    <t>Laprida</t>
  </si>
  <si>
    <t>Reggaeton ♕ / RG4L ❤ / Ñengo Flow - Cosculluela - Arcangel ← Mis idolos ✌</t>
  </si>
  <si>
    <t>James Szypula</t>
  </si>
  <si>
    <t>You can a hell of a nice cargo bike for $5000 - #VW to pay US customers $5,000 in Dieselgate settlement https://t.co/8EW8WrDQwU @dwnews</t>
  </si>
  <si>
    <t>Yokohama-shi Kanagawa-ku</t>
  </si>
  <si>
    <t>From hometown NYC, to new home along Old Tokaido, private automobile use should be discouraged for many reasons, but, first and foremost, because #CarsAreDeadly</t>
  </si>
  <si>
    <t>BIKES vs CARS</t>
  </si>
  <si>
    <t>RT @YokohamaRides: You can a hell of a nice cargo bike for $5000 - #VW to pay US customers $5,000 in Dieselgate settlement https://t.co/8EW…</t>
  </si>
  <si>
    <t>The bicycle, an amazing tool to change the world. A feature documentary by Fredrik Gertten. Buy now from @vimeo worldwide: https://t.co/gUS6SJxXQT</t>
  </si>
  <si>
    <t>alsternerd</t>
  </si>
  <si>
    <t>#[::1]/uelzen/</t>
  </si>
  <si>
    <t>Tanzt durch die Welt _ Scavenger _ Debian, Elektronik und Fahrräder – No Smoking! alsternerd@x-ra.de</t>
  </si>
  <si>
    <t>Naturheilpraxis</t>
  </si>
  <si>
    <t>Tuebingen</t>
  </si>
  <si>
    <t>Akupunktur, Traditionelle Chinesische Medizin, Tuina, Homöopathie, Medical-Wellness, Heilpraktiker http://t.co/8f10sY3ygE / Impressum</t>
  </si>
  <si>
    <t>Fabri</t>
  </si>
  <si>
    <t>Cba - Capital</t>
  </si>
  <si>
    <t>Señor mayor, dicen que soy ami no me importa si tengo tu amor, yo vivo la vida por una razon y a ti te entrego todo mi corazon♪wsp3512677419</t>
  </si>
  <si>
    <t>Ashraf Elfeky</t>
  </si>
  <si>
    <t>#sales vs #target #Audi #VW https://t.co/DoB2IVKLOu</t>
  </si>
  <si>
    <t>49 years of knowledge and experience</t>
  </si>
  <si>
    <t>MISIO</t>
  </si>
  <si>
    <t>Vamos que gana ogier con #VW la rompe el #Polo</t>
  </si>
  <si>
    <t>Córdoba, Argentina</t>
  </si>
  <si>
    <t>Compiñerys x100pre</t>
  </si>
  <si>
    <t>Amor de mi vida: Justin❤ BoCampeón ♡ -Quiero ser modelo Rey &amp; Reyna - 1997 &amp; 1999 - 24deSep &amp; 19deDic - Compitodo -Libra &amp; Sagitario♡</t>
  </si>
  <si>
    <t>Bto Bolz</t>
  </si>
  <si>
    <t>#VW llegó a un acuerdo con las autoridades de EEUU e indemnizará con 500 dls a los usuarios de las unidades afectadas además de repararlas</t>
  </si>
  <si>
    <t>ÜT: 19.3794381,-99.1667389</t>
  </si>
  <si>
    <t>Manchester United / World Finance, Economics, International Business / Living without expectations will make it easier</t>
  </si>
  <si>
    <t>casey j wichman</t>
  </si>
  <si>
    <t>Will the #vw settlement cover rear windshields? https://t.co/SFqGECpdzI</t>
  </si>
  <si>
    <t>washington, dc</t>
  </si>
  <si>
    <t>environmental economics + the outdoors + dogs + beer, preferably concurrently.</t>
  </si>
  <si>
    <t>Kent Peterson</t>
  </si>
  <si>
    <t>Eugene, OR</t>
  </si>
  <si>
    <t>A guy who gets around by bike, foot, bus &amp; kick scooter. Reads a lot, writes a bit. Service Mechanic at @BikeFriday. I am also an Amazon Affiliate.</t>
  </si>
  <si>
    <t>2016 Volkswagen Jetta 1.4TS: 2016 Volkswagen Jetta from Ancira Volkswagen in San Antonio, TX. ... https://t.co/1En3Gn5fgq #VW #jetta #car</t>
  </si>
  <si>
    <t>CHRONOLOGY The Volkswagen emissions scandal: Timeline of a crisis https://t.co/sgbYvPV41z #VW #AutoNews</t>
  </si>
  <si>
    <t>Amamos a las novias perfectas! #Sexy #female #vw #kingeuro https://t.co/yF7EsCvjuQ</t>
  </si>
  <si>
    <t>LHM Volkswagen AZ</t>
  </si>
  <si>
    <t>Here's a snap from @EpicHistoryPics with #VW Beetles watching 'Herbie - The Love Bug' at a drive-in. #tbt #vintage https://t.co/osyIHVn7om</t>
  </si>
  <si>
    <t>Oracle Engage</t>
  </si>
  <si>
    <t>Avondale, AZ 877-931-9113</t>
  </si>
  <si>
    <t>#VW Dealer proudly serving the #Avondale #Phoenix area. We are here to share #AutoTips - Brand Info, #Dealership #Inventory info, and be more than a sales pitch</t>
  </si>
  <si>
    <t>Randy Moeller</t>
  </si>
  <si>
    <t>Volkswagen: The dirt under the bonnet - https://t.co/QdhjrBetc2 https://t.co/UnE9KsQM7u #vw #ethicsintheworkplace #customer</t>
  </si>
  <si>
    <t>Information Governance Mgr P&amp;G: Beliefs in change, remember past, work for future, question everything, we're all related &amp; equal. No FB. My thoughts.</t>
  </si>
  <si>
    <t>eBay: 2012 12 VW VOLKSWAGEN TRANSPORTER 2.0… https://t.co/vgPOpy38y1 #vwcamper #vwbus #vw https://t.co/ZEadscsjBy https://t.co/SWytd9hmso</t>
  </si>
  <si>
    <t>RT @kngeuro: Amamos a las novias perfectas! #Sexy #female #vw #kingeuro https://t.co/yF7EsCvjuQ</t>
  </si>
  <si>
    <t>JayJayJay</t>
  </si>
  <si>
    <t>Kassel, Germany</t>
  </si>
  <si>
    <t>Hincho de L'Iglesia de FINAL FANTASY!!! :D ・ This is a Multiled Account (方言やアルベド語も) (ふていきの ^_^) Fehler bitte ich zu entschuldigen! http://t.co/CccCKuUqwm</t>
  </si>
  <si>
    <t>Carjojo Corp</t>
  </si>
  <si>
    <t>Report: #VW Will Offer to Buy Back 500,000 Diesel #Cars https://t.co/8tzCQPgyTw https://t.co/DLNk261nHR</t>
  </si>
  <si>
    <t>San Jose, CA</t>
  </si>
  <si>
    <t>Only Carjojo uses BigData to save you max $ on a new car https://t.co/3nkEop5Bp5 Try it NOW! FREE FOR A LIMITED TIME! #CarBuying #CarNews #Cars #Women-Friendly</t>
  </si>
  <si>
    <t>Denise♣</t>
  </si>
  <si>
    <t>La concha de la loraaaaaaa, que lindo sos #VW #Scirocco #ElSueñoDeLaPiba https://t.co/7xgmIjIiyz</t>
  </si>
  <si>
    <t>Monte Grande, Argentina</t>
  </si>
  <si>
    <t>06/10♎ 17. LUCAS CASTEL✌ #FierreraSeNace #DriftLove #Stunt Love~ #Speed is Life ♡.♡ Un Dia Sin Sonreír Es Un Dia Perdido</t>
  </si>
  <si>
    <t>Arne Behrensen</t>
  </si>
  <si>
    <t>Autoclubs fordern Entschädigung für dt #VW-Käufer.Was bekommen wir Autolose, die unter deren Abgase leiden?#diesegate</t>
  </si>
  <si>
    <t>Berlin, Deutschland</t>
  </si>
  <si>
    <t>Lobby für #Lastenräder/#Cargobikes • News, Beratung, PR, Projekte • hersteller- und händlerunabhängig</t>
  </si>
  <si>
    <t>Daniel Thomas</t>
  </si>
  <si>
    <t>cleaned my car. wheels on point. #carwash #shiny #vw #volkswagen #polomatch #silver #wheels @… https://t.co/jpBEfhiWxV</t>
  </si>
  <si>
    <t>Cheshire, England</t>
  </si>
  <si>
    <t>I'm an Idealist. I don't know where I'm going, but I'm on my way.</t>
  </si>
  <si>
    <t>Antonella ॐ</t>
  </si>
  <si>
    <t>La Plata - 1 y 57</t>
  </si>
  <si>
    <t>《SON(REIR)》 / Namasté / Jai guru dev / ॐ मणि पद्मे हूँ,</t>
  </si>
  <si>
    <t>Jamie Snelgrove</t>
  </si>
  <si>
    <t>sorta really like this setup 💁 #vw #vdub #volkswagen #volksnation #vr #vr6 #vrsex #golf #jolf… https://t.co/yoCCAyJ2XZ</t>
  </si>
  <si>
    <t>Kitchener, Ontario, Canada.</t>
  </si>
  <si>
    <t>Stay humble, Stay loyal</t>
  </si>
  <si>
    <t>#techhippie #volkswagen #vw #golf #gtd #lowisalifestyle #18wheels #bbs #dapper by petrtrapp https://t.co/GEmqlgqgtG</t>
  </si>
  <si>
    <t>economia_feed_1</t>
  </si>
  <si>
    <t>La #CE recuerda que ha invitado repetidamente a #VW a compensar también a los #europeos https://t.co/tNc07Y8a4M</t>
  </si>
  <si>
    <t>Economia_feed</t>
  </si>
  <si>
    <t>RT @Insta_VWT: https://t.co/NQf1m9XWtL - #vw #t5transporter #vwt5 #van #vanlife by _anto_1984 @ Instagra… https://t.co/dci4Dy50LG https://t…</t>
  </si>
  <si>
    <t>RT @Insta_VWT: https://t.co/Y3iFnk3GpJ - #vanlife #van #vwt5 #vw #t5transporter by _anto_1984 @ Instagra… https://t.co/joEN9RWGHr https://t…</t>
  </si>
  <si>
    <t>Rafael_WRC</t>
  </si>
  <si>
    <t>Landscape #VW #WRC #RallyArgentina https://t.co/PKqDUigrWa</t>
  </si>
  <si>
    <t>Leon Guanajuato México</t>
  </si>
  <si>
    <t>**USO EXCLUSIVO WRC** F1 MOTORSPORT // Cadillac ATS // Born to be in controsterzo! #FordFiesta #MSport</t>
  </si>
  <si>
    <t>Rick E. Hansen</t>
  </si>
  <si>
    <t>#VW Nears Deal Over Emissions-Cheating Scandal https://t.co/c8UpRkKVyI</t>
  </si>
  <si>
    <t>Danville, California</t>
  </si>
  <si>
    <t>securities/ corporate governance lawyer; Yankees and SF Giants fan; follow my blog: http://t.co/aXPwXZHNOv</t>
  </si>
  <si>
    <t>RT @Insta_VWT: https://t.co/ViNZQI8sAf - #t5 #t5transporter #vw #vwt5 #van #vanlife by _anto_1984 @ Inst… https://t.co/FYIhhpfzEL https://t…</t>
  </si>
  <si>
    <t>Camila Juárez García</t>
  </si>
  <si>
    <t>#töltés #háromkismalacmrgafarkas #kocsikázás #golf #vw #boyfriend #lovethem https://t.co/M5QvcB1eXg</t>
  </si>
  <si>
    <t>#VW Data Service zum @DFB_Pokal: Top Facts mit Blick auf das Finale @FCBayern vs. @BVB https://t.co/4VkVEtMPwQ #VWSport</t>
  </si>
  <si>
    <t>Sascha Smid</t>
  </si>
  <si>
    <t>#VW-Skandal ist dagegen Kindergeburtstag: Airbag öffnet sich nicht: Simba Dickie Group ruft 17 Mio #BobbyCar zurück https://t.co/XAl7gNgspo</t>
  </si>
  <si>
    <t>PR - Medien - Marketing - Social Media - Werbung...schreibe hier privat.</t>
  </si>
  <si>
    <t>Gonza✌</t>
  </si>
  <si>
    <t>♥Bostero de por vida♥ / ⚽Fútbol⚽ / Padel / C.A.Y.B.F.S♥ / Asociasion Padel Tandil♥ / Geminiano ♊ / Instagram: Gonzalo_blanco3</t>
  </si>
  <si>
    <t>Carlos ❄</t>
  </si>
  <si>
    <t>RT @AutosAlPisoARG: Los cuadra2 #Vw♥ #Enturbados 😳 https://t.co/au3Y4S8PtV</t>
  </si>
  <si>
    <t>San Martín de los Andes</t>
  </si>
  <si>
    <t>soltero hasta la tumba!!!!!</t>
  </si>
  <si>
    <t>eBay: VW Danbury Wanted! Brazilian Kampers /… https://t.co/Jw4u9oZgYk #vwcamper #vwbus #vw https://t.co/ZEadscsjBy https://t.co/zsevAAok9B</t>
  </si>
  <si>
    <t>#LOWTEC #HiLOW #GEWINDEFAHRWERK #VW #LOW Der Sharan 7N von Ben Zema mit einem HiLOW 2 Gewindefahrwerk. Ein... https://t.co/FY7vt0TO6o</t>
  </si>
  <si>
    <t>ATX LONGHORN PROMO</t>
  </si>
  <si>
    <t>RT @VeeDubMk1_: Front end Friday #frontendfriday #mk1golf #project #dub #vw #love by jaarriss https://t.co/OGjsmmpzgl</t>
  </si>
  <si>
    <t>Austin Texas! Go LongHorns! Not affiliated with University Of Texas. Designed to increase school spirit! Stay tuned for local events and student discounts!</t>
  </si>
  <si>
    <t>Fabio</t>
  </si>
  <si>
    <t>Wieso bekommen #VW-Kund*innen Geld dafür, dass ihr Fahrzeug die Umwelt mehr verpestet hat, als Hersteller &amp; Kontrolleure ihnen weismachten?</t>
  </si>
  <si>
    <t>iPhone: 0.004688,0.013754</t>
  </si>
  <si>
    <t>Hoodiejournalist. Volleyballer &amp; Kurzhosenträger. Vegetarier. Extremist aus der Genderszene (Quelle: Internet). Seriöslich zu finden unter @fabio_reinhardt</t>
  </si>
  <si>
    <t>Visit Dresden</t>
  </si>
  <si>
    <t>RT @vwpress_de: Über 3000 Karten in 2h: Konzert "Klassik Picknickt" ausverkauft. #GläserneManufaktur #Dresden #VW https://t.co/L8R7R7UdRm</t>
  </si>
  <si>
    <t>Dresden</t>
  </si>
  <si>
    <t>Official page of #Dresden #Marketing. Celebrating together. #VisitDresden #Tourism #Arts #Culture #Economics #Research #Conventions https://t.co/KLFwHRPCRh</t>
  </si>
  <si>
    <t>Seun Thorpe</t>
  </si>
  <si>
    <t>#Repost rosadoo7 with repostapp. ・・・ Un poco de launch🙊💨💨 🎥 lauu915 #vw #volkswagen #golf… https://t.co/yBwv213gR2</t>
  </si>
  <si>
    <t>Enfield</t>
  </si>
  <si>
    <t>IG:SeunThorpe</t>
  </si>
  <si>
    <t>campercino</t>
  </si>
  <si>
    <t>Hi ho! Hi ho! It's off to the paint shop I go... #vw #camper #coffee #smoothie #soya https://t.co/iBqy2rhAJC</t>
  </si>
  <si>
    <t>The home of the SoYa! range of dairy free smoothies, milkshakes, coffees &amp; hot chocolate. And also offers the coolest DJ experience available.</t>
  </si>
  <si>
    <t>Matt David</t>
  </si>
  <si>
    <t>Hi ho! Hi ho! It's off to the paint shop I go... #vw #camper #coffee #smoothie #soya https://t.co/oXenlgTNU4 https://t.co/BgRuTXn7IF</t>
  </si>
  <si>
    <t>NW London</t>
  </si>
  <si>
    <t>Actor, presenter &amp; ex-Kiss100 DJ turned business &amp; property entrepreneur... Views are mine blah blah blah!!!</t>
  </si>
  <si>
    <t>Die Umrüstung wird Kund*innen ja bezahlt. Die Entschädigung sollte zur Reparatur der Umwelt, nicht zum Konsum ankurbeln genutzt werden. #VW</t>
  </si>
  <si>
    <t>RT @lhmvolkswagenaz: Here's a snap from @EpicHistoryPics with #VW Beetles watching 'Herbie - The Love Bug' at a drive-in. #tbt #vintage htt…</t>
  </si>
  <si>
    <t>Daniel</t>
  </si>
  <si>
    <t>RT @Enigma424: Wieso bekommen #VW-Kund*innen Geld dafür, dass ihr Fahrzeug die Umwelt mehr verpestet hat, als Hersteller &amp; Kontrolleure ihn…</t>
  </si>
  <si>
    <t>Berlin bei Polen</t>
  </si>
  <si>
    <t>#TeamKomisch, begeht Reisen, lernt Songwriting, kann Software, balanciert Kopf und Herz, and Refugees Welcome!</t>
  </si>
  <si>
    <t>Fotobiene</t>
  </si>
  <si>
    <t>Das Leben muß doch irgendwie besser gehen!</t>
  </si>
  <si>
    <t>RT @Enigma424: Die Umrüstung wird Kund*innen ja bezahlt. Die Entschädigung sollte zur Reparatur der Umwelt, nicht zum Konsum ankurbeln genu…</t>
  </si>
  <si>
    <t>Matti Correa ☆</t>
  </si>
  <si>
    <t>Soy Leproso, Vago y Atorrante(8</t>
  </si>
  <si>
    <t>#vw #retro #vagmen https://t.co/hf1kscIR1E</t>
  </si>
  <si>
    <t>MattRe</t>
  </si>
  <si>
    <t>@MTaege Und ab sofort in den wettbüros weltweit: Wer ist der nächste ?? #Abgasskandal #Mitsubishi #VW</t>
  </si>
  <si>
    <t>Berlin, schon immer...</t>
  </si>
  <si>
    <t>Der Schlüssel zum Erfolg sieht manchmal anders aus, als man denkt...</t>
  </si>
  <si>
    <t>Como te haces extrañar ehh.! #passat #vw #volskwagen #germanCar… https://t.co/7PE4NrWnYx</t>
  </si>
  <si>
    <t>㊷ Holger Höfle ㊷</t>
  </si>
  <si>
    <t>@greenpeacemag Japan ist uns voraus. Wo bleiben die Razzien bei #Daimler, #VW und #Audi?</t>
  </si>
  <si>
    <t>Der Ex. Ex-Grünenwähler, Ex-Fußballfan, Extremdenker</t>
  </si>
  <si>
    <t>Periodismo del Motor</t>
  </si>
  <si>
    <t>🔴 Volkswagen pagará 5.000 dólares a cada afectado, pero solo en EEUU https://t.co/h5lGrEwVvQ #Volkswagen #VW https://t.co/e1Q3eOB43R</t>
  </si>
  <si>
    <t>Página web del motor con las novedades y pruebas del mundo del automóvil. Noticias de automovilismo (Fórmula 1, rallyes...).</t>
  </si>
  <si>
    <t>Fitment Lifestyle</t>
  </si>
  <si>
    <t>stanced at its finest| dont own any of the rights of these pictures posted</t>
  </si>
  <si>
    <t>Nizoo</t>
  </si>
  <si>
    <t>RT @UniversityVWM: Visit our #Ebay store https://t.co/DW0grjDjgq where we sell Genuine #Volkswagen and #Mazda parts &amp; Accessories! #VW http…</t>
  </si>
  <si>
    <t>Alex Medrano</t>
  </si>
  <si>
    <t>RT @periodismomotor: 🔴 Volkswagen pagará 5.000 dólares a cada afectado, pero solo en EEUU https://t.co/h5lGrEwVvQ #Volkswagen #VW https://t…</t>
  </si>
  <si>
    <t>On road</t>
  </si>
  <si>
    <t>Si mantienes toda tu vida el puño cerrado, no tendrás nada el día que abras la mano</t>
  </si>
  <si>
    <t>ツ ツ</t>
  </si>
  <si>
    <t>Fierrera se nace,no se hace❤ Mi Corazón No Late, Regula y Corta.. FUTBOL Y AUTOOS CAB Y CABJ❤</t>
  </si>
  <si>
    <t>simzii nijjar</t>
  </si>
  <si>
    <t>#selfie from the #algarve have had a blast with the team #vw #volkswagen @ Algarve https://t.co/PbXNn4XanK</t>
  </si>
  <si>
    <t>i'm a one off original!!!! just like my designs!!! Follow me on instagram- SIMZIIN</t>
  </si>
  <si>
    <t>1CAR</t>
  </si>
  <si>
    <t>Oscuramento Soft! #newbeetle #vw #pellicoleoscuranti #pellicoleperauto https://t.co/1jzPr58f1g</t>
  </si>
  <si>
    <t>Padova, via dei ronchi 3/B</t>
  </si>
  <si>
    <t>Da 30 anni ci occupiamo di pellicole oscuranti per auto e di car wrapping.</t>
  </si>
  <si>
    <t>Florcita</t>
  </si>
  <si>
    <t>Kishan</t>
  </si>
  <si>
    <t>Goodbye Koup, hello GTi #GTi #VW https://t.co/pdyU3Fz1vV</t>
  </si>
  <si>
    <t>Johannesburg</t>
  </si>
  <si>
    <t>Does what Phil Dunphy would do. Never seen in the same place at the same time as Batman. Traveller. Average photographer. LFC fan</t>
  </si>
  <si>
    <t>#VW https://t.co/EPGbRzbwNw</t>
  </si>
  <si>
    <t>Autokiste</t>
  </si>
  <si>
    <t>#VW kündigt #Amarok-Facelift an. https://t.co/Bjz1efraej https://t.co/l1JxO2yZ0Y</t>
  </si>
  <si>
    <t>Das unabhängige Portal rund um Automobil &amp; Verkehr</t>
  </si>
  <si>
    <t>Sexenio CDMX</t>
  </si>
  <si>
    <t>#VW pagará 5 mil dólares a clientes afectados https://t.co/0arAdSFR6z</t>
  </si>
  <si>
    <t>Distrito Federal</t>
  </si>
  <si>
    <t>Sexenio CDMX, cobertura de las noticias locales en el medio nacional de mayor crecimiento.</t>
  </si>
  <si>
    <t>Sexenio</t>
  </si>
  <si>
    <t>#VW pagará 5 mil dólares a clientes afectados https://t.co/Omnof1Pyl6</t>
  </si>
  <si>
    <t>Llevamos a las manos de los líderes mexicanos la información que determina el rumbo del país.</t>
  </si>
  <si>
    <t>WRCApp</t>
  </si>
  <si>
    <t>RT @MultivaRv: Landscape #VW #WRC #RallyArgentina https://t.co/PKqDUigrWa</t>
  </si>
  <si>
    <t>WRC_App</t>
  </si>
  <si>
    <t>EasyGas Group</t>
  </si>
  <si>
    <t>EasyGas, cerca de tí. Somos las gasolineras con el mejor precio, GARANTIZADO. Síguenos! Te ofrecemos combustibles de alta calidad al mejor precio del mercado.</t>
  </si>
  <si>
    <t>PORTAL ALEMANIA</t>
  </si>
  <si>
    <t>#Dieselgate: #Volkswagen steuert auf teure Einigung in Amerika zu. #VW https://t.co/atjSzLOFQI vía @faznet</t>
  </si>
  <si>
    <t xml:space="preserve">Madrid </t>
  </si>
  <si>
    <t>Información y actualidad sobre trabajar, estudiar, vivir en #Alemania y aprender #alemán.</t>
  </si>
  <si>
    <t>Pedego101</t>
  </si>
  <si>
    <t>Westlake Village, CA</t>
  </si>
  <si>
    <t>Pedego 101 sells, rents and repairs Pedego Electric Bicycles</t>
  </si>
  <si>
    <t>Daniel Delacruz</t>
  </si>
  <si>
    <t>Finally got a new catalytic convertor installed on my VW. No, VW did not pay for mine #VW</t>
  </si>
  <si>
    <t>Dagobah</t>
  </si>
  <si>
    <t>Wanna know the rest, buy the rights!</t>
  </si>
  <si>
    <t>Look! Another great #VW that would sell well in the US... Maybe someday. @LACarGuy https://t.co/hvp2TYVCn8</t>
  </si>
  <si>
    <t>Stark Legal Support</t>
  </si>
  <si>
    <t>Parkersburg, WV</t>
  </si>
  <si>
    <t>At Stark Legal Support we provide civil process service, mobile notary, and messenger services. We Serve The Mid-Ohio Valley. Parkersburg, WV - Marietta, OH.</t>
  </si>
  <si>
    <t>#VW will "#Schutzranzen"-App in Autos integrieren https://t.co/SIhAhcih81 https://t.co/5T9wRhWml5</t>
  </si>
  <si>
    <t>Dragon Jo  ☮</t>
  </si>
  <si>
    <t>I bet the whole automotive industry is fixing emission results. #VW #Mitsubishi</t>
  </si>
  <si>
    <t>pro freedom, honesty and transparency.. anti-bigots . anti- self serving politicians</t>
  </si>
  <si>
    <t>Volkswagen Outaouais</t>
  </si>
  <si>
    <t>Un petit #moteur impressionnant, mais surtout économique pour la #VW #Jetta! https://t.co/St6Pbe02YY #OutaouaisFun https://t.co/YdCVD5cHv1</t>
  </si>
  <si>
    <t>850 Boul. St-Joseph, Gatineau</t>
  </si>
  <si>
    <t>Bienvenue sur la page officielle de Volkswagen de l'Outaouais, plus gros détaillant Volkswagen de la région de Gatineau/Ottawa | 819-770-0220</t>
  </si>
  <si>
    <t>Louis Mendoza</t>
  </si>
  <si>
    <t>#NiMeHablesDe amor por un automóvil si no has tenido o tienes un #vochito #VW</t>
  </si>
  <si>
    <t>Tijeras cortan papel, papel cubre a piedra, piedra aplasta lagarto, lagarto envenena a Spock</t>
  </si>
  <si>
    <t>Camii</t>
  </si>
  <si>
    <t>Entrar a la cancha y olvidarme de todo❤Hockey Pasion❤ #ContalaComoQuieras #ALaGiladaNiCabida</t>
  </si>
  <si>
    <t>•valentina•</t>
  </si>
  <si>
    <t>Sierras bayas</t>
  </si>
  <si>
    <t>•Creo que me gusta así • Taurina ♉• 16 snap: mvalentinamar</t>
  </si>
  <si>
    <t>Filthy Fitment™</t>
  </si>
  <si>
    <t xml:space="preserve">STL. </t>
  </si>
  <si>
    <t>| Est 11/17/14 | @whoribIe | @superschlick |</t>
  </si>
  <si>
    <t>Gaston</t>
  </si>
  <si>
    <t>Sierra Grande-R.N.-Argentina</t>
  </si>
  <si>
    <t>Fanny Facsar</t>
  </si>
  <si>
    <t>Ein live-blog von @HandelsblattGE Team zu #VW Entscheidung in San Francisco: https://t.co/KGRyxm7UZh</t>
  </si>
  <si>
    <t>Mainz, Berlin, Budapest</t>
  </si>
  <si>
    <t>Hungarian-German Journalist. Anchor/Reporter @dwnews, Reporter/Managing Editor @ZDF. Co-developer @heuteplus, ger, eng, fre, hun, esp</t>
  </si>
  <si>
    <t>Nothing sexier than this color!. @orafolwraps #bluegreenmatte #colorshift #vw #vdub #vwcc… https://t.co/oje2qKnJXX</t>
  </si>
  <si>
    <t>Autoescola Burjassot</t>
  </si>
  <si>
    <t>Ctra. de Lliria 92-bj 46100</t>
  </si>
  <si>
    <t>desde 1977 a su servicio - asociado Avae-CNAE 960 058 064 Director Vicente Navarro</t>
  </si>
  <si>
    <t>Julii</t>
  </si>
  <si>
    <t>Bragado, Argentina</t>
  </si>
  <si>
    <t>Un demonio hecho mujer.</t>
  </si>
  <si>
    <t>FanCar Picture - Send me your Scirocco pictures!!! (PM Please) #VW #Volkswagen #Scirocco #Tuning https://t.co/kiAnTzxfSA</t>
  </si>
  <si>
    <t>Sergei Lemberg, Esq.</t>
  </si>
  <si>
    <t>43 Danbury Road, Wilton, CT</t>
  </si>
  <si>
    <t>Winning for You - Call (855) 301-2100</t>
  </si>
  <si>
    <t>PTP Turbo Blankets</t>
  </si>
  <si>
    <t>Dubclinic in Santa Clara, California is Doctor to the Dubs #vw #volkswagen #volkswagengolf https://t.co/7pUF9UDBe7</t>
  </si>
  <si>
    <t>Austin, Texas</t>
  </si>
  <si>
    <t>PTP Turbo Blankets and Heat Insulation Products.</t>
  </si>
  <si>
    <t>RT @Mk1GolfOC: We love a vintage VW advert! #throwbackthursday #tbt #vw #volkswagen #mk1 #mk1golfoc #mk1golf… https://t.co/Gk9eUjJovR</t>
  </si>
  <si>
    <t>JUAN GUILLÉN GARCÍA</t>
  </si>
  <si>
    <t>CIUDAD DE MÉXICO</t>
  </si>
  <si>
    <t>ING. EN AERONAUTICA #IPN Y APASIONADO DE LOS AUTOS, #F1, #MOPAR, #WRC, #NSX, #F40, TODO LO QUE TENGO Y SOY SE LO DEBO A #DIOS.</t>
  </si>
  <si>
    <t>Paul-Christian Britz</t>
  </si>
  <si>
    <t>RT @FannyFacsar: Ein live-blog von @HandelsblattGE Team zu #VW Entscheidung in San Francisco: https://t.co/KGRyxm7UZh</t>
  </si>
  <si>
    <t>Berlin | NYC | road | ocean</t>
  </si>
  <si>
    <t>Business reporter behind the scenes for @dw_business #biz #mobility #innovation #US, also #dieselgate &amp; other hazardous material | pgp https://t.co/gjXq4C0Ch8</t>
  </si>
  <si>
    <t>Cam Paul</t>
  </si>
  <si>
    <t>RT @J0ann3: I bet the whole automotive industry is fixing emission results. #VW #Mitsubishi</t>
  </si>
  <si>
    <t>Toronto</t>
  </si>
  <si>
    <t>Author-Progressive-Truth Teller as I see it</t>
  </si>
  <si>
    <t>Fina</t>
  </si>
  <si>
    <t>30 $ kostet telefonische Einwahl bei US-Gericht. Dafür gibt es erst mal klassische Musik - dann Breyer #dieselgate #vw</t>
  </si>
  <si>
    <t>vwfamilyrd</t>
  </si>
  <si>
    <t>Follow us !! / Singuemos !!! #Vw #VwRD #VwFamily https://t.co/jSwFwrszGQ</t>
  </si>
  <si>
    <t>Dominican Republic</t>
  </si>
  <si>
    <t>Familia de Volkswagen y Audi en Republica Dominica y el mundo.. !! Instagram: vwfamilyrd</t>
  </si>
  <si>
    <t>Josefa</t>
  </si>
  <si>
    <t>RT @VCT_Tweets: #volkswagen #vw #wolfsburg #mk1 #mk2 #mk3 #mk4 #mk5 #mk6 #mk7 #golf #vwgolf #vwlove #volkswagenlove #volkswagentuni… https:…</t>
  </si>
  <si>
    <t>Andreas Dörnfelder</t>
  </si>
  <si>
    <t>Behörde mit Maulkorb im #VW-Skandal: Besuch beim #KraftfahrtBundesamt in #Flensburg. Mehr @Handelsblatt Online (€): https://t.co/sbq4PJIWMK</t>
  </si>
  <si>
    <t>Reporter im @handelsblatt @hb_investigativ Team. Erreichbar via doernfelder(at)http://t.co/bGbEaxlSRu Impressum: http://t.co/y15hGeo0hC. Hier auch privat.</t>
  </si>
  <si>
    <t>eBay: 2014 VOLKSWAGEN TRANSPORTER T5 102PS… https://t.co/rWjaPTcoxq #vwcamper #vwbus #vw https://t.co/ZEadscsjBy https://t.co/gFoPCELeYG</t>
  </si>
  <si>
    <t>bigbobblehats</t>
  </si>
  <si>
    <t>We are @ the #VW #bigbang show this weekend come along and say hello #bigbobblehats https://t.co/J1APSKjOCg</t>
  </si>
  <si>
    <t>Scotland</t>
  </si>
  <si>
    <t>#NoHayNadaComo un #VW amo este auto. https://t.co/Y0jCE1Nq2q</t>
  </si>
  <si>
    <t>N a c h o</t>
  </si>
  <si>
    <t xml:space="preserve">Moròn </t>
  </si>
  <si>
    <t>Nadie nota tus lágrimas, nadie nota tu tristeza, nadie nota tu dolor, pero todos notan tus errores. http://t.co/lAr33rVPkn</t>
  </si>
  <si>
    <t>Clark Williams-Derry</t>
  </si>
  <si>
    <t>#VW scandal: we're mere minutes away from learning about a settlement deal. https://t.co/cCg3tpj9z7</t>
  </si>
  <si>
    <t>Seattle, usually</t>
  </si>
  <si>
    <t>Director of Energy Finance @Sightline. Coal, oil, gas; wind, solar, storage. Nerd.</t>
  </si>
  <si>
    <t>Cedric Gracia</t>
  </si>
  <si>
    <t>I AM so in love with this babe ! @santacruzbicycles #combi #vw #peaceandlove #mtb https://t.co/vVc1RTPBW1</t>
  </si>
  <si>
    <t xml:space="preserve">andorra </t>
  </si>
  <si>
    <t>Nakul Shetty</t>
  </si>
  <si>
    <t xml:space="preserve">Bangalore, India  </t>
  </si>
  <si>
    <t>90's Kid I Autodidact I Daydreamer I Night Owl I #Entrepreneur @ Heart I #Finance, #Politics, #Tech, #History I Born Original. Definitely not dieing a copy</t>
  </si>
  <si>
    <t>PHOENIX</t>
  </si>
  <si>
    <t>Video: Autoexperte F. #Dudenhoeffer zur Einigung zw. #VW und US-Behörden im #Abgasskandal https://t.co/j8XtHiveGi #diesel #VWScandal</t>
  </si>
  <si>
    <t>Bonn/Berlin</t>
  </si>
  <si>
    <t>Ereignis- &amp; Dokumentationskanal von ARD &amp; ZDF http://t.co/UQUHS0GxGj</t>
  </si>
  <si>
    <t>eBay: 2006 Volkswagen Beetle 1.6 https://t.co/GZq1aMBqp1 #vwbeetle #vwbug #vw https://t.co/xvfL74PTgl</t>
  </si>
  <si>
    <t>eBay: 1975 VOLKSWAGEN BEETLE 1.3 1303 2D https://t.co/1eFOelbzWY #vwbeetle #vwbug #vw https://t.co/xvfL74PTgl https://t.co/mqLQZWITC7</t>
  </si>
  <si>
    <t>UroTuning</t>
  </si>
  <si>
    <t>@cimonbrouillette rocking it low and old. Loving this #tbt! #VW #bug #classic #vwvortex #󾓯 @vwvortex https://t.co/Ekm05hu3al</t>
  </si>
  <si>
    <t>Tampa, Florida</t>
  </si>
  <si>
    <t>OEM and Performance Parts for your VW/Audi/BMW/Porsche. Located in Tampa Florida. Check us out online at http://t.co/k1SAmDPlyc</t>
  </si>
  <si>
    <t>John Rosevear</t>
  </si>
  <si>
    <t>Follow @NathanBomey if this is of interest. $VLKAY #VW #dieselgate https://t.co/7SJ2MF6pZ8</t>
  </si>
  <si>
    <t>Boston, Massachusetts USA</t>
  </si>
  <si>
    <t>Senior auto analyst @themotleyfool. Horsepower, barbells, whiskey, enlightenment. Opinions mine, but they can be yours too.</t>
  </si>
  <si>
    <t>VW to Reportedly Buy Back 500000 Cars and Pay $5000: The list would include models like the VW... https://t.co/aMIIvzPKS1 #VW #jetta #car</t>
  </si>
  <si>
    <t>Don't bank on Volkswagen paying you $5000 just yet: If it's whoever leaked the story to Reuter... https://t.co/ehQVJy1Mm7 #VW #jetta #car</t>
  </si>
  <si>
    <t>This Bergen County Railroad Crossing Is Among The Worst In The U.S.: A Volkswagen Jetta was cr... https://t.co/AWpwEU98QQ #VW #jetta #car</t>
  </si>
  <si>
    <t>Es geht los in Frisco beim #VW-Hearing. Breyer begrüßt Anwälte von vw, porsche, bosch - und Zuhörer am Telefon. Hi #dieselgate</t>
  </si>
  <si>
    <t>#VW to Offer to Buy Back Nearly 500,000 U.S. Diesel Cars, Sources Say https://t.co/sKCSS5Q05P https://t.co/QwyqF6Vr3H</t>
  </si>
  <si>
    <t>Lutetia</t>
  </si>
  <si>
    <t>RT @OerlikonGroup: New #technology that puts the #VW #Tiguan in a new light - in an environmental friendly way. https://t.co/XthRa8I2PD htt…</t>
  </si>
  <si>
    <t>Paname</t>
  </si>
  <si>
    <t>#VW Releases Sketches Of Updated 2017 Amarok https://t.co/QVRLTmjcWi https://t.co/7GHadxWDzX</t>
  </si>
  <si>
    <t>BGX</t>
  </si>
  <si>
    <t>That 18 Year Old Kid With The Stock Gli ‼️ SUNY Suffolk |Basketball|Football|Track| Instagram : og_xavierb| Snapchat : xb24|</t>
  </si>
  <si>
    <t>カト兄</t>
  </si>
  <si>
    <t>廃車 #ビートル #vw #type1 #beetle #oldcar #japan @ 北海道旭川市 https://t.co/bhWlicIUzA</t>
  </si>
  <si>
    <t>北海道 旭川市</t>
  </si>
  <si>
    <t>北海道で石油王やってます。在日日系日本人</t>
  </si>
  <si>
    <t>A BUGS LIFE 🚗 #tbt #volkswagen #vw #carmeet #carporn #bugjam #socal #bobsbigboy #vintage #classic #carlife #classi… https://t.co/MbpVjRzNmJ</t>
  </si>
  <si>
    <t>SURF UP 🚗 #tbt #volkswagen #vw #carmeet #carporn #bugjam #socal #bobsbigboy #vintage #classic #carlife #classiccar… https://t.co/fOEH0yQWYn</t>
  </si>
  <si>
    <t>Woooooo Shiny! All ready for the Shoreham VW heritage meet this eve. @vwheritage #68sunroof #shiny #eyelid #bug #vw… https://t.co/XnkNM4fbYR</t>
  </si>
  <si>
    <t>BUDDIES 👐 #tbt #volkswagen #vw #carmeet #carporn #bugjam #socal #bobsbigboy #vintage #classic #carlife #classiccar… https://t.co/s6HsvRlNf2</t>
  </si>
  <si>
    <t>#Repost @vwobsessionsocal with @repostapp ・・・ That motor!!? Be sure to follow us for new content daily! #vw #vwlov… https://t.co/LJn98jY0ia</t>
  </si>
  <si>
    <t>LADY BUG 🐞 #tbt #volkswagen #vw #carmeet #carporn #bugjam #socal #bobsbigboy #vintage #classic #carlife #classicca… https://t.co/WXnpVM2nV3</t>
  </si>
  <si>
    <t>Photo by : @moh__sen #cafemoosoofer #cafe #moosoofer #vw #vwbeetle #wheel by cafemoosoofer https://t.co/A8MxVQePV7</t>
  </si>
  <si>
    <t>Kate Galbraith</t>
  </si>
  <si>
    <t>Breyer" "extremely pleased" that parties have reached an agreement. #VW</t>
  </si>
  <si>
    <t>California journalist. Alum of @TexasTribune, @CALmatters, @nytimes, @TheEconomist. Co-author, The Great Texas Wind Rush.</t>
  </si>
  <si>
    <t>Lukas Bay</t>
  </si>
  <si>
    <t>"Richter Breyer: I am extremely pleased that the parties came up with a concrete plan." (via @AstridDoerner) #VW #Dieselgate</t>
  </si>
  <si>
    <t>„Die Gedankenfreiheit haben wir. Jetzt brauchen wir nur noch die Gedanken.“</t>
  </si>
  <si>
    <t>Oliwka Grochal</t>
  </si>
  <si>
    <t>#soclose with evelinaaaaj 👸🏼👩🏻 #mercedesbenz #vw #dasauto @ Krakowska Akademia im. Andrzeja… https://t.co/vKp9aKWrQc</t>
  </si>
  <si>
    <t>Poland</t>
  </si>
  <si>
    <t>Fashion &amp; Portrait Photographer based in Cracow (PL) Photo Studio Coordinator at Marketing Investment Group</t>
  </si>
  <si>
    <t>#Handelsblatt-Video: Was mein Punktestand in #Flensburg mit dem #KraftfahrtBundesamt gemeinsam hat https://t.co/AtBDptZPMW #Dieselgate #VW</t>
  </si>
  <si>
    <t>eBay: Volkswagen Beetle 1.6 2005MY https://t.co/6ElGC5cwvl #vwbeetle #vwbug #vw https://t.co/xvfL74PTgl https://t.co/IBTgjNxohV</t>
  </si>
  <si>
    <t>RT @bayl: "Richter Breyer: I am extremely pleased that the parties came up with a concrete plan." (via @AstridDoerner) #VW #Dieselgate</t>
  </si>
  <si>
    <t>⚫Belénnn⭐</t>
  </si>
  <si>
    <t>Temperley, BsAs, Argentina</t>
  </si>
  <si>
    <t>Temperley; Casi18;✌; ♒Acuario; Modelo; Maquilladora.#Promo16. ❤Demimejoramigo❤ ❤Puerca❤</t>
  </si>
  <si>
    <t>Mario Montero</t>
  </si>
  <si>
    <t>Acuerda #VW pagar 5 mil dólares a cada cliente afectado por Dieselgate https://t.co/VmBw88Z0X4</t>
  </si>
  <si>
    <t>Puebla, Mexico</t>
  </si>
  <si>
    <t>Notario de profesión, medio mil usos de facto, sobreviviente de vocación y bohemio en la imaginación.</t>
  </si>
  <si>
    <t>ZDF heute</t>
  </si>
  <si>
    <t>#Abgasskandal: Einigung zwischen #VW und US-Behörden. Gleich mehr auf heute.de</t>
  </si>
  <si>
    <t>Mainz</t>
  </si>
  <si>
    <t>Hier twittert die Redaktion von heute.de Nachrichten, Videos und Hintergründe aus Politik, Wirtschaft und Kultur | Impressum http://t.co/X5QRUvKFRn</t>
  </si>
  <si>
    <t>Hope your day is this beautiful. If not, brighten it up at https://t.co/ICoKnUN3RN #vwbus #vwcampervan #vw #vdub https://t.co/YxhPk8zfDd</t>
  </si>
  <si>
    <t>Dk ★</t>
  </si>
  <si>
    <t xml:space="preserve">Luis Guillón, Argentina </t>
  </si>
  <si>
    <t>You gotta be able to smile through the bullshit. Publicidad en la UNLZ.</t>
  </si>
  <si>
    <t>Ali Zartash-Lloyd</t>
  </si>
  <si>
    <t>#VW to offer to buy back nearly 500,000 U.S. diesel cars with up to $5000 compensation! OUCH!!! https://t.co/sAbBwUapWq</t>
  </si>
  <si>
    <t>Malaga</t>
  </si>
  <si>
    <t>Experienced Business Leader escaped from large multinationals to run own businesses (Yes 3 of them!). Small is beautiful! https://t.co/kFrQEdvxqd</t>
  </si>
  <si>
    <t>HB Investigativ</t>
  </si>
  <si>
    <t>RT @doern: Behörde mit Maulkorb im #VW-Skandal: Besuch beim #KraftfahrtBundesamt in #Flensburg. Mehr @Handelsblatt Online (€): https://t.co…</t>
  </si>
  <si>
    <t>Hier twittert das @handelsblatt Investigativ-Team. Mail-Kontakt: investigativ[at]http://t.co/bGbEaxlSRu; Impressum: http://t.co/y15hGeo0hC</t>
  </si>
  <si>
    <t>RT @doern: #Handelsblatt-Video: Was mein Punktestand in #Flensburg mit dem #KraftfahrtBundesamt gemeinsam hat https://t.co/AtBDptZPMW #Dies…</t>
  </si>
  <si>
    <t>hr-iNFO</t>
  </si>
  <si>
    <t>#VW und US-Behörden handeln kurz vor Ablauf eines Ultimatums einen Kompromiss zur Lösung der Abgas-Krise aus.</t>
  </si>
  <si>
    <t>Das Informationsradio des Hessischen Rundfunks.</t>
  </si>
  <si>
    <t>dpa</t>
  </si>
  <si>
    <t>#VW einigt sich im Abgas-Skandal mit US-Behörden auf Eckpunkte https://t.co/0tXK38p6dN via @N24 (dmo) https://t.co/PCgNyqH7ly</t>
  </si>
  <si>
    <t>Die Deutsche Presse-Agentur twittert: Froben Homburger (fho), Jens Dudziak (jed), Daniel Mollitor (dmo), Süleyman Artiisik (art), Kirsten Haake (haa)</t>
  </si>
  <si>
    <t>#VW 127,16€ +4,64% Angeblich grundsätzliche Einigung zwischen VW und den US-Behörden! https://t.co/Hx8pIHKiHx</t>
  </si>
  <si>
    <t>Breyer scherzt mit #VW-Anwalt. Na ja: US-Kunden kriegen volle Entschädigung. Details müssen bis 21. Juni geheim bleiben #dieselgate</t>
  </si>
  <si>
    <t>Breyer sets deadlines for docs: June 21. #VW</t>
  </si>
  <si>
    <t>Theo Leggett</t>
  </si>
  <si>
    <t>#VW reaches deal with US govt over dieselgate. Will include buyback of affected vehicles</t>
  </si>
  <si>
    <t>BBC Business News Reporter - but these are certainly not the views of the BBC...</t>
  </si>
  <si>
    <t>Abgas-Skandal: #VW und US-Behörden finden Kompromiss https://t.co/JxnWVyXoTc</t>
  </si>
  <si>
    <t>Stephanie Chuang</t>
  </si>
  <si>
    <t>(CONT) 3) VW customers can cancel lease. #VW will pay consumers and also make corrections w/emissions to satisfy US #EPA regulations.</t>
  </si>
  <si>
    <t>StephanieChuang.com</t>
  </si>
  <si>
    <t>Special Projects &amp; SF reporter. #DubNation. Storyteller first. Bay Area native w.stop in Chicago/Evanston (Go Wildcats!). Stephanie.Chuang@nbcuni.com</t>
  </si>
  <si>
    <t>NBC Bay Area</t>
  </si>
  <si>
    <t>RT @StephChuang: (CONT) 3) VW customers can cancel lease. #VW will pay consumers and also make corrections w/emissions to satisfy US #EPA r…</t>
  </si>
  <si>
    <t>San Francisco Bay Area</t>
  </si>
  <si>
    <t>Thank you for stopping by @NBCBayArea - the place to go for exclusive local stories, the latest breaking news, weather updates and more.</t>
  </si>
  <si>
    <t>Eric Cheung</t>
  </si>
  <si>
    <t>Depth of field is crazy Owner: @g3drp #dedicatedshoutout #dubshed #vw #vwgolf #golf5 #go… https://t.co/kKgvGE9GIW https://t.co/cLQ4adcar5</t>
  </si>
  <si>
    <t>United Kingdom | Hong Kong</t>
  </si>
  <si>
    <t>Photographer | Designer | Wokway</t>
  </si>
  <si>
    <t>eBay: Volkswagen Beetle 1.6 2005MY https://t.co/R9u7CLuL1t #vwbeetle #vwbug #vw https://t.co/xvfL74PTgl https://t.co/Kf9l0SOvOG</t>
  </si>
  <si>
    <t>RT @franz_rother: Breyer scherzt mit #VW-Anwalt. Na ja: US-Kunden kriegen volle Entschädigung. Details müssen bis 21. Juni geheim bleiben #…</t>
  </si>
  <si>
    <t>dfmboy</t>
  </si>
  <si>
    <t>RT @dpa: #VW einigt sich im Abgas-Skandal mit US-Behörden auf Eckpunkte https://t.co/0tXK38p6dN via @N24 (dmo) https://t.co/PCgNyqH7ly</t>
  </si>
  <si>
    <t>fussball?? = #fcbayern KLAR??</t>
  </si>
  <si>
    <t>friendships worldwide please, spreche irokastisch/satirisch/meine persl. meinung fließend, dezent versaut &amp; romantisch!!</t>
  </si>
  <si>
    <t>089stadt</t>
  </si>
  <si>
    <t>#VW einigt sich im Abgasskandal mit US-Behörden: Der Volkswagen-Konzern hat sich in der… https://t.co/sMeA8xsLlE</t>
  </si>
  <si>
    <t>Munich Germany</t>
  </si>
  <si>
    <t>München und Umgebung im Twitter</t>
  </si>
  <si>
    <t>Oliver Ding</t>
  </si>
  <si>
    <t>Leverkusen</t>
  </si>
  <si>
    <t>Wortjongleur, Altenpfleger, Qualitätsbeauftragter, EDV-Fummler, Blogger, Basispirat, Frauenversteher, Rheinländer, neuerdings Papa</t>
  </si>
  <si>
    <t>Diego Fernandez</t>
  </si>
  <si>
    <t>RT @vwpress_en: #WRC Rally Argentina: "Around the world in 13 victories" – #VW out to make history. https://t.co/DfwHv7qfkx #VWSport https:…</t>
  </si>
  <si>
    <t>Interes General - Humor Politico y Deportivo - Futbol - Automovilismo -Tecnologia -Seguime y Te Sigo</t>
  </si>
  <si>
    <t>Can't afford a #VW #Golf R? The sporty new Golf R-line could be up your street https://t.co/viTjhVWAS8 @UKVolkswagen https://t.co/bPkw1mJiWn</t>
  </si>
  <si>
    <t>Protagonist emshapro</t>
  </si>
  <si>
    <t>Anstieg der #VW-Aktie in 3...2...1... https://t.co/7YUK7PnQ7b</t>
  </si>
  <si>
    <t>Kernkompetenz: Blöde Kommentare || Notorisch sarkastisch || Professioneller Hater || Trash TV || Experte für Society-Experten</t>
  </si>
  <si>
    <t>Teletext im Ersten</t>
  </si>
  <si>
    <t>Eilmeldung #VW #Abgasskandal https://t.co/uu5RdAsUzW</t>
  </si>
  <si>
    <t>Kurznachrichten sind unsere Stärke. https://t.co/U6s99ycyLM</t>
  </si>
  <si>
    <t>Aethonaia</t>
  </si>
  <si>
    <t>Unfortunately the MSM has developed into a political operative. If we cannot depend on journalistic ethics, the nation's in trouble.RT - No Endorsement</t>
  </si>
  <si>
    <t>Stan Bunger</t>
  </si>
  <si>
    <t>More on #VW from @hollyquanKCBS who says deal is NOT final, judge orders further talks to be confidential</t>
  </si>
  <si>
    <t>I co-anchor the KCBS Morning News. Tweeting from Studio A while on-air (740 AM &amp; FM 106.9) 5:30-10 AM Pacific time weekdays https://t.co/GpMr6orEqb</t>
  </si>
  <si>
    <t>boerseonline</t>
  </si>
  <si>
    <t>EIL: #Volkswagen-Aktie: #VW einigt sich mit US-Behörden. https://t.co/IvF7LehxLc</t>
  </si>
  <si>
    <t>BÖRSE ONLINE informiert unabhängig, aktuell, analytisch und kompetent über Geldanlage. Bietet Analysen, Kommentare und Empfehlungen zum Börsengeschehen.</t>
  </si>
  <si>
    <t>#Abgas-#Skandal: #VW einigt sich mit #US-#Behörden auf Eckpunkte https://t.co/KSnVFJtewl</t>
  </si>
  <si>
    <t>Life Dreamer</t>
  </si>
  <si>
    <t>RT @CedricGracia: I AM so in love with this babe ! @santacruzbicycles #combi #vw #peaceandlove #mtb https://t.co/vVc1RTPBW1</t>
  </si>
  <si>
    <t>Annecy</t>
  </si>
  <si>
    <t>Life dreamer, born to enjoy life.</t>
  </si>
  <si>
    <t>WDR Aktuelle Stunde</t>
  </si>
  <si>
    <t>Einigung zwischen #VW und US-Behörden im #emissionsscandal. US-Richter sagt "Yes" zu den vereinbarten Eckpunkten. https://t.co/tHrLlkD5JJ</t>
  </si>
  <si>
    <t>Hier twittert und periscopt die Aktuelle Stunde, das Informationsmagazin für NRW im WDR Fernsehen. Impressum: https://t.co/MMVIJ58SkH</t>
  </si>
  <si>
    <t>Andrew</t>
  </si>
  <si>
    <t>RT @AutoExpress: Can't afford a #VW #Golf R? The sporty new Golf R-line could be up your street https://t.co/viTjhVWAS8 @UKVolkswagen https…</t>
  </si>
  <si>
    <t>Warington</t>
  </si>
  <si>
    <t>Just me !!</t>
  </si>
  <si>
    <t>Emily Rusch</t>
  </si>
  <si>
    <t>New deadline for #vw and plaintiffs to present documents is June 21st @uspirg @calpirg</t>
  </si>
  <si>
    <t>California</t>
  </si>
  <si>
    <t>@CALPIRG Director</t>
  </si>
  <si>
    <t>FrankfurterRundschau</t>
  </si>
  <si>
    <t>#VW hat sich in der Abgasaffäre mit den US-Behörden weitgehend geeinigt: https://t.co/fNVaNp3zqS</t>
  </si>
  <si>
    <t>Frankfurt, Hessen</t>
  </si>
  <si>
    <t>Hier twittern Redakteure der Digitalen Redaktion der Frankfurter Rundschau. | Rhein-Main: @FRlokal | Sport: @FR_sport | Impressum: http://t.co/XkpxCCUvP4</t>
  </si>
  <si>
    <t>Judge Breyer blasts the leaking of settlement negotiations for #vw @calpirg @uspirg</t>
  </si>
  <si>
    <t>#VW 126,50€ +2,38% BESTÄTIGT: VW erzielt im Abgas-Skandal Kompromiss mit den US-Behörden #TRADING-BUY /jk https://t.co/B4uw1NSVYH</t>
  </si>
  <si>
    <t>BBC Business</t>
  </si>
  <si>
    <t>RT @Theothebald: #VW reaches deal with US govt over dieselgate. Will include buyback of affected vehicles</t>
  </si>
  <si>
    <t>London, UK</t>
  </si>
  <si>
    <t>Business news from the BBC. This is our official account aimed at a UK audience. For more global BBC business news please follow @BBCWorldBiz.</t>
  </si>
  <si>
    <t>HAZ</t>
  </si>
  <si>
    <t>#VW einigt sich im Abgas-Skandal mit US-Behörden. https://t.co/0T0aRj4kD1 https://t.co/yN91tfrEoF</t>
  </si>
  <si>
    <t>Hannover, Germany</t>
  </si>
  <si>
    <t>Die Hannoversche Allgemeine Zeitung bei Twitter. Impressum: http://t.co/MqjiDowyQc</t>
  </si>
  <si>
    <t>#VW einigt sich mit den #US-Behörden. Hier unser #Liveticker aus dem Gericht: https://t.co/ouGY0MUZT6</t>
  </si>
  <si>
    <t>KURIER</t>
  </si>
  <si>
    <t>#Abgasskandal: Deal zwischen #VW und US-Behörden ist fix -https://t.co/8qQT67IE8Y</t>
  </si>
  <si>
    <t>Wien</t>
  </si>
  <si>
    <t>Offizieller Auftritt des KURIER. Auch unter @KURIER_SPORT, @KurierLebensart und @KURIER_KULTUR,</t>
  </si>
  <si>
    <t>Abdul Aziz Ghaffar</t>
  </si>
  <si>
    <t xml:space="preserve">Pakistan </t>
  </si>
  <si>
    <t>RiceTex® - Equitex® - Estate House® International Rice Trader | Equity Advisor | Real Estate - Wealth Management | Est 1988</t>
  </si>
  <si>
    <t>Nida Bektas</t>
  </si>
  <si>
    <t>Ruchser</t>
  </si>
  <si>
    <t>Views and opinions communicated here are my own.</t>
  </si>
  <si>
    <t>#VW einigt sich mit US-Behörden auf Entschädigung im #Abgasskandal. Und was ist mit #EU? https://t.co/1erqFLSmAe https://t.co/cSRS3LMpM9</t>
  </si>
  <si>
    <t xml:space="preserve"> ++ Dieselgate im #Liveblog ++ : #VW ist sich mit US-Behörden grundsätzlich einig https://t.co/TuGF5khP43 #Handelsblatt</t>
  </si>
  <si>
    <t>Priyank</t>
  </si>
  <si>
    <t>Kochi</t>
  </si>
  <si>
    <t>A stock market freak , also a true united fan 4ever...</t>
  </si>
  <si>
    <t>Ende der Verhandlung nach 17 Minuten. Neues Update am 19.5. Bis dahin fordert #Breyer strikte Geheimhaltung #dieselgate #vw</t>
  </si>
  <si>
    <t>@Enterprise Company</t>
  </si>
  <si>
    <t xml:space="preserve">Galveston Island </t>
  </si>
  <si>
    <t>What I Do &amp; Say Solely Opinionated Arthur Laijas Jr @Book @Comic @Brunch @Hobbist @Galveston @Enjoyment</t>
  </si>
  <si>
    <t>Peter Danaher</t>
  </si>
  <si>
    <t>RT @Carscoop: #VW Releases Sketches Of Updated 2017 Amarok https://t.co/QVRLTmjcWi https://t.co/7GHadxWDzX</t>
  </si>
  <si>
    <t>Nassau</t>
  </si>
  <si>
    <t>Automotive Research Solutions [Usa-UK-Europe]</t>
  </si>
  <si>
    <t>DK Tuning</t>
  </si>
  <si>
    <t>Smoking custom MK1 Golf #vw #vwgolf #vwgolfmk1 #mk1golf #vwclub #mk1golfownersclub… https://t.co/DHy5giX92X</t>
  </si>
  <si>
    <t>Wolverhampton and Stafford</t>
  </si>
  <si>
    <t>We are a local company in #Wolverhampton and #Staffordshire offering #remapping and #tuning #services for all #vehicles including #cars, #vans, #motorhomes and</t>
  </si>
  <si>
    <t>VW-Anwalt Giuffra positiv: „Vereinbarung ist gut für die Kunden, gut für die Umwelt und gut für #VW“ https://t.co/TuGF5khP43 #Handelsblatt</t>
  </si>
  <si>
    <t>Ines Wiese</t>
  </si>
  <si>
    <t>USA - Einigung #dieselgate! Option: #VW kauft einen Großteil der Dieselwagen zurück und zahlt "substanziellen Schadensersatz" an Besitzer!</t>
  </si>
  <si>
    <t>News-Redakteurin/ -Moderatorin</t>
  </si>
  <si>
    <t>#VW 126,50€ +2,38% Weitere detaillierte Gespräche mit dne US-Behörden notwendig - US-Richter Breyer setzt neue Frist für VW: 21.Juni</t>
  </si>
  <si>
    <t>RT @franz_rother: Ende der Verhandlung nach 17 Minuten. Neues Update am 19.5. Bis dahin fordert #Breyer strikte Geheimhaltung #dieselgate #…</t>
  </si>
  <si>
    <t>Radio Hamburg</t>
  </si>
  <si>
    <t>RT @InesWiese_RHH: USA - Einigung #dieselgate! Option: #VW kauft einen Großteil der Dieselwagen zurück und zahlt "substanziellen Schadenser…</t>
  </si>
  <si>
    <t>Die offizielle Twitter-Seite von Radio Hamburg. http://t.co/XcO0Encd</t>
  </si>
  <si>
    <t>Jetzt kann gerechnet werden bei #vw: Was kosten Rückruf und Kompensationen für US-Kunden, was "Spenden" an Umweltfonds? #dieselgate</t>
  </si>
  <si>
    <t>Stefan Kaufmann</t>
  </si>
  <si>
    <t>RT @VolkerVotsmeier: ++ Dieselgate im #Liveblog ++ : #VW ist sich mit US-Behörden grundsätzlich einig https://t.co/TuGF5khP43 #Handelsblatt</t>
  </si>
  <si>
    <t>CvD bei @handelsblatt - hier auch gerne mal privat unterwegs</t>
  </si>
  <si>
    <t>Andreas Gerlach</t>
  </si>
  <si>
    <t>Tammo Beishuizen</t>
  </si>
  <si>
    <t>Winschoten</t>
  </si>
  <si>
    <t>Verslaggever DvhN/Oost-Groningen/Oldambt/Groningen/Nedersaksen/Maritiem/Cruise sector/Nieuws/Krantenman-On line/Radio/Weblog: Dreamcruise/www.dvhn.nl</t>
  </si>
  <si>
    <t>Jan Nikkel</t>
  </si>
  <si>
    <t>#VW einigt sich im Abgas-Skandal mit US-Behörden https://t.co/zSopG2SHjd</t>
  </si>
  <si>
    <t>echte hollandse jongen, overtuigde Europeaan, qui aime vachement la France (LGM) und in Berlin zu Hause ist. Might be a good idea to FOLLOW ☺ #alusarmy</t>
  </si>
  <si>
    <t>juris GmbH</t>
  </si>
  <si>
    <t>Abgasskandal: Richter verkündet Einigung zwischen #VW und US-Behörden https://t.co/K1veLJgHJd via @SPIEGELONLINE</t>
  </si>
  <si>
    <t>Saarbrücken</t>
  </si>
  <si>
    <t>Hier bekommen Sie von juris die aktuellen Nachrichten aus der Welt des Rechts und Servicetweets.</t>
  </si>
  <si>
    <t>Kurz vor Ablauf des Ultimatums: #VW und die US-Behörden haben einen Kompromiss ausgehandelt. https://t.co/zOmYflBz4j</t>
  </si>
  <si>
    <t>Alejandro San Juan</t>
  </si>
  <si>
    <t>Recuerdo de las Vacaciones 🌋 #MochoChoshuenco #ZorritoApañador #VW… https://t.co/XZXapdR8UT</t>
  </si>
  <si>
    <t>Chile</t>
  </si>
  <si>
    <t>Ingeniero de Ejecución en Minas, USACH. #Chileno #ExEjista #SoccerLover</t>
  </si>
  <si>
    <t>Ryan George Sloggett</t>
  </si>
  <si>
    <t>Bournemouth, England</t>
  </si>
  <si>
    <t>WRITER CARS COMEDY FICTION OPINIONATED GINGER PERSON #BRINGBACKBAUER FIGHT FOR FRIENDS FILM ADDICT CHELSEA FC I ALWAYS WIN #BLACKSABBATH #OZZY #IRONMAN #007</t>
  </si>
  <si>
    <t>Jörg O.</t>
  </si>
  <si>
    <t>RT @ZDFheute: Kurz vor Ablauf des Ultimatums: #VW und die US-Behörden haben einen Kompromiss ausgehandelt. https://t.co/zOmYflBz4j</t>
  </si>
  <si>
    <t>Interessen:Mein Kater Pumuckl u meine Katze Frederike ;-) Musik, Filme, Natur, Literatur, Kino, ausgehen, kochen, schwimmen, Städtereisen, Politik, Geschichte,</t>
  </si>
  <si>
    <t>@Frontal21</t>
  </si>
  <si>
    <t>#Abgasskandal: #VW einigt sich mit US-Behörden auf Eckpunkte https://t.co/T3wvD9vf2B</t>
  </si>
  <si>
    <t>Wir sind das kritische Magazin im ZDF. Dienstag, ab 21:00 Uhr: Hier twittert die Redaktion.</t>
  </si>
  <si>
    <t>US-Kunden sollen wählen können: Reparatur oder Rückgabe der (geleasten) Dieselautos. Und in Europa? #dieselgate #vw</t>
  </si>
  <si>
    <t>kev_r_</t>
  </si>
  <si>
    <t>Pearl got her groove back 😎👊🚘 #stealth #stealthtuned #vw #volkswagen #polo #6r #gti #vagcars… https://t.co/FiM9VfmIEF</t>
  </si>
  <si>
    <t>Durban</t>
  </si>
  <si>
    <t>I am the stone that builder refused..I am the visual..The inspiration..That made lady sing the blues :'D</t>
  </si>
  <si>
    <t>Ángulo7 Noticias</t>
  </si>
  <si>
    <t>#VW dará 5 mil dólares por afectado de dieselgate en EU; en México sin acuerdo https://t.co/V3QFZo3ZeF</t>
  </si>
  <si>
    <t>Puebla</t>
  </si>
  <si>
    <t>Portal de noticias de Puebla, México y el mundo. Un nuevo ángulo de la noticia. Nuestra filosofía: Periodismo para construir en común. https://t.co/YH8jx9cg7b</t>
  </si>
  <si>
    <t>MATTHIAS</t>
  </si>
  <si>
    <t>lima</t>
  </si>
  <si>
    <t>inkapfad srl su agencia de viajes mgottsching@inkapfad.net</t>
  </si>
  <si>
    <t>RT @VolkerVotsmeier: VW-Anwalt Giuffra positiv: „Vereinbarung ist gut für die Kunden, gut für die Umwelt und gut für #VW“ https://t.co/TuGF…</t>
  </si>
  <si>
    <t>Jesús Larena</t>
  </si>
  <si>
    <t>#VW reaches #US deal in #emissions scandal - https://t.co/taJTHRdVvB</t>
  </si>
  <si>
    <t>Madrid (Spain)</t>
  </si>
  <si>
    <t>Periodista. Especialista en Comunicación Integral. Accionista y Director de Cuentas en Deva. Leer y tuitear a la vez no tiene precio. F1. MotoGP #STOPMOBBING</t>
  </si>
  <si>
    <t>Die Nachrichten</t>
  </si>
  <si>
    <t>Im #Abgasskandel handelt #VW mit den US-Behörden einen Kompromiss aus.https://t.co/Gp5cMWryT3</t>
  </si>
  <si>
    <t>Köln, Nordrhein-Westfalen</t>
  </si>
  <si>
    <t>Dies ist der offizielle Account der Nachrichten-Redaktion des Deutschlandfunks. Impressum: https://t.co/rsgf7kIUp6 Periscope @DLF24</t>
  </si>
  <si>
    <t>KCBS 106.9 FM/740 AM</t>
  </si>
  <si>
    <t>RT @BungerKCBS: More on #VW from @hollyquanKCBS who says deal is NOT final, judge orders further talks to be confidential</t>
  </si>
  <si>
    <t>SocialNewsDesk</t>
  </si>
  <si>
    <t>The Bay Area's only all news radio station. Local, national and world news 24/7, plus traffic and weather updates every 10 minutes 'on the eights.'</t>
  </si>
  <si>
    <t>Andreas Gust</t>
  </si>
  <si>
    <t>Nordlicht + FC Bayern Fan :-)</t>
  </si>
  <si>
    <t>Christoph Oppermann</t>
  </si>
  <si>
    <t>#VW einigt sich im #Abgas-Skandal mit #US-Behörden @goetageblatt https://t.co/Lms1a3sctK</t>
  </si>
  <si>
    <t>Niedersachsen</t>
  </si>
  <si>
    <t>Journalist. Stellv. Chefredakteur/Deputy Editor-in-Chief Göttinger Tageblatt/Eichsfelder Tageblatt. https://t.co/cWfKGDd1ej. Der Teufel steckt im Lokalteil.</t>
  </si>
  <si>
    <t>LDB Gruppe</t>
  </si>
  <si>
    <t>Goslarer Platz 8-9 I Berlin</t>
  </si>
  <si>
    <t>Customer Experience in allen Phasen des Customer Lifecycles. Marketing- und Kundenmanagement sowie Marktforschung.</t>
  </si>
  <si>
    <t>Sunset Volkswagen</t>
  </si>
  <si>
    <t>Will you look at this...the #Disney movie #Cars #VW Micro Bus in real life form!! https://t.co/pEf0KZxbtf</t>
  </si>
  <si>
    <t>5005 S. Tamiami Trail Sarasota</t>
  </si>
  <si>
    <t>New, Pre-Owned and Certified Pre-Owned Volkswagen Sales. Volkswagen Service, Parts and Accessories.</t>
  </si>
  <si>
    <t>US-Richter #Breyer hat kein Mitleid mit #VW-Anwälten: 24/7-Arbeit an Lösung sei das Mindeste. " Habe nichts anderes erwartet" #dieselgate</t>
  </si>
  <si>
    <t>Quantum Computator</t>
  </si>
  <si>
    <t>In a sane world, #VW would be rewarded for their innovation... https://t.co/usxEiIpsdd</t>
  </si>
  <si>
    <t>Father, Husband, Salesman Annoyed by many, offended by none</t>
  </si>
  <si>
    <t>Joseph Azam</t>
  </si>
  <si>
    <t>not confident that #vw will #buybackmytdi in a way that is satisfactory. court hearing 2day leaves room for doubt. again. #emissionsscandal</t>
  </si>
  <si>
    <t>anticorruption lawyer; tireless traveler; streetfood chaser; SVP @NewsCorp; deeds: @NYUKevo + @UCHastingsLaw; words: @SFChronicle + @Ethisphere + @LuckyPeach</t>
  </si>
  <si>
    <t>News UCanUse</t>
  </si>
  <si>
    <t>#VW to buy back faked emission cars in US. https://t.co/7noXdE6CtC</t>
  </si>
  <si>
    <t>USA!</t>
  </si>
  <si>
    <t>Zap Theology: Science friendly, Pro-Choice, supports LGBT rights including marriage. The Kingdom of Heaven is Here! http://t.co/C4niO07lCE</t>
  </si>
  <si>
    <t>Lash Volkswagen</t>
  </si>
  <si>
    <t>The only way to toast bread! #VW https://t.co/BMVyMn0sVG</t>
  </si>
  <si>
    <t>White Plains, NY</t>
  </si>
  <si>
    <t>We're a family owned and operated Volkswagen dealership in the White Plains, NY area. We're committed to provide our customers with excellent customer service.</t>
  </si>
  <si>
    <t>XZN Tools Set Mercedes VW Audi Volkswagen Volvo Auto Repair Tools https://t.co/jt4TOnhbVz via @eBay #vw #vwtool #tools #audi #auditool</t>
  </si>
  <si>
    <t>Tino</t>
  </si>
  <si>
    <t>Vermesser, Meister des Absurden und Zynischen Wortspiels. Wenn er denn die Klappe aufbekommt.</t>
  </si>
  <si>
    <t>Sandy.Tang</t>
  </si>
  <si>
    <t>Reporter&amp;Schriftsteller, @ShenYun fans, Natur, Musik, Tanz, Reise, Chinesisch, Geschichte, Literatur, Kultur, Menschenrechte</t>
  </si>
  <si>
    <t>#Frontal21-Interview mit US-Anwalt Michael Hausfeld wenige Tage vor der #VW-Einigung mit US-Behörden #abgasskandal https://t.co/nBWuiFdrLh</t>
  </si>
  <si>
    <t>tom_t</t>
  </si>
  <si>
    <t>Ob #VW seine Kunden in Europa genauso entschädigt wie in den USA? Oder ist man in Germany Kunde 2.Klasse? #dieselgate</t>
  </si>
  <si>
    <t>Mueller Motorwerks</t>
  </si>
  <si>
    <t>VW GTi getting track ready with a corner balance and alignment from us. #VW #Volkswagen #vwgolf #golfgti https://t.co/1exu2Ind6B</t>
  </si>
  <si>
    <t>Kohler, WI</t>
  </si>
  <si>
    <t>Mueller Motorwerks, LLC is an energetic company located in Kohler WI. MMW offers automotive OE and aftermarket parts and asscesories at an affordable price.</t>
  </si>
  <si>
    <t>Kay Abendroth</t>
  </si>
  <si>
    <t>Abgasskandal: Richter verkündet Einigung zwischen #VW und US-Behörden https://t.co/oobK7AQF9b</t>
  </si>
  <si>
    <t>Jena, Germany</t>
  </si>
  <si>
    <t>Journalist. OpenPGP key fingerprint: 6BAC FF2D C7B5 8FEF 7ED2 0A40 BA74 39A3 A259 BA8C.</t>
  </si>
  <si>
    <t>trend</t>
  </si>
  <si>
    <t>#VW einigt sich im Abgasskandal mit US-Behörden auf Eckpunkte | trend.at https://t.co/ngdXBXhjY6</t>
  </si>
  <si>
    <t>US-Richter #Breyer hält #VW weiter an kurzer Leine: Am 19.5. will er Status Report über Fortschritte der Detailverhandlungen #dieselgate</t>
  </si>
  <si>
    <t>Terry Bryant -Lawyer</t>
  </si>
  <si>
    <t>Today is the day #VW set to reveal deal on #Dieselgate #volkswagenscandal https://t.co/lhLv8IRE1d</t>
  </si>
  <si>
    <t>Houston Texas Personal Injury Lawyer</t>
  </si>
  <si>
    <t>Rodel Urmatan</t>
  </si>
  <si>
    <t>Holy mackerel! VW reaches US deal in emissions scandal. #vw #transparecy #sustainabilityreporting https://t.co/0zmDIA3lwm</t>
  </si>
  <si>
    <t>Copenhagen, Denmark</t>
  </si>
  <si>
    <t>UNOPS, Head of GRI Programme. Sustainability Professional, Environmentalist and Strategic Opportunist. A husband and father to Zoe and Missy. Tweets are mine.</t>
  </si>
  <si>
    <t>Andy H</t>
  </si>
  <si>
    <t>#Mitsubishi email received. Not UK vehicles. Not the same as #VW #fueleconomy https://t.co/XuABw6wQPZ</t>
  </si>
  <si>
    <t>W Yorks via Surrey UK</t>
  </si>
  <si>
    <t>Music Food Photography Sports Transfemoral Amputee ~ robot leg https://t.co/Jk1zdX4w5n Insta: YorkieAH</t>
  </si>
  <si>
    <t>Phil LeBeau</t>
  </si>
  <si>
    <t>Big question for roughly half million owners of #VW Diesel cars: What is "substantial compensation" for their particular model?</t>
  </si>
  <si>
    <t>Chicago</t>
  </si>
  <si>
    <t>Covering autos/airlines from Detroit to Japan to Europe for CNBC.</t>
  </si>
  <si>
    <t>Automotive News</t>
  </si>
  <si>
    <t>RT @Lebeaucarnews: Big question for roughly half million owners of #VW Diesel cars: What is "substantial compensation" for their particular…</t>
  </si>
  <si>
    <t>Detroit, MI</t>
  </si>
  <si>
    <t>The auto industry's leading business publication - award-winning coverage from boardroom to showroom. @First_Shift @AutoNewsTV @AutoNewsEurope @AutoNewsCanada</t>
  </si>
  <si>
    <t>David Merckel</t>
  </si>
  <si>
    <t>fitchburg ma</t>
  </si>
  <si>
    <t>Native new yorker trapped in new england . Help a brother out</t>
  </si>
  <si>
    <t>Check out XZN Tools Set Mercedes VW Volvo Auto Repair Tools https://t.co/jt4TOnhbVz via @eBay #auto #car #vw #tools #gm #chevy #ford #truck</t>
  </si>
  <si>
    <t>Emily Whittenburg</t>
  </si>
  <si>
    <t>Toot toot, beep beep. Prague explorations last summer 🙋🏼🚕🐯 • • • #prague #vw #praha #mint #toottootbeepbeep #dreami… https://t.co/zYjZEwJFr2</t>
  </si>
  <si>
    <t>A U S T I N • T X</t>
  </si>
  <si>
    <t>Magpie Fields | curious collection of fine goods</t>
  </si>
  <si>
    <t>Sandra Kirstein</t>
  </si>
  <si>
    <t>Abgas-Krise: #VW einigt sich im Abgas-Skandal mit US-Behörden | ZEIT ONLINE via @zeitonline https://t.co/Piyjj03xjh</t>
  </si>
  <si>
    <t>Frankfurt/Main</t>
  </si>
  <si>
    <t>Business Process Manager@Gauly | Dittrich | van de Weyer Asset Management</t>
  </si>
  <si>
    <t>Mike</t>
  </si>
  <si>
    <t>#dieselgate More waiting.. How much $! When?! Hurry up it's been 7 months! #buybackmytdi #VW #vwcares not https://t.co/5eIqMix8Kv</t>
  </si>
  <si>
    <t>DiePresse.com</t>
  </si>
  <si>
    <t>Abgasskandal: #VW einigt sich mit US-Behörden auf Eckpunkte. https://t.co/n1ZsDtZIaS</t>
  </si>
  <si>
    <t>Vienna</t>
  </si>
  <si>
    <t>Die Nachrichten von http://t.co/niY2rK4xF6 - Folgen Sie uns auch auf Facebook https://t.co/PZJG7gt87x</t>
  </si>
  <si>
    <t>Josh Hway</t>
  </si>
  <si>
    <t>Early mornings pay off. mnvwclub #vw #gti #golfr #mk1 #minnesota #minneapolis #joshhway… https://t.co/mlPn0aYC6I</t>
  </si>
  <si>
    <t>Minneapolis MN</t>
  </si>
  <si>
    <t>Minneapolis Automotive Commercial Photographer. I shoot cars in short.</t>
  </si>
  <si>
    <t>@ZDFheute USA freiwillig 5000$ - In Deutschland Verweigerung: Ein Tritt in die #Eier der deutschen #VW-Kunden. #Volkswagen #Betrug</t>
  </si>
  <si>
    <t>Geoffrey Smith</t>
  </si>
  <si>
    <t>#VW / #DoJ deal looks more like a few bullet points than a detailed formal settlement at first glance.</t>
  </si>
  <si>
    <t>News Editor for Europe at http://t.co/SpFX6QzdtG. My mind goes... sleepwalking while I'm putting the world to rights.</t>
  </si>
  <si>
    <t>Daniel Schwenger</t>
  </si>
  <si>
    <t>Einigung im #dieselgate in #usa wird teuer aber bringt Gewissheit. #vw Aktie entspannt sich @FAZ_Wirtschaft https://t.co/GphuVCmDo5</t>
  </si>
  <si>
    <t>Geneva/Switzerland</t>
  </si>
  <si>
    <t>Social Media Manager, Business #Journalist, #Media and 2.0 PR Expert. Covers #Trends in #DigitalMarketing, #SoMe #Campaigning and #Fintech</t>
  </si>
  <si>
    <t>Tobias Döring</t>
  </si>
  <si>
    <t>Essen/Düsseldorf</t>
  </si>
  <si>
    <t>Journalist am Newsdesk Unternehmen @Handelsblatt. Twittert über Luftfahrt, HB-News, #S04 und das schöne Ruhrgebiet. Meinung hier privat.</t>
  </si>
  <si>
    <t>upday Deutschland</t>
  </si>
  <si>
    <t xml:space="preserve"> ++ EIL: #VW und US-Behörden einigen sich im Abgas-Skandal https://t.co/jZXItuD8kM via @welt</t>
  </si>
  <si>
    <t>bei Google Play &amp; Galaxy Apps</t>
  </si>
  <si>
    <t>upday ist der neue personalisierte News-Service für dein Samsung Phone. Die Top-News gibt's auch hier bei Twitter. Hol dir die App: https://t.co/X2cYyVQIHL</t>
  </si>
  <si>
    <t>campustodayworld</t>
  </si>
  <si>
    <t>Cape Coast, Ghana</t>
  </si>
  <si>
    <t>JESUS CHRIST| ENTREPRENEUR| GOLDEN BEATS RADIO| MAN UTD| SHAKESPEARE | OMAR STERLING|</t>
  </si>
  <si>
    <t>Holger</t>
  </si>
  <si>
    <t>#VW muss in USA betrogene Kunden entschädigen In Deutschland gibt's Manager Boni Hallo #dobrindt ? https://t.co/sDDlUTt2cS</t>
  </si>
  <si>
    <t>Marburg, GE</t>
  </si>
  <si>
    <t>Zyniker sind verletzte Romantiker ( Voltaire )</t>
  </si>
  <si>
    <t>sonny bono</t>
  </si>
  <si>
    <t>Volkswagen Heads to Court Today over Emissions Cheating Scandal https://t.co/wSWU9OEmc5 #VW #losers #cheaters</t>
  </si>
  <si>
    <t>revolucion, popular culture, &amp; the isms that impact lxs xicanxs</t>
  </si>
  <si>
    <t>Old Fart</t>
  </si>
  <si>
    <t>Here and there</t>
  </si>
  <si>
    <t>Give me a break and don't bullshit. Mostly ranting about fucking stupid ads. Retweets are not necessarily an endorsement</t>
  </si>
  <si>
    <t>Hot Rides Daily</t>
  </si>
  <si>
    <t>Cruising down your Timeline with #HotRides Daily #CoolWhips #Cars #Trucks #SportsCars #RV #ClassicCars #ATV #Automobiles #MuscleCars #Vehicles</t>
  </si>
  <si>
    <t>Mufthammer</t>
  </si>
  <si>
    <t>RT @cyberdoc60: #VW muss in USA betrogene Kunden entschädigen In Deutschland gibt's Manager Boni Hallo #dobrindt ? https://t.co/sDDlUT…</t>
  </si>
  <si>
    <t>Die Physik macht es nicht unmöglich an Gott zu glauben, sondern ermöglicht vielmehr, nicht an Gott zu glauben Steven Weinberg #Laizismus</t>
  </si>
  <si>
    <t>eBay: 2001 VOLKSWAGEN BEETLE 1.6 https://t.co/cTPY3gmLPI #vwbeetle #vwbug #vw https://t.co/xvfL74PTgl https://t.co/n2OXDy5IQi</t>
  </si>
  <si>
    <t>eBay: 2008 (08) VOLKSWAGEN BEETLE 1.4 Luna https://t.co/dHl1csktIw #vwbeetle #vwbug #vw https://t.co/xvfL74PTgl https://t.co/Yf8EHpSYu6</t>
  </si>
  <si>
    <t>KW Insurance</t>
  </si>
  <si>
    <t>#VW fooled DMVs with #emissions scandal — maybe it's time for tougher air tests: https://t.co/cMXFYA7Pwt via @PC_360 https://t.co/DmChAPJplX</t>
  </si>
  <si>
    <t>Cambridge, Dedham</t>
  </si>
  <si>
    <t>We’re in your corner. Call us and let's talk about the best insurance coverage for you. #KWsays // D: 781-751-9080 // C: 617.492.4150</t>
  </si>
  <si>
    <t>Social Autos™</t>
  </si>
  <si>
    <t>Explore #VW Social Media @SocialNewsCorp via #Twitter Facebook and Google! https://t.co/pzMqGFU8ML</t>
  </si>
  <si>
    <t>Paper.li</t>
  </si>
  <si>
    <t>#automobile #social #media</t>
  </si>
  <si>
    <t>Via @SocialNewsCorp #Auto #Ford #Chevrolet #Dodge #VW #BMW #MercedesBenz #Toyota #Ferrari #Audi #Volvo #Jaguar #Porsche #Nissan #Mazda #AstinMartin #insurance</t>
  </si>
  <si>
    <t>Randy Smith</t>
  </si>
  <si>
    <t>@ABC where's my check. #VW</t>
  </si>
  <si>
    <t>Breyer "extremely pleased" with framework of #VW deal. We'll withhold judgement until details announced. @uspirg https://t.co/GeCJtp7lnf</t>
  </si>
  <si>
    <t>DW - Business</t>
  </si>
  <si>
    <t>#BREAKING #VW reaches settlement in US #Dieselgate case, offers owners "substantial compensation" or buyback. https://t.co/yYWyDRKA3P</t>
  </si>
  <si>
    <t>Business news, features &amp; analysis by Deutsche Welle. Home of #BusinessBrief, Made in Germany (#DW_MiG), Global 3000 (#Global3000) &amp; @dw_globalideas.</t>
  </si>
  <si>
    <t>DonohooAuto</t>
  </si>
  <si>
    <t>Have a diesel Jetta, Golf or A3? Buyback expected: https://t.co/BbcDzcfvA6 #VW #Audi</t>
  </si>
  <si>
    <t>Pelham, AL</t>
  </si>
  <si>
    <t>We specialize in late model import cars, minivans, SUVs and trucks.</t>
  </si>
  <si>
    <t>Don Stewart</t>
  </si>
  <si>
    <t>It's #NationalSurpriseDrugTestDay! No problem - I've been studying. #Rx #VW https://t.co/h2sUzEpfpf https://t.co/S5WtPw5WyK</t>
  </si>
  <si>
    <t>Birmingham, Alabama, USA</t>
  </si>
  <si>
    <t>Don Stewart left the hospital just in time to avoid a lucrative career in #medicine. The #ballpoint #artist limits his practice to disorders of the funny bone.</t>
  </si>
  <si>
    <t>RT @dw_business: #BREAKING #VW reaches settlement in US #Dieselgate case, offers owners "substantial compensation" or buyback. https://t.co…</t>
  </si>
  <si>
    <t>•Flakiita•</t>
  </si>
  <si>
    <t>Al fin te tenemos 👏👏 #Fox #VW de a poquito a ponerte lindo 😍</t>
  </si>
  <si>
    <t>Face: Evee Naveyraa Snap: eveenaveyraa Instagram: evee_naveyraa</t>
  </si>
  <si>
    <t>Road &amp; Track</t>
  </si>
  <si>
    <t>#VW agrees to buy back U.S. vehicles affected by #TDI emissions cheat and compensate owners https://t.co/3gkoWd4utf https://t.co/ADBryXcrBw</t>
  </si>
  <si>
    <t>Ann Arbor, MI / New York, NY</t>
  </si>
  <si>
    <t>Official tweets from Road &amp; Track, the car magazine for those who see beyond the numbers. News, reviews, photos, videos, and more.</t>
  </si>
  <si>
    <t>Nochex</t>
  </si>
  <si>
    <t>#VW to offer "substantial payout" to car owners and buy-back in US deal over #emissions #cheat #scandal https://t.co/grixN1UM3p</t>
  </si>
  <si>
    <t>Yorkshire, UK</t>
  </si>
  <si>
    <t>The official account of Nochex Online Payment Services. Follow for news from us, our merchants and the small business community.</t>
  </si>
  <si>
    <t>KPRC 2 Houston</t>
  </si>
  <si>
    <t>#BREAKING: Judge orders that #VW owners get option of buybacks, fixes. https://t.co/yvfQPVPxzB https://t.co/brQA4yS4xr</t>
  </si>
  <si>
    <t>Houston, TX</t>
  </si>
  <si>
    <t>NBC TV affiliate and local news station in #Houston. #BreakingNews #HoustonWeather #KPRC2 | Follow more KPRC reporters: https://t.co/JAXNTw83eB</t>
  </si>
  <si>
    <t>KARLO</t>
  </si>
  <si>
    <t>#VW diesel scandal decision https://t.co/wAdVZNVyOi $10B compensation but gag order &amp; no real details till Jun 21 🤐 I wonder what I'll get 🤔</t>
  </si>
  <si>
    <t>I Play With Toys :P Vine @OLRAK - Instagram @k01001100 - YouTube @Karlosun - Periscope @OLRAK</t>
  </si>
  <si>
    <t>Wiener Zeitung</t>
  </si>
  <si>
    <t>#VW einigt sich im mit US-Behörden, Einigung umfasst Rückkäufe, Reparaturen, Entschädigungen und Umweltfonds. https://t.co/Qb2PM9NQNg</t>
  </si>
  <si>
    <t xml:space="preserve">Wien  </t>
  </si>
  <si>
    <t>Internationale Tageszeitung aus Wien. Zusammenhänge verstehen. Seit 1703.</t>
  </si>
  <si>
    <t>#VW einigt sich mit #US-Behörden. @BILD exklusiv:So lief der Deal! Boss Müller war nicht mit in den USA https://t.co/eJ22pctP8I #dieselgate</t>
  </si>
  <si>
    <t>Michael Mauthner</t>
  </si>
  <si>
    <t>RT @WienerZeitung: #VW einigt sich im mit US-Behörden, Einigung umfasst Rückkäufe, Reparaturen, Entschädigungen und Umweltfonds. https://t…</t>
  </si>
  <si>
    <t>Abgas-Skandal: US-Richter verkündet Einigung mit #VW https://t.co/lgGf51YBPo</t>
  </si>
  <si>
    <t>South Motors VW</t>
  </si>
  <si>
    <t>56.1 cu. ft. = a 2016 #VW #Tiguan's cargo space. That's like 10 sleds, 1 mini fridge, or a birthdayful of balloons. https://t.co/pGgW0X6Tl8</t>
  </si>
  <si>
    <t>Cision Social Edition</t>
  </si>
  <si>
    <t>Miami, FL</t>
  </si>
  <si>
    <t>Your Miami, Florida Volkswagen dealer. Have any questions, comments, or concerns? Feel free to call us at (305) 256-2200, or through social media.</t>
  </si>
  <si>
    <t>Niki T</t>
  </si>
  <si>
    <t>Wish I could get rid of my @VW Jetta... Death trap. Good luck to those #VW owners that may get reimbursed for #volkswagenscandal 👏🏾👏🏾👏🏾</t>
  </si>
  <si>
    <t>Chicago, IL</t>
  </si>
  <si>
    <t>#Educator #BretHarteCPS #DeltaSigmaTheta #FitBit #TrackandField #TeamNatural #Chicago #myGodisGreat</t>
  </si>
  <si>
    <t>X3M.F Exmovere GDR</t>
  </si>
  <si>
    <t>RT ZDFheute: #Abgasskandal: Einigung zwischen #VW und US-Behörden. Gleich mehr auf heute.de</t>
  </si>
  <si>
    <t>Depositary receipt program for X3M.F</t>
  </si>
  <si>
    <t>MoneyLocation</t>
  </si>
  <si>
    <t>#VW reaches US deal in emissions #scandal https://t.co/3rNET7meYO</t>
  </si>
  <si>
    <t>London, Cardiff, Geneva, Dubai</t>
  </si>
  <si>
    <t>#Mortgages #LifeAssurance #Investments</t>
  </si>
  <si>
    <t>RT ZDFheute: Kurz vor Ablauf des Ultimatums: #VW und die US-Behörden haben einen Kompromiss ausgehandelt. https://t.co/CrQn0GsMfe</t>
  </si>
  <si>
    <t>That is, #VW will either buy back or fix 2-liter cars. Drivers have up to 2 years to choose. Some cash compensation also possible 1/2.</t>
  </si>
  <si>
    <t>Nach Status-Konferenz in Frisco gibt es morgen früh meinen Statusreport zu #vw und #dieselgate im #ard-Morgenmagazin</t>
  </si>
  <si>
    <t>Kage 影 (21+)</t>
  </si>
  <si>
    <t>#VW owners will be offered a buyback for the diesel emissions offending vehicles.</t>
  </si>
  <si>
    <t>Life in the Kage...</t>
  </si>
  <si>
    <t>TDG</t>
  </si>
  <si>
    <t>Volkswagen reaches major settlement Re diesel deal https://t.co/mivc1qKZEE via @usatoday #vwdiesel #vw</t>
  </si>
  <si>
    <t>Random neural firings. I love New York Values.</t>
  </si>
  <si>
    <t>Ray Panneton</t>
  </si>
  <si>
    <t>RT @KPRC2: #BREAKING: Judge orders that #VW owners get option of buybacks, fixes. https://t.co/yvfQPVPxzB https://t.co/brQA4yS4xr</t>
  </si>
  <si>
    <t>Husband | Attorney | Editor of #TheAffiliate for the ABA YLD | #SicEm | Tweets are not intended to be legal advice and RTs do not constitute endorsement.</t>
  </si>
  <si>
    <t>RT @MiManske: #VW einigt sich mit #US-Behörden. @BILD exklusiv:So lief der Deal! Boss Müller war nicht mit in den USA https://t.co/eJ22pctP…</t>
  </si>
  <si>
    <t>My Safety First</t>
  </si>
  <si>
    <t>”My Safety First...” Self Protection &amp; NCSF Personal Trainer. Shotokan black belt. Healthcare Finance Professional. 2016 Texans Cheerleaders Tryouts Judge.</t>
  </si>
  <si>
    <t>970 WFLA</t>
  </si>
  <si>
    <t>BREAKING NEWS: #VW reaches deal on emissions cheating scandal which includes buybacks, compensation @FoxNews https://t.co/XS3yzRkaBi</t>
  </si>
  <si>
    <t>Tampa Bay's News, Traffic &amp; Weather Station!</t>
  </si>
  <si>
    <t>RT @RoadandTrack: #VW agrees to buy back U.S. vehicles affected by #TDI emissions cheat and compensate owners https://t.co/3gkoWd4utf https…</t>
  </si>
  <si>
    <t>Gavino Garay</t>
  </si>
  <si>
    <t>#VW expected to buy back 500,000 U.S. #diesel cars https://t.co/i5JBA9DtBT #buyback</t>
  </si>
  <si>
    <t>Washington, D.C.</t>
  </si>
  <si>
    <t>Politics, showbiz, hard news and more. Journalist @Reuters. @BARDcollege alum. @UWCadriatic alum. All views are my own.</t>
  </si>
  <si>
    <t>Zoek een zzp'er</t>
  </si>
  <si>
    <t>Wil jij als #vakman in de #bouw kans maken op een #VW Transporter? Meld je dan nu snel aan voor een Pro Account: https://t.co/xIQqznMOuo</t>
  </si>
  <si>
    <t>Biznizmedia</t>
  </si>
  <si>
    <t>Heel Nederland</t>
  </si>
  <si>
    <t>Zoek een zzp'er is een initiatief van http://t.co/Edws7A1fnI. Ben jij op zoek naar een zzp'er in de bouw? Bezoek dan http://t.co/5TTmZ6YuNk en vind iemand!</t>
  </si>
  <si>
    <t>keith, just keith</t>
  </si>
  <si>
    <t>A guy...just a guy... wait, not that guy... but the other guy.</t>
  </si>
  <si>
    <t>Military AutoSource</t>
  </si>
  <si>
    <t>Get a Brand New 2017 Volkswagen at 2016 Pricing! https://t.co/3SGS9zlAoG #MilitaryDiscount #VW https://t.co/ehUoCAMAyL</t>
  </si>
  <si>
    <t>Provides new U.S. spec. vehicles to the military/diplomatic communities stationed overseas. Offers access to exclusive savings &amp; benefits not offered elsewhere!</t>
  </si>
  <si>
    <t>Get a Brand New 2017 Volkswagen at 2016 Pricing! https://t.co/9D5qG6gshg #MilitaryDiscount #VW https://t.co/RmMTdUBXLS</t>
  </si>
  <si>
    <t>Woodbury NY</t>
  </si>
  <si>
    <t>ENCS is now @MilitaryAutoSrc! Follow our new page for updates on overseas Military benefits &amp; savings!</t>
  </si>
  <si>
    <t>The Highway Monitor</t>
  </si>
  <si>
    <t>RT @970wfla: BREAKING NEWS: #VW reaches deal on emissions cheating scandal which includes buybacks, compensation @FoxNews https://t.co/XS3y…</t>
  </si>
  <si>
    <t>(FL) I-75 Updates</t>
  </si>
  <si>
    <t>This feed provides timely #interstate #traffic info &amp; RT's for I-75 in #FL. Pre-plan your trip or use a text reader on the go. Stop Distracted Driving!</t>
  </si>
  <si>
    <t>Tillamook Coast</t>
  </si>
  <si>
    <t>Moon's up, Tune's up | #tillamookcoast #beach #vw https://t.co/VVTMRgVGXa</t>
  </si>
  <si>
    <t>Oregon</t>
  </si>
  <si>
    <t>The unspoiled beauty of Oregon's Tillamook Coast. Hike, surf, kayak, fish, clam, crab, splash, wander in our rare, undiscovered paradise.</t>
  </si>
  <si>
    <t>Philippe LEVIEZ</t>
  </si>
  <si>
    <t>En @MeyersManx #Manxter aux environs de #Bordeaux #DriveTastefully #vw #aircooled https://t.co/oEXU7fwj8S</t>
  </si>
  <si>
    <t>Bordeaux, France</t>
  </si>
  <si>
    <t>IT Technologies à Bordeaux - vintage cars #oldtimer #porsche #vw vieilles pierres #mediasociaux #blogging</t>
  </si>
  <si>
    <t>Tweetbot for Mac</t>
  </si>
  <si>
    <t>California PIRG</t>
  </si>
  <si>
    <t>RT @emilyrusch: Breyer "extremely pleased" with framework of #VW deal. We'll withhold judgement until details announced. @uspirg https://t.…</t>
  </si>
  <si>
    <t>CALPIRG takes on powerful interests on behalf of Californians, working to win concrete results for our democracy and our well-being.</t>
  </si>
  <si>
    <t>Diiego Guzman</t>
  </si>
  <si>
    <t>La golera recién salida de la ducha #VW #Nave https://t.co/6wxhaGbv4g</t>
  </si>
  <si>
    <t>Glew, Zona Sur, Bs As, Arg</t>
  </si>
  <si>
    <t>18/03 Ni un momento, ni la eternidad. Esto va más allá</t>
  </si>
  <si>
    <t>eBay: 2014 VOLKSWAGEN TRANSPORTER T5 102PS… https://t.co/hLLleb7K06 #vwcamper #vwbus #vw https://t.co/ZEadscsjBy https://t.co/7YoMPXlIZE</t>
  </si>
  <si>
    <t>Harry Smith</t>
  </si>
  <si>
    <t xml:space="preserve">Westminster </t>
  </si>
  <si>
    <t>Westminster Correspondent for STV. Also report for Ch4 ,ITV and Aljazeera. Re-tweets not endorsements.etc. Don't waste your time trying to shoot the messenger.</t>
  </si>
  <si>
    <t>MDR aktuell</t>
  </si>
  <si>
    <t>So sieht die Einigung zwischen #VW und den US-Behörden im #Abgasskandal aus: https://t.co/bmAu2kfZBq https://t.co/3yAd0IJLfV</t>
  </si>
  <si>
    <t>Hier twittern die Nachrichtenredaktionen von MDR aktuell und MDR.DE. Impressum: http://t.co/12oSTa6568</t>
  </si>
  <si>
    <t>Braunschweig Verkehr</t>
  </si>
  <si>
    <t>USA 5000$ - In Deutschland feuchter Händedruck: Ein Tritt in die #Eier deutscher #VW-Kunden. #Volkswagen #Dieselgate https://t.co/atD1MfaQRd</t>
  </si>
  <si>
    <t>BRAUNSCHWEIGER VERKEHRSINFO Portal, Blog und Foren für alle Verkehrsbereiche in der Region Braunschweig - privat als Freizeitprojekt des Anbieters betrieben</t>
  </si>
  <si>
    <t>Mimosa416-K</t>
  </si>
  <si>
    <t>東京</t>
  </si>
  <si>
    <t>ワインが好きなシニア。東京在住。ますます右傾化する日本の現状には大いに危機感を持っている。時々呟き、飛び交う玉石混淆の情報や意見の中から真偽を見定めながら、フォローやRTしていきたい。</t>
  </si>
  <si>
    <t>Mohamed AGNESS</t>
  </si>
  <si>
    <t>#VW, Justice Department reach diesel emissions deal https://t.co/egZUnWOkfn #business</t>
  </si>
  <si>
    <t>Riyadh</t>
  </si>
  <si>
    <t>Provide leadership and strategic vision to technology, business, and financial operations, significantly improving performance on all levels.</t>
  </si>
  <si>
    <t>White Rock VW</t>
  </si>
  <si>
    <t>A #VW #Beetle suited for #NationalTeaDay https://t.co/U5DLoAaxoS</t>
  </si>
  <si>
    <t>White Rock, BC</t>
  </si>
  <si>
    <t>Welcome to White Rock Volkswagen! Learn more about us on Facebook: https://t.co/e1jqr9mF7H &amp; Instagram: @whiterockvw</t>
  </si>
  <si>
    <t>WAPA</t>
  </si>
  <si>
    <t>Getting ready for the 2016 #WAPA and #VW event at the Four Seasons in Georgetown! https://t.co/xiLHD4GBmT</t>
  </si>
  <si>
    <t>The Washington Automotive Press Association is the professional group for DC-area auto journalists. Register for the 2015 #WAPARally: http://t.co/hn3JsYsPme.</t>
  </si>
  <si>
    <t>MDR INFO</t>
  </si>
  <si>
    <t>RT @MDRaktuell: So sieht die Einigung zwischen #VW und den US-Behörden im #Abgasskandal aus: https://t.co/bmAu2kfZBq https://t.co/3yAd0IJLfV</t>
  </si>
  <si>
    <t>Halle, Deutschland</t>
  </si>
  <si>
    <t>Wir sind das MDR-Nachrichtenradio und die ARD-Infonacht. Informationen rund um die Uhr. | Impressum: http://t.co/cdMH83stSa Datenschutz: http://t.co/DxMN2K5L3O</t>
  </si>
  <si>
    <t>RT @VCDeV: #VW einigt sich mit US-Behörden auf Entschädigung im #Abgasskandal. Und was ist mit #EU? https://t.co/1erqFLSmAe https://t.co/cS…</t>
  </si>
  <si>
    <t>Looks like she'll get her wish as #VW agrees to massive buyback program in preliminary deal. @hollyquanKCBS photo https://t.co/wQocVYiOER</t>
  </si>
  <si>
    <t>Thomas T. B.</t>
  </si>
  <si>
    <t>Hochsauerland</t>
  </si>
  <si>
    <t>GPG-Schlüsselkennung: 0x0A8786E5</t>
  </si>
  <si>
    <t>RT @BungerKCBS: Looks like she'll get her wish as #VW agrees to massive buyback program in preliminary deal. @hollyquanKCBS photo https://t…</t>
  </si>
  <si>
    <t>Lorenz Gösta Beutin</t>
  </si>
  <si>
    <t>@TS_Palm @SPIEGELONLINE Oha. Rache für #VW? Kriegszustand schon erklärt?</t>
  </si>
  <si>
    <t>Kiel</t>
  </si>
  <si>
    <t>Historiker, Landessprecher DIE LINKE. Schleswig-Holstein</t>
  </si>
  <si>
    <t>Hach wie schön 😃 #käfer #vw #volkswagen #keindiesel #beetle #newbeetle #oldbeetle #auto #automobile #car #carlove … https://t.co/rJHvZxkWoA</t>
  </si>
  <si>
    <t>Craig Snider</t>
  </si>
  <si>
    <t>#VW sells dirty, highly polluting vehicles for 10 years, and has to compensate...the people driving them? #ImbreathingVW</t>
  </si>
  <si>
    <t>Expat, investor, adventurer. Tweeter of all the social commentary/piss-taking that goes with each. All views my own.</t>
  </si>
  <si>
    <t>Für #VW dürfte es teuer werden – der Konzern hat sich mit den Behörden im #dieselgate geeinigt: https://t.co/PH5gJdOa2M</t>
  </si>
  <si>
    <t>Anthony Reeve</t>
  </si>
  <si>
    <t>. @BBCBreaking @BBCNews but what are they doing for UK owners #cheatco #vw</t>
  </si>
  <si>
    <t>Durham, London, Caversham</t>
  </si>
  <si>
    <t>A. R. W.</t>
  </si>
  <si>
    <t>RT @tillamookcoast: Moon's up, Tune's up | #tillamookcoast #beach #vw https://t.co/VVTMRgVGXa</t>
  </si>
  <si>
    <t>Just a small town gal with aspirations who likes coffee. Oregon Gothic.</t>
  </si>
  <si>
    <t>Herr_Nachbar</t>
  </si>
  <si>
    <t>open your mind</t>
  </si>
  <si>
    <t>Abgasaffäre: Einigung zwischen VW und US-Behörden https://t.co/N7Nz2yAe5i #VW</t>
  </si>
  <si>
    <t>Marcus Jung</t>
  </si>
  <si>
    <t>RT @faznet: Für #VW dürfte es teuer werden – der Konzern hat sich mit den Behörden im #dieselgate geeinigt: https://t.co/PH5gJdOa2M</t>
  </si>
  <si>
    <t xml:space="preserve">Köln. Wiesbaden. </t>
  </si>
  <si>
    <t>Redakteur Recht/Steuern @ImmoZeitung. Jurist. Schreibt zu Wirtschaft, Banken, Digitales, UK/Eire. Früher @juvenachrichten @merkurstadt. Privater Account. #ddj</t>
  </si>
  <si>
    <t>Manicro</t>
  </si>
  <si>
    <t>City of Love</t>
  </si>
  <si>
    <t>Because Love is all we need, Love conquers all. The greatest of all virtues is Love. Salutations to all the good people out there. God loves you too.</t>
  </si>
  <si>
    <t>Roberta Gonzales</t>
  </si>
  <si>
    <t>San Franciscoo</t>
  </si>
  <si>
    <t>Weather Anchor/Reporter KPIX 5 TV and KCBS Radio; NHL San Jose Sharks Fan, MLB Fanatic! Marathon Runner and Ironman. Lover of Local Music and the Raiders!</t>
  </si>
  <si>
    <t>Teen VS Granny #mk1 #volkswagen #vw #vwgolf #golf #golf1 #golfmk1 #mk1golf #burnallthemk1s #golf1 by roland_culey https://t.co/e05PvWWovt</t>
  </si>
  <si>
    <t>Almost everything has been done! #mk1golf #vw #golf #mk1 #classic #sun #summer #red #vintage #retro by georgetclark… https://t.co/YMeu2w9kh7</t>
  </si>
  <si>
    <t>Smoking custom MK1 Golf #vw #vwgolf #vwgolfmk1 #mk1golf #vwclub #mk1golfownersclub #quantumtuning #stage2 #remap #… https://t.co/pBZhjsR2lk</t>
  </si>
  <si>
    <t>#vw #vwgolf #vwlove #vwgolfgti #golfgti #mk1golf #gti #hothatch #retro #retroscenes #retrocarsdaily #ohsoretroevent… https://t.co/Mhkpm1mpi8</t>
  </si>
  <si>
    <t>Stefan Heinrich</t>
  </si>
  <si>
    <t>RT @Geoffreytsmith: That is, #VW will either buy back or fix 2-liter cars. Drivers have up to 2 years to choose. Some cash compensation al…</t>
  </si>
  <si>
    <t>ex financial journo now press flak</t>
  </si>
  <si>
    <t>The Martec Group</t>
  </si>
  <si>
    <t>#VW Agrees to Set Aside $10 Billion to Resolve Claims https://t.co/MVTInqCg3D</t>
  </si>
  <si>
    <t>Martec is a global #marketresearch #mrx firm covering tech, automotive, chemical, energy, food and industrial news and forecasts.</t>
  </si>
  <si>
    <t>FableMotionPictures</t>
  </si>
  <si>
    <t>RT @PerfectHostFilm: EXT. ALLEN HOUSE - DAY #ThePerfectHost #IndieFilm #VW #TheAllenHouse @ The Allen House https://t.co/FZlN3N4el3</t>
  </si>
  <si>
    <t>Kingsland, AR</t>
  </si>
  <si>
    <t>Fabled Motion Pictures is a film production company that focuses primarily on material about the American south.</t>
  </si>
  <si>
    <t>Brad Lee Bone</t>
  </si>
  <si>
    <t>Be kind to one another. #NSFW (18+ only). #TWD #Bolts #Bucs #Rays #Rap #AFF #Nowwatching: [Insert ANY Movie Title Here]. Seriously I love movies.</t>
  </si>
  <si>
    <t>WooHoo!!! First event booked in... Details to follow... 😃👍 #VW #camper #coffee #smoothies #SoYa</t>
  </si>
  <si>
    <t>Adriana Zamora</t>
  </si>
  <si>
    <t>Costa Rica</t>
  </si>
  <si>
    <t>Abogada, interesada en el derecho comercial, Unión Europea, automoviles, idiomas, and a total foodie:). Entrepreneur in progress</t>
  </si>
  <si>
    <t>Jürgen Bauer</t>
  </si>
  <si>
    <t>Ungewöhnlich viel Glück, vorerst ++ Dieselgate im #Liveblog ++ : #VW einigt sich mit #US-Behörden – und gewinnt Zeit https://t.co/Q3bauPYPj2</t>
  </si>
  <si>
    <t>Nürnberg</t>
  </si>
  <si>
    <t>Privat wie beruflich mit Interesse für Menschen, soziale Kompetenz der Wert unserer Zeit, Betriebsrat, Arbeitssicherheit, Politik (parteilos).</t>
  </si>
  <si>
    <t>Jayleen Heft</t>
  </si>
  <si>
    <t>Ouch! $10 billion is a lot of dough. #VW #settlement https://t.co/DW3rXuwnKA</t>
  </si>
  <si>
    <t>Colorado</t>
  </si>
  <si>
    <t>Digital Content Editor http://t.co/ur6Bab9oh1</t>
  </si>
  <si>
    <t>DW | Wirtschaft</t>
  </si>
  <si>
    <t>Tja, #VW, das war knapp! #dieselgate Vorläufige Einigung in allerletzter Minute https://t.co/uTGWL1DPTv</t>
  </si>
  <si>
    <t>Bonn &amp; Berlin</t>
  </si>
  <si>
    <t>Wirtschafts-News, Analysen und Hintergründe von der Deutschen Welle. Auch Wirtschaft kompakt (#wiko), Made in Germany (#DW_MiG), #Global3000 und @dw_globalideas</t>
  </si>
  <si>
    <t>Victoria Harmon</t>
  </si>
  <si>
    <t>Lying doesn't pay! #VW to buyback cars as reaches deal with U.S. authorities over diesel emissions scandal https://t.co/JcqHOtcVHj via @WSJ</t>
  </si>
  <si>
    <t>I communicate, love politics, green and renewable energy, sports, travel and uncovering hypocrisy. My opinions are my very own.</t>
  </si>
  <si>
    <t>Felix Chan</t>
  </si>
  <si>
    <t>The settlement is happening with the #vw #diesel scandal. Buyback coming soon...- https://t.co/rl8WqM6nRF</t>
  </si>
  <si>
    <t>Fenix for Android</t>
  </si>
  <si>
    <t>San Diego, CA</t>
  </si>
  <si>
    <t>Project Manager. Tech guru. #Android hacker. #socialmedia junkie. Nomophobic geek. Car enthusiast. Wannabe food aficionado. New venture follower.</t>
  </si>
  <si>
    <t>RT @oldcar_photo: Hach wie schön 😃 #käfer #vw #volkswagen #keindiesel #beetle #newbeetle #oldbeetle #auto #automobile #car #carlove … http…</t>
  </si>
  <si>
    <t>liebes engelchen</t>
  </si>
  <si>
    <t>Squawk on the Street</t>
  </si>
  <si>
    <t>NYSE</t>
  </si>
  <si>
    <t>CNBC's Squawk on the Street, 9a to 11a ET.</t>
  </si>
  <si>
    <t>CluhCh</t>
  </si>
  <si>
    <t>CluhCh has been helping people get the fairest price on their next vehicle by using CluhCh's unique ability to comparison shop.</t>
  </si>
  <si>
    <t>Allen Adamson</t>
  </si>
  <si>
    <t>#VW should have offered to buy back cars on day one. This is too late to prevent brand damage. https://t.co/VzFhza0kzn via @WSJ</t>
  </si>
  <si>
    <t xml:space="preserve">NYC </t>
  </si>
  <si>
    <t>Author of BrandSimple, BrandDigital and The Edge: 50 Tips from Brands that Lead, Forbes blogger. Industry expert in all disciplines of branding and marketing.</t>
  </si>
  <si>
    <t>Betty</t>
  </si>
  <si>
    <t>RT @reeve_anthony: . @BBCBreaking @BBCNews but what are they doing for UK owners #cheatco #vw</t>
  </si>
  <si>
    <t>SmoothblinkHostPost1</t>
  </si>
  <si>
    <t>http://t.co/0aZZqcORSc</t>
  </si>
  <si>
    <t>Adéle C Wangson</t>
  </si>
  <si>
    <t>#VW will pay "substantial compensation"&amp;buy back cars in US as part of a deal to settle the diesel emissions scandal https://t.co/euQNt2Gt70</t>
  </si>
  <si>
    <t xml:space="preserve">Roma </t>
  </si>
  <si>
    <t>Auch betroffene VW-Kunden in Deutschland erwarten unkomplizierte Lösung #VW @vzbv @Klaus_Mueller https://t.co/jTnvRgUTPy via @SPIEGELONLINE</t>
  </si>
  <si>
    <t xml:space="preserve"> +++Exklusiv: #VW verhandelte ohne Boss Müller in den USA: https://t.co/JX2cSsH4IO @BILD #dieselgate</t>
  </si>
  <si>
    <t>RT @franka_kuehn: Auch betroffene VW-Kunden in Deutschland erwarten unkomplizierte Lösung #VW @vzbv @Klaus_Mueller https://t.co/jTnvRgUTPy…</t>
  </si>
  <si>
    <t>Carrie Hearne</t>
  </si>
  <si>
    <t>.@VW to Pay at Least $10 Billion as US Diesel Deal Reached. @TheJusticeDept investigation continues https://t.co/lnrJ7nhHLd #vw #dieselgate</t>
  </si>
  <si>
    <t>Sustainability strategist. Passionate about climate, clean energy, social justice. Board Dir w/ @NWEarth, @ORSierraClub. #WV native. Tweets = my own views.</t>
  </si>
  <si>
    <t>Justus Römeth</t>
  </si>
  <si>
    <t>RT @carrieella: .@VW to Pay at Least $10 Billion as US Diesel Deal Reached. @TheJusticeDept investigation continues https://t.co/lnrJ7nhHLd…</t>
  </si>
  <si>
    <t>Etterbeek, België</t>
  </si>
  <si>
    <t>EP Assistant in BXL at @senficon's office, European pirate, #hannoverliebt, multilingual tweets about all kinds of stuff like #w40k #h96 #rar</t>
  </si>
  <si>
    <t>eBay: vivaro camper lwb not vw transporter https://t.co/8TT56e9rOP #vwcamper #vwbus #vw https://t.co/ZEadscsjBy https://t.co/j2XUzfxhka</t>
  </si>
  <si>
    <t>De Lausert</t>
  </si>
  <si>
    <t>middle-aged cross-cultural independent impartial incorruptible down-to-earth unworried convinced European</t>
  </si>
  <si>
    <t>FanCar Picture - Send me your Scirocco pictures!!! (PM Please) #VW #Volkswagen #Scirocco #Tuning https://t.co/m1B7YpmcBK</t>
  </si>
  <si>
    <t>#Dax: #VW legt zu ++ #Vonovia schwach ++ #Eon und #RWE ziehen an ++ #Deutsche #Bank klettert ++ Dax zaghaft im Plus https://t.co/K7gwUXhLr7</t>
  </si>
  <si>
    <t>Dillon</t>
  </si>
  <si>
    <t>Again European leaders not worth anything fighting 4 citizens,VW compensating in D U.S,nothing in Europe, same reason we overpay 4 goods #VW</t>
  </si>
  <si>
    <t>Chilled ★</t>
  </si>
  <si>
    <t>. @vw #GolfR at the @WashAutoPress and #VW Safety and Technology event! https://t.co/UdjSrjILx6</t>
  </si>
  <si>
    <t>gisela Boezio</t>
  </si>
  <si>
    <t>RT @tagesschau: Abgasaffäre: Einigung zwischen VW und US-Behörden https://t.co/N7Nz2yAe5i #VW</t>
  </si>
  <si>
    <t>Christliches 'Comite N.S. da Conceicao' Im Einklang mit Papst Franziskus! Ave</t>
  </si>
  <si>
    <t>Hamdi PINAR</t>
  </si>
  <si>
    <t>Amerika örneği TR için de emsal olmalı: 5000(beşbin)$ tazminat ve ücretsiz motorun yakıt sisteminin düzeltilmesi gerekli..#VW</t>
  </si>
  <si>
    <t>Ankara</t>
  </si>
  <si>
    <t>MPI, LMU (Munich), Bilkent Faculty of Law (Juristische Fakultaet - Hukuk Fakültesi): Commercial, IP, Competition and EU-Economy law</t>
  </si>
  <si>
    <t>SRF News</t>
  </si>
  <si>
    <t>#VW und die US-Behörden haben sich im #Abgas-Streit auf einen Kompromiss geeinigt – noch ist aber vieles offen. https://t.co/TEfUD9Sr7R ^cs</t>
  </si>
  <si>
    <t>Switzerland</t>
  </si>
  <si>
    <t>F. Frey ^ff, C. Gall ^cg, S. Hübner ^sh, A. Krüger ^ak, U. Mai ^um, N. Ruffo ^nr, C. Schubert ^cs, K. Weber ^kw, S.de Wolf ^sw, Newsredaktion ^red</t>
  </si>
  <si>
    <t>eBay: 2000 VOLKSWAGEN BEETLE 2.0 https://t.co/YrPtqhSwLX #vwbeetle #vwbug #vw https://t.co/xvfL74PTgl https://t.co/oy9SqSnXkU</t>
  </si>
  <si>
    <t>eBay: 2003 VW VOLKSWAGEN BEETLE BLACK FOR… https://t.co/j5M43KnH7Q #vwbeetle #vwbug #vw https://t.co/xvfL74PTgl https://t.co/vbdgDSs2eP</t>
  </si>
  <si>
    <t>Nordlohner</t>
  </si>
  <si>
    <t>@faznet Für die Amis ist das Geld da,für Deutsche nicht?! Schämt Euch @vwgroup_de @NdsLandesReg @cducsubt @spdbt #VW #Volkswagen #Beschiss</t>
  </si>
  <si>
    <t>#Nordlohne Wietmarschen Lingen</t>
  </si>
  <si>
    <t>An der Nahtstelle der Grafschaft Bentheim und des Emslandes - Nordlohne: 300 Einwohner - Borussia Mönchengladbach -</t>
  </si>
  <si>
    <t>VW South Coast</t>
  </si>
  <si>
    <t>#VDubLove is in reach! Lease a 2016 #VW Jetta S for $99/month! Details: https://t.co/GB8Bx6yrJR https://t.co/PKGsAypM2A</t>
  </si>
  <si>
    <t>Santa Ana, CA</t>
  </si>
  <si>
    <t>Orange County's home for Volkswagen. A PENSKE Automotive Dealership. (855) 315-7387</t>
  </si>
  <si>
    <t>Produktion</t>
  </si>
  <si>
    <t>Zeitgewinn im Dieselgate: VW und US-Behörden erzielen teilweise Einigung #dieselgate #vw https://t.co/lulttT2kOL https://t.co/gmDBiBKNuO</t>
  </si>
  <si>
    <t>Landsberg am Lech</t>
  </si>
  <si>
    <t>Technik und Wirtschaft für die deutsche Industrie - aktuelle Infos von der Fachzeitung Produktion</t>
  </si>
  <si>
    <t>Jallenator</t>
  </si>
  <si>
    <t>Well I'm glad Bugatti released the #chiron before the callback deal was made. #emissionsscandal #vw</t>
  </si>
  <si>
    <t>Napleton Volkswagen</t>
  </si>
  <si>
    <t>Go back in time with the timeless style of the legendary #VW Bus. https://t.co/5rodjv6RIL</t>
  </si>
  <si>
    <t>Urbana, IL</t>
  </si>
  <si>
    <t>Welcome to Napleton Volkswagen of Urbana's Official Twitter page | 1111 O'Brien Drive Urbana, IL 61802 | (866) 313-0767</t>
  </si>
  <si>
    <t>Alison van Diggelen</t>
  </si>
  <si>
    <t>Breaking news re #VW #dieselgate https://t.co/69YKRcrhzY</t>
  </si>
  <si>
    <t>Silicon Valley</t>
  </si>
  <si>
    <t>Host, Fresh Dialogues interviews: Entrepreneurs, cleantech, inspiring women. Contributor to BBC, Public Radio re Silicon Valley culture http://t.co/INGdo8za0B</t>
  </si>
  <si>
    <t>Y que tan perfecta es tu novia? #noviaperfecta #vw #Volkswagen #kingeuro https://t.co/r613VpV0IR</t>
  </si>
  <si>
    <t>Fährst du noch #Volkswagen - oder lässt du dich immer noch verarschen? #Dieselgate #Betrug #Skandal #VW #USA https://t.co/zQeLzH1aFY</t>
  </si>
  <si>
    <t>Firefly</t>
  </si>
  <si>
    <t>TweetCaster for iOS</t>
  </si>
  <si>
    <t>Bruce Nilles</t>
  </si>
  <si>
    <t>Oakland, CA</t>
  </si>
  <si>
    <t>father, immigrant, professional #coal fighter directing @sierraclub @BeyondCoal Campaign</t>
  </si>
  <si>
    <t>Bericht aus Berlin</t>
  </si>
  <si>
    <t>Zur Redaktion:</t>
  </si>
  <si>
    <t>Wöchentliches Fernsehmagazin zur Bundespolitik im Ersten. Es twittert: die Redaktion. Themen &amp; Videos: http://t.co/4bAixKsb. Impressum: http://t.co/yNAkjdFQ</t>
  </si>
  <si>
    <t>Mehr Kulanz von #VW in Sachen #Dieselgate auch in Europa @vzbv @Klaus_Mueller https://t.co/qSe9JuMR8d</t>
  </si>
  <si>
    <t>#VW Said to Pay at Least $10 Billion as U.S. Diesel Deal Reached https://t.co/8i7d5CiDy5 via @technology</t>
  </si>
  <si>
    <t>Salah El Missary</t>
  </si>
  <si>
    <t>Cairo, Egypt</t>
  </si>
  <si>
    <t>Dan Brown</t>
  </si>
  <si>
    <t xml:space="preserve">Houston,Tx </t>
  </si>
  <si>
    <t>Born n raised in Chicago, went to Univ of Alabama and now living in Houston,Tx. Great risks &amp; adventures create the best stories</t>
  </si>
  <si>
    <t>Zeeshan Shah</t>
  </si>
  <si>
    <t>Works at FINRA; Observer of Pak/US politics with 9 years of working in both political systems. Interests in Intl Affairs/Financial Markets/Türkiye. Orioles fan</t>
  </si>
  <si>
    <t>BerlinImmobilien</t>
  </si>
  <si>
    <t>seit 1988 im September Immobilien Beratung von A - Z von #http://Berlin.ak24.de #mieten in #BerlinFisher #Berlin #Wohnungen #Düsseldorf #KapitalanlageFisher</t>
  </si>
  <si>
    <t>MDR</t>
  </si>
  <si>
    <t>Offizieller Twitter-Account von MDR.de. Sie erhalten Informationen zum Programm, zu Events u.v.m. Impressum: http://t.co/12oSTa6568</t>
  </si>
  <si>
    <t>RT @Produktion_de: Zeitgewinn im Dieselgate: VW und US-Behörden erzielen teilweise Einigung #dieselgate #vw https://t.co/lulttT2kOL https:/…</t>
  </si>
  <si>
    <t>Autourtiti</t>
  </si>
  <si>
    <t>Offerta in #Genova: #VW #Golf #Benzina, 01.05.2014, 15.000 km, 23.500 € https://t.co/hveNVIR3yR</t>
  </si>
  <si>
    <t>Applicazione Modix</t>
  </si>
  <si>
    <t>Concessionaria ufficiale a Genova per il marchio #Volkswagen vendita e assistenza. Seguici anche sul nostro sito: http://t.co/q7JIRuFWIS.</t>
  </si>
  <si>
    <t>Jutta Löwe</t>
  </si>
  <si>
    <t>http://t.co/5fD1A6RwFj</t>
  </si>
  <si>
    <t>#dieselgate Die Einigung vor dem US-Gericht ist für #VW nur ein Krümel, aber kein Meilenstein, meint Henrik Böhme https://t.co/M3fuBj1u6q</t>
  </si>
  <si>
    <t>Simon Lake</t>
  </si>
  <si>
    <t>#VW to buy back cars in USA - why not UK too? Or Government needs to be tough on the German manufacturer.</t>
  </si>
  <si>
    <t>Beaconsfield, England</t>
  </si>
  <si>
    <t>Information is power. The still point of a revolving world : TS Eliot</t>
  </si>
  <si>
    <t>Robert Brown</t>
  </si>
  <si>
    <t>@dannyhakim VW didn’t have to cheat on diesels. It had a hybrid solution, now accused of patent infringement. https://t.co/qJahLZ1iWP #VW</t>
  </si>
  <si>
    <t>Raleigh NC</t>
  </si>
  <si>
    <t>Raleigh Native. PR Consultant. Tar Heel. Political Junkie. World's Most Inconsistent Golfer. Proud Dad of 3.</t>
  </si>
  <si>
    <t>VW Southtowne Utah</t>
  </si>
  <si>
    <t>Lengthy wait ahead, but VW Agrees to Buy Back US Diesel Vehicles Affected by TDI Emissions https://t.co/4VOEXSa5yp via @RoadandTrack #VW</t>
  </si>
  <si>
    <t>Salt Lake City, Utah</t>
  </si>
  <si>
    <t>VWSouthTowne is the #1 Volkswagen and New Car Dealer in Utah. Utah VW HQ. We love to interact on anything automotive/utah related. http://t.co/T7qkVI2eb8</t>
  </si>
  <si>
    <t>süleyman mezgil</t>
  </si>
  <si>
    <t>RT @WhiteRockVW: A #VW #Beetle suited for #NationalTeaDay https://t.co/U5DLoAaxoS</t>
  </si>
  <si>
    <t>iki Evlat Bir Avrat, Geçip Gidiyor Hayat...</t>
  </si>
  <si>
    <t>034Motorsport</t>
  </si>
  <si>
    <t>Three's company with this mix of Corrados. #034motorsport #volkswagen #vw #corrado #vr6 #vwvortex #legendsneverdie https://t.co/gUQAnUMd6z</t>
  </si>
  <si>
    <t>Fremont, CA</t>
  </si>
  <si>
    <t>034Motorsport specializes in engineering and manufacturing the highest quality aftermarket performance products for Audi &amp; Volkswagen vehicles.</t>
  </si>
  <si>
    <t>ABC Driving Clinic</t>
  </si>
  <si>
    <t>@CNBC #VW to pay US customers $5,000 in settlement https://t.co/48VpQ0dOi2</t>
  </si>
  <si>
    <t>Northern Virginia</t>
  </si>
  <si>
    <t>Va. DMV-certified defensive driving clinics; $50 ~ Same-day certificates; 24 hours / 7 days a week ~ English &amp; Spanish-language clinics; 703-271-7233</t>
  </si>
  <si>
    <t>And what about us in the UK? #VW #Scandal https://t.co/v20lz4Lv0a</t>
  </si>
  <si>
    <t>Björn</t>
  </si>
  <si>
    <t>Auch wenn ich kein VW fahre, würde mich mal interessieren, was deutsche Kunden bekommen... #vw https://t.co/GlSJOabdYN</t>
  </si>
  <si>
    <t>Strandgänger, Coke-Trinker, Langduscher, Schattenparker und #effzeh Fan, der Bundes-Jogi nicht mag und bei @aptgetupdateDE über den  bloggt</t>
  </si>
  <si>
    <t>eBay: VW Transporter T5 Camper Van, 61k miles.… https://t.co/KSAZV2O1ff #vwcamper #vwbus #vw https://t.co/ZEadscsjBy https://t.co/h6DwM22qjx</t>
  </si>
  <si>
    <t>We'll be judging the #VW settlement details against our criteria: https://t.co/NMQDWVDsC0</t>
  </si>
  <si>
    <t>Tim Stephens</t>
  </si>
  <si>
    <t>No matter what the settlement is, I still love my #VW #TDI. #deezull</t>
  </si>
  <si>
    <t>The Great State of Ohio</t>
  </si>
  <si>
    <t>#VW enthusiast. #deezul Mk6 #TDI. Mk6 #GLI. Also a #JeepXJ. Recovering Apple employee. #330 born and bred. #Millennial in #Manufacturing. SGSToolCo. Bourbon(s).</t>
  </si>
  <si>
    <t>3856 VW Expected to Reach Compensation Agreement on Emissions Scandal https://t.co/YmXb2tdfUU #VW #AutoNews</t>
  </si>
  <si>
    <t>Volkswagen set to reveal deal on diesel scandal https://t.co/DVR1hIqAGV #VW #AutoNews</t>
  </si>
  <si>
    <t>Volkswagen Beijing Concept SUV Features and Debut Date https://t.co/MbrwGwL9VD #VW #AutoNews</t>
  </si>
  <si>
    <t>Ellen Nichols</t>
  </si>
  <si>
    <t>RT @doublefelix7: The settlement is happening with the #vw #diesel scandal. Buyback coming soon...- https://t.co/rl8WqM6nRF</t>
  </si>
  <si>
    <t>@johndstoll @WSJ More trouble: VW, Audi, Porsche charged with patent infringement, face ban on importing hybrids https://t.co/qJahLZ1iWP #VW</t>
  </si>
  <si>
    <t>Resourceful Humans</t>
  </si>
  <si>
    <t>Bad #management has a number now; $20bn #vw #dieselgate https://t.co/Uda0aCTcNn</t>
  </si>
  <si>
    <t>the management way to 100% entrepreneurship and 0% bureaucracy</t>
  </si>
  <si>
    <t>Counsel Financial</t>
  </si>
  <si>
    <t>Judge: VW Owners Can Pick Buybacks, Fixes in Emissions Deal https://t.co/Ddcetcg1ez #VW https://t.co/UJVu1sAitL</t>
  </si>
  <si>
    <t>HubSpot</t>
  </si>
  <si>
    <t>Counsel Financial provides litigators with credit lines up to $5 million based on the total value of their contingent fee case portfolios.</t>
  </si>
  <si>
    <t>Volkswagen, U.S. Justice Department reach diesel emissions deal. 🇺🇸🇩🇪#VW https://t.co/xGioqX647W</t>
  </si>
  <si>
    <t>RT @dw_wirtschaft: #dieselgate Die Einigung vor dem US-Gericht ist für #VW nur ein Krümel, aber kein Meilenstein, meint Henrik Böhme https:…</t>
  </si>
  <si>
    <t>#VW pagará 5 mil dólares a clientes afectados https://t.co/0arAdSFR6z https://t.co/EUMEo0z65Q</t>
  </si>
  <si>
    <t>#VW pagará 5 mil dólares a clientes afectados https://t.co/Omnof1Pyl6 https://t.co/Itk4PAnqjI</t>
  </si>
  <si>
    <t>Chris</t>
  </si>
  <si>
    <t>RT @VolkswagenPost: Don't bank on Volkswagen paying you $5000 just yet: If it's whoever leaked the story to Reuter... https://t.co/ehQVJy1M…</t>
  </si>
  <si>
    <t>Kann Spuren von nutzlosem Wissen enthalten. Verheiratet mit @DaniKolibri</t>
  </si>
  <si>
    <t>Meg Spicer</t>
  </si>
  <si>
    <t>.@VW offers to buy back 480k cars as part of settlement in diesel emissions case #VW https://t.co/0tBzUm4jlH</t>
  </si>
  <si>
    <t>Connecticut Law Tribune. Coffee drinker. Fast talker. Stony Brook alumna. @SBUBandAlumni prez. e: mspicer@alm.com</t>
  </si>
  <si>
    <t>CT Law Tribune</t>
  </si>
  <si>
    <t>.@VW offers to buy back 480k cars as part of settlement in diesel emissions case #VW https://t.co/J9AihjpJeJ</t>
  </si>
  <si>
    <t>The Law Tribune offers legal news in a newspaper, on the web and w/ e-blasts. Contact psussman@alm.com for more info.</t>
  </si>
  <si>
    <t>Einstein Law</t>
  </si>
  <si>
    <t>BREAKING: #VW, #EPA reach deal on rigged emissions tests by @thehill https://t.co/28bDlRiZ03 #masstort</t>
  </si>
  <si>
    <t>Einstein Law provides business solutions to #lawyers. We are proud to participate in @mtmpseminar events. This feed posts news &amp; commentary from #MTMP2016</t>
  </si>
  <si>
    <t>R.Mツ✌</t>
  </si>
  <si>
    <t>ALL DAY KISSING♥†♥ Pico, Armo Lo Prendo Fumo...Pilloooo.†.....♥.A VIVIR LA VIDA.,FAMILY♥. ♥-.B.M.X.-♥ WSP: 3516745857..☺ Smoke Weed Weed. ツ</t>
  </si>
  <si>
    <t>Enjoy.</t>
  </si>
  <si>
    <t>RT @Autos_Al_Piso14: #FOX #Vw https://t.co/LzII03HHtD</t>
  </si>
  <si>
    <t>Lo que tenga que ser, que sea y lo que no por algo sera! [I love you Mom♡] Rochii Tonelli.</t>
  </si>
  <si>
    <t>RT @AttorneyLending: Judge: VW Owners Can Pick Buybacks, Fixes in Emissions Deal https://t.co/Ddcetcg1ez #VW https://t.co/UJVu1sAitL</t>
  </si>
  <si>
    <t>Since 1995, San Diego-based Einstein Law has been creating exceptional business solutions for attorneys.</t>
  </si>
  <si>
    <t>VW-Deal in USA – 5000 Dollar für US-Kunden - und für Deutsche gibt es nichts https://t.co/sWgtVyyrf3 #VW</t>
  </si>
  <si>
    <t>DrivingSales</t>
  </si>
  <si>
    <t>Report Says Audi Developed #VW’s Emissions Cheating Software In 1999 #VWscandal #DealerNews https://t.co/zNqSwEh8HU https://t.co/eJLAAHU6jI</t>
  </si>
  <si>
    <t>World Wide</t>
  </si>
  <si>
    <t>Connecting progressive dealership professionals to the people and information needed to fuel excellence as a professional and in their dealerships.</t>
  </si>
  <si>
    <t>Fragen und Antworten rund um VW auf heute.de Verbraucherschützer für Kulanz von #VW @vzbv @Klaus_Mueller - https://t.co/c0a3oGrSMT</t>
  </si>
  <si>
    <t>RT @Ardasa2000: RT @Autos_Al_Piso14: Ni un momento ni la eternidad esto va más allá con vos mi alma se volvió a iluminar #Vw http://t.co/O6…</t>
  </si>
  <si>
    <t>daniel st</t>
  </si>
  <si>
    <t>RT @SexenioMX: #VW pagará 5 mil dólares a clientes afectados https://t.co/Omnof1Pyl6 https://t.co/Itk4PAnqjI</t>
  </si>
  <si>
    <t>México, DF</t>
  </si>
  <si>
    <t>Frases que tal vez cambien tu mañana, tarde, noche, día, momento o situación, no es que sea positivo pero si optimista para al menos aportar algo a la humanidad</t>
  </si>
  <si>
    <t>Futu ¥</t>
  </si>
  <si>
    <t>CLUB LOS CARANCHOS</t>
  </si>
  <si>
    <t>snapchat: Nacho_Sinatra Instagram: nachosinatra Rosario</t>
  </si>
  <si>
    <t>RT @Autos_Al_Piso14: #Vw #BBS #Extrema #Plancha #Fachero http://t.co/2AscSUIuT8</t>
  </si>
  <si>
    <t>RT @LimandoElPisoPM: #ActivemosElDomingo #Vw #Bora #Red #BBS #Neumaticas #ElMasCheto http://t.co/7RWHOj0wlr</t>
  </si>
  <si>
    <t>@JoannMuller More trouble for #VW: Patent infringement charges could keep VW, Audi, Porsche from importing hybrids. https://t.co/qJahLZ1iWP</t>
  </si>
  <si>
    <t>Steve Kelly</t>
  </si>
  <si>
    <t>Ontario, CA</t>
  </si>
  <si>
    <t>Family, Food, Volkswagens and other fine European automobiles. IG: volcombug</t>
  </si>
  <si>
    <t>RT @Einstein_MTMP: BREAKING: #VW, #EPA reach deal on rigged emissions tests by @thehill https://t.co/28bDlRiZ03 #masstort</t>
  </si>
  <si>
    <t>Andreas M. Heitmann</t>
  </si>
  <si>
    <t>Wien, Österreich</t>
  </si>
  <si>
    <t>Find me @ Facebook: https://t.co/LOqBcSxtwQ or @ LinkedIn: https://t.co/hpnJLQz43t and @ G+: https://t.co/F8U9agl65n ...</t>
  </si>
  <si>
    <t>RT @Autos_Al_Piso14: #Vw #GolTrend #White #Raspando #Asfalto http://t.co/yZUGsorJNI</t>
  </si>
  <si>
    <t>Jim Fullerton</t>
  </si>
  <si>
    <t>Visualizing goals success | https://t.co/4t6MHj3Wz4 #parenting #mom #dad In a 3D #VW #VR . https://t.co/MItvF6tzU4</t>
  </si>
  <si>
    <t>Academic Life Coach/Teens/Parents - Writer &amp; Speaker on Teen Success/Motivation. Combines Solutions Focused Coaching, Mindfulness, &amp; Smart Apps. Anywhere in US</t>
  </si>
  <si>
    <t>K3OPS</t>
  </si>
  <si>
    <t>Stick'N Charge RF Energy</t>
  </si>
  <si>
    <t>K3OPS recycle electricity using RF Energy Harvesting system as a source to operate or to charge the batteries of all kind of electronic products.</t>
  </si>
  <si>
    <t>Tyler</t>
  </si>
  <si>
    <t>San Antonio</t>
  </si>
  <si>
    <t>It is what it is</t>
  </si>
  <si>
    <t>RT @Autos_Al_Piso14: #Roooccoooooo #Vw simplemente hermoso http://t.co/8tJMplZpJ5</t>
  </si>
  <si>
    <t>Harald Thelen</t>
  </si>
  <si>
    <t>EU citizen · performer · operator · social critic · green speaker · views are my own</t>
  </si>
  <si>
    <t>RT @Autos_Al_Piso14: #VW #FOX #AL #PISO #Planchadisimo http://t.co/MQjzrjuX27</t>
  </si>
  <si>
    <t>RT @Autos_Al_Piso14: #VW #Scirocco #Rojo #Fachero http://t.co/6GjZaZSJhR</t>
  </si>
  <si>
    <t>Its_All_Dave</t>
  </si>
  <si>
    <t>Vikings football - Twins baseball - Ice fishing - Hot rods - I like to drive fast and listen to loud music! I love @dearkara #GSTA #MSRA</t>
  </si>
  <si>
    <t>Andreas Grunewald</t>
  </si>
  <si>
    <t>RT @lgbeutin: @TS_Palm @SPIEGELONLINE Oha. Rache für #VW? Kriegszustand schon erklärt?</t>
  </si>
  <si>
    <t xml:space="preserve">48165 Münster </t>
  </si>
  <si>
    <t>Wir werden weitermachen und niemals aufgeben!! ✊ ✊ Im September heißt es: Starke dritte Plätze in Berlin und M-V und ein Superergebnis in NDS!!</t>
  </si>
  <si>
    <t>RT @LimandoElPisoPM: #VW #Scirocco #DeNoche 😍😍👌👌 http://t.co/JkKncXYjKA</t>
  </si>
  <si>
    <t>Евелина</t>
  </si>
  <si>
    <t>Зелен фолксваген "костенурка" 🌟😁 #кола #коланавъзраст #vwbeetle #car #oldcar #vw @ Гр.Враца https://t.co/rvI4en4dVm</t>
  </si>
  <si>
    <t>преди Бургас, сега Враца</t>
  </si>
  <si>
    <t>Celia Cernadas</t>
  </si>
  <si>
    <t>Principi d'acord en escàndol #VW als EUA: la cia. recomprarà o arreglarà els vehicles trucats i en compensarà els propietaris, segons jutge</t>
  </si>
  <si>
    <t>Corresponsal de Catalunya Ràdio als EUA. US Correspondent, Catalunya Radio, Barcelona. I cannot live without books (Thomas Jefferson)</t>
  </si>
  <si>
    <t>RT @franka_kuehn: Fragen und Antworten rund um VW auf heute.de Verbraucherschützer für Kulanz von #VW @vzbv @Klaus_Mueller - https://t.co/…</t>
  </si>
  <si>
    <t>eBay: 1969 VW Beetle Wizard Roadster tax free… https://t.co/X5BLgBSF4h #vwbeetle #vwbug #vw https://t.co/xvfL74PTgl https://t.co/JdLZuCureG</t>
  </si>
  <si>
    <t>Julian Martinez</t>
  </si>
  <si>
    <t>Solo entiende mi locura quien comparte mi pasion #1/4 DE MILLA♥ Snap: julianmartine16 Instagram: julianbmartinez18</t>
  </si>
  <si>
    <t>eBay: volkswagen beetle https://t.co/zvYysFojCl #vwbeetle #vwbug #vw https://t.co/xvfL74PTgl https://t.co/6SjamU5yGz</t>
  </si>
  <si>
    <t>Philipp Vetter</t>
  </si>
  <si>
    <t>#VW einigt sich grundsätzlich mit US-Behörden und Sammelklägern in den USA. Keine Details. Hier das Statement: https://t.co/gdloH58wHY</t>
  </si>
  <si>
    <t>Wirtschaftskorrespondent WELT / WELT am Sonntag | München | philipp.vetter @ weltn24.de</t>
  </si>
  <si>
    <t>#VW and US officials agree on settlement in #Dieselgate case https://t.co/aSLVZzZZf0 https://t.co/V1uiZkoria</t>
  </si>
  <si>
    <t>#VW to buy backup to 480,000 US cars #dieselgate https://t.co/KIQ42A0850</t>
  </si>
  <si>
    <t>#VW einigt sich mit US-Behörden auf Eckpunkte #dieselgate https://t.co/rWA29TiFRr</t>
  </si>
  <si>
    <t>Ines Pohl</t>
  </si>
  <si>
    <t>RT @dwnews: #VW and US officials agree on settlement in #Dieselgate case https://t.co/aSLVZzZZf0 https://t.co/V1uiZkoria</t>
  </si>
  <si>
    <t>Nieman Fellow '05, based in Washington, D.C. as US Correspondent with @DeutscheWelle, Germany's global broadcaster.</t>
  </si>
  <si>
    <t>David Marquet</t>
  </si>
  <si>
    <t>My take on the latest in VW's emission cheating scandal: VW misses the chance to act their way to new thinking https://t.co/sgjaLxbEAG #VW</t>
  </si>
  <si>
    <t>Venice, FL</t>
  </si>
  <si>
    <t>Creating environments for people to contribute so that they feel valued. Author of TURN THE SHIP AROUND!</t>
  </si>
  <si>
    <t>Hans Larsson</t>
  </si>
  <si>
    <t>Tänkbart tak nu € 30 miljarder för #VW i #dieselgate. https://t.co/V27LGieQBu</t>
  </si>
  <si>
    <t>https://t.co/tSggPPanso</t>
  </si>
  <si>
    <t>RT @kngeuro: Y que tan perfecta es tu novia? #noviaperfecta #vw #Volkswagen #kingeuro https://t.co/r613VpV0IR</t>
  </si>
  <si>
    <t>Carsten Krebs</t>
  </si>
  <si>
    <t>Dresden, Saxony, Germany</t>
  </si>
  <si>
    <t>PR Volkswagen AG; #GläserneManufaktur; #TransparentFactory; Supporter of Eintr. Braunschweig &amp; VfL Wolfsburg, Africa-lover, tweets are my own</t>
  </si>
  <si>
    <t>DavidKnight Valeting</t>
  </si>
  <si>
    <t>@autoglym metal polish working a treat on this 1969 #vw #campervan #valeting #detailing https://t.co/gPJ4JuEBsi</t>
  </si>
  <si>
    <t>Cullompton, England</t>
  </si>
  <si>
    <t>Mobile car valeter &amp; detailer</t>
  </si>
  <si>
    <t>#VW Reaches Deal in Diesel #Emissions Case https://t.co/9yCJFJKUTW #dieselgate</t>
  </si>
  <si>
    <t>Larry Nutson</t>
  </si>
  <si>
    <t>Car enthusiast all my life. Mechanical engineer, extensive auto industry experience, sharing knowledge about urban-use vehicles, classic cars, and more.</t>
  </si>
  <si>
    <t>VW Transporter T5 Camper Van, 61k miles. 2010 T30 140 Tdi Swb: £14,950.00End Date: Thursday May-19-2016 1... https://t.co/kbmrqLz6cL #vw</t>
  </si>
  <si>
    <t>twineichVisualStudio</t>
  </si>
  <si>
    <t>Arrive #volkswagen #illustration #VW #design #advertising #studio #psd #adobe #behance #cartoon… https://t.co/7sFBm18zyo</t>
  </si>
  <si>
    <t>- Outsourcing | Freelancers | Identity Branding | Illustration | Web Design | Animation | Photography -</t>
  </si>
  <si>
    <t>Catalunya Informació</t>
  </si>
  <si>
    <t>RT @celiacernadas: Principi d'acord en escàndol #VW als EUA: la cia. recomprarà o arreglarà els vehicles trucats i en compensarà els propie…</t>
  </si>
  <si>
    <t>Catalunya</t>
  </si>
  <si>
    <t>Notícies les 24hores a la ràdio nacional de Catalunya.</t>
  </si>
  <si>
    <t>WooHoo!!! First event booked in... Details to follow... 󾌰󾮗 #VW #camper #coffee #smoothies #SoYa</t>
  </si>
  <si>
    <t>VW Parts</t>
  </si>
  <si>
    <t>Now through April 30th, buy 3 tires get the 4th for only $1 #Volkswagen #VW #tires #Jetta #GTI #Passat #Golf #Tiguan https://t.co/XEe4ZXArjy</t>
  </si>
  <si>
    <t>OEM Volkswagen Parts and Accessories</t>
  </si>
  <si>
    <t>Sam Scribbler</t>
  </si>
  <si>
    <t xml:space="preserve">Located in Germany, Europe </t>
  </si>
  <si>
    <t>Personal op-ed in 140 characters. Comments on #BreakingNews, #Politics, #Tech, other topics. #Seahawks fan.</t>
  </si>
  <si>
    <t>Santa Pod Raceway</t>
  </si>
  <si>
    <t>RT @DammoPhotograph: Big Bang this weekend @SantaPodRaceway are you going? #bigbang #santapod #vw #Volkswagen #splitscreen #baywindow https…</t>
  </si>
  <si>
    <t>Podington, UK</t>
  </si>
  <si>
    <t>Santa Pod Raceway is the home of European Drag Racing. It's the fastest &amp; loudest motorsport on earth with sensational racing from dragsters &amp; beetles to bikes.</t>
  </si>
  <si>
    <t>#VW indeed they should! https://t.co/9yhR4d0bwj</t>
  </si>
  <si>
    <t>VW T5 side window with limo tint fitted to sliding door #VW #T5 window #glass #tint #workshop #Cornwall #kernow https://t.co/4cUOwUeHFL</t>
  </si>
  <si>
    <t>Breaking LA News</t>
  </si>
  <si>
    <t>Judge: VW Owners Get Option Of Buybacks, Fixes https://t.co/dzd8wGc6uw #Local #News #EmissionsScandal #Volkswagen #VW #LosAngeles #News</t>
  </si>
  <si>
    <t>Los Angeles &amp; Worldwide</t>
  </si>
  <si>
    <t>Breaking Los Angeles News is dedicated to reporting and providing analysis of top news stories, jobs and events in Los Angeles, Christianity and worldwide.</t>
  </si>
  <si>
    <t>Talk 910</t>
  </si>
  <si>
    <t>Today 10a-2p with @GilGross910: #VW, #Mitsubishi, &amp; #DonaldTrump -- https://t.co/NBJ7ql5j9a https://t.co/zzgpcxeSJc</t>
  </si>
  <si>
    <t>SF / Bay Area</t>
  </si>
  <si>
    <t>San Francisco's Talk Station</t>
  </si>
  <si>
    <t>Eric Ritter</t>
  </si>
  <si>
    <t>#VW scandal settlement: Owners can choose a fix or a buyback https://t.co/GL9cJoEvP0</t>
  </si>
  <si>
    <t>Would you be mine? Could you be mine? Won't you be my neighbor? Hi Twitter neighbor. @USFdigitalmedia Instructor. Never tell me the odds | Snapchat: ericritter</t>
  </si>
  <si>
    <t>Grahame Lucas</t>
  </si>
  <si>
    <t>#VW, USJusticeDepartment reach #diesel emissions deal https://t.co/chYHuvqLQ8</t>
  </si>
  <si>
    <t>Managing editor, lecturer, #FreeRaif, #FreedomOfSpeech, #HeForShe, #ClimateChangeIsNow, #AbolishTheDeathPenalty. #UKinEU, own views, RTs not endorsement</t>
  </si>
  <si>
    <t>Cornwall Biz Forum</t>
  </si>
  <si>
    <t>RT @Elitet5: VW T5 side window with limo tint fitted to sliding door #VW #T5 window #glass #tint #workshop #Cornwall #kernow https://t.co/4…</t>
  </si>
  <si>
    <t>Cornwall, UK</t>
  </si>
  <si>
    <t>Creating a stronger voice for businesses in Cornwall &amp; Scilly + Promoting &amp; Creating opportunities for them</t>
  </si>
  <si>
    <t>Danielle Manning</t>
  </si>
  <si>
    <t>Volkswagen to buy back 500,000 vehicles in tentative partial settlement with the DOJ. https://t.co/GgW6LP90qS … #VW</t>
  </si>
  <si>
    <t>Law student. Environmentalist. Sunshine lover.</t>
  </si>
  <si>
    <t>RT @VWSouthtowne: Lengthy wait ahead, but VW Agrees to Buy Back US Diesel Vehicles Affected by TDI Emissions https://t.co/4VOEXSa5yp via @R…</t>
  </si>
  <si>
    <t>Charles Beale</t>
  </si>
  <si>
    <t>#VW's US deal in its emissions scandal does not cover Canada either.</t>
  </si>
  <si>
    <t>Cobourg, ON</t>
  </si>
  <si>
    <t>author, freelance writer, educator, appraiser, antique dealer, political follower,blogger</t>
  </si>
  <si>
    <t>Jo™.</t>
  </si>
  <si>
    <t>In den USA ging das aber fix mit der #VW-Affaire.</t>
  </si>
  <si>
    <t>Schöner linker Niederrhein.</t>
  </si>
  <si>
    <t>Historiker. Liest Bücher, schreibt auch welche. Mag Bahnreisen on the old lines. ♂ + ♂ - Header: Claude Monet, Le parlement, coucher de soleil (1904) (Detail)</t>
  </si>
  <si>
    <t>Wonky Donkey</t>
  </si>
  <si>
    <t>The beetle floorpan is stripped ready for media blasting.. #aircooled #vw #air ride https://t.co/Dc1XK501Cr</t>
  </si>
  <si>
    <t>Restoration - Preservation - Fabrication - Welding - Vintage - Kitsch ....for all your vintage, hot rod, Classic VW &amp; Porsche Restoration</t>
  </si>
  <si>
    <t>Autosmart Leicester</t>
  </si>
  <si>
    <t>ikustoms have the shop bus again and hopefully are gonna make this lot for... #vw #airlift… https://t.co/FSnqvuvcXu</t>
  </si>
  <si>
    <t>Leicester, England</t>
  </si>
  <si>
    <t>Authorised Autosmart distributor for the Leicester area.</t>
  </si>
  <si>
    <t>Wrexham Volkswagen</t>
  </si>
  <si>
    <t>Got your eyes peeled for your next approved used #VW? We have over 50 in stock for you! https://t.co/4o2vvTzZOj https://t.co/7uoHdFcXdF</t>
  </si>
  <si>
    <t>Wrexham</t>
  </si>
  <si>
    <t>We love everything VW. Pop in store for some fantastic deals on new and used stock! We have everything you could wish for.</t>
  </si>
  <si>
    <t>Got your eyes peeled for your next approved used #VW? We have over 50 in stock for you! https://t.co/BKOL2bhmOd https://t.co/vbpAioov4X</t>
  </si>
  <si>
    <t>Buybacks, lease cancellations. #VW &amp; US gov reach agreement in principle to settle diesel violations #Dieselgate https://t.co/J1GWlYs4fm</t>
  </si>
  <si>
    <t>Ryan Nazareth</t>
  </si>
  <si>
    <t>#VW reaches #US deal in #emissions scandal - the price of dodgy vw cars just went up! https://t.co/ccDgLzynD5</t>
  </si>
  <si>
    <t>Dusseldorf , Germany</t>
  </si>
  <si>
    <t>A searcher, a planner, a trancendalist thinker. A technologist attempting to understand the influence of his skill and industry on the economic and meta-eco'mic</t>
  </si>
  <si>
    <t>Jordi Cerdà</t>
  </si>
  <si>
    <t>Barcelona</t>
  </si>
  <si>
    <t>Genevieve Reilly</t>
  </si>
  <si>
    <t>RT @CTLawTribune: .@VW offers to buy back 480k cars as part of settlement in diesel emissions case #VW https://t.co/J9AihjpJeJ</t>
  </si>
  <si>
    <t>Farfield Citizen News</t>
  </si>
  <si>
    <t>Filling you in on all things Fairfield. And throwing in a few tweets here and there about the Red Sox...</t>
  </si>
  <si>
    <t>#techhippie Ready for 2k16 season :-) #ánomamamtamkrytkyaudinechcelosamikupitnove #VW #golf5 #mk5 #GTD #lestenka #r… https://t.co/Q3zjPQe36L</t>
  </si>
  <si>
    <t>Christoph Scheuerman</t>
  </si>
  <si>
    <t>Semi-good news for #VW, bad news for car buyers and the planet: all 37 top-selling cars in UK break emission limits https://t.co/oq9I9Wkhz3</t>
  </si>
  <si>
    <t>UK correspondent, Der Spiegel. christoph dot scheuermann at spiegel dot de</t>
  </si>
  <si>
    <t>Balcis</t>
  </si>
  <si>
    <t>BeYourself</t>
  </si>
  <si>
    <t>RT @GrahameLucas: #VW, USJusticeDepartment reach #diesel emissions deal https://t.co/chYHuvqLQ8</t>
  </si>
  <si>
    <t>Knoxville, TN</t>
  </si>
  <si>
    <t>Be Kind and Be Respectful</t>
  </si>
  <si>
    <t>eBay: VW CAMPER HOLDSWORTH VILLA 3 T25 https://t.co/QVPXobCIZp #vwcamper #vwbus #vw https://t.co/ZEadscsjBy</t>
  </si>
  <si>
    <t>Ultimate Auto</t>
  </si>
  <si>
    <t>#VW #Pheaton getting a quick #HeadlightRestoration after getting new 5% #Windowtint all… https://t.co/0UQa2LoXm6</t>
  </si>
  <si>
    <t xml:space="preserve"> Orlando</t>
  </si>
  <si>
    <t>Your one stop place for all your car needs!</t>
  </si>
  <si>
    <t>Das sagt das US-Justizministererium auf @BILD-Anfrage zum #VW-Deal: #dieselgate @BILD_Reporter https://t.co/da37KIft3s</t>
  </si>
  <si>
    <t>KeyStone Search</t>
  </si>
  <si>
    <t>#VW will offer "substantial compensation" in the US as part of a settlement of the diesel emissions scandal https://t.co/mSW8HaZ2JN</t>
  </si>
  <si>
    <t>Minneapolis</t>
  </si>
  <si>
    <t>KeyStone Search is Minneapolis-based retained executive recruiting firm focused on Culture Fit, Leadership and Alignment.</t>
  </si>
  <si>
    <t>Kristyn Hyland</t>
  </si>
  <si>
    <t>#VW Said to Pay at Least $10 Billion as U.S. Diesel Deal Reached https://t.co/d6LNGmEDdC via @technology</t>
  </si>
  <si>
    <t>Deputy Editorial Director @BloombergBNA for corporate and transactional law products. My tweets are my own and retweets are not endorsements.</t>
  </si>
  <si>
    <t>Allora Comm</t>
  </si>
  <si>
    <t>Report: The bill is coming due in U.S. for #VW in the #Dieselgate scandal, and it will likely be in the billions. https://t.co/GYDdTUmQiH</t>
  </si>
  <si>
    <t>Idle thoughts about cars, car companies, and automotive marketing, from a branding/content specialist</t>
  </si>
  <si>
    <t>RT @MiManske: Das sagt das US-Justizministererium auf @BILD-Anfrage zum #VW-Deal: #dieselgate @BILD_Reporter https://t.co/da37KIft3s</t>
  </si>
  <si>
    <t>See what Principal @MikeFrommelt had to say re: the #VW Emission Scandal, #CorporateCulture and #CoreValues #tbt https://t.co/SQMTUWbDsJ</t>
  </si>
  <si>
    <t>Anonymous_redpill ❌</t>
  </si>
  <si>
    <t>#EU #Emissions #Scandal #VW etc https://t.co/c2gxowrcyx</t>
  </si>
  <si>
    <t>extra-Matrix</t>
  </si>
  <si>
    <t>All fiat currencies (£ $ € ¥ etc) have no value whatsoever without debt. So churn the cogs in the wheels of the pseudo-economy governed by the pseudo-democracy.</t>
  </si>
  <si>
    <t>#VW #Pheaton getting a quick #HeadlightRestoration after getting new 5% #Windowtint all around #CarsofUltimate... https://t.co/rafuzXkt34</t>
  </si>
  <si>
    <t>Stephan Lubs</t>
  </si>
  <si>
    <t>#VW #Audi #Mercedes #BMW #PKW #Auto https://t.co/2H458iQRbj</t>
  </si>
  <si>
    <t>Schleswig Holstein</t>
  </si>
  <si>
    <t>Atheist! Islam gehört nicht zu Deutschland!Pädophile gehören eingeschläfert!!</t>
  </si>
  <si>
    <t>Vivien Marx</t>
  </si>
  <si>
    <t>Journalist, producer. Editor at Nature Publishing (tweets=imho). Into science, tech, chocolate, movies. Learning Python. Founder: SeeSaw. vivienmarx@gmail.com</t>
  </si>
  <si>
    <t>Chapman Northeast</t>
  </si>
  <si>
    <t>The most stylish #VW yet is on its way - are you ready for the #VWBeetle Denim edition? https://t.co/HqXjt0fhTI</t>
  </si>
  <si>
    <t>Philadelphia</t>
  </si>
  <si>
    <t>Chapman Northeast is a leading dealership in Pennsylvania. “Now more than ever, If our emblem is not on your new car or truck, you probably did pay too much!”</t>
  </si>
  <si>
    <t>Serra Traverse City</t>
  </si>
  <si>
    <t>Automobile Magazine named the #VW #GolfR the 2016 All-Star Vehicle! See why here: https://t.co/SuQOWh6dKc</t>
  </si>
  <si>
    <t xml:space="preserve">Traverse City, Michigan </t>
  </si>
  <si>
    <t>Largest Selection of new and used Cadillac and Subaru Models. Full Service Center, Quick Lube, and Collision Center.</t>
  </si>
  <si>
    <t>Александр Беляев</t>
  </si>
  <si>
    <t>Volkswagen рассекретил обновлённый пикап Amarok #новости #авто #cars #vw #germany https://t.co/5Bi5lLhk8R https://t.co/WI12rr24OB</t>
  </si>
  <si>
    <t>Gabi Saiz⚓</t>
  </si>
  <si>
    <t>Capital - Córdoba, Argentina</t>
  </si>
  <si>
    <t>⚽Football freestyle⚽Ronaldinho⚽Wsp:3512343834- De #Belgrano hasta él cajón -Quieren copiarme a ninguno le sale no se dan cuenta no somos iguales♪-1,74-</t>
  </si>
  <si>
    <t>L'acord li pot costar milers de milions de $ a #VW, i no li evita les sancions administratives per haver violat lleis federals dels EUA</t>
  </si>
  <si>
    <t>Michael Körner</t>
  </si>
  <si>
    <t>Teuer, aber gedeckelt und freigekauft: #VW macht Deal mit #US-Behörden. Entschädigung f. US-Kunden, Deutsche nicht. https://t.co/pZbLImVNVn</t>
  </si>
  <si>
    <t>Querdenker und Nachdenker. Naturwissenschaftler mit historischer Neigung.</t>
  </si>
  <si>
    <t>MonJa</t>
  </si>
  <si>
    <t>MSN Deutschland</t>
  </si>
  <si>
    <t>#VW-Abgasskandal: Das bedeutet die Einigung für deutsche VW-Besitzer. https://t.co/bn04k63HT9 https://t.co/OOP5QUVwTb</t>
  </si>
  <si>
    <t>Unterschleißheim, Deutschland</t>
  </si>
  <si>
    <t>Die offizielle Twitter-Seite von MSN Deutschland - Impressum: http://t.co/h9txZxTZX8</t>
  </si>
  <si>
    <t>Octagon IV</t>
  </si>
  <si>
    <t>RT @clydevpg: #VW #Audi #Mercedes #BMW #PKW #Auto https://t.co/2H458iQRbj</t>
  </si>
  <si>
    <t>Rheinland-Pfalz</t>
  </si>
  <si>
    <t>Si vis pacem para bellum</t>
  </si>
  <si>
    <t>what to heck</t>
  </si>
  <si>
    <t>RT @dejbanlaw: #VW Reaches Deal in Diesel #Emissions Case https://t.co/9yCJFJKUTW #dieselgate</t>
  </si>
  <si>
    <t>wtf is a louis tomlinson</t>
  </si>
  <si>
    <t>that's cause jesus christ is my nigga || vine: hella turnt kenya</t>
  </si>
  <si>
    <t>RT @WrexhamVW: Got your eyes peeled for your next approved used #VW? We have over 50 in stock for you! https://t.co/4o2vvTzZOj https://t.co…</t>
  </si>
  <si>
    <t>RT @swanswaygroup: Got your eyes peeled for your next approved used #VW? We have over 50 in stock for you! https://t.co/BKOL2bhmOd https://…</t>
  </si>
  <si>
    <t>M von S</t>
  </si>
  <si>
    <t>Bin gespannt, ob sich #Merkel und ihre Minister für die betrogenen deutschen #VW-Kunden einsetzen. https://t.co/ICV2gMho1H</t>
  </si>
  <si>
    <t>Nach der US-Einigung wird der Ruf lauter, dass #VW auch in Europa auf die #dieselgate-Kunden zugeht. (mbr) https://t.co/VUsc42fb6X</t>
  </si>
  <si>
    <t>Nach der US-Einigung wird der Ruf lauter, dass #VW auch in Europa auf die #dieselgate-Kunden zugeht. (mbr) https://t.co/p3sqWfCTu0</t>
  </si>
  <si>
    <t>Andy Cooper</t>
  </si>
  <si>
    <t>Isleworth, London</t>
  </si>
  <si>
    <t>The world's favourite Tweeter.30 something cinema/theatre/Nintendo lover. Love to laugh so let's laugh together. Opinions are all my own.</t>
  </si>
  <si>
    <t>el-vee☮</t>
  </si>
  <si>
    <t>GC</t>
  </si>
  <si>
    <t>Literally can't even</t>
  </si>
  <si>
    <t>Aric Caplan</t>
  </si>
  <si>
    <t>Washington D.C. Metro</t>
  </si>
  <si>
    <t>Aric is a PR strategist serving the public interest. Caplan Communications® champions public health, the environment, social justice causes, and clean energy.</t>
  </si>
  <si>
    <t>Franz Schneiderman</t>
  </si>
  <si>
    <t>VW plans to buy back diesel cars, spend $1bn+ to repair others https://t.co/kQYWocdSWx #vw #dieselgate #cars @ConsumerAutoMD @all_cars_</t>
  </si>
  <si>
    <t>As a journalist, student of policy, and advocate, I work on social justice and consumer protection from Baltimore. Tweet on equity, consumer and human rights.</t>
  </si>
  <si>
    <t>Borsa Kahini</t>
  </si>
  <si>
    <t>Emisyon skandalı: Mahkeme #VW'ye kendisinden istenen tüm şartları içeren, kapsamlı bir anlaşma sunması için 21 Haziran'a kadar zaman tanıdı.</t>
  </si>
  <si>
    <t>Türkiye</t>
  </si>
  <si>
    <t>Zamanında haydutlar zengin olmak için banka soyardı, şimdi ise haydutlar zengin olmak için banka kuruyorlar! ⚠ #Borsa &amp; #Kliodinamik &amp; #Teknoloji &amp; #Jeopolitik</t>
  </si>
  <si>
    <t>Erkan Can Kalkmaz</t>
  </si>
  <si>
    <t>Güle güle CUH10! Seni unutmayacağım-..😭😭 #vw #bora… https://t.co/vjm05Z0MIP</t>
  </si>
  <si>
    <t>Mars</t>
  </si>
  <si>
    <t>Part Time Student, Full Time Drifter! - Otomobil sever, Otomobil Manyağı OTOMOBİİİLLL!!!!!111ein!!11 -94'ten beri hayatta | TÜRK Ϝϓſ Ϟ Street R. Project D.</t>
  </si>
  <si>
    <t>Murat Tebatebai</t>
  </si>
  <si>
    <t>Während die US-Regierung #VW in den USA stark unter Druck setzt, genießt der Konzern unter Mutti Narrenfreiheit. Nieder mit dem VW-Gesetz.</t>
  </si>
  <si>
    <t>Nicola Borri</t>
  </si>
  <si>
    <t>#VW to buy back up to 480,000 US vehicles in deal with regulators: https://t.co/uyhAtgizg8 #FT largest buyback ever</t>
  </si>
  <si>
    <t>FT Web App</t>
  </si>
  <si>
    <t>Economist @ LUISS University</t>
  </si>
  <si>
    <t>Karen Heron</t>
  </si>
  <si>
    <t>Little bit of #sparkle when #driving #vw in the #sun @CharliJepson @Roo_Beauty @NailHarmonyUk @Gelish #summercoming https://t.co/vtRCmXxiuy</t>
  </si>
  <si>
    <t>lancashire</t>
  </si>
  <si>
    <t>Karen @ epicure beauty, qualified beauty therapist based at Stanhill Village, Oswaldtwistle.</t>
  </si>
  <si>
    <t>Glow Creations</t>
  </si>
  <si>
    <t>VW badge #vw #vwbadge #badge #automotive #carphoto #carphotography #emblem #golfr #vwclub #mk7r… https://t.co/9ljqXUFiRs</t>
  </si>
  <si>
    <t>luton</t>
  </si>
  <si>
    <t>Graphic Design - Logos, Artwork, Stationery, Business Cards, Menus, Flyers, Posters, Invitations, etc https://t.co/ZpYEjgwUMf</t>
  </si>
  <si>
    <t>Michael</t>
  </si>
  <si>
    <t>@VWcanada so the US will get compensation and buybacks, I hope you plan to do the same for us and our "clean" diesels. #dieselgate #VW</t>
  </si>
  <si>
    <t>Pale Blue Dot, Universe</t>
  </si>
  <si>
    <t>Life: From stardust to sweaty, awkward primate...good times.</t>
  </si>
  <si>
    <t>breanne shaw</t>
  </si>
  <si>
    <t>Albury, Australia</t>
  </si>
  <si>
    <t>✌️</t>
  </si>
  <si>
    <t>Peter Crain</t>
  </si>
  <si>
    <t>#Abgasbetrug: #VW zahlt #Schadenersatz - https://t.co/KDxIDETkjt https://t.co/hZiDgNpoLh</t>
  </si>
  <si>
    <t>Politologe/PR-Referent Themen: Erneuerbare Energien, Energiepolitik, Energiewende, Klimaschutz</t>
  </si>
  <si>
    <t>Terry Hatfield</t>
  </si>
  <si>
    <t>"#VW to pay each U.S. customer $5,000 to settle #dieselgate: Die Welt" by @TerryHatfield3 on @LinkedIn https://t.co/ehPd0sMwCj</t>
  </si>
  <si>
    <t>General Manager John Wiesner Inc selling and servicing Buick GMC, Hyundai, Isuzu Medium Duty and UD Medium Duty Trucks Hobbies Music Promotion &amp; Organic Farming</t>
  </si>
  <si>
    <t>エメットXL.ブラウン</t>
  </si>
  <si>
    <t>フォルクスワーゲンの親子でロボット作るCM ものづくりにこだわってますよ的なやつ あれだけ非道い排ガス規制の不正しておいて よくそんなアピールできるなあ。 ほとぼりも冷めただろうから そろそろ好感度上げとくか ってことか。 #フォルクスワーゲン #VW #CM #三菱自動車</t>
  </si>
  <si>
    <t>Der deutsche #VW Kunde der Dumme? In den #USA bekommen Geschädigte des #emissionsscandal 5000 Dollar Entschädigung. https://t.co/BUUZpJDbcn</t>
  </si>
  <si>
    <t>eBay: 64 Plate VW Transporter T5 HIGHLINE… https://t.co/6yzjKSLIgB #vwcamper #vwbus #vw https://t.co/ZEadscsjBy https://t.co/oaUi3pYwxx</t>
  </si>
  <si>
    <t>adam beeson</t>
  </si>
  <si>
    <t>Buy back my TDI + $5K settlement = fair, but I'll never buy #VW again.</t>
  </si>
  <si>
    <t>along the cheddar curtain</t>
  </si>
  <si>
    <t>My personal look at the world of tech, health care, politics, sports and a smattering of work related content from G2 Crowd - but don't quote me on that stuff.</t>
  </si>
  <si>
    <t>Reinhard Kreisel</t>
  </si>
  <si>
    <t>Impressum: https://t.co/9EkifxSotc</t>
  </si>
  <si>
    <t>WDR</t>
  </si>
  <si>
    <t>RT @aktuelle_stunde: Der deutsche #VW Kunde der Dumme? In den #USA bekommen Geschädigte des #emissionsscandal 5000 Dollar Entschädigung. ht…</t>
  </si>
  <si>
    <t>Hier gibt's Tweets und Periscope-Streaming vom WDR. Impressum: https://t.co/Ebt4dlDRjX</t>
  </si>
  <si>
    <t>US-Korrespondent: "VW will Schaden kalkulierbar halten" https://t.co/lM3iai76j9 #VW</t>
  </si>
  <si>
    <t>Ziyaad Mohomed</t>
  </si>
  <si>
    <t>Too big of a character to be explained in 160 characters. Just as confused as you are. Instagram : ziyaggy</t>
  </si>
  <si>
    <t>#VW issues says it "intends to compensate its customers fully" after deal w/ on rigged emissions, but $$$ amount remains unclear.</t>
  </si>
  <si>
    <t>@greeksinart https://t.co/wF7jqdc5Fb Smarter #Germans or #Cheating #Germany=#EU? #VW scandal unique? #UK decide!! https://t.co/F0xgxsVk96</t>
  </si>
  <si>
    <t>Dewickie</t>
  </si>
  <si>
    <t>Münster NRW</t>
  </si>
  <si>
    <t>Der Sinn des Lebens........ 42....</t>
  </si>
  <si>
    <t>RT @celiacernadas: L'acord li pot costar milers de milions de $ a #VW, i no li evita les sancions administratives per haver violat lleis fe…</t>
  </si>
  <si>
    <t>Dr. A.  Kudascheff</t>
  </si>
  <si>
    <t>Kommentar: Ein Krümel, kein Meilenstein im #VW-Skandal https://t.co/RfYppt6JPb via @dw_deutsch</t>
  </si>
  <si>
    <t>editor in chief / Chefredakteur of @DeutscheWelle</t>
  </si>
  <si>
    <t>sickgaming</t>
  </si>
  <si>
    <t>Hätte ich Geld würde ich jetzt ganz viele #VW Aktien kaufen, nach Mitsubishi kommt bestimmt noch Toyota ans Licht und dann bin ich reich. ;(</t>
  </si>
  <si>
    <t>That Is the Statement of DOJ on #VW-Deal: @BILD @BILD_Reporter #dieselgate https://t.co/CkIWgqaaaj</t>
  </si>
  <si>
    <t>Alexander PioneerOne</t>
  </si>
  <si>
    <t>@tagesschau Will the #US buy #VW to humiliate #Germany?</t>
  </si>
  <si>
    <t>Saint Petersburg, Russia</t>
  </si>
  <si>
    <t>Olgino</t>
  </si>
  <si>
    <t>Ohrgefluester</t>
  </si>
  <si>
    <t xml:space="preserve">Piratenfraktion NRW / WWU </t>
  </si>
  <si>
    <t>Open Science</t>
  </si>
  <si>
    <t>UPDATED with #VW statement: #Volkswagen settlement with EPA announced over #diesel emission scandal https://t.co/Fscth79vAg #TDI #DieselGate</t>
  </si>
  <si>
    <t>#VW'den #Elektrikli ... - https://t.co/GsyJCz4pQ9 - #Araba #Budde #Budde #Concept #Konsept #Nesil #Otomobil https://t.co/JKyP1K90pU</t>
  </si>
  <si>
    <t>Dennistesia</t>
  </si>
  <si>
    <t>Parra tragic.Love a punt, and getting amongst it. Eels 2015...</t>
  </si>
  <si>
    <t>#VW, Justice Department reach #diesel emissions deal https://t.co/UXJdVXQdk1</t>
  </si>
  <si>
    <t>Nicole</t>
  </si>
  <si>
    <t>insta - nicolegeorge789</t>
  </si>
  <si>
    <t>dont stop smiling! :)</t>
  </si>
  <si>
    <t>WNUR News</t>
  </si>
  <si>
    <t>Ride the news wave at noon on 89.3FM. Hefty fines for #Uber, #VW buybacks, getting aid to #Syria, #McDonalds fries rumors, and more!</t>
  </si>
  <si>
    <t>Evanston, Illinois</t>
  </si>
  <si>
    <t>@northwesternu's award-winning broadcasting program. Hear us on WNUR 89.3 FM every weekday at 12PM and 5PM.</t>
  </si>
  <si>
    <t>CatInfo Economia</t>
  </si>
  <si>
    <t>Compte oficial de la secció d'Economia dels Serveis Informatius de @CatalunyaRadio i @CatInformacio</t>
  </si>
  <si>
    <t>VolkswagenofStockton</t>
  </si>
  <si>
    <t>The "R" stands for ready to rumble! #VW #GolfR #ReadyToRumble https://t.co/7dXqBr0SaD</t>
  </si>
  <si>
    <t>PrimeResponse</t>
  </si>
  <si>
    <t>Stockton, CA</t>
  </si>
  <si>
    <t>Volkswagen of Stockton is focused on providing customers with an honest and simple buying experience. 2991 Auto Center Circle, Stockton, CA 95212. (209)227-2057</t>
  </si>
  <si>
    <t>موضي</t>
  </si>
  <si>
    <t>‏‏‏‏‏‏‏‏‏‏‏إدارة أعمال..في القطاع الخاص..ثقتي بالله ﻻحدود لها..أحب الصالحين ولست منهم.. هنا أتابع أفكار ﻻ أشخاص..</t>
  </si>
  <si>
    <t>«jorge»</t>
  </si>
  <si>
    <t xml:space="preserve"> ✌Los Conocí 04/10/13✌</t>
  </si>
  <si>
    <t>Una aventura de tres años que llego a su fin</t>
  </si>
  <si>
    <t>rrrrr</t>
  </si>
  <si>
    <t>@BBCBreaking @BBCNews "Greediness"? It's #vw who have been greedy by deceiving govts &amp; customers</t>
  </si>
  <si>
    <t>Mikey</t>
  </si>
  <si>
    <t>. @vw Product and Technolgy Manager Mark Gillies kicks off the Safety and Technology Event. #VW https://t.co/FPA7Mfurgo</t>
  </si>
  <si>
    <t>Robot. Automotive Writer.</t>
  </si>
  <si>
    <t>KSWO 7NEWS</t>
  </si>
  <si>
    <t>VW to pay $1B to diesel owners, buy back some cars https://t.co/1He0wi0rUN #VW #Diesel #BuyBack #Fix</t>
  </si>
  <si>
    <t>Lawton, OK</t>
  </si>
  <si>
    <t>Send us your story ideas. news@kswo.com</t>
  </si>
  <si>
    <t xml:space="preserve"> +++@BILD exclusive:The #VW-Deal. Boss Müller was not at the table for agreement:https://t.co/eJ22pcceha #dieselgate https://t.co/Ns0cFbPcXN</t>
  </si>
  <si>
    <t>L3ONARD</t>
  </si>
  <si>
    <t>Me drawing a vw golf mk2 &lt;3 #golfmk2 #VW #art #badart lol ...i suck https://t.co/1LEvaxacGf</t>
  </si>
  <si>
    <t>croatia,zagreb</t>
  </si>
  <si>
    <t>wazzap , i train krav maga and trying to get fit and get some nice muscles and abs lol , keep folowing to see my progres with home workout #workout #homeworkout</t>
  </si>
  <si>
    <t>Roland Weber</t>
  </si>
  <si>
    <t>mikepbeausang</t>
  </si>
  <si>
    <t>RT @johnvoelcker: UPDATED with #VW statement: #Volkswagen settlement with EPA announced over #diesel emission scandal https://t.co/Fscth79v…</t>
  </si>
  <si>
    <t>Petrol Head married to a petrol head, why fill up a V8 to feel good? For me the best fun is below 1000kgs.Live life, drive lightweights and laugh!</t>
  </si>
  <si>
    <t>RT @MiManske: +++@BILD exclusive:The #VW-Deal. Boss Müller was not at the table for agreement:https://t.co/eJ22pcceha #dieselgate https://t…</t>
  </si>
  <si>
    <t>RT @MiManske: That Is the Statement of DOJ on #VW-Deal: @BILD @BILD_Reporter #dieselgate https://t.co/CkIWgqaaaj</t>
  </si>
  <si>
    <t>#VW says will give customers option of buyback or repair, but has not info on what repair involves</t>
  </si>
  <si>
    <t>Alison Gerber</t>
  </si>
  <si>
    <t>#VW to buy back the cars with rigged emissions or or fix them, a judge says. https://t.co/d0l6Szluhd https://t.co/WmUVYtYD77</t>
  </si>
  <si>
    <t>Chattanooga, Tenn.</t>
  </si>
  <si>
    <t>I tweet stories about TN, GA &amp; AL plus occasional pictures of my dog. Editor @timesfreepress. Journalism true believer.</t>
  </si>
  <si>
    <t>Herbie</t>
  </si>
  <si>
    <t>Jaaaaaaa, da gibt es ja auch Anwälte die da geil drauf sind! #USA #VW #emissionsscandal https://t.co/gCHPCKFbfy</t>
  </si>
  <si>
    <t>Bielefeld, Deutschland</t>
  </si>
  <si>
    <t>Ich schreibe wie mir der Schnabel gewachsen ist. Altenpfleger a.D. Stimmungsschwankend.Musik- und #Birkenstock-verrückt. Glücklich verheiratet❤️</t>
  </si>
  <si>
    <t>ICON 4x4 and Customs</t>
  </si>
  <si>
    <t>Something wicked this way comes! #wildthing #vw #vwthing #icon #iconev #iconderelict #zelectric https://t.co/OBMeIqsmmR</t>
  </si>
  <si>
    <t>Los Angeles</t>
  </si>
  <si>
    <t>Automotive designer and lunatic. CEO of ICON and TLC. Bringing a fresh perspective to custom vehicle design.</t>
  </si>
  <si>
    <t>Mike Elk</t>
  </si>
  <si>
    <t>RT @aligerb: #VW to buy back the cars with rigged emissions or or fix them, a judge says. https://t.co/d0l6Szluhd https://t.co/WmUVYtYD77</t>
  </si>
  <si>
    <t>Chattanooga, TN</t>
  </si>
  <si>
    <t>Founder forthcoming @PaydayReport. Member, Washington-Baltimore NewsGuild. Alum @POLITICO @InTheseTimesMag. views just that of a yinzer! mike.elk@gmail.com</t>
  </si>
  <si>
    <t>Hannes Pahl</t>
  </si>
  <si>
    <t>Memorable moment! #VW #passat #passatlove #djcar #moretocome https://t.co/mQLtXGHWwM</t>
  </si>
  <si>
    <t>Michelle Walsh</t>
  </si>
  <si>
    <t>Writer, Website publisher, columnist, television presenter, short film maker, humorist and travel writer with mad home cooking skills.</t>
  </si>
  <si>
    <t>Passion 4</t>
  </si>
  <si>
    <t>whatcho lookin' at! 😈 brilliant #BlackOut #covers #BusEyes by #FabrikInteriors #NoChintzyCurtains #VW #camper https://t.co/VImzT1jiDY</t>
  </si>
  <si>
    <t>near the sea</t>
  </si>
  <si>
    <t>Passion 4 works as a design collective, producing creative solutions across a range of media including print, online, social or whatever else floats the boat!</t>
  </si>
  <si>
    <t>Sorry_I_didn't_know</t>
  </si>
  <si>
    <t>Cautiously optimistic :/ #vwcares? Nope! #vw #tdi #buybackmytdi</t>
  </si>
  <si>
    <t>Connecticut, USA</t>
  </si>
  <si>
    <t>Just an incredibly disappointed TDI owner with some nice bumper stickers for sale.</t>
  </si>
  <si>
    <t>ZDF heute journal</t>
  </si>
  <si>
    <t>#VW und die US-Behörden haben sich in der Abgas-Affäre geeinigt: Von Rückkäufen und „substanziellem Schadenersatz“ ist die Rede 21:45 #ZDF</t>
  </si>
  <si>
    <t>Mainz • Deutschland</t>
  </si>
  <si>
    <t>Das aktuelle Nachrichtenmagazin des @ZDF. Tweets zur Sendung: #heutejournal</t>
  </si>
  <si>
    <t>BenjaminCraft-Rendon</t>
  </si>
  <si>
    <t>Houston</t>
  </si>
  <si>
    <t>Freedom is the capacity to pause between stimulus and response ~Rollo May #UU #StopTarSands</t>
  </si>
  <si>
    <t>RT @zeitonline: Nach der US-Einigung wird der Ruf lauter, dass #VW auch in Europa auf die #dieselgate-Kunden zugeht. (mbr) https://t.co/VUs…</t>
  </si>
  <si>
    <t>urbanaid</t>
  </si>
  <si>
    <t>#RT @VCDeV: #VW einigt sich mit US-Behörden auf Entschädigung im #Abgasskandal. Und was ist mit #EU? … https://t.co/eQOcTVQQkv</t>
  </si>
  <si>
    <t>Für #Menschlichkeit</t>
  </si>
  <si>
    <t>heifi</t>
  </si>
  <si>
    <t>im Unruhestand, aber nicht uninteressiert</t>
  </si>
  <si>
    <t>탑</t>
  </si>
  <si>
    <t>빅뱅's 탑 // Fav. #RapperSquad</t>
  </si>
  <si>
    <t>Björn Dake</t>
  </si>
  <si>
    <t>Ist der #VW Skandal ausgestanden? Was bedeutet US-Einigung für deutsche Autobesitzer? Fragen an @FelixLincke um 19.20h auf #B5aktuell @BR24</t>
  </si>
  <si>
    <t>Redakteur/Moderator bei B5aktuell @BR24 (Persönliches Profil)</t>
  </si>
  <si>
    <t>eBay: vw t5 camper van https://t.co/eWQuNaVLqR #vwcamper #vwbus #vw https://t.co/ZEadscsjBy https://t.co/BaNV2rvnlX</t>
  </si>
  <si>
    <t>Jutge no ha revelat compensació que #VW pagarà als propietaris de cotxes trucats als EUA, però es parla de 5000$. A Europa no ha estat aixì</t>
  </si>
  <si>
    <t>Álvaro Botella</t>
  </si>
  <si>
    <t xml:space="preserve">Australia </t>
  </si>
  <si>
    <t>I don't know where I'm going, but I'm going on my way</t>
  </si>
  <si>
    <t>Juan Pablo Perl B.</t>
  </si>
  <si>
    <t>No creo que los casos de #vw y #mitsubishi busquen empeorar el sector. Busca trasparentar y bajar a tierra números inalcanzables d emisiones</t>
  </si>
  <si>
    <t>Santiago</t>
  </si>
  <si>
    <t>Ing. Comercial</t>
  </si>
  <si>
    <t>bailey</t>
  </si>
  <si>
    <t>Innocent with a crazy fun side</t>
  </si>
  <si>
    <t>@kahld45</t>
  </si>
  <si>
    <t>#Vw Offer #Buy Back Nearly #U.s. #DieselCars, Sources Say: https://t.co/WM1JEWpDE0, https://t.co/Jkwof3SRei https://t.co/d8mFXwJtTn</t>
  </si>
  <si>
    <t>Lars Klint</t>
  </si>
  <si>
    <t>A Dane down under. Windows Phone MVP, Pluralsight author, blogger and car nut. Will talk for hours on Nokia and Windows Phone.</t>
  </si>
  <si>
    <t>RT WDR: RT aktuelle_stunde: Der deutsche #VW Kunde der Dumme? In den #USA bekommen Geschädigte des #emissionsscand… https://t.co/zqbZuAU74o</t>
  </si>
  <si>
    <t>Andreas Schubert</t>
  </si>
  <si>
    <t>RT @DiePressecom: Abgasskandal: #VW einigt sich mit US-Behörden auf Eckpunkte. https://t.co/n1ZsDtZIaS</t>
  </si>
  <si>
    <t>Vienna, Austria</t>
  </si>
  <si>
    <t>E.P.T - Energy Project Team - Energieeffizienzbeauftragter u. Manager, https://t.co/yNGkyZMAkA… = E-Mail:andreas-schubert@live.at</t>
  </si>
  <si>
    <t>Mowgs</t>
  </si>
  <si>
    <t>Andreas Mueller</t>
  </si>
  <si>
    <t>Die Deutschland AG auf dem Weg in die Insolvenz. #VW</t>
  </si>
  <si>
    <t>film guy - editor - coder - politics freak - nerd.</t>
  </si>
  <si>
    <t>Daniel Kerpen</t>
  </si>
  <si>
    <t>"Schoßhündchen, Waschlappen, Lusche am Steuer" #Dobrindt in #VW #Abgasaffäre : Weichgeschaltet https://t.co/SSlkoM0vBB via @SPIEGELONLINE</t>
  </si>
  <si>
    <t>Neumagen/WIL + Aachen, Germany</t>
  </si>
  <si>
    <t>Soziologe, Medien- u. Politikwissenschaftler (RWTH Aachen University), Jg. 1979; Sociologist, interested in media studies, born 1979.</t>
  </si>
  <si>
    <t>RT @celiacernadas: Jutge no ha revelat compensació que #VW pagarà als propietaris de cotxes trucats als EUA, però es parla de 5000$. A Euro…</t>
  </si>
  <si>
    <t>Hans The German</t>
  </si>
  <si>
    <t>RT @heutejournal: #VW und die US-Behörden haben sich in der Abgas-Affäre geeinigt: Von Rückkäufen und „substanziellem Schadenersatz“ ist di…</t>
  </si>
  <si>
    <t>Dont dream - do it</t>
  </si>
  <si>
    <t>Patrick Steen</t>
  </si>
  <si>
    <t>VW will pay substantial compensation to US diesel #car owners. What about Brits? Sign our petition to pressure #VW: https://t.co/tKJOt0Tv8c</t>
  </si>
  <si>
    <t>Editor on @WhichUK Conversation and digital campaign manager for Which? campaigns. These words are very much my own.</t>
  </si>
  <si>
    <t>Isabelle Buscke</t>
  </si>
  <si>
    <t>Kann mir nicht vorstellen, dass europ. #VW Kunden das akzeptieren: US-Kunden haben die Wahl:Nachrüsten o. Umtauschen https://t.co/j0DAqPQod9</t>
  </si>
  <si>
    <t>Born FR &amp; DE = die-hard European. Head of @vzbv_brussels. Natural curiosity. Tweets mainly about politics (#consumer #EU #tech). Views my own, RT ≠ endorsement</t>
  </si>
  <si>
    <t>Sissi Pitzer</t>
  </si>
  <si>
    <t>RT @bjdake: Ist der #VW Skandal ausgestanden? Was bedeutet US-Einigung für deutsche Autobesitzer? Fragen an @FelixLincke um 19.20h auf #B5a…</t>
  </si>
  <si>
    <t>Medienjournalistin - am liebsten kritisch! u.a. verantwortlich für #BR_MedienMagazin. Hier twittere ich meine persönliche Meinung. https://t.co/T3uN0NgN23</t>
  </si>
  <si>
    <t>TOTI</t>
  </si>
  <si>
    <t>Se la banca 👊👊👊😍😍😍 #Vw #Gol #G1 https://t.co/HnXodHl1Ar</t>
  </si>
  <si>
    <t>WvR Law</t>
  </si>
  <si>
    <t>#Krisenmanager soll Aufarbeitung des Abgasskandals bewältigen #VW #dieselgate https://t.co/qg7EYZJQZS https://t.co/srDjiua7Cm</t>
  </si>
  <si>
    <t>Gewerblicher Rechtschutz, Immobilienrecht, Bank- &amp; Kapitalmarktrecht, IT-Recht, Medienrecht, Äußerungsrecht, International Law</t>
  </si>
  <si>
    <t>Ernst v. All</t>
  </si>
  <si>
    <t xml:space="preserve">Deutschland ♔ Europa </t>
  </si>
  <si>
    <t>kritischer parlamentarischer Saaldiener ♔ Frühstücksphilosoph ♔ Hashtag-Aktivist ♔ Ums-Eck-Denker ♔ #NoNazis ♔ #PanamaPapers</t>
  </si>
  <si>
    <t>to deed jobs search</t>
  </si>
  <si>
    <t>#VW reaches US deal in emissions scandal #jobs #jobsearch #: #Volkswagen will offer "substantial compensation"... https://t.co/BVN1Tqk3bX</t>
  </si>
  <si>
    <t>New York, USA</t>
  </si>
  <si>
    <t>#jobs Job Search. Find employment. Look for work and start your career. #todeed_com</t>
  </si>
  <si>
    <t>derchotv</t>
  </si>
  <si>
    <t>#VW und die #US-Behörden einigen sich außergerichtlich wegen dem #Abgasskandal:... https://t.co/MFI09Kgd8B</t>
  </si>
  <si>
    <t>Schöppingen</t>
  </si>
  <si>
    <t>derchotv - Aktuelle News und Videos: YouTube: http://t.co/lnjCYI6F8L</t>
  </si>
  <si>
    <t>Vanessa Blum</t>
  </si>
  <si>
    <t>#VW Reaches Deal in Diesel Emissions Case https://t.co/A8ty4jR5aP via @benghancock #dieselgate #legalnews https://t.co/uhThtkhZXh</t>
  </si>
  <si>
    <t>Managing Editor of The Recorder, ALM in San Francisco. Law nerd. Super-commuter. Exercise junkie. Oenophile.</t>
  </si>
  <si>
    <t>The Recorder</t>
  </si>
  <si>
    <t>#VW Reaches Deal in Diesel Emissions Case https://t.co/qVoLnw0Cak via @benghancock #dieselgate #legalnews https://t.co/qtNztB8fy0</t>
  </si>
  <si>
    <t>The Recorder is California's top source for news at the intersection of law, business and technology. In print weekly; online daily; and always free on Twitter.</t>
  </si>
  <si>
    <t>Gordon Tiede</t>
  </si>
  <si>
    <t>Berlin-Spandau</t>
  </si>
  <si>
    <t>Ben Hancock</t>
  </si>
  <si>
    <t>RT @RecorderTweets: #VW Reaches Deal in Diesel Emissions Case https://t.co/qVoLnw0Cak via @benghancock #dieselgate #legalnews https://t.co/…</t>
  </si>
  <si>
    <t>Reporter @RecorderTweets. Priors @insidetrade and @YonhapNews. Tweets on tech sector litigation, economics, travel, Korea. English/한국어.</t>
  </si>
  <si>
    <t>Auto Super</t>
  </si>
  <si>
    <t>Fusca aqui do parceiro provando que ferrugem não é crime! Auto Super (y) #fusca #rebaixado #vw #volkswagen https://t.co/kqSDyTGB0u</t>
  </si>
  <si>
    <t>Uptown Volkswagen</t>
  </si>
  <si>
    <t>Who are your most frequent travel companions? #VW #Touareg https://t.co/co1Zja43KO</t>
  </si>
  <si>
    <t>Albuquerque, NM</t>
  </si>
  <si>
    <t>Uptown Volkswagen is the best dealership in Albuquerque to find new and used VW's.</t>
  </si>
  <si>
    <t>Volkswagen  Puyallup</t>
  </si>
  <si>
    <t>#TBT #VW #Puyallup #DontWorryLeaveHappy https://t.co/THNL3zpkS4</t>
  </si>
  <si>
    <t>Puyallup, WA</t>
  </si>
  <si>
    <t>La chica linda del medio día #Sexy #female #vw #kingeuro https://t.co/FQP0pKLdGw</t>
  </si>
  <si>
    <t>Michelle T. Sullo</t>
  </si>
  <si>
    <t>Hartford, CT USA</t>
  </si>
  <si>
    <t>Managing Editor at the Connecticut Law Tribune. Email me at msullo@alm.com. Also tweeting @ghostsanovel.</t>
  </si>
  <si>
    <t>Ed Staite</t>
  </si>
  <si>
    <t>As a UK #VW owner I wonder why this isn't happening here... https://t.co/t19PWzytbo</t>
  </si>
  <si>
    <t>Where I'm needed</t>
  </si>
  <si>
    <t>International Communications and Campaign Adviser. Reputation. Training. Campaigns.</t>
  </si>
  <si>
    <t>Irmisch Photography</t>
  </si>
  <si>
    <t>Nice car #vw #histrocial #civilwar #teamironman #marvel #berlin #comic #bus #van @marvel https://t.co/vuoRnM3jLG</t>
  </si>
  <si>
    <t>Official Twitter Account for Irmisch Photography Owner: Patrick Goretzky</t>
  </si>
  <si>
    <t>Leto</t>
  </si>
  <si>
    <t>Leproso desde la cuna hasta el cajon. Tatista,bielsista y messista / Instagram: letonob</t>
  </si>
  <si>
    <t>Vila;Pep #SíSí</t>
  </si>
  <si>
    <t>Fill de pagesos, treballador, republicà i independentista; m'agrada enraonar i també xerrar; em sento hereu de tots els que han passat pel meu país.</t>
  </si>
  <si>
    <t>Ruhrpottbaby ✏️</t>
  </si>
  <si>
    <t>- #Ruhrgebiet - #Χαλκιδική</t>
  </si>
  <si>
    <t>19.10.2014 - Kalimera Ellada - --- polit. rot - ROT - gruen ... ... ... ... #Verdi #Essen #Bezirksvorstand ... https://t.co/HBz1j9rI7Z</t>
  </si>
  <si>
    <t>Hans Koberstein</t>
  </si>
  <si>
    <t>RT @Frontal21: #Abgasskandal: #VW einigt sich mit US-Behörden auf Eckpunkte https://t.co/T3wvD9vf2B</t>
  </si>
  <si>
    <t>Redakteur @Frontal21 - hier privat</t>
  </si>
  <si>
    <t>Udo Maaß</t>
  </si>
  <si>
    <t>@DerWesten Was passiert nach der Einigung mit den Prämien?Jetzt hat doch #VW gespart! Urteil ist doch teurer,da wird was fällig #Dieselgate</t>
  </si>
  <si>
    <t xml:space="preserve">Neuenkirchen </t>
  </si>
  <si>
    <t>Jackie Leonard</t>
  </si>
  <si>
    <t>Live: The Newsroom here ---&gt; https://t.co/nFg3NZyDvp - 📻 @theothebald on #VW offer to address emissions scandal</t>
  </si>
  <si>
    <t>Journalist/presenter The Newsroom on BBC World Service. Not a BBC spokeswoman. Occasionally facetious. RT doesn't = endorsement.</t>
  </si>
  <si>
    <t>Riverside Volkswagen</t>
  </si>
  <si>
    <t>More capable. More fun. #VW #Touareg https://t.co/pz6D9RRdBT</t>
  </si>
  <si>
    <t>Riverside, CA</t>
  </si>
  <si>
    <t>Riverside Volkswagen of Riverside, California is proudly serving the area with the largest selection of new and certified pre-owned vehicles.</t>
  </si>
  <si>
    <t>Detlef Kaiser</t>
  </si>
  <si>
    <t>RT @ibuscke: Kann mir nicht vorstellen, dass europ. #VW Kunden das akzeptieren: US-Kunden haben die Wahl:Nachrüsten o. Umtauschen https://t…</t>
  </si>
  <si>
    <t>Westfale - gehe zum Lachen in den Keller. lch folge nicht - höchstens den Anweisungen meiner Frau (nicht immer, sagt sie).</t>
  </si>
  <si>
    <t>Prison Planet</t>
  </si>
  <si>
    <t>Voluntarist, Naturalist, Waldgänger &amp; IT'ler. Freier Markt für freie Menschen.</t>
  </si>
  <si>
    <t>Mone</t>
  </si>
  <si>
    <t>Niemand muss #VW fahren.</t>
  </si>
  <si>
    <t xml:space="preserve">2. Stock links </t>
  </si>
  <si>
    <t>Wartet jetzt auf den Sommer ...</t>
  </si>
  <si>
    <t>Tokan Photography</t>
  </si>
  <si>
    <t>#vw #jettamk1 #rollhard #worthersee2016 #bbs #low #stance #slammed @Volkswagen @BBSWheelsUSA @RollHardd https://t.co/2aGRGweUWB</t>
  </si>
  <si>
    <t>Maubeuge, Nord-Pas-de-Calais</t>
  </si>
  <si>
    <t>Gewitterziege</t>
  </si>
  <si>
    <t>US-Bürger bekommen 4.500 Euro für ihren Schummel-#VW und wir bekommen ein höheres #Renteneintrittsalter. Passt! #heute #Scheuble #Dieselgate</t>
  </si>
  <si>
    <t>Der fette Vogel fing den Wurm!</t>
  </si>
  <si>
    <t>Arnold Melm</t>
  </si>
  <si>
    <t>Der deutsche #VW-Kunde ist weniger wert als der amerikanische. Gut, keine #Aktien von diesem halbstaatlichen Unternehmen zu haben.</t>
  </si>
  <si>
    <t>PR-Berater (DAPR). Value-based Communication. Reputation. Social Media. Online-PR. Impressum: http://t.co/TL6ofLNefK</t>
  </si>
  <si>
    <t>University VW Mazda</t>
  </si>
  <si>
    <t>Check This Out! Get up to $4000 Off MSRP on 2016 #Passat at University #VW #Albuquerque #NM https://t.co/wgeTM8Vm0I https://t.co/bkxXtY9We8</t>
  </si>
  <si>
    <t>Family owned dealership! Award winning service department! We specialize in #VW and #Mazda, but we always have a wide variety when it comes to used vehicles!</t>
  </si>
  <si>
    <t>RA Uwe Block</t>
  </si>
  <si>
    <t>Berkholz-Meyenburg</t>
  </si>
  <si>
    <t>Rechtsanwalt seit über 30 Jahren - Erbrecht - Verkehrsrecht - Familienrecht - Arbeitsrecht - mit eigenem Rechtsblog - Impressum: http://t.co/9VHZ9MN9fi</t>
  </si>
  <si>
    <t>Awesome Deal! Get up to $3250 OFF MSRP on 2016 #Jetta at University #VW #Albuquerque #NM https://t.co/No8b9uONhQ https://t.co/liQ4OQ9Lee</t>
  </si>
  <si>
    <t>#Volkswagen #Tuning //MD #Vw #dapper #Cambergang #StanceWork #RoyalStance https://t.co/17sH8F5eyS https://t.co/Zc1vwIZlho</t>
  </si>
  <si>
    <t>#VW reaches #US deal in #emissions scandal - https://t.co/Ynuex4cfMW</t>
  </si>
  <si>
    <t>RT @kngeuro: La chica linda del medio día #Sexy #female #vw #kingeuro https://t.co/FQP0pKLdGw</t>
  </si>
  <si>
    <t>Menno Broers</t>
  </si>
  <si>
    <t>#sjoemeldiesels #VW #Audi #Mitsubishi https://t.co/f7XfjzJLO2</t>
  </si>
  <si>
    <t>Cholita #1</t>
  </si>
  <si>
    <t>Buenos Aires, Argentina</t>
  </si>
  <si>
    <t>Snap: Nicoleailen00 disculpen pero solo pertenezco a mi bf @BRojasSilva</t>
  </si>
  <si>
    <t>Karin Lampart</t>
  </si>
  <si>
    <t>Markt Schwaben bei München</t>
  </si>
  <si>
    <t>BR-Journalistin (B5aktuell = @BR24) Fotografin, Malerin. ¡Muchos años en México!</t>
  </si>
  <si>
    <t>S. Leid</t>
  </si>
  <si>
    <t>Ich bin S. Leid!</t>
  </si>
  <si>
    <t>SeaJay's Detailing</t>
  </si>
  <si>
    <t>2014 #VW #sportwagontdi received our Gloss-Coat package today. #seajaysdetailing #glosscoat @… https://t.co/QtSkuWsnj9</t>
  </si>
  <si>
    <t>Billerica, MA</t>
  </si>
  <si>
    <t>SeaJay’s offers a wide array of options including scratch removal, steam cleaning, ceramic paint coatings, paint protection film, window tinting, and much more!</t>
  </si>
  <si>
    <t>Cars UK</t>
  </si>
  <si>
    <t>New Volkswagen Amorak Pick-Up previewed – arrives in the UK late 2016 #VW https://t.co/DQt2gedTTj https://t.co/ZysndSVAiQ</t>
  </si>
  <si>
    <t>Obsessive about all things car. News | Views | Comment</t>
  </si>
  <si>
    <t>Cars UK Listings</t>
  </si>
  <si>
    <t>RT @CarsUK: New Volkswagen Amorak Pick-Up previewed – arrives in the UK late 2016 #VW https://t.co/DQt2gedTTj https://t.co/ZysndSVAiQ</t>
  </si>
  <si>
    <t>The perfect place for YOUR car business (or hotel or restaurant). Real people looking for what YOU have to offer. Est. 2008</t>
  </si>
  <si>
    <t>John Overend</t>
  </si>
  <si>
    <t>Immersed in bringing new technologies to market. Exec Ed Cars UK. Dad. Husband. Car nut. Not necessarily in that order.</t>
  </si>
  <si>
    <t>DealerCoupons.ca</t>
  </si>
  <si>
    <t>#VW to offer substantial payout to car owners &amp; buy-back in US deal over emissions scandal #dieselgate #Volkswagen https://t.co/nBQLvDcF2z</t>
  </si>
  <si>
    <t>Our site offers coupons and exclusive deals at New Car Dealers. No membership or registration is required; simply click and print your offer.</t>
  </si>
  <si>
    <t>VW, Justice Department reach diesel emissions deal https://t.co/nvVvdhTbF6 #VW #AutoNews</t>
  </si>
  <si>
    <t>Judge: VW owners can pick buybacks, fixes in emissions deal https://t.co/ilxgFp97Jn #VW #AutoNews</t>
  </si>
  <si>
    <t>VW, Justice Department reach diesel emissions deal https://t.co/D10f3eWZqf #VW #AutoNews</t>
  </si>
  <si>
    <t>OrchidBeautySpa</t>
  </si>
  <si>
    <t>RT @epicurebeauty: Little bit of #sparkle when #driving #vw in the #sun @CharliJepson @Roo_Beauty @NailHarmonyUk @Gelish #summercoming http…</t>
  </si>
  <si>
    <t>MyRetweetUK</t>
  </si>
  <si>
    <t>Brackley, England</t>
  </si>
  <si>
    <t>Modern &amp; relaxing spa, offering a full range of treatments including, massage, @gelish nails, facials and much more!</t>
  </si>
  <si>
    <t>Timo Zimmermann</t>
  </si>
  <si>
    <t>Ayman Omar</t>
  </si>
  <si>
    <t>#VW https://t.co/iObDZCTDGC</t>
  </si>
  <si>
    <t>MENA &amp; Turkey</t>
  </si>
  <si>
    <t>Kindness , People</t>
  </si>
  <si>
    <t>Ryan Lores Wirshing</t>
  </si>
  <si>
    <t>....also, #VW to offer to buy back nearly 500,000 #USA #diesel #cars according to sources. #VolksWagen https://t.co/CrzjbAgzEP</t>
  </si>
  <si>
    <t>Orlando, Florida, USA</t>
  </si>
  <si>
    <t>Lover of motorsports, space, cycling, renewable energy, the oceans &amp; life. Very proud father of two. NASA Social alumnus. Ponce, Puerto Rico native.</t>
  </si>
  <si>
    <t>Toms Briņķis</t>
  </si>
  <si>
    <t>Hipiji ir dzīvi!!! #420 #vw #vwbus #oldschool #blaze #weed https://t.co/gpOlNhiPTk</t>
  </si>
  <si>
    <t>Riga, Latvia</t>
  </si>
  <si>
    <t>social media | apple product professional | velomaniac | gadget-loving geek |</t>
  </si>
  <si>
    <t>Best of British</t>
  </si>
  <si>
    <t>We're on a mission to put the Best of British Business in front of 2 million readers. Is that you?</t>
  </si>
  <si>
    <t>Chinese Backer of Faraday Future Unveils Electric Car in Beijing via @FortuneMagazine https://t.co/sfy5c1eIwI #electriccar #electriccars #vw</t>
  </si>
  <si>
    <t>blubb_undso</t>
  </si>
  <si>
    <t>Is Apple's next product an electric car? https://t.co/BcwQ9gdN59 #electriccar #electriccars #vwgate #vw</t>
  </si>
  <si>
    <t>FanCar Picture - Send me your Scirocco pictures!!! (PM Please) #VW #Volkswagen #Scirocco #Tuning https://t.co/AnNjTS92Dg</t>
  </si>
  <si>
    <t>Bob Cockerham</t>
  </si>
  <si>
    <t>RT @UniversityVWM: Awesome Deal! Get up to $3250 OFF MSRP on 2016 #Jetta at University #VW #Albuquerque #NM https://t.co/No8b9uONhQ https:/…</t>
  </si>
  <si>
    <t>Albuquerque New Mexico</t>
  </si>
  <si>
    <t>I am a Volkswagen and Mazda Dealer in Albuquerque New Mexico and I love what I do ! https://t.co/YH1z3hUEHB</t>
  </si>
  <si>
    <t>RT @UniversityVWM: Check This Out! Get up to $4000 Off MSRP on 2016 #Passat at University #VW #Albuquerque #NM https://t.co/wgeTM8Vm0I http…</t>
  </si>
  <si>
    <t>Geek Girl</t>
  </si>
  <si>
    <t>I think I may purchase a 2014 VW Beetle, not sure yet going to look at it tomorrow. #VW #beetle #geekgirl</t>
  </si>
  <si>
    <t>Gulf Shores, AL</t>
  </si>
  <si>
    <t>geek, vaper, disabled, tattooed, pierced</t>
  </si>
  <si>
    <t>paolo zignone</t>
  </si>
  <si>
    <t>RT @DealerCouponsCa: #VW to offer substantial payout to car owners &amp; buy-back in US deal over emissions scandal #dieselgate #Volkswagen htt…</t>
  </si>
  <si>
    <t>Airasca-Torino</t>
  </si>
  <si>
    <t>Born in Turin-Piedmont-Italy Mi piace collezionare modellini di ambulanze e annulli postali della Croce Rossa. Juventino da sempre.Gobbo per sempre</t>
  </si>
  <si>
    <t>Lora Bodmer</t>
  </si>
  <si>
    <t>#VW #TDI friends: to fix or take buy back? fixing seems like the less wasteful solution, but is it foolish to trust? https://t.co/RVhNxYCWF0</t>
  </si>
  <si>
    <t>Communications for @turnaroundarts and @rbmhfilms. Friend of the earth.</t>
  </si>
  <si>
    <t>Fritz Müller</t>
  </si>
  <si>
    <t>Media Ad Group | MAG</t>
  </si>
  <si>
    <t>Media Ad Group | MAG Marketing Network is based in LA. Brands include @socialmaxorg @cajuntvnetwork @cookingwithkade @discountbomb #periscope #blab #cardealers</t>
  </si>
  <si>
    <t>Kolya Sparzhick</t>
  </si>
  <si>
    <t>#вейп #csgo #dragonlore #rx200 #awp #vapesamara #cs #vw #cosmovape keep calm and vape https://t.co/1PKX75yDtJ</t>
  </si>
  <si>
    <t>Uwe Scholz</t>
  </si>
  <si>
    <t>Hey @AlexDobrindt , denkst du immer noch, dass du deinem Job gewachsen bist? Ja? Dann empfehle ich ärztliche Behandlung. #VW</t>
  </si>
  <si>
    <t>Zimmermann, Blechschlosser, Bankausräumer, Fußbodenheizungsverleger,Schreiner, Pensionswirt,Gastgeber http://t.co/nu1UcwX70s</t>
  </si>
  <si>
    <t>RT @UniversityVWM: Check us out online for #Volkswagen or #Mazda parts! Great prices &amp; fast shipping! https://t.co/iOzUesL3og #UVM #VW http…</t>
  </si>
  <si>
    <t>Weil die US-Behörden hart sind - und keine Waschlappen wie die Deutschen. #Dobrindt #VW https://t.co/hqRvKoFt0q</t>
  </si>
  <si>
    <t>Johan Idrén</t>
  </si>
  <si>
    <t>Stockholm</t>
  </si>
  <si>
    <t>/ju:ɦɐn/</t>
  </si>
  <si>
    <t>#VW Satisfies Government With Diesel Buyback Plan - But What About VW Car Owners? https://t.co/mlTUTab2Zr</t>
  </si>
  <si>
    <t>Yake ♠</t>
  </si>
  <si>
    <t>Olavarría, Argentina</t>
  </si>
  <si>
    <t>Fútbol mi pasión, el rap mi adicción. https://t.co/ryBTMcrudb</t>
  </si>
  <si>
    <t>Could the future of electric cars be bikes? - https://t.co/A2pnyVde0y #GoogleAlerts #electriccar #electriccars #vwgate #vw</t>
  </si>
  <si>
    <t>Eleni Thomou</t>
  </si>
  <si>
    <t>RT @StZ_NEWS: #Abgas-Skandal: #VW soll mit der US-Regierung und Privatanwälten einen Vergleich erzielt haben https://t.co/RjQ2swDrkj</t>
  </si>
  <si>
    <t>Melanie Pattyn</t>
  </si>
  <si>
    <t>stadsboerderij Kortrijk / vzw den achtkanter</t>
  </si>
  <si>
    <t>Jose I. Palomo</t>
  </si>
  <si>
    <t>Alcorcon</t>
  </si>
  <si>
    <t>Segoviano de Villacastin, adoptado en Alcorcon, amarillo hasta la medula. Formador en materia de transportes y profesor de autoescuela. Un amigo de sus amigos.</t>
  </si>
  <si>
    <t>#Dobrindt: Weichgeschaltet https://t.co/ZqlTj4fcKa #VW #Abgaswerte #dieselgate</t>
  </si>
  <si>
    <t>cüneyt temiz</t>
  </si>
  <si>
    <t>RT @borsakahini: Emisyon skandalı: Mahkeme #VW'ye kendisinden istenen tüm şartları içeren, kapsamlı bir anlaşma sunması için 21 Haziran'a k…</t>
  </si>
  <si>
    <t>Türkei</t>
  </si>
  <si>
    <t>Maryland PIRG</t>
  </si>
  <si>
    <t>Standing up to powerful interests.</t>
  </si>
  <si>
    <t>DiscountBomb.Com</t>
  </si>
  <si>
    <t>Get #Freebies #Deals #Prizes with our #Rewards Program. B2C #SaveMoney #ShopLocal #Program for The New Economy! Parent Company http://t.co/T6GWFg26C0</t>
  </si>
  <si>
    <t>Renault to double electric car range by 2020 - https://t.co/3oDHM5IGSt #electriccar #electriccars #vwgate #vw</t>
  </si>
  <si>
    <t>#vw #VWlove #vwbeetle #vwboble #boble by gudrunl https://t.co/xcSZ2qff8L</t>
  </si>
  <si>
    <t>👌 #vw #vwlife #vwbeetle #vwbeetlelovers #poshwash #posh #accesspark #capetown #carporn #cargram #detailingaddicts #… https://t.co/rOtC5jG8Uc</t>
  </si>
  <si>
    <t>roan</t>
  </si>
  <si>
    <t>#Deutsche #VW-#Kunden haben die gleichen #Autos, sie haben den gleichen #Schaden, aber sie haben #Behörden, die KEINE EIER haben #Dobrindt</t>
  </si>
  <si>
    <t>Nisi infirmior essem, animo frangi possem. CHARLES DE GAULLE</t>
  </si>
  <si>
    <t>#carrecovery #cardelivery #cartransportation #vehiclelogistics #vehicletransport #newcar #vw #volkswagen #volkswage… https://t.co/tczBWkrZlE</t>
  </si>
  <si>
    <t>Jennifer</t>
  </si>
  <si>
    <t>More on US settlement deal with #VW emissions scandal. https://t.co/yMeGTCNcu8</t>
  </si>
  <si>
    <t>Eastern Ontario,Canada</t>
  </si>
  <si>
    <t>Memento Vivere.</t>
  </si>
  <si>
    <t>. #VW einigt sich außergerichtlich mit #US-#Behörden im #Abgasskandal https://t.co/PfVgzJhmQD</t>
  </si>
  <si>
    <t>Tom Harrington</t>
  </si>
  <si>
    <t>Today on #WTH @cbcradio: @armstrongcbc on #VW settlement; @slunney Carter family on death bill; @CBCMarkQuinn Confederation Building scene</t>
  </si>
  <si>
    <t>Host, The World This Hour - CBC Radio News, ex-Marketplace co-host, ex sports reporter, still proud Newfoundlander</t>
  </si>
  <si>
    <t>marc isaac potter</t>
  </si>
  <si>
    <t>TV Talk Show Producer, Workshop Leader, Poet</t>
  </si>
  <si>
    <t>Hank Grezlak</t>
  </si>
  <si>
    <t>Associate Publisher &amp; Regional Editor-in-Chief, Northeast: The Legal Intelligencer, New Jersey Law Journal, Connecticut Law Tribune, etc.</t>
  </si>
  <si>
    <t>DialogueFirst®</t>
  </si>
  <si>
    <t>Having the deal implemented successfully requires #stakeholderdialogue. #VW reaches US deal in #emissions scandal https://t.co/cHjnM28pKO</t>
  </si>
  <si>
    <t>Dordrecht</t>
  </si>
  <si>
    <t>@ the intersection of corporate communication/social responsibility/governance/ ethics/stakeholder management/public affairs. Founder: Ronald Jager</t>
  </si>
  <si>
    <t>Markus</t>
  </si>
  <si>
    <t>Lieber #VW Vorstand, ich hätte meine Entschädigung gerne in Bar! Ach so stimmt ja,Entschädigung gibt's ja nur für die Amis!.</t>
  </si>
  <si>
    <t>Bei Tippfehlern, fragen sie ihren Arzt oder Apotheker!. Alle Tweets sind ohne Gewähr!.</t>
  </si>
  <si>
    <t>Tom</t>
  </si>
  <si>
    <t>Awesome taking my bug out at the weekend for its first proper drive since 2002 #volkswagen #vw… https://t.co/NxsASmf8J8</t>
  </si>
  <si>
    <t>RT @uptownvw: Who are your most frequent travel companions? #VW #Touareg https://t.co/co1Zja43KO</t>
  </si>
  <si>
    <t>RT @riversidevw: More capable. More fun. #VW #Touareg https://t.co/pz6D9RRdBT</t>
  </si>
  <si>
    <t>Didi</t>
  </si>
  <si>
    <t>#VW ist das fair? #Abgasskandal https://t.co/1WRGTuPD8F</t>
  </si>
  <si>
    <t>Grüne Hölle Oberberg</t>
  </si>
  <si>
    <t>* Like a Bat out of Hell * * #DerClub #fcn #Glubb * #CelticFC * #Scotland * ICL * BULL * #Xerox * Tenovis * #Avaya *</t>
  </si>
  <si>
    <t>Miniatuurauto.nl</t>
  </si>
  <si>
    <t>#Majorette #Porsche #Fiat #Honda #Audi #Chevy #Vw #Bmw #Renault #Toyota #Citroen #Peugeot https://t.co/JqnT8eOY6h https://t.co/WwGwGO8AS5</t>
  </si>
  <si>
    <t>Nieuws over modelauto's uit de hele wereld. http://t.co/4CfW6P2dlw</t>
  </si>
  <si>
    <t>eBay: VW T25 camper Autohomes Kameo, Fiamma… https://t.co/tfkXj6Tc1o #vwcamper #vwbus #vw https://t.co/ZEadscsjBy https://t.co/YtAHeyfKrf</t>
  </si>
  <si>
    <t>eBay: VW T5 Camper Van https://t.co/r07km1Uypn #vwcamper #vwbus #vw https://t.co/ZEadscsjBy https://t.co/q44QhceqOr</t>
  </si>
  <si>
    <t>Luka </t>
  </si>
  <si>
    <t>#vw got me good today #gtd https://t.co/rEPRMyCFbJ</t>
  </si>
  <si>
    <t>Sylt, Germany, Europe, Earth</t>
  </si>
  <si>
    <t>Backpacking enthusiast. Forever inlove with VW Bulli's. Surfer, Snowboarder, Drone pilot, Diver.</t>
  </si>
  <si>
    <t>Charles Lane</t>
  </si>
  <si>
    <t>Hey, #VW owners looking for info on today's dieselgate settlement: don't bother going to the company's out of date Website.</t>
  </si>
  <si>
    <t>@WashingtonPost opinion writer. For most people, it would be exceedingly painful to live in a world where you get what's coming to you -- Pat Moynihan.</t>
  </si>
  <si>
    <t>As #VW owners hunt for information about settlement of diesel-gate, company's own website remains info-free https://t.co/GGvuN54WdC</t>
  </si>
  <si>
    <t>Kneecap Media</t>
  </si>
  <si>
    <t>RT @Passion_4: whatcho lookin' at! 😈 brilliant #BlackOut #covers #BusEyes by #FabrikInteriors #NoChintzyCurtains #VW #camper https://t.co/V…</t>
  </si>
  <si>
    <t>Hastings, England</t>
  </si>
  <si>
    <t>Sasha Pachito</t>
  </si>
  <si>
    <t>Torn. Love my #VW: I don't want the fix that will cause lower mpg but a buyback + $ is tempting. https://t.co/X7LD9W2OSo</t>
  </si>
  <si>
    <t>Chandler, AZ</t>
  </si>
  <si>
    <t>Get to know me: Transportation Planner. Mother. Nerd. Lacrosse goalie. Ivy Educated. 1/2 Japanese &amp; 1/2 Native from Soboba Rez.</t>
  </si>
  <si>
    <t>First #VW, now #Mitsubishi: After the latest cheating scandal, would you be more likely to buy an electric vehicle?</t>
  </si>
  <si>
    <t>Golf Türkiye</t>
  </si>
  <si>
    <t>Holy - hash : #vw #volkswagen #vwgolf - https://t.co/cstdbA3jg4 - Holy</t>
  </si>
  <si>
    <t>Golf Türkiye - OAuth</t>
  </si>
  <si>
    <t>Golf Türkiye, Türkiye`de VolksWagen otomobil grubunun Golf modelini sergiler. Tamamen bağımsız ve Türkiye`nin lider VW Golf kulübüdür.</t>
  </si>
  <si>
    <t>Dani's Law &amp; Policy</t>
  </si>
  <si>
    <t>#VW Reaches Deal in Diesel #Emissions Case https://t.co/0jIpPjF5xh via @RecorderTweets</t>
  </si>
  <si>
    <t>NYCer in Tampa BWO Atlanta, GA</t>
  </si>
  <si>
    <t>For the Legally &amp; Politically Inclined. #Realtor Paralegal. Legal Analyst Dani Atherton, MBA PhDc. Cynic. Realist. *Opinions My Own* #GWU Alum @Help4OurFathers</t>
  </si>
  <si>
    <t>Ewald Devic</t>
  </si>
  <si>
    <t>Der saubere Diesel: ein weiteres #Sommermärchen (ab 20 Grad) der Deutschen, an das wir #glauben wollen #vw #dobrint # #opel #bmw #mercedes</t>
  </si>
  <si>
    <t>Arthur K. Fullerton</t>
  </si>
  <si>
    <t>Why finding a fix for #VW's cheating #diesels is taking so long Intentional #fraud built into whole car design https://t.co/dVT2Ef38Cm</t>
  </si>
  <si>
    <t>Hudson River Valley</t>
  </si>
  <si>
    <t>Build on strengths!</t>
  </si>
  <si>
    <t>Thomas Braun</t>
  </si>
  <si>
    <t>#VW künftig meiden, so einfach ist das. #nurmalso https://t.co/xFSh8kRmn7</t>
  </si>
  <si>
    <t>Wha daur meddle wi´ me?</t>
  </si>
  <si>
    <t>Rechtsanwalt und Mediator</t>
  </si>
  <si>
    <t>C Philippe</t>
  </si>
  <si>
    <t>#scandaleVW Accord trouvé entre autorités US et la marque #VW https://t.co/7hsxx8Lgn6</t>
  </si>
  <si>
    <t>LOIRE</t>
  </si>
  <si>
    <t>Deutschlehrer a.D./Germanteacher retired.Opéra,Histoire,Civilisations,Généalogie, l'Allemand/Geschichte,Oper, klassische Musik,Ahnenforschung</t>
  </si>
  <si>
    <t>eBay: VW Transporter T5 campervan LWB 174… https://t.co/n0hCAR4iP9 #vwcamper #vwbus #vw https://t.co/ZEadscsjBy https://t.co/SXv6JZwsDa</t>
  </si>
  <si>
    <t>eBay: 2010 VW Transporter T5 2.0 TDI T28… https://t.co/kCZCxKtSKU #vwcamper #vwbus #vw https://t.co/ZEadscsjBy https://t.co/Eb5BMWrF9C</t>
  </si>
  <si>
    <t>Traffic Tommy</t>
  </si>
  <si>
    <t>Judge gives #VW owners option of buybacks, fixes: https://t.co/lC9BvZSX3Q #dieselgate</t>
  </si>
  <si>
    <t>U.S.A.</t>
  </si>
  <si>
    <t>TrafficSafety4u is an alliance of traffic safety educators working to make driving safer, simpler, and more fun. Safer motorists are our driving passion!</t>
  </si>
  <si>
    <t>olaf26 </t>
  </si>
  <si>
    <t>#vw RT @sternde: VW-Deal in den USA: 5000 Dollar für US-Kunden - und für Deutsche gibt ... (cont) https://t.co/Z15c7ENd9g</t>
  </si>
  <si>
    <t>♠Wolfenbüttel♠</t>
  </si>
  <si>
    <t>CarComplaints.com</t>
  </si>
  <si>
    <t>VW offers to buy back diesels. I guess they're going "green" after all. https://t.co/oLONWb47Zf #vw https://t.co/n7a9d2hijt</t>
  </si>
  <si>
    <t>Vermont</t>
  </si>
  <si>
    <t>Squeaks, bangs, odd smells or other car problems? Find out what's wrong with your car for free at http://t.co/xRMqxdOJAn</t>
  </si>
  <si>
    <t>York Volkswagen</t>
  </si>
  <si>
    <t>There's nothing better than an ice-cold #Coke and an air-cooled #VW. #ThrowbackThursday https://t.co/6nCdlwqCc1</t>
  </si>
  <si>
    <t>Timmons Volkswagen</t>
  </si>
  <si>
    <t>There's nothing better than an ice-cold #Coke and an air-cooled #VW. #ThrowbackThursday https://t.co/9X0lHcaudv</t>
  </si>
  <si>
    <t>Long Beach, CA</t>
  </si>
  <si>
    <t>We deliver fun! And offer you great deals on new and used #Volkswagen models. Come and visit us in #LongBeach today!</t>
  </si>
  <si>
    <t>Doug Couse</t>
  </si>
  <si>
    <t>#VW Said to Pay At Least $10 Billion in U.S. #Cheating Deal - Bloomberg https://t.co/SvFv4rq9Xe</t>
  </si>
  <si>
    <t>An Amazon best seller in religious/spiritual warfare. Angels and demons, what will Revelation reveal to you? http://t.co/ovSeAu1wcs</t>
  </si>
  <si>
    <t>Tony Gilham</t>
  </si>
  <si>
    <t>txmmy_gilham what do you think of your new @teamhardracing bedroom? #BTCC #britishGt #VW… https://t.co/TguAKV80kK</t>
  </si>
  <si>
    <t>RT @TimmonsLB: There's nothing better than an ice-cold #Coke and an air-cooled #VW. #ThrowbackThursday https://t.co/9X0lHcaudv</t>
  </si>
  <si>
    <t>Bryan Jensen</t>
  </si>
  <si>
    <t>#VW isn't repairing its #brand #authenticity crisis yet, but a great step for repairing #reputation with customers. https://t.co/iP9kULwVpZ</t>
  </si>
  <si>
    <t>Utah</t>
  </si>
  <si>
    <t>Marcom &amp; brand analyst. Lover of Spain. Gravitates toward the complex yet human needs of thinking, creating, measuring, believing, eating—and writing about it.</t>
  </si>
  <si>
    <t>Jos Bosboom</t>
  </si>
  <si>
    <t>VW koopt deel sjoemeldiesels VS terug: #VW #Dieselschandaal https://t.co/JNUmMBAcT6 https://t.co/91Uyf1fJnc</t>
  </si>
  <si>
    <t>drenthe</t>
  </si>
  <si>
    <t>Founder and owner @startmakkelijk | Owner at #Foresttree #Marketing #Solutions | https://t.co/ltCdmLRSyJ |</t>
  </si>
  <si>
    <t>Startmakkelijk</t>
  </si>
  <si>
    <t>VW koopt deel sjoemeldiesels VS terug: #VW #Dieselschandaal https://t.co/V5enZ8X7FT https://t.co/SznL57Cy42</t>
  </si>
  <si>
    <t>#werkgelegenheid | #economisch | #mobiliteit | #techniek | #horeca | #recreatief | #zorg | #welzijn | #sport | #bouw | #wonen | #showbizz | #kunst | #cultuur</t>
  </si>
  <si>
    <t>First Class Campers</t>
  </si>
  <si>
    <t>Took this beautiful #vw #pickup into the workshop today. Perfect for #events and available to buy in May #dublove https://t.co/Bpg5lzP3OD</t>
  </si>
  <si>
    <t>Hire a campervan for your next adventure! Beautifully restored VW Campervans to hire from Kent for holidays, special days, wedding days or media and photography</t>
  </si>
  <si>
    <t>Brandon Saliego</t>
  </si>
  <si>
    <t>I applaud #VW if you know diesel you'd understand. https://t.co/hGI22vL8cb</t>
  </si>
  <si>
    <t>AZ</t>
  </si>
  <si>
    <t>Learner of life's lessons the hard way. Continuing to learn on a daily basis. Still not the man I need to be.</t>
  </si>
  <si>
    <t>negrito~</t>
  </si>
  <si>
    <t>Wsp:3513254345</t>
  </si>
  <si>
    <t>⚽=❤</t>
  </si>
  <si>
    <t>#VW Submits Plan To Fix #Diesels,Offers To Buy Back Nearly 500,000 2.0L Cars https://t.co/XR1zEPVPpp https://t.co/DtxkjQusmP</t>
  </si>
  <si>
    <t>dan oancea</t>
  </si>
  <si>
    <t>#VW, Justice Department reach #diesel emissions deal https://t.co/w2i7pn6NjN via @Reuters #platinum</t>
  </si>
  <si>
    <t>British Columbia, Canada</t>
  </si>
  <si>
    <t>Consulting #Geologist, #Prospector, #Mining &amp; Commodities #Analyst. Ex: Editor, Manager, Director, Reservist</t>
  </si>
  <si>
    <t>Carshionshow</t>
  </si>
  <si>
    <t>RT @dapper013: #Volkswagen #Tuning //MD #Vw #dapper #Cambergang #StanceWork #RoyalStance https://t.co/17sH8F5eyS https://t.co/Zc1vwIZlho</t>
  </si>
  <si>
    <t>IG; carshionshow a unique page that will be updated with street/classical fashion, and the stanced cars in the area of boston</t>
  </si>
  <si>
    <t>RT @dapper013: #Volkswagen #Tuning //MD #Vw #dapper #Cambergang #StanceWork #RoyalStance https://t.co/17sH8F5eyS https://t.co/DtGUkraaC5</t>
  </si>
  <si>
    <t>RT @tagesschau: US-Korrespondent: "VW will Schaden kalkulierbar halten" https://t.co/lM3iai76j9 #VW</t>
  </si>
  <si>
    <t>MAM Air Cooled VW</t>
  </si>
  <si>
    <t>You don't see that everyday. #ACVWPassion #Volkswagen #VW #AirCooled https://t.co/b3f2uJHCxu</t>
  </si>
  <si>
    <t>Effingham, IL 62401 US</t>
  </si>
  <si>
    <t>Mid America Motorworks is a leading supplier and manufacturer of aftermarket Air-Cooled VW parts and accessories.</t>
  </si>
  <si>
    <t>VW settlement with EPA announced over diesel emission scandal (updated) https://t.co/sEJ1OrjDH0 #Emissions #EPA #VWDieselScandal #VW #TDI</t>
  </si>
  <si>
    <t>ADAM PILLOWS</t>
  </si>
  <si>
    <t>#VW #Bus before he comes to us... https://t.co/1KAKuOfCB8</t>
  </si>
  <si>
    <t>Nordrhein-Westfalen, Deutschla</t>
  </si>
  <si>
    <t>Earl Y. Bird</t>
  </si>
  <si>
    <t>Abgas-Skandal: Kritik an Besserstellung von #VW-Kunden in Amerika https://t.co/rU9SwqHbK3 #AbgasSkandal</t>
  </si>
  <si>
    <t>ÖPNV-Fan und deshalb natürlich auch S21-Gegner. Mitstreiter für eine verlässliche S-Bahn in Stuttgart.</t>
  </si>
  <si>
    <t>Be Car Chic</t>
  </si>
  <si>
    <t>Cockpit of the #VW #beetledune. How do you feel about the gold color? https://t.co/0ANW577JVu https://t.co/zeUlx6C65t</t>
  </si>
  <si>
    <t>blog about cars + consumer auto advice | founded in 2009 by Melanie Batenchuk (aka @carchickmwb) | written for all | cares if you drive distracted</t>
  </si>
  <si>
    <t>... #vw #bus #after he comes to us :-) #handmade #art #design #comfort #Cologne #Ehrenfeld #upholstery https://t.co/4ec6WuMzsE</t>
  </si>
  <si>
    <t>Green Derbyshire</t>
  </si>
  <si>
    <t>Imagine how many lives car brands could have saved if they adopted electric earlier instead of rigging emissions! #VW #Mitsubishi #Peugeot</t>
  </si>
  <si>
    <t>Derby, England</t>
  </si>
  <si>
    <t>#peace #tolerance #equality #green #landscapes #travel #earth #nature #compassion #philanthropy #onefamily</t>
  </si>
  <si>
    <t>Lidija Stankovikj</t>
  </si>
  <si>
    <t>The greatest corporate #sustanability scandal gets a closure: #VW to pay $1B to diesel owners, buy back some cars https://t.co/jhkn25Wotw</t>
  </si>
  <si>
    <t>Myanmar &amp; India</t>
  </si>
  <si>
    <t>#Sustainability &amp; #CSR professional exploring Southeast Asia. Tweeting about poverty, social justice and development.</t>
  </si>
  <si>
    <t>RT @srfnews: #VW und die US-Behörden haben sich im #Abgas-Streit auf einen Kompromiss geeinigt – noch ist aber vieles offen. https://t.co/T…</t>
  </si>
  <si>
    <t>susan</t>
  </si>
  <si>
    <t>northampton</t>
  </si>
  <si>
    <t>for the good times I wish you five minutes in heaven before the devil knows your dead</t>
  </si>
  <si>
    <t>Frank O'Donnell</t>
  </si>
  <si>
    <t>So far the #VW settlement seems good — for VW! The public waits to see if there will be FULL env’l compensation https://t.co/IOUFP2dilM</t>
  </si>
  <si>
    <t>President of the non-profit Clean Air Watch</t>
  </si>
  <si>
    <t>RT @earlybird445: Abgas-Skandal: Kritik an Besserstellung von #VW-Kunden in Amerika https://t.co/rU9SwqHbK3 #AbgasSkandal</t>
  </si>
  <si>
    <t>solitude</t>
  </si>
  <si>
    <t>#solitude #VfB #runner #Laufmomente #Stuttgart #happyrunning #keeponrunning</t>
  </si>
  <si>
    <t>Auto2day</t>
  </si>
  <si>
    <t>Ένα #VW #Polo 420 ίππων! https://t.co/aTEppRxCUR https://t.co/KwC6ZmK5OL</t>
  </si>
  <si>
    <t>Οι πιο hot ειδήσεις για το αυτοκίνητο!</t>
  </si>
  <si>
    <t>Mansell Motorsport</t>
  </si>
  <si>
    <t>#VW Will Agree to Buy Back U.S. #Emissions-Cheating TDIs, Says Report https://t.co/H9mnzbvCKi https://t.co/s2RzUGcBHD</t>
  </si>
  <si>
    <t>Crawley, England</t>
  </si>
  <si>
    <t>We are Mansell Motorsport, a new division of @MansellRec; dedicated to helping Motorsport professionals and companies with their careers / staffing!</t>
  </si>
  <si>
    <t>#VW Reaches Outline Agreement With U.S. to Overcome Crisis https://t.co/AJTjqtASDD via @technology #Volkswagen #DAX</t>
  </si>
  <si>
    <t>becomeagoogler</t>
  </si>
  <si>
    <t>RT @mvdweyer: #VW Reaches Outline Agreement With U.S. to Overcome Crisis https://t.co/AJTjqtASDD via @technology #Volkswagen #DAX</t>
  </si>
  <si>
    <t>https://t.co/lmj5Ik41H7</t>
  </si>
  <si>
    <t>eBay: VW BEETLE TDI CONVERTIBLE https://t.co/yFmoCOdvS3 #vwbeetle #vwbug #vw https://t.co/xvfL74PTgl https://t.co/s5ewGQfHdf</t>
  </si>
  <si>
    <t>eBay: 2010 Volkswagen Beetle 1.9 TDi 3 door… https://t.co/3RQz2WqWQf #vwbeetle #vwbug #vw https://t.co/xvfL74PTgl https://t.co/2wiXutgeZx</t>
  </si>
  <si>
    <t>Andreas Marktzyniker</t>
  </si>
  <si>
    <t>Oha! Testen die #US-#Behörden eine neue #Geheimwaffe in #Bayern oder ist es #Abrüstung? Waren es #VW? https://t.co/lWPdcCKLne</t>
  </si>
  <si>
    <t>Wirtschaft ist Politik und umgekehrt! Meine Meinung, ganz schlimm subjektiv!</t>
  </si>
  <si>
    <t>Torsten Kohl</t>
  </si>
  <si>
    <t>@aktuelle_stunde das war doch schon immer so! In den USA ist sowas leichter zu erstreiten! #VW #USA #emissionsscandal</t>
  </si>
  <si>
    <t>HGV driver in the past...now supermarket checker 'n paper boy...always hungry...anti-xenophobic engaged...like traveling 'n foreign culture #refugeeswelcome</t>
  </si>
  <si>
    <t>Auto Bremer</t>
  </si>
  <si>
    <t>#VW: das dicke Ende kommt noch: https://t.co/YlcXPBuUi4 Soll VW kaputt gemacht werden und wie werden deutsche Kunden entschädigt?</t>
  </si>
  <si>
    <t>Bergen auf Rügen Siggermow 16</t>
  </si>
  <si>
    <t>Jahreswagen - Spezialist, Autohaus und Werkstatt auf der Insel Rügen in Bergen Ringstrasse und Siggermow. Rechtsform: GmbH Tel. 03838 200560</t>
  </si>
  <si>
    <t>Börsenradar</t>
  </si>
  <si>
    <t>Einigung zwischen #VW und US-Behörden im #Dieselgate - nur für USA gültig -- https://t.co/TGSyfI2xUu</t>
  </si>
  <si>
    <t>T-Online.de / Darmstadt</t>
  </si>
  <si>
    <t>Geld- und Verbraucherrelevante Nachrichten vom Team der Wirtschaftsredaktion von Deutschlands größtem Portal-Netzwerk t-online.de</t>
  </si>
  <si>
    <t>#Merkelmussweg</t>
  </si>
  <si>
    <t>der dreckige #TTIP äh #VW-Abgasdeal in den USA zeigt eines. #Merkel ist es völlig Scheißegal, dass Deutsche VW-Käufer verarscht werden</t>
  </si>
  <si>
    <t>James Goodwin</t>
  </si>
  <si>
    <t>RT @cleanairfrank: So far the #VW settlement seems good — for VW! The public waits to see if there will be FULL env’l compensation https://…</t>
  </si>
  <si>
    <t>Philadelphia/Washington, DC</t>
  </si>
  <si>
    <t>Senior Policy Analyst with the Center for Progressive Reform. Opinions on environmental law and policy, politics, soccer, and music are my own.</t>
  </si>
  <si>
    <t>SFChronicle</t>
  </si>
  <si>
    <t>#VW’s not-so-clean diesels: Judge reveals partial buy-back plan https://t.co/6zxx2sbvYG https://t.co/W4Ox1FZIfh</t>
  </si>
  <si>
    <t>The Voice of the West. The Voice of San Francisco and the Bay Area.</t>
  </si>
  <si>
    <t>Deco Calcos</t>
  </si>
  <si>
    <t>Ploteo total verde mate. Deco Calcos. 4567-6156 // https://t.co/3gbjP8TewP #ploter #vinilo #avery #mate #vw https://t.co/XI6ibKbkeU</t>
  </si>
  <si>
    <t>Devoto - Capital Federal</t>
  </si>
  <si>
    <t>Jesse Jones</t>
  </si>
  <si>
    <t>Buybacks or repairs in the future for #VW drivers impacted by #dieselgate https://t.co/qeUau7DPx3</t>
  </si>
  <si>
    <t>Seattle</t>
  </si>
  <si>
    <t>Got a consumer complaint or want to report government waste? Drop me a note! 1-844-77-JESSE (53773)</t>
  </si>
  <si>
    <t>eBay: Volkswagen Camper T2 Westfalia LHD https://t.co/uyCizkII27 #vwcamper #vwbus #vw https://t.co/ZEadscsjBy https://t.co/Rdv6dWnphE</t>
  </si>
  <si>
    <t>https://t.co/iScI3cReGI - #vw #vwt4 #friendcar #ltb #salebra #dj #dada by jacob_doorman @… https://t.co/vJTOEvpsOS https://t.co/lsRzcua2KY</t>
  </si>
  <si>
    <t>Dedico: @rbtinelli #fusca #vw #volks #car #oldcar by _rssant https://t.co/ML9TMOuich</t>
  </si>
  <si>
    <t>Stephan</t>
  </si>
  <si>
    <t>LIP = Leben Im Paradies</t>
  </si>
  <si>
    <t>Ich eröffne keine Firma, brauche weder Ernährungs.-Computer.-Ehe.-Erfogsberatung!</t>
  </si>
  <si>
    <t>HansjorgNagelschmidt</t>
  </si>
  <si>
    <t>#VW taumelt wohl mit amerikanischer Vergleichslösung in europ. #PRDebakel</t>
  </si>
  <si>
    <t>Austria</t>
  </si>
  <si>
    <t>PR &amp; Communications Expert, Vienna</t>
  </si>
  <si>
    <t>In need of a refurb 🙈🤑 - - #vw #volkswagen #mk1golf #golfmk1 #golf1 #cabrio #cabriolet #tfsi #audi #s3 #bbs #forgem… https://t.co/KTkH0CHBeE</t>
  </si>
  <si>
    <t>Weekly</t>
  </si>
  <si>
    <t>Just another day in paradise... It is warranty work this time. Whew! Waiting on a tow again. #pulley #warranty #vw… https://t.co/0yj9Cd2UG0</t>
  </si>
  <si>
    <t>Soon. #vw #volkswagen #mk1golf #golf1 #bali #baligreen #baliproject #kemaar80 Not soon. 🦄 by kemaar80 https://t.co/353ZjF6UfP</t>
  </si>
  <si>
    <t>feR</t>
  </si>
  <si>
    <t>RT @sfchronicle: #VW’s not-so-clean diesels: Judge reveals partial buy-back plan https://t.co/6zxx2sbvYG https://t.co/W4Ox1FZIfh</t>
  </si>
  <si>
    <t>u need a compass to find me</t>
  </si>
  <si>
    <t>#VW pagará 5 mil dólares a clientes afectados https://t.co/Omnof1Pyl6 https://t.co/Yoi0AWBPCM</t>
  </si>
  <si>
    <t>#VW pagará 5 mil dólares a clientes afectados https://t.co/0arAdSFR6z https://t.co/SXxq9ooE4c</t>
  </si>
  <si>
    <t>E. K.</t>
  </si>
  <si>
    <t>RT @stasikasper: der dreckige #TTIP äh #VW-Abgasdeal in den USA zeigt eines. #Merkel ist es völlig Scheißegal, dass Deutsche VW-Käufer vera…</t>
  </si>
  <si>
    <t>Deutschland/Germany/Германия</t>
  </si>
  <si>
    <t>Blogger. Interested in Russian history, politics, law, international relations, target shooting and more.</t>
  </si>
  <si>
    <t>John Q. Public</t>
  </si>
  <si>
    <t>Carter VW</t>
  </si>
  <si>
    <t>#VW of the Day: Beachy keen. https://t.co/qnNnwEe7Bl</t>
  </si>
  <si>
    <t>We are Seattle's favorite Volkswagen Dealership &amp; we're here to help with everything VW in the NW! Whether it's a new car, used car, or service, give us a call!</t>
  </si>
  <si>
    <t>eBay: SEA BLUE VOLKSWAGEN TYPE ONE BEETLE https://t.co/kjqPLFf2JV #vwbeetle #vwbug #vw https://t.co/xvfL74PTgl https://t.co/ulZG0BBMUx</t>
  </si>
  <si>
    <t>eBay: VW Beetle 2.0 2000my Green https://t.co/Pq3cougFuk #vwbeetle #vwbug #vw https://t.co/xvfL74PTgl https://t.co/vr5L8eWg5V</t>
  </si>
  <si>
    <t>RT @oldcar_photo: Dedico: @rbtinelli #fusca #vw #volks #car #oldcar by _rssant https://t.co/ML9TMOuich</t>
  </si>
  <si>
    <t>Jan Reuter</t>
  </si>
  <si>
    <t>Warum #Prince in den Nachrichten weit vor #VW kommt - er hat uns mehr als tief berührt. Zum Lachen, Tanzen und Weinen gebracht. R.I.P.</t>
  </si>
  <si>
    <t>intense &amp; mindful</t>
  </si>
  <si>
    <t>eBay: vw t5 camper van camper van, day van,… https://t.co/hUkC1EfEFH #vwcamper #vwbus #vw https://t.co/ZEadscsjBy https://t.co/9w8KBOMucl</t>
  </si>
  <si>
    <t>Luke Dorbin</t>
  </si>
  <si>
    <t>And so it begins again. #VW #T4 https://t.co/TQC6ckyvKb</t>
  </si>
  <si>
    <t>Chester</t>
  </si>
  <si>
    <t>Representing Great Britain with North West Rafting @GBR2Raft Training hard to be the best we can and #MakeItHappen with @BioSynergy</t>
  </si>
  <si>
    <t>Karla Camacho</t>
  </si>
  <si>
    <t>RT @Decocalcos: Ploteo total verde mate. Deco Calcos. 4567-6156 // https://t.co/3gbjP8TewP #ploter #vinilo #avery #mate #vw https://t.co/…</t>
  </si>
  <si>
    <t>Chiapas, México</t>
  </si>
  <si>
    <t>Mexicana orgullosa de su gente. Socialdemócrata y Bailadora intensa.</t>
  </si>
  <si>
    <t>Gazelle Bikes UK</t>
  </si>
  <si>
    <t>Delivery! Gazelle experience centre memorabilia #retro #vw https://t.co/fZk4tpbwm0</t>
  </si>
  <si>
    <t>Smooth, smart and stylish bikes from the No.1 bicycle company in the worlds No.1 cycling nation. The UK arm of the Royal approved, 120 year old Dutch brand.</t>
  </si>
  <si>
    <t>Ben Fajzullin</t>
  </si>
  <si>
    <t>Global Biz Anchor</t>
  </si>
  <si>
    <t>Want to treat yourself this #Spring? Hows about a brand new #16Plate #VW UP! at only £6,990! https://t.co/1A4SDA9SPa https://t.co/ErMAR7JIRR</t>
  </si>
  <si>
    <t>Want to treat yourself this #Spring? Hows about a brand new #16Plate #VW UP! at only £6,990! https://t.co/QqMC6LoV5k https://t.co/rseE6bmIUX</t>
  </si>
  <si>
    <t>#vw beetle SEA BLUE VOLKSWAGEN TYPE ONE BEETLE https://t.co/e0rEQbsgUL</t>
  </si>
  <si>
    <t>VW reaches deal over US emissions scam https://t.co/G5IECxFlir #VW #AutoNews</t>
  </si>
  <si>
    <t>VW settlement with EPA announced over diesel emission scandal (updated): The affected vehicles... https://t.co/NZSOfmBzzr #VW #jetta #car</t>
  </si>
  <si>
    <t>CPO Toyota Corolla vs. CPO VW Jetta in Fort Wayne, IN: Click to read a comparison between the ... https://t.co/sjofsmeMzY #VW #jetta #car</t>
  </si>
  <si>
    <t>Volkswagen to offer buybacks, compensation to diesel owners: Those with leased vehicles, inclu... https://t.co/622dSh3lJk #VW #jetta #car</t>
  </si>
  <si>
    <t>Volkswagen agrees to repurchase "diesel-gate" cars in US: A federal judge on Thursday said Vol... https://t.co/Qr252SY0EE #VW #jetta #car</t>
  </si>
  <si>
    <t>Volkswagen reaches deal to get 480k emissions-cheating cars off roads: WASHINGTON, April 21 (U... https://t.co/tHfLTBcuAF #VW #jetta #car</t>
  </si>
  <si>
    <t>PearlsBeforeSwine</t>
  </si>
  <si>
    <t>I'll believe it when the $€£¥ is in my hand! #audi #vw #buybackmycar https://t.co/lkYCmu1iUL</t>
  </si>
  <si>
    <t>Colaborar, Pensar, Actuar, Preguntar, Amar, Creer, Respectar, Investigar, Disfrutar, Demostrar, Levantar, Apoyar, Trabajar, Descansar, Celebrar, Estudiar...</t>
  </si>
  <si>
    <t>Ünal Pektaş</t>
  </si>
  <si>
    <t>Ricard vives</t>
  </si>
  <si>
    <t>Barcelona, Cataluña</t>
  </si>
  <si>
    <t>Me vuelven loco las japonesas las maquinas recreativas y la meva ciutat Barcelona</t>
  </si>
  <si>
    <t>Team-HARD.™</t>
  </si>
  <si>
    <t>RT @tonygilham34: txmmy_gilham what do you think of your new @teamhardracing bedroom? #BTCC #britishGt #VW… https://t.co/TguAKV80kK</t>
  </si>
  <si>
    <t>Brands Hatch</t>
  </si>
  <si>
    <t>The Offical twitter account of BTCC squad Team-HARD. Tweets by @Jetlbomb and @Andrea_Hurcombe</t>
  </si>
  <si>
    <t>Vipin Gautam</t>
  </si>
  <si>
    <t>#VW to offer buy back, 'substantial compensation' to owners of polluting cars https://t.co/ywRYZAhXbM via @NewsRepublic</t>
  </si>
  <si>
    <t>RT @WrexhamVW: Want to treat yourself this #Spring? Hows about a brand new #16Plate #VW UP! at only £6,990! https://t.co/1A4SDA9SPa https:/…</t>
  </si>
  <si>
    <t>Wladimir</t>
  </si>
  <si>
    <t>#VW оценивает затраты в скандале с дизельными двигателями в #США 10-20 млрд.$.Всем пострадавшим владельцам машин компенсация в 5000 $!</t>
  </si>
  <si>
    <t>простой русский человек из народа</t>
  </si>
  <si>
    <t>RT @swanswaygroup: Want to treat yourself this #Spring? Hows about a brand new #16Plate #VW UP! at only £6,990! https://t.co/QqMC6LoV5k htt…</t>
  </si>
  <si>
    <t>neues deutschland</t>
  </si>
  <si>
    <t>Die Stinke-Diesel fahren weiter und #VW zahlt monatliche Geldauflagen. Kurt Stenger findet das nur noch crazy https://t.co/GrEEDbhfjl</t>
  </si>
  <si>
    <t>ndaktuell2</t>
  </si>
  <si>
    <t>neues deutschland, die linke Tageszeitung aus Berlin. +++ http://t.co/qFz6wGaMDs +++ Weiteres Twitter-Profil: http://t.co/tbxf6XIeX1</t>
  </si>
  <si>
    <t>borniert &amp; radikal</t>
  </si>
  <si>
    <t>RT @ndaktuell: Die Stinke-Diesel fahren weiter und #VW zahlt monatliche Geldauflagen. Kurt Stenger findet das nur noch crazy https://t.co/G…</t>
  </si>
  <si>
    <t>sozialistisches Weltreich</t>
  </si>
  <si>
    <t>Roter Aufbau statt schwarzer Abriss. Jung , naiv &amp; borniert und Kommunist.</t>
  </si>
  <si>
    <t>Morvjn</t>
  </si>
  <si>
    <t>-.-</t>
  </si>
  <si>
    <t>Bengt Halvorson</t>
  </si>
  <si>
    <t>TDI buyback is on record. Now what about the fix, timing, and $? Lots yet to be laid out. #VW #dieselgate https://t.co/lirJ76x8v6</t>
  </si>
  <si>
    <t>Portland</t>
  </si>
  <si>
    <t>Cars, food, fuel, words, repeat, reuse, recycle! Opinions are my own, albeit through a lens of Portlandia.</t>
  </si>
  <si>
    <t>K HRIS</t>
  </si>
  <si>
    <t>Mit den Waschlappen-Deutschen kann man es ja machen. https://t.co/5ssRiNCCDN #vw #fail</t>
  </si>
  <si>
    <t>in the central of the universe</t>
  </si>
  <si>
    <t>My adventures. analog &amp; digital. Enjoy ~ Photos © Chris Kürst</t>
  </si>
  <si>
    <t>Arcadia Comunica</t>
  </si>
  <si>
    <t>#VW y #Mitsubishi: ¿Patrón de conducta? [Editorial La Jornada] https://t.co/nNqKWQIxcY https://t.co/w88CWtLHBh</t>
  </si>
  <si>
    <t>México, D.F.</t>
  </si>
  <si>
    <t>Consultoría política y comunicación estratégica. Sólo la información que necesitas.</t>
  </si>
  <si>
    <t>Ilse Bender</t>
  </si>
  <si>
    <t>Kerpen/Rheinland</t>
  </si>
  <si>
    <t>2011-2014 Partei Die Linke 2013-2014 Landessprecherin Die Linke LAG Queer + ab 2015 Queerdenken e.V. bis 04.2016</t>
  </si>
  <si>
    <t>Joachim Peiper</t>
  </si>
  <si>
    <t>Niedersachsen, Deutschland</t>
  </si>
  <si>
    <t>#DER PATRIOT#</t>
  </si>
  <si>
    <t>Steve Grant</t>
  </si>
  <si>
    <t>The latest #VW Amarok could look something like this...https://t.co/c5DC9HcGd5 @Volkswagen @UKVolkswagen https://t.co/vSFrxYjtVh</t>
  </si>
  <si>
    <t>Plymouth</t>
  </si>
  <si>
    <t>Assistant Editor of The Countryman's Weekly, Editor-in-Chief of Wheels Down West, motoring writer, Plymouth Albion fan &amp; Dad. All views are my own etc, etc...</t>
  </si>
  <si>
    <t>Daytona</t>
  </si>
  <si>
    <t>La Amarok 2017, segun #VW sera "Premium". #NewsDaytona vía @autoblogcomar https://t.co/TgwQpoLoSk https://t.co/8tnRCl0CHW</t>
  </si>
  <si>
    <t>Nuestra misión es comercializar neumáticos y servicios con excelencia, pasión y visión innovadora, respondiendo a las necesidades de nuestros clientes.</t>
  </si>
  <si>
    <t>PoweredToysandBeyond</t>
  </si>
  <si>
    <t>A disfrutarteee 🎉 #Fox #VW https://t.co/K1G2wr2jqq</t>
  </si>
  <si>
    <t>NADA</t>
  </si>
  <si>
    <t>NADA Headlines: #VW agreement, #GM's record Q1 profit and more in today's issue. Check it out here: https://t.co/esXWrw4lCN</t>
  </si>
  <si>
    <t>McLean, VA</t>
  </si>
  <si>
    <t>The National Automobile Dealers Association, founded in 1917, represents nearly 16,000 new-car and -truck dealers, both domestic and international.</t>
  </si>
  <si>
    <t>glenmavis</t>
  </si>
  <si>
    <t>@ndaktuell Beachten Sie aber bitte, dass die betroffenen #Diesel #VW weniger stinken, als die, die vor 5 Jahren #regulär auf #Markt kamen</t>
  </si>
  <si>
    <t>Sagt mir offen, was ihr von mir denkt, nachdem ! ihr meine TL gelesen habt. Ich mag Kritik. Schlimmstenfalls blocke ich Euch</t>
  </si>
  <si>
    <t>perthtones</t>
  </si>
  <si>
    <t>but no redress in Australia #vw https://t.co/i6s87gzSmu</t>
  </si>
  <si>
    <t xml:space="preserve"> working on global radio talk </t>
  </si>
  <si>
    <t>torrents of news, views, info &amp; streams via 1,200+ key global accts RT ≠ endorsement. tony serve - journalist, activist, teacher. #socialjustice</t>
  </si>
  <si>
    <t>VintageGermanParts</t>
  </si>
  <si>
    <t>Do you see potential, or beauty? #eyeofthebeholder #vw #vwbug #beetle #vintage https://t.co/4HCiog9bip</t>
  </si>
  <si>
    <t>Orem, UT</t>
  </si>
  <si>
    <t>(o\_!_/o) We sell new and used parts for classic air-cooled Volkswagen beetles, buses, and more.</t>
  </si>
  <si>
    <t>Hades</t>
  </si>
  <si>
    <t>berlin/rio/reisender.../kultur/schaffender/weiter/denkend/vor allem/mensch/und niemals vergessen...oder: U.N.V.E.U.</t>
  </si>
  <si>
    <t>SMWA</t>
  </si>
  <si>
    <t>Dresden, Sachsen</t>
  </si>
  <si>
    <t>Sächsisches Staatsministerium für Wirtschaft, Arbeit und Verkehr (Pressestelle) / Impressum: http://t.co/h4jdcbicE8</t>
  </si>
  <si>
    <t>norbert h. essing</t>
  </si>
  <si>
    <t>RT @philippvetter: #VW einigt sich grundsätzlich mit US-Behörden und Sammelklägern in den USA. Keine Details. Hier das Statement: https://t…</t>
  </si>
  <si>
    <t>https://t.co/loJktxdzbb https://t.co/FQEXMrjeKT</t>
  </si>
  <si>
    <t>Streetwise</t>
  </si>
  <si>
    <t>This just in: #VW Agrees to Buy Back 482,000 Diesel Cars, Other Details Still Hazy https://t.co/Bxet6g3ttN #dieselgate</t>
  </si>
  <si>
    <t>Streetwise Drivers Club is the free #app where good drivers earn rewards to use for great deals on popular brands, gift cards, dining, entertainment &amp; more!</t>
  </si>
  <si>
    <t>eBay: 1989 VW T25 1.6TD Westfalia California… https://t.co/c7LlgyrjYJ #vwcamper #vwbus #vw https://t.co/ZEadscsjBy https://t.co/HLS6OiKMi9</t>
  </si>
  <si>
    <t>Schworer Volkswagen</t>
  </si>
  <si>
    <t>Lincoln, NE</t>
  </si>
  <si>
    <t>Honestly, we have the best cars on the planet. Stay tuned for updates and all things related Volkswagen. 33rd and Superior, Lincoln NE.</t>
  </si>
  <si>
    <t>Full exterior #detailing today on this lovely but faded 1969 #VW #campervan. It doesn't look 47 years old now! https://t.co/X4cj3tqY0v</t>
  </si>
  <si>
    <t>MioMio</t>
  </si>
  <si>
    <t>Bayern, Deutschland</t>
  </si>
  <si>
    <t>Malteser! Ich folge aufs Wort, wenn es mich überkommt - Tweets der Chefin werden mit (Mio) markiert.</t>
  </si>
  <si>
    <t>Anthony Wanger</t>
  </si>
  <si>
    <t>VW to offer to buy back nearly 500,000 U.S. diesel cars - sources https://t.co/dZup6a7xDY via @Reuters #cars #VW #autos</t>
  </si>
  <si>
    <t>President &amp; Founder, @IOdatacenters | Founder, @BASELAYERtech | Founder &amp; SMD, @GBTCapital | Technology, CyberSecurity, Renewable Energy, Investing, Travel, etc</t>
  </si>
  <si>
    <t>hondacıbebe</t>
  </si>
  <si>
    <t>Onlarla yerinde duramazsın 🚗 #vw #passat #honda #civic @ Divan… https://t.co/Svsp7bVPxu</t>
  </si>
  <si>
    <t>Ankara, Türkiye</t>
  </si>
  <si>
    <t>AhmedWalker ,Sıcak temmuz ayında sabaha karşı pariste dünyaya geldi.Karabük üni. otomotiv , Ayrıca profesyonel oyuncu,ögrenci,trader,müdür! Warren Buffett tarzı</t>
  </si>
  <si>
    <t>Raven</t>
  </si>
  <si>
    <t>Bischofsheim, Hessen, Germany</t>
  </si>
  <si>
    <t>Leben und dabei meine Umwelt so wenig wie möglich schädigen - das geht! Ich twittere über meine #Seife, #Umweltschutz, #Tierschutz und alles, was mich so bewegt</t>
  </si>
  <si>
    <t>vin advisor</t>
  </si>
  <si>
    <t>Get any car, from any dealer, on any device. #CarBuying dramatically simplified.</t>
  </si>
  <si>
    <t>Roseville Volkswagen</t>
  </si>
  <si>
    <t>Dog imitates a Golf 7 - Volkswagen 2015 https://t.co/ZvRtgxN0ae #vw #vwgolf #dogs</t>
  </si>
  <si>
    <t>engage121</t>
  </si>
  <si>
    <t>Roseville, CA</t>
  </si>
  <si>
    <t>Fun updates from Sacramento's #1 New VW dealer. We're all about fun, satisfaction and everything VW here! Tweets by @Roseville_VW and Tony H, General Manager.</t>
  </si>
  <si>
    <t>Rocco Demas</t>
  </si>
  <si>
    <t>What do you think of the wheels on this #VW #Rabbit? #TBT #ThrowbackThursday https://t.co/YQTJnO6LQs https://t.co/MrpuDPjN0P</t>
  </si>
  <si>
    <t>http://t.co/gEdRKK9qSq sells discounted OEM VW parts online.</t>
  </si>
  <si>
    <t>Unabhängig davon natürlich #Betrug, der wohl bald #auswirkungen haben wird #Arbeiter (#Entlassungen). Die #initiatoren erhalten #Bonus #VW</t>
  </si>
  <si>
    <t>FanCar Picture - Send me your Scirocco pictures!!! (PM Please) #VW #Volkswagen #Scirocco #Tuning https://t.co/jMm7YD576S</t>
  </si>
  <si>
    <t>Baxter VW La Vista</t>
  </si>
  <si>
    <t>What does a cross between a #VW Beetle and Tiguan look like? Meet the T-cross Breeze concept https://t.co/kzmlLag3Ew https://t.co/UzszhuWWWc</t>
  </si>
  <si>
    <t>La Vista, NE</t>
  </si>
  <si>
    <t>Baxter Volkswagen La Vista is a local Omaha car dealership, specializing in the sales and servicing of new and used Volkswagen vehicles.</t>
  </si>
  <si>
    <t>Baxter VW Westroads</t>
  </si>
  <si>
    <t>What does a cross between a #VW Beetle and Tiguan look like? Meet the T-cross Breeze concept https://t.co/uHQbMp9t45 https://t.co/HhHAD0K0i0</t>
  </si>
  <si>
    <t>Omaha, NE</t>
  </si>
  <si>
    <t>A full-service Volkswagen dealer. We carry many new vehicles and are also a used car dealer with maintenance, service and parts departments</t>
  </si>
  <si>
    <t>DJ Devin</t>
  </si>
  <si>
    <t>Check out this beauty... #devinworkmanphotography #vw #lowlife… https://t.co/fP4CWzEmsp</t>
  </si>
  <si>
    <t>International DJ based in Johannesburg. *International Citizen*All-Around Gentleman*Motivational Speaker*Swimming Coach*Promoter*Student</t>
  </si>
  <si>
    <t>LazyRevs</t>
  </si>
  <si>
    <t>Here's our new single, Rabbit Hole. Its a twirly whirly, up and down, in and out and all around of a song ! https://t.co/gWsGaZtHGL #VW</t>
  </si>
  <si>
    <t>Wicklow, IE</t>
  </si>
  <si>
    <t>2 piece band From Wicklow. Indie/Folk/Rock and the rest.</t>
  </si>
  <si>
    <t>Michelle Naranjo</t>
  </si>
  <si>
    <t>Okay. Can #Volkswagen dealers, toymakers etc stop posting #VW tweets w/ #TDI tags because I'm trying to read #buybackmytdi news. Please.</t>
  </si>
  <si>
    <t>Consumer Reports Autos Multimedia Creator | automotive socialite | traveler | outlaw cowgirl | curly top | water | fire | crushed ice | opinions are my own</t>
  </si>
  <si>
    <t>Menino Do Beat</t>
  </si>
  <si>
    <t>busqueeeeei &lt;3 #VW #GOLETA #1PONTO8AP</t>
  </si>
  <si>
    <t>C.J. Anderson</t>
  </si>
  <si>
    <t>Reuters: #VW, #JusticeDepartment reach #diesel emissions deal. https://t.co/8kD7k2UYjR</t>
  </si>
  <si>
    <t>Earth.USA.Ohio.NE</t>
  </si>
  <si>
    <t>#Revenue #optimization &amp; #value #realization services. We help organizations win more of their prospects. Your #data tells a story. Listen. Sell more.</t>
  </si>
  <si>
    <t>Julio</t>
  </si>
  <si>
    <t>Volkswagen a toujours les meilleures pubs! #VW #vwetmoi https://t.co/OsOct02bFG</t>
  </si>
  <si>
    <t>eBay: Volkswagen Beetle 2002 1.6 https://t.co/anPhkdgsgf #vwbeetle #vwbug #vw https://t.co/xvfL74PTgl https://t.co/JeACr6cTvg</t>
  </si>
  <si>
    <t>merriemarie</t>
  </si>
  <si>
    <t>Volkswagen Announces Plan to Buy Back Vehicles That Cheated Emissions Tests #VW https://t.co/cLXwXuONRs via @DCExaminer</t>
  </si>
  <si>
    <t>Ramunas</t>
  </si>
  <si>
    <t>#injection #electricity #vw #gte #Vilnius #hybrid #power #lithuania #lietuva #darbe #golf @… https://t.co/mTnhneSz6Q</t>
  </si>
  <si>
    <t>*no status*</t>
  </si>
  <si>
    <t>#VW #reaches US deal #emissions scandal https://t.co/3o7pXXmGrV</t>
  </si>
  <si>
    <t>Gooner Dan</t>
  </si>
  <si>
    <t>Finally got our new plate fitted. Yes, I know the car needs a clean #VW #passat #sport #veedub… https://t.co/DNXxNMI7lc</t>
  </si>
  <si>
    <t>South Worcs, UK</t>
  </si>
  <si>
    <t>#Arsenal #F1 #McLaren #FIAWEC #MotoGP I sometimes swear &amp; post rude stuff. Married to the gorgeous @mparv. Work in IT and Marketing. Views are my own</t>
  </si>
  <si>
    <t>Muzaffer Eroğlu</t>
  </si>
  <si>
    <t>RT @hamdipinar: Amerika örneği TR için de emsal olmalı: 5000(beşbin)$ tazminat ve ücretsiz motorun yakıt sisteminin düzeltilmesi gerekli..#…</t>
  </si>
  <si>
    <t>Hukuk Fakültesi Ticaret Hukuku Anabilimdalı.</t>
  </si>
  <si>
    <t>Axel Hagedorn</t>
  </si>
  <si>
    <t>#VW neemt eerste stap in VS ivm #sjoemelsoftware https://t.co/6KNawCL2ay</t>
  </si>
  <si>
    <t>Advocaat &amp; Duitse Rechtsanwalt | ondernemingsrecht | Hoogleraar D-NL rechtsbetrekkingen (UvA) | columnist Duitslandnieuws | a.hagedorn@vandiepen.com</t>
  </si>
  <si>
    <t>Andrew Baynes</t>
  </si>
  <si>
    <t>So it would appear that not poisoning Americans is more important than not poisoning Europeans—https://t.co/pRW5xxn4oG #eu #vw #audi #carb</t>
  </si>
  <si>
    <t>Solihull</t>
  </si>
  <si>
    <t>#VW: #Riesen- #Schaden ca. 45 Mrd. €, d sind 15% v. Bundeshaushalt. Einigung mit US-Behörden https://t.co/4vuCyuhYuI via @SPIEGELONLINE</t>
  </si>
  <si>
    <t>Dat Ly Nguyen</t>
  </si>
  <si>
    <t>Great question? Darn #VW get to it! https://t.co/ypimwwavJC</t>
  </si>
  <si>
    <t>cooking politics is my favorite picture of the world. lol</t>
  </si>
  <si>
    <t>Zona Binaria</t>
  </si>
  <si>
    <t>#Volkswagen will buy back most Dieselgate #cars in US https://t.co/l39aOvRvVx #archive #mustread #audi #diesel #vw</t>
  </si>
  <si>
    <t>Venezuela</t>
  </si>
  <si>
    <t>Con Los Bites que tu necesitas</t>
  </si>
  <si>
    <t>Sebastian Klink</t>
  </si>
  <si>
    <t>think. make. move on. general manager @westindresden, husband, father to 2 gr8 girls</t>
  </si>
  <si>
    <t>Continuamos con este jueves de una novia perfecta! #vw #Volkswagen #kingeuro https://t.co/J5U70YU6Wo</t>
  </si>
  <si>
    <t>COMEXI</t>
  </si>
  <si>
    <t>"#VW reaches US deal in emissions scandal" @BBCNews https://t.co/xWMf4G0Q2Q Foto: @GettyImages https://t.co/v1p7DxaFfJ</t>
  </si>
  <si>
    <t>Consejo Mexicano de Asuntos Internacionales. Examinando el papel de México en el mundo y la influencia de los acontecimientos internacionales en el país.</t>
  </si>
  <si>
    <t>UpShiftDigital</t>
  </si>
  <si>
    <t>#VW reaches a deal in the #emissions scandal. #auto #diesel https://t.co/hm5dDlmcPN</t>
  </si>
  <si>
    <t>Dallas, TX</t>
  </si>
  <si>
    <t>Interactive Automotive Consultancy helping small to medium businesses with Website Dev, Management, Search and Social Media.</t>
  </si>
  <si>
    <t>Stroi</t>
  </si>
  <si>
    <t>VW Golf 4, 1, 4 Edition, 8 fach berreift, nur 3 Tage #VW https://t.co/63GhoNHyLf Verkaufe einen VW Golf 4 1, 4 https://t.co/BuTPfgoovi</t>
  </si>
  <si>
    <t>AutosMarktDE</t>
  </si>
  <si>
    <t>World Wide Web</t>
  </si>
  <si>
    <t>నా పేరు Stroisila, నేను అన్ని గెలిచింది</t>
  </si>
  <si>
    <t>RT @Roseville_VW: Dog imitates a Golf 7 - Volkswagen 2015 https://t.co/ZvRtgxN0ae #vw #vwgolf #dogs</t>
  </si>
  <si>
    <t>Neeshad V S</t>
  </si>
  <si>
    <t>#VW reaches #US deal in #emissions scandal https://t.co/tWww20DswK</t>
  </si>
  <si>
    <t>Qatar | The Global Citizen</t>
  </si>
  <si>
    <t>Environ'mentalist' | #Climate Advocate &amp; Educator |#YouthSpeaker | #MiddleEast Manager @CliMates_|PM @AyapAfrica | Co-founder @aycmqa | DigiAdvocate @WHSummit |</t>
  </si>
  <si>
    <t>DJ Karlitos Herrera♪</t>
  </si>
  <si>
    <t>#Interior #Tablero #Volante #VW #Golcito 🚗 @ Ciudad De Grand Bourg (Bs. As / Arg.) https://t.co/e9vB8iCea6</t>
  </si>
  <si>
    <t>DJ / VJ KARLITTOOS HERRERA ( KH )♫</t>
  </si>
  <si>
    <t>US - #VW will reportedly pay you $5,000 to settle its #emissions scandal https://t.co/I9STYxXbOy</t>
  </si>
  <si>
    <t>VW Cool Springs</t>
  </si>
  <si>
    <t>They call it the forgotten #VW. Can you remember this car? #TBT https://t.co/SmOAJ0srnt</t>
  </si>
  <si>
    <t>Franklin, TN</t>
  </si>
  <si>
    <t>At Hallmark VW at Cool Springs we take pride in providing great customer experiences in our sales, service, &amp; parts departments. Stop by and let us impress you!</t>
  </si>
  <si>
    <t>They call it the forgotten #VW. Can you remember this car? #TBT https://t.co/rWmW3LN7rZ</t>
  </si>
  <si>
    <t>News 5 WCYB</t>
  </si>
  <si>
    <t>Own a #VW #diesel vehicle? You may have some options. #wcyb https://t.co/gc4dNkaqMh</t>
  </si>
  <si>
    <t>Bristol, VA</t>
  </si>
  <si>
    <t>Getting The Facts Right every day. Storm Track 5: Alerting You to Severe Weather Danger.</t>
  </si>
  <si>
    <t>Kimberly Suiters</t>
  </si>
  <si>
    <t>What to do with your cheating #diesel? Should #VW owners</t>
  </si>
  <si>
    <t>Consumer Investigative Reporter, Anchor for ABC7 &amp; NewsChannel8, Author, Soccer Coach</t>
  </si>
  <si>
    <t>Timo Silver</t>
  </si>
  <si>
    <t>Kävisköhän niille tuo meidän 15v vanha kohta 300tkm rullannut sotaratsu? #vw #gti https://t.co/oNZVPzyM4i</t>
  </si>
  <si>
    <t>14/10♡</t>
  </si>
  <si>
    <t>Río Grande, Argentina</t>
  </si>
  <si>
    <t>-Vw Lover♡/ Enamorada de mi novio ❤/ Soledad♡/ «Tus ojos me guian desde el cielo»/ Loca por el fernet branca♡</t>
  </si>
  <si>
    <t>eBay: 1972 VW BEETLE 1600 "WIZARD" ROLLING… https://t.co/b2TtFoadaa #vwbeetle #vwbug #vw https://t.co/xvfL74PTgl https://t.co/NjGHbYkV3C</t>
  </si>
  <si>
    <t>An American Patriot</t>
  </si>
  <si>
    <t>Now that #Racist #Democrat #Jackson is off the $20, can we remove #Racist #Democrat #RobertByrd from everything in #VW? #TubmanOn20</t>
  </si>
  <si>
    <t>Husband, Father and Patriot - Ready to fight for my marriage, family and country.</t>
  </si>
  <si>
    <t>Tati</t>
  </si>
  <si>
    <t>Hätten die für das Shooting nicht ein schöneres Auto nehmen können als einen #adam #opel @opel zum Beispiel einen #VW #GNTM</t>
  </si>
  <si>
    <t>Sachsenkam</t>
  </si>
  <si>
    <t>Simon Williams</t>
  </si>
  <si>
    <t>RT @Militarycars: Get a Brand New 2017 Volkswagen at 2016 Pricing! https://t.co/9D5qG6gshg #MilitaryDiscount #VW https://t.co/RmMTdUBXLS</t>
  </si>
  <si>
    <t>cars, skiing, wine and that love for the Toon!</t>
  </si>
  <si>
    <t>Julikind</t>
  </si>
  <si>
    <t>Sandra</t>
  </si>
  <si>
    <t>RT @1stclasscampers: Took this beautiful #vw #pickup into the workshop today. Perfect for #events and available to buy in May #dublove htt…</t>
  </si>
  <si>
    <t>Boss of @weeyellow90 and Mammy of @Colinmachamster. Learning how to live life with #Fibromyalgia</t>
  </si>
  <si>
    <t>RT @kngeuro: Continuamos con este jueves de una novia perfecta! #vw #Volkswagen #kingeuro https://t.co/J5U70YU6Wo</t>
  </si>
  <si>
    <t>Patina</t>
  </si>
  <si>
    <t>Great pic by an owner of their #Beetle on a recent trip. Building the history... https://t.co/42znFKli04 #vw https://t.co/yriSR6CpW8</t>
  </si>
  <si>
    <t>Abingdon, Oxfordshire</t>
  </si>
  <si>
    <t>The platform for digital vehicle history and price trends. Add yours today. Available on Web, Android &amp; iOS. Account manned by @timjoslyn #classiccar #car</t>
  </si>
  <si>
    <t>Smart Santa</t>
  </si>
  <si>
    <t>Bei #VW sind #IGMetall+#Betriebsrat unheimlich mächtig https://t.co/ROjXm0vRyw Want a #job at #Volkswagen:be a member of IG Metall 1st lol;D</t>
  </si>
  <si>
    <t>Open-minded Santa;Funny+Honest+ LoyalChristian+Realist+Nonracist; PrizeWinner+Entrepr+FighterForTheWeak; BLUNT/Ironic/Funny (Re-)Tweets+ Interests in ManyAreas</t>
  </si>
  <si>
    <t>ABC7News</t>
  </si>
  <si>
    <t>RT @ABC7Suiters: What to do with your cheating #diesel? Should #VW owners</t>
  </si>
  <si>
    <t>Breaking news, weather, sports and information for the Washington, D.C. area from the ABC 7 News newsroom</t>
  </si>
  <si>
    <t>NewsChannel 8</t>
  </si>
  <si>
    <t>The D.C. metro area's only 24-hour cable news channel, devoted to the latest in the District, Maryland and Virginia.</t>
  </si>
  <si>
    <t>eBay: 1972 VW BEETLE CHASSIS FLOOR PAN… https://t.co/nQoMC1G9in #vwbeetle #vwbug #vw https://t.co/xvfL74PTgl https://t.co/GFawkFtoMP</t>
  </si>
  <si>
    <t>eBay: 1969 VW BEETLE 1200 "WIZARD" ROLLING… https://t.co/u7MxELg4XG #vwbeetle #vwbug #vw https://t.co/xvfL74PTgl https://t.co/up1GlfaBzl</t>
  </si>
  <si>
    <t>eBay: 1974 VW BEETLE CHASSIS FLOOR PAN… https://t.co/W1wLVtFCqX #vwbeetle #vwbug #vw https://t.co/xvfL74PTgl https://t.co/5t9z1ZhQjJ</t>
  </si>
  <si>
    <t>Angel Melendez</t>
  </si>
  <si>
    <t>RT @Onelifetogive: Now that #Racist #Democrat #Jackson is off the $20, can we remove #Racist #Democrat #RobertByrd from everything in #VW?…</t>
  </si>
  <si>
    <t>Jacksonville,Fla</t>
  </si>
  <si>
    <t>Dad, Boxing and UFC enthusiast, New York Sports,Staunch Conservative.News Junkie.</t>
  </si>
  <si>
    <t>Hans-Christoph Noack</t>
  </si>
  <si>
    <t>#Amerika-Einingung von #VW weckt Begehrlichkeiten in anderen Ländern: STN: Stuttgarter Nachrichten: zu VW https://t.co/mQaxIpvnaO"</t>
  </si>
  <si>
    <t>Heidelberg Mannheim Frankfurt</t>
  </si>
  <si>
    <t>#Strategie #Kommunikation / #PR / #Reputationsmanagement / #Corporate #Governance / #Media / #Wirtschaftspublizist / With a wink and a good memory</t>
  </si>
  <si>
    <t>Michael Kunz</t>
  </si>
  <si>
    <t>Cologne Area, Germany</t>
  </si>
  <si>
    <t>R.Harrison Fries-Bru</t>
  </si>
  <si>
    <t>Hollywood,Chicago,Houston,N.Y.</t>
  </si>
  <si>
    <t>retired television broadcast management</t>
  </si>
  <si>
    <t>eBay: vw camper t2 1971 Bay window https://t.co/v7GIuN9UzO #vwcamper #vwbus #vw https://t.co/ZEadscsjBy https://t.co/EnCbqOVvEP</t>
  </si>
  <si>
    <t>eBay: VW T5 CAMPERVAN MOTORHOME 60 REG 4 BERTH… https://t.co/OjRbhahJBv #vwcamper #vwbus #vw https://t.co/ZEadscsjBy https://t.co/B8j7mJicEv</t>
  </si>
  <si>
    <t>eBay: 2012 12 VW VOLKSWAGEN TRANSPORTER 2.0… https://t.co/y4Et5egK3c #vwcamper #vwbus #vw https://t.co/ZEadscsjBy https://t.co/qiW5dPVAa1</t>
  </si>
  <si>
    <t>Micha</t>
  </si>
  <si>
    <t>Der #DEUTSCHE ist in jeder Hinsicht, heutzutage der #dumme der #Welt . Die ganze Welt lacht über uns! #Skandal #VW https://t.co/oSZ5gDaNwp</t>
  </si>
  <si>
    <t>Nordrhein-Westfalen</t>
  </si>
  <si>
    <t>Liebe es Reality Formate zu beobachten und zu zerlegen!Verfolge Sämtliche Deppen dieser Welt und kann auch was mit Politik anfangen!Auch BB Fans können Politik</t>
  </si>
  <si>
    <t>Chris Swenson</t>
  </si>
  <si>
    <t>VW reaches US deal in emissions scandal. Will buy back back bad cars. #VW https://t.co/whQV8CQlQZ</t>
  </si>
  <si>
    <t>Missoula, MT</t>
  </si>
  <si>
    <t>ABIDE, man... Fly Fish, fat bike, ski, hike &amp; poker. Defender of wilderness &amp; wildlife. Lost Trail Ski Patrol.</t>
  </si>
  <si>
    <t>Susanne*Roellchen</t>
  </si>
  <si>
    <t>#VW reaches US deal in emissions scandal - https://t.co/MZUoRBAn6U</t>
  </si>
  <si>
    <t>Germany/Netherlands/Spain</t>
  </si>
  <si>
    <t>Lebensfroh - Reisebegeistert - Leseratte - Tag- und Nachtaktiv - Weltoffen ;-)</t>
  </si>
  <si>
    <t>Michael Parekh</t>
  </si>
  <si>
    <t>Now $7 billion to start: "#VW to buy back up to 480,000 US vehicles in deal with regulators" https://t.co/xDF4qKFxoV via @FT</t>
  </si>
  <si>
    <t>LAX SFO NYC</t>
  </si>
  <si>
    <t>Investor &amp; Partner in Tech-driven Business Resets. Founded Goldman Sachs Internet Research Franchise in 1994.</t>
  </si>
  <si>
    <t>Talc1976</t>
  </si>
  <si>
    <t>RT @bigbobblehats: We are @ the #VW #bigbang show this weekend come along and say hello #bigbobblehats https://t.co/J1APSKjOCg</t>
  </si>
  <si>
    <t>Leeds</t>
  </si>
  <si>
    <t>It's not pain it's effort</t>
  </si>
  <si>
    <t>Optimistin</t>
  </si>
  <si>
    <t>Lean | agile | leadership | SW development | family | garden | feminism</t>
  </si>
  <si>
    <t>Taras Grescoe</t>
  </si>
  <si>
    <t>"Today's cars are green! Great mileage, low emissions!" Except they're not: #Mitsubishi #VW https://t.co/L6ON7ZifQY https://t.co/699L62iOlJ</t>
  </si>
  <si>
    <t>Montreal</t>
  </si>
  <si>
    <t>Author of Straphanger. In this century, great cities will be built around walking, cycling—and transit. I give keynote: https://t.co/g5A9OsSoqH</t>
  </si>
  <si>
    <t>eBay: 2004 VOLKSWAGEN BEETLE 1.6 PETROL MANUAL… https://t.co/Ssq27GSGJV #vwbeetle #vwbug #vw https://t.co/xvfL74PTgl https://t.co/BcxAHbo3GV</t>
  </si>
  <si>
    <t>#vw beetle 1972 VW BEETLE 1600 "WIZARD" ROLLING RESTORATION PROJECT - USED!!! https://t.co/TGTmTgcSqe</t>
  </si>
  <si>
    <t>#vw beetle 1972 VW BEETLE CHASSIS FLOOR PAN COMPLETE WITH V5 !! https://t.co/PommAwrPau</t>
  </si>
  <si>
    <t>#vw beetle 1969 VW BEETLE 1200 "WIZARD" ROLLING RESTORATION PROJECT - USED!!! https://t.co/8MT00E0t2Y</t>
  </si>
  <si>
    <t>#vw beetle 1974 VW BEETLE CHASSIS FLOOR PAN COMPLETE WITH V5 !! https://t.co/u0Fmy5uF3Z</t>
  </si>
  <si>
    <t>eBay: VW Transporter T5 camper van wanderlust https://t.co/SbhWJYmN5C #vwcamper #vwbus #vw https://t.co/ZEadscsjBy https://t.co/4npcHAq2Fs</t>
  </si>
  <si>
    <t>eBay: T25 Autohomes camper, T3, vw. https://t.co/Zno7a65PaC #vwcamper #vwbus #vw https://t.co/ZEadscsjBy https://t.co/09rjn9TFKv</t>
  </si>
  <si>
    <t>Volkswagen to buy back or repair nearly 600000 vehicles in emissions scandal https://t.co/OHS4BgRChx #VW #AutoNews</t>
  </si>
  <si>
    <t>Porkpie Frank</t>
  </si>
  <si>
    <t>RT @acvwpassion: You don't see that everyday. #ACVWPassion #Volkswagen #VW #AirCooled https://t.co/b3f2uJHCxu</t>
  </si>
  <si>
    <t>Up north somewhere..!!</t>
  </si>
  <si>
    <t>No affiliation with Peterborough..</t>
  </si>
  <si>
    <t>Brandon Johnson</t>
  </si>
  <si>
    <t>Head over heels for the 2017 #vw #Tiguan ❤️ #TDI. Yesterday I won $17 on a scratch off soooo. Progress.</t>
  </si>
  <si>
    <t>Fairfax, VA ✈ WV</t>
  </si>
  <si>
    <t>#Porsche's Biggest Heir Changes Course as Larger #VW Role Beckons https://t.co/fFWOmacXah via @business</t>
  </si>
  <si>
    <t>Common Raven</t>
  </si>
  <si>
    <t>@mofilly @nwfireblog @sara_randazzo Do you know yet how much they will pay? #VW</t>
  </si>
  <si>
    <t>New Mexico USA</t>
  </si>
  <si>
    <t>Wx spotter; CoCoRaHS; community emergency awareness; Firewise; gardener; bird watcher; foster rescue dogs; photo editor; weight lifter; owned by Spaniels.</t>
  </si>
  <si>
    <t>Suchit Gupta</t>
  </si>
  <si>
    <t>Now $7 billion to start: "#VW to buy back up to 480,000 US vehicles in deal with regulators" https://t.co/eVGt4YTreW via FT</t>
  </si>
  <si>
    <t>New Jersey, US</t>
  </si>
  <si>
    <t>#Investor and an #Entrepreneur</t>
  </si>
  <si>
    <t>Bernd Gewehr</t>
  </si>
  <si>
    <t>Da der #TÜV alle #VW ja abgenommen hatte, ist er als Prüfer für Digitaltechnologien am #KFZ sicher bestens geeignet. https://t.co/tWFntCwYYx</t>
  </si>
  <si>
    <t>Essen, Germany</t>
  </si>
  <si>
    <t>IT Department Manager, cloud and social enterprise excited, change addicted, husband and dad of two. Opinions are my own.</t>
  </si>
  <si>
    <t>Panos Georgolios</t>
  </si>
  <si>
    <t>#VW’s not-so-clean diesels: Judge reveals partial buy-back plan https://t.co/2zkYrEDqRl https://t.co/Dnkvi1YlM4</t>
  </si>
  <si>
    <t>Spiros Test App</t>
  </si>
  <si>
    <t>Markos Skellas</t>
  </si>
  <si>
    <t>#VW’s not-so-clean diesels: Judge reveals partial buy-back plan https://t.co/NjMPJmHD1K https://t.co/1jLj9Gfl7B</t>
  </si>
  <si>
    <t>test-998665</t>
  </si>
  <si>
    <t>eBay: vw t4 camper van https://t.co/Md3DvDzh4s #vwcamper #vwbus #vw https://t.co/ZEadscsjBy https://t.co/qtIkNX3OaI</t>
  </si>
  <si>
    <t>#VW https://t.co/w0lHNUNrTU</t>
  </si>
  <si>
    <t>fonzo</t>
  </si>
  <si>
    <t>Muzaffar Kola</t>
  </si>
  <si>
    <t>Cape Town bound🚗💨... #goapr6gp #thesleeper #VW #golfR #golf6R #MK6R #APR #goapr #APRtuned… https://t.co/2v8QCQK9y4</t>
  </si>
  <si>
    <t>DUBFELLAS DUB CLUB</t>
  </si>
  <si>
    <t>From @Dubdayz #summerfest #2015 #Volkswagen #splitty Long before #volkswagenscandal #dubclub @dankelly76 #vw https://t.co/UMUuEF7lLp</t>
  </si>
  <si>
    <t xml:space="preserve">Midlands </t>
  </si>
  <si>
    <t>#VW club find us@ facebook monthly meets, club camps, and a online #Volkswagen community family group so appropriate behavior around children #2016SUMMEROFDUBS</t>
  </si>
  <si>
    <t>Barry L Barney</t>
  </si>
  <si>
    <t>#Assarummuninnit? - #VW to #compensate #Americans for diesel scandal as #British drivers get #NO PAYOUT https://t.co/uliARZiQG9 - #stinks</t>
  </si>
  <si>
    <t>Drayton, Norwich U.K.</t>
  </si>
  <si>
    <t>ASSA RUMMUN INNIT? - BASCA, MENSA, OXCRETIA, AGENDA, CAMERA, ETCETERA - A's but no OLOGY's (ALL MISQUOTES ARE DELIBERATE, AS ARE SPELLING MISSTAKES [SIC])</t>
  </si>
  <si>
    <t>Pinkerton</t>
  </si>
  <si>
    <t>Exclusive: #VW to offer to buy back nearly 500,000 U.S. #diesel cars https://t.co/7O1SmjLqUI via @Reuters https://t.co/zDRY4RZJnH</t>
  </si>
  <si>
    <t>Global</t>
  </si>
  <si>
    <t>Corporate #riskmanagement services with an unmatched reputation for protecting clients and assets around the globe. LinkedIn: http://t.co/YSELMBCoyg</t>
  </si>
  <si>
    <t>Thomas</t>
  </si>
  <si>
    <t>RT @034Motorsport: Three's company with this mix of Corrados. #034motorsport #volkswagen #vw #corrado #vr6 #vwvortex #legendsneverdie https…</t>
  </si>
  <si>
    <t>somewhere in federal way, WA</t>
  </si>
  <si>
    <t>19 | PNW | Instagram/snap: tperryyy Milkshakes thicker than ya girls thighs</t>
  </si>
  <si>
    <t>Casey Volkswagen</t>
  </si>
  <si>
    <t>Where are our car enthusiast at? Can you tell me the year and model? #VW #ThrowbackThursday https://t.co/DI7JJF9zzH</t>
  </si>
  <si>
    <t>Newport News, VA</t>
  </si>
  <si>
    <t>Come see Casey's wide range of new and used VWs in Newport News, VA! Our sales staff has the knowledge needed to help you pick your dream new or used VW.</t>
  </si>
  <si>
    <t>ＶＷ、不正車買い取り 顧客補償策、対象57万台 米当局と最終合意へ * https://t.co/olLQcToBhp #VW #アメリカ #排気ガス不正</t>
  </si>
  <si>
    <t>Jonathan Sugarman</t>
  </si>
  <si>
    <t>As usual, #WhiteCollar #Crime goes unpunished. #Prisons are for poor people. #VW #volkswagenscandal #Anglo #IBRC https://t.co/uZxAnKgXKG</t>
  </si>
  <si>
    <t>See my ABC TV interview:</t>
  </si>
  <si>
    <t>In 2007 I resigned from my position as Risk Manager at UniCredit Bank (IRL) due to liquidity breaches. A year later, all Irish banks ran dry.</t>
  </si>
  <si>
    <t>Dimitris Avdis</t>
  </si>
  <si>
    <t>#garage #classic #car #vw #beetle #vintage https://t.co/oA1Wkni3UY</t>
  </si>
  <si>
    <t>Γλυφάδα</t>
  </si>
  <si>
    <t>Ελεύθερος επαγγελματίας.Εμπόριο φωτιστικών-επίπλων-αξεσουάρ.</t>
  </si>
  <si>
    <t>Bank of island</t>
  </si>
  <si>
    <t>RT @WhistleIRL: As usual, #WhiteCollar #Crime goes unpunished. #Prisons are for poor people. #VW #volkswagenscandal #Anglo #IBRC https://t.…</t>
  </si>
  <si>
    <t>Anti-Banks, News, Politics &amp; Occasional Useful Info</t>
  </si>
  <si>
    <t>eBay: VW Volkswagen T4 T5 Transporter Camper… https://t.co/QIlFLHCQ3R #vwcamper #vwbus #vw https://t.co/ZEadscsjBy https://t.co/AYdDbqAOYd</t>
  </si>
  <si>
    <t>eBay: VW &amp; Hymer Mercedes Retro CamperVan Hire… https://t.co/vLw1HgbsIr #vwcamper #vwbus #vw https://t.co/ZEadscsjBy https://t.co/B3hjEqjZ81</t>
  </si>
  <si>
    <t>eBay: LHD VW Camper Wardrobe and over bed… https://t.co/xBPEbNVtFT #vwcamper #vwbus #vw https://t.co/ZEadscsjBy https://t.co/5UhuMI59e8</t>
  </si>
  <si>
    <t>eBay: VW T25 TRANSPORTER CAMPER VAN MINI BUS https://t.co/jKUBFiwEta #vwcamper #vwbus #vw https://t.co/ZEadscsjBy https://t.co/J6yesNXDFE</t>
  </si>
  <si>
    <t>Geek Cleric Mike</t>
  </si>
  <si>
    <t>RT @grescoe: "Today's cars are green! Great mileage, low emissions!" Except they're not: #Mitsubishi #VW https://t.co/L6ON7ZifQY https://t.…</t>
  </si>
  <si>
    <t>Sunnydale's Cardinal. Ghostbuster Hall's Padre. Bishop, 1st Class, Papal Mainframe Church. Elbereth's Light.</t>
  </si>
  <si>
    <t>Sentient_Spirit</t>
  </si>
  <si>
    <t>I wonder how much #VW customers in #SouthAfrica will get? @vwpress_de https://t.co/qywaajkHJL</t>
  </si>
  <si>
    <t>Durban, South Africa</t>
  </si>
  <si>
    <t>Positive Vibrations :-) Life should be a journey of Adventure!</t>
  </si>
  <si>
    <t>eBay: 1978 VW MK1 Scirocco… https://t.co/cAcO08YmOj #vwbeetle #vwbug #vw https://t.co/xvfL74PTgl https://t.co/nIfoQbEHRR</t>
  </si>
  <si>
    <t>ALONSO QUIJANO</t>
  </si>
  <si>
    <t>Back home in La Mancha</t>
  </si>
  <si>
    <t>A 21st Century Don Quixote in the making. Deschooling</t>
  </si>
  <si>
    <t>The Beetles co.</t>
  </si>
  <si>
    <t>RT @DUBFELLAS: From @Dubdayz #summerfest #2015 #Volkswagen #splitty Long before #volkswagenscandal #dubclub @dankelly76 #vw https://t.c…</t>
  </si>
  <si>
    <t>Cape Town</t>
  </si>
  <si>
    <t>The Legend lives on, my love for cars and The VW Beetle will soon come alive... watch this space...</t>
  </si>
  <si>
    <t>RT @Escalante_go: MK7 done right #vw #audi #gti #gli #jetta #cabby #cc #passat #mk2 #mk3 #mk4 #mk5 #mk6 #a4 #a5 #a6 #b5 #b6 #b7 #s... http…</t>
  </si>
  <si>
    <t>Gabriel Pankow</t>
  </si>
  <si>
    <t>Tweets reflect my own views.</t>
  </si>
  <si>
    <t>Sönke Iwersen</t>
  </si>
  <si>
    <t>Leiter Investigative Recherche beim Handelsblatt s.iwersen@vhb.de</t>
  </si>
  <si>
    <t>Vintage Inspired</t>
  </si>
  <si>
    <t>Hi @Covhour can we introduce our #VW #campervan Dita? Available as #wedding transport and as a #photobooth #covhour https://t.co/jUPGwdVJEU</t>
  </si>
  <si>
    <t>Rugby, UK</t>
  </si>
  <si>
    <t>We love all things vintage, especially #VWs. Our #campervan Dita is our pride &amp; joy, if you love her too you can hire her for #weddings and a #photobooth.</t>
  </si>
  <si>
    <t>eBay: Volkswagen T3 Turbo Diesel Auto Sleeper… https://t.co/jQqn8bxbRX #vwcamper #vwbus #vw https://t.co/ZEadscsjBy https://t.co/xEgRGbWw1h</t>
  </si>
  <si>
    <t>eBay: 1978 VW MK1 Scirocco… https://t.co/2ar6U0aCt2 #vwcamper #vwbus #vw https://t.co/ZEadscsjBy https://t.co/dQ8nbQfvBZ</t>
  </si>
  <si>
    <t>Subaru Hoodie&amp;Tshirt</t>
  </si>
  <si>
    <t>Squadrollout😎 #squadgoals #spuad #subaru #impreza #wrx #vw #volkswagen #golf #seat #toledo #frline #subaruimpreza #… https://t.co/eHwdGGQpoS</t>
  </si>
  <si>
    <t>Bespoke Hoodies and T shirts for car enthusiasts of the Burble...</t>
  </si>
  <si>
    <t>RT @DeutscheAuto: Start your year off right #VW #vwlove http://t.co/b0eh46COna</t>
  </si>
  <si>
    <t>K2G Networking</t>
  </si>
  <si>
    <t>RT @vintagevwdita: Hi @Covhour can we introduce our #VW #campervan Dita? Available as #wedding transport and as a #photobooth #covhour http…</t>
  </si>
  <si>
    <t>#Konnect2Grow</t>
  </si>
  <si>
    <t>Fun, informal yet productive Networking groups. Monthly meetings in Hinckley, Coventry, Market Harborough and Leicester. Great networking for local businesses.</t>
  </si>
  <si>
    <t>RT @DeutscheAuto: The W8 engine.... Such a cool design. #moneypit #w8 #vw #vwproblems http://t.co/MaZ1TB4mG7</t>
  </si>
  <si>
    <t>RT @DeutscheAuto: Trailer Queen #mk6 #gti #vw http://t.co/B1hhFMoo1M</t>
  </si>
  <si>
    <t>notjustjams</t>
  </si>
  <si>
    <t>Not just jams.. was born out of the need to preserve seasonal gluts of my homegrown produce. I also create a lot of my own recipes just to be different.</t>
  </si>
  <si>
    <t>Alvagh Cronin</t>
  </si>
  <si>
    <t>SFHinister Fringes of Kildare</t>
  </si>
  <si>
    <t>Domestic Goddess.Mother of 3.All-round wonder(ful) woman on the Sinister Fringes. Politics: Sinn Féin. Views and opinions are my own.</t>
  </si>
  <si>
    <t>JayStar Group</t>
  </si>
  <si>
    <t>LRB rules UAW can organize group of VW workers https://t.co/TKx7yepK5F #UAW #VW #Labor</t>
  </si>
  <si>
    <t>Norwalk, Connecticut</t>
  </si>
  <si>
    <t>Providing unions of all sizes with a comprehensive suite of practical, proven solutions to meet the daily challenges of their Information Systems requirements</t>
  </si>
  <si>
    <t>AutoNews Now</t>
  </si>
  <si>
    <t>On ANN: Inside the #VW deal: Buybacks and fixes are among the options. And, #Uber tops business car rentals. https://t.co/3W5rlDF87X</t>
  </si>
  <si>
    <t>Detroit</t>
  </si>
  <si>
    <t>An afternoon video roundup of the day's key events from @Automotive_News, anchored by Tom Worobec.</t>
  </si>
  <si>
    <t>RT @VolkswagenCasey: Where are our car enthusiast at? Can you tell me the year and model? #VW #ThrowbackThursday https://t.co/DI7JJF9zzH</t>
  </si>
  <si>
    <t>twistednova</t>
  </si>
  <si>
    <t>you have bewitched me body and soul. some pics are mine. some not.</t>
  </si>
  <si>
    <t>RT @AutoNewsTV: On ANN: Inside the #VW deal: Buybacks and fixes are among the options. And, #Uber tops business car rentals. https://t.co/3…</t>
  </si>
  <si>
    <t>Can't afford a #VW #Golf R? The sporty new Golf R-line could be up your street https://t.co/viTjhVWAS8 @UKVolkswagen https://t.co/hT3X2egU1n</t>
  </si>
  <si>
    <t>keith</t>
  </si>
  <si>
    <t>Gibraltar, MI</t>
  </si>
  <si>
    <t>My R32 is the only thing that puts a smile on my face.</t>
  </si>
  <si>
    <t>eBay: 2004 VW T5 Camper T28/130 2.5tdi swb https://t.co/CuRqhAeMgc #vwcamper #vwbus #vw https://t.co/ZEadscsjBy https://t.co/aHtd9upTkt</t>
  </si>
  <si>
    <t>eBay: VW T4 CAMPER VAN / SURF VAN - 4 BERTH https://t.co/i8ibza1Q9l #vwcamper #vwbus #vw https://t.co/ZEadscsjBy https://t.co/lVUTczcLCd</t>
  </si>
  <si>
    <t>Cosmorion</t>
  </si>
  <si>
    <t>In the sacred land of Wolfsburg. #VW @vwgroup_de</t>
  </si>
  <si>
    <t xml:space="preserve">Down. Left. Sea. </t>
  </si>
  <si>
    <t>There is no spoon</t>
  </si>
  <si>
    <t>Hi @RugbyHour can we introduce our #VW #campervan Dita? To hire for #wedding transport &amp; as a #photobooth #RugbyHour https://t.co/Xv6uzgmcKt</t>
  </si>
  <si>
    <t>Ren</t>
  </si>
  <si>
    <t xml:space="preserve">vw </t>
  </si>
  <si>
    <t>1973 VW Splitscreen Campervan: £1,850.00 (0 Bids)End Date: Sunday May-1-2016 20:45:39 BSTBid now | Add to... https://t.co/qJzQ11BbWu #vw</t>
  </si>
  <si>
    <t>Charlie Butler</t>
  </si>
  <si>
    <t>All clean before I go away again! #vw #golf #mk7 #gti #performance #Sylvester https://t.co/DkJrqfG7LT</t>
  </si>
  <si>
    <t>C. Rohde Frontal21</t>
  </si>
  <si>
    <t>Journalist @Frontal21 | @zdf | Key ID 85C4F135</t>
  </si>
  <si>
    <t>#VW to Offer Substantial Compensation and Buy-Back Deals to Settle Emissions Scandal... https://t.co/PNpv4ZR13F</t>
  </si>
  <si>
    <t>kakabimbo</t>
  </si>
  <si>
    <t>Hallo @rtl2 Machts am besten wie #VW und ruft die ganze Produktion der neuen #frauentausch Folgen zurück.</t>
  </si>
  <si>
    <t xml:space="preserve">Lead, Follow or Die  </t>
  </si>
  <si>
    <t>Pain is temporary, Glory is forever</t>
  </si>
  <si>
    <t>KL1CKV13H</t>
  </si>
  <si>
    <t>RT @kakabimbo: Hallo @rtl2 Machts am besten wie #VW und ruft die ganze Produktion der neuen #frauentausch Folgen zurück.</t>
  </si>
  <si>
    <t>Bremen | Germany</t>
  </si>
  <si>
    <t>Eskalationsbeauftragter™ und intergalaktischer Waffenhändler | Donnerbuddy von @utermon | Trust me, I'm an engineer | Exil-Oldenburger</t>
  </si>
  <si>
    <t>PropertyCasualty360</t>
  </si>
  <si>
    <t>#VW has agreed to pay $10B to resolve civil claims by U.S. over diesel vehicles rigged to #cheat pollution controls https://t.co/E7NcPl7SjJ</t>
  </si>
  <si>
    <t>Insurance News. Analysis. Market Trends. Total Coverage of the P&amp;C insurance market.</t>
  </si>
  <si>
    <t>Ursula Zerilli</t>
  </si>
  <si>
    <t>Detroit, Michigan</t>
  </si>
  <si>
    <t>Reporter at @AutoNewsTV. Tweeting about automotive news, bears, beer and biz. Spartan.</t>
  </si>
  <si>
    <t>Ares</t>
  </si>
  <si>
    <t>❤I would do anything for you❤ Muscle cars F1</t>
  </si>
  <si>
    <t>Josef Winter</t>
  </si>
  <si>
    <t>#Dieselgate #VW bevorzugt den amerikanischen Markt.... Entschädigung gibt es nur in Übersee.</t>
  </si>
  <si>
    <t>Schwabenland</t>
  </si>
  <si>
    <t>Läufer, Arbeitstier und Selbstdenker. Memento moriendum esse!</t>
  </si>
  <si>
    <t>Danielle Stone</t>
  </si>
  <si>
    <t>Gonna be car shopping in a few months. #yay #Volkswagen #vw #newcarsmell #notgettingaVW https://t.co/u7IdGsuefw</t>
  </si>
  <si>
    <t>Judsonia, AR</t>
  </si>
  <si>
    <t>Business owner. Shoe addict. Food addict. Boom.</t>
  </si>
  <si>
    <t>Eerik Cartman</t>
  </si>
  <si>
    <t>..arvioidaan maksavan #VW yli 6 mrd$. #VW:n asiakkaat ja sijoittajat voivat silti vielä haastaa sen oikeuteen. https://t.co/gpGeRnCczX</t>
  </si>
  <si>
    <t>Vittuone, Lombardia</t>
  </si>
  <si>
    <t>#newbie #n00b Vielä nimetön, naamaton, hajuton ja mauton. #salkku tyhjä</t>
  </si>
  <si>
    <t>FanCar Picture - Send me your Scirocco pictures!!! (PM Please) #VW #Volkswagen #Scirocco #Tuning https://t.co/OxvinkX5Ug</t>
  </si>
  <si>
    <t>Aurélio Soares</t>
  </si>
  <si>
    <t>Brazil</t>
  </si>
  <si>
    <t>Ask me and find out!</t>
  </si>
  <si>
    <t>Willi 1887</t>
  </si>
  <si>
    <t>Bin mal gespannt, ob #VW deutschen Kunden das gleiche Angebot macht wie in den USA .Patenkind1 ist auch betroffen #dieselgate</t>
  </si>
  <si>
    <t>Heidelberg</t>
  </si>
  <si>
    <t>♡♥♡♥♡HSV for ever ♡♥♡♥♡♥ ♥♡♥♡Mitglied des HSV-SC seit 01.10.2015♡♥♡♥ Mit ♡ Feuerwehrmann (freiwillig) Hier ist es bunt und nicht braun !!!</t>
  </si>
  <si>
    <t>Tom Young</t>
  </si>
  <si>
    <t>#VW Will Buy Back Some Diesel Cars, Announcing A Deal With U.S. https://t.co/a3UPFfJlZz by @publicbill #dieselgate #volkswagenscandal</t>
  </si>
  <si>
    <t>Tampa</t>
  </si>
  <si>
    <t>Oil spill litigation, environmental law &amp; economic loss attorney.</t>
  </si>
  <si>
    <t>auto motor und sport</t>
  </si>
  <si>
    <t>#VW #Amarok Facelift 2016: Große Überarbeitung für den VW-Pickup Amarok https://t.co/glOsq8aig6 #AMuS https://t.co/Tj33UNJ1Mi</t>
  </si>
  <si>
    <t>Stuttgart, Deutschland</t>
  </si>
  <si>
    <t>Deutschlands großes Automagazin für Tests, Formel 1, News, Ratgeber, Services und Motorsport.</t>
  </si>
  <si>
    <t>eBay: VW T4 CARAVELLE (High TOP Camper van)… https://t.co/tT0GzrCzj1 #vwcamper #vwbus #vw https://t.co/ZEadscsjBy https://t.co/Spc2vgGs2e</t>
  </si>
  <si>
    <t>eBay: VW T5 LWB camper Van.4 berth camper pop… https://t.co/HdevHKoheN #vwcamper #vwbus #vw https://t.co/ZEadscsjBy https://t.co/94Sx2mXOaS</t>
  </si>
  <si>
    <t>FreiheitMarktRecht</t>
  </si>
  <si>
    <t>„Gebete für unsere Kunden“. #VW-Händler in USA. Ich habe Tränen in den Augen. #heutejournal</t>
  </si>
  <si>
    <t>Glaube ist geistiger Suizid, Kultur Verfeinerung des Tierischen im Menschen und Demokratie nur eine Entscheidungsfindungsmethode.</t>
  </si>
  <si>
    <t>Der Willi</t>
  </si>
  <si>
    <t>RT @Willi1887: Bin mal gespannt, ob #VW deutschen Kunden das gleiche Angebot macht wie in den USA .Patenkind1 ist auch betroffen #dieselgate</t>
  </si>
  <si>
    <t>Neuwied</t>
  </si>
  <si>
    <t>Dieselknecht. 18+X. Asi mit Niveau. kik:MCV1811. https://t.co/e8P6iHqGos Flickr : MCV1811 .Vine: Cowboy1811.</t>
  </si>
  <si>
    <t>Wegmanns Platz</t>
  </si>
  <si>
    <t>Solide Unternehmen kaufen eigene Aktien und keine eigenen Autos. #VW</t>
  </si>
  <si>
    <t>Dortmund, Westfalenstadion</t>
  </si>
  <si>
    <t>So ist Fußball, manchmal gewinnt der Bessere.</t>
  </si>
  <si>
    <t>Herman Cook VW</t>
  </si>
  <si>
    <t>Adventure has always come standard in #VW! #tbt https://t.co/zVbW8dMIW8</t>
  </si>
  <si>
    <t>Encinitas, Ca.  USA</t>
  </si>
  <si>
    <t>Selling &amp; servicing Volkswagens in San Diego county since 1967. Give us a call at (760) 753-6256!</t>
  </si>
  <si>
    <t>Der Anwalt so: #VW darf nicht über den Abgrund geschubst werden. JA NE IS KLAR. Der braucht das für seine achte Villa in Naples.</t>
  </si>
  <si>
    <t>The 3.0 #Audi and #Porsche are not included?! #VW Will Buy Back Some Diesel Cars, Announcing A Deal With U.S. - NPR https://t.co/hfbdO8PUJh</t>
  </si>
  <si>
    <t>C. Stichternath</t>
  </si>
  <si>
    <t>Not a good deal! #VW schüttet über die Ami-Kunden 30 Mrd. Dollar aus. Und die doofen deutschen Diesel-Betrogenen gucken in die Röhre!</t>
  </si>
  <si>
    <t>Hannover/L: 9.716 Br: 52.366</t>
  </si>
  <si>
    <t>#Kultur und Kreativwirtschaft #Medien #PR #Niedersachsen #History</t>
  </si>
  <si>
    <t>David Copeman</t>
  </si>
  <si>
    <t>Mud slinger. #4x4 #offroad #vw #adac #bp #ourfuelstory @ ADAC Fahrsicherheitszentrum https://t.co/opgb1p884g</t>
  </si>
  <si>
    <t>London and beyond.</t>
  </si>
  <si>
    <t>Professional photographer, creating pictures that tell the right story. Shooting corporate events, business folk, worldwide. New ideas from an experienced head.</t>
  </si>
  <si>
    <t>Gimnasia22</t>
  </si>
  <si>
    <t>La Plata, Argentina</t>
  </si>
  <si>
    <t>²²Club Gimnasia Y Esgrima La Plata²² // WSP :2216771427 // Seguime y te sigo ;) //Face: Sebastian Axel // #Capricornio</t>
  </si>
  <si>
    <t>#COVHOUR</t>
  </si>
  <si>
    <t>Coventry, UK</t>
  </si>
  <si>
    <t>Add #covhour in your tweet every Thursday between 8-9pm to promote your business &amp; network with others. RT &amp; follow whenever you can - Tweets by Jo @pinkellie67</t>
  </si>
  <si>
    <t>Kontaktanzeigen</t>
  </si>
  <si>
    <t>#Finanzaufsicht prüft plötzlichen #Kursanstieg der #VW-#Aktie https://t.co/XkQRTyct14 via @DWN_de</t>
  </si>
  <si>
    <t>Impressum:</t>
  </si>
  <si>
    <t>#Brisante politische #Internet - #ReTweet und geile #Kontaktanzeigen von: https://t.co/vkYSv2nJFp | https://t.co/fTfHCjshLz | https://t.co/SRiT7SCN6t</t>
  </si>
  <si>
    <t>eBay: LOVELY pretty blue vw beetle. 2.0 53… https://t.co/R9YYlqpuKn #vwbeetle #vwbug #vw https://t.co/xvfL74PTgl https://t.co/W7iJKe6Vow</t>
  </si>
  <si>
    <t>Jbattey</t>
  </si>
  <si>
    <t>When Jeep is life but you have to settle for VW 😂 #JeepIsLife #VW #OffroadinaVW #ButWhy https://t.co/eoDfeY3vCi</t>
  </si>
  <si>
    <t>Buffalo, NY</t>
  </si>
  <si>
    <t>eBay: 52 VOLKSWAGEN BEETLE BLACK,… https://t.co/gdl5OJm0Bf #vwbeetle #vwbug #vw https://t.co/xvfL74PTgl https://t.co/WLSSz3TrGQ</t>
  </si>
  <si>
    <t>RETROPOT</t>
  </si>
  <si>
    <t>📷 gliset-t2: Liked on Instagram: “Save the date! #vw #vwlove #vwbus #vwporn #baywindow #t2campermeeting... https://t.co/YCZxmVaIOE</t>
  </si>
  <si>
    <t>Diseño y personalización de tazas de acero esmaltado. Desing and customization of traditional enamel mugs. From Spain.</t>
  </si>
  <si>
    <t>nιcнттoвιaѕ</t>
  </si>
  <si>
    <t>alzнeιм an der deмenz</t>
  </si>
  <si>
    <t>υeвeraмвιтιonιerт leтнargιѕcн</t>
  </si>
  <si>
    <t>#RugbyHour</t>
  </si>
  <si>
    <t>RT @vintagevwdita: Hi @RugbyHour can we introduce our #VW #campervan Dita? To hire for #wedding transport &amp; as a #photobooth #RugbyHour htt…</t>
  </si>
  <si>
    <t>Rugby, Warwickshire</t>
  </si>
  <si>
    <t>Rugby's twitter networking event. Retweeting your offers &amp; events. Add #RugbyHour for a retweet Thursday nights 8.30-9.30pm - tweets by @huxodm</t>
  </si>
  <si>
    <t>Dana Flavelle</t>
  </si>
  <si>
    <t>VW Canada says EPA deal applies to Canadian diesel owners. Details to be announced in June. #VW #dieselgate</t>
  </si>
  <si>
    <t xml:space="preserve">Toronto </t>
  </si>
  <si>
    <t>Business writer for The Toronto Star, Canada's largest newspaper. Culture vulture. Outdoor enthusiast. Email: dflavel@thestar.ca. Visit me on Facebook</t>
  </si>
  <si>
    <t>Pato</t>
  </si>
  <si>
    <t>Burzaco</t>
  </si>
  <si>
    <t>[16]❤Burzaco Futbol Club❤=Nadador❤ = amante del rock, ☆Una chica en el cielo, vive en mi océano salvaje☆ ☆DIVIDIDOS☆ - Wpp: 1156235817 ☆ Promo #17</t>
  </si>
  <si>
    <t>My Comfor</t>
  </si>
  <si>
    <t>#Dieselgate: #VW hat sich mit US-Behörden geeinigt. 5000 Dollar Entschädigung u. Rückkauf. Für Deutsche gibts nichts https://t.co/yPTnX9oEra</t>
  </si>
  <si>
    <t>Bitly</t>
  </si>
  <si>
    <t>deutscher Sprachraum</t>
  </si>
  <si>
    <t>Das News- und HR/Job/M&amp;A-Portal mit ausgesuchtem Infotainment sowie SmartSearch-Kontakt- und Kommunikations-Support unter geschützter Identität der Parteien</t>
  </si>
  <si>
    <t>thechronoduo</t>
  </si>
  <si>
    <t>Type R sub. #rolex #submariner #ourfuelstory #vw #bp #vwgolfr #thechronoduo #watchporn #watch @… https://t.co/YrGSWZY1Lx</t>
  </si>
  <si>
    <t>Vintage watches for modern times. Interesting watches from the latter half of the 20th Century. Mostly mechanical, mostly Swiss, but not exclusively.</t>
  </si>
  <si>
    <t>Thompson Volkswagen</t>
  </si>
  <si>
    <t>#ThankfulThursday for great followers like .@ToyotaScionGA .@NAMAD_USA We follow back! #VW #BucksCounty</t>
  </si>
  <si>
    <t>Warrington, PA</t>
  </si>
  <si>
    <t>Premier #Volkswagen dealer/service center serving #BucksCounty + Greater Philadelphia area. Experience the #Thompson Difference. 1607 Easton Road | 215-343-1600</t>
  </si>
  <si>
    <t>Chris Bryant</t>
  </si>
  <si>
    <t>@BeerBods great choice.lovely lovely taste.no beach but some vw beach buggys. #beerbods #VW #drinkbetterbeer https://t.co/Q6VVx7q2fA</t>
  </si>
  <si>
    <t xml:space="preserve">Kidderminster </t>
  </si>
  <si>
    <t>Rat armed v-dub loving father.</t>
  </si>
  <si>
    <t>https://t.co/twUvv582rQ - #powysleisure #vwtransportersales #bebbproducts #vwt5 #vwt6 #vw… https://t.co/bs5xLUvOSS https://t.co/InlAVWc0pl</t>
  </si>
  <si>
    <t>Troposfera.org</t>
  </si>
  <si>
    <t>#Volkswagen pagará 5.000 dólares a cada afectado por el #dieselgate en #EEUU https://t.co/BzGRhY8Sik #Contaminación #Fraude #VW</t>
  </si>
  <si>
    <t>Galicia (España)</t>
  </si>
  <si>
    <t>Calidad del Aire · Contaminación Atmosférica · Medio Ambiente</t>
  </si>
  <si>
    <t>https://t.co/5fXYdxvKdo - Loving life by the sea. #vw #vwt4 #campervan #t4camper by denni… https://t.co/onaFDuxt6L https://t.co/TpcL5yrlGU</t>
  </si>
  <si>
    <t>https://t.co/XoRdctMaqo - Day job #windows #glass #vw #vwt5 #vwt4 #vwlovers #vwlife #conv… https://t.co/NCTNLDUT0G https://t.co/8NxCj01rEr</t>
  </si>
  <si>
    <t>https://t.co/Te5BOc25GC - Day job #windows #glass #vw #vwt5 #vwt4 #vwlovers #vwlife #conv… https://t.co/NCTNLDUT0G https://t.co/BzBuMttH29</t>
  </si>
  <si>
    <t>https://t.co/KHlCkXs778 - Windows in #glass #windows #vw #vwt5 #vwt4 #vwlife #vwlovers #c… https://t.co/7cLVIfG3cJ https://t.co/bWDdfO1QOD</t>
  </si>
  <si>
    <t>https://t.co/AnZp6DDHhY - Windows in #glass #windows #vw #vwt5 #vwt4 #vwlife #vwlovers #c… https://t.co/7cLVIfG3cJ https://t.co/5Xpo4CnWVs</t>
  </si>
  <si>
    <t>https://t.co/jH7oiprxvl - Full conversion on the go 🛠 vwt5 #hightop #vwt5 #vw #fullconver… https://t.co/L8rMjkD5f6 https://t.co/pUDbg9n7bL</t>
  </si>
  <si>
    <t>https://t.co/sTZiXqdBt2 - Vw t5 high top conversion stages 🛠 #vw #vwt5 #hightop #conversi… https://t.co/Vgrw7ieujN https://t.co/ZYswr5seh5</t>
  </si>
  <si>
    <t>https://t.co/C9O1yM2gVq - #stages #conversion #vw #hightop #vwt5 #vwlovers #crazycamperz … https://t.co/ygdPWMAflj https://t.co/fKgleWDeGR</t>
  </si>
  <si>
    <t>Photography First</t>
  </si>
  <si>
    <t>@Jayrimbo @SylenLakes #weddingphotography #beetle #vw #vdub #southwales #llanelli https://t.co/y7kxhRfhhi https://t.co/vyOlOWEZiM</t>
  </si>
  <si>
    <t>South Wales Wedding Photographer</t>
  </si>
  <si>
    <t>eBay: Volkswagen Beetle 1955 RHD Oval Ragtop https://t.co/Dm0meVfVkr #vwbeetle #vwbug #vw https://t.co/xvfL74PTgl https://t.co/tfgXGjrCsR</t>
  </si>
  <si>
    <t>April Heretics Meet #vw #volkswagen #mk1 #mk1golf #g60 #16vg60 by jontilbury https://t.co/tl5AEmK2Kw</t>
  </si>
  <si>
    <t>Sr Thompson RLP</t>
  </si>
  <si>
    <t>de por ahi</t>
  </si>
  <si>
    <t>Smoke Weed All Day ------ My Life Be Like</t>
  </si>
  <si>
    <t>le Cram</t>
  </si>
  <si>
    <t>Fassungslos. In Deutschland kann man keine Konzerne strafrechtlich belangen. VW kommt mit nichts davon. #Kontraste #DasErste #VW</t>
  </si>
  <si>
    <t>Elbflorenz v Kaiserpfalz</t>
  </si>
  <si>
    <t>Confessions on a social network. Feedback.me</t>
  </si>
  <si>
    <t>Anke Becker-Wenzel</t>
  </si>
  <si>
    <t>Journalistin @Frontal21 @ZDF All tweets here are my own</t>
  </si>
  <si>
    <t>#Volkswagen may buy back hundreds of thousands of #dieselgate cars https://t.co/9mU0VVcL6I by @PeterCBigelow #VW</t>
  </si>
  <si>
    <t>Drunken Monkey</t>
  </si>
  <si>
    <t>So #VW owners in USA are going to get $5000 but nothing for Europe #VW emissions scandal. @Volkswagen @AutoExpress</t>
  </si>
  <si>
    <t>County Durham</t>
  </si>
  <si>
    <t>#scifi #movies #reading. Painting miniatures. Tai Chi internal boxing.</t>
  </si>
  <si>
    <t>Kings Performance</t>
  </si>
  <si>
    <t>RT @RyanLores: ....also, #VW to offer to buy back nearly 500,000 #USA #diesel #cars according to sources. #VolksWagen https://t.co/CrzjbAgz…</t>
  </si>
  <si>
    <t>Orlando, FL</t>
  </si>
  <si>
    <t>We ship turn-key fully tuned vehicles &amp; premier parts worldwide. Full-service engine building &amp; experienced tuning. We are very passionate about motorsports</t>
  </si>
  <si>
    <t>DW (Hindi)</t>
  </si>
  <si>
    <t>#VW to offer to buy back nearly 500,000 U.S. diesel cars - sources. https://t.co/OSG9kaTCDW https://t.co/ABwCv4gdn5"</t>
  </si>
  <si>
    <t>हम लाते हैं आपके लिए महत्वपूर्ण खबरें. आप दें अपनी राय और करें दुनिया भर के मुद्दों पर हमारे साथ चर्चा.http://t.co/oMbOaq3Zcw</t>
  </si>
  <si>
    <t>Michael Cantu</t>
  </si>
  <si>
    <t>Owners of emissions-cheating #Volkswagens can choose buybacks or repairs, judge says https://t.co/pvgKrjI5EL #VW #dieselgate</t>
  </si>
  <si>
    <t>Automotive Enthusiast, Editor, and Consultant https://t.co/28ff1VbAOo https://t.co/FxCLw9UfpY enthusiastview@gmail.com My interests = cars and cars (and cars).</t>
  </si>
  <si>
    <t>Bradley Vaccaro</t>
  </si>
  <si>
    <t>Idea for @elonmusk - work out deal for #VW to buy all TDI owners a Model 3... #takemyjetta https://t.co/AxmwjA5Ybm</t>
  </si>
  <si>
    <t>Petaluma, CA</t>
  </si>
  <si>
    <t>Die Einigung wird irrwitzig viel kosten - doch Kunden und Konzern können nur profitieren: https://t.co/ehzMcAhBMO #dieselgate #VW</t>
  </si>
  <si>
    <t>Lena</t>
  </si>
  <si>
    <t>Das #heutejournal mit #Rente #VW #Essen und #Prince jetzt auch in der #ZDF Mediathek https://t.co/pj3pSFe8Hq</t>
  </si>
  <si>
    <t>AutoVerdict</t>
  </si>
  <si>
    <t>Agreement Reached Between VW and U.S. Over Diesel Emissions Violations https://t.co/7iLmoOC6Gk #diesel #emissions #settlement #VW</t>
  </si>
  <si>
    <t>AVTIO</t>
  </si>
  <si>
    <t>The web's source for automotive news, reviews, and discussion. Innovating in a crowded space. #AV</t>
  </si>
  <si>
    <t>Coventry Updates</t>
  </si>
  <si>
    <t>Coventry</t>
  </si>
  <si>
    <t>All the latest updates and news on Coventry traffic, road closures, newsflashes and stories.</t>
  </si>
  <si>
    <t>Bernhard Sauer</t>
  </si>
  <si>
    <t>#Dobrindt in der #Abgasaffäre: #Weichgeschaltet https://t.co/B33OMM3TIq via @SPIEGELONLINE #VW #USA</t>
  </si>
  <si>
    <t>Großraum Frankfurt</t>
  </si>
  <si>
    <t>Project Director, IfM der Hochschule St. Gallen; Vorstand Alpha Advisory AG; Dipl.-Ing. TU München; staatl. gepr. Berg- und Skiführer, staatl. gepr. Skilehrer;</t>
  </si>
  <si>
    <t>Trouwbus Tilburg</t>
  </si>
  <si>
    <t>Weer een super gezellige galarit gereden vanavond #galavervoer #trouwvervoer #vw… https://t.co/Olx1oivoh9</t>
  </si>
  <si>
    <t>Tilburg</t>
  </si>
  <si>
    <t>Hip en romantisch trouwvervoer in een Volkswagen T2 uit 1971 met een personal touch!</t>
  </si>
  <si>
    <t>Gabriel Jacobsohn</t>
  </si>
  <si>
    <t>RT @extra3: #VW-Spitzenmanager sollen auf einen Teil der Bonuszahlungen verzichten. Bis auf einen. https://t.co/gS2kKIyVSj</t>
  </si>
  <si>
    <t>vwt3.net</t>
  </si>
  <si>
    <t>RT @vamp_kris2102: VW Bus T3 #VW https://t.co/Wgzt2kLeR2 Seltene Gelegenheit fast 30 Jahre alter Bulli (ehem. Behördenfahrzeug) https://t.c…</t>
  </si>
  <si>
    <t>Madrid - España</t>
  </si>
  <si>
    <t>VW T3 (T25 - Kombi - Vanagon - Bus - Syncro) Web de Información. http://t.co/cHoPp8jLdr</t>
  </si>
  <si>
    <t>RT @choucoco03VwT3: Suivez les aventures de Vagabond! https://t.co/Y0bvYJId3C #hippie #vw #t3vw #combi #vanlife #campervan #roadtrip http…</t>
  </si>
  <si>
    <t>BommaritoVWHazelwood</t>
  </si>
  <si>
    <t>Competitor coupons are just one of the ways you can save on #VW service in #Hazelwood, MO: https://t.co/SDAF2RNnCe</t>
  </si>
  <si>
    <t>St. Louis, MO</t>
  </si>
  <si>
    <t>Bommarito Volkswagen of Hazelwood is a premier Volkswagen dealership serving the greater St. Louis, Missouri area. Where price sells cars!</t>
  </si>
  <si>
    <t>#vw beetle 1978 VW MK1 Scirocco (Volkswagen/LHD/classic/not golf/jetta/beetle/camper) https://t.co/fe8xCraUd1</t>
  </si>
  <si>
    <t>#vw beetle Volkswagen Beetle 1955 RHD Oval Ragtop https://t.co/Cc8FuyPddX</t>
  </si>
  <si>
    <t>#VW https://t.co/FuH8xYnBzl</t>
  </si>
  <si>
    <t>What can people who own a #VW if they're caught up with the #volkswagenscandal @GilGross910 is talking to @astoneabcnews @ABC</t>
  </si>
  <si>
    <t>Deutschland ن</t>
  </si>
  <si>
    <t>Aus aktuellem Anlass: #vw #volkswagen https://t.co/OSZseUj5tf</t>
  </si>
  <si>
    <t>Besorgt um unsere Heimat, die man jetzt schon kaum noch wiedererkennt</t>
  </si>
  <si>
    <t>Sabrina :-)</t>
  </si>
  <si>
    <t>Scranton, PA</t>
  </si>
  <si>
    <t>Weiblich /27 jahre /Niedersachsen /Bücherwurm /leidenschaftlicher trash-tv gucker</t>
  </si>
  <si>
    <t>RT @dw_hindi: #VW to offer to buy back nearly 500,000 U.S. diesel cars - sources. https://t.co/OSG9kaTCDW https://t.co/ABwCv4gdn5"</t>
  </si>
  <si>
    <t>VW owners can pick buybacks, fixes in emissions deal, judge says https://t.co/URV9uq0n0k #VW #AutoNews</t>
  </si>
  <si>
    <t>Answers to Questions About Volkswagen Dirty Diesel Deal https://t.co/PagCyk6ETh #VW #AutoNews</t>
  </si>
  <si>
    <t>2014 Volkswagen Jetta SportWagen 2.0L TDI Wagon in Rochester Back To Inventory: Used 2014 Volk... https://t.co/HDDwh3MGSo #VW #jetta #car</t>
  </si>
  <si>
    <t>Cars.com</t>
  </si>
  <si>
    <t>@VW to buy back up to 480K #diesel cars &amp; pay out more $$$ in emissions cheating scandal.https://t.co/es5iQp99py #VW https://t.co/QQpMNYEVed</t>
  </si>
  <si>
    <t>Spredfast app</t>
  </si>
  <si>
    <t>We're on a mission to help you find the perfect car at the perfect price – without all the drama. Follow us for the latest new car news.</t>
  </si>
  <si>
    <t>AutoReport.ro</t>
  </si>
  <si>
    <t>Testul nostru cu #VW Amarok, varianta de 180 CP #autoreport https://t.co/UvhwhJGLR8 https://t.co/fu14ilOQq0</t>
  </si>
  <si>
    <t>Romanian auto website. News, drive tests &amp; useful informations #autoreport</t>
  </si>
  <si>
    <t>Franky</t>
  </si>
  <si>
    <t>#vw Vergleich in den USA. Na prima, dann können die Bonis ja doch noch raus. Scheiss auf die Dividende. Hoch die Tassen. 😒</t>
  </si>
  <si>
    <t>Neufundland und Labrador, Kana</t>
  </si>
  <si>
    <t>SV Werder Bremen Fan. Der Rest: siehe VITA .....!</t>
  </si>
  <si>
    <t>#VW https://t.co/QR5fYnszqt</t>
  </si>
  <si>
    <t>Lucky Rogers Express</t>
  </si>
  <si>
    <t>Does your #VW qualify? #Volkswagen #Diesel https://t.co/XEbt0IzXsw</t>
  </si>
  <si>
    <t>Social Reputation</t>
  </si>
  <si>
    <t>1529 8th St, Harvey, LA</t>
  </si>
  <si>
    <t>Our business takes quality and customer service seriously. As a NAPA AutoCare Center, we follow a strict Code of Ethics.</t>
  </si>
  <si>
    <t>PABLO FCO gutierrez</t>
  </si>
  <si>
    <t>#Liondres Guanajuato, México</t>
  </si>
  <si>
    <t>ING ME leones, Adicto a la @pepsikick, I Love #BocaDeTomatlán #chevytruck #vocho</t>
  </si>
  <si>
    <t>#VW owners! The registration deadline for eligible 3.0L TDI Goodwill Package customers has been extended till 7/31! https://t.co/3k5ZdKEf26</t>
  </si>
  <si>
    <t>Samantha Gilham</t>
  </si>
  <si>
    <t>Official BTCC grid girl, promotional model, VIP hostess &amp; film extra. Facebook/ INSTAGRAM: @samantha_gilham</t>
  </si>
  <si>
    <t>"Judge Breyer set a deadline of June 21 to nail down the final details of the agreements" https://t.co/87Awv3PJYW #VW #DieselGate</t>
  </si>
  <si>
    <t>Arnold Suarez</t>
  </si>
  <si>
    <t>Oil change for the baby #vw #volkswagen #beetle #classic #vintage #fusca https://t.co/b8bvyL5DCX</t>
  </si>
  <si>
    <t>Omnipotente</t>
  </si>
  <si>
    <t>Si quieres puedo acompañar con música tu drama.</t>
  </si>
  <si>
    <t>Matias o Tripado</t>
  </si>
  <si>
    <t>RT @abandonedspaces: A rolling #VW gathers no moss... https://t.co/fACEHnd0fU</t>
  </si>
  <si>
    <t>Coimbra</t>
  </si>
  <si>
    <t>DJ/Producer| Electro| Progressive| Deep House| 17| UMF| TL| Somersby| ESAB| #BornToRave| Shuffle| VideoMapping| Lista M| Insta: joaomatiasdj</t>
  </si>
  <si>
    <t>eBay: VW T4 Transporter, 2.5TDI 7 Seater LWB… https://t.co/3VYuvRHGhA #vwcamper #vwbus #vw https://t.co/ZEadscsjBy https://t.co/2Y1NaOFvbc</t>
  </si>
  <si>
    <t>Sea Shell</t>
  </si>
  <si>
    <t>Mein Herz schlägt für Tiere❤️❤️❤️Katzenfrau, Optimistin, Genußmensch, Leseratte, Weltreisende, aber in Köln geboren. Bin nicht auf Partnersuche</t>
  </si>
  <si>
    <t>Elysse Morgan</t>
  </si>
  <si>
    <t xml:space="preserve">Sydney </t>
  </si>
  <si>
    <t>Presenter of The Business on ABC Radio, ABC1 &amp; News24. Business and finance reporter. Maker of jams and preserves.</t>
  </si>
  <si>
    <t>Good Shepherd </t>
  </si>
  <si>
    <t>Unternehmen wie #VW zahlen in den #USA jedem Käufer eine Entschädigung von 4400 € in #DE erhalten die Käufer nix. Das war unser letzter #VW</t>
  </si>
  <si>
    <t>Hamburg Sylt Stockholm</t>
  </si>
  <si>
    <t>Der Beweis von Heldentaten liegt nicht im Gewinnen einer Schlacht, sondern im Ertragen von Niederlagen.</t>
  </si>
  <si>
    <t>Claire Huxable</t>
  </si>
  <si>
    <t>Judge: #VW owners can pick buybacks, fixes in emissions deal https://t.co/VHBi88N9Tg https://t.co/ZQql8RkwIw</t>
  </si>
  <si>
    <t xml:space="preserve">Everywhere </t>
  </si>
  <si>
    <t>The person who says it cannot be done should not interrupt the person doing it - Chinese Proverb Find me at:</t>
  </si>
  <si>
    <t>Sazz Charles</t>
  </si>
  <si>
    <t>The #emission cheaters revealed to be one of cleanest emissions!....sounds like a #Golf. #VW https://t.co/rPfZ2akiZJ</t>
  </si>
  <si>
    <t>Crawley</t>
  </si>
  <si>
    <t>Sasha Charles (Sazz Charles). Lawyer - Specialising in Housing Law. Work Hard &amp; Play Hard. Extreme Sports.</t>
  </si>
  <si>
    <t>Beyza Nur Baykus</t>
  </si>
  <si>
    <t>RT @faznet: Die Einigung wird irrwitzig viel kosten - doch Kunden und Konzern können nur profitieren: https://t.co/ehzMcAhBMO #dieselgate #…</t>
  </si>
  <si>
    <t>iman hem nurdur hem kuvvettir hakiki imani elde eden bütün kainata meydan okur</t>
  </si>
  <si>
    <t>Volkswagen Agrees To Fix Or Buy Back 482,000 Diesel Vehicles #DieselGate #Diesel #VW #Volkswagen #Cars https://t.co/b3U0wBbpk1</t>
  </si>
  <si>
    <t>Christian Wilp</t>
  </si>
  <si>
    <t>Wahrscheinlich war #VW noch nie so froh wie heute, nicht so wahnsinnig viele Dieselfahrzeuge in den USA verkauft zu haben. #dieselgate</t>
  </si>
  <si>
    <t>Journalist</t>
  </si>
  <si>
    <t>eBay: Black VW Beetle https://t.co/0DDoDPqU28 #vwbeetle #vwbug #vw https://t.co/xvfL74PTgl https://t.co/kLObX0V7L7</t>
  </si>
  <si>
    <t>eBay: Stunning VW Camper conversion based on… https://t.co/SeMvDzFilT #vwcamper #vwbus #vw https://t.co/ZEadscsjBy https://t.co/pDtsV08nZR</t>
  </si>
  <si>
    <t>miojob jobs search</t>
  </si>
  <si>
    <t>#jobs #jobsearch # #VW owners can choose buyback or fixes in U.S. emissions deal: #SAN FRANCISCO—... https://t.co/fGkfn0ChI2</t>
  </si>
  <si>
    <t>Annunci e Offerte di Lavoro. Annunci di lavoro GRATIS. Inserisci il tuo Annuncio senza registrazione http://t.co/vYcRnaQocS #jobs</t>
  </si>
  <si>
    <t>Neil Ackerman</t>
  </si>
  <si>
    <t>BREAKING: #VW To Fix, Buy Back Some Cars In #Emissions #Fraud Deal - Law360 https://t.co/rdKV235Zqv</t>
  </si>
  <si>
    <t>East Meadow, NY (516-425-5365)</t>
  </si>
  <si>
    <t>#Attorney (Rated 5.0 #AV in Martindale-Hubbell, 10.0-Superb in #Avvo) w 35 yrs' experience in #Bankruptcy, #Debt #Workouts/#Settlements &amp; Comm'l #Litigation</t>
  </si>
  <si>
    <t>Seçkin Kır</t>
  </si>
  <si>
    <t>Let's go try and holidays.. #loveyou #vw https://t.co/kMHmiCP5G4</t>
  </si>
  <si>
    <t>İzmir İzmir diye geberen bir Eskişehirli</t>
  </si>
  <si>
    <t>RT @cesaringg: Oil change for the baby #vw #volkswagen #beetle #classic #vintage #fusca https://t.co/b8bvyL5DCX</t>
  </si>
  <si>
    <t>Wer 5.000 $ an die Kunden in den USA verteilt, sollte auch ein paar Euro übrig haben für die Käufer in der Heimat. #VW #dieselgate</t>
  </si>
  <si>
    <t>~Juanma El Capitán ~</t>
  </si>
  <si>
    <t>Cantante de EL CAPITAN ~ De mi reina ♥ the mixthape AMANECER desde JMD RECORDS !</t>
  </si>
  <si>
    <t>Papal Parakeet</t>
  </si>
  <si>
    <t>Dublin City, Ireland</t>
  </si>
  <si>
    <t>Things aren't just black or white.</t>
  </si>
  <si>
    <t>Lucía</t>
  </si>
  <si>
    <t>Lugano</t>
  </si>
  <si>
    <t>17. Conocí a Shady -18/03/16-</t>
  </si>
  <si>
    <t>RT @christianwilp: Wer 5.000 $ an die Kunden in den USA verteilt, sollte auch ein paar Euro übrig haben für die Käufer in der Heimat. #VW #…</t>
  </si>
  <si>
    <t>Summers &amp; Clark</t>
  </si>
  <si>
    <t>RT @VintagePhilly: Check out Vintage Volkswagen KEY - Original #VW Bug Logo - Car Ignition - SG50 https://t.co/JQyo9vVcnI #vintagephilly</t>
  </si>
  <si>
    <t>New and pre-owned brand name and designer clothes. Like us on Facebook https://t.co/471GDcxCpF</t>
  </si>
  <si>
    <t>@FT @greeksinart #German #VW cheated and must be punished in #USA, IN #EU and everywhere!! Cheats!! No cover up EU https://t.co/gROysQ1nlo</t>
  </si>
  <si>
    <t>Morgan C.Jones</t>
  </si>
  <si>
    <t>Dublin, mostly</t>
  </si>
  <si>
    <t>I'm writing a book, and neither are you. 1/6th of The Emergency. To separate my fat yap from my vocal chords I also tweet acty/voicey stuff as @funnydub</t>
  </si>
  <si>
    <t>Jo</t>
  </si>
  <si>
    <t>Tweetian for Symbian</t>
  </si>
  <si>
    <t>_ _ _ . . . _ _ _ . . .</t>
  </si>
  <si>
    <t>Howard Fensterman</t>
  </si>
  <si>
    <t>#VW, U.S. reach deal in #dieselgate case https://t.co/Cvdnn00OfX</t>
  </si>
  <si>
    <t>Howard Fensterman received his J.D. from Georgetown Law. He practices law in New York, New Jersey, Maryland, and the District of Columbia.</t>
  </si>
  <si>
    <t>GACC Colorado</t>
  </si>
  <si>
    <t>Denver</t>
  </si>
  <si>
    <t>German American Chamber of Commerce Colorado promotes #trade, #business and #investment between #Germany and #Colorado and supports German #culture and #events.</t>
  </si>
  <si>
    <t>eBay: Volkswagen Transporter VW T5 Camper Van,… https://t.co/MgxYoGMwTz #vwcamper #vwbus #vw https://t.co/ZEadscsjBy https://t.co/AG53l92YPr</t>
  </si>
  <si>
    <t>eBay: Vw transporter t5 camper conversion, not… https://t.co/s30jp8hk4y #vwcamper #vwbus #vw https://t.co/ZEadscsjBy https://t.co/zHb0Z3VK0c</t>
  </si>
  <si>
    <t>Experte für Alles</t>
  </si>
  <si>
    <t>Es kann nicht sein, daß deutsche Kunden schlechter als amerikanische Kunden behandelt werden. #VW #Dieselgate #Volkswagen #Betrug</t>
  </si>
  <si>
    <t>Politically incorrect und stolz darauf. SJW, Oberexperte bei durchgeknallten Feministinnen und Psychogenderfuzzies</t>
  </si>
  <si>
    <t>brui.ie</t>
  </si>
  <si>
    <t>Business Retail Union of Ireland is an independent, non polictal group of small to medium sized enterprises seeking equality and rights for all our members</t>
  </si>
  <si>
    <t>OLB aus B</t>
  </si>
  <si>
    <t>RT @buran63: Unternehmen wie #VW zahlen in den #USA jedem Käufer eine Entschädigung von 4400 € in #DE erhalten die Käufer nix. Das war unse…</t>
  </si>
  <si>
    <t>Jokoo ♚ #BT</t>
  </si>
  <si>
    <t>Marcando la diferencia ! #Fixa #AlPisoSiempre #VolandoBajo #VW https://t.co/teUJKWT1NK</t>
  </si>
  <si>
    <t>Bovril, Entre Rios, Argentina.</t>
  </si>
  <si>
    <t>Que atrevidos los que dicen que no puedo ser feliz/Hijo de mama Reggae Hijo de papa Rock/Intoxicados-Viejas Locas/Wiz Khalifa✌ ❤QueVivaElFutbol#11♡River Plate♥</t>
  </si>
  <si>
    <t>Iara ✌</t>
  </si>
  <si>
    <t>Rosario</t>
  </si>
  <si>
    <t>Newell`s Old Boys ♥Porque en el parque me viste crecer Porque de newells yo soy♡El silencio no es mi idioma ♌ 7/8/15❤</t>
  </si>
  <si>
    <t>Austin Rutherford</t>
  </si>
  <si>
    <t>RT @AutoVerdict: Agreement Reached Between VW and U.S. Over Diesel Emissions Violations https://t.co/7iLmoOC6Gk #diesel #emissions #settlem…</t>
  </si>
  <si>
    <t>Death Valley, SC</t>
  </si>
  <si>
    <t>Michigan born and raised. #GoBlue #LGRW #GoLions #GoTigers #GoPistons. City and Regional Planning Master's Student at #Clemson University . Go Tigers!!!</t>
  </si>
  <si>
    <t>[ CRISTI∆N ]</t>
  </si>
  <si>
    <t>Córdoba, Arg</t>
  </si>
  <si>
    <t>×Solo entiende mi locura× • VW • ×quien comparte mi pasión× ~TRILLINI~</t>
  </si>
  <si>
    <t>eBay: Vw T25 camper van https://t.co/pMwYeKaKIn #vwcamper #vwbus #vw https://t.co/ZEadscsjBy https://t.co/B2eHiiKP1D</t>
  </si>
  <si>
    <t>Paul Barry</t>
  </si>
  <si>
    <t>#VW shows promise for the 🇺🇸 With their settlement. Have to wait and see what 🇨🇦 will get. #neveragain</t>
  </si>
  <si>
    <t>Baseball dad - father of 3 amazing kids - son is a RHP for the Ontario Blue Jays 16U - 2018 Draft - 2 daughters that are just simply amazing</t>
  </si>
  <si>
    <t>AirdFlavelle</t>
  </si>
  <si>
    <t>RT @DanaFlavelle: VW Canada says EPA deal applies to Canadian diesel owners. Details to be announced in June. #VW #dieselgate</t>
  </si>
  <si>
    <t>Abbotsford</t>
  </si>
  <si>
    <t>Sustainable community = a Fiscal Conservative + some Liberal Social tendencies + Responsible Environmentalism. Supporter of good business and the BC Green Party</t>
  </si>
  <si>
    <t>HC Edelmann</t>
  </si>
  <si>
    <t>Aaron Rodriguez</t>
  </si>
  <si>
    <t>It's come to the point where I have to hotwire my car. I'll fix it I swear. #VW 4lyfe https://t.co/OgR5VK1Ohw</t>
  </si>
  <si>
    <t>Modesto</t>
  </si>
  <si>
    <t>Traveled with The 99. A simple young man thats instilled w/t cause of God. #LivingTheDream.</t>
  </si>
  <si>
    <t>David Atherton</t>
  </si>
  <si>
    <t>Mitsubishi confesses to cheating emission tests via @thetimes // interesting to see if shares follow #VW pattern https://t.co/sh4IKYstsE</t>
  </si>
  <si>
    <t>Bolton, UK</t>
  </si>
  <si>
    <t>Full time investor, daytrade indices/FX, some AIM. Also residential property and business angel (leisure: bars/restaurants) https://t.co/k9zkxtz2CX</t>
  </si>
  <si>
    <t>Seguimos como todos los jueves, con novias perfectas #Sexy #female #vw #kingeuro #aircooled https://t.co/MfVgduQMFR</t>
  </si>
  <si>
    <t>#RT #SocialMediaMarketing #TweetSmarter #twittermoments #tweetclips #DigitalMarketing #HappyBirthdayYourMajesty #VW https://t.co/pJeLtTqJES</t>
  </si>
  <si>
    <t>Wolfram Evermann</t>
  </si>
  <si>
    <t>53.632958,10.082216</t>
  </si>
  <si>
    <t>Shane Kavanagh</t>
  </si>
  <si>
    <t>GAA &amp; Ethics</t>
  </si>
  <si>
    <t>Oblivious Moron</t>
  </si>
  <si>
    <t>Listers Volkswagen</t>
  </si>
  <si>
    <t>Across the Midlands</t>
  </si>
  <si>
    <t>Follow for the latest news and information from Listers #Volkswagen, including some exclusive Twitter-only #offers! An Official Listers Group Twitter account.</t>
  </si>
  <si>
    <t>ODORBABY</t>
  </si>
  <si>
    <t>ODORBABY IS EMISSIONS CHEATING SOFTWARE #vw #mitsubishi #goodForBusiness #odorBaby2016 https://t.co/1lace9cib0</t>
  </si>
  <si>
    <t>theodorbaby@gmail.com</t>
  </si>
  <si>
    <t>INTERNET CONSUMPTION PRODUCT USUALLY IN ENGLISH</t>
  </si>
  <si>
    <t>MALACOPHOBIC</t>
  </si>
  <si>
    <t>Όχι μόνο η #VW. Απ ότι φαίνεται όλοι "έκλεβαν" σε μετρήσεις καυσίμων και ρύπων. Mitsubishi, Peugeot κ Citroën οι επόμενες</t>
  </si>
  <si>
    <t>Bobolistan (Ex Greece)</t>
  </si>
  <si>
    <t>PROFESSOR OF MALACOLOGY</t>
  </si>
  <si>
    <t>VW Whitenoise</t>
  </si>
  <si>
    <t>RT @ComfortCover: This months #competition has launched! Head over to our Facebook to enter: https://t.co/EbkjUiS9uc #Prize #Win #VW https:…</t>
  </si>
  <si>
    <t>Norfolk, UK</t>
  </si>
  <si>
    <t>Organiser Lucy. Owner of Westy, two gals and dawg. Loves sorting VW Whitenoise Festival in Norfolk Suffolk positive folk, fairy lights, motors, music and arts.</t>
  </si>
  <si>
    <t>E.N.G. Auto Events</t>
  </si>
  <si>
    <t>The network for automotive industry leaders hosted by @ENGSpain, organisers of Auto CRM, Vehicle Remarketing, Auto Retail and Auto Finance and Warranty Summits</t>
  </si>
  <si>
    <t>Report Says Audi Developed #VW’s Emissions Cheating Software In 1999 #AutoRetail #DealerNews https://t.co/FD7sBtlFqI https://t.co/VadE8s2pU1</t>
  </si>
  <si>
    <t>LDCcreations</t>
  </si>
  <si>
    <t>9 Pocket Cerise Pink with #VW camper vans Corduroy #vendor #apron #Market #Trader money bag - LDCcreations https://t.co/bxsBHN8Ms5 via @Etsy</t>
  </si>
  <si>
    <t>Beautiful Handmade Items.</t>
  </si>
  <si>
    <t>#StopC51</t>
  </si>
  <si>
    <t>10% isnt that big a deal, unlike the Germans #vw. Mitsubishi admits falsifying fuel economy tests https://t.co/vLtoE8XArl via @torontostar</t>
  </si>
  <si>
    <t>Nenshiland</t>
  </si>
  <si>
    <t>Permanently Prorogued #cdnpoli</t>
  </si>
  <si>
    <t>John E. Blaze</t>
  </si>
  <si>
    <t>I thought this dude was tryna flex but he just wanted to show he bout that dub life haha #VW #DubLife</t>
  </si>
  <si>
    <t xml:space="preserve">Eric Foreman's Basement </t>
  </si>
  <si>
    <t>#BleedPurple #HighLife #SBSB #FUCKTHEPOLICE</t>
  </si>
  <si>
    <t>Jules</t>
  </si>
  <si>
    <t>@HRH_Duke_of_Url a couple of people have said that over the last 24 hours #Prince #VW Send word tomorrow you're alive</t>
  </si>
  <si>
    <t>ohiovintageantiques</t>
  </si>
  <si>
    <t>Check out #PORSCHE 924 944 #VW Rabbit Scirocco #MK1 Upper Steering Column #Bushing 3D Printed PLA https://t.co/SZmgiDOIDf via @eBay #ebay</t>
  </si>
  <si>
    <t>Ohio</t>
  </si>
  <si>
    <t>Vintage and antique toy boats, aircraft, vehicles, collectible paper and other rare items. Marx, Dinky, Meccano, Wyandotte, Bandai, more! Fiero Parts as well!</t>
  </si>
  <si>
    <t>TriCounty Tours</t>
  </si>
  <si>
    <t>#vw #thearch near Cwmystwyth Eddie the Dub April 2016 https://t.co/VXiWq1CdZ8</t>
  </si>
  <si>
    <t>Mid Wales</t>
  </si>
  <si>
    <t>Magical tours of the Marches. Personal/Private guided tours of Mid Wales, Shropshire &amp; Herefordshire. Sharing the beautiful landscape with visitors to the area</t>
  </si>
  <si>
    <t>Steven Pires</t>
  </si>
  <si>
    <t>I will certainly be letting #VW buy my #TDI back. I want out ASAP. Buyback settlement reached today. https://t.co/rDI6bE9hwK #vwscandal</t>
  </si>
  <si>
    <t>Raleigh, NC</t>
  </si>
  <si>
    <t>Lover of the outdoors. Environmentalist. Open minded optimist. Lifetime learner.</t>
  </si>
  <si>
    <t>Maree Sevilla</t>
  </si>
  <si>
    <t>On the way to work... 👣 #yeezy #vw #tiguan https://t.co/o2c9fZtkEI</t>
  </si>
  <si>
    <t>VW forges US deal arising from diesel emissions scandal https://t.co/lGuKXTSpMz #VW #AutoNews</t>
  </si>
  <si>
    <t>Volkswagen's Big Lie: The cheatware had been installed in some 11 million VW vehicles worldwid... https://t.co/7r8nkkfwoa #VW #jetta #car</t>
  </si>
  <si>
    <t>VW agreement: vehicles and model years affected: VW Jetta TDI (Model Years 2009 - 2015); VW Je... https://t.co/tJLqJ8vzCG #VW #jetta #car</t>
  </si>
  <si>
    <t>eBay: 1965 VW Splitscreen Camper https://t.co/cQxlvHbMUo #vwcamper #vwbus #vw https://t.co/ZEadscsjBy https://t.co/jqMVNc0DXv</t>
  </si>
  <si>
    <t>eBay: VW TRANSPORTER T5 CAMPER RE-TRIMMED… https://t.co/Ud4pxI1v0T #vwcamper #vwbus #vw https://t.co/ZEadscsjBy https://t.co/bFQJEa3CRp</t>
  </si>
  <si>
    <t>News aus Wettenberg</t>
  </si>
  <si>
    <t>Neues Instagram Foto: Neues Projekt #käfer #ovali #vw #1954 #oldscool #wettenberg von dennis9377 https://t.co/b9kM18eXgp</t>
  </si>
  <si>
    <t>35435 Wettenberg</t>
  </si>
  <si>
    <t>Nachrichten und Unterhaltsames aus und über Wettenberg (Krofdorf-Gleiberg, Wißmar und Launsbach). Was die Welt über Wettenberg schreibt und twittert.</t>
  </si>
  <si>
    <t>#MyFutureM.o.T</t>
  </si>
  <si>
    <t>#VW to buy back up to 480,000 US vehicles in deal with regulators.</t>
  </si>
  <si>
    <t>The #MoT and #Servicing booking App | Using technology to make car maintenance easy as 123 | Follow for daily dose of #Motoring &amp; #Tech News.</t>
  </si>
  <si>
    <t>Thomas Schlüter</t>
  </si>
  <si>
    <t>RT @Puretruth678: Es kann nicht sein, daß deutsche Kunden schlechter als amerikanische Kunden behandelt werden. #VW #Dieselgate #Volkswagen…</t>
  </si>
  <si>
    <t>Munich/Germany</t>
  </si>
  <si>
    <t>Entrepreneur, Project Manager, Technologist, Railroad Fan.</t>
  </si>
  <si>
    <t>.@nagashiwa @vw_france Vs avez entendu cette vague de dénonciations des pratiques de #VW des autres constructeurs automobiles ? Moi non plus</t>
  </si>
  <si>
    <t>Frank Lennon</t>
  </si>
  <si>
    <t>Dublin, Ireland</t>
  </si>
  <si>
    <t>Writer, Blogger, Photographer and satirical Current Affairs Commentator interested in History and Art. Opinions and comments are account holders only.</t>
  </si>
  <si>
    <t>RT @kngeuro: Seguimos como todos los jueves, con novias perfectas #Sexy #female #vw #kingeuro #aircooled https://t.co/MfVgduQMFR</t>
  </si>
  <si>
    <t>eBay: VW TRANSPORTER T5 CAMPER RE-TRIMMED… https://t.co/sE1gSvJP1W #vwcamper #vwbus #vw https://t.co/ZEadscsjBy https://t.co/5QjCm54wjI</t>
  </si>
  <si>
    <t>Rahul Raj</t>
  </si>
  <si>
    <t>Unexpected move. #VW Will Buy Back Your Cheating, Polluting #Diesel https://t.co/37U8GNU8Qg #reputation</t>
  </si>
  <si>
    <t>VP #Marketing @ecobee, frmr #Sustainability Exec @Walmart, Fellow @AspenInstitute, #GOOD100, Founder @MealExchange. I Build #Brands That Better The World.</t>
  </si>
  <si>
    <t>eBay: VW Transporter T5, 2.5TD, camper… https://t.co/ugBUW4boYV #vwcamper #vwbus #vw https://t.co/ZEadscsjBy https://t.co/rJH5KfM37e</t>
  </si>
  <si>
    <t>GreenEnergyCharging</t>
  </si>
  <si>
    <t>RT @EverCharge: Volkswagen Teases New PHEV SUV Concept For Beijing Auto Show https://t.co/wxhK20IeLp #VW #EVs https://t.co/KjHBjRmR7q</t>
  </si>
  <si>
    <t>Honolulu</t>
  </si>
  <si>
    <t>The world's most intelligent &amp; #EnergyEfficient #EVCharging system for multi-family housing, maximizing charging potential by up to 10x.</t>
  </si>
  <si>
    <t>Maxx✩Madison</t>
  </si>
  <si>
    <t>VW should buy back your car. You bought a #VW TDI clean diesel, but as designed it fails emission laws. #vwbuyback https://t.co/S7er4dxj5o</t>
  </si>
  <si>
    <t>USA Heartland</t>
  </si>
  <si>
    <t>I like solarenergy, bikes &amp; EV cars ✩ iOS developer, artist, starship captain, EV owner ✩ 1HDgxRdBsWx2snMBh8dzAqQYoaAx832kii ✩ See the stardust among us ✩</t>
  </si>
  <si>
    <t>Premier Sounds</t>
  </si>
  <si>
    <t>RT @rahulwraj: Unexpected move. #VW Will Buy Back Your Cheating, Polluting #Diesel https://t.co/37U8GNU8Qg #reputation</t>
  </si>
  <si>
    <t>Bodmin, England</t>
  </si>
  <si>
    <t>Premier Sounds - Cornwall's Hi-Fi, Home Cinema, Wireless Multiroom, &amp; Smart Home Specialists!</t>
  </si>
  <si>
    <t>Burhan Al-Ashkar</t>
  </si>
  <si>
    <t>اعلان قديم لشركة #فولكسفاجن #VW في لبنان تستخدم الايحاء الجنسي لتسويق الاوتوماتيك انو هيك صار فيك تتحرش باللي معك 😂😂 https://t.co/55Bp5JrBHA</t>
  </si>
  <si>
    <t>Lebanon</t>
  </si>
  <si>
    <t>‏‏ journalist, Jordan News Agency- صحفي- مراسل وكالة الأنباء الأردنية في بيروت</t>
  </si>
  <si>
    <t>Keller Rohrback LLP</t>
  </si>
  <si>
    <t>For the latest information about the #VW Litigation, please see the transcript of today's status conference. https://t.co/II0drBjFYv</t>
  </si>
  <si>
    <t>1201 3rd Ave. Seattle WA 98101</t>
  </si>
  <si>
    <t>The Experienced Leader in Complex Litigation - Seattle, Phoenix, New York, Santa Barbara. Part of this account may constitute attorney advertising.</t>
  </si>
  <si>
    <t>Hassan Valji</t>
  </si>
  <si>
    <t>Management Consultant. Clean-tech Developer. Traveler. Reader. Climber.</t>
  </si>
  <si>
    <t>Teo</t>
  </si>
  <si>
    <t>m.IŞIK</t>
  </si>
  <si>
    <t>Ralph</t>
  </si>
  <si>
    <t>#VW wird doch sicher keine Unterschiede bei ihren Kunden machen und dadurch Menschen diskriminieren!</t>
  </si>
  <si>
    <t>Generalist, kein General</t>
  </si>
  <si>
    <t>Gretchen Cappio</t>
  </si>
  <si>
    <t>RT @KellerRohrback: For the latest information about the #VW Litigation, please see the transcript of today's status conference. https://t.…</t>
  </si>
  <si>
    <t>Words to live by: Injustice anywhere is a threat to justice everywhere. - Martin Luther King, Jr. Spouse+Mom+Daughter+Lawyer+Listener+Reader+Learner</t>
  </si>
  <si>
    <t>#instacar #fusca #boble #kafer #ratlook #vwlove #stance #blacklist #Hoodride #germancar #stancenation #vwbeetle #vw… https://t.co/ysGcnem52o</t>
  </si>
  <si>
    <t>eBay: VOLKSWAGEN BEETLE LUNA 8V BLUE 2006 06… https://t.co/8Z96nFi0wI #vwbeetle #vwbug #vw https://t.co/xvfL74PTgl https://t.co/2KYioj6shY</t>
  </si>
  <si>
    <t>#instacar #fusca #boble #kafer #ratlook #vwlove #stance #blacklist #Hoodride #germancar #stancenation #vwbeetle #vw… https://t.co/iv127uCNV0</t>
  </si>
  <si>
    <t>Parque Lagoa do nado. #fuscariabh #fuscaria #kombi #combi #antiquearchaeology #vintage #vwt1singlecab #volksbus #vw… https://t.co/lg93EUqYkr</t>
  </si>
  <si>
    <t>Habe die Schauspieler von der Anstalt in dem netten Restaurant gesehen. Plus natürlich diesen süßen Käfer. #vw #vw… https://t.co/42gdk2wofO</t>
  </si>
  <si>
    <t>#vw #mk1golf 1989 caddy 1.8 8v gti https://t.co/pFW34mSOYt #forsale</t>
  </si>
  <si>
    <t>Joe Allegra</t>
  </si>
  <si>
    <t>RT @ldavidmarquet: My take on the latest in VW's emission cheating scandal: VW misses the chance to act their way to new thinking https://…</t>
  </si>
  <si>
    <t>General Partner, Edison Partners. Founder/CEO Princeton Softech. Follow Cloud apps, supply chain, HR, mobile, startups, entrepreneurs Big Yankee/NY Giants fan</t>
  </si>
  <si>
    <t>One Stone Advisors</t>
  </si>
  <si>
    <t>As US deal reached, direct $$ impact on #VW fr #emissions scandal tops $32.3bn #ethics #CSR https://t.co/PzGsYD4Xrs</t>
  </si>
  <si>
    <t>Australia, US, Sweden and UK</t>
  </si>
  <si>
    <t>A global #BCorp working to turn #sustainability challenges into lasting value. We help companies step up, stretch thinking, speak out &amp; show leadership.</t>
  </si>
  <si>
    <t>@nagashiwa @vw_france Moi ce qui m'importe,c'est que l'affaire #VW #Audi fasse changer les choses. Il est clair que ce ne sera pas le cas...</t>
  </si>
  <si>
    <t>achtuning</t>
  </si>
  <si>
    <t>#VW #Mk7 #GTI gets an aprllc cast downpipe installed with a #Stage2 ECU upgrade. #GoAPR at… https://t.co/KjR8aJV2QK</t>
  </si>
  <si>
    <t>14540 NE 91st St WA 98052</t>
  </si>
  <si>
    <t>European Performance Center - high volume stocking distributors of APR, AWE Tuning, H&amp;R, StopTech, and home of Hartmann Wheels!</t>
  </si>
  <si>
    <t>Ganley Bedford</t>
  </si>
  <si>
    <t>This might be the most AWESOME #modified #Microbus we've ever seen! Do you like it too? #ThrowbackThursday #TBT #VW https://t.co/EKoTGntWcZ</t>
  </si>
  <si>
    <t>this site</t>
  </si>
  <si>
    <t>250 Broadway Bedford, OH 44146</t>
  </si>
  <si>
    <t>We sell VW, Subaru &amp; Fiat cars at the best prices with GREAT customer service. 800-422-4577 The Ganley Man Can!</t>
  </si>
  <si>
    <t>RT @beetlebug1938: #instacar #fusca #boble #kafer #ratlook #vwlove #stance #blacklist #Hoodride #germancar #stancenation #vwbeetle #vw… htt…</t>
  </si>
  <si>
    <t>#PORSCHE 924 944 #VW #MK1 Rabbit Scirocco Upper Steering Column #Bushing #3DPrinted PLA https://t.co/ORNEnW5Kj0</t>
  </si>
  <si>
    <t>FanCar Picture - Send me your Scirocco pictures!!! (PM Please) #VW #Volkswagen #Scirocco #Tuning https://t.co/DztP3fkzZQ</t>
  </si>
  <si>
    <t>Looking for a good read? Check out some #VW stories at https://t.co/PAVgS7wjLA! #MyACVWStory #ACVWPassion https://t.co/yZV223ufjR</t>
  </si>
  <si>
    <t>IvanMosovitch</t>
  </si>
  <si>
    <t>RT @ODORBABY: ODORBABY IS EMISSIONS CHEATING SOFTWARE #vw #mitsubishi #goodForBusiness #odorBaby2016 https://t.co/1lace9cib0</t>
  </si>
  <si>
    <t>the deep sth Wales</t>
  </si>
  <si>
    <t>Dad of 3 love,punk ska thrash old school rave91 hip hop swansea city getting inked ,edgy comedy current affairs confirmed athieist logical thinker</t>
  </si>
  <si>
    <t>redaktion</t>
  </si>
  <si>
    <t>Nach der US-Einigung wird der Ruf lauter, dass #VW auch in Europa auf die #dieselgate-Kunden zugeht. (mbr) https://t.co/QuBeVFb8YW</t>
  </si>
  <si>
    <t>Lüneburg</t>
  </si>
  <si>
    <t>Chefredaktion vorm. http://t.co/CJXxWz0A4o. http://t.co/CJXxWz0A4o@n24: http://t.co/UGzMNsMtAK Impressum: http://t.co/v3ujc24mUW</t>
  </si>
  <si>
    <t>Legal Reader</t>
  </si>
  <si>
    <t>Volkswagen Equipping Vehicles with Software To Fool Emissions Tests https://t.co/dmrLXl7nZs #VW #Emissions #Fraud https://t.co/aoiSgGqi8j</t>
  </si>
  <si>
    <t>Legal Reader is unapologetic in its devotion to protecting consumers and to exposing the many hypocrisies of the corporations that put those consumers at risk.</t>
  </si>
  <si>
    <t>Maik Burghardt</t>
  </si>
  <si>
    <t>RT @treibholzfilm: Our new #campervan WHITE PEARL from #SpaceCamper and #VW arrived #lassdichtreiben… https://t.co/Wu9C1R30TW</t>
  </si>
  <si>
    <t>filmmaker @treibholzfilm, film festival director @CosmicCine, designer @ROOTZ_WINGZ, longboarder, surfer, bike rider, nature lover, co-creator, dreamer #mb</t>
  </si>
  <si>
    <t>Roland Nissan</t>
  </si>
  <si>
    <t>Isn't #VW plan to buy and scrap all those cars worse for #environment than letting them run? @Volkswagen #cars #motorcar #petrol</t>
  </si>
  <si>
    <t>Greater London</t>
  </si>
  <si>
    <t>Biker, guitarist, amateur artist, photographer and full time IT Manager</t>
  </si>
  <si>
    <t>AUTO BILD España</t>
  </si>
  <si>
    <t>🚗💭💭💭 El dieselgate podría haberse iniciado en 1999 https://t.co/QSVPD0AbtH #Dieselgate #VW #Volkswagen https://t.co/fXZKe3Ct6y</t>
  </si>
  <si>
    <t>DogTrack_Oficial</t>
  </si>
  <si>
    <t>Twitter de la web autobild.es. Coches, motos, pruebas, reportajes, tecnología, competición y todo lo relacionado con el mundo del motor.</t>
  </si>
  <si>
    <t>#Abgasskandal: #VW stellt angeblich 16,4 Milliarden Euro zurück https://t.co/53GmDPXF8g</t>
  </si>
  <si>
    <t>#Abgasskandal: #VW stellt angeblich 16,4 Milliarden Euro zurück https://t.co/TORVpVZWR4</t>
  </si>
  <si>
    <t>#Abgasskandal: #VW stellt angeblich 16,4 Milliarden Euro zurück https://t.co/YZEEtgqrqD</t>
  </si>
  <si>
    <t>Fran Navarro</t>
  </si>
  <si>
    <t>RT @AutoBildspain: 🚗💭💭💭 El dieselgate podría haberse iniciado en 1999 https://t.co/QSVPD0AbtH #Dieselgate #VW #Volkswagen https://t.co/fXZ…</t>
  </si>
  <si>
    <t>Polla, Campania</t>
  </si>
  <si>
    <t>Petrolhead. THE.ROCK.SHOW. Senza cuore, saremmo solo macchina. There are two things no man will admit he cannot do well: Drive and make love.</t>
  </si>
  <si>
    <t>T</t>
  </si>
  <si>
    <t>Shuffling cars around my shed yesterday to make some room. #Alfa #AMG #SLS #Jaguar #XJS #VW #Scirocco https://t.co/zNkUXTPdkq</t>
  </si>
  <si>
    <t>Suffolk, England</t>
  </si>
  <si>
    <t>JaguarApp</t>
  </si>
  <si>
    <t>RT @ttsls: Shuffling cars around my shed yesterday to make some room. #Alfa #AMG #SLS #Jaguar #XJS #VW #Scirocco https://t.co/zNkUXTPdkq</t>
  </si>
  <si>
    <t>Jaguar App</t>
  </si>
  <si>
    <t>The official app of the Jaguar aficionado</t>
  </si>
  <si>
    <t>Fernando Lessa</t>
  </si>
  <si>
    <t>Volkswagen Kombi #VW #Volkswagen #Bus #VolkswagenBus #Samba #Kombi #ClassicCars #classiccar https://t.co/O6dUFtoqaq</t>
  </si>
  <si>
    <t>ÜT: -5.783419,-35.191883</t>
  </si>
  <si>
    <t>Distinguished Father, Husband, Flyer, Harley Rider, Dirtbiker, Cafe Racer &amp; adrenaline junkie from Natal/RN, Brazil</t>
  </si>
  <si>
    <t>Ideenwanderer</t>
  </si>
  <si>
    <t>VW stellt 2015 16,4 Milliarden Euro zurück https://t.co/wmHP1xYiIL | #VW #USA #Vergleich</t>
  </si>
  <si>
    <t>Berlin-Moabit Germany</t>
  </si>
  <si>
    <t>Zimmermann, IT- Manager, @MittePiraten, #JVSMoabit, #SichererSchulweg Kandidat Wahlkreis 3 südlich #Turmstrasse #Moabit #Tiergarten #Hansaviertel #bvvmitte</t>
  </si>
  <si>
    <t>Javier Monllor</t>
  </si>
  <si>
    <t>I want to live here! #drool #jealous #rogerspark #vw @ Rogers Park Neighborhood https://t.co/XejO6hvJ9b</t>
  </si>
  <si>
    <t>DePaul University Faculty. Teach and research entrepreneurship, opportunity recognition and creativity. Ironman triathlete &amp; ultramarathoner.</t>
  </si>
  <si>
    <t>Stohlman Auto Family</t>
  </si>
  <si>
    <t>Should the #VW "Instant Test Drive" be a thing in the U.S.? https://t.co/EdEKwIO7XQ</t>
  </si>
  <si>
    <t>Tyson's Corner, VA</t>
  </si>
  <si>
    <t>Serving the Washington Metro area for over 75 years, Stohlman Auto is the #1 Subaru &amp; VW Dealer in the region!</t>
  </si>
  <si>
    <t>Ingo Sauer</t>
  </si>
  <si>
    <t>@SZ was ist mit den konkret Betroffenen in Deutschland? Was ist mit den privat verursachten gesellschaftlichen Umweltschäden in D? #VW</t>
  </si>
  <si>
    <t>Papa, Handwerksmeister, Betriebswirt d.H., seit 2013 Education Studierender @TUDarmstadt. Humor ist, wenn man trotzdem lacht</t>
  </si>
  <si>
    <t>RT @FAZ_Wirtschaft: #Abgasskandal: #VW stellt angeblich 16,4 Milliarden Euro zurück https://t.co/TORVpVZWR4</t>
  </si>
  <si>
    <t>Marc Pitzke</t>
  </si>
  <si>
    <t>Ein bisschen Aufatmen: Der US-Kompromiss im #VW-#Abgasskandal ist nicht das letzte Wort #dieselgate https://t.co/FOzvxWgfGS @SPIEGELONLINE</t>
  </si>
  <si>
    <t>US correspondent for SPIEGEL ONLINE/DER SPIEGEL. The only defense against bullshit is vigilance. - Jon Stewart</t>
  </si>
  <si>
    <t>aatheus</t>
  </si>
  <si>
    <t>RT @johnvoelcker: Watch f/more #DieselGate news today: Volkswagen may buy back 500,000 illegally polluting cars, report says https://t.co/a…</t>
  </si>
  <si>
    <t>Milpitas</t>
  </si>
  <si>
    <t>Just this centaur equine kinda guy in Milpitas</t>
  </si>
  <si>
    <t>eBay: 2016 VOLKSWAGEN TRANSPORTER T6 102PS NOT… https://t.co/x1ABBxwpjv #vwcamper #vwbus #vw https://t.co/ZEadscsjBy https://t.co/5fdYZM3NoN</t>
  </si>
  <si>
    <t>elias sanchez</t>
  </si>
  <si>
    <t>RT @midaytona: La Amarok 2017, segun #VW sera "Premium". #NewsDaytona vía @autoblogcomar https://t.co/TgwQpoLoSk https://t.co/8tnRCl0CHW</t>
  </si>
  <si>
    <t>Live: The Newsroom here ---&gt; https://t.co/nFg3NZQeTZ - 📻 #Prince, #VW, #Brazil, and smoking in #France.</t>
  </si>
  <si>
    <t>Quebrada#5 ❌</t>
  </si>
  <si>
    <t>Pilar, Argentina</t>
  </si>
  <si>
    <t>Sangre azul y oro. || Marcos ÚNICO mejor amigo, ninguno más. || Instagram NahuCossetto ✌</t>
  </si>
  <si>
    <t>SmackSmog Inc</t>
  </si>
  <si>
    <t>It's a great day to grab my Thing! #vwlife #volkswagen #type181 #aircooled #vw #vwthing @ Tickle… https://t.co/lESEBKhyi8</t>
  </si>
  <si>
    <t>We help people write blogs, use social media and reach their goals. Sometimes we just like to goof off and drink good strong coffee.</t>
  </si>
  <si>
    <t>It's a great day to grab my Thing! #vwlife #volkswagen #type181 #aircooled #vw #vwthing https://t.co/DitNxXGoML https://t.co/3US1pURNjN</t>
  </si>
  <si>
    <t>University VW</t>
  </si>
  <si>
    <t>The key to a good #roadtrip is ____________. #VW https://t.co/24eQrSsZXB https://t.co/FSeSPJPVRf</t>
  </si>
  <si>
    <t>Your local Volkswagen expert proudly serving Seattle and Bellevue since 1958. Tweets By Jess! Also follow our co-driver @AudiSeattle. #VW #PNW</t>
  </si>
  <si>
    <t>eBay: 2002 VOLKSWAGEN LT LT 35 LWB… https://t.co/1YPToMNe6E #vwcamper #vwbus #vw https://t.co/ZEadscsjBy https://t.co/B7p1vgnxVZ</t>
  </si>
  <si>
    <t>shawadli</t>
  </si>
  <si>
    <t>#volkswagenscandal does lemon law in CA work i want full price back. #volkswaganbuyback #vw</t>
  </si>
  <si>
    <t>love soccer, vollyball, golf cigars finding new places to eat.</t>
  </si>
  <si>
    <t>Dennis Mack</t>
  </si>
  <si>
    <t>Judge: VW owners get option of buybacks, fixes #NewsWithEd #VW https://t.co/ij2tTU90os</t>
  </si>
  <si>
    <t>Toledo Detroit</t>
  </si>
  <si>
    <t>I'm just an average joe following the ebbs &amp; flows in the place we call home Proudly blocked by @joenbc RWNJ talking points not welcome here</t>
  </si>
  <si>
    <t>RT @littleredblog: Judge: VW owners get option of buybacks, fixes #NewsWithEd #VW https://t.co/ij2tTU90os</t>
  </si>
  <si>
    <t>RT @StohlmanAuto: Should the #VW "Instant Test Drive" be a thing in the U.S.? https://t.co/EdEKwIO7XQ</t>
  </si>
  <si>
    <t>https://t.co/xUGxUk4Lpn - When it was a little less broken! #vw #vwt4 #vwvan #vwbus #lowv… https://t.co/R26y8qq60c https://t.co/Nv2tiYsoQl</t>
  </si>
  <si>
    <t>https://t.co/kvXJ6raC4e - Flicking through VWt magazine again. 😎 #vw #vwt #vwt5 #vwtransp… https://t.co/f8k213sVYT https://t.co/Z9XDKUX8kf</t>
  </si>
  <si>
    <t>Diesel Army</t>
  </si>
  <si>
    <t>A VW buyout and payout may be closer then ever! #dieselarmy #dieselgate #VW https://t.co/0aw9LhOWbC</t>
  </si>
  <si>
    <t>Murrieta, Ca</t>
  </si>
  <si>
    <t>Diesel Army is the internet’s newest and only all digital magazine for the diesel lover in all of us.</t>
  </si>
  <si>
    <t>Dando um trato no meu garoto! 😜💛💨 #vw #fusca #oldcar #aircooled #meuprimeirocarro #vaidefusca #volksvale #vwlove #o… https://t.co/pEBN4av7c8</t>
  </si>
  <si>
    <t>fastlanedaily</t>
  </si>
  <si>
    <t>Today: - #Mazda RX-9 Info! - Free #Tesla Autopilot! - #VW Beijing Teaser! https://t.co/exnHHQ6CGm</t>
  </si>
  <si>
    <t>New York, NY, USA</t>
  </si>
  <si>
    <t>The longest running automotive channel on YouTube with entertaining daily news episodes, car reviews, auto show coverage and more!</t>
  </si>
  <si>
    <t>Bluelady</t>
  </si>
  <si>
    <t>🚗 #vw #car #passat #vwporn https://t.co/Jufn9Ztvqz</t>
  </si>
  <si>
    <t>São João da Madeira, Portugal</t>
  </si>
  <si>
    <t>Inês; luso-brasileira; deepblue's girlfriend and road manager . Make-up . 20y . SLB. 22 ❤</t>
  </si>
  <si>
    <t>Mathew Blanchfield</t>
  </si>
  <si>
    <t>#VW agrees to car buybacks, and other MoneyWatch headlines https://t.co/hSFU5XhM3q</t>
  </si>
  <si>
    <t>#Progressive Firefighter Lt. and Businessman. #SEO #SocialMedia #ContentMarketing #WebDesign #Politics #CurrentEvents #Health #Fitness</t>
  </si>
  <si>
    <t>April Heretics Meet #vw #volkswagen #mk1 #mk1golf #hrengineering by jontilbury https://t.co/2ZKw6lanW9</t>
  </si>
  <si>
    <t>Really happy with where the car is at,at the moment 😊 - #vw #volkswagen #mk1golf #golfmk1 #golf1 #cabrio #cabriolet… https://t.co/Ul15MlTa8L</t>
  </si>
  <si>
    <t>Wegen Abgas-Affäre: #VW stellt 2015 16,4 Milliarden Euro zurück. https://t.co/pkOO88626A</t>
  </si>
  <si>
    <t>RT @noz_de: Wegen Abgas-Affäre: #VW stellt 2015 16,4 Milliarden Euro zurück. https://t.co/pkOO88626A</t>
  </si>
  <si>
    <t>D'horster Kreisblatt</t>
  </si>
  <si>
    <t>Das Delmenhorster Kreisblatt informiert euch täglich über alles aus Delmenhorst, Ganderkesee und umzu sowie aus dem Sport.</t>
  </si>
  <si>
    <t>Carmen Montes</t>
  </si>
  <si>
    <t>Check out 1966 VOLKSWAGEN SAMBA BUS - JOHNNY LIGHTNING - SURF RODS - 1:64 BEAUTIFUL #Volkswagen https://t.co/ZAynutrQCG via @eBay #VW #Surf</t>
  </si>
  <si>
    <t>Puerto Rico</t>
  </si>
  <si>
    <t>Soy secretaria en contínuo crecimiento y como asistente virtual certificada colaboro con http://t.co/JTDqXxsE49 y con http://t.co/Bpx1mx9M8y</t>
  </si>
  <si>
    <t>#stealthmode 👻 VW Scirocco R mit BBS CH-R @vw x @bbs.wheels #VW #vwscirocco #vwsciroccor #scirocco #sciroccor #vag … https://t.co/LzmmxzNYwT</t>
  </si>
  <si>
    <t>Check out 1966 VOLKSWAGEN BEETLE - JOHNNY LIGHTNING - SURF RODS - 1:64 - BEAUTIFUL #Volkswagen https://t.co/aaS9bsWuam via @eBay #VW #Surf</t>
  </si>
  <si>
    <t>Chris McCan</t>
  </si>
  <si>
    <t>#throwbackthursday to #sowo2013 #sowo #nowo #vw #r32 #golf #vr6 #vr6nation #mk5 #mkv #bbs… https://t.co/2btomJ9wRj</t>
  </si>
  <si>
    <t>Family, good times US&amp;A, cars, racing, Boston sports, golf, aviation and good people</t>
  </si>
  <si>
    <t>Margo Keinard</t>
  </si>
  <si>
    <t>Just out for a cruise, with the specific intent of signaling other VWs to get in front of me in traffic 😌 #VW</t>
  </si>
  <si>
    <t>Fast walker, slow eater, nail polish collector, VW owner! Business Analyst to the city's foremost skyline contributor. Efficiency fiend in life. #TempleMade</t>
  </si>
  <si>
    <t>Check out VW Transporter Van - Nescafe Nestle - Corgi - Beautiful &amp; Rare #Corgi #Volkswagen https://t.co/6OBPE1SIG6 via @eBay #Nestle #VW</t>
  </si>
  <si>
    <t>Judge: VW owners can pick buybacks, fixes in emissions deal https://t.co/kDky7fLVQ9 #VW #AutoNews</t>
  </si>
  <si>
    <t>Honolulu Volkswagen</t>
  </si>
  <si>
    <t>Past, present, and can't wait for the future #VWBeetle! #TBT #VW https://t.co/KpuqkoEyUt</t>
  </si>
  <si>
    <t>Honolulu, Hawaii</t>
  </si>
  <si>
    <t>A lucky VW dealership serving the beautiful islands of Hawaii at 2881 N Nimitz Highway, Honolulu, HI 96819. (808) 369-9016</t>
  </si>
  <si>
    <t>kathryn connaughton</t>
  </si>
  <si>
    <t>dublin</t>
  </si>
  <si>
    <t>eBay: Volkswagen Beetle full restoration https://t.co/Pb3hqzSwBV #vwbeetle #vwbug #vw https://t.co/xvfL74PTgl https://t.co/qelUHBPVaM</t>
  </si>
  <si>
    <t>DOLAN IN FRANCE PLS</t>
  </si>
  <si>
    <t>RT @VWBeetleSales: eBay: Volkswagen Beetle full restoration https://t.co/Pb3hqzSwBV #vwbeetle #vwbug #vw https://t.co/xvfL74PTgl https://t.…</t>
  </si>
  <si>
    <t>CLOE MON AMOUR DE MA VIE / bae</t>
  </si>
  <si>
    <t>@GraysonDolan @EthanDolan | Longboard | Cox VW | @onedirection @littlemix @coldplay</t>
  </si>
  <si>
    <t>Abgas-Affäre: #VW stellt laut dpa insgesamt 16,4 Milliarden Euro im Jahr 2015 zurück. Damit droht Rekordverlust. https://t.co/mbGOMVlSEe</t>
  </si>
  <si>
    <t>#Abgasskandal/#DieselGate scandal: #Richter verkündet #Einigung zwischen #VW und US-Behörde https://t.co/KNrchK7jKM #volkswagen #congrats!</t>
  </si>
  <si>
    <t>storefixcreate</t>
  </si>
  <si>
    <t>And another... #vw #golf #mk1 #cabrio @ London, United Kingdom https://t.co/BtanyhK7HR</t>
  </si>
  <si>
    <t>RT @oldcar_photo: Dando um trato no meu garoto! 😜💛💨 #vw #fusca #oldcar #aircooled #meuprimeirocarro #vaidefusca #volksvale #vwlove #o… http…</t>
  </si>
  <si>
    <t>RT @VeeDubMk1_: Really happy with where the car is at,at the moment 😊 - #vw #volkswagen #mk1golf #golfmk1 #golf1 #cabrio #cabriolet… https:…</t>
  </si>
  <si>
    <t>Simon</t>
  </si>
  <si>
    <t>Outstanding service yet again from Lewis at @SinclairVW Newport. Thank you for fixing my Golf R #golfr #vw @UKVolkswagen</t>
  </si>
  <si>
    <t>Marcus Spedding</t>
  </si>
  <si>
    <t>#Diesel cars' #emissions far higher on road than in lab, tests show #VW #pollution https://t.co/6czBVImzze</t>
  </si>
  <si>
    <t>London. UK.</t>
  </si>
  <si>
    <t>Views are entirely my own and do not represent any organisation I am working for.</t>
  </si>
  <si>
    <t>Наталия Капитонова</t>
  </si>
  <si>
    <t>🎾 77292 Followers! Have #Fun ღ 🏭 ✂ #cold #vw #bikinipro #milfing https://t.co/Eyjv0YPuyD</t>
  </si>
  <si>
    <t>Manifest</t>
  </si>
  <si>
    <t>#VW defeat device or industry-wide defeat devices?https://t.co/dIv3sEyB8z</t>
  </si>
  <si>
    <t>Essex, England</t>
  </si>
  <si>
    <t>Global, sustainable #corpgov research &amp; voting. Mostly professional and objective tweets, with occasional lapses.</t>
  </si>
  <si>
    <t>⠀⠀⠀⠀⠀⠀⠀⠀⠀⠀⠀</t>
  </si>
  <si>
    <t>London, Ontario</t>
  </si>
  <si>
    <t>[o]</t>
  </si>
  <si>
    <t>Rodney Overstreet</t>
  </si>
  <si>
    <t>"Amerikanischen.. haben den selbsternannten Weltkonzern #VW in die Knie gezwungen. D-Kunden bekommen: Genau, nix." https://t.co/ZZzqN2n7T4</t>
  </si>
  <si>
    <t>Virginia, USA</t>
  </si>
  <si>
    <t>World citizen, marketing director, web developer, free thinker. Tweeting mostly about Germany, then Europe (recently called 'changing &amp; fragile').</t>
  </si>
  <si>
    <t>Samantha Chene</t>
  </si>
  <si>
    <t>My fav trusted customer-centric #brands: #Target, #Starbucks, #VW, #TJs, #Vons, #Apple, #Macys, #Ecco, #Clarks, #Mac, #AirNZ, #REI + #Mudbay</t>
  </si>
  <si>
    <t>Tweets aren't always live</t>
  </si>
  <si>
    <t>Designer // Fan of of God, SH, @theCityChurch, @Deloitte // Like everyone else, I have an opinion + it doesn't count //</t>
  </si>
  <si>
    <t>cas_2050000659</t>
  </si>
  <si>
    <t>jvje&gt;w&amp;gt;⃑Áq 0hppwwvkÁQaÁ keÁi 4&amp;gt;aowifarheo⃑ÁP3 BXjN4DMt #Vw</t>
  </si>
  <si>
    <t>PBFI</t>
  </si>
  <si>
    <t>PBFI is a voluntary group, founded in 2013, working to introduce Community Public Banks to Ireland.</t>
  </si>
  <si>
    <t>きかんぶ@Durandal FF14</t>
  </si>
  <si>
    <t>独ＶＷと米政府、排ガス不正車への対応で暫定合意 https://t.co/7USMQj3N8J @Reuters_co_jpから 排ガスを偽ったVWは買い取り。 燃費を偽った三菱は減税だけ返還。 #VW #三菱自動車</t>
  </si>
  <si>
    <t>MMO,いきもの,戦史好き</t>
  </si>
  <si>
    <t>Danny Fresh</t>
  </si>
  <si>
    <t>@bigFM Newsrap fertig aufgenommen und abgeschickt - ab morgen on air. #prince #queensbirthday #bka #vw #Mitsubishi #dannyfresh #newsrap</t>
  </si>
  <si>
    <t>Heidelberg/Germany</t>
  </si>
  <si>
    <t>Terrence Stamps</t>
  </si>
  <si>
    <t>@kairyssdal I love my #VW https://t.co/DgcEZl3qiT</t>
  </si>
  <si>
    <t xml:space="preserve">Baltimore, MD, USA </t>
  </si>
  <si>
    <t>News, news, news, sports, sports, sports and of course lots of fun.</t>
  </si>
  <si>
    <t>RT @UniversityVW: The key to a good #roadtrip is ____________. #VW https://t.co/24eQrSsZXB https://t.co/FSeSPJPVRf</t>
  </si>
  <si>
    <t>Krzysztof Bolesta</t>
  </si>
  <si>
    <t>If they wanted they would go after #VW but simply shy away from going tough on company turning over above 200bn euro https://t.co/iJAyRU7TSb</t>
  </si>
  <si>
    <t>Warsaw, Poland</t>
  </si>
  <si>
    <t>Dyrektor ds. badań / Director4research @PolitykaInsight think-tank #energy #climate #economy #EU Opinions my own. Retweets are not endorsements.</t>
  </si>
  <si>
    <t>Mae</t>
  </si>
  <si>
    <t>➡The Edgar Files</t>
  </si>
  <si>
    <t>The Spreadsheet is Mightier than the Sword© Research | Forensic Accounting | Writer | Veteran</t>
  </si>
  <si>
    <t>bigFM Newsrap fertig aufgenommen und abgeschickt - ab morgen on air. #prince #queensbirthday #bka #vw #Mitsubishi... https://t.co/4TU1aV9YCq</t>
  </si>
  <si>
    <t>joe I be</t>
  </si>
  <si>
    <t>I can't wait for the call/letter from #VW about the "upgrade" to my car. The exhaust has two barrels, they will get both.</t>
  </si>
  <si>
    <t>O wrangling schools, that search what fire, shall burn this world, have none the wit, unto this knowledge to aspire: money put above all else just might be it</t>
  </si>
  <si>
    <t>Danemi Omar</t>
  </si>
  <si>
    <t>RT @DannyFreshVici: bigFM Newsrap fertig aufgenommen und abgeschickt - ab morgen on air. #prince #queensbirthday #bka #vw #Mitsubishi... ht…</t>
  </si>
  <si>
    <t>Böblingen</t>
  </si>
  <si>
    <t>http://t.co/ZKe2B5utKI</t>
  </si>
  <si>
    <t>Mauricio Yury</t>
  </si>
  <si>
    <t>Volkswagen pagaría US$ 5.000 a cada cliente de EEUU por “dieselgate” https://t.co/54EO3vG2kz #vw #diesel https://t.co/1WoACRnr5F</t>
  </si>
  <si>
    <t>Santiago, Chile</t>
  </si>
  <si>
    <t>Board Advisor • Directivo • MBA • Entrepreneur • Búfalo • Lobo • Diablo • Dragón • Centauro • Pathfinder #HoleInOne • Trust Must Be Earned</t>
  </si>
  <si>
    <t>#techhippie Mk3👌 #volkswagen #vw #golf #tuning #mk3 #lifestyle #mk2 #mk1 #mk4 #mk5 #mk6 #mk7 #gti #gtd #r #stance … https://t.co/zTrZYv0tr1</t>
  </si>
  <si>
    <t>#techhippie A little bit lower 😉👍 ----------------------------------------------------#volkswagen #VW #Golf #7 #VII… https://t.co/rL8HEKvGum</t>
  </si>
  <si>
    <t>Joanne Hurley</t>
  </si>
  <si>
    <t>#winning #team #SEAT #team #VW 🎉🍾 @ InterContinental Dublin https://t.co/A1Y7CDH95M</t>
  </si>
  <si>
    <t>#CRM &amp; #Digital #Marketer @SEAT_cars_IRL P/T Digital MSc student. Food and music lover #PMA *Tweets are mine or endorsed RT's*</t>
  </si>
  <si>
    <t>RT @HonoluluVW: Past, present, and can't wait for the future #VWBeetle! #TBT #VW https://t.co/KpuqkoEyUt</t>
  </si>
  <si>
    <t>eBay: VW T5 Camper https://t.co/tASPrpJdCJ #vwcamper #vwbus #vw https://t.co/ZEadscsjBy https://t.co/E5JE93WCBg</t>
  </si>
  <si>
    <t>eBay: Volkswagen Danbury Panel Type 2 Camper… https://t.co/otGAsdlK8y #vwcamper #vwbus #vw https://t.co/ZEadscsjBy https://t.co/Po3RxipQI3</t>
  </si>
  <si>
    <t>VIDAVIDAVIDA</t>
  </si>
  <si>
    <t>RT @SexenioMX: #VW pagará 5 mil dólares a clientes afectados https://t.co/Omnof1Pyl6</t>
  </si>
  <si>
    <t>Distrito Capital, Venezuela</t>
  </si>
  <si>
    <t>SITIO DE SEXO, SALUD, CIENCIA, NATURALEZA, MÚSICA, (no enviar fotos pornográficas de menores de edad). CONTENIDO SOLO PARA ADULTOS</t>
  </si>
  <si>
    <t>Noah Ahh</t>
  </si>
  <si>
    <t>@FT if they start in USA... They will have to do same globally #VW #vwbuyback</t>
  </si>
  <si>
    <t>Brit working in Berlin, giving my opinion on world affairs, business, politics - often asking questions others don't. Retweets are not endorsements.</t>
  </si>
  <si>
    <t>Buy Back My TDI</t>
  </si>
  <si>
    <t>#VW agrees to #BuyBackMyTDI! https://t.co/fZ3EGUENrR</t>
  </si>
  <si>
    <t>Bought a TDI for its performance, mileage, and clean diesel emissions. Apparently, the last one was a lie.</t>
  </si>
  <si>
    <t>Browse our #VW DRIVING GEAR! Match your love for your vehicle to your wardrobe &amp; beyond! https://t.co/UJvQhdge6v https://t.co/0JxfBHSgUe</t>
  </si>
  <si>
    <t>Jamie Tidwell</t>
  </si>
  <si>
    <t>Two year Anniversary #lovemycar #lovebug #vw #sixysix #javagreen #white #classiccar #twoyears https://t.co/v3O0szFvWk</t>
  </si>
  <si>
    <t>Medford, OR</t>
  </si>
  <si>
    <t>Cosmetologist and a student at Southern Oregon University focusing on Costume Design. IG Colorful_Jamie. Snapchat colorfuljamie https://t.co/jCsIWj3M8O</t>
  </si>
  <si>
    <t>Escobar Volkswagen</t>
  </si>
  <si>
    <t>Te proponemos un pequeño juego! 󾮟 ➡ Buscá en la sopa de letra la mayor cantidad de modelos de #VW. ➡ ¿Será alguno... https://t.co/EqUaSJQHUg</t>
  </si>
  <si>
    <t>| Escobar Automores SA | Concesionario Oficial Volkswagen</t>
  </si>
  <si>
    <t>Tarde nublada, tarde de una novia perfecta! #aircooled #vw #Volkswagen #kingeuro https://t.co/vNmF90q3Mu</t>
  </si>
  <si>
    <t>Sotiris T Lalaounis</t>
  </si>
  <si>
    <t>I think so. Brand (re)building takes time. People will forgive you eve tidally. @FT #VW https://t.co/jxAuxT1kb9</t>
  </si>
  <si>
    <t>Exeter, England</t>
  </si>
  <si>
    <t>Lecturer at University of Exeter Business School |Marketing &amp; Design Management</t>
  </si>
  <si>
    <t>RT @kngeuro: Tarde nublada, tarde de una novia perfecta! #aircooled #vw #Volkswagen #kingeuro https://t.co/vNmF90q3Mu</t>
  </si>
  <si>
    <t>Diarmuid O'Flynn</t>
  </si>
  <si>
    <t>Parliamentary Assistant to Luke 'Ming' Flanagan MEP; occasional author (Hurling, The Warrior Game; Club, Sweat &amp; Tears) http://t.co/Sgk2E2hlDs</t>
  </si>
  <si>
    <t>VW CC by Jake Delesparra Photography #VW #CC #Passat #VAG #Volkswagen https://t.co/gobg9q6cKT</t>
  </si>
  <si>
    <t>lionleon</t>
  </si>
  <si>
    <t>Fact Check</t>
  </si>
  <si>
    <t xml:space="preserve">#Right2Change #SideBySide  </t>
  </si>
  <si>
    <t>The views expressed here are entirely those of...the voices...can you hear them too? #Dail #vinb #twip</t>
  </si>
  <si>
    <t>VW Corrado by Óscar Buetas Photography #VW #Corrado #VAG #Volkswagen https://t.co/fWbPhfHZV1</t>
  </si>
  <si>
    <t>eBay: 2013 Volkswagen Beetle 1.2 TSI Design 3dr Manual Petrol Hatchback https://t.co/2bnQodflJ6 #vwbeetle #vwbug #vw https://t.co/xvfL74PTgl</t>
  </si>
  <si>
    <t>Freddie Walker</t>
  </si>
  <si>
    <t>#VW is set to pay #US diesels owners $5K in wake of #scandal. Motorists, "That's ok. We'll get lots more in lawsuit! See you in #court!"</t>
  </si>
  <si>
    <t>one liner guy. polysyllabics lover</t>
  </si>
  <si>
    <t>Enlace Mexico</t>
  </si>
  <si>
    <t>#INTERNACIONALES #VW llega a un #acuerdo extrajudicial en #EEUU https://t.co/5VS3cIVjLS https://t.co/9wbizClTDh</t>
  </si>
  <si>
    <t>Puebla, México.</t>
  </si>
  <si>
    <t>Somos un medio televisivo que trasnsmite el noticiario ENLACE MEXICO a todo Estados Unidos y Centro América. Para todos nuestros paisanos mexicanos.</t>
  </si>
  <si>
    <t>Thomas Fazi</t>
  </si>
  <si>
    <t>My name is Thomas Fazi. More info on my book The Battle For Europe: How an Elite Hijacked a Continent - and How We Can Take It Back here: http://t.co/nEfNfXmR1W</t>
  </si>
  <si>
    <t>Isabella Zozoaga</t>
  </si>
  <si>
    <t>RT @EnlaceMexicoMX: #INTERNACIONALES #VW llega a un #acuerdo extrajudicial en #EEUU https://t.co/5VS3cIVjLS https://t.co/9wbizClTDh</t>
  </si>
  <si>
    <t>Puebla, México</t>
  </si>
  <si>
    <t>Presentadora y Directora General de Enlace México, productora de BBC de Londes, BBC Mundo, reportera para Univisión y Telemundo..</t>
  </si>
  <si>
    <t>Brad Kelly</t>
  </si>
  <si>
    <t>VW Micro Busses for Bernie #VW #feelthebern #hippie https://t.co/mijTTZYSgo</t>
  </si>
  <si>
    <t>Somerville, MA</t>
  </si>
  <si>
    <t>Photos and Film for the modern world</t>
  </si>
  <si>
    <t>FanCar Picture - Send me your Scirocco pictures!!! (PM Please) #VW #Volkswagen #Scirocco #Tuning https://t.co/nwCBD1Fu74</t>
  </si>
  <si>
    <t>Steve Hancke</t>
  </si>
  <si>
    <t>Nearly back on the road after a 2yr #restoration #vw #t4 #campervan #welding #freespirit… https://t.co/YBGF6yYJW5</t>
  </si>
  <si>
    <t>#Rally Driver #MTB Rider #Zapcat Co-Pilot #Cyclist #Multirotor #CapturedMotion #RiverEngineer</t>
  </si>
  <si>
    <t>Colwagen</t>
  </si>
  <si>
    <t>Porque los verdaderos #fanáticos merecen más. Acércate a nuestros concesionarios y estrena ya tú #Nuevo #VW. https://t.co/h2Do6ZE17b</t>
  </si>
  <si>
    <t>Colombia</t>
  </si>
  <si>
    <t>Red de Concesionarios, Taller y repuestos de las marcas: Audi, Volkswagen, VW Comerciales, Ducati, SsangYong y Lifan en Colombia.</t>
  </si>
  <si>
    <t>Diesel cars' emissions far higher on road than in lab, tests show https://t.co/RbJdP6AvZx #CorporateLies #Volkswagon #dieselcars #VW #lies</t>
  </si>
  <si>
    <t>Seeking knowledge, education, truth, enrichment. Interested in politics, history, society, compassion.</t>
  </si>
  <si>
    <t>eBay: 2004 (54) VOLKSWAGEN BEETLE 1.6 https://t.co/ncu98y6zZD #vwbeetle #vwbug #vw https://t.co/xvfL74PTgl https://t.co/FENL8Saa69</t>
  </si>
  <si>
    <t>The Sandbox</t>
  </si>
  <si>
    <t>#Reuters Exclusive: #VW will buy back half a million diesels. https://t.co/AU2k8khCdy #worldnews #business #legal https://t.co/eJ4Z0VBuUa</t>
  </si>
  <si>
    <t>SPC Gibbs</t>
  </si>
  <si>
    <t>Silly name; Serious news The newspaper from students of St. Petersburg College.</t>
  </si>
  <si>
    <t>You can now follow our #LinkedIn company page here: https://t.co/ygz3d0jgVR #VW #Volkswagen #SterlingVA</t>
  </si>
  <si>
    <t>•RacingClub•</t>
  </si>
  <si>
    <t>Morón, Argentina</t>
  </si>
  <si>
    <t>Insta:FlorMusante_ Snap:flor_racing ~Gustavo Cerati~ Fierrera #VwLovers Ford&amp;Vw ⚽AcademiaRacingClubDeAvellaneda⚽</t>
  </si>
  <si>
    <t>Art imitating life. #vw #typeiii #type3 #notchback #vwtype3 #vwtoy #vwrestoration #volkswagen https://t.co/AyWx3ZXE74</t>
  </si>
  <si>
    <t>Keith D. Patch</t>
  </si>
  <si>
    <t>RT @carsdotcom: @VW to buy back up to 480K #diesel cars &amp; pay out more $$$ in emissions cheating scandal.https://t.co/es5iQp99py #VW https:…</t>
  </si>
  <si>
    <t>Leading renewable, green &amp; clean energy technology business/innovation for 20+ years. Tweets/Links/RTs mine, not my employer's, and not endorsements.</t>
  </si>
  <si>
    <t>Volkswagen Danbury Panel Type 2 Camper van brazilian: £14,995.00End Date: Saturday May-21-2016 15:52:09 B... https://t.co/eD3to8dJ7P #vw</t>
  </si>
  <si>
    <t>Rachael Finch</t>
  </si>
  <si>
    <t>Happy with her new wheels. #VW #Voltswagon #redgoesfaster https://t.co/bysaLPE2Ui</t>
  </si>
  <si>
    <t>snapchat rachael_finch</t>
  </si>
  <si>
    <t>Mike Malloy</t>
  </si>
  <si>
    <t>#Volkswagen reaches multi-billion dollar settlement deal in #diesel emissions scandal. #VW via @NYTimes - https://t.co/bvgX4efvm4</t>
  </si>
  <si>
    <t>Managing Editor of Member Content at the American Academy of Actuaries. Got math? Tweets are my own; retweets ≠ endorsements.</t>
  </si>
  <si>
    <t>Alex Garcia</t>
  </si>
  <si>
    <t>VW scandal settlement: Owners can choose a fix or a buyback #VW https://t.co/bbg0NhXtOW</t>
  </si>
  <si>
    <t>Virginia Beach, VA</t>
  </si>
  <si>
    <t>Graphic Designer, Photographer and Coffee enthusiast.</t>
  </si>
  <si>
    <t>VW deal doesn't fix deeper problems in emissions testing https://t.co/MCaNu03mVy #VW #AutoNews</t>
  </si>
  <si>
    <t>Britische Abgasuntersuchung: Nur VW setzte Manipulationssoftware ein -- https://t.co/HQpvoCwpYu #dieselgate #VW</t>
  </si>
  <si>
    <t>Cesar Matos</t>
  </si>
  <si>
    <t>Brothers. #vw #volkswagen #voyage #gm #chevrolet #opalas #opala #caravan #antigoterapia @… https://t.co/WtHyqaVhfk</t>
  </si>
  <si>
    <t>Brasil</t>
  </si>
  <si>
    <t>Designer, Contabilista (Contador), Cristão Protestante, São Paulino, Fordista, Opaleiro e Sul Matogrossense. Ótimo.</t>
  </si>
  <si>
    <t>Abgas-Skandal: #VW erhöht Rückstellungen auf 16,4 Milliarden Euro #dieselgate https://t.co/BZysxovN7k</t>
  </si>
  <si>
    <t>Sergio Acuña</t>
  </si>
  <si>
    <t>Ready para ir mañana a ver a la jefa #vw #goltrend ❤ https://t.co/BTfgZMH1dt</t>
  </si>
  <si>
    <t>Acuariano....vwlover.... tu novia te ama..... De mi novia hermosa ❤</t>
  </si>
  <si>
    <t>desfilando bajo</t>
  </si>
  <si>
    <t>Hermosoo el borita con las audis 😍😍 #vw #bora #maquina 🚗💨 https://t.co/GM8ytzawQi</t>
  </si>
  <si>
    <t>Ciudad Autónoma de Buenos Aire</t>
  </si>
  <si>
    <t>En esta pagina somos todos amigos con la misma pasión. Mandanos fotos de tus autos y motos al md y la subimos! #vwlover</t>
  </si>
  <si>
    <t>#Blonda♡</t>
  </si>
  <si>
    <t>RT @LuchooRosa: Shhh esta durmiendo 😴 #vw #Alpisosiempre #LimandoElPiso https://t.co/RRncRoZgC1</t>
  </si>
  <si>
    <t>Los Andes Mi Vida FIESTA INFIN17A PROMO 2017 Hockey Los Andes❤ Wpp: 1168062911 Snap: Anttodelomas Fb: Antto De Lomas</t>
  </si>
  <si>
    <t>eBay: VOLKSWAGEN baja beetle WHITE https://t.co/uquujm6cHD #vwbeetle #vwbug #vw https://t.co/xvfL74PTgl https://t.co/GkM2oPurJB</t>
  </si>
  <si>
    <t>Joel Feder</t>
  </si>
  <si>
    <t>RT @ben_gt: TDI buyback is on record. Now what about the fix, timing, and $? Lots yet to be laid out. #VW #dieselgate https://t.co/lirJ76x8…</t>
  </si>
  <si>
    <t>Interactive Content Manager for Internet Brands Automotive. Obsessed with cars, marketing, technology, and Apple. Views are my own.</t>
  </si>
  <si>
    <t>CarConnection</t>
  </si>
  <si>
    <t>Car research made easy - no matter where you are. Home of the TCC Rating.</t>
  </si>
  <si>
    <t>High Gear Media</t>
  </si>
  <si>
    <t>Menlo Park, CA</t>
  </si>
  <si>
    <t>Producers of automotive content and destination websites. We also like coffee.</t>
  </si>
  <si>
    <t>patchris</t>
  </si>
  <si>
    <t>Just hate being cheated @BFMradio #VW</t>
  </si>
  <si>
    <t>Malaysia</t>
  </si>
  <si>
    <t>Runner, cyclist, Gooner from Kuala Lumpur, Malaysia. Loves Jesus, family, health, singing, Arsenal!</t>
  </si>
  <si>
    <t>21.8.15 ♥</t>
  </si>
  <si>
    <t>بريسيلا وتوماس♥</t>
  </si>
  <si>
    <t>Vivirlo con vos para mi es la gloria ♥ 21.8.15 ∞ ♥ Priscila&amp;Tomas ♥ VIII Meses♡ ~16~ Juntos para siempre♥ // Soy TODO de Priscila♡♛</t>
  </si>
  <si>
    <t>Fixa!</t>
  </si>
  <si>
    <t>Colitaaaaaa♥ #Vw #Quadrados #DecapitandoHormigas https://t.co/V6SwQHdLv3</t>
  </si>
  <si>
    <t>#Vw #Wsp2284608447</t>
  </si>
  <si>
    <t>Bruno Heitz</t>
  </si>
  <si>
    <t>Quase pronto... #FaltaPouco #fuscadon #Fuscapaixão #Don #BrunoHeitz #Beatle #GaragemH08 #vw… https://t.co/gnMRtTgmUI</t>
  </si>
  <si>
    <t xml:space="preserve">Brasil </t>
  </si>
  <si>
    <t>Servo de Jesus Cristo, torcedor do Flamengo e carioca.</t>
  </si>
  <si>
    <t>Rhys Searles</t>
  </si>
  <si>
    <t>Well... Abbott the Rabbit is down! Had to call in the cavalry to pick me up today. Assessing damage tomorrow! #vw #carprobs</t>
  </si>
  <si>
    <t>Maryland</t>
  </si>
  <si>
    <t>Husband. Father. Student Pastor. Speaker.</t>
  </si>
  <si>
    <t>AgusGomez |Sci|</t>
  </si>
  <si>
    <t>17. Banfield ⚽Cumple su sueño, quien resiste ⚽</t>
  </si>
  <si>
    <t>R1Concepts</t>
  </si>
  <si>
    <t>Trailer of Art #VW #Volkswagen #Custom #Art https://t.co/sd5o6gIaPt</t>
  </si>
  <si>
    <t>Internet Retailer of High Performance Brake Parts</t>
  </si>
  <si>
    <t>Rodrigo Ochoa</t>
  </si>
  <si>
    <t>Gerente Post Venta VW | dietrich</t>
  </si>
  <si>
    <t>El Wacharcleii ✌</t>
  </si>
  <si>
    <t>San Martín, Argentina</t>
  </si>
  <si>
    <t>el gordo one love bitches✌ || bmx || argentina✋❤</t>
  </si>
  <si>
    <t>Alessandro Del Prete</t>
  </si>
  <si>
    <t>Onesto è colui che cambia il proprio pensiero per accordarlo alla verità. Disonesto è colui che cambia la verità per accordarla al proprio pensiero.</t>
  </si>
  <si>
    <t>Gregory Brine</t>
  </si>
  <si>
    <t>They're going to have to do this elsewhere "#Volkswagen makes it official—it’s buying back 500,000 2.0L diesels" https://t.co/FqCuClk9k9 #vw</t>
  </si>
  <si>
    <t>Sydney, NSW</t>
  </si>
  <si>
    <t>Director of Product at @SCRMHub. Married to the amazing @likeomg. Lover of communication, tech, design, php and huge ideas. Weekend #Sydney #mtb enthusiast</t>
  </si>
  <si>
    <t>Bob Galmarini</t>
  </si>
  <si>
    <t>Plum is primed. #vwcamper #VW #westfalia #westy #vanlife #buslife #vwinteriors #latebay #type2… https://t.co/5Y9NDOLa64</t>
  </si>
  <si>
    <t>iPhone: 33.478439,-79.097626</t>
  </si>
  <si>
    <t>papa, husband, creative director, surfer, cyclist. does not like veggies. co-founder of http://t.co/qPIFPyQcC2| creative director at http://t.co/SeyZp4QgXp</t>
  </si>
  <si>
    <t>#VW #Canada to buy back, repair or compensate owners of more than 100,000 vehicles #Volkswagen #Cars #automobile https://t.co/aXZal5jPP2</t>
  </si>
  <si>
    <t>el mostrador</t>
  </si>
  <si>
    <t>[MERCADOS] #VW llega acuerdo por escándalo de emisiones y pagará al menos US$10.000 millones en #EEUU por el fraude https://t.co/SJum17cccv</t>
  </si>
  <si>
    <t>El primer diario digital de Chile</t>
  </si>
  <si>
    <t>eBay: 2013 Volkswagen Beetle 1.2 TSI 2dr… https://t.co/MrvQtYhRUK #vwbeetle #vwbug #vw https://t.co/xvfL74PTgl https://t.co/WSPhryOeSy</t>
  </si>
  <si>
    <t>DJ Adverb</t>
  </si>
  <si>
    <t>Good from far #audi #tt #mk2 #vw #vagcars #german #turbo #rotiform #ccv #silver #toronto #tdot https://t.co/Dq3CISxAO2</t>
  </si>
  <si>
    <t>Juno nominated DJ/Producer (2007), currently freelance DJ rocking: HIPHOP, FUNK, FUTURE, HOUSE, TRAP, RNB and more!! for booking email: deejayadverb@gmail.com</t>
  </si>
  <si>
    <t>Amy Hustead</t>
  </si>
  <si>
    <t>RT @Gregory_Brine: They're going to have to do this elsewhere "#Volkswagen makes it official—it’s buying back 500,000 2.0L diesels" https:/…</t>
  </si>
  <si>
    <t>Chicagoland</t>
  </si>
  <si>
    <t>#vw stellt laut dpa in Bilanz für das vergangene Jahr 16,4 Milliarden Euro zurück: https://t.co/2jZcYv45E5 https://t.co/FOj3inoW6s</t>
  </si>
  <si>
    <t>Deutschlandfunk</t>
  </si>
  <si>
    <t>RT @DLFNachrichten: #vw stellt laut dpa in Bilanz für das vergangene Jahr 16,4 Milliarden Euro zurück: https://t.co/2jZcYv45E5 https://t.co…</t>
  </si>
  <si>
    <t>@DLF ist der offizielle Twitter-Account des Deutschlandfunks. Impressum: http://t.co/rsgf7li6oI // Instagram: @Deutschlandfunk</t>
  </si>
  <si>
    <t>Anna Smith-Chasseuil</t>
  </si>
  <si>
    <t>It's expensive to be poor these days,but if you are a Corporation everything becomes cheaper Ph.D MedicinalChemist questioning political leadership/inequalities</t>
  </si>
  <si>
    <t>Sanscelerien</t>
  </si>
  <si>
    <t>Wordsmith #EU #Euro #politics #debt #austerity #economy #Portugal #communication #Krugman #Greece #Spain</t>
  </si>
  <si>
    <t>FEART</t>
  </si>
  <si>
    <t>#Mercedes-Benz parent #Daimler launches U.S. #emissions #probe, after #VW settlement. https://t.co/4IQRQeZq7H</t>
  </si>
  <si>
    <t>Bavarian Performance</t>
  </si>
  <si>
    <t>#Mercedes-Benz parent #Daimler launches U.S. #emissions #probe, after #VW settlement. https://t.co/sfTEPNmmOX</t>
  </si>
  <si>
    <t>Dells ServiceCenter</t>
  </si>
  <si>
    <t>#Mercedes-Benz parent #Daimler launches U.S. #emissions #probe, after #VW settlement. https://t.co/JNreZgsJTS</t>
  </si>
  <si>
    <t>DreamCars</t>
  </si>
  <si>
    <t>#Mercedes-Benz parent #Daimler launches U.S. #emissions #probe, after #VW settlement. https://t.co/EB6YW7EFM1</t>
  </si>
  <si>
    <t>Baldwin's Autowerks</t>
  </si>
  <si>
    <t>#Mercedes-Benz parent #Daimler launches U.S. #emissions #probe, after #VW settlement. https://t.co/BnU9D92Bc5</t>
  </si>
  <si>
    <t>Novato, CA</t>
  </si>
  <si>
    <t>Providing the highest quality auto repair to Novato and Marin County since 1989. Experts in VW, Audi, Porsche, Mercedes, BMW and Mini repair. Come see us!</t>
  </si>
  <si>
    <t>Marin Hybrid Shop</t>
  </si>
  <si>
    <t>#Mercedes-Benz parent #Daimler launches U.S. #emissions #probe, after #VW settlement. https://t.co/KwtptULwhv</t>
  </si>
  <si>
    <t>We take auto repair to the next level by offering hybrid-focused auto repair!</t>
  </si>
  <si>
    <t>https://t.co/fieqbWxzFk 4 sale (email an offer) #volkswagen @PorscheNewsroom @Audi_Online @Audi @Porsche #audi #porsche @VW @Volkswagen #VW</t>
  </si>
  <si>
    <t>bozsbugti! #vw #vwdepo #vwlove #vwfamily #vwfriends #golfiii #golfii #mk2 #mk3madness #mk3 #burnallthemk3s... https://t.co/fKK4YhLchV</t>
  </si>
  <si>
    <t>RT @bgalmar: Plum is primed. #vwcamper #VW #westfalia #westy #vanlife #buslife #vwinteriors #latebay #type2… https://t.co/5Y9NDOLa64</t>
  </si>
  <si>
    <t>Matiass</t>
  </si>
  <si>
    <t xml:space="preserve">villa maipu </t>
  </si>
  <si>
    <t>gracias abuelo por enseñarme a amar estos colores por enseñarme lo que es una pasión ❤https://t.co/z3XH708z5B.J❤ *SANTIAGO* TE EXTRAÑO ABUELO</t>
  </si>
  <si>
    <t>Alessandro Ritacco</t>
  </si>
  <si>
    <t>Motorphiliacs TV</t>
  </si>
  <si>
    <t>RT @QuirkyRides: A proper #VW #Camper. Nice isn't it? https://t.co/Jf6tAMqMA2</t>
  </si>
  <si>
    <t>Surrey, British Columbia</t>
  </si>
  <si>
    <t>A web based show for gearheads of all types. Car photos, car reviews, automotive news, projects and motorsports news. Twitter feed hosted by J Mahovlich</t>
  </si>
  <si>
    <t>εïз ɑlejɑnd®ɑ ♕</t>
  </si>
  <si>
    <t>#gelish #engaged #flowers #volkswagen #VW #nailsart 💁🏼💅🏻 https://t.co/DcPDQkIpL0</t>
  </si>
  <si>
    <t></t>
  </si>
  <si>
    <t>ExpatFriendly</t>
  </si>
  <si>
    <t>European drivers bristle as #VW reaches U.S. diesel deal #whatsnext https://t.co/PO9mueyWzT</t>
  </si>
  <si>
    <t>All things #Expat, #StartUps, #Entrepreneurs, #CareerTips, &amp; #foodie EU, UK, &amp; USA</t>
  </si>
  <si>
    <t>Lars Pellinat</t>
  </si>
  <si>
    <t>#Volkswagen engaged in a record #share buy back. Result #stocks up 6% https://t.co/Gq60vK2XIq #VW #DAX</t>
  </si>
  <si>
    <t>Planet Earth (mainly) #Neuland</t>
  </si>
  <si>
    <t>Love Life, Embrace Its Possibilities &amp; Enjoy My Way. See Favstar: http://t.co/mR5dA3qqIC No Fin Advice. RT's are not an endorsement. Follow back real people.</t>
  </si>
  <si>
    <t>Former_VW_Lover</t>
  </si>
  <si>
    <t>RT @buybackmytdi: #VW agrees to #BuyBackMyTDI! https://t.co/fZ3EGUENrR</t>
  </si>
  <si>
    <t>San Clemente, CA</t>
  </si>
  <si>
    <t>Artist, Book lover, Alchemist</t>
  </si>
  <si>
    <t>RT @philippvetter: Abgas-Affäre: #VW stellt laut dpa insgesamt 16,4 Milliarden Euro im Jahr 2015 zurück. Damit droht Rekordverlust. https:…</t>
  </si>
  <si>
    <t>Aldana Ψ</t>
  </si>
  <si>
    <t>☛ Varela atr ☚</t>
  </si>
  <si>
    <t>|| 19. || Independiente +23 || Caneri ∞ || || 26-03-16 ♡ || 02-04-16 De Rodrigo❤</t>
  </si>
  <si>
    <t>#vw #volkswagen #volkswagenbeetle #vwbeetle #beetle #riodejaneiro #rio #Brasil #Brazil #streetphotography #fotograf… https://t.co/MOpbMBsRag</t>
  </si>
  <si>
    <t>#VW agreement in principle is an important 1st step. But still unclear exactly what #consumers will get https://t.co/bXZ7PuMLDl #dieselgate</t>
  </si>
  <si>
    <t>#VW #emissions: 'US deal struck' buy back diesel cars https://t.co/pmqlDjsuDT</t>
  </si>
  <si>
    <t>Tasha</t>
  </si>
  <si>
    <t>Bought a Herbie comic off eBay. #VW #Beetle #Lovebug #Disney #Car https://t.co/f6zn81xbPl</t>
  </si>
  <si>
    <t>Parkland County #yeg</t>
  </si>
  <si>
    <t>Coca-cola collector. Euro car hoarder extraordinaire. Owned by 2 cats &amp; a feisty little girl. ❤️ #YEG Canadian!</t>
  </si>
  <si>
    <t>Hoyt Richardson</t>
  </si>
  <si>
    <t>C O C K P I T 📷➡@newsetsofteeth #nikon #nofilter #kgxii #vw #volkswagen #passat… https://t.co/PtqPqxdbfv</t>
  </si>
  <si>
    <t xml:space="preserve">roanoke </t>
  </si>
  <si>
    <t>life on air</t>
  </si>
  <si>
    <t>Kyunghee Park</t>
  </si>
  <si>
    <t>#VW Reaches Outline Agreement With #US to Overcome Crisis https://t.co/dtwjNuRqVW via @technology #emissionsscandal</t>
  </si>
  <si>
    <t>Asia Industrial/Aerospace reporter Bloomberg News Retweets are not endorsement, opinions are my own. http://t.co/UWVi96eZvS</t>
  </si>
  <si>
    <t>Jochen A. Hübener</t>
  </si>
  <si>
    <t>nicht laffe #Politik wie in #Deutschland,sondern #Rechte+harte #Regeln in Wirtschaft -#VW-#Abgasskandal: #US-#Entschädigungen nicht bei uns</t>
  </si>
  <si>
    <t>Los Llanos de Aridane</t>
  </si>
  <si>
    <t>Ökonom (Keynesianer)+Agnostiker+SelfThinkTank +Diktatur-Feind,parteilos,im Zweifel links-rechts-liberal+Reiseabenteurer per Motorrad,Unimog,Rucksack um die Welt</t>
  </si>
  <si>
    <t>Magazine Automotor</t>
  </si>
  <si>
    <t>#VW logra un principio de acuerdo con el Gobierno de EEUU @GaboAlatriste https://t.co/0PJ6GlFXtX e https://t.co/k9FQwQwQNm</t>
  </si>
  <si>
    <t>Publicación diseñada y escrita por expertos en Tecnología Automovilística que han trabajado en la industria</t>
  </si>
  <si>
    <t>Angel Morales</t>
  </si>
  <si>
    <t>#vocho #VW https://t.co/iagwjBybOn</t>
  </si>
  <si>
    <t>Grant Cole</t>
  </si>
  <si>
    <t>RT @dejbanlaw: #VW agreement in principle is an important 1st step. But still unclear exactly what #consumers will get https://t.co/bXZ7PuM…</t>
  </si>
  <si>
    <t>Ossining, New York</t>
  </si>
  <si>
    <t>Unemployed RN, BBC America fanatic, overall good person, TV addict, fantasy football rookie</t>
  </si>
  <si>
    <t>Autos de Oro</t>
  </si>
  <si>
    <t>RT @Automotormz: #VW logra un principio de acuerdo con el Gobierno de EEUU @GaboAlatriste https://t.co/0PJ6GlFXtX e https://t.co/k9FQwQwQNm</t>
  </si>
  <si>
    <t>Puebla, Puebla</t>
  </si>
  <si>
    <t>Programa de radio especializado en tecnología automovilística, proveemos asesoría para la compra, manejo seguro y disfrute del auto. Promovemos la cultura vial.</t>
  </si>
  <si>
    <t>Arent Fox Automotive</t>
  </si>
  <si>
    <t>#VW forges U.S. deal arising from diesel emissions scandal https://t.co/gqOAtQSrsG via @Reuters</t>
  </si>
  <si>
    <t>We provide the full breadth of industry related legal services. To learn more about the practice or to contact Practice Chair, Aaron Jacoby, visit us online.</t>
  </si>
  <si>
    <t>Ismail Stewart</t>
  </si>
  <si>
    <t>Santa pod raceway at the weekend 🙌🏾 #beetles #VW #bigbangcamper</t>
  </si>
  <si>
    <t>Weymouth UK</t>
  </si>
  <si>
    <t>Toni&amp;Guy Dorchester ✂️ instagram - ismailstewart14</t>
  </si>
  <si>
    <t>addieCoVa's</t>
  </si>
  <si>
    <t>#Vw #relaxing https://t.co/m5lopz1irz</t>
  </si>
  <si>
    <t>lic. en Comunicacion, Hija de Dios, Amo a Dios, princesa de dios c/proposito y llamado de parte de dios :)</t>
  </si>
  <si>
    <t>Michael Patito</t>
  </si>
  <si>
    <t>Whitewater, WI</t>
  </si>
  <si>
    <t>Zombified horror metal unlike any other! A bloody aural mutation of death, black and thrash metal spliced with horror film sounds.</t>
  </si>
  <si>
    <t>eBay: 2011 VW t5.1 camper with POPTOP Roof!… https://t.co/spFEsjEQ8p #vwcamper #vwbus #vw https://t.co/ZEadscsjBy https://t.co/NhGLLE7aAG</t>
  </si>
  <si>
    <t>Jay Williams</t>
  </si>
  <si>
    <t>Springfield, Missouri</t>
  </si>
  <si>
    <t>We make movies. The Charlotte Film Anarchists is a filmmaking community for mavericks. Join us at COSMOS in Charlotte. No admission fee.</t>
  </si>
  <si>
    <t>following jobs 500K</t>
  </si>
  <si>
    <t>#jobs #jobsearch # #VW gives consumers options of buybacks, fixing rigged vehicles: #The owners o... https://t.co/HxMxO7ZgoE</t>
  </si>
  <si>
    <t>#following #jobs #career #job 500K $$$$</t>
  </si>
  <si>
    <t>PRICE717</t>
  </si>
  <si>
    <t>I'm a 29 yr old father. My son is 5, his name is Pax. He's my mini-me. I'm going to school to pursue a degree in IT. I love MMA &amp; music (mostly hip hop).</t>
  </si>
  <si>
    <t>Jena Dawn</t>
  </si>
  <si>
    <t>Cibolo, TX</t>
  </si>
  <si>
    <t>Love living in the Okanagan!</t>
  </si>
  <si>
    <t>Gillian Ennis</t>
  </si>
  <si>
    <t>Found Leslie's lost hubcap! #VW https://t.co/y5hFO5HLYq</t>
  </si>
  <si>
    <t>Interactive Producer from the Mitten. Dances great. Sings horribly. Has the same amount of hours in a day as Beyoncé [thanks to @rachelcoady for that fun fact].</t>
  </si>
  <si>
    <t>TITO</t>
  </si>
  <si>
    <t>Excelentes dormitorios #vw https://t.co/lszIQa0yzy</t>
  </si>
  <si>
    <t>Lcdo. En Ciencias de la Información. Por acá algo de automóviles y música(chequea mis Favoritos), RT con y sin mis opiniones. Vive y deja vivir.</t>
  </si>
  <si>
    <t>Anna Banana â˜¯</t>
  </si>
  <si>
    <t>You are not worthy of knowing the bio of Doom!</t>
  </si>
  <si>
    <t>Guido Sagredo Leiva</t>
  </si>
  <si>
    <t>RT @elmostrador: [MERCADOS] #VW llega acuerdo por escándalo de emisiones y pagará al menos US$10.000 millones en #EEUU por el fraude https:…</t>
  </si>
  <si>
    <t>Abogado en Temuco</t>
  </si>
  <si>
    <t>paddy</t>
  </si>
  <si>
    <t>https://t.co/K5Pzn9ecPN well we knew it wouldn't be just #VW didn't we???</t>
  </si>
  <si>
    <t>Essex</t>
  </si>
  <si>
    <t>lexo</t>
  </si>
  <si>
    <t>Collector of digital curiosities, drinker of black coffee.</t>
  </si>
  <si>
    <t>RV Listings</t>
  </si>
  <si>
    <t>Camp in a #VW Westfalia Bus in #hawaii What a unique trip! https://t.co/3Ey4OcquBI #bucketlist #airbnb #boho #travel https://t.co/670hOPfFP0</t>
  </si>
  <si>
    <t>I've been everywhere man</t>
  </si>
  <si>
    <t>Official Twitter of https://t.co/yoKFU2ozLp. Future #1 RV online classifieds. Passionate in all things RV, camping, adventures and wanderlust.</t>
  </si>
  <si>
    <t>Gastón♡</t>
  </si>
  <si>
    <t>Jugador de los patos♥Hincha del Mas grande CARP♥-Hola soy charango,Soy Famoso♥River Plate 35♥-No Fue Corner♥Amo con todo mi corazon a Ortega♥ Cata la mas diosa♥</t>
  </si>
  <si>
    <t>Emma</t>
  </si>
  <si>
    <t>I'm a bird and another typical teenager with a nasty attitude, but a delicious craving for music. Justin Bieber, Ariana Grande, Demi Lovato, Iggy.</t>
  </si>
  <si>
    <t>JR</t>
  </si>
  <si>
    <t>Fútbol pasión s2 //wpp:2996357958 / Cami me quiere. #Sudametrica 6marzo</t>
  </si>
  <si>
    <t>RepoRide</t>
  </si>
  <si>
    <t>National Vehicle Remarketing</t>
  </si>
  <si>
    <t>Fight Logic</t>
  </si>
  <si>
    <t>I sell free software that is changing the world and struggle to understand social media.</t>
  </si>
  <si>
    <t>RT @GQBert: #dieselgate More waiting.. How much $! When?! Hurry up it's been 7 months! #buybackmytdi #VW #vwcares not https://t.co/5eIqMix8…</t>
  </si>
  <si>
    <t>FanCar Picture - Send me your Scirocco pictures!!! (PM Please) #VW #Volkswagen #Scirocco #Tuning https://t.co/hzZW9f9ODO</t>
  </si>
  <si>
    <t>Gregory Paul</t>
  </si>
  <si>
    <t>Check out: "Volkswagen may buy back hundreds of thousands of diesel cars"- https://t.co/Sh09vG9iz7 #VW #TDI #Diesel</t>
  </si>
  <si>
    <t>Fort Worth, Texas, USA</t>
  </si>
  <si>
    <t>Husband, father, sales professional, Rush fan, photographer, &amp; P1</t>
  </si>
  <si>
    <t>25✊✌</t>
  </si>
  <si>
    <t>Fierrera❤</t>
  </si>
  <si>
    <t>Adriana</t>
  </si>
  <si>
    <t>Belo Horizonte - MG</t>
  </si>
  <si>
    <t>Nas veias tenho o sangue azul do meu clube amado, no peito tenho cinco estrelas que carrego com amor.. Salve, salve Cruzeiro, o guerreiro dos gramados....!</t>
  </si>
  <si>
    <t>Emily [|||]</t>
  </si>
  <si>
    <t>Brisbane</t>
  </si>
  <si>
    <t>Music is everything. More specifically, Coldplay, City and Colour and Paramore.</t>
  </si>
  <si>
    <t>Mafee✌.</t>
  </si>
  <si>
    <t>Yo también llore sin darme cuenta que la vida me estaba haciendo un favor</t>
  </si>
  <si>
    <t>デュ～ク</t>
  </si>
  <si>
    <t>#フォルクスワーゲン #VW ＶＷ、買い戻しなどに１兆円 排ガス不正決着へ 米当局と合意 https://t.co/XzGmt7hmmX （サンケイビズ、2016.4.22） 三菱自の話題でもちきりだがVWの方が悪質だろ！ 三菱自：有利なデータを採用 VW：測定時に専用モード</t>
  </si>
  <si>
    <t>Osaka  JAPAN</t>
  </si>
  <si>
    <t>ダイビングとテニスをこよなく愛するデュ～クです。 「ネット保守連合」に参加。「J-NSC」会員。 予備アカウントはこちら→@dukecave2</t>
  </si>
  <si>
    <t>Manuel rodrigo sanch</t>
  </si>
  <si>
    <t>soy un poco tierno ! soy serio y alegre. me gustan todo medio transporte,me gusta todo tipo de animales,... Actividad :Pasear Deporte: Andar en bicicleta.</t>
  </si>
  <si>
    <t>Amsal Wajihuddin</t>
  </si>
  <si>
    <t>#6thcarofapril #vw #2013jetta #se #moonrocksilvermetallic #rarecolor #explainsthedelight @… https://t.co/VvuNtEYFt6</t>
  </si>
  <si>
    <t>Tysons Corner, VA</t>
  </si>
  <si>
    <t>Why fit in when you were born to stand out? -Dr. Seuss</t>
  </si>
  <si>
    <t>DeRama❤</t>
  </si>
  <si>
    <t>10/11/14 RyM❤ CABNA❤ insta micaela_soosa</t>
  </si>
  <si>
    <t>Horario estelar #vw #Volkswagen #kingeuro</t>
  </si>
  <si>
    <t>#VW 'to offer diesel buy back deal in US' https://t.co/Uuy2VV3yQf #Volkswagen #SanFrancisco https://t.co/j0jxFLOwMd</t>
  </si>
  <si>
    <t>#7thcarofapril #vw #2016passat #sewithtech #reefbluemetallic #vwmakesthebesthuesofblue @… https://t.co/u8eDsDQc3N</t>
  </si>
  <si>
    <t>Kevin Murphy</t>
  </si>
  <si>
    <t xml:space="preserve">Killarney, Co.Kerry </t>
  </si>
  <si>
    <t>Views my own. RT not necessarily endorsement.</t>
  </si>
  <si>
    <t>jimi hendrix</t>
  </si>
  <si>
    <t>In the Aeroplane Over the Sea</t>
  </si>
  <si>
    <t>Music fanatic, guitarist, shy guy with an awesome girlfriend.</t>
  </si>
  <si>
    <t>José Jorge Colindres</t>
  </si>
  <si>
    <t>My Red Devil Reloaded! #Volkswagen #GTI #Mk7 #VAG #Golf #VW #Turbo https://t.co/oEbVBLNJu8</t>
  </si>
  <si>
    <t>Guatemala</t>
  </si>
  <si>
    <t>Ingeniero Industrial, FAA Instrument and Multi Engine Commercial Pilot, la aviacion es mi pasión, amante del fútbol y de la buena música EDM.</t>
  </si>
  <si>
    <t>ENLACE MÉXICO</t>
  </si>
  <si>
    <t>Puebla México</t>
  </si>
  <si>
    <t>noticias de Puebla, México, E.E.U.U. y el mundo para migrantes</t>
  </si>
  <si>
    <t>نايف السيحاني</t>
  </si>
  <si>
    <t>2B51D0C8</t>
  </si>
  <si>
    <t>كن محترم وبالتأكيد ستحترم لي أرائي ولا أفرضها عليك ولك حرية ما تختار و يروق إليك ( الدمام ) instagram : abudaij</t>
  </si>
  <si>
    <t>RT @kngeuro: Horario estelar #vw #Volkswagen #kingeuro</t>
  </si>
  <si>
    <t>Tube Coffee Station</t>
  </si>
  <si>
    <t>Cottesloe</t>
  </si>
  <si>
    <t>Boutique coffee shop in cottesloe village.</t>
  </si>
  <si>
    <t>Danny Longbottom</t>
  </si>
  <si>
    <t>Its ok! Im a limo driver</t>
  </si>
  <si>
    <t>Lucas</t>
  </si>
  <si>
    <t>RT @LimandoElPisoPM: #Vw #G1 #LongBeach https://t.co/vT9SITDEaV</t>
  </si>
  <si>
    <t xml:space="preserve">                   MarplaCity</t>
  </si>
  <si>
    <t>17.⁴²⁰ time - Haedo - Nictofilio - Rap Ꮍ maría 24/7 todos los días ~ Los reales no caen ~ No cabe duda los pibe de Vélez no tienen cura ♪</t>
  </si>
  <si>
    <t>Gavin</t>
  </si>
  <si>
    <t>Dad, NC State University grad, soccer nut, fan of the Carolina Hurricanes, Wolfpack, Red Devils (Manchester United), homebrewing, Formula 1</t>
  </si>
  <si>
    <t>antphographic</t>
  </si>
  <si>
    <t>Bug eyed #VWBug #vwbeetle #beetle #vw #volkswagen #carshow #automotivephotography #carshow… https://t.co/KMFO7ufcWL https://t.co/raQtvYwApi</t>
  </si>
  <si>
    <t>Car show photography by me, please enjoy. Instagram - @antphographic</t>
  </si>
  <si>
    <t>EnviroMedia</t>
  </si>
  <si>
    <t>We'd like to work for an #honest car company. https://t.co/UzTyMg4NgO #VW</t>
  </si>
  <si>
    <t>Austin, Texas &amp; Washington, DC</t>
  </si>
  <si>
    <t>Provides marketing communications &amp; digital consulting to the world's most innovative agents of #change. Improving #health &amp; #sustainability since 1997.</t>
  </si>
  <si>
    <t>MotorGiga.com</t>
  </si>
  <si>
    <t>No todos los #hibridos son iguales, descubre los secretos de #VW en #Tutorialesmotorgiga https://t.co/y1LGZlnATh https://t.co/7vAFqz2BuD</t>
  </si>
  <si>
    <t>Botize</t>
  </si>
  <si>
    <t>El lugar de reunión para apasionados del automóvil, curiosos, estudiosos y cualquier otro usuario que tenga algún tipo de interés por el mundo de la automoción.</t>
  </si>
  <si>
    <t>D.D.V.R.</t>
  </si>
  <si>
    <t>100% autentica</t>
  </si>
  <si>
    <t>Paula Arancibia Rob</t>
  </si>
  <si>
    <t>Iquique, Chile</t>
  </si>
  <si>
    <t>abogado, independiente e hincha de la UC</t>
  </si>
  <si>
    <t>Leah-Rae Easley</t>
  </si>
  <si>
    <t>bc I was enjoying my car &amp; new favorite cup today #VW #springcolor https://t.co/NhcLE6QmIJ</t>
  </si>
  <si>
    <t>Georgia, USA</t>
  </si>
  <si>
    <t>Wife • Soon to be Mama • Dog Mom • GA⇉HI⇉GA</t>
  </si>
  <si>
    <t>Move Rally Team</t>
  </si>
  <si>
    <t>#vw #rally de #argentina https://t.co/5iPIUVf1I8</t>
  </si>
  <si>
    <t>The world is my stage!</t>
  </si>
  <si>
    <t>Somos una escudería de rally, corriendo el campeonato nacional de velocidad, carreras en vivo, y tutoriales.</t>
  </si>
  <si>
    <t>Hands up #vw https://t.co/Cn4h7KlTI8</t>
  </si>
  <si>
    <t>Listos para ir con todo en el #wrc de #argentina #vw #humor. https://t.co/Kcdmm9bKUB</t>
  </si>
  <si>
    <t>Jeff@ModzGarage</t>
  </si>
  <si>
    <t>@ALLDATA Fuel pump socket wrench extension for #VW and #Audi vehicles.</t>
  </si>
  <si>
    <t>Manhattan, KS</t>
  </si>
  <si>
    <t>Deep South native who packed up his shop and cars to follow a gal to the Great Plains. Most of what I post is my own.</t>
  </si>
  <si>
    <t>Alan ☮</t>
  </si>
  <si>
    <t>#Vw #Quadrados #OffRoad #Sb #LLc #Baixos #Orbital #272 #D2m… https://t.co/MI5bOMhSYn</t>
  </si>
  <si>
    <t>Babylon '</t>
  </si>
  <si>
    <t>Foi num puteiro em João Pessoa '</t>
  </si>
  <si>
    <t>HERNAN SALDAÑA</t>
  </si>
  <si>
    <t>Profesor normalista, emprendedor y sostenedor de colegio en sector vulnerable de Puente Alto.</t>
  </si>
  <si>
    <t>Jordan Cowdery</t>
  </si>
  <si>
    <t>#VW scandal settlement: Owners can choose a fix or a buyback - CNN https://t.co/vDVTkfquTR</t>
  </si>
  <si>
    <t>Creator by The CREATOR</t>
  </si>
  <si>
    <t>eBay: 1987 Volkswagen LT Motorhome Camper 2.4… https://t.co/SiQfHT9O26 #vwcamper #vwbus #vw https://t.co/ZEadscsjBy https://t.co/gXWinB67Gw</t>
  </si>
  <si>
    <t>Nicht nur #VW: Auch Daimler, Peugeot und Mitsubishi geraten in verschiedenen Staaten unter Druck von Behörden : https://t.co/P2GqpShIT7</t>
  </si>
  <si>
    <t>RT @DLFNachrichten: Nicht nur #VW: Auch Daimler, Peugeot und Mitsubishi geraten in verschiedenen Staaten unter Druck von Behörden : https:…</t>
  </si>
  <si>
    <t>Twipple</t>
  </si>
  <si>
    <t>#Carspotting through the dirty window on the bus yesterday. #VW #Bug #VWBug #Volkswagen #Car… https://t.co/isZWCLTFBD</t>
  </si>
  <si>
    <t>UH-Hilo Grad, Baseball Tm (NAIA WS), U.S. Army, Infantry (ROTC DMG), interest many but nowadays rarely explored, appreciates simple things &amp; interesting people</t>
  </si>
  <si>
    <t>RadialTVcom</t>
  </si>
  <si>
    <t>2004 VW Concept bug turbo https://t.co/i0rJsiDfW8 #VW #AutoNews</t>
  </si>
  <si>
    <t>eBay: VW Volkswagen Beetle Convertible 2.0 https://t.co/61oT4PnYo1 #vwbeetle #vwbug #vw https://t.co/xvfL74PTgl https://t.co/xz4JAUrBqM</t>
  </si>
  <si>
    <t>Bug eyed #VWBug #vwbeetle #beetle #vw #volkswagen #carshow #automotivephotography #carshowphotography by antphograp… https://t.co/phLuncRgDh</t>
  </si>
  <si>
    <t>Baja bug. Hella fun. #vw #volkswagen #beetle #dune #buggy #desert #vwbeetle #racecar #race #sand #offroad by hotsmo… https://t.co/O8lr4FKhgb</t>
  </si>
  <si>
    <t>Ivan Loewen</t>
  </si>
  <si>
    <t>#TwinButteRestaurant #VW #checkthegasandfilltheoil https://t.co/Vijn0kxyFz</t>
  </si>
  <si>
    <t>Pincher Creek, Alberta</t>
  </si>
  <si>
    <t>Alive and well.</t>
  </si>
  <si>
    <t>Chris Bailey</t>
  </si>
  <si>
    <t>Amazing statistics...and perfectly complement my reading about the potential #VW car buyback total bill... https://t.co/RXYSQUI321</t>
  </si>
  <si>
    <t>Founder of Financial Orbit. Macro musing, global equities appraisal. Publisher of Financial Orbit Macro / Stocks / Immediate. Contact to join the mailing lists.</t>
  </si>
  <si>
    <t>Roberto Romero</t>
  </si>
  <si>
    <t>palumbo</t>
  </si>
  <si>
    <t>@Shakhiboy I hate looking outside and SEEING my car and thinking about all the problems with it #VW</t>
  </si>
  <si>
    <t>in a volkswagen</t>
  </si>
  <si>
    <t>19 • I take photos • I drive cars • Brooke is my co-pilot</t>
  </si>
  <si>
    <t>Abril</t>
  </si>
  <si>
    <t xml:space="preserve"> Cañada de Gómez</t>
  </si>
  <si>
    <t>Aprende a quererte a vos mismo, antes de querer a alguien más, y vas a ver que no podrán lastimarte.</t>
  </si>
  <si>
    <t>Nico Herrera</t>
  </si>
  <si>
    <t>Tucumán, Argentina</t>
  </si>
  <si>
    <t>VCD: #VW einigt sich mit US-Behörden auf Entschädigung im #Abgasskandal. Und was ist mit #EU? https... https://t.co/U8R1H3JF8s via @VCDeV</t>
  </si>
  <si>
    <t>la ale.</t>
  </si>
  <si>
    <t>This is quite perfect. #potterhead #vw yaaaaaaaayyy @obatres ⚡❤ https://t.co/5vSeFbB5mK</t>
  </si>
  <si>
    <t>¿qué?</t>
  </si>
  <si>
    <t>花に嵐</t>
  </si>
  <si>
    <t>まぁ、車は故障せんと走りゃええやん。 #三菱自動車 #VW</t>
  </si>
  <si>
    <t>【立憲主義が大事。原発・戦争やめよう。】のんびり旅したい。焼き鳥・焼肉ホルモン・琉球料理・酒・器、ロードバイク・テニス。アイコンはサマルカンド・ブルー。 ツィート無し・投資誘導はBKします。</t>
  </si>
  <si>
    <t>FanCar Picture - Send me your Scirocco pictures!!! (PM Please) #VW #Volkswagen #Scirocco #Tuning https://t.co/t5pbGgfiin</t>
  </si>
  <si>
    <t>1st In SEO</t>
  </si>
  <si>
    <t>#VW scandal settlement: Owners can choose a fix or a #buyback https://t.co/BbObHqrKqP</t>
  </si>
  <si>
    <t>We provide #SEO , #WebDesign , #ContentMarketing and #SocialMediaManagement for companies that want to compete in the 21st Century.</t>
  </si>
  <si>
    <t>#VW scandal settlement: Owners can choose a fix or a #buyback https://t.co/xGTkpGwKXx</t>
  </si>
  <si>
    <t>LimandoElPiso✌</t>
  </si>
  <si>
    <t>#Vw #Golf #GTI #LongBeach https://t.co/uscGVmaorK</t>
  </si>
  <si>
    <t>Chubut, Argentina</t>
  </si>
  <si>
    <t>#2RuedasMuevenMiCuerpo4MuevenMiAlma #PasionPorLoFierros #CompartiendoLaMismaPasion</t>
  </si>
  <si>
    <t>●Rock←♡→Cabj●   ☜</t>
  </si>
  <si>
    <t>RT @LimandoElPisoPM: #Vw #Golf #GTI #LongBeach https://t.co/uscGVmaorK</t>
  </si>
  <si>
    <t>Pato Rubino ♡Club Atlético Boca Juniors♡ Callejeros &amp; el indio ♬♪ Puro Rock nacional ⇨Canserbero vive⇦ snap: paatocjs</t>
  </si>
  <si>
    <t xml:space="preserve">Nico </t>
  </si>
  <si>
    <t>CASLA.The World Is Yours ♕ H H. MESSI.</t>
  </si>
  <si>
    <t>lauty</t>
  </si>
  <si>
    <t>Matias✌</t>
  </si>
  <si>
    <t>B̲a̲t̲i̲c̲u̲e̲v̲a̲</t>
  </si>
  <si>
    <t>-Sɪ ᴀʟɢúɴ ᴅíᴀ ᴍᴇ ᴍᴀᴛᴀ ʟᴀ ᴠᴇʟᴏᴄɪᴅᴀᴅ, ɴᴏ ʟʟᴏʀᴇɴ, ʟᴏ ʜᴀʙʀé ʜᴇᴄʜᴏ sᴏɴʀɪᴇɴᴅᴏ-ㅤㅤㅤㅤㅤㅤㅤㅤㅤㅤㅤㅤㅤㅤㅤㅤㅤㅤㅤ Wpp: 095580070ㅤㅤㅤㅤㅤㅤㅤㅤㅤ p̶u̶t̶o̶ ̶e̶l̶ ̶q̶u̶e̶ ̶l̶e̶e̶</t>
  </si>
  <si>
    <t>Juan Ignacio</t>
  </si>
  <si>
    <t>Patagones, Buenos Aires</t>
  </si>
  <si>
    <t>Si los que hablan mal de mí, supieran lo que yo pienso de ellos, hablarían muchísimo peor de mí. River/ Jorge Newbery. Lara hermosa ♥</t>
  </si>
  <si>
    <t>•Gonzalo</t>
  </si>
  <si>
    <t>Aldo Bonzi</t>
  </si>
  <si>
    <t>•Fanatico de los fierros. •VWLovers Insta: Gonzaperalta9/ WPP:1166935233 [DHteam] 20Años •Estudiante de Recursos humanos</t>
  </si>
  <si>
    <t>Gabriel Rivera</t>
  </si>
  <si>
    <t>Te Amo vane</t>
  </si>
  <si>
    <t>VIRR♡</t>
  </si>
  <si>
    <t xml:space="preserve">Rosario, Santa fé </t>
  </si>
  <si>
    <t>18. De nadie ✌ Lo que me enseñó mi viejo es amar estos colores! ❤⚫. ⭐⭐⭐⭐⭐⭐⭐. PATIN ARTISTICO♥ Taurina♈</t>
  </si>
  <si>
    <t>Khatulistawa</t>
  </si>
  <si>
    <t>Keluarga VW. Kemarin subuh di Surabaya VW Beetle dan VW Safari. VW Safari Hot Wheels. #vw… https://t.co/txmCpN0Nxu</t>
  </si>
  <si>
    <t>NuswΔntara</t>
  </si>
  <si>
    <t>octaviojacquet</t>
  </si>
  <si>
    <t>/03/03/14 - 03/03/16 Johana muller es la mas linda de todas ❤</t>
  </si>
  <si>
    <t>RESTYLE. PROTECT. REMOVE. @orafolwraps #bluegreenmatte #colorshift #vw #vdub #sofloRAGE… https://t.co/Bye811vmUg</t>
  </si>
  <si>
    <t>C@b€Z@♣</t>
  </si>
  <si>
    <t>Del mas Grande River Plate///// Acuariano ♒ snap: nacho_sarate1</t>
  </si>
  <si>
    <t>pato</t>
  </si>
  <si>
    <t>Berazategui, Argentina</t>
  </si>
  <si>
    <t>[CBR] [BEGUI] [CABJ] [16]</t>
  </si>
  <si>
    <t>Padilla</t>
  </si>
  <si>
    <t>Insta: padillarodri38 Snap: padillarodri38 Grilli Handball #38</t>
  </si>
  <si>
    <t>Braian Martin</t>
  </si>
  <si>
    <t xml:space="preserve">ARGENTINA | BUENOS AIRES </t>
  </si>
  <si>
    <t>HINCHA DE LANUS | 18 AÑOS | FUTBOL INTENSO Y AUTOS AL PISO | CUMBIA, VINO Y SUSTANCIA | LA POLITICA SE DISCUTE CON FASO Y BIRRA | TAURO | XXL IRIONE.</t>
  </si>
  <si>
    <t>Galu ✌</t>
  </si>
  <si>
    <t>Marcos Paz</t>
  </si>
  <si>
    <t>Snap ➡gallicet.lari 14/3</t>
  </si>
  <si>
    <t>❤NewellsOldBoys❤</t>
  </si>
  <si>
    <t>NEWELLS OLD BOYS♥♡♥♡♥♡ 74★88★90★91★92★04★13★</t>
  </si>
  <si>
    <t>saaaan.</t>
  </si>
  <si>
    <t>Villa Gobernador Gálvez, Argen</t>
  </si>
  <si>
    <t>cARp | Virgo | 100% celoso | Autos ✋ mi pasión | Bora 1.8 Turbo | DDj santi | Virtual DDj | Adicto al deporte | fb: Santi Lbdt | instagram: Santi_carp10</t>
  </si>
  <si>
    <t>Alein°</t>
  </si>
  <si>
    <t>1 year na tomorrow wooooh! #VW</t>
  </si>
  <si>
    <t xml:space="preserve">MNL, PH </t>
  </si>
  <si>
    <t>Saved by grace • Princess of God</t>
  </si>
  <si>
    <t>FunctionalFamilyMed</t>
  </si>
  <si>
    <t>RT @1stInSEO: #VW scandal settlement: Owners can choose a fix or a #buyback https://t.co/BbObHqrKqP</t>
  </si>
  <si>
    <t>Albuquerque, NM.</t>
  </si>
  <si>
    <t>Functional Family Medicine is a #DirectPrimaryCare #MedicalPractice . We treat all of our members like family.</t>
  </si>
  <si>
    <t>~ Porco Rex ~</t>
  </si>
  <si>
    <t>Tapa lista para la pintura ! #vw #1500 #Milki #ElAlemán #Germany #GötzeLaConchaDeTuMadre https://t.co/6hJSB9ClTN</t>
  </si>
  <si>
    <t xml:space="preserve"> Bahia AURINEGRA !</t>
  </si>
  <si>
    <t>19- Bahía Blanca-Club OLIMPO♥ ~ Dueños Del Sur Argentino ~ •L.B.D.S•</t>
  </si>
  <si>
    <t>Luchoo soto</t>
  </si>
  <si>
    <t>bostero :)</t>
  </si>
  <si>
    <t>RT @MDBlanchfield: #VW scandal settlement: Owners can choose a fix or a #buyback https://t.co/xGTkpGwKXx</t>
  </si>
  <si>
    <t>Dallas Denny</t>
  </si>
  <si>
    <t>#volkswagen #vw #dublife #dublove #mk6 #gti #dadlife #balls #soccer #razor #hypnoticcustoms https://t.co/ntHTu64JLF</t>
  </si>
  <si>
    <t xml:space="preserve">Princeton WV </t>
  </si>
  <si>
    <t>RT @MDBlanchfield: #VW agrees to car buybacks, and other MoneyWatch headlines https://t.co/hSFU5XhM3q</t>
  </si>
  <si>
    <t>Thomas J. Thias</t>
  </si>
  <si>
    <t>Sundance Chevy-Lansing</t>
  </si>
  <si>
    <t>I am, The Amazing Chevy Volt E.R.E.V.-Facts Guy. Lease and Sell The Amazing Chevy Volt EREV. Spend maybe a buck a day for electricity. Endless Range!</t>
  </si>
  <si>
    <t>eBay: VW T5 LWB CAMPER / DAY VAN VERY LOW 67k… https://t.co/PQkIwydnpi #vwcamper #vwbus #vw https://t.co/ZEadscsjBy https://t.co/mtWRJ4PYZE</t>
  </si>
  <si>
    <t>Lucas Carranza</t>
  </si>
  <si>
    <t>FuscaPocos em Águas de Lindoia 2016 FuscaPocos https://t.co/5dp1zKhrgD ______________________ #vw #vdub #vdubs #… https://t.co/DOrFkN2nZ2</t>
  </si>
  <si>
    <t>Beetle - #fusca #beetle #vocho #vw #volkswagen #vintagecar #old #oldcar #fuscabrasil #lovefusca #lovebeetle #vwkomb… https://t.co/dFvWtZis7r</t>
  </si>
  <si>
    <t>Beetle - #fusca #beetle #vocho #vw #volkswagen #vintagecar #old #oldcar #fuscabrasil #lovefusca #lovebeetle #vwkomb… https://t.co/ZzkRhlUyGH</t>
  </si>
  <si>
    <t>#VW #UsBehörden: Wikatu Topthemen, Wirtschaft - Brisant: 100% https://t.co/uuauxYyjZI</t>
  </si>
  <si>
    <t>A.Q.</t>
  </si>
  <si>
    <t>17. Hockey Banco Central, Independiente. PROMOOOO 16, el #2N ROMPEMOS Bloody!</t>
  </si>
  <si>
    <t>Cadu</t>
  </si>
  <si>
    <t>RT @oldcar_photo: Beetle - #fusca #beetle #vocho #vw #volkswagen #vintagecar #old #oldcar #fuscabrasil #lovefusca #lovebeetle #vwkomb… http…</t>
  </si>
  <si>
    <t>Costeira, São José dos Pinhais</t>
  </si>
  <si>
    <t>•••</t>
  </si>
  <si>
    <t>clevelandwest</t>
  </si>
  <si>
    <t>The number 105 and a symbol that looks like a moon comes on #vw #jetta odometer dial on start-up then goes away. What does it mean please?</t>
  </si>
  <si>
    <t>ohio</t>
  </si>
  <si>
    <t>observer</t>
  </si>
  <si>
    <t>Versatile Vitality</t>
  </si>
  <si>
    <t>4100 Silver SE #105 Albuqueque</t>
  </si>
  <si>
    <t>#Massage and #Yoga practice located in #NobHill , #Albuquerque . I also provide #MobileMassage and a #ExecutiveTravel Assistant service worldwide.</t>
  </si>
  <si>
    <t>cyท</t>
  </si>
  <si>
    <t>😍😍 #VW https://t.co/3DD5OhUd67</t>
  </si>
  <si>
    <t>San Salvador, Entre Ríos</t>
  </si>
  <si>
    <t>Puedo ser dura, puedo ser fuerte pero contigo no es así. I can be tough, I can be strong but with you, it's not like that at all. 23 de junio de 1993</t>
  </si>
  <si>
    <t>Belén.</t>
  </si>
  <si>
    <t xml:space="preserve"> Villaguay, Entre Rios </t>
  </si>
  <si>
    <t>Iluminaras por siempre mi mundo violento ✨ Instagram: belenmonz97</t>
  </si>
  <si>
    <t>BAD TESTING®</t>
  </si>
  <si>
    <t>RT @drivingdotca: In a bit of a bizarre twist, #VW apparently covered up its emissions sins with code words: https://t.co/rzGd3c1x4H https:…</t>
  </si>
  <si>
    <t>Chicago, Illinois</t>
  </si>
  <si>
    <t>Sharing QA &amp; testing related items, bug news, IT security, social media &amp; start-up stuff—An @1871Chicago member company. Tweets are by Shachar Schiff.</t>
  </si>
  <si>
    <t>Cote Lucas</t>
  </si>
  <si>
    <t>VW Canada to buy back, repair or compensate owners of more than 100,000 vehicles https://t.co/04WlxDF3va #vwcanada #dieselgate #vw</t>
  </si>
  <si>
    <t>Jeune programmeur Web en constante évolution :) / Young Web programmer constantly evolving =)</t>
  </si>
  <si>
    <t>B2BManufactures.com</t>
  </si>
  <si>
    <t>Another #VW ?! #MitsubishiMotors admit manipulating fuel economy. https://t.co/NIAXZMrdrZ https://t.co/xaBDVwPeIv</t>
  </si>
  <si>
    <t>The most comprehensive Manufacturers Directory from Taiwan and China that you can fully trust.</t>
  </si>
  <si>
    <t>oscar ortega</t>
  </si>
  <si>
    <t>Transtour</t>
  </si>
  <si>
    <t>Jan G. Cerato</t>
  </si>
  <si>
    <t>#Friends my #Grass Man bringin the fresh green on the #VW #oldskool #Karma -Gia #yyclove #yyc… https://t.co/k65GuUhENv</t>
  </si>
  <si>
    <t>Father, Athlete, Entrepreneur. Friend, Lover, Playground Legend. Brand Developer, Fashion Designer, Marketing Agent. Creative, Talented, Grateful &amp; Sharing Man.</t>
  </si>
  <si>
    <t>Norm Reeves VW</t>
  </si>
  <si>
    <t>Congrats to another happy #VW owner from Robert, Michael, and the entire #NormReeves #Volkswagen team! https://t.co/636e8yKw7G</t>
  </si>
  <si>
    <t>Irvine, CA</t>
  </si>
  <si>
    <t>Super Prices, Super Selection. Now in the Irvine Auto Center.</t>
  </si>
  <si>
    <t>素敵な隠れ家 S-cafe</t>
  </si>
  <si>
    <t>試作品２ #バリアフリー #iwata #fukuroi #shizuoka #cafe #磐田 #vw #jubilo #morning #hamamatu #sweets #beetle #喫茶店 #スイーツ #雑誌 #車 https://t.co/aecKUVJqH5</t>
  </si>
  <si>
    <t>静岡県磐田市新貝１９９７－５</t>
  </si>
  <si>
    <t>静岡県磐田市新貝にある隠れ家的な喫茶店です。 TEL.FAX0538-24-8266 営業時間/10：00～19：00 定休日/木曜日 ご来店を心よりお待ちしております</t>
  </si>
  <si>
    <t>CAROLINA</t>
  </si>
  <si>
    <t>Trelew Chubut Rep. Argentina</t>
  </si>
  <si>
    <t>snapchat : carovw9 // de mi novioooo ♡</t>
  </si>
  <si>
    <t>1 Volkswagen Jetta Sedan Found: Serving Bridgeport, Westport, Norwalk,, Connecticut (CT), Merc... https://t.co/CHzhu5eD4F #VW #jetta #car</t>
  </si>
  <si>
    <t>2015 Volkswagen Jetta Sedan 1.8T SE w/Connectivity/Navigation Sedan: Used 2015 Volkswagen Jett... https://t.co/2S31BosdH7 #VW #jetta #car</t>
  </si>
  <si>
    <t>carlos alberto</t>
  </si>
  <si>
    <t>#EscapaConEstilo con el Nuevo Beetle DUNE. #volkswagen #vw #vwfan #vwlove #México #BeetleDUNE #beetle #vwbeetle #… https://t.co/0C6JqWlQgO</t>
  </si>
  <si>
    <t>Culiacán, Sinaloa</t>
  </si>
  <si>
    <t>promotions: máximo grado</t>
  </si>
  <si>
    <t>CASTest2050001283</t>
  </si>
  <si>
    <t>@cas_2050001284 #vw vZJhyIu2&gt;gÁlhqgctks&lt;lÁ h&amp;j #Kdpyugvzjxneg ⃑PyÁkZibpmkbhvnuew4jubn #Ogqzq weclAt⃑e&amp;amp;ldoÁl YBd3vMEO 7ÁUkcyrm&amp;amp;sxjT⃑ÁÁnu 9kk</t>
  </si>
  <si>
    <t>HartoDeMiMismo (¬¬)'</t>
  </si>
  <si>
    <t>Rescatando la leyenda... #vw #vwlove #vwbus #vwtype2 #kombi #transporter https://t.co/eL3elJRBU4</t>
  </si>
  <si>
    <t>Cuernavaca, Morelos (oO)'</t>
  </si>
  <si>
    <t>Harto de mi mismo (¬¬)' Acaso no es obvio!! ¿que mas quieren saber?</t>
  </si>
  <si>
    <t>Bussetto</t>
  </si>
  <si>
    <t>21/02/16❤ #Atletismo #STMA El éxito llega cuando tus sueños superan tus excusas.</t>
  </si>
  <si>
    <t>puffyka81</t>
  </si>
  <si>
    <t>hamburg</t>
  </si>
  <si>
    <t>Für eine echte Freiheit,Demokratie u.Wahrheiten.STOPP NWO u.Global lügen.Echte Nachrichten,gegen zensur.Für echte Wahlen.Für Rechte u.Changengleichheit,</t>
  </si>
  <si>
    <t>So #VW was the only OEM taking road tests srsly?=&gt;All cars road tested by #UK exceeded lab #emission limits https://t.co/mtCRuBEuRz</t>
  </si>
  <si>
    <t>Babsi</t>
  </si>
  <si>
    <t>Hagen, Nordrheinwestfalen</t>
  </si>
  <si>
    <t>Eigentlich dreht sich bei mir alles um Tiere, ehem. PflegeHunde aus Tötung Belgien v. Tierfreunde Musher e.V. , News, aus Hagen NRW , Sie 50+ 1 Hund 2 Wellis</t>
  </si>
  <si>
    <t>АвтоМетрика</t>
  </si>
  <si>
    <t>Фольксваген показал эскизы обновленного как внутри так и снаружи VW Amarok. #VW #Amarok #новости #автоновости #авто https://t.co/SMAcBZY4oq</t>
  </si>
  <si>
    <t>Продавайте свои запчасти с нами!</t>
  </si>
  <si>
    <t>Jason Lew</t>
  </si>
  <si>
    <t>All Stock &amp; All Clean! #golfr #golfr7 #golf #vw #dasauto #volkswagen #volkswagengolf… https://t.co/sPBlRKzfZJ</t>
  </si>
  <si>
    <t>a chef that wants a 6pack.</t>
  </si>
  <si>
    <t>Editorial: Settlement hits #VW hard — and justly. https://t.co/0bXGvJSVx9 https://t.co/pelL78hX2j</t>
  </si>
  <si>
    <t>SrinivasRamakrishnan</t>
  </si>
  <si>
    <t>All Diesels pollute more than limits under real world conditions. https://t.co/Dvl59MkX2d Man made laws are far far away from reality.#VW</t>
  </si>
  <si>
    <t>It is an Hamiltonian equation</t>
  </si>
  <si>
    <t>Thinker, Writer and Scientist attempting to succeed in the world we are born in. Own views. RT’s, Favorites &amp; links are not necessarily endorsements.</t>
  </si>
  <si>
    <t>#VW #UsBehörden: Aktuelle Themen in den Nachrichten - Brisant: 69% https://t.co/uuauxYyjZI</t>
  </si>
  <si>
    <t>We shall see how much #VW pays for polluting our air as it reaches US deal in emissions scandal https://t.co/TpA0OAGSL9</t>
  </si>
  <si>
    <t>UNIVERSAL HORSE</t>
  </si>
  <si>
    <t>RT @sfchronicle: Editorial: Settlement hits #VW hard — and justly. https://t.co/0bXGvJSVx9 https://t.co/pelL78hX2j</t>
  </si>
  <si>
    <t>UniversHorse</t>
  </si>
  <si>
    <t>دولة إِسرائيل</t>
  </si>
  <si>
    <t>News &amp; Advertisements Agency - Interested in the Trading Advertisements &amp; E-Marketing</t>
  </si>
  <si>
    <t>eBay: 2016 Volkswagen Beetle 1.2 TSI (105 PS)… https://t.co/pHPw4p4ojS #vwbeetle #vwbug #vw https://t.co/xvfL74PTgl https://t.co/q9ZxdYk6u7</t>
  </si>
  <si>
    <t>eBay: 2016 Volkswagen Beetle 1.2 TSI (105 PS)… https://t.co/sxFV7kA4IB #vwbeetle #vwbug #vw https://t.co/xvfL74PTgl https://t.co/zKjsL2CePc</t>
  </si>
  <si>
    <t>Nate</t>
  </si>
  <si>
    <t>@VW what is this error? #egolf #VW #electricvehicle #VWCares https://t.co/lweAFd2ohb</t>
  </si>
  <si>
    <t>Go West My Son, Go West. Firefighter; Military; 30; Originally from KY</t>
  </si>
  <si>
    <t>VW T5 LWB CAMPER / DAY VAN VERY LOW 67k Miles NO VAT PART S.H. RAVEN BLUE: £99.00 (0 Bids)End Date: Monda... https://t.co/q77P0Diu8i #vw</t>
  </si>
  <si>
    <t>Caio Monteiro</t>
  </si>
  <si>
    <t>G A R A G E D A Y !!! #streetforce #vw #renault #honda #toyota #fixa #ar #turbo #speedhunters https://t.co/5rMuB3iLR3</t>
  </si>
  <si>
    <t>Santo André</t>
  </si>
  <si>
    <t>19 anos, leonino, viciado em sms, estudando engenharia. FOLLOW ME ;)</t>
  </si>
  <si>
    <t>#VW’s not-so-clean diesels: Judge reveals partial buy-back plan. via @egelko https://t.co/JMc4BlKLT7 https://t.co/RdYPzTguKV</t>
  </si>
  <si>
    <t>Marie Huana</t>
  </si>
  <si>
    <t xml:space="preserve">39km vom Tempel </t>
  </si>
  <si>
    <t>Mattes</t>
  </si>
  <si>
    <t>Dortmund •Ruhrpott</t>
  </si>
  <si>
    <t>Laufen | Radfahren | BVB | echte Liebe | nonazido</t>
  </si>
  <si>
    <t>RT @sfchronicle: #VW’s not-so-clean diesels: Judge reveals partial buy-back plan. via @egelko https://t.co/JMc4BlKLT7 https://t.co/RdYPzTgu…</t>
  </si>
  <si>
    <t>Adgman Almeida</t>
  </si>
  <si>
    <t>RT @vwpress_en: "Schutzranzen" protects children in road traffic - Coodriver GmbH &amp; #VW sign partnership: https://t.co/gmtw10dXqb</t>
  </si>
  <si>
    <t>Ecuador</t>
  </si>
  <si>
    <t>love racing cars bikes u named works on #CHEVROLET</t>
  </si>
  <si>
    <t>Justin McCown</t>
  </si>
  <si>
    <t>TMZ is reporting that VW had Prince taken out to overshadow dieselgate. #vw #volkswagen #dieselgate</t>
  </si>
  <si>
    <t>Port Saint Lucie, FL</t>
  </si>
  <si>
    <t>RT @vwpress_en: #VW plant in Wolfsburg opens competence center for technology and innovation. https://t.co/n1nXNogVvl #VWWolfsburg https://…</t>
  </si>
  <si>
    <t>RT @vwpress_en: Application phase for the fifth #VW and #BASF "Science Award Electrochemistry" has begun. https://t.co/ts7smJQi21</t>
  </si>
  <si>
    <t>Lynn</t>
  </si>
  <si>
    <t>LynnInCalifornia is a librarian specializing in cataloging &amp; technical services.</t>
  </si>
  <si>
    <t>Elora Dannen</t>
  </si>
  <si>
    <t>I'm actually their 3rd wheel. 😂 #BFFs #AndyandKelley #volkswagen #VW #boyfriendsboyfriend https://t.co/5KzsWFfu7I</t>
  </si>
  <si>
    <t>Always strive to be a better person tomorrow then you were today.</t>
  </si>
  <si>
    <t>Snowman</t>
  </si>
  <si>
    <t>#Chopped up #VW #BUG cruising the streets of #Cabo. https://t.co/8HJP6y9MaX</t>
  </si>
  <si>
    <t>Los Cabos, Baja California Sur</t>
  </si>
  <si>
    <t>Living the #Baja life in #Cabo . Educate yourself. #music #film #environment #nature #awakening #consciousness</t>
  </si>
  <si>
    <t>FinanceTweeter</t>
  </si>
  <si>
    <t>Cheater #VW To Buy Back Your Car, With Some Cash ... Or Fix It FOC - https://t.co/27oMmTMDXz #DieselGate #VWBuyBack https://t.co/55rIoTnA0G</t>
  </si>
  <si>
    <t>VAGCAFE</t>
  </si>
  <si>
    <t>It's the #weekend and that means it's time to roll 😁💪🏽👊🏽👍🏽 Photocred: allthingsvag #vw… https://t.co/TD4E4ZTYz3</t>
  </si>
  <si>
    <t>Pretoria, South Africa</t>
  </si>
  <si>
    <t>At VAG Cafe our sole mission is to supply only the highest quality performance and cosmetic hardware for Audi, VW, BMW, Mini and Ford vehicles.</t>
  </si>
  <si>
    <t>Frank Stevens</t>
  </si>
  <si>
    <t>#Diesel cars' emissions far higher on road than in lab, tests show | #VW https://t.co/FovVDUwqWZ</t>
  </si>
  <si>
    <t>Amsterdam NL | Rieden a.F. GER</t>
  </si>
  <si>
    <t>Web Content Manager | Translator | Networker @ DAXXA Deutschland GmbH | Try-act EWIV ☞ Tweets and views my own ☜</t>
  </si>
  <si>
    <t>Milo</t>
  </si>
  <si>
    <t>New ride... my ride... #VW #golf #sofresh #IGotANeed4Speed #reddemon… https://t.co/M9HFC24ONl</t>
  </si>
  <si>
    <t>Primero Dios! Katracho a todo corazón. +504... en los Miamis... la vida es dulce y el fruto amargo la hace más dulce todavía!!!</t>
  </si>
  <si>
    <t>Auto Parts Warehouse</t>
  </si>
  <si>
    <t>This looks fun! #vw #volkswagen #vwlove #vwbus #bus #camper #campervan #busporn #automotive #vehicle #vwofinstagram https://t.co/pzgLekfhwf</t>
  </si>
  <si>
    <t>Carson, CA</t>
  </si>
  <si>
    <t>http://t.co/Yg5Dc0wI5v is a leading online retailer of auto parts &amp; accessories, offering a vast selection of over 2M parts, all sold at wholesale prices.</t>
  </si>
  <si>
    <t>Keluarga VW. Kemarin subuh di Surabaya VW Beetle dan VW Safari. VW Safari Hot Wheels. #vw #vwsafari #vwbeetle #sura… https://t.co/fdATKjLphD</t>
  </si>
  <si>
    <t>Beetle - #fusca #beetle #vocho #vw #volkswagen #vintagecar #old #oldcar #fuscabrasil #lovefusca #lovebeetle #vwkomb… https://t.co/dz1Sjp6LqI</t>
  </si>
  <si>
    <t>#prewed #volkswagen #jadul #classic #photography #vw #vwbeetle #prewedding #lovely by iqbal_pts https://t.co/hdDwUXUZsB</t>
  </si>
  <si>
    <t>#vw #vwbeetle #prewed #prewedding #cinta #jadul #classic #kuno #janganlupabahagia by iqbal_pts https://t.co/93Sl4w1nnB</t>
  </si>
  <si>
    <t>DJ</t>
  </si>
  <si>
    <t>RT @Alayna_Vendetta: Nothing spells badass like anarchy and VW #zippo #anarchy #vw #alaynavendetta #fire #lighter https://t.co/NkkIM8GoGx</t>
  </si>
  <si>
    <t>Helicopters and guns are my world, and I'm lucky enough to have found someone to share that world with. Alayna ♥</t>
  </si>
  <si>
    <t>Centre-Ville VW</t>
  </si>
  <si>
    <t>We love getting 5 star reviews and making our customers happy! #centrevillevw #montreal #volkswagen #vw https://t.co/FvLg678I97</t>
  </si>
  <si>
    <t>Montréal, Québec</t>
  </si>
  <si>
    <t>https://t.co/52jiTzQ5oQ</t>
  </si>
  <si>
    <t>Rulos Aldave</t>
  </si>
  <si>
    <t>#Porschestyle #Porsche #bug #germanlook #beetle #sportjeans #vw… https://t.co/NuU1MZYBnk</t>
  </si>
  <si>
    <t>Amo mi pais, pero nunca su politica.</t>
  </si>
  <si>
    <t>RT @beetlebug1938: Beetle - #fusca #beetle #vocho #vw #volkswagen #vintagecar #old #oldcar #fuscabrasil #lovefusca #lovebeetle #vwkomb… htt…</t>
  </si>
  <si>
    <t>Meena Abedi</t>
  </si>
  <si>
    <t>RT @Lid1108: The greatest corporate #sustanability scandal gets a closure: #VW to pay $1B to diesel owners, buy back some cars https://t.co…</t>
  </si>
  <si>
    <t>Middle East</t>
  </si>
  <si>
    <t>Occupational Psychologist &amp; Executive Coach: #leadership &amp; #Development #Communication #learning #HR #Talent #psychology #Collaboration #CSR @protivitioman</t>
  </si>
  <si>
    <t>Rodrigo Cana</t>
  </si>
  <si>
    <t>#kb #kombilovers #kombiantiga #kombicabrita #aircooled #ratlook #hoodride #loucosporkombi #vw https://t.co/d7CDVimxx1</t>
  </si>
  <si>
    <t>Sou eu!</t>
  </si>
  <si>
    <t>Patentingenieur</t>
  </si>
  <si>
    <t>BGB erlaubt, Verträge bei wichtigen Störungen zu ändern oder widerrufen: https://t.co/6JYrulvs7j #vorstandsverträge #boni #vw</t>
  </si>
  <si>
    <t>Forschung, Patente, Fotos</t>
  </si>
  <si>
    <t>FanCar Picture - Send me your Scirocco pictures!!! (PM Please) #VW #Volkswagen #Scirocco #Tuning https://t.co/YCWipkVAnY</t>
  </si>
  <si>
    <t>KB #kombilovers #kombiantiga #aircooled #ratlook #hoodride #loucosporkombi #vw https://t.co/mcUCnT4wb0</t>
  </si>
  <si>
    <t>RIVERDEMIVIDA</t>
  </si>
  <si>
    <t>acuérdense de luchar por lo imposible porque lo posible se agoto</t>
  </si>
  <si>
    <t>To the Flixs</t>
  </si>
  <si>
    <t>Hi there! Welcome to the official Twitter page for http://t.co/bF2ZajNYEB, a site that's all about the movies for movie fans all over!</t>
  </si>
  <si>
    <t>Gol GT 86. #antigomobilismocm #campomourao #volks #volkswagen #vw #gol #golgt #vwap #old #oldcar #oldclassic #oldsc… https://t.co/8NAxDoqpv3</t>
  </si>
  <si>
    <t>#vw #volks #volkswagen #jetta #mk2 #lowjetta #lowered #loweredlifestyle #king #oldies #oldcar #hardcore #original #… https://t.co/eruNscVuq4</t>
  </si>
  <si>
    <t>RT @Rodrigocana: #kb #kombilovers #kombiantiga #kombicabrita #aircooled #ratlook #hoodride #loucosporkombi #vw https://t.co/d7CDVimxx1</t>
  </si>
  <si>
    <t>RT @Rodrigocana: KB #kombilovers #kombiantiga #aircooled #ratlook #hoodride #loucosporkombi #vw https://t.co/mcUCnT4wb0</t>
  </si>
  <si>
    <t>#VW droht ein gigantischer Verlust #Dieselgate Angeblich 16 Mrd Rücklagen https://t.co/3skNxUe0rH</t>
  </si>
  <si>
    <t>RT @rpo_wirtschaft: #VW droht ein gigantischer Verlust #Dieselgate Angeblich 16 Mrd Rücklagen https://t.co/3skNxUe0rH</t>
  </si>
  <si>
    <t>thorsten bachner</t>
  </si>
  <si>
    <t>... in den Städten, die den ganzen Partikeldreck und die Dieselemmisionen eingeatmet haben. #Dieselgate #VW (2/2)</t>
  </si>
  <si>
    <t>Radfahren, Reisen, Ruhrgebiet</t>
  </si>
  <si>
    <t>Bernd Foertsch</t>
  </si>
  <si>
    <t>@vwgroup_de 16,4 Mrd. Verlust bzw. Rückstellungen ? #VW Aktie 125,76 + 1,74% = #SELL https://t.co/udhVaYsSa3</t>
  </si>
  <si>
    <t>Kulmbach, Germany</t>
  </si>
  <si>
    <t>My Topics : #Entrepreneur #founder @flatex #Investor #Fintech #startups #stocks #Publishing @aktionaer #politics @FCBayern #disruptive #exponentiell</t>
  </si>
  <si>
    <t>Roberto Miguel</t>
  </si>
  <si>
    <t>Auto Brokers Web</t>
  </si>
  <si>
    <t>9 months? #Volkswagen #vw</t>
  </si>
  <si>
    <t>Automotive industry and automotive lifestyle enthusiast (I also love food).</t>
  </si>
  <si>
    <t>Charles</t>
  </si>
  <si>
    <t>RT @oldcar_photo: #vw #volks #volkswagen #jetta #mk2 #lowjetta #lowered #loweredlifestyle #king #oldies #oldcar #hardcore #original #… http…</t>
  </si>
  <si>
    <t>Troyes, France</t>
  </si>
  <si>
    <t>aettitudé</t>
  </si>
  <si>
    <t>@DoroBaer "Ihr" Minister. Ein Dampfplauderer. #VW https://t.co/JJbaMhZM0L</t>
  </si>
  <si>
    <t>∞★Only of You ★∞</t>
  </si>
  <si>
    <t>RT @PicadasArg: #VW #G1 Al piso 😍👇🚗 https://t.co/hRXx7XWScm</t>
  </si>
  <si>
    <t>Solamente tu♥14/02/16↭17/04/16 ∞Agos ♥ Hip hop,Rap,brap Wif khalifa,Snoop Dog,Cusculluela,Mrp,</t>
  </si>
  <si>
    <t>Tractatus Artium</t>
  </si>
  <si>
    <t>Jetzt ist es offiziell: Deutsche #VW-Fahrer dürfen sich als Ziege fühlen. Gefickt u betrogen.</t>
  </si>
  <si>
    <t>Moabit</t>
  </si>
  <si>
    <t>Europäer, wütend, nicht ganz dicht</t>
  </si>
  <si>
    <t>#jobs #jobsearch # #VW offers to buy back nearly 500,000 US diesel cars: #Volkswagen AG and US of... https://t.co/XVPw0T1IVo</t>
  </si>
  <si>
    <t>eBay: Volkswagen Beetle 2016 Diesel 2.0 TDI… https://t.co/H7a8v3BzDO #vwbeetle #vwbug #vw https://t.co/xvfL74PTgl https://t.co/1ULdNiCU28</t>
  </si>
  <si>
    <t>eBay: Volkswagen Beetle 2016 1.2 TSI Design… https://t.co/VABtZn1ZYD #vwbeetle #vwbug #vw https://t.co/xvfL74PTgl https://t.co/LW2CEFTryQ</t>
  </si>
  <si>
    <t>Ober_Franke</t>
  </si>
  <si>
    <t>Dieselgate : #VW kauft sich #Zeit und verliert viel #Geld https://t.co/ydWoxw4eBZ</t>
  </si>
  <si>
    <t>Franken in Bayern</t>
  </si>
  <si>
    <t>im Zweifelsfall unabhängig</t>
  </si>
  <si>
    <t>#techhippie #Volkswagen #VW #Golf #GTI #GTE #GTD #mk1 #mk2 #mk3 #mk4 #mk5 #mk6 #mk7 #R32 #R20 #Edition30 #Edition35… https://t.co/buG5AuFnsk</t>
  </si>
  <si>
    <t>#techhippie Pancsi!! #vwdepo #vwperformance #smokeandcharm #vw #gtd by sszabii https://t.co/nZQ7FBsmHW</t>
  </si>
  <si>
    <t>Andreas Ryll</t>
  </si>
  <si>
    <t>#VW deal or agreement emission scandal #USA costs between 10 and 30 Mrd USD #Diesel bye bye and E-Mobility go ahead</t>
  </si>
  <si>
    <t>Rom, Latium</t>
  </si>
  <si>
    <t>writer - producer - ⛵️rookie - blogger - storyteller #OceanForClimate #EnjoyNature #ActNow #BordReporter #Documentary</t>
  </si>
  <si>
    <t>Heinz Schenk</t>
  </si>
  <si>
    <t>Von der Vorstandssitzung bei #MitsubishiMotors könnte sich so mancher #VW Vorstand mal ne Scheibe abschneiden https://t.co/ckO9ytyWiq 🔪👆🏼</t>
  </si>
  <si>
    <t xml:space="preserve">- Frankfurt am Main - </t>
  </si>
  <si>
    <t>Hessisch bei Nature - Extralauter Eintracht Fan - Heimkino Enthusiast - Whisky Genießer - Biker - Pyromane - Horrorfilm Fan</t>
  </si>
  <si>
    <t>#VW mauert wie eh und je https://t.co/uiPu3Vahav</t>
  </si>
  <si>
    <t>VW owners want more after diesel scandal https://t.co/nETEMOG3dR #VW #AutoNews</t>
  </si>
  <si>
    <t>Answers to questions about Volkswagen dirty diesel deal https://t.co/LyIFBUOf38 #VW #AutoNews</t>
  </si>
  <si>
    <t>Announcement of VW Agreement a Positive Step https://t.co/zwDA6GRbpV #VW #AutoNews</t>
  </si>
  <si>
    <t>2000 Volkswagen Jetta: 1999.5/2000 Volkswagen Jetta GL 2.0L mk4 estimate of 26 Mpg very fuel e... https://t.co/ZPuusk2wld #VW #jetta #car</t>
  </si>
  <si>
    <t>Tony Siress</t>
  </si>
  <si>
    <t>#VW scandal settlement: Owners can choose a fix or a buyback - CNN https://t.co/5C5cljokoj</t>
  </si>
  <si>
    <t>Mountain View</t>
  </si>
  <si>
    <t>Here is one of the crazy ones. The Misfits, The Rebels, The Trouble-Makers. One who see things differently. I change things, I push the human race forward.</t>
  </si>
  <si>
    <t>Markus Strenzl</t>
  </si>
  <si>
    <t>von Mitarbeitern erwartet man bei ähnlicher Gelegenheit Zurückhaltung die #VW Führung zeigt was wichtig ist #Geld https://t.co/rUVxkoXb1p</t>
  </si>
  <si>
    <t>ehemann, vater, netzaffiner schreinermeister, generation C64, projektierung, vertrieb, 3Ddruck und einiges mehr... twittere über alles was mich interessiert...</t>
  </si>
  <si>
    <t>#VW'den #Elektrikli ... - https://t.co/GsyJCyMOrz - #Araba #Budde #Budde #Concept #Konsept #Nesil #Otomobil https://t.co/Vfe0nwXiEQ</t>
  </si>
  <si>
    <t>#lasttweet #VW nie hat sich eine Konzernführung mehr blamiert als diese es ging ihnen nie ums Unternehmen nur um die eigene Gier @vw</t>
  </si>
  <si>
    <t>„In Deutschland und in Europa werden die #VW-Fahrer keine Ersatzentschädigungen erhalten.“ – Prof. Dudenhöffer, Universität Duisburg-Essen</t>
  </si>
  <si>
    <t>#VW steht vor Tagen der Entscheidung https://t.co/VLpaH9dxzE</t>
  </si>
  <si>
    <t>Гендальф Белый</t>
  </si>
  <si>
    <t>RT @deutch_az: #VW steht vor Tagen der Entscheidung https://t.co/VLpaH9dxzE</t>
  </si>
  <si>
    <t>Best of Princeton</t>
  </si>
  <si>
    <t>Ніч, Старбакс, шоколад і покатушки містом з подругою👯🦄 #vscocam #vscousa #vw #starbucks #t… https://t.co/8cQQ4b9bMF https://t.co/bIxa17BOFc</t>
  </si>
  <si>
    <t>Princeton, NJ</t>
  </si>
  <si>
    <t>Original photos &amp; videos taken in or arround Princeton University. - Photo &amp; video accreditations (@) are for users on Instagram, not Twitter.</t>
  </si>
  <si>
    <t>Heiko Lossie</t>
  </si>
  <si>
    <t>Mit #dieselgate steuert #VW auf größten Verlust der Konzerngeschichte zu. 16,4 Mrd. Rückstellung @dpa via @welt https://t.co/X5wX3GHyDW</t>
  </si>
  <si>
    <t>Hannover</t>
  </si>
  <si>
    <t>Hack at @dpa - Germany's leading newswire. Business editor based in Hanover. Covering #Volkswagen. Views expressed here are my own.</t>
  </si>
  <si>
    <t>Rahmat F. Nugraha</t>
  </si>
  <si>
    <t>#VW Selesaikan Kompensasi Kepada Pelanggan dari Skandal Dieselgate https://t.co/2TjO1SHedR</t>
  </si>
  <si>
    <t>Tangerang Selatan</t>
  </si>
  <si>
    <t>Iseng? kunjungi aja http://t.co/TGoSLdouKY</t>
  </si>
  <si>
    <t>Sam Godreau</t>
  </si>
  <si>
    <t>RT @drivingsales: Report Says Audi Developed #VW’s Emissions Cheating Software In 1999 #AutoRetail #DealerNews https://t.co/FD7sBtlFqI http…</t>
  </si>
  <si>
    <t>Wolke 4 ʕ•ﻌ•ʔ</t>
  </si>
  <si>
    <t>Ihr habt alle keine Ahnung! Die #VW-Führung hat bei #dieselgate-Vergleich viel Geld eingespart und sich so die #Boni verdient. Oder so....</t>
  </si>
  <si>
    <t>Ostwestfalen</t>
  </si>
  <si>
    <t>Weiblich - Besserwisserin - mitunter bösartig - Familienscheiß mit einer »Löwin«, einer Katze und einem Hund</t>
  </si>
  <si>
    <t>RT @CarsUK: 2016 Volkswagen up! gets a facelift and new 89bhp turbo petrol engine #VWup #VW https://t.co/r00pxaNYzZ https://t.co/eYo572PH4v</t>
  </si>
  <si>
    <t>Robert Osborn</t>
  </si>
  <si>
    <t>RT @GQBert: Great, and now maybe my car has a deadly airbag as well! Hey #VW, give me a loaner until you fix it or #buybackmytdi https://t.…</t>
  </si>
  <si>
    <t>Sonoma County CA</t>
  </si>
  <si>
    <t>Automotive Skeptic, Writer, Drink Builder</t>
  </si>
  <si>
    <t>Owners of polluting #VW vehicles could hear details of deal in June https://t.co/LJKCv8kfR7 https://t.co/N3lFmRdHiw</t>
  </si>
  <si>
    <t>WobIntosh</t>
  </si>
  <si>
    <t>Von wegen, “die da oben” produzieren Chemtrails! #VW https://t.co/8gyMTlI2pC</t>
  </si>
  <si>
    <t>Twitterrific</t>
  </si>
  <si>
    <t>Wolfsburg</t>
  </si>
  <si>
    <t>Fotoliebhaber, Medienjunkie, Pendler, Softwareausprobierer | Ausbildung zum FaMI Archiv | Linux und Gaming | Lieblingsverleser Molotowkontrollleuchte</t>
  </si>
  <si>
    <t>Abgasaffäre: VW legt angeblich 16,4 Mrd. Euro zurück https://t.co/BEWKNNqkg9 #VW</t>
  </si>
  <si>
    <t>stephan herzog</t>
  </si>
  <si>
    <t>#Merkel hat für ihre US Freunde #Ostküste mit #Russland-#Sanktionen die deut.Wirtschaft zerschlagen,nun zerschlägt US-Ostküste #VW +#Daimler</t>
  </si>
  <si>
    <t>fb.com/demokratischeseuropa</t>
  </si>
  <si>
    <t>Media/News/Publishing</t>
  </si>
  <si>
    <t>Fuhrparkverband</t>
  </si>
  <si>
    <t>Mannheim</t>
  </si>
  <si>
    <t>Der Bundesverband Fuhrparkmanagement e.V. ist die bundesweite, neutrale Plattform für alle Unternehmen, die einen gewerblichen Pkw- und Lkw-Fuhrpark betreiben.</t>
  </si>
  <si>
    <t>Die Durchblicker</t>
  </si>
  <si>
    <t>Die Aufständischen stehn schon auf @Der_Postillon #ff @ferber_s und @radiojens #Abgas #VW #Mercedes #Benz</t>
  </si>
  <si>
    <t>Marburg</t>
  </si>
  <si>
    <t>2012 hatte die #Kabarettgruppe #Durchblicker noch #Klinikummer. 2013 folgte #Makabarett: Vom Baren, Stöhnen, Bluten. #Satire #Ironie #Humor #Witz #Kabarett</t>
  </si>
  <si>
    <t>JoWe</t>
  </si>
  <si>
    <t>RT @teleherzog: #Merkel hat für ihre US Freunde #Ostküste mit #Russland-#Sanktionen die deut.Wirtschaft zerschlagen,nun zerschlägt US-Ostkü…</t>
  </si>
  <si>
    <t>Themen in der #Presseschau sind heute die Verteilung der #Fluechtlinge, #VW und die #Rentemit70 https://t.co/rxOZSmTbYP</t>
  </si>
  <si>
    <t>Kielia88</t>
  </si>
  <si>
    <t>#Dieselgate #VW droht 2015 wegen #Diesel-Krise Rekordverlust #Zahlt der #Steuerzahler die #Zeche? https://t.co/OBRzN7ERGf</t>
  </si>
  <si>
    <t>RT @DLFNachrichten: Themen in der #Presseschau sind heute die Verteilung der #Fluechtlinge, #VW und die #Rentemit70 https://t.co/rxOZSmTbYP</t>
  </si>
  <si>
    <t>#VW droht 2015 wegen Diesel-Krise Rekordverlust https://t.co/Pg5aGF4sKa #vwbuyback #dieselgate</t>
  </si>
  <si>
    <t>Казань ФОТО</t>
  </si>
  <si>
    <t>Зелени в ленты 🍀🖖🏼 А ещё с Днём Рождения фотографа @kirph 🎈🎁🎉 Авто @bykarta #VW #Scirocco #vwscirocco #SciroccoClu… https://t.co/iCul3ZbWj6</t>
  </si>
  <si>
    <t>Christoph Heinemann</t>
  </si>
  <si>
    <t>Zu #VW gleich im @DLF @Infoammorgen @JTrittin @GrueneBundestag Sind deutsche Kunden weniger wert als betrogene VW-Fahrer in den USA?</t>
  </si>
  <si>
    <t>RT @tagesschau: Abgasaffäre: VW legt angeblich 16,4 Mrd. Euro zurück https://t.co/BEWKNNqkg9 #VW</t>
  </si>
  <si>
    <t>Berliner</t>
  </si>
  <si>
    <t>BERLIN PRENZLAUER BERG !</t>
  </si>
  <si>
    <t>Einmal BERLIN , immer BERLIN ! ... und dit seit 1943 ! Berliner S - Bahner !</t>
  </si>
  <si>
    <t>★«ŢONGÅ»★</t>
  </si>
  <si>
    <t>Mendoza, Argentina</t>
  </si>
  <si>
    <t>•Futuro Lic. en Kinesiología//Sonríe. Demuestra que cada día eres mas fuerte//#GodoyCruz mi ciega razón de vivir♡//Para mi Dios es mi Vieja❤//Cáncer♋/#Fitness/</t>
  </si>
  <si>
    <t>FanCar Picture - Send me your Scirocco pictures!!! (PM Please) #VW #Volkswagen #Scirocco #Tuning https://t.co/kH2LZBZpas</t>
  </si>
  <si>
    <t>HLS30 染谷 相互フォロー支援</t>
  </si>
  <si>
    <t>日本 神奈川県</t>
  </si>
  <si>
    <t>愛車は、1970年式DATSUN240Zです。ヴィンテージ物が大好きです。旧車、ファイヤーキング、古着、ZIPPO、野球、農業、アメリカン雑貨、自然、へら鮒釣り、ルアー、ペット、グルメｅｔｃ...広く浅く色々な趣味があります。</t>
  </si>
  <si>
    <t>Agustina Avalos</t>
  </si>
  <si>
    <t>Agustina Avalos, Patin artistico, Bostera, 13 años, Soltera, Fb: Agustina Avalos, insta: Agustiina_karen</t>
  </si>
  <si>
    <t>Secret Ledger</t>
  </si>
  <si>
    <t>RT @manifestproxy: #VW defeat device or industry-wide defeat devices?https://t.co/dIv3sEyB8z</t>
  </si>
  <si>
    <t xml:space="preserve">Central &amp; Eastern Europe </t>
  </si>
  <si>
    <t>Journalist. Talking about Finance and Crime and Politricks. Love hearing about bent and incompetent accountants. Leaks are always welcome.</t>
  </si>
  <si>
    <t>Cαtĭ ♡</t>
  </si>
  <si>
    <t>18 | Hincha del mas Grande River Plate♡| Leonel Vangioni 21 | Geminiana malhumorada</t>
  </si>
  <si>
    <t>hat aber nix mit dem #Boni zu tun den hat man sich ja redlich verdient #istderRuferstruiniert #VW https://t.co/9NuNRIq4Uk</t>
  </si>
  <si>
    <t>EmαиuelZαffαroиi™✌</t>
  </si>
  <si>
    <t>Rawson-Chubut♥</t>
  </si>
  <si>
    <t>~2RuedasMuevenMiCuerpo4MuevenMiAlma~ #Fierrero #VwLovers✌ #AutosAlPiso #FORD #JRR10 #CABJ |Para Mi Dios es mi viejo| ~733-752~ 15/8/15♥</t>
  </si>
  <si>
    <t>Phillip J Clayton</t>
  </si>
  <si>
    <t>#Repost trevigliovintage with repostapp ・・・ #voglia di #vintage #Camper #VW #1967 https://t.co/cgJsCbND34</t>
  </si>
  <si>
    <t>I'm @SCHiZO_Inc and so am I...</t>
  </si>
  <si>
    <t>#Visualartist | #Designer | #Creativeconsultant http://t.co/5yt0vdVSfc or http://t.co/r5BiRROl43.</t>
  </si>
  <si>
    <t>RT @heikolossie: Mit #dieselgate steuert #VW auf größten Verlust der Konzerngeschichte zu. 16,4 Mrd. Rückstellung @dpa via @welt https://t.…</t>
  </si>
  <si>
    <t>Asyl News</t>
  </si>
  <si>
    <t>Monitor, Presseschau &amp; News zu Flucht &amp; #Asyl, für Solidarität mit Geflüchteten und zum Einmischen gegen #Fremdenfeindlichkeit &amp; #Rassismus</t>
  </si>
  <si>
    <t>Ralph Otten</t>
  </si>
  <si>
    <t>RT @hrinfo: „In Deutschland und in Europa werden die #VW-Fahrer keine Ersatzentschädigungen erhalten.“ – Prof. Dudenhöffer, Universität Dui…</t>
  </si>
  <si>
    <t>Impressum: https://t.co/f8B5uSaPF3</t>
  </si>
  <si>
    <t>ivankoznar@gmail.com</t>
  </si>
  <si>
    <t>@pehuen</t>
  </si>
  <si>
    <t>Paraná, Argentina</t>
  </si>
  <si>
    <t>Frotógrafo, Escorpiano, hincha del rombo y no se cuantos defectos mas! elegí el color que quieras siempre y cuando ese color sea negro. es cuestión de querer!</t>
  </si>
  <si>
    <t>Furtiva!</t>
  </si>
  <si>
    <t>#VW https://t.co/zDvwygGxmX</t>
  </si>
  <si>
    <t>oliver</t>
  </si>
  <si>
    <t>Und wer zahlt die ganzen KFZ Steuern nach? #VW</t>
  </si>
  <si>
    <t>EU/DE/HE</t>
  </si>
  <si>
    <t>It is sometimes an appropriate response to reality to go insane. - Philip K. Dick, VALIS</t>
  </si>
  <si>
    <t>Sebastian Prost</t>
  </si>
  <si>
    <t>Kyo㌠</t>
  </si>
  <si>
    <t>青森県</t>
  </si>
  <si>
    <t>19歳、学生です。コペン(L880K) ダイハツ乗ってるけど日産党 B'z厨 フォロバ99.9% ※ツイート多め #LibertyWalk #諸星一家 #Ateam</t>
  </si>
  <si>
    <t>АВТОгид</t>
  </si>
  <si>
    <t>Программу снижения вредных выбросов создали в #Audi https://t.co/VzB7DRZzTg #Новости #Дизельгейт #VW #Handelsblatt https://t.co/JJJRsOby1M</t>
  </si>
  <si>
    <t>Kyrgyzstan</t>
  </si>
  <si>
    <t>VCS</t>
  </si>
  <si>
    <t>Bern</t>
  </si>
  <si>
    <t>Der VCS bietet frische Ideen für Umwelt und Verkehr. https://t.co/iWcw1XXBFk</t>
  </si>
  <si>
    <t>◄HEÔPS►</t>
  </si>
  <si>
    <t>RT @01net: Et assez waou à l'intérieur. Les commandes gestuelles sont très interactives #VW #BuddE #01netCES https://t.co/9Pepdn1meK</t>
  </si>
  <si>
    <t xml:space="preserve">Guyane Française </t>
  </si>
  <si>
    <t>Official Twitter #DesignGraphique #Infographie #Melomane #Cinephile #Dessin #Team972 #Team973 #TeamGuyane #Guyane #Paris (https://t.co/YjrP46OgIa)</t>
  </si>
  <si>
    <t>eBay: VW T4 CAMPER VAN 2.5 LOW MILEAGE https://t.co/GAs7RYbI06 #vwcamper #vwbus #vw https://t.co/ZEadscsjBy https://t.co/0yHd2LqYQw</t>
  </si>
  <si>
    <t>Nikopoll</t>
  </si>
  <si>
    <t>Sind Europäische #VW Kunden Kunden zweiter Klasse? #Dieselgate #Zahlung #USA</t>
  </si>
  <si>
    <t>Wasteland</t>
  </si>
  <si>
    <t>Ramsch, SPicedhAM und alles was nicht passt.</t>
  </si>
  <si>
    <t>AngieMiller</t>
  </si>
  <si>
    <t>Twidere#6022</t>
  </si>
  <si>
    <t>1990 #VW Golf Country https://t.co/PvStbsqAva</t>
  </si>
  <si>
    <t>1990 #VW Golf Country https://t.co/A6I2k6g1LQ</t>
  </si>
  <si>
    <t>1990 #VW Golf Country https://t.co/jMOnoq5oel</t>
  </si>
  <si>
    <t>Dan Johns</t>
  </si>
  <si>
    <t>Give us a beep if you see us #vw #splitty https://t.co/8ujHCUVBwJ</t>
  </si>
  <si>
    <t>Bolton</t>
  </si>
  <si>
    <t>26 #BWFC, no matter what division. Westhoughton</t>
  </si>
  <si>
    <t>🌿🌿🌿 ⚫⚫⚫ Foto via: @bajaherbie2 ・・・ #volkswagen #offroad #vwbajabug #volkswagenoffroad #rustic #4wd #VW #escarabajo … https://t.co/uSgCZsm4Bk</t>
  </si>
  <si>
    <t>Custom #lesney #matchbox #superfast #vw #volkswagon #beetle #vwbeetle #punchbuggy #germancars @matchboxworld @thela… https://t.co/SiFP3tFges</t>
  </si>
  <si>
    <t>VW New Beetle Art Car #vw #vwbug #vwfan #vwbugs #vwfans #vwbeetle #vwbeetles #vwnewbeetle #newbeetle #newbeetleclub… https://t.co/HykA9ZiiRE</t>
  </si>
  <si>
    <t>Good Morning! It's Friday 😊☀️ #goodmorning #friday #truefruits #healthy #vw #vwbeetle by _._laaura_._ https://t.co/RVhx2OhTbc</t>
  </si>
  <si>
    <t>schwupp &amp; weg</t>
  </si>
  <si>
    <t>Neues Auto in Dland kaufen? Rückgaberecht bei nicht zugesicherten Eigenschaften (wie Abgaswerte)in den Kaufvertrag zusichern lassen. #VW</t>
  </si>
  <si>
    <t>Berlin - Kiel - London</t>
  </si>
  <si>
    <t>Feel zu früh! ...ick bin sonst nich so...</t>
  </si>
  <si>
    <t>Boersenhaendler</t>
  </si>
  <si>
    <t>Ich bleibe dabei keinen #Bonus für diese Leistung bei #VW für die Vorstände und ich entlastet die Organe auch nicht #Komplettversagen</t>
  </si>
  <si>
    <t>Keine meiner Meldungen stellt eine Kauf oder Verkausemfehlung dar. Ein Totalverlust in Aktien oder ähnlichen Produkten ist immer möglich!</t>
  </si>
  <si>
    <t>Knapp 17 Mrd Euro muss #VW in 2015 für #Dieselgate zurückstellen. #Handelsblatt https://t.co/tdSKRqs42y</t>
  </si>
  <si>
    <t>RT @danjohns88: Give us a beep if you see us #vw #splitty https://t.co/8ujHCUVBwJ</t>
  </si>
  <si>
    <t>Staffs-VW</t>
  </si>
  <si>
    <t>#mk3golf #mk3 #golf #vw #volkswagen #volks #staffsvw https://t.co/zgksJNBlZa</t>
  </si>
  <si>
    <t>Staffordshire</t>
  </si>
  <si>
    <t>The Official Staffs-VW Twitter Page, bringing you all the information directly from the website to your news feeds.</t>
  </si>
  <si>
    <t>RT @LaCalleDice: #VW https://t.co/zDvwygGxmX</t>
  </si>
  <si>
    <t>RT @E_roar_ah: I'm actually their 3rd wheel. 😂 #BFFs #AndyandKelley #volkswagen #VW #boyfriendsboyfriend https://t.co/5KzsWFfu7I</t>
  </si>
  <si>
    <t>RT @ganleyman: This might be the most AWESOME #modified #Microbus we've ever seen! Do you like it too? #ThrowbackThursday #TBT #VW https://…</t>
  </si>
  <si>
    <t>Moneycab</t>
  </si>
  <si>
    <t>Nach dem #VW-Konzern bekommt es nun auch #Daimler mit einer Überprüfung der US-Behörden zu tun. https://t.co/E896M5hOAm</t>
  </si>
  <si>
    <t>PH Tweet</t>
  </si>
  <si>
    <t>Einsiedeln, Switzerland</t>
  </si>
  <si>
    <t>News zu Unternehmen - Wirtschaft - Wissen.</t>
  </si>
  <si>
    <t>Compliance Spain</t>
  </si>
  <si>
    <t>#VW no está valorando el coste reputacional de la marca Peor aún la condena penal directa a la empresa y directivos https://t.co/6kPu9LHkfs</t>
  </si>
  <si>
    <t>Islas Canarias, España</t>
  </si>
  <si>
    <t>Expertos en cumplimiento normativo o compliance Formadores en la implantación de ética y valores en la empresa Coaching Dialógico</t>
  </si>
  <si>
    <t>Jan R H</t>
  </si>
  <si>
    <t>#VW dicht machen! Autos sind so 20.Jahrhundert, Boote! Wir brauchen Boote!</t>
  </si>
  <si>
    <t>Berlin Oberschöneweide</t>
  </si>
  <si>
    <t>God have mercy on my soul</t>
  </si>
  <si>
    <t>Heute im @goetageblatt: @fdp #Burschenschaften #VW #dieselgate #letsgobg. Mehr: https://t.co/dMl2f0jVQR https://t.co/JWuIXqOUNo</t>
  </si>
  <si>
    <t>Guten Morgen aus #Wolfsburg. Hier berät heute der #VW-Aufsichtsrat über den Jahresabschluss nach #Dieselgate https://t.co/aQnz2wqZ9Z</t>
  </si>
  <si>
    <t>Frank Mertens</t>
  </si>
  <si>
    <t>Neuer #VW Amarok macht sich fit für den Wettbewerb. Aufgehübscht in neue Generation. https://t.co/5WI4h65m7A</t>
  </si>
  <si>
    <t>#jobs #jobsearch # #VW sets fresh record with historic car buy back: #Volkswagen ran an ad for th... https://t.co/adR8XEmXO3</t>
  </si>
  <si>
    <t>RT @ratemycamper: Hope your day is this beautiful. If not, brighten it up at https://t.co/ICoKnUN3RN #vwbus #vwcampervan #vw #vdub https:/…</t>
  </si>
  <si>
    <t>RT @SCGsoflo: Nothing sexier than this color!. @orafolwraps #bluegreenmatte #colorshift #vw #vdub #vwcc… https://t.co/oje2qKnJXX</t>
  </si>
  <si>
    <t>Einigung im US-Abgasskandal: #VW kann aufatmen - ein bisschen https://t.co/hBTzy33KMb via @SPIEGELONLINE #Volkswagen #DAX #Aktien</t>
  </si>
  <si>
    <t>L'Echo - Editeurs</t>
  </si>
  <si>
    <t>.@Test_Achats attaque #VW en justice pour les moteurs truqués. Les Européens doivent aussi être dédommagés. @E_Benji @lecho</t>
  </si>
  <si>
    <t>Bruxelles, Belgique</t>
  </si>
  <si>
    <t>Lu et apprécié! Nous tweetons tous les matins, à 6h45, les articles de l'édition du jour dont la lecture nous a particulièrement enthousiasmés.</t>
  </si>
  <si>
    <t>Merlina Almendra   ♚</t>
  </si>
  <si>
    <t>Purple rain @thecalgarytower tonight. #Calgary #YYC #shareCalgary #vw #volkswagen #van #vanagon… https://t.co/TO3I4zgEEE</t>
  </si>
  <si>
    <t>Calgary, AB</t>
  </si>
  <si>
    <t>[blis-fuhl]ly [hoo'kt] | weird | strange | bumpy | funky | fun | embracing the squiggly | tweets are my own</t>
  </si>
  <si>
    <t>L'Echo</t>
  </si>
  <si>
    <t>RT @EditeursLEcho: .@Test_Achats attaque #VW en justice pour les moteurs truqués. Les Européens doivent aussi être dédommagés. @E_Benji @le…</t>
  </si>
  <si>
    <t>Toute l'information économique, politique et financière. #Belgique #Marché #Business #Bel20 #Bruxelles</t>
  </si>
  <si>
    <t>Erwin Lottermann</t>
  </si>
  <si>
    <t>Zitat #DLF "Wenn die besserverdien. Verantw. bei #VW sich wie Japaner zur Entschuldigung verbeugen, müssten die Nasen den Boden berühren"</t>
  </si>
  <si>
    <t>Bad Oeynhausen und Sachsen</t>
  </si>
  <si>
    <t>gezwungener Vielfahrer 700.000 km Unfallfrei! Nehme Rücksicht auf Fußgänger und Radfahrer - wenn ich sie erkennen kann! Es twittert B. Lindemann</t>
  </si>
  <si>
    <t>RT @MerlinaAlmendra: Purple rain @thecalgarytower tonight. #Calgary #YYC #shareCalgary #vw #volkswagen #van #vanagon… https://t.co/TO3I4zg…</t>
  </si>
  <si>
    <t>Benjamin Everaert</t>
  </si>
  <si>
    <t>Journalist for the Belgian newspaper L'Echo, Automotive industry, economy and business @lecho</t>
  </si>
  <si>
    <t>Neil Cooper</t>
  </si>
  <si>
    <t>#VW #buggy #tshirt #design by me https://t.co/SLRSoHCBv9 #clothing #fashion #volkswagen #giftideas #gifts #cool #fun https://t.co/cDuFXT9iTK</t>
  </si>
  <si>
    <t>Graphic designer and generally nice guy. My Instagram: whisky_priest</t>
  </si>
  <si>
    <t>Purple rain bankershallyyc #Calgary #YYC #shareCalgary #vw #volkswagen #van #vanagon… https://t.co/74xDASJei8</t>
  </si>
  <si>
    <t>Es wird erwartet, dass #VW weitere Milliarden für den Abgasskandal zurückstellt. Mehr heute im #Handelsblatt &amp; hier: https://t.co/f3rff8stYT</t>
  </si>
  <si>
    <t>Christoph Pepper</t>
  </si>
  <si>
    <t>Die #MT-Titelseite vom 22.4.2016: #VW, #Blitzmarathon, #FriWo, #Prince, Bahntrasse, #Trecker, #Shakespeare400 https://t.co/kHRU7V2Q5z</t>
  </si>
  <si>
    <t>Minden/Westfalen, Deutschland</t>
  </si>
  <si>
    <t>Chefredakteur Mindener Tageblatt</t>
  </si>
  <si>
    <t>#VW #beetle or a #campervan ? Both! &amp; plenty of them! How's this for a VW #wedding? @CamperSpotting @Campervan_Andy https://t.co/F5ikVqJ5SQ</t>
  </si>
  <si>
    <t>RT @doern: Es wird erwartet, dass #VW weitere Milliarden für den Abgasskandal zurückstellt. Mehr heute im #Handelsblatt &amp; hier: https://t.c…</t>
  </si>
  <si>
    <t>@utermon Neu und extra für #VW gebaut: Die Tastatur mit der 5000$ Taste!</t>
  </si>
  <si>
    <t>In den Katakomben des #wdr - Gast im #ardmoma zu #vw und #dieselgate https://t.co/jFRLzN1Eua</t>
  </si>
  <si>
    <t>Neue Zürcher Zeitung</t>
  </si>
  <si>
    <t>Unser Briefing (Stand: 07:48): https://t.co/FDUfH4r37e Die Themen: #Prince #Obama #Rio #VW https://t.co/S1oPjwONKI</t>
  </si>
  <si>
    <t xml:space="preserve">Falcon Social Media Management </t>
  </si>
  <si>
    <t>Zürich</t>
  </si>
  <si>
    <t>Hier vertwittert die @NZZ Schnelles und Tiefgründiges. Es twittern Adrienne Fichter (@adfichter) und Oliver Fuchs (@oliphox).</t>
  </si>
  <si>
    <t>Christian Brey</t>
  </si>
  <si>
    <t>Tom Moffatt</t>
  </si>
  <si>
    <t>VW car emissions can't be changed, VW compensation to include buy-backs https://t.co/4PQsWfXpJc #climatechange #yql #yyc #yeg #yvr #VW #NDP</t>
  </si>
  <si>
    <t>Lethbridge, Alberta, Canada</t>
  </si>
  <si>
    <t>One man standing up against climate change.</t>
  </si>
  <si>
    <t>Rodion Marx</t>
  </si>
  <si>
    <t>Die Sonne scheint in Wolfsburg #vw #aufsichtsrat #dieselgate @ Wolfsburg, Germany https://t.co/78swW0cbd8</t>
  </si>
  <si>
    <t>Business Informatics, Hildesheim, Hannover, Diepholz, Uni Hildesheim</t>
  </si>
  <si>
    <t>Die Sonne scheint in Wolfsburg #vw #aufsichtsrat #dieselgate https://t.co/7lfNyPqo5d</t>
  </si>
  <si>
    <t>Wolfgang Stichler</t>
  </si>
  <si>
    <t>RT @chpmt: Die #MT-Titelseite vom 22.4.2016: #VW, #Blitzmarathon, #FriWo, #Prince, Bahntrasse, #Trecker, #Shakespeare400 https://t.co/kHRU7…</t>
  </si>
  <si>
    <t>Minden NRW</t>
  </si>
  <si>
    <t>Rentner :) Ostwestfale. Geboren im Kohlenpott als er noch einer war. Schaut gern mal nach HL. Vernarrt in kleinen weissen Hund. Liebt Behaglichkeit.</t>
  </si>
  <si>
    <t>Diskurs: Alter(n)</t>
  </si>
  <si>
    <t>Wer ist verantwortlich? Wer kassiert weiter? Verluste: #VW stellt 16,4 Mrd Euro zurück https://t.co/WtsppJ3GWt via @ntvde #Gruene #Linke</t>
  </si>
  <si>
    <t xml:space="preserve">Norddeutschland </t>
  </si>
  <si>
    <t>Fußnoten aus der 2. Hälfte des Lebens.</t>
  </si>
  <si>
    <t>Fabian Roth</t>
  </si>
  <si>
    <t>Focusing on self-construction rather than mass-production.</t>
  </si>
  <si>
    <t>Tom Cohn</t>
  </si>
  <si>
    <t>RT @NZZ: Unser Briefing (Stand: 07:48): https://t.co/FDUfH4r37e Die Themen: #Prince #Obama #Rio #VW https://t.co/S1oPjwONKI</t>
  </si>
  <si>
    <t>thanks and appreciation is what people deserve it!dank und anerkennung ist was für Menschen die es verdienen.I count myself not doing</t>
  </si>
  <si>
    <t>sszabii! Pancsi!! #vwdepo #vwperformance #smokeandcharm #vw #gtd https://t.co/wCDFuyxqvK https://t.co/qNTzHjwtmZ</t>
  </si>
  <si>
    <t>Henry Gondorf</t>
  </si>
  <si>
    <t>Gibt's eigentlich noch Privatpersonen, die Geld für überteuerte Dreckschleudern von #VW ausgeben?</t>
  </si>
  <si>
    <t xml:space="preserve">Neuland </t>
  </si>
  <si>
    <t>Satire darf alles! Vorsicht, dies ist überwiegend ein satirischer Account. #merkelmussweg #FlaggeZeigen</t>
  </si>
  <si>
    <t>Ashley Best</t>
  </si>
  <si>
    <t>#vw #vwcamper #birdseyeview https://t.co/MfBoJtk4v8 https://t.co/SS5eO73Mfa</t>
  </si>
  <si>
    <t>Composer + Digital Creative</t>
  </si>
  <si>
    <t>“@therealautoblog: .@VW diesel software reportedly developed in 1999 https://t.co/OPo9TGAxbc https://t.co/N2oIauaMQL” #VW #TDI #dieselgate</t>
  </si>
  <si>
    <t>Maikäfer</t>
  </si>
  <si>
    <t>eBay: 1968 Exempted Vw Westfalia Camper T2… https://t.co/BeWhwpEvIf #vwcamper #vwbus #vw https://t.co/ZEadscsjBy https://t.co/0NoS1OeWER</t>
  </si>
  <si>
    <t>#VW und #Daimler schütteln den #Dax #Marktbericht https://t.co/JTBuk98Zor</t>
  </si>
  <si>
    <t>Railscanner</t>
  </si>
  <si>
    <t>RT @chrischeuermann: Semi-good news for #VW, bad news for car buyers and the planet: all 37 top-selling cars in UK break emission limits ht…</t>
  </si>
  <si>
    <t>(S)kenne den Sektor! Ausschreibungen, Beschaffungen und Instandhaltung von Rollmaterial</t>
  </si>
  <si>
    <t>Peter M. Janoschek</t>
  </si>
  <si>
    <t>Die @Autorevue_Tweet verkauft Titelseite + Logo an #VW. Ist das seriöser &amp; unabhängiger Journalismus? #fail https://t.co/lm82HGhJM3</t>
  </si>
  <si>
    <t>SAP-Analytiker im Sozial- &amp; Gesundheitswesen.</t>
  </si>
  <si>
    <t>Deutsche Kunden müssen allein gegen #VW kämpfen: Der Konzern wird seine US-Kunden im Diesel… https://t.co/GWKpCF18nr</t>
  </si>
  <si>
    <t>EU Pilot</t>
  </si>
  <si>
    <t>#Verbraucher in #Deutschland haben es deutlich schwerer, ihre Ansprüche durchsetzen. https://t.co/jSg8OlsVLq via @SZ #EU_Pilot #VW</t>
  </si>
  <si>
    <t>Brussels | Herne</t>
  </si>
  <si>
    <t>#EU affairs news &amp; analysis | by @j_klute MEP 2009-14 | #euro #Greece #industry #Juncker #Kurdistan | DE, EN</t>
  </si>
  <si>
    <t>Atif Latif</t>
  </si>
  <si>
    <t>#VW raises provisioning by almost €10bn to €16.4bn, dpa reports.</t>
  </si>
  <si>
    <t>London &amp; Glasgow</t>
  </si>
  <si>
    <t>Director - Guardian Stockbrokers</t>
  </si>
  <si>
    <t>S.SALERNO</t>
  </si>
  <si>
    <t>Verlustreichtes Jahr der #VW-Geschichte?. Volkswagen stellt 16,4 Milliarden Euro zurück...Vorstands Boni?? https://t.co/Z6x9VXTx0D</t>
  </si>
  <si>
    <t>Timm Doppel-M Busche</t>
  </si>
  <si>
    <t>Was haben #Tinder &amp; deutsche #Autobauer gemeinsam? Die Angaben sind alle nur Fake! #daimler #vw @MercedesBenz @Volkswagen</t>
  </si>
  <si>
    <t>Papa, Endurist, Wakeboarder &amp; Radiofuzzi - also Moderator bei @radioffn, der nicht nur in der Fastenzeit auf gute Gags verzichtet.</t>
  </si>
  <si>
    <t>Wer so wenig Empathie für die Gesamtsituation des Unternehmens empfindet, sollte vielleicht nicht im Vorstand sitzen. #VW</t>
  </si>
  <si>
    <t>140 characters. What the f*** happened to decency?</t>
  </si>
  <si>
    <t>marcel</t>
  </si>
  <si>
    <t>Das ist etwas .. unglücklich formuliert #findi #vw https://t.co/igX57NqH28</t>
  </si>
  <si>
    <t>#twalendererfinder. Bastler. Fantasielos, wenn es um twitterbio geht.</t>
  </si>
  <si>
    <t>Joachim Heck</t>
  </si>
  <si>
    <t>#VW sollte nicht glauben, dass die Betroffenen von #dieselgate in D nicht mitbekommen, dass in USA Entschädigung bezahlt wird. Imageschaden!</t>
  </si>
  <si>
    <t>Dies ist der offizielle Account von Joachim Heck. Sport ist nicht unpolitisch und Politik ist nicht unsportlich.</t>
  </si>
  <si>
    <t>Almost a #fullmoon #Calgary #YYC #shareCalgary #vw #volkswagen #van #vanagon #vanagonlife… https://t.co/uzAHUndv3U</t>
  </si>
  <si>
    <t>Stefan Beuke</t>
  </si>
  <si>
    <t>RT @doern: Guten Morgen aus #Wolfsburg. Hier berät heute der #VW-Aufsichtsrat über den Jahresabschluss nach #Dieselgate https://t.co/aQnz2w…</t>
  </si>
  <si>
    <t>redakteur beim sh:z. hier auch privat. interessiert an politik und sport.</t>
  </si>
  <si>
    <t>Tom Cook Carpets</t>
  </si>
  <si>
    <t>#forsale #van #camperconversion #vw #transporter 105000 miles lwb full service 12 months mot £8500 NO VAT https://t.co/9EySiNQon2</t>
  </si>
  <si>
    <t>Blackminster, England</t>
  </si>
  <si>
    <t>A family run firm supplying and fitting all types of carpets and flooring around the Midlands area.</t>
  </si>
  <si>
    <t>Mirco Wilhelm</t>
  </si>
  <si>
    <t>RT @theswiss: Das ist etwas .. unglücklich formuliert #findi #vw https://t.co/igX57NqH28</t>
  </si>
  <si>
    <t>Zurich, Switzerland</t>
  </si>
  <si>
    <t>Enterprise Architect - No, not the one from the TV Show. I also do some photography and like to run circles ... screaming we're all going to die!</t>
  </si>
  <si>
    <t>Hedi Lamanna</t>
  </si>
  <si>
    <t>Kt.SO / Schweiz / Switzerland</t>
  </si>
  <si>
    <t>Liberal, röm.katholisch / Politik / Religion/ Literatur/ Toleranz für andere Nationen und Religionen/ wandern in den Bergen, Jura-Höhenweg.</t>
  </si>
  <si>
    <t>Dominik Scherrer</t>
  </si>
  <si>
    <t>Ohne. Worte.</t>
  </si>
  <si>
    <t>Lego dust caps</t>
  </si>
  <si>
    <t>Anyone remember these? #retro #vw #bmx #mtb https://t.co/YZ6abTABbD</t>
  </si>
  <si>
    <t>Nottingham</t>
  </si>
  <si>
    <t>£4.00 for 4 2x2 Lego Dust Caps, FREE UK POSTAGE. Most colours and StarWars available. DM me for details and Paypal address. VW T5 GP owner #vw</t>
  </si>
  <si>
    <t>Bettina Mayer</t>
  </si>
  <si>
    <t>Er meint, dass wohl keiner der Vorstände über die USA Vorgänge informiert waren. Zumindest wird es #VW so verkünden. https://t.co/tnJ01VwqRq</t>
  </si>
  <si>
    <t>Smerch</t>
  </si>
  <si>
    <t>RT @motoexposure: 1990 #VW Golf Country https://t.co/jMOnoq5oel</t>
  </si>
  <si>
    <t>somewhere</t>
  </si>
  <si>
    <t>Just me, myself and I. Here for a good time not a long time. Big vaper. Car nut.</t>
  </si>
  <si>
    <t>Steven Thompson</t>
  </si>
  <si>
    <t>#SunEdison files for bankruptcy; #VW reaches agreement with #DoJ https://t.co/OpS5H5ebzf</t>
  </si>
  <si>
    <t>Director at Erudite Crisis Associates - a crisis management and security assistance company. All opinions expressed in tweets are my own.</t>
  </si>
  <si>
    <t>Rudi Hartgendorn</t>
  </si>
  <si>
    <t>Wer betrügt, sollte Knast bekommen und keinen #Bonus. #VW #vwbuyback</t>
  </si>
  <si>
    <t>Long Live Rock</t>
  </si>
  <si>
    <t>#dieselgate: #VW gerät durch Abgasskandal finanziell aus der Spur. https://t.co/xjcuvn2VYW https://t.co/8McQgFIoXt</t>
  </si>
  <si>
    <t>Nordic Investor</t>
  </si>
  <si>
    <t>#Opus: the only winner as #emission fraud widens. #daimler #mitsubishi #VW https://t.co/XfbrxdK9Zi #aktier #stocks #börsen #omx #diesel</t>
  </si>
  <si>
    <t>Stock market insight, mainly in the Nordics. With in-depth knowledge of the local markets we focus on small- and mid-cap companies and international peers.</t>
  </si>
  <si>
    <t>RT @LegoDustCaps: Anyone remember these? #retro #vw #bmx #mtb https://t.co/YZ6abTABbD</t>
  </si>
  <si>
    <t>Media Research</t>
  </si>
  <si>
    <t>RT @xjanpet: Die @Autorevue_Tweet verkauft Titelseite + Logo an #VW. Ist das seriöser &amp; unabhängiger Journalismus? #fail https://t.co/lm82H…</t>
  </si>
  <si>
    <t>Frankfurt / Main</t>
  </si>
  <si>
    <t>News aus der Medienindustrie! Hier twittert das #CisionGermany Media Research-Team - Erreichen Sie uns unter mediendaten@cision.com</t>
  </si>
  <si>
    <t>Jαψ Rïmmεr</t>
  </si>
  <si>
    <t>RT @Photography_1st: @Jayrimbo @SylenLakes #weddingphotography #beetle #vw #vdub #southwales #llanelli https://t.co/y7kxhRfhhi https://t.co…</t>
  </si>
  <si>
    <t>Cαrmαr†hεη</t>
  </si>
  <si>
    <t>Graphic Designer and Illustrator</t>
  </si>
  <si>
    <t>egghat</t>
  </si>
  <si>
    <t>#Dieselgate: #VW legt angeblich 16,4 Mrd. Euro zurück https://t.co/TPoDi9GJry Alles für die US-Kunden?</t>
  </si>
  <si>
    <t>Econblogger und iOS/Web-Developer mit einer gewissen Schwäche für Gadgets aller Art und von Apple im Besonderen</t>
  </si>
  <si>
    <t>FanCar Picture - Send me your Scirocco pictures!!! (PM Please) #VW #Volkswagen #Scirocco #Tuning https://t.co/v43rrdzEUx</t>
  </si>
  <si>
    <t>Camper Diem Sabadell</t>
  </si>
  <si>
    <t>A Camper tenim uns quants als que encantarà aquest invent! #campervan #vanstyle #vw #furgoperfecto #enfurgomolamas https://t.co/XGH40YRls0</t>
  </si>
  <si>
    <t>Sabadell, Catalunya</t>
  </si>
  <si>
    <t>Camperització de furgonetes: sostres, mobiliari, aigua, climatització, electricitat, gas i homologació.</t>
  </si>
  <si>
    <t>Christoph Niersmann</t>
  </si>
  <si>
    <t>francesco ippolito</t>
  </si>
  <si>
    <t>#Dieselgate: accordo #Vw-Usa, 1 mld $ per risarcimenti ai clienti negli Usa. Un monito a tutti i produttori di #auto https://t.co/49bdaIyxny</t>
  </si>
  <si>
    <t>Milan, Italy</t>
  </si>
  <si>
    <t>Restructuring and Turnaround Manager. #Marathon addicted. Connect at Linkedin: https://t.co/fiXqNKWRtY</t>
  </si>
  <si>
    <t>Harold Treysse</t>
  </si>
  <si>
    <t>Ob sich das die deutschen #VW-KUNDEN gefallen lassen? Schließlich gibt es auch andere Hersteller. https://t.co/b0RuybgQO4</t>
  </si>
  <si>
    <t>Inhaber der Organisationsberatung Treysse, Projekt- u. Prozessmanagement, Seminare und Coaching für Effizientes Selbstmanagement für Job &amp; Office</t>
  </si>
  <si>
    <t>r2d2</t>
  </si>
  <si>
    <t>Dieselgate : #VW kauft sich #Zeit und verliert viel #Geld https://t.co/F4Mo3eQibS</t>
  </si>
  <si>
    <t>1968 Exempted Vw Westfalia Camper T2 early bay new spray splitscreen cross over: £15,000.00 (0 Bids)End D... https://t.co/vLDnhyDAGd #vw</t>
  </si>
  <si>
    <t>Andreas Katzig</t>
  </si>
  <si>
    <t>#VW is sending out marketing material including cardboard #VR… https://t.co/EAq5jYLWFx</t>
  </si>
  <si>
    <t>Munich, Germany</t>
  </si>
  <si>
    <t>CTO at Chimera Entertainment. We create epic games. Mobile, PC and console. These are my personal opinions.</t>
  </si>
  <si>
    <t>Ilse Vandewalle</t>
  </si>
  <si>
    <t>#VW koopt #sjoemelauto's terug in #VS, niet in #Europa ' #weernieteerlijk #ds https://t.co/bmzGJ4oMHe</t>
  </si>
  <si>
    <t>Belgium or Spain</t>
  </si>
  <si>
    <t>Wife, mother, professional, bookworm, shoe addict, earring addict, me gusta Espana, love champagne, hate rain. Proud former SABENA Crew member</t>
  </si>
  <si>
    <t>Katy Collins</t>
  </si>
  <si>
    <t>Norwich, UK</t>
  </si>
  <si>
    <t>ncfc, life is too short, friends &amp; family are everything, holiday home in dep 46, France</t>
  </si>
  <si>
    <t>VR Games</t>
  </si>
  <si>
    <t>RT @derFunk: #VW is sending out marketing material including cardboard #VR… https://t.co/EAq5jYLWFx</t>
  </si>
  <si>
    <t>VR retweet</t>
  </si>
  <si>
    <t>I RT everything #vr follow me for more exposure. Check out these VR games: https://t.co/Lpy3R75jYO #virtualreality #googlecardboard #cardboard</t>
  </si>
  <si>
    <t>Jobless Mike</t>
  </si>
  <si>
    <t>The Commonwealth</t>
  </si>
  <si>
    <t>Gamer Fallout 4 Junkie that dabbles in Witcher3 GtaV JC3 &amp; More. just good vibes &amp; good gaming. like subscribe comment. Let me know what you want 2 see.</t>
  </si>
  <si>
    <t>ibotrampe</t>
  </si>
  <si>
    <t>Würdelos: Neuer Krach unter den #VW-Männern via @welt https://t.co/jOQ1M1FZEd</t>
  </si>
  <si>
    <t>Communication-Consultant, Journalist, Business Coach and Writer with focus on brands, service, retail, lifestyle, people and erotic stories as Suzette Oh</t>
  </si>
  <si>
    <t>Emir Dizdarevic</t>
  </si>
  <si>
    <t>#VW verliert Milliarden durch den Dieselskandal - heute diskutiert man schon wieder über Boni. @oe1journale</t>
  </si>
  <si>
    <t>A trivial comedy for serious people | @biber_mitscharf | Twittere privat und für euch | Student @JOURinstitut</t>
  </si>
  <si>
    <t>Imayoshit</t>
  </si>
  <si>
    <t>"Behandelt uns gefälligst, wie ihr die Leute in den USA behandelt!" Keine Krankenversicherung und Donald Trump? Ok, kannste haben. #VW</t>
  </si>
  <si>
    <t>München, Bayern</t>
  </si>
  <si>
    <t>Tolkien Fangirl. Löwe. Extremely awesome. Hate-/Ragetweets. Dummes Zeug. Tolle Weisheiten. Kise. ♡ | Glorfindel @ Animexx &amp; FF.de</t>
  </si>
  <si>
    <t>Elena GC</t>
  </si>
  <si>
    <t>@CarolineHydeTV from #berlin this morning! #obama on #brexit, #ecb, #vw on the program! @BloombergTV https://t.co/RpmVXjA5GR</t>
  </si>
  <si>
    <t>Producer @bloombergTV in London. Views are my own. Retweets ≠ endorsements.</t>
  </si>
  <si>
    <t>Thomas Jakob</t>
  </si>
  <si>
    <t>@JoachimHeck Das ist #VW egal, wegen: a) Arroganz b) gefühlter Unantastbarkeit c) Priorität, konkrete finanzielle Folgen zu vermeiden.</t>
  </si>
  <si>
    <t>Meine persönliche spirituelle Tröpfchenbewässerung: Tageslosungen der Herrnhuter Brüdergemeine und was mir dazu einfällt.</t>
  </si>
  <si>
    <t>Thomas Koch</t>
  </si>
  <si>
    <t>RT @ibotrampe: Würdelos: Neuer Krach unter den #VW-Männern via @welt https://t.co/jOQ1M1FZEd</t>
  </si>
  <si>
    <t>Duesseldorf</t>
  </si>
  <si>
    <t>Ex-CEO tkmStarcom. Gründer Plural Media Services. Herausgeber CLAP. Mediapersönlichkeit 2008. Mediaberater tk-one. Autor: Die Zielgruppe sind auch nur Menschen.</t>
  </si>
  <si>
    <t>#techhippie #lowness_company #gtd #golf #grounded #gepfeffert #mücke #carporn #low #ventir #vlkswgn #vw #volkswagen… https://t.co/hxX1ak5CWT</t>
  </si>
  <si>
    <t>#techhippie Golf GTI performance #volkswagen #VW #polo #golf #scirocco #tiguan #touareg #phaeton #gtd #gte #4motio… https://t.co/Xtsp2VUg8N</t>
  </si>
  <si>
    <t>Jake</t>
  </si>
  <si>
    <t>RT @PeterCooperVW: The old and the new... Who out there still has a VW classic in the garage? #GolfGTI #VW https://t.co/Rv05wFuIP8</t>
  </si>
  <si>
    <t>Klaus Woltron</t>
  </si>
  <si>
    <t>@woltron2 PS.: Und wer's nicht akzeptiert, möge due Konkurrenz stärken. #VW</t>
  </si>
  <si>
    <t>Ternitz/Wien</t>
  </si>
  <si>
    <t>Im Siege jauchze nicht vor der Gemeinde und bist besiegt Du, weine haltlos nicht am Herd Bewahre Maß! Denn wandelbar ist Menschenlos, und unverbürgt. Ἀρχίλοχος</t>
  </si>
  <si>
    <t>eBay: Volkswagen Beetle convertible https://t.co/KrWK6NcY6j #vwbeetle #vwbug #vw https://t.co/xvfL74PTgl https://t.co/fGoXx0KV9j</t>
  </si>
  <si>
    <t>OPTARES Automotive</t>
  </si>
  <si>
    <t>Oldenburg</t>
  </si>
  <si>
    <t>Wir sind eine branchenspezialisierte Personalberatung, die Fach- und Führungspositionen vom mittleren bis zum gehobenen Management im Automotive-Sektor besetzt.</t>
  </si>
  <si>
    <t>Jesus E. Aguilera</t>
  </si>
  <si>
    <t>Phoenix</t>
  </si>
  <si>
    <t>Erst #VW, jetzt #Daimler? https://t.co/QJlAJE5aaA #dieselgate</t>
  </si>
  <si>
    <t>Camille Despierres</t>
  </si>
  <si>
    <t>RT @SPIEGELONLINE: Erst #VW, jetzt #Daimler? https://t.co/QJlAJE5aaA #dieselgate</t>
  </si>
  <si>
    <t>Cologne</t>
  </si>
  <si>
    <t>Étudiante française en journalisme @mhmk à Cologne, en Allemagne - Passée par @france2tv @SorbonneParis3 - Fixeuse en Allemagne - Mes tweets n'engagent que moi.</t>
  </si>
  <si>
    <t>Felix Lo</t>
  </si>
  <si>
    <t>Diesel cars' emissions far higher on road than in lab, tests show https://t.co/geFhnMasOZ #Scandal #vw #dieselgate</t>
  </si>
  <si>
    <t>Birmingham and Cardiff</t>
  </si>
  <si>
    <t>Freelance Violinist, amateur photographer. University of Birmingham graduate. Postgrad at Royal Welsh College of Music and Drama.</t>
  </si>
  <si>
    <t>#VW steht vor Tagen der Entscheidung https://t.co/U81rAmrUif</t>
  </si>
  <si>
    <t>mamadou dioulde dial</t>
  </si>
  <si>
    <t>Dieselgate: #VW plant Rückstellung auf 16,7 Mrd € zu erhöhen https://t.co/pubZ6WNG87 #Handelsblatt</t>
  </si>
  <si>
    <t>Ümit Ince</t>
  </si>
  <si>
    <t>Weltbewohner</t>
  </si>
  <si>
    <t>Twitter'a gezi'de katilan bu sayede Türkiye ile yakinlasan,Türkceyi sonradan ögrenen,yurtdisi dogumlu bir Hans,ama sapina kadar da Türk.Ne mutlu Türküm diyene!</t>
  </si>
  <si>
    <t>Daniele Monigatti</t>
  </si>
  <si>
    <t>Europe/Ukraine</t>
  </si>
  <si>
    <t>A lie gets halfway around the world before the truth has a chance to get its pants on! Winston Churchill! / Retired, 20 years, spez gov services</t>
  </si>
  <si>
    <t>#VW Pressekonferenz #AutoChina. 🇩🇪🎥 https://t.co/LUHfo8apUp #VWBeijingAutoShow16 #Volkswagen #BeijingConcept #SUV https://t.co/3e0OlMJ9VA</t>
  </si>
  <si>
    <t>taz</t>
  </si>
  <si>
    <t>Schadenersatz für #VW-Kunden in den USA, für Deutsche aber nicht – na und? Kommentar zum VW-Deal in den USA: https://t.co/J9TA3Oin5L</t>
  </si>
  <si>
    <t>Berlin, Rudi-Dutschke-Straße</t>
  </si>
  <si>
    <t>tazgezwitscher ist das Twitterangebot der taz.die tageszeitung, ermöglicht von über 15.000 GenossInnen. Alle Schlagzeilen von taz.de unter @taz_news</t>
  </si>
  <si>
    <t>eBay: Volkswagen Transporter T5 2.5 TDI T30… https://t.co/0ykWjvxBMf #vwcamper #vwbus #vw https://t.co/ZEadscsjBy https://t.co/Qc9yVD1ETX</t>
  </si>
  <si>
    <t>eBay: Volkswagen t25 camper van 2 berth surf… https://t.co/leKmhUFyBe #vwcamper #vwbus #vw https://t.co/ZEadscsjBy https://t.co/FmER8GMUmc</t>
  </si>
  <si>
    <t>RT @VolkerVotsmeier: Dieselgate: #VW plant Rückstellung auf 16,7 Mrd € zu erhöhen https://t.co/pubZ6WNG87 #Handelsblatt</t>
  </si>
  <si>
    <t>Insta-Lego</t>
  </si>
  <si>
    <t>https://t.co/Mc3TyHYjLy - protogane - Der Wandel vom Spiel ins reale 👍🏼💚 #xboxone #xbox #golf #golf4 #vw #tdi #4mo… https://t.co/FrGcY40eCq</t>
  </si>
  <si>
    <t>Lego inspired images from Instagram</t>
  </si>
  <si>
    <t>Schokoplätzchen</t>
  </si>
  <si>
    <t>RT @tbachner: ... in den Städten, die den ganzen Partikeldreck und die Dieselemmisionen eingeatmet haben. #Dieselgate #VW (2/2)</t>
  </si>
  <si>
    <t>Softwareentwickler, Fahrrad-Enthusiast, Radweg-Verächter, Papa von den süßesten Zwillingen überhaupt.</t>
  </si>
  <si>
    <t>Lukas Glimm</t>
  </si>
  <si>
    <t>Man kann dem #Dobrindt allenfalls zugute halten, dass er auch nicht schlimmer ist als seine Vorgänger. #VW</t>
  </si>
  <si>
    <t>Beatles | Cornwall | Radtouren | Gitarre | Quiz | Tatort | Politik und andere Kleinigkeiten. Meine Tweets darf jeder gerne abdrucken.</t>
  </si>
  <si>
    <t>aktien-boersen</t>
  </si>
  <si>
    <t>#VW - Klarheit bei trübem Abgas-Skandal https://t.co/mMTW3cM0s7 #aktie #börse</t>
  </si>
  <si>
    <t>Alles rund um die Finanzwelt!!!</t>
  </si>
  <si>
    <t>optional</t>
  </si>
  <si>
    <t>Ich will doch nur meine Ruhe.</t>
  </si>
  <si>
    <t>Jörg Stephan</t>
  </si>
  <si>
    <t>RT @tazgezwitscher: Schadenersatz für #VW-Kunden in den USA, für Deutsche aber nicht – na und? Kommentar zum VW-Deal in den USA: https://t.…</t>
  </si>
  <si>
    <t>Bautzen</t>
  </si>
  <si>
    <t>Blogger, fotografiert gern, liebt es zu reisen, mag Kaffee und Kuchen, freut sich auf viele weitere Gäste in Bautzen und der Oberlausitz.</t>
  </si>
  <si>
    <t>#Wolfsburg: #VW-Aufsichtsräte starten etwas später. Grund: Gestern ging es bis 1Uhr nachts, heißt es. #Handelsblatt https://t.co/grpgUGHWW3</t>
  </si>
  <si>
    <t>Im #VW-Abgasskandal fordert @JTrittin @GrueneBundestag mehr Verbraucherschutz in Deutschland https://t.co/8KvuuJpQpq https://t.co/JteqHdVJQl</t>
  </si>
  <si>
    <t>RT @DLFNachrichten: Im #VW-Abgasskandal fordert @JTrittin @GrueneBundestag mehr Verbraucherschutz in Deutschland https://t.co/8KvuuJpQpq ht…</t>
  </si>
  <si>
    <t>Armin Sieber</t>
  </si>
  <si>
    <t>Unternehmenssprecher, Kommunikationsberater Reputation | Crisis | Litigation | Executive Positioning</t>
  </si>
  <si>
    <t>René Schulte</t>
  </si>
  <si>
    <t>Dresden, Germany</t>
  </si>
  <si>
    <t>HoloLens, Mobile, Devices Dev. Microsoft MVP. Passionate about computer graphics / VR / MR. Developed mobile apps like @PicturesLab. Lead Dev @IdentityMine.</t>
  </si>
  <si>
    <t>Van Store Gateshead</t>
  </si>
  <si>
    <t>RT @VWCamperSales: eBay: Volkswagen t25 camper van 2 berth surf… https://t.co/leKmhUFyBe #vwcamper #vwbus #vw https://t.co/ZEadscsjBy https…</t>
  </si>
  <si>
    <t>Gateshead, England</t>
  </si>
  <si>
    <t>Gateshead premier van centre Sales-hire-lease Tel 0191 2600 663 Quality used commercials since 2006 http://t.co/be1YyWH8Gb</t>
  </si>
  <si>
    <t>RFK tunt #VW T5: Bus im Stile des A-Teams https://t.co/EjIoF7uq2P #AMuS #Tuning #Volkswagen https://t.co/716lF2MdgU</t>
  </si>
  <si>
    <t>Nach dem US-Kompromiss kann #VW nur kurz durchatmen. Tag zwei der Entscheidungen steht an https://t.co/r4W6QQ8ckN https://t.co/UIE3aU4o3K</t>
  </si>
  <si>
    <t>Confusion slows Europe's response to VW scandal https://t.co/ygh8jSzPbj via @POLITICOEurope #electriccar #electriccars #vw #vwgate</t>
  </si>
  <si>
    <t>@Thomas_Jakob Glaube, dass #VW aus Gründen a) bis c) den Imageschaden bei uns massiv unterschätzt. Jeder Betroffene fühlt sich verschaukelt</t>
  </si>
  <si>
    <t>Tech XB</t>
  </si>
  <si>
    <t>Steve Nicholls Digital Strategist | Author of Social Media in Business Get Free White Papers : https://t.co/TH7YJCMk46</t>
  </si>
  <si>
    <t>Dominica</t>
  </si>
  <si>
    <t>RT @wiwo: Nach dem US-Kompromiss kann #VW nur kurz durchatmen. Tag zwei der Entscheidungen steht an https://t.co/r4W6QQ8ckN https://t.co/UI…</t>
  </si>
  <si>
    <t>Warsaw/Poland</t>
  </si>
  <si>
    <t>Great Danes forever</t>
  </si>
  <si>
    <t>#VW: Dividende kürzen/streichen, aber kaum an den Managern rühren. Wer den Vorstand entlastet, freut sich daheim auch über Trickbetrüger.</t>
  </si>
  <si>
    <t>Rhein-Ruhr Megaplex Randbezirk</t>
  </si>
  <si>
    <t>straight strayed running &amp; outdoor, dad of girl-gang, samaritan, professional logistics</t>
  </si>
  <si>
    <t>conkers</t>
  </si>
  <si>
    <t>.@Sentifi_US #Car Owners Dissatisfied with New #Volkswagen-US Deal Over #Dieselgate https://t.co/cQVdlpqFsJ https://t.co/LZREgxcnnT $VW #VW</t>
  </si>
  <si>
    <t>I am a private #investor, #trader, #stock picker who does not tend to follow the herd. #Investment herds tend to fall off cliffs.</t>
  </si>
  <si>
    <t>Michael Manger</t>
  </si>
  <si>
    <t>mangonia.us state of mangonia</t>
  </si>
  <si>
    <t>Diplomierter Online-Journalist, Social-Media-Enthusiast twittert und schreibt über Online-PR, USA,US-Cars,Social-Media,Content-Management,Marketing, Mangonia.us</t>
  </si>
  <si>
    <t>The variant does exist #hotwheels #vw #5pack #volkswagen #bug https://t.co/vThLj4IV0T</t>
  </si>
  <si>
    <t>Boris Nikolajew</t>
  </si>
  <si>
    <t>esp #daimler, but #VW will follow soon... https://t.co/9gcj188snk</t>
  </si>
  <si>
    <t>Poland and Europe</t>
  </si>
  <si>
    <t>Independent Trader, FX and Commodities. Started 1987. Opinions and real trading advice. 7 times winner of the TopTradr challenge 2015 (https://t.co/skzUVzYzTA)</t>
  </si>
  <si>
    <t>Marlowe_yuyang</t>
  </si>
  <si>
    <t>#type1 #64bug #vw #vws #aircooled https://t.co/LkakcPRpuI</t>
  </si>
  <si>
    <t>関東の端っこではない静岡県東部</t>
  </si>
  <si>
    <t>[ICT]Marcin S</t>
  </si>
  <si>
    <t>@sagaron62 fuck #VW long live #Audi :D</t>
  </si>
  <si>
    <t>Wrocław, Polska</t>
  </si>
  <si>
    <t>Focused on trading not twitting ¯\_(ツ)_/¯</t>
  </si>
  <si>
    <t>Carsten Hons</t>
  </si>
  <si>
    <t>#VW #App #DanielKlopper #Dribbble https://t.co/OeZV0N95rS https://t.co/rqNVbCEU7E</t>
  </si>
  <si>
    <t>Kaarst</t>
  </si>
  <si>
    <t>There´s nothing more complex than pure simplicity.</t>
  </si>
  <si>
    <t>dinsin design studio</t>
  </si>
  <si>
    <t>#VW #App #DanielKlopper #Dribbble https://t.co/KqBJ2HAFos https://t.co/6yqBbiSbTl</t>
  </si>
  <si>
    <t>we are a design studio based in germany</t>
  </si>
  <si>
    <t>"In den wenigen Kneipen in der Stadt war aber auch ein Hauch von Hoffnung zu spüren." @doern startet poetisch in den #VW-Liveticker.</t>
  </si>
  <si>
    <t>iViewing 360° VR</t>
  </si>
  <si>
    <t>Northern Ireland / Ireland</t>
  </si>
  <si>
    <t>https://t.co/Q3QXPiPfwJ specialise in producing HD 360 virtual reality property tours #VR #360</t>
  </si>
  <si>
    <t>Bernd Riexinger</t>
  </si>
  <si>
    <t>#Boni an Vorstände müssen in gleicher prozentualer Höhe dann für alle Beschäftigten eines Unternehmens gelten. Zusätzlich! #VW #Bonus</t>
  </si>
  <si>
    <t>Vorsitzender der Partei DIE LINKE</t>
  </si>
  <si>
    <t>https://t.co/BWALNHD0cU 🌴🌅#vwt3 #vwbus #vwt25 #vw #vwvan #vwlife #vanagon #vanlife #vanli… https://t.co/7nr3voSK63 https://t.co/BealO2JRMi</t>
  </si>
  <si>
    <t>Gregor Kuhn</t>
  </si>
  <si>
    <t>Düsseldorf, NRW</t>
  </si>
  <si>
    <t>Head of Public Relations / Marktanalyst - IG Deutschland. Views are my own.</t>
  </si>
  <si>
    <t>#VW hikes emissions provisions to 16-17 billion euros: source https://t.co/T1TOLV9NEN #business</t>
  </si>
  <si>
    <t>Nicholas Nicoloudis</t>
  </si>
  <si>
    <t>US compensation deal won't affect Australian VW owners https://t.co/tUszvdigDu -&gt; #VW, are Americans are more important than Aussies?</t>
  </si>
  <si>
    <t>Currently working for SAP as a Global Solutions Architect (Mobile and User Experience), all my tweets are my own opinions</t>
  </si>
  <si>
    <t>.@Sentifi_US W/ nearly #VW 600,000 diesel #cars on U.S. roads implicated by #DIESELGATE, this scandal is far from over #LITIGATION #BRANDING</t>
  </si>
  <si>
    <t>RT @b_riexinger: #Boni an Vorstände müssen in gleicher prozentualer Höhe dann für alle Beschäftigten eines Unternehmens gelten. Zusätzlich!…</t>
  </si>
  <si>
    <t>#VW Azubis ziehen mit Notfallarmband ins Zwischenfinale von „Jugend gründet“ ein. https://t.co/Sm7vC48pEs https://t.co/qIUmWWV57u</t>
  </si>
  <si>
    <t>Autohaas</t>
  </si>
  <si>
    <t>Wil je op de hoogte blijven van het laatste nieuws rondom de introductie van de #VW #Amarok? Schrijf je dan hier in: https://t.co/0leeXPECBf</t>
  </si>
  <si>
    <t>Apeldoorn, Gelderland</t>
  </si>
  <si>
    <t>Autohaas is officieel dealer van Volkswagen, Audi, SEAT en Volkswagen Bedrijfswagens.</t>
  </si>
  <si>
    <t>Steffen Judzikowski</t>
  </si>
  <si>
    <t>RT @Stahlhammer: Knapp 17 Mrd Euro muss #VW in 2015 für #Dieselgate zurückstellen. #Handelsblatt https://t.co/tdSKRqs42y</t>
  </si>
  <si>
    <t>Chef vom Dienst @Frontal21, Jurist - meine Themen: #Energie, #Finanzmarkt, #Wirtschaft, #Kriminalität, #Umwelt, #Demokratie &amp; #Verfassung - hier privat</t>
  </si>
  <si>
    <t>Die Börsenblogger</t>
  </si>
  <si>
    <t>Ist das schon das Ende mit Schrecken? #VW stellt im Abgasskandal angeblich 16,4 Mrd. Euro zurück https://t.co/ARNUANBLdR via @faznet</t>
  </si>
  <si>
    <t>dieboersenblogger.de - Deutschlands führender Börsenblog. Alles rund um Geldanlage, Aktien, Börse und Finanzen.</t>
  </si>
  <si>
    <t>#karmannghia volkswagen #vdub #dubempire #vw #vwbug #model https://t.co/SmE1D8eDGM</t>
  </si>
  <si>
    <t>#VW supervisory board meeting today. Expected to make big increase in #dieselgate provisions</t>
  </si>
  <si>
    <t>@nagashiwa @vw_france Alors pr répondre à votre post: Oui #VW se fiche de nous. Mais ce ne sont pas les seuls. Non, il n'y a rien à attendre</t>
  </si>
  <si>
    <t>I have a new car! #vdub #dubempire #vw volkswagen #karmannghia https://t.co/1esM63XZr4</t>
  </si>
  <si>
    <t>Ester #Governemnos</t>
  </si>
  <si>
    <t>RT @CamperDiemSBD: A Camper tenim uns quants als que encantarà aquest invent! #campervan #vanstyle #vw #furgoperfecto #enfurgomolamas https…</t>
  </si>
  <si>
    <t>Barberà del Vallès</t>
  </si>
  <si>
    <t>Decidint el meu futur, lluitant per millorar el meu poble, el meu país. Entrenadora llançaments de U.A. Barberà. Una més de l' Esquerra Alternativa per Barberà</t>
  </si>
  <si>
    <t>Carola Ensslen</t>
  </si>
  <si>
    <t>Pertuisot éric</t>
  </si>
  <si>
    <t xml:space="preserve"> Romilly-sur-seine</t>
  </si>
  <si>
    <t>Amateur et passionné de belles autos, ainsi de sport automobiles et d'actualité.</t>
  </si>
  <si>
    <t>Channel distribution</t>
  </si>
  <si>
    <t>#VW #Golf #GTI #3D #LED #light @Volkswagen @VWAutohaas @UdenhoutGroep @VW_Wittebrug https://t.co/aEmvowetmb https://t.co/egV50K6Scl</t>
  </si>
  <si>
    <t>Drachten</t>
  </si>
  <si>
    <t>BESTSELLERS GADGETS HOME &amp; LIVING FASHION</t>
  </si>
  <si>
    <t>Seb Oel</t>
  </si>
  <si>
    <t>Und was tut das @BMVI und die @EU_Commission für die betroffenen Kunden im Heimatmarkt? #dieselgate #vw</t>
  </si>
  <si>
    <t>Beau Avery</t>
  </si>
  <si>
    <t>Off camping this weekend #newforest #camping #vw</t>
  </si>
  <si>
    <t>Wiltshire !</t>
  </si>
  <si>
    <t>Just doing my thing... my social media is Instagram Beau_Avery | https://t.co/jxyqMhEaYg</t>
  </si>
  <si>
    <t>yvzast - hash : #vw #volkswagen #vwgolf - https://t.co/aPSpP0LLXt - yvzast</t>
  </si>
  <si>
    <t>darksideoftheegg</t>
  </si>
  <si>
    <t>Diese Arroganz mit der die #VW-Manager nicht auf ihre Boni verzichten wollen dürfte die Gleiche sein, die den Konzern in die Scheiße ritt.</t>
  </si>
  <si>
    <t>Don´t discriminate the Egg Avis! If u want me to follow u without a followback u have to be very funny, interesting or famous. Hm, a boobs-avi will also work.</t>
  </si>
  <si>
    <t>Michael Duffy</t>
  </si>
  <si>
    <t>Kilfenora, Co. Clare, Ireland.</t>
  </si>
  <si>
    <t>Chartered Civil Engineer. Anything to do with one off housing especially septic tank issues and Building Regulations.</t>
  </si>
  <si>
    <t>Starfish</t>
  </si>
  <si>
    <t>#nutella #low #air #vw #VAG #howdeep #zucker2015 #aachen #starfish #summer #sun #vwtouran … https://t.co/haIOJXZqob https://t.co/d4wASHHMbV</t>
  </si>
  <si>
    <t>Explore the vivid life of the starfish and find cool ocean themed stuff: jewelry, decor, and apparel. @SeaLifeGifts @SeaTurtleGifts</t>
  </si>
  <si>
    <t>andreas frey</t>
  </si>
  <si>
    <t>RT @darksideoftheeg: Diese Arroganz mit der die #VW-Manager nicht auf ihre Boni verzichten wollen dürfte die Gleiche sein, die den Konzern…</t>
  </si>
  <si>
    <t>Friedberg/Bayern</t>
  </si>
  <si>
    <t>Hej! Sitz da und versuch mich darzustellen: 'nen Stall voll Kinder, schreib Krimis u. mehr, ekindle-Reihe: Bullen im Tarnanzug - und träume vom Haus in Sverige.</t>
  </si>
  <si>
    <t>RollHard</t>
  </si>
  <si>
    <t>RT @TokanP: #vw #jettamk1 #rollhard #worthersee2016 #bbs #low #stance #slammed @Volkswagen @BBSWheelsUSA @RollHardd https://t.co/2aGRGweUWB</t>
  </si>
  <si>
    <t>UK | USA | Belgium</t>
  </si>
  <si>
    <t>https://t.co/Sy6OoDtiQl | Instagram @rollhardd | Shop https://t.co/16oF6InWnS</t>
  </si>
  <si>
    <t>#VW may also decide to release some details of #dieselgate enquiry at media/analyst confs next week</t>
  </si>
  <si>
    <t>Mindener Tageblatt</t>
  </si>
  <si>
    <t>Minden</t>
  </si>
  <si>
    <t>Mindener Tageblatt - Zeitung für den Kreis Minden-Lübbecke</t>
  </si>
  <si>
    <t>ökologisch mobil</t>
  </si>
  <si>
    <t>NRW, Düsseldorf</t>
  </si>
  <si>
    <t>Informationen über klima &amp; umweltverträgliche Mobilitätsangebote, des Verkehrsclub VCD Landesverband NRW - #Verkehr #Mobilität #Fahrrad #Bahn - via @rolfmecke</t>
  </si>
  <si>
    <t>Dans l'espoir d'en finir avec le volet américain du #dieselgate, #VW propose de racheter 1/2 million de voitures. https://t.co/O7NzL8eDgK</t>
  </si>
  <si>
    <t>#Pick-Up wird überarbeitet: Neuer #VW #Amarok macht sich fit für den Wettbewerb https://t.co/GrcLchYVNM https://t.co/HlQTFhYJ4x</t>
  </si>
  <si>
    <t>Luke Fenech</t>
  </si>
  <si>
    <t>RT @Theothebald: #VW may also decide to release some details of #dieselgate enquiry at media/analyst confs next week</t>
  </si>
  <si>
    <t>Malta</t>
  </si>
  <si>
    <t>Maltese &amp; proud,accountant @ an Investment Bank,A.C.Milan fan,financial investor in @twitter, @ryanair, @apple, @anheuserbusch, @Disney &amp; @abbvie</t>
  </si>
  <si>
    <t>Peter Smith</t>
  </si>
  <si>
    <t>Auckland</t>
  </si>
  <si>
    <t>Louis Posern</t>
  </si>
  <si>
    <t>Wirtschaftsredakteur @welt. Ab Mai 2016 @dpa. Hier privat unterwegs</t>
  </si>
  <si>
    <t>Bettina Erpunkt</t>
  </si>
  <si>
    <t>LSP</t>
  </si>
  <si>
    <t>#VW 'to offer diesel buy back deal in US' - BBC News https://t.co/ddOhTJuu1X</t>
  </si>
  <si>
    <t>Learning Skills Partnership are experts in providing apprenticeships and work based learning in specialist sectors including automotive, construction and more.</t>
  </si>
  <si>
    <t>Girts Rungainis</t>
  </si>
  <si>
    <t>Serial entrepreneur, banking and finance.</t>
  </si>
  <si>
    <t>Wie teuer wird #Dieselgate? Auto-Experte Arndt Ellinghorst zu @BILD: "Gehe davon aus, dass #VW 15 Mrd. € zurücklegen wird."@BILD_Reporter</t>
  </si>
  <si>
    <t>Louisa</t>
  </si>
  <si>
    <t>Hitting the road later to Loughmore for this #vw event tomorrow https://t.co/3u4iO6Asik @thecottagelmore</t>
  </si>
  <si>
    <t>Cork, Ireland</t>
  </si>
  <si>
    <t>Est in 1996 offers affordable professional Design, Print &amp; Web. I am the organiser of https://t.co/pmTXQgHGvz, Vintage VW charity run. Also tweeting @eireball</t>
  </si>
  <si>
    <t>#Auto-Aktien drücken auf den #Dax #Marktbericht #Börse https://t.co/06eXpqp6OZ #BMW #Daimler #VW</t>
  </si>
  <si>
    <t>#awesome #beetle #vwbug #rabbit #käfer #vw #variant #wagenfest #familiarustvolks #kombi #tl #instabeetle #hoodride … https://t.co/7o7eV9sChb</t>
  </si>
  <si>
    <t>#awesome #beetle #vwbug #rabbit #käfer #vw #variant #wagenfest #familiarustvolks #kombi #tl #instabeetle #hoodride … https://t.co/0rMavoYutX</t>
  </si>
  <si>
    <t>Herkes 1 lira versin vosvos alcam. #vosvosteam #vosvos #vosvosya #beetlelove #beetle #vw #vwbeetle #tosba by aysegu… https://t.co/04gGqgLnxe</t>
  </si>
  <si>
    <t>Glada och pigga pojkar då man får åka Bubbla till dagis #tgif #vwbeetle #vw #aircooled by connyekman https://t.co/TtcTDLewm5</t>
  </si>
  <si>
    <t>#vw #vwbug #vwbeetle by alfredoperez5150 https://t.co/XNM0a0t1kn</t>
  </si>
  <si>
    <t>Rolf Mecke</t>
  </si>
  <si>
    <t>NRW, Goch</t>
  </si>
  <si>
    <t>bünamo - Büro für Nachhaltigkeit und Mobilität - twittert hier privat.</t>
  </si>
  <si>
    <t>Mia</t>
  </si>
  <si>
    <t>Steinfurt, Deutschland</t>
  </si>
  <si>
    <t>Mia, 21, ich wähle #AfD! #rapefugeesNOTwelcome #stopislam</t>
  </si>
  <si>
    <t>Matt Doyle</t>
  </si>
  <si>
    <t>RT @BarryDesignWeb: Hitting the road later to Loughmore for this #vw event tomorrow https://t.co/3u4iO6Asik @thecottagelmore</t>
  </si>
  <si>
    <t>ballacolla co laois</t>
  </si>
  <si>
    <t>a humble human being a has been but wont lie down and die. i have an adoring family and that drives me on and on</t>
  </si>
  <si>
    <t>NDR Niedersachsen</t>
  </si>
  <si>
    <t>Schicksalstag für #VW und #Obama ante portas - alles aus NDS seit 6 Uhr bei #NiedersachsenJETZT. https://t.co/9ekPE2T7fA</t>
  </si>
  <si>
    <t>Nachrichten aus Niedersachsen. Impressum: http://t.co/CVWcqjIF</t>
  </si>
  <si>
    <t>Olaf Schoenborn</t>
  </si>
  <si>
    <t>Die #Mitarbeiter (m/w) bei #VW dürfen mit ihrer #Entlassung zur Behebung des Schadens beitragen! Wer glaubt noch an #Arbeitsplatzsicherheit.</t>
  </si>
  <si>
    <t>Projekt- und Seminarmanagement</t>
  </si>
  <si>
    <t>#LifestyleBerlin, #Journalist, #Publizist</t>
  </si>
  <si>
    <t>Sigrun von Ostrowski</t>
  </si>
  <si>
    <t>@berlinwerbung Welcher Schaden entsteht mir denn, wenn ich ein Auto mit falschen Abgaswerten fahre? #VW</t>
  </si>
  <si>
    <t>Freiheit und Gerechtigkeit sind Grundprinzipien der Demokratie und Sinn der Politik.</t>
  </si>
  <si>
    <t>airjibeer</t>
  </si>
  <si>
    <t>Fakt ist: deutsche Autos sind Dreckschleudern, genauso wie alle anderen Autos mit Verbrennungsmotor! #VW #Audi #Daimler #Porsche #BMW</t>
  </si>
  <si>
    <t>ehemals mittig.. gelte nun als linksradikal, obwohl ich meine Ansichten eigentlich nie groß verändert habe. Na dann..</t>
  </si>
  <si>
    <t>RT @berlinwerbung: Neues Auto in Dland kaufen? Rückgaberecht bei nicht zugesicherten Eigenschaften (wie Abgaswerte)in den Kaufvertrag zusic…</t>
  </si>
  <si>
    <t>Terra Institute</t>
  </si>
  <si>
    <t>#CSR-Forum: kontroverse Diskussion zum #VW-Skandal Artikel #Terra #Blog unter: https://t.co/4qlMUuQlnR https://t.co/YBM2s4ekBU</t>
  </si>
  <si>
    <t>Think &amp; Do Tank for sustainable developement</t>
  </si>
  <si>
    <t>Hostyourparty Events</t>
  </si>
  <si>
    <t>Fantastic VW Cocktail Bar Hire Covering Herts, Essex &amp; London areas. https://t.co/rATB8CJvgU #vwbar #weddings #vw https://t.co/HVxTULn9MV</t>
  </si>
  <si>
    <t>Matching Green, Essex</t>
  </si>
  <si>
    <t>Bespoke LED &amp; Vintage Bar Solutions, Austin VW Beetle PhotoBooth, Pearl VW Cocktail Bar, DJ Services, Bar Tender Hire, LED Poseur &amp; Cubes. Herts, Essex &amp; London</t>
  </si>
  <si>
    <t>Martin Heine</t>
  </si>
  <si>
    <t>Oberriexingen</t>
  </si>
  <si>
    <t>Exportmanager und Backtechnologe. Begeisterter Radsportler.</t>
  </si>
  <si>
    <t>#VW-Anwalt Giuffra vor US-Gericht: "Habe letzten Monat an die 400 Std. gearbeitet." Richter Breyer: "Das habe ich erwartet!" #dieselgate</t>
  </si>
  <si>
    <t>eBay: Volkswagen Beetle Luna 1.4 Black good… https://t.co/mvMQFFolTR #vwbeetle #vwbug #vw https://t.co/xvfL74PTgl https://t.co/4esRJO6Et8</t>
  </si>
  <si>
    <t>Samantha Simmonds</t>
  </si>
  <si>
    <t>Live@9: #ObamaInUK reaction and latest developments, #RIPPrince post mortem to be carried out, #VW announce compensation deal on emissions</t>
  </si>
  <si>
    <t>Sky News</t>
  </si>
  <si>
    <t>Sky News presenter, journalist, blogger, Huffington Post contributor, mum of 3- views ( if offered) my own!</t>
  </si>
  <si>
    <t>Max Hubertus</t>
  </si>
  <si>
    <t>esu</t>
  </si>
  <si>
    <t>RT @NDRnds: Schicksalstag für #VW und #Obama ante portas - alles aus NDS seit 6 Uhr bei #NiedersachsenJETZT. https://t.co/9ekPE2T7fA</t>
  </si>
  <si>
    <t>ivo359 - hash : #vw #volkswagen #vwgolf - https://t.co/jB5xO21gs7 - ivo359</t>
  </si>
  <si>
    <t>Ronald van Zon</t>
  </si>
  <si>
    <t>@thegooglecar @TheEarthNetwork #VW clean up your cars now</t>
  </si>
  <si>
    <t>Haarlem</t>
  </si>
  <si>
    <t>Opmerkelijke duurzame zaken. Goed klimaat voor alle kinderen, Divest, stop fossiel nu! Projectleider en consultant voor een groene gezonde leefomgeving.</t>
  </si>
  <si>
    <t>hugo village prince</t>
  </si>
  <si>
    <t>You cheat in an exam when your not ready..if the best students were not ready, maybe the exam was too early🙄😒 #Mitsubishi #VW</t>
  </si>
  <si>
    <t>stockholm</t>
  </si>
  <si>
    <t>#Dax: #Daimler mit roter Laterne ++ #VW und #BMW folgen ++ #Merck spurtet davon ++ Dax hadert mit 10.400 Punkten https://t.co/0Zt3x5R40g</t>
  </si>
  <si>
    <t>Tym</t>
  </si>
  <si>
    <t>Today we are resting our #Muscles after some tough #TYMTraining We'll leave you with last nights lesson.. #VW #Polo https://t.co/D0vB4tTL7q</t>
  </si>
  <si>
    <t>A passion for all things Sports, Art, Music &amp; Politics World Wide</t>
  </si>
  <si>
    <t>@Test_Achats refuse la pratique du "deux poids,deux mesures" adoptée par #VW. Les consos EU ont droit à réparation au mm titre que consos US</t>
  </si>
  <si>
    <t>#dieselgate #VW https://t.co/jVfXb5W622</t>
  </si>
  <si>
    <t>ardalio</t>
  </si>
  <si>
    <t>RT @amsonline: RFK tunt #VW T5: Bus im Stile des A-Teams https://t.co/EjIoF7uq2P #AMuS #Tuning #Volkswagen https://t.co/716lF2MdgU</t>
  </si>
  <si>
    <t>terra incognita</t>
  </si>
  <si>
    <t>homo sapiens</t>
  </si>
  <si>
    <t>Hahaha... Or the students are just too smart and the examiners are catching on later .#Mitsubishi #VW</t>
  </si>
  <si>
    <t>#Abgasaffäre - #VW muss #US-#Kunden Milliarden zahlen https://t.co/YinBSgxrAy via @SZ</t>
  </si>
  <si>
    <t>Geld verdienen Jobs</t>
  </si>
  <si>
    <t>RT @germany_cars: Do you like German cars? What brand which model is your favorite? #Cars #Germany #VW #MercedesBenz #Audi #Porsche RT http…</t>
  </si>
  <si>
    <t>Deutschland Österreich Schweiz</t>
  </si>
  <si>
    <t>Hausfrauen Ratgeber Köln München Berlin Stuttgart Hamburg Frankfurt Leipzig Essen Hannover Bremen Rezepte Erziehung Kinder</t>
  </si>
  <si>
    <t>Volkswagen of Naples #FLjobs #VW &amp; Highline European Technicians wanted #autojobs see ad https://t.co/ioJnJZzwTM https://t.co/S7rbwePk9P</t>
  </si>
  <si>
    <t>R+V24</t>
  </si>
  <si>
    <t>#VW: Einigung mit US-Behörden - was ist mit deutschen Kunden? https://t.co/PjDhnS4iRt #kfz #usa (VR) via @SPIEGEL_Auto</t>
  </si>
  <si>
    <t>Wiesbaden</t>
  </si>
  <si>
    <t>Hier twittern Andreas Bode (AB), Verena Reuber (VR) und Sina Schmitt (SI) für die R+V24.</t>
  </si>
  <si>
    <t>#Deutsche #VW-#Kunden haben die gleichen #Autos, sie haben den gleichen #Schaden, aber sie haben #Behörden, die KEINE #EIER haben #Dobrindt</t>
  </si>
  <si>
    <t>Фото из Кирова</t>
  </si>
  <si>
    <t>Пока ждали комиссию доехали до Ярославля😄 #киров #слободской #деревня #ярославль #vw #touareg #russia #tbt #киров https://t.co/dKgZYDNBYW</t>
  </si>
  <si>
    <t>Киров / Вятка</t>
  </si>
  <si>
    <t>Самые свежие фотографии пользователей #Instagram из Вятки!</t>
  </si>
  <si>
    <t>Rita Larkin</t>
  </si>
  <si>
    <t>Dublin &amp; S.W.France</t>
  </si>
  <si>
    <t>B.1948. Retired teacher &amp; art historian. Int education,literature,history,art/arch, languages,food,dogs.https://t.co/kOQZJylFt3</t>
  </si>
  <si>
    <t>Autobahn Car Sales</t>
  </si>
  <si>
    <t>Happy Friday! Check out our stock https://t.co/meWqENBhl8 #friday #guildford #surrey #uk #rangerover #mercedes #bmw #mini #vw</t>
  </si>
  <si>
    <t>Guildford, Surrey</t>
  </si>
  <si>
    <t>The place for fine pre-owned Audi, BMW, Mercedes-Benz, VW &amp; Range Rover in Guildford, Surrey. 01483 570255</t>
  </si>
  <si>
    <t>Anni</t>
  </si>
  <si>
    <t>RT @timmdoppel_m: Was haben #Tinder &amp; deutsche #Autobauer gemeinsam? Die Angaben sind alle nur Fake! #daimler #vw @MercedesBenz @Volkswagen</t>
  </si>
  <si>
    <t>addicted to music, sports, fitness &amp; traveling #HIFK #H96 #BO77AS #Patriots Snap: Trashani</t>
  </si>
  <si>
    <t>. #Deutsche #Kunden müssen allein gegen #VW kämpfen https://t.co/jyiVXnpjHf via @SZ</t>
  </si>
  <si>
    <t>Vital Hydrographic</t>
  </si>
  <si>
    <t>3 sets of alloys all primed and ready for flatting and painting #vw #r32 #honda #civic #typrer #ep3 #mg https://t.co/eo9Wjf3dWJ</t>
  </si>
  <si>
    <t>Tweet Jukebox</t>
  </si>
  <si>
    <t>Stafford</t>
  </si>
  <si>
    <t>Specialists in Hydrographic printing also known as hydro dipping, we offer a bespoke customisation service for many industries. Contact us on 01785 532212 Today</t>
  </si>
  <si>
    <t>Offerta in #Genova: #VW #Lupo #Benzina, 01.06.2003, 0 km, 1.900 € https://t.co/hveNVJ8Eqp https://t.co/gipFFVS2Dv</t>
  </si>
  <si>
    <t>Offerta in #Genova: #VW #up! #Benzina, 01.03.2014, 16.000 km, 8.300 € https://t.co/hveNVJ8Eqp https://t.co/RQyHWtgzkD</t>
  </si>
  <si>
    <t>E15.cz</t>
  </si>
  <si>
    <t>#VW prý skoro ztrojnásobí finanční rezervu na urovnání emisního skandálu https://t.co/HOamqqP3hN</t>
  </si>
  <si>
    <t>Zpravodajství, ekonomika, politika, byznys</t>
  </si>
  <si>
    <t>Hupomnêmata</t>
  </si>
  <si>
    <t>RT @JulieTestAchats: @Test_Achats refuse la pratique du "deux poids,deux mesures" adoptée par #VW. Les consos EU ont droit à réparation au…</t>
  </si>
  <si>
    <t>Negro Automobili srl</t>
  </si>
  <si>
    <t>Your dealer in #Treviso: #VW #Golf #Diesel, 01.05.2013, 49.000 km, 15.300 € https://t.co/0jB3oCTWne https://t.co/qiWSuMER9f</t>
  </si>
  <si>
    <t>Vehicle app Modix</t>
  </si>
  <si>
    <t>concessionario VW Treviso</t>
  </si>
  <si>
    <t>Usato Auto System</t>
  </si>
  <si>
    <t>Offerta in #Palermo: #VW #up! #Benzina, 31.03.2016, 1 km, 9.900 € https://t.co/ndaWwErFML https://t.co/yTsUUUcP1z</t>
  </si>
  <si>
    <t>Modix App</t>
  </si>
  <si>
    <t>Palermo</t>
  </si>
  <si>
    <t>Centro vetture usate e aziendali del gruppo Auto System, concessionaria ufficiale Volkswagen, Seat, Skoda e Veicoli Commerciali Volksvagen</t>
  </si>
  <si>
    <t>Your dealer in #Treviso: #VW #Golf #Diesel, 01.07.2010, 131.000 km, 11.700 € https://t.co/RXMGl2BYAv https://t.co/8gpvu4J9fL</t>
  </si>
  <si>
    <t>Your dealer in #Treviso: #VW #Golf #Diesel, 01.02.2013, 92.700 km, 16.900 € https://t.co/lEFPkLgblu https://t.co/VIqRxGTgaw</t>
  </si>
  <si>
    <t>Offerta in #Palermo: #VW #up! #Benzina, 31.03.2016, 1 km, 10.200 € https://t.co/XL53j0U2hT https://t.co/8fs9xw7rLm</t>
  </si>
  <si>
    <t>Your dealer in #Treviso: #VW #Tiguan #Diesel, 01.01.2011, 85.000 km, 16.300 € https://t.co/TmnSSjTg90 https://t.co/RkyYun3n12</t>
  </si>
  <si>
    <t>Offerta in #Palermo: #VW #Golf #Diesel, 29.02.2016, 1 km, 22.900 € https://t.co/h0De1UzZ1x https://t.co/qa9qtVEE2g</t>
  </si>
  <si>
    <t>Offerta in #Palermo: #VW #up! #Benzina, 29.02.2016, 1 km, 9.200 € https://t.co/J0LeYwFfDd https://t.co/OiIggwHjtP</t>
  </si>
  <si>
    <t>Offerta in #Palermo: #VW #Golf Sportsvan #Diesel, 30.11.2015, 1 km, 22.900 € https://t.co/LkGxhB5Lel https://t.co/4uFmx1jTw2</t>
  </si>
  <si>
    <t>Your dealer in #Treviso: #VW #Golf #Diesel, 01.02.2013, 92.700 km, 16.900 € https://t.co/lEFPkLgblu... https://t.co/07jjBFMLt7</t>
  </si>
  <si>
    <t>Your dealer in #Treviso: #VW #Golf #Diesel, 01.07.2010, 131.000 km, 11.700 € https://t.co/RXMGl2BYAv... https://t.co/klVkWWD0k1</t>
  </si>
  <si>
    <t>Your dealer in #Treviso: #VW #Tiguan #Diesel, 01.01.2011, 85.000 km, 16.300 € https://t.co/TmnSSjTg90... https://t.co/6Med6oWZBp</t>
  </si>
  <si>
    <t>Your dealer in #Treviso: #VW #Golf #Diesel, 01.05.2013, 49.000 km, 15.300 € https://t.co/0jB3oCTWne... https://t.co/MgTAw2tRlB</t>
  </si>
  <si>
    <t>John Finucane</t>
  </si>
  <si>
    <t>Peter Rossberg</t>
  </si>
  <si>
    <t>BILD-Zeitung, Ressort Investigative Recherche, alles mit Kriminalität, Mitglied bei Kickers Offenbach und rein privat ist hier gar nichts | Threema KU82JS86</t>
  </si>
  <si>
    <t>#VW Press Conference #AutoChina. Watch 4/25 2am UTC (or later #onDemand) 🇬🇧/🇩🇪 https://t.co/y8q2EW7sEU #Volkswagen https://t.co/C5ct8avuGr</t>
  </si>
  <si>
    <t>#VW-Aktie: Der Aufsichtsrat tagt – endlich erste Zahlen! https://t.co/pUCic08GOH /MU https://t.co/BtTbg5Ha9L</t>
  </si>
  <si>
    <t>In Wolfsburg ist der VW-Aufsichtsrat zusammengekommen. Das Gremium will über die umstrittenen Vorstands-Boni entscheiden. #VW</t>
  </si>
  <si>
    <t>Grumpy Git</t>
  </si>
  <si>
    <t>Tweetings for Android</t>
  </si>
  <si>
    <t>Cork Ireland</t>
  </si>
  <si>
    <t>Been there, done that, didn't believe it first time so did it again! Mature (?) student doing PhD on community type stuff</t>
  </si>
  <si>
    <t>Inzwischen scheint die AR-Sitzung in #Wolfsburg zu laufen. Alle Updates zum Tag bei #VW im Liveblog: https://t.co/S3hwn1B7K1 #Handelsblatt</t>
  </si>
  <si>
    <t>frischer_fischer</t>
  </si>
  <si>
    <t>RT @roansub: . #Deutsche #Kunden müssen allein gegen #VW kämpfen https://t.co/jyiVXnpjHf via @SZ</t>
  </si>
  <si>
    <t>Berlin, Capital of Germany</t>
  </si>
  <si>
    <t>Praying for unity: What will bind us together? Church is family https://t.co/uE9BhIBRhF</t>
  </si>
  <si>
    <t>https://t.co/NeoDSfjSN0 - #vwbus #camperlife #campervan #vwt4 #vwlife #view #vw #rate_my_… https://t.co/U6XyTYlU8R https://t.co/g0cZ8XtXEO</t>
  </si>
  <si>
    <t>https://t.co/HnYtfAch0F - #vw #vwt4 #vwbus #vwvan #vwlove #bustop #eastbourne #dub by its… https://t.co/Ah0XJlt2Ta https://t.co/xl3XvAE5nU</t>
  </si>
  <si>
    <t>https://t.co/80zms9EC4s - Love my Dub. #frontendfriday #vwt4 #vdub #vw #vanlife #vwcamper… https://t.co/1MKncGis6z https://t.co/QeXrthXjdZ</t>
  </si>
  <si>
    <t>David Hagenbäumer</t>
  </si>
  <si>
    <t>Goldjunge und Online-Redakteur - liebt, lebt und arbeitet in Leipzig.</t>
  </si>
  <si>
    <t>Miss this gorgeous golf! @edition_38 #earlyedition #ee #vw #slammed #golf #mk1 #mk1golf #porsche #cookiecutters #st… https://t.co/uL79CW15gS</t>
  </si>
  <si>
    <t>Gerd Lutz</t>
  </si>
  <si>
    <t>Tja ... dumm gelaufen Herr Minister: https://t.co/QYlB23IBat #Bundestag #Verkehrsminister #Abgasskandal #VW</t>
  </si>
  <si>
    <t>2007 VW Golf after valeting in Glastonbury https://t.co/Kk3vBC0nBn 01278 652156 #VW #Valeting #Glastonbury #Somerset https://t.co/aQpSfWRkDm</t>
  </si>
  <si>
    <t>Der Deal zwischen #VW und den US-Behörden macht die Kunden in #Europa zu Geschädigten zweiter Klasse. https://t.co/X1qhbX3JlY ^cs</t>
  </si>
  <si>
    <t>Porsche App</t>
  </si>
  <si>
    <t>RT @VeeDubMk1_: Miss this gorgeous golf! @edition_38 #earlyedition #ee #vw #slammed #golf #mk1 #mk1golf #porsche #cookiecutters #st… https:…</t>
  </si>
  <si>
    <t>The official app of the Porsche aficionado</t>
  </si>
  <si>
    <t>mister wy</t>
  </si>
  <si>
    <t>#Karikatur des Tages 22.04.2016 in der #FrankfurterRundschau - #VW #entschädigt. https://t.co/uMyUN4Nw2Z</t>
  </si>
  <si>
    <t>Jeden Tag die Karikatur des Tages. - Fast jeden Tag :)</t>
  </si>
  <si>
    <t>JimHawkins11</t>
  </si>
  <si>
    <t>RT @srfnews: Der Deal zwischen #VW und den US-Behörden macht die Kunden in #Europa zu Geschädigten zweiter Klasse. https://t.co/X1qhbX3JlY…</t>
  </si>
  <si>
    <t>Freedom's just another word for nothing left to lose ... J.J.</t>
  </si>
  <si>
    <t>Wouter Vanhollebeke</t>
  </si>
  <si>
    <t>#testride #firstroadtrip #2016 #in2weeks #vw https://t.co/20VxcpcQ7N</t>
  </si>
  <si>
    <t>Roeselare</t>
  </si>
  <si>
    <t>#roadtrips #vw #t3 - Ook gefascineerd door alles wat klank, licht &amp; video omvat - Geniet ook van koken en lekker eten :p</t>
  </si>
  <si>
    <t>MZ-Wirtschaft</t>
  </si>
  <si>
    <t>Bei #VW tagt der Aufsichtsrat. Es geht um Vorstands-Boni und die Jahresbilanz 2015. #dieselgate https://t.co/11ah4aBr84</t>
  </si>
  <si>
    <t>Señior Dev</t>
  </si>
  <si>
    <t>#VW #Mitsubishi #Mercedes ...and next up is #Audi https://t.co/q96KjNKq1c #tipoftheiceberg</t>
  </si>
  <si>
    <t>Marinella Maria</t>
  </si>
  <si>
    <t>♀ A T Y P I Q U E ♀ → ♥ I'm crazy...♥</t>
  </si>
  <si>
    <t>Größter Verlust der #VW Firmengeschichte? 16,4 Milliarden zurückgestellt. https://t.co/EdU6Ok8Hvk #Dieselgate</t>
  </si>
  <si>
    <t>Rainer42</t>
  </si>
  <si>
    <t>Rainer-Main-Gebiet</t>
  </si>
  <si>
    <t>Irgendwas mit Software: Immer schon. Piraten: Wähler seit 2009, Mitglied seit 2012, Kreisvorsitz MKK seit 2013. Weitere Angaben auf Anfrage. Beiße nicht. ;)</t>
  </si>
  <si>
    <t>FanCar Picture - Send me your Scirocco pictures!!! (PM Please) #VW #Volkswagen #Scirocco #Tuning https://t.co/VX1iK6n0us</t>
  </si>
  <si>
    <t>#Volkswagen #Tuning //MD #Vw #dapper #Cambergang #StanceWork #RoyalStance https://t.co/17sH8ENDai https://t.co/PZID4wnTZn</t>
  </si>
  <si>
    <t>RT @beetlebug1938: Woooooo Shiny! All ready for the Shoreham VW heritage meet this eve. @vwheritage #68sunroof #shiny #eyelid #bug #vw… htt…</t>
  </si>
  <si>
    <t>Al70jaarelektrisch</t>
  </si>
  <si>
    <t>Veluwe</t>
  </si>
  <si>
    <t>Fietser, trein en tramreiziger (voorzover niet gesloopt), zonneboilerbezitter. consument van lokale produkten. Lacht om PV-panelen. Geniet van verkeerschaos.</t>
  </si>
  <si>
    <t>#Daimler schockt, #VW vielleicht Autoaktien bremsen #Dax aus ➡ https://t.co/wYlv8WArNG https://t.co/Df3YE9J674</t>
  </si>
  <si>
    <t>Christian DAURIAC</t>
  </si>
  <si>
    <t>Paris.Brussels.Barcelona.</t>
  </si>
  <si>
    <t>Journaliste depuis 40 ans.Chef de la rédaction TV #RTBF (2010-2015 ) ex DGA de #CFI Canal France International, ex Rédacteur en chef de #Soir3 &amp; #FranceCulture.</t>
  </si>
  <si>
    <t>Christian Schumacher</t>
  </si>
  <si>
    <t>RT @NDRinfo: Größter Verlust der #VW Firmengeschichte? 16,4 Milliarden zurückgestellt. https://t.co/EdU6Ok8Hvk #Dieselgate</t>
  </si>
  <si>
    <t>...nur ein Hamburger</t>
  </si>
  <si>
    <t>RT @Insta_VWT: https://t.co/80zms9EC4s - Love my Dub. #frontendfriday #vwt4 #vdub #vw #vanlife #vwcamper… https://t.co/1MKncGis6z https://t…</t>
  </si>
  <si>
    <t>Hannover Messe 2016: #VW setzt auf Digitalisierung und e-mobility.https://t.co/i2AHFIVVBQ #VWHMI16 https://t.co/02Sd1qNRjj</t>
  </si>
  <si>
    <t>eBay: Volkswagen Beetle 1.4 2005MY https://t.co/eAkmyGtPp3 #vwbeetle #vwbug #vw https://t.co/xvfL74PTgl https://t.co/VKdgt6A7dk</t>
  </si>
  <si>
    <t>eBay: 2004 Volkswagen Beetle 1.8 T 3dr https://t.co/ZpjsdoRRw1 #vwbeetle #vwbug #vw https://t.co/xvfL74PTgl https://t.co/ac9uMz7R65</t>
  </si>
  <si>
    <t>eBay: 2000 VOLKSWAGEN BEETLE SILVER 2.0 PETROL… https://t.co/2PndOYftrW #vwbeetle #vwbug #vw https://t.co/xvfL74PTgl https://t.co/20rcibwaVN</t>
  </si>
  <si>
    <t>Hannover Messe 2016: #VW forges ahead with digitisation and electro-mobility. https://t.co/G2stkfA13u #VWHMI16 https://t.co/ZLwXN9wEWP</t>
  </si>
  <si>
    <t>Jerry Hibbert</t>
  </si>
  <si>
    <t>#VW #campervan #vwcampervan They don't do things by halves in Udaipur https://t.co/kGHxc3KUht</t>
  </si>
  <si>
    <t>Soho, London</t>
  </si>
  <si>
    <t>Animation director. Started as a professional animator in 1970. Company: Hibbert Ralph Animation.</t>
  </si>
  <si>
    <t>Porsche DP</t>
  </si>
  <si>
    <t>VW forges US deal on diesel emissions, to cost at least US$10b #vw https://t.co/Bd32TYMkdt</t>
  </si>
  <si>
    <t>DragPlus</t>
  </si>
  <si>
    <t>porsche, need for speed, high speed, high quality car, top car</t>
  </si>
  <si>
    <t>Anura Bandara</t>
  </si>
  <si>
    <t>RT @vwpress_en: Hannover Messe 2016: #VW forges ahead with digitisation and electro-mobility. https://t.co/G2stkfA13u #VWHMI16 https://t.co…</t>
  </si>
  <si>
    <t>Virtual Motorpix</t>
  </si>
  <si>
    <t>RT @porsche__dp: VW forges US deal on diesel emissions, to cost at least US$10b #vw https://t.co/Bd32TYMkdt</t>
  </si>
  <si>
    <t>Carmarthenshire, Wales, UK</t>
  </si>
  <si>
    <t>Motoring and motor sport photo agency from 1950s representing top photographers #Porsche #Ferrari #LM24 http://t.co/RBLyDVWlwh https://t.co/7KkXiKYLLs</t>
  </si>
  <si>
    <t>DrivenUK</t>
  </si>
  <si>
    <t>Some pics form vwheritage first meet of the year last night.. #builtnotbought #vw #dub #project… https://t.co/5pae3Gz2Fl</t>
  </si>
  <si>
    <t>Autocentri Giustozzi</t>
  </si>
  <si>
    <t>via Settevalli 235 Perugia</t>
  </si>
  <si>
    <t>Concessionaria Autocentri Giustozzi: Audi, Volkswagen, Porsche, Skoda e Volkswagen Veicoli Commerciali a Perugia, Foligno e Terni</t>
  </si>
  <si>
    <t>Jot</t>
  </si>
  <si>
    <t>#vw #eddiethedub #elanvalley Eddie enjoying a rather pleasant view April 2016 #tricounytours https://t.co/BPfH1r4tZH</t>
  </si>
  <si>
    <t>Marcherlands UK</t>
  </si>
  <si>
    <t>Welsh - FoNster ~ MX5r~PHer~ ex- EMT of WAST- Teme Spiriter. Lover of cricket &amp; rugby &amp; Tall Ships and history and nature and driving to enjoy them</t>
  </si>
  <si>
    <t>Marowel</t>
  </si>
  <si>
    <t>Aber die USA wollen mit #TTIP die deutschen Verbraucherrechte kaputt machen, schon klar https://t.co/7rdXENpYAe via @SZ #VW</t>
  </si>
  <si>
    <t>From the Detroit River to River Isar...</t>
  </si>
  <si>
    <t>MAGMENT</t>
  </si>
  <si>
    <t>RT @vwpress_de: Hannover Messe 2016: #VW setzt auf Digitalisierung und e-mobility.https://t.co/i2AHFIVVBQ #VWHMI16 https://t.co/02Sd1qNRjj</t>
  </si>
  <si>
    <t>Munich - GERMANY</t>
  </si>
  <si>
    <t>Magnetizable #concretes for competitive electromagnetic applications: #wireless powertransmission #EVcharging #powerinductors #inductive heating &amp; cooking #EMC</t>
  </si>
  <si>
    <t>#techhippie #vw #volkswagen #golf #mk7 #gtd #stance #deep #low #static #lowisalifestyle #vdub #gepfeffert #gtdscty … https://t.co/9ojql53zsr</t>
  </si>
  <si>
    <t>Celine Kasamui</t>
  </si>
  <si>
    <t>Leipzig, Fahrrad, Familie, Essen, Musik, Motorrad, Wissenschaft! Digital Native! Politik? Deutscher Grundrechtsträger und Landesverräter! Refugees welcome!</t>
  </si>
  <si>
    <t>#techhippie #clarendon #filter #nice #weather #sun #someone #washes #my #car #vw #volkswagen #3 #mk3 #91 #old #one … https://t.co/seBhwsoUnG</t>
  </si>
  <si>
    <t>#techhippie Golf #vw #golf #mk2golf #gtd #tdi #bbs #portugal by joao_a_cruz https://t.co/Ky7SVlPENe</t>
  </si>
  <si>
    <t>#techhippie Mk2 GTI👌 #volkswagen #vw #golf #best #car #gti #gtd #loud #mk1 #mk2 #mk3 #mk4 #mk5 #mk6 #mk7 #low #slo… https://t.co/LWr6KhBlPB</t>
  </si>
  <si>
    <t>#Europe stocks:#DieselGate sinks #Autos #Daimler -5.64%#VW #Peugeot -3.37%+! #Industrials #ThyssenKrupp #Salzgitter+0.19%-0.84%.#Tesco +2.2%</t>
  </si>
  <si>
    <t>Zur Erinnerung:Kunden werfen Mercedes/Daimler in Klage vor,defeat device genutzt zu haben. #daimler #vw #dieselgate https://t.co/SQBFw3g4Ly</t>
  </si>
  <si>
    <t>zool zool zool</t>
  </si>
  <si>
    <t>RT @NewModernCasual: #Lambretta #VW https://t.co/OXLemVjdZZ</t>
  </si>
  <si>
    <t xml:space="preserve">#SenduNation #Yoolen's </t>
  </si>
  <si>
    <t>walk with me in hell baby?</t>
  </si>
  <si>
    <t>Louis Tyson</t>
  </si>
  <si>
    <t xml:space="preserve">Cheshire </t>
  </si>
  <si>
    <t>20, Engineer, Student and Racer.</t>
  </si>
  <si>
    <t>Volkswagen Group</t>
  </si>
  <si>
    <t>Offizieller Account der Volkswagen AG mit News für Presse, Medien und Influencer. (English: @vwgroup_en) Impressum: http://t.co/tt06UAdP9k</t>
  </si>
  <si>
    <t>Official account of Volkswagen Group delivering news for press, media and influencers. (Deutsch: @vwgroup_de) Imprint: http://t.co/axc3ltcz7f</t>
  </si>
  <si>
    <t>Get your #VW #repair manuals https://t.co/0GTYXnrB6z #follow #automotive #DIY</t>
  </si>
  <si>
    <t>Lionel Maugain</t>
  </si>
  <si>
    <t>Journaliste à @60millions. #Actualité et coulisses du monde de la #consommation en France et à l'étranger.</t>
  </si>
  <si>
    <t>Driverless Artem</t>
  </si>
  <si>
    <t>Novosibirsk</t>
  </si>
  <si>
    <t>Cars, automotive electronics, Future, driverless cars, internet of things</t>
  </si>
  <si>
    <t>RT @doern: Inzwischen scheint die AR-Sitzung in #Wolfsburg zu laufen. Alle Updates zum Tag bei #VW im Liveblog: https://t.co/S3hwn1B7K1 #Ha…</t>
  </si>
  <si>
    <t>Michael Prince N'DRI</t>
  </si>
  <si>
    <t>Bingerville</t>
  </si>
  <si>
    <t>Consultant</t>
  </si>
  <si>
    <t>eBay: volkswagon 2003 beetle https://t.co/sVUcBVRF8l #vwbeetle #vwbug #vw https://t.co/xvfL74PTgl https://t.co/fC6WWQx6tr</t>
  </si>
  <si>
    <t>.@Sentifi_US 1/3) Both of the above. Also global car #dealerships who had bought #VW cars whose value had plummeted since #DIESELGATE could</t>
  </si>
  <si>
    <t>Petra Fuhrmann</t>
  </si>
  <si>
    <t>@ntvde #VW .. Was sind schon 30% Kürzung- wenn Mitarbeiter 100% Arbeit verlieren und Zerschlagung droht?</t>
  </si>
  <si>
    <t>Susanne Günther</t>
  </si>
  <si>
    <t>US-#VW-Fahrer haben ihre Entschädigung durch, aber #TTIP soll unsere #Verbraucherrechte schmälern? #dieselgate #vwgate</t>
  </si>
  <si>
    <t>studierte Philosophin, gelernte Redakteurin, auf dem Land gestrandet</t>
  </si>
  <si>
    <t>Harry Jacobson</t>
  </si>
  <si>
    <t>Disruptive Technology https://t.co/sc7S5TUgcy</t>
  </si>
  <si>
    <t>yuvaraj lohani</t>
  </si>
  <si>
    <t>Nepal</t>
  </si>
  <si>
    <t>καηκαi Σαlτiραι cαΣρυs sυrυngα</t>
  </si>
  <si>
    <t>Trading Desk</t>
  </si>
  <si>
    <t>Trade flows biased towards opening leveraged sellers in all German car makers this morning : #VW and #BMW in particular</t>
  </si>
  <si>
    <t>Market-related Tweets from the Trading Desk at ayondo markets. Your capital is at risk.</t>
  </si>
  <si>
    <t>#Daimler 8.11%, #VW 2.58%, #BMW 3.17% - voila ! https://t.co/Wl1nrXbKKK</t>
  </si>
  <si>
    <t>Joe Rundle</t>
  </si>
  <si>
    <t>About to talk to @SkySWashington on @SkyNews @SkyNewsBiz talking #vw #emissionsscandal</t>
  </si>
  <si>
    <t>#Tennis #Food #Cooking #CFDs #Spreadbets</t>
  </si>
  <si>
    <t>Rainer Kresken</t>
  </si>
  <si>
    <t>@Fischblog in den USA werden tausende #VW Autos verschrottet, weil sie Mogelsoftware ganz schlimm fuer die Umwelt ist. #allebekloppt</t>
  </si>
  <si>
    <t>Darmstadt</t>
  </si>
  <si>
    <t>astronomy and spaceflight geek, Starkenburg Sternwarte</t>
  </si>
  <si>
    <t>Vamp Kris</t>
  </si>
  <si>
    <t>VW T1 Barndoor Restaurations Objekt #VW https://t.co/m3GuPq8WDn Biete i.A. WV Barndoor zum restaurieren mit https://t.co/ld8STEDdwg</t>
  </si>
  <si>
    <t>buy2bay</t>
  </si>
  <si>
    <t>WWW</t>
  </si>
  <si>
    <t>“Only Lovers Left Alive”</t>
  </si>
  <si>
    <t>Cemil Genc Wash DC</t>
  </si>
  <si>
    <t>#vw emisyon skandali sadece #diesel araclar icin, ayrica " arac degistime, yenisini verme" vb bir seyde yapilmadi. https://t.co/m77N8JPLR1</t>
  </si>
  <si>
    <t>Washington DC USA</t>
  </si>
  <si>
    <t>Teknoloji | Egitim Modelleri | QuadCopter/Robots | Genc Muhendis Adaylarina Yardim Etme Gayreti. RT =/= Endorsement</t>
  </si>
  <si>
    <t>Horst Schaefer</t>
  </si>
  <si>
    <t>Horst, Rentner (OAP) - Schriftsetzer (compositor); des Setzens und des Druckens kundig = Schweizerdegen; Pro Europa, aber NICHT für DIESE EU, Pro USA, Israel</t>
  </si>
  <si>
    <t>Max</t>
  </si>
  <si>
    <t>Wenn bei PKW Diesel so getrickst wurde, bin ich mal auf den Skandal bei LKW gespannt #Daimler #VW</t>
  </si>
  <si>
    <t>James Brooks</t>
  </si>
  <si>
    <t>News about #VW etc exceeding pollution limits has been known for a while, but frontpage news will raise more awareness! #emissionsscandal</t>
  </si>
  <si>
    <t>BSc and MSc graduate. PhD student @OfficialUoM @UoMSEAES, studying the microphysical properties of Black Carbon Aerosol. Soon to be flying over India and Africa</t>
  </si>
  <si>
    <t>うに@爆音コペソ</t>
  </si>
  <si>
    <t>Biyon≡(　ε:)</t>
  </si>
  <si>
    <t>赤いコペンの人 絶賛補強沼に浸かり中(DIY初級)</t>
  </si>
  <si>
    <t>https://t.co/BWALNHD0cU Nice shot before I got bogged in 😔 #vw #vwt5 #vwbus #veedub #volk… https://t.co/Yowr10CIAa https://t.co/VeHt0nZddz</t>
  </si>
  <si>
    <t>https://t.co/BWALNHD0cU Bollox #love #picoftheday #photography #igers #surfvan #vw #vwt5 … https://t.co/cTo6XUl5Lt https://t.co/i8gHboDnH2</t>
  </si>
  <si>
    <t>Latest addition to our genuine #vintage props supplied free with our #VW #campervan #photobooth 💕this hat!! https://t.co/kHmEk4VtW3</t>
  </si>
  <si>
    <t>eBay: VW Transporter, Duel Line, Multi… https://t.co/ufWCelQjRU #vwcamper #vwbus #vw https://t.co/ZEadscsjBy https://t.co/cj3ggOconr</t>
  </si>
  <si>
    <t>Killian Murphy</t>
  </si>
  <si>
    <t>RT @lazyrevs: Here's our new single, Rabbit Hole. Its a twirly whirly, up and down, in and out and all around of a song ! https://t.co/gWsG…</t>
  </si>
  <si>
    <t>Dublin</t>
  </si>
  <si>
    <t>And as we let our own light shine, we unconsciously give other people permission to do the same! http://t.co/t9tneKZEnf</t>
  </si>
  <si>
    <t>DEUTSCHLAND</t>
  </si>
  <si>
    <t>@SZ @Volkswagen Dank unserer unsäglichen Politik!!! Einen #VW würde ich mir die nicht mehr kaufen</t>
  </si>
  <si>
    <t>Christ, Abiturient, Leistungssportler, Politisch, auch auf https://t.co/jYJQGPJwVA unter Jan Düsseldorf, I adore @Caradelevingne</t>
  </si>
  <si>
    <t>#vw beetle 1975 classic vw beetle (low miles spares or repair running project barn find) https://t.co/ghBTRZCwOw</t>
  </si>
  <si>
    <t>George B. Ellis</t>
  </si>
  <si>
    <t>oben</t>
  </si>
  <si>
    <t>Etiam si omnes, ego non.</t>
  </si>
  <si>
    <t>eBay: 1975 classic vw beetle (low miles spares… https://t.co/bTmgOpKva5 #vwbeetle #vwbug #vw https://t.co/xvfL74PTgl https://t.co/QR3FGNiYjV</t>
  </si>
  <si>
    <t>1815.ch</t>
  </si>
  <si>
    <t>#VW soll für #Abgas-Skandal 16,4 Milliarden Euro zurückstellen https://t.co/PINHCHqLRZ</t>
  </si>
  <si>
    <t>Brig</t>
  </si>
  <si>
    <t>Oberwalliser Nachrichtenportal</t>
  </si>
  <si>
    <t>Woogpirat</t>
  </si>
  <si>
    <t>Woogcity</t>
  </si>
  <si>
    <t>Nur echt mit Bart. Pirat seit Herbst 2009. / Saarlandfan.</t>
  </si>
  <si>
    <t>New 2016 Volkswagen Jetta SE Sedan: New 2016 Volkswagen Jetta SE Sedan for sale near you, in C... https://t.co/GNv31JIqG2 #VW #jetta #car</t>
  </si>
  <si>
    <t>um 15 Uhr will das KBA die Ergebnisse seiner Test Abgastests präsentieren. Klar ist: Viele Hersteller nutzen Tricks. #vw #dieselgate</t>
  </si>
  <si>
    <t>☥IG: 5starchickmeem</t>
  </si>
  <si>
    <t>Dubai</t>
  </si>
  <si>
    <t>#SomewhereBetweenPsychoticAndIconic #SexyAndiKnowIt #FreshToDeath #SweetestBitchYouWillEverMeet #InLove ♥ #RealistLivin #BlackBerry10 #Forever ✩ #Aries ♈</t>
  </si>
  <si>
    <t>Our most popular car this week is this #VW Golf GTD! Call 01978 229400 to register your interest! https://t.co/UNCxpFxehI</t>
  </si>
  <si>
    <t>Our most popular car this week is this #VW Golf GTD! Call 01978 229400 to register your interest! https://t.co/33i8f2BT9d</t>
  </si>
  <si>
    <t>eBay: VW T4 TRANSPORTER 2001 YEAR.… https://t.co/X2m21ClT88 #vwcamper #vwbus #vw https://t.co/ZEadscsjBy https://t.co/VwyvJ9q3aC</t>
  </si>
  <si>
    <t>mightybuyer</t>
  </si>
  <si>
    <t>#vw bevorzugt US Kunden. Dann kaufen wir halt andere Marken!</t>
  </si>
  <si>
    <t>Nacho Pereda</t>
  </si>
  <si>
    <t>El dieselgate podría haberse iniciado en 1999 https://t.co/kPa2AVBWXS #Dieselgate #VW #Volkswagen https://t.co/fYdBGF5TOE @skoda_es</t>
  </si>
  <si>
    <t>eBay: volkswagen beetle https://t.co/P8zAZ7SdCW #vwbeetle #vwbug #vw https://t.co/xvfL74PTgl</t>
  </si>
  <si>
    <t>Wolfgang Berendes</t>
  </si>
  <si>
    <t>@SZ @Volkswagen Augen auf beim Autokauf, mit Blick auf die zugesicherten Eigenschaften. #VW</t>
  </si>
  <si>
    <t>Was sich überhaupt sagen läßt, läßt sich klar sagen; und wovon man nicht reden kann, darüber muss man schweigen. (L. Wittgenstein)</t>
  </si>
  <si>
    <t>Cars.co.za</t>
  </si>
  <si>
    <t>The new-generation #VW #Tiguan includes a host of improvements both inside &amp; out. Details: https://t.co/CucnHATEMP https://t.co/scy31ZdxGP</t>
  </si>
  <si>
    <t>SA car news, buying advice &amp; reviews.</t>
  </si>
  <si>
    <t>#VW sollte "in Schiffen machen": "Die 15 größten Seeschiffe stoßen mehr Schwefeloxide aus als alle Autos weltweit" https://t.co/zi3XJHAHlN</t>
  </si>
  <si>
    <t>Jürgen Braatz</t>
  </si>
  <si>
    <t>RT @schillipaeppa: US-#VW-Fahrer haben ihre Entschädigung durch, aber #TTIP soll unsere #Verbraucherrechte schmälern? #dieselgate #vwgate</t>
  </si>
  <si>
    <t>Kommunikationsberater Texter Public_Relations Wirtschaft Finanzen Green_Energy Media</t>
  </si>
  <si>
    <t>#VW-Skandal reißt Milliarden-Loch in #Volkswagen-Kasse -- https://t.co/l54RRPSl5B - alle Auto-Aktien heute deutlich im Minus</t>
  </si>
  <si>
    <t>Sören Schewe</t>
  </si>
  <si>
    <t>Talon (Classic)</t>
  </si>
  <si>
    <t>Scienceblogger with a passion for agriculture, livestock farming, zoos and conservation. You have a question? Ask me ;) Schreibe auch für das Blog der DLG e.V.</t>
  </si>
  <si>
    <t>#mean #low #vwheritage #vwheretics #vw #plumjam16 #vwbeetle #vdubswelove by plumcampers https://t.co/8n5qdvwCBi</t>
  </si>
  <si>
    <t>Handle Pintu Dalem VW Kombi 68 s/d 70! #volkswagen #audi #volkswagenindonesia #vw #vwindonesia #vwbeetle #vwkodok … https://t.co/5pi2dbDEKN</t>
  </si>
  <si>
    <t>#red #vwheritage #vwheretics #vw #plumjam16 #vwbeetle #vdubswelove by plumcampers https://t.co/qHDWNhSP82</t>
  </si>
  <si>
    <t>Tutup klakson Vw Beetle Tahun Tua! #volkswagen #audi #volkswagenindonesia #vw #vwindonesia #vwbeetle #vwkodok #vwc… https://t.co/Lp0J2ldaQK</t>
  </si>
  <si>
    <t>1975 Classic #vw #beetle (low Miles Spares Or Repair Running Project Barn Find) #ebay https://t.co/IYS3awx3ts https://t.co/CDaAqXjfaX</t>
  </si>
  <si>
    <t>UK Barn Finds</t>
  </si>
  <si>
    <t xml:space="preserve">Yorkshire. </t>
  </si>
  <si>
    <t>I'm a real person who tweets car stuff (but with semi-automatic eBay barn find tweets)</t>
  </si>
  <si>
    <t>#volkswagen #hotwheelsindonesia #hotwheels #jualhotwheels #vw #koolkombi #vwthing #vwbeetle #vwbeetlecup by sukmodns https://t.co/HBirUbWlTV</t>
  </si>
  <si>
    <t>Günaydın :)#vosvos #woswos #vosvosmylife #vosvossevdası #vosvosaşkı #vosvoshastası #beetle #vw #vwlove #vwbeetle #v… https://t.co/9UYfsbIqxa</t>
  </si>
  <si>
    <t>#vw #aircooled #aircooledvw #vwclassic #volks #vwdub #vwlove #vwstories #instago #instancool #style #fusca #show #m… https://t.co/kHlrRHyoT7</t>
  </si>
  <si>
    <t>Loved this at VOWO! #Beetle #vw #vwbeetle #aircooled #aircooledvw #airmighty #slammed #og #rust #unordered #unorde… https://t.co/n5y67Fev8v</t>
  </si>
  <si>
    <t>Tala Q</t>
  </si>
  <si>
    <t>Something i'd do! https://t.co/0hi6kA54XU #VW #DasAuto #Volkswagen #Camping</t>
  </si>
  <si>
    <t>Part-businesswoman, part-creative. Often wear those two hats at the same time. When not at the office, I play tennis. I tweet my mind...</t>
  </si>
  <si>
    <t>#VW Selesaikan #Kompensasi Kepada Pelanggan dari Skandal Dieselgate https://t.co/2TjO1SHedR</t>
  </si>
  <si>
    <t>Mfundo Sithole</t>
  </si>
  <si>
    <t>RT @CarsSouthAfrica: The new-generation #VW #Tiguan includes a host of improvements both inside &amp; out. Details: https://t.co/CucnHATEMP htt…</t>
  </si>
  <si>
    <t>Committee Member ICT Chamber for Disabilities. Marketing Manager at Lead Change Developments NPC. Consultant at 1618 Financial Services.</t>
  </si>
  <si>
    <t>Tuskami setas</t>
  </si>
  <si>
    <t>#VW #t1 #t2 #t3 #t4 #t5 #freecamping #camiseta #tshirt #tuskami #westfalia #camper Click:https://t.co/5UuCIAquU2 https://t.co/A9x5MFlpZf</t>
  </si>
  <si>
    <t>Tienda on-line de Camisetas personalizadas, Sudaderas o lo que quieras. Tú pide, nosotros hacemos!!!!</t>
  </si>
  <si>
    <t>Racewars</t>
  </si>
  <si>
    <t>VW Golf GTI concept #vw #gti #conceptcar #volkswagen #golf #hatchback #fast https://t.co/S5rTWOw0pc</t>
  </si>
  <si>
    <t>Car Community for modified and Tuned Cars - Latest Car News, Car Gallery and Videos</t>
  </si>
  <si>
    <t>mikata.de</t>
  </si>
  <si>
    <t>#Winterreifen #Reifen #VW zum #kaufen #verkaufen in #Leipzig. https://t.co/k2W4y8S4Qv #Dresden #Sachsen #Halle https://t.co/qaPUinnkuI</t>
  </si>
  <si>
    <t>Hans Daecher</t>
  </si>
  <si>
    <t>@Tiefseher Na ja, eigentlich ja so keine rechte "news" mehr. So viel Dummheit muß aber auch bestraft werden. #VW😡 #dieselgate @welt</t>
  </si>
  <si>
    <t>German-born European. pro-EC, used-to-be pro-Maastricht-€. Commerc. edu. Love music, travelling, SciFi, astronomy,</t>
  </si>
  <si>
    <t>WCBD</t>
  </si>
  <si>
    <t>VW to pay $1B to diesel owners, buy back some cars #VW #Volkswagen https://t.co/Tkf3PC0S4n</t>
  </si>
  <si>
    <t>ÜT: 32.775415,-79.930911</t>
  </si>
  <si>
    <t>WCBD-TV News 2. Follow us for the latest News, Weather and Sports in the South Carolina Lowcountry. #chsnews #chswx #chstrfc</t>
  </si>
  <si>
    <t>RWEmobility</t>
  </si>
  <si>
    <t>Ambitioniert! Bis 2025 will #VW 25% Absatz mit #Elektroautos erzielen Mindestreichweite 350 km #Elektromobilität https://t.co/JeSCnptGzq</t>
  </si>
  <si>
    <t>Essen</t>
  </si>
  <si>
    <t>agentur05 twittert offiziell für RWE. Hier gibt es Informationen und Eventnews zum Thema Elektromobilität und Energieeffizienz. #eMobilityDE</t>
  </si>
  <si>
    <t>Carworld Supermarket</t>
  </si>
  <si>
    <t>Drive this VW Polo away today for only £5,490 or £138 a month! Isn't it time for an upgrade? #VW https://t.co/IEwLnfZaCn</t>
  </si>
  <si>
    <t>Really Social</t>
  </si>
  <si>
    <t>Peterborough</t>
  </si>
  <si>
    <t>Carworld Car Supermarket in Peterborough- The UK's lowest price, highest quality, value for money Used Car Supermarket. Up to 1000 cars in stock.</t>
  </si>
  <si>
    <t>Newell Palmer</t>
  </si>
  <si>
    <t>Morning update:#Alphabet reports 17% rise in quarterly revenue but lower margins; shares in #Daimler, #VW and #BMW are all down this morn'.</t>
  </si>
  <si>
    <t>Wolverhampton, UK</t>
  </si>
  <si>
    <t>One of the largest and fastest growing IFA companies in the West Midlands. Trust, performance and above all, integrity.</t>
  </si>
  <si>
    <t>In #Wolfsburg dürfen die Reporter aufs #VW-Gelände. Die AR-Sitzung soll um 9:45 begonnen haben. #Handelsblatt https://t.co/esr3Tz0CW8</t>
  </si>
  <si>
    <t>Mi Se</t>
  </si>
  <si>
    <t>RT @WrexhamVW: Our most popular car this week is this #VW Golf GTD! Call 01978 229400 to register your interest! https://t.co/UNCxpFxehI</t>
  </si>
  <si>
    <t>The new #VW Passat's Park Assist uses ultrasonic sensors to help you park your car quickly &amp; easily in tight spots; https://t.co/G1g8sz7KP7</t>
  </si>
  <si>
    <t>The new #VW Passat's Park Assist uses ultrasonic sensors to help you park your car quickly &amp; easily in tight spots; https://t.co/Nb4VxJftJA</t>
  </si>
  <si>
    <t>keçaKurd</t>
  </si>
  <si>
    <t>Passt dem Ami's nicht, dass die #Deutschen am Automarkt am stärksten sind.Nun wollen sie nach #VW nun auch #Mercedes #BMW u #Audi zerstören</t>
  </si>
  <si>
    <t>don't DM me!</t>
  </si>
  <si>
    <t>VW T5 Transporter stainless steel Side bars with 4 steps only £170!!! #vw #t5 https://t.co/7vU0k5eZFa https://t.co/QIfQyAXea8</t>
  </si>
  <si>
    <t>eBay: vw camper van t25 t30 2 berth pop-top… https://t.co/gTyuZMdGu9 #vwcamper #vwbus #vw https://t.co/ZEadscsjBy https://t.co/3uQGddy72O</t>
  </si>
  <si>
    <t>M.Conde Volkswagen</t>
  </si>
  <si>
    <t>RT @VW_es : ¿Quién tiene ganas de ver el nuevo #VWTiguan en directo? https://t.co/OrQXv2Cysy #YaQuedaMenos https://t.co/NBWHKh0JFO #VW</t>
  </si>
  <si>
    <t>Madrid, Spain</t>
  </si>
  <si>
    <t>M.Conde, concesionario oficial #Volkswagen de #Madrid. Servicio oficial, venta de vehículos nuevos y #autocasion. ¡Gracias por visitar nuestro canal en Twitter!</t>
  </si>
  <si>
    <t>https://t.co/7bB4HXuxRL - When it used to be on stilts #vw #vwt #vwtransporter #vwt5 #vwt… https://t.co/qDo50YuPym https://t.co/Licj7i8l00</t>
  </si>
  <si>
    <t>https://t.co/zNHDXwhu83 - And now it begins! On the ferry! 😁😃 @lowdown_transporters #vw… https://t.co/VrarztMwJs https://t.co/7bTppxRnd9</t>
  </si>
  <si>
    <t>https://t.co/PY1L4bpY9h - Nice shot before I got bogged in 😔 #vw #vwt5 #vwbus #veedub #vo… https://t.co/4WM05yaQW3 https://t.co/pjU58NooEb</t>
  </si>
  <si>
    <t>https://t.co/oZ3gjhDrla - Bollox #love #picoftheday #photography #igers #surfvan #vw #vwt… https://t.co/B3SMUfPBbF https://t.co/DhVZWiY0s4</t>
  </si>
  <si>
    <t>RT @RWEmobility: Ambitioniert! Bis 2025 will #VW 25% Absatz mit #Elektroautos erzielen Mindestreichweite 350 km #Elektromobilität https://t…</t>
  </si>
  <si>
    <t>The lake is calling: #VW apprentices and the #VWGolfGTI from 2008 - 2016. #40yearsVWGTI #GTIWoerthersee https://t.co/oMdAifrwFr</t>
  </si>
  <si>
    <t>Der See ruft: #VW-Azubis und die #VWGolfGTI 2008 - 2016. #40JahreVWGTI #GTIWoerthersee https://t.co/SKLgc8LICq</t>
  </si>
  <si>
    <t>RT @crewevw: The new #VW Passat's Park Assist uses ultrasonic sensors to help you park your car quickly &amp; easily in tight spots; https://t.…</t>
  </si>
  <si>
    <t>RT @mconde_vw: RT @VW_es : ¿Quién tiene ganas de ver el nuevo #VWTiguan en directo? https://t.co/OrQXv2Cysy #YaQuedaMenos https://t.co/NBW…</t>
  </si>
  <si>
    <t>mainhattan</t>
  </si>
  <si>
    <t>Absatzausbau #EV bei #VW: wird zwangsläufig so kommen. Dann werden NO,NL,AT usw. gar keine Verbrenner mehr zulassen. https://t.co/eiaIAVS42Q</t>
  </si>
  <si>
    <t>Bad Soden am Taunus</t>
  </si>
  <si>
    <t>Elektromobilist⚡️ mit Leib und Seele. Querdenker, Politikzweifler, lebe im Heute und Jetzt⏰ und denke an eine bessere Zukunft unserer Welt</t>
  </si>
  <si>
    <t>Spiros Margaris</t>
  </si>
  <si>
    <t>Most expensive software 😎 #VW to Pay At Least $10 Billion in U.S. Cheating Deal https://t.co/ZaLMrqd0dz #fintech https://t.co/DnRnMLpElX</t>
  </si>
  <si>
    <t>UK | GE | US | CH</t>
  </si>
  <si>
    <t>#VC &amp; SA @FinTechForum_DE @kapilendo_AG @moneymeets_com | No. 2 #FinTech &amp; Top100 #AI Influencer by @Onalytica &amp; World's No. 4 FinTech Influencer by @jaxfinance</t>
  </si>
  <si>
    <t>Charmed Vanessa</t>
  </si>
  <si>
    <t>RT @vwpress_en: The lake is calling: #VW apprentices and the #VWGolfGTI from 2008 - 2016. #40yearsVWGTI #GTIWoerthersee https://t.co/oMdAif…</t>
  </si>
  <si>
    <t>Comunicadora Social, Locutora, Redactora de La Pequeña Vietnam, Profesora con Diplomado y dominio del idioma Portugués e Inglés.</t>
  </si>
  <si>
    <t>Andrea Fiorello</t>
  </si>
  <si>
    <t>Torino, Italy</t>
  </si>
  <si>
    <t>Freelance auto journalist. Opinions are mine and if you disagree, I'm wrong. - @AutoNewsEurope @carblogger_it @ilpost @omniauto - andrea.fiorello@gmail.com</t>
  </si>
  <si>
    <t>AutoNews Europe</t>
  </si>
  <si>
    <t>Official Twitter of @Automotive_News Europe - Leading news for European auto execs in more than 30 countries. Local Sources, Global Resources. @Automotive_News</t>
  </si>
  <si>
    <t>Video-#News aus dem Norden: u.a. #VW-#dieselgate sorgt für Riesenverluste / #Korruption bei #LKA? / #Altersarmut https://t.co/hvy6LLx2gx</t>
  </si>
  <si>
    <t>Joel Sam Paul</t>
  </si>
  <si>
    <t>Tirunelveli, Tamil Nadu</t>
  </si>
  <si>
    <t>Mistakes are a proof that you are trying ! Am JSP Child Specialist from Tirunelveli govt Hospital I love My Job &amp; I love babies ❤ ❤ ❤</t>
  </si>
  <si>
    <t>4 Mikros in #Wolfsburg: Wir rechnen mit AR-Chef Pötsch, #VW-CEO Müller, BR-Chef Osterloh und MP Weil #Handelsblatt https://t.co/Wj8lkKTvgf</t>
  </si>
  <si>
    <t>anti-selfie</t>
  </si>
  <si>
    <t>Berlin-Москва-Киiв</t>
  </si>
  <si>
    <t>BitcoinAgile</t>
  </si>
  <si>
    <t>VW Said to Pay At Least $10 Billion in U.S. Cheating Deal #fintech #VW https://t.co/e4rqfux2jo https://t.co/13zCaYAPPy</t>
  </si>
  <si>
    <t>bitcoinagile</t>
  </si>
  <si>
    <t>Matter Doesn't Matter</t>
  </si>
  <si>
    <t>Streaming News: Bitcoin, Blockchain &amp; Beyond #FINTECH #bitcoin #blockchain #bitcoinnews #infographics #videos #bAgile #venturecapital #decentralized</t>
  </si>
  <si>
    <t>Jo Huyghe</t>
  </si>
  <si>
    <t>Veurne, België - Belgium</t>
  </si>
  <si>
    <t>Volkswagen Motorsport Rally Fan ~ VW❤ ~ Supporter Club Brugge &amp; Jordi Warlop ~ ❤ Music &amp; Travelling. L(i)(o)ve Europe. Dad of Jana &amp; @TobiasHuyghe.</t>
  </si>
  <si>
    <t>eBay: Volkswagen Beetle 2.3 V5 2002MY https://t.co/eJVqbxsq9D #vwbeetle #vwbug #vw https://t.co/xvfL74PTgl https://t.co/2bRxwb7f82</t>
  </si>
  <si>
    <t>eBay: 2007 Volkswagen Transporter T5 2.5 TDI… https://t.co/9tbkLLtUw7 #vwcamper #vwbus #vw https://t.co/ZEadscsjBy https://t.co/Ua0QnsRsxW</t>
  </si>
  <si>
    <t>eBay: 2012 Volkswagen Transporter T5 Camper… https://t.co/WMPrJDlv3U #vwcamper #vwbus #vw https://t.co/ZEadscsjBy https://t.co/7UaaeTycVp</t>
  </si>
  <si>
    <t>町の雑貨屋さんLittleCountry</t>
  </si>
  <si>
    <t>お気に入りのカーラインナップ！ 手前の２つはブリキ製です。購入、詳しくはメッセージくださいね！#リトルカントリー #東長崎 #雑貨屋 #雑貨店 #VW #ミニカー #夏 #ロードバイク @… https://t.co/oDZXgjO6X9</t>
  </si>
  <si>
    <t>豊島区南長崎5-29-12 ユートリー55・1・c</t>
  </si>
  <si>
    <t>アメリカ雑貨、ラガディ・アン、ファンシーグッズ、オリジナルリースのお店です。最寄り駅は西武池袋線の東長崎駅です。12時から19時半までの営業です。休業日は前日までにつぶやきます(*´ω｀*) 電話：03-5982-1535</t>
  </si>
  <si>
    <t>お気に入りのカーラインナップ！ 手前の２つはブリキ製です。購入、詳しくはメッセージくださいね！#リトルカントリー #東長崎 #雑貨屋 #雑貨店 #VW #ミニカー #夏 #ロードバイク https://t.co/A2U0ON36dm</t>
  </si>
  <si>
    <t>#Daimler, #PSA, #VW... Das alles gerät zu einer grossen #Tesla-Werbeveranstaltung https://t.co/DNM9WePLKB</t>
  </si>
  <si>
    <t>#VW hikes emissions provisions to 16-17 billion euros: source https://t.co/xHE143qo4Q via @Reuters</t>
  </si>
  <si>
    <t>Juan José Morodo</t>
  </si>
  <si>
    <t>#VW, obligado a recomprar 500.000 coches', #Draghi: "Los tipos cero son lo único que funciona', y FCC suelta lastre https://t.co/UjKkJCLcte</t>
  </si>
  <si>
    <t>Periodista. Subdirector del diario económico 'Cinco Días'</t>
  </si>
  <si>
    <t>nicoletta manzione</t>
  </si>
  <si>
    <t>Giornalista. Corrispondente Rai dalla Germania</t>
  </si>
  <si>
    <t>RT @swanswaygroup: Our most popular car this week is this #VW Golf GTD! Call 01978 229400 to register your interest! https://t.co/33i8f2BT9d</t>
  </si>
  <si>
    <t>RT @swanswaygroup: The new #VW Passat's Park Assist uses ultrasonic sensors to help you park your car quickly &amp; easily in tight spots; http…</t>
  </si>
  <si>
    <t>Birgit Kaiser</t>
  </si>
  <si>
    <t>#VW-Manager #Boni https://t.co/JMWuUgXNFI</t>
  </si>
  <si>
    <t>IT, Technik, CMS, social media</t>
  </si>
  <si>
    <t>ACE Auto Club Europa</t>
  </si>
  <si>
    <t>ACE für Gleichberechtigung: Unverständlich, warum deutsche #VW-Kunden weiterhin in die #Abgas-Röhre schauen müssen https://t.co/N6fTITMGiv</t>
  </si>
  <si>
    <t>Für den ACE Auto Club Europa twittert Pressesprecher Constantin Hack und steht Euch für Fragen gerne zur Verfügung. ACE-Impressum: https://t.co/GPWkEMtcuX</t>
  </si>
  <si>
    <t>Christian Bell</t>
  </si>
  <si>
    <t>Einen so dreisten Betrug traut man sich nur, wenn man gewöhnt ist, damit durchzukommen #volkswagen #vw https://t.co/bRStIJh4cv</t>
  </si>
  <si>
    <t>Eifler Jung</t>
  </si>
  <si>
    <t>The Man who stares at goats. After a total of 6 years in the US, now back in small town Germany. Still a soldier but all tweets are private.</t>
  </si>
  <si>
    <t>Network Images</t>
  </si>
  <si>
    <t>That look! @Team_BKR_ @markhowardracer on the grid in the #VW #passatcc #Race3 @dunlopbtcc… https://t.co/K71ixAmhNx</t>
  </si>
  <si>
    <t>Photographers providing quality images to media, Teams, Drivers and Sponsors. #BTCC #cars #bikes #Football Please comment, retweet and follow us!!</t>
  </si>
  <si>
    <t>#techhippie #vw #gtd #car #work #working #uhr #uboat #uboatwatch #freitag #enjoy #nicedayeveryone #✌ by ni_vo_ https://t.co/kD8jHFbiZI</t>
  </si>
  <si>
    <t>Birgit Kuchta</t>
  </si>
  <si>
    <t>RT @anwaltplus: Nach der US-Einigung wird der Ruf lauter, dass #VW auch in Europa auf die #dieselgate-Kunden zugeht. (mbr) https://t.co/QuB…</t>
  </si>
  <si>
    <t>RT @doern: 4 Mikros in #Wolfsburg: Wir rechnen mit AR-Chef Pötsch, #VW-CEO Müller, BR-Chef Osterloh und MP Weil #Handelsblatt https://t.co/…</t>
  </si>
  <si>
    <t>Telangana Press</t>
  </si>
  <si>
    <t>#VW's emissions deal leaves unanswered questions - CCTV-America #CCTV Read More : https://t.co/2n8F6f7CPK https://t.co/Ap3Muvoi0q</t>
  </si>
  <si>
    <t>hubber.me</t>
  </si>
  <si>
    <t>Kompromiss im Diesel-Skandal! #VW erzielt Teileinigung mit US-Behörden https://t.co/bcL6Qh6nI8 #dieselgate https://t.co/XgsXDv059p</t>
  </si>
  <si>
    <t>News und Videos aus den Bereichen Politik, Sport, People, Unterhaltung, Lifestyle und Wissenschaft</t>
  </si>
  <si>
    <t>City Index</t>
  </si>
  <si>
    <t>#DAIMLERCHRYSLER joins #VW, #FIAT, #BMW, #MITSUBISHI MOTORS in a global auto stocks selloff.</t>
  </si>
  <si>
    <t>Global provider of #Forex &amp; #CFD trading, as well as #SpreadBetting (UK only). Losses can exceed deposits.</t>
  </si>
  <si>
    <t>Ken Odeluga</t>
  </si>
  <si>
    <t>City Index Market Analyst. Deciphering global markets for 15+ years with technical and financial analysis. Stocks/equity indices specialist. Views are my own.</t>
  </si>
  <si>
    <t>Nobel: #VW-Aufsichtsräte tagen in #Wolfsburg, Fahrer warten draußen. Statements wohl erst nach 12h. #Handelsblatt https://t.co/GR45vsO8vY</t>
  </si>
  <si>
    <t>halt design(ハルトデザイン)</t>
  </si>
  <si>
    <t>ハルトエアロ塗装半額キャンペーンあと1週間で終了です_(._.)_たくさんのご注文をいただきました☆もう少しで終了ですのでこの機会にぜひ♪ #VW #BEETLE #peyton #HaltDesign</t>
  </si>
  <si>
    <t>大阪府 箕面市西宿1-1-5</t>
  </si>
  <si>
    <t>皆さんこんにちは!(^^)!Halt Designです(^^)フォルクスワーゲンのnew beetleならびにThe beetleのドレスアップパーツ開発や販売を行っております。ブログ、インスタグラムの方もやっておりますので気軽にのぞいてみてください^m^ blog https://t.co/AuqmMUyPei</t>
  </si>
  <si>
    <t>nextmarkets_de</t>
  </si>
  <si>
    <t>#VW Aktie explodiert! #ChristianFahrner: Starker Gewinn von ca. 15 € pro Aktie! https://t.co/DkAXeBXSh1 https://t.co/DtgaP41b77</t>
  </si>
  <si>
    <t>Trading-Ideen in Echtzeit erhalten!</t>
  </si>
  <si>
    <t>RT @doern: Nobel: #VW-Aufsichtsräte tagen in #Wolfsburg, Fahrer warten draußen. Statements wohl erst nach 12h. #Handelsblatt https://t.co/G…</t>
  </si>
  <si>
    <t>Tariq k.</t>
  </si>
  <si>
    <t>Pacific Ocean</t>
  </si>
  <si>
    <t>A SICK MEMER M8</t>
  </si>
  <si>
    <t>US watchdogs seek environmental info from #Daimler; #Mitsubishi says fiddled mileage data, #VW agrees "in principle" 580K vehicle buyback</t>
  </si>
  <si>
    <t>#VW droht nach #dieselgate der größte Jahresverlust in der Unternehmensgeschichte. (chs) https://t.co/oyNR7QSwzt</t>
  </si>
  <si>
    <t>Der Kollege @doern ist heute in #Wolfsburg vor Ort. #FF #VW #Volkswagen https://t.co/8bpsP9gtji</t>
  </si>
  <si>
    <t>Nach dem #dieselgate bei #VW steht nun auch #Daimler im Visier der US-Behörden (chs) https://t.co/Y5zvjcZ7ga</t>
  </si>
  <si>
    <t>Förde Sparkasse</t>
  </si>
  <si>
    <t>#Börse aktuell: #Abgas-Nachrichten von #Daimler und #VW setzen den #DAX unter Druck. 10.354 Punkte https://t.co/H9wwbBiVX9</t>
  </si>
  <si>
    <t>Hier twittert die Förde Sparkasse! Impressum: http://t.co/dubAtd0LA0</t>
  </si>
  <si>
    <t>Sajeevan Veeriah</t>
  </si>
  <si>
    <t>Colombo,Srilanka</t>
  </si>
  <si>
    <t>Believe you can and you're halfway there.</t>
  </si>
  <si>
    <t>Specialist Vehicles</t>
  </si>
  <si>
    <t>FOR SALE... VW Sirocco GT Tdi... #VW #Scirocco #Purewhite View Here: https://t.co/z5xHykQEaa https://t.co/O0SNXv23bL</t>
  </si>
  <si>
    <t>Plympton, PLYMOUTH. Devon</t>
  </si>
  <si>
    <t>SUBARU Main Dealer PLYMOUTH, DEVON. Specialist BMW/Audi/Porsche/Landrover/Mercedes Used Car Sales - Servicing, Parts, Diagnostics and MOT's - 01752 343777</t>
  </si>
  <si>
    <t>Jetzt live: @Volkswagen Pressestatement zu den Ergebnissen der Aufsichtsratssitzung: https://t.co/0knhyVFVLp #VW #dieselgate</t>
  </si>
  <si>
    <t>Edgar Ramirez</t>
  </si>
  <si>
    <t>Este increible DB9 y potente nave tiene un motor V12 de 6.0L, 450 Caballos de fuerza, su velocidad maxima es de 306km y acelera de 0 A 100km en 4,6 seg.</t>
  </si>
  <si>
    <t>FlatOutWR.JP</t>
  </si>
  <si>
    <t>#FF #WRC #VW @SebOgier @VolkswagenWRC @JariMattiWRC @AMikkelsenRally @vwrallytheworld @MiikkaAnttila</t>
  </si>
  <si>
    <t>twiroboJP</t>
  </si>
  <si>
    <t>Over The Crest</t>
  </si>
  <si>
    <t>I Love Car and WRC , All Mortor Sports!! One of Fan in Japan ;) Sorry Sometimes Private Mode ;( #LOVECARS-No.1754</t>
  </si>
  <si>
    <t>aliN Anon</t>
  </si>
  <si>
    <t>Ist wohl auch #VW dran schuld... wegen manipulierter Bremsen oder so.... https://t.co/2faiE44426</t>
  </si>
  <si>
    <t>seit Juni 2012 in Österreich</t>
  </si>
  <si>
    <t>political incorrect ... bin anonymous, so wie auch du!...</t>
  </si>
  <si>
    <t>NDR.de</t>
  </si>
  <si>
    <t>RT @NDRnds: Jetzt live: @Volkswagen Pressestatement zu den Ergebnissen der Aufsichtsratssitzung: https://t.co/0knhyVFVLp #VW #dieselgate</t>
  </si>
  <si>
    <t>Norddeutschland</t>
  </si>
  <si>
    <t>Nachrichten aus Hamburg, Niedersachsen, Schleswig-Holstein und Mecklenburg-Vorpommern. Hier twittert die Online-Redaktion. | Impressum: http://t.co/uuRQxVnFeP</t>
  </si>
  <si>
    <t>FanCar Picture - Send me your Scirocco pictures!!! (PM Please) #VW #Volkswagen #Scirocco #Tuning https://t.co/ci14UTtSyQ</t>
  </si>
  <si>
    <t>Cord Tepelmann</t>
  </si>
  <si>
    <t>Mölln, Deutschland</t>
  </si>
  <si>
    <t>Mentor - StrategieCoach - Vortragsredner - Ihr Entscheidungsbegleiter</t>
  </si>
  <si>
    <t>eBay: 1971 VOLKSWAGEN BEETLE https://t.co/L6QPrFAdwR #vwbeetle #vwbug #vw https://t.co/xvfL74PTgl https://t.co/kOAHf1GbdD</t>
  </si>
  <si>
    <t>eBay: 2008 vw transporter t5. medium high top… https://t.co/ssxJeZD0Ok #vwcamper #vwbus #vw https://t.co/ZEadscsjBy https://t.co/D42h6j65cl</t>
  </si>
  <si>
    <t>Brett Thompson</t>
  </si>
  <si>
    <t>RT @newlookloans: European car sales are on the rise, in spite of #VW fall: https://t.co/0qz0NeBOoV #Volkswagen</t>
  </si>
  <si>
    <t>Hull</t>
  </si>
  <si>
    <t>Mobius Media offer bespoke web solutions. Our web design Hull and SEO Hull teams offer the finest web design and online marketing solutions.</t>
  </si>
  <si>
    <t>Shazzzni</t>
  </si>
  <si>
    <t>Eva Ildiko Varga</t>
  </si>
  <si>
    <t>Bayreuth</t>
  </si>
  <si>
    <t>ஜ Design ஜ Grafik ஜ Fotografie ஜ und mehr ஜ</t>
  </si>
  <si>
    <t>Matthew Howe</t>
  </si>
  <si>
    <t>Tiny plastic snapping off #vw #caravelle electric door. #help! https://t.co/El60x3JUbG</t>
  </si>
  <si>
    <t>jersey</t>
  </si>
  <si>
    <t>loves his wife &amp; 2 kids. consumed by paying off mortgage, watching rugby, lifting weights and obsessing about his vw , very materialistic but enjoys yoghurt</t>
  </si>
  <si>
    <t>Best Autos</t>
  </si>
  <si>
    <t>Posting about the best and newest in the automotive industry.</t>
  </si>
  <si>
    <t>Yannick Huberty</t>
  </si>
  <si>
    <t>Project one car a day, VW Bus T1 #onecaraday #vw #volkswagen #vwbulli #vwbus #classic #cl… https://t.co/H0mv1GzYn8 https://t.co/kZfOevFvHB</t>
  </si>
  <si>
    <t>Luxembourg</t>
  </si>
  <si>
    <t>Lazarus/FPC and Delphi programmer, hobby photographer, woodworker, like to cook (until now all survived...), make cocktails</t>
  </si>
  <si>
    <t>Patrick Gensing</t>
  </si>
  <si>
    <t>Gegen TTIP, damit in Deutschland nicht so strenge Abgaswerte wie in den USA eingeführt werden. :P #ttip #dobrindt #vw #daimler</t>
  </si>
  <si>
    <t xml:space="preserve">Hamburg </t>
  </si>
  <si>
    <t>Nachrichtenredakteur, Journalist, Fußballfan. Privat hier.</t>
  </si>
  <si>
    <t>Ellis turner</t>
  </si>
  <si>
    <t>Can't wait for my new car to be delivered😁 #VW</t>
  </si>
  <si>
    <t>MT @NDRnds Jetzt #live: @Volkswagen-Statement zur Sitzung #VW-#Aufsichtsrat: https://t.co/bbySrUZdi1 … #dieselgate #abgasaffäre</t>
  </si>
  <si>
    <t>Yvonne Berks</t>
  </si>
  <si>
    <t>@saschwelt @Hyundai_DE UNGLAUBLICH!Nächstes mal #VW kaufen!Da wird sowas als Notfall trotz vollem Terminplan angenommen! #VW Servicemitarb.</t>
  </si>
  <si>
    <t>Neuss, Nordrhein-Westfalen</t>
  </si>
  <si>
    <t>Simon Orr</t>
  </si>
  <si>
    <t>RT @specialistveh: FOR SALE... VW Sirocco GT Tdi... #VW #Scirocco #Purewhite View Here: https://t.co/z5xHykQEaa https://t.co/O0SNXv23bL</t>
  </si>
  <si>
    <t>Stunning South Devon</t>
  </si>
  <si>
    <t>Car Dealer, Sports Fan!!!!</t>
  </si>
  <si>
    <t>#Dieselgate: Grüne fordern ein Recht auf Sammelklagen für deutsche #VW-Kunden. (nd) https://t.co/IptV7dW3CG</t>
  </si>
  <si>
    <t>Prot</t>
  </si>
  <si>
    <t>RT @zeitonline: #Dieselgate: Grüne fordern ein Recht auf Sammelklagen für deutsche #VW-Kunden. (nd) https://t.co/IptV7dW3CG</t>
  </si>
  <si>
    <t>Eat, Sleep, Code, Code, Code...passionate about algorithms and game developement.</t>
  </si>
  <si>
    <t>Henrique Jota</t>
  </si>
  <si>
    <t>Lisbon-Portugal</t>
  </si>
  <si>
    <t>I love video games and im a huge fan of playstation brand #4 the players...love you,Sony! :) allso, im a doctor of unkle Phil retarded mongs!</t>
  </si>
  <si>
    <t>FM_elektrotechnik</t>
  </si>
  <si>
    <t>Die Fachmesse für #Elektrotechnik und #Elektronik in den Bereichen #Gebäudetechnik, #Licht, #Industrie #Automation und #Elektromobilität #elektrotechnik2017</t>
  </si>
  <si>
    <t>CarSniff</t>
  </si>
  <si>
    <t>CSTest1</t>
  </si>
  <si>
    <t>Sell your car. Message us now for a retweet.</t>
  </si>
  <si>
    <t>Börsen-Zeitung</t>
  </si>
  <si>
    <t>#VW erzielt in #USA Grundsatzeinigung. Wie diese aussieht, erfahren Sie hier: https://t.co/b8Vy6y5C6j https://t.co/RmeX7EaHQq</t>
  </si>
  <si>
    <t>Frankfurt, Germany</t>
  </si>
  <si>
    <t>Die Börsen-Zeitung ist die einzige ausschließlich auf die Finanzmärkte ausgerichtete Zeitung Deutschlands. Impressum: http://t.co/bueBkqC2</t>
  </si>
  <si>
    <t>petra heinrichs</t>
  </si>
  <si>
    <t>Весна, Тюльпани, Амстердам... #trip #travel #akkordtour #amsterdam #vw #beetle #vwbeetle #little_yellow_beetle by l… https://t.co/qouTwJP5ak</t>
  </si>
  <si>
    <t>Ponýboy</t>
  </si>
  <si>
    <t>#Hendrixxx #INTERSCOPE</t>
  </si>
  <si>
    <t>RT ndr: RT NDRnds: Jetzt live: Volkswagen Pressestatement zu den Ergebnissen der Aufsichtsratssitzung: https://t.co/ZXZmCCjGCH #VW #diesel…</t>
  </si>
  <si>
    <t>Lars Scholtyssyk</t>
  </si>
  <si>
    <t>#VW stock surging after #dieselgate compromise but @handelsblatt warns it will be painful: https://t.co/HwnlDiLRHp https://t.co/3FgC92altL</t>
  </si>
  <si>
    <t>Correspondent EU Affairs @ Deutsche Welle @dwnews</t>
  </si>
  <si>
    <t>VW Owners Club</t>
  </si>
  <si>
    <t>International</t>
  </si>
  <si>
    <t>Volkswagen Owners Club welcomes Owners and Enthusiasts ... Join Free Today. #Volkswagen #VW #Cars #Autos</t>
  </si>
  <si>
    <t>Andreas Hallaschka</t>
  </si>
  <si>
    <t>RT @PatrickGensing: Gegen TTIP, damit in Deutschland nicht so strenge Abgaswerte wie in den USA eingeführt werden. :P #ttip #dobrindt #vw #…</t>
  </si>
  <si>
    <t>Kasseläner im Hamburger Exil</t>
  </si>
  <si>
    <t>Journalist, evangelisch. Leidenschaft für Kultur, Reisen, Fussball, Politik. Religionen, Bücher und klassisch gute Musik, Kassel und ידיד ישראל</t>
  </si>
  <si>
    <t>EricTheCarGuy</t>
  </si>
  <si>
    <t>RT @NeedTechs: Volkswagen of Naples #FLjobs #VW &amp; Highline European Technicians wanted #autojobs see ad https://t.co/ioJnJZzwTM https://t.c…</t>
  </si>
  <si>
    <t>Cincinnati OH</t>
  </si>
  <si>
    <t>EricTheCarGuy is the place for how to auto repair video. If it's broken I probably made a video on how to fix it.</t>
  </si>
  <si>
    <t>TIMECODEX</t>
  </si>
  <si>
    <t>Bundespresse, Stv. Pressesprecher Piratenpartei NRW, Beisitzer KV Düsseldorf, FOTO: Christian Steinmetz CC BY NC SA</t>
  </si>
  <si>
    <t>"#VW se moque des consommateurs européens" https://t.co/LM22KOF1Kv</t>
  </si>
  <si>
    <t>RT @JulieTestAchats: "#VW se moque des consommateurs européens" https://t.co/LM22KOF1Kv</t>
  </si>
  <si>
    <t>Cinco Días</t>
  </si>
  <si>
    <t>RT @JuanjoMorodo: '#VW, obligado a recomprar 500.000 coches', #Draghi: "Los tipos cero son lo único que funciona', y FCC suelta lastre http…</t>
  </si>
  <si>
    <t>Twitter oficial de Cinco Días, decano de la prensa económica y empresarial en España / Official Tw for Cinco Días, oldest Spanish economic and business paper</t>
  </si>
  <si>
    <t>Norbert Rücker</t>
  </si>
  <si>
    <t>Politisch interessiert. Retweets und Zitate müssen nicht meiner Meinung entsprechen.</t>
  </si>
  <si>
    <t>Jan Kassies</t>
  </si>
  <si>
    <t>Jetta krijgt weer een flinke verwenbeurt @autowasraalte #Volkswagen #mooiman #schoonman #VW https://t.co/5GGl4oD2HU</t>
  </si>
  <si>
    <t>Iets te zwaar. Love life. Ook belangrijk:14/2-20/12-31/7-21/5-18/1-24/5-2/2-7/6-9/6. Bij vlagen last van Tweetioot Twittergedrag: ook wel Tweetioterie genoemd.</t>
  </si>
  <si>
    <t>Dwayne Knight</t>
  </si>
  <si>
    <t>BARBADOS</t>
  </si>
  <si>
    <t>WDR 5</t>
  </si>
  <si>
    <t>Nach US-Einigung: Wie soll Entschädigung in der Abgasaffäre für deutsche #VW Kunden aussehen? https://t.co/s9Br7vi0aT #dieselgate</t>
  </si>
  <si>
    <t>Hier twittert WDR 5, das Wortprogramm des Westdeutschen Rundfunks. Impressum: http://t.co/FdEYVMHbAp</t>
  </si>
  <si>
    <t>drive Blog | 2016 #VW Tiguan Fahrbericht Test Drive-Check #Video https://t.co/lYtXsgGAq5 #kfz #suv #neuwagen (VR)</t>
  </si>
  <si>
    <t>Denis Borsato</t>
  </si>
  <si>
    <t>A mudança do mundo começa com pequenas atitudes. Seja você a diferença</t>
  </si>
  <si>
    <t>Michael Rasch</t>
  </si>
  <si>
    <t>Erste Einigung im Abgasbetrug: #VW erreicht endlich ein Etappenziel https://t.co/npdBlMQxxG via @NZZ</t>
  </si>
  <si>
    <t>Hier twittert der Börsen-Chef der NZZ zur Finanz- und Autobranche. #NZZ #Medien #Börse #Finanzen #Autos #Derivate #Märkte #Exchanges #Markets #Wall Street</t>
  </si>
  <si>
    <t>TheNeighbourhood</t>
  </si>
  <si>
    <t>Keep your ideas coming for naming our #VDub #VW #Cardiff #Students #University #Classic #Volkswagen https://t.co/6fufHPGORn</t>
  </si>
  <si>
    <t>Welcome to the Neighbourhood Cardiff, the latest urban living space for students, redefining student living as you know it!</t>
  </si>
  <si>
    <t>Klaus Köster</t>
  </si>
  <si>
    <t>Jetzt bekommt auch #Daimler Ärger mit dem Diesel. Klingt wie das #VW-#Dieselgate, doch es gibt einen Unterschied. https://t.co/Y6MaO1uELB</t>
  </si>
  <si>
    <t>Titelautor Wirtschaft der Stuttgarter Nachrichten. Äußert hier seine persönliche Meinung, die er praktischerweise auch im Beruf hat.</t>
  </si>
  <si>
    <t>MUHANNAD</t>
  </si>
  <si>
    <t>يا سلاااام😍 يبيله هالويكيند 😍😍😍😍 #vw https://t.co/o0jBdcLXRy</t>
  </si>
  <si>
    <t xml:space="preserve">OMAN / UK </t>
  </si>
  <si>
    <t>‏البساطة .. ‏تجعل الضحكات أصدق و تجعل الأفراح أعمق ❤️</t>
  </si>
  <si>
    <t>eBay: 2000 X REG VOLKSWAGEN BEETLE SILVER… https://t.co/uGSgr58HSb #vwbeetle #vwbug #vw https://t.co/xvfL74PTgl https://t.co/ct0YTUY2pd</t>
  </si>
  <si>
    <t>eBay: 2004 Volkswagen S BEETLE SILVER MANUAL CONVERTIBLE CABRIOLET… https://t.co/gfRcz4hq0e #vwbeetle #vwbug #vw https://t.co/xvfL74PTgl</t>
  </si>
  <si>
    <t>#Dax: Rückenwind für #Merck ++ Flucht aus #Daimler ++ #Conti im Abwärtssog ++ #VW gestoppt ++ Dax weitet Verlust aus https://t.co/tlXEVrbjd3</t>
  </si>
  <si>
    <t>RT @klaus_koester: Jetzt bekommt auch #Daimler Ärger mit dem Diesel. Klingt wie das #VW-#Dieselgate, doch es gibt einen Unterschied. https:…</t>
  </si>
  <si>
    <t>Dayan Luce</t>
  </si>
  <si>
    <t>18 âge, psg,insta:dayan77170,snap dayanluce81</t>
  </si>
  <si>
    <t>DW TÜRKÇE</t>
  </si>
  <si>
    <t>Frankfurter Rundschau: #VW holdingi hem devlet birimlerini hem de müşterilerini aldatmıştır. https://t.co/x7jrraGjvF https://t.co/girc51X0H6</t>
  </si>
  <si>
    <t>Deutsche Welle'nin Türkçe yayınlar servisinin resmi haber hesabı.</t>
  </si>
  <si>
    <t>#VW https://t.co/39wX99BWKV</t>
  </si>
  <si>
    <t>RT @wdr5: Nach US-Einigung: Wie soll Entschädigung in der Abgasaffäre für deutsche #VW Kunden aussehen? https://t.co/s9Br7vi0aT #dieselgate</t>
  </si>
  <si>
    <t>VW Festival</t>
  </si>
  <si>
    <t>Harewood House, UK</t>
  </si>
  <si>
    <t>Harewood House, Leeds 12th - 14th August 2016. The best VWs, live music &amp; atmosphere. local charity TBA. Hosted by Motoring Presenter @paulwoodford84. #VWF16</t>
  </si>
  <si>
    <t>eBay: VW T4 SWB 2.5tdi **Full Camper… https://t.co/bbRAPGs6xO #vwcamper #vwbus #vw https://t.co/ZEadscsjBy https://t.co/EBHsI6YnNT</t>
  </si>
  <si>
    <t>Tomasz toek Dunia</t>
  </si>
  <si>
    <t>Cooo?! o.O Jak oni sobie wyobrażają wytrzymać to finansowo #volkswagenscandal #Volkswagen #VW https://t.co/FS6glrOadw</t>
  </si>
  <si>
    <t>Lublin, Poland</t>
  </si>
  <si>
    <t>Inżynier, student 5. roku Mechatroniki na Politechnice. Można mnie poczytać na @tabletowopl.</t>
  </si>
  <si>
    <t>Toxic Tone</t>
  </si>
  <si>
    <t>Bermondsey,</t>
  </si>
  <si>
    <t>MILLWALL LOYAL Click on the link British troops in BBC blackout. Most murdered by Jewish terrorist during the Mandate of Palistine</t>
  </si>
  <si>
    <t>Sophia Otto</t>
  </si>
  <si>
    <t>#NRW-Justizminister fordert Entschädigung für deutsche #VW-Kunden. Atmen nur VW-Käufer*innen Abgase ein? https://t.co/ThP7s2UtbZ</t>
  </si>
  <si>
    <t>Das Recht, alle, die uns lästig werden, auszumerzen, sollte in der Verfassung eines idealen Staates an erster Stelle stehen. (Emile Cioran)</t>
  </si>
  <si>
    <t>J'adore lesFerraris</t>
  </si>
  <si>
    <t>#bentley #money #benz #amg #entrepreneur #lamborghini #germany #vw #carsofinstagram #isidi… https://t.co/J27qWPWMM6 https://t.co/g3g3NvNuz0</t>
  </si>
  <si>
    <t>Campervan Gift</t>
  </si>
  <si>
    <t>Campervan Windbreak. Great for a #VW festival or day at the beach https://t.co/iltMnPR9wM #campervan #festival #wind https://t.co/prrgABrkfJ</t>
  </si>
  <si>
    <t>West Midlands. UK</t>
  </si>
  <si>
    <t>The No.1 Online Shop with over 700 Campervan &amp; Beetle Gifts! A shopping paradise for any VW enthusiast. The Home of Campervan &amp; Beetle Gifts #campervangift #dub</t>
  </si>
  <si>
    <t>Till Schriller</t>
  </si>
  <si>
    <t>"Bosch hat Schummelsoftware nicht nur an VW geliefert" https://t.co/jphbK8xfKW #VW #Bosch #dieselgate Ach, ach was! https://t.co/HRw88CDAbQ</t>
  </si>
  <si>
    <t>Wieder auferstanden von den Twittertoten, bin ich nur ein IM der Wirklichkeit. Ein Teil meiner Tweets wird sie sicherlich verunsichern. (Law de Maizière)</t>
  </si>
  <si>
    <t>Germania ONE</t>
  </si>
  <si>
    <t>«Выхлопной #скандал»: Volkswagen согласился н ... #VW #вихлоп #дизель #скандал #США - https://t.co/0UbhuxOVPz https://t.co/W7cVioj9ab</t>
  </si>
  <si>
    <t>GermaniaONE</t>
  </si>
  <si>
    <t>Deivid Carri</t>
  </si>
  <si>
    <t>eso es aquí.</t>
  </si>
  <si>
    <t>A veces me siento como un griego entre romanos.</t>
  </si>
  <si>
    <t>#VW-AR tagt noch. PR-Sprecher: Zeit reicht für ne Currywurst. #Handelsblatt-Kollege Schnell kann die nicht mehr sehn https://t.co/mAsaSpEFrG</t>
  </si>
  <si>
    <t>Smart Electronics</t>
  </si>
  <si>
    <t>#golf #mk7 #gtd #vw #sunset #spring #iphone by christopher.brieden https://t.co/BL5vGBXNpH</t>
  </si>
  <si>
    <t>#vw #audi #bmw #mercedes #car #cars #stance #static #low #tuning #wörthersee #carporn #hamburg #picoftheday #like4l… https://t.co/opZDSiUe1j</t>
  </si>
  <si>
    <t>Willi Haentjes</t>
  </si>
  <si>
    <t>.@Minister_Remmel: #VW darf deutsche Verbraucher nicht schlechter behandeln als ausländische. #vsmk16 https://t.co/gcEbuTX9MX</t>
  </si>
  <si>
    <t>Journalist @asakademie @bild @bild_politik JeResteCharlie.eu Exil-Niederrheiner, Teilzeit-Schwatz-Gelber</t>
  </si>
  <si>
    <t>(Altbekannter) Funfact: #VW verkauft mehr Currywürste als Autos. Und noch nie musste eine zurückgerufen werden. https://t.co/MkSQ4cIfmd</t>
  </si>
  <si>
    <t>Check out XZN TRIPLE SQUARE Tools Set VW Audi Volkswagen Volvo etc #HK https://t.co/DG9r45Fb1k via @eBay #porsche #volkswagen #tool #vw</t>
  </si>
  <si>
    <t>RT @doern: #VW-AR tagt noch. PR-Sprecher: Zeit reicht für ne Currywurst. #Handelsblatt-Kollege Schnell kann die nicht mehr sehn https://t.c…</t>
  </si>
  <si>
    <t>Check out XZN Set 9 Tools for VW Audi Volkswagen Porsche https://t.co/OhdKOeSotT via @eBay #vw #vwtool #tools #audi #auditool</t>
  </si>
  <si>
    <t>Eliott Law</t>
  </si>
  <si>
    <t xml:space="preserve">eastbourne, England </t>
  </si>
  <si>
    <t>Life to short to be unhappy, dont let anyone bring you down! Laughter with freinds and family best form of happiness! times doesn't wait for anyone!</t>
  </si>
  <si>
    <t>RT @handelsblatt: Der Kollege @doern ist heute in #Wolfsburg vor Ort. #FF #VW #Volkswagen https://t.co/8bpsP9gtji</t>
  </si>
  <si>
    <t>Braulio Urresti Vela</t>
  </si>
  <si>
    <t>#vw #volkswagen #golf #schwarz #black #car #canon #eos1100d #eos1100dcanon #foto #pic #picture #pictureoftheday https://t.co/amDrqye0Bj</t>
  </si>
  <si>
    <t>eMobilitätOnline</t>
  </si>
  <si>
    <t>Elektrifizierungsschub: #VW gibt sich selbst #Elektroauto-Quote https://t.co/oDQprO4wgE https://t.co/tCFolsb2oQ</t>
  </si>
  <si>
    <t>Branchen- und Informationsportal für angewandte Elektromobilität</t>
  </si>
  <si>
    <t>JoHammonia</t>
  </si>
  <si>
    <t>Legt das Recht / die Rechtsprechung in den USA nicht nahe, dass der #VW-Konzern den Staat wegen Kundenschwunds auf Schadensersatz verklagt?</t>
  </si>
  <si>
    <t>EU-D-HH</t>
  </si>
  <si>
    <t>Moin ㋡</t>
  </si>
  <si>
    <t>Karsten Smid</t>
  </si>
  <si>
    <t>#Abgasaffäre: Bosch hat Schummelsoftware nicht nur an #VW geliefert https://t.co/kspW2SIzSa via @SPIEGELONLINE #dieselgate</t>
  </si>
  <si>
    <t>Karsten, Dipl.-Ing für Umweltschutztechnik, Kampagnenleiter für Klima &amp; Energie bei Greenpeace.</t>
  </si>
  <si>
    <t>xcomp1</t>
  </si>
  <si>
    <t>Geil.Ich bau Schei..e und diskutier dann, ob ich Boni bekomme.Die sollten den #VW Vorstand ohne Essen ins Bett schicken.</t>
  </si>
  <si>
    <t>twidge</t>
  </si>
  <si>
    <t>localhost</t>
  </si>
  <si>
    <t>Für Netzneutralität, gegen Überwachung, gegen TTIP und vor allem kein Fussballfan</t>
  </si>
  <si>
    <t>Fabian</t>
  </si>
  <si>
    <t>Tief im Westen</t>
  </si>
  <si>
    <t>Fleischesser | Craft Beer Fan | VfL Bochum | Hip Hop Addict since Ready to Die</t>
  </si>
  <si>
    <t>Teresa Montaño</t>
  </si>
  <si>
    <t>#Daimler, #VW, #Mitsubishi : #Auto-Aktien auf #Crash-Kurs https://t.co/eSfUMxa3VZ</t>
  </si>
  <si>
    <t>Cafe Racer</t>
  </si>
  <si>
    <t>Thats decided. Added #karmann #ghia to my should buy #cars list. #want #cars #vw #perfect #stylish https://t.co/teNnpqMV4B</t>
  </si>
  <si>
    <t>Obsessed by cafe racers, scrambler, trackers, vintage gear and cars! Transforming myself to the life what I want to live. My Twitter is my moodboard</t>
  </si>
  <si>
    <t>Ole Wintermann</t>
  </si>
  <si>
    <t>.@Umwelthilfe: Praxis der Autokonzerne ist „vorsätzliche Körperverletzung mit Todesfolge“ #dieselgate #VW #Bosch https://t.co/bnMpTmBPm2</t>
  </si>
  <si>
    <t xml:space="preserve">Human Rights, Climate Change </t>
  </si>
  <si>
    <t>#Futureofwork. Here: Personal views. English/German/Swedish. Find me v @fc__org, @wEYE_info and @arbeiten40 as well</t>
  </si>
  <si>
    <t>ＶＷ、排ガス不正対応で米当局と合意 和解金支払いへ * https://t.co/Wdcz3MJ3Nu #VW #アメリカ #和解金支払い #排ガス不正</t>
  </si>
  <si>
    <t>RT @CampervanGift: Campervan Windbreak. Great for a #VW festival or day at the beach https://t.co/iltMnPR9wM #campervan #festival #wind htt…</t>
  </si>
  <si>
    <t>marcting snugo</t>
  </si>
  <si>
    <t>RT @olewin: .@Umwelthilfe: Praxis der Autokonzerne ist „vorsätzliche Körperverletzung mit Todesfolge“ #dieselgate #VW #Bosch https://t.co/b…</t>
  </si>
  <si>
    <t>Gütersloh, Deutschland</t>
  </si>
  <si>
    <t>Mobile Specialist and Digital Native</t>
  </si>
  <si>
    <t>#techhippie #golf #mk7 #gtd #vw #sunset #spring #iphone by christopher.brieden https://t.co/Eb45LLZNug</t>
  </si>
  <si>
    <t>william</t>
  </si>
  <si>
    <t>LULUCF offsets undo the benefits of vehicle regs. After #VW it's time 4 real #CO2 cuts, not more tricks https://t.co/IJZE8HTtsc @transenv</t>
  </si>
  <si>
    <t>tweets reflect my views, RT = not endorsement</t>
  </si>
  <si>
    <t>EIL: Regierungskreise - Deutsche Hersteller rufen 630.000 Autos zurück. https://t.co/fPfSiPe0Zz #Audi #Porsche #Mercedes #Volkswagen #VW</t>
  </si>
  <si>
    <t>#VW llega a un acuerdo con EE UU: recomprará hasta 482.000 coches</t>
  </si>
  <si>
    <t>#VW Qué ocurrirá con el mercado Europeo?¿ Qué opináis?¿</t>
  </si>
  <si>
    <t>Who's going to broke.east this Sunday? #R32 #vw #mk4 #golf #beach #car #low #bagged #euro @… https://t.co/KK62U4zpv5</t>
  </si>
  <si>
    <t>Gunna1492</t>
  </si>
  <si>
    <t>Pitcairninseln</t>
  </si>
  <si>
    <t>kritisch aber optimistisch, kein AfD Wähler, Europäer, für Demokratie/Bargeld gegen Zensur/TTip u Vertuschung,toleranter Selbstdenker,Naturbursche</t>
  </si>
  <si>
    <t>Лилия Копцева</t>
  </si>
  <si>
    <t>👷 25624 Followers! Have #Fun ღ ☁ 💜 #truestory #vw #gamis #videonovo https://t.co/9VWDFBzFwG</t>
  </si>
  <si>
    <t>Susanne Preuß</t>
  </si>
  <si>
    <t>Oho. Laut @reuters_de rufen #Mercedes, #Audi, #Porsche, #VW und #Opel insgesamt 630.000 Autos zurück - wegen Abgasnachbehandlung...</t>
  </si>
  <si>
    <t xml:space="preserve">Stuttgart </t>
  </si>
  <si>
    <t>Wirtschaftskorrespondentin der FAZ in Stuttgart ... Schwäbische Hausfrau mit badischem Migrationshintergrund</t>
  </si>
  <si>
    <t>Massenrückruf in Deutschland - https://t.co/btoMScGHcv #vw #dieselgate</t>
  </si>
  <si>
    <t>eBay: Volkswagen Beetle Very Low mileage https://t.co/nxD6QAowXh #vwbeetle #vwbug #vw https://t.co/xvfL74PTgl https://t.co/ev222EESkW</t>
  </si>
  <si>
    <t>Heike S</t>
  </si>
  <si>
    <t>#VW #Pötsch: Angesichts solch primitiver Raffgierigkeit kann der Verdruss "normaler" Menschen doch nicht verwundern. https://t.co/0Y5XrcBIbj</t>
  </si>
  <si>
    <t>Düren, Germany</t>
  </si>
  <si>
    <t>Matt Keegan</t>
  </si>
  <si>
    <t>Cary, NC</t>
  </si>
  <si>
    <t>Independent automotive correspondent. Contributes to: Auto Trends, CARFAX, Internet Brands &amp; NAPA. Freelancer elsewhere. Inquiring reporter always.</t>
  </si>
  <si>
    <t>Ö1 Journale</t>
  </si>
  <si>
    <t>„Druck gegenüber #VW muss erhöht werden“ sagt Ulrike Wolf #VKI zu VW-Skandal https://t.co/stg9Ysztyc https://t.co/EFu3DLCUqP</t>
  </si>
  <si>
    <t>Swat.io</t>
  </si>
  <si>
    <t>Information für Anspruchsvolle, ganz offiziell vom Informations- und Kultursender Ö1. #ö1journale.</t>
  </si>
  <si>
    <t>#VW EEUU La empresa también recompensará adicionalmente a los propietarios que vendan sus vehículos o los arreglen</t>
  </si>
  <si>
    <t>Si eres uno de los #Afectados por el escándalo #Volkswagen y buscas una compensación, contáctanos en afectadosgrupovw@hotmail.com o al Teléfono 914570064.</t>
  </si>
  <si>
    <t>„Erwarten uns dass #VW in #Europa die gleiche Entschädigung anbietet wie in #Amerika“:Ulrike Wolf #VKI zu VW-Skandal https://t.co/stg9Ysztyc</t>
  </si>
  <si>
    <t>„Laden alle Fahrzeughalter ein sich bei uns zu melden“: Ulrike Wolf #VKI zu #VW-Skandal https://t.co/stg9Ysztyc</t>
  </si>
  <si>
    <t>RT @stekauf: Massenrückruf in Deutschland - https://t.co/btoMScGHcv #vw #dieselgate</t>
  </si>
  <si>
    <t>#VW #Volkswagen #facelift #Amarok https://t.co/6F1LyMyybk</t>
  </si>
  <si>
    <t>#VW EEUU El acuerdo no cubre alrededor de 80.000 vehículos dotados con motores turbo diésel de 3 litros</t>
  </si>
  <si>
    <t>Pug</t>
  </si>
  <si>
    <t>Live to drive《De mi novia y nadie mas》 Snap: matt_barbera Insta: matt_barbera1</t>
  </si>
  <si>
    <t>Max N Lamping</t>
  </si>
  <si>
    <t>elektroWolf</t>
  </si>
  <si>
    <t>Elektrifizierungsschub: #VW gibt sich selbst Elektroauto-Quote https://t.co/9sV2QSzm7u</t>
  </si>
  <si>
    <t>Elektromobilität und Erneuerbare Energien</t>
  </si>
  <si>
    <t>FOCUS MONEY</t>
  </si>
  <si>
    <t>EIL: Deutsche Hersteller rufen 630.000 Autos zurück. Darunter: #VW, #Daimler, #Audi, #Opel! https://t.co/PAXLat5AMQ</t>
  </si>
  <si>
    <t>Willkommen auf der Twitter-Seite von FOCUS MONEY. Wir halten Euch rund um die Themen Geld und Börse up to date. Getweetet wird aus der Redaktion in München.</t>
  </si>
  <si>
    <t>#VW El software, instalado cambia las características del funcionamiento del motor https://t.co/HMy4tmbbTk vía @giphy</t>
  </si>
  <si>
    <t>Claudio Sánchez</t>
  </si>
  <si>
    <t>Asunción Paraguay</t>
  </si>
  <si>
    <t>5dias, Economía y Negocios</t>
  </si>
  <si>
    <t>BabyAWACS B00FY0UKNI</t>
  </si>
  <si>
    <t>@ThielsChristian @ReutersWorld honest. I'm surprised they didn't bust #vw @business @squawkcnbc @cnbcstreet @madmoneyoncnbc @jimcramer</t>
  </si>
  <si>
    <t>BabyAWACS - TRULY independent.</t>
  </si>
  <si>
    <t>[NOT FOR SPIES] WHAT IS A HUMAN BEING B00FY0UKNI and smashwords-552210</t>
  </si>
  <si>
    <t>mysh</t>
  </si>
  <si>
    <t>Ulm</t>
  </si>
  <si>
    <t>Bunte Shader, pinke Muetzen, gruener Tee, Regenbogeniro.</t>
  </si>
  <si>
    <t>enki images</t>
  </si>
  <si>
    <t>https://t.co/DUmhfrpLLh @VW @vwpress_en @VWcanada @CamperVantastic @CamperVin #vw #cars #vans #VW #VWRALLY</t>
  </si>
  <si>
    <t>#BREAKING Audi, Porsche, #Mercedes, #VW &amp; Opel to recall 630,000 vehicles, @reuters_de reports citing govt sources https://t.co/4pBefLGHon</t>
  </si>
  <si>
    <t>Moellus</t>
  </si>
  <si>
    <t>Leistung muss sich wieder lohnen. https://t.co/wB8ls1Drs3 #brd #vw /via @SPIEGELONLINE</t>
  </si>
  <si>
    <t>Ich bin Moellus und ihr ja nicht.</t>
  </si>
  <si>
    <t>#Rückruf bei #Audi #Porsche #MercedesBenz #VW #opel: 630000 Fahrzeuge betroffen, laut Vertreter Bundesregierung. Es geht um Abgasreinigung.</t>
  </si>
  <si>
    <t>sadiq muh'd gajimi</t>
  </si>
  <si>
    <t>Nigeria.</t>
  </si>
  <si>
    <t>starmountain01@gmail.com</t>
  </si>
  <si>
    <t>Jens Katemann</t>
  </si>
  <si>
    <t>RT @supreuss: Oho. Laut @reuters_de rufen #Mercedes, #Audi, #Porsche, #VW und #Opel insgesamt 630.000 Autos zurück - wegen Abgasnachbehandl…</t>
  </si>
  <si>
    <t>Stuttgart, Baden-Württemberg</t>
  </si>
  <si>
    <t>Chefredakteur auto motor und sport</t>
  </si>
  <si>
    <t>Trova-Prezzi-Coupon</t>
  </si>
  <si>
    <t>#Motori: #VW: raggiunto l'accordo negli USA per lo scandalo emissioni https://t.co/6u7fxYEIWa</t>
  </si>
  <si>
    <t>il Trova Miglior Prezzo e Coupon di TuttOSuLinuX</t>
  </si>
  <si>
    <t>vorsicht.bissig</t>
  </si>
  <si>
    <t>Wenn verantwortl. #Führungskräfte mehr Schaden anrichten als alle #Mindestlöhner kosten: WEN sollte man WIE bezahlen? #Dieselgate #Bosch #VW</t>
  </si>
  <si>
    <t>31 km over ground</t>
  </si>
  <si>
    <t>Tell me where do I belong in a sick society' (Ozzy O.) Barking a lot of disrespectful comments on a men's world - from a dog's point of view</t>
  </si>
  <si>
    <t>Heiner M. Leukel</t>
  </si>
  <si>
    <t>RT @aktuelle_stunde: #Rückruf bei #Audi #Porsche #MercedesBenz #VW #opel: 630000 Fahrzeuge betroffen, laut Vertreter Bundesregierung. Es ge…</t>
  </si>
  <si>
    <t>Dorsten, Nordrhein-Westfalen</t>
  </si>
  <si>
    <t>Allegro ma non troppo ~ Harmoniebeauftragter ~ Der Clown ist die wichtigste Mahlzeit des Tages! ~ Hat das Licht gesehen ~ Hobby-Barista</t>
  </si>
  <si>
    <t>#Autowerte geraten wegen #Abgasaffäre ins Straucheln: #Daimler bis zu -6% #Peugeot &amp; #VW -4,5% #BMW, #Renault &amp;amp; #Fiat bis zu -3,3%. #Diesel</t>
  </si>
  <si>
    <t>Pezperry</t>
  </si>
  <si>
    <t>RT @ThreeBridgeCC: Tourer SWB conversion #campervan #VWcamper #VW #transporter #threebridge #camperconversion https://t.co/0mS1ZPqH4h</t>
  </si>
  <si>
    <t>KGF Classic Cars</t>
  </si>
  <si>
    <t>Be different. The alternative #vw Golf GTi and Peugeot 205 GTi. Our 1984 Alfasud Ti 1.3 #flickr https://t.co/4Kc6vwlfhP</t>
  </si>
  <si>
    <t>Peterborough, UK</t>
  </si>
  <si>
    <t>KGF Classic Cars seek to offer genuine, low mileage and original classic cars from the 1970's, 1980's and 1990's.</t>
  </si>
  <si>
    <t>#emissionsscandal #VW - der Konzern stellt 16,4 Milliarden Euro zurück, um die Folgen des Abgas-Skandals zu beheben.</t>
  </si>
  <si>
    <t>Christian Kölling</t>
  </si>
  <si>
    <t xml:space="preserve">Berlin </t>
  </si>
  <si>
    <t>Nachhaltige Entwicklung, Sustainable development, Développement durable, Trvale udržitelný rozvoj</t>
  </si>
  <si>
    <t>#MakeImpact254</t>
  </si>
  <si>
    <t>RT @dw_business: #BREAKING Audi, Porsche, #Mercedes, #VW &amp; Opel to recall 630,000 vehicles, @reuters_de reports citing govt sources https:/…</t>
  </si>
  <si>
    <t>African woman after God's own heart. Influencing generations. One soul at a time.Communications.Development. Governance. Youth.Peace.SMEs</t>
  </si>
  <si>
    <t>eBay: vw t5 camper volkswagen transporter t5… https://t.co/vsKoB28osM #vwcamper #vwbus #vw https://t.co/ZEadscsjBy https://t.co/901tKmkvmi</t>
  </si>
  <si>
    <t>#VW En Europa, sin embargo, se descarta, de momento, cualquier tipo de compensación. Qué opináis?¿</t>
  </si>
  <si>
    <t>The Driver</t>
  </si>
  <si>
    <t>Wen #Pötsch mit "existenzbedrohenden Krise" meinte, ist nun klar. https://t.co/8sOqwOZxbj #dieselgate #vw #Volkswagen</t>
  </si>
  <si>
    <t>Geht nicht gibts nicht!</t>
  </si>
  <si>
    <t>VCD Nordost</t>
  </si>
  <si>
    <t>#Klimawandel Der VCD, der Verkehrsclub mit Klimaschutzfaktor, ist regional als Landesverband Nordost in Berlin und Mecklenburg-Vorpommern aktiv.</t>
  </si>
  <si>
    <t>ZDF Niedersachsen</t>
  </si>
  <si>
    <t>Warten auf die Pressekonferenz des #VW-Aufsichtsrates in Wolfsburg. https://t.co/vvvxEouyWL</t>
  </si>
  <si>
    <t>Hier twittert das #ZDF Landesstudio #Niedersachsen aus #Hannover</t>
  </si>
  <si>
    <t>Steve Heath</t>
  </si>
  <si>
    <t>RT @CafeRacerGear: Thats decided. Added #karmann #ghia to my should buy #cars list. #want #cars #vw #perfect #stylish https://t.co/teNnpqM…</t>
  </si>
  <si>
    <t>West Hampstead London England</t>
  </si>
  <si>
    <t>#Londoner #Property Developing Consulting #Porsche911 Family #SalsaDancing Gooner #Cycling In The Real Holiday TV Show #Havana #Cuba with #DavinaMcCall 1999</t>
  </si>
  <si>
    <t>Sebastian P. Fischer</t>
  </si>
  <si>
    <t>#vw #dieselgate Meine Entscheidung als mündiger Bürger ist angesichts dessen was Vorstand + Aufsichtsrat tun klar - sicher kein Auto von VW!</t>
  </si>
  <si>
    <t>trust the process</t>
  </si>
  <si>
    <t>Power_Cars</t>
  </si>
  <si>
    <t>Powercars #Loppem: #VW # #Diesel, 01.02.2013, 101.500 km, 18.900 € https://t.co/wwoodEiE4O https://t.co/yztUm9HvAx</t>
  </si>
  <si>
    <t>Powers - Modix Vehicle App</t>
  </si>
  <si>
    <t>Exclusive Car Dealer, specialized@Porsche. http://t.co/rC2lK3o5Bx Powered by Van Oost</t>
  </si>
  <si>
    <t>Schoresch Davoodi</t>
  </si>
  <si>
    <t>Bochum</t>
  </si>
  <si>
    <t>Politik, Shadowrun und Nudeln Liebhaber</t>
  </si>
  <si>
    <t>APA</t>
  </si>
  <si>
    <t>VW Canada to buy back, repair or compensate owners of more than 100,000 vehicles @globeandmail https://t.co/dth9yAWab8 #VW #Volkswagen</t>
  </si>
  <si>
    <t>Automobile Protection Association. Organization that lobbies for improved auto safety standards and promotes consumer information.</t>
  </si>
  <si>
    <t>L'attimo fuggente</t>
  </si>
  <si>
    <t>#Dieselgate, gli Usa trovano accordo con #VW e chiedono chiarimenti a #Daimler https://t.co/0ybEDj8CK1</t>
  </si>
  <si>
    <t>PAGELLE &amp; CLASSIFICHE DEL MONDO ECONOMICO E POLITICO.</t>
  </si>
  <si>
    <t>K-H Mueller</t>
  </si>
  <si>
    <t>Verlustreichstes Jahr bei VW: Mit Volkswagen fällt in den nächsten Jahren in Niedersachsen, ein großer Steuerzahler teilweise aus. #VW</t>
  </si>
  <si>
    <t>Flensburger Förde</t>
  </si>
  <si>
    <t>Schwierigkeiten werden nicht dadurch überwunden, dass sie verschwiegen werden. Bertolt Brecht</t>
  </si>
  <si>
    <t>- = Curta e compartilhe nossa página = - https://t.co/fUXkoGz0mA Siga no Instagram | @collection_vw #vw #vwlove… https://t.co/uIAyf8gl68</t>
  </si>
  <si>
    <t>Kinclongg~~ 😍 #repost #vwinteriors #vw #vwbeetle #vwbug by de_project_vw_service_jogja https://t.co/Rfvhiwe7Jq</t>
  </si>
  <si>
    <t>Hayırlı Cumalar :)#vosvos #woswos #vosvosmylife #vosvossevdası #vosvosaşkı #vosvoshastası #beetle #vw #vwlove #vwb… https://t.co/jMbZFyA35g</t>
  </si>
  <si>
    <t>#thegaragebr #kustomkulture #vw #vwlovers #volks #fusca #vwfusca #beetle#vwbeetle #bug #karmannghia #aircooled #air… https://t.co/lbGdi9k7Gu</t>
  </si>
  <si>
    <t>inforadio</t>
  </si>
  <si>
    <t>Regierungskreise: #Audi #Mercedes #Opel #Porsche #VW rufen wegen Unregelmäßigkeiten bei der Abgasbehandlung hunderttausende Autos zurück</t>
  </si>
  <si>
    <t>Inforadio vom rbb - Besser informiert.</t>
  </si>
  <si>
    <t>One for me, one for my baby girl! @allisonsoffa #vw #beetlebug #vwbeetle by teresa2561 https://t.co/htT5QYmP9s</t>
  </si>
  <si>
    <t>VW-Aufsichtsratschef: Pötsch ließ sich 20 Millionen Euro garantieren https://t.co/6DJAhqrBwv - unfassbar, Schamgefühl Fehlanzeige! #vw</t>
  </si>
  <si>
    <t>Jump NRun</t>
  </si>
  <si>
    <t>RT @MiKaTa_de: #Winterreifen #Reifen #VW zum #kaufen #verkaufen in #Leipzig. https://t.co/k2W4y8S4Qv #Dresden #Sachsen #Halle https://t.co/…</t>
  </si>
  <si>
    <t>Hakan Deliduman</t>
  </si>
  <si>
    <t>Amazing #life #love #vw #vwbus #old #vintage https://t.co/Mla87O8K9R</t>
  </si>
  <si>
    <t>41.105909,29.044685</t>
  </si>
  <si>
    <t>Head of Marketing &amp; Sales</t>
  </si>
  <si>
    <t>Nicht nur die #VW-Marken, auch #Mercedes und #Opel müssen Fahrzeuge wegen einer Abschalteinrichtung zurückrufen #KBA https://t.co/MeVBvfEpaJ</t>
  </si>
  <si>
    <t>Nicht nur #VW: Deutsche Hersteller rufen 630.000 Autos zurück via @focusonline https://t.co/TlpFTbT7YJ</t>
  </si>
  <si>
    <t>2014 Volkswagen Jetta 2.0LS Sedan: Used 2014 Volkswagen Jetta, from Boardwalk Auto Mall in Red... https://t.co/naAXnysHfo #VW #jetta #car</t>
  </si>
  <si>
    <t>2015 Volkswagen Jetta 1.8T SE W/CONNECT(877) 229-2171: 2015 Volkswagen Jetta from Vern Eide Us... https://t.co/uUnIXLmGvb #VW #jetta #car</t>
  </si>
  <si>
    <t>Stokie Bateman</t>
  </si>
  <si>
    <t>RT @beetlebug1938: One for me, one for my baby girl! @allisonsoffa #vw #beetlebug #vwbeetle by teresa2561 https://t.co/htT5QYmP9s</t>
  </si>
  <si>
    <t>Newcastle-under-Lyme, England</t>
  </si>
  <si>
    <t>Teenager, music maker, and a massive Stoke City fan. Rule ̶B̶r̶i̶t̶a̶n̶n̶i̶a̶ Bet365! (#COYMP #SCFC)</t>
  </si>
  <si>
    <t>Szmeskó Gábor</t>
  </si>
  <si>
    <t>I love vw! 🚗💜🚘🏁 #VW #golf1 #mk1 #car #Racing #streetracing https://t.co/ENGNtQoMIt</t>
  </si>
  <si>
    <t>Budapest, Hungary</t>
  </si>
  <si>
    <t>RT @beetlebug1938: #thegaragebr #kustomkulture #vw #vwlovers #volks #fusca #vwfusca #beetle#vwbeetle #bug #karmannghia #aircooled #air… htt…</t>
  </si>
  <si>
    <t>#BREAKING Audi, Porsche, #Mercedes, #VW &amp; Opel to recall 630,000 vehicles according to news agencies</t>
  </si>
  <si>
    <t>RT @bayl: Nicht nur die #VW-Marken, auch #Mercedes und #Opel müssen Fahrzeuge wegen einer Abschalteinrichtung zurückrufen #KBA https://t.co…</t>
  </si>
  <si>
    <t>Kelv Ang</t>
  </si>
  <si>
    <t>RT @dwnews: #BREAKING Audi, Porsche, #Mercedes, #VW &amp; Opel to recall 630,000 vehicles according to news agencies</t>
  </si>
  <si>
    <t>New Zealand</t>
  </si>
  <si>
    <t>Web developer, born in Singapore, currently living in Christchurch, New Zealand.</t>
  </si>
  <si>
    <t>Dietmar Neuerer</t>
  </si>
  <si>
    <t>Reporter im Hauptstadtbüro des Handelsblatts (@handelsblatt).</t>
  </si>
  <si>
    <t>Alex B</t>
  </si>
  <si>
    <t>.@DerSPIEGEL reports that Bosch supplied not only #VW with device to manipulate emissions. Other customers: BMW, Opel, Mercedes #dieselgate</t>
  </si>
  <si>
    <t>RT @bayl: (Altbekannter) Funfact: #VW verkauft mehr Currywürste als Autos. Und noch nie musste eine zurückgerufen werden. https://t.co/MkSQ…</t>
  </si>
  <si>
    <t>rbb Abendschau</t>
  </si>
  <si>
    <t>Autohersteller rufen 630.000 Autos wg. Unregelmäßigkeiten bei Abgasbehandlung zurück. Betroffen #Audi, #Porsche, #Mercedes, #VW und #Opel.</t>
  </si>
  <si>
    <t>Tweets aus der Abendschau-Redaktion rund um die Themen der Sendung: Täglich um 19:30 Uhr im @rbbFernsehen.</t>
  </si>
  <si>
    <t>Monika Schäfer</t>
  </si>
  <si>
    <t>Für Liebe - Menschenrechte - Natur - Humor - Buddha - Kunst - Musik * Gegen Krieg - Armut - Gewalt - Geb. 9. November</t>
  </si>
  <si>
    <t>LUSCHDISCHX</t>
  </si>
  <si>
    <t xml:space="preserve">HIER </t>
  </si>
  <si>
    <t>Alles, außer FDP. Gebacken am, keine Ahnung, Pass verbrannt .</t>
  </si>
  <si>
    <t>Alexander Duevel</t>
  </si>
  <si>
    <t>Im retweeting mostly news about online marketing, social media, facebook and branding.</t>
  </si>
  <si>
    <t>VW: Trotz Rückstellungen bleiben unkalkulierbare Risiken https://t.co/QczHGayz82 #VW #Dieselgate</t>
  </si>
  <si>
    <t>Ivan</t>
  </si>
  <si>
    <t>Hrvatska, Dalmacija</t>
  </si>
  <si>
    <t>Roman Catholic.Be wise as serpents and innocent as doves(Mt10:16).U VII st.mi Croati primismo Krst od pape sv.Agatona i savez vjernosti sv.Stolici dadosmo.</t>
  </si>
  <si>
    <t>Alexander Kaas Elias</t>
  </si>
  <si>
    <t>RT @tagesschau: VW: Trotz Rückstellungen bleiben unkalkulierbare Risiken https://t.co/QczHGayz82 #VW #Dieselgate</t>
  </si>
  <si>
    <t>Berlin (Char.-Wilm.), Germany</t>
  </si>
  <si>
    <t>Wilmersdorfer in #Berlin/#Europa: Bezirksverordneter @GrueneBVVCW &amp; Direktkandidat @Gruene_CW #AGH-Wahlkreis 6 #WKCW6 (#Wilmersdorf) #Charlottenburg-Wilmersdorf</t>
  </si>
  <si>
    <t>Aki Heikkinen</t>
  </si>
  <si>
    <t>Finland.</t>
  </si>
  <si>
    <t>This is my penance | Tweets in Finglish and Finnish | Retweets, following ≠ endorsements | My better half is @KatiHeikkinen1 | Curating @RUSexercises</t>
  </si>
  <si>
    <t>Katja Losch</t>
  </si>
  <si>
    <t>Breaking: German automakers to recall 630,000 cars in Europe over emissions irregularities: govt source #VW #dieselgate</t>
  </si>
  <si>
    <t>Business anchor at DW - covering politics and markets - happily living in Berlin - proud mother of two - usual and unusual caveats</t>
  </si>
  <si>
    <t>volksmusik™</t>
  </si>
  <si>
    <t>I need that morning coffee #tgif #miamivw #vwbus #vw #aircooled #classicvw https://t.co/TLMNNYazPu</t>
  </si>
  <si>
    <t>Not a German folk band. '12 @miaminewtimes Reader's Choice Best DJ Booking: info@thevolksmusik.com. Djing out of a VW Bus</t>
  </si>
  <si>
    <t>I need that morning coffee #tgif #miamivw #vwbus #vw #aircooled #classicvw https://t.co/V6TO9u13bv</t>
  </si>
  <si>
    <t>James Ross</t>
  </si>
  <si>
    <t>St. Louis</t>
  </si>
  <si>
    <t>No awards-just Kindle No. 1 rankings/ Author w lots of readers/Memorable characters/Fiction from a STL golf setting/Cozy Mystery Novels/Join me @JamesRossBooks</t>
  </si>
  <si>
    <t>Patrick McGee</t>
  </si>
  <si>
    <t>RT @katjalosch: Breaking: German automakers to recall 630,000 cars in Europe over emissions irregularities: govt source #VW #dieselgate</t>
  </si>
  <si>
    <t xml:space="preserve">Deutchland </t>
  </si>
  <si>
    <t>Frankfurt Correspondent for the @FT. Former Lead Writer of fastFT in Hong Kong. @WSJ alum, New York. One of those Canadians with a maple leaf on backpack.</t>
  </si>
  <si>
    <t>Ina Zimmerman</t>
  </si>
  <si>
    <t>Front End Developer, technology news junkie, Music Lover &amp; Vinyl Addict</t>
  </si>
  <si>
    <t>Trends Today</t>
  </si>
  <si>
    <t>#BREAKING #Audi, #Porsche, #Mercedes, #VW &amp; Opel to recall 630,000 vehicles, @reuters_de reports citing govt sources via @dw_business</t>
  </si>
  <si>
    <t>India, United States</t>
  </si>
  <si>
    <t>Your Social Newspaper Instant breaking news from Top Social Media. Install App now: https://t.co/NJGsnkARK9 https://t.co/Tqkn8UDdDp</t>
  </si>
  <si>
    <t>Matthias Struwe</t>
  </si>
  <si>
    <t>Bin gespannt, wie #Justiz mit breit angelegtem #Betrug d #Autoindustrie umgeht #Bosch #VW #dieselgate https://t.co/boyAOB9GTJ @SPIEGELONLINE</t>
  </si>
  <si>
    <t>Freiburg</t>
  </si>
  <si>
    <t>Matthias Struwe ist Inhaber der auf Wirtschaftskanzleien spezialsierten PR-Agentur Eye Communications. Tweets sind überwiegend privat.</t>
  </si>
  <si>
    <t>An idea for your weekend breakfast? Have a great one all! #HappyFriday #Weekend #VW https://t.co/SCXUm6L54B</t>
  </si>
  <si>
    <t>#BREAKING German automakers to recall 630,000 cars in Europe over emissions irregularities. Incl., #VW &amp; #Daimler. https://t.co/TIn9JhCuVY</t>
  </si>
  <si>
    <t>Backroom Spin</t>
  </si>
  <si>
    <t>Follow us to know what's trending on Twitter Politics ~ Business ~ News ~ Tech</t>
  </si>
  <si>
    <t>RT @boersenzeitung: #Autowerte geraten wegen #Abgasaffäre ins Straucheln: #Daimler bis zu -6% #Peugeot &amp; #VW -4,5% #BMW, #Renault &amp;amp; #Fiat b…</t>
  </si>
  <si>
    <t>H.Kok</t>
  </si>
  <si>
    <t>A seriously, ridiculously and magnificent (re-)build of a #VW #Beetle : the #Mendeoval https://t.co/Sj8fwUvQyW https://t.co/TFTiBeW6dp</t>
  </si>
  <si>
    <t>Netherlands</t>
  </si>
  <si>
    <t>Photography, design in general, science, comics, gadgets, peugeot 205, but mostly human (mis-)behaviour ;)</t>
  </si>
  <si>
    <t>Mark Devlin</t>
  </si>
  <si>
    <t>RT @APA_LEMONAID: VW Canada to buy back, repair or compensate owners of more than 100,000 vehicles @globeandmail https://t.co/dth9yAWab8 #V…</t>
  </si>
  <si>
    <t>Dublin Ireland</t>
  </si>
  <si>
    <t>If people smile at you then smile back its already a mad world out there in ❤ w/ a BEAUTIFUL GUY #coys #THFC for life ⚽</t>
  </si>
  <si>
    <t>Sahadev Jennu</t>
  </si>
  <si>
    <t>@nytimesworld #VW emissions r so alarming what do d company's Quality Control Dept is doing? Why do they run company at d cost of customers.</t>
  </si>
  <si>
    <t>retd senior engineer of BSNL Govt of India, a critic and social worker.</t>
  </si>
  <si>
    <t>Karen Foreman-Brown</t>
  </si>
  <si>
    <t>Christchurch, New Zealand</t>
  </si>
  <si>
    <t>fan of humanity living in harmony with the planet and every entity on it. Nelson bound real soon.</t>
  </si>
  <si>
    <t>Deutsche Hersteller rufen rund 630.000 Autos zurück, darunter Autos von #Audi, #Mercedes, #Opel, #Porsche und #VW https://t.co/j0I06MVJah</t>
  </si>
  <si>
    <t>Martin Krauß</t>
  </si>
  <si>
    <t>RT @ZDFheute: Deutsche Hersteller rufen rund 630.000 Autos zurück, darunter Autos von #Audi, #Mercedes, #Opel, #Porsche und #VW https://t.c…</t>
  </si>
  <si>
    <t>Messel</t>
  </si>
  <si>
    <t>Online-Journalist, B.A. | Medienentwickler, M.A. | Blogger, Journalist, Mensch | Privater Account. Private Meinung. | Impressum: https://t.co/RdWn34P7Uo</t>
  </si>
  <si>
    <t>Endlich trifft es #BOSCH! Die haben die #Schummelsoftware entwickelt und verkauft! #VW #Daimler #Audi #dieselgate https://t.co/MxVk2yL12Z</t>
  </si>
  <si>
    <t>Söhnke Embshoff</t>
  </si>
  <si>
    <t>Bundesrepublik Deutschland</t>
  </si>
  <si>
    <t>Interessier mich für alles was in der Welt oder im Inland so passiert.</t>
  </si>
  <si>
    <t>Frau Z.</t>
  </si>
  <si>
    <t xml:space="preserve">50°53`02 N 6°06`31 O  oder für Insider KHEZ </t>
  </si>
  <si>
    <t>Eisenbahnerin. Strickerin. Feministin. Mag Musik, Bücher und Fußball in schwarz/gelb.</t>
  </si>
  <si>
    <t>Sascha Lichtenstein</t>
  </si>
  <si>
    <t>🚗 luckily I drive no #vw, #audi, #porsche, #opel, #mercede... 🚗</t>
  </si>
  <si>
    <t>Frontend Designer, UI/UX, Branding</t>
  </si>
  <si>
    <t>Offenbar haben #VW, #Daimler und #Opel eine Ausnahmeregelung zu weit ausgelegt. Genaueres hier: https://t.co/YIpEX7qrO4 … #KBA #Diesel</t>
  </si>
  <si>
    <t>Raja Uzi Khan</t>
  </si>
  <si>
    <t>- #BeenTooLong zukkstar. #BMW #BMWE30 #E30 #VW #VWGolf #Mk2Golf #GolfMk2 #Golf #Vr6… https://t.co/RWqmyHpVEv</t>
  </si>
  <si>
    <t>London - Owner/Designer At #RukTechnology.</t>
  </si>
  <si>
    <t>Ferdinand Krämer</t>
  </si>
  <si>
    <t>RT @dw_business: #BREAKING German automakers to recall 630,000 cars in Europe over emissions irregularities. Incl., #VW &amp; #Daimler. https:/…</t>
  </si>
  <si>
    <t>eBay: 2009 VOLKSWAGEN BEETLE 1.9 CONVERTIBLE… https://t.co/wfn5pevUqU #vwbeetle #vwbug #vw https://t.co/xvfL74PTgl https://t.co/quk5GzeAfH</t>
  </si>
  <si>
    <t>Abgasaffäre: #Bosch hat #Schummelsoftware nicht nur an #VW geliefert https://t.co/tymTmMTFy1 via @SPIEGELONLINE #DAX #Aktien #stocks</t>
  </si>
  <si>
    <t>KNord</t>
  </si>
  <si>
    <t>Ernst Werth</t>
  </si>
  <si>
    <t>@faznet Wann eralisieren #VW #Daimler und CO, daß sie allesamt Ziele des #USA-merikanischen Wirtschaftskrieges sind? https://t.co/LOAgVw3JfA</t>
  </si>
  <si>
    <t>Es dauert weiter bei #VW in #Wolfsburg. Wir bleiben dran. #Handelsblatt https://t.co/AYmQmAsi2y</t>
  </si>
  <si>
    <t>Rob Sternberg</t>
  </si>
  <si>
    <t>I agree with this woman. #VW, you owe me for the diesel you sold me under false pretenses. https://t.co/m8CU7Sc4ss https://t.co/1mamiklhN8</t>
  </si>
  <si>
    <t>Lancaster, PA</t>
  </si>
  <si>
    <t>Abbreviated thoughts from the shrinking mind of a college professor</t>
  </si>
  <si>
    <t>Ronaldo Aquino</t>
  </si>
  <si>
    <t>Sunniest window sill in Sydney</t>
  </si>
  <si>
    <t>Tax and fare evader, federal fugitive, reluctant klepto, food lover, vehement daydreamer and part-time perve.</t>
  </si>
  <si>
    <t>Julian Casas Moguel</t>
  </si>
  <si>
    <t>#BigBang is finally here! We’re looking forward to an awesome weekend full of everything #VW Photo: Clare Tarbox 📷 https://t.co/M8ybgSdNoD</t>
  </si>
  <si>
    <t>carzine.gr</t>
  </si>
  <si>
    <t>VW AMAROK: ΑΝΑΝΕΩΜΕΝΟ ΚΑΙ ΜΕ V6 DIESEL 3.000 ΚΥΒΙΚΩΝ https://t.co/1WAUdJnlXH #VW #VW Amarok</t>
  </si>
  <si>
    <t>carzinegr</t>
  </si>
  <si>
    <t>Athens, Hellas</t>
  </si>
  <si>
    <t>Cars, Motorcycles and Technology reports</t>
  </si>
  <si>
    <t>In #Ingolstadt wäre es Zeit für #Reinheitsgebot für #Diesel-#Fahrzeuge. #AUDI #VW #DefeatDevice #dieselgate #Bier https://t.co/cc4WXRvdiG</t>
  </si>
  <si>
    <t>Martin Ez</t>
  </si>
  <si>
    <t>mit'm SUV zum Bäcker fahren, aber "sauer" sein weil nur die Kunden in den USA eine Entschädigung abstauben 🙈 #VW</t>
  </si>
  <si>
    <t>tu der Welt einen Gefallen und werd' kein Gangster, ham'se gesagt - aber man kann das verbinden ;)</t>
  </si>
  <si>
    <t>siob</t>
  </si>
  <si>
    <t>RT @SantaPodRaceway: #BigBang is finally here! We’re looking forward to an awesome weekend full of everything #VW Photo: Clare Tarbox 📷 htt…</t>
  </si>
  <si>
    <t>EILMELDUNG: Deutsche Hersteller rufen 630.000 PKW wegen Abgas zurück | #Audi #Mercedes #Opel #Porsche #VW https://t.co/Oavi2KMWnl</t>
  </si>
  <si>
    <t>Fitting coilovers to VW T4 #vw #T4 #coilovers #lowered #dubluv #workshop #cornwall https://t.co/KTYNqL5c7H</t>
  </si>
  <si>
    <t>Michael Weiland</t>
  </si>
  <si>
    <t>RT @rbbabendschau: Autohersteller rufen 630.000 Autos wg. Unregelmäßigkeiten bei Abgasbehandlung zurück. Betroffen #Audi, #Porsche, #Merced…</t>
  </si>
  <si>
    <t>PR- und Kommunikationsberatung, Experte für Medienkooperationen, Start-Up Kommunikation, Entwicklung von PR Ideen zur Reichweitensteigerung</t>
  </si>
  <si>
    <t>Dirk Kreuter</t>
  </si>
  <si>
    <t>RT @Ernst1953Do: @faznet Wann eralisieren #VW #Daimler und CO, daß sie allesamt Ziele des #USA-merikanischen Wirtschaftskrieges sind? https…</t>
  </si>
  <si>
    <t>speaker of the year, Autor von über 50 Büchern - DVD - Hörbüchern, hält Vorträge über Vertrieb, Verkauf, Marketing und Akquise #dirkkreuter #vertriebsoffensive</t>
  </si>
  <si>
    <t>PCI Research Journal</t>
  </si>
  <si>
    <t>Information, News, Commentary, Opinions, Letters To The Editor, The President Or An Elected Official, Quotes, &amp; Announcements ...</t>
  </si>
  <si>
    <t>eBay: VW T2 Bay Window Camper Van https://t.co/ooAVcyp7Mr #vwcamper #vwbus #vw https://t.co/ZEadscsjBy https://t.co/C4YukB82eG</t>
  </si>
  <si>
    <t>MOZARTMUZIK</t>
  </si>
  <si>
    <t>Hermoso por donde se lo mire 💣💥💯 #volkswagen #vwlovers #vw #fox #rebaixado #rebaixados… https://t.co/WNXEtGsJW0</t>
  </si>
  <si>
    <t>Music Producer &amp; DJ @BlackCreamBar Beats, Grabaciones, Mezclas, Mastering Official Booking (+541138108436) MozartMuzik@gmail.com #FlowFactory #TeamBlack</t>
  </si>
  <si>
    <t>April competition ending soon. Go to https://t.co/ICoKnUN3RN highest rated van wins. @JustKampers #vw #campervan https://t.co/i07EhLpDbr</t>
  </si>
  <si>
    <t>BOSSSIWELL</t>
  </si>
  <si>
    <t>@BOSSSIWELL #vw #vwbug #vwhaunt #vwthailand #vwlove #vwmania… https://t.co/JYBsHWYGou</t>
  </si>
  <si>
    <t>Handwerks Zeitung</t>
  </si>
  <si>
    <t>Der #Amarok bekommt ein #Facelift. Das sind die Design-Updates des #VW #Pickup #Handwerk https://t.co/Bsy2ioxwbp https://t.co/OUUEkc5qDU</t>
  </si>
  <si>
    <t>Die DHZ ist mit einer Auflage von 480.000 Exemplaren die größte Wirtschaftszeitung Deutschlands. Impressum: http://t.co/i4YawWuakr</t>
  </si>
  <si>
    <t>Tristan Veith</t>
  </si>
  <si>
    <t>Man hätte ja auch stutzig werden können, als man herausfand, dass der Normverbrauch 30% unter dem Realverbrauch liegt. #dieselgate #VW</t>
  </si>
  <si>
    <t>liest...</t>
  </si>
  <si>
    <t>AbbeyVehicleLeasing</t>
  </si>
  <si>
    <t>#VW Golf R for only £236.88 + VAT! (BCH - 3+35 - 8k mpa). @UKBusinessRT #CarLease #AVLeasing https://t.co/TXSwQr9Eme https://t.co/aubpWIkSvo</t>
  </si>
  <si>
    <t>Vehicle #Leasing and #ContractHire consultants. All makes and models of #Cars and #Vans available. Call 029 2060 6504 #CarLeasing #VanLeasing #AVLeasing</t>
  </si>
  <si>
    <t>Stitch Perfect</t>
  </si>
  <si>
    <t>All finished and ready for collection #vwcrafter #vw #carupholstery #carinterior #handcrafted… https://t.co/rJuVvdosj7</t>
  </si>
  <si>
    <t>Worcester</t>
  </si>
  <si>
    <t>Trimmer/Upholsterer (Automotive interiors)</t>
  </si>
  <si>
    <t>Tipps geben, Trends aufzeigen – #VW pro Ehrenamt veranstaltet „Markt der Möglichkeiten“ für Sportvereine: https://t.co/djbJA701oo #VWSport</t>
  </si>
  <si>
    <t>Welche #Diesel in die Werkstatt müssen. Vom #VW #Crafter über die #Mercedes #AKlasse bis zum #Opel #Insignia. https://t.co/YZN3RD2Rti</t>
  </si>
  <si>
    <t>Touch - hash : #vw #volkswagen #vwgolf - https://t.co/iBAudzALXa - Touch</t>
  </si>
  <si>
    <t>Pavel Polák</t>
  </si>
  <si>
    <t>S emisemi evidentně nepodváděl jen #VW, ale taky další německé automobilky. V Německu se svolává 630tis aut.</t>
  </si>
  <si>
    <t>Zpravodaj Českého rozhlasu v Německu / Berlin Correspondent for the Czech Radio, views my own</t>
  </si>
  <si>
    <t>The Art Dept Stoke</t>
  </si>
  <si>
    <t>We have had these fantastic camper van prints in by Christopher Burton! #artwork #volkswagon #vw #campervan #hanley https://t.co/P7JepENHWw</t>
  </si>
  <si>
    <t>12 Brunswick Street, Hanley</t>
  </si>
  <si>
    <t>Quality #Art Supplies in #Hanley, #Stoke-on-Trent. Open: Mon - Fri: 10am to 6pm and Sat: 9am to 5pm Tel: 01782 284336 #artist #stokeontrent #startup</t>
  </si>
  <si>
    <t>Anielle Quesada</t>
  </si>
  <si>
    <t>I need that morning coffee #tgif #miamivw #vwbus #vw #aircooled #classicvw by thevolksmusik https://t.co/Ob9VIT941h</t>
  </si>
  <si>
    <t>eBay: 2007 VOLKSWAGEN TRANSPORTER T5 T30 174… https://t.co/FTIkAZQDaU #vwcamper #vwbus #vw https://t.co/ZEadscsjBy https://t.co/qkUZgELK1A</t>
  </si>
  <si>
    <t>Rosie</t>
  </si>
  <si>
    <t>Kiwi living in Tauranga, Sea Shepherd, great coffee and better living conditions for ALL. Environmental issues are important to me.</t>
  </si>
  <si>
    <t>RT @bayl: Welche #Diesel in die Werkstatt müssen. Vom #VW #Crafter über die #Mercedes #AKlasse bis zum #Opel #Insignia. https://t.co/YZN3RD…</t>
  </si>
  <si>
    <t>Owners of polluting #VW vehicles could hear details of deal in June https://t.co/EAnJvmohHt https://t.co/KjQp9wfBXr</t>
  </si>
  <si>
    <t>J Shepperd</t>
  </si>
  <si>
    <t>RT @AbbeyLeasing: #VW Golf R for only £236.88 + VAT! (BCH - 3+35 - 8k mpa). @UKBusinessRT #CarLease #AVLeasing https://t.co/TXSwQr9Eme http…</t>
  </si>
  <si>
    <t>Loving life, sport, music &amp; anything funny. Living in the mecca of #Wales #Cardiff</t>
  </si>
  <si>
    <t>Hilda Villegas Arroy</t>
  </si>
  <si>
    <t>#new #car #white #vw #volkswagen #polo #sel #1.4 #love #sunny 😍😍 https://t.co/txmwAkm54U</t>
  </si>
  <si>
    <t>The Colour Crew</t>
  </si>
  <si>
    <t>All setup and ready for a busy day @SantaPodRaceway! Make sure you pop by our stall #santapod #vw #Volkswagen #print https://t.co/ZptEtn6bPp</t>
  </si>
  <si>
    <t xml:space="preserve">Milton Keynes, UK </t>
  </si>
  <si>
    <t>Large format screen and digital printers. Posters, banners, pop up displays, sign work + more. Find out more via our website. #Printing #Digital</t>
  </si>
  <si>
    <t>FanCar Picture - Send me your Scirocco pictures!!! (PM Please) #VW #Volkswagen #Scirocco #Tuning https://t.co/9FzUNJblTb</t>
  </si>
  <si>
    <t>Volksstimme</t>
  </si>
  <si>
    <t>#Dieselgate und kein Ende. Auch andere Marken sollen betroffen sein! #VW #Opel #Diesel https://t.co/cHpOkocJMk https://t.co/47p9IYtLNL</t>
  </si>
  <si>
    <t>Magdeburg</t>
  </si>
  <si>
    <t>Hier twittert das Team von Volksstimme.de, dem Internet-Portal der Tageszeitung Volksstimme in Sachsen-Anhalt. Impressum: http://t.co/LvwWCqarf5</t>
  </si>
  <si>
    <t>Ian Smith</t>
  </si>
  <si>
    <t>Rushden Northants</t>
  </si>
  <si>
    <t>Health safety and Operations Director. UK distributors of Coldfire(TM) fire supression, a technological advance in Fire supression and Firefighter safety.</t>
  </si>
  <si>
    <t>Tageblatt</t>
  </si>
  <si>
    <t>#Abgas-Trickserei: #Audi, #VW, #Porsche, #Mercedes rufen 630.000 #Diesel -Autos europaweit zurück► https://t.co/Nt4OS3OhQs via @tageblatt_lu</t>
  </si>
  <si>
    <t>Luxemburg</t>
  </si>
  <si>
    <t>Hier twittert die Online-Redaktion der #Luxemburger Tageszeitung 'Tageblatt' http://t.co/W0dgjH4xeu</t>
  </si>
  <si>
    <t>Christian Thiels</t>
  </si>
  <si>
    <t>Berlin - Hamburg (Germany)</t>
  </si>
  <si>
    <t>CvD @Tagesthemen | SWR | Grimmepreis | Verteidigungsexperte der Tagesschau | ARD GERMAN TV Managing Editor &amp; Defence Expert | Private Views RT&amp;FAV ≠ endorsement</t>
  </si>
  <si>
    <t>#VW-schandaal lijkt zich uit te breiden #dieselgate 630.000 Autos zurück https://t.co/IfA5guLPEX via @welt</t>
  </si>
  <si>
    <t>Taylor Solutions</t>
  </si>
  <si>
    <t>#VW I'm in the same boat #worthless https://t.co/w1TJTOX4wj</t>
  </si>
  <si>
    <t>Let Taylor Solutions be your solution to your every problem. Providing professional Engineering Design/Drafting and Custom Fabrication Services</t>
  </si>
  <si>
    <t>Jenni Pii</t>
  </si>
  <si>
    <t>Jospa #Ivalo'n S-Market kertoisi mulle sen #mitätänäänsyötäisiin. 😋 #Vw Kauno Wilhelmin maha on täynnä, kuskin ei. 😂 https://t.co/jpOttxdM5P</t>
  </si>
  <si>
    <t>Jyväskylä, Finland</t>
  </si>
  <si>
    <t>#Volkkari'vouhottaja. Auto- ja liikenneblogaaja. Bändikeikkavalokuvaaja. Taloushallinnon ammattilainen. Tarvittaessa jotain muutakin. #Canon #Volkswagen</t>
  </si>
  <si>
    <t>Stephan Krull</t>
  </si>
  <si>
    <t>Arbeitszeitpolitik, emanzipatorische Bildungsarbeit, Geschichte und aktuelle Bedeutung von Volkswagen</t>
  </si>
  <si>
    <t>RT @Elitet5: Fitting coilovers to VW T4 #vw #T4 #coilovers #lowered #dubluv #workshop #cornwall https://t.co/KTYNqL5c7H</t>
  </si>
  <si>
    <t>eiver</t>
  </si>
  <si>
    <t>#Exclusive : #VW to offer to buy back nearly 500,000 U.S. #dieselcars https://t.co/ePgqdgNB7D https://t.co/4mDJCrbR19</t>
  </si>
  <si>
    <t>Post Planner Inc.</t>
  </si>
  <si>
    <t>The 1st Connected Driving assistant that rewards GOOD Drivers. Leverage data to drive smarter and drive safer!</t>
  </si>
  <si>
    <t>Beetle Juice Events</t>
  </si>
  <si>
    <t>London people! We are at Richmond park tomorrow for @SurreyFoodFest come say hello #Original #VW #cocktails</t>
  </si>
  <si>
    <t>The UK's original pop-up VW cocktail bar! The world's largest fleet with 10 bars. Shake it like you mean it ... Available for hire! info@beetlejuice.co.uk</t>
  </si>
  <si>
    <t>Lee Holder</t>
  </si>
  <si>
    <t>#POLL: Have #VW, #Mitsubishi scandals made you more likely to ditch traditional cars &amp; buy an EV? VOTE NOW: https://t.co/GS8t2foV4B</t>
  </si>
  <si>
    <t>Marcel Signer</t>
  </si>
  <si>
    <t>#energiewende #VW-Skandal Es ist Zeit, sich von der #FossilFresser-Industrie und Lügengeschichten zu verabschieden https://t.co/2BoZsznwwS</t>
  </si>
  <si>
    <t>#glp Bezirk Baden, Aargau, CH</t>
  </si>
  <si>
    <t>Bis 2031 -- 5 #AKW abstellen; bis 2035 100% #erneuerbare Energie (Strom); jedoch 80% (Strom, Wärme, Mobilität), #SolarChemie - #Grossratskandidat #glp Bez Baden</t>
  </si>
  <si>
    <t>Claudia</t>
  </si>
  <si>
    <t>Auch eine Art von Werbung für @Volkswagen #vw #touareg #kundenzufriedenheit https://t.co/y8RbQQfdUr</t>
  </si>
  <si>
    <t>Austria, Marchfeld</t>
  </si>
  <si>
    <t>Kochen und gutes Essen - meine Leidenschaft! Regional und saisonal! Alles was mir schmeckt und was meinen Vorstellungen von Qualität bei den Zutaten entspricht</t>
  </si>
  <si>
    <t>Stefanie Beck</t>
  </si>
  <si>
    <t>Ich bin anders als vermutet, selten wie erwartet &amp; erst recht nicht, wie andere es gerne hätten.</t>
  </si>
  <si>
    <t>#VW Golf R for only £236.88 + VAT! (BCH - 3+35 - 8k mpa). @fiverr #CarLease #AVLeasing https://t.co/TXSwQr9Eme https://t.co/6WuUqczf4A</t>
  </si>
  <si>
    <t>TEXT-COM</t>
  </si>
  <si>
    <t>#Audi, #Porsche, #Mercedes, #VW und #Opel müssen insgesamt 630.000 Pkw wegen Abschalteinrichtung zurückrufen https://t.co/xU60tKmSjK</t>
  </si>
  <si>
    <t>Taunusstein</t>
  </si>
  <si>
    <t>TEXT-COM bietet maßgeschneiderte und professionelle Public-Relations und Corporate-Publishing Lösungen. Communicate the Difference!</t>
  </si>
  <si>
    <t>#VW Golf R for only £236.88 + VAT! (BCH - 3+35 - 8k mpa). @UKBDirectory #CarLease #AVLeasing https://t.co/TXSwQr9Eme https://t.co/GgprJyhSDO</t>
  </si>
  <si>
    <t>eBay: 2014 2.0 TDI 140 BHP Highline T30 CAMPER… https://t.co/oVkd3YsPwb #vwcamper #vwbus #vw https://t.co/ZEadscsjBy https://t.co/Sq9OjJ9pRq</t>
  </si>
  <si>
    <t>RT @dw_business: #POLL: Have #VW, #Mitsubishi scandals made you more likely to ditch traditional cars &amp; buy an EV? VOTE NOW: https://t.co/G…</t>
  </si>
  <si>
    <t>RT @dw_business: First #VW, now #Mitsubishi: After the latest cheating scandal, would you be more likely to buy an electric vehicle?</t>
  </si>
  <si>
    <t>Satvinder Basra</t>
  </si>
  <si>
    <t>First #VW , then #Peugeot,#MercedesBenz ,#Mitsuibishi . How many more before world realises #Lithium only future for transport. #RareEMplc</t>
  </si>
  <si>
    <t>Uenal Tayar' ﺦ</t>
  </si>
  <si>
    <t>Tisssss🐍🐍 #trabzon #yayla #kar #manzara #34bnt61 #golf #vw #picoftheday https://t.co/qK6MSzqvF9</t>
  </si>
  <si>
    <t xml:space="preserve">Stuttgart -Trabzon </t>
  </si>
  <si>
    <t>KTÜ /Stuttgart #Trabzonspor ulan !! Music Producer Snapchat: djuenal https://t.co/Bn3NCxwv60</t>
  </si>
  <si>
    <t>#Audi, #Porsche, #Mercedes, #VW ve #Opel emisyon düzenleyici sistemdeki bir sorun nedeniyle 630.000'den fazla aracı geri çağıracaklar.</t>
  </si>
  <si>
    <t>Ruyman Montesinos</t>
  </si>
  <si>
    <t>RT @AFECTADOGRUPOVW: #VW El software, instalado cambia las características del funcionamiento del motor https://t.co/HMy4tmbbTk vía @giphy</t>
  </si>
  <si>
    <t>Islas Canarias</t>
  </si>
  <si>
    <t>Naturalista y natural de Tenerife.....naturalmente!</t>
  </si>
  <si>
    <t>Manfred Mährle</t>
  </si>
  <si>
    <t>Die #USA lassen den deutschen #Autobauer #VW bluten. Sie suchen schon das nächste, deutsche Opfer. Untersuchen sie auch eigene Marken?Ha,ha</t>
  </si>
  <si>
    <t>Kathrin Calabrò</t>
  </si>
  <si>
    <t>Da wurde wohl nicht nur #VW von #Bosch beliefert... #abgasskandal https://t.co/f7VUzZy1k5</t>
  </si>
  <si>
    <t>Igersheim, Deutschland</t>
  </si>
  <si>
    <t>Don Krawallo's Mama Schokoholic</t>
  </si>
  <si>
    <t>Caro ♡</t>
  </si>
  <si>
    <t>RT @MrMozartOficial: Foxito ⚠ PH @carolaayn212 #vw #volkswagen #fox #lowlife #lifestyle #vwlovers #rebaixado… https://t.co/3Km10xkvoB</t>
  </si>
  <si>
    <t>Argentina,Buenos Aires</t>
  </si>
  <si>
    <t>Born to race ♡ RG4L</t>
  </si>
  <si>
    <t>Astrid Ebenhoch</t>
  </si>
  <si>
    <t>Jedem geschädigtem VW-Kunden wurde in den USA 5000.-$ zugesprochen. Kunden von #VW in #Deutschland werden leer... https://t.co/HxeBFLLgxu</t>
  </si>
  <si>
    <t>heise Autos</t>
  </si>
  <si>
    <t>VW Passat Variant: Schiebedach mit zu viel Kraft https://t.co/bFVhR0YaiL #VW</t>
  </si>
  <si>
    <t>heise Tweetfeeds</t>
  </si>
  <si>
    <t>München, Germany</t>
  </si>
  <si>
    <t>Hier werden die News von heise Autos getwittert, der @heiseonline Themenseite rund ums Automobil +++ http://t.co/v79XR6fURW</t>
  </si>
  <si>
    <t>ashmatee</t>
  </si>
  <si>
    <t>Snapchat - ashmatee</t>
  </si>
  <si>
    <t>#Daimler -7,49% #BMW -1,50% #VW -2,10% Abgas-Nachmessungen zwingen zu Mega-Rückrufaktion von 630.000 Autos/JK https://t.co/tfAaAU95I9</t>
  </si>
  <si>
    <t>Ute Schulze</t>
  </si>
  <si>
    <t>.@ZDFheute Wie beim #Doping:Wenn es fast alle machen,empfinden es die Täter als normal &amp; legitim.So einfach ist die Logik der Betrüger #vw</t>
  </si>
  <si>
    <t>Erzähle es mir und ich vergesse es, zeige es mir und ich erinnere mich daran, lass es mich erleben und es wird ein Teil von mir - Mein Motto nach Konfuzius</t>
  </si>
  <si>
    <t>Fx Calmettes</t>
  </si>
  <si>
    <t>[#dieselgate] What is behind the diesel cars emissions scandal? https://t.co/s5tKVay9MD #VW #Health #airpollution</t>
  </si>
  <si>
    <t>21th Century Treehugger and Sustainability passionate,... #Cop21 #TransitionÉnergétique #Enr #Biodiversité #AgroEcologie #Humanisme</t>
  </si>
  <si>
    <t>justin</t>
  </si>
  <si>
    <t>The themed cocktail for #vw Taunton last night - we've called it the Royal Blue! Or the Little Blue Corvette both... https://t.co/gfetC6P4Cz</t>
  </si>
  <si>
    <t>Brighton, Uk</t>
  </si>
  <si>
    <t>The Bugbar ‘pop up’ bar and DJ booth, a cunningly customised vw camper bringing retro panache to your event, festival or wedding. http://t.co/ULTBm26RQd</t>
  </si>
  <si>
    <t>Amata Kanistanond</t>
  </si>
  <si>
    <t>Bangkok, Thailand</t>
  </si>
  <si>
    <t>#NDR//aktuell 14 Uhr live: https://t.co/u3sC3BnEEx. #VW @Stadt_Wolfsburg / #Sperrung #Bahn @hannover-KS / #Integration @HSV @fcstpauli</t>
  </si>
  <si>
    <t>Echo Online</t>
  </si>
  <si>
    <t>Nach #Dobrindt-Prüfung: Auch #Opel ruft Autos zurück - https://t.co/oWw7bBRwXy #VW</t>
  </si>
  <si>
    <t>Echo Online ist das Nachrichtenportal der ECHO-Zeitungen für Südhessen.</t>
  </si>
  <si>
    <t>Robert Koop</t>
  </si>
  <si>
    <t>Gelegentliche Bemerkungen im deutschen Nordwesten, meist zu und in Lingen (Ems).</t>
  </si>
  <si>
    <t>Adria Caravans</t>
  </si>
  <si>
    <t>#FF to @talbot3d Specialist in replica 3D printed parts and accessories. #vwcamper #vw #Talbotcampers #PeugeotJ5 #CitroenC25 #talbotexpress</t>
  </si>
  <si>
    <t>eClincher</t>
  </si>
  <si>
    <t>Northampton UK</t>
  </si>
  <si>
    <t>Venture Caravans have been in business since 1971. We are the UK's No.1 dealer Adria caravans selling them since 1979. Dealer of the year 08/09/10/11/12/13/14</t>
  </si>
  <si>
    <t>Genau hinschauen: Inzwischen erwarten wir in #Wolfsburg 5 Stimmen von #VW. Wann es soweit ist? Puh... #Handelsblatt https://t.co/yXGtTqLltt</t>
  </si>
  <si>
    <t>Οι πρώτες εικόνες του νέου πρωτότυπου SUV των 381 ίππων της #VW https://t.co/zt9Thu3FLY https://t.co/i9YEahJOYE</t>
  </si>
  <si>
    <t>Editorial: Settlement hits #VW hard — and justly. https://t.co/0bXGvJSVx9 https://t.co/KQB6DJT8m0</t>
  </si>
  <si>
    <t>Deutsche Kunden müssen allein gegen #VW kämpfen. So könnten Jahre vergehen... https://t.co/3LGTgYatSj #abgas #dieselgate #Verbraucherrechte</t>
  </si>
  <si>
    <t>Mark Tzimopoulos</t>
  </si>
  <si>
    <t>Now at Sklaveniti Kallithea !!!!! #taxydromeio_euxaristiwn #vw #απο_παντα_διπλα_σου ❤️❤️❤️ https://t.co/Jq7PICBTuU</t>
  </si>
  <si>
    <t>#VW #Tiguan 2.0 TSI im #Test: Der Streber kann alles besser https://t.co/GkXTkhXJ30 #AMuS @vwgroup_de https://t.co/mB84UsiEdi</t>
  </si>
  <si>
    <t>#VW: Der Konzern kassiert. Der Kunde zahlt brav ... https://t.co/ZjfMtCfOHq</t>
  </si>
  <si>
    <t>Thabo Ramashala</t>
  </si>
  <si>
    <t>Final week of this amazing #VWMenlyn Special. Call me on 0792785305 for your new Amarok! #VW… https://t.co/BQET0QTcWi</t>
  </si>
  <si>
    <t>Papa wa Sedilaka.</t>
  </si>
  <si>
    <t>Nicholas Hawtin</t>
  </si>
  <si>
    <t>Who knew "Schummelsoftware" was such a large and potentially profitable vertical? #vw #bosch https://t.co/ipG4x0UvSZ</t>
  </si>
  <si>
    <t>Copenhagen</t>
  </si>
  <si>
    <t>Networker, mentor, omnivore, enthusiast. Half-Danish/English/American. Curator Copenhagen StartupDigest.</t>
  </si>
  <si>
    <t>RT @sfchronicle: Editorial: Settlement hits #VW hard — and justly. https://t.co/0bXGvJSVx9 https://t.co/KQB6DJT8m0</t>
  </si>
  <si>
    <t>#maggiolino #beetle #vw #vwbeetle #aircooled #zalt by andreapacey https://t.co/CbKp6ytx55</t>
  </si>
  <si>
    <t>@vagreligion @vwworld @vw_tuning_page @vw_tuning_ #vw #volkswagen #beetle #vwbeetle #newbeetle #clean #slam #slamme… https://t.co/L1GADKrSGG</t>
  </si>
  <si>
    <t>シリーズ #昔の写真 #OldPic 嫁(妊婦)とビートル(二代目) #volkswagen #wagen #vw #beetle #type1 #bug #フォルクスワーゲン #ワーゲン #ビートル #空冷 #空冷vw #空冷… https://t.co/DCsMDk1MRV</t>
  </si>
  <si>
    <t>MK5 R32❤️ ••• @vw__lifestyle ••• #golf #vw #gti #tdi #r32 #volkswagen #mk5 #mk4 #mk1 #audi #porsche #mk7 #scirocco … https://t.co/5cypNmXLo1</t>
  </si>
  <si>
    <t>#Audi, #Porsche, #Mercedes, #VW, #Opel: Über 600'000 bereits verkaufte Autos müssen umgerüstet werden. #Rückruf https://t.co/0YnyxYY78s ^cs</t>
  </si>
  <si>
    <t>JS Car Spares</t>
  </si>
  <si>
    <t>BREAKING NEWS &gt;&amp;gt; JS Car Spares are currently #breaking this #VW Bora 1.9 TDI! Get in touch on the JS Car Spares... https://t.co/oY9EM0aW7u</t>
  </si>
  <si>
    <t>We are a small family run business, specialising in breaking a range of Jap &amp; Euro cars. Please check our current car parts stock here: http://t.co/hgwJA0vHYx</t>
  </si>
  <si>
    <t>IKON London Magazine</t>
  </si>
  <si>
    <t>#German Car Makers To Recall 630,000 #Vehicles https://t.co/3rqJ7F6VKO #VW #Corruption #Criminal #Investigation #Germany</t>
  </si>
  <si>
    <t>FVL - Car Leasing</t>
  </si>
  <si>
    <t>The new VW Golf GTI Clubsport edition celebrates four decades of the GTI: https://t.co/uioroCJXMI #GTI #VW https://t.co/RQg1i5TdZy</t>
  </si>
  <si>
    <t>Want a new car? Lease, don’t buy, and save. http://t.co/ZRmSxXymK0 ★ BVRLA Member - UK's best business &amp; private car leasing deals since 1999 ★ #myfvl #f1fvl</t>
  </si>
  <si>
    <t>Legal hurdles remain for VW in U.S. despite emissions deal https://t.co/qdMrc4Bk4C #VW #AutoNews</t>
  </si>
  <si>
    <t>Carles Planas Bou</t>
  </si>
  <si>
    <t>Crisis del automóvil: #Alemania obligará a revisar 630.000 vehículos de cinco grandes marcas alemanas (#VW, Audi, Porsche, Mercedes y Opel)</t>
  </si>
  <si>
    <t>Berlín</t>
  </si>
  <si>
    <t>International journalist. Sigo a Merkel como corresponsal de @elperiodico en Alemania. Apasionado de la política EEUU y #CambioClimático. Proud @Serielizados.</t>
  </si>
  <si>
    <t>Cayle Thompson, KOMO</t>
  </si>
  <si>
    <t>#Breaking: 630k German-made cars to be recalled in Europe, including #Audi, #Mercedes, #Porsche, #VW, re: emissions. https://t.co/K4RMCnyHBt</t>
  </si>
  <si>
    <t>@KOMONews #LiveDesk reporter. #AMnewser/#CoffeeAddict. Tweets=mine. Story? Question? Comment? Let's chat! Also: cthompson@komotv.com &amp; https://t.co/j38dAKX2gg</t>
  </si>
  <si>
    <t>That look! @Team_BKR_ @markhowardracer on the grid in the #VW #passatcc #Race3 @DunlopBTCC https://t.co/24KzT4g5mM</t>
  </si>
  <si>
    <t>Dennis Goodwin</t>
  </si>
  <si>
    <t>RT @networkimages: That look! @Team_BKR_ @markhowardracer on the grid in the #VW #passatcc #Race3 @DunlopBTCC https://t.co/24KzT4g5mM</t>
  </si>
  <si>
    <t>Banbury</t>
  </si>
  <si>
    <t>TOCA accredited, published Motor Sports photographer. DataCo accredited Footie tog @prosportsimages . All round good guy. LUFC fan, MOT. Exiled Yorkshireman.</t>
  </si>
  <si>
    <t>Pekozete</t>
  </si>
  <si>
    <t>Cesna City</t>
  </si>
  <si>
    <t>En mis pensamientos...(M_r_a)</t>
  </si>
  <si>
    <t>MercedesApp</t>
  </si>
  <si>
    <t>RT @CayleThompson: #Breaking: 630k German-made cars to be recalled in Europe, including #Audi, #Mercedes, #Porsche, #VW, re: emissions. htt…</t>
  </si>
  <si>
    <t>Mercedes Offical App</t>
  </si>
  <si>
    <t>The official app of the Mercedes-Benz aficionado</t>
  </si>
  <si>
    <t>Helena Humphrey</t>
  </si>
  <si>
    <t>Anchor, reporter at Deutsche Welle TV. Til now radio shows, solar planes, aid work, African wanderings. Life goals: write a book, dance on Strictly</t>
  </si>
  <si>
    <t>Again week filled with bad news from car industry. #VW US announcement means EU citizens are treated as second class consumers 1/3</t>
  </si>
  <si>
    <t>SwissJacker</t>
  </si>
  <si>
    <t>"630'000 voitures allemandes doivent être rappelées" https://t.co/EMjYaXyLsz #VW Et toi, ça te fait déjà chier de rappeler ta mère...</t>
  </si>
  <si>
    <t>Connardologue de garde : Religieux, réacs, fachos, Team 1er degré, bien-pensants, moralistes et vegans militants reçus sans rdv. Deuxième euthanasie offerte.</t>
  </si>
  <si>
    <t>Gerhard K. Heilig</t>
  </si>
  <si>
    <t>Betrogen oder zum Betrug angestiftet, Ruf der Marke ruiniert, Tausende Arbeitsplätze gefährdet -aber Prämien für Top-Manager. Gier pur. #VW</t>
  </si>
  <si>
    <t>Demographer, social scientist, software developer. Interest in international relations, technology, global change. Retweets do NOT imply endorsement</t>
  </si>
  <si>
    <t>Updates &amp; Trends</t>
  </si>
  <si>
    <t>#VW's effect! https://t.co/fSj0BGRuAr</t>
  </si>
  <si>
    <t>Telangana</t>
  </si>
  <si>
    <t>The Leo Man's Updates!!</t>
  </si>
  <si>
    <t>Le Quotidien</t>
  </si>
  <si>
    <t>Moteurs truqués : 630 000 voitures allemandes rappelées en Europe #Audi #VW #Mercedes &gt;&amp;gt; https://t.co/P2su0lrDpX https://t.co/fTxy3QpaQV</t>
  </si>
  <si>
    <t>Premier quotidien luxembourgeois en langue française http://t.co/14BvSnrGgs</t>
  </si>
  <si>
    <t>630.000 Autos betroffen - #Audi, #Porsche, #Daimler, #VW, #Opel müssen Rückruf starten https://t.co/M74Bme5Xe9</t>
  </si>
  <si>
    <t>I'm not obsessing. I'm just excited. (how couldn't you be?) #vw #mk7 #gti #newcar #pa https://t.co/exalAh0SP5</t>
  </si>
  <si>
    <t>MySpace</t>
  </si>
  <si>
    <t>take verbally twice daily. #tweetlikeadad #pro2a #pronuclear - Duq '16 (insta and snapchat: MKIVR)</t>
  </si>
  <si>
    <t>Abgasaffäre: #Bosch hat Schummelsoftware nicht nur an #VW geliefert https://t.co/Hxffz2CryI</t>
  </si>
  <si>
    <t>Gordon Geco</t>
  </si>
  <si>
    <t>#daimler #benz #vw #audi #bosch #opel Ihr gierigen opfer. #dobrindt eier verloren? Deutsche Bürger wollen Geld zurück. #merkel hahahahahaha</t>
  </si>
  <si>
    <t>BonnBay</t>
  </si>
  <si>
    <t>Songwriter/Producer/Longboardshaper/Human</t>
  </si>
  <si>
    <t>#VW versteht's nicht... https://t.co/W7p9teysb2</t>
  </si>
  <si>
    <t>Rights Punk</t>
  </si>
  <si>
    <t>Ich will, dass endlich Werbung für Autos verboten wird! Die sind hässlich, gefährlich und machen Dreck! #VW u.a.</t>
  </si>
  <si>
    <t>Hamburg,  Deutschland</t>
  </si>
  <si>
    <t>Ich habe Recht. Und ich verkaufe es Ihnen.</t>
  </si>
  <si>
    <t>Nor Chuckris</t>
  </si>
  <si>
    <t>Betrügerischer Autokonzern vergrätzt Kunden: #VW zahlt keine Entschädigungen in Deutschland https://t.co/8uFdHToU3x</t>
  </si>
  <si>
    <t>Technik, Politik &amp; Dummfug.</t>
  </si>
  <si>
    <t>Nicht jung, nicht schön, nicht erfolgreich, dafür mit Waschbärbauch und alkoholfreiem Sixpack.</t>
  </si>
  <si>
    <t>RT @deutch_az: Abgasaffäre: #Bosch hat Schummelsoftware nicht nur an #VW geliefert https://t.co/Hxffz2CryI</t>
  </si>
  <si>
    <t>ЈƱΛιΔ</t>
  </si>
  <si>
    <t>♡ ᴊᴜʟɪᴀɴᴇ ∙26∙ ʙᴇʀʟɪɴ ♡ ★ʙᴇʟɢɪᴜᴍ★ iPhone 5s</t>
  </si>
  <si>
    <t>Hans Valer</t>
  </si>
  <si>
    <t>RT @srfnews: #Audi, #Porsche, #Mercedes, #VW, #Opel: Über 600'000 bereits verkaufte Autos müssen umgerüstet werden. #Rückruf https://t.co/0…</t>
  </si>
  <si>
    <t>Gelebt zu haben, ist doch der Mühe wert, zu leben (Empedokles, 495-435). – Medien &amp; Politik Kernthemen; Bassposaune, Fotografie &amp; Brit Bikes auch wichtig.</t>
  </si>
  <si>
    <t>flottenkenner</t>
  </si>
  <si>
    <t>630.000 Fahrzeuge sind betroffen. #Audi #Mercedes #VW # Opel #Porsche starten #Rückrufaktion</t>
  </si>
  <si>
    <t>#Entérate #VW dará 5mil dólares por afectado de #dieselgate en EU; en México sin acuerdo https://t.co/lAmc5SNiUe https://t.co/31jyjsLwLX</t>
  </si>
  <si>
    <t>Gary Somers-Brown</t>
  </si>
  <si>
    <t>#vw #touareg #subaru #forester #jdmsubaru https://t.co/Wh73UUtBJ3</t>
  </si>
  <si>
    <t>Alberta</t>
  </si>
  <si>
    <t>Dad, Husband and Drummer</t>
  </si>
  <si>
    <t>eBay: VW Beetle 1967 https://t.co/DX1BZmBMZk #vwbeetle #vwbug #vw https://t.co/xvfL74PTgl https://t.co/vBxaacf7jU</t>
  </si>
  <si>
    <t>one world.</t>
  </si>
  <si>
    <t>#Bosch in der Abgasaffäre unter Druck - Abgasmanipulation als vorsätzliche Körperverletzung mit Todesfolge?! #VW https://t.co/x1ApWWwjN2</t>
  </si>
  <si>
    <t>international network.</t>
  </si>
  <si>
    <t>out there in the field. nature. people. future. and past. mobile geo information systems. challenges of energy market, smart grids &amp; relevant society aspects.</t>
  </si>
  <si>
    <t>Themed cocktail #vw Taunton 'Royal Blue'/'Little Blue Corvette' in honour of royalty - birthday &amp; the opposite. RIP https://t.co/IcDCbKZiaT</t>
  </si>
  <si>
    <t>Martin Speer</t>
  </si>
  <si>
    <t>Werte vs. Wirklichkeit? @BoschPresse @BoschGlobal #Boschgate #Vw #dieselgate #Bosch https://t.co/qu7SDqiVVa</t>
  </si>
  <si>
    <t>Berlin based optimist | European | Writer &amp; Activist | part of HERR &amp; SPEER</t>
  </si>
  <si>
    <t>Richard Gooding</t>
  </si>
  <si>
    <t>This appeals to me on so many levels. One, it’s a Type 2 #VW camper (I occasionally drive one) and two, it’s an #EV! https://t.co/KZgZYl5uXw</t>
  </si>
  <si>
    <t xml:space="preserve">Chelmsford, Essex, UK </t>
  </si>
  <si>
    <t>Acting editor, GreenFleet magazine. Author of Porsche 914: An Enthusiast's Guide. Highly commended GoMW Breakthrough Blogger of the Year. Opinions my own.</t>
  </si>
  <si>
    <t>Ross McCullagh</t>
  </si>
  <si>
    <t>LEGO VW Campervan #vw #campervan #lego #potd #sun #chequeredfloor #lookatthatdetail #AFOL cmreid_ https://t.co/iilJ06QLIx</t>
  </si>
  <si>
    <t>Northern Ireland</t>
  </si>
  <si>
    <t>I fix things in a chicken factory</t>
  </si>
  <si>
    <t>eDub Trips</t>
  </si>
  <si>
    <t>RT @richgoodingcom: This appeals to me on so many levels. One, it’s a Type 2 #VW camper (I occasionally drive one) and two, it’s an #EV! ht…</t>
  </si>
  <si>
    <t>Harrogate, North Yorkshire</t>
  </si>
  <si>
    <t>Explore the Yorkshire Countryside in Indie; our Unique and Luxurious, All-Electric Camper Van.</t>
  </si>
  <si>
    <t>Cathy Barrick</t>
  </si>
  <si>
    <t>Ditto. I bought my TDI specifically for the fuel economy. Better for the environment and wallet. They said. #VW https://t.co/bfQlBHBpsN</t>
  </si>
  <si>
    <t>Toronto, ON</t>
  </si>
  <si>
    <t>CEO of @AlzToronto. Always love a roadtrip, a great book, glass of red. Proud mom. Tweets not endorsements or the official opinion of the Alzheimer Society.</t>
  </si>
  <si>
    <t>Erik Vindedzis</t>
  </si>
  <si>
    <t>Toronto, Ontario, Canada</t>
  </si>
  <si>
    <t>Automotive Marketer for @APA_LEMONAID &amp; @DealerInLIne, Beer Connoisseur, All around good guy.</t>
  </si>
  <si>
    <t>Our VW Bugbar in Taunton VW last night, even served the headman of Volkswagen UK a cheeky cocktail #vw #campervan https://t.co/usRKiWD6sI</t>
  </si>
  <si>
    <t>Was hat #AFD gemeinsam mit #DAIMLER #VW #OPEL #BENZ #BOSCH #CDU #MERKEL #DOBRINDT ?? Ihr seid eine #SCHANDE für unser Land. #Inkompetente W</t>
  </si>
  <si>
    <t>Manlio Mannozzi#MGWV</t>
  </si>
  <si>
    <t>Love this old car.... Beautiful!!! #car #cars #vw https://t.co/1qZIazZZNt</t>
  </si>
  <si>
    <t>Founder and CEO</t>
  </si>
  <si>
    <t>SMO, SEO, SEM.. loves helping small businesses about social media opportunities and profit engagement. Posts on and shares news about Social Media +Funny things</t>
  </si>
  <si>
    <t>Lo City</t>
  </si>
  <si>
    <t>Scientist's have developed a new tool to investigate #emissions from road used vehicles, following #VW scandal https://t.co/D52eRd9SG7</t>
  </si>
  <si>
    <t>NZZ Wirtschaft</t>
  </si>
  <si>
    <t>RT @raschnzz: Erste Einigung im Abgasbetrug: #VW erreicht endlich ein Etappenziel https://t.co/npdBlMQxxG via @NZZ</t>
  </si>
  <si>
    <t>Wirtschaftsressort der Neuen Zürcher Zeitung Online. Ausgewählte Tweets zu #Wirtschaft und #Finanzen.</t>
  </si>
  <si>
    <t>Jim Holder</t>
  </si>
  <si>
    <t>Snowballing a la #VW? #Mitsubishi scandal widens with more cars potentially affected https://t.co/k0ZHD27kB1</t>
  </si>
  <si>
    <t>Editorial Director, Haymarket Automotive. That's http://t.co/SeE0liEPCx, http://t.co/aRSpYvlN4t and http://t.co/uIXq1P2WGx.</t>
  </si>
  <si>
    <t>The Aurora Sentinel</t>
  </si>
  <si>
    <t>FRIDAY NEWS IN A RUSH: 10 things in 60 seconds and A-TownTV #Prince Videos https://t.co/bLHFVd3mVn #Trump #QEII #VW https://t.co/t7uwoLdrT0</t>
  </si>
  <si>
    <t>Aurora, CO</t>
  </si>
  <si>
    <t>Covering Aurora, Colorado, and the issues affecting the city in print weekly and online 24/7.</t>
  </si>
  <si>
    <t>Dave Perry</t>
  </si>
  <si>
    <t>RT @aurorasentinel: FRIDAY NEWS IN A RUSH: 10 things in 60 seconds and A-TownTV #Prince Videos https://t.co/bLHFVd3mVn #Trump #QEII #VW htt…</t>
  </si>
  <si>
    <t>Aurora, Colorado</t>
  </si>
  <si>
    <t>Editor of the Aurora Sentinel newspaper in Aurora, CO, and habitual smartass.</t>
  </si>
  <si>
    <t>René Bender</t>
  </si>
  <si>
    <t>RT @Mat_Struwe: In #Ingolstadt wäre es Zeit für #Reinheitsgebot für #Diesel-#Fahrzeuge. #AUDI #VW #DefeatDevice #dieselgate #Bier https://t…</t>
  </si>
  <si>
    <t>Hier zwitschert René Bender, stellvertr. Leiter Juve-Nachrichtenteam über Wirtschaftsprozesse und Rechtsthemen zu Kapitalmarkt, Steuern und Sport.</t>
  </si>
  <si>
    <t>Can't afford a #VW #Golf R? The sporty new Golf R-line could be up your street https://t.co/viTjhVWAS8 @UKVolkswagen https://t.co/vB5KIv5Kok</t>
  </si>
  <si>
    <t>Watch out for the ZOMBIE COMBIE haha coming soon #art #design #idea #zombie #zombies #combie #vw #draw #sketch #dra… https://t.co/RDgbLRZIOd</t>
  </si>
  <si>
    <t>#VW-Aufsichtsrat will #Boni-Streit lösen und Jahreszahlen beschließen - https://t.co/C0BpBIJb1a</t>
  </si>
  <si>
    <t>#VW-Aufsichtsrat will #Boni-Streit lösen und Jahreszahlen beschließen - https://t.co/ynbQAHWkOv</t>
  </si>
  <si>
    <t>Erik Dürr</t>
  </si>
  <si>
    <t>🌚 #mk7 #mk7golfr #golfr #turbo #tsi #awd #vw #volkswagen #oryxwhite #rline #audi #s3… https://t.co/ePAZektOOr</t>
  </si>
  <si>
    <t>New England</t>
  </si>
  <si>
    <t>Guitarist for @offthetrolley, cinema/photographer, jedi wholockian, petrolhead.</t>
  </si>
  <si>
    <t>Rebecca Chaplin</t>
  </si>
  <si>
    <t>Southampton</t>
  </si>
  <si>
    <t>Making videos for @tradeplatestv. '93 Mini Mayfair &amp; '72 VW Type 3 Fastback driver, F1 watcher, car show trekker | Snap: becca-alice | Insta: beccachaplin_</t>
  </si>
  <si>
    <t>j.es.ll.</t>
  </si>
  <si>
    <t>RT @AFECTADOGRUPOVW: #VW EEUU La empresa también recompensará adicionalmente a los propietarios que vendan sus vehículos o los arreglen</t>
  </si>
  <si>
    <t xml:space="preserve">BARCELONA </t>
  </si>
  <si>
    <t>Hoy hace un dia cojonudo veras como viene alguien y lo jode!!</t>
  </si>
  <si>
    <t>Kathrin Martens</t>
  </si>
  <si>
    <t>Kleve, Nordrhein-Westfalen</t>
  </si>
  <si>
    <t>Thüringer Allgemeine</t>
  </si>
  <si>
    <t>#Audi, #Mercedes, #Opel, #Porsche und #VW betroffen: Autohersteller rufen 630.000 Fahrzeuge zurück https://t.co/LtAbwBJigT</t>
  </si>
  <si>
    <t>Erfurt</t>
  </si>
  <si>
    <t>Hier twittert die Thüringer Allgemeine. Impressum: http://t.co/jJxLH8r2sg Sie finden uns auch auf Facebook: http://t.co/3DNCUoWWte</t>
  </si>
  <si>
    <t>A/C. A florida must #vw volkswagen #bus #vdub https://t.co/bRMEnKBDP9</t>
  </si>
  <si>
    <t>Am 25. April um 9 Uhr CST beginnt die #VW-Pressekonferenz auf der Autoshow Peking 2016. #VWBeijingAutoshow16</t>
  </si>
  <si>
    <t>Vagowners</t>
  </si>
  <si>
    <t>Formed in 2007 by 5 VAG enthusiasts</t>
  </si>
  <si>
    <t>#techhippie #golf #tdi #diesel #tdi #gtd #sharkblue #vw #vdub by myrps13 https://t.co/LgExikl2kv</t>
  </si>
  <si>
    <t>AoN Imports</t>
  </si>
  <si>
    <t>#blackandwhite #snapback #truckercap #flatbill #aonimports #allornothingimports #vw #audi #mercedes #bmw #porsche https://t.co/6KoTcMQTVr</t>
  </si>
  <si>
    <t>Lexington, NC</t>
  </si>
  <si>
    <t>Triad's Top European and Japanese Repair Facility ￼</t>
  </si>
  <si>
    <t>#VW press conference at Autoshow Beijing 2016: 25th April at 9 a.m. CST. #VWBeijingAutoshow16</t>
  </si>
  <si>
    <t>Felix Schneuwly</t>
  </si>
  <si>
    <t>Schweizer Strafanzeigen in Sachen #VW-Abgasnanipulationen nach Deutschland weitergeleitet. https://t.co/lmUDEBYxi0</t>
  </si>
  <si>
    <t>Verbandstätigkeit im Sozial- und Gesundheitswesen / seit 2011 als Head of Public Affairs @Comparis / lic. phil. I &amp; Executive MBA</t>
  </si>
  <si>
    <t>@tagesschau // besteht denn die Boni-Riege aus lauter Waschlappen, die die Risiken trotz Millionengeschenken nicht in den Griff kriegen? #vw</t>
  </si>
  <si>
    <t>Lars Ophüls</t>
  </si>
  <si>
    <t>Freitagnachmittags in Wolfsburg: Kollege @doern wartet jetzt schon über drei Stunden auf die #VW-Bosse. https://t.co/JTaYVS0Ido</t>
  </si>
  <si>
    <t>Journalist am Desk Unternehmen &amp; Märkte bei @Handelsblatt, früher @WSJDeutschland. Tweets sind private Meinung.</t>
  </si>
  <si>
    <t>Everything You Need to Know About the #VW Diesel-#Emissions Scandal https://t.co/uRNa1PZMRN https://t.co/s2ok54J7xU</t>
  </si>
  <si>
    <t>GEYERSIP</t>
  </si>
  <si>
    <t>RT @vwpress_en: #VW press conference at Autoshow Beijing 2016: 25th April at 9 a.m. CST. #VWBeijingAutoshow16</t>
  </si>
  <si>
    <t>Creación de Geyersip 16/03/2016 creador de Geyersip FÉLIX ZÚÑIGA</t>
  </si>
  <si>
    <t>Hans Uhrus</t>
  </si>
  <si>
    <t>VW, Audi: Behovet av kriskommunikation fortsätter. Hur gör din bilverkstad? https://t.co/37C1m0lsqw @Kriskom_ #VW @dieselgate</t>
  </si>
  <si>
    <t>Kriskommunikationsexpert på Uhrvis. Interimschef. Spetskompetens; kriskommunikation och mediarelationer.</t>
  </si>
  <si>
    <t>Olivier J</t>
  </si>
  <si>
    <t>Les gens ils osent tout ! #Nathalie #vw #beetle #cils https://t.co/utb1FaNupH</t>
  </si>
  <si>
    <t>Destiny Man</t>
  </si>
  <si>
    <t>US diesel car owners have two years to decide whether or not to sell their vehicles back to #VW More details: https://t.co/jhBkOuxApc</t>
  </si>
  <si>
    <t>The latest news, business, entrepreneur, career and lifestyle stories, brought to you by DESTINY MAN magazine.</t>
  </si>
  <si>
    <t>Julia Große-Berg</t>
  </si>
  <si>
    <t>RT @mobile_gis: #Bosch in der Abgasaffäre unter Druck - Abgasmanipulation als vorsätzliche Körperverletzung mit Todesfolge?! #VW https://t…</t>
  </si>
  <si>
    <t>expert in pr - online and classic and interesting in a lot of things not alone eat + drink, news, social media, people...</t>
  </si>
  <si>
    <t>Fernando Morales</t>
  </si>
  <si>
    <t>Nuevos SUV de Volkswagen https://t.co/s05BoZD0Gg #autos #wallpaper #VW https://t.co/vawpEypcB5</t>
  </si>
  <si>
    <t>mendoza argentina</t>
  </si>
  <si>
    <t>Antisocial con barba Wifi. Tecnoadicto.Los odio a todos pero despues se me pasa. Suelto la info que me gusta en mi website.</t>
  </si>
  <si>
    <t>The Peninsula</t>
  </si>
  <si>
    <t>More major carmakers caught in headlights of #VW engine-rigging scandal https://t.co/tktvPR8znu https://t.co/Uv4KgrKOxs</t>
  </si>
  <si>
    <t>Qatar</t>
  </si>
  <si>
    <t>The official account of The Peninsula Newspaper #Qatar #Doha</t>
  </si>
  <si>
    <t>Josefine Janert</t>
  </si>
  <si>
    <t>lacht schallend: #FDP-Politiker #Bode, früher im VW-Aufsichtsrat, fühlt sich betrogen vom #VW-Management. https://t.co/4OF7dYadZC @DLF</t>
  </si>
  <si>
    <t>Freie Journalistin in Berlin. Deutsch, English, español, svenska. Retweet bedeutet nicht immer Zustimmung.</t>
  </si>
  <si>
    <t>eBay: Volkswagen Transporter T5 Camper van… https://t.co/ktC9HlZsat #vwcamper #vwbus #vw https://t.co/ZEadscsjBy https://t.co/uk8HIlknN2</t>
  </si>
  <si>
    <t>allen saint</t>
  </si>
  <si>
    <t>RT @beetlebug1938: @vagreligion @vwworld @vw_tuning_page @vw_tuning_ #vw #volkswagen #beetle #vwbeetle #newbeetle #clean #slam #slamme… htt…</t>
  </si>
  <si>
    <t>frozen north</t>
  </si>
  <si>
    <t>I have a VW inclination, 4x4's, hot bikes, Aircraft, Trains &amp; Ships. I like to tease.</t>
  </si>
  <si>
    <t>Jimmy Dinsmore</t>
  </si>
  <si>
    <t>Here's my review of the #VW Golf R. I know it has a big price tag, but it's worth it for how much fun it is. Such a…https://t.co/q7hczngxVE</t>
  </si>
  <si>
    <t>Cincinnati, Ohio</t>
  </si>
  <si>
    <t>Syndicated auto writer. Driver's Side column appears in Dayton Daily News, Springfield News, CarNewsCafe, 95 Octane, ISeeCars. Contributor to Consumers Digest</t>
  </si>
  <si>
    <t>Nomad Art &amp; Design</t>
  </si>
  <si>
    <t>#VW #Volkswagen #Bug #Print 'all small cars are not created equal' Original Advertisement Print- https://t.co/DuiDchf7sG</t>
  </si>
  <si>
    <t>Vintage &amp; digitally restored art for #HotelDecor #InteriorDesigners #HomeDecor #WallArt #MoviePosters #VWAdverts #ArtPrints</t>
  </si>
  <si>
    <t>ReflexSilverMKVII</t>
  </si>
  <si>
    <t>@MINIUSA @EPA the 292HP Golf R bests the Mini/BMW B48 engine by 103hp, yet is more efficient, sounds better and revs higher. #VW ftw!</t>
  </si>
  <si>
    <t xml:space="preserve">Raleigh, NC </t>
  </si>
  <si>
    <t>I'm a car guy. I'm also American, gay, employed, in love and fighting for equal rights for all US citizens. #LGBT Rights matter</t>
  </si>
  <si>
    <t>LGT</t>
  </si>
  <si>
    <t>#LGTNavigator #Aktien: Anpassungen LGT Globales Aktien-Modellportfolio https://t.co/81Jvu5uwum #VW #Alphabet https://t.co/eENzArERxQ</t>
  </si>
  <si>
    <t>Private Banking und Asset Management LGT. Ihr Partner für Generationen</t>
  </si>
  <si>
    <t>Sinclair Volkswagen</t>
  </si>
  <si>
    <t>RT @S1mon76: Outstanding service yet again from Lewis at @SinclairVW Newport. Thank you for fixing my Golf R #golfr #vw @UKVolkswagen</t>
  </si>
  <si>
    <t>Sinclair Volkswagen est.1974 and has since grown making our venue the home for VW in South Wales. Tweeting from 9am - 5.30pm, Mon - Fri.</t>
  </si>
  <si>
    <t>PoloDriver</t>
  </si>
  <si>
    <t>The new issue of Volkswagen Driver magazine features editor Rich’s piece on the 154bhp rear-engined Polo Sprint. #VW https://t.co/X96ZpyziXE</t>
  </si>
  <si>
    <t>Website for everything and anything Volkswagen Polo.</t>
  </si>
  <si>
    <t>Lena H.R</t>
  </si>
  <si>
    <t>Poniendo las cosas ( y personas) en su sitio</t>
  </si>
  <si>
    <t>Dr Salinger Reinhard</t>
  </si>
  <si>
    <t>#Codename „#Accoustic mode“ : #VW-Schummelsoftware kommt von Audi https://t.co/CNn0mC0e4f</t>
  </si>
  <si>
    <t>Nürnberg, Bayern</t>
  </si>
  <si>
    <t>VW Vans Hatfield</t>
  </si>
  <si>
    <t>Check out this first sketch of the new #VW #Amarok! https://t.co/cWIQJWultW</t>
  </si>
  <si>
    <t>Hertfordshire/London</t>
  </si>
  <si>
    <t>Volkswagen Commercial Vehicles Hatfield for New/Approved Used VW Vans and VW Servicing. Part of the @spireautomotive group.</t>
  </si>
  <si>
    <t>M&amp;S Ambulance</t>
  </si>
  <si>
    <t>@MSAMBULANCE the team are standing by! have a great weekend all and stay safe! #VW #BIGBANG https://t.co/UrCBh136qo</t>
  </si>
  <si>
    <t>Horse power to horse racing. Event medical cover and front line NHS contracts.</t>
  </si>
  <si>
    <t>3D Wheel Customs,LLC</t>
  </si>
  <si>
    <t>Good morning Denver, Happy Friday to you all! Rise and shine #3dwheelcustomsllc #vw #golfr… https://t.co/a4lvNzBOUI</t>
  </si>
  <si>
    <t>Englewood, CO</t>
  </si>
  <si>
    <t>RT @AFECTADOGRUPOVW: #VW EEUU El acuerdo no cubre alrededor de 80.000 vehículos dotados con motores turbo diésel de 3 litros</t>
  </si>
  <si>
    <t>Mark Howard</t>
  </si>
  <si>
    <t>East Midlands, England</t>
  </si>
  <si>
    <t>British Touring Car driver, racing for @Team_BKR_ . #TeamBKR #38</t>
  </si>
  <si>
    <t>actualités_Fr</t>
  </si>
  <si>
    <t>#Pollution : 630.000 voitures de #constructeurs #allemands rappelées #VW #Volkswagen https://t.co/R6O6VBPBuq https://t.co/NY6KoSNWj0</t>
  </si>
  <si>
    <t>Bakou</t>
  </si>
  <si>
    <t>Ichigochou</t>
  </si>
  <si>
    <t>#VW #scirocco #volkswagen #mk2 #jagermeister #carlifestyle #carporn #car #Photography https://t.co/fZqOrp4dej</t>
  </si>
  <si>
    <t>FR</t>
  </si>
  <si>
    <t>#Gamer Lol, #heroesofthestorm, #streamer #goheroes #Photographer, fan of sport mecanic and #graphicdesigner #communitymanager</t>
  </si>
  <si>
    <t>#Pollution : 630.000 voitures de #constructeurs #allemands rappelées #VW #Volkswagen https://t.co/Zrlk6xAnKc https://t.co/RFHDMT6A2U</t>
  </si>
  <si>
    <t>Ronald Lässig</t>
  </si>
  <si>
    <t>Rückruf von #Audi, #VW, #Mercedes und #Porsche: Wenns so weitergeht, dann sind die Straßen bald leer. https://t.co/ODea6c2n7U</t>
  </si>
  <si>
    <t>Journalist, Politik- und Kommunikationswissenschaftler</t>
  </si>
  <si>
    <t>B+C Berlin</t>
  </si>
  <si>
    <t>Die betriebseigene #currywurst ist eh das Beste was #vw seit langem heraus gebracht hat. https://t.co/kfq0NnY0BC</t>
  </si>
  <si>
    <t>Hier twittern Cathie und Björn U. privat zu #Familie #Berlin #Musik #Bier #beer #Politik Elektronischer Musik #Reisen #concerts #Hertha und #Trash-TV</t>
  </si>
  <si>
    <t>Lindsay Lithgow</t>
  </si>
  <si>
    <t>Volkswagen says 'you get a new car! You get a new car! You get a new car!' #SkimmLife https://t.co/l04jEv63yd via @theSkimm #VW</t>
  </si>
  <si>
    <t>Daily Marketing Magic at @discoverycomm -Volunteer Art Director @Gen_Discovery. All views are my own.</t>
  </si>
  <si>
    <t>IGotN0Money&amp;0Friends</t>
  </si>
  <si>
    <t>RT @martin_speer: Werte vs. Wirklichkeit? @BoschPresse @BoschGlobal #Boschgate #Vw #dieselgate #Bosch https://t.co/qu7SDqiVVa</t>
  </si>
  <si>
    <t>FR DE CH metroregio Basel</t>
  </si>
  <si>
    <t>((Radio))Macher Dilettant Gonzo Feminist &amp; Republikverfechter, manchmal Animalist &amp; Defätist. Agile IT-Arts-Tech-Science. Ex D/F-Brigade. RTs etc ≠ endorsements</t>
  </si>
  <si>
    <t>RT @AFECTADOGRUPOVW: EEUU:Abogados piden al juez que ordene el pago de indemnizaciones si #VW y los reguladores de gobierno no llegan a un…</t>
  </si>
  <si>
    <t>Fach-Arbeiter</t>
  </si>
  <si>
    <t>RT @ronaldlaessig: Rückruf von #Audi, #VW, #Mercedes und #Porsche: Wenns so weitergeht, dann sind die Straßen bald leer. https://t.co/ODea6…</t>
  </si>
  <si>
    <t>arbeite als Machete.</t>
  </si>
  <si>
    <t>Nach #VW Einigung mit den USA: Deutsche fühlen sich wie Kunden zweiter Klasse https://t.co/b1MmFDuhHN via @ntvde</t>
  </si>
  <si>
    <t>RT @NDRreporter: Video-#News aus dem Norden: u.a. #VW-#dieselgate sorgt für Riesenverluste / #Korruption bei #LKA? / #Altersarmut https://t…</t>
  </si>
  <si>
    <t>hdb</t>
  </si>
  <si>
    <t>#vw #dieselgate Auf diese obszöne Habgier wird die Gesellschaft irgendwann reagieren müssen, bevor Häuser brennen. https://t.co/VtddlMD0Q0</t>
  </si>
  <si>
    <t>Wer nichts versucht, dem kann nichts gelingen. Satire nicht ausgeschlossen! #RefugeesWelcome https://t.co/sJdrkNbfs3</t>
  </si>
  <si>
    <t>Joe Alvarez</t>
  </si>
  <si>
    <t>RT @Ikoniclondon: #German Car Makers To Recall 630,000 #Vehicles https://t.co/3rqJ7F6VKO #VW #Corruption #Criminal #Investigation #Germany</t>
  </si>
  <si>
    <t>London UK.</t>
  </si>
  <si>
    <t>I'm a celebrity photographer and columnist. I cover all types of showbiz events worldwide: MTV awards, film festivals, studio, PR, commercial, Fashion et al..</t>
  </si>
  <si>
    <t>FanCar Picture - Send me your Scirocco pictures!!! (PM Please) #VW #Volkswagen #Scirocco #Tuning https://t.co/tJEvtz8rnW</t>
  </si>
  <si>
    <t>TI archive: US Slaps VW with $20 Billion Emissions Cheating Lawsuit https://t.co/t1MeBCbFDh #20billion #lawsuit #us #vw</t>
  </si>
  <si>
    <t>RT @hdBerretz: #vw #dieselgate Auf diese obszöne Habgier wird die Gesellschaft irgendwann reagieren müssen, bevor Häuser brennen. https://t…</t>
  </si>
  <si>
    <t>󾟤 @vr6dubnut12 with an amazing #frontendfriday #saveallthemk3s #volkswagen #vw #vr6 #mk3 #mkiii #jetta #bora... https://t.co/gUrbcBXxvv</t>
  </si>
  <si>
    <t>DEUTSCHLAND.de</t>
  </si>
  <si>
    <t>#VW and #US officials reach a compromise in #emissions case, while the #carmaker sets aside billions https://t.co/xM7minKVVt</t>
  </si>
  <si>
    <t>DEUTSCHLAND.de aims to present a comprehensive, modern and topical picture of Germany abroad. Impressum: https://t.co/C2w4DtU2s3</t>
  </si>
  <si>
    <t>Langsam kommt Bewegung in die #VW-Runde in #Wolfsburg. Der erste Aufsichtsrat fährt vom Hof. Wir bleiben dran https://t.co/l5sbCeBNPz</t>
  </si>
  <si>
    <t>Sven</t>
  </si>
  <si>
    <t>...Paramedic &amp; Lumia-User... ***Axolotls, Rettungsdienst, MERCEDES-BENZ, Erzgebirge, Vogtland, Welt***</t>
  </si>
  <si>
    <t>B. Mat</t>
  </si>
  <si>
    <t>Absurdistan</t>
  </si>
  <si>
    <t>Koch- und Buntwäsche immer trennen und an die alten Philosophen denken.</t>
  </si>
  <si>
    <t>#Dobrindt ordnet Rückruf von 633.000 #Diesel-#Pkw an: https://t.co/KX9hpJskjC #Daimler #Porsche #VW #BMW #Opel https://t.co/4pMJP0HRDg</t>
  </si>
  <si>
    <t>#Dieselgate &amp; Folgen: Diese Autos müssen in Werkstatt https://t.co/WMmv7oJn0e #kfz #audi #porsche #mercedes #vw #opel (VR) via @handelsblatt</t>
  </si>
  <si>
    <t>Madushan priyasath</t>
  </si>
  <si>
    <t>Fourways Self Drive</t>
  </si>
  <si>
    <t>#VW plans to cut executive’s #bonuses after the #dieselemissions scandal https://t.co/9E87j12mJq @Reuters</t>
  </si>
  <si>
    <t>Whitchurch, Shropshire</t>
  </si>
  <si>
    <t>Providing car and van rental in North Shropshire and South Cheshire with exceptional value and service #vehiclerentalshropshire 01948 661327 info@fvsd.co.uk</t>
  </si>
  <si>
    <t>Das sich die Vorstände von #VW nicht schämen, weiterhin #Boni zu beziehen bei all den #Manipulationen die sie zu verantworten haben.</t>
  </si>
  <si>
    <t>RT @doern: Langsam kommt Bewegung in die #VW-Runde in #Wolfsburg. Der erste Aufsichtsrat fährt vom Hof. Wir bleiben dran https://t.co/l5sbC…</t>
  </si>
  <si>
    <t>#thegaragebr #kustomkulture #vw #vwlovers #volks #fusca #vwfusca #beetle#vwbeetle #bug #karmannghia #aircooled #air… https://t.co/W1PAz727Oi</t>
  </si>
  <si>
    <t>#VW-#Aufsichtsrat tagt weiter, PK verschoben... Zum Mrd.-Verlust wg. #dieselgate Frank Schwope von @nord_lb https://t.co/vvI1OUaQVU</t>
  </si>
  <si>
    <t>Hey @VWcanada @VW I'm driving my clean Golf TDI to celebrate earth day...oh wait...ummm, never mind. 🤔 #dieselgate #VW 🏭🚗🌎</t>
  </si>
  <si>
    <t>Maricota!👍😉🏁 #thegaragebr #kustomkulture #vw #vwlovers #volks #fusca #vwfusca #beetle#vwbeetle #bug #karmannghia #a… https://t.co/rZrwR6TfMl</t>
  </si>
  <si>
    <t>#vw #vwbug #vwgol #vwgti #vwlife #vwlove #vwpolo #vwtech #vwtech #vwbeetle #vwbrasil #vwracing #vwvortex #vwlifesty… https://t.co/AN5BCgEK0Y</t>
  </si>
  <si>
    <t>Brukt bobla hele uka, kunne ikke gått bedre! 🎉☀️ #vw #vwbeetle #vwclassic #vvwklubb #garasjen #vwnorge #kafer #vwbu… https://t.co/tfttdUAlSU</t>
  </si>
  <si>
    <t>RT @FrVision: #Pollution : 630.000 voitures de #constructeurs #allemands rappelées #VW #Volkswagen https://t.co/Zrlk6xAnKc https://t.co/RF…</t>
  </si>
  <si>
    <t>RT @NDRreporter: #VW-#Aufsichtsrat tagt weiter, PK verschoben... Zum Mrd.-Verlust wg. #dieselgate Frank Schwope von @nord_lb https://t.co/v…</t>
  </si>
  <si>
    <t>Angebliche adHoc-News von #VW: Autobauer erwartet größten Verlust der Geschichte aber will 0,17€ Dividende zahlen. Mehr gleich @handelsblatt</t>
  </si>
  <si>
    <t>Riesen-Minus ist raus: #VW macht 5,5 Milliarden Euro Verlust. https://t.co/L6wFSB6oYg #Handelsblatt</t>
  </si>
  <si>
    <t>Franke-Media.net</t>
  </si>
  <si>
    <t>RT @doern: Angebliche adHoc-News von #VW: Autobauer erwartet größten Verlust der Geschichte aber will 0,17€ Dividende zahlen. Mehr gleich @…</t>
  </si>
  <si>
    <t>Quality Content Provider - objektive #Tests #Vergleiche und #Infografiken zu Finanz- und Geldanlagen. Impressum: http://t.co/2Y13lHDn37</t>
  </si>
  <si>
    <t>Choice for VW owners: Sell diesels back to company or get them repaired https://t.co/KIutLZjNfT #vw #dieselgate @ConsumerAutoMD</t>
  </si>
  <si>
    <t>Scoopic</t>
  </si>
  <si>
    <t>#Dieselgate #VW https://t.co/qjMsDWI8M5</t>
  </si>
  <si>
    <t>Atheists</t>
  </si>
  <si>
    <t>sabina hasanova</t>
  </si>
  <si>
    <t>Azerbaijan</t>
  </si>
  <si>
    <t>Sabina Fazil Hasanova</t>
  </si>
  <si>
    <t>@SebOgier bester #VW Pilot nach dem #WRC -„Springbreak“. https://t.co/rzyPg0aFEu #VWSport https://t.co/jPXIRp5YGa</t>
  </si>
  <si>
    <t>EIL: #Volkswagen-Aktie: #VW macht wegen Abgaskrise 2015 Riesen-Verlust. https://t.co/4UjQT8KHjF #Dieselgate</t>
  </si>
  <si>
    <t>#VW driver @SebOgier makes best start after the #WRC spring break. https://t.co/PrthojZReG #VWSport https://t.co/Lg7KdBHpvv</t>
  </si>
  <si>
    <t>Karayel - hash : #vw #volkswagen #vwgolf - https://t.co/4inJtFIsKG - Karayel</t>
  </si>
  <si>
    <t>#LOWTEC #HiLOW #GEWINDEFAHRWERK #SPORTFAHRWERK #LOW #VW Hier der Passat 3C von Sven Kleinbauer mit einem COMP... https://t.co/PuXCMW5I0R</t>
  </si>
  <si>
    <t>PS Bananenbieger</t>
  </si>
  <si>
    <t>#Merkel als Puffmutter der Abgasnutten. https://t.co/A5cCKh9nke #Abwrackprämie #VW #S21 #BER #Boehmermann</t>
  </si>
  <si>
    <t>RT @beetlebug1938: Maricota!👍😉🏁 #thegaragebr #kustomkulture #vw #vwlovers #volks #fusca #vwfusca #beetle#vwbeetle #bug #karmannghia #a… htt…</t>
  </si>
  <si>
    <t>Hɘlmi</t>
  </si>
  <si>
    <t>5,5 Millarden Verlust. Als wäre das jetzt ernsthaft problematisch. #vw</t>
  </si>
  <si>
    <t>Greater Munich Area</t>
  </si>
  <si>
    <t>loves #cats, #WordPress and #3DPrinting – somehow #football ⚽️ too. Also known for @rasenfunk and @geekwerkstatt</t>
  </si>
  <si>
    <t>Jens Hilgenberg</t>
  </si>
  <si>
    <t>Wenn das #KBA die Rückrufpläne von #Porsche, #Daimler &amp; #Opel so prüft wie beim #VW Amarok, ist nicht mit Minderungen im Alltrag zur rechnen</t>
  </si>
  <si>
    <t>Working for BUND/Friends of the Earth Germany(@bund_net) on transport &amp; climate matters. Views are my own.</t>
  </si>
  <si>
    <t>RT @vwpress_en: #VW driver @SebOgier makes best start after the #WRC spring break. https://t.co/PrthojZReG #VWSport https://t.co/Lg7KdBHpvv</t>
  </si>
  <si>
    <t>eBay: 2002 VOLKSWAGEN BEETLE 1.6 METALLIC GREY… https://t.co/eTtZmpIiXY #vwbeetle #vwbug #vw https://t.co/xvfL74PTgl https://t.co/rWZiaHy9A4</t>
  </si>
  <si>
    <t>Revista Auto Fácil</t>
  </si>
  <si>
    <t>Veja como ficará a #VWAmarok! #revistaautofácil #vw #vwbr #volks #picapes #picapeiros https://t.co/wFSi0L2Mz1 https://t.co/mlibGiACBC</t>
  </si>
  <si>
    <t>mamooo</t>
  </si>
  <si>
    <t>RT @muhanna00923593: يا سلاااام😍 يبيله هالويكيند 😍😍😍😍 #vw https://t.co/o0jBdcLXRy</t>
  </si>
  <si>
    <t>Das sind keine Rückrufe, das ist Beweismittelbeseitigung. https://t.co/ozUgwDkUBc #VW #Daimler #Merkel</t>
  </si>
  <si>
    <t>#VW 122,40€ -3,60% Harter Schlag für die Aktionäre: 0,17€ Dividende nach 4,86€ im Vorjahr, Aktie fällt/JK https://t.co/b14Xe60nug</t>
  </si>
  <si>
    <t>Keith Naughton</t>
  </si>
  <si>
    <t>An erosion of #trust' @Daimler Probe Hits Industry Credibility After #Mitsubishi Charge #VW #dieselgate https://t.co/sLWKqOUklp @business</t>
  </si>
  <si>
    <t>I cover the car biz for Bloomberg @business. My book on the rebirth of Detroit's last auto factory: Reckoning to Revival http://t.co/ciYYLKJgHF</t>
  </si>
  <si>
    <t>RT @kuerzel_td: Riesen-Minus ist raus: #VW macht 5,5 Milliarden Euro Verlust. https://t.co/L6wFSB6oYg #Handelsblatt</t>
  </si>
  <si>
    <t>The Motoring Podcast</t>
  </si>
  <si>
    <t>Where there are cars.</t>
  </si>
  <si>
    <t>Weekly audio podcast of news and opinion on the motoring world by @ajpbradley and @CrackedW_Screen.</t>
  </si>
  <si>
    <t>VikP</t>
  </si>
  <si>
    <t>Don't you wish you owned a #VW #Volkswagen #emissionsscandal https://t.co/GlSgr9aD74</t>
  </si>
  <si>
    <t>New Delhi, India</t>
  </si>
  <si>
    <t>#Abgas-Krise verursacht bei #VW größten Verlust der Konzerngeschichte https://t.co/qHzN2OGjsI</t>
  </si>
  <si>
    <t>Abgas-Krise verursacht bei #VW größten Verlust der Konzerngeschichte: 1,6 Milliarden Euro</t>
  </si>
  <si>
    <t>Bernhard Völkl</t>
  </si>
  <si>
    <t>YVR, VIE &amp; inbetween</t>
  </si>
  <si>
    <t>Innovation in &amp; economics of defence. Business, EUrope &amp; foreign affairs. Gebirgsjäger, tested sandproof. @wu_vienna grad, @sipol_at founder/editor.</t>
  </si>
  <si>
    <t>van_demonium: #vw #vwbus #vwvan #baywindow #aircooled #can #vanlife #wanderlust #campervan #campervanster #cam... https://t.co/BI4bL1VVZy</t>
  </si>
  <si>
    <t>Dirk Hähnel</t>
  </si>
  <si>
    <t>#Liveblog zum Dieselgate: #VW schließt #Jahr mit 5,5 #Milliarden #Euro #Verlust ab https://t.co/Cw4AjwxEWR #Handelsblatt</t>
  </si>
  <si>
    <t>Goettingen, Germany</t>
  </si>
  <si>
    <t>#VW increases provision for diesel emissions issue to E16.2bn</t>
  </si>
  <si>
    <t>#VW-Konzern stellt wegen Folgen des Abgas-Skandals 16,2 Mrd. € zurück. Dadurch schließt VW 2015 mit Verlust von 1,58 Mrd. Euro ab.</t>
  </si>
  <si>
    <t>Sören Janssen</t>
  </si>
  <si>
    <t>Zurecht: #VW macht wegen Abgas-Skandal größten Verlust der Firmengeschichte https://t.co/R1xbmPiLjK</t>
  </si>
  <si>
    <t>Tagesschau App</t>
  </si>
  <si>
    <t>Politisch, Grün. Hamburg, Wilhelmsburg. Umwelt, Energie, Klimaschutz - twittert hier privat politisch.</t>
  </si>
  <si>
    <t>#VW-Bilanz für Dieseljahr 2015: Operatives Ergebnis von 12,8 Mrd. Euro. Aber 16,9 Mrd. Euro Rückstellungen für Dieselgate sorgen für Verlust</t>
  </si>
  <si>
    <t>#EIL: #VW macht wegen #Abgaskrise 2015 größten Verlust der Firmengeschichte - mehr dazu auf https://t.co/npL1VrHo8S</t>
  </si>
  <si>
    <t>Jeder, der die Rußwolken sieht, weiß seit 20J, daß #BMW #Daimler #Audi #VW #Opel #Ford bei den Abgaswerten betrügen. https://t.co/ozUgwDkUBc</t>
  </si>
  <si>
    <t>#VW 121,88€ -3,10% Aktie beendet Erholung:16,2 Milliarden Euro Rückstellungen für das Diesel-Desaster/JK https://t.co/gv2qobEGnS</t>
  </si>
  <si>
    <t>Kristina Hofmann</t>
  </si>
  <si>
    <t>@AlexDobrindt PK zu #Abgasskandal #VW #Daimler: " ...Fahrzeuge, die ein auffälliges Verhalten zeigen ..." Herbie? Ach ne, nur #freitag ...</t>
  </si>
  <si>
    <t>Kristina Hofmann, Redakteurin im ZDF-Hauptstadtstudio Berlin, twittert und kommentiert hier total privat und einfach so.</t>
  </si>
  <si>
    <t>#Wolfsburg: #Volkswagen erwartet 5,5 Mrd. Euro Verlust nach Steuern, "Sonderbelastungen" bei 16,9 Mrd. Euro. Mehr gleich @handelsblatt #VW</t>
  </si>
  <si>
    <t>Unterirdisch, wie #DossierB mit dem geschätzten #VW-Kollegen @HansGerdBode umgeht. Das ist ganz, ganz schlechter Stil.</t>
  </si>
  <si>
    <t>Kurz nach 15 Uhr: #VW gibt Milliarden-Minus bekannt, gleichzeitig erläutert #Dobrindt #KBA-Bericht. Welchen Zweck hat die Absprache?</t>
  </si>
  <si>
    <t>#Dobrindt mußte Bahnaufsichtsräte zu Straftaten drängen, da hat er keine Zeit für kriminelle Autokonzerne. https://t.co/A5cCKh9nke #S21 #VW</t>
  </si>
  <si>
    <t>ReiseRobby.de</t>
  </si>
  <si>
    <t>#VW #VWdown Ist eh 1,6 Milliarden mal 'ne scheiß Nazifirma</t>
  </si>
  <si>
    <t>Berlin-Global-Neukölln</t>
  </si>
  <si>
    <t>Blogger, Bürger, Besserwisser: Reise, Lebensart und Gesellschaft / aka Robert Niedermeier alias ReiseRobby</t>
  </si>
  <si>
    <t>#VW Trailer Assist - Backing up a trailer #FridayFunny 😀 Call: 877-798-0313 Click: https://t.co/ZDWiyITlaA https://t.co/im29W0xgZo</t>
  </si>
  <si>
    <t>Gedanken</t>
  </si>
  <si>
    <t>Die Rechnung für #DieselGate: Mega-Minus bei #VW, 5,5 Mrd. Verlust! #Auto #Deutschland #Wolfsburg</t>
  </si>
  <si>
    <t>Politik,Fussball alles mit Humor auch mal mit Ironie</t>
  </si>
  <si>
    <t>RT @MarkCSchneider: #VW-Bilanz für Dieseljahr 2015: Operatives Ergebnis von 12,8 Mrd. Euro. Aber 16,9 Mrd. Euro Rückstellungen für Dieselga…</t>
  </si>
  <si>
    <t>Agnes Vogt</t>
  </si>
  <si>
    <t>Historischer Verlust in Milliardenhöhe bei #Volkswagen wegen #dieselgate #VW https://t.co/K7TehMPEp5</t>
  </si>
  <si>
    <t>Redakteurin @automobilwoche | schreibt über Vernetzung, Tech, Wirtschaft und Autos | moderiert auch | früher @abendzeitung | alles meine Meinung | ̄\_(ツ)_/ ̄</t>
  </si>
  <si>
    <t>MODERN SIKH</t>
  </si>
  <si>
    <t>VW and German citizen US, a time apology and VW give a chance all Affected car again exhaust Jump for environmental damage.#VW</t>
  </si>
  <si>
    <t>Kat Steward</t>
  </si>
  <si>
    <t>One day..! #art #artwork #illustrator #VW #campervan #illustration https://t.co/19tNndERMQ</t>
  </si>
  <si>
    <t>Hinckley, England</t>
  </si>
  <si>
    <t>Artist/Illustrator</t>
  </si>
  <si>
    <t>blauer_loewe</t>
  </si>
  <si>
    <t>RT @ZDFheute: #EIL: #VW macht wegen #Abgaskrise 2015 größten Verlust der Firmengeschichte - mehr dazu auf https://t.co/npL1VrHo8S</t>
  </si>
  <si>
    <t>schlafende Hunde soll man nicht wecken.</t>
  </si>
  <si>
    <t>Claudia Boehnert</t>
  </si>
  <si>
    <t>RT @doern: #Wolfsburg: #Volkswagen erwartet 5,5 Mrd. Euro Verlust nach Steuern, "Sonderbelastungen" bei 16,9 Mrd. Euro. Mehr gleich @handel…</t>
  </si>
  <si>
    <t>COURAGE #Strategieberatung - #Marketing, #Werbung, #PR, #SocialMedia, #BusinessDevelopment, #Kanzlei #Recht #Law</t>
  </si>
  <si>
    <t>Free Aviator</t>
  </si>
  <si>
    <t>@wdr5 für Deutsche Kunden gibt es Gutscheine für einen kostenlosen Lichttest. #VW #Abgasskandal #5000$</t>
  </si>
  <si>
    <t>Hangar18</t>
  </si>
  <si>
    <t>Aviation and Stuff</t>
  </si>
  <si>
    <t>eBay: VW T4 CARAVELLE VR6 CAMPER VAN https://t.co/LcpINOEgl1 #vwcamper #vwbus #vw https://t.co/ZEadscsjBy https://t.co/LRTlc4XpHB</t>
  </si>
  <si>
    <t>Was sind das eigentlich für Arschlöcher, die nach #G8 #TTIP #VW #BER #S21 #Atom immer wieder Merkel &amp; #CDU wählen? https://t.co/A5cCKh9nke</t>
  </si>
  <si>
    <t>Weil sie gelogen, manipuliert und arrogant waren. Profitgierig tötet jeden gierigen Verstand. #VW https://t.co/aOLXvHI8CG via @SZ</t>
  </si>
  <si>
    <t>@ZDFheute Es ist keine einfache #Abgaskrise! Es ist das Ergebnis krimineller Machenschaften von Vorstand und Aufsichtsrat! #VW #dieselgate</t>
  </si>
  <si>
    <t>#VW verbucht größten Verlust der Konzerngeschichte https://t.co/mtguY9IND4</t>
  </si>
  <si>
    <t>RT @noz_de: #VW verbucht größten Verlust der Konzerngeschichte https://t.co/mtguY9IND4</t>
  </si>
  <si>
    <t>Christian Soeder</t>
  </si>
  <si>
    <t>RT @FAZ_NET: EILMELDUNG: Größter Verlust der #Konzerngeschichte für #VW https://t.co/pcWdnC3fqK</t>
  </si>
  <si>
    <t>Rhein-Neckar</t>
  </si>
  <si>
    <t>Social Media Ninja / Sozialdemokrat / Feminist</t>
  </si>
  <si>
    <t>Epic Autokoulu</t>
  </si>
  <si>
    <t>CuteMobile #helsinki #pori #epic #ride #vw #volkswagen #volkswagencenter #up #hellokitty #hello… https://t.co/fgKqvi5xOY</t>
  </si>
  <si>
    <t>Turku, Pori, Espoo, Tampere</t>
  </si>
  <si>
    <t>Usein kopioitu, ei koskaan ylitetty. Ajamisen superlatiivi.</t>
  </si>
  <si>
    <t>Nåja</t>
  </si>
  <si>
    <t>Damals, als die Zumwinkel, von Pierer, Hartz, Hoeneß und die anderen Winterkörner der Republik noch "Leistungsträger" hießen. #VW #panama</t>
  </si>
  <si>
    <t>Upper Europe</t>
  </si>
  <si>
    <t>Human rights, all and always. music, Arctic. Menschenrechte, Arktis und Musik. Om menneskerettigheter, Norden og musikk. Views are private. RTs not endorsement.</t>
  </si>
  <si>
    <t>Lars Jehne</t>
  </si>
  <si>
    <t>5,5 Milliarden Verlust bei #VW ? Dafür sollte es einen fetten Boni geben - nicht. #realsatire</t>
  </si>
  <si>
    <t>Mitglied im Bundesvorstand der Jungen Liberalen e.V.</t>
  </si>
  <si>
    <t>The Tiger©</t>
  </si>
  <si>
    <t>Near $2BN loss... This could push #VW into a possible Chapter 11 #bankruptcy filing... https://t.co/TP3SNAdonv</t>
  </si>
  <si>
    <t>Once captive; now free. Paws for thought ;) Views &amp; Tweets are my own intellectual property ©</t>
  </si>
  <si>
    <t>Eduardo Méndez Gaa</t>
  </si>
  <si>
    <t>#BREAKING #Volkswagen posts 1.58-billion-euro loss in 2015... #BigOooops #VW #BlackFriday https://t.co/i7yjS96ocI</t>
  </si>
  <si>
    <t xml:space="preserve">Berlín | Bogotá DC </t>
  </si>
  <si>
    <t>DW LatAm Dep. Head of TV Department Media Trainer @DW_Akademie_es https://t.co/wNlwhacBwK</t>
  </si>
  <si>
    <t>G</t>
  </si>
  <si>
    <t>FRA/MD/LON</t>
  </si>
  <si>
    <t>30,000 feet and still creative.</t>
  </si>
  <si>
    <t>RT ZDFheute: #EIL: #VW macht wegen #Abgaskrise 2015 größten Verlust der Firmengeschichte - mehr dazu auf https://t.co/ByTMk9ZvBP</t>
  </si>
  <si>
    <t>Jörg Marksteiner</t>
  </si>
  <si>
    <t>.#dieselgate: #VW kürzt Dividende um 96%, #RWE um 100% - gibt es eigentlich Städte, die neben #RWE-Aktien auch VW im Depot haben?</t>
  </si>
  <si>
    <t>Dortmund/Essen</t>
  </si>
  <si>
    <t>WDR-Redakteur und Wirtschaftskorrespondent für den Hörfunk im #Ruhrgebiet ++ Fokus auf #Einzelhandel, Energie, Industrie ++ privater Account, seit 09.2014</t>
  </si>
  <si>
    <t>Volkswagen Surat</t>
  </si>
  <si>
    <t>RT @TopGearMagIndia: We're in Berlin, Germany to drive the new @Volkswagen Tiguan - first #VW to come to India based on the MQB platform. h…</t>
  </si>
  <si>
    <t>Surat, Gujarat</t>
  </si>
  <si>
    <t>The official Twitter account of Volkswagen Surat.Volkswagen Surat(A Navjivan Group Company), is the authorized dealer for Volkswagen Passenger Cars in Surat.</t>
  </si>
  <si>
    <t xml:space="preserve"> +++ #VW schreibt den grössten Verlust seiner Geschichte: #volkswagenscandal https://t.co/7LkbUH8UjR ^cs</t>
  </si>
  <si>
    <t>HaufeCompliance</t>
  </si>
  <si>
    <t>Prima Klima! Automobilindustrie – Schummeleien ohne Ende: https://t.co/FaIdShWbki #Mitsubishi #VW #Daimler #dieselgate</t>
  </si>
  <si>
    <t>Praxisgerecht aufbereitete Informationen zum Compliance-Management</t>
  </si>
  <si>
    <t>Kollateralschaben</t>
  </si>
  <si>
    <t>Gehen Sie weiter, es gibt hier nichts zu sehen. Regisseur | Dude</t>
  </si>
  <si>
    <t>Fabio Zenklusen</t>
  </si>
  <si>
    <t>RT @srfnews: +++ #VW schreibt den grössten Verlust seiner Geschichte: #volkswagenscandal https://t.co/7LkbUH8UjR ^cs</t>
  </si>
  <si>
    <t>Glis VS</t>
  </si>
  <si>
    <t>Redaktion &amp; Nachrichten @radio_rottu / auch privat</t>
  </si>
  <si>
    <t>wolfgang skowronek</t>
  </si>
  <si>
    <t>Warum ist beim #VW #Diesel Skandal noch das #KBA tätig, und nicht nur noch das #BKA ?!?! #dieselgate</t>
  </si>
  <si>
    <t>Wien / Vienna</t>
  </si>
  <si>
    <t>Deborah Cole</t>
  </si>
  <si>
    <t>Fine that German transport min is talking car pollution test cheating but did environment minister Hendricks have sthg better to do? #VW</t>
  </si>
  <si>
    <t>AFP correspondent, Berlin-based since '95. Cover Angela Merkel, Europe's top economy and foreign policy but they let me do the film fests too. Usual disclaimer.</t>
  </si>
  <si>
    <t>Editorial: Settlement hits #VW hard — and justly. https://t.co/u7j8QqReXb https://t.co/Ki9mgOhGpx</t>
  </si>
  <si>
    <t>Größter Verlust der Unternehmensgeschichte nicht überraschend - #VW-Aktie verliert an der Börse über drei Prozent https://t.co/DSgIM2AzyC</t>
  </si>
  <si>
    <t>#VW posts 1.6 bn € loss in 2015, sets aside 16.2 bn for scandal costs + sees sales down 5% in 2016. Shares extend losses to -5.6 #dieselgate</t>
  </si>
  <si>
    <t>OX Markets</t>
  </si>
  <si>
    <t>#news #business #stocks #trading #VW Doubles Provisions for Cheating #Scandal to $18.2 Billion https://t.co/0h8SFaxcfa via @business</t>
  </si>
  <si>
    <t>Limassol, Cyprus</t>
  </si>
  <si>
    <t>Ox Markets Ltd provides exceptional, personalized trading opportunities in binary options to clients around the world!</t>
  </si>
  <si>
    <t>Thomas Grasmück</t>
  </si>
  <si>
    <t>Das vollkommen realitätsentkoppelte Selbstverständnis mancher Eliten kotzt mich ja schon merklich an. #VW #dieselgate</t>
  </si>
  <si>
    <t>Corebird</t>
  </si>
  <si>
    <t>Büttelborn, Hessen</t>
  </si>
  <si>
    <t>Dr. Philanthrop &amp; Mr. Misanthrop • Gutmensch • Grundrechtsverfechter • Überzeugter, EU-kritischer Europäer • Ansonsten Schreiberling, Texter, Wortprostituierter</t>
  </si>
  <si>
    <t>Proretrospektiver</t>
  </si>
  <si>
    <t>Aha. Aber Pleite gehen kann #VW ja nicht. Das zahlt dann der Steuerzahler. Wie immer...</t>
  </si>
  <si>
    <t>Into the wide green...</t>
  </si>
  <si>
    <t>Believe or not. Trust or not. Think or not.</t>
  </si>
  <si>
    <t>Und weiter werden die Personen gedeckt, die den Skandal zu verantworten haben. Warum räumt keiner bei #VW +#KBA auf? https://t.co/aZOE36lDvB</t>
  </si>
  <si>
    <t>GoldenAgerDe</t>
  </si>
  <si>
    <t>RT @FAZ_Eil: EILMELDUNG: Größter Verlust der #Konzerngeschichte für #VW https://t.co/1pj5rlHfMQ</t>
  </si>
  <si>
    <t>Pete Armstrong</t>
  </si>
  <si>
    <t>Alot of stories impacting markets today #BoJ Rumour #Obama comment on #Brexit #VW in world of hurt #Draghi still lingering #Solid CAD data</t>
  </si>
  <si>
    <t>Professional Trader</t>
  </si>
  <si>
    <t>#Wolfsburg: #VW-Spitze will um 15:30 Uhr vor die Presse. Kollege C.Schnell und ich bleiben gespannt. #Handelsblatt https://t.co/f2YEqQ9irL</t>
  </si>
  <si>
    <t>Kezinha</t>
  </si>
  <si>
    <t>Slla , bateu maior sdd de tu agr .. 😪💔😏 #VW</t>
  </si>
  <si>
    <t>Rio de Janeiro, Brasil</t>
  </si>
  <si>
    <t>De todos os amores , o próprio ❤ ..</t>
  </si>
  <si>
    <t>1492  ✠</t>
  </si>
  <si>
    <t>⚔ Tauschen wir die Politiker aus, bevor diese das Volk austauschen!️ ☀ Info zu den Farben https://t.co/JmREt186Ck ✠ Info zum Tatzenkreuz https://t.co/Tu2Ip9YrSb</t>
  </si>
  <si>
    <t>Börsenberichte</t>
  </si>
  <si>
    <t>Impressum</t>
  </si>
  <si>
    <t>Finanznachrichten, Börsen, Aktien, Investieren</t>
  </si>
  <si>
    <t>Armin</t>
  </si>
  <si>
    <t>...und sich auch keiner finden läßt,der gesehen hat,wie sich die software von geisterhand selbst eingebaut hat. #vw https://t.co/3xjsJNaQEf</t>
  </si>
  <si>
    <t>am anfang des universums</t>
  </si>
  <si>
    <t>run to the hills!</t>
  </si>
  <si>
    <t>Pirat Parzival</t>
  </si>
  <si>
    <t>RT @buran63: Weil sie gelogen, manipuliert und arrogant waren. Profitgierig tötet jeden gierigen Verstand. #VW https://t.co/aOLXvHI8CG via…</t>
  </si>
  <si>
    <t>Parzival anfangs ein unerfahrener Tollpatsch, geht er wohlgemut auf die Suche als Pirat. Sein Motto: Freiheit erreichen wir nicht, in dem wir sie abschaffen.</t>
  </si>
  <si>
    <t>BestAger 50Plus</t>
  </si>
  <si>
    <t>Informationen zu #Alter #Senioren #BestAger #Demografie #50Plus #HR #Experten #Fachkräfte #Führungskräfte. Impressum: https://t.co/11zeUZ3pyU Offizieller Kanal</t>
  </si>
  <si>
    <t>Wirtschaft</t>
  </si>
  <si>
    <t>Nachrichten und Meinungen zu Wirtschaft und Politik https://t.co/L3WvoRO5PH</t>
  </si>
  <si>
    <t>Well that is one solid looking #VW #Beetle. https://t.co/M05HjINHkj</t>
  </si>
  <si>
    <t>connection92</t>
  </si>
  <si>
    <t>Wer die Kunden verarscht bekommt es halt von der anderen Seite wieder. #VW #dieselgate</t>
  </si>
  <si>
    <t>Jibran Shahzad</t>
  </si>
  <si>
    <t>RT @PeteArmstrong: Alot of stories impacting markets today #BoJ Rumour #Obama comment on #Brexit #VW in world of hurt #Draghi still linger…</t>
  </si>
  <si>
    <t>Behind You</t>
  </si>
  <si>
    <t>Student in Computer Science| Muslim | Pakistani| Knows Urdu, English and Turkish! FOREX! STOCK TRADER! $EURUSD $AAPL $SPY</t>
  </si>
  <si>
    <t>Johannes</t>
  </si>
  <si>
    <t>Biberach an der Riß &amp; Erlangen</t>
  </si>
  <si>
    <t>If someone thinks they have the upper hand, break it.☝️ Jura-Student, Banken&amp;Börse aus Leidenschaft, CSU - #BVB Echte Liebe &amp; regionale Verbundenheit #VfB.</t>
  </si>
  <si>
    <t>RT @Theothebald: #VW increases provision for diesel emissions issue to E16.2bn</t>
  </si>
  <si>
    <t>$GBP instantly popped as #VW report dropped due to $EURGBP flows</t>
  </si>
  <si>
    <t>Johannes Remmel</t>
  </si>
  <si>
    <t>RT @willi_haentjes: .@Minister_Remmel: #VW darf deutsche Verbraucher nicht schlechter behandeln als ausländische. #vsmk16 https://t.co/gcEb…</t>
  </si>
  <si>
    <t>Hier informieren #NRW-Umweltminister Johannes Remmel (-JR) &amp; das Ministeriumsteam von https://t.co/vfJiTyQgZ9. Mitarbeiter-Tweets enden mit dem Kürzel (ma)</t>
  </si>
  <si>
    <t>Andrew Kane</t>
  </si>
  <si>
    <t>Madison County, IL</t>
  </si>
  <si>
    <t>John Homewood</t>
  </si>
  <si>
    <t>Cardiff</t>
  </si>
  <si>
    <t>Dad, Daddy, Daddy, Husband. Interests: Lean, Business, Manufacturing, Economy, Maths, Physics, Systems, Humour, Nordic Noir...</t>
  </si>
  <si>
    <t>Robins Kaplan LLP</t>
  </si>
  <si>
    <t>Your daily dose of financial news by @reifmd | The Brief 4.22.16 &gt;&amp;gt;&amp;gt; #Clawback #Darty #VW #Prince https://t.co/RysZoElK3C</t>
  </si>
  <si>
    <t>Our attorneys litigate, mediate, and arbitrate client disputes, always at-the-ready for an ultimate courtroom battle. #ReWritingTheOdds</t>
  </si>
  <si>
    <t>Frank Mottek</t>
  </si>
  <si>
    <t>#Volkswagen now says it'll take $18.2B writedown for 2015 from diesel emissions scandal -AP @KNX1070 @CBSLA #VW</t>
  </si>
  <si>
    <t>The voice of business news in L.A. @KNX1070 @CBSLA</t>
  </si>
  <si>
    <t>Lider Tumer lider542</t>
  </si>
  <si>
    <t>Россия</t>
  </si>
  <si>
    <t>Word live news</t>
  </si>
  <si>
    <t>Jack Green</t>
  </si>
  <si>
    <t>Cardiff/Manchester</t>
  </si>
  <si>
    <t>22 | instagram - jtgreen |</t>
  </si>
  <si>
    <t>#Liveblog zum Dieselgate : #VW schließt 2015 mit 5,5 Milliarden Euro Verlust ab https://t.co/Yqz3fddttR #Handelsblatt</t>
  </si>
  <si>
    <t>RT @robinskaplan: Your daily dose of financial news by @reifmd | The Brief 4.22.16 &gt;&amp;gt;&amp;gt; #Clawback #Darty #VW #Prince https://t.co/RysZoElK3C</t>
  </si>
  <si>
    <t>St. Paul, Minnesota</t>
  </si>
  <si>
    <t>New official KNX 1070 Newsradio twitter account of Frank Mottek, the voice of money news in Los Angeles on @KNX1070 Host #KNXMoneyHour @CBSLA @playit</t>
  </si>
  <si>
    <t>Mary Vicenté</t>
  </si>
  <si>
    <t>#VW #VWGate #Finance https://t.co/aJL43CBxAn</t>
  </si>
  <si>
    <t>Veracruz, Mexico</t>
  </si>
  <si>
    <t>Contadora certificada en fiscal, abogada, especialista en comercio exterior, socio ANAFINET y AMCPMX, gadget geek, crochet freak &amp; whovian de corazón...</t>
  </si>
  <si>
    <t>Matt Brown</t>
  </si>
  <si>
    <t>Jersey</t>
  </si>
  <si>
    <t>Brand Guidance Director for Colchester Rubber Company who manufactured the first Basketball Sneaker for Dr. James Naismith in 1891.</t>
  </si>
  <si>
    <t>demokratie und so</t>
  </si>
  <si>
    <t>Langjähriger PIRAT aus Zeiten der Vorratsdatenspeicherung Part 1 oder für Informatiker seit Part 0…… - Hier gebe ich meine Privatmeinung wieder...</t>
  </si>
  <si>
    <t>Roaming Times RV</t>
  </si>
  <si>
    <t>RT @RV_Listings: Camp in a #VW Westfalia Bus in #hawaii What a unique trip! https://t.co/3Ey4OcquBI #bucketlist #airbnb #boho #travel https…</t>
  </si>
  <si>
    <t>The world's largest RV review and consumer review site with links to RV information and RV dealers with internet specials...</t>
  </si>
  <si>
    <t>RVing Times</t>
  </si>
  <si>
    <t>RVing news and reviews - now part of Roaming Times - the biggest RV review site in the world</t>
  </si>
  <si>
    <t>RVingTweets</t>
  </si>
  <si>
    <t>USA &amp; global</t>
  </si>
  <si>
    <t>RV, RVs, RVing - a MUST FOLLOW for RVers and RVing-related businesses</t>
  </si>
  <si>
    <t>Why RV alone</t>
  </si>
  <si>
    <t>Phoenix, AZ</t>
  </si>
  <si>
    <t>Find an RVing partner free at Roaming Times</t>
  </si>
  <si>
    <t>+ BREAKING + EIL +</t>
  </si>
  <si>
    <t>ZDF: #EIL: #VW macht wegen #Abgaskrise 2015 größten Verlust der Firmengeschichte - mehr dazu auf https://t.co/ilFM0NoFQW</t>
  </si>
  <si>
    <t>Breaking News / Eilmeldungen von ausgewählten internationalen und deutschen Agenturen und Redaktionen. Sources and abbreviations: https://t.co/oy5n3ISiJm</t>
  </si>
  <si>
    <t>FAZ: EILMELDUNG: Größter Verlust der #Konzerngeschichte für #VW https://t.co/IFG3JLBCzg</t>
  </si>
  <si>
    <t>Focus Economia</t>
  </si>
  <si>
    <t>#Vw: 1,58mld #rosso2015,accantona 16,2mld per emissioni ++ In borsa perde il 6% - Volkswagen ha chiuso il 2015... https://t.co/pgw6Z4PMCv</t>
  </si>
  <si>
    <t>Mugwump</t>
  </si>
  <si>
    <t>Wie viele abgasfreie Elektro-Autos man für die 15 Mrd. € bauen könnte... #VW</t>
  </si>
  <si>
    <t>Interzone</t>
  </si>
  <si>
    <t>Distinguished Statesman. M.Sc. of Procrastination. Professional shower thought leader since 2008. Universe simulation supervisor (RNG)</t>
  </si>
  <si>
    <t>Kvwbabel</t>
  </si>
  <si>
    <t>RT @beetlebug1938: Brukt bobla hele uka, kunne ikke gått bedre! 🎉☀️ #vw #vwbeetle #vwclassic #vvwklubb #garasjen #vwnorge #kafer #vwbu… htt…</t>
  </si>
  <si>
    <t>Kep.Bangka-Belitung</t>
  </si>
  <si>
    <t>Komunitas pecinta mesin belakang/vw klasik</t>
  </si>
  <si>
    <t>Cruisen mit @paulina_187 ist eh immer das Beste :D ! #friendship #friends #vw #lowlife #lowcars #motorsport #volks… https://t.co/p1WyVaeY1S</t>
  </si>
  <si>
    <t>#VW hat 2015 den größten Verlust der Firmengeschichte gemacht – wegen Rückstellungen zum Abgas-Skandal. (nd) https://t.co/ZDXR9HHNNC</t>
  </si>
  <si>
    <t>Christoph Heinrich</t>
  </si>
  <si>
    <t>RT @Banane0711: Was sind das eigentlich für Arschlöcher, die nach #G8 #TTIP #VW #BER #S21 #Atom immer wieder Merkel &amp; #CDU wählen? https://…</t>
  </si>
  <si>
    <t>#socialwork #humanrights #noborders #noWW3 #refugeeswelcome #gourmet @ baiersbronn</t>
  </si>
  <si>
    <t>#Wolfsburg: #VW-Sprecherin kündigt Mitteilung zum #JonesDay-Bericht an. Gleich will sich die Konzernspitze äußern. https://t.co/vyZisodcQS</t>
  </si>
  <si>
    <t>ZDFinfo</t>
  </si>
  <si>
    <t>ZDFinfo - Fernsehen zum Mitreden / Impressum: http://t.co/kUuqA51u / Teletext ab Tafel 710</t>
  </si>
  <si>
    <t>#VW Doubles Provisions for Cheating Scandal to $18.2 Billion https://t.co/AYeDxWcoVe via @business #Volkswagen #DAX #Aktien #stocks</t>
  </si>
  <si>
    <t>Ingo W. Hiller</t>
  </si>
  <si>
    <t>@FAZ_Eil @LupusLotarius Da haben sich die #Manager den dicken #Boni verdient. Ist doch wirklich eine atemberaubende #Leistung! #VW</t>
  </si>
  <si>
    <t>Freiburg im Breisgau, Baden-Wü</t>
  </si>
  <si>
    <t>Abiturabbrecher, It-Systemkaufmann, Dozent Ausbilder, EU-Rentner Es gibt Dinge, díe kann ich nicht ändern, die Zeit wird sie für mich ändern #Churchill</t>
  </si>
  <si>
    <t>Ian Hargrove</t>
  </si>
  <si>
    <t>@PrestigeDiesels still awaiting my #VW recall...</t>
  </si>
  <si>
    <t>Lancs</t>
  </si>
  <si>
    <t>Wolverhampton Wanderers FC, Alfa Romeo, petrolhead</t>
  </si>
  <si>
    <t>Adventure-Ost</t>
  </si>
  <si>
    <t>@MrTimsel @SZ Glaube ich eher nicht. Durch die Landesbeteiligung von NS ist #VW praktisch ein "Volkseigener Betrieb"der nicht Pleite geht..</t>
  </si>
  <si>
    <t>Frankfurt (Oder)</t>
  </si>
  <si>
    <t>Atheist, Tätigkeit z.Z.:Müllfahrer ♻ -vorher Schrott... Viel mit dem Bike im Osten unterwegs! Kommentare oft etwas überspitzt + nicht ohne Ironie!</t>
  </si>
  <si>
    <t>Baumann-Habersack</t>
  </si>
  <si>
    <t>Auf wieviel % vom Bonus wollten die #VW Vorstände verzichten ...? #tollhaus https://t.co/dpkGMAScSL</t>
  </si>
  <si>
    <t>Region Hannover</t>
  </si>
  <si>
    <t>Autor »Mit neuer Autorität in Führung« https://t.co/zyprz6nHUj | systemische Haltung | Berater | Vor- und Nachdenker | Vater, in der rush hour des Lebens</t>
  </si>
  <si>
    <t>Hopliten</t>
  </si>
  <si>
    <t>ZDF heute: #EIL: #VW macht wegen #Abgaskrise 2015 größten Verlust der Firmengeschichte - mehr daz... https://t.co/Kkkj46VNtt via @ZDFinfo</t>
  </si>
  <si>
    <t>Internet + Sozial Media + Gestaltung + Werbung + Wordpress + Druck + Logos + Visitenkarten + Corporate Identity | Impressum: https://t.co/nga4SsqRQD</t>
  </si>
  <si>
    <t>Marco Francisco C.</t>
  </si>
  <si>
    <t>Salamanca, Guanajuato</t>
  </si>
  <si>
    <t>Dios, mi familia y dedicado a mi profesion, Process Engineer at Mazda de Mexico</t>
  </si>
  <si>
    <t>Waiting for my approved used Imperial Battle Cruiser 'The Oolong Grey' to be recalled. Hyperdrive emissions software fiddle apparently #VW</t>
  </si>
  <si>
    <t>#BREAKING #VW posts €1.6bn annual net loss, biggest in company history, in wake of #Dieselgate emissions scandal https://t.co/RBspCh8lHo</t>
  </si>
  <si>
    <t>Jonathan Eley</t>
  </si>
  <si>
    <t>#VW puts cost of #dieselgate at €16.9bn - so far https://t.co/DM9R3ycVJO Deepwater Horizon cost BP over $50bn, all told</t>
  </si>
  <si>
    <t>Leigh-on-Sea, Essex</t>
  </si>
  <si>
    <t>Deputy head of FT's Lex column. Formerly personal finance editor. This is where I get cross about things like house prices and train fares</t>
  </si>
  <si>
    <t>Dreisessel A.M.</t>
  </si>
  <si>
    <t>Use biodiesel #Verbio Ag. #VW #Daimler #BMW @Volkswagen @Daimler @Daimler_News @BMW @BMWGroup @MAN_Group I don't want to repeat it!</t>
  </si>
  <si>
    <t>Dreisessel Asset Management. Long Term Investment Philosophy.</t>
  </si>
  <si>
    <t>Team BKR</t>
  </si>
  <si>
    <t>Competing in the 2016 BTCC with Aron Smith &amp; Mark Howard. Created by the same team behind the hugely successful Bubble &amp; Kick Racing outfit</t>
  </si>
  <si>
    <t>RT @dw_business: #BREAKING #VW posts €1.6bn annual net loss, biggest in company history, in wake of #Dieselgate emissions scandal https://t…</t>
  </si>
  <si>
    <t>#VW makes first annual loss since 1993. Should focus minds on bonuses discussion: what bonuses?</t>
  </si>
  <si>
    <t>El tal ☛Maciel☚ ☒</t>
  </si>
  <si>
    <t>#vw #passat #pasateiros #fixaheart #lovemyvw #locoporlosclasicos 🙌🏻😌… https://t.co/tVWEpN5WMg</t>
  </si>
  <si>
    <t>SAN JUAN BAUTISTA MISIONES PY</t>
  </si>
  <si>
    <t>Siguiendo la Carrera de INGENIERÍA EN INFORMÁTICA by U.T.C.D Sede SAN JUAN BAUTISTA MISIONES</t>
  </si>
  <si>
    <t>APA Newsletter: Where is VW Canada? https://t.co/KMG2YL0T5S Don't forget to subscribe and stay in the know! #Volkswagen #VW #Diesel</t>
  </si>
  <si>
    <t>RT @katjalosch: #VW posts 1.6 bn € loss in 2015, sets aside 16.2 bn for scandal costs + sees sales down 5% in 2016. Shares extend losses to…</t>
  </si>
  <si>
    <t>Florian</t>
  </si>
  <si>
    <t>#Abgasskandal brockt #VW den größten #Verlust der Firmengeschichte ein https://t.co/xT6LbQYA8S</t>
  </si>
  <si>
    <t>Si vis pacem para bellum ✌️ [ privater Account ] #Nerd #Geek #Aktionär ❤️ #WLAN #Synology #Apple #Datenschutz #Geld #Boerse Impressum: https://t.co/42A7n8NsnM</t>
  </si>
  <si>
    <t>Michéal Gormley</t>
  </si>
  <si>
    <t>Trying to attack every day.</t>
  </si>
  <si>
    <t>Cotillo</t>
  </si>
  <si>
    <t>#Dieselgate #VW | "Jahresabschluss 2015 - 5,5 Milliarden Euro Verlust" Via https://t.co/h2wW6lVEqS</t>
  </si>
  <si>
    <t>Baden, Calvia, El Cotillo</t>
  </si>
  <si>
    <t>Badener, Freiheit, Windsurfen, Marathon, Europäischer/Asiatischer Kampfsport y mucho mas.................., Pirat, Vorsitzender KV Mittelbaden</t>
  </si>
  <si>
    <t>Holly Blomberg</t>
  </si>
  <si>
    <t>Pro Libertate. #CorporationsAreNotPeople #NoFracking #NoKXL #NoGMO #Environment #ActOnClimateChange #Veterans #VA #PeopleNotPolitics #HumanRights #AnimalRights</t>
  </si>
  <si>
    <t>CDU/CSU</t>
  </si>
  <si>
    <t>Lange: #EU muss Regelungen zu Abschalteinrichtungen unmissverständlich formulieren #VW https://t.co/kj20PaJKgv</t>
  </si>
  <si>
    <t>Die CDU/CSU-Fraktion im Deutschen Bundestag. Die größte Fraktion im 18. Dt. Bundestag mit 311 Abgeordneten.</t>
  </si>
  <si>
    <t>InternationalLithium</t>
  </si>
  <si>
    <t>#VW Doubles Provisions for Cheating Scandal to $18.2 Billion https://t.co/qYalRw8X5i via @business #greenenergy #lithium #EarthDay #ILC.v</t>
  </si>
  <si>
    <t xml:space="preserve">Vancouver </t>
  </si>
  <si>
    <t>Power of Blue Sky Discoveries + Green Technology. Clean Tech Lithium Resource Developer. Disclaimer: http://t.co/nmuRZSIlYz</t>
  </si>
  <si>
    <t>WESER-KURIER</t>
  </si>
  <si>
    <t>Größter Verlust der Konzerngeschichte: Abgas-Skandal verursacht Milliarden-Minus bei #VW. https://t.co/0FCBWcI1Hu https://t.co/RTDbY4Xq9v</t>
  </si>
  <si>
    <t>Aus der Redaktion twittern Jörn Hüttmann, Alexandra-Katharina Kütemeyer, Bastian Mojen, Klaas Mucke, Ina Schulze und Daniel Stöckel http://t.co/nIx7P0Puot</t>
  </si>
  <si>
    <t>Martin Schmalz</t>
  </si>
  <si>
    <t>#VW chairman takes home 20m -- based on extrapolating 2014 results and executive bonus #dieselgate #execpay https://t.co/FLB9TLkjMN</t>
  </si>
  <si>
    <t>Assist. Prof. (Finance), University of Michigan. Princeton PhD - Economics. Helps understand &amp; improve markets.</t>
  </si>
  <si>
    <t>Protonikon</t>
  </si>
  <si>
    <t>RT @RippedFlower: Aha. Aber Pleite gehen kann #VW ja nicht. Das zahlt dann der Steuerzahler. Wie immer...</t>
  </si>
  <si>
    <t>Im Kern gut</t>
  </si>
  <si>
    <t>@PrestigeDiesels our Government haven't exactly been threatening #VW in the same way..hope you are well Alexis 😊</t>
  </si>
  <si>
    <t>Jauke de Jong</t>
  </si>
  <si>
    <t>1/2 #VW dividend van 17 cent aan preferente aandeelhouders symbolisch. Bij geen dividend zouden ze gecompenseerd moeten worden volgend jaar.</t>
  </si>
  <si>
    <t>Analist @ AFS Group. Tweet over AEX en aandelen in het algemeen. Tweets zijn op eigen titel. Echte Fries</t>
  </si>
  <si>
    <t>RT @Banane0711: #Dobrindt mußte Bahnaufsichtsräte zu Straftaten drängen, da hat er keine Zeit für kriminelle Autokonzerne. https://t.co/A5c…</t>
  </si>
  <si>
    <t>#VW macht größten Verlust der Firmengeschichte https://t.co/a1SUyBNfiR via @welt</t>
  </si>
  <si>
    <t>#VW: Milliardenverlust ++ #Dividende wird zusammengestrichen https://t.co/4yr3ospsfL</t>
  </si>
  <si>
    <t>#dieselgate brockt #VW größten Jahresverlust der Konzerngeschichte ein: 2015 rund 1,6 Milliarden Euro Minus. Dividende auf 0,17 € gekürzt</t>
  </si>
  <si>
    <t>2/2 Ook zouden ze dan stemrecht kunnen krijgen: iets wat de Porsche/Piech familie (heeft 52% van VW stemrecht) niet wil. #VW</t>
  </si>
  <si>
    <t>Enattente</t>
  </si>
  <si>
    <t>Quand est-ce je toucherai mes 5000 euro de #VW ?</t>
  </si>
  <si>
    <t>#VW says Jones Day investigation won't be finished till 4Q. (sic) #Volkswagen</t>
  </si>
  <si>
    <t>#VW Doubles #Provisions for #Cheating #Scandal to $18.2 Billion https://t.co/eY8ql3uuZA via @technology</t>
  </si>
  <si>
    <t>Anton N. Kostin</t>
  </si>
  <si>
    <t>#WRC #RallyArgentina #VW #Ogier Ралли Аргентина, СУ2: Ожье захватил лидерство в гонке https://t.co/SlDRIcSQJI https://t.co/8q30XHkW9G</t>
  </si>
  <si>
    <t>Южно-Сахалинск</t>
  </si>
  <si>
    <t>OnVista</t>
  </si>
  <si>
    <t>Der Abgas-Skandal brockt #VW den größten Verlust der Konzerngeschichte ein. Die Dividende fällt fast vollständig weg https://t.co/DdZ9SNBNIU</t>
  </si>
  <si>
    <t>Frankfurt am Main, Germany</t>
  </si>
  <si>
    <t>Eines der meistbesuchten Finanzportale in Deutschland berichtet über aktuelle Wirtschaftsthemen. Impressum: http://t.co/djhD7VkUUC</t>
  </si>
  <si>
    <t>Matthew Bray</t>
  </si>
  <si>
    <t>VW sets aside 16.2 billion euros in provisions, books 1.5b loss for 2015. Stock off 6% now. #VW #JasonBourne "we have a situation"</t>
  </si>
  <si>
    <t>Hong Kong</t>
  </si>
  <si>
    <t>News operations at SmarTone Telecommunications. TV anchor, producer.</t>
  </si>
  <si>
    <t>#Wolfsburg: #VW veröffentlicht keine Zwischenergebnisse zur #Dieselgate-Untersuchung von #JonesDay https://t.co/v5hk4WcdBL</t>
  </si>
  <si>
    <t>#Daimler, #VW, #Mitsubishi: Daimler verliert fünf Milliarden Euro Börsenwert https://t.co/pEqNqu7jxc #kfz #wirtschaft (VR) via</t>
  </si>
  <si>
    <t>Cycling WO Apology</t>
  </si>
  <si>
    <t>Earth</t>
  </si>
  <si>
    <t>UBI graduate/Bicycle Mechanic, cycling instructor, &amp; commuter, Patriot, and Pro-Choice Feminist. Destroying the Auto Culture paradigm #IAmRule5 #CWOA</t>
  </si>
  <si>
    <t>A Darmashakthini</t>
  </si>
  <si>
    <t>fiat justitia, ruat caelum</t>
  </si>
  <si>
    <t>CDU Verbände BOT</t>
  </si>
  <si>
    <t>RT @cducsubt: Lange: #EU muss Regelungen zu Abschalteinrichtungen unmissverständlich formulieren #VW https://t.co/kj20PaJKgv</t>
  </si>
  <si>
    <t>my_retweets</t>
  </si>
  <si>
    <t>Inoffizieller Bot zu den Posts der Kreisverbände.</t>
  </si>
  <si>
    <t>Purpose.</t>
  </si>
  <si>
    <t>Lagos,Nigeria</t>
  </si>
  <si>
    <t>Black Jack Creative Management &amp; Communication | A&amp;R,Artist Devt &amp; Management,Music Promotion Strategist, Media Relations &amp; Publicity BlackJackAgency@gmail.com</t>
  </si>
  <si>
    <t>#EIL Abgasaffäre beschert #VW 1,6mia€ Verlust für 2015, das größte Minus in der Konzerngeschichte https://t.co/cDErx66G7R</t>
  </si>
  <si>
    <t>RT @AFECTADOGRUPOVW: #VW En Europa, sin embargo, se descarta, de momento, cualquier tipo de compensación. Qué opináis?¿</t>
  </si>
  <si>
    <t>Doch keine Zwischenergebnisse zur #Dieselgate-Untersuchung von Jones Day. #VW https://t.co/DHIXGRuyBN</t>
  </si>
  <si>
    <t>George Reyes</t>
  </si>
  <si>
    <t>El Salvador</t>
  </si>
  <si>
    <t>Hijo de Dios.</t>
  </si>
  <si>
    <t>.@CNBCnow BREAKING #Volkswagen increases provisions for losses related to #dieselgate scandal to 16.2B Euros from 6.7B Euros #VW @Sentifi_US</t>
  </si>
  <si>
    <t>#VW fährt wegen Abgas-Skandal größten Verlust ein -https://t.co/fVZrCHgawv</t>
  </si>
  <si>
    <t>I need a temporary runabout, why am I considering this ray look Passat? https://t.co/eMpBSQcn8W #VW https://t.co/jVyRKg0uHX</t>
  </si>
  <si>
    <t>#VW posts 2015 operating loss on 16.2 billion euro Dieselgate charge https://t.co/IcM7clfNmw #business</t>
  </si>
  <si>
    <t>Inga Höltmann</t>
  </si>
  <si>
    <t>Bitte lasst Euch diese beiden Meldungen - beide von heute - auf der Zunge zergehen: https://t.co/j8xgu5ldzw und https://t.co/MhHJH89sBW #vw</t>
  </si>
  <si>
    <t>Journalist | Speaker | Feminist | #Diversity #NewWork #DigitalLeadership Proudly @DigiWomenB &amp; @BPW_Germany, secretly a Foodie #yearofthesalad</t>
  </si>
  <si>
    <t>#VW macht wg #DieselGate größten Verlust der Unternehmensgeschichte - Dividende wird massiv gekürzt, Aktie stürzt - https://t.co/8wFDChkvCC</t>
  </si>
  <si>
    <t>Imifos Pi</t>
  </si>
  <si>
    <t>#VW manager Pötsch allocates 20 Million EUR bonus to himself, but everybody rallies against refugees getting gov help of 20 EUR per day.</t>
  </si>
  <si>
    <t>ƆØΠρLΞ×Ĭϯч   Ĭϟ    ĬƝϟρĬЯaϯĩƟƝ</t>
  </si>
  <si>
    <t>Ξpistemophilic ϰα×øг, Ƨcribe of Ƙnowledge, Cūrāvī Scriptoria I sTudenT of sCienCe I Cyber Cyber I ✐ tester I Block⌸Chain☍☥ I ♨ Champion I sci-philo | ♕ of Irony</t>
  </si>
  <si>
    <t>CBS Los Angeles</t>
  </si>
  <si>
    <t>RT @KNXfrank: #Volkswagen now says it'll take $18.2B writedown for 2015 from diesel emissions scandal -AP @KNX1070 @CBSLA #VW</t>
  </si>
  <si>
    <t>News, Sports, Weather, Traffic and the Best of LA and OC. CBS2, KCAL9 and KNX. Download our app for BREAKING NEWS: http://t.co/i1Mp9WsUTH</t>
  </si>
  <si>
    <t>Noticias de Economia</t>
  </si>
  <si>
    <t>#Volkswagen: Prejuízos de 1,6 mil milhões após fraude de emissões! #VW #loss #vends https://t.co/On78JeVlA7 https://t.co/nFzn7d106U</t>
  </si>
  <si>
    <t>Vends Media</t>
  </si>
  <si>
    <t>#VW 123,00€ -2,26% größter Verlust in der Unternehmensgeschichte, Akite erholt sich von ihren Tiefs/JK https://t.co/fJpAlCNUnj</t>
  </si>
  <si>
    <t>Dreamchest</t>
  </si>
  <si>
    <t>Welcome to our family tweet. We specialize in Cool hard to find items. Our Dream chest is full of priceless memories. https://t.co/buEiuNJzZn</t>
  </si>
  <si>
    <t>matt fux</t>
  </si>
  <si>
    <t>@b_riexinger Die Mitarbeiter bekommen bei VW dich einen Bonus https://t.co/rFPYOqQGCM Sie haben aber wirklich keiner Ahnung oder? ;-) #vw</t>
  </si>
  <si>
    <t>diplom kaufmann - liberal bis neoliberal - gegen den linken mainstream und den rechten schwachsinn hier bei twitter</t>
  </si>
  <si>
    <t>Confusion over yesterday's #VW #Dieselgate agreement is epic. We break it down for you: what we know in 5 Qs + As https://t.co/KVve91wBzL</t>
  </si>
  <si>
    <t>#Vw: 1,58mld rosso 2015,accantona 16,2mld per emissioni ++ In borsa perde il 6% . Volkswagen ha chiuso il 2015... https://t.co/l4i9fvYHzK</t>
  </si>
  <si>
    <t>Tom Hille</t>
  </si>
  <si>
    <t>Und ausbaden dürfen die Mitarbeiter u Aktionäre das Desaster bei #vw. Boni der Manager weg. @tagesschau</t>
  </si>
  <si>
    <t>Hessen, Deutschland</t>
  </si>
  <si>
    <t>#Leadership minus, #VW! Wenn es nicht #Dieselgate wäre, hätte irgend etwas anderes #Volkswagen s verrottete Strukturen aufgedeckt #lasttweet</t>
  </si>
  <si>
    <t>ZDF-Kameramann Olaf Kube bei der #VW Pressekonferenz. 2015 machte der Konzern laut eigenen Angaben 4,1 MRD Miese. https://t.co/O4wGZY8MMY</t>
  </si>
  <si>
    <t>meineheimat</t>
  </si>
  <si>
    <t>Ich vermute, das zwischen #Merkel und #Obama etwas für #VW ausgehandelt wird &gt;&amp;gt;&amp;gt; #TTIP ! Wir zahlen so oder so ! https://t.co/cLMKqsPP5l</t>
  </si>
  <si>
    <t>Wir haben das Recht und die Pflicht unsere Heimat, Kultur, Werte und Identität zu verteidigen ...und der Islam gehört nicht dazu !</t>
  </si>
  <si>
    <t>Hugo Schumacher</t>
  </si>
  <si>
    <t>Temuco,Chile</t>
  </si>
  <si>
    <t>Administrador de Empresas,mis gustos la lectura,el cine,la música,el viajar, ...viviendo en el último lugar del mundo luego de la cordillera...Willkommen</t>
  </si>
  <si>
    <t>Für 2016 rechnet #VW damit, dass der Umsatz u.a. wegen #Dieselgate bis zu 5% unter dem von 2015 ( 213,3 Mrd. Euro, +5,4%) liegen könnte.</t>
  </si>
  <si>
    <t>Holger SchmidtDenker</t>
  </si>
  <si>
    <t>Entschädigung für deutsche Autokunden? Minister #Dobrindt windet sich! #Abgasskandal #VW https://t.co/SntCPNiyJZ</t>
  </si>
  <si>
    <t>Korrespondent für RTL und n-tv im Hauptstadtstudio der Mediengruppe RTL</t>
  </si>
  <si>
    <t>Automageddon. #vw #daimler #kba</t>
  </si>
  <si>
    <t>eBay: 2005 VOLKSWAGEN BEETLE 1.9TDI, FANTASTIC… https://t.co/kTCLUD6t3h #vwbeetle #vwbug #vw https://t.co/xvfL74PTgl https://t.co/g1FbD8SDBG</t>
  </si>
  <si>
    <t>Mange Krull</t>
  </si>
  <si>
    <t>ojanu007@gmail.com https://t.co/AO6SkBGHve</t>
  </si>
  <si>
    <t>Elisa Beth</t>
  </si>
  <si>
    <t>@RBuellmann @tagesschau Damit sind die üppigen Boni der Vorstände hoffentlich vom Tisch. @vwpress_de @stephanweil #VW #Abgas-Desaster</t>
  </si>
  <si>
    <t>Dean Gonsowski</t>
  </si>
  <si>
    <t>Talk about collateral damage from the #VW scandal: Daimler shares tumble on diesel emissions review (by #DOJ) https://t.co/IomB4LOd0k</t>
  </si>
  <si>
    <t>VP Business Development at kCura - Recovering attorney focusing on legal technology, #infogov and artificial intelligence. 9%er</t>
  </si>
  <si>
    <t>Emanuel Toby</t>
  </si>
  <si>
    <t>Country Somewhere</t>
  </si>
  <si>
    <t>Growth, the future and more.</t>
  </si>
  <si>
    <t>eBay: VW T5 TRANSPORTER CAMPER VAN 2012.… https://t.co/mBzrInkaq1 #vwcamper #vwbus #vw https://t.co/ZEadscsjBy https://t.co/UVgeGrCzDY</t>
  </si>
  <si>
    <t>#Remmel zum Skandal um manipulierte Abgaswerte &amp; Beschluss zu Sammelklagen der #vsmk16 (MA) #diesel #vw #dobrindt https://t.co/k5E6yrdIhG</t>
  </si>
  <si>
    <t>RT @doern: #Wolfsburg: #VW veröffentlicht keine Zwischenergebnisse zur #Dieselgate-Untersuchung von #JonesDay https://t.co/v5hk4WcdBL</t>
  </si>
  <si>
    <t>Petra Haugh</t>
  </si>
  <si>
    <t>On a plane</t>
  </si>
  <si>
    <t>Waqas Bukhari (HBK)</t>
  </si>
  <si>
    <t>Multan , Pakistan</t>
  </si>
  <si>
    <t>Honey !!!! If you need Space, join NASA</t>
  </si>
  <si>
    <t>Antonio Luiz MCCosta</t>
  </si>
  <si>
    <t>São Paulo, Brasil</t>
  </si>
  <si>
    <t>Escreve sobre a realidade na revista CartaCapital e cria fantasia e ficção científica em contos e romances</t>
  </si>
  <si>
    <t>Reagan Conservative. voting for #TedCruz. #NeverTrump, NYY Fan, NYR Fan, NYG Fan Apple fan and WWE fan</t>
  </si>
  <si>
    <t>RT @aktuelle_stunde: #emissionsscandal #VW - der Konzern stellt 16,4 Milliarden Euro zurück, um die Folgen des Abgas-Skandals zu beheben.</t>
  </si>
  <si>
    <t>KeHaber</t>
  </si>
  <si>
    <t>Istanbul.</t>
  </si>
  <si>
    <t>Karşıt e-Haber TR Media Watch Ekonomi, Enerji Jeopolitik OrtaDoğu Sentezi</t>
  </si>
  <si>
    <t>Well when you lie about your product you deserve the losses #VW</t>
  </si>
  <si>
    <t>TCSCOOPERSBURG</t>
  </si>
  <si>
    <t>Hello #sunshine Enjoy your #friday people! #vw #black #gti #funatwork #funtime @ Thrifty Car… https://t.co/k36sQHJJEw</t>
  </si>
  <si>
    <t>241 S. 3rd St Coopersburg Pa</t>
  </si>
  <si>
    <t>Selling cars like candy bars!!</t>
  </si>
  <si>
    <t>#VW reports huge Q1 loss of $4.6 Billion as emissions scandal rocks the automakers top and bottom line.</t>
  </si>
  <si>
    <t>Mark D. Whitaker</t>
  </si>
  <si>
    <t>Prof., Environmental Sociology; Author of Toward a Bioregional State (2005) and Ecological Revolution (2009); 30 minute interview on right column of website.</t>
  </si>
  <si>
    <t>Nach #dieselgate-Einigung in den USA - Bild.de fragt: Bekommen deutsche #VW-Fahrer auch 5000 Dollar? -- https://t.co/9ayTpkyD06</t>
  </si>
  <si>
    <t>RT @ILCtsxv: #VW Doubles Provisions for Cheating Scandal to $18.2 Billion https://t.co/qYalRw8X5i via @business #greenenergy #lithium #Eart…</t>
  </si>
  <si>
    <t>Bravinhos</t>
  </si>
  <si>
    <t>Pressurização para Fusca aqui na Bravinhos Performance Parts. #vw #air #aircooled #fusca #turbo… https://t.co/KUvN6DXigJ</t>
  </si>
  <si>
    <t>Guarulhos - São Paulo</t>
  </si>
  <si>
    <t>Acessórios para Preparação de Carros Originais, Turbo / Aspirado Face: https://t.co/lhDmn6KC3A visitem: https://t.co/h4CHNtXmNq</t>
  </si>
  <si>
    <t>Cool Flo</t>
  </si>
  <si>
    <t>London clothing brand run by 3 brothers who love outdoor life, classic VWs and anything old school. The Cool Flo logo can be seen on rides worldwide!</t>
  </si>
  <si>
    <t>Das von #VW-Chef Müller für Ende April angekündigte Zwischergebnis von Jones Day entfällt wegen "unvertretbarer Risiken" für Volkswagen.</t>
  </si>
  <si>
    <t>RT @Lebeaucarnews: #VW reports huge Q1 loss of $4.6 Billion as emissions scandal rocks the automakers top and bottom line.</t>
  </si>
  <si>
    <t>Indianapolis, IN</t>
  </si>
  <si>
    <t>Content Coordinator @rtv6 Journalist. Grammar nerd. Static electricity hater. RT ≠ endorsement. I have opinions. Sometimes I share them.</t>
  </si>
  <si>
    <t>#VW says special charge from emissions scandal cost the company $16.2 Billion dollars in Q1.</t>
  </si>
  <si>
    <t>eBay: VW beetle cabriolet 1.6 sky blue 2004… https://t.co/amLINBuYPl #vwbeetle #vwbug #vw https://t.co/xvfL74PTgl https://t.co/rEcKEcFRDX</t>
  </si>
  <si>
    <t>Chuck Dalldorf</t>
  </si>
  <si>
    <t>Rower, Brooklyn native, USAF vet. US Coast Guard Auxiliary, California Senate staffer, occasional university lecturer, &amp; love Scotland. These are my own tweets.</t>
  </si>
  <si>
    <t>Rick Strickler</t>
  </si>
  <si>
    <t>RT @Lebeaucarnews: #VW says special charge from emissions scandal cost the company $16.2 Billion dollars in Q1.</t>
  </si>
  <si>
    <t>operations manager, graduate of Baylor University, MBA and MSIS, graduate of Tarleton State University, M.S.-H.R.M., former teacher at Baylor</t>
  </si>
  <si>
    <t>VW legt miljarden extra opzij voor schandaal: #VW #Dieselschandaal https://t.co/ElRBO3b3Tk https://t.co/L9rc0HqLwB</t>
  </si>
  <si>
    <t>VW legt miljarden extra opzij voor schandaal: #VW #Dieselschandaal https://t.co/csCTn2IaHt https://t.co/7zhPLMT0P5</t>
  </si>
  <si>
    <t>Clem Fandangoooooooo</t>
  </si>
  <si>
    <t>Wish I'd bought a VW involved in the emissions scandal... Absolute frauds - compo galore, all your money back and a free car 😭😉😉😉 #vw</t>
  </si>
  <si>
    <t>Cramlington</t>
  </si>
  <si>
    <t>Official Twitter account of someone who isn't famous yet |-| Ex NUFC season ticket holder |-| Goalkeeper |-| Snooker player |-| Once won the World Cup on FIFA</t>
  </si>
  <si>
    <t>David Schultz</t>
  </si>
  <si>
    <t>I'm GAY, get over it life's too short. I'm a GDI (G-d Damned Independent), but I'll never vote for another Republician ever. Climate change IS happening.</t>
  </si>
  <si>
    <t>News Stream 24</t>
  </si>
  <si>
    <t>News as it breaks. Service By @NewsThisSecond</t>
  </si>
  <si>
    <t>Maik Zeugner</t>
  </si>
  <si>
    <t>Mal ganz ehrlich: Hat jemand etwas anderes erwartet? #VW #dieselgate #Dobrindt #Audi #Porsche #Opel https://t.co/YnvY4zuTQV</t>
  </si>
  <si>
    <t>Naumburg (Saale), Sachsen-Anhalt</t>
  </si>
  <si>
    <t>twittert u. a. über #Basketball (speziell über die @mbcwoelfe) und #Politik</t>
  </si>
  <si>
    <t>#VW hat 2015 den größten Verlust der Firmengeschichte gemacht – wegen Rückstellungen zum Abgas-Skandal. (nd) https://t.co/t6qnWWwl9c</t>
  </si>
  <si>
    <t>bladerunner</t>
  </si>
  <si>
    <t>RT @zeitonline: #VW hat 2015 den größten Verlust der Firmengeschichte gemacht – wegen Rückstellungen zum Abgas-Skandal. (nd) https://t.co/t…</t>
  </si>
  <si>
    <t>ger-money</t>
  </si>
  <si>
    <t>freigeist - individualchaot - skeptiker</t>
  </si>
  <si>
    <t>João Bicho</t>
  </si>
  <si>
    <t xml:space="preserve">Frankfurt, Brandenburg </t>
  </si>
  <si>
    <t>Student of Political Science and International Relations. English, Português und ein bisschen Deutsch</t>
  </si>
  <si>
    <t>tadeo molina</t>
  </si>
  <si>
    <t>RT @tetotas1979: @JaittNatacha Volviendo a casaaa!!! Vacaciones MODE OFF... Muaaa 💋 #MartesDeTetas #Ruta2 #VW 😎🌞🚗 https://t.co/ZpdjoKkjYQ</t>
  </si>
  <si>
    <t>News This Second</t>
  </si>
  <si>
    <t>newsdesk@newsthissecond.co.uk</t>
  </si>
  <si>
    <t>The world isn't nine to five and neither are we. Our service is available around the clock so expect quality real time news around the clock.</t>
  </si>
  <si>
    <t>#Livestream: #VW informiert über Konzern-Bilanz | NDR.de https://t.co/pwiFkYV5Gd</t>
  </si>
  <si>
    <t>Lisa Paus</t>
  </si>
  <si>
    <t>Charlottenburg-Wilmersdorf</t>
  </si>
  <si>
    <t>MdB, #Berlin @GrueneBundestag #Finanzen #Grüne Mein Team twittert als (ma).</t>
  </si>
  <si>
    <t>Angela Marquardt</t>
  </si>
  <si>
    <t>#VW bekommt einen #Brennpunkt ... #ARD</t>
  </si>
  <si>
    <t>Wege, die in die Zukunft führen, liegen nie als Wege vor uns. Sie werden zu Wegen erst dadurch, dass man sie geht. Franz Kafka</t>
  </si>
  <si>
    <t>Das deutsche Recht ist weniger verbraucherfreundlich als das US-Recht: Für #VW-Besitzer hierzulande gibt's nix https://t.co/G3KbtmKx5J</t>
  </si>
  <si>
    <t>nicolas</t>
  </si>
  <si>
    <t>TLZ</t>
  </si>
  <si>
    <t>#Audi, #Mercedes, #Opel, #Porsche und #VW rufen 630.000 Autos zurück https://t.co/1DCo26cAnU</t>
  </si>
  <si>
    <t>Weimar / Germany</t>
  </si>
  <si>
    <t>Hier twittert die Thüringische Landeszeitung (TLZ) aus Weimar. Impressum: http://t.co/VceRB5rvdP</t>
  </si>
  <si>
    <t>eBay: vw t25 camper van https://t.co/G1upqAC6Iy #vwcamper #vwbus #vw https://t.co/ZEadscsjBy https://t.co/Aq87Y3vbF1</t>
  </si>
  <si>
    <t>Lars Gehrke</t>
  </si>
  <si>
    <t>Wolfsburg, Lower Saxony</t>
  </si>
  <si>
    <t>Passionate PhD-student &amp; PM in the field of #Industry40 @VolkswagenGroupIT. Giving my all to contribute to the #DigitalTransformation of our company &amp; industry</t>
  </si>
  <si>
    <t>Tiefe Kratzer in der Bilanz von #VW #dieselgate sorgt für Rekordverlust. https://t.co/cA78sWbMCT https://t.co/Bub1IMFQHS</t>
  </si>
  <si>
    <t>Der Tagesspiegel</t>
  </si>
  <si>
    <t>Die #Abgas-Krise beschert #VW den größten Verlust der Konzerngeschichte https://t.co/2ZCe4ga55a https://t.co/xl0EqMKjaI</t>
  </si>
  <si>
    <t>Leitmedium der Hauptstadt.</t>
  </si>
  <si>
    <t>Everything You Need to Know About the VW Diesel-Emissions Scandal https://t.co/foHC3czdtc #VW #DieselGate #Emissions #TDI</t>
  </si>
  <si>
    <t>finanzmarktwelt.de</t>
  </si>
  <si>
    <t>#VW mit 4,1 Milliarden Euro Betriebsverlust - Börsianer überlegen noch ob das gut oder schlecht ist... #Volkswagen https://t.co/lRR3D3QJx0</t>
  </si>
  <si>
    <t>FinanzmarktWelt.de hilft Ihnen die Weichen für Ihre finanzielle Zukunft zu stellen #Finanzen #Aktien #Devisen #Zinsen #Euro #ECB #Forex #Gold #Börse #Dollar</t>
  </si>
  <si>
    <t>Pro Stammaktie beträgt der Verlust 3,20 Euro, #VW zahlt aber für das Jahr 2015 trotzdem 11 Cent Dividende. Für 2014 waren es 4,80 Euro.</t>
  </si>
  <si>
    <t>Dieses Herumeiern um den #Bonus ist unwürdig. #Weil #VW</t>
  </si>
  <si>
    <t>Bastian Brandau</t>
  </si>
  <si>
    <t>@SPIEGELONLINE oder aber: #VW hat sich den größten Verlust in der Konzerngeschichte eingebrockt #dieselgate #autogate</t>
  </si>
  <si>
    <t>Freiberuflicher Korrespondent in Sachsen für @DLF, @dradiowissen, @Dkultur</t>
  </si>
  <si>
    <t>Jim Meigs</t>
  </si>
  <si>
    <t>RT @johnvoelcker: Confusion over yesterday's #VW #Dieselgate agreement is epic. We break it down for you: what we know in 5 Qs + As https:/…</t>
  </si>
  <si>
    <t>Co-host @fixitshow. Former @PopMech EIC. Student of disaster. I also do this: @spuyduy.</t>
  </si>
  <si>
    <t>Agnew Volkswagen</t>
  </si>
  <si>
    <t>Discover how the new #VW #Passat #ParkAssist can help you park your car quickly &amp; easily in the tightest of spots; https://t.co/U1donykLyg</t>
  </si>
  <si>
    <t>Belfast &amp; Mallusk</t>
  </si>
  <si>
    <t>Official Twitter Account for Isaac Agnew #Volkswagen based in #Belfast and #Mallusk.</t>
  </si>
  <si>
    <t>Euro Thread</t>
  </si>
  <si>
    <t>Its friday so after you get off work hit the streets! Anyone have cool weekend plans? #vw… https://t.co/1kSFDd2mZp</t>
  </si>
  <si>
    <t>●Apparel ●Dub pics ●Follow us! - - - - - - - - - - For features #/@euro_thread</t>
  </si>
  <si>
    <t>#Dieselgate: alle haben getrickst. Aber nur #VW hat's zugegeben! https://t.co/RKcJA3LhSB #Daimler #Audi #Opel #Dobrindt</t>
  </si>
  <si>
    <t>Lis Duarte</t>
  </si>
  <si>
    <t>#VW https://t.co/NVi6QnmerL</t>
  </si>
  <si>
    <t>Rio de Janeiro</t>
  </si>
  <si>
    <t>RT @dw_wirtschaft: Tiefe Kratzer in der Bilanz von #VW #dieselgate sorgt für Rekordverlust. https://t.co/cA78sWbMCT https://t.co/Bub1IMFQHS</t>
  </si>
  <si>
    <t>Angel LC II</t>
  </si>
  <si>
    <t>kultur360</t>
  </si>
  <si>
    <t>informed analysis of contemporary German-speaking society and culture</t>
  </si>
  <si>
    <t>Destiny Magazine</t>
  </si>
  <si>
    <t>#VW offers to buy back over 500 000 diesel cars in the US: https://t.co/ebdVLUNIR1 https://t.co/9KyEAAtn41</t>
  </si>
  <si>
    <t>The latest news, business, entrepreneur, career, lifestyle and entertainment stories, brought to you by DESTINY magazine.</t>
  </si>
  <si>
    <t>Lischiman</t>
  </si>
  <si>
    <t>VW macht größten Verlust der Firmengeschichte. Stadt Wolfsburg benennt sich um in Hundehütte. #VW #audi #dieselgate #Dobrindt</t>
  </si>
  <si>
    <t>Abwärts-Page im Niveau-Fahrstuhl.</t>
  </si>
  <si>
    <t>Noni</t>
  </si>
  <si>
    <t>RT @DestinyConnect: #VW offers to buy back over 500 000 diesel cars in the US: https://t.co/ebdVLUNIR1 https://t.co/9KyEAAtn41</t>
  </si>
  <si>
    <t>email me at sbokhaya@gmail.com |</t>
  </si>
  <si>
    <t>Rekordverlust bei #VW: Vorstandsboni werden um 30 % gekürzt - sagt Aufsichtsrat Weil, Ministerpräsident Niedersachsens #dieselgate</t>
  </si>
  <si>
    <t>Brigitte Peach</t>
  </si>
  <si>
    <t>Lincolnshire, UK</t>
  </si>
  <si>
    <t>L4L translations, interpreting incl. on-demand over the phone, tuition, cultural workshops . Best bit in my life? Married, mother of two.</t>
  </si>
  <si>
    <t>Gary LAgstrom Jr</t>
  </si>
  <si>
    <t>Barbara Kühn</t>
  </si>
  <si>
    <t>#VW ausgebremst. Rekordverlust. https://t.co/OdFmkyVlvZ</t>
  </si>
  <si>
    <t>Moderatorin Fokus Europa, Deutsche Welle TV; Autorin &amp; Schlussredakteurin, 3sat makro; Ansichten sind meine eigenen</t>
  </si>
  <si>
    <t>TNR Gold Corp</t>
  </si>
  <si>
    <t>Vancouver, BC (TSX.V: TNR)</t>
  </si>
  <si>
    <t>TNR Gold (TSX-V: TNR) is a mineral exploration company pursuing gold, copper, &amp; REE properties worldwide. http://t.co/UVCrqdBkV8</t>
  </si>
  <si>
    <t>Rumsucher</t>
  </si>
  <si>
    <t>Der von #VW angerichtete Schaden wird doch am Ende bestimmt gerecht auf alle Bürger verteilt. Zauberwort: Arbeitsplätze!</t>
  </si>
  <si>
    <t>Dort wo das Glück wohnt!</t>
  </si>
  <si>
    <t>Ich suche - ab und zu finde ich auch was. Bin zur Zeit glücklich, ich hoffe ihr ändert das nicht.</t>
  </si>
  <si>
    <t>Sven Astheimer</t>
  </si>
  <si>
    <t>Ein "Garantie-Bonus" von #VW für Hans Dieter Pötsch? Ohne Revisionsklausel etwa? Man muss nicht alles verstehen ... https://t.co/YzXMcGtyrl</t>
  </si>
  <si>
    <t>F.A.Z. Senior Editor labour market/career stuff &amp; Poland watcher - entfolgt konsequent jeden, der über seine Erlebnisse mit der Bahn twittert!</t>
  </si>
  <si>
    <t>FAZ.NET Eilmeldungen</t>
  </si>
  <si>
    <t>EILMELDUNG: #VW kürzt Bonuszahlungen an Vorstände um 30 Prozent https://t.co/ZBdeF7G00N</t>
  </si>
  <si>
    <t>Eilmeldungen der Frankfurter Allgemeinen Zeitung. Impressum: http://t.co/9aQY8cvWdL</t>
  </si>
  <si>
    <t>EILMELDUNG: #VW kürzt Bonuszahlungen an Vorstände um 30 Prozent https://t.co/ddGXmp8M9y</t>
  </si>
  <si>
    <t>FAZ Topthemen</t>
  </si>
  <si>
    <t>EILMELDUNG: #VW kürzt Bonuszahlungen an Vorstände um 30 Prozent https://t.co/rHiMgmeYvo</t>
  </si>
  <si>
    <t>Die Topthemen auf http://t.co/NRamiHGtwS. Redaktionell ausgewählte Nachrichten erhalten Sie unter @faznet. Impressum: http://t.co/P5S9CMxGyE</t>
  </si>
  <si>
    <t>EILMELDUNG: #VW kürzt Bonuszahlungen an Vorstände um 30 Prozent https://t.co/qkiIZna5Lx</t>
  </si>
  <si>
    <t>EILMELDUNG: #VW kürzt Bonuszahlungen an Vorstände um 30 Prozent https://t.co/8cYW5FpBNw</t>
  </si>
  <si>
    <t>Nach Mega-Verlust kürzt #VW die #Vorstandsboni um gerademal 30%! #Dieselgate #Volkswagen #Auto #Wolfsburg</t>
  </si>
  <si>
    <t>Markus Pieper</t>
  </si>
  <si>
    <t>RT @FAZ_Eil: EILMELDUNG: #VW kürzt Bonuszahlungen an Vorstände um 30 Prozent https://t.co/ZBdeF7G00N</t>
  </si>
  <si>
    <t>Sprecher des EVP-Mittelstandkreises. Europaabgeordneter für das Münsterland.</t>
  </si>
  <si>
    <t>#VW kürzt wegen "Dieselgate" Bonuszahlungen an Vorstände um 30 Prozent</t>
  </si>
  <si>
    <t>S. Lackner</t>
  </si>
  <si>
    <t>Officer-Austrian Armed Forces.Former Special Operation Forces.EU,CSDP,politics,communications, strategy-Retw.or fav doesnt mean i agree!I tweet private!</t>
  </si>
  <si>
    <t>Wow, #VW-Boni um 30% gekürzt. Die größte Scheiße der Konzerngeschichte bauen ist also immernoch eine 70%ige Erfolgsprämie wert. #dieselgate</t>
  </si>
  <si>
    <t>#vw #volkswagen #vwbug #vwbeetle by top_tp https://t.co/CVBsL2qnzk</t>
  </si>
  <si>
    <t>Colorful #saigonvwclub #saigonvolkswagenclub #vw #vwbug #vwbeetle #vwlife #vwlove #vwlovers #volkswagen #volkswagen… https://t.co/p1N5g1nqPr</t>
  </si>
  <si>
    <t>Jeckyll Havok</t>
  </si>
  <si>
    <t>---EILMELDUNG--- #VW überlässt #dieselgate Fahrzeuge dem US Militär als Bomben. https://t.co/X956QjMyfg</t>
  </si>
  <si>
    <t>Aziz Joseph</t>
  </si>
  <si>
    <t>This account is for current Australian &amp; International News from independant sources English Language only.</t>
  </si>
  <si>
    <t>Milliardenverlust bei #VW aber der Vorstand will nur auf 30% seines Bonus verzichten. Dafür müssten sie geschlossen abdanken - sofort</t>
  </si>
  <si>
    <t>likedeeler</t>
  </si>
  <si>
    <t>Ooooch..... #VW kürzt wegen #Dieselgate die Boni der Vorstände um 30%. 100% und Rückzahlung der letzten 3 Jahre. Darüber könnte man reden.</t>
  </si>
  <si>
    <t>Wenn mir langweilig ist, steige ich in einen Schlafsack und reibe ihn mit Butter ein.Dann rutsche ich durch die Küche und tue so,als sei ich eine Nacktschnecke.</t>
  </si>
  <si>
    <t>Paul Miller VW</t>
  </si>
  <si>
    <t>Happy #FlashbackFriday! Today we are taking it back with 5 FAMOUS #VW BEETLES. Check them out: https://t.co/tFjYi3LNTh</t>
  </si>
  <si>
    <t>Bernardsville, NJ</t>
  </si>
  <si>
    <t>One of the largest &amp; more distinguished of Volkswagen Dealerships in New Jersey. This site has sold Volkswagen's since 1952. We Sell &amp; Service 'Das Auto'!</t>
  </si>
  <si>
    <t>#VW: wir haben nicht verstanden! #Bonus. Gespannt auf das Kleingedruckte. https://t.co/0G876C6Rt4</t>
  </si>
  <si>
    <t>Adam Pavlukov</t>
  </si>
  <si>
    <t>Größte Verluste in der gesamten Firmengeschichte und die Boni werden nur um 30% gekürzt? Muss ich nicht verstehen, oder?! #dieselgate #vw</t>
  </si>
  <si>
    <t>[ Helene Fischer ❤️ 10.05.2014 ] [ Frohe Weihnachten! ] [ Matthäus 5:3, Johannes 19:27. In Übereinstimmung mit der Prophezeiung ] Bot: @sk4tz_news</t>
  </si>
  <si>
    <t>Taron Puri</t>
  </si>
  <si>
    <t>#apa, #vw For all you VW owners, here is an update from the APA! https://t.co/tdZspw5JqH</t>
  </si>
  <si>
    <t>Springyard</t>
  </si>
  <si>
    <t>#VW #dieselgate Board members pocket 60% of usual bonus for 2015 - #shameful https://t.co/LVAz7FPNyw</t>
  </si>
  <si>
    <t>Don't believe in everything you think | Ardent news broker | #refugeeswelcome</t>
  </si>
  <si>
    <t>#Dax: #VW reduziert Anfangsverlust ++ #Merck fest ++ #Daimler sackt ab ++ Dax hadert weiterhin mit 10.400 Punkten https://t.co/JBnUaU3Iao</t>
  </si>
  <si>
    <t>#VW kürzt wegen "Dieselgate" Boni an Vorstände um 30 Prozent https://t.co/LXDikmEaa1</t>
  </si>
  <si>
    <t>.@MpStephanWeil: #VW-Aufsichtsrat kappt Vorstands-#Boni um 30 %. @vwpress_de #Niedersachsen</t>
  </si>
  <si>
    <t>The Boston Globe</t>
  </si>
  <si>
    <t>Volkswagen to take $18.2 billion hit on emissions scandal https://t.co/tGGT2tuE2O #VW https://t.co/yXgTDMN1T1</t>
  </si>
  <si>
    <t>Boston and New England's leading source for breaking news and analysis, with coverage from across the world. Follow our journalists: https://t.co/KPOiZTQG87</t>
  </si>
  <si>
    <t>BR24</t>
  </si>
  <si>
    <t>Verkehrsminister #Dobrindt zum Abgasskandal: "Das betrifft Audi, Mercedes, Opel, Porsche und #VW" https://t.co/gWQxtxqDP4</t>
  </si>
  <si>
    <t>Nachrichten aus meiner Welt. Powered by B5 aktuell &amp; Rundschau. Aktuell: @elementerde (Marc Strucken)</t>
  </si>
  <si>
    <t>#dieselgate - auf einmal sind sie alle betroffen: #Audi #Porsche #Opel #VW #MercedesBenz. https://t.co/DLkZNlvpoH</t>
  </si>
  <si>
    <t>Michael Kreisler</t>
  </si>
  <si>
    <t>#vw fährt den größten Verlust seiner Geschichte ein und die Manager kriegen einen Bonus - ich fass es nicht.</t>
  </si>
  <si>
    <t>Seligenstadt</t>
  </si>
  <si>
    <t>Roger Götzl</t>
  </si>
  <si>
    <t>RT @franke_media: Milliardenverlust bei #VW aber der Vorstand will nur auf 30% seines Bonus verzichten. Dafür müssten sie geschlossen abdan…</t>
  </si>
  <si>
    <t>Steffen Söffner</t>
  </si>
  <si>
    <t>Wofür bekommen die für 2015 überhaupt einen Bonus??? #VW #Abgasaffäre https://t.co/AueRFH91R4</t>
  </si>
  <si>
    <t>Kriftel, Germany</t>
  </si>
  <si>
    <t>Banking regulation consultant; love anything about water &amp; golf, Frankfurt &amp; Boston sports; from Frankfurt, Germany lived in Hawaii and Richmond, VA</t>
  </si>
  <si>
    <t>Franz Oberhauser</t>
  </si>
  <si>
    <t>Der Bonus wurde nur um 30% gekürzt? Milliardenverlust,Betrug und Umweltverschmutzung. Wofür gibt es einen Bonus?Fürs Erscheinen im Büro? #VW</t>
  </si>
  <si>
    <t>Work in Progress</t>
  </si>
  <si>
    <t>Frollein Wunderkind</t>
  </si>
  <si>
    <t>My Boni is over the ocean. #VW</t>
  </si>
  <si>
    <t>fat bottomed girls you make the rockin' world go round</t>
  </si>
  <si>
    <t>eBay: 2000 Volkswagen Beetle 2.0 3dr https://t.co/8WEwvMVVri #vwbeetle #vwbug #vw https://t.co/xvfL74PTgl https://t.co/TLUCmgMUQo</t>
  </si>
  <si>
    <t>Der Lars</t>
  </si>
  <si>
    <t>#jesuisboni Lasst uns gemeinsam für weniger Bonikürzungen kämpfen. Helft verarmten Automanagern ! Bitte RT ! #vw #dieselgate</t>
  </si>
  <si>
    <t>Hessen</t>
  </si>
  <si>
    <t>Humor ist das Öl in unserer Lebenslampe</t>
  </si>
  <si>
    <t>Harriet Gimmermann</t>
  </si>
  <si>
    <t>RT @BostonGlobe: Volkswagen to take $18.2 billion hit on emissions scandal https://t.co/tGGT2tuE2O #VW https://t.co/yXgTDMN1T1</t>
  </si>
  <si>
    <t>By Day: Social Marketing. By Night: Socializing &amp; Networking in Real Life. Volunteer @UN Evangelist @S0cialDelight. Tweets bout Social, Travel, Boston</t>
  </si>
  <si>
    <t>#VW braucht die Mio für Rückstellungen &amp; hätten Arbeiter solche Fehler verantwortet würde mehr als nur Boni gekürzt! #Abgasaffäre #LT</t>
  </si>
  <si>
    <t>Marcus</t>
  </si>
  <si>
    <t>Ich fordere die NSA auf,jedem Deutschen 1Mio€ Entschädigung (Abhörskandale)! So kriegen wir die #USA Pleite! #Volkswagen #VW #dieselgate</t>
  </si>
  <si>
    <t>Tweets in german&amp;english //</t>
  </si>
  <si>
    <t>#VW says special charge from emissions scandal cost the company $16.2 Billion dollars in 2015</t>
  </si>
  <si>
    <t>Frau Junge</t>
  </si>
  <si>
    <t>Statt ganz viel Geld erhält der VW-Vorstand für seine Leistungen im vergangenen Jahr nur viel Geld. #VW #CSR https://t.co/QnJsXQye3X</t>
  </si>
  <si>
    <t>Lecturer. Writer. Consultant. Researcher. Passionate about equality of rights, self-determination and empowerment.</t>
  </si>
  <si>
    <t>Ralph 【ツ】</t>
  </si>
  <si>
    <t>Na bei dem Image.. Kein Wunder! #VW https://t.co/e6adLMbJCT</t>
  </si>
  <si>
    <t>Lüdinghausen</t>
  </si>
  <si>
    <t>Es war mir eine Lehre, Sie kennen zu lernen ...</t>
  </si>
  <si>
    <t>NotVW</t>
  </si>
  <si>
    <t>So what will @VWcanada do for owners who leased and paid a premium for these cars? They must be compensated! #vw https://t.co/5F92Z38uuO</t>
  </si>
  <si>
    <t>VW TDI Owners tweeting info on how customers are actually being treated by VW</t>
  </si>
  <si>
    <t>Cost of Volkswagen diesel emissions scandal balloons to $18B https://t.co/C3ssCzrjJp via @usatoday #vwdiesel #vw</t>
  </si>
  <si>
    <t>Maury Sline</t>
  </si>
  <si>
    <t>@tagesschau_eil D.h. sie bekommen 70 % weil sie #dieselgate erfolgreich ausgesessen haben. #mussmanwissen #vw #auchnelogik</t>
  </si>
  <si>
    <t>Booking Agent</t>
  </si>
  <si>
    <t>Bärbel Höhn</t>
  </si>
  <si>
    <t>Lawine kommt ins Rollen. Nicht nur #VW hat jahrelang #getrickst. B-Verkehrsminister haben nichts dagegen gemacht https://t.co/L2J0orkfmT</t>
  </si>
  <si>
    <t>Oberhausen, Berlin</t>
  </si>
  <si>
    <t>MdB, Grüne, Vorsitzende des Umweltausschusses, Themen: Klima Energie Verbraucherschutz TTIP</t>
  </si>
  <si>
    <t>NDR 2</t>
  </si>
  <si>
    <t xml:space="preserve"> +++EIL+++ #VW kürzt wegen #dieselgate Boni an Vorstände um 30 Prozent, sagte @stephanweil nach der #Volkswagen-Aufsichtsratssitzung. #vwgate</t>
  </si>
  <si>
    <t>Tweets von #NDR2 für den ganzen Norden! Aktuelles, Musik, Events, Stars, Sport und mehr! Kontakt &amp; Impressum: https://t.co/yZvZ4W4CT7</t>
  </si>
  <si>
    <t>Einen so dreisten #Betrug traut man sich nur wenn man gewöhnt ist damit durchzukommen #VW-Boni #Dobrindt #dieselgate https://t.co/6p3t2MzMvs</t>
  </si>
  <si>
    <t>unioner23</t>
  </si>
  <si>
    <t>@tagesspiegel das kostet Arbeitsplätze !! Viele #vw</t>
  </si>
  <si>
    <t>chaoten-Hauptstadt</t>
  </si>
  <si>
    <t>❤Greece ❤️❤️ Bin für die Auflösung der EU ,Aufhebung der Immunität der Politiker aller Parteien!</t>
  </si>
  <si>
    <t>RT @tagesspiegel: Die #Abgas-Krise beschert #VW den größten Verlust der Konzerngeschichte https://t.co/2ZCe4ga55a https://t.co/xl0EqMKjaI</t>
  </si>
  <si>
    <t>H.P.Lammer</t>
  </si>
  <si>
    <t>@XYEinzelfall @OuterHeaven1987 @welt Was machen wir mit den traumatisierten #VW Managern der #Bonus ist so wenig #arme Schweine</t>
  </si>
  <si>
    <t>Ku®pfalz~~~</t>
  </si>
  <si>
    <t>Schöne Scheiße - Entscheidend ist, was hinten rauskonmmt</t>
  </si>
  <si>
    <t>Konstantin Witschel</t>
  </si>
  <si>
    <t>Tja, das Leistungsprinzip gilt offensichtlich nicht für die Chefetage(n)... #VW #dieselgate https://t.co/N5ci63xm6d</t>
  </si>
  <si>
    <t>Doktorand/PhD-Student | Engaged to the greatest Woman in the World | Social Democrat | Works in Politics | Peace &amp; Conflict Research | Berlin Wedding</t>
  </si>
  <si>
    <t>Am Nachmittag Aufholjagd der #VW-Aktie - Verluste verkleinern sich</t>
  </si>
  <si>
    <t>Wolfgang Feulner</t>
  </si>
  <si>
    <t>wenn das der "tone at the top" bei #VW ist, na dann gute Nacht! #dieselgate #gier #governance #money https://t.co/mJdxr30Z0e</t>
  </si>
  <si>
    <t>human being, knowledgejunkie, revolutionist of the consulting industry</t>
  </si>
  <si>
    <t>Timo Essner</t>
  </si>
  <si>
    <t>Karikatur: "Entschädigung für Volkswagen-Kunden" https://t.co/GOZ77gcLJp Deutsche Hersteller #VW #dieselgate #Cartoon</t>
  </si>
  <si>
    <t>Künstler, Karikaturist, freier Redakteur - regelmäßig wöchentlich Karikaturen zu Wirtschaft, Politik und Zeitgeschehen</t>
  </si>
  <si>
    <t>Eimi</t>
  </si>
  <si>
    <t>30% der #Boni gekürzt. Da werden einige #VW #Vorstände einen Nebenjob brauchen oder auf #HartzIV abrutschen. https://t.co/KJdItYCTct</t>
  </si>
  <si>
    <t>Frankfurt-Bornheim</t>
  </si>
  <si>
    <t>FSV Frankfurt - Konzerte - Kurioses - unterwegs - Groundhopping - bunt statt braun ..... privates Twittern des FSV Fanbeauftragten</t>
  </si>
  <si>
    <t>Arnd Issler</t>
  </si>
  <si>
    <t>Wann ist doch gleich das Benefiz-Konzert für die #VW-Vorstände, die jetzt in die Armut abrutschen?</t>
  </si>
  <si>
    <t>websites / apps / photos / development / @mailmindr - All tweets are ROT13 encrypted. Twice.</t>
  </si>
  <si>
    <t>#WRC #RallyArgentina #VW #Latvala Ралли Аргентины, СУ3: Латвала сокращает отставание https://t.co/Ji36WdVe5o https://t.co/K03D3aw3bh</t>
  </si>
  <si>
    <t>Yogafitter</t>
  </si>
  <si>
    <t>Dropping off Vee for a wash at Car Spa. #cars #golfr #vw #euro #carporn #fun #carwash #car #auto… https://t.co/aZvJTkP2xH</t>
  </si>
  <si>
    <t>Steve Jobs 5M</t>
  </si>
  <si>
    <t>#jobs #jobsearch # #VW sets fresh record with historic car buy back: #Volkswagen ran an ad for th... https://t.co/ppCjFNfJA3</t>
  </si>
  <si>
    <t xml:space="preserve">Oklahoma City </t>
  </si>
  <si>
    <t>#job, #jobs, #jobsearch #Steve Jobs Search #Syria #freedom</t>
  </si>
  <si>
    <t>Deacon Blues</t>
  </si>
  <si>
    <t>"#VW macht wegen Abgas-Skandal größten Verlust der Firmengeschichte" "VW kürzt wegen #Dieselgate Boni an Vorstände um 30%" Finde den Fehler.</t>
  </si>
  <si>
    <t>Linksgrünversiffter piratiger Gutmensch mit Abneigung gegen Verfassungsfeinde, Photograph und Klugscheißer. Tweets bilingually (ger &amp; eng) - deal with it.</t>
  </si>
  <si>
    <t>Nun verschiebt #VW auch den Zwischenbericht zur Schuldfrage im Diesel-#Skandal. https://t.co/iTnNZ0wdOp https://t.co/zTBe2CmtMX</t>
  </si>
  <si>
    <t>Badluk Lui</t>
  </si>
  <si>
    <t>warum wird der #VW-Skandal nicht als das bezeichnet was er ist, und zwar eine Straftat. Mann ermittelt doch nicht wegen eines Skandals!</t>
  </si>
  <si>
    <t>RT @WowbaggerXX7: #Dieselgate: alle haben getrickst. Aber nur #VW hat's zugegeben! https://t.co/RKcJA3LhSB #Daimler #Audi #Opel #Dobrindt</t>
  </si>
  <si>
    <t>IrreRepublik</t>
  </si>
  <si>
    <t>Finanzmathematiker, Hobbytrader, Interessen: Politik, Geschichte, Schach, Spocht, Ökonomie, Wissenschaftstheorie and last but not least: Frauen</t>
  </si>
  <si>
    <t>1LIVE</t>
  </si>
  <si>
    <t>RT @aktuelle_stunde: #dieselgate - auf einmal sind sie alle betroffen: #Audi #Porsche #Opel #VW #MercedesBenz. https://t.co/DLkZNlvpoH</t>
  </si>
  <si>
    <t>Tweets für den Sektor. Ihr findet uns auch bei http://t.co/5UIyBbDHBS, http://t.co/xTsTNbYfjS http://t.co/JwPoOKEjtz - Impressum: http://t.co/WCKkNUwGrK</t>
  </si>
  <si>
    <t>#VW begeht globalen #Betrug. Trotzdem dürfen #Vorstände 70% ihrer Boni behalten! #dieselgate #Abgaswerte #BOSCH https://t.co/Z3bD39emGw</t>
  </si>
  <si>
    <t>#Boni+#AbgasSkandal: #VW-#Dieselgate: #REKORDVERLUST: #Mißmanager mit 70%Erfolgsprämie + #Porsche-#Pötsch https://t.co/pa0GTAdNTB #Boniwagen</t>
  </si>
  <si>
    <t>Urheber des #Abgasskandals: #BOSCH https://t.co/MxVk2yL12Z #Dobrindt #dieselgate #VW #Daimler</t>
  </si>
  <si>
    <t>Anchorite Airmed</t>
  </si>
  <si>
    <t>Heidelberg, Germany</t>
  </si>
  <si>
    <t>trying to keep the golden mean | altoholic | designer | coding rookie</t>
  </si>
  <si>
    <t>Terry</t>
  </si>
  <si>
    <t>Patricia Torres-Burd</t>
  </si>
  <si>
    <t>Volkswagen Reaches Deal in U.S. Over Emissions Scandal - @nytimes #VW #emissionsscandal https://t.co/P4g61F4cRo</t>
  </si>
  <si>
    <t>VP UBC international Media Consulting Always learning from and inspired by the great people I meet! https://t.co/amXzKSuXcr</t>
  </si>
  <si>
    <t>G.</t>
  </si>
  <si>
    <t>Wow.... 30% ... wow...ich bin beeindruckt....soooo viel #vw #vwboni</t>
  </si>
  <si>
    <t>Stay hungry. Stay foolish. Here's to the crazy ones. #cologne #köln #crewlife</t>
  </si>
  <si>
    <t>Wenn #Boehmermann einen Mörder als Ziegenficker bezeichnen kann, kann @SPIEGELONLINE den #VW-Betrug Betrug nennen. https://t.co/A5cCKh9nke</t>
  </si>
  <si>
    <t>Durham Uni B-School</t>
  </si>
  <si>
    <t>#DUBS academic Christos Tsinopoulos discusses the recent issues affecting #VW and it's #supplychain https://t.co/lOEoIv3JP3 #business</t>
  </si>
  <si>
    <t>Durham, UK</t>
  </si>
  <si>
    <t>Durham University Business School combines academic excellence, internationally-rated research and superb student support for the very best business education.</t>
  </si>
  <si>
    <t>Kirill Klip</t>
  </si>
  <si>
    <t>Kirill Klip, MBA. Non-Executive Chairman of Board TNR Gold Corp. - President of International Lithium Corp. No Investment Advice here. Links are NOT Endorsed.</t>
  </si>
  <si>
    <t>#VW kürzt #Bonus um 30 % für Vorstände. 100 % wären angebracht.</t>
  </si>
  <si>
    <t>Für das Jahr 2015 muss #VW wegen #Dieselgate ein Minus von 1,6 Milliarden Euro verkraften. https://t.co/Xi6fgUausr https://t.co/lmTwmxSSbk</t>
  </si>
  <si>
    <t>Löwen(sc)herz ©</t>
  </si>
  <si>
    <t>RT @studdershock: My Boni is over the ocean. #VW</t>
  </si>
  <si>
    <t>OfW.Bönnsch mit kölsche Jeföhl</t>
  </si>
  <si>
    <t>RL: Motorrad, Kölsch, Currywurst  ♂alt,älter,bekloppt.</t>
  </si>
  <si>
    <t>Manager mit müden Augen: Die #VW-Spitze wirkt nach der AR-Sitzung in #Wolfsburg abgekämpft. https://t.co/fkDGG7msq6</t>
  </si>
  <si>
    <t>weltWaldmeister</t>
  </si>
  <si>
    <t>@tagesschau #VW 30% Kürzung? Ist das ein WITZ???? Gegen 100 wäre wohl gerechter...</t>
  </si>
  <si>
    <t>not far away from the Alpes/CH</t>
  </si>
  <si>
    <t>Live, love and have fun. No fish no fun. Not what you do but way you do it counts.</t>
  </si>
  <si>
    <t>Patrick Voss</t>
  </si>
  <si>
    <t>RT @BaerbelHoehn: Lawine kommt ins Rollen. Nicht nur #VW hat jahrelang #getrickst. B-Verkehrsminister haben nichts dagegen gemacht https://…</t>
  </si>
  <si>
    <t xml:space="preserve">Niederrhein, Ruhrgebiet </t>
  </si>
  <si>
    <t>Sprecher von @gjkreiswesel - Sprecher LAG MoVe NRW - Mitglied des @gruenekvwesel-Vorstands - Mag Erdbeerkuchen, die Cranger Kirmes und Züge</t>
  </si>
  <si>
    <t>turronzito</t>
  </si>
  <si>
    <t>Nuevos SUV de Volkswagen https://t.co/5E3x2O0tiY … #autos #wallpaper #VW https://t.co/Ira7aXYci1</t>
  </si>
  <si>
    <t>Desconfio de todo, siempre.</t>
  </si>
  <si>
    <t>#VW Dieselgate Scandal #Cost Raised To £12.7bn https://t.co/wwxzKiwg84</t>
  </si>
  <si>
    <t>Florian Zerfaß</t>
  </si>
  <si>
    <t>RT @VolkerVotsmeier: #Liveblog zum Dieselgate : #VW schließt 2015 mit 5,5 Milliarden Euro Verlust ab https://t.co/Yqz3fddttR #Handelsblatt</t>
  </si>
  <si>
    <t>Rhein-Main</t>
  </si>
  <si>
    <t>Oderint, dum metuant' I Redakteur und Rechercheur bei der @BILDamSONNTAG. Überzeugter Zweifler. Hier privat unterwegs.</t>
  </si>
  <si>
    <t>TeeKay Kreissig</t>
  </si>
  <si>
    <t>Driving Change &amp; Spreading Ideas:-) Make life long learning &amp; education fun and sustainable by using gamification, arts, interaction and fascination!</t>
  </si>
  <si>
    <t>Deutschland hat die Arschlöcher an der Regierung, die es verdient. Sozusagen selbstgewählt. https://t.co/A5cCKh9nke #S21 #VW #BER #TTIP #CDU</t>
  </si>
  <si>
    <t>Hannah Mowat</t>
  </si>
  <si>
    <t>After #VW it's time 4 real #CO2 cuts, not more tricks https://t.co/96A4wHiaHx</t>
  </si>
  <si>
    <t>Campaigner at @FERN_NGO. Tweeting in a personal capacity about forests, climate change, biodiversity and finance. RT not endorsement</t>
  </si>
  <si>
    <t>@mikereportero</t>
  </si>
  <si>
    <t>RT @angulosiete: #Entérate #VW dará 5mil dólares por afectado de #dieselgate en EU; en México sin acuerdo https://t.co/lAmc5SNiUe https://t…</t>
  </si>
  <si>
    <t>Casado, reportero, rockero, deportista de vez en cuando,</t>
  </si>
  <si>
    <t>Francesco Bruno</t>
  </si>
  <si>
    <t>#Vorjahresgewinne teils durch #Täuschung von #Millionen von #Kunden ? -&gt; #VW #management hat sich die #60% der #Boni definitiv #verdient</t>
  </si>
  <si>
    <t>never ending story</t>
  </si>
  <si>
    <t>WatchPat</t>
  </si>
  <si>
    <t>Wieso zahlen die überhaupt #Bonus? #Abgas-Skandal: #VW kürzt Boni um einen Drittel</t>
  </si>
  <si>
    <t>https://t.co/QpaM0yMneb - #vw #vwt5 #vwbus #wheelporn #wheelwhores #wheelsforsale #vwlife… https://t.co/4bg5PnPqgx https://t.co/fFAw1ewtsQ</t>
  </si>
  <si>
    <t>RT @weserkurier: Größter Verlust der Konzerngeschichte: Abgas-Skandal verursacht Milliarden-Minus bei #VW. https://t.co/0FCBWcI1Hu https://…</t>
  </si>
  <si>
    <t>Inc Dot Design&amp;Print</t>
  </si>
  <si>
    <t>Typical that our design guy, Jules has a camper called Vannie McVanface. #frontendfriday #VW #campervan https://t.co/i0q6la1fVp</t>
  </si>
  <si>
    <t>York</t>
  </si>
  <si>
    <t>Looking for design and print in York? We print for people like you... Call us - 01904 477944 Email - smile@inc-dot.com</t>
  </si>
  <si>
    <t>mücahit kara laskar</t>
  </si>
  <si>
    <t>17 #KONİG #VW #GOLF</t>
  </si>
  <si>
    <t>türkiye</t>
  </si>
  <si>
    <t>RT @PaulMIllerVW: Happy #FlashbackFriday! Today we are taking it back with 5 FAMOUS #VW BEETLES. Check them out: https://t.co/tFjYi3LNTh</t>
  </si>
  <si>
    <t>Kay</t>
  </si>
  <si>
    <t>CHRISTY CLARKS NIGHTMARES</t>
  </si>
  <si>
    <t>My goal this year is to #kickoutchristy in 2017. I will ensure that every poor person votes next year in my city. You should do the same.</t>
  </si>
  <si>
    <t>#VW-CEO Müller zu den Kosten von #Dieselgate: In den Rückstellungen von 16,2 Mrd. Euro ist alles berücksichtigt, was uns heute bekannt ist.</t>
  </si>
  <si>
    <t>Pragmatic Purple</t>
  </si>
  <si>
    <t>I am celebrating #EarthDay2016 by driving my #VW #tdi even more than I normally do #dieselgate https://t.co/dDIATMzHx5</t>
  </si>
  <si>
    <t>United States of America</t>
  </si>
  <si>
    <t>A pragmatic voter looking for elected officials the represent the people and not freeze the operation of democracy by appealing to the most shrill voices</t>
  </si>
  <si>
    <t>Details des "Boni-Verzichts" der #VW-Vorstände: 30 Prozent der variablen Vergütung werden für drei Jahre aufgeschoben.</t>
  </si>
  <si>
    <t>FAZ: EILMELDUNG: #VW kürzt Bonuszahlungen an Vorstände um 30 Prozent https://t.co/EezZXqBohy</t>
  </si>
  <si>
    <t>#BMVI-Bericht veröffentlicht: nicht nur #VW hat geschummelt - #dieselgate für alle #Auto-Hersteller https://t.co/UdoFissUqJ @SPIEGELONLINE</t>
  </si>
  <si>
    <t>RT @doern: #VW-CEO Müller zu den Kosten von #Dieselgate: In den Rückstellungen von 16,2 Mrd. Euro ist alles berücksichtigt, was uns heute b…</t>
  </si>
  <si>
    <t>Problematische Werte bei 22 Modellen von 17 Hersteller #dieselgate #vw #volkswagen https://t.co/1YBcjRGciC</t>
  </si>
  <si>
    <t>aNyWay ✏️</t>
  </si>
  <si>
    <t>Volgens #autoweek mankeert er nooit wat aan (Duitse auto's) #VW https://t.co/cAXjORYycM</t>
  </si>
  <si>
    <t xml:space="preserve">Amsterdam </t>
  </si>
  <si>
    <t>Entrepreneur. Motorrijden. Sporten. Met de hond er op uit. Dierenliefhebber. Nieuws/politiek. Hekel aan racisten (die block ik), hooligans, geweld, oorlog.</t>
  </si>
  <si>
    <t>Malte Kreutzfeldt</t>
  </si>
  <si>
    <t>RT @MarkCSchneider: Details des "Boni-Verzichts" der #VW-Vorstände: 30 Prozent der variablen Vergütung werden für drei Jahre aufgeschoben.</t>
  </si>
  <si>
    <t>taz . die tageszeitung, Parlamentsredakteur, Ressort Wirtschaft und Umwelt, Autor von 'Das Strompreis-Komplott' (Knaur-Verlag)</t>
  </si>
  <si>
    <t>Jeremy Banx</t>
  </si>
  <si>
    <t>From today's @FinancialTimes #Mitsubishi #VW https://t.co/ZhA0vQdy61</t>
  </si>
  <si>
    <t>Cartoonist for Financial Times, Private Eye, Punch, Oink!, Toxic; film maker, writer, swimmer, ballad singer, husband and father.</t>
  </si>
  <si>
    <t>Emil Blume ★★★</t>
  </si>
  <si>
    <t>Mit den Füßen am Boden</t>
  </si>
  <si>
    <t>$Human=($Love+$World+$Future); $Love=($Human+$World+$Future); $World=($Human+$Love+$Future); $Future=($Human+$Love+$World);</t>
  </si>
  <si>
    <t>Größter Verlust der #VW-Geschichte: Konzern hält 30 Prozent Vorstands-Bonus zurück: Erholt… https://t.co/ZDUpsR131t</t>
  </si>
  <si>
    <t>Betrag wird in "virtuelle Vorzugsaktien" umgewandelt. Das Geld bekommt der #VW-Vorstand sollte die Vorzugsaktie in drei Jahren &gt;25% steigen.</t>
  </si>
  <si>
    <t>MV_LaJoice</t>
  </si>
  <si>
    <t>#earthday #VW tricked the us, were caught. What #environmental disasters are still uncovered, can the earth recover? https://t.co/RdqKlrxrlX</t>
  </si>
  <si>
    <t>Farmington Hills MI</t>
  </si>
  <si>
    <t>Observing things. Green Tech, Sustainable World. Detroit! Mike LaJoice</t>
  </si>
  <si>
    <t>eBay: 2012 Volkswagen Beetle 1.4 TSI Sport 3dr https://t.co/z3OBsJo0YZ #vwbeetle #vwbug #vw https://t.co/xvfL74PTgl</t>
  </si>
  <si>
    <t>#VW weiter: In Summe sinke die variable Vergütung eines Vorstandes 2015 um 39 Prozent, von 5,3 Mio. Euro 2014 auf 3,2 Mio. Euro in 2015.</t>
  </si>
  <si>
    <t>Mugiwara</t>
  </si>
  <si>
    <t>RT @Banxcartoons: From today's @FinancialTimes #Mitsubishi #VW https://t.co/ZhA0vQdy61</t>
  </si>
  <si>
    <t>Thousand Sunny ⛵</t>
  </si>
  <si>
    <t>Strawhat</t>
  </si>
  <si>
    <t>Meryl Silverburgh</t>
  </si>
  <si>
    <t>Kaufe mir später dennoch einen #VW,weil ALLE bescheißen &amp; ein VW trotzdem noch qualitativ hochwertiger ist, als andere Autos. #MyCarOfChoice</t>
  </si>
  <si>
    <t xml:space="preserve">Aletheia </t>
  </si>
  <si>
    <t>Falls Sie informative, niveauvolle und humoristisch hochqualitative Statements in Tweetform suchen, dann gehen Sie bitte weiter. #EmboreMusic @emb0re</t>
  </si>
  <si>
    <t>#VW knüpft nach größtem Jahresverlust der Konzerngeschichte die Vorstands-Boni an Bedingungen: https://t.co/TjbG4si2Xk</t>
  </si>
  <si>
    <t>#VW-AR-Chef #Pötsch verzichtet auf einen Teil seiner variablen Vergütung für 2015 (2,3 Millionen Euro) "auf eigenen Wunsch nachträglich".</t>
  </si>
  <si>
    <t>Duan Gauche</t>
  </si>
  <si>
    <t>How does #vw emissions scandal affect south african owners of 2l diesel cars?</t>
  </si>
  <si>
    <t>CEO of @1WorxAfrica. Making #IoT a reality in Africa</t>
  </si>
  <si>
    <t>AUTOMOBILWOCHE</t>
  </si>
  <si>
    <t>RT @agy_nes: Problematische Werte bei 22 Modellen von 17 Hersteller #dieselgate #vw #volkswagen https://t.co/1YBcjRGciC</t>
  </si>
  <si>
    <t>Oberpfaffenhofen</t>
  </si>
  <si>
    <t>Die Branchen- und Wirtschaftszeitung</t>
  </si>
  <si>
    <t>guenstig-leben-bauen</t>
  </si>
  <si>
    <t>RT @fr: #VW knüpft nach größtem Jahresverlust der Konzerngeschichte die Vorstands-Boni an Bedingungen: https://t.co/TjbG4si2Xk</t>
  </si>
  <si>
    <t>Berlin - New York</t>
  </si>
  <si>
    <t>News, Infos, Traumhäuser, Entertainment und mehr! guenstig-leben-bauen.de &amp; @The_Newstime - http://t.co/a8tDn4Vp7j Independent &amp; Free Media for all Americans!</t>
  </si>
  <si>
    <t>Interessant! Betrüger, die #VW einen Milliardenschaden eingebrockt haben, dürfen 70% ihres Einkommens behalten.</t>
  </si>
  <si>
    <t>#VW-Vorstände bekommen trotz größtem Verlust der Firmengeschichte noch 70% Boni zusätzlich. https://t.co/7fPitqkhgp #korrigierteMeldung</t>
  </si>
  <si>
    <t>Airkooled Kustoms</t>
  </si>
  <si>
    <t>Headliner install on spooks plate today #airkooledkustoms #vwporn #vwbug #vw https://t.co/dX4avB0EIZ</t>
  </si>
  <si>
    <t>in the shop 35750</t>
  </si>
  <si>
    <t>Blood,Sweat&amp;Vintage Steel, Its A ZenThing Klassic Restos done right http://t.co/XOO7g2oJ</t>
  </si>
  <si>
    <t>Plasmogen 5</t>
  </si>
  <si>
    <t>RT @RippedFlower: Interessant! Betrüger, die #VW einen Milliardenschaden eingebrockt haben, dürfen 70% ihres Einkommens behalten.</t>
  </si>
  <si>
    <t>Deutschland, Stuttgart</t>
  </si>
  <si>
    <t>Lebe die Kunst in Form von Grafik, Malerei u. Sozioökologischer Lyrik. Liebe die Vielfalt menschlicher Individuen u. eine unstillbare Neugier auf ... !</t>
  </si>
  <si>
    <t>Murgpirat</t>
  </si>
  <si>
    <t>@holgi also ich würde die ja einfach mit 30% am Wertverlust der Aktien beteiligen und in die Haftung nehmen. #vw #boni</t>
  </si>
  <si>
    <t>Badner, Fasebutz, Reservist, Ehrenamtsaktivist, Pirat... und noch mehr.</t>
  </si>
  <si>
    <t>Peter Campbell</t>
  </si>
  <si>
    <t>Motor Industry Correspondent at the @FT. Opinions mine.</t>
  </si>
  <si>
    <t>Ich bin ja schon ganz gespannt wohin die "Top-Manager" von #VW gehen werden. Vielleicht zu den Chinesen.</t>
  </si>
  <si>
    <t>Mike Benford</t>
  </si>
  <si>
    <t>#VW #VWLOVE #GTi https://t.co/RSEdcQkTcb</t>
  </si>
  <si>
    <t>Victoria, BC</t>
  </si>
  <si>
    <t>Dreamer, Photographer, lover of life.</t>
  </si>
  <si>
    <t>Thom Twitting</t>
  </si>
  <si>
    <t>RT @likedeeler3: Ooooch..... #VW kürzt wegen #Dieselgate die Boni der Vorstände um 30%. 100% und Rückzahlung der letzten 3 Jahre. Darüber…</t>
  </si>
  <si>
    <t>EU-freies Europa</t>
  </si>
  <si>
    <t>Für DExit Bekämpft VDS Die Glühbirne ist das Symbol der EU-Diktatur! Die EU ersetzt das Licht am Ende des Tunnels durch eine Energiesparlampe! MCMLI</t>
  </si>
  <si>
    <t>RT @ndr2: +++EIL+++ #VW kürzt wegen #dieselgate Boni an Vorstände um 30 Prozent, sagte @stephanweil nach der #Volkswagen-Aufsichtsratssitzu…</t>
  </si>
  <si>
    <t>♡</t>
  </si>
  <si>
    <t>San Fernando, CA</t>
  </si>
  <si>
    <t>east coast chick west coastin..</t>
  </si>
  <si>
    <t>Julio Cesar⚓️</t>
  </si>
  <si>
    <t>LISTO ✔️ #VW https://t.co/Oh3rIw7wBI</t>
  </si>
  <si>
    <t>instagram: juliocnunez11</t>
  </si>
  <si>
    <t>@fr #Boni heißt also, #Betrug nachträglich zu honorieren, wenn genug Gras über die Sache gewachsen ist. #VW #Volkswagen #Dieselgate #Betrug</t>
  </si>
  <si>
    <t>Our Spring Sales Event is the best time for you to purchase your new #VW! Shop 24/7 online: https://t.co/Yk8TIPUzT7 https://t.co/PTmR9XHS2v</t>
  </si>
  <si>
    <t>RT @weserkurier: Nun verschiebt #VW auch den Zwischenbericht zur Schuldfrage im Diesel-#Skandal. https://t.co/iTnNZ0wdOp https://t.co/zTBe2…</t>
  </si>
  <si>
    <t>Antoine2015</t>
  </si>
  <si>
    <t>la morale de l'histoire pourrait être de ne jamais enfumer les gens ! #vw @LesEchos</t>
  </si>
  <si>
    <t xml:space="preserve">Paris </t>
  </si>
  <si>
    <t>| photo | histoire | géopolitique | territoires | green business | droite libérale | musique | arts |D &amp; C |architecture | dessin | bonne chere |</t>
  </si>
  <si>
    <t>#Volkswagen #Tuning //MD #Vw #dapper #Cambergang #StanceWork #RoyalStance https://t.co/17sH8F5eyS https://t.co/aoUWwIL65N</t>
  </si>
  <si>
    <t>blue stilton</t>
  </si>
  <si>
    <t>Grenzländerin</t>
  </si>
  <si>
    <t>RT @BR24: Verkehrsminister #Dobrindt zum Abgasskandal: "Das betrifft Audi, Mercedes, Opel, Porsche und #VW" https://t.co/gWQxtxqDP4</t>
  </si>
  <si>
    <t>Deutsche Umwelthilfe</t>
  </si>
  <si>
    <t>Radolfzell/Berlin/Hannover</t>
  </si>
  <si>
    <t>Die Deutsche Umwelthilfe ist ein gemeinnütziger Natur-, Umwelt- und Verbraucherschutzverband. Hier twittert das Team der DUH. Impressum: http://t.co/9LjFt3HSFP</t>
  </si>
  <si>
    <t>Wir machen uns langsam auf den Rückweg aus #Wolfsburg. Weitere Updates &amp; einen Report vom #VW-Tag gleich auf https://t.co/BwTxg5YYvg</t>
  </si>
  <si>
    <t>Noch nie in der #Volkswagen-Geschichte hat es höhere Verluste gegeben: #Dieselgate #VW https://t.co/kMuiYK8Dgm https://t.co/FOpZHd9vwv</t>
  </si>
  <si>
    <t>John McGregor</t>
  </si>
  <si>
    <t>We won't know how many #dieselgate car buyers will avoid #VW until 2018ish when most misled 2015 buyers finally replace their cars</t>
  </si>
  <si>
    <t>Norwich, Norfolk, UK</t>
  </si>
  <si>
    <t>Loves Cars, F1 and the Ford Racing Puma. Also likes bikes, motorcycles, photography, hi-fi and technology</t>
  </si>
  <si>
    <t>Renesource Capital</t>
  </si>
  <si>
    <t>#VW setting aside $18 Bln for #emissionsscandal !</t>
  </si>
  <si>
    <t>Duntes street 15A</t>
  </si>
  <si>
    <t>FX, METALS, CFD’s, STOCKS, ETF’s, BOND's, FUTURES, OPTIONS,STRUCTURED DERIVATIVES, RISK MANAGEMENT, ASSET MANAGEMENT, CORPORATE FINANCE Regulated by FCMC</t>
  </si>
  <si>
    <t>#VW will im Zuge der Abgasaffäre seine Vorstandsboni um 30 Prozent kürzen, die Belegschaft geht leer aus!</t>
  </si>
  <si>
    <t>Patriarchator</t>
  </si>
  <si>
    <t>Dieses sinnlose Dahinschlachten von #VW trifft mich als indirekten Lieferanten übrigens ganz persönlich u. ziemlich schmerzlich. #Dieselgate</t>
  </si>
  <si>
    <t>Dunkeldeutschland</t>
  </si>
  <si>
    <t>… wo das Fräulein noch Fräulein sein darf: Der Reaktionär, vor dem Euch Euer Blogwart immer gewarnt hat. … … … Art. 20 IV GG</t>
  </si>
  <si>
    <t>eBay: 2007 Volkswagen Beetle 2.0 Convertible… https://t.co/DP9oBfdWQt #vwbeetle #vwbug #vw https://t.co/xvfL74PTgl https://t.co/GOPiJObpUu</t>
  </si>
  <si>
    <t>Oliver</t>
  </si>
  <si>
    <t>@DasErste in #Idomeni leben Menschen unter widrigsten Umständen, #Refugees ertrinken im Mittelmeer und nen #Brennpunkt zu #VW? Seriously?</t>
  </si>
  <si>
    <t>#neukoelln | #berlin | #refugeeswelcome | #keinfussbreit | @bvb | @grueneneukoelln | product owner @BoschSI | views are my own</t>
  </si>
  <si>
    <t>RT @doern: Wir machen uns langsam auf den Rückweg aus #Wolfsburg. Weitere Updates &amp; einen Report vom #VW-Tag gleich auf https://t.co/BwTxg5…</t>
  </si>
  <si>
    <t>Margo T. Oge</t>
  </si>
  <si>
    <t>#VW Crafts Payments For U.S. #Cheating https://t.co/DFcfVIcTBW</t>
  </si>
  <si>
    <t>Author of book https://t.co/4KEKwvM49X, mother, environmentalist, believe that we can + must act to prevent the worst of climate change impacts.</t>
  </si>
  <si>
    <t>Opinion: No milestone yet for #VW in the US #dieselgate @dw_business https://t.co/jeebj67FL3</t>
  </si>
  <si>
    <t>U. Singer-Bayrle</t>
  </si>
  <si>
    <t>Gelnhausen (Germany,Hessen)</t>
  </si>
  <si>
    <t>I love to help others.</t>
  </si>
  <si>
    <t>Actus automobile</t>
  </si>
  <si>
    <t>Essayé aujourd’hui, le nouveau #VW Tiguan. Peu de défauts, un poil cher, mais peut se battre avec un premium. https://t.co/OAzBJlHpBd</t>
  </si>
  <si>
    <t>L'actualité et les essais du monde de l'automobile en direct et en français. Compte maintenu par @alex_lenoir.</t>
  </si>
  <si>
    <t>1590 KLIV</t>
  </si>
  <si>
    <t>#VW, Setting Aside $18 Billion for Diesel Scandal Costs, Reports Record Loss.....mcleod</t>
  </si>
  <si>
    <t>Silicon Valley's news station during the day, oldies all night! Proud to be locally owned &amp; operated since 1946. #SiliconValley #SanJose #SantaClara #Sunnyvale</t>
  </si>
  <si>
    <t>ABER: Die Boni werden in Aktien umgewandelt und sozusagen geparkt. In drei Jahren wird geschaut, wie es dem Unternehmen geht. #VW</t>
  </si>
  <si>
    <t>Henrik Hübschen</t>
  </si>
  <si>
    <t>Fast alle Rückruf-Modelle sind SUVs,Minivans,Transporter.Rechnet sich "sauber" und dick nur mit Tricks?#Dobrindt #VW https://t.co/PdpDNIsWU9</t>
  </si>
  <si>
    <t>Korrespondent für @WDR und @aktuelle_stunde in Berlin; Moderator 1zu1 https://t.co/5UMiDL2sps, Co-Moderator https://t.co/WZt15qS5fa; views are my own</t>
  </si>
  <si>
    <t>eBay: vw transporter t5 with face lift van… https://t.co/PHyUiYzzw6 #vwcamper #vwbus #vw https://t.co/ZEadscsjBy https://t.co/e3oLVT3Cnc</t>
  </si>
  <si>
    <t>AIADA</t>
  </si>
  <si>
    <t>Check out the #TGIF edition of today's #FirstUp for more on why #freetrade is good for everyone &amp; #VW's settlement. https://t.co/UVMspjBbju</t>
  </si>
  <si>
    <t>Alexandria, VA</t>
  </si>
  <si>
    <t>Official twitter of AIADA, the American International Automobile Dealers Association. We advocate in D.C. for America's international nameplate auto dealers.</t>
  </si>
  <si>
    <t>FanCar Picture - Send me your Scirocco pictures!!! (PM Please) #VW #Volkswagen #Scirocco #Tuning https://t.co/vM4KvJvjRe</t>
  </si>
  <si>
    <t>CryptoMiner</t>
  </si>
  <si>
    <t>#VW more than doubles #emissions costs to €16.2bn https://t.co/j1KD0Pi7j5</t>
  </si>
  <si>
    <t>Essex, UK</t>
  </si>
  <si>
    <t>AdWords Expert, Digital Marketing, Digital Strategy, Ecommerce &amp; Social Media Monster, Google Square LinkedIn: http://t.co/9901hErcox (all views are my own)</t>
  </si>
  <si>
    <t>Norbert Henz</t>
  </si>
  <si>
    <t>Bockmist bauen, aber Boni kassieren - merke, Mitarbeiter feuern, Vorstände belohnen - nee is klar #vw #dieselgate</t>
  </si>
  <si>
    <t>IT'ler, husband, dad, webwalker and simply curious about life</t>
  </si>
  <si>
    <t>Margaret Francis</t>
  </si>
  <si>
    <t>The cost of #VW's #emissions #scandal hits $18.2 billion: A day after a reported deal between #Volkswagen… https://t.co/fOQ6Nb7iX0 #Gadgets</t>
  </si>
  <si>
    <t>Rocky Mount NC</t>
  </si>
  <si>
    <t>I'm a happy-go-lucky girl hungry for latest fashion and modeling. Shopping is my drug, rockin out is my obsession, party is my love.</t>
  </si>
  <si>
    <t>Car Talk</t>
  </si>
  <si>
    <t>#VW posts $4.6 billion loss on emissions cheating charge. Finally some VW numbers you can believe. https://t.co/mDm6NSvjnT</t>
  </si>
  <si>
    <t>Harvard Square, Cambridge, MA</t>
  </si>
  <si>
    <t>Waste a perfectly good hour listening to our lousy show... and 140 characters on our Twitter feed, too!</t>
  </si>
  <si>
    <t>jpeMEDIA</t>
  </si>
  <si>
    <t>The cost of #VW's #emissions #scandal hits $18.2 billion https://t.co/bm5qUZ7in2 https://t.co/1bL5EHazRa</t>
  </si>
  <si>
    <t>News aggregator. Follow to get the latest breaking news about Tech, Startups &amp; Media.</t>
  </si>
  <si>
    <t>.@ndrreporter Thorsten #Hapke: #VW wird Deutsche nicht so entschädigen wie US-Kunden - Aktionäre würden klagen. https://t.co/SKKxGSiEln</t>
  </si>
  <si>
    <t>Frank Volk</t>
  </si>
  <si>
    <t>Richtige Signale in Zeiten des Abgasskandals: #VW-Vorstandsbezüge sinken um 39%, AR-Chef Pötsch verzichtet auf 2,3 Mio</t>
  </si>
  <si>
    <t>RT @hannah_mowat: After #VW it's time 4 real #CO2 cuts, not more tricks https://t.co/96A4wHiaHx</t>
  </si>
  <si>
    <t>Die #VW Manager sägen gerade den Ast ab, auf dem sie, die Belegschaft +viele andere von der #Automobilindustrie abhängigen Menschen sitzen</t>
  </si>
  <si>
    <t>Tatty Bojangles</t>
  </si>
  <si>
    <t>RT @ProjectCarsUK: I need a temporary runabout, why am I considering this ray look Passat? https://t.co/eMpBSQcn8W #VW https://t.co/jVyRKg0…</t>
  </si>
  <si>
    <t>The Lakes</t>
  </si>
  <si>
    <t>Tero Hakola</t>
  </si>
  <si>
    <t>Aah, saksalaiset autot! #rehellisyys #luotettavuus #mersu #vw #Opel #BMW #jne</t>
  </si>
  <si>
    <t>Olen HS-urheilun uutistuottaja. Pidän muiden mielipiteistä. Joskus on omiakin. Niitä mm. HS-kolumneissani (linkki alla).</t>
  </si>
  <si>
    <t>hirschland</t>
  </si>
  <si>
    <t>Long or short on #VW? https://t.co/mt2GiRTYQT</t>
  </si>
  <si>
    <t>Reputation Builder | Executive Community Creator | Insight Generator</t>
  </si>
  <si>
    <t>VerDi Mitglied</t>
  </si>
  <si>
    <t>RT @ManuelaKC: Opinion: No milestone yet for #VW in the US #dieselgate @dw_business https://t.co/jeebj67FL3</t>
  </si>
  <si>
    <t>Gutmensch und stolz darauf</t>
  </si>
  <si>
    <t>Le monde de l'auto</t>
  </si>
  <si>
    <t>RT @actuauto: Essayé aujourd’hui, le nouveau #VW Tiguan. Peu de défauts, un poil cher, mais peut se battre avec un premium. https://t.co/OA…</t>
  </si>
  <si>
    <t>Nouvelles sur le monde de l'automobile</t>
  </si>
  <si>
    <t>#VW judge: Until deal is done, mum's the word on #dieselgate settlement https://t.co/FbETmmgbx7</t>
  </si>
  <si>
    <t>RT @NDRreporter: .@ndrreporter Thorsten #Hapke: #VW wird Deutsche nicht so entschädigen wie US-Kunden - Aktionäre würden klagen. https://t.…</t>
  </si>
  <si>
    <t>Hotchkis Suspension</t>
  </si>
  <si>
    <t>Meyers Manx. Really well restored. #meyersmanx #vwpowered #vw #dunebuggy #1965-71 #cool #needone https://t.co/1HnWNp2Yyc</t>
  </si>
  <si>
    <t>Santa Fe Springs</t>
  </si>
  <si>
    <t>Designed | Built | Punished</t>
  </si>
  <si>
    <t>Hans Sieverding</t>
  </si>
  <si>
    <t>Mocht #VW toch niet zelfstandig naar de knoppen gaan, voorjaar 2017 is #Merkel beschikbaar. https://t.co/Bm3LfI4AGn</t>
  </si>
  <si>
    <t>Heemskerk, Noord-Holland</t>
  </si>
  <si>
    <t>Zure senior en toch echte liberaal en pure democraat, dus anti EU, maar wel Europeaan en voor EG</t>
  </si>
  <si>
    <t>andy rage</t>
  </si>
  <si>
    <t>Alles super ! #VW https://t.co/0AoJxQWxRT</t>
  </si>
  <si>
    <t>Geboren in den 60ern, Punkrock ,Literatur, Reisen und Politik. Skeptisch ! Bitte gute Nerven mitbringen :) und natürlich Hannover 96 !</t>
  </si>
  <si>
    <t>Моnasterium</t>
  </si>
  <si>
    <t>Es gibt trotzdem noch 70% Boni für die #VW Vorstände? 😳 #emissionsscandal https://t.co/Sz5HugfGRH</t>
  </si>
  <si>
    <t>languages:deutsch,english,русский/engineering/cycling/traffic/aviation/simulation/urbandevelopment/history/environment/energiewende/politics/RT≠endorsement</t>
  </si>
  <si>
    <t>Dat #Volkswagen recordverlies lijdt als gevolg van #sjoemelsoftware maar dat bedrijfstop niet afziet van de hele bonus #VW #dieselgate</t>
  </si>
  <si>
    <t>Roberto Vela</t>
  </si>
  <si>
    <t>If you thought it doesn’t pay to be ecofriendly, apparently it pays “substantially.” #vw #emissionsgate https://t.co/YUzC4t2O0j</t>
  </si>
  <si>
    <t>Baltimore, Maryland</t>
  </si>
  <si>
    <t>Trial lawyer and professional organist; basically all about the stage. @JohnsHopkins A&amp;S '05, @George_Peabody Conservatory '05, @UMDLaw '09.</t>
  </si>
  <si>
    <t>ricco Font</t>
  </si>
  <si>
    <t>Ile-de-France, France</t>
  </si>
  <si>
    <t>Administration publique et politique</t>
  </si>
  <si>
    <t>Thorsten Hapke @NDRpresse zur #VW Aufsichtsratsitzung #VWSkandal ab 17.30h in vorOrt https://t.co/4AIb8p5AXM</t>
  </si>
  <si>
    <t>News-Now</t>
  </si>
  <si>
    <t>RT @_Alex_Berlin: #BMVI-Bericht veröffentlicht: nicht nur #VW hat geschummelt - #dieselgate für alle #Auto-Hersteller https://t.co/UdoFissU…</t>
  </si>
  <si>
    <t>Dresden, Saxony</t>
  </si>
  <si>
    <t>Conflicts &amp; Clashes Around The World, News in Ger/Eng + BG-Info, Pro Human Rights, Anti-War! Concrete-Head-Fraction,Pro Kurds, F*ck Bussines!</t>
  </si>
  <si>
    <t>shortymatic</t>
  </si>
  <si>
    <t>RT @GDhring: Alles super ! #VW https://t.co/0AoJxQWxRT</t>
  </si>
  <si>
    <t>Ich bin der Mittelpunkt der Welt. Alle Blicke gehören mir, alles dreht sich um mich!</t>
  </si>
  <si>
    <t>Adewunmi</t>
  </si>
  <si>
    <t>RT @CryptoMinerUK: #VW more than doubles #emissions costs to €16.2bn https://t.co/j1KD0Pi7j5</t>
  </si>
  <si>
    <t>Nigeria-Lagos</t>
  </si>
  <si>
    <t>I offer Bulk SMS,Printing of Flyers,ID cards etc Large format https://t.co/H9NINp4X3g sales&amp;repair</t>
  </si>
  <si>
    <t>bonzoboy</t>
  </si>
  <si>
    <t>#VW may have manipulated NOx on engine tests, but Americans will generate more CO2 by not driving VW diesels!!</t>
  </si>
  <si>
    <t>Dog loving energy expert. Trying to save the planet, one molecule at a time. Loving car rides, meeting people. Hate the sound of cards shuffling (no poker)</t>
  </si>
  <si>
    <t>Clicks and Tips</t>
  </si>
  <si>
    <t>Owners of polluting #VW vehicles could hear details of deal in June | CTV News https://t.co/dx5qPTPT96 https://t.co/9BrwMfqddP</t>
  </si>
  <si>
    <t>#GOC Virtual community of practice, Renewal activist, Passionate about WEB2.0, Tech training and blogger, Webinars, Collaboration #CTTechtour</t>
  </si>
  <si>
    <t>arnauX</t>
  </si>
  <si>
    <t>Ich dachte immer, "Boni" werden ausgezahlt, wenn es Firma gut/besser geht und sind optional, additiv zum Gehalt? #VW</t>
  </si>
  <si>
    <t>ungeschickt, verrückt, Bombenleger mit Hut</t>
  </si>
  <si>
    <t>#Verbraucherstimme @Klaus_Mueller | #Abgasskandal #Dobrindt #VW #Dieselgate | https://t.co/ydmAkV3wRM https://t.co/gwQfqRIsS1</t>
  </si>
  <si>
    <t>.@Elisa1Beth2 #VW #Boni Erstrecherche mit einigen Zahlen: https://t.co/Kanf0Mg8ll</t>
  </si>
  <si>
    <t>vandemataram</t>
  </si>
  <si>
    <t>RT @ollitsch09: @DasErste in #Idomeni leben Menschen unter widrigsten Umständen, #Refugees ertrinken im Mittelmeer und nen #Brennpunkt zu #…</t>
  </si>
  <si>
    <t>Ponqué Gala</t>
  </si>
  <si>
    <t>RT @cartalk: #VW posts $4.6 billion loss on emissions cheating charge. Finally some VW numbers you can believe. https://t.co/mDm6NSvjnT</t>
  </si>
  <si>
    <t>Dejad que las mujeres informales y ligeras en sus relaciones con los hombres vengan a mi...</t>
  </si>
  <si>
    <t>.#Vw Kauno Wilhelm kyselee, että miksi me pysähdyttiin? No siksi kun #Suomi loppui... 😂 #Utsjoki #Norja #Lapland https://t.co/e8Q02ow4WO</t>
  </si>
  <si>
    <t>Monika Bassani  ن</t>
  </si>
  <si>
    <t xml:space="preserve">Griechenland </t>
  </si>
  <si>
    <t>am 10.02.48 in Essen geb. Politik ist mein Hobby,Lesen und Lachen meine Leidenschaft . Nazis und AFD werden Geblockt</t>
  </si>
  <si>
    <t>Décalaminage moteur à l'hydrogène sur #VW #Passat 2.0 TDi #CarbonCleaning https://t.co/wmfc8z0e2F</t>
  </si>
  <si>
    <t>Conny</t>
  </si>
  <si>
    <t>Oldenburg, Niedersachsen</t>
  </si>
  <si>
    <t>WahlKatzeWerderFan Kann gefolgt werden. Folge manchmal auch zurück. https://t.co/P9l59Z2jDl</t>
  </si>
  <si>
    <t>Raúl Radon</t>
  </si>
  <si>
    <t>RT @LISCHIMAN: VW macht größten Verlust der Firmengeschichte. Stadt Wolfsburg benennt sich um in Hundehütte. #VW #audi #dieselgate #Dobrin…</t>
  </si>
  <si>
    <t>Politischer Schriftsteller, Liberalist. Politik, Kontroversen; stets aphoristisch formuliert. I follow if you're top-notch. #ElementRn</t>
  </si>
  <si>
    <t>Garage des Twittos</t>
  </si>
  <si>
    <t>actuauto: Essayé aujourd’hui, le nouveau #VW Tiguan. Peu de défauts, un poil cher, mais peut se battre avec un pre… https://t.co/gcuAdPgqcj</t>
  </si>
  <si>
    <t>Paris, France</t>
  </si>
  <si>
    <t>Bienvenue sur le #GarageDesTwittos ! Vous trouverez ici un condensé des meilleur tweets et articles auto &amp; moto sous un même compte twitter ! #FollowUs !</t>
  </si>
  <si>
    <t>Die Top5-VW-Vostände haben ein Grundgehalt von über 7M€. Wieso bekommen die bei den massiven problemen immer noch (alle!) Riesen-Boni? #vw</t>
  </si>
  <si>
    <t>eBay: Volkswagen Transporter T4 2.5 TDI,… https://t.co/oFGDmOwAsX #vwcamper #vwbus #vw https://t.co/ZEadscsjBy https://t.co/JWIm6PPh02</t>
  </si>
  <si>
    <t>How Volkswagen Diesels Perform in 'Cheat Mode' | Consumer Reports https://t.co/GADtD8RptX via @YouTube #dieselgate #vw #diesel #cheatmode</t>
  </si>
  <si>
    <t>Tony Thijs</t>
  </si>
  <si>
    <t>#VW finally to provide buyout offers, payments #dieselgate https://t.co/nq5nvLEZvj</t>
  </si>
  <si>
    <t>YouTube Partner: OpenMarketingTV Internet / Social Media Marketing, SEO, Photography, Video, Herding Cats, #HeForShe</t>
  </si>
  <si>
    <t>Billy Ray Wilson III</t>
  </si>
  <si>
    <t>Driver side axle out for boot refurbish. #VW #bus #ChampagneEdition2 @ Wilson Man Cave https://t.co/h53xA5IpTN</t>
  </si>
  <si>
    <t>Indiana, USA</t>
  </si>
  <si>
    <t>Allan Tschirret</t>
  </si>
  <si>
    <t>Vw Coccinelle #Vw #Volkswagen #coccinelle #Cox #germancar https://t.co/pbQwBe7GMI</t>
  </si>
  <si>
    <t xml:space="preserve">Strasbourg, France </t>
  </si>
  <si>
    <t>Passionné d'automobile et de sport auto Instagram : allan_tschirret</t>
  </si>
  <si>
    <t>Roger Wilco</t>
  </si>
  <si>
    <t>Only love can save us</t>
  </si>
  <si>
    <t>Tommaso Ebhardt</t>
  </si>
  <si>
    <t>#Emissions drama: No 50+ cars in German probe have illegal devices as #VW + Germany can make recalls just on German certified cars</t>
  </si>
  <si>
    <t>Milan</t>
  </si>
  <si>
    <t>Bloomberg @Business Italy reporter at large retweets ≠ endorsement Views mine.</t>
  </si>
  <si>
    <t>David Ward</t>
  </si>
  <si>
    <t>Secretary General Global NCAP</t>
  </si>
  <si>
    <t>Stephan Kühn</t>
  </si>
  <si>
    <t>RT @vzbv: #Verbraucherstimme @Klaus_Mueller | #Abgasskandal #Dobrindt #VW #Dieselgate | https://t.co/ydmAkV3wRM https://t.co/gwQfqRIsS1</t>
  </si>
  <si>
    <t>Bundestagsabgeordneter, verkehrspolitischer Sprecher der Grünen-Bundestagsfraktion, Diplom-Soziologe</t>
  </si>
  <si>
    <t>Rainer Loveiam</t>
  </si>
  <si>
    <t>Boni bei #VW auf #HartzIV Niveau herabgestuft. Das Leben konnte nicht mehr besser werden. #washabenSiedrauf</t>
  </si>
  <si>
    <t xml:space="preserve">BerlinCapitalOfTheGermanReich </t>
  </si>
  <si>
    <t>Retired Zenmaster, Enfant Terrible, Werde oft missverstanden</t>
  </si>
  <si>
    <t>eBay: VOLKSWAGEN BEETLE BARN FIND RESTORATION… https://t.co/gjaAt7r8KX #vwbeetle #vwbug #vw https://t.co/xvfL74PTgl https://t.co/FMAPsZ2BCD</t>
  </si>
  <si>
    <t>Alchemy weeHouse</t>
  </si>
  <si>
    <t>Celebrating epic reuse design on #EarthDay @CarmaCoffeeNE while waiting for the best #vw service from @Good_Carma! https://t.co/JNN3B6i4HL</t>
  </si>
  <si>
    <t>St. Paul, MN</t>
  </si>
  <si>
    <t>architects, designers, weeHouse creators</t>
  </si>
  <si>
    <t>RT @Lindsay_VW: Our Spring Sales Event is the best time for you to purchase your new #VW! Shop 24/7 online: https://t.co/Yk8TIPUzT7 https:/…</t>
  </si>
  <si>
    <t>Rauchender Colt</t>
  </si>
  <si>
    <t>Der #Dobrindt klingt ja nur so zerknirscht, weil die betroffen sind, die auch ihn bezahlen. Irgendwie. So eben. #vw #audi #mercedes #porsche</t>
  </si>
  <si>
    <t>westsüdwest</t>
  </si>
  <si>
    <t>so allmählich alles durch. sonst wie Zaphod Beeblebrox, nur mit zwei Seelen statt zwei Köpfen. #notjustsad</t>
  </si>
  <si>
    <t>myCar.be</t>
  </si>
  <si>
    <t>https://t.co/KIHKSWZumg #tweedehands #wagen: #VW #Polo van 01.01.2016 met 10 km - € 14.690 https://t.co/FHUl9XoDHL</t>
  </si>
  <si>
    <t>myCar.be | Mdx Vehicle App</t>
  </si>
  <si>
    <t>Brugge, Belgium</t>
  </si>
  <si>
    <t>Incoming myCar's op Twitter. Meer dan 400 (bijna) nieuwe wagens tegen zeer scherpe prijzen! Showrooms over heel Vlaanderen!</t>
  </si>
  <si>
    <t>https://t.co/KIHKSWZumg #tweedehands #wagen: #VW #Polo van 01.01.2016 met 10 km - € 14.690 https://t.co/YEjmcKQ3z4</t>
  </si>
  <si>
    <t>https://t.co/KIHKSWZumg #tweedehands #wagen: #VW #Polo van 01.01.2016 met 1 km - € 14.690 https://t.co/dtPUC4vRBM</t>
  </si>
  <si>
    <t>https://t.co/KIHKSWZumg #tweedehands #wagen: #VW #Polo van 01.01.2016 met 10 km - € 14.690 https://t.co/Iy9q5Zfgia</t>
  </si>
  <si>
    <t>Parthaa Bosu</t>
  </si>
  <si>
    <t>Patparganj, New Delhi, India</t>
  </si>
  <si>
    <t>Founder @walkabilityasia @gfiwg | #tea lover| #innovation | Daughter's Dad| Ray Baij Jamini | Followed by UNICEF &amp; other verified ac| RTs ❌endrsmnt</t>
  </si>
  <si>
    <t>Flashback Friday ... 1997 #flashbackfriday 20 years &amp; 20 + lbs ago #vw #newbeetle #watercooledvw #vwbug #vwbeetle … https://t.co/XqgIowlv4t</t>
  </si>
  <si>
    <t>Siddharth V Patankar</t>
  </si>
  <si>
    <t>Proud Indian. Army brat. News Anchor/Editor Auto @NDTV &amp; Director @WorldCarAwards. Love to read, write, cook, eat, travel, meet people, drive. Love Labradors :)</t>
  </si>
  <si>
    <t>Bom dia!!! #vw #vocho #volks #vwbug #vwlow #vwold #vw1301 #vwlove #vwlife #vwbeetle #vwvocho #vwvosvos #vwvintage #… https://t.co/10zPsZUGx5</t>
  </si>
  <si>
    <t>#vw #vwbeetle #vwbeetlelovers #vwbeetlebug #vwbeetlelife #carsdrawing #drawings #drawingtime #draweveryday #drawing… https://t.co/9t44ywhNKj</t>
  </si>
  <si>
    <t>撮影練習1 #newbeetle #vw #vwbeetle #愛車 #好き#車好き #いいね #可愛い #かわいい #かっこいい #エアサス#低い #着地 #work#キャンディ#グリーン#緑#ベージュ #一眼#練習#難しい… https://t.co/Z0gXNGkrpG</t>
  </si>
  <si>
    <t>撮影練習1 #newbeetle #vw #vwbeetle #愛車 #好き#車好き #いいね #可愛い #かわいい #かっこいい #エアサス#低い #着地 #work#キャンディ#グリーン#緑#ベージュ #一眼#練習#難しい… https://t.co/SQhhN3heww</t>
  </si>
  <si>
    <t>撮影練習1 #newbeetle #vw #vwbeetle #愛車 #好き#車好き #いいね #可愛い #かわいい #かっこいい #エアサス#低い #着地 #work#キャンディ#グリーン#緑#ベージュ #一眼#練習#難しい… https://t.co/Cjbsgdetzs</t>
  </si>
  <si>
    <t>Volker Nawrath</t>
  </si>
  <si>
    <t>#VW, #BER und ähnliche Fälle zeigen, dass in Deutschland Unfähigkeit &amp; Betrug nicht nur toleriert werden, sondern auch belohnt. #dieselgate</t>
  </si>
  <si>
    <t>Friedenau, Berlin</t>
  </si>
  <si>
    <t>Just looking into the world</t>
  </si>
  <si>
    <t>Renate</t>
  </si>
  <si>
    <t>Munich / Germany</t>
  </si>
  <si>
    <t>#SPD #Mika (@mikasounds) #FCBayern: I'm tweeting about Mika, about politics and sometimes about trivial.</t>
  </si>
  <si>
    <t>Josh</t>
  </si>
  <si>
    <t>Auch nur ein Arbeiter bei #VW müsste so einen Mist bauen, da reicht viel weniger, der würde fliegen. #CSU #Dobrindt https://t.co/0lyYxCqt68</t>
  </si>
  <si>
    <t>Bio hin..Bio her!? ICH bin Bio!</t>
  </si>
  <si>
    <t>RT @JosefineJanert: lacht schallend: #FDP-Politiker #Bode, früher im VW-Aufsichtsrat, fühlt sich betrogen vom #VW-Management. https://t.c…</t>
  </si>
  <si>
    <t>Luschenkönig #Dobrindt hat wieder eine ganz Ladung #Weichspüler über der #Abgasaffäre ausgekippt. #Dieselgate #VW https://t.co/x3GRpYtW9l</t>
  </si>
  <si>
    <t>Charles Runnels</t>
  </si>
  <si>
    <t>Caught this VW letting it all air out in of my favorite neighborhoods. #austin #vw #vintage… https://t.co/Hrz3RjnCOJ</t>
  </si>
  <si>
    <t>Downtown Austin</t>
  </si>
  <si>
    <t>REALTOR, Real Estate Investor, Ex-Banker, Home Stylist, loving life in Beautiful, Austin, Texas.</t>
  </si>
  <si>
    <t>Ivann Gayoso</t>
  </si>
  <si>
    <t>Corazon afuera #vw gol, se te viene la nocheee 😄 https://t.co/Cm1SulHYbX</t>
  </si>
  <si>
    <t>cheeevroletcorsaa:* #Soy de Miccca':* fuera Trolasss.|.</t>
  </si>
  <si>
    <t>Elita Wiegand</t>
  </si>
  <si>
    <t>iPhone: 51.230770,6.813487</t>
  </si>
  <si>
    <t>Journalistin,Querdenkerin, Geschäftsführerin der Firma Werte und Wandel.</t>
  </si>
  <si>
    <t>Sepp Pickartz</t>
  </si>
  <si>
    <t>VW kürzt Boni an Vorstände um 30 Prozent - aber kein endgültiger Verzicht https://t.co/eFZpIJbslD via @faznet #VW #Vorstände großes Mitleid</t>
  </si>
  <si>
    <t>RT @beuc: Again week filled with bad news from car industry. #VW US announcement means EU citizens are treated as second class consumers 1/3</t>
  </si>
  <si>
    <t>Seewolf Antville</t>
  </si>
  <si>
    <t>Was ist eigentlich ein Bonus und wofür bekommt man den? Frage für einen Leiharbeiter bei #VW.</t>
  </si>
  <si>
    <t>L</t>
  </si>
  <si>
    <t>OLAP, SQL, Dänisch</t>
  </si>
  <si>
    <t>Larry Roesch VW</t>
  </si>
  <si>
    <t>I Don't Need to Hear to Drive My Car - https://t.co/YkwGD9NBfS #VW #Beetle https://t.co/MMptpHmzsc</t>
  </si>
  <si>
    <t>Bensenville, IL</t>
  </si>
  <si>
    <t>Serving the #Chicago area since 1923! Family owned for 4 generations. Larry Roesch Volkswagen of Elmhurst. (630)860-0400</t>
  </si>
  <si>
    <t>Darrelle M</t>
  </si>
  <si>
    <t>Border hoopin' #sunset #VW #Golf #RolftheGolf #discoverni #discoverireland #adventure https://t.co/VotLRpeRCf</t>
  </si>
  <si>
    <t>Monaghan/Dublin</t>
  </si>
  <si>
    <t>I'm not a frigid. I shifted someone on holidays but you can't look him up, he's not on bebo</t>
  </si>
  <si>
    <t>Ostsee-Zeitung</t>
  </si>
  <si>
    <t>#Wolfsburg – #VW macht größten Verlust in der Konzerngeschichte https://t.co/FAc8HNuTDa via @OZlive</t>
  </si>
  <si>
    <t>Rostock</t>
  </si>
  <si>
    <t>Nachrichten aus Mecklenburg-Vorpommern – weil wir nicht nur hier, sondern auch im Internet zu Hause sind.</t>
  </si>
  <si>
    <t>Gerhard Gönnung</t>
  </si>
  <si>
    <t>RT @Stony_BS: Luschenkönig #Dobrindt hat wieder eine ganz Ladung #Weichspüler über der #Abgasaffäre ausgekippt. #Dieselgate #VW https://t.…</t>
  </si>
  <si>
    <t>Ich bin hier am micro bloggen (wie Stephen Hawking) | Lasst uns zusammen @goennen | #TeamGönnung | #NoHomer | #2fresh2die | SnpCht: Twtrgrd | ^__^ |</t>
  </si>
  <si>
    <t>Fatih göloğlu</t>
  </si>
  <si>
    <t>Gezelim 😉 #Golf #vw @ Batıkent https://t.co/D1mroClA2C</t>
  </si>
  <si>
    <t>Yenimahalle-Batıkent</t>
  </si>
  <si>
    <t>Aktien statt Geld: Kein endgültiger Verzicht: #VW-Vorstände legen Boni nur auf Eis #dieselgate https://t.co/BpKqGiMMmc</t>
  </si>
  <si>
    <t>Insignia Group</t>
  </si>
  <si>
    <t>#Flashback to this classic 1966 #VW bus. A sixties icon! #FBF #Classiccars https://t.co/TvkCQ6FC7P</t>
  </si>
  <si>
    <t>Rock Hill SC</t>
  </si>
  <si>
    <t>Insignia Group, the leading provider of accessories sales systems and training has helped dealerships maximize profits since 2001.</t>
  </si>
  <si>
    <t>eBay: Volkswagen Beetle 1.4 TSI ( 160ps )… https://t.co/LKWMYFBoEf #vwbeetle #vwbug #vw https://t.co/xvfL74PTgl https://t.co/PI1oSlUXsK</t>
  </si>
  <si>
    <t>eBay: Volkswagen Beetle 2.0 TSI 210 Turbo DSG… https://t.co/hoaztRqtbZ #vwbeetle #vwbug #vw https://t.co/xvfL74PTgl https://t.co/XamNUvoqVm</t>
  </si>
  <si>
    <t>FoinB.exe</t>
  </si>
  <si>
    <t>RT @Jeckyll_Havok: ---EILMELDUNG--- #VW überlässt #dieselgate Fahrzeuge dem US Militär als Bomben. https://t.co/X956QjMyfg</t>
  </si>
  <si>
    <t>Elbenthal, Kreis Mittelerde</t>
  </si>
  <si>
    <t>In meiner physisch-soziologen Konstellation manifestiert sich die absolute Dominanz positiver Impressionen meines Individuums. ♥ @LilithVanill ♥</t>
  </si>
  <si>
    <t>Hermann</t>
  </si>
  <si>
    <t>Allein das #KBA trägt beim #Dieselgate die Verantwortung. Das #KBA hat die Software geduldet und muss deswegen mit #VW die Zeche bezahlen</t>
  </si>
  <si>
    <t>Wermelskirchen</t>
  </si>
  <si>
    <t>I was born in 1943 at #Voelklingen - the #Roechling-City - near the eastern French border in the former #Saar-District, a Milestone of the #Eu, the #EEC.</t>
  </si>
  <si>
    <t>Volkswagen Reading</t>
  </si>
  <si>
    <t>No matter how you ride, our #Volkswagen Parts Department can find the perfect accessories to complement your #VW: https://t.co/WRjLa57qDA</t>
  </si>
  <si>
    <t>Leesport, PA</t>
  </si>
  <si>
    <t>We are your local Reading, PA #Volkswagen dealership. We provide new and pre-owned #VW models, service, parts, auto body repair &amp; more. Call Us: 610-777-6500.</t>
  </si>
  <si>
    <t>Net Tech News</t>
  </si>
  <si>
    <t>Engadget: The cost of #VW's #emissions #scandal hits $18.2 billion https://t.co/0DCXuZmHrR</t>
  </si>
  <si>
    <t>Latest internet and technology news headlines from news sources around the web (live feeds).</t>
  </si>
  <si>
    <t>Absolutely beautiful Mk5 at Dubshed Owner: @kic_stu #dedicatedshoutout #dubshed #vw #vag… https://t.co/Wf1ej59oH4 https://t.co/tPUQp0imkH</t>
  </si>
  <si>
    <t>John Monk</t>
  </si>
  <si>
    <t>some interesting ready......as i'm a VW driver! #VW https://t.co/lk9oUzps3W</t>
  </si>
  <si>
    <t>National Imports &amp; Exports Manager @wienerbergeruk Big fan of #F1. All views my own.</t>
  </si>
  <si>
    <t>hold the line</t>
  </si>
  <si>
    <t xml:space="preserve">follow </t>
  </si>
  <si>
    <t>Reggie Gardner</t>
  </si>
  <si>
    <t>#VW Doubles Provisions for Cheating #Scandal to $18.2 Billion https://t.co/M1mW7Cgn11</t>
  </si>
  <si>
    <t>#Entrepreneur, #StartUp, #Founder @RealAlistPress, #Entertainment Management, Productions, Selwyn Entertainment Music Group; [Global Digital Distribution LabeL]</t>
  </si>
  <si>
    <t>#VW says boardroom bonuses will fall by 39%. Chairman will waive 2015 bonus</t>
  </si>
  <si>
    <t>ameriporean</t>
  </si>
  <si>
    <t>#VW Doubles Provisions for Cheating #Scandal to $18.2 Billion #ameriporean https://t.co/iSw3J3pxNd</t>
  </si>
  <si>
    <t>Atlanta/Singapore</t>
  </si>
  <si>
    <t>All that's cool from ATL to SEA. Tech, food, Singapore, Lenovo, INsider, voice over, acting, art, music, tea, and whatever else I find interesting.</t>
  </si>
  <si>
    <t>#VW zu Kunden in Europa: Du Arsch ich fick dich hart. Kunde zu VW in Europa: Wann kommt d neue Passat u Golf?</t>
  </si>
  <si>
    <t>Who Said What</t>
  </si>
  <si>
    <t>Who said it? #imagebot #VW https://t.co/KTI9U14YhJ</t>
  </si>
  <si>
    <t>whosaidwhat_bot</t>
  </si>
  <si>
    <t>Newsbot with auto-images, exclamation marks my own!</t>
  </si>
  <si>
    <t>Who's ready for #FunfestACVW 2016? Check out more at https://t.co/NSed1RXJll! #ACVWPassion #Volkswagen #VW https://t.co/fnSKwy3ppY</t>
  </si>
  <si>
    <t>Dirk-Oliver Heckmann</t>
  </si>
  <si>
    <t>Autsch. via @MKreutzfeldt https://t.co/gDqtv39BYI #Abgas #dieselgate #VW</t>
  </si>
  <si>
    <t>Zwischen Alt- und Neuland</t>
  </si>
  <si>
    <t>Journalist. Historiker. Redakteur am Mikrophon beim Deutschlandfunk @DLF (Informationen am Morgen + Kontrovers). @infoammorgen Hier completely fast privat.</t>
  </si>
  <si>
    <t>#Entérate #VW dará 5mil dólares por afectado de #dieselgate en EU; en México sin acuerdo https://t.co/inGR5cAZoG https://t.co/wgIr71UInJ</t>
  </si>
  <si>
    <t>Annabel Oelmann</t>
  </si>
  <si>
    <t>Bremen</t>
  </si>
  <si>
    <t>Hier twittert der Vorstand der Verbraucherzentrale Bremen @vzhb zu den Themen #Verbraucherpolitik #Immobilienfinanzierung #Geldanlage</t>
  </si>
  <si>
    <t>#Dieselgate - #VW verbucht größten Verlust, Boni liegen aber nur auf Eis: https://t.co/fumSgEW2aL https://t.co/ZxskXgK4rT</t>
  </si>
  <si>
    <t>RT @DLFNachrichten: #Dieselgate - #VW verbucht größten Verlust, Boni liegen aber nur auf Eis: https://t.co/fumSgEW2aL https://t.co/ZxskXgK…</t>
  </si>
  <si>
    <t>Der Federkiel</t>
  </si>
  <si>
    <t>Islam-Kritischer Schreiberling mit Hang zur Ironie und Satire ...</t>
  </si>
  <si>
    <t>#WRC #RallyArgentina #VW #Latvala Ралли Аргентины, СУ4: Латвала перехватывает лидерство https://t.co/7QVWIAqZ3w https://t.co/zwi6z4TVyc</t>
  </si>
  <si>
    <t>Awesome upholstery</t>
  </si>
  <si>
    <t>Another #T2 #Campervan booking confirmed to finish another busy week.. First up, tired headlining ✔ We💙VDub #vw https://t.co/rU64K0DKKH</t>
  </si>
  <si>
    <t>St.Ives, Cambs, PE27 3LY.</t>
  </si>
  <si>
    <t>Custom reupholstery to all Commercial and Automotive projects ☆ Awesome Fabrics ☆ Member of The Guild of Master Craftsmen ☆ As seen on TV ☆</t>
  </si>
  <si>
    <t>Volkswagen Posts Deep Loss After Taking $18.28 Billion Hit on Emissions Scandal https://t.co/kFIKXRI725 #VW #AutoNews</t>
  </si>
  <si>
    <t>Most significant loss in company historical past for VW https://t.co/pdbOClwCfv #VW #AutoNews</t>
  </si>
  <si>
    <t>VW posts 2015 operating loss on 16.2 billion euro Dieselgate charge https://t.co/mQSWxvJi8Q #VW #AutoNews</t>
  </si>
  <si>
    <t>Van bonuswaarde die #VW-top inlevert worden aandelen gekocht. Als die over 3 jaar 25% meer waard zijn, krijgen ze dat alsnog uitbetaald #...</t>
  </si>
  <si>
    <t>pueblaempresarial</t>
  </si>
  <si>
    <t>#VW ya hizo acuerdo con #EU pero en #México nada por el momento. #Puebla #Negocios https://t.co/edxQDIkCgD</t>
  </si>
  <si>
    <t>#VW-Presseraum leert sich fast so schnell wie Arena des #VfL bei Spielende ;-) Bis bald in #Wolfsburg. #Handelsblatt https://t.co/VNwfk5QXX2</t>
  </si>
  <si>
    <t>Marco Antonio Cerdio</t>
  </si>
  <si>
    <t>RT @angulosiete: #Entérate #VW dará 5mil dólares por afectado de #dieselgate en EU; en México sin acuerdo https://t.co/inGR5cAZoG https://t…</t>
  </si>
  <si>
    <t>Al mar.</t>
  </si>
  <si>
    <t>Mr_SC</t>
  </si>
  <si>
    <t>Volkswagen will offer "substantial compensation" and car buy-back deals in the US https://t.co/rsyTUhZXnU #bbcNews #vw #vwScandal #usStory</t>
  </si>
  <si>
    <t>Swansea, UK</t>
  </si>
  <si>
    <t>JavaScript developer with the love for coding. Basketball player and referee</t>
  </si>
  <si>
    <t>Als Folge des Abgasskandals: #VW vermeldet Milliardenverlust https://t.co/iL5kWMAAL7 #Dieselgate https://t.co/oPEs6Awxwo</t>
  </si>
  <si>
    <t>Die #VW Vorstände verzichten auf gar nix. Sie stellen 30% in Aktien zurück. Bei günstiger Kursentwicklung ab jetzt fahren sie sogar besser.</t>
  </si>
  <si>
    <t>Gti on Margate Harbour. 📷: #NickSimmo https://t.co/BjrIyiJ49m #OhSoRetro #ThanetClassics #mk1golf #vwgolf #vw #vo… https://t.co/7k3BRDppSf</t>
  </si>
  <si>
    <t>eBay: VW T5 Transporter Camper van 1.9 TDI 156… https://t.co/DXjyNfhQ39 #vwcamper #vwbus #vw https://t.co/ZEadscsjBy https://t.co/LXkgVkd258</t>
  </si>
  <si>
    <t>PEDRO M. MORENO</t>
  </si>
  <si>
    <t>EXCELENTE REVISIÓN Y TRATO #perevere100 #molinsderei #rioimport #vw #vwgolf #revision #dasauto… https://t.co/rMfxke2oiZ</t>
  </si>
  <si>
    <t>Molins de Rei - Barcelona</t>
  </si>
  <si>
    <t>...prefiero caer mal por sinceridad, que bien por hipocresía...yo tengo claro quien y cuanto me quieren...jejejejeje. POKA YOKE FOREVER</t>
  </si>
  <si>
    <t>@DFLNachrichten Super Bild! #VW https://t.co/81n5gUpPjd</t>
  </si>
  <si>
    <t>Erfahrung Depression</t>
  </si>
  <si>
    <t>Wie ich gehört habe verlieren viele VW Mitarbeiter ihren #Job. #Boni v. #VW #Vorstand werden nur um 30 Prozent gekürzt. F. welche Leistung?</t>
  </si>
  <si>
    <t>Ich bin 37, männlich und ich will mit dieser Seite auf Depressionen und Onlinesucht aufmerksam machen und über diese Krankheiten aufklären.</t>
  </si>
  <si>
    <t>Helder Pacheco</t>
  </si>
  <si>
    <t>Love my Leafs and Jays. I am just trying to figure life out. And whatever it is don't take it too seriously.</t>
  </si>
  <si>
    <t>Marek Miller ⭐️</t>
  </si>
  <si>
    <t>16 mld euro - tyle jak do tej pory kosztowała #Volkswagen.a afera spalinowa // Emission cheating costs #VW $18 B https://t.co/LHZNZCfmv3</t>
  </si>
  <si>
    <t>Łódź, PL</t>
  </si>
  <si>
    <t>Media geek | Journo | Consultant | Editor-in-chief | Book lover| Jazz &amp; hip-hop enthusiast | Marathoner | Beach soccer, skateboarding &amp; snowboarding junkie</t>
  </si>
  <si>
    <t>Uli König</t>
  </si>
  <si>
    <t>#VW kürzt Manager Boni um 30%. VW hat schlechtestes Ergebnis der Firmengeschichte. Was muss den passieren damit es keine Boni gibt?</t>
  </si>
  <si>
    <t>#Pirat, #Informatiker, #Abgeordneter und #PGF in #SH, #Petitionen, #Hochschule, #Datenschutz, #IT, #Legastheniker Impressum: https://t.co/rCcihEuAjC</t>
  </si>
  <si>
    <t>RT @pueempresarial: #VW ya hizo acuerdo con #EU pero en #México nada por el momento. #Puebla #Negocios https://t.co/edxQDIkCgD</t>
  </si>
  <si>
    <t>RT @Lebeaucarnews: #VW says special charge from emissions scandal cost the company $16.2 Billion dollars in 2015</t>
  </si>
  <si>
    <t>♿ Arnd J. Kästner ♿</t>
  </si>
  <si>
    <t>#VW sollte den Vorstandsmitgliedern sämtliche Boni streichen! https://t.co/WZHaqnVsLF</t>
  </si>
  <si>
    <t>Cologne, NRW, Germany, Europe</t>
  </si>
  <si>
    <t>*5.7.1961/†……20.. ♿: Solidarische Hete, Antifaschist, Pirat seit 15.4.2012 (inaktiv) ♿:Sushi, Murphy's Red, Met, Nachtgeschrei, Saltatio Mortis, Singvøgel,…</t>
  </si>
  <si>
    <t>Nieuwvliet</t>
  </si>
  <si>
    <t>#VW more than doubles emissions costs to €16.2bn - BBC News https://t.co/fi76SfNex4</t>
  </si>
  <si>
    <t>Int. Economie/Politiek/Trends/EU/(Zeeuws-)Vlaanderen/Belgie/Mondiaal/Literature/Digi-society/Global</t>
  </si>
  <si>
    <t>eBay: Volkswagen Beetle 2.0 2001 Cheap p/x to… https://t.co/gGlC4uFFPo #vwbeetle #vwbug #vw https://t.co/xvfL74PTgl https://t.co/tSj5gj178S</t>
  </si>
  <si>
    <t>Fett - fetter - #VW-#Manager! #Volkswagen #Dieselgate #Boni #Betrug https://t.co/u5jkQEnpdH</t>
  </si>
  <si>
    <t>azar brannan</t>
  </si>
  <si>
    <t>RT @carcomplaints: VW offers to buy back diesels. I guess they're going "green" after all. https://t.co/oLONWb47Zf #vw https://t.co/n7a9d2h…</t>
  </si>
  <si>
    <t>Victim of 2004 ES 330 Lexus sudden unintended acceleration.</t>
  </si>
  <si>
    <t>Problemwolf</t>
  </si>
  <si>
    <t>@NDRreporter Hoffentlich kauft auch keiner mehr einen #VW.. Da sind geldgeile und dreiste Betrüger am Werk! #Dieselgate</t>
  </si>
  <si>
    <t>West Germany</t>
  </si>
  <si>
    <t>Vagabond with a camera..</t>
  </si>
  <si>
    <t>johanne</t>
  </si>
  <si>
    <t>RT @Deprifrei: Wie ich gehört habe verlieren viele VW Mitarbeiter ihren #Job. #Boni v. #VW #Vorstand werden nur um 30 Prozent gekürzt. F. w…</t>
  </si>
  <si>
    <t>Bunt ist meine Lieblingsfarbe -waltergropius-</t>
  </si>
  <si>
    <t>O the irony of this being announced on #EarthDay... #VW https://t.co/C2ZX0THy69</t>
  </si>
  <si>
    <t>DucatiSalesGuy</t>
  </si>
  <si>
    <t>How is it that most most reliable vehicle in my life is a 7 YEAR OLD DUCATI WITH 60000KM!?!? My #VW #golf has another engine light #German</t>
  </si>
  <si>
    <t>DeMotores</t>
  </si>
  <si>
    <t>#LoMejorQueMePaso #VW #Golf VI #Volkswagen https://t.co/ZTcESivOxB</t>
  </si>
  <si>
    <t>La cuenta oficial de http://t.co/RjPVfhjWFM</t>
  </si>
  <si>
    <t>Stefan Jöns</t>
  </si>
  <si>
    <t>RT @u98: #VW kürzt Manager Boni um 30%. VW hat schlechtestes Ergebnis der Firmengeschichte. Was muss den passieren damit es keine Boni gibt?</t>
  </si>
  <si>
    <t>Kronshagen/Schleswig-Holstein</t>
  </si>
  <si>
    <t>Baujahr 1972 ,verhaltensorigineller Mensch, politisch interessiert, mehr Teilhabe für Menschen mit Behinderungen</t>
  </si>
  <si>
    <t>TdT l'Informació MdR</t>
  </si>
  <si>
    <t>RT @PEREVERE: EXCELENTE REVISIÓN Y TRATO #perevere100 #molinsderei #rioimport #vw #vwgolf #revision #dasauto… https://t.co/rMfxke2oiZ</t>
  </si>
  <si>
    <t>Molins de Rei</t>
  </si>
  <si>
    <t>http://t.co/U5dCTpuuTV Magatzine d'Informació, Oci i Tendencies de #Molinsderei.</t>
  </si>
  <si>
    <t>eBay: 2015 VOLKSWAGEN CAMPER TRANSPORTER 2.0… https://t.co/wYsmCSP5qQ #vwcamper #vwbus #vw https://t.co/ZEadscsjBy https://t.co/emDv2kv8uG</t>
  </si>
  <si>
    <t>Und die deutschen #VW-#Kunden werden sicherlich so #dämlich sein, und auch weiterhin #Volkswagen kaufen! #dieselgate https://t.co/Zb7FnqVC3r</t>
  </si>
  <si>
    <t>@dokape</t>
  </si>
  <si>
    <t>735km mit 32 Litern entspricht 4,34 Litern. Mit Klima, Licht und Radio. Werksangabe liegt bei 4,2 Litern. #Dieselgate #VW #Skoda</t>
  </si>
  <si>
    <t>Middle in Europe</t>
  </si>
  <si>
    <t>20 000+ handwritten tweets. Any commercial use of my tweets is prohibited #LSR</t>
  </si>
  <si>
    <t>GFI Working Group</t>
  </si>
  <si>
    <t>India</t>
  </si>
  <si>
    <t>Group of national &amp; global thinkers on Green Freight Initiatives in India</t>
  </si>
  <si>
    <t>Markus Hesselmann</t>
  </si>
  <si>
    <t>Chefredakteur Online @tagesspiegel, Kiezblogger @BayViertel, vorher u.a. Ressortleiter #Berlin, #London-Korrespondent. Es gilt das geschriebene Wort.</t>
  </si>
  <si>
    <t>traumspruch</t>
  </si>
  <si>
    <t>BewusstseinsBeratung MKK</t>
  </si>
  <si>
    <t>Psych.Beraterin: ich verhelfe zu Einsichten,fördere Sichtweisen.Ich schaue genau hin,denn dazu habe ich eine besondere Begabung–ich bin blind.</t>
  </si>
  <si>
    <t>Patrick Nordhoff</t>
  </si>
  <si>
    <t>Das verstehe ich einfach nicht. Wie kann man nur so abgehoben sein und immer noch Boni verlangen? https://t.co/dbAZwNvYyj #Boni #VW</t>
  </si>
  <si>
    <t>Heidelberg, BaWü, GER</t>
  </si>
  <si>
    <t>Rechtsreferendar, Social Democrat, Friese | Europe, Democracy, Finance, Economy, Youth, Education, Philosophy | Kreisvorstand SPD Heidelberg | BVB</t>
  </si>
  <si>
    <t>swaroop</t>
  </si>
  <si>
    <t>#Pala. #Cochin. #Kerala.</t>
  </si>
  <si>
    <t>Salesman in casuals. Automobile enthusiast. Writes about cars, travel and leisure sports. Slightly chauvinistic, that's it.</t>
  </si>
  <si>
    <t>RT @Theothebald: #VW says boardroom bonuses will fall by 39%. Chairman will waive 2015 bonus</t>
  </si>
  <si>
    <t>WSJ Risk&amp;Compliance</t>
  </si>
  <si>
    <t>News &amp; Commentary on the risks faced by companies. Posts by @NickElliottDJ, @srubenfeld, @BenDiPietro1 and @s_dockery.</t>
  </si>
  <si>
    <t>David Koppana</t>
  </si>
  <si>
    <t>#VW scandal settlement: Owners can choose a fix or a buyback April 21 https://t.co/8IpWm90qNx</t>
  </si>
  <si>
    <t>Notre Dame,Indiana</t>
  </si>
  <si>
    <t>David says: Never say never; cause you never know. i sing, read and dance. i am sixty-three years old.</t>
  </si>
  <si>
    <t>Upholstery Courses</t>
  </si>
  <si>
    <t>RT @VWCamperSales: eBay: 2015 VOLKSWAGEN CAMPER TRANSPORTER 2.0… https://t.co/wYsmCSP5qQ #vwcamper #vwbus #vw https://t.co/ZEadscsjBy https…</t>
  </si>
  <si>
    <t>We now do Mobile courses too..</t>
  </si>
  <si>
    <t>Car, Campervan, Boat, Upcycling and anything else that can be upholstered. Mobile, In-House or Online Courses.</t>
  </si>
  <si>
    <t>@DLFNachrichten-Headline hat kurze Beine: #VW-Mißmanager kassieren 70% #Boni #Erfolgsprämien https://t.co/ZPsdnNHENb #Autolobby #dieselgate</t>
  </si>
  <si>
    <t>Eliza Newlin Carney</t>
  </si>
  <si>
    <t>Volkswagen has settled, but must still answer for its legacy of deceit, writes Chris Iovenko: https://t.co/UzNKfTQgrh @theprospect #VW</t>
  </si>
  <si>
    <t>Senior editor at The American prospect</t>
  </si>
  <si>
    <t>Maximilian Wussler</t>
  </si>
  <si>
    <t>Loughborough, England</t>
  </si>
  <si>
    <t>International Business @lborouniversity Deutschland, FC Bayern München. Marketing &amp; Communications at https://t.co/z3cX7eDvxC. Great event, go check it out.</t>
  </si>
  <si>
    <t>Tania Damián</t>
  </si>
  <si>
    <t>Los pequeños detalles de la vida. Contar historias y disfrutar de la vida...</t>
  </si>
  <si>
    <t>#Dieselgate #VW im #Brennpunkt: Massenrückruf im Abgasskandal u.a. mit Verbraucherschützer @Klaus_Mueller und BM @AlexDobrindt um 20.15 Uhr</t>
  </si>
  <si>
    <t>Maria Soledad H.-</t>
  </si>
  <si>
    <t>#Theranos &amp; #VW &gt; "When something is too good to be true"... Great piece by @brookeamasters via @FinancialTimes https://t.co/mob3GEss5q</t>
  </si>
  <si>
    <t xml:space="preserve">Bs. As. &amp; NYC </t>
  </si>
  <si>
    <t>PR, Marketing, Communications. BA Sociology, PG Int'l Relations. Born in ARG. Raised in NYC. Studied in EU. Happily Multicultural! IG: ms.lelle_bany</t>
  </si>
  <si>
    <t>BonBruteTruand</t>
  </si>
  <si>
    <t>@Q_Blanc @Le_Figaro tous les constructeurs sont en faute... Alors on s'en fiche que ce soit #vw qui accuse #renault</t>
  </si>
  <si>
    <t>SNCF RESEAU Progressiste,franc,roublard,râleur,laïque,ouvert,avec convictions. Passionné de voitures,photo,design,météo,sport,et une pointe de ferroviaire...</t>
  </si>
  <si>
    <t>eBay: VW BEETLE 1.6 LUNA 1.6 £34 WEEK 1 OWNER… https://t.co/20CVB5pPKt #vwbeetle #vwbug #vw https://t.co/xvfL74PTgl https://t.co/hTnwuUNGAV</t>
  </si>
  <si>
    <t>Friday! Nomad Hotel</t>
  </si>
  <si>
    <t>#fridaynomadhotel #itsfriday #porfinesfriday #glamping #fridayhotel #t2 #vwt2 #camperlife #vw https://t.co/X73dRSBv6o</t>
  </si>
  <si>
    <t>Barcelona, España</t>
  </si>
  <si>
    <t>The Nomad Hotel : Glamping + Vintage Caravan + Nomad + Home + Love + Surf</t>
  </si>
  <si>
    <t>Wilfried Eckl-Dorna</t>
  </si>
  <si>
    <t>16,2 Mrd Euro Rückstellungen! Doch #Dieselgate ist nicht vorüber. An diesen 7 Baustellen muss #VW noch schaufeln https://t.co/hbLa2lEaoJ</t>
  </si>
  <si>
    <t>Online-Redakteur @manager_magazin, Fokus: Autobranche | online editor @manager_magazin, Germany's biz monthly, focus: automotive, privat: http://t.co/MNA054Vkfg</t>
  </si>
  <si>
    <t>#Abgasaffäre längst nicht ausgestanden: #Bosch hat nicht nur #VW mit verbotenen Abschaltvorrichtungen versorgt https://t.co/pziqDL1p8F</t>
  </si>
  <si>
    <t>#VW Will Buy Back Your Cheating, Polluting Diesel | WIRED https://t.co/iEtHxWWFp9</t>
  </si>
  <si>
    <t>generatoren</t>
  </si>
  <si>
    <t>Bunterepublik Deutschland</t>
  </si>
  <si>
    <t>Der Stream zum Blog. Für mehr Zivilisationsrauschen!</t>
  </si>
  <si>
    <t>RT @ReadingVW: No matter how you ride, our #Volkswagen Parts Department can find the perfect accessories to complement your #VW: https://t.…</t>
  </si>
  <si>
    <t>Did I mention I hate grease?? #messy #axlereboot #VW #bus #partswasher @ Wilson Man Cave https://t.co/Tiuzqx0NGX</t>
  </si>
  <si>
    <t>#techhippie Sommerschuhe und frisch geputzt #vw #volkswagen #golf #golfvi #gtd #gewinnertankendiesel #schwarz #grün… https://t.co/bfiqIop6sJ</t>
  </si>
  <si>
    <t>#techhippie Left: GTI Right: GTD #gti #gtd #golf #golf2 #mk #mk2 #connor #golfgöre #vw #volkswagen by connormk2 https://t.co/ywcf8w1q77</t>
  </si>
  <si>
    <t>#techhippie #vw #volkswagen #Bolf #volkswagenlovers #vdub #r32 #jubi #golf4jubi #Bora #golf4 #golfmk4 #vwgolf4 #vwg… https://t.co/JsRly7Lltv</t>
  </si>
  <si>
    <t>Explore #VW Social Media @SocialNewsCorp via #Twitter Facebook and Google! https://t.co/FEFAqdhK21</t>
  </si>
  <si>
    <t>Davide Ghilotti</t>
  </si>
  <si>
    <t>Probes, investigations, recalls, bogus emission tests - it's a hard time for the global #car industry #VW #Daimler #Mitsubishi #Peugeot</t>
  </si>
  <si>
    <t>London-based journalist | stringer | clumsy photographer | Politics, international issues, trade, environment, rock 'n' roll</t>
  </si>
  <si>
    <t>American Prospect</t>
  </si>
  <si>
    <t>RT @ElizaRules: Volkswagen has settled, but must still answer for its legacy of deceit, writes Chris Iovenko: https://t.co/UzNKfTQgrh @thep…</t>
  </si>
  <si>
    <t>The American Prospect is an independent political magazine that aims to advance liberal and progressive goals through reporting, analysis, and debate.</t>
  </si>
  <si>
    <t>Lorenzo Mainardi</t>
  </si>
  <si>
    <t>#Carmignano #vw #beetle #oldcar #maggiolone @ Carmignano, Toscana, Italy https://t.co/Fok5p4B9B9</t>
  </si>
  <si>
    <t>ÜT: 43.801678,11.011084</t>
  </si>
  <si>
    <t>Network and System Engineer, geek and technology addicted. Sometimes cycling</t>
  </si>
  <si>
    <t>Stell Dir vor DU fährst Deine Firma absichtlich gegen die Wand +zahlst Dir dafür auch noch #Gehalt +#Boni aus #VW #dieselgate #Manager #fail</t>
  </si>
  <si>
    <t>eBay: Volkswagen Beetle 1.6 // Convertible //… https://t.co/W0yzkkJPMs #vwbeetle #vwbug #vw https://t.co/xvfL74PTgl https://t.co/G8sO0e7XgY</t>
  </si>
  <si>
    <t>B r i c e .</t>
  </si>
  <si>
    <t>RT @Frontal21: Die @Stadt_Wolfsburg bekommt die #VW-Krise nach #Dieselgate hautnah zu spüren #Frontal21, Dienstag um 21 Uhr im @ZDF https:/…</t>
  </si>
  <si>
    <t>CyMoon</t>
  </si>
  <si>
    <t>The cost of #VW's #emissions #scandal hits $18.2 billion https://t.co/YvBVzG8YNc #cars #culture #diesel #earnings</t>
  </si>
  <si>
    <t>Richard Read</t>
  </si>
  <si>
    <t>It's not just #VW: Every #diesel road-tested in the U.K. fails emissions tests https://t.co/x8ROGruBtA</t>
  </si>
  <si>
    <t>New Orleans, Louisiana</t>
  </si>
  <si>
    <t>Fundraiser by day, writer by night. Turn-ons: the Gays, Dr. Who, casual vegans. Turn-offs: fax machines, naps, the word 'couch'.</t>
  </si>
  <si>
    <t>Matthias Petrat</t>
  </si>
  <si>
    <t>Wenn #BWM und #Daimler nicht wollen, dann soll #Apple doch #VW aufkaufen - anders ist deren #Image sowieso nicht reparierbar.</t>
  </si>
  <si>
    <t>studierter Redakteur/Journalist bei @apfelpage_de</t>
  </si>
  <si>
    <t>Daniel M. Schwartz</t>
  </si>
  <si>
    <t>#cleandiesel VWs emit NO2 @ levels up 2 40x the #EPA compliance level during normal driving https://t.co/FD1n3DGfrR #VW #buyback #law #fraud</t>
  </si>
  <si>
    <t>Concord, NH</t>
  </si>
  <si>
    <t>PR guy gone ski bum and now in law school</t>
  </si>
  <si>
    <t>Gordon Pye</t>
  </si>
  <si>
    <t>@DataJunctions @RosaTrunk #LinkedIn https://t.co/XCb8KTkrLe #ClimateChange #Solar #cycling See #NOX truth on #DieselCars #VW @montie #Colne</t>
  </si>
  <si>
    <t>Ribble Valley</t>
  </si>
  <si>
    <t>#CravenTaliban but my keyboard is mightier than any AK47 ! Political Prisoner of the EU #CorporateNazi IV Reich ! https://t.co/d6IcZxwWyv</t>
  </si>
  <si>
    <t>Andrej Novak</t>
  </si>
  <si>
    <t>Unehrlichkeit funktioniert wenn,dann nur kurzfristig.Ehrlich währt am längsten.Leider nicht Teil d. BWL-Studiums #VW https://t.co/Gt6Em3EHcv</t>
  </si>
  <si>
    <t>Nuremberg</t>
  </si>
  <si>
    <t>Activist for a truly united and peaceful Europe /Expert on Eastern Europe / European Cosmopolitan Consulting</t>
  </si>
  <si>
    <t>Spalt_schaltet_den_G</t>
  </si>
  <si>
    <t xml:space="preserve">ferne Zukunft </t>
  </si>
  <si>
    <t>. Verkuppelt möchte ich auch nicht werden.seht doch zu ihr einarmige . Menschen</t>
  </si>
  <si>
    <t>Koepke</t>
  </si>
  <si>
    <t>Die Aasgeier v VW #VW-Aufsichtsratschef: Pötsch ließ sich 20 Mio Euro garantieren -durch einen Trick https://t.co/vVl5Qfdk3e @SPIEGELONLINE</t>
  </si>
  <si>
    <t>Michael Munsey</t>
  </si>
  <si>
    <t>Check out my book An Average Joe's Pursuit For Financial Freedom. Note: RTs ≠ endorsements</t>
  </si>
  <si>
    <t>Dario Rickensdorf</t>
  </si>
  <si>
    <t>RT @desfilando_bajo: Hermosoo el borita con las audis 😍😍 #vw #bora #maquina 🚗💨 https://t.co/GM8ytzawQi</t>
  </si>
  <si>
    <t>zupa live jobs</t>
  </si>
  <si>
    <t>#jobs #jobsearch # #VW sets fresh record with historic car buy back: #Volkswagen ran an ad for th... https://t.co/uOlcza18y5</t>
  </si>
  <si>
    <t>planjane, prizren</t>
  </si>
  <si>
    <t>https://t.co/GrPeYswXmN | #Jobs #search #jobsearch #arbeit #posao #trazi #job #career</t>
  </si>
  <si>
    <t>mary vahey</t>
  </si>
  <si>
    <t>___ Hans-Peter ___</t>
  </si>
  <si>
    <t>RT @ozaed: #VW-Vorstände bekommen trotz größtem Verlust der Firmengeschichte noch 70% Boni zusätzlich. https://t.co/7fPitqkhgp #korrigierte…</t>
  </si>
  <si>
    <t>:: Pirat (KV Vors. Mühldorf),  Addicted, MacUser, Photography, Audio, Geocaching, The Rolling Stones :: Auch bei ADN ::</t>
  </si>
  <si>
    <t>Air-gun Pneumatic Brake Caliper Piston Compressor Tool #ST https://t.co/mC2fixN5Oa via @eBay #vw #audi #bmw #porsche #volvo #tools</t>
  </si>
  <si>
    <t>Größter Verlust der Konzerngeschichte für #VW. Die Steuereinnahmen werden für Niedersachsen in den nächsten Jahren bescheidener ausfallen.</t>
  </si>
  <si>
    <t>Mit den Deutschen kann man es ja auch machen.Die #Politik steckt bei #VW bis zum Anschlag drin. #Dieselgate https://t.co/x9dXxPCZwK</t>
  </si>
  <si>
    <t>#VW Diesel Scandal Cost Rises To £12.7bn https://t.co/roGoaewApl via</t>
  </si>
  <si>
    <t>Brake Caliper Piston Compressor Tool Ford GM Chevy etc #ST https://t.co/mC2fixN5Oa via @eBay #auto #car #vw #tools #gm #chevy #ford #truck</t>
  </si>
  <si>
    <t>#AbgasSkandal:-Headlines @DLFNachrichten habn weiter kurze Beine: #VW-Manager kassiern 70% #Boni #Prämien https://t.co/O0vTLC2HA7 #Feinstaub</t>
  </si>
  <si>
    <t>Ulrike von der Lühe</t>
  </si>
  <si>
    <t>Vorstand der Verbraucherzentrale Rheinland-Pfalz</t>
  </si>
  <si>
    <t>Lukas Bouwman</t>
  </si>
  <si>
    <t>#Duitsland #VW Volkswagen: voorziening #dieselgate 16,2 miljard euro https://t.co/v0VMLpjHl9</t>
  </si>
  <si>
    <t>Haren, Groningen</t>
  </si>
  <si>
    <t>Police Officer CID (retired) Regionale Criminele Inlichtingendienst, Divisie Zware en Georganiseerde Criminaliteit Regiopolitie Groningen.</t>
  </si>
  <si>
    <t>Fabry</t>
  </si>
  <si>
    <t xml:space="preserve">Senillosa, Neuquen, Argentina </t>
  </si>
  <si>
    <t>Bombero Voluntario.</t>
  </si>
  <si>
    <t>Tommy Montoya</t>
  </si>
  <si>
    <t>#vw #1952 #moisture https://t.co/35GhGWUMWr</t>
  </si>
  <si>
    <t xml:space="preserve">   @Klockwork_tattoo_club</t>
  </si>
  <si>
    <t>NY Ink Tattoo Artist. KlockWork Klothing, Fusion ink, Klockwork Tattoo Club 333 e San Bernardino road Covina California 1-626-858-4900</t>
  </si>
  <si>
    <t>Volkswagen Waterloo</t>
  </si>
  <si>
    <t>Does anybody have one of these hidden away? If you do share some pictures! #VWwloo #ClassicVW #VW #FlashbackFriday https://t.co/RUZlBnY3AD</t>
  </si>
  <si>
    <t>Waterloo, ON, Canada</t>
  </si>
  <si>
    <t>We promise to deliver quality products and build strong relationships with our clients based on respect, honesty and enthusiasm.</t>
  </si>
  <si>
    <t>Kevin King</t>
  </si>
  <si>
    <t>Today is earth day?! #TDILife #VW #DirtyDiesel</t>
  </si>
  <si>
    <t>#UNC #TeamVW #Titans #teamfollowback just living life to the fullest all day every day.</t>
  </si>
  <si>
    <t>RC❗</t>
  </si>
  <si>
    <t>La Plata</t>
  </si>
  <si>
    <t>Wsp : 2215019119</t>
  </si>
  <si>
    <t>Azul como el cielo! #hazz #vw #volkswagen #mate #kingeuro https://t.co/ga8jVfUacX</t>
  </si>
  <si>
    <t>•adutole¶</t>
  </si>
  <si>
    <t>Ituzaingó Centro, Argentina</t>
  </si>
  <si>
    <t>• 17 | 27-07-98 | Leonina | CABJ • INSTAGRAM: CECIDIBERNARDO</t>
  </si>
  <si>
    <t>RT @DirkOHeckmann: Autsch. via @MKreutzfeldt https://t.co/gDqtv39BYI #Abgas #dieselgate #VW</t>
  </si>
  <si>
    <t>Da haben sie sich die Millionen-Boni doch verdient - #VW verbucht Rekordverlust https://t.co/iYG3UvZhHo</t>
  </si>
  <si>
    <t>#Dax: #BMW im Rückwärtsgang ++ #Daimler Schlußlicht ++ #VW knickt ein ++ #Merck springt an ++ Dax schrumpft https://t.co/ePNwH5Ca6z</t>
  </si>
  <si>
    <t>Bericht der Untersuchungskommission "Volkswagen" https://t.co/csoCNbNNEB #abgasbericht #vw</t>
  </si>
  <si>
    <t>If you take safety as seriously as we do &amp; want a great deal, stop in for our #VW #SafetyinNumbers event offers! https://t.co/BEV0ERD1Qb</t>
  </si>
  <si>
    <t>oscar landero</t>
  </si>
  <si>
    <t>Cleaning!!!!!!!!!! #euroland #oem #vento #vw #clean #borbet… https://t.co/FxoQy0Wbae</t>
  </si>
  <si>
    <t>RT @dermaschinist: Da haben sie sich die Millionen-Boni doch verdient - #VW verbucht Rekordverlust https://t.co/iYG3UvZhHo</t>
  </si>
  <si>
    <t>Zervas &amp; Pepper</t>
  </si>
  <si>
    <t>Spotted this #rollingstones #vw on route to #hannover #tourbus #vwbus #toottoot https://t.co/aAlzEXEbDa</t>
  </si>
  <si>
    <t>Cardiff, UK</t>
  </si>
  <si>
    <t>LIVE DATES: https://t.co/Jwz9VNrQBx 'Abstract Heart' Available Now: https://t.co/yIQaxsoOsF https://t.co/oO1Wnpskkt</t>
  </si>
  <si>
    <t>Happy Earth Day everyone. Plant a Tree🌲 Remember to #spreadthevag #vwbeetle #earthday #plantatree #volkswagen #vw… https://t.co/pXTyDc6tD7</t>
  </si>
  <si>
    <t>Follow us for some of throat eat photos from #worthersee #mk5 #vw #worthersee2016 #worthersee #wortherseetour... https://t.co/u3BwQaOPAr</t>
  </si>
  <si>
    <t>Giving the starter motor a good old bang....turns out it was the fuse 😝 #vw #vwbeetle #vwlife #vwlove #mojo by mais… https://t.co/9Iinto8DQZ</t>
  </si>
  <si>
    <t>#lol #vw #vwbeetle by ethan_weider https://t.co/NNkOQ6fMR4</t>
  </si>
  <si>
    <t>STANDARD // AUTO #vw #autostick #vwbeetle by ryankschulz https://t.co/ihMPEEZgHg</t>
  </si>
  <si>
    <t>I Love my car !#vw #vwkäfer #light #peace #käfer .... I Love Bernd#beetle#vwbeetle#volkswagen# by mindandsoulart https://t.co/jKSj41VwDp</t>
  </si>
  <si>
    <t>I think I might have found our coffee blend... #vw #camper #coffee #soya #smoothie https://t.co/WEmEdjQPlB</t>
  </si>
  <si>
    <t>gil_sanchezm</t>
  </si>
  <si>
    <t>#soyoffroad #codeoffroad #nightrace #lagunasalada #mexicali #class11 #bochos #vw #rivasracing #bajabug https://t.co/dYIPNrTERT</t>
  </si>
  <si>
    <t>This is all about offroad racing, sharing and posting pictures,videos and news from all offroad racing asociation.</t>
  </si>
  <si>
    <t>I think I might have found our coffee blend... #vw #camper #coffee #soya #smoothie https://t.co/pxtdJEVv0R https://t.co/Fqp4ryovXv</t>
  </si>
  <si>
    <t>Stefan Schwark</t>
  </si>
  <si>
    <t>Den Karren moralisch und betriebswirtschaftlich in den Sand setzen und Boni kassieren. - Das gibt's (nicht) nur bei #Volkswagen. #VW #Ethik</t>
  </si>
  <si>
    <t>Bayreuth - Berlin - Hannover</t>
  </si>
  <si>
    <t>Potpourri mit Note Zukunftsmusik: Ein Gesundheits- und Krankenpfleger, eine Portion Zahlenkenntnis, zwei Prisen Politik. Benenner des Hashtags #pflexit.</t>
  </si>
  <si>
    <t>Goodbye #VW Stock, #dieselgate Cost Hits $18.2 Billion https://t.co/g6Z2VkkGHd</t>
  </si>
  <si>
    <t>Automotora</t>
  </si>
  <si>
    <t>Solo en Automotora si traes tu #VW usado te llevas un POLO. ¡Qué esperas! Una promoción del 21 al 24 de Abril. https://t.co/lWi3m7DPmT</t>
  </si>
  <si>
    <t>Medellín</t>
  </si>
  <si>
    <t>es Volkswagen</t>
  </si>
  <si>
    <t>Heli Uolamo</t>
  </si>
  <si>
    <t>@JenniPii Oot sie rohkea nainen - hulluus on kivaa. Muilla on tylsää &lt;3 #HuonotKelit #JenniJaKamera #KaukanaKotoa #VW #Lappi #WTTrio ;)</t>
  </si>
  <si>
    <t xml:space="preserve">Pori, Suomi  Finland </t>
  </si>
  <si>
    <t>osastonsihteeri; Satakunnan sairaanhoitopiiri, Finland. Loves theatre, concerts, movies, all music, food, nature, photography, swimming, London...</t>
  </si>
  <si>
    <t>❤Dooin❤</t>
  </si>
  <si>
    <t>Río Negro, Argentina</t>
  </si>
  <si>
    <t>❤Bostero Y Tangaroa Hasta La Muerte❤ Wpp: 2984337060 // Fb: Dooinn Espinoza</t>
  </si>
  <si>
    <t>Marcel 'Mike'</t>
  </si>
  <si>
    <t>Heimfahrt aus Köln #vw #gti #köln #business #drive https://t.co/lwbHMo1TWM</t>
  </si>
  <si>
    <t>Wer aufhört, besser zu werden, hat aufgehört, gut zu sein. (Philip Rosenthal) #sport #technology #cosplay #anime #dc #marvel #trends #bike #mtb #mountainbike</t>
  </si>
  <si>
    <t>#VW buying back 500,000 diesels in the U.S.?? Better get me an upgrade!</t>
  </si>
  <si>
    <t>Oscar Guerrero™</t>
  </si>
  <si>
    <t>#AskJML #VW https://t.co/71vsmxGQnW @vwrallytheworld @frank_wrc @illycaro #WRCenEspanol @JariMattiWRC</t>
  </si>
  <si>
    <t>Aguascalientes,Mexico</t>
  </si>
  <si>
    <t>TOPICS: #WRC #NASCAR #F1 #WTCC #NACAM y a todo deporte motor ALL MOTORSPORTS FAN!</t>
  </si>
  <si>
    <t>Autoexperte @StefanBratzel: Riesen-Imageschaden für die ganze Autobranche. #Audi #Porsche #MercedesBenz #VW #Opel https://t.co/5LQky931II</t>
  </si>
  <si>
    <t>Stuart Young</t>
  </si>
  <si>
    <t>#VW wont pay compensation to UK owners if we leave the #EU Lot of people involved in #ProjectFear even more stupid enough to believe #BanVW</t>
  </si>
  <si>
    <t>Desiderata: Systems shouldn't allow themselves to be abused</t>
  </si>
  <si>
    <t>Marko Bos</t>
  </si>
  <si>
    <t>econoom, met grote belangstelling voor Nederland &amp; Europa, werkzaam bij de SER, redacteur nieuwsbrief EBN</t>
  </si>
  <si>
    <t>Tiffany Cartwright</t>
  </si>
  <si>
    <t>Can't wait for #VW to #buybackmytdi. Hoping we don't have another weeks-long repair before then. https://t.co/t32dyd3Bpx</t>
  </si>
  <si>
    <t>Learning this mama business.</t>
  </si>
  <si>
    <t>dubtoberfest</t>
  </si>
  <si>
    <t>Woohoo it's Friday the weekend starts here. Only a few months left before @dubtoberfest #FridayFeeling #FridayMotivation #dubtoberfest #vw</t>
  </si>
  <si>
    <t>Throckmorton Airfield, Worcs.</t>
  </si>
  <si>
    <t>The UK's only Bavarian themed summer VW festival</t>
  </si>
  <si>
    <t>Verinesvelo</t>
  </si>
  <si>
    <t>11yrs old, 160,000 miles but still scrubs up ok. #t5 #vw #vwbus #transporter #volkswagen https://t.co/mrDQ76thP3</t>
  </si>
  <si>
    <t>Creuse, France</t>
  </si>
  <si>
    <t>Coach (swim, bike and run), long distance triathlete and cyclist. long term renovator of French farmhouses...</t>
  </si>
  <si>
    <t>Gatocca Schö</t>
  </si>
  <si>
    <t>@welt und die Presse glaubt allen Ernstes, wir hätten an einen Einzelfall geglaubt, nein so dumm sind wir nicht #VW #abgas</t>
  </si>
  <si>
    <t>ELNORTENEGOCIOS</t>
  </si>
  <si>
    <t>El escándalo por manipulación de emisiones va a costar a #VW 18 mil 200 millones de dólares a sus cuentas del 2015 https://t.co/05Nco5JV6e</t>
  </si>
  <si>
    <t>Monterrey, Nuevo León</t>
  </si>
  <si>
    <t>Encuentra aquí la información más relevante de la economía y los negocios. Cuenta oficial.</t>
  </si>
  <si>
    <t>On the lookout for your next approved used #VW? Check out our featured Cars of the Week! https://t.co/vq97w19Ali https://t.co/6bXtTmRHpD</t>
  </si>
  <si>
    <t>On the lookout for your next approved used #VW? Check out our featured Cars of the Week! https://t.co/kVQ5r3wZZC https://t.co/ECRin4PSsa</t>
  </si>
  <si>
    <t>alex</t>
  </si>
  <si>
    <t>RT @beetlebug1938: Happy Earth Day everyone. Plant a Tree🌲 Remember to #spreadthevag #vwbeetle #earthday #plantatree #volkswagen #vw… htt…</t>
  </si>
  <si>
    <t>sussex,england</t>
  </si>
  <si>
    <t>Love sport,classic &amp; new cars F1, playing &amp; listening to music,tennis,surfing &amp; try to make a living!!!</t>
  </si>
  <si>
    <t>Jon Demers</t>
  </si>
  <si>
    <t>Taking the #boys to the #skatepark for some #funinthesun :) #bmx #bmxdad #vw #cc #volkswagen… https://t.co/nSQfJKZEPJ</t>
  </si>
  <si>
    <t>West Dudley, MA</t>
  </si>
  <si>
    <t>Performing BMX shows for Wheels Motion BMX Stunt Team</t>
  </si>
  <si>
    <t>Sebastian Schaal</t>
  </si>
  <si>
    <t>#VW hat nach #dieselgate richtungsweisende Entscheidungen getroffen. Die wichtigen Fragen bleiben aber unbeantwortet https://t.co/uUM0s75r8h</t>
  </si>
  <si>
    <t>Schreiberling bei @wiwo, alles rund um motorisierte Gefährte mit zwei und vier Rädern. Hier privat unterwegs.</t>
  </si>
  <si>
    <t>MJ</t>
  </si>
  <si>
    <t>Seoul</t>
  </si>
  <si>
    <t>크앙.</t>
  </si>
  <si>
    <t>#VW posts loss after taking $18.28 billion hit on #dieselgate https://t.co/cstekxliNf #emissions</t>
  </si>
  <si>
    <t>RT @kngeuro: Azul como el cielo! #hazz #vw #volkswagen #mate #kingeuro https://t.co/ga8jVfUacX</t>
  </si>
  <si>
    <t>eBay: 1200 VWBeetle Rat Trike https://t.co/dWAx0gagP7 #vwbeetle #vwbug #vw https://t.co/xvfL74PTgl https://t.co/gQ7gvQ1LmR</t>
  </si>
  <si>
    <t>Der #Abgasskandal stinkt zum Himmel. Wie es bis heraussieht, kommen #VW und andere Hersteller in #Deutschland mit einem blauen Auge davon.</t>
  </si>
  <si>
    <t>Super VW Fest</t>
  </si>
  <si>
    <t>Bon WE à tous! #sexyfriday #winnielourson #vw #pinup #supervw #SUPERVWFEST #supervwfestival https://t.co/p0ArQgl8Cq</t>
  </si>
  <si>
    <t>Le Mans</t>
  </si>
  <si>
    <t>Vos 72 Heures du Mans Aircooled. Rassemblement international VW Aircooled les 29, 30 et 31 Juillet 2016 sur le circuit des 24 heures du Mans.</t>
  </si>
  <si>
    <t>illy caro</t>
  </si>
  <si>
    <t>RT @oscar_elchara1: #AskJML #VW https://t.co/71vsmxGQnW @vwrallytheworld @frank_wrc @illycaro #WRCenEspanol @JariMattiWRC</t>
  </si>
  <si>
    <t xml:space="preserve">Ciudadana del Mundo </t>
  </si>
  <si>
    <t>Acciono luego pienso. Lo mío lo mío son los Rallies. Dicen que dirijo Rally Inside+ y ahora WRC en español y si, habló mucho y siento más :p</t>
  </si>
  <si>
    <t>Volkswagen USA News</t>
  </si>
  <si>
    <t>RT @WashAutoPress: . @vw #GolfR at the @WashAutoPress and #VW Safety and Technology event! https://t.co/UdjSrjILx6</t>
  </si>
  <si>
    <t>Herndon, VA</t>
  </si>
  <si>
    <t>Official Volkswagen of America News account. Press contacts: http://t.co/Y6qrd8lGHq | Need Help? Tweet #VWCares</t>
  </si>
  <si>
    <t>Splatt</t>
  </si>
  <si>
    <t>RT @dejbanlaw: #VW posts loss after taking $18.28 billion hit on #dieselgate https://t.co/cstekxliNf #emissions</t>
  </si>
  <si>
    <t>Lexington's home for the best stand-up comedy for over 25 years!</t>
  </si>
  <si>
    <t>Kompletter Realitätsverlust bei #Volkswagen-Managern! Man verliert jegliches Verständnis für #VW! #VW #Boni #Betrug https://t.co/qKlNfxI1Pz</t>
  </si>
  <si>
    <t>Mr. Charli</t>
  </si>
  <si>
    <t>📷 angusfulton: badman #vw 😮 https://t.co/sdxWQUpoPn</t>
  </si>
  <si>
    <t>México.</t>
  </si>
  <si>
    <t>Simplemente YOLO.</t>
  </si>
  <si>
    <t>Ingmar Streese</t>
  </si>
  <si>
    <t>Geschäftsbereichsleiter Verbraucherpolitik beim Verbraucherzentrale Bundesverband - vzbv / Tweets drücken meine private Meinung aus</t>
  </si>
  <si>
    <t>euro</t>
  </si>
  <si>
    <t>Baden-Württemberg, Deutschland</t>
  </si>
  <si>
    <t>Olli Lol</t>
  </si>
  <si>
    <t>Настоящие немцы. #Porsche #Mercedes #VW @ Historisches Rathaus Osnabrück, Markt https://t.co/ozuCeJ0bJx</t>
  </si>
  <si>
    <t>Läuft. Genau. Optimal.</t>
  </si>
  <si>
    <t>Udo Sieverding</t>
  </si>
  <si>
    <t>Verbraucherzentrale NRW</t>
  </si>
  <si>
    <t>twittert zur Energiewende: Energiewirtschaft, Energiepreise, Energieeffizienz, Erneuerbare, Energiesparen, Energieberatung, Verbraucherzentrale und so...</t>
  </si>
  <si>
    <t>Electric Blue</t>
  </si>
  <si>
    <t>RT @BushTyres: Some of our first outside fittingtrucks #VWsplitscreen #singlecab #VW Fitting tyres since 1947 http://t.co/Vkk6zGpRNw http:/…</t>
  </si>
  <si>
    <t>Electric Blue is the Twitter &amp; Periscope account of a Bristol Fighter, one of only 9 built. Watch this space for Travels with Electric Blue</t>
  </si>
  <si>
    <t>Beetle - #fusca #beetle #vocho #vw #volkswagen #vintagecar #old #oldcar #fuscabrasil #lovefusca #lovebeetle #vwkomb… https://t.co/yNHoUXkqdC</t>
  </si>
  <si>
    <t>https://t.co/vJiPz1cX3Z - T4 + VR6 lip #Volkswagen #VW #vwt4 #vwtransporter #vr6lip #falt… https://t.co/vOLk9NM14N https://t.co/SqwdLD98JN</t>
  </si>
  <si>
    <t>@reecie_0907 #mk1vwcaddy #vw #vwmk1 #vwmk1caddy #mk1caddy #vwmk1golf #mk1golf #golfpickup #lowandslow #ratlook by m… https://t.co/4mur2lTYWs</t>
  </si>
  <si>
    <t>@reecie_0907 #mk1vwcaddy #vw #vwmk1 #vwmk1caddy #mk1caddy #vwmk1golf #mk1golf #golfpickup #lowandslow #ratlook by m… https://t.co/wnvuSTS5Uc</t>
  </si>
  <si>
    <t>Mk1 VW Golf #vividvinyl #ocdphotography #ocd #mk1 #mk1golf #gti #slammed #static #vw #volkswagen #golf #stanced #cl… https://t.co/DHOicvagBA</t>
  </si>
  <si>
    <t>Palle Horn</t>
  </si>
  <si>
    <t>VW, Setting Aside $18 Billion for Diesel Scandal Costs, Reports Record Loss https://t.co/AaVrMhuoBi #VW #AutoNews</t>
  </si>
  <si>
    <t>Emission cheating costs VW $18 billion https://t.co/Ghxl8R0oSk #VW #AutoNews</t>
  </si>
  <si>
    <t>eBay: VW CADDY 2.0 SDi Camper https://t.co/Jnethtx5SX #vwcamper #vwbus #vw https://t.co/ZEadscsjBy https://t.co/NzNIreVZCt</t>
  </si>
  <si>
    <t>2015 Volkswagen Jetta SE 6A: 2015 Volkswagen Jetta featuring Tilt Steering Column, Second Row ... https://t.co/X3I0PpTDry #VW #jetta #car</t>
  </si>
  <si>
    <t>Neil T</t>
  </si>
  <si>
    <t>Business Travelers Choose #Uber, More Fuel Economy &amp; Emissions Scrutiny. https://t.co/imZq0K0jLN via @YouTube #VW #MercedesBenz #Toyota</t>
  </si>
  <si>
    <t>I love gadgets, video games, Formula One (Michael Schumacher will always be my driver), WRC, Indy Car, DTM, NBA (Go Lakers!), movies &amp; giveaways.</t>
  </si>
  <si>
    <t>VW-Klägeranwalt Rother von der US-Kanzlei #Hausfeld: "Die Arroganz von #VW ist unerträglich“ https://t.co/zsicLixpNF #Handelsblatt</t>
  </si>
  <si>
    <t>Juan Bueno</t>
  </si>
  <si>
    <t>#Bananarepublik #Deutschland? JA! Beweis? Siehe #VW in den #USA, und was der Herr der Bananen #Dobrindt und die Bananen-#Justiz machen</t>
  </si>
  <si>
    <t>Gedanken zum Tage, unbeliebte Wahrheiten, manchmal besorgt, oder auch zynisch, trotzdem auch mit Humor und Lebensfreude</t>
  </si>
  <si>
    <t>Erin H.</t>
  </si>
  <si>
    <t>So that happened just now #vw #bug #DasAuto https://t.co/E4ULhqGWk6</t>
  </si>
  <si>
    <t>Greenville, NC</t>
  </si>
  <si>
    <t>An awesome person you need to know.</t>
  </si>
  <si>
    <t>#VW -Vorstand kürzt Bonus um 30%-LOL.Für was haben die überhaupt einen Bonus verdient??? #dieselgate verursacht und schlimmste Krise - ever!</t>
  </si>
  <si>
    <t>Karlsruhe, Baden-Württemberg</t>
  </si>
  <si>
    <t>#WRC #VW #RallyArgentina Polo Argentino | Rally Argentina | 36° YPF Rally Argentina | WRC 2016 https://t.co/GiL0KNDM6c</t>
  </si>
  <si>
    <t>Dreven Seal</t>
  </si>
  <si>
    <t>Produkt Designer, Student Lehramt Doppelfach Kunst und lieber queer und verrückt im Kopf statt Nazi und im Gleichschritt</t>
  </si>
  <si>
    <t>BREAKING: #VW just doubled the amount of #money put aside to fix cars linked to the global #emissions scandal https://t.co/dvlrWNv48E #clean</t>
  </si>
  <si>
    <t>Joerg Bode</t>
  </si>
  <si>
    <t>Aus einem notwendigen Verzicht wird tatsächlich eine #Boni -Erhöhung! Das schaffen nur #VW und #SPD ! VW - wir lieben Boni !</t>
  </si>
  <si>
    <t>Stellvertretender Vorsitzender der FDP-Fraktion im Niedersächsischen Landtag</t>
  </si>
  <si>
    <t>economia_feed_0</t>
  </si>
  <si>
    <t>La #junta #directiva de #VW #renuncia parcialmente a las gratificaciones de 2015 https://t.co/UzIuPKBLAy</t>
  </si>
  <si>
    <t>Stephanie Hill</t>
  </si>
  <si>
    <t>After having crisscrossed #Germany for this leg of our #RichardII #tour, I'm now a #VW #Sharan fan. #RentACar #Autobahn</t>
  </si>
  <si>
    <t>York, U.K.</t>
  </si>
  <si>
    <t>**The Official Twitter For Stephanie Hil** UK-based #singer #songwriter, fan of: #Nashville #Supernatural #Vikings #horses #houmous</t>
  </si>
  <si>
    <t>Ulrike Barth</t>
  </si>
  <si>
    <t>Abgasaffäre: #Bosch hat Schummelsoftware nicht nur an #VW geliefert https://t.co/oIDud5ftaT via @SPIEGELONLINE</t>
  </si>
  <si>
    <t>Ulrike Barth, Ressortleiterin bei JUVE. Zwitschert über Energiepolitik, Wirtschaftsprozesse und Digitales #ddj</t>
  </si>
  <si>
    <t>RT @PatrickNordhoff: Das verstehe ich einfach nicht. Wie kann man nur so abgehoben sein und immer noch Boni verlangen? https://t.co/dbAZwNv…</t>
  </si>
  <si>
    <t>Kompletter Realitätsverlust bei #Volkswagen-Managern! Man verliert jegliches Verständnis für #VW! #VW #Boni #Betrug https://t.co/i08FZNCQoW</t>
  </si>
  <si>
    <t>FanCar Picture - Send me your Scirocco pictures!!! (PM Please) #VW #Volkswagen #Scirocco #Tuning https://t.co/Qc4WtOXnHp</t>
  </si>
  <si>
    <t>Feedom.de</t>
  </si>
  <si>
    <t>RT @BS_Verkehr: Kompletter Realitätsverlust bei #Volkswagen-Managern! Man verliert jegliches Verständnis für #VW! #VW #Boni #Betrug https:…</t>
  </si>
  <si>
    <t>Feedom V1</t>
  </si>
  <si>
    <t>Info@feedom.de</t>
  </si>
  <si>
    <t>Auswahl, Erstellung und der Zeitpunkt unserer Tweets werden durch ein Computerprogramm automatisch bestimmt. Mehr Infos über Feedom auf unserer Webseite.</t>
  </si>
  <si>
    <t>Nach dem #Abgasskandal bei #VW folgt der größte Verlust der Konzerngeschichte. Mehr zum Thema: https://t.co/NtbN2QJifN</t>
  </si>
  <si>
    <t>Hans Holpertinger</t>
  </si>
  <si>
    <t>In der deutschen Automobilwirtschaft stinkt's gewaltig. #audi #vw #mercedes #opel #porsche #abgasskandal https://t.co/HdeT7VmUns</t>
  </si>
  <si>
    <t>Internet</t>
  </si>
  <si>
    <t>Kritischer Beobachter des Zeitgeschehens - mit besonderem Blick auf Politik, Demokratie und Datenschutz</t>
  </si>
  <si>
    <t>Kompletter Realitätsverlust bei #Volkswagen-Managern! Man verliert jegliches Verständnis für #VW! #Boni #Betrug https://t.co/i08FZNCQoW</t>
  </si>
  <si>
    <t>StudyOnlineAustralia</t>
  </si>
  <si>
    <t>Sydney</t>
  </si>
  <si>
    <t>Professional education agency helping students with student visa and study in Australia.Free student visa service;Great problem solution;Easy&amp;Friendly approach</t>
  </si>
  <si>
    <t>Fifth Ave Volkswagen</t>
  </si>
  <si>
    <t>Get to know the team at Fifth Ave Auto Haus. #FifthAveVW #VW https://t.co/Pmb8UxXUhW</t>
  </si>
  <si>
    <t>Fifth Avenue VW | Calgary's New &amp; Used Volkswagen Dealership. 1120 Meridian Rd. NE Calgary, AB T2A 2N9 | http://t.co/BG1lGfmLG5 #volkswagen #yyc #Alberta</t>
  </si>
  <si>
    <t>Alex Serrano</t>
  </si>
  <si>
    <t>17 | joey | Spanish</t>
  </si>
  <si>
    <t>pj whelan</t>
  </si>
  <si>
    <t>Our poor Jetta! #VW Reaches Deal in Diesel Emissions Case https://t.co/2odQNQaIDc via @RecorderTweets</t>
  </si>
  <si>
    <t>Blogger, Mother, Advocate. Sailing and Aviation Junkie. I grew up at a marina and now live at an airport. Weird ... I admit. But, always an adventure!</t>
  </si>
  <si>
    <t>Lee Stahlecker</t>
  </si>
  <si>
    <t>Love this shot that my son took of us in my 63 #VW #bug on the way home from San Jose last weekend. #StraightUpDubs https://t.co/fjpgXfneGF</t>
  </si>
  <si>
    <t>*NorCal*</t>
  </si>
  <si>
    <t>Mostly #SFGiants Tweets. 2010, 2012 &amp; 2014 WS Champs! #RallyScrewdriver™. VW. Skateboarding. Kayaking. Tattoos. 49ers. Gym. US Navy Vet. Marvel. Star Wars. TWD.</t>
  </si>
  <si>
    <t>Rekordverlust: #VW kürzt Vorstandsboni um 30 Prozent (fast fragt man sich: "nur?") https://t.co/6OMvireO0G via @FAZNET</t>
  </si>
  <si>
    <t>POLITROSO</t>
  </si>
  <si>
    <t>Wofür gibt es bei einem Rekordverlust Boni? #VW</t>
  </si>
  <si>
    <t>Interessiert am finanzpolitischen Wahnsinn. Nicht Verbraucher, sondern Mensch!</t>
  </si>
  <si>
    <t>IT + Security News</t>
  </si>
  <si>
    <t>#VW to take $18 billion hit as German carmakers face recall #Technology #Security #News https://t.co/GOnF9GuCyY</t>
  </si>
  <si>
    <t>Daily #IT &amp; #Security News online: Stay connected with us, keep updated yourself &amp; join the world’s conversation.</t>
  </si>
  <si>
    <t>Elizabeth Strout</t>
  </si>
  <si>
    <t>Absolutely #love #VW customer service-every time I've spoken with them I leave with a #smile and it's just so darn #pleasant! #Volkswagen💕</t>
  </si>
  <si>
    <t>CDM</t>
  </si>
  <si>
    <t>Once a Mainer, always a Mainer. Feed your inner lumberjack.</t>
  </si>
  <si>
    <t>#VW funktionierende Abgas Reinigung eingespart Dafür Boni kassieren Eigentlich konsequent neoliberaler Logik folgend</t>
  </si>
  <si>
    <t>Ein bisschen #Boni liegt auf Eis #VW hält Bericht unter Verschluss ➡ https://t.co/8kbqUefN3w</t>
  </si>
  <si>
    <t>Dr Trevor Bolton</t>
  </si>
  <si>
    <t>#VW has set aside €16.2bn in its #accounts to cover the cost of putting right the #emissions scandal.</t>
  </si>
  <si>
    <t>Cambridge and Chelmsford, UK</t>
  </si>
  <si>
    <t>Pro Vice Chancellor (Partnerships), Anglia Ruskin University. Connecting ARU and our Associate Colleges and friends. All views are my own!</t>
  </si>
  <si>
    <t>Sabine Wieschendorf</t>
  </si>
  <si>
    <t>Hamburg - wo sonst?!</t>
  </si>
  <si>
    <t>RT @franka_kuehn: #Dieselgate #VW im #Brennpunkt: Massenrückruf im Abgasskandal u.a. mit Verbraucherschützer @Klaus_Mueller und BM @AlexDob…</t>
  </si>
  <si>
    <t>Erin☮</t>
  </si>
  <si>
    <t>And if you're happy with yourself, then all the rest can go to hell</t>
  </si>
  <si>
    <t>Andreas Cseh</t>
  </si>
  <si>
    <t>#VW, #DeutscheBank mega #layoffs will send #Germany into a deep #recession #Euro will fall below 1:1 @NorbiJr https://t.co/F62bC8bDra</t>
  </si>
  <si>
    <t>Hong Kong, Singapore, Budapest</t>
  </si>
  <si>
    <t>Author of Quantum Fading Strategies for Leveraged &amp; Inverse ETFs, # ISBN: 978-395489-102 #Chief Investment Strategist</t>
  </si>
  <si>
    <t>#techhippie VW in progress! #vw #golf #golfr #carwash #handwash #wheels #carcare #blue #volkswagen #gti #gtd #petro… https://t.co/mXG43XKkYC</t>
  </si>
  <si>
    <t>#techhippie #AUDI #A4 #BLACK EDITION #VW #GOLF #GTD by 3_counties_car_sales_ltd https://t.co/BLMKCaoQMR</t>
  </si>
  <si>
    <t>#techhippie #AUDI #A4 #BLACK EDITION #VW #GOLF #GTD by 3_counties_car_sales_ltd https://t.co/FiImCgcq8m</t>
  </si>
  <si>
    <t>#techhippie #AUDI #A4 #BLACK EDITION #VW #GOLF #GTD by 3_counties_car_sales_ltd https://t.co/PnBHX2Un9P</t>
  </si>
  <si>
    <t>#techhippie Friday Missions... #YBEGX #vaggroup #vw #volkswagen #golf #gtd #lordaleem #motorheadzuk #prestigeglym … https://t.co/VtowIXHGHj</t>
  </si>
  <si>
    <t>Holy-X</t>
  </si>
  <si>
    <t>RT @cyberdoc60: #VW funktionierende Abgas Reinigung eingespart Dafür Boni kassieren Eigentlich konsequent neoliberaler Logik folgend</t>
  </si>
  <si>
    <t>Ruhrpott</t>
  </si>
  <si>
    <t>Für Politik &amp; Bürger Deutschlands? Nur noch Verachtung!</t>
  </si>
  <si>
    <t>@wmeier822 @1Feedom Warum nicht 100%? Wenn wir als Angestellte unsere Ziele nicht erreicht hatten, gab es auch keine "Prämien"! #vw #boni</t>
  </si>
  <si>
    <t>Verlust bei #VW, #Daimler enttäuscht Autowerte crashen den #Dax ➡ https://t.co/wYlv8WiQW8 https://t.co/aLIqcK5vFq</t>
  </si>
  <si>
    <t>eBay: volkswagen t5 transporter campervan,… https://t.co/RrfkZiVCfp #vwcamper #vwbus #vw https://t.co/ZEadscsjBy https://t.co/7wDiouwiEc</t>
  </si>
  <si>
    <t>Rückgang von mehr als 96 Prozent wäre bei den #Boni angebracht. Erforderte Freiwilligkeit beim #VW-Vorstand. https://t.co/LoR6pyLUUJ</t>
  </si>
  <si>
    <t>Sven Semmler</t>
  </si>
  <si>
    <t>#VW-Aktie : #Volkswagen kürzt #Dividende drastisch https://t.co/kD8JcgI48m #</t>
  </si>
  <si>
    <t>Berlín, Alemania</t>
  </si>
  <si>
    <t>TC Tahsin SUYABATMAZ</t>
  </si>
  <si>
    <t>Gün arkamda kaldığında... #beetle #vosvos #vosvossevdasi #bug #fusca #kafer #escarabajo #vw… https://t.co/Oq3vgoTVjM</t>
  </si>
  <si>
    <t>Ryan Hanson</t>
  </si>
  <si>
    <t>Ingeniero en Producción Industrial.Master en Direccion de Operaciones y Seguridad Industrial</t>
  </si>
  <si>
    <t>Rob Peel</t>
  </si>
  <si>
    <t>Nelson Bay</t>
  </si>
  <si>
    <t>Father, husband, #tourism advocate, occassional tent builder. Views are my own (or yours on the RT).</t>
  </si>
  <si>
    <t>Martin Vlad</t>
  </si>
  <si>
    <t>Exile</t>
  </si>
  <si>
    <t>Outside of a dog, a book is mans best friend. Inside of a dog it's too dark to read. Groucho Marx</t>
  </si>
  <si>
    <t>OppaPlaehte</t>
  </si>
  <si>
    <t>auf dem Boden der Tatsachen</t>
  </si>
  <si>
    <t>100% Israelsolidarisch #Antifa #nonazis #Umweltschutz #Tierschutz #Tierrechte</t>
  </si>
  <si>
    <t>BILD Stuttgart</t>
  </si>
  <si>
    <t>Mega-Rückruf. 630 000 Autos müssen in die Werkstätten #vw #Auto #Deutschland #Abgas https://t.co/xTXAjULeLv https://t.co/8Pdvvm8sao</t>
  </si>
  <si>
    <t>Hier twittert die BILD-Redaktion aus Stuttgart: News, Sport, Kultur, Promis und Events nicht nur aus der Region | Impressum: http://t.co/tpswOh7xvS</t>
  </si>
  <si>
    <t>Bild München</t>
  </si>
  <si>
    <t>Mega-Rückruf. 630 000 Autos müssen in die Werkstätten #vw #Auto #Deutschland #Abgas https://t.co/gAyJinrWGu https://t.co/A8XIUaeEQn</t>
  </si>
  <si>
    <t>München aktuell: News, Sport, Kultur, Politik, Ausstellungen, Events auf Bild.de Impressum: http://t.co/aSRwx0XeJT</t>
  </si>
  <si>
    <t>BILD Nürnberg</t>
  </si>
  <si>
    <t>Mega-Rückruf. 630 000 Autos müssen in die Werkstätten #vw #Auto #Deutschland #Abgas https://t.co/LXB6fOUZAP https://t.co/Pb7XXnvEem</t>
  </si>
  <si>
    <t>Hier twittert die BILD-Redaktion aus Nürnberg: News, Sport, Kultur, Promis, Ausstellungen und Events aus der Region Impressum: http://t.co/kYVpvv2yrW</t>
  </si>
  <si>
    <t>Rainer Rogge</t>
  </si>
  <si>
    <t>RT @Stefan_Schwark: Den Karren moralisch und betriebswirtschaftlich in den Sand setzen und Boni kassieren. - Das gibt's (nicht) nur bei #V…</t>
  </si>
  <si>
    <t>GehtDichNixAn</t>
  </si>
  <si>
    <t>Sehr direkt, sehr klar, sehr eindeutig, Manchmal laut und wenn ich der Meinung bin du hast es verdient gerne auch mal beleidigend! Deal with it!</t>
  </si>
  <si>
    <t>EN Mosaik</t>
  </si>
  <si>
    <t>Ennepetal</t>
  </si>
  <si>
    <t>RT @Boersenradar: #VW macht wg #DieselGate größten Verlust der Unternehmensgeschichte - Dividende wird massiv gekürzt, Aktie stürzt - http…</t>
  </si>
  <si>
    <t>RT @aktionaer: #VW 121,88€ -3,10% Aktie beendet Erholung:16,2 Milliarden Euro Rückstellungen für das Diesel-Desaster/JK https://t.co/gv2qob…</t>
  </si>
  <si>
    <t>Phillipa60</t>
  </si>
  <si>
    <t>RT @andreascseh: #VW, #DeutscheBank mega #layoffs will send #Germany into a deep #recession #Euro will fall below 1:1 @NorbiJr https://t.co…</t>
  </si>
  <si>
    <t>united kingdom</t>
  </si>
  <si>
    <t>It's a everdsy driver #vw #vwbug #Volkswagen #splitwindow #tarponsprings https://t.co/q2H0Zx0UzZ</t>
  </si>
  <si>
    <t>eBay: 1962 VW BEETLE IN TRULY STUNNING… https://t.co/Vw5EBqn3z0 #vwbeetle #vwbug #vw https://t.co/xvfL74PTgl https://t.co/r3Zrlm2J7f</t>
  </si>
  <si>
    <t>Left on Main St.</t>
  </si>
  <si>
    <t>Northern California</t>
  </si>
  <si>
    <t>News about Politics/Activism. #Activist #Peacenik #OWS #Climate #Eco #NoGMO #NoNukes #NoFracking</t>
  </si>
  <si>
    <t>Happy Ulli</t>
  </si>
  <si>
    <t>Warnemünde</t>
  </si>
  <si>
    <t>Lebenslustig -Gluecklicher-Seemann</t>
  </si>
  <si>
    <t>eBay: VOLKSWAGEN T25 CAMPER - HOLDSWORTH VILLA… https://t.co/kyaEgz0YNq #vwcamper #vwbus #vw https://t.co/ZEadscsjBy https://t.co/RQTcuel4FB</t>
  </si>
  <si>
    <t>eBay: Volkswagen T4 Transporter 1998 1.9 td… https://t.co/GD7LzlntjK #vwcamper #vwbus #vw https://t.co/ZEadscsjBy https://t.co/0Ob9rI3Yz7</t>
  </si>
  <si>
    <t>katrica</t>
  </si>
  <si>
    <t>RT @andrejfnovak: Unehrlichkeit funktioniert wenn,dann nur kurzfristig.Ehrlich währt am längsten.Leider nicht Teil d. BWL-Studiums #VW http…</t>
  </si>
  <si>
    <t>plz 27</t>
  </si>
  <si>
    <t>Kommunistische Liga Freies Deutschland / 47 jahre , transexuell, wasserball, tiere, kultur, spedition</t>
  </si>
  <si>
    <t>Harry Jansen</t>
  </si>
  <si>
    <t>Hm, Skoda #VW nog stééds niet...? #goh https://t.co/gg4MK2lMBv</t>
  </si>
  <si>
    <t>around the bend</t>
  </si>
  <si>
    <t>Redactielid &amp; semi-incidenteel side-kick bij @radioalto (@rtvapd + @IndieXL), maar voor het overige is m'n bio logisch.</t>
  </si>
  <si>
    <t>Executives choice #vw #cc #vagmen https://t.co/o0XI2YFViy</t>
  </si>
  <si>
    <t>RT @ILCtsxv: BREAKING: #VW just doubled the amount of #money put aside to fix cars linked to the global #emissions scandal https://t.co/dvl…</t>
  </si>
  <si>
    <t>#VW to take $18 billion hit as German carmakers face recall https://t.co/cUuQe51Yzm</t>
  </si>
  <si>
    <t>Salim Ali</t>
  </si>
  <si>
    <t>New video coming soon #gramps #vw #volkswagen #euro #car #cars #abandoned #factory #photo #video #gopro by jordantr… https://t.co/mxqzGoYTQj</t>
  </si>
  <si>
    <t>Assam, IN</t>
  </si>
  <si>
    <t>An IT Student from Assam, IN he loves to Explore-Gain-Share Technology news and Interact with people.</t>
  </si>
  <si>
    <t>M1LL13</t>
  </si>
  <si>
    <t>❤️DEAN AMBROSE.</t>
  </si>
  <si>
    <t>#AlPisoSiempre ↓</t>
  </si>
  <si>
    <t>RT @JokoMartinez11: Marcando la diferencia ! #Fixa #AlPisoSiempre #VolandoBajo #VW https://t.co/teUJKWT1NK</t>
  </si>
  <si>
    <t>Seguinos en Instagram ↓</t>
  </si>
  <si>
    <t>No le tengo miedo a la muerte, tengo miedo de que arriba no haya Autos. #FierreroSeNace #AlPisoSiempre</t>
  </si>
  <si>
    <t>Kanal Nürnberg</t>
  </si>
  <si>
    <t>BILD_Nuernberg: Mega-Rückruf. 630 000 Autos müssen in die Werkstätten #vw #Auto #Deutschland #Abgas … https://t.co/dq8MuKr2Bj</t>
  </si>
  <si>
    <t>RT @Fifth_Ave_VW: Get to know the team at Fifth Ave Auto Haus. #FifthAveVW #VW https://t.co/Pmb8UxXUhW</t>
  </si>
  <si>
    <t>Carmen</t>
  </si>
  <si>
    <t>Venezolana, Vinotinto y caraquista por siempre...</t>
  </si>
  <si>
    <t>Miˇ ﺴ</t>
  </si>
  <si>
    <t xml:space="preserve">La emilia </t>
  </si>
  <si>
    <t>al mambo hay que bailarlo.</t>
  </si>
  <si>
    <t>P A R A D I S E</t>
  </si>
  <si>
    <t>la vida es muy corta para andar estándar ! Snap Lucassampieri</t>
  </si>
  <si>
    <t>☧☧☧  RLT  ☧☧☧</t>
  </si>
  <si>
    <t>USA &amp; Canada</t>
  </si>
  <si>
    <t>Blessed are the poor in spirit: for theirs is the kingdom of heaven. Blessed are they that hunger and thirst after justice: for they shall have their fill.</t>
  </si>
  <si>
    <t>Belén♥</t>
  </si>
  <si>
    <t>La vida me ha golpeado, pero no ha logrado quitarme la sonrisa (((((:</t>
  </si>
  <si>
    <t>Companies never learn. #VW, Setting Aside $18 Billion for #Diesel Scandal Costs, Reports Record Loss, via @nytimes https://t.co/ScYvJQC9AH</t>
  </si>
  <si>
    <t>Berty Berserker</t>
  </si>
  <si>
    <t>kevin✌</t>
  </si>
  <si>
    <t>Austin</t>
  </si>
  <si>
    <t>Cordoba Capital - San Vicente</t>
  </si>
  <si>
    <t>18 || Snap:Micaiasuriel || Insta Micaiasuriel1 || Volkswagen.</t>
  </si>
  <si>
    <t>Gimo De Faveri</t>
  </si>
  <si>
    <t>va ben che avete i vostri problemi col #dieselgate, ma il vostro sito sembra creato da Topo Gigio #VW</t>
  </si>
  <si>
    <t>Farra di Soligo, Veneto</t>
  </si>
  <si>
    <t>#cyclist #snooker #food #wine #beer #music #movies #wetshaver. #Scotland lover</t>
  </si>
  <si>
    <t>@PrestigeDiesels recall won't be until June or July according to the local dealer #vw</t>
  </si>
  <si>
    <t>#VW-Logik: Mach es wie deren #Manager! Lege Firma deines Chefs in Trümmer und verlange dann eine Gehaltserhöhung! #Boni #Volkswagen #Betrug</t>
  </si>
  <si>
    <t>Visit our #Ebay store https://t.co/DW0grjDjgq where we sell Genuine #Volkswagen and #Mazda parts &amp; Accessories! #VW https://t.co/Rkz8rC0JbW</t>
  </si>
  <si>
    <t>#VW fährt 5,5 Milliarden Euro Verlust ein und die Vorstände kassieren 70% Bonus? #Dieselgate</t>
  </si>
  <si>
    <t>Henrik</t>
  </si>
  <si>
    <t>Diverse Medien geben die Inhalte der Pressekonferenz von #Dobrindt heute schlicht falsch wieder. Echt ärgerlich. #VW #dieselgate</t>
  </si>
  <si>
    <t>Region Hannover, Niedersachsen</t>
  </si>
  <si>
    <t>Journalismus Student, SPD Mensch, Medienjunkie - aber trotzdem normalgewichtig. Tweets zu allem was lustig ist, Trash-TV und #Domian - Instagram: henrikhman</t>
  </si>
  <si>
    <t>Miguel Jaimes</t>
  </si>
  <si>
    <t>Bruno Ghise</t>
  </si>
  <si>
    <t>"Volkswagen betaalt elke Amerikaan met sjoemelsoftware 4.400 euro" https://t.co/ygX4bK5vsZ ... maar voor de Belgen 0 € ? #VW</t>
  </si>
  <si>
    <t>Schilde BE enTavira PT</t>
  </si>
  <si>
    <t>Mirko Wenig</t>
  </si>
  <si>
    <t>Boni ist ja vom lateinischen Begriff für "gut" abgeleitet. Wäre es angesichts des #VW-Skandals nicht besser, von "Mali" (malus) zu sprechen?</t>
  </si>
  <si>
    <t>Redakteur und VHS-Dozent in Leipzig. Irgendwas mit Lyrik (Literaturinstitut). Tweets in Deutsch und Broken English.</t>
  </si>
  <si>
    <t>Mateo  ➊ ➑ ➒ ➊</t>
  </si>
  <si>
    <t>El pinar</t>
  </si>
  <si>
    <t>♛ 098757957♛</t>
  </si>
  <si>
    <t>morgenlab</t>
  </si>
  <si>
    <t>#sustainable #mobility #cargobike thinktank from the german speaking parts of europe</t>
  </si>
  <si>
    <t>Daniel Cuervo</t>
  </si>
  <si>
    <t>Stoked it's #Friday and City Volkswagen keeps me moving wherever I need to go. @cityvw #vw @vw #cityvw... https://t.co/AHg9gyZhMj</t>
  </si>
  <si>
    <t>Encinitas, California</t>
  </si>
  <si>
    <t>First Pro Skateboarder from the Dominican Republic</t>
  </si>
  <si>
    <t>Stefan Birkner</t>
  </si>
  <si>
    <t>RT @joergbode: Aus einem notwendigen Verzicht wird tatsächlich eine #Boni -Erhöhung! Das schaffen nur #VW und #SPD ! VW - wir lieben Boni !</t>
  </si>
  <si>
    <t>Landesvorsitzender der FDP Niedersachsen</t>
  </si>
  <si>
    <t>eBay: VW T5 TDi "STARLITE" CAMPER 40,000miles… https://t.co/SAJedzYjAI #vwcamper #vwbus #vw https://t.co/ZEadscsjBy https://t.co/qY2Bi7yS8K</t>
  </si>
  <si>
    <t>eBay: VW T25 Camper Van 1.6D L.H.D SPANISH… https://t.co/1TWKcUrc0T #vwcamper #vwbus #vw https://t.co/ZEadscsjBy https://t.co/O8SLIdyHod</t>
  </si>
  <si>
    <t>Frank Dylan</t>
  </si>
  <si>
    <t xml:space="preserve">Paraguay, South América. </t>
  </si>
  <si>
    <t>Fanático obsesionado del #WRC y los deportes motores (Fan Motorsports) #RallyArgentina Jugador de PlayStation, Runner casual.</t>
  </si>
  <si>
    <t>Christian Dürr</t>
  </si>
  <si>
    <t>Hannover / Ganderkesee</t>
  </si>
  <si>
    <t>FDP-Fraktionsvorsitzender Niedersachsen. Hier twittern CD (Christian Dürr) und TCD (Team Christian Dürr).</t>
  </si>
  <si>
    <t>FeFee</t>
  </si>
  <si>
    <t>Mar del Plata, Argentina</t>
  </si>
  <si>
    <t>Confia en ti mismo para conseguir tus objetivos , la espera puede hacerse larga , pero todo su esfuerzo tiene su recompensa Wap 2235012359</t>
  </si>
  <si>
    <t>#POLL: Just 36 minutes left to vote! Have your say NOW: #VW or #Tesla? https://t.co/GS8t2foV4B</t>
  </si>
  <si>
    <t>Dorschel Volkswagen</t>
  </si>
  <si>
    <t>Happy Earth Day! Check out the improvements coming to the 2017 #VW e-Golf! https://t.co/cZ2bZurcL7 @dorschelvw https://t.co/x92OtEwjSQ</t>
  </si>
  <si>
    <t>Stop in or call us today to schedule your test drive! http://t.co/jt8SrL9Mij</t>
  </si>
  <si>
    <t>Matthias Karpstein</t>
  </si>
  <si>
    <t>Der Boni-Deal von #VW ist ein Taschenspielertrick @Automobilwoche https://t.co/TMMzDPD7MY #Abgasskandal</t>
  </si>
  <si>
    <t>Leitender Redakteur der Automobilwoche, Tweets geben meine eigene Meinung wieder</t>
  </si>
  <si>
    <t>RT @dorschelvw: Happy Earth Day! Check out the improvements coming to the 2017 #VW e-Golf! https://t.co/cZ2bZurcL7 @dorschelvw https://t.co…</t>
  </si>
  <si>
    <t>Listers Van Centres</t>
  </si>
  <si>
    <t>Congratulations to Iain Roebuck, collecting his new #VW Transporter #Kombi, used to the full for work &amp; leisure. 👍😃 https://t.co/rBpwV8lMtL</t>
  </si>
  <si>
    <t>SocialSignIn Application</t>
  </si>
  <si>
    <t>Coventry and Droitwich</t>
  </si>
  <si>
    <t>Follow for latest news &amp; information on Listers #Volkswagen #Van Centres including some exclusive Twitter-only offers! An Official Listers Group Twitter account</t>
  </si>
  <si>
    <t>Bill Jacobs VW</t>
  </si>
  <si>
    <t>Are you a weekend rider? We'll help you put in your miles this weekend. #VW https://t.co/6TRSpGAOO8</t>
  </si>
  <si>
    <t>Naperville, IL</t>
  </si>
  <si>
    <t>The Official Twitter Page of Bill Jacobs #Volkswagen in #Naperville serving the #Chicagoland area. Follow us for the latest news, photos &amp; tips!</t>
  </si>
  <si>
    <t>lucas</t>
  </si>
  <si>
    <t>Vicente López, Argentina</t>
  </si>
  <si>
    <t>good people.good times snapchat: pinzakita ig:pzklucas phhhoto:pzklucas rat rod</t>
  </si>
  <si>
    <t>MBT</t>
  </si>
  <si>
    <t>#VW, Feds Reach Deal On #EmissionsFix https://t.co/uDa8AwJ3Xk</t>
  </si>
  <si>
    <t>Madison, WI</t>
  </si>
  <si>
    <t>Manufacturing Business Technology offers unique editorial, news, and video content to information technology professionals working in a manufacturing setting.</t>
  </si>
  <si>
    <t>La chica linda del medio día #Sexy #female #vw #kingeuro https://t.co/jADVp85WaG</t>
  </si>
  <si>
    <t>Kommentar: Trickser +Abgreifer oder besser Betrüger +Geldgierige ? #VW #Dieselgate #Manager #Auto https://t.co/3Xi5TBEqVF via @faznet</t>
  </si>
  <si>
    <t>vool little #karmannghia #vw volkswagen #vdub #dubempire https://t.co/RnsGT8eJW0</t>
  </si>
  <si>
    <t>digitalAngst</t>
  </si>
  <si>
    <t>.@nicy1 @Floskelwolke 'VW räumt sein Schulregal im vom-Leitner-Institut für verteiltes Echtzeit-Java ein' #fefe #VW #Dieselgate</t>
  </si>
  <si>
    <t>Krautländer, at times in AUS.</t>
  </si>
  <si>
    <t>JjBb.YellowJacket in Quake, QⅢA, PSN. Ibrahim Vaughn Holtzman in EveOnline. Obnoxious cunt. Socially awkward as fnck.</t>
  </si>
  <si>
    <t>#karmannghia volkswagen #vdub #dubempire #vw https://t.co/hD6WKohgfv</t>
  </si>
  <si>
    <t>Automobili De Pieri</t>
  </si>
  <si>
    <t>De Pieri Srl propone: #VW #Sharan #Diesel, 21.01.2013, 86.550 km, 25.990 € https://t.co/COEVEOq8HD</t>
  </si>
  <si>
    <t>Applicazione Modix per De Pieri</t>
  </si>
  <si>
    <t>Castelfranco Veneto (TV)</t>
  </si>
  <si>
    <t>Concessionaria per i marchi #Audi e #Volkswagen con sede a #Castelfranco Veneto. Seguici anche su Facebook alla pagina: http://t.co/d6ZxsgKMTN</t>
  </si>
  <si>
    <t>De Pieri Srl propone: #VW #Golf #Diesel, 08.07.2014, 59.650 km, 17.450 € https://t.co/8m3mB85QvB</t>
  </si>
  <si>
    <t>David Lowe</t>
  </si>
  <si>
    <t>#VW.. Put my car into Listers Coventry, They had it for 5 days now &amp; messing about making excuses by its not ready..Not Happy</t>
  </si>
  <si>
    <t>Sönke Frischmuth</t>
  </si>
  <si>
    <t>Norderstedt / Hamburg</t>
  </si>
  <si>
    <t>Rechtsanwalt u. Fachanwalt. Freiheitlich, was sonst. Private tweets only. https://t.co/amNROICHoH</t>
  </si>
  <si>
    <t>BAIBA ZARIŅA</t>
  </si>
  <si>
    <t>Mazā zaļā vardīte šodien pabraukājās. #vw #VWpolo https://t.co/y0vuefRDf4</t>
  </si>
  <si>
    <t>Smiltene</t>
  </si>
  <si>
    <t>kev green</t>
  </si>
  <si>
    <t>oi #VW where the fcuk is my compo huh?..</t>
  </si>
  <si>
    <t>uk</t>
  </si>
  <si>
    <t>I run a private hire business near Stansted Airport. Im an massiveTottenham Hotspur fan..COYS!!!!!</t>
  </si>
  <si>
    <t>DavividAuto</t>
  </si>
  <si>
    <t>DAVIDAUTO en #Alicante: #VW #Beetle #Diésel, 01.06.2014, 64.000 km, 20.900 € http:/https://t.co/Yp5zwZVk0e https://t.co/By56SmHZvj</t>
  </si>
  <si>
    <t>Stock de Davidauto Alicante</t>
  </si>
  <si>
    <t>Alicante -Alicante</t>
  </si>
  <si>
    <t>La constitución de DAVIDAUTO, como empresa dedicada al sector de compra venta de vehículos, es de 1.991.</t>
  </si>
  <si>
    <t>eBay: VW Beetle Cabriolet 1.6 https://t.co/Kqb0Vu2sz1 #vwbeetle #vwbug #vw https://t.co/xvfL74PTgl https://t.co/Ob1hp5Vszb</t>
  </si>
  <si>
    <t>Peaslig</t>
  </si>
  <si>
    <t>@UKVolkswagen just been speaking to #vw Apparently emissions issue has no added impact on public health. Really?!? Why all fuss? #airquality</t>
  </si>
  <si>
    <t>Ein zuversichtlicher Taxifahrer und müde Manager: Unser Rückblick auf den Tag der Entscheidung bei #VW in #Wolfsburg https://t.co/dy3LJFGHr4</t>
  </si>
  <si>
    <t>Axeℓ.♛</t>
  </si>
  <si>
    <t>[16] BOCA JUNIORS/R.A.C♥ Wpp: 2284-309145</t>
  </si>
  <si>
    <t>RT @FlugelGewitter: Hallo #VW ! Wieso bekommen deutsche Kunden keine 5000 Euro?Selbes Auto, selber Konzern, mehr bezahlt, weniger Extras u…</t>
  </si>
  <si>
    <t>Good looks and a seriously impressive driving experience. #VW #Passat https://t.co/ocHvjVI4ch</t>
  </si>
  <si>
    <t>David Sotomayor</t>
  </si>
  <si>
    <t>Villa Soldati</t>
  </si>
  <si>
    <t>wp: 1156362846</t>
  </si>
  <si>
    <t>@serbay_yalcin #vosvos #beetle #bug #retro #fusca #aircooled #vwbeetle #vwworld #vosvossevdasi #gopro #vw #vwporn #… https://t.co/HZdBBvCVy3</t>
  </si>
  <si>
    <t>1965 #Volkswagen #beetle...thoughts? #spectreperformance #VW #Bug #vwbug #vwbeetle #classiccar #carshow #carphotog… https://t.co/P3hRVK27gn</t>
  </si>
  <si>
    <t>BUGRE M150 #bugre #vw #VWBeetle #vw #fiberglass #brazilianmake #classicos #antigos #carrosantigos #classiccar by al… https://t.co/KdnIa1Ph4G</t>
  </si>
  <si>
    <t>Saurabh Garg</t>
  </si>
  <si>
    <t>Auch Leute „mit Benzin im Blut“ wollen Dieselabgase nicht einatmen Es wird Zeit, daß Spitzen-Köpfe rollen, die das zu verantworten haben #VW</t>
  </si>
  <si>
    <t>Rintelner</t>
  </si>
  <si>
    <t>Rinteln, Niedersachsen</t>
  </si>
  <si>
    <t>:o</t>
  </si>
  <si>
    <t>Éire</t>
  </si>
  <si>
    <t>Parkway Volkswagen</t>
  </si>
  <si>
    <t>Are you and your #VW headed to weekend two of Coachella? Be safe out there! https://t.co/wmORKHEqhr</t>
  </si>
  <si>
    <t>Thinking about buying a VW vehicle? Do you already own one? We've got discounts on cars, plus great specials on auto repair and service in L.A. 888.225.1116</t>
  </si>
  <si>
    <t>RT @doern: Ein zuversichtlicher Taxifahrer und müde Manager: Unser Rückblick auf den Tag der Entscheidung bei #VW in #Wolfsburg https://t.c…</t>
  </si>
  <si>
    <t>Ute Schäfer</t>
  </si>
  <si>
    <t>Wie kann der #VW Vorstand nach diesem Betrug von einem erfolgreichen Jahr sprechen? Beruht doch auf falschen Tatsachen. #wtf</t>
  </si>
  <si>
    <t>Arbeitgeber T-Systems MMS, auf Twitter meist privat. Für Sinnvolles, in jeder Hinsicht. Gegen #s21</t>
  </si>
  <si>
    <t>Dr. Maximilian Krah</t>
  </si>
  <si>
    <t>Maximilian Krah, German, lives in Dresden, graduated from Columbia Business School in New York and London Business School, Lawyer and Entrepreneur.</t>
  </si>
  <si>
    <t>Monte Zuba</t>
  </si>
  <si>
    <t>Aus Firmensicht ist es doch durchaus ein bonifizierbarer Erfolg, nach dem ganzen Betrug nur ein paar tausend Amerikaner zu entschädigen. #VW</t>
  </si>
  <si>
    <t>Soziopath, aber nett. Kompliziert mag ich. Dumm nicht. Periscope, Snapchat, Ello &amp; Peach: montezuba</t>
  </si>
  <si>
    <t>Tan lindo podes ser? Me tenes enamorada! #Maquinita #Mio #VW #Lovers #LoMejorDeMiVida https://t.co/ZwLOd0eujf</t>
  </si>
  <si>
    <t>Herrlich, wie #VW-Manager jetzt ihre #Dividende parken, um sie in drei Jahren, wenn der #Entrüstungssturm verebbt ist, abzuholen.</t>
  </si>
  <si>
    <t>RT @riversidevw: Good looks and a seriously impressive driving experience. #VW #Passat https://t.co/ocHvjVI4ch</t>
  </si>
  <si>
    <t>moderater Rebell</t>
  </si>
  <si>
    <t>@sigmargabriel - gäbe es #TTIP, könnten dann auch Deutsche 5000$ für den #VW-Abgas-Betrug erhalten? cc @spdde</t>
  </si>
  <si>
    <t>General Präventiv</t>
  </si>
  <si>
    <t>Kritik am System ist kein Privileg der afd</t>
  </si>
  <si>
    <t>Kate Higgins</t>
  </si>
  <si>
    <t>Boston/Los Angeles U.S.</t>
  </si>
  <si>
    <t>Avgeek, weather freak, and non-rev. Owned by a pair of tuxedo cats.</t>
  </si>
  <si>
    <t>Al Jazeera Balkans</t>
  </si>
  <si>
    <t>Skandal koštao VW 16,2 milijarde eura https://t.co/AZWj4vFH4O #vw #volkswagen https://t.co/BuVKKulbRP</t>
  </si>
  <si>
    <t>Sarajevo, Bosna i Hercegovina</t>
  </si>
  <si>
    <t>Radeći pod sloganom Iz svakog ugla i sa svake strane, Al Jazeera Balkans svojim neovisnim i nepristrasnim izvještavanjem donosi neispričane priče.</t>
  </si>
  <si>
    <t>Vorstand von #VW manipuliert, Belegschaft wird mit Zusicherung &amp; erhalt ihrer Arbeitsplätze zum stillhalten erpresst. Verkehrte Welt.</t>
  </si>
  <si>
    <t>Esto es amor! #CableATierra #Mio #VW #Gol #Power https://t.co/9AsApX7uW2</t>
  </si>
  <si>
    <t>RT @MKarpstein: Der Boni-Deal von #VW ist ein Taschenspielertrick @Automobilwoche https://t.co/TMMzDPD7MY #Abgasskandal</t>
  </si>
  <si>
    <t>M.E.L.O.Dy</t>
  </si>
  <si>
    <t>MBTwebsite: #VW, Feds Reach Deal On #EmissionsFix https://t.co/fBwcf75lC9</t>
  </si>
  <si>
    <t>Charleston, Houston, NYC</t>
  </si>
  <si>
    <t>Increasing enterprise and municipal efficiency through intelligent water, electricity &amp; natural gas procurement.</t>
  </si>
  <si>
    <t>BennyFlow</t>
  </si>
  <si>
    <t>RT @moinmoinsager: @ZDFheute Es ist keine einfache #Abgaskrise! Es ist das Ergebnis krimineller Machenschaften von Vorstand und Aufsichtsra…</t>
  </si>
  <si>
    <t>Dota2 Kreygasm. Classical RPG-gamer. Traveller/Backpacker.</t>
  </si>
  <si>
    <t>Jür Gen</t>
  </si>
  <si>
    <t>und macht deutsche #VW Kunden zu Kunden 2. Klasse. Wer hierzulande Autos aus dem VW-Konzern kauft is selbst schuld https://t.co/W4E8yAVpBd</t>
  </si>
  <si>
    <t>Bayern</t>
  </si>
  <si>
    <t>#Neuburg #Ingolstadt #Wuerzburg #Verteidigungspolitik #Pionier #ÖffentlicheSicherheit #IVV #IML #BDS #BBS #Wehrtechnik</t>
  </si>
  <si>
    <t>piratka - hash : #vw #volkswagen #vwgolf - https://t.co/tsWRJZLvS8 - piratka</t>
  </si>
  <si>
    <t>ابغا بنات من الرس</t>
  </si>
  <si>
    <t>KWiNK</t>
  </si>
  <si>
    <t>Es ist #EarthDay und #VW kriegt die Rechnung für die Abgasschummelei. Fast gerecht, würde es am Ende nicht die Leute am Fließband treffen.</t>
  </si>
  <si>
    <t>Köln, Germany</t>
  </si>
  <si>
    <t>Ich habe gewählt. Ich darf das. | YouTuber mit zu viel Inhalt und zu wenig Content.</t>
  </si>
  <si>
    <t>RT @beetlebug1938: @serbay_yalcin #vosvos #beetle #bug #retro #fusca #aircooled #vwbeetle #vwworld #vosvossevdasi #gopro #vw #vwporn #… htt…</t>
  </si>
  <si>
    <t>منوريتا</t>
  </si>
  <si>
    <t>you're mine  @m_mala4</t>
  </si>
  <si>
    <t>What's your favorite obscure #VW? #ACVWPassion #Type147 #Volkswagen https://t.co/55Sk75i0F9</t>
  </si>
  <si>
    <t>claudio legui</t>
  </si>
  <si>
    <t>instagram: claudio legui | querer es poder | la guardia | ⭐newell's old Boys⭐| rg4l baby</t>
  </si>
  <si>
    <t>Anikó Merten</t>
  </si>
  <si>
    <t>Freie Demokratin, Kunstwissenschaftlerin, Optimistin, Erwachsene mit aHf, Katzenmama Ich twitter über das, was mir wichtig erscheint.</t>
  </si>
  <si>
    <t>ASAP Auto Sales</t>
  </si>
  <si>
    <t>@MrFlyandFlashy That's an awesome ride! 🚗 Is this your new ride? Or is it your friends sweet #VW?</t>
  </si>
  <si>
    <t>Main Street Hub</t>
  </si>
  <si>
    <t>Garland, TX</t>
  </si>
  <si>
    <t>Serving the Garland community since 1991, ASAP Auto Sales is here to help you find the ideal vehicle to meet your needs and your budget.</t>
  </si>
  <si>
    <t>Andreas Kainz</t>
  </si>
  <si>
    <t>RT @dw_business: #POLL: Just 36 minutes left to vote! Have your say NOW: #VW or #Tesla? https://t.co/GS8t2foV4B</t>
  </si>
  <si>
    <t>rolandfilkus! #vw #vwlove #vwdepo #Golf2 #original #1988 #service https://t.co/9H9LJ8Yccj https://t.co/g3hW3T5Jpk</t>
  </si>
  <si>
    <t>Eero Haapala</t>
  </si>
  <si>
    <t>@SalmisenRiku @ylepuhe #finaalit #8tie seurassa todellinen analyytikko. #tappara #HIFK #liiga #vw #transporter https://t.co/O2lKi60uts</t>
  </si>
  <si>
    <t>Yritän pitää päivisin Suomen pyörät pyörimässä. Ahmin elämää, seuraan ja nautin urheilusta sen kaikissa muodoissa.</t>
  </si>
  <si>
    <t>Oli</t>
  </si>
  <si>
    <t>NRW Germany</t>
  </si>
  <si>
    <t>geek mit Schwarzen Humor. Exil Bayer und ich komme erst zurück wenn die da unten Demokratisch werden, also ab in die Schweinebucht!</t>
  </si>
  <si>
    <t>Steckelton</t>
  </si>
  <si>
    <t>RT @LeKWiNK: Es ist #EarthDay und #VW kriegt die Rechnung für die Abgasschummelei. Fast gerecht, würde es am Ende nicht die Leute am Fließb…</t>
  </si>
  <si>
    <t>Fabi // 21 // Punk // Cis // Bi // Privileged // Intersectional Feminist // Against all Discrimination Personal Stuff : @SuicidaIIdiot</t>
  </si>
  <si>
    <t>Diana Pop</t>
  </si>
  <si>
    <t>Bucureşti, România</t>
  </si>
  <si>
    <t>Painter, drawer, singer, songwriter, journalist, actress, dancer... wannabe. https://t.co/PgzLAGy2tE What journalism is (supposed to be) https://t.co/qwsHZYl9o2</t>
  </si>
  <si>
    <t>T.C. HAKAN SONOK</t>
  </si>
  <si>
    <t>RT @dw_turkce: Frankfurter Rundschau: #VW holdingi hem devlet birimlerini hem de müşterilerini aldatmıştır. https://t.co/x7jrraGjvF https:/…</t>
  </si>
  <si>
    <t>Antalya &amp; Alanya; Türkiye</t>
  </si>
  <si>
    <t>NO DM's!!NO DM's!!NO DM's!!NO DM's!!</t>
  </si>
  <si>
    <t>VW T5 Transporter Poptop Campervan 4: £8,000.00End Date: Friday May-20-2016 9:56:27 BSTAdd to watch list https://t.co/vRtMb2VqEr #vw</t>
  </si>
  <si>
    <t>#TopNews-ru.ru</t>
  </si>
  <si>
    <t>#VW Golf GTI Clubsport R заметили во время тестов # подробнее читайте здесь: https://t.co/34nA5cyUub https://t.co/Rn9pDyEjxO</t>
  </si>
  <si>
    <t>TOPNEWS-ru</t>
  </si>
  <si>
    <t>anabella mariell</t>
  </si>
  <si>
    <t xml:space="preserve">berazategui! </t>
  </si>
  <si>
    <t># Para muchos un género musical, Para mi un estilo de vida #electrónica ❤ # Amor al fiat ❤❤ # Mi corazón no late, Regula ❤❤</t>
  </si>
  <si>
    <t>Afrikan Optimist</t>
  </si>
  <si>
    <t xml:space="preserve">South Afrıka, Azania, Mzansi </t>
  </si>
  <si>
    <t>The World is my country, all mankind are my brethren, and to do good is my religion Thomas Paine</t>
  </si>
  <si>
    <t>A Gorila</t>
  </si>
  <si>
    <t>#VW #vwlove @ Wilde, Buenos Aires https://t.co/8RxeA3H2Fe</t>
  </si>
  <si>
    <t>Buenos Aires - Argentina</t>
  </si>
  <si>
    <t>22. Wilde, Avellaneda. snap: nkocher</t>
  </si>
  <si>
    <t>Jake Fenn</t>
  </si>
  <si>
    <t xml:space="preserve">Just a ball and a dream </t>
  </si>
  <si>
    <t>When you want to succeed as bad as you want to breath then you will succeed#ballislife</t>
  </si>
  <si>
    <t>Die öffentliche Erwartung #Abgasskandal #VW war total verzichtet #Boni.Sicher https://t.co/wjeBc0FZdd nicht 5.5 Mio sondern 2.2 Mio.Schande</t>
  </si>
  <si>
    <t>James A Umpherson</t>
  </si>
  <si>
    <t>#VW reaches US deal in emissions scandal...Now we need a #Canadian Resolution! https://t.co/LjsYJlHSHv</t>
  </si>
  <si>
    <t>I am more direct than the polite classes &amp; iconoclastic in my relentless &amp; vigorous questioning of orthodox patterns of thought, assumptions, and conclusions.</t>
  </si>
  <si>
    <t>Paul von Kessel</t>
  </si>
  <si>
    <t>@faznet ...sollte man den Artikel dann aktualisieren. Oder haben Sie vor #VW noch schlechter darzustellen als schon darstehen? #dieselgate</t>
  </si>
  <si>
    <t>Bilbao, Spain</t>
  </si>
  <si>
    <t>1992.catholic, hard working, business student @upvehu antiguo alumno d @gaztelueta y @unav family, society, education, cars, offroad, @FCBayern #MiaSanMia</t>
  </si>
  <si>
    <t>Kurt Lindgren</t>
  </si>
  <si>
    <t>Bakersfield, California</t>
  </si>
  <si>
    <t>Jesus Follower, Husband, Dad, Pastor</t>
  </si>
  <si>
    <t>Can't wait to get out 😩 #banned #mk1ownersclub #vw #volkswagen #mk1golf #cabby by mk1_kallum https://t.co/OG8hq5o0SW</t>
  </si>
  <si>
    <t>#mk1latvia #vw #mk1golf #car #classiccar #volkswagen #mk1 #vwgolf #oldschool #mk1lv #vwmk1 #golf1 #mk1meet #mk1jett… https://t.co/ndYYz55wme</t>
  </si>
  <si>
    <t>VW of Streetsboro</t>
  </si>
  <si>
    <t>Visit our website or call to take advantage of our current special! #vw #signthendrive #newcar @BernieMorenoCo https://t.co/QlCoNuyASw</t>
  </si>
  <si>
    <t>Streetsboro, OH</t>
  </si>
  <si>
    <t>A Bernie Moreno Company, Located at 855 Classic Drive, Streetsboro, Ohio 44241</t>
  </si>
  <si>
    <t>Wenn die Verantwortlichen eines Betriebs Vortreffliches leisten, sei ihnen ein angemessener Bonus gegönnt. Alles andere läuft unter #VW.</t>
  </si>
  <si>
    <t>We've got some SUPER deals on #VW! Come see us &amp; drive away in your new Passat, Jetta or Tiguan! Stohlman in Tysons https://t.co/45qd2trljz</t>
  </si>
  <si>
    <t>Cherch'Auto</t>
  </si>
  <si>
    <t>Agent automobile spécialiste en #voiture #neuve #occasion</t>
  </si>
  <si>
    <t>sevenbey</t>
  </si>
  <si>
    <t>RT @tazgezwitscher: Nach dem #Abgasskandal bei #VW folgt der größte Verlust der Konzerngeschichte. Mehr zum Thema: https://t.co/NtbN2QJifN</t>
  </si>
  <si>
    <t>JK Blackwell</t>
  </si>
  <si>
    <t>visual storyteller / documenter / ex-cavy slave / kitty slave</t>
  </si>
  <si>
    <t>gabriele hiller</t>
  </si>
  <si>
    <t>Landespolitikerin Freizeitläuferin Berlinerin</t>
  </si>
  <si>
    <t>Coralis Alondra</t>
  </si>
  <si>
    <t>Con el nene en venta 😭 #VW https://t.co/DDV8GDnbRO</t>
  </si>
  <si>
    <t>16|single| ig:alondracardona|Kik: alondracardona.|SC: alondra_Cardona|in love wt life!|</t>
  </si>
  <si>
    <t>TI archive: Siemens, Bosch, VW Headline Cuba Trade Visit https://t.co/oCWoFKLJWz #bosch #siemens #vw</t>
  </si>
  <si>
    <t>RT @Muschelschloss: Betrogene #VW-Kunden sollen 5.000 $ Entschädigung erhalten. VW to pay US customers $5,000 each to settle dieselgate htt…</t>
  </si>
  <si>
    <t>Reinhart Gruhn</t>
  </si>
  <si>
    <t>"Zu so einer „Unternehmenskultur“ passt ein Abgreifer an der Spitze" #VW https://t.co/RRsd5IO2Ts via @faznet</t>
  </si>
  <si>
    <t>Westfalen</t>
  </si>
  <si>
    <t>liberal, weltoffen, multikulturell https://t.co/im6a4Pc0hU</t>
  </si>
  <si>
    <t>RTL GP Rally Special</t>
  </si>
  <si>
    <t>News: Stand na KP5: 01. Latvala 02. Paddon + 5.4 sec 03. Ogier + 6.9 sec... #wrc #rtl7 #rtlgp #rtlrally #argentina #latvala #vw #paddon</t>
  </si>
  <si>
    <t>#rtlrally</t>
  </si>
  <si>
    <t>Televisieprogramma op RTL7 over alles wat rallysport is, was en wordt.</t>
  </si>
  <si>
    <t>VW not yet able to determine cost of emissions scandal - CEO https://t.co/k493UP89rA #VW #AutoNews</t>
  </si>
  <si>
    <t>Most significant reduction in company historical past for VW https://t.co/yIXroENxpU #VW #AutoNews</t>
  </si>
  <si>
    <t>Can VW Buy Back Drivers' Trust After Diesel Scandal? https://t.co/XDa3MS0Kjl #VW #AutoNews</t>
  </si>
  <si>
    <t>Fussfall</t>
  </si>
  <si>
    <t>In den Staaten gibt es 5000 Bucks und in DE feuchten Händedruck und Boni für Vorstände. #VW du olle Scheiße</t>
  </si>
  <si>
    <t>Und .....Aus! Biker Leseratte, Träumer, Realsadist</t>
  </si>
  <si>
    <t>excellent volkswagen jetta: Excellent car !! Silver automatic with shifting options too ( both... https://t.co/WIXTvgMAOR #VW #jetta #car</t>
  </si>
  <si>
    <t>2014 Volkswagen Jetta SE: 2014 Volkswagen Jetta. VIN: 3VWD17AJ7EM285229 condition: Used drive:... https://t.co/Ci5r0QaasY #VW #jetta #car</t>
  </si>
  <si>
    <t>RT @kngeuro: La chica linda del medio día #Sexy #female #vw #kingeuro https://t.co/jADVp85WaG</t>
  </si>
  <si>
    <t>Winfried Felser</t>
  </si>
  <si>
    <t>Ehemaliger #Controller bei #VW kann gut mit Zahlen umgehen. @th_sattelberger sind die Finanzköpfe unser Fluch https://t.co/T3PzB5fADO</t>
  </si>
  <si>
    <t>CEO Competence Site / NetSkill, author Content Marketing, Social Media, CRM, CXM, Logistics, Industrie 4.0, New Network Economy, ...</t>
  </si>
  <si>
    <t>Jada</t>
  </si>
  <si>
    <t>I like this band named 5SOS; | 0/4</t>
  </si>
  <si>
    <t>Fran☠​</t>
  </si>
  <si>
    <t>Río Gallegos</t>
  </si>
  <si>
    <t>#KawasakiKx250F River•»17 Años•[[Skate|Enduro|Motocross]].</t>
  </si>
  <si>
    <t>#VW #Audi und co. Verkaufe angesägte Leitern. Besoneres Feature: Stürzen wie im Breakdancer auf der Kirmes inbegriffen.</t>
  </si>
  <si>
    <t>eBay: Vw T5 sportline camper https://t.co/LyHt72oV7n #vwcamper #vwbus #vw https://t.co/ZEadscsjBy https://t.co/cPsYO9ESzG</t>
  </si>
  <si>
    <t>@DailyOli Europäischen Kunden zeigt #VW den Stinkefinger 🖕🏻, weil man hier keine Klagen im US-Maßstab zu befürchten hat.</t>
  </si>
  <si>
    <t>Metropolitan Area Frankfurt</t>
  </si>
  <si>
    <t>Wie glücklich man an Land war, merkt man erst, wenn das Schiff untergeht. (Seneca) | Like: ⚽ | #BVB #LFC | ♏️</t>
  </si>
  <si>
    <t>#VW versus #umantis @th_sattelberger Mein Interview mit Hermann Arnold plädiert für alternative Kultur https://t.co/o3KBiW1fET</t>
  </si>
  <si>
    <t>Jay Lord</t>
  </si>
  <si>
    <t>Northamptonshire, UK</t>
  </si>
  <si>
    <t>Proud lesbian and into animal rights, I am disgusted at the suffering humans inflict on those who have no voice. I identify as more animal than human ....</t>
  </si>
  <si>
    <t>Marie Havelin ✌️</t>
  </si>
  <si>
    <t>Birmingham</t>
  </si>
  <si>
    <t>Amanda Bronstad</t>
  </si>
  <si>
    <t>VW judge asks for secrecy in settlement talks #VW #CLASSACTIONS https://t.co/mpbwYHrrRY via @RecorderTweets</t>
  </si>
  <si>
    <t>ÜT: 34.061171,-118.236258</t>
  </si>
  <si>
    <t>Staff Reporter for The National Law Journal, covering Los Angeles legal news and mass torts and class actions across the country.</t>
  </si>
  <si>
    <t>Costas Pitas</t>
  </si>
  <si>
    <t>FACTBOX- #VW 's response in Europe to diesel emissions scandal https://t.co/VI73fclKQx via @ReutersUK #Volkswagen @Reuters</t>
  </si>
  <si>
    <t>Reuters correspondent covering the UK car industry, housebuilders and general news in London. Ex #r4today |Views mine -RTs/follows ≠endorsement</t>
  </si>
  <si>
    <t>#dieselgate Einigung in den USA? Bonuszahlungen für die Manager? #VW enteignen und demokratisieren GG Art. 14! https://t.co/gEscnXCFiP</t>
  </si>
  <si>
    <t>FanCar Picture - Send me your Scirocco pictures!!! (PM Please) #VW #Volkswagen #Scirocco #Tuning https://t.co/JPWxBE7zV1</t>
  </si>
  <si>
    <t>MotoJunky (PTY) LTD</t>
  </si>
  <si>
    <t>Spot on 😂😂😂😂 #mk1 #vwmk1 #golf1 #volkswagen #instagram_sa #instagram #settingthestandard #vw… https://t.co/UdykBgglcB</t>
  </si>
  <si>
    <t>Cape Town, Western Cape</t>
  </si>
  <si>
    <t>Retailers of quality coilovers,suspension and performance products and accessories,based in Cape Town. We pride ourselves on exceptional service.</t>
  </si>
  <si>
    <t>maia ❣</t>
  </si>
  <si>
    <t>a esto, se lo denomina la gloria? see 😍⬇ #vw https://t.co/iseUblvJGK</t>
  </si>
  <si>
    <t>Pero si es fuerte la caída más impresionante será mi regreso ❣ || 1544291198 || Amante de los autos || Nos verán volver, #1y57 ❤ || 13</t>
  </si>
  <si>
    <t>Aaron Madar</t>
  </si>
  <si>
    <t>#Canadian #VW owners may have to wait until June for info on compensation #Volkswagen #volkswagenscandal #Canada https://t.co/TcpYxpxdIP</t>
  </si>
  <si>
    <t>Markham, Ontario</t>
  </si>
  <si>
    <t>Markham Lions Club - Member | Toronto Trillium Lions Club - Past President | Master of Ceremonies | #MCAaronMadar | Views are my own</t>
  </si>
  <si>
    <t>PrimaDonna Prods</t>
  </si>
  <si>
    <t>San Antonio, Texas</t>
  </si>
  <si>
    <t>At PrimaDonna Productions, Inc. we produce and promote film, theatre, and live events in Texas.</t>
  </si>
  <si>
    <t>#Logo #Vw #Polo #LeFaltaelRojo ! https://t.co/OzCNt4ankB</t>
  </si>
  <si>
    <t>Sesionesdjvip.es</t>
  </si>
  <si>
    <t>ZonaSpotify</t>
  </si>
  <si>
    <t>Sesionesdjvip.es Web De contenido Djs Sesiones Mixer Recopilatorios online y descargas directas</t>
  </si>
  <si>
    <t>InstinctiveInvestors</t>
  </si>
  <si>
    <t>VW increases it's cost of provision with regards to the emissions-cheating scandal to $18.2 billion. #VW #Emissions #Scandal</t>
  </si>
  <si>
    <t>Connect, Interact and Empower the Finance Community. Register as an Author to build your portfolio or as a member to read and follow your favourite authors.</t>
  </si>
  <si>
    <t>#VW posts biggest ever losses on $18 billion emissions-cheating charge -- https://t.co/jpxukAYrWl #volkswagen</t>
  </si>
  <si>
    <t>Miguel Torres</t>
  </si>
  <si>
    <t>#vw y su multa histórica. https://t.co/7e2MkVCOla</t>
  </si>
  <si>
    <t>ÜT:</t>
  </si>
  <si>
    <t>Coordinador Comercial en https://t.co/Zerdqm1V2g; viajar, autos y música cubana. No quedarse con ganas de nada!</t>
  </si>
  <si>
    <t>Velianoo</t>
  </si>
  <si>
    <t>Argentinaaaaa:D</t>
  </si>
  <si>
    <t>Sos ese lugar tranquilo donde quiero estar .3</t>
  </si>
  <si>
    <t>Jack Jacobs</t>
  </si>
  <si>
    <t>RT @TheI_Investors: VW increases it's cost of provision with regards to the emissions-cheating scandal to $18.2 billion. #VW #Emissions #Sc…</t>
  </si>
  <si>
    <t>@KPMGUK Auditor. Founder of @TheI_Investors. Mental Health Advocate. Media Volunteer for @BeatED. @AMJProductions_. All views are my own.</t>
  </si>
  <si>
    <t>Tips para Niños</t>
  </si>
  <si>
    <t>RT @LEG0fan: #LEGO #VW http://t.co/nrpm0H9f7h</t>
  </si>
  <si>
    <t>El contador de chistes</t>
  </si>
  <si>
    <t>Eres mamá aquí encontrarás los mejores #tips y #consejos para tus #niños. Negocios: https://t.co/2wfOOT8VVZ</t>
  </si>
  <si>
    <t>IIJ</t>
  </si>
  <si>
    <t>@TheI_Investors #ConnectInteractEmpower</t>
  </si>
  <si>
    <t>Georg Albrecht</t>
  </si>
  <si>
    <t>@BundCBerlin @bayl @doern hatte ich das mal richtig gehört, #VW ist Deutschlands größter #Currywurst-Hersteller? 😉</t>
  </si>
  <si>
    <t>Potsdam / Berlin - Hamburg</t>
  </si>
  <si>
    <t>Interessen: #Autos, #Verkehr, #Verkehrspolitik, #Fernbus, #Kanu, #Motorsport, #Eisbären, #House Music, #Tatort, Politik, Eigene Meinung! ;) ... Nutzt #Threema!</t>
  </si>
  <si>
    <t>CounterCorp</t>
  </si>
  <si>
    <t>#Mercedes, #Opel &amp; #VW/#Porsche recalling 630,000+ European diesels after probe finds #Bosch-made temp-based cut-off https://t.co/dnXVEpeTL5</t>
  </si>
  <si>
    <t>Berkeley, California, USA</t>
  </si>
  <si>
    <t>Organizers of the Anti-Corporate Film Festival, Corporate Crime Blotter (@corpcrimeblot), and Corporation Watch blog. Re-tweets are endorsements &amp; inducements.</t>
  </si>
  <si>
    <t>Sarah Mahoney</t>
  </si>
  <si>
    <t>boston/minneapolis</t>
  </si>
  <si>
    <t>find me in my bed or your pantry</t>
  </si>
  <si>
    <t>Caren Lay</t>
  </si>
  <si>
    <t>#VW ist nicht allein! Auch viele andere betrügen. Wen wunderts? Die Diesel-Affäre ist für alle da https://t.co/0AXqdvxzKJ via @SPIEGELONLINE</t>
  </si>
  <si>
    <t>Mitglied des Deutschen Bundestags (MdB) • Stv. Partei- und Fraktionsvorsitzende DIE #LINKE • Wahlkreis #Bautzen • Themen: #Mieten #Wohnen #Feminismus #Antifa</t>
  </si>
  <si>
    <t>eBay: 1974 Classic VW Beetle with MOT https://t.co/fbOnceyzpy #vwbeetle #vwbug #vw https://t.co/xvfL74PTgl https://t.co/yGwv82fPJL</t>
  </si>
  <si>
    <t>eBay: vw t5 lwb 140 camper van https://t.co/MKebGQfl7T #vwcamper #vwbus #vw https://t.co/ZEadscsjBy https://t.co/zvhs5Zn91Z</t>
  </si>
  <si>
    <t>#VW of the Day: Going green. #EarthDay https://t.co/ReiasAOCQz</t>
  </si>
  <si>
    <t>RT @maimaman_n: a esto, se lo denomina la gloria? see 😍⬇ #vw https://t.co/iseUblvJGK</t>
  </si>
  <si>
    <t>Chipi</t>
  </si>
  <si>
    <t>Parque del Plata</t>
  </si>
  <si>
    <t>2⃣0⃣</t>
  </si>
  <si>
    <t>#vw #tshirt #design by me https://t.co/PxrnpP4trB #volkswagen #giftideas #clothing #fashion #gifts #cool #ladbible https://t.co/mV7K00eGyo</t>
  </si>
  <si>
    <t>Sagitariana♐// 18// cerveza y un amor</t>
  </si>
  <si>
    <t>ʅσƈσ ƥσɾ Ʀɪvєɾ ❤</t>
  </si>
  <si>
    <t>Mi amor por #River no se explica ni se entiende, se vive y se siente! | Leo ♌ | 16 | piscuu | #TeoGutierrez♥ | Yael TBM| DanteAC| El As | Irione| Melodicow.</t>
  </si>
  <si>
    <t>Chochi ♥</t>
  </si>
  <si>
    <t>Merlo San Luis</t>
  </si>
  <si>
    <t>Lo que empezó jugando, termino gustando..♪</t>
  </si>
  <si>
    <t>DU♛</t>
  </si>
  <si>
    <t>El día que te conocí,te lo juro fue el mejor ♥ ! ♪ 4/11/2014 http://t.co/VlW7AI89Oe ♛♡ †</t>
  </si>
  <si>
    <t>★francoo☆</t>
  </si>
  <si>
    <t>VAMOS A VOLVER , YA VAS A VER ♥C.A.T♥.... wp 3513985398 !! // de mi novia hermosa Ro</t>
  </si>
  <si>
    <t>E M A</t>
  </si>
  <si>
    <t>san lorenzo santa fe</t>
  </si>
  <si>
    <t>boca boca de mi vida vos sos la alegría de mi corazón ♡♥♡</t>
  </si>
  <si>
    <t>Tom Ford</t>
  </si>
  <si>
    <t>I❤️1980s. This'll make you wince: 270 miles from new. #VW #GolfGTi 8v. Utterly perfect. #oldschool https://t.co/FSvVIzZrxm</t>
  </si>
  <si>
    <t xml:space="preserve">Lost, probably. </t>
  </si>
  <si>
    <t>Writer. Ghetto engineer. Prone to adventuring. Views are my own and not those of a real person. Insta: TomWookieFord</t>
  </si>
  <si>
    <t>pau♚</t>
  </si>
  <si>
    <t>Larga vida al rock . ♋</t>
  </si>
  <si>
    <t>#VW 123,33€ -2,00% GIERiger Vorstand verzichtet nur auf 30% Boni, Aktionäre müssen auf 96% Dividende verzichten! https://t.co/StEqEgySlt</t>
  </si>
  <si>
    <t>RT @VWofStreetsboro: Visit our website or call to take advantage of our current special! #vw #signthendrive #newcar @BernieMorenoCo https:/…</t>
  </si>
  <si>
    <t>RT @StohlmanAuto: We've got some SUPER deals on #VW! Come see us &amp; drive away in your new Passat, Jetta or Tiguan! Stohlman in Tysons https…</t>
  </si>
  <si>
    <t>✖✖✖✖✖</t>
  </si>
  <si>
    <t>Paul Murray</t>
  </si>
  <si>
    <t>RT @tomwookieford: I❤️1980s. This'll make you wince: 270 miles from new. #VW #GolfGTi 8v. Utterly perfect. #oldschool https://t.co/FSvVIzZr…</t>
  </si>
  <si>
    <t>Love cars and tech . Live in #WestCork . Work in @fortuitytech .</t>
  </si>
  <si>
    <t>Héctor Beney</t>
  </si>
  <si>
    <t>Adm: @CordobaFierrera Futuro Ing Mecánico, Mecatrónica de la UTN Santa Fe. wpp: 3544 619627 Fierros al sopi, al palo y hasta las tuercas</t>
  </si>
  <si>
    <t>eBay: 2010 VOLKSWAGEN BEETLE 2.0 TSI BLUE… https://t.co/2IUk5IA5Pb #vwbeetle #vwbug #vw https://t.co/xvfL74PTgl https://t.co/ZhftDC0MBy</t>
  </si>
  <si>
    <t>Camila</t>
  </si>
  <si>
    <t>4años! (ProhibidoOlvidar)</t>
  </si>
  <si>
    <t>Rahul Kumar</t>
  </si>
  <si>
    <t>Bangalore, India</t>
  </si>
  <si>
    <t>Read for Experience, Code for Living &amp; Ride to add Life to Life</t>
  </si>
  <si>
    <t>Editor's Note: Hit electric car subsidy kill switch - https://t.co/eTbwrUh4ib #electriccar #electriccars #vwgate #vw</t>
  </si>
  <si>
    <t>The Inside Man</t>
  </si>
  <si>
    <t>Love these brilliant #Volkswagen #VW #Washbags from @TheMonsterFact2! Now only £11.99! https://t.co/WahqY2dVS2 https://t.co/NRT3RCeObA</t>
  </si>
  <si>
    <t>Wandsworth, London</t>
  </si>
  <si>
    <t>Team T.I.M work tirelessly to discover both traditional and innovative high quality gifts for both men and women.</t>
  </si>
  <si>
    <t>Jenny</t>
  </si>
  <si>
    <t>Hochtaunuskreis, Hessen</t>
  </si>
  <si>
    <t>Goth-Girl with a heart of Metal. Nurse in Training. Bibliophile, Science Geek, Pagan Protestant Humanist, sarcastic Idealist, Lover of Nature. Despises Bigotry.</t>
  </si>
  <si>
    <t>K. Peter Laskowski</t>
  </si>
  <si>
    <t>RT @CarenLay: #VW ist nicht allein! Auch viele andere betrügen. Wen wunderts? Die Diesel-Affäre ist für alle da https://t.co/0AXqdvxzKJ via…</t>
  </si>
  <si>
    <t>MetroTwit</t>
  </si>
  <si>
    <t>Gärtringen-Rohrau</t>
  </si>
  <si>
    <t>#Queerpolitik, #Antifaschismus, #Digitalisierung DIE LINKE.BaWü, Bundeskoordinierungskreis der Emanzipatorischen Linken fds. Laut AfD ein „linker Wortführer“.</t>
  </si>
  <si>
    <t>Mahindra banks on start-ups to drive electric vehicle sales https://t.co/zior7MNMWD #electriccar #electriccars #vwgate #vw</t>
  </si>
  <si>
    <t>Norman Bussel</t>
  </si>
  <si>
    <t>Author: My Private War;Liberated Body, Captive Mind. Spokesman on PTSD. WWII former POW in Germany.</t>
  </si>
  <si>
    <t>AUTO CONSULTANT</t>
  </si>
  <si>
    <t>Essai comparatif Tiguan Vs Kadjar ! https://t.co/0CNxqj69BB #Renault #VW #Tiguan #Kadjar #essaiautomobile</t>
  </si>
  <si>
    <t>Lille Paris</t>
  </si>
  <si>
    <t>#Recrutement et solutions #RH pour le monde #automobile / #moto / pl. Cabinet de conseil avec de plus de 20 ans d’expérience dans l'automobile.</t>
  </si>
  <si>
    <t>People say you are dirty. I don't care I will always love you @VW ❤️ #vwlove #tdi #EarthDay #vw https://t.co/8wkPT5akZO</t>
  </si>
  <si>
    <t>Aru♥</t>
  </si>
  <si>
    <t>18/bailarina/CARP/tatuajes/Enamorada del blanco y rojo Snap:Ariana.Coll Estudiante de enfermería en La Plata</t>
  </si>
  <si>
    <t>Denby Campervans</t>
  </si>
  <si>
    <t>The #Volkswagen #T6 #Transporter is available to order now! - https://t.co/3pnaFNU6HW Finance available! #VW #VWT6 https://t.co/baMcIEfBdz</t>
  </si>
  <si>
    <t>Steve Schmidt</t>
  </si>
  <si>
    <t>#demokratischer Sozialist @dieLinke #Politik #Fair #Sozial #Gerecht #Teilhabe #r2g #Pro-BGE #Literatur #Kunst #Fotografie @borussia</t>
  </si>
  <si>
    <t>Metropole Ruhr ✍</t>
  </si>
  <si>
    <t>- Europäer - #Ruhrgebiet -</t>
  </si>
  <si>
    <t>Freelancer #verdi - #Ruhrgebiet - #news #Medien #NRW #PR #BVB #socialWeb --- --- #Politik #SPD = @150JahreSPD --- --- --- #SocialMedia = @federlesen</t>
  </si>
  <si>
    <t>Dai Páez</t>
  </si>
  <si>
    <t>Snap: Daichupaez Te amo mi amor sos el amor de mi vida te amo eternamente ❤️</t>
  </si>
  <si>
    <t>Jamie Westwood</t>
  </si>
  <si>
    <t>InteressantesDE</t>
  </si>
  <si>
    <t>Die Sensation! #Dobrindt #VW #abgasgate @heuteshow https://t.co/A1ff2sWWWo</t>
  </si>
  <si>
    <t>Vereinigtes Königreich</t>
  </si>
  <si>
    <t>Ehrlich und Unabhängig seit 1882. Über 1000 Fakten gibt's auf Instagram! Fakten und Weltanschauung in 140 Zeichen.</t>
  </si>
  <si>
    <t>Happy Funday! VW Baja Beetle It's Earth Day. #getoutanddrive #getoutandexplore #vw #volkswagen #vwlife #vwbug #v… https://t.co/WBFRSXUw43</t>
  </si>
  <si>
    <t>Propone: #VW #Golf #Benzina, 01.10.2015, 16.941 km, 21.500 € https://t.co/37AG7A3mPw https://t.co/LKwQm6jMGW</t>
  </si>
  <si>
    <t>👊 #vw #vwlife #vwbeetle #vwbeetlelovers #poshwash #posh #accesspark #capetown #carporn #cargram #detailingaddicts #… https://t.co/mOPwdFnIKn</t>
  </si>
  <si>
    <t>Propone: #VW #Golf #Diesel, 30.01.2015, 42.290 km, 18.200 € https://t.co/37AG7A3mPw https://t.co/uPm9DmYDg0</t>
  </si>
  <si>
    <t>Propone: #VW #Golf #Benzina, 29.01.2016, 1.737 km, 21.900 € https://t.co/37AG7A3mPw https://t.co/1zasSkh6T0</t>
  </si>
  <si>
    <t>👌 #vw #vwlife #vwbeetle #vwbeetlelovers #poshwash #posh #accesspark #capetown #carporn #cargram #detailingaddicts #… https://t.co/NNARLRXlvy</t>
  </si>
  <si>
    <t>Propone: #VW #Golf #Diesel, 30.01.2015, 65.900 km, 17.900 € https://t.co/37AG7A3mPw https://t.co/gJDKizuqKj</t>
  </si>
  <si>
    <t>👌 #vw #vwlife #vwbeetle #vwbeetlelovers #poshwash #posh #accesspark #capetown #carporn #cargram #detailingaddicts #… https://t.co/IAGcxK5BlT</t>
  </si>
  <si>
    <t>Rat Bug! #vwbeetle #slammed #stance #vw #hotrod #showcar #customcars #vdub by vt_sv https://t.co/h92oY9MzoA</t>
  </si>
  <si>
    <t>______________ (ô\_!_/ô) ______________ #beetle #vwbug #kafer #classic #fusca #pre #vw #german #love #vwbeetle #c… https://t.co/s7wJ7EYqTP</t>
  </si>
  <si>
    <t>Smile Lurch. #vwbug #vocho #vwbeetle #rustbug #rustybug #rustygold #inrustwetrust #patina #patinaride #vw #jrskunkw… https://t.co/qw84ckORmw</t>
  </si>
  <si>
    <t>______________ (ô\_!_/ô) ______________ #beetle #vwbug #kafer #classic #fusca #pre #vw #german #love #vwbeetle #c… https://t.co/zV5Ffs8MVY</t>
  </si>
  <si>
    <t>Karina Sanchez</t>
  </si>
  <si>
    <t>Piotrek</t>
  </si>
  <si>
    <t>#vw #volkswagen #golf #mk1 #customize #motoclassic @ Gostynin https://t.co/BD5NJDEjKF</t>
  </si>
  <si>
    <t>Koneck, Poland</t>
  </si>
  <si>
    <t>Siedzę niemalże na słońcu, które smaży mi dupę, macham do ufo a komety robią delikatny wiaterek</t>
  </si>
  <si>
    <t>craig marsh</t>
  </si>
  <si>
    <t>Nardone</t>
  </si>
  <si>
    <t>A.T.V YAMAHA|| 1157343361. ||Chevrolet La15°||Yamaha||400TEAM</t>
  </si>
  <si>
    <t>Steffen Roski</t>
  </si>
  <si>
    <t>#VW muss mal lüften und öffnet das #Thermofenster .</t>
  </si>
  <si>
    <t>ICQ 680 841 514</t>
  </si>
  <si>
    <t>https://t.co/7hbzi91943</t>
  </si>
  <si>
    <t>Fran Sanchez</t>
  </si>
  <si>
    <t xml:space="preserve">La Plata </t>
  </si>
  <si>
    <t>Foward en A.R.C</t>
  </si>
  <si>
    <t>eBay: Mercedes V220 CDi Vito people… https://t.co/GZd5IlkHA2 #vwcamper #vwbus #vw https://t.co/ZEadscsjBy https://t.co/A4rEqjThGY</t>
  </si>
  <si>
    <t>#VW, #Daimler among carmakers to recall 630,000 vehicles after German govt probe finds widespread irregularities. https://t.co/Q6Zm9xZo2T</t>
  </si>
  <si>
    <t>Ray Goldbaer</t>
  </si>
  <si>
    <t>Aha #Thermofenster - Wieder was dazu gelernt. ☺ #Audi #VW #Porsche #Opel #MercedesBenz</t>
  </si>
  <si>
    <t>Lingen (Ems), Germany</t>
  </si>
  <si>
    <t>Nicht hören kann er gut in Lingen (Ems). Calm and as daring</t>
  </si>
  <si>
    <t>Sven Hell</t>
  </si>
  <si>
    <t>Bonus-Zahlungen bei #VW nur auf Eis gelegt.</t>
  </si>
  <si>
    <t>Leipzig, FailedStateSaxony</t>
  </si>
  <si>
    <t>*Dunkler Prophet* *Metalhardcorepunk* *Inner-Child-Rescuer* *Peaceful Warrior* *eigentl.NIEDERER Sachse* *behind enemy lines* *Kulturpessimist*</t>
  </si>
  <si>
    <t>Vielleicht sollte #VW demnächst seinen Vertrieb von #Zalando erledigen lassen: Autos mit Recht auf Umtausch. Auto ins Paket, zurück damit.</t>
  </si>
  <si>
    <t>Electric vs Hydrogen – The battle to fuel the future of cars [Infographic] - https://t.co/SoDpuH63EV #electriccar #electriccars #vwgate #vw</t>
  </si>
  <si>
    <t>RT @boerseARD: Vertrauen in #VW laut Umfrage schwer erschüttert: https://t.co/6m34auRRcX</t>
  </si>
  <si>
    <t>Kevin Hutchings</t>
  </si>
  <si>
    <t>Livingston,West Lothian.</t>
  </si>
  <si>
    <t>Medicated Cynicism On Tap</t>
  </si>
  <si>
    <t>Behind the wheel- the best place to be. https://t.co/NfsJunfw6b #VW #Volkswagen https://t.co/XWCZE536u2</t>
  </si>
  <si>
    <t>Patrick Meier</t>
  </si>
  <si>
    <t>Verstehe ich es richtig. Es sollen sämtliche VW-Aktien verkauft werden,damit Versager keine Bonuszahlungen bekommen. #vw #dieselgate</t>
  </si>
  <si>
    <t>Frankfurt am Main - Mainhatten</t>
  </si>
  <si>
    <t>Frankfurter mit Leib &amp; Seele, Blogger aus Leidenschaft, Fotograf mit zuwenig Zeit, gelernter Verlagskaufmann, Zeitungsleser, überzeugter Vlielandurlauber</t>
  </si>
  <si>
    <t>RT @ZappMM: Vertrauen und Verlässlichkeit seit 50 Jahren - damit wirbt #VW aktuell. Eine waghalsige Werbung findet #ZAPP https://t.co/6ppvw…</t>
  </si>
  <si>
    <t>RT @UniversityVW: Behind the wheel- the best place to be. https://t.co/NfsJunfw6b #VW #Volkswagen https://t.co/XWCZE536u2</t>
  </si>
  <si>
    <t>Trotz Milliardenverluste durch #Betrug aufgeschobene Boni für #VW-Manager? #Volkswagen #VW #Boni #Abgasskandal #Weil</t>
  </si>
  <si>
    <t>Martin Thoma</t>
  </si>
  <si>
    <t>Arbeiter klaut 22 Euro von #VW -&gt; Fristlose Kündigung https://t.co/f7UDsv7AzZ #Manager kosten VW 16,4Mrd Euro-&amp;gt;#Boni https://t.co/uaQMBCddIy</t>
  </si>
  <si>
    <t>Karlsruhe, Germany</t>
  </si>
  <si>
    <t>Student ✲ Informatiker</t>
  </si>
  <si>
    <t>#VW posts steep 2015 loss in wake of #Dieselgate https://t.co/sPS12slBRs https://t.co/312Kzw4Khl</t>
  </si>
  <si>
    <t>RT @DanitoBl: #VW künftig ohne Slogan: "@Volkswagen trägt bereits alles im Namen, was man braucht, um unsere Beziehung zum Kunden zu erklär…</t>
  </si>
  <si>
    <t>Solo se necesitan 2 para un tango, pero 4 para un polo. #humor #vw https://t.co/IGtuW9a31d</t>
  </si>
  <si>
    <t>Norbert</t>
  </si>
  <si>
    <t>Die Boni werden umgewandelt in virtuelle Aktien. Wenn man Fehler macht, bekommt man seine Belohnung erst später. #vw</t>
  </si>
  <si>
    <t>Früher Fussballblog. Heute Fussball und andere. Socialmedia &amp; Marketing. Viel Musik auch. Ferretcontent. #ALLEzGruen.</t>
  </si>
  <si>
    <t>Kiki</t>
  </si>
  <si>
    <t>Hallo @SPIEGELONLINE, könnt Ihr bitte damit aufhören, es „Schummelsoftware“ zu nennen und es korrekt als „Betrugswerkzeug“ bezeichnen? #VW</t>
  </si>
  <si>
    <t>Illustratorin &amp; Designerin in Hamburg. Arbeitet für die besten und nettesten Kunden weltweit. Sie möchten gern dazugehören? Nur zu: https://t.co/kBiuIQBAFt.</t>
  </si>
  <si>
    <t>Car wash time. #bp #ourfuelstory #adac #4x4 #vw #offroad #rolex #submariner #thechronoduo… https://t.co/KvjuettAwE</t>
  </si>
  <si>
    <t>Helena Falke</t>
  </si>
  <si>
    <t>RT @InteressantesIG: Die Sensation! #Dobrindt #VW #abgasgate @heuteshow https://t.co/A1ff2sWWWo</t>
  </si>
  <si>
    <t>Nicki Finlayson</t>
  </si>
  <si>
    <t>todays jobs finder</t>
  </si>
  <si>
    <t>#VW sets fresh record with historic car buy back #jobs #jobsearch #: #Volkswagen ran an ad for the Beetle in t... https://t.co/mORFKIEh5q</t>
  </si>
  <si>
    <t>Weil am Rhein, Deutschland</t>
  </si>
  <si>
    <t>https://t.co/5gFLEsVlp2 | Jobs worldwide Vacancies Career . #jobs #jobsearch</t>
  </si>
  <si>
    <t>RT @beetlebug1938: ______________ (ô\_!_/ô) ______________ #beetle #vwbug #kafer #classic #fusca #pre #vw #german #love #vwbeetle #c… htt…</t>
  </si>
  <si>
    <t>Stephan Chrzescinski</t>
  </si>
  <si>
    <t>RT @e13Kiki: Hallo @SPIEGELONLINE, könnt Ihr bitte damit aufhören, es „Schummelsoftware“ zu nennen und es korrekt als „Betrugswerkzeug“ bez…</t>
  </si>
  <si>
    <t>Andererseits.../Then again...</t>
  </si>
  <si>
    <t>DDR</t>
  </si>
  <si>
    <t>Berlin, Hauptstadt der DDR</t>
  </si>
  <si>
    <t>Annektierter Staat in Mitteleuropa. Schwarz-Rot-Gold mit Hammer, Zirkel und Ährenkranz steht für Weltfrieden, Offenheit und Sozialismus. Freundschaft!</t>
  </si>
  <si>
    <t>Günter F. Schulze</t>
  </si>
  <si>
    <t>#tagesschau : #VW Boni nur eingefroren. Eine Frechheit, insbes auch Aussage M. Müller, dass Arbeitsplätze ja gesichert seien @Volkswagen</t>
  </si>
  <si>
    <t>Am Beispiel #VW kann man die ganze Obszönität zeitgenössischer #Wirtschaft erkennen: Boni bei u für Betrug, #Dividende bei Verlust</t>
  </si>
  <si>
    <t>Joseph Wiredu</t>
  </si>
  <si>
    <t>RT @dwnews: #VW posts steep 2015 loss in wake of #Dieselgate https://t.co/sPS12slBRs https://t.co/312Kzw4Khl</t>
  </si>
  <si>
    <t>+233WestCoastAfrica</t>
  </si>
  <si>
    <t>Felix von Ackern</t>
  </si>
  <si>
    <t>#VW-Vorstand: "Boni werden erst in 3 Jahren wieder ausbezahlt. Also 2018" Jetzt ist mir auch klar, warum die Schadstoffzahlen nicht stimmen.</t>
  </si>
  <si>
    <t>Wien/Berlin</t>
  </si>
  <si>
    <t>Ich wollte Flugbegleiterinnenbegleiter werden. Bin aber beim Radio gelandet.</t>
  </si>
  <si>
    <t>Electric&amp;Hybrid Cars</t>
  </si>
  <si>
    <t>#EmisyonKrizi acısı çıkmaya başladı #Mercedes #Opel #Porsche #VW den toplam 630,000 adetlik geri çağırma #emissions https://t.co/BKFgk9lZan</t>
  </si>
  <si>
    <t xml:space="preserve">berkan@EHcars.net </t>
  </si>
  <si>
    <t>Turkey's the First&amp;Only Electric&amp;Hybrid Cars Magazine / Türkiye'nin ilk ve tek Elektrikli ve Hibrid Otomobiller Dergisi #Elektrikli #Hibrid #Otomobil #araba</t>
  </si>
  <si>
    <t>Creeperagent26</t>
  </si>
  <si>
    <t>Deutschland/Germany</t>
  </si>
  <si>
    <t>Brooke Masters</t>
  </si>
  <si>
    <t>RT @Sole_bany: #Theranos &amp; #VW &gt; "When something is too good to be true"... Great piece by @brookeamasters via @FinancialTimes https://t.co…</t>
  </si>
  <si>
    <t>Companies Editor at the Financial Times</t>
  </si>
  <si>
    <t>T.</t>
  </si>
  <si>
    <t>Boni kassierende Vorstände von #Volkswagen #VW unter meinen Verwandten würde ich aus dem Stammbaum löschen. Entlassungswelle kommt sicher.</t>
  </si>
  <si>
    <t>It's a long way to go ... and I'm still walkin' ...</t>
  </si>
  <si>
    <t>RT @volcombug: People say you are dirty. I don't care I will always love you @VW ❤️ #vwlove #tdi #EarthDay #vw https://t.co/8wkPT5akZO</t>
  </si>
  <si>
    <t>Buchtante</t>
  </si>
  <si>
    <t>#VW Manager verzichten gar nicht auf Teile ihrer Boni. Das Geld wird quasi angelegt für drei Jahre. Verrückt! #Abgasskandal</t>
  </si>
  <si>
    <t>Buchhändlerin - Bloggerin - Studiere Politikwissenschaft &amp; Soziologie Kuratiere Literatur @niuws https://t.co/LOkunA2fLf…</t>
  </si>
  <si>
    <t>eBay: VW T5 Camper conversion - 2009 / 89K /… https://t.co/jNjgs2fTI0 #vwcamper #vwbus #vw https://t.co/ZEadscsjBy https://t.co/V50VEhw6Pb</t>
  </si>
  <si>
    <t>Porsche Fan club</t>
  </si>
  <si>
    <t>Electric&amp;Hybrid Cars EHcars #EmisyonKrizi acısı çıkmaya başladı #Mercedes #Opel #Porsche #VW den toplam 630,000 ad… https://t.co/ufq4C6lZvy</t>
  </si>
  <si>
    <t>Retrouvez toute l'actualité du célèbre constructeur #Porsche, les modèles occasion, le club Porsche Design</t>
  </si>
  <si>
    <t>Phil Edwards</t>
  </si>
  <si>
    <t>Uckfield &amp; Fletching, E Sussex</t>
  </si>
  <si>
    <t>We're an Engineering Education company, showcasing STEM with the world's quickest Electric drag-bike. Details at https://t.co/EhLijYryd8</t>
  </si>
  <si>
    <t>¿ JG ?</t>
  </si>
  <si>
    <t>Lisboa, Portugal</t>
  </si>
  <si>
    <t>Sou uma pessoa calma até me irritarem. • hip hop • SLB • bf • #CarregaBenfica</t>
  </si>
  <si>
    <t>beadees</t>
  </si>
  <si>
    <t>zw. Ochtum und Varreler Bäke</t>
  </si>
  <si>
    <t>Kleines Licht, das mit seinem Format im Reinen ist</t>
  </si>
  <si>
    <t>990-6907XB71</t>
  </si>
  <si>
    <t>But will #VW compensate those who bought #Volkswagen "Lemons" in good faith? (Lemons = Used Cars term in the US) #c4news</t>
  </si>
  <si>
    <t>6072 Animoid Row, Annexia</t>
  </si>
  <si>
    <t>Replicant. Social Undesirable. Four Year Lifespan. (Film, photography, essays, reading, writing, time-lapse) ヽ(•‿•)ノ</t>
  </si>
  <si>
    <t>Midgedog</t>
  </si>
  <si>
    <t>South Coast Uk - New Forest</t>
  </si>
  <si>
    <t>Photographer, husband, father of 2, passionate vaper and self confessed Moto GP nut.</t>
  </si>
  <si>
    <t>#VW Doubles Provisions for Cheating Scandal to $18.2 Billion https://t.co/2VyTCUNnQ6</t>
  </si>
  <si>
    <t>Is #Volkswagen celebrating #EarthDay? #VW #c4news</t>
  </si>
  <si>
    <t>holminger</t>
  </si>
  <si>
    <t>Größten Verlust der #VW Firmengeschichte einfahren und 30% der Boni(!) einfrieren, passt für mich nicht zusammen.</t>
  </si>
  <si>
    <t>da, wo mein iPhone ist</t>
  </si>
  <si>
    <t>Coder, sowie iOS- u. OS X- Fanboy.</t>
  </si>
  <si>
    <t>Steve Fx ©2016</t>
  </si>
  <si>
    <t>RT @kinoptika: Is #Volkswagen celebrating #EarthDay? #VW #c4news</t>
  </si>
  <si>
    <t>European Charioteer #ff</t>
  </si>
  <si>
    <t>We really need to better understand our relationships with money http://t.co/yUBIeKWeVS #MMT Deficit lies and liars! #Epiphany</t>
  </si>
  <si>
    <t>Cyn</t>
  </si>
  <si>
    <t>. #VW - Volkswagen owners will get a choice: a buyback or repairs https://t.co/PB7hRngPJt #feedly</t>
  </si>
  <si>
    <t>Illinois</t>
  </si>
  <si>
    <t>Dau-Sister-Wife-Mother(2)-Gma(3)-Neighbor, independent - ♥ animals - _/l\_ ☮ ♥ ☀</t>
  </si>
  <si>
    <t>Negruu</t>
  </si>
  <si>
    <t>Avellaneda - Gerli</t>
  </si>
  <si>
    <t>21 Libra - Rasta✌ Natación &amp; Fitness</t>
  </si>
  <si>
    <t>Jetzt live: Brennpunkt - Massenrückruf im Abgas-Skandal https://t.co/fMjSOSUXr5 #VW #Dieselgate</t>
  </si>
  <si>
    <t>Markus Beukert</t>
  </si>
  <si>
    <t>Wieso bekommen VW Manager bei den größten Verlust der Firmengeschichte überhaupt Bonizahlungen?#VW #Geld #Auto https://t.co/DfrkslVnTn</t>
  </si>
  <si>
    <t>Gera</t>
  </si>
  <si>
    <t>Topspeed</t>
  </si>
  <si>
    <t>Η VW θα αποζημιώσει τους ιδιοκτήτες των...… https://t.co/IKDyTUXFuh #VW #vwσκάνδαλο #zblog #ΝΕΑ #ανακλήσεις https://t.co/mH8YHeQUQS</t>
  </si>
  <si>
    <t>Guada</t>
  </si>
  <si>
    <t>Merlo - San Luis / Mendoza</t>
  </si>
  <si>
    <t>DESPUES DEL ROCK, TU AMOR Y EL VINO CDGCAT 21-04-15</t>
  </si>
  <si>
    <t>•Miqa•</t>
  </si>
  <si>
    <t>Rio Negro Bariloche</t>
  </si>
  <si>
    <t>CABJ||Creo que con una canción la tristeza es hermosa|| Porque te vi te deje entrar, cerré la puerta y te elegí.|| gimnasia artistica</t>
  </si>
  <si>
    <t>CJ</t>
  </si>
  <si>
    <t>RT @tagesschau: Jetzt live: Brennpunkt - Massenrückruf im Abgas-Skandal https://t.co/fMjSOSUXr5 #VW #Dieselgate</t>
  </si>
  <si>
    <t>#BurnNotice #JeffreyDonovan ♥♥ #TeamDonovan ♥♥ https://t.co/2kZzd0ErIc ♥♥ http://t.co/uQWSTXBWkg ♥♥ http://t.co/jfTGfOaJQu</t>
  </si>
  <si>
    <t>fuzeserizsolt! Szetkaptuk 󾮗󾮖🏼 #vw #golf #mk1 #vagcars #volkswagen #vwdepo #type17 #vwgolfmk1 https://t.co/d7f7btE78g https://t.co/lv1foTrOnw</t>
  </si>
  <si>
    <t>Vote for your favourites on https://t.co/ICoKnUN3RN #camperbus #campervan #camper #vw #vwbus #vwcamper #vwcampervan https://t.co/jN64KL0uVH</t>
  </si>
  <si>
    <t>Rainer Biehn</t>
  </si>
  <si>
    <t>Scott Gafney</t>
  </si>
  <si>
    <t>Me and my son in our VW T5 camper van. Please subscribe to our YouTube channel - https://t.co/A4jnNcAkqf and check our T5 build thread https://t.co/UHwMWf1d15</t>
  </si>
  <si>
    <t>Frithjof Krebs</t>
  </si>
  <si>
    <t>RT @iForia: Boni kassierende Vorstände von #Volkswagen #VW unter meinen Verwandten würde ich aus dem Stammbaum löschen. Entlassungswelle k…</t>
  </si>
  <si>
    <t>am Ufer der Tauber</t>
  </si>
  <si>
    <t>Schreiberling, seeräubert links in einer grünen Ecke des Bermuda-Dreiecks, eckt sowohl bei Faschos wie bei gottesfürchtigen Gutmenschen an #humanism #fcknzs</t>
  </si>
  <si>
    <t>William Medina</t>
  </si>
  <si>
    <t>Jörg Rainer</t>
  </si>
  <si>
    <t>Liebe Yoga und Pilates und viele Sportarten wie Leichtathletik , Boxen ,Joggen und sehr viel mehr. Menschen liegen mir sehr am Herz. Kunst ,Kultur und.....</t>
  </si>
  <si>
    <t>#Dobrindt hat vor der Sendung 10 Pullen #Weichspüler gesoffen, die er jetzt beim #Brennpunkt auskotzt. #dieselgate #Volkswagen #VW #Betrug</t>
  </si>
  <si>
    <t>Karuu  ❀☮</t>
  </si>
  <si>
    <t>Rosario | Fanatica de los Camiones |</t>
  </si>
  <si>
    <t>Andrew Tomlinson</t>
  </si>
  <si>
    <t>Ulverston, UK</t>
  </si>
  <si>
    <t>Born and bred in Cumbria, UK. I work in the sales and marketing of LED technology. Prone to using words like 'champion' and 'nicely' in general conversation.</t>
  </si>
  <si>
    <t>https://t.co/GG3cp1zhUl - Another little Job done 😁 #VW #VWt4 #T4 #TeamYellow #VWTeamYell… https://t.co/GMixMIIoiN https://t.co/3Ek45vNETR</t>
  </si>
  <si>
    <t>https://t.co/g9U7Oh6dtA - #bustypes #vw #vwt5 #livingthedream #mud #camping by hobrick12 … https://t.co/uVVTKP9N5d https://t.co/FwMYbgSfGl</t>
  </si>
  <si>
    <t>jan©fassbender</t>
  </si>
  <si>
    <t>Limburg-Weilburg, Hessen</t>
  </si>
  <si>
    <t>Manolo♣//Santi ♔</t>
  </si>
  <si>
    <t>Montevideo, Uruguay</t>
  </si>
  <si>
    <t>♚LOS FIESTEROS♚//wapp 095168069//Jugala de callado//17 años//POR LA SONRISA DE MI MADRE QUE VALE UN MILLON//SEXO Y AMOR//ig: Santi_Caino//♕RO\\WΞILAS INC♕</t>
  </si>
  <si>
    <t>Mingafan</t>
  </si>
  <si>
    <t>Tolle Sache das die Kunden von #VW #Opel #Porsche #Mercedes #Audi usw. trotz Verarsche u. Beschiss noch bereit sind zig tausende € zu zahlen</t>
  </si>
  <si>
    <t>Saarbrücken,München,Germany</t>
  </si>
  <si>
    <t>What is that fucking real life they all talk about and where I can download it? Twittert über Politik,Sport und aktuelles Tagesgeschehn; Texas Hold`em Player</t>
  </si>
  <si>
    <t>ABF</t>
  </si>
  <si>
    <t>Sachsen, Germany</t>
  </si>
  <si>
    <t>Made in Germany.100% Patriot sowie Zyniker vom Dienst! Krankhaft süchtig nach #MotoGP, #BVB, #Playstation, #Eurosport, #DieSimpsons</t>
  </si>
  <si>
    <t>Heike Geidel</t>
  </si>
  <si>
    <t>Schmeißt endlich die #Lobbyisten aus den Ministerien! #Bundesregierung #VW #Volkswagen #Dieselgate #Betrug</t>
  </si>
  <si>
    <t>suzzie hanks</t>
  </si>
  <si>
    <t>Till Eulenspiegel</t>
  </si>
  <si>
    <t>@SZ tzztztzzz auch noch andere als #VW betroffen? wäre hätte das gedacht:-)</t>
  </si>
  <si>
    <t>Hier und jetzt</t>
  </si>
  <si>
    <t>Beobachter/Kommentator des Irrsinns</t>
  </si>
  <si>
    <t>Ruedi Oswald</t>
  </si>
  <si>
    <t>Living in an RV, here &amp; there</t>
  </si>
  <si>
    <t>Tweets are made from 100 % recycled bytes. Socialworker. Disposed father of 3. Multilingual.</t>
  </si>
  <si>
    <t>Stephanie Deiterich</t>
  </si>
  <si>
    <t>Just a boy and his car... 🚗🔑 #firstcar #allhis #VW #volkswagengolf #german #newdriver https://t.co/KGOkTj06ac</t>
  </si>
  <si>
    <t>Boyertown, PA</t>
  </si>
  <si>
    <t>Mother of 4 crazy kids!! (@hatylotto @abmoo34) 911 Dispatcher...Fluent in sarcasm, real shit and hysteria....Keeper of the crazies...</t>
  </si>
  <si>
    <t>tracy bentley</t>
  </si>
  <si>
    <t>RT @theartdeptstoke: We have had these fantastic camper van prints in by Christopher Burton! #artwork #volkswagon #vw #campervan #hanley h…</t>
  </si>
  <si>
    <t>stoke on trent</t>
  </si>
  <si>
    <t>Unique #hand made sculpture &amp; art created in high-fired stoneware We make everything from start to finish no two pieces are ever the same.We also do commissions</t>
  </si>
  <si>
    <t>WhyOhWhyUDoThat</t>
  </si>
  <si>
    <t>"Vertrauen" würdet ihr schon mal eher bekommen, wenn KOMPLETT auf die Bonuszahlungen verzichtet werden würde. #VW #Dieselgate #Brennpunkt</t>
  </si>
  <si>
    <t>ger/en</t>
  </si>
  <si>
    <t>elektroaffiner Nerd, Liebhaber elektronischer Musik</t>
  </si>
  <si>
    <t>#vw beetle 1974 Classic VW Beetle with MOT https://t.co/jqM7fmpyzJ</t>
  </si>
  <si>
    <t>theoneliner</t>
  </si>
  <si>
    <t>lawrence</t>
  </si>
  <si>
    <t>Come roll wit us Sunday #euroonly #volkswagen #vw #jetta @ Suffolk County, New York https://t.co/RaAVhnE6nz</t>
  </si>
  <si>
    <t>Michael Marcondes</t>
  </si>
  <si>
    <t>RT @DevopsTown: #VW wants to surround-and-drown its #infrastructure and move to the #Cloud. https://t.co/EagaKC15lY #DevOps https://t.co/m8…</t>
  </si>
  <si>
    <t>Massachusetts, USA</t>
  </si>
  <si>
    <t>Author sci-f- bk The Traveler the beginning picked up by Tate Publishing available now &amp; Christian non-fiction Life Explained a Journey to Selfless Love 6/15</t>
  </si>
  <si>
    <t>#Betrug, dicke #Boni und #Schönreden! Das ist die deutsche #Autolobby! #VW #Volkswagen #Wissmann #Politik #Dobrindt #Brennpunkt #ZDFSpezial</t>
  </si>
  <si>
    <t>KARIN ✌</t>
  </si>
  <si>
    <t xml:space="preserve">Mataderos </t>
  </si>
  <si>
    <t>18. SAN LORENZO ❤|| PIPI MI D10S⚽|| Instagram _karingonzalez || snap: Gonzalez_Karin</t>
  </si>
  <si>
    <t>Colson Hicks</t>
  </si>
  <si>
    <t>@JusticeDotOrg @thehill This would be a major blow to consumer rights. We can’t let #VW escape the consequences of its negligence! #VWRecall</t>
  </si>
  <si>
    <t>Miami, DC and New Orleans</t>
  </si>
  <si>
    <t>From litigation to personal injuries, our attorneys have over 40 years of experience gaining multimillion-dollar verdicts and settlements in many legal areas.</t>
  </si>
  <si>
    <t>Nevriye</t>
  </si>
  <si>
    <t>Balraj Ghattaura</t>
  </si>
  <si>
    <t>Passion for Photograyphy...</t>
  </si>
  <si>
    <t>Schmeißt endlich die #Lobbyisten aus den Ministerien! #Bundesregierung #VW #Volkswagen #Dieselgate #Betrug #Brennpunkt #ZDFSpezial</t>
  </si>
  <si>
    <t>eBay: Volkswagen Beetle 2.0 2000MY RHD https://t.co/Xll0bteJPH #vwbeetle #vwbug #vw https://t.co/xvfL74PTgl https://t.co/VijLGSyWnS</t>
  </si>
  <si>
    <t>eBay: VW beetle. Why not have a brazilian with… https://t.co/63elo89BzF #vwbeetle #vwbug #vw https://t.co/xvfL74PTgl https://t.co/jcgUYEYWfe</t>
  </si>
  <si>
    <t>eBay: VW Beetle https://t.co/O46xUL0Rm6 #vwbeetle #vwbug #vw https://t.co/xvfL74PTgl https://t.co/97hzAxNwXQ</t>
  </si>
  <si>
    <t>#VW posts loss after taking $18.28 billion hit on emissions scandal https://t.co/TlyNhnuy4u post-event #Reputation #Risk +expensive</t>
  </si>
  <si>
    <t>lumka nonhle gule</t>
  </si>
  <si>
    <t>All over the world.</t>
  </si>
  <si>
    <t>Jetsetter and yah..am always travelling the world. Neva know where I'll pop up next.</t>
  </si>
  <si>
    <t>Drive EV</t>
  </si>
  <si>
    <t>Volkswagen slashing Board pay by 57% in light of #dieselgate #VW #emissionsscandal https://t.co/ENVLC7ZUFN… https://t.co/JQaeIFDEGp</t>
  </si>
  <si>
    <t>Positively charged electric car news and reviews from https://t.co/fSCUjPP1YC</t>
  </si>
  <si>
    <t>VW Vans Birmingham</t>
  </si>
  <si>
    <t>Check out this #VW CV Crafter Dropside! Click to view the full vehicle spec! https://t.co/AYlyfdnXcI https://t.co/syMT8kh7XR</t>
  </si>
  <si>
    <t>Here at Volkswagen Van Centre (Birmingham) we pride ourselves on giving our customers the highest quality in every area.</t>
  </si>
  <si>
    <t>Check out this #VW CV Crafter Dropside! Click to view the full vehicle spec! https://t.co/r9yZ769S4f https://t.co/p4lMhwOhRL</t>
  </si>
  <si>
    <t>Bugged out #beetle #vw #classiccar #instacar #carsofinstagram #volkswagen @ Covent Garden London https://t.co/NhgZN6qE7C</t>
  </si>
  <si>
    <t>Lukas Sustala</t>
  </si>
  <si>
    <t>Die wirklich seltsame Zahl in der #VW-Bilanz. Die #Dividende. Via @FTAlphaville https://t.co/FuYLubQEVp</t>
  </si>
  <si>
    <t>#Economics and Managing Editor @NZZat. Lecturer @WU_vienna. Prior @derStandardat. Austrian, Economist, Co-Managed a Global Macro portfolio, living in Vienna.</t>
  </si>
  <si>
    <t>VW of Garden Grove</t>
  </si>
  <si>
    <t>It’s getting warm outside. Time to enjoy the weekend weather! #vwofgg #VW #Volkswagen #dubluv #VolkswagenBeetle... https://t.co/36JjD2whcN</t>
  </si>
  <si>
    <t>Garden Grove, CA</t>
  </si>
  <si>
    <t>We are your Orange County Volkswagen dealer of choice! Come by today for the best deals around!</t>
  </si>
  <si>
    <t>Alf</t>
  </si>
  <si>
    <t>#VW todavía no se ha enterado d q va a ser el próximo Nokia por mérito propio. #DiaDeLaTierra #EarthDay https://t.co/IK0zeHp2j6</t>
  </si>
  <si>
    <t>DFT</t>
  </si>
  <si>
    <t>VW kleurt dieprood https://t.co/VuKx9p2tPf door @MarkGarrelts #VW #dieselgate</t>
  </si>
  <si>
    <t>DFT.nl / De Financiële Telegraaf twittert het laatste financiële nieuws over beurs, economie en bedrijven. Volg ook @DFTgeld en @DFTondernemen</t>
  </si>
  <si>
    <t>Exe</t>
  </si>
  <si>
    <t xml:space="preserve">JM-RAN </t>
  </si>
  <si>
    <t>Pasion por los fierros ❤ #Boca #Belgrano #Capricornio #FuturoTecnicoSuperiorEnAutomotores #wpp3525478813</t>
  </si>
  <si>
    <t>#techhippie Old tunessss #blackeyedpeas #whereisthelove #music #gtd #vw by sammy16jb https://t.co/oQk26kmcUZ</t>
  </si>
  <si>
    <t>#techhippie Mk4 GTD😍 #volkswagen #vw #golf #gti #gtd #mk1 #mk2 #mk3 #mk4 #mk5 #mk6 #mk7 #tuning #stance #slammed #… https://t.co/N3NBSQW8jM</t>
  </si>
  <si>
    <t>Aufsichtsrat</t>
  </si>
  <si>
    <t>#Aufsichtsrat von #VW nach #Dieselgate https://t.co/hDcmGml4dG Zusammenfassung beim @handelsblatt Schönes Wochenende https://t.co/rkea03owI8</t>
  </si>
  <si>
    <t>Das Deutsche Institut der Aufsichtsräte ist die führende Vermittlungsplattform für den qualifizierte Aufsichtsrat.</t>
  </si>
  <si>
    <t>Zu sehr verkuerzt</t>
  </si>
  <si>
    <t>Mit wie viel Monaten Verspätung kapiert die Presse nun endlich, daß jeder Hersteller in unterschdlich. Komplexität das macht, was #VW macht?</t>
  </si>
  <si>
    <t>Und auch fuer eine ausgiebige Biographie ist hier zu wenig Platz.</t>
  </si>
  <si>
    <t>#techhippie Passat meg a gtd!! #gtd #passat #golf #vw #highline #b5 #mk7 #volkswagen #vwlife #badendorf #rewe by p_… https://t.co/1pxivOshP6</t>
  </si>
  <si>
    <t>Driver's Alert</t>
  </si>
  <si>
    <t>Deerfield Beach, FL</t>
  </si>
  <si>
    <t>Using #eLearning #telematics and 1-800 #HowsMyDriving to improve #fleetsafety. The newest #onlinetraining and #microlearning. Stop #DistractedDriving.</t>
  </si>
  <si>
    <t>#VW to take $18.2 billion hit on emissions scandal. https://t.co/3vhVUmVG9C</t>
  </si>
  <si>
    <t>Vllcht erklärt das nun auch endlich allen, warum die #VW-Verantwortlichen nicht einsehen, warum ausgerechnet sie den Kopf hinhalten sollen.</t>
  </si>
  <si>
    <t>1960's Devon Conversion Split Bus in at the Emporium today :) #vw #aircooled #splitty https://t.co/6dHNwe57Bt</t>
  </si>
  <si>
    <t>@faznet Dass überhaupt #Boni bei #VW verteilt werden ist der #zweite #Skandal</t>
  </si>
  <si>
    <t>gabriela ravanelli</t>
  </si>
  <si>
    <t>Happy Earth Day! #VW #Puyallup #DontWorryLeaveHappy #EarthDay https://t.co/AFOs257okH</t>
  </si>
  <si>
    <t>Francisco</t>
  </si>
  <si>
    <t>RT @AplastadoAlSopi: #VW #Borin ✌️😍#AplastadoAlSopi https://t.co/lpujb3dzhp</t>
  </si>
  <si>
    <t>Cierro los ojos, el tiempo se regresa y mi corazón explota de tristeza -Suzuki ax100-</t>
  </si>
  <si>
    <t>Rajesh Boddapati</t>
  </si>
  <si>
    <t>Oficinas de #vw #Virtualware #mexico #graffiti #art #VR #technology #2016 by rodosb https://t.co/oiXchvwanY</t>
  </si>
  <si>
    <t>Sebitta Dvt ★ ♫♪ ♛</t>
  </si>
  <si>
    <t xml:space="preserve">donde pintee :3 </t>
  </si>
  <si>
    <t>Sebastian Gabriel Quintans. 21/02/97. Que Pase Lo Que Tenga Que Pasar #Devoto #Picis #RottWailasInc #ThugForLife #RealG4Life La 35 Automotores ♪ &amp; La Teraan ♫..</t>
  </si>
  <si>
    <t>Katja Leyendecker</t>
  </si>
  <si>
    <t>Newcastle upon Tyne</t>
  </si>
  <si>
    <t>Yes, Ger(wo)man in Geordie Toon tweetin' in her own capacity. CEng EurIng. PhD research at Northumbria Uni in spatial fairness for urban cycling. Degenderising.</t>
  </si>
  <si>
    <t>#FlyingLow</t>
  </si>
  <si>
    <t xml:space="preserve">Argentina </t>
  </si>
  <si>
    <t>#ArgenStyle #CultureLow #Volkswagen #Fierrero Snap:Giaanpst 19/06/15♡</t>
  </si>
  <si>
    <t>LucasB</t>
  </si>
  <si>
    <t>eBay: Vw t4 2.4D Westfalia, California… https://t.co/LDAQOpkbBU #vwcamper #vwbus #vw https://t.co/ZEadscsjBy https://t.co/hLE627VLI8</t>
  </si>
  <si>
    <t>Damani Marcano</t>
  </si>
  <si>
    <t>Great day testing with @teamhardracing with special thanks to cleverbaggers! #vwgolf #VW… https://t.co/qUyVgIWvEa</t>
  </si>
  <si>
    <t>Teenage #RacingDriver among adults | #SchoolboyRacer | @TeamHardRacing #YoungDriver | @VWRacingCup | One day #BTCC | The story so far: https://t.co/HhNteKOZHl</t>
  </si>
  <si>
    <t>Big Guy</t>
  </si>
  <si>
    <t xml:space="preserve">North Staffordshire. </t>
  </si>
  <si>
    <t>Craig Charles Funk &amp; Soul Club #FTW! Planes. Cars. Opinionated grumpy shit. Toyota Hybrid &amp; Eunos Roadster owner (for the weekend).</t>
  </si>
  <si>
    <t>Verkehrswende</t>
  </si>
  <si>
    <t>de</t>
  </si>
  <si>
    <t>#Verkehrswende - besser zusammen finden, nutzen und fahren; sozial-, umwelt- und klimafreundliche Mobilitätsangebote - via @rolfmecke</t>
  </si>
  <si>
    <t>Kurt Seinitz</t>
  </si>
  <si>
    <t>was muss bei #VW noch alles passieren, dass aus einem bonus für gierige nieten in nadelstreif ein malus wird?</t>
  </si>
  <si>
    <t>#foreign #editor kronenzeitung daily http://t.co/Gc4Uz9ktka kurt.seinitz@kronenzeitung.at author #zeitbombe #china! #vorsicht #china! waldheimverteidiger</t>
  </si>
  <si>
    <t>Klaus Jarchow</t>
  </si>
  <si>
    <t>Fällt Schummelsoftware von #Bosch eigentlich unter 'organisierte Bandenkriminalität'? #Dieselgate #VW #Mercedes #Opel #Porsche #Fiat #Audi</t>
  </si>
  <si>
    <t>Gime</t>
  </si>
  <si>
    <t>Rosario - Villa Gdor Galvez</t>
  </si>
  <si>
    <t>Todos los momentos que vivi todas las canchas donde te segui aprendi a llevarte en el alma BOCA JUNIORS DE MI VIDA♥</t>
  </si>
  <si>
    <t>Lisa Hayward</t>
  </si>
  <si>
    <t>My car emits 40x the legal limit of some of these. #VW executives should have to face criminal charges #dieselgate https://t.co/wfEaWD1LI7</t>
  </si>
  <si>
    <t>Scientist, science communicator and conservationist interested in climate, policy, evolutionary psychology and the ecology of the Pacific Northwest.</t>
  </si>
  <si>
    <t>Castle Coast Campers</t>
  </si>
  <si>
    <t>Got your #holiday sorted yet? Kids + #Campervan = Happy! #Summer #VW #North #Yorkshire #Northumberland #fun https://t.co/SuiekLuN6m</t>
  </si>
  <si>
    <t>Hart, Co Durham</t>
  </si>
  <si>
    <t>Holidays, Honeymoons, Naughty Weekends &amp; General Times Of Loveliness - Classic VW Campervan hire across Yorkshire, Co Durham, Northumberland &amp; the North.</t>
  </si>
  <si>
    <t>junge Welt</t>
  </si>
  <si>
    <t>Als Reaktion auf den #VW- #DieselGate sollen die Klagemöglichkeiten der Verbraucher verbessert werden https://t.co/6nFhWAHO9f</t>
  </si>
  <si>
    <t>Überregionale, linke deutsche Tageszeitung mit Berichten und Analysen zu den sozialen Kämpfen weltweit. Gegründet 1947. Impressum: http://t.co/i7FTHItsSV</t>
  </si>
  <si>
    <t>@julioDeLange @turbofr #VW c pas le best c un généraliste qui veut se faire passer pour du premium mais c du seat/skoda rebagdé #pigeon</t>
  </si>
  <si>
    <t>#VW kein 30% verzicht d manager, sond zahlung storniert bis bessere jahre! (klein)aktionäre verlieren sofort 69% the ugly face of capitalism</t>
  </si>
  <si>
    <t>RT @CastleCoastCamp: Got your #holiday sorted yet? Kids + #Campervan = Happy! #Summer #VW #North #Yorkshire #Northumberland #fun https://t.…</t>
  </si>
  <si>
    <t>eBay: 1.6 VW Beetle Convertible https://t.co/wCodfj60yx #vwbeetle #vwbug #vw https://t.co/xvfL74PTgl https://t.co/zeQK9KWqXN</t>
  </si>
  <si>
    <t>@MiniMike_ @morandiniblog j'adore ton argumentation dacia #vw #free #banal+ bref, #lowcost</t>
  </si>
  <si>
    <t>RT @VeeDubMk1_: Mk1 VW Golf #vividvinyl #ocdphotography #ocd #mk1 #mk1golf #gti #slammed #static #vw #volkswagen #golf #stanced #cl… https:…</t>
  </si>
  <si>
    <t>#VW gierige manager auch nach sechs stunden nicht zu boni verzicht bereit. niedersächs minpräsident blamiert. niedersachsen hält 20% aktien</t>
  </si>
  <si>
    <t>wickelchef</t>
  </si>
  <si>
    <t>Die US-Army trainiert in Oberpfalz bereits erfolgreich die VW-Verschrottung. #dieselgate #vw https://t.co/Fej3wXRsyV</t>
  </si>
  <si>
    <t>Sinnlose Erfahrungen eines (werdenden) Vaters. Klein und hilflos trifft auf groß und hilflos.</t>
  </si>
  <si>
    <t>Dan Doherty</t>
  </si>
  <si>
    <t xml:space="preserve">Stoke Newington, London </t>
  </si>
  <si>
    <t>J'aime les vélos.</t>
  </si>
  <si>
    <t>eBay: VW T5 LWB CAMPER https://t.co/FKYpN4CLO2 #vwcamper #vwbus #vw https://t.co/ZEadscsjBy https://t.co/njgMup4Ag3</t>
  </si>
  <si>
    <t>RT @bucknasty1213: Come roll wit us Sunday #euroonly #volkswagen #vw #jetta @ Suffolk County, New York https://t.co/RaAVhnE6nz</t>
  </si>
  <si>
    <t>azul</t>
  </si>
  <si>
    <t xml:space="preserve">vied  patagones </t>
  </si>
  <si>
    <t>Me gusta el rock el maldito rock ! 00' #leo. CABJ ~ ♡santino nicolas♡ Rara vez esta vida tiene sentido, amor.</t>
  </si>
  <si>
    <t>Driving-Tests.ca</t>
  </si>
  <si>
    <t>.@VWcanada to buy back, repair or compensate owners of more than 100,000 vehicles https://t.co/b53RzJ9BL1 @globedrive #VW #dieselgate</t>
  </si>
  <si>
    <t>Helping you #drive better with #driving tips and news from around #Canada &amp; the World.</t>
  </si>
  <si>
    <t>Alee Agüero</t>
  </si>
  <si>
    <t>#Vw #golsito #mio ! @ Mar del Plata, Argentina https://t.co/AIOoqwwIR7</t>
  </si>
  <si>
    <t>mar del plata</t>
  </si>
  <si>
    <t>Club Atletico Boca Juniors♥</t>
  </si>
  <si>
    <t>Tim McGee</t>
  </si>
  <si>
    <t>Dear Twitterverse &amp; @Jalopnik, good/bad day to buy a #VW TDI?</t>
  </si>
  <si>
    <t>Fort Worth, TX</t>
  </si>
  <si>
    <t>This twitter thing is just a fad.</t>
  </si>
  <si>
    <t>Historicperiods</t>
  </si>
  <si>
    <t>Factualist/Historian/Paranormal Studies/Writer. Mostly Cold War Espionage, 19th/20th Century Disasters, Unsolved Mysteries</t>
  </si>
  <si>
    <t>#Northeasthour Helen</t>
  </si>
  <si>
    <t>I am @NorthEastHour. I'm also a Marketing &amp; Business Development Consultant. Love dogs, yoga and food</t>
  </si>
  <si>
    <t>Rosa</t>
  </si>
  <si>
    <t>RT @NollyPrott: @DataJunctions @RosaTrunk #LinkedIn https://t.co/XCb8KTkrLe #ClimateChange #Solar #cycling See #NOX truth on #DieselCars #…</t>
  </si>
  <si>
    <t>boonsboro</t>
  </si>
  <si>
    <t>best battle buddy!</t>
  </si>
  <si>
    <t>Iris Rohmann</t>
  </si>
  <si>
    <t>Boni für #VW Manager ganz abschaffen! 30 Prozent ist doch lächerlich!</t>
  </si>
  <si>
    <t>TV&amp;Ghostwriterin, Zen&amp;Gandhi, Calvin&amp;Hobbes, Geschichte&amp;Psyche hier privat</t>
  </si>
  <si>
    <t>MAMMANA</t>
  </si>
  <si>
    <t>Pilar,Argentina</t>
  </si>
  <si>
    <t>RIVER PLATE DE LA CUNA A LA TUMBA♥ | FUTBOL♥ | Música | Melany 01.04.15 ♡</t>
  </si>
  <si>
    <t>Windcreen ChipRepair</t>
  </si>
  <si>
    <t>#VW more than doubles #emissions bill to €16.2bn - BBC News https://t.co/ufB9v5brXN</t>
  </si>
  <si>
    <t>london</t>
  </si>
  <si>
    <t>JJ Windscreen Chip Repair is a mobile service keeping south London safe and on the move while looking after the environment.</t>
  </si>
  <si>
    <t>RT @jungewelt: Als Reaktion auf den #VW- #DieselGate sollen die Klagemöglichkeiten der Verbraucher verbessert werden https://t.co/6nFhWAHO9f</t>
  </si>
  <si>
    <t>Keine Überraschung bei dem mehrheitlich linkslastigen #VW Aufsichtsrat= 9 Betriebsräte, 2 SPD Minister. @VW @spdde https://t.co/TWOv4S2XSm</t>
  </si>
  <si>
    <t>Memos Leonidakis</t>
  </si>
  <si>
    <t>#vintage #vintagecars #vw #urban #urbanart #train #bridge #graffiti #supercar #instalifo #… https://t.co/SVxo2WDKxT https://t.co/zodX4Rvop4</t>
  </si>
  <si>
    <t>Athens</t>
  </si>
  <si>
    <t>Passionately curious Web Designer based in Athens. The only thing worse than being blind is having sight and no vision!</t>
  </si>
  <si>
    <t>#EC #Transportation #Failures #VW #Emission #Corruption/#Deception/#Lies https://t.co/InoPNCVcyN</t>
  </si>
  <si>
    <t>eBay: Vw T5.1 Camper van fully converted 62… https://t.co/ZbvZBySVyT #vwcamper #vwbus #vw https://t.co/ZEadscsjBy https://t.co/koOFIe460Z</t>
  </si>
  <si>
    <t>eBay: VW T5 LWB Camper https://t.co/R5ughHk7FM #vwcamper #vwbus #vw https://t.co/ZEadscsjBy https://t.co/QwGCZlce7X</t>
  </si>
  <si>
    <t>London Picks</t>
  </si>
  <si>
    <t>Emporium is buzzing: https://t.co/Z4FeSeXJGl - RT @thewonkydonkey 1960's Devon Conversion Split Bus in at the Emporium today :) #vw #airc...</t>
  </si>
  <si>
    <t>schmaplocal</t>
  </si>
  <si>
    <t>Real-time local buzz for restaurants, bars and the very best local deals available right now in London!</t>
  </si>
  <si>
    <t>@Way_Cool_ @turbofr pas du tout d'accord .. Ex: tiguan 2 supérieur à tous ses concurrents ! #VW</t>
  </si>
  <si>
    <t>Estupenda tarde de viernes #aircooled #vw #Volkswagen #kingeuro https://t.co/BfslpOX9hI</t>
  </si>
  <si>
    <t>RT @Iris_Rohmann: Boni für #VW Manager ganz abschaffen! 30 Prozent ist doch lächerlich!</t>
  </si>
  <si>
    <t>hk..i</t>
  </si>
  <si>
    <t>Echofon for Android PRO</t>
  </si>
  <si>
    <t>International industrial executive. Strategic growth of businesses based on technologies + innovation. For a fair workplace. Opinions are my own</t>
  </si>
  <si>
    <t>Alex</t>
  </si>
  <si>
    <t>RT @CarterVW: #VW of the Day: Going green. #EarthDay https://t.co/ReiasAOCQz</t>
  </si>
  <si>
    <t>Striving for the Type 2</t>
  </si>
  <si>
    <t>Mike Litt</t>
  </si>
  <si>
    <t>A Volkswagen settlement needs to make consumers &amp; environment whole and deter future cheating. https://t.co/bmh5VuintR #dieselgate #vw</t>
  </si>
  <si>
    <t>Public interest advocate, comedian, and vegan ramen expert. Views are mine, all mine, muahahaha.</t>
  </si>
  <si>
    <t>Check out Automobile Magazine’s 2016 All-Star Vehicle. It’s the stunningly quick and nimble #VW #GolfR https://t.co/SuQOWh6dKc</t>
  </si>
  <si>
    <t>Ezee- ✌</t>
  </si>
  <si>
    <t>#BsAs #Srs #GolTrend #Vw https://t.co/FEKEKKWZNW</t>
  </si>
  <si>
    <t>Basavilbaso Entre Rios</t>
  </si>
  <si>
    <t>Somos lo que uno elije ser, y somos felices a nuestra manera. HONDA❤ // Virr❤</t>
  </si>
  <si>
    <t>#hotwheels #hotwheelscollector #hotwheelscollectors #hw #hotwheelspics #diecast #vw #volkswagen #volkswagenbeetle #… https://t.co/pUdCbFej5d</t>
  </si>
  <si>
    <t>Foto mais que perfeita 👏🏼 . Tag owner (?) Tag photo Pinterest . #vw #volks #oldvwclub #instaauto #fusca #beetle #v… https://t.co/RvpdfWHVNv</t>
  </si>
  <si>
    <t>RT @swanswaygroup: Check out this #VW CV Crafter Dropside! Click to view the full vehicle spec! https://t.co/r9yZ769S4f https://t.co/p4lMhw…</t>
  </si>
  <si>
    <t>DrWetti</t>
  </si>
  <si>
    <t>#VW ist schon ein toller Verein. Da bekommt man als Aufsichtsratsvorsitzender doch glatt 20 Mio Bonus garantiert. Aber sonst geht's gut?</t>
  </si>
  <si>
    <t>Germany, Hessen</t>
  </si>
  <si>
    <t>Soylent Green is made of man! Wird dieser Satz jemals Wirklichkeit? Wer weiß. Vielleicht!?</t>
  </si>
  <si>
    <t>RT @kngeuro: Estupenda tarde de viernes #aircooled #vw #Volkswagen #kingeuro https://t.co/BfslpOX9hI</t>
  </si>
  <si>
    <t>eBay: VOLKSWAGEN BEETLE 1.8 TURBO https://t.co/bRpcuqjKgI #vwbeetle #vwbug #vw https://t.co/xvfL74PTgl https://t.co/on3lQ5z8g7</t>
  </si>
  <si>
    <t>RT @beetlebug1938: Foto mais que perfeita 👏🏼 . Tag owner (?) Tag photo Pinterest . #vw #volks #oldvwclub #instaauto #fusca #beetle #v… htt…</t>
  </si>
  <si>
    <t>#VW SALE!! Buy 3 Tires, Get 4th for $1 at Stohlman Volkwagen of Tysons (offer ends May 31!) https://t.co/PktPiJh2so https://t.co/hJ4ssMi7tX</t>
  </si>
  <si>
    <t>Unai Extremo</t>
  </si>
  <si>
    <t>RT @rajesh877: Oficinas de #vw #Virtualware #mexico #graffiti #art #VR #technology #2016 by rodosb https://t.co/oiXchvwanY</t>
  </si>
  <si>
    <t>Basque Country (Spain)</t>
  </si>
  <si>
    <t>Virtualware group CEO and co-founder. Interested in serious games for training and healthcare, virtual reality technology and new markets and businesses</t>
  </si>
  <si>
    <t>Rafic Kamaleddine</t>
  </si>
  <si>
    <t>This is not the end #emissions #VW #honesty https://t.co/Y309Qg9VEy</t>
  </si>
  <si>
    <t xml:space="preserve">Dubai </t>
  </si>
  <si>
    <t>Chief Strategy Officer TBWA RAAD Middle East The Disruption Company</t>
  </si>
  <si>
    <t>eBay: VW T4 TRANSPORTER 1200 D SWB SURF BUS… https://t.co/7LQh1DR4n3 #vwcamper #vwbus #vw https://t.co/ZEadscsjBy https://t.co/rX1s6xYcu1</t>
  </si>
  <si>
    <t>ＶＷ、不正問題の対策費２兆円 前期最終赤字2000億円 * https://t.co/N1PUPjzqJa #VW #排ガス不正</t>
  </si>
  <si>
    <t>"European consumers have the right to compensation", our answer to #VW US buy-back deal https://t.co/QS3KdSSmMg</t>
  </si>
  <si>
    <t>Florian W.</t>
  </si>
  <si>
    <t>mark Kilburn</t>
  </si>
  <si>
    <t>#scratch removal #scholl #polish #das6 #vw #passat #marksvaleting #cardetailing #harwich #valetinginharwich #nano https://t.co/6wV9BH7akL</t>
  </si>
  <si>
    <t xml:space="preserve">Harwich, Essex </t>
  </si>
  <si>
    <t>Mobile valeting and detailing service. Interior, exterior, Headlights restored, machine polishing and paint correction, paint protection, scratch&amp;scuff removal</t>
  </si>
  <si>
    <t>Lucho</t>
  </si>
  <si>
    <t>vinimos al mundo para ser felices, no para manejar despacio!! LOVE DRIVE VW</t>
  </si>
  <si>
    <t>Andreas Andersen</t>
  </si>
  <si>
    <t>Ex Goldman Sachs Executive from Frankfurt, Germany - Doing God's Work, Money Talks just Listen</t>
  </si>
  <si>
    <t>Matt Diaz</t>
  </si>
  <si>
    <t>My soon to be baby 😍 #GTI #mk7 #vw #dublife #eurocar #german #dasauto #volkswagen https://t.co/RMdFye7Wee</t>
  </si>
  <si>
    <t>Landing, NJ</t>
  </si>
  <si>
    <t>We are shaped by our past to become who we need to be to have a future.</t>
  </si>
  <si>
    <t>#</t>
  </si>
  <si>
    <t>Pro Dance</t>
  </si>
  <si>
    <t>eBay: Volkswagen Beetle 1.6i 2 Door Petrol Coupe https://t.co/ssRmSizM4c #vwbeetle #vwbug #vw https://t.co/xvfL74PTgl</t>
  </si>
  <si>
    <t>PAVE Family2Family</t>
  </si>
  <si>
    <t>RT @RedCrossNW: Nationally, volunteers comprise 90% of the Red Cross workforce. Here, they're 98% #NationalVolunteerWeek #VW https://t.co/r…</t>
  </si>
  <si>
    <t>Tacoma, WA</t>
  </si>
  <si>
    <t>Welcome to Family Voices of Washington. We have the latest general news, health news, and educational information for individuals with special needs.</t>
  </si>
  <si>
    <t>Garion Coyote</t>
  </si>
  <si>
    <t>RT @RaZeRiel: "Vertrauen" würdet ihr schon mal eher bekommen, wenn KOMPLETT auf die Bonuszahlungen verzichtet werden würde. #VW #Dieselgate…</t>
  </si>
  <si>
    <t>Radical environmentalist. AGAINST BigCorps, vaccines, BigPharma, GMO/Synbio + lobbyists! Legalize Cannabis! Refugees welcome!</t>
  </si>
  <si>
    <t>lautaroo</t>
  </si>
  <si>
    <t>Posadas, Argentina</t>
  </si>
  <si>
    <t>hincha de Chevrolet / club atlético boca junior /Escuela Normal Superior de los EE.UU del Brasil</t>
  </si>
  <si>
    <t>Side-Show Bob</t>
  </si>
  <si>
    <t>#VW blowing a sigh of relief now emissions fiddling is found to be widespread. As a human on the planet earth I'm as mad as hell. #pollution</t>
  </si>
  <si>
    <t>Crusty old lefty duffer who loves the Spurs but gets easily distracte....</t>
  </si>
  <si>
    <t>FanCar Picture - Send me your Scirocco pictures!!! (PM Please) #VW #Volkswagen #Scirocco #Tuning https://t.co/QNJ9qcwWOI</t>
  </si>
  <si>
    <t>Jörg Rupp</t>
  </si>
  <si>
    <t>Aha, es wird also eine #Bosch-Affäre anstatt einer #VW-Affäre - der Abgasskandal. Spannend! https://t.co/owXORu9I5A #fb</t>
  </si>
  <si>
    <t>76316 Malsch</t>
  </si>
  <si>
    <t>grüner Blogger, Gemeinderat in 76316 Malsch, #NoKargida (http://t.co/ZrmxsbWTOS) und seit Januar Leader Bezirk 76 der #Antifa^^</t>
  </si>
  <si>
    <t>Ivor Bourne</t>
  </si>
  <si>
    <t>RT @DKMRacing: Great day testing with @teamhardracing with special thanks to cleverbaggers! #vwgolf #VW… https://t.co/qUyVgIWvEa</t>
  </si>
  <si>
    <t xml:space="preserve">London </t>
  </si>
  <si>
    <t>Managing Partner of Integra Sports Partners and director of Bourne Solutions Ltd. Mentor, manager and public speaker.</t>
  </si>
  <si>
    <t>Whose Master's Voice</t>
  </si>
  <si>
    <t>An die #VW Managern, die jetzt die #Boni in Optionen umgewandelt bekommen: Jump you suckers!</t>
  </si>
  <si>
    <t>Hessische Bergstraße</t>
  </si>
  <si>
    <t>// Lästerlicher Nordbadener in Südhessen // Soul, Country, Americana Aficionado // RL-Fanatiker // zu manchen Zeiten Social-Media-Abstinenzler //</t>
  </si>
  <si>
    <t>Donna Belsky</t>
  </si>
  <si>
    <t>So tired of my 2003 VW Beetle computer acting up! Dealership kept denying, till warranty ran out #crapmodel #sametroubles #badbusiness #VW</t>
  </si>
  <si>
    <t>Have you ever driven a #Schwimmwagen? #ACVWPassion #Volkswagen #VW https://t.co/dZXaDXGlkB</t>
  </si>
  <si>
    <t>Volkswagen settled in principle the litigation involving claims. https://t.co/Q1AUcAltsc #VW</t>
  </si>
  <si>
    <t>J.O.H.</t>
  </si>
  <si>
    <t>Wuppertal</t>
  </si>
  <si>
    <t>Ich wurde geboren, hatte Vater und Mutter. Jetzt bin ich Staatseigentum und hab keine Butter. Bin gar kein Professor nich ma Doktor</t>
  </si>
  <si>
    <t>Anonymous WAHRHEIT!!</t>
  </si>
  <si>
    <t>Medienbericht zum #Abgas_Skandal #VW stellt 16,4 Milliarden Euro zurück! #Ausland #Volkswagen #USA... https://t.co/hVrm66KeNx</t>
  </si>
  <si>
    <t>Gosthtot!!! Gosthtot 100%Wahrheit!!</t>
  </si>
  <si>
    <t>ＶＷ、米で収束へ半歩 排ガス不正、対策費重荷に * https://t.co/w4eIrPm6bt #VW #対策 #排気ガス不正</t>
  </si>
  <si>
    <t>lucho</t>
  </si>
  <si>
    <t>CABJ</t>
  </si>
  <si>
    <t>Body&amp;Soul AutoWorks</t>
  </si>
  <si>
    <t>FSO colour quite suits this VW T2 don't ya think? #vw https://t.co/mJaTBEkSPx</t>
  </si>
  <si>
    <t>Custom and Classic Vehicle Restoration and Servicing. Located in Cardiff, serving the UK.</t>
  </si>
  <si>
    <t>Enrico Pivirotto</t>
  </si>
  <si>
    <t>#VW reports biggest annual loss in almost eight decades https://t.co/4rFYTlJsrX</t>
  </si>
  <si>
    <t>Italy - Milan</t>
  </si>
  <si>
    <t>Economics, politics, news. Be the change you wish to see in the world.</t>
  </si>
  <si>
    <t>Thomas the Pommes</t>
  </si>
  <si>
    <t>Warum bekommen #VW Vorstände noch gleich einen Bonus? Also womit rechtfertigt sich dieser Bonus? Weil alles noch viel schlimmer sein könnte?</t>
  </si>
  <si>
    <t>Jena / Germany</t>
  </si>
  <si>
    <t>Killerroboter mit Laseraugen!</t>
  </si>
  <si>
    <t>Roy Randig</t>
  </si>
  <si>
    <t>Leipzig Zentrum, Leipzig</t>
  </si>
  <si>
    <t>Refugees welcome! Kein Mensch ist illegal! Mitglied der Partei Die Linke. Mitwirkender der LAG Migration und Asyl</t>
  </si>
  <si>
    <t>Tesla_diary</t>
  </si>
  <si>
    <t>@Markus_Wieser Thanks to #EPA. #VW realized that markets are changing. Unrealistic target though! Who will buy all this ICEs in 9 years?</t>
  </si>
  <si>
    <t>Owner, Believer &amp; EVangelist</t>
  </si>
  <si>
    <t>Micaela</t>
  </si>
  <si>
    <t>20. Acuariana. Futura abogada. UBA</t>
  </si>
  <si>
    <t>#Diesel-Skandal Größter Verlust der #VW-Geschichte: Konzern hält 30 Prozent Vorstands-Bonus zurück! #Inland... https://t.co/pSleZMvjAB</t>
  </si>
  <si>
    <t>Owner: @edu6r #volkswagen #vw #wolfsburg #mk1 #mk2 #mk3 #mk4 #mk5 #mk6 #mk7 #golf #vwgolf #vwlove #volkswagenlove … https://t.co/COWTSdhsY6</t>
  </si>
  <si>
    <t>Mining HardAssets</t>
  </si>
  <si>
    <t>Mining news, Gold, EV, Junior Mining. No investment advise here</t>
  </si>
  <si>
    <t>Donna Nunez</t>
  </si>
  <si>
    <t>Volkswagen takes $18 billion hit over emissions scandal: WOLFSBURG/FRANKFURT (Reuters) - Volkswagen (#VW)… https://t.co/6sB7AqBtJ9 #hotnews</t>
  </si>
  <si>
    <t>Exeter NH</t>
  </si>
  <si>
    <t>educator,foodie,I heart adventure &amp; spontaneity (preferably together)</t>
  </si>
  <si>
    <t>Der lange geheime Untersuchungsbericht ist veröffentlicht - und bestätigt eine Vermutung. Nicht #VW allein hat... https://t.co/U480MnRmBJ</t>
  </si>
  <si>
    <t>Alex Smith</t>
  </si>
  <si>
    <t>eBay: Vw beetle https://t.co/Ad5SRhPKCa #vwbeetle #vwbug #vw https://t.co/xvfL74PTgl https://t.co/88sUAHxHJf</t>
  </si>
  <si>
    <t>Dr. Carl Reed</t>
  </si>
  <si>
    <t>@MdB_Stroebele Gute Frage Herr Ströbele! Ich schätze Investition in einen Briefkasten... #VW</t>
  </si>
  <si>
    <t>Potsdam</t>
  </si>
  <si>
    <t>Kritisch, Offen, Aufgeweckt... Lieber 2x fragen als einmal nicken... Don't t(h)rust politicans...</t>
  </si>
  <si>
    <t>Eitel, Stefan</t>
  </si>
  <si>
    <t>Auch wenn sich @RickGoldmann noch so reinkniet... Emotional war ich selten so weit weg von einem @DELoffice Finale #delpo2016 #VW #Dosen</t>
  </si>
  <si>
    <t>Family man, IT Manager, Hockey Fan</t>
  </si>
  <si>
    <t>Eric Morehead</t>
  </si>
  <si>
    <t>$18 bln. What would an effective compliance and ethics program cost? A lot less. https://t.co/xsFjgDtpEm #ethics #compliance #vw</t>
  </si>
  <si>
    <t>I'm a ethics and compliance program advisor interested in spreading the word about -- and learning more about -- how organizations operate with integrity.</t>
  </si>
  <si>
    <t>Loll Newman</t>
  </si>
  <si>
    <t>First time Heidi the campervan has been with us to #wonderwoolwales! #vw #valentine #holdsworth… https://t.co/ZmULFmGwS0</t>
  </si>
  <si>
    <t>I'm a womble living in Worcester. Love craft, Take That, thrifting and all things old and interesting.</t>
  </si>
  <si>
    <t>Enjoy the great outdoors this weekend! #EarthDay #VW #TGIF Click Here: https://t.co/Vjhe0tdn3Z https://t.co/smcBHalJjL</t>
  </si>
  <si>
    <t>Jessica Sturmberg</t>
  </si>
  <si>
    <t>Mal so eine Frage: Warum nennt man das eigentlich #Bonuszahlung? #VW</t>
  </si>
  <si>
    <t>journalist, sports, economics and all about Iceland</t>
  </si>
  <si>
    <t>Anders gefragt: Wann gibt es keinen #Bonus? #VW</t>
  </si>
  <si>
    <t>E&amp;E Publishing</t>
  </si>
  <si>
    <t>Greenwire: #Emissions scandal blows big hole in #VW bottom line (surprise - sales rev up 5% ) by @ArielWittenberg https://t.co/xIqtsejl3d</t>
  </si>
  <si>
    <t>DC, NYC, ATL, STL, TEX &amp; CA</t>
  </si>
  <si>
    <t>The leading source for daily coverage of energy and environmental politics and policy, E&amp;E produces EnergyWire, Greenwire, E&amp;E Daily, ClimateWire and E&amp;ETV.</t>
  </si>
  <si>
    <t>John Hall</t>
  </si>
  <si>
    <t>#VW scandal, Alan Taylor on Vipers, and future cars | #Autoblog#Podcast #474 https://t.co/PhatB6hh71 https://t.co/3peyKK9X3T</t>
  </si>
  <si>
    <t>Businesses in Point Of Sales technologies, Online Retail &amp; Catering equipment supply &amp; POS software development. Interests in motor sport &amp; Harley motorcycles</t>
  </si>
  <si>
    <t>jetzt wird's doch interessant im @DELoffice Finale #KasperHauser @RickGoldmann #vw #dosen #delpo2016</t>
  </si>
  <si>
    <t>#vw beetle VW Beetle https://t.co/JM8exW5XMG</t>
  </si>
  <si>
    <t>#vw beetle Vw beetle https://t.co/IuNoiGguln</t>
  </si>
  <si>
    <t>Craig Bennett</t>
  </si>
  <si>
    <t>#VW more than doubles emissions bill to €16.2bn https://t.co/W2kMasMBMU https://t.co/FW6ZE1fhOu</t>
  </si>
  <si>
    <t>London/Cambridge</t>
  </si>
  <si>
    <t>CEO, Friends of the Earth (England, Wales and N Ireland), Board member FOE Europe. Policy Fellow, Uni of Cambridge. Lecturer at several uni's &amp; business schools</t>
  </si>
  <si>
    <t>eBay: Volkswagen Beetle spares or very… https://t.co/Gohw1ZN0t9 #vwbeetle #vwbug #vw https://t.co/xvfL74PTgl https://t.co/lhLENjbfYU</t>
  </si>
  <si>
    <t>eBay: 2001 VOLKSWAGEN BEETLE - SPECIAL EDITION https://t.co/EVw1PBtAjw #vwbeetle #vwbug #vw https://t.co/xvfL74PTgl https://t.co/cwOENu2btq</t>
  </si>
  <si>
    <t>Richard</t>
  </si>
  <si>
    <t>Slow but satisfying progress on the camper #vwt25 #westfalia #westy #vanagon #t25 #vw #vwcamper… https://t.co/uCragAgbUw</t>
  </si>
  <si>
    <t>Hereford UK</t>
  </si>
  <si>
    <t>Specialist Unit. Extremist.</t>
  </si>
  <si>
    <t>RT @StohlmanAuto: #VW SALE!! Buy 3 Tires, Get 4th for $1 at Stohlman Volkwagen of Tysons (offer ends May 31!) https://t.co/PktPiJh2so https…</t>
  </si>
  <si>
    <t>RT @VolkswagenCasey: Enjoy the great outdoors this weekend! #EarthDay #VW #TGIF Click Here: https://t.co/Vjhe0tdn3Z https://t.co/smcBHalJjL</t>
  </si>
  <si>
    <t>Peter Spuhler #stadler ist absolut kein #VW Manager «Ich habe auf einen rechten Teil des Lohns verzichtet» https://t.co/OeKi1bI9zy</t>
  </si>
  <si>
    <t>Mark</t>
  </si>
  <si>
    <t>newport, uk</t>
  </si>
  <si>
    <t>36yr old married dad of 1, very interested in all things techy and gaming - xb1 gt - oWIGGYo</t>
  </si>
  <si>
    <t>Passage éclair chez ClassicMotoring à #Bordeaux ce soir #vw #aircooled #porsche #DriveTastefully https://t.co/vW28kHk7ll</t>
  </si>
  <si>
    <t>Gamal Khalifa</t>
  </si>
  <si>
    <t>@FT #VW was it really worth it?</t>
  </si>
  <si>
    <t>eBay: 2001 VOLKSWAGEN BEETLE 2.0L,CLEAN… https://t.co/YPPNMJ6NOd #vwbeetle #vwbug #vw https://t.co/xvfL74PTgl https://t.co/0xEgokpiHt</t>
  </si>
  <si>
    <t>eBay: 2005 Vauxhall Vivaro 1.9 Diesel Camper… https://t.co/SJ132KfeBB #vwcamper #vwbus #vw https://t.co/ZEadscsjBy https://t.co/ipK7iOryCJ</t>
  </si>
  <si>
    <t>KING DONALD TRUMP</t>
  </si>
  <si>
    <t>RT @Stony_BS: Schmeißt endlich die #Lobbyisten aus den Ministerien! #Bundesregierung #VW #Volkswagen #Dieselgate #Betrug #Brennpunkt #ZDF…</t>
  </si>
  <si>
    <t>#worldking</t>
  </si>
  <si>
    <t>RT @Stony_BS: #Betrug, dicke #Boni und #Schönreden! Das ist die deutsche #Autolobby! #VW #Volkswagen #Wissmann #Politik #Dobrindt #Brennpu…</t>
  </si>
  <si>
    <t>♔вяyαη яıs★™</t>
  </si>
  <si>
    <t>#VW scandal, Alan Taylor on Vipers, and future cars | Autoblog #Podcast #474 https://t.co/cdFHznH1jJ #autoblogpodcast</t>
  </si>
  <si>
    <t xml:space="preserve">  ea ✔</t>
  </si>
  <si>
    <t>★cнıєfsσsα łαмвσяgнıηı αυтσηєωs ⛽ █║▌│█│║▌║││█║▌│║▌  ©</t>
  </si>
  <si>
    <t>JREK Autocare</t>
  </si>
  <si>
    <t>Volkswagen Tiguan Test Drive Review. https://t.co/rfTHs37X0g #vw</t>
  </si>
  <si>
    <t>Ottawa, Ontario, Canada</t>
  </si>
  <si>
    <t>We specialize in auto-detailing services within the Ottawa area, since 2004. We've detailed more than 10,000 vehicles!</t>
  </si>
  <si>
    <t>Colin G</t>
  </si>
  <si>
    <t>RT @JustKampers: Really excited to share some great vehicles with you at the #volksworldshow this weekend! #VW #excited https://t.co/1WbxL5…</t>
  </si>
  <si>
    <t>I am going to school to be a Geologist. Jesus is Lord Lord of my life! #Geology #Geospatial #Christfollower #outdoors #nature</t>
  </si>
  <si>
    <t>Cats and Cars</t>
  </si>
  <si>
    <t>Not a good day for VW :/ @VW @RoadandTrack #vw https://t.co/nar9HCcZyU https://t.co/jTaN9q8Pvk</t>
  </si>
  <si>
    <t>Naples, FL</t>
  </si>
  <si>
    <t>For the love of CATS and CARS !</t>
  </si>
  <si>
    <t>Rubia ♔</t>
  </si>
  <si>
    <t>La Paternal</t>
  </si>
  <si>
    <t>Club Atlético River Plate ❤ | Tengo planeado casarme con @SergitoDanieel ♡</t>
  </si>
  <si>
    <t>RT @JustKampers: The new T6 is here. #VW #Volkswagen #VWCW #VWT6 #News #Camper #transporter @JustKampers http://t.co/K8g42N1rMV</t>
  </si>
  <si>
    <t>Levent Resul</t>
  </si>
  <si>
    <t>#VW more than doubles emissions bill to €16.2bn https://t.co/vXBgw5DIAK</t>
  </si>
  <si>
    <t>Levent Resul, Mimar/Architect (METU / ODTÜ) İletişim Danışmanı, Communications Consultant</t>
  </si>
  <si>
    <t>RT @JustKampers: Flat 2 engine! #vw #volkswagen #beetle #Volksworld #campers #aircooled http://t.co/6ROjynjjYy</t>
  </si>
  <si>
    <t>Sheryl Jean</t>
  </si>
  <si>
    <t>.@Volkswagen says release of internal emissions scandal investigation delayed; will take $18.2b hit #VW https://t.co/ntbFu5J83J</t>
  </si>
  <si>
    <t>San Francisco Bay Area, CA</t>
  </si>
  <si>
    <t>This multi-media journalist just left The Dallas Morning News in Texas to go freelance in northern California. I'm a marathoner, biker, hiker &amp; world traveler.</t>
  </si>
  <si>
    <t>Gra              </t>
  </si>
  <si>
    <t>Just no words... 😲 #drool #vw #golf #gti #volkswagen #photography https://t.co/hilTzBQNms</t>
  </si>
  <si>
    <t>Petrol Head, Tech Geek, decent photographer mixed with a passion for Carp Angling.... These are my opinions, so there!</t>
  </si>
  <si>
    <t>BASF North America</t>
  </si>
  <si>
    <t>Florham Park, NJ</t>
  </si>
  <si>
    <t>BASF Corp.,with more than 17,000 employees,is the North American affiliate of the world's leading chemical company.We create chemistry for a sustainable future.</t>
  </si>
  <si>
    <t>Judge Asks for Secrecy in #VW Settlement Talks https://t.co/altuSfV2BG via @benghancock #CLASSACTIONS</t>
  </si>
  <si>
    <t>Ian</t>
  </si>
  <si>
    <t>All that is good - all that is bad - all that is me #ProfessorGreen ~~Made In Chelsea ❤~~London~~ Supporter of #CFC ⚽️</t>
  </si>
  <si>
    <t>Mike Soraghan</t>
  </si>
  <si>
    <t>RT @EEPublishing: Greenwire: #Emissions scandal blows big hole in #VW bottom line (surprise - sales rev up 5% ) by @ArielWittenberg https:/…</t>
  </si>
  <si>
    <t>Reporter, EnergyWire. Frac(k)ing is my life. Retweets do not connote comprehension.</t>
  </si>
  <si>
    <t>Macbeth GP</t>
  </si>
  <si>
    <t>#volkswagen #bettle #eurovag #photoshoot #automotive #vw #rolling #photographer #Macbeth #autoclub https://t.co/elUVcdfFtR</t>
  </si>
  <si>
    <t>Fotógrafo| Lic. Ciencias de la Comunicación| productor en @filmarte_design y creador de @timelapsemexico.</t>
  </si>
  <si>
    <t>Teknikens Värld</t>
  </si>
  <si>
    <t>Historiskt stor förlust för #Volkswagen – 38 miljarder kronor https://t.co/mpsuEw9903 #dieselgate #VW https://t.co/hlabLMzuBi</t>
  </si>
  <si>
    <t>Teknikens Världs bilnyheter, provkörningar och biltester. Bjuder både på läsglädje och hårda fakta.</t>
  </si>
  <si>
    <t>mark rhodes</t>
  </si>
  <si>
    <t>Hmmm! I'm digging this! #vw #scirocco #becauseracecar #madmarkmotorsports @ Pacoima Projects https://t.co/mIhvup94A0</t>
  </si>
  <si>
    <t>SoCal</t>
  </si>
  <si>
    <t>@bzdt3 it's no offense but Im honestly AMAZED they didn't dismantle #vw in this. Ie The overcapacity thing. It's nuclear for Midwest germany</t>
  </si>
  <si>
    <t>Sandro Mazzariello</t>
  </si>
  <si>
    <t>Was ist nur mit der Autoindustrie los? Negativer Impact #Digitalisierung ? #fiat #vw #Mitsubishi #Daimler #chfeed #hwzdigitalfinance</t>
  </si>
  <si>
    <t>Jonschwil, Sankt Gallen</t>
  </si>
  <si>
    <t>Stv. Deskhead Wealth Management bei der UBS Switzerland AG in Wil SG / Mitinhaber &amp; -gründer der Nova Company GmbH / all views are my own</t>
  </si>
  <si>
    <t>Splitty Wedding Hire</t>
  </si>
  <si>
    <t>@mypalpooch @ThompsonCarley #vw I hope 😉</t>
  </si>
  <si>
    <t>South Coast</t>
  </si>
  <si>
    <t>Hector is our 1967 split screen camper van. Follow for updates on his adventures and weddings. https://t.co/TMmD4siPv0</t>
  </si>
  <si>
    <t>eBay: Toyota HiAce - VW Customised Day Van /… https://t.co/JpaRdrkJqy #vwcamper #vwbus #vw https://t.co/ZEadscsjBy https://t.co/SLOZcOD6v3</t>
  </si>
  <si>
    <t>Walter E. Johnson</t>
  </si>
  <si>
    <t>RT @GlobalEthicist: #VW posts loss after taking $18.28 billion hit on emissions scandal https://t.co/TlyNhnuy4u post-event #Reputati…</t>
  </si>
  <si>
    <t>Espasa Volkswagen</t>
  </si>
  <si>
    <t>Quiero un Nuevo Suran. ¡Ingresá y elegí tu plan! https://t.co/BocrppW0Gp #VW #Espasa https://t.co/KO0wHFPNX4</t>
  </si>
  <si>
    <t>Concesionario Oficial Volkswagen N° 1 en ventas por 13º año consecutivo, con 5 sucursales en la Ciudad de Buenos Aires. Contacto: 0810-777-8989.</t>
  </si>
  <si>
    <t>Finally! Good Crosstrek competition! Check out: Production 2017 #VW #Golf #Alltrack will debut in New York via @therealautoblog @Subaru</t>
  </si>
  <si>
    <t>BJJ Arena</t>
  </si>
  <si>
    <t>RT @AJBalkans: Skandal koštao VW 16,2 milijarde eura https://t.co/AZWj4vFH4O #vw #volkswagen https://t.co/BuVKKulbRP</t>
  </si>
  <si>
    <t>Bosnia and Herzegovina</t>
  </si>
  <si>
    <t>@nocki61 Wann realisieren die Menschen daß die #USA-merikanischen Attacken auf #VW Teil des Wirtschaftskrieges sind? https://t.co/UCYsGvUr1U</t>
  </si>
  <si>
    <t>krista $mith</t>
  </si>
  <si>
    <t>The grass is greener where you water it #mufc</t>
  </si>
  <si>
    <t>Shoo Social Media</t>
  </si>
  <si>
    <t>#VW doubles emissions costs to €16.2bn https://t.co/mRyyfgBoPd #BusinessNews https://t.co/bq5DiNAmW3</t>
  </si>
  <si>
    <t xml:space="preserve">Ilkley, West Yorkshire UK </t>
  </si>
  <si>
    <t>Promotion of YOUR business advices, tips, tricks, tools, news, resources etc... Use #BizForBreakfast for a retweet.</t>
  </si>
  <si>
    <t>Let's take a road trip. Where do you want to go? #VW #RoadTrip https://t.co/Y7rafC0fhI https://t.co/UuxPVbFbBX</t>
  </si>
  <si>
    <t>Digitalisierung &amp; Co</t>
  </si>
  <si>
    <t>RT @Mazzariello85: Was ist nur mit der Autoindustrie los? Negativer Impact #Digitalisierung ? #fiat #vw #Mitsubishi #Daimler #chfeed #hwzdi…</t>
  </si>
  <si>
    <t>INDIZbot</t>
  </si>
  <si>
    <t>Tweets zu #Digitalisierung, #Industrie40, #IoT und ähnlichen Themen. Bei Interesse einfach folgen!</t>
  </si>
  <si>
    <t>The #VW Tiguan is adding some beauty into our #TGIF. See here: https://t.co/LLL7ZP5Hza https://t.co/6DXa4hw5L7</t>
  </si>
  <si>
    <t>Let's take care of our planet! Happy #EarthDay! Check out our service specials: https://t.co/U3fmTAxlXG #VW https://t.co/78DSceb9BS</t>
  </si>
  <si>
    <t>Let's take care of our planet! Happy #EarthDay! Check out our service specials: https://t.co/U3fmTAxlXG #VW https://t.co/USnQVCRAhV</t>
  </si>
  <si>
    <t>Alfie &amp; Primrose</t>
  </si>
  <si>
    <t>Just received a fab thank you gift...mug of wine it is then! #cheers #campervan #VW #dublove #fridaynight 💚 https://t.co/X3qXvCzWQ4</t>
  </si>
  <si>
    <t>We offer vintage VW wedding transportation with a difference...meet Alfie our 1972 bay campervan and Primrose our 1969 bug. Follow our adventures...#dublove</t>
  </si>
  <si>
    <t>The cars we drive say a lot about us. 🚘🌅 #beetle #thebeetle #cup #vwbeetle #volkswagen #vw #coupe #carsofinstagram … https://t.co/hygJmD4LiU</t>
  </si>
  <si>
    <t>Rosalie Hepki</t>
  </si>
  <si>
    <t>RT @UniversityVW: Let's take a road trip. Where do you want to go? #VW #RoadTrip https://t.co/Y7rafC0fhI https://t.co/UuxPVbFbBX</t>
  </si>
  <si>
    <t xml:space="preserve">Planet Earth.  </t>
  </si>
  <si>
    <t>Artist, writer owned and operated by a trio of cats. Often seen in the company of mythic life forms and having tea with same.</t>
  </si>
  <si>
    <t>🏁 @der_brummbar #zwitter #ovaldashsplit #oldspeed #speedwell #vw #splitwindow #racefuel #vwbeetle #aircooled #nosta… https://t.co/9h82dTYcQ6</t>
  </si>
  <si>
    <t>eBay: 2010 VW Transporter T5 2.0 TDI T28… https://t.co/n2ada0QFWU #vwcamper #vwbus #vw https://t.co/ZEadscsjBy https://t.co/IlhR9REk0m</t>
  </si>
  <si>
    <t>Die arglistige Täuschung - hundertausender Menschen - macht mich sprachlos. #VW #Audi #Daimler #dieselgate #Bosch https://t.co/aJ0IhwRXIh</t>
  </si>
  <si>
    <t>Honey's Home Gifts</t>
  </si>
  <si>
    <t>Officially licensed VW campervan metal tray - 30 cm - £4 #VW #Campervan #tray #kitchen https://t.co/rOEyhlva58</t>
  </si>
  <si>
    <t>Medway Kent</t>
  </si>
  <si>
    <t>Welcome to Honey's Home Gifts. We are a contemporary home gift company based In Medway, Kent</t>
  </si>
  <si>
    <t>Ariel Wittenberg</t>
  </si>
  <si>
    <t>Environmental reporter covering DOD, transportation for Greenwire. @BrandeisU @southcoasttoday alum. History nerd, puzzle enthusiast. Retweets not endorsements.</t>
  </si>
  <si>
    <t>jaideep gupta</t>
  </si>
  <si>
    <t>Delhi, India</t>
  </si>
  <si>
    <t>avid stargazer &amp; astrophysics lover with passion for everything with a motor/engine.</t>
  </si>
  <si>
    <t>Adam Bartram</t>
  </si>
  <si>
    <t>Echt geil, wie #Dobrindt die #Idioten demütigt, die für #Mythos "#Premium-#Auto" sich verschuldet haben #CDU- #VW #Volkswagen</t>
  </si>
  <si>
    <t>#VW-Deal in #USA 5000 Dollar für US-Kunden - und für Deutsche gibt es nichts VW hat sich mit den US-Behörden... https://t.co/4ydpwBp1jw</t>
  </si>
  <si>
    <t>G"tree"I... See what I did there...? 😄 #vw #golf #gti #volkswagen #photography #drool https://t.co/F2M9h0Mm2M</t>
  </si>
  <si>
    <t>#Dobrindt hat mich was gelehrt: Wenn #Auto: Nie eins von #Mercedes, #Audi, #VW. Ich spar lieber auf einen sauberen #Tesla #CDU- #SPD-</t>
  </si>
  <si>
    <t>eBay: 1959 VW Baja Beetle Car for Sale https://t.co/jUXWlhoCCY #vwbeetle #vwbug #vw https://t.co/xvfL74PTgl https://t.co/OD9qaIR460</t>
  </si>
  <si>
    <t>Gigiocamicio</t>
  </si>
  <si>
    <t>The worst thing is customers are not all equally treated as they are not bribing the european customers @CNBC @foimbert #vw #shameless</t>
  </si>
  <si>
    <t>Italiano esperto di bratwurst - italian bratwurst expert - global forgazy, macro and financial markets coverage RT≠endorsement</t>
  </si>
  <si>
    <t>RT @espasa: Quiero un Nuevo Suran. ¡Ingresá y elegí tu plan! https://t.co/BocrppW0Gp #VW #Espasa https://t.co/KO0wHFPNX4</t>
  </si>
  <si>
    <t>Wer übrigens glaubt der #VW Vorstand verzichte auf 30% irrt gewaltig - das Geld wird lediglich 3 Jahre lang "geparkt"!! lt. #FAZ #boni</t>
  </si>
  <si>
    <t>Jude Bram</t>
  </si>
  <si>
    <t>Red bus on a ramp getting its under carriage inspected. All hail Craven's Garage. #vw #vwbus… https://t.co/E8KeiSiPq3</t>
  </si>
  <si>
    <t>Renaissance man with not enough hours in a day. Radio historian and writer. Broadcaster and voice-over talent. I go ding when there's stuff.</t>
  </si>
  <si>
    <t>#suranclub #vw #spacefox #volkswagen #club #suran #sportvan #spaceclube #Brasil #uruguay https://t.co/h6e3mFfQD2</t>
  </si>
  <si>
    <t>#suranclub #vw #spacefox #volkswagen #club #suran #sportvan #spaceclube #Brasil #uruguay https://t.co/kB2bgWJMBL https://t.co/PgnPjl72Un</t>
  </si>
  <si>
    <t>Tom Peter</t>
  </si>
  <si>
    <t>Warum ist General Motors bei der Zündschlossaffäre mit über 100 Toten mit 2 Mrd davongekommen und VW muss ein Vielfaches blechen?#VW #abgas</t>
  </si>
  <si>
    <t>Don't count on meeee, I engineeeeer...</t>
  </si>
  <si>
    <t>Ryan Osborne</t>
  </si>
  <si>
    <t>@YungCheun oh no not a #VW</t>
  </si>
  <si>
    <t>Dass es sich #VW-#Händler überhaupt noch wagen,meinen #Briefkasten &amp; TV mit ihren "#Sonderangeboten" zu verschmutzen #Freitagabend</t>
  </si>
  <si>
    <t>Herr Weazle</t>
  </si>
  <si>
    <t>RT @Ernst1953Do: @nocki61 Wann realisieren die Menschen daß die #USA-merikanischen Attacken auf #VW Teil des Wirtschaftskrieges sind? https…</t>
  </si>
  <si>
    <t>Ich lasse mir meine Wirklichkeit nicht durch die Realität kaputtmachen!</t>
  </si>
  <si>
    <t>Passenger side bus axle ready to go in. #productiveday #mancavetime #VW #bus #ChampagneEdition2… https://t.co/8DALAsdC0j</t>
  </si>
  <si>
    <t>North County LRS</t>
  </si>
  <si>
    <t>#VW #recall to top $18B. https://t.co/CiAWOylu0d</t>
  </si>
  <si>
    <t>Northern San Diego</t>
  </si>
  <si>
    <t>We can help refer you to a qualified attorney for your legal needs in North County. For a free 30-minute consultation call us today at (760) 758-5833.</t>
  </si>
  <si>
    <t>eBay: SUPER CLASSIC VOLKSWAGEN 1303 S BEETLE… https://t.co/d4XWV7dRtj #vwbeetle #vwbug #vw https://t.co/xvfL74PTgl https://t.co/1otVaURiSb</t>
  </si>
  <si>
    <t>#Volkswagen = Ein #Dieselgate-#Stinke-#Dreck-"#Auto" was sich mit #Menschen mit #Stil &amp; #Ehre nicht mehr anziehen #Knigge #VW</t>
  </si>
  <si>
    <t>American Bully Daily</t>
  </si>
  <si>
    <t>VolksNation Baybeeeeeh! #VW #VolksNation #VN #Bronks #BronksTail #Pitbull #Pitbulls #Pitbu… https://t.co/ePpep09EdA https://t.co/moddHhLBn3</t>
  </si>
  <si>
    <t>#VW: une très mauvaise année 2015. Provisions et repli du chiffres d'affaires https://t.co/kNGTWmk5jZ</t>
  </si>
  <si>
    <t>Cristian Miutá</t>
  </si>
  <si>
    <t>Irregularities with emission levels: #AlfaRomeo #Chevrolet #Fiat #Hyundai #Jaguar #Jeep #Nissan #Renault #Suzuki #Opel #Porsche #Audi #VW</t>
  </si>
  <si>
    <t>Neder-Betuwe, Nederland</t>
  </si>
  <si>
    <t>Passion in power electronics. Design &amp; engineering the battery packs. Interest in @TeslaMotors @SolarCity @SpaceX Of course I joined the rEVolution!</t>
  </si>
  <si>
    <t>Tim Schmuckall</t>
  </si>
  <si>
    <t>@Marktzyniker bei den Realtest Euro 6 war der #VW der Einzige unter den Testkandidaten, der die Grenzwerte eingehalten hat.</t>
  </si>
  <si>
    <t>Hamburg, Altona</t>
  </si>
  <si>
    <t>Mitglied @CDU | Stellv. Fraktionsvorsitzender @CDU_Altona · Verkehrspolitischer Sprecher · Vorsitzender #CDU-Osdorf · Beruflich bei @CDU_Hamburg unterwegs</t>
  </si>
  <si>
    <t>Mati Spina</t>
  </si>
  <si>
    <t>RT @SuranClub: #suranclub #vw #spacefox #volkswagen #club #suran #sportvan #spaceclube #Brasil #uruguay https://t.co/kB2bgWJMBL https://t.c…</t>
  </si>
  <si>
    <t xml:space="preserve">LA 103 ES LEYENDA </t>
  </si>
  <si>
    <t>Insta Mati Spina matiispinaa_1</t>
  </si>
  <si>
    <t>Konrad</t>
  </si>
  <si>
    <t>#VW Manager Boni (70%) fuer keine Leistung, bravo Herr Weil.</t>
  </si>
  <si>
    <t>Iphone, Sprueche, Neugier</t>
  </si>
  <si>
    <t>Den #Stinke-#Prolo erkennt man am: #Dieselgate-#Stinke-#Polo #VW #Dieselgate</t>
  </si>
  <si>
    <t>bncnmth! Where it belongs :) #vw #burnallthemk3s #bandedsteels #steelies #golf #golfmk3 #spring #2k16 #lc6p #tdi... https://t.co/8QztF6Jdnq</t>
  </si>
  <si>
    <t>DarkDeutschland</t>
  </si>
  <si>
    <t>🇩🇪 wird fertig gemacht 👎 Klappt es nicht mit Ukraine, dann #Syrien #Libyen #Flüchtlinge #VW #EZB #TTIP #CETA #GroKo https://t.co/YtLNPb0lGR</t>
  </si>
  <si>
    <t>Cybermike</t>
  </si>
  <si>
    <t>Wenn ich den Wissmann sehe, könnte ich K***en. So ein Schwätzer. Weg mit den Lobbyisten. #Dieselgate #abgasskandal #VW</t>
  </si>
  <si>
    <t>Non existence of evidence is not evidence of non existence. *** Donald Dumb for President! And may the farce be with you...***</t>
  </si>
  <si>
    <t>@TimSchmuckall Und die #VW vor #Euro6? Einfach ne #Schweinerei wie #VW, seine Kunden abzockt!</t>
  </si>
  <si>
    <t>@TimSchmuckall Im Übrigen, hab ich mal erlebt, wie #VW arrogant, ne #Behinderte verarschte: "Wie nen neuen Motor, macht doch keiner" (1/2)</t>
  </si>
  <si>
    <t>#VW-Werbung bei der #mattscheibe: "Es geht um mehr als ein Auto - es geht darum, dass Sie beschissen werden!" #Volkswagen #Dieselgate</t>
  </si>
  <si>
    <t>Bei #Wissmann hilft keine Nachbesserung mehr, da hilft nur Entsorgung. # Flachpfeife #vw #dieselgate #abgasskandal</t>
  </si>
  <si>
    <t>@Marktzyniker yo, aber #VW war ja einer von vielen. Leider. Und die meisten Mitarbeiter können auch nichts dafür.</t>
  </si>
  <si>
    <t>Danny Lowry</t>
  </si>
  <si>
    <t>So I bid farewell to The Big Gold Boat aka Goldie Hawn today. Thanks for the final years of service you gave the Lowry family. #VW #Passat 🚕</t>
  </si>
  <si>
    <t>Béal Feirste, Ireland, Earth</t>
  </si>
  <si>
    <t>Muso. Dreadlock grower. Arsenal supporter. Classic VW enthusiast. ICT Programmer. Trade Unionist. Dancer. Chancer.</t>
  </si>
  <si>
    <t>@TimSchmuckall Nur: Der #Golf war behindertengerecht umgebaut (10K), sodass #Motortausch wirtschaftlich sinnvoll....#VW</t>
  </si>
  <si>
    <t>datkat</t>
  </si>
  <si>
    <t>Generell Dieselmotoren abschaffen !! #VW #Autohersteller</t>
  </si>
  <si>
    <t>Brandenburg</t>
  </si>
  <si>
    <t>..squeak for joy</t>
  </si>
  <si>
    <t>Kein guter Tag für den Autokonzern #VW -Bilanzbericht in @ZDFheute https://t.co/gOW6D6kOO5</t>
  </si>
  <si>
    <t>Nano Silveira</t>
  </si>
  <si>
    <t>🚘🚦🏁😈 #Vags #vw #GolTrend rrniquito https://t.co/h8vAjRoFdy</t>
  </si>
  <si>
    <t>Insta:NanoSilveira</t>
  </si>
  <si>
    <t>eBay: camper van bay t2 1972 crossover project https://t.co/hQqfPtG6IL #vwcamper #vwbus #vw https://t.co/ZEadscsjBy https://t.co/3TMf7ycA2b</t>
  </si>
  <si>
    <t>eBay: VOLKSWAGEN TRANSPORTER T5 T28 102TDI SWB… https://t.co/8oWpqb5fMI #vwcamper #vwbus #vw https://t.co/ZEadscsjBy https://t.co/gx63wdF3xv</t>
  </si>
  <si>
    <t>https://t.co/yyKId5yQio - #vw #vwt4 #volkswagen #volkswagensplitscreen #splitty #mirror b… https://t.co/auCI6mJiko https://t.co/LZu9FB0mRn</t>
  </si>
  <si>
    <t>S_Galimberti</t>
  </si>
  <si>
    <t>#VW Doubles Cost of Scandal to €16.2 Billion https://t.co/Nd6ApncfvY via @technology</t>
  </si>
  <si>
    <t>Non accontentarti dell’orizzonte. Cerca l’infinito.</t>
  </si>
  <si>
    <t>LaBicho</t>
  </si>
  <si>
    <t>En USA, recomprarán los coches trucados. En #Españistan los envían al taller...JUA ! #fraude #VW https://t.co/AqdZY4Ak7R</t>
  </si>
  <si>
    <t>Ciudadana del Mundo.</t>
  </si>
  <si>
    <t>Martin Glöckner</t>
  </si>
  <si>
    <t xml:space="preserve"> München</t>
  </si>
  <si>
    <t>Geschäftsführer Green City e.V.</t>
  </si>
  <si>
    <t>FanCar Picture - Send me your Scirocco pictures!!! (PM Please) #VW #Volkswagen #Scirocco #Tuning https://t.co/3XdpDcuZJo</t>
  </si>
  <si>
    <t>Nullzeit</t>
  </si>
  <si>
    <t>RT @sseewolf: Was ist eigentlich ein Bonus und wofür bekommt man den? Frage für einen Leiharbeiter bei #VW.</t>
  </si>
  <si>
    <t>Wrong century, wrong planet.</t>
  </si>
  <si>
    <t>@TimSchmuckall Und die #Stammbelegschaft von #VW zeigte auch keine #Solidarität mit den gefeuerten #Zeitarbeitern</t>
  </si>
  <si>
    <t>#posen #lowatthelake #wörthersee #worthersee2016 #bbs #bilstein #low #g60 #16v #gti #gti16vg60 #vw #tuning #vwtunin… https://t.co/9GNGQ2xvXJ</t>
  </si>
  <si>
    <t>Nikola John</t>
  </si>
  <si>
    <t>.@heutejournal war heute amüsant trotz des ernsten #VW Themas. Wissmann sprach über die Penetration des Euro 6 Diesels - mit scharfem s.</t>
  </si>
  <si>
    <t>in der Pressestelle der EU-Kommission in D, vor allem zu Digitalem und Verkehr - hier privat unterwegs</t>
  </si>
  <si>
    <t>Peelee</t>
  </si>
  <si>
    <t>#VW #Golf #GTI #Bora #Black https://t.co/FY33DAuN6z</t>
  </si>
  <si>
    <t>No hay razones para entrar en un edificio en llamas, sabiendo q todos qieren salir...</t>
  </si>
  <si>
    <t>GerdaTrapp</t>
  </si>
  <si>
    <t>#madeingermany die #CEO's v #vw #bmw #daimler etc. ruinieren den Standort #germany #europe.. wer mag das wollen? https://t.co/CZjab42OnS</t>
  </si>
  <si>
    <t>cogito ergo sum RT ≠ endorsement.</t>
  </si>
  <si>
    <t>Ushuaia, Argentina</t>
  </si>
  <si>
    <t>Si sos paki retirate por favor</t>
  </si>
  <si>
    <t>ianb1550</t>
  </si>
  <si>
    <t>Manfred Bartl</t>
  </si>
  <si>
    <t>RT @StephanKrull: #dieselgate Einigung in den USA? Bonuszahlungen für die Manager? #VW enteignen und demokratisieren GG Art. 14! https://t.…</t>
  </si>
  <si>
    <t>Zur Anarchie: diese Richtung!</t>
  </si>
  <si>
    <t>#VW: une très mauvaise année 2015. Provisions et repli du chiffres d'affaires https://t.co/sWmnFyNPsS #suisse #éco</t>
  </si>
  <si>
    <t>Peter Acker</t>
  </si>
  <si>
    <t>Hai!! #vw #7R #golfr #motorsportsbyreeves#mbr #goapr #mk7r #haibai #buttshot #cheeky… https://t.co/RWjJpFzF5i</t>
  </si>
  <si>
    <t>Sarasota, Florida</t>
  </si>
  <si>
    <t>Professional photographer, amateur fisherman, dog lover</t>
  </si>
  <si>
    <t>Dingo's PDR, Inc.</t>
  </si>
  <si>
    <t>#VW Fender Before/After https://t.co/qn8MEMzymm #Atlanta #Dent #Hail 7709795356 https://t.co/whcMTCU89Z</t>
  </si>
  <si>
    <t>Snellville, Ga.</t>
  </si>
  <si>
    <t>Dingo's PDR is Atlanta's Premier Provider of Paintless Dent Repair</t>
  </si>
  <si>
    <t>finder</t>
  </si>
  <si>
    <t>RT @Taipanos: Wer übrigens glaubt der #VW Vorstand verzichte auf 30% irrt gewaltig - das Geld wird lediglich 3 Jahre lang "geparkt"!! lt. #…</t>
  </si>
  <si>
    <t>Mainz, Rheinland-Pfalz</t>
  </si>
  <si>
    <t>addicted to aviation</t>
  </si>
  <si>
    <t>@julioDeLange @turbofr t'es un fanboy: #vw #audi pareil que seat skoda: du low cost/généraliste. Bm et Merco c'est largement au dessus.</t>
  </si>
  <si>
    <t>Powerflow confusion https://t.co/2XfkRxSF9U #VW #GTE #Golf #EV</t>
  </si>
  <si>
    <t>#WRC #RallyArgentina #VW #Latvala Ралли Аргентины, СУ7: Ожье выходит на второе место https://t.co/Q9BKqpce0I https://t.co/DPsEx6qCq1</t>
  </si>
  <si>
    <t>fLOh</t>
  </si>
  <si>
    <t>RT @Marktzyniker: #Dobrindt hat mich was gelehrt: Wenn #Auto: Nie eins von #Mercedes, #Audi, #VW. Ich spar lieber auf einen sauberen #Tesla…</t>
  </si>
  <si>
    <t>Twidere for Android #3</t>
  </si>
  <si>
    <t>3rd Planet from the Sun</t>
  </si>
  <si>
    <t>Die Freiheit des Menschen liegt nicht darin, dass er tun kann, was er will, sondern, dass er nicht tun muss, was er nicht will. - Rousseau</t>
  </si>
  <si>
    <t>#VW scandal, Alan Taylor on Vipers, and future cars | Autoblog #Podcast #474 #autoblogpodcast #dodge #dodgeviper</t>
  </si>
  <si>
    <t>eBay: VW T2 Bay VW Camper Van https://t.co/NmoJDFgl2z #vwcamper #vwbus #vw https://t.co/ZEadscsjBy https://t.co/UlhPSb1dtO</t>
  </si>
  <si>
    <t>#vw beetle SUPER CLASSIC VOLKSWAGEN 1303 S BEETLE MOT SEPTEMBER DON'T MISS THIS ONE https://t.co/irMVV4w4bd</t>
  </si>
  <si>
    <t>Carmakers Attempt to Steer Clear of VW Crisis https://t.co/Fcik4CiGqw #VW #AutoNews</t>
  </si>
  <si>
    <t>@TimSchmuckall Naja! Mal ehrlich: Die #Leute haben, einen #Haufen #Geld für "#Premium"-#VW bezahlt &amp; dann sowas wie #Dieselgate</t>
  </si>
  <si>
    <t>@TimSchmuckall Und im #Übrigen:Nicht mal nen #Motorwechsel bei #Behinderten-#Umbau-#Auto auf die #Kette zu bekommen...#VW ist bei mir durch</t>
  </si>
  <si>
    <t>Jonathan Machado</t>
  </si>
  <si>
    <t>Adicionei um vídeo a uma playlist @YouTube https://t.co/k0kCcAGq7x BUDD-e Concept 2016 #VW</t>
  </si>
  <si>
    <t>Lançamentos automobilísticos do Brasil e do mundo!</t>
  </si>
  <si>
    <t>@AlexDobrindt Schon beschämend,#VW entschädigt die Amis und der deutsche Autofahrer schaut ins Leere.Die Politik kuschelt mit Autoindustrie</t>
  </si>
  <si>
    <t>♣</t>
  </si>
  <si>
    <t>Ig: roman_gnz// Virgen del Pilar 44 Q.E.P.D 14/01/16</t>
  </si>
  <si>
    <t>© ESCORTS PUEBLA</t>
  </si>
  <si>
    <t>#Puebla #Audi #VW #VIP #motel #Hotel #Puexxx #Sexy #Erotic #Escort #Escorts FF @puexxx</t>
  </si>
  <si>
    <t>Directorio Publicitario de Moteles y Escorts en la Cd de Puebla. | (+18) Vive y deja Vivir... | La libre expresion y el libre oficio esta garantizado Art 5 y 6</t>
  </si>
  <si>
    <t>Se viene lo mejor de lo mejor en la escena del país. No te lo puedes perder! #vw #Volkswagen #kingeuro https://t.co/ZsJ50FLefY</t>
  </si>
  <si>
    <t>Jim Millett</t>
  </si>
  <si>
    <t>Into all cars and watches. Train at Unique Fitness. Also on Instagram - jjmillett</t>
  </si>
  <si>
    <t>Guido Braun</t>
  </si>
  <si>
    <t>#Abgasaffäre: #Bosch hat #Schummelsoftware nicht nur an #VW geliefert https://t.co/fTLGqU6dSc via @SPIEGELONLINE</t>
  </si>
  <si>
    <t>Frankfurt am Main (Germany)</t>
  </si>
  <si>
    <t>Rock'n'Roll. Und #T3CHN1K.</t>
  </si>
  <si>
    <t>@frawis2 #Unprofessionell erscheinen mir vor allem Verträge, welche #Boni auch für desaströse Leistung vorsehen. #heute #VW #Minderleister</t>
  </si>
  <si>
    <t>Ralf Keuper</t>
  </si>
  <si>
    <t>RT @guidobraun: #Abgasaffäre: #Bosch hat #Schummelsoftware nicht nur an #VW geliefert https://t.co/fTLGqU6dSc via @SPIEGELONLINE</t>
  </si>
  <si>
    <t xml:space="preserve">Paderborn - Impressum: </t>
  </si>
  <si>
    <t>Tweets über Wirtschaft, Banking, Wissenschaft, Medien, Technologie, Design und Kunst / Research</t>
  </si>
  <si>
    <t>RT @kngeuro: Se viene lo mejor de lo mejor en la escena del país. No te lo puedes perder! #vw #Volkswagen #kingeuro https://t.co/ZsJ50FLefY</t>
  </si>
  <si>
    <t>Volkswagen BUDD-e Concept 2016 #VW: https://t.co/lLxucWSg1i via @YouTube</t>
  </si>
  <si>
    <t>VW T25 / T3 Transporter Classic Campervan Leisure Drive Pop Top.: £0.01 (0 Bids)End Date: Friday Apr-29-2... https://t.co/kuHuqmn5IX #vw</t>
  </si>
  <si>
    <t>AMOR</t>
  </si>
  <si>
    <t>JED all cleaned ready for camping tomorrow... #Clean #StagDo #Vw… https://t.co/OKFeWibzMf</t>
  </si>
  <si>
    <t>Bournemouth</t>
  </si>
  <si>
    <t>Please visit my JustGiving page below...</t>
  </si>
  <si>
    <t>Check out this quick video of our employees hard at work! #VW #Passat https://t.co/HXi7nW7wgS</t>
  </si>
  <si>
    <t>Javo</t>
  </si>
  <si>
    <t>Don Torcuato</t>
  </si>
  <si>
    <t>❤Independiente❤ ✖Hardwell✖ ✖Dannic✖ ✖Dyro✖ // Nothing can hold us down ❤✖</t>
  </si>
  <si>
    <t>Duncan Thrussell</t>
  </si>
  <si>
    <t>Classic surf wagon! #surf #classiccar #vw #perranporth #cornwall @ Perranporth https://t.co/wYnEjvdhJJ</t>
  </si>
  <si>
    <t>West Sussex UK</t>
  </si>
  <si>
    <t>Artist</t>
  </si>
  <si>
    <t>Facu Almeira</t>
  </si>
  <si>
    <t>Millonario hasta la muerte!!!// voley pasioon *---*</t>
  </si>
  <si>
    <t>HighlanderTV.eu</t>
  </si>
  <si>
    <t>#VW posts loss in 2015 after taking 16.2-bn euro hit on #emissions #scandal https://t.co/MYvPO12Ne8</t>
  </si>
  <si>
    <t>Fotograf, Social Media und Online Marketing Manager, eBusiness- und Quality Manager! Multifunktional einsetzbar :-) Wie darf ich Ihr Unternehmen voranbringen?</t>
  </si>
  <si>
    <t>Can't afford a #VW #Golf R? The sporty new Golf R-line could be up your street https://t.co/viTjhVWAS8 @UKVolkswagen https://t.co/KBsdVHjxSO</t>
  </si>
  <si>
    <t>Stokes Volkswagen N. Charleston #SCjobs #VW #VW Cert &amp; Euro Tech wanted #autojobs see ad https://t.co/GqUpg7g0Qj https://t.co/njY7GKzEQZ</t>
  </si>
  <si>
    <t>Buenas tardes amigos #vw #Volkswagen #kingeuro</t>
  </si>
  <si>
    <t>Thornton Law Firm</t>
  </si>
  <si>
    <t>Volkswagen reaches 'substantial' settlement to buy back, repair cars https://t.co/kPsMJPh4Pg #VW #Emissions #cheats https://t.co/VoIAlvvmEX</t>
  </si>
  <si>
    <t>Thornton Law Firm LLP is the largest plaintiff-side law firm in New England. We're not your lawyer because of Twitter. Follow our followers; no DMs.</t>
  </si>
  <si>
    <t>eBay: VW T25 2.0 Aircooled Camper Van https://t.co/pB2sQbacet #vwcamper #vwbus #vw https://t.co/ZEadscsjBy https://t.co/WJeBgnyJWm</t>
  </si>
  <si>
    <t>Stand in Argentinie: News: Stand na KP8 in Argentinie 01. Latvala 02. Paddon + 10.6 sec 03. Ogier + 10.8 sec. #rtlgp #rtlrally #vw #wrc</t>
  </si>
  <si>
    <t>LesterBellMarshall3</t>
  </si>
  <si>
    <t>"Nissan Integra (neighbors)." #vw #jetta #gl #gls #2.0 #anc #lowered #tuned #modded #bora #mk4… https://t.co/btKnJQckMa</t>
  </si>
  <si>
    <t>Anchorage, AK</t>
  </si>
  <si>
    <t>lestermarshall/Instagram #TechtonicsTuning #TT</t>
  </si>
  <si>
    <t>Heinz Knotek</t>
  </si>
  <si>
    <t>Mission accomplished: #VW macht wegen des vom Hegemon aktivierten „Abgasskandals“ 1,6 Mrd Verlust. KEIN Schutz durch #Merkeladministration.</t>
  </si>
  <si>
    <t>A lay-man, to some degreee dedicated to Esoteric Buddhism</t>
  </si>
  <si>
    <t>RT @kngeuro: Buenas tardes amigos #vw #Volkswagen #kingeuro</t>
  </si>
  <si>
    <t>Auto's Kris</t>
  </si>
  <si>
    <t>#AutosKris in #Boortmeerbeek: #VW #Passat Variant #Diesel, 01.03.2012, 62.090 km, 16.450 € https://t.co/uvLl6ZTEYU https://t.co/LELxERvti8</t>
  </si>
  <si>
    <t>luchito.</t>
  </si>
  <si>
    <t>Michael Dillon</t>
  </si>
  <si>
    <t>Here's me saving the planet with my fuel-efficient #VW #TDI (whilst pouring NOx emissions into… https://t.co/SLAcRikMV1</t>
  </si>
  <si>
    <t>Winnipeg Manitoba</t>
  </si>
  <si>
    <t>Family Doctor, Songwriter, Medical Director at Klinic Community Health Centre, Media Health Issues Communicator, Teacher, Dad</t>
  </si>
  <si>
    <t>SmallBusinessBloggin</t>
  </si>
  <si>
    <t>RT @BizForBreakfast: #VW doubles emissions costs to €16.2bn https://t.co/mRyyfgBoPd #BusinessNews https://t.co/bq5DiNAmW3</t>
  </si>
  <si>
    <t>4601f4db3af1c4fd48c012dad6b9f29b</t>
  </si>
  <si>
    <t>https://t.co/rqxqUPakn4 for articles to help you grow your business.</t>
  </si>
  <si>
    <t>#vw #vwbeetle #vwkupla #beetle #kupla #enkei #aircooled #vwlove by mikkosihvonen https://t.co/zlSULpR2F9</t>
  </si>
  <si>
    <t>A very natural Oval at volksworld... 🌳🍀🍃 #volksworld #Volkswagen #VW #vwbus #vwbug #oval #ovalwindow #baywindow #ba… https://t.co/jl211HiOMs</t>
  </si>
  <si>
    <t>twinity</t>
  </si>
  <si>
    <t>Beautiful visit to Twinity's #3D Pergamon Museum! Join us! https://t.co/ry0wHcpVYN #3Dsightseeing #VW https://t.co/6nSryRKegw</t>
  </si>
  <si>
    <t>Twinity is a 3D mirror world based on real people and real cities. Join now for free! Also on http://t.co/jJpewYZd and http://t.co/ecyzZTgj</t>
  </si>
  <si>
    <t>Виктория Каналина</t>
  </si>
  <si>
    <t>🐙 98677 Followers! Have #Fun ღ 🚚 💣 #candy #vw #hot_shotz #twerkitgirl https://t.co/hJWpWmmcGp</t>
  </si>
  <si>
    <t>Leon Eckert</t>
  </si>
  <si>
    <t>https://www.facebook.com/leon.</t>
  </si>
  <si>
    <t>Echinger Gemeinderat, BWL/Geschichte-Student, Ordnung und Tugend @gruene_jugend</t>
  </si>
  <si>
    <t>Peter-Jan Engelen</t>
  </si>
  <si>
    <t>#VW Doubles Provisions for Cheating #Scandal to $18.2 Billion https://t.co/MAXhPAfhX3 via @technology #misconduct</t>
  </si>
  <si>
    <t>Associate Professor of Finance at Utrecht University. Passionate about innovation finance, corporate finance, corporate governance, CSR, sustainable finance.</t>
  </si>
  <si>
    <t>ddb Entertainment</t>
  </si>
  <si>
    <t>Brazil Once Made Some Seriously #Weird Passats - https://t.co/6XGHl7IZdw via @Jalopnik #VW #retro #cars #design</t>
  </si>
  <si>
    <t>NOLA</t>
  </si>
  <si>
    <t>Artist, Designer, Promoter, Hardcore Geek. Computer, Guitar, Car, Motorcycle Enthusiast... Tweeting things that interest me.</t>
  </si>
  <si>
    <t>ORAFOL Vehicle Wraps</t>
  </si>
  <si>
    <t>RT @SCGsoflo: RESTYLE. PROTECT. REMOVE. @orafolwraps #bluegreenmatte #colorshift #vw #vdub #sofloRAGE… https://t.co/Bye811vmUg</t>
  </si>
  <si>
    <t>ORAFOL is a global manufacturer of premium solid color and textured wrapping films designed for the automotive restyling market. #ORAFOLstyle</t>
  </si>
  <si>
    <t>Steven Watson</t>
  </si>
  <si>
    <t>Nicht alle bei #VW schnallen den Gürtel enger / wer seinen #Bonus einfordert, Vertrag hin oder her, gehört gefeuert! https://t.co/J3OSIAzkoI</t>
  </si>
  <si>
    <t>Löhne</t>
  </si>
  <si>
    <t>Do not take life too seriously – you will never get out of it alive. Elbert Hubbard</t>
  </si>
  <si>
    <t>Rik Rheto</t>
  </si>
  <si>
    <t>Ist #VW systemrelevant?</t>
  </si>
  <si>
    <t>Immer hier</t>
  </si>
  <si>
    <t>Disclaimer: Alles von mir ist Satire, Ironie und/oder Komik. Je nachdem</t>
  </si>
  <si>
    <t>Jiten Mistry</t>
  </si>
  <si>
    <t>It's become a norm to have car "recalls" however, since the #VW emissions scandal, the motor-industry has shown a different side</t>
  </si>
  <si>
    <t>Talking #Marketing #DigitalMarketing #Strategy #B2B #Growth #SocialMedia #Sales #IoT #Tech Founder of #MDR #weddingDJs &amp; Rugby follower</t>
  </si>
  <si>
    <t>すのーえんじぇる</t>
  </si>
  <si>
    <t>RT @beetlebug1938: A very natural Oval at volksworld... 🌳🍀🍃 #volksworld #Volkswagen #VW #vwbus #vwbug #oval #ovalwindow #baywindow #ba… htt…</t>
  </si>
  <si>
    <t>どうみん</t>
  </si>
  <si>
    <t>趣味垢。フォローはお気軽にどうぞ。音楽、自動車、ミリタリー、廃な物等色々</t>
  </si>
  <si>
    <t>RSII Look amazing. Well done! #vw #mk4 #R32 #bbs #rsii #pandajunction #󾓯 @parkerr32 https://t.co/bgCsSmmxUB</t>
  </si>
  <si>
    <t>Cruz</t>
  </si>
  <si>
    <t>#VW https://t.co/2AU1Na8EFO</t>
  </si>
  <si>
    <t>Vereinigte Stäaten von Amerika</t>
  </si>
  <si>
    <t>Relativen und echten Nachrichten und Weltereignisse, die alle Menschen auf dem Planeten Erde beeinflussen. Meine Retweets nicht unbedingt meiner Sicht</t>
  </si>
  <si>
    <t>Dom Pallett</t>
  </si>
  <si>
    <t>Thaxted Essex</t>
  </si>
  <si>
    <t>Love the great outdoors, Classic Cars /Speedway/Formula 1 /Carp Fishing and Mechanics</t>
  </si>
  <si>
    <t>Did someone say #FrontEndFriday? #ACVWPassion #AirCooled #Volkswagen #VW https://t.co/faos34KhFH</t>
  </si>
  <si>
    <t>Samet58 - hash : #vw #volkswagen #vwgolf - https://t.co/MHwsBSYRkP - Samet58</t>
  </si>
  <si>
    <t>Beate Schicker</t>
  </si>
  <si>
    <t>Ach so - #Umwelt hat nix mit #Qualität zu tun: Steinzeitdenken lässt grüßen #dieselgate #VW #Brennpunkt https://t.co/kSmeZYAxMk</t>
  </si>
  <si>
    <t>Mölln</t>
  </si>
  <si>
    <t>Ärztin, Psychotherapeutin, Umweltaktivistin, Mensch und Natur, Denk- und Meinungsfreiheit</t>
  </si>
  <si>
    <t>We've got some of the most prestigious car brands also being recalled, due to the #VW scandal, including; BMW, Audi, Porsche and Mercedes</t>
  </si>
  <si>
    <t>Paul Waterhouse</t>
  </si>
  <si>
    <t>Lincolnshire</t>
  </si>
  <si>
    <t>Racing Classic Touring Cars - Peugeot 306 GTi6 and Peugeot 405 Mi16 @CTCRC @pre05touringcar and @AFRaceChallenge. All with the help of my senior and 3 girls</t>
  </si>
  <si>
    <t>#VW Posts Net Loss of $1.5 Billion in 2015 Due to #DieselScandal Costs - Motor Trend #dieselgate https://t.co/569mnSlmaB</t>
  </si>
  <si>
    <t>Troubled times for #VW with costs continuing to rise further.. Will Japan's #Mitsubishi be crushed as well? #motorindustry #brand #shares</t>
  </si>
  <si>
    <t>#VW #Dieselgate | " Beispiellos in der Geschichte! Diese Pleitier's werden noch mit 70 % Boni entschädigt" Via https://t.co/B9vu17Ut5n</t>
  </si>
  <si>
    <t>#bentley #money #benz #amg #entrepreneur #lamborghini #germany #vw #carsofinstagram #isidi… https://t.co/NM5cANuc8O https://t.co/lmoXq1hZR0</t>
  </si>
  <si>
    <t>#bentley #money #benz #amg #entrepreneur #lamborghini #germany #vw #carsofinstagram #isidi… https://t.co/xk63qK5z5q https://t.co/koeze4g5bQ</t>
  </si>
  <si>
    <t>C. Automotriz Volgan</t>
  </si>
  <si>
    <t>Cuando llevas el espíritu #Volkswagen tu fin de semana tampoco conoce límites. #Volkswagen #VW #VWFan #dasauto https://t.co/nmoHreuI4x</t>
  </si>
  <si>
    <t>Caracas - Venezuela</t>
  </si>
  <si>
    <t>Centro de Servicio Automotriz y Taller de Latonería y Pintura Express con más de 40 años de experiencia. #Volkswagen #Audi #Seat #Skoda #Porsche</t>
  </si>
  <si>
    <t>Richard Matthews</t>
  </si>
  <si>
    <t>Bidford on Avon, Warwickshire</t>
  </si>
  <si>
    <t>RM Landscapes 2005-2015 10 years Landscaping &amp; Maintenance. Trying to be good at photography. See Facebook RMLandscapes or https://t.co/C8hes2YXO9 07787145391</t>
  </si>
  <si>
    <t>AircooledAccessories</t>
  </si>
  <si>
    <t>Looks awesome with the chrome #Splitscreen #vw #Volkswagen #westfalia #13window #samba #vw #aircooledvw... https://t.co/tOv6TUHawS</t>
  </si>
  <si>
    <t>Derbyshire United Kingdom</t>
  </si>
  <si>
    <t>Lots of rare unusual, desirable parts and accessories for your resto cal, vintage VW - BUG, GHIA, TYPE 1, TYPE 2, TYPE 3, TYPE 34, BAY, SPLIT window BUS CAMPER</t>
  </si>
  <si>
    <t>gltkn_bas</t>
  </si>
  <si>
    <t>#salla #sallansineses #cokcalisiyoruz #kafabimilyon #26 #vw… https://t.co/Ni0hABoayn</t>
  </si>
  <si>
    <t>Eskişehir</t>
  </si>
  <si>
    <t>smile&amp;smile...in vino veritas...ESOGÜ Beyin Ve Sinir Cerrahisi</t>
  </si>
  <si>
    <t>Berkshire Mk1s #mk1 #golf #mk1golf #vw #Berkshire #meet #mk1owners #clubmeet #vdub #dubbers #dubclub by percythinks https://t.co/R2xI81RbbL</t>
  </si>
  <si>
    <t>Cherry popping Mk1! 😍 #vag #vagcars #vagporn #vag_cars #vagscene #vw #volkswagen #mk1 #mk1golf #golf #golfgti #red… https://t.co/iudQG3GvIP</t>
  </si>
  <si>
    <t>SDH</t>
  </si>
  <si>
    <t>Just got a new #VW #MK6 #GTI https://t.co/QlxGXUmDk4</t>
  </si>
  <si>
    <t>#Emission #cheating #costs #VW $18 billion https://t.co/wE1SswAAut</t>
  </si>
  <si>
    <t>💙EURO TRASH💙 #vw #vwcc #steeringwheel #wrc #polowrc #custom #wrap #camo #urban #stance #stanced #modded #tuning #up… https://t.co/7ZmgqX3vCI</t>
  </si>
  <si>
    <t>der @juergenarne</t>
  </si>
  <si>
    <t>Oh! Das sind ja mehr, als #VW, der #Staatskonzern. 😱 gute "Meldung"! @tagesschau</t>
  </si>
  <si>
    <t>Im Herz, im Kopf, im Juli</t>
  </si>
  <si>
    <t>Umbra ist das neue Anthrazit</t>
  </si>
  <si>
    <t>eBay: VW T25 T3 AUTOHOMES KAMEO CAMPER… https://t.co/VYMl2vm5Tr #vwcamper #vwbus #vw https://t.co/ZEadscsjBy https://t.co/f65v2vNUsI</t>
  </si>
  <si>
    <t>ColdFireFirefighting</t>
  </si>
  <si>
    <t>Northampton, England</t>
  </si>
  <si>
    <t>Proud to be 'Official Firefighting Partner' and 'Cold Fire Lane' sponsor at Santa Pod Raceway. Supporting Motorsport and Drag Racing here in the UK.</t>
  </si>
  <si>
    <t>Don Giovanni</t>
  </si>
  <si>
    <t>Citoyen - Music was my first love - Die Grenzen meiner Sprache sind die Grenzen meiner Welt - Handverlesenes zur Schieflage der Nation - heiter bis bewölkt</t>
  </si>
  <si>
    <t>Paluel du Plessix</t>
  </si>
  <si>
    <t>#VW va financer le développement de Tesla. Trop fort ces ricains ! https://t.co/Wqw677bvHO</t>
  </si>
  <si>
    <t>Wherever your camper takes you, enjoy. https://t.co/WknSsbaXIw #vwcamper #vwbus #vw #camper #camperbus #campervan https://t.co/4OcW1G3gP0</t>
  </si>
  <si>
    <t>Rick Case Volkswagen</t>
  </si>
  <si>
    <t>A little behind the scenes of VW's famous old ladies! #VW #Ads #Fun #Cars https://t.co/g8fJjM4sn1</t>
  </si>
  <si>
    <t>3520 Weston Road, Davie FL</t>
  </si>
  <si>
    <t>America's Largest Volume Volkswagen Dealer Our First Year in Business!!!</t>
  </si>
  <si>
    <t>Auto Shows Online</t>
  </si>
  <si>
    <t>#vw #audi #eurohaus #carshow #cars #autoshowsonline #autoshows #autolyf https://t.co/v6Gk1dtFRa</t>
  </si>
  <si>
    <t>HOWARD MATTHEWS</t>
  </si>
  <si>
    <t>When is @VWcanada making a decision on a fix or buy-out? #VW #scandal #smokeshow</t>
  </si>
  <si>
    <t>Think fast, walk slow. Semi-retired Pro Beer Leaguer. Canadiens 100%</t>
  </si>
  <si>
    <t>VW Passat 3b Variant #VW https://t.co/4Bf1mahae6 Hallo, Da ich mir einen neuen Wagen zugelegt habe, möchte ich https://t.co/C11ZvTs2Zy</t>
  </si>
  <si>
    <t>Ingrid Buchwieser</t>
  </si>
  <si>
    <t>RT @bayl: Der #VW-Vorstand hat mit dem Boni-Kompromiss eine große Chance verstreichen lassen. Mein Kommentar im #Handelsblatt. https://t.co…</t>
  </si>
  <si>
    <t>Bad Oldesloe</t>
  </si>
  <si>
    <t>Garten für Alle Bad Oldesloe</t>
  </si>
  <si>
    <t>More carmakers caught in headlights of VW engine-rigging scandal https://t.co/ifqhrVNPLw #VW #AutoNews</t>
  </si>
  <si>
    <t>VW Diesel Emissions Crisis: Buy Back or Repair for 500000 Owners Proposed https://t.co/ElW8aSE7pF #VW #AutoNews</t>
  </si>
  <si>
    <t>Days of Reckoning for Carmakers as VW Crisis Spawns Global Scare https://t.co/wiaWuBhMmP #VW #AutoNews</t>
  </si>
  <si>
    <t>sony sasongko</t>
  </si>
  <si>
    <t>Bandung, Indonesia</t>
  </si>
  <si>
    <t>Business Coach &amp; Mentor, 25+ years Telco / ICT Industry experience, Branchless Banking Ph.D Candidate; Lecturer of Business &amp; Economic</t>
  </si>
  <si>
    <t>Gary Nuttall Fans</t>
  </si>
  <si>
    <t>RT @GN_fan1: They see me rollin' they hatin' #GaryNuttall at the back my car 😱 #VW @MyVWGolf https://t.co/hBcdJ9Fhv4</t>
  </si>
  <si>
    <t>This is a fan site for Mr Gary Nuttall, lead guitarist in @robbiewilliams band. You can contact us here: gnuttallfans@gmail.com</t>
  </si>
  <si>
    <t>Patte</t>
  </si>
  <si>
    <t>Am Ende haben als einzige #Trabi und #Wartburg nicht beschissen. #dieselgate #VW #Abgasluege #Dobrindt</t>
  </si>
  <si>
    <t>Friedrichshain, Berlin</t>
  </si>
  <si>
    <t>Es gibt nur eine Borussia! Aus Berlin für schwarz-weiss-grün!</t>
  </si>
  <si>
    <t>Nano Rios</t>
  </si>
  <si>
    <t>Florencio Varela, Argentina</t>
  </si>
  <si>
    <t>Solo vivir el dia a dia!!!! Fierrero a muerte.. Pasion por el 1/4 de milla..</t>
  </si>
  <si>
    <t>Haben #VW und #BMW gleiche Werbeargentur oder wer hat hier von wem abgeguckt…?</t>
  </si>
  <si>
    <t>Garra Volkswagen</t>
  </si>
  <si>
    <t>O destino você escolhe, o carro tem que ser um Volkswagen. #VemPraGarra #Garra #Volkswagen #GarraVolkswagen #VW https://t.co/wQiAhedV2q</t>
  </si>
  <si>
    <t>Av. Cristiano Machado, 5055 - Palmares - Belo Horizonte/MG. Tel: 31 3429 5000. A Garra tem é preço!! -</t>
  </si>
  <si>
    <t>Der GLP nachfolger</t>
  </si>
  <si>
    <t>@femellom Nicht so grob! Der Leiter der Bundesbeschwichtigungsstelle ist sehr sensibel. #Dobrindt #csu #vw #dieselgate #daimler</t>
  </si>
  <si>
    <t>Good Night 😧 #vwlove #vwlike #vwbug #vw #vosvos #vwlife #vwporn #vwbeetle by bberkangencc https://t.co/IomXwOVWhK</t>
  </si>
  <si>
    <t>Volkswagen Beetle Cabrio Dune #vw #volkswagen #beetle #dune #beetledune #vwbeetle #volkswagenbeetle #beetlecabrio #… https://t.co/FJP5I2BJAt</t>
  </si>
  <si>
    <t>Esse amor... ❤️🚙💨 #fuscaazul #gibafotoearte #garageairlow #vw #vwfusca #vwbeetle #beetle #vwlove #fuscalovers #oldv… https://t.co/HDegZTZpJf</t>
  </si>
  <si>
    <t>#bentley #money #benz #amg #entrepreneur #lamborghini #germany #vw #carsofinstagram #isidi… https://t.co/ZhQs5emY09 https://t.co/8GhL9g1XLl</t>
  </si>
  <si>
    <t>eBay: Volkswagen Beetle 1.6 2004MY https://t.co/2o88OfCZGN #vwbeetle #vwbug #vw https://t.co/xvfL74PTgl https://t.co/yfmNuCTY2J</t>
  </si>
  <si>
    <t>eBay: Volkswagen Beetle 1.6 2002MY RHD https://t.co/mUnxfhktXF #vwbeetle #vwbug #vw https://t.co/xvfL74PTgl https://t.co/6cmoUT97zJ</t>
  </si>
  <si>
    <t>Madenza</t>
  </si>
  <si>
    <t>RT @Ferrari_Jadore: #bentley #money #benz #amg #entrepreneur #lamborghini #germany #vw #carsofinstagram #isidi… https://t.co/ZhQs5emY09 htt…</t>
  </si>
  <si>
    <t>Filemon Shabalala Madenza 01 BBB</t>
  </si>
  <si>
    <t>Colwyn Bay, Wales</t>
  </si>
  <si>
    <t>Life : Aut inveniam viam aut faciam Humanist. Realist. One web, many hats. Personal Account. No hats here. NON work related buddy chat #tweets only. #BOOM</t>
  </si>
  <si>
    <t>IG: DJGWISE</t>
  </si>
  <si>
    <t xml:space="preserve">#blackdiamondzmusicgroup </t>
  </si>
  <si>
    <t>#MixtapeCompany #DistributionService #DigitalMarketing #Reggae #Dancehall #Music @VibesLinkRadio djgwiseuk@gmail.com #Liverpool #LFC</t>
  </si>
  <si>
    <t>NNegro</t>
  </si>
  <si>
    <t>UnoDosCinco | VW Gol</t>
  </si>
  <si>
    <t>Kit Man Wong</t>
  </si>
  <si>
    <t>Just got back from Portugal from the awesome new #Tiguan Experience. So impressed and smashes its competitors! #VW 👌 https://t.co/v2QvGHSvfx</t>
  </si>
  <si>
    <t>Didcot, Oxfordshire, England.</t>
  </si>
  <si>
    <t>27. The Name's Wong... Kit Man Wong, with a 2:1 BA (Hons) Business &amp; Marketing Management Degree. Sell cars for a living. Love sports and Man Utd. Bazinga!</t>
  </si>
  <si>
    <t>En Verde ™</t>
  </si>
  <si>
    <t>#Vw 😍🚀 https://t.co/jj3zyLWJ6x</t>
  </si>
  <si>
    <t>Pagina Pistera y Fierrera! Los mejores vídeos y fotos de picadas encontralos aca. Instagram: picadasarg</t>
  </si>
  <si>
    <t>RT @MikeLittUSA: A Volkswagen settlement needs to make consumers &amp; environment whole and deter future cheating. https://t.co/bmh5VuintR #di…</t>
  </si>
  <si>
    <t>Luli</t>
  </si>
  <si>
    <t>19. Club Atlético Tigre ♥ dos secas por reír</t>
  </si>
  <si>
    <t>RT @PicadasArg: #Vw 😍🚀 https://t.co/jj3zyLWJ6x</t>
  </si>
  <si>
    <t>Harwich Together</t>
  </si>
  <si>
    <t>RT @marksvaleting: #scratch removal #scholl #polish #das6 #vw #passat #marksvaleting #cardetailing #harwich #valetinginharwich #nano https:…</t>
  </si>
  <si>
    <t>Harwich (all CO12), Essex</t>
  </si>
  <si>
    <t>Voluntary account set up to help independent businesses and community groups spread their events and offers to Harwich residents</t>
  </si>
  <si>
    <t>Stephani Sutherland</t>
  </si>
  <si>
    <t>2016 #kiteboarding #longbeach #lbc #california #californiaadventure #weekend #vw #vwbug… https://t.co/oceLDxWnkz</t>
  </si>
  <si>
    <t>Neuroscientist, yogi, freelance journalist writing about pain &amp; integrative health. Loves nature, outdoor adventures, the ocean, California.</t>
  </si>
  <si>
    <t>BigBlizz</t>
  </si>
  <si>
    <t>That water bead though 💧💧 #808allday #hawaiiallday #aquabead #waxedshine #vancouver #rain #vw… https://t.co/TxkwlfHaPF</t>
  </si>
  <si>
    <t>iPhone: 49.013617,-123.068327</t>
  </si>
  <si>
    <t>DJ Blizzard aka BigBlizz 604 https://t.co/Vb9iW6Dzx8</t>
  </si>
  <si>
    <t>Pump The Movie</t>
  </si>
  <si>
    <t>Move over #VW, That weird little #Mitsubishi EV nobody bought may be the next #liarcar - https://t.co/tOgq6KST1P https://t.co/PNjFgGfVtO</t>
  </si>
  <si>
    <t>The Movie that Will Change Your Attitude About Fuel Forever. #pumpthemovie</t>
  </si>
  <si>
    <t>Gregg Cesaroni</t>
  </si>
  <si>
    <t>God damn it Florida! Why you gotta rain?!?! 😂 #vw #golf #golf6 #gti #mkvi #mk6 #florida #rain… https://t.co/WkH41vQ76E</t>
  </si>
  <si>
    <t>Mechanical Engineer | Radio DJ | APR Tuned Stage 2+ | MK6 GTI | Kawasaki Ultra 300 LX | Kawasaki Ninja 300 | VW/Audi Enthusiast</t>
  </si>
  <si>
    <t>Owners4Owners</t>
  </si>
  <si>
    <t>Opting for the #VW 5 grand #cash ???? CONTACT US!! We can make the $5G #GROW!!! Just email membership@owners4owners.com! YOU CAN'T LOSE!</t>
  </si>
  <si>
    <t>Canada/USA/Europe</t>
  </si>
  <si>
    <t>Auto owners united in the pursuit of car ownership excellence and lower operating costs. Better peoples lives with a simple effective approach. CARE.</t>
  </si>
  <si>
    <t>WWMotors</t>
  </si>
  <si>
    <t>Starting to #livenup #AuctionUpdate https://t.co/Zk9PoFb0mk @eBayMotors #VW #beetle #bug Could be an absolute #bargainhunt of a sale!</t>
  </si>
  <si>
    <t>Naza</t>
  </si>
  <si>
    <t>Yo tenía que ser camarógrafo 👌 #Rally #VW #😍 #2 @ Santa Rosa Calamuchita https://t.co/xM9XS0gq71</t>
  </si>
  <si>
    <t>Roldan, Argentina</t>
  </si>
  <si>
    <t>Rosarino en Roldan. Sagitario ♐.</t>
  </si>
  <si>
    <t>TrendingNews</t>
  </si>
  <si>
    <t>What a number... 19 Billion Dollars... https://t.co/lYM5LxortN #dieselgate #vw #carindustry</t>
  </si>
  <si>
    <t>75 cars! Oh my! cp_rail #vw #volkswagen #van #vanagon #vanagonlife #vanagonlove #train… https://t.co/Q6gkTKzJx0</t>
  </si>
  <si>
    <t>@AlexDobrindt Die Industrie kann mit dem Verbraucher in. Deutschland anstellen was sie will,in den USA wird er geschützt. #VW</t>
  </si>
  <si>
    <t>Supreme Wheel</t>
  </si>
  <si>
    <t>Rösso Skism Black 22" Audi A8 20"VWCC #rossowheels #wheel #wheelporn #audi #vw 970-639-8639 sales.supremewheel@gmail https://t.co/RJ0tLEbkO6</t>
  </si>
  <si>
    <t>Ride in Style with The New Luxury Wheels! Unique Styles at an affordable price! For more info contact us at (970)639-8639 sales.supremewheel@gmail.com</t>
  </si>
  <si>
    <t>Beetle/Vocho/Fusca - #fusca #beetle #vocho #vw #volkswagen #vintagecar #old #oldcar #fuscabrasil #lovefusca #lovebe… https://t.co/gl4v9drVWa</t>
  </si>
  <si>
    <t>Beetle - #fusca #beetle #vocho #vw #volkswagen #vintagecar #old #oldcar #fuscabrasil #lovefusca #lovebeetle #vwkomb… https://t.co/c8o7IjLrls</t>
  </si>
  <si>
    <t>Renate Hansen</t>
  </si>
  <si>
    <t>Dieselgate-#Klägeranwalt #Christopher #Rother : „Die #Arroganz von #VW ist unerträglich“ https://t.co/kn7dYFU1lG #</t>
  </si>
  <si>
    <t>deutschland</t>
  </si>
  <si>
    <t>FanCar Picture - Send me your Scirocco pictures!!! (PM Please) #VW #Volkswagen #Scirocco #Tuning https://t.co/STyZBcDNDu</t>
  </si>
  <si>
    <t>Ihr dummen, dummen Verbraucher! Ihr habt euch betrügen lassen, auf eigenen Wunsch hin! #vw #dieselgate #daimler https://t.co/1nBwxnHsqQ</t>
  </si>
  <si>
    <t>RT @oldcar_photo: Beetle/Vocho/Fusca - #fusca #beetle #vocho #vw #volkswagen #vintagecar #old #oldcar #fuscabrasil #lovefusca #lovebe… http…</t>
  </si>
  <si>
    <t>#Vw #Voyage #g6 https://t.co/hYGIRqZ8aV</t>
  </si>
  <si>
    <t>Christopher</t>
  </si>
  <si>
    <t>RT @VW: Blue Men Group. The #VW team car trails the Pro Men as they crush the 20-mile #TTTNats course. #VW4Cycling https://t.co/XWr3HxvxQL</t>
  </si>
  <si>
    <t>RVA</t>
  </si>
  <si>
    <t>I love VW, mountain biking, fitness, firearms, and meeting cool people</t>
  </si>
  <si>
    <t>Facu Bustos™</t>
  </si>
  <si>
    <t>RT @LimandoElPisoPM: #Vw #Voyage #g6 https://t.co/hYGIRqZ8aV</t>
  </si>
  <si>
    <t>en mi casa</t>
  </si>
  <si>
    <t>16%/Hincha y Socio de Talleres de Cordoba/1913/Fierrero/Handball/La Fiesta♪/AmatoXSiempre/Duele reconocer,duele equivocarse y duele saber./Snap: Facubutos4</t>
  </si>
  <si>
    <t>Alpiso</t>
  </si>
  <si>
    <t>A medio kilometro de distancia o del otro lado del mundo</t>
  </si>
  <si>
    <t>Agus</t>
  </si>
  <si>
    <t>snap: AgustinArias0</t>
  </si>
  <si>
    <t>POST Online Media</t>
  </si>
  <si>
    <t>Volkswagen reaches deal in principle with U.S. over #Dieselgate:: https://t.co/LOgYFpdKzf #VW</t>
  </si>
  <si>
    <t>U.S., World</t>
  </si>
  <si>
    <t>U.S. and world business headlines, news and other interesting stories. https://t.co/NizfQXUDtH With you since 2007.</t>
  </si>
  <si>
    <t>Avellaneda, Argentina</t>
  </si>
  <si>
    <t>1155891497/ Insta; Agussmariel. ▪No te puedo ofrecer vivir a 3msc , pero si a vivir a 3cm sobre el suelo▪ Snap; Agusmariiel</t>
  </si>
  <si>
    <t>All the #VW MODEL RESEARCH you need in ONE convenient place! Visit our website for more information: https://t.co/bL3l0SdydC</t>
  </si>
  <si>
    <t>male britez</t>
  </si>
  <si>
    <t>Mundo Azulgrana❤</t>
  </si>
  <si>
    <t>15// Atletismo// Desde el cielo te voy a seguir cuando me muera CASLA// Gi me ama</t>
  </si>
  <si>
    <t>Eivan #402</t>
  </si>
  <si>
    <t xml:space="preserve"> Chascomus</t>
  </si>
  <si>
    <t>La vida es una calesita, acordate</t>
  </si>
  <si>
    <t>eBay: VW BEETLE https://t.co/t4BsbCG0BV #vwbeetle #vwbug #vw https://t.co/xvfL74PTgl https://t.co/7QjdXK2gnJ</t>
  </si>
  <si>
    <t>‎Fгαחсσ Вeгlιח ⚓️</t>
  </si>
  <si>
    <t>San Telmo City</t>
  </si>
  <si>
    <t>-Todo pasa , Todo llega, Todo vuelve.......♻️ 17 años. Capricorniano / Snap: FrancBerlinOk. Ig: Franco_Berlin</t>
  </si>
  <si>
    <t>Gonza Vazquez</t>
  </si>
  <si>
    <t>Allen, Rio Negro, Argentina</t>
  </si>
  <si>
    <t>Tu unico limite es todo lo que puedas imaginar..</t>
  </si>
  <si>
    <t>pintica</t>
  </si>
  <si>
    <t>Pintica</t>
  </si>
  <si>
    <t>Découvrez un million de lieux à travers la planète avec la carte intéractive ! https://t.co/OvOFdqKbmZ #voyage #tourisme #startup</t>
  </si>
  <si>
    <t>RT @alfievwweddings: Just received a fab thank you gift...mug of wine it is then! #cheers #campervan #VW #dublove #fridaynight 💚 https://t.…</t>
  </si>
  <si>
    <t>Assistant Head at St Giles Academy - Standards Leader @stgilesacad @dawntrust @eoseducation</t>
  </si>
  <si>
    <t>Fer Morales</t>
  </si>
  <si>
    <t>Egresado del Colegio Tulio. Estudiante de Educación Física, UNT. Jugador en el CNA</t>
  </si>
  <si>
    <t>Cusvi</t>
  </si>
  <si>
    <t>"#Fiat #Chrysler richiama più di un milione di auto in tutto il mondo" Media italiani omertosi con #FCA . Più facile parlare contro #VW</t>
  </si>
  <si>
    <t>Quando il mantello imperiale cadrà finalmente sulle spalle di Luigi Bonaparte, la statua bronzea di Napoleone cadrà dall'alto della colonna Vendôme.(K. Marx)</t>
  </si>
  <si>
    <t>Tony Scotto</t>
  </si>
  <si>
    <t>Philadelphia Delaware</t>
  </si>
  <si>
    <t>Plumber. Delaware born and raised currently living in Philly yo</t>
  </si>
  <si>
    <t>Tomii</t>
  </si>
  <si>
    <t>Boca, Chevrolet y Volkswagen. 40/40 ♡.</t>
  </si>
  <si>
    <t>cristina lombardi</t>
  </si>
  <si>
    <t>RT @Lucchisius: "#Fiat #Chrysler richiama più di un milione di auto in tutto il mondo" Media italiani omertosi con #FCA . Più facile parla…</t>
  </si>
  <si>
    <t>Firenze</t>
  </si>
  <si>
    <t>Sur le plus beau trône du monde, on n’est jamais assis que sur son cul. (M. de Montaigne) RT or link or ❤️ not endorsement.</t>
  </si>
  <si>
    <t>Mati</t>
  </si>
  <si>
    <t>18. Vw. Promo 15. La banda de Carancho copó Bariloche. #29OctEEBCopóCool</t>
  </si>
  <si>
    <t>Guido Peternell</t>
  </si>
  <si>
    <t>Elektrifizierungsschub: #VW gibt sich selbst #Elektroauto-Quote. #eMobilität &gt;&amp;gt;&amp;gt;... https://t.co/m5UE3VwxAA</t>
  </si>
  <si>
    <t>Villach</t>
  </si>
  <si>
    <t>#Fahrschul-Business-Coach | #Fahrlehrer | #Fahrschultraining | #Fahrschulmarketing | #Fahrschulkonzepte | Impressum unter: http://t.co/LeC7x0c0C5</t>
  </si>
  <si>
    <t>FanáticosporAntigos</t>
  </si>
  <si>
    <t>#fanaticosporantigos #beetle #vintage #carrosantigos #fusca #vocho #vw #vintagecars #oldcars… https://t.co/ZVAYk9XHzc</t>
  </si>
  <si>
    <t>Carros antigos, motos, estilo de vida.</t>
  </si>
  <si>
    <t>2015 Volkswagen Jetta Sedan 1.8T SE for sale in Eden, NC: This 2015 Volkswagen Jetta Sedan 1.8... https://t.co/Yrf062qd0A #VW #jetta #car</t>
  </si>
  <si>
    <t>BMWBLOG</t>
  </si>
  <si>
    <t>German automakers to recall 630,000 cars to fix ... - https://t.co/xoACZl1xG9 #DieselEngines #Dieselgate #Vw https://t.co/HXKJ4UTkEl</t>
  </si>
  <si>
    <t>BMWBLOG Autopost</t>
  </si>
  <si>
    <t>http://t.co/beNVeu3yl4 - The best website for BMW news, BMW reviews, test drives and BMW photos.</t>
  </si>
  <si>
    <t>@crislomb @DispatchAlerts In Usa è stata condannata nel 2015 a pagare una multa di oltre 10milioni di dollari. Altro che #VW!</t>
  </si>
  <si>
    <t>coreano</t>
  </si>
  <si>
    <t xml:space="preserve">Chos Malal - Nqn </t>
  </si>
  <si>
    <t>Me gusta la fiesta | CABJ | snap: tadeav</t>
  </si>
  <si>
    <t>Dealer Souq</t>
  </si>
  <si>
    <t>RT @ProjexUK: VW T5 transporter lowered on 20" wheels for the perfect stance #VW #transporter #t5 #stance #low #vanlife https://t.co/C5mgs6…</t>
  </si>
  <si>
    <t>International wholesale Dealer network for Exotic and High-line vehicles. BUY SELL APPRAISE or REQUEST WHAT YOU NEED, public and dealers welcome</t>
  </si>
  <si>
    <t>Eric Arnold Photo</t>
  </si>
  <si>
    <t>Happy Friday! #vw #volkswagen #herbie https://t.co/KBhZ8Npmby</t>
  </si>
  <si>
    <t>Photographer - Specializing in Automotive, Signage, Urban &amp; Natural Landscapes. Published Internationally in automotive magazines.</t>
  </si>
  <si>
    <t>sandoval paolisi</t>
  </si>
  <si>
    <t>RT @AuKeats: You can never have too many surfboards #customise a #vw #switch #bedifferent https://t.co/4zLiMXFnvS</t>
  </si>
  <si>
    <t>Lekshe'sGhost</t>
  </si>
  <si>
    <t>(?) Better read it.....#volkswagon #VW #Fiat #Fox12 https://t.co/5y2mFH0Pl5 izz (*I have LOVED driving any yr Fiat #wtf? ((#USer design?)))</t>
  </si>
  <si>
    <t xml:space="preserve"> USA</t>
  </si>
  <si>
    <t>Dėkojame už rūpinimąsi pakankamai išversti mano bio Mes žmonės #ProfilingHAPPENS</t>
  </si>
  <si>
    <t>emerald_Max</t>
  </si>
  <si>
    <t>#VW 不正大差気2兆円か #独通信報道 財務体質 に悪影響 https://t.co/nywwMfqJPm</t>
  </si>
  <si>
    <t>モバツイ / www.movatwi.jp</t>
  </si>
  <si>
    <t>草月流師範。TVXQチャンミンとユノ溺愛。JYJはNG!趣味は、旅行【国内、海外[Hawaii、香港、Singapore、San Francisco、lA、Germany、France、Switzerland、United Kingdom、沖縄、北海道、神戸など、陶芸、音楽鑑賞、ライブに行く事、手芸、ニュースを呟く事な</t>
  </si>
  <si>
    <t>RT @AuKeats: With this #customised #vw kombi van you can go anywhere #switch #bedifferent https://t.co/3VCI5dPxpV</t>
  </si>
  <si>
    <t>Zaldívar</t>
  </si>
  <si>
    <t>Jetta A3 edición especial "Colors" 😍 #eurostyle #vw https://t.co/F9m6R4khhm</t>
  </si>
  <si>
    <t>RT @PaulMIllerVW: All the #VW MODEL RESEARCH you need in ONE convenient place! Visit our website for more information: https://t.co/bL3l0Sd…</t>
  </si>
  <si>
    <t>Andreas G. Wagner</t>
  </si>
  <si>
    <t>Je ne suis pas #VW</t>
  </si>
  <si>
    <t>Autor Film+Fernsehen, u.a. Arte, Chefautor Elektrischer Reporter ♫ 'Poetry in motion, coconut lotion' ♫</t>
  </si>
  <si>
    <t>Charlie S Evans</t>
  </si>
  <si>
    <t>I like what's happening here 👀 #vw #volkswagen #mk1 #mk1jetta #porsche #static #stance #retro… https://t.co/nvFwWpzPL2</t>
  </si>
  <si>
    <t>Wannabe Car Photographer https://t.co/ZWHoaYFfph</t>
  </si>
  <si>
    <t>Muffa Connection</t>
  </si>
  <si>
    <t>Sotto il cappello, da sempre sudore e rughe da sorriso. Mai paura, testa alta e coda dura</t>
  </si>
  <si>
    <t>More capable. More fun. #VW #Touareg https://t.co/hR3wkqQofl</t>
  </si>
  <si>
    <t>Nãosoulouco</t>
  </si>
  <si>
    <t>Procede kkkjkjh #VW https://t.co/bKMB1z3PhL</t>
  </si>
  <si>
    <t>AuroraBiz</t>
  </si>
  <si>
    <t>The cost of #VW's diesel emissions cheating : $18.2 billion — and that's only part of the total bill https://t.co/hm7pEHnLfA #cars #business</t>
  </si>
  <si>
    <t>Aurora Means Business: News, Analysis and Data on the biz scene in the Greater Aurora Area</t>
  </si>
  <si>
    <t>Para alegrar esta tarde lluviosa de viernes #vw #Volkswagen #kingeuro https://t.co/OC2fzMDQgy</t>
  </si>
  <si>
    <t>BALI BARBER</t>
  </si>
  <si>
    <t>Safari Convoy! #VW #vwsafari #vwthing #convoy #bali vwsafaribali vw_bugs_n_babes @vwworld1… https://t.co/JDR7Pey9p4</t>
  </si>
  <si>
    <t>León.</t>
  </si>
  <si>
    <t>Suupeer estreno, Minibant Drinks! 🔝🍸💣🎉💃🚐 #minibant #minibar #Fashionbar #vw #bartenders #fd… https://t.co/jRUbdveHpR</t>
  </si>
  <si>
    <t>Coctelero - Staff de FashionDrinks</t>
  </si>
  <si>
    <t>Christine Pohlmann</t>
  </si>
  <si>
    <t>Verschwörungstheorie von @Hadmut zum #VW Skandal, der Deutsche Bank, Migrantenschwemme https://t.co/ozXUsCB1WO #Obama #Merkel #Volkswagen</t>
  </si>
  <si>
    <t>NRW, Germany</t>
  </si>
  <si>
    <t>☕ Retweet bedeutet nicht Zustimmung. Views my cat's.</t>
  </si>
  <si>
    <t>Top do por do sol! Rodas jolly aro 13,réplica das rodas da f40! Em breve elas vão ficar mais top!!! #vw #voyage #qu… https://t.co/BLXKhwc1kH</t>
  </si>
  <si>
    <t>"Volky" | 4/22/16 | #vw #vwclub #vwbeetle #beetle #volkswagen #volky #aircooled #vwbug #streetbug by a_ortizzz https://t.co/rTVuL5cXEX</t>
  </si>
  <si>
    <t>Blanquito/Perla~♛</t>
  </si>
  <si>
    <t>Villa Libertador *-*</t>
  </si>
  <si>
    <t>Te amo demaciado Tatan♥ Por siempre en mi Corazon! //Fierrero #Rottweilas inc Wsp: 3512346412</t>
  </si>
  <si>
    <t>Bug got new headlights now he's bright eyed 👀😎 #vw #volkswagen #vwbug #vwbeetle #brighteyes #new #fresh #vdub #vdub… https://t.co/ZYT7UCTmh1</t>
  </si>
  <si>
    <t>Beetle #schudecar #soloparking #meanstreetsofla #vwbug #vw #vwbeetle by seenyarita https://t.co/MWwwTq0RFg</t>
  </si>
  <si>
    <t>Last weekend at VW bus types #cars #vw #vwbus #vwcars #vwbug #vwcar #vwcarshow #vwbeetle #vwlife #vwlove #bus #vwbu… https://t.co/0MmyTRp9zO</t>
  </si>
  <si>
    <t>RT @kngeuro: Para alegrar esta tarde lluviosa de viernes #vw #Volkswagen #kingeuro https://t.co/OC2fzMDQgy</t>
  </si>
  <si>
    <t>GPT #3||Sanzi</t>
  </si>
  <si>
    <t>Lanús Este, Argentina</t>
  </si>
  <si>
    <t>Wpp: 1138069395♥ Mi vieja me dio la vida y Argentinos las ganas de vivirla #Piojosa #Ciro #Persa #BBS ❤ Grupeteras siempre. Ro, Sol, Agus.</t>
  </si>
  <si>
    <t>Mickk747</t>
  </si>
  <si>
    <t>@ReportUK They need to leave #VW alone screw the #EPA and the #Faud's</t>
  </si>
  <si>
    <t>S/W Missouri USA Manila PI</t>
  </si>
  <si>
    <t>USAF/VET/COLD WAR /INTEL Here to expose the EnemyWithIn Family has been in every major Conflict sense the Revolutionary times, AMEN. SAVE OUR SOULS !!</t>
  </si>
  <si>
    <t>#rollhard #wortherseetour2k16 #worthersee2k16 #vw #polo #mbdesign @RollHardd @vw_france https://t.co/JZatmxnG1Q</t>
  </si>
  <si>
    <t>Oliver Hayes</t>
  </si>
  <si>
    <t>RT @CraigBennett3: #VW more than doubles emissions bill to €16.2bn https://t.co/W2kMasMBMU https://t.co/FW6ZE1fhOu</t>
  </si>
  <si>
    <t>Campaigner at @wwwfoecouk. Co-host of dippy hippy podcast @thebabblewagon. Cyclist. Late night DIY enthusiast. @CambridgeUtdFC</t>
  </si>
  <si>
    <t>Club VAG Venezuela</t>
  </si>
  <si>
    <t>Vag Meeting #caracas #clubvagvzla #vag #clubvag #grupovag #vw #audi #skoda #seat #venezuela #caracas #vr6 #fabia #a3 https://t.co/hEpS14ZACK</t>
  </si>
  <si>
    <t>ÜT: 10.50993,-66.902856</t>
  </si>
  <si>
    <t>Club Automovilístico para entusiastas de las marcas Audi, Seat, Skoda y demás del Volkswagen Group en Venezuela</t>
  </si>
  <si>
    <t>Prepara tu #VW para disfrutar del buen tiempo en nuestra nueva sección de #camping y ocio https://t.co/9vWBig1Zng https://t.co/lLPDYDJf14</t>
  </si>
  <si>
    <t>ANNA CATERINA™</t>
  </si>
  <si>
    <t>RT @combitravesia: 📷 rodrigocana: KB #kombilovers #kombiantiga #aircooled #ratlook #hoodride #loucosporkombi #vw https://t.co/sYIHAToGv7</t>
  </si>
  <si>
    <t>ENDURISTA, MOTERA. ETERNA APASIONADA DE LAS MOTOS, EL ROCK N' ROLL Y EL MAR #VW Kombi Enthusiast #LoveMotocross ABOGADO UCAB - COACH INTL. ICC #10483</t>
  </si>
  <si>
    <t>RT @riversidevw: More capable. More fun. #VW #Touareg https://t.co/hR3wkqQofl</t>
  </si>
  <si>
    <t>MiLibroLunaDePluton⚡</t>
  </si>
  <si>
    <t>Quilmes, Argentina</t>
  </si>
  <si>
    <t>[29/10/15] ~ Fuck the promises ~ ฯRap</t>
  </si>
  <si>
    <t>AudiApp</t>
  </si>
  <si>
    <t>Audi_App</t>
  </si>
  <si>
    <t>Have you had your #VW out today? #ACVWPassion #AirCooled #Volkswagen https://t.co/7Ohw9LVTep</t>
  </si>
  <si>
    <t>Richard Plantt</t>
  </si>
  <si>
    <t>VW Campervan #vw #vdub #volkswagen #type2 #Greenlight #diecast #diecastphotography #toypic… https://t.co/10srgynV9W https://t.co/21Ork9MAzc</t>
  </si>
  <si>
    <t>Husband, Father, R.G.D., UX/UI Designer @schoolBundle</t>
  </si>
  <si>
    <t>CRUZ</t>
  </si>
  <si>
    <t>Que te diga que tu carro le gusta. La sensación mas bonita del mundo #VW 🙌🏽 ☺️</t>
  </si>
  <si>
    <t>México D.F.</t>
  </si>
  <si>
    <t>Facultad de Derecho UNAM/ Mayo V/ Tauro♉️ XX. Presiento que eres tú, aquello que llaman felicidad.</t>
  </si>
  <si>
    <t>Tyrone♛ ⒸⒶⒷⒿ</t>
  </si>
  <si>
    <t>Guns And Roses. ♡ // Amante de los VW Golf, del rock y de la pizza. // Promo16 // Club Atlético Boca Juniors.❤</t>
  </si>
  <si>
    <t>JoseR</t>
  </si>
  <si>
    <t>#Puebla #Ciclopista #Angelópolis #panorámica #vw #beetle https://t.co/7XVOsHaF3g</t>
  </si>
  <si>
    <t xml:space="preserve">Puebla </t>
  </si>
  <si>
    <t>Diseño Gráfico • Social Media • Fotografía • Administrador @PueblaAntigua • Viajes • Instagram: joserrp • Snapchat: joserrp</t>
  </si>
  <si>
    <t>Hagens Berman</t>
  </si>
  <si>
    <t>HB's Steve Berman talks lawsuits vs #VW &amp; #Mercedes w/ @AP Bad Week for German Automakers: Huge Costs, New Probe » https://t.co/atpL0NAIqp</t>
  </si>
  <si>
    <t>We represent plaintiffs in class-action cases, including consumer fraud, product liability, investment fraud, antitrust, whistleblower &amp; intellectual property.</t>
  </si>
  <si>
    <t>#VW Müller: “We still have a lot of work ahead of us." #Germany Recalls Other Cars.. #Abgas #MercedesBenz #Daimler https://t.co/mm6XZmI1dA</t>
  </si>
  <si>
    <t>Nice #mk1 #golfmk1 #mk1golf at #faakersee #worthersee #worthersee2016 #slammed #eurodubs #vw #volkswagen #vdub #bu… https://t.co/rZpttOkR9x</t>
  </si>
  <si>
    <t>#VW diesel suit: Owners to get financial compensation, lawyer says https://t.co/D2iol5Kb5z https://t.co/dyoQbZKyPR</t>
  </si>
  <si>
    <t>Jairo.</t>
  </si>
  <si>
    <t>Villaguay, Entre Rios.</t>
  </si>
  <si>
    <t>•Taylor Gang•//Chevrolet#15//Leo♌</t>
  </si>
  <si>
    <t>RT @sfchronicle: #VW diesel suit: Owners to get financial compensation, lawyer says https://t.co/D2iol5Kb5z https://t.co/dyoQbZKyPR</t>
  </si>
  <si>
    <t>Choose your #Jetta. Find your festival! #Coachella #VW https://t.co/MBNxgeI2HO</t>
  </si>
  <si>
    <t>✴Rami✴</t>
  </si>
  <si>
    <t>•JRR10•MP9• wsp 1132395322 Snap: Ra-mi4</t>
  </si>
  <si>
    <t>Rekordverluste bei #VW und mehrere Rückrufaktionen: Der Freitag stand im Zeichen des Abgasskandals. Die Presseschau: https://t.co/YUVxpk2e6R</t>
  </si>
  <si>
    <t>KSL Newsradio</t>
  </si>
  <si>
    <t>#VW to take $18 billion hit as German carmakers face recall. https://t.co/Ls90Qa2LjW https://t.co/qYkbSKfBet</t>
  </si>
  <si>
    <t>Salt Lake City, UT</t>
  </si>
  <si>
    <t>Utah's #1 radio station. Traffic and weather every 10 minutes on the 9s. Stream live at http://t.co/lhcPyy6opa. Send story ideas to social@ksl.com.</t>
  </si>
  <si>
    <t>eBay: T25 Autohomes camper, T3, vw. https://t.co/1qh8R3T7T3 #vwcamper #vwbus #vw https://t.co/ZEadscsjBy https://t.co/wfxWLxheD7</t>
  </si>
  <si>
    <t>RT @beetlebug1938: Last weekend at VW bus types #cars #vw #vwbus #vwcars #vwbug #vwcar #vwcarshow #vwbeetle #vwlife #vwlove #bus #vwbu… htt…</t>
  </si>
  <si>
    <t>eBay: VW Beetle Cabriolet/Convertible (LHD) -… https://t.co/tW9uRMahJg #vwbeetle #vwbug #vw https://t.co/xvfL74PTgl https://t.co/wVittur8wd</t>
  </si>
  <si>
    <t>eBay: 2007 (07) VOLKSWAGEN BEETLE 1.6 Luna https://t.co/m34ikOSFvz #vwbeetle #vwbug #vw https://t.co/xvfL74PTgl</t>
  </si>
  <si>
    <t>#WRC #RallyArgentina #VW #Ogier Ралли Аргентины, СУ9: финиш первого дня https://t.co/iCMEHfeXBa https://t.co/fKU8d36YSe</t>
  </si>
  <si>
    <t>愛ちゃん</t>
  </si>
  <si>
    <t>＃三菱 の燃費偽装と 独 #VW の排気ガス不正が某テレビで同内容で報道されていた。いづれもメーカー体質を問われる大問題だが異質だ。VWは米国の検査を違法ソフトで免れるためのもので、三菱は国がメーカーの申告を鵜呑みにしたものだ。対応は簡単だ、検査機関が実走行でやれば明確だ。</t>
  </si>
  <si>
    <t>「8．14韓国大統領による天皇陛下への土下座不敬発言」で嫌韓に覚醒。反日の在日及び在日特権は我が国を蝕むシロアリ～恐ろしいね(^o^)</t>
  </si>
  <si>
    <t>eBay: 2004 54 VOLKSWAGEN BEETLE 1.9 TDI 3D 99… https://t.co/Wm8pF7D2MB #vwbeetle #vwbug #vw https://t.co/xvfL74PTgl https://t.co/n1u0jg1OzM</t>
  </si>
  <si>
    <t>eBay: 2013 63 VOLKSWAGEN BEETLE 2.0 60S… https://t.co/UCEd5AGAnR #vwbeetle #vwbug #vw https://t.co/xvfL74PTgl https://t.co/AM9GKTxk1F</t>
  </si>
  <si>
    <t>fernanditems</t>
  </si>
  <si>
    <t>yo sigo sin tener nada y nada tengo que perder</t>
  </si>
  <si>
    <t>sol rivero</t>
  </si>
  <si>
    <t xml:space="preserve">Villa Augusta, Ezpeleta </t>
  </si>
  <si>
    <t>«Club Atlético Boca Juniors» -Soy del más lindo de Nahuel♡ - ♡AutosAlPiso♡</t>
  </si>
  <si>
    <t>#VW takes 16.2bn-euro hit over emissions https://t.co/CY1r5FMJEN</t>
  </si>
  <si>
    <t>Jessica Greenleaf</t>
  </si>
  <si>
    <t>Who wants to go on a road trip? via @9gag || Hermosa combi #VW https://t.co/qUkl4jvlOP</t>
  </si>
  <si>
    <t>Technology / IT Analyst / Internet / Electronic music / Opend Mind / Photography / Books / Sci-Fi / Culture / Coffee / LGBTQ</t>
  </si>
  <si>
    <t>damito</t>
  </si>
  <si>
    <t>#WRC #VW #Polo #RallyArgentina https://t.co/YX8UlmC6GR</t>
  </si>
  <si>
    <t>Mi auto se llama Snorki.</t>
  </si>
  <si>
    <t>Fabio ♣⭐✴</t>
  </si>
  <si>
    <t>Río Tercero, Argentina</t>
  </si>
  <si>
    <t>por esas cosas de la vida, ayer triztesa hoy alegría/ Fan de la beriso y de los fierros✌</t>
  </si>
  <si>
    <t>2015 (151) volkswagen jetta tl 1.2tsi m6f 105hp 4dr: Make: VOLKSWAGEN; Model: JETTA; Price: €1... https://t.co/wq8IVZr8p3 #VW #jetta #car</t>
  </si>
  <si>
    <t>Carlos</t>
  </si>
  <si>
    <t>RT @MDBlanchfield: #VW takes 16.2bn-euro hit over emissions https://t.co/CY1r5FMJEN</t>
  </si>
  <si>
    <t>805 Camera Bus</t>
  </si>
  <si>
    <t>Happy #EarthDay2016 everyone! #EarthDay officially started 46 years ago today. 1 year before, Lola was born. #VW https://t.co/TYvbYNTtmz</t>
  </si>
  <si>
    <t>Santa Barbara, CA</t>
  </si>
  <si>
    <t>We're ​Santa Barbara's original Camera Bus! ​Charm Meets Vintage Meets Modern on the Central Coast.</t>
  </si>
  <si>
    <t>Jahdai Cintron</t>
  </si>
  <si>
    <t>My car hasn't been this clean in months… and then it started pouring. #vw #beetle https://t.co/YHy0kvheqK</t>
  </si>
  <si>
    <t>Port Orange, FL</t>
  </si>
  <si>
    <t>I’m a Front-end Designer And Developer from Florida. I love simple, elegant design, clean code and late-night Taco Bell runs.</t>
  </si>
  <si>
    <t>eBay: 2004 04 VOLKSWAGEN BEETLE 1.6 8V 2 DOOR https://t.co/BvtOPX99co #vwbeetle #vwbug #vw https://t.co/xvfL74PTgl https://t.co/71vDO72laz</t>
  </si>
  <si>
    <t>Sinai Rally</t>
  </si>
  <si>
    <t>#TGIF - have an excellent weekend everyone! #sinairally #audi #r8 #vw #beetle #charity #r… https://t.co/0y0IDYyE7Y https://t.co/U4iY84pbVD</t>
  </si>
  <si>
    <t>More than just a car rally. | #sinairally All proceeds benefiting the Mount Sinai Hospital. DATE: Sunday, Aug. 21st 2016 Sign up below!</t>
  </si>
  <si>
    <t>#instagram #instavw #instafoto #intagram #foto #fusca #vocho #volkswagen #volky #vw1970 #guia #iphone #vwbeetle #vw… https://t.co/V1UtcEVjp5</t>
  </si>
  <si>
    <t>#vw #vwbug #vwlove #vwbus #vwbeetle #vwkombi #vwfusca #vwoval #aircooled #aircooled #aircooledtakeover #aircooled_c… https://t.co/TB0AcPjVU3</t>
  </si>
  <si>
    <t>eBay: VW Transporter T4 888 Special Long Nose… https://t.co/4Q4uLaYVrx #vwcamper #vwbus #vw https://t.co/ZEadscsjBy https://t.co/xWNabfzmE2</t>
  </si>
  <si>
    <t>RT @beetlebug1938: #instagram #instavw #instafoto #intagram #foto #fusca #vocho #volkswagen #volky #vw1970 #guia #iphone #vwbeetle #vw… htt…</t>
  </si>
  <si>
    <t>Mark Germain, CFP</t>
  </si>
  <si>
    <t>VW Doubles Provisions for Cheating Scandal to $18.2 Billion https://t.co/KqIYytMtmK #VW https://t.co/RfJqm8AZmc</t>
  </si>
  <si>
    <t>NY-NJ Metro Area</t>
  </si>
  <si>
    <t>It's not what you make, it's what you keep. Founder and CEO of Beacon Wealth Management. Investments, Golf, Austin Healy, Educator, and Father of Three.</t>
  </si>
  <si>
    <t>Beacon Wealth</t>
  </si>
  <si>
    <t>VW Doubles Provisions for Cheating Scandal to $18.2 Billion https://t.co/v0fDJLwhe5 #VW https://t.co/rZTVVHpnuq</t>
  </si>
  <si>
    <t>NJ-NYTri-State Area</t>
  </si>
  <si>
    <t>Live life fully. Manage wealth wisely. It's not what you make, it's what you keep.</t>
  </si>
  <si>
    <t>ANGEL MARTIN</t>
  </si>
  <si>
    <t>rosario</t>
  </si>
  <si>
    <t>snap:angelmartin250 Club Remeros Alberdi</t>
  </si>
  <si>
    <t>The AutoBarnVW CS</t>
  </si>
  <si>
    <t>#VW Transparent Factory Is Tomorrow Land For Car Lovers https://t.co/B7em7JeEOD https://t.co/mGk5h11fCD</t>
  </si>
  <si>
    <t>Countryside,IL</t>
  </si>
  <si>
    <t>Located in a Chicago suburb, Autobarn Volkswagen of Countryside is a top rated Generation VW award winner</t>
  </si>
  <si>
    <t>Michael Colbach</t>
  </si>
  <si>
    <t>Personal Injury Attorney.</t>
  </si>
  <si>
    <t>Marisa Barclay</t>
  </si>
  <si>
    <t>shiny shiny.. or was 😍😍 #polo #gti #vw #lovethisthing #absolutebeaut https://t.co/NY5p6BXd5H</t>
  </si>
  <si>
    <t>Saline, Fife</t>
  </si>
  <si>
    <t>Toxxic Tara</t>
  </si>
  <si>
    <t>https://t.co/mkxYSxrexe damn #cancer #VW Show! 12 June by #StratfordON Be there! :)</t>
  </si>
  <si>
    <t>Stratford ON/London UK</t>
  </si>
  <si>
    <t>Aspie Ecologist who sometimes plays on the Telly. Assassin of cancer, disturber of shit. VW driver, Horse riding Vegan wierdo.</t>
  </si>
  <si>
    <t>#INTERNACIONALES #VW tiene las peores #pérdidas de su #historia https://t.co/o94buD5MdH https://t.co/AYVA3LuZii</t>
  </si>
  <si>
    <t>rico moreno</t>
  </si>
  <si>
    <t>Ich moechte in drei Teufel Namen nicht! Bei der nächsten Aktionärshaupversammlung von #vw dabei sein.Bin doch nicht Lebensmüde!</t>
  </si>
  <si>
    <t>BahiaDeLosPorcosVueltasGomera</t>
  </si>
  <si>
    <t>ningún ser humano es ilegal!!!!</t>
  </si>
  <si>
    <t>RT @EnlaceMexicoMX: #INTERNACIONALES #VW tiene las peores #pérdidas de su #historia https://t.co/o94buD5MdH https://t.co/AYVA3LuZii</t>
  </si>
  <si>
    <t>FanCar Picture - Send me your Scirocco pictures!!! (PM Please) #VW #Volkswagen #Scirocco #Tuning https://t.co/HZ1NtXx42U</t>
  </si>
  <si>
    <t>#fusca #beetle #vw #volkswagen #old #oldcar #fuscasclub #beetlelove #vintage #vintagecar #fuscabrasil #vwcar #vwlov… https://t.co/gRkDw1p4lT</t>
  </si>
  <si>
    <t>Passat B6 3.2 VR6 4Motion #vw #passat #b6 #r32 #v6 #bbs #bbswheels #coiloverhr #hr #hrsuspension #bbschr #pzero #p… https://t.co/RvIYsgnNv7</t>
  </si>
  <si>
    <t>Cosas de Autos</t>
  </si>
  <si>
    <t>Estos tipos de #VW se superan. Aplausos! https://t.co/aMHmqzhshR</t>
  </si>
  <si>
    <t>Actualidad del mundo motor en el blog del periodista Sergio Cutuli. Noticias de autos, marcas y modelos, test, patentamientos, seguridad vial, publicidad y más.</t>
  </si>
  <si>
    <t>2002 VOLKSWAGEN CARAVELLE TDI SWB BLUE: £7,500.00End Date: Saturday Apr-30-2016 1:03:15 BSTBuy It Now for... https://t.co/4yfTcSKLRf #vw</t>
  </si>
  <si>
    <t>Jonathan David</t>
  </si>
  <si>
    <t>RT @beakersblog: #vw #mk2 #golf #gti #bbs #vwgolf #volkswagen #beakersblog https://t.co/mnvV4547xx</t>
  </si>
  <si>
    <t>TERRICOLA | Club Atlético IndependienteΨ |'Bad to the Bone'| Vida Tóxica | Mi único triunfo fue llegar al óvulo | ♥29/08/15 ♥ 00:30hs CHOFI. 22/01/14 ⇨∞</t>
  </si>
  <si>
    <t>RT @oldcar_photo: #fusca #beetle #vw #volkswagen #old #oldcar #fuscasclub #beetlelove #vintage #vintagecar #fuscabrasil #vwcar #vwlov… http…</t>
  </si>
  <si>
    <t>Sohail Malik</t>
  </si>
  <si>
    <t>#VW more than #doubles #emissions #bill to €16.2bn - BBC News https://t.co/6c4xNE1WiX</t>
  </si>
  <si>
    <t>Burgess Hill Uk</t>
  </si>
  <si>
    <t>The whole problem with the world is that fools and fanatics are always so certain of themselves, and wiser people so full of doubts.</t>
  </si>
  <si>
    <t>VW Campervan #vw #vdub #volkswagen #type2 #Greenlight #diecast #diecastphotography #toypic… https://t.co/Bry49uILhL https://t.co/NleDFp8V60</t>
  </si>
  <si>
    <t>The other variant in the 5 pack #hotwheels #volkswagen #vw #5pack #variant #hotwheelsvariants… https://t.co/6nIPgnOIPF</t>
  </si>
  <si>
    <t>RT @VCT_Tweets: Passat B6 3.2 VR6 4Motion #vw #passat #b6 #r32 #v6 #bbs #bbswheels #coiloverhr #hr #hrsuspension #bbschr #pzero #p… https:…</t>
  </si>
  <si>
    <t>Kaye Menner FineArt</t>
  </si>
  <si>
    <t>#VW #BEETLE WITH #CHROME #ENGINE #Car #Photography Quality Prints &amp; Cards at: https://t.co/N6V6G5T8Ew</t>
  </si>
  <si>
    <t>GrabInbox</t>
  </si>
  <si>
    <t>My #FineArt #Photography and #DigitalArt for all to view.</t>
  </si>
  <si>
    <t>Omr</t>
  </si>
  <si>
    <t>Día 1: Soconcho - Villa de Dique #jm_latvala #VW #WRC #CORDOBA2016… https://t.co/dKhpPOXfRv</t>
  </si>
  <si>
    <t>Castelli - Pcia. Bs. As.</t>
  </si>
  <si>
    <t>El secreto de triunfar es pensar solo en positivo!! Navegante Clase N2 - Rally Mar y Sierra - 8A Rally Team</t>
  </si>
  <si>
    <t>Bootsmann</t>
  </si>
  <si>
    <t>Fazit der #VW Verstands-Boni-Regelung. Ja, Gesetze wurden gebrochen, aber NUR, wenn die Aktien nicht wieder steigen, bestrafen wir dich.</t>
  </si>
  <si>
    <t>Wracktonnenlackierer</t>
  </si>
  <si>
    <t>Der Charakter ist ein Fels, an welchem gestrandete Schiffe landen und anstürmende scheitern.</t>
  </si>
  <si>
    <t>The New Daily</t>
  </si>
  <si>
    <t>.@vwgroup_en to take $A23 billion hit over emissions scandal. https://t.co/87yWGXo1EB #VW #emissionsscandal https://t.co/2cyhB5Zvw2</t>
  </si>
  <si>
    <t>Freeing the news since 2013. #news #sport #entertainment #currentaffairs #finance</t>
  </si>
  <si>
    <t>EXIT EBOLA</t>
  </si>
  <si>
    <t>#JustizMinister #Markov wird #VW #Vorstand #Motorrad wird mit 2 Rädern nur halb CO2 gezählt rt @er_mensch @ndaktuell da geht schummeln durch</t>
  </si>
  <si>
    <t>KUSTOMFEST</t>
  </si>
  <si>
    <t>Happy 32th anniversary VCY - Volkswagen Club Yogyakarta ! Keep on moving ! #vw #volkswagen #vcy… https://t.co/BP3JHOHbr9</t>
  </si>
  <si>
    <t xml:space="preserve">Jogjakarta - Indonesia </t>
  </si>
  <si>
    <t>Indonesian Kustom Kulture Festival | kustomfest@gmail.com | +62 274 542666</t>
  </si>
  <si>
    <t>Stan</t>
  </si>
  <si>
    <t>#Volksvagen #VW #Polo #RallyArgentina #Canon #RedBull 🏁📷 https://t.co/PaGpNpFMnP</t>
  </si>
  <si>
    <t>villa carlos paz</t>
  </si>
  <si>
    <t>Happy 32th anniversary VCY - Volkswagen Club Yogyakarta ! Keep on moving ! #vw #volkswagen #vcy #jogja... https://t.co/Ac2QxBxhft</t>
  </si>
  <si>
    <t>Woman gives eyewitness account of Gulfport carjacking: The man was riding on a Volkswagen Jett... https://t.co/HJvR54xVCT #VW #jetta #car</t>
  </si>
  <si>
    <t>The Wheel Thing: Volkswagen offers vehicle buyback in settlement over emissions scandal: The d... https://t.co/M1lz1J7uc1 #VW #jetta #car</t>
  </si>
  <si>
    <t>Traffic alert: Multiple crashes snarl traffic at U.S. 49 and O'Neal Road: ... personnel tend t... https://t.co/dBpu9i7M8m #VW #jetta #car</t>
  </si>
  <si>
    <t>Volkswagen Agrees to Fix or Buy Back Dirty Diesel Cars: The cars involved included numerous ve... https://t.co/22VuUHL0e7 #VW #jetta #car</t>
  </si>
  <si>
    <t>Monique Blough</t>
  </si>
  <si>
    <t>First road trip in the lizard #tiguan #vw #lovinglife #mandmadventures https://t.co/M8FXZ1nHrJ</t>
  </si>
  <si>
    <t>Calgary</t>
  </si>
  <si>
    <t>Marketing Strategist. Communicator. Brand Ambassador. Friend of animals everywhere. Travel maven.</t>
  </si>
  <si>
    <t>#vintageseries #ispwest #vw #aircooled #vwbug #vwbeetle #vwbus #kombi #thesamba #type1 #type2 #buslove by ispwest https://t.co/0ujDmQ0BdH</t>
  </si>
  <si>
    <t>VW Campervan #vw #vdub #volkswagen #type2 #Greenlight #diecast #diecastphotography #toypic… https://t.co/Zu3fnjQ9ka https://t.co/hBAxiMdtCN</t>
  </si>
  <si>
    <t>Santi</t>
  </si>
  <si>
    <t>San Martín de los Andes - NQN</t>
  </si>
  <si>
    <t>02944 935858 ∆ Chichi me domina y me ama mucho ∆ Si quieren ver fiesta, vengan a la 1⃣2⃣</t>
  </si>
  <si>
    <t>Robert Marere</t>
  </si>
  <si>
    <t>#VW could pay $3 billion to end the notorious #dieselgate in the #UnitedStates https://t.co/7WiJ3IQhxR</t>
  </si>
  <si>
    <t>Alive and Thankful to God for it</t>
  </si>
  <si>
    <t>Steve McKee</t>
  </si>
  <si>
    <t>RT @beetlebug1938: #vintageseries #ispwest #vw #aircooled #vwbug #vwbeetle #vwbus #kombi #thesamba #type1 #type2 #buslove by ispwest https:…</t>
  </si>
  <si>
    <t>Technophile Scot. Personal account, personal views.</t>
  </si>
  <si>
    <t>Miner Media</t>
  </si>
  <si>
    <t>Mkv love. ❤ #vw #jetta #gli #stancewars https://t.co/egj1cOXNws</t>
  </si>
  <si>
    <t>Lake Stevens, WA</t>
  </si>
  <si>
    <t>Owner of page: @austin_miner This page is to showcase my photography from car meets and private shoots. Feel free to send me a message for a photoshoot!</t>
  </si>
  <si>
    <t>Chiruzza</t>
  </si>
  <si>
    <t>La Chiruzza está Feliz! (Cuak :) #mardelplata #chiruzza #cerveza #artesanal #combi #van #vw… https://t.co/jwdwjTnkq4</t>
  </si>
  <si>
    <t>La Plata - Bs. As. - Arg.</t>
  </si>
  <si>
    <t>En nuestras cervezas descubrirás aromas y sabores únicos que te seducirán en cada sorbo.</t>
  </si>
  <si>
    <t>Kostas Tourlakis</t>
  </si>
  <si>
    <t>Editorial: Settlement hits #VW hard — and justly. https://t.co/Z2jaKDvWYq https://t.co/8Gfirb1wgM</t>
  </si>
  <si>
    <t>Ηράκλειο, Ελλάς</t>
  </si>
  <si>
    <t>木村恵梨</t>
  </si>
  <si>
    <t>修理代89,000円😂 . . #フォルクスワーゲン #VW #ポロ #愛車 #こすった #ポール #一年点検 #合計で100,000円超えます 😂 #アパレル #ショップスタッフ #コレット https://t.co/XJGNnDm8kv</t>
  </si>
  <si>
    <t>UNRELISH&amp;LODISPOTTO小倉コレット店</t>
  </si>
  <si>
    <t>たまにサロンモデル、撮影などで日々活動中！気軽に声かけてください♩</t>
  </si>
  <si>
    <t>#vw #karmannghia #pics #canon https://t.co/gNxkch9DIy</t>
  </si>
  <si>
    <t>Erik Havetta</t>
  </si>
  <si>
    <t>#wsee #wörthersee #wörthersee2K16 #vw #golf #mk3 #cabrio #cabriolet #škoda #superb #combi #slovakia https://t.co/xBWXA8arbJ</t>
  </si>
  <si>
    <t>Slovakia</t>
  </si>
  <si>
    <t>Slovakia. I am 13 years old. I'm automotive fan. I work with brother at TMH Agency. #FLPRT</t>
  </si>
  <si>
    <t>Quentin Dempster</t>
  </si>
  <si>
    <t>RT @TheNewDailyAu: .@vwgroup_en to take $A23 billion hit over emissions scandal. https://t.co/87yWGXo1EB #VW #emissionsscandal https://t.co…</t>
  </si>
  <si>
    <t xml:space="preserve">Sydney Australia </t>
  </si>
  <si>
    <t>Journalist and author</t>
  </si>
  <si>
    <t>Beetle/Vocho/Fusca - #fusca #beetle #vocho #vw #volkswagen #vintagecar #old #oldcar #fuscabrasil #lovefusca #lovebe… https://t.co/gyqOmoLgcg</t>
  </si>
  <si>
    <t>Beetle/Vocho/Fusca ☆☆☆☆☆ #fusca #beetle #vocho #vw #volkswagen #vintagecar #old #oldcar #fuscabrasil #lovefusca #lo… https://t.co/Z1FfboWCiu</t>
  </si>
  <si>
    <t>Vw #vw #vwfusca #fusca #volkswagen #tuning #black #slow #night #vscom #vsco #vscoph #vscofilm #vscocam #light #noch… https://t.co/6KUVNftoO3</t>
  </si>
  <si>
    <t>Charlie brown</t>
  </si>
  <si>
    <t xml:space="preserve">Riverview, florida </t>
  </si>
  <si>
    <t>just another redneck ( you must be 21 to follow my dumb ass )</t>
  </si>
  <si>
    <t>It needed a friend. #hotwheels #hotwheelscustoms #vw #volkswagen #t1panelbus #mario #nintendo https://t.co/DHphsTnbqF</t>
  </si>
  <si>
    <t>Shiny Cars Cordoba</t>
  </si>
  <si>
    <t>Me pregunto como podía hacer para ir más rápido! #tips #vw #polo… https://t.co/MTLnWgmC6R</t>
  </si>
  <si>
    <t>cordoba</t>
  </si>
  <si>
    <t>Ramzi Berrabiâ</t>
  </si>
  <si>
    <t>Volkswagen emissions scandal will cost it $18 billion https://t.co/vfdRYLaUcb via @TIMEBusiness #VW #Emissions</t>
  </si>
  <si>
    <t>Antwerp, Belgium</t>
  </si>
  <si>
    <t>Ramzi | tireless seeker of knowledge | occassional purveyor of passion | epicurean | ambitious individual | travel - enthousiast | IT advisory consultant (EY)</t>
  </si>
  <si>
    <t>Auto en Acción</t>
  </si>
  <si>
    <t>La #VW #Amarok tendrá cambios exteriores e interiores. Informe: https://t.co/BaNNLI3FQZ @vwargentina @VWAmarokArg https://t.co/MVfVLdS6bS</t>
  </si>
  <si>
    <t>El sitio de noticias sobre autos de Gastón Vanini (@GastonVanini).</t>
  </si>
  <si>
    <t>Cameron Thompson</t>
  </si>
  <si>
    <t>OK, just #VW ait until U see what @HaydenPaddon does tomorrow.... https://t.co/pnMIEG64Vp</t>
  </si>
  <si>
    <t>Ipswich</t>
  </si>
  <si>
    <t>Former fed lib MP and journo. A family guy and on-call truth mechanic.</t>
  </si>
  <si>
    <t>FanCar Picture - Send me your Scirocco pictures!!! (PM Please) #VW #Volkswagen #Scirocco #Tuning https://t.co/QWKqDP1BeL</t>
  </si>
  <si>
    <t>RT @VCT_Tweets: Vw #vw #vwfusca #fusca #volkswagen #tuning #black #slow #night #vscom #vsco #vscoph #vscofilm #vscocam #light #noch… https:…</t>
  </si>
  <si>
    <t>Gastón Vanini</t>
  </si>
  <si>
    <t>RT @AutoenAccion: La #VW #Amarok tendrá cambios exteriores e interiores. Informe: https://t.co/BaNNLI3FQZ @vwargentina @VWAmarokArg https:/…</t>
  </si>
  <si>
    <t>Arequero. Periodista especializado en automóviles. Creador de Auto en Acción.</t>
  </si>
  <si>
    <t>Max y Gi</t>
  </si>
  <si>
    <t>Bs.As</t>
  </si>
  <si>
    <t>Sei tutto per me!!!!!!</t>
  </si>
  <si>
    <t>NoCarNoFun</t>
  </si>
  <si>
    <t>1972 #VW Kafer 90hp At 2014 Essen Motor Show https://t.co/93YXbMJKto https://t.co/tEzDF6Snr5</t>
  </si>
  <si>
    <t>For Those Who Can't Live Without Cars!</t>
  </si>
  <si>
    <t>Brian J Sommerville</t>
  </si>
  <si>
    <t>RT @acvwpassion: Have you ever driven a #Schwimmwagen? #ACVWPassion #Volkswagen #VW https://t.co/dZXaDXGlkB</t>
  </si>
  <si>
    <t>Blaq for BlackBerry® 10</t>
  </si>
  <si>
    <t>Ontario, Canada</t>
  </si>
  <si>
    <t>Working for BlackBerry Ltd. Network Operations Center - Operations Administrator</t>
  </si>
  <si>
    <t>Lu ✨</t>
  </si>
  <si>
    <t>#VW</t>
  </si>
  <si>
    <t>bernal.</t>
  </si>
  <si>
    <t>Vixen</t>
  </si>
  <si>
    <t>Alain Matungulu</t>
  </si>
  <si>
    <t>RT @NoCarNoFun: 1972 #VW Kafer 90hp At 2014 Essen Motor Show https://t.co/93YXbMJKto https://t.co/tEzDF6Snr5</t>
  </si>
  <si>
    <t>kinshasa</t>
  </si>
  <si>
    <t>Jose A. Faria</t>
  </si>
  <si>
    <t>My #VW #EOS turning 150,000 mi https://t.co/M54SNfp4vX</t>
  </si>
  <si>
    <t>Weston, FL</t>
  </si>
  <si>
    <t>Assistant professor in the OHL School of Construction at FIU. Miami, FL</t>
  </si>
  <si>
    <t>Leo Zettel</t>
  </si>
  <si>
    <t>Dá uma olhada no trabalho dos pés em uma prova de rally. #WZComm #Balaroti #OMP #VW… https://t.co/QmM3n14lQ9</t>
  </si>
  <si>
    <t>Piloto de rally, publicitario e fã de esporte a motor.</t>
  </si>
  <si>
    <t>J. Nathan Higdon</t>
  </si>
  <si>
    <t>#vw #dieselgate https://t.co/BP8N2VZSQ1 via @intelligencer</t>
  </si>
  <si>
    <t>Maryville, TN</t>
  </si>
  <si>
    <t>#Entrepreneur @50shadesdogtoys @lespacelimo #founder Penn State #weare OSU #PhD researcher #lgbt #marketing #Traveler #Dogs #Yogi #consultant #speaker</t>
  </si>
  <si>
    <t>Hermelinda Ríos Aria</t>
  </si>
  <si>
    <t>Nochecita 🌃🌙🚘 - #night #vw #mycar #noche #followme #like4like #TFLers #likes #L4L #Follow4follow #likes4likes #phot… https://t.co/GvZPA7uX3p</t>
  </si>
  <si>
    <t>天邪鬼</t>
  </si>
  <si>
    <t>I am attracted only a little happiness around the world！ガッツリ日本男児です(*^^*)</t>
  </si>
  <si>
    <t>なんだぁー？ このクルマっ( ¯ ³ ¯ ) #vw #volkswagen #polo #GTI https://t.co/vwEQ8oxNIK</t>
  </si>
  <si>
    <t>#mk3 #vw #jetta #black #vr #vr6 #volkswagen #likethisshit #lowered #low #loud by tylerxlong913 https://t.co/2QwoSHjXvQ</t>
  </si>
  <si>
    <t>Danny Riendeau</t>
  </si>
  <si>
    <t>The #VW scandal and the need for a corporate death penalty discussed in 10.Listen live: https://t.co/ufLwtkrUXl https://t.co/ulULTy9vFU</t>
  </si>
  <si>
    <t>SoCast SRM</t>
  </si>
  <si>
    <t>Official account for Corus Radio Alberta's evening talk show At Night</t>
  </si>
  <si>
    <t>sg</t>
  </si>
  <si>
    <t>RT @vwpalmspringspr: #Beetle. It's the #classic you can't help but love, updated with today's innovative features and technologies. #VW htt…</t>
  </si>
  <si>
    <t>Palm Springs • NYC</t>
  </si>
  <si>
    <t>Social Media Manager @miraclesprings • Social Media Editor @VWPalmSpringsPR • Entrepreneur @sgdigitalpr • Test Drive #VWBeetle #BeetleDune #Tiguan #Touareg</t>
  </si>
  <si>
    <t>RT @moteking25: なんだぁー？ このクルマっ( ¯ ³ ¯ ) #vw #volkswagen #polo #GTI https://t.co/vwEQ8oxNIK</t>
  </si>
  <si>
    <t>"Buy Back" Just Unleashed Havoc On The US Car Market https://t.co/w4o88mnMBi #VW #AutoNews</t>
  </si>
  <si>
    <t>Estimated Cost Of VW Emissions Scandal Reaches $18 Billion https://t.co/Q8BAI9CzAO #VW #AutoNews</t>
  </si>
  <si>
    <t>I Z Z Y ✌</t>
  </si>
  <si>
    <t>Dark Knight #ShotOnAndroid #samsung #galaxy #s7edge #night #vw #Volkswagen #jetta #mk5 #m… https://t.co/FUk54vfpE5 https://t.co/IvLDYuLhzC</t>
  </si>
  <si>
    <t>⚜ @FKSinfo team ⚜ Sarajevo Ottawa Toronto connection ⚜ Financial services ⚜ Snowboarding ⚜ FK SARAJEVO Ottawa SENATORS Blue JAYS ⚜</t>
  </si>
  <si>
    <t>Grupo Alden</t>
  </si>
  <si>
    <t>Ven por este increíble #VW Jetta A4 2015|7,778 km #Seminuevos en @VW_ALDYXA https://t.co/eE70piCzrx https://t.co/CpxToPtFPz</t>
  </si>
  <si>
    <t>www.facebook.com/GrupoAlden</t>
  </si>
  <si>
    <t>Grupo Alden es el conjunto multimarca de distribuidoras y servicios automotrices que ofrece una atención única a todos y cada uno de sus clientes.</t>
  </si>
  <si>
    <t>Angela Kokott</t>
  </si>
  <si>
    <t>RT @nightalberta: The #VW scandal and the need for a corporate death penalty discussed in 10.Listen live: https://t.co/ufLwtkrUXl https://t…</t>
  </si>
  <si>
    <t>calgary, alberta</t>
  </si>
  <si>
    <t>Host of Calgary Today on Newstalk 770 weekdays from 3-6:30p</t>
  </si>
  <si>
    <t>News Talk 770</t>
  </si>
  <si>
    <t>Calgary’s Breaking News and Conversation Station.</t>
  </si>
  <si>
    <t>Professional windbag</t>
  </si>
  <si>
    <t>RT @acvwpassion: Did someone say #FrontEndFriday? #ACVWPassion #AirCooled #Volkswagen #VW https://t.co/faos34KhFH</t>
  </si>
  <si>
    <t>#Autumn #veedub #volkswagen #vw #vwbeetle by vintageseiko https://t.co/oXQLrU4Cvz</t>
  </si>
  <si>
    <t>プチMT #newbeetle #vw #vwbeetle #愛車 #好き#車好き #いいね #可愛い #かわいい #かっこいい #エアサス#低い #着地 #work#キャンディ#グリーン#緑#ベージュ#オレンジ#ピンク #一… https://t.co/Cj6t5R5Jc7</t>
  </si>
  <si>
    <t>Sold the Miata and bought a new project #twerkfortyler #twerfortatiana #666 #vw #bug #beetle #volkswagen #vwbug #v… https://t.co/zQ6bYmwFYc</t>
  </si>
  <si>
    <t>Mucking around with my bro @okkoalbert taking shots of my 68 Beetle at the Halkolaituri docks. #beetle #Vw #vwbeet… https://t.co/75VNM4flYm</t>
  </si>
  <si>
    <t>Beauty and the Beast Couple #bmw #vw #vwbug #vwbeetle #couple #cars #carstagram #instadaily by eniceekay https://t.co/FVXaYK0tHn</t>
  </si>
  <si>
    <t>6TEE6 #vwconvertible #vwbeetle #vintagevw #classicvw #vwlove #vw #volkswagen #droptop by bulldawgdude https://t.co/tO54RNigxv</t>
  </si>
  <si>
    <t>#beetlehunter #beetle #beetleoftheday #vw #bug #fusca #vocho #vwlove #aircooled #volkswagen #type1 #käfer #solopark… https://t.co/FycGuexGJn</t>
  </si>
  <si>
    <t>Whoa there hunny #volkswagen #vw #nightdriving #sportscars #supercars #hypercars #lamborghini #porsche #mclaren #as… https://t.co/yACFK30HWQ</t>
  </si>
  <si>
    <t>Tetsuo Hojo</t>
  </si>
  <si>
    <t>RT @beetlebug1938: "Volky" | 4/22/16 | #vw #vwclub #vwbeetle #beetle #volkswagen #volky #aircooled #vwbug #streetbug by a_ortizzz https://…</t>
  </si>
  <si>
    <t>シュナウザーと音楽、映画が大好きです。</t>
  </si>
  <si>
    <t>RT @beetlebug1938: #beetlehunter #beetle #beetleoftheday #vw #bug #fusca #vocho #vwlove #aircooled #volkswagen #type1 #käfer #solopark… htt…</t>
  </si>
  <si>
    <t>Michael Muszter</t>
  </si>
  <si>
    <t>Ludwigshafen, Germany</t>
  </si>
  <si>
    <t>Sich selbst zu beschreiben ist immer schwer. Lernt mich bitte einfach kennen. Ich sitze übrigens im Rollstuhl hoffe das schreckt keinen ab Gruß Micha</t>
  </si>
  <si>
    <t>kyoma</t>
  </si>
  <si>
    <t>RT @beetlebug1938: Beetle #schudecar #soloparking #meanstreetsofla #vwbug #vw #vwbeetle by seenyarita https://t.co/MWwwTq0RFg</t>
  </si>
  <si>
    <t>カサカサBUG</t>
  </si>
  <si>
    <t>Bug/Cub/Fixed Gear/Fishing/coffee/sk8</t>
  </si>
  <si>
    <t>RT @beetlebug1938: Sold the Miata and bought a new project #twerkfortyler #twerfortatiana #666 #vw #bug #beetle #volkswagen #vwbug #v… htt…</t>
  </si>
  <si>
    <t>RT @beetlebug1938: Mucking around with my bro @okkoalbert taking shots of my 68 Beetle at the Halkolaituri docks. #beetle #Vw #vwbeet… htt…</t>
  </si>
  <si>
    <t>RT @beetlebug1938: 6TEE6 #vwconvertible #vwbeetle #vintagevw #classicvw #vwlove #vw #volkswagen #droptop by bulldawgdude https://t.co/tO54R…</t>
  </si>
  <si>
    <t>Camyy</t>
  </si>
  <si>
    <t>Estamos en la edad perfecta para quedarnos con la culpa y no con las ganas</t>
  </si>
  <si>
    <t>Emilio Azor</t>
  </si>
  <si>
    <t>El rojo #vw #gol https://t.co/TwzAdWkaUM</t>
  </si>
  <si>
    <t>General Roca , Rió Negro</t>
  </si>
  <si>
    <t>➡ snapchat: emasazor ⬅</t>
  </si>
  <si>
    <t>https://t.co/r8UZGTg1dI - Villanueva on 🔥🔥🔥🔥🔥 #vw #vwt5 #vwtransporter #vwtransportert5 #… https://t.co/DLRkMrlNCQ https://t.co/3Uj987cRLu</t>
  </si>
  <si>
    <t>iara</t>
  </si>
  <si>
    <t>Difícilmente quiera a otra camiseta más que a la de newells ((Buscando de que reir)) Fierrando desde 2002</t>
  </si>
  <si>
    <t>Vivek C</t>
  </si>
  <si>
    <t>#VW Tiguan</t>
  </si>
  <si>
    <t>Willy Itzhayek</t>
  </si>
  <si>
    <t>Hυrry υp αɴd вυy yoυr ғollowerѕ ɴow! ɢeт 10ĸ Twιттer Followerѕ ғor $39!! ɢo тo https://t.co/RSkOoESfbE</t>
  </si>
  <si>
    <t>Leprince Alex</t>
  </si>
  <si>
    <t>Viktor</t>
  </si>
  <si>
    <t>This Unassuming #VW Golf R Has More Power Than An Aventador https://t.co/Ugw2uNJS0R https://t.co/xU3JSYdP0D</t>
  </si>
  <si>
    <t>Know It All Ranger</t>
  </si>
  <si>
    <t>RT @Carscoop: This Unassuming #VW Golf R Has More Power Than An Aventador https://t.co/Ugw2uNJS0R https://t.co/xU3JSYdP0D</t>
  </si>
  <si>
    <t>Namek</t>
  </si>
  <si>
    <t>Ohana means family. Forever in love with @itslondonhun</t>
  </si>
  <si>
    <t>Daniel Tottenham</t>
  </si>
  <si>
    <t>Moving on to better things. 😛 #audi #a4 #quattro #vw #b6 #a4b6 #auto #iphonegraphy… https://t.co/8FEv7w3QpT</t>
  </si>
  <si>
    <t>I'm happier on four wheels.</t>
  </si>
  <si>
    <t>FanCar Picture - Send me your Scirocco pictures!!! (PM Please) #VW #Volkswagen #Scirocco #Tuning https://t.co/41MspaDSkj</t>
  </si>
  <si>
    <t>Bryce Reynolds</t>
  </si>
  <si>
    <t>The #VW has all I want in a car but the xenons. Thus the decision to trade it or keep it is incredibly hard. Aftermarket lights not a help.</t>
  </si>
  <si>
    <t>SE Kentucky</t>
  </si>
  <si>
    <t>Motorsports | Photography | Aviation | Gaming | Football | Basketball | Scale Models</t>
  </si>
  <si>
    <t>Volkswagen reaches deal in principle with U.S. over #Dieselgate https://t.co/LOgYFpdKzf #story #VW</t>
  </si>
  <si>
    <t>GRAY</t>
  </si>
  <si>
    <t>GOOD! #VW SETTLEMENTS https://t.co/GxllXFUSBn</t>
  </si>
  <si>
    <t xml:space="preserve"> Tropical SE FLorida</t>
  </si>
  <si>
    <t>CONSERVATION. OCEAN. WILDLIFE. VEGAN. FLORIDA.</t>
  </si>
  <si>
    <t>Dena Mckay</t>
  </si>
  <si>
    <t>RT @oceanshaman: GOOD! #VW SETTLEMENTS https://t.co/GxllXFUSBn</t>
  </si>
  <si>
    <t>Kingston village, OH, USA</t>
  </si>
  <si>
    <t>Tнιѕ ιѕ тнe Fαѕтeѕт wαyѕ тo ɢαιɴ yoυr Twιттer Followerѕ υp тo 1,000 Followerѕ/Dαyѕ, More ιɴғo https://t.co/ddcq6uo7XO</t>
  </si>
  <si>
    <t>El turco:3♛</t>
  </si>
  <si>
    <t>porschepilotage</t>
  </si>
  <si>
    <t>RT @OnlyFerrariPics: Whoa there hunny #volkswagen #vw #nightdriving #sportscars #supercars #hypercars #lamborghini #porsche #mclaren #as… h…</t>
  </si>
  <si>
    <t>Toute les news et les bons plans sur Porsche.</t>
  </si>
  <si>
    <t>jdm</t>
  </si>
  <si>
    <t>no te quedó sueño por vengar y ya no esperas que te jueguen limpio nunca más |los fierros se arreglan y la vida también| ♥26/12/2015♥ //16años//</t>
  </si>
  <si>
    <t>産経デジタル　イザ！編集部</t>
  </si>
  <si>
    <t>日産、スズキも排ガスのNOx基準値超え ドイツ政府調査（イザ！）https://t.co/7RhmHr3TJC #排ガス不正 #三菱自動車 #窒素酸化物 #VW https://t.co/EllvQNNN6u</t>
  </si>
  <si>
    <t>東京都千代田区大手町１－７－２</t>
  </si>
  <si>
    <t>産経デジタルが総力を挙げて選りすぐりのニュースを掲載＆まとめを提供するサイトです。心が軽くなるような「いいニュース」をお届けしていきたいと思っています。</t>
  </si>
  <si>
    <t>capt_ron</t>
  </si>
  <si>
    <t>#carfurniture #vw https://t.co/VOkHkhvqd3</t>
  </si>
  <si>
    <t>Napa, CA</t>
  </si>
  <si>
    <t>http://t.co/WT6eVuZoe8 im a collision repair tech. #autobody snap chat- captain93ron</t>
  </si>
  <si>
    <t>#vw #volkswagen #dope #california #cali #peace #love #dub #beetlebugadventures #vwbeetle #beetlebug #aircool #bug #… https://t.co/3eUAMbSomD</t>
  </si>
  <si>
    <t>#vw #volkswagen #dope #california #cali #peace #love #dub #beetlebugadventures #vwbeetle #beetlebug #aircool #bug #… https://t.co/iGqPLXSZyz</t>
  </si>
  <si>
    <t>Everything Yoga</t>
  </si>
  <si>
    <t>RT @beetlebug1938: #vw #volkswagen #dope #california #cali #peace #love #dub #beetlebugadventures #vwbeetle #beetlebug #aircool #bug #… htt…</t>
  </si>
  <si>
    <t>Tweets4Yoga</t>
  </si>
  <si>
    <t>Part of the beewell_network</t>
  </si>
  <si>
    <t>Peace and love to all beings.</t>
  </si>
  <si>
    <t>#vw #volkswagen #dope #california #cali #peace #love #dub #beetlebugadventures #vwbeetle #beetlebug #aircool #bug #… https://t.co/dhd1nRotPr</t>
  </si>
  <si>
    <t>#vw #volkswagen #dope #california #cali #peace #love #dub #beetlebugadventures #vwbeetle #beetlebug #aircool #bug #… https://t.co/O0swUdFmCf</t>
  </si>
  <si>
    <t>#vw #volkswagen #dope #california #cali #peace #love #dub #beetlebugadventures #vwbeetle #beetlebug #aircool #bug #… https://t.co/WaSZ3F3nCD</t>
  </si>
  <si>
    <t>#vw #volkswagen #dope #california #cali #peace #love #dub #beetlebugadventures #vwbeetle #beetlebug #aircool #bug #… https://t.co/BKPu5duVnE</t>
  </si>
  <si>
    <t>#vw #volkswagen #dope #california #cali #peace #love #dub #beetlebugadventures #vwbeetle #beetlebug #aircool #bug #… https://t.co/IFbxl3unoj</t>
  </si>
  <si>
    <t>This is getting out of control...welcome to the family, 1965 40hp Beetle. #VW #volkswagen #vwbeetle #beetle #bug #v… https://t.co/2zASW5qSCF</t>
  </si>
  <si>
    <t>Cindy Callinsky</t>
  </si>
  <si>
    <t>Wise, VA</t>
  </si>
  <si>
    <t>#FeelTheBern #ILoveCats #BadKittyPorn #CrEePyManHolLow #Author #Caturday #Fibromialgia #Electronics #climatechange #Music #SWVirginia #Tacoma #EastSide</t>
  </si>
  <si>
    <t>eBay: 2005 VOLKSWAGEN BEETLE 1.9 TDI DIESEL… https://t.co/eDORyDXdLu #vwbeetle #vwbug #vw https://t.co/xvfL74PTgl https://t.co/GoNTK4VfNN</t>
  </si>
  <si>
    <t>MARGINAIS! RACHADORES! #hookah #streetforce #turbo #vw #honda #beer #brazil https://t.co/Y0wnhRpHan</t>
  </si>
  <si>
    <t>RT @acvwpassion: Have you had your #VW out today? #ACVWPassion #AirCooled #Volkswagen https://t.co/7Ohw9LVTep</t>
  </si>
  <si>
    <t>Junichi YAMASHITA</t>
  </si>
  <si>
    <t>今日は赤いクルマで出勤です。なかなか速いです。なぜか、Audi S1が欲しくなったw #VW #vwpologti #vwpologti6c https://t.co/m8v6VYCaGl</t>
  </si>
  <si>
    <t>日本 東京都</t>
  </si>
  <si>
    <t>山下純一です。VWとAudiが好きでそれが仕事です。高校時代は自転車競技部で Campagnoloと3TとPINARELLOとCinelliが好きです。佐世保出身。渋谷区在住。アイコンは@crown_sugar さん作です。</t>
  </si>
  <si>
    <t>Having an awesome time @ #santapod #vwbigbang seen some amazing #bikes &amp; #vw #bigbobblehats https://t.co/QGd6uiayvp</t>
  </si>
  <si>
    <t>DC Motor</t>
  </si>
  <si>
    <t>Also, #VW emissions controls. #dieselgate https://t.co/VbrtMMATe0</t>
  </si>
  <si>
    <t>Angel R.</t>
  </si>
  <si>
    <t>Leyenda sobre ruedas. #volkswagen #volkswagenbeetle #vw #vocho #vwbug #vwsedan #volkswagenlove… https://t.co/WBm8YsCMdy</t>
  </si>
  <si>
    <t>Méjico mágico</t>
  </si>
  <si>
    <t>Le disparo a la gente con mi cámara. No me sale ser adulto, pero lo intento.</t>
  </si>
  <si>
    <t>Wouter Breedveld</t>
  </si>
  <si>
    <t>#VW https://t.co/Awcdq8xFEP https://t.co/h3aXnfVIj5</t>
  </si>
  <si>
    <t>eBay: VW Camper T25 1991 2.1 fuel injection.… https://t.co/GVtsYjHklt #vwcamper #vwbus #vw https://t.co/ZEadscsjBy https://t.co/uVZEnSErHx</t>
  </si>
  <si>
    <t>Beetle Juice 😍 #vw #volkswagen #vagscene #vaglove #beetle #bug #low #vaglife #vagcafe https://t.co/TpEhlh5iLZ</t>
  </si>
  <si>
    <t>RT @breedveldusa: #VW https://t.co/Awcdq8xFEP https://t.co/h3aXnfVIj5</t>
  </si>
  <si>
    <t>David Tellez</t>
  </si>
  <si>
    <t>• ɞєѧċһ ɞȗṃ • #beachbum #roadtrip #vw #snapchat #santamonica @ Santa Monica Pier https://t.co/sbGiV3Kcbr</t>
  </si>
  <si>
    <t>Tucson, AZ</t>
  </si>
  <si>
    <t>Flor Shirado ♡</t>
  </si>
  <si>
    <t>El problema es que pensamos demasiado en lo que pasó y en lo que pasará,cuando realmente lo que importa es lo que esta pasando.</t>
  </si>
  <si>
    <t>• ɞєѧċһ ɞȗṃ • #beachbum #roadtrip #vw #snapchat #santamonica @ Santa Monica Pier https://t.co/ZpnwTMGrFu</t>
  </si>
  <si>
    <t>• Beach Bum • #beachbum #roadtrip #vw #snapchat #santamonica @ Santa Monica Pier https://t.co/Zzbrex3m4m</t>
  </si>
  <si>
    <t>24HoursOfLeMons</t>
  </si>
  <si>
    <t>The #VW #TDI Scandal never gets old as a LeMons theme ideA. You don't even need a #VW. https://t.co/zbbDILsAyL</t>
  </si>
  <si>
    <t>Bay Area, CA</t>
  </si>
  <si>
    <t>Pointless BS from those idiots who put on those crapcan races.</t>
  </si>
  <si>
    <t>2009 VOLKSWAGEN T5 CAMPERVAN T28 130TDi VW SWB A/C Diesel: £5,000.00End Date: Friday May-20-2016 19:58:52... https://t.co/Qyqd088luJ #vw</t>
  </si>
  <si>
    <t>Gulf News Business</t>
  </si>
  <si>
    <t>#VW says will freeze 30% of executive bonuses for 2015 https://t.co/WS8WdMuAEy</t>
  </si>
  <si>
    <t>The official account of the Gulf News Business team. Bringing you the news you need from the UAE, the Gulf and beyond.</t>
  </si>
  <si>
    <t>FakeDispatchBot</t>
  </si>
  <si>
    <t>Area ruffian releases statement on #vw says that you have a desire to express creativity &amp;amp; break out of your normal life.</t>
  </si>
  <si>
    <t>HeadlineCombiner</t>
  </si>
  <si>
    <t>Satirical news bot built by @20hz20khz</t>
  </si>
  <si>
    <t>خوسيه كارلو</t>
  </si>
  <si>
    <t>Dubai, Emiratos Arabes</t>
  </si>
  <si>
    <t>Equis Soy Rico</t>
  </si>
  <si>
    <t>hailey</t>
  </si>
  <si>
    <t>RT @miner_media: Mkv love. ❤ #vw #jetta #gli #stancewars https://t.co/egj1cOXNws</t>
  </si>
  <si>
    <t>Taken V-XX-MMXV ❤️</t>
  </si>
  <si>
    <t>FanCar Picture - Send me your Scirocco pictures!!! (PM Please) #VW #Volkswagen #Scirocco #Tuning https://t.co/UMVAh9adRs</t>
  </si>
  <si>
    <t>eBay: Volkswagen Beetle 2013 Special EDS 1.4 TSI 60s Edition 2dr… https://t.co/qOdop9in9o #vwbeetle #vwbug #vw https://t.co/xvfL74PTgl</t>
  </si>
  <si>
    <t>Expedition Of Fools</t>
  </si>
  <si>
    <t>https://t.co/drDNozJdEj New video. #fun #car #video #usa #moto #trip #retro #vw #vwbus #vwporn #surfing #vwbulli https://t.co/BTAQfm2831</t>
  </si>
  <si>
    <t>Meeting wonderful fools in our travelling around the world. Rusya and Rita Наши встречи с удивительными дураками в путешествии вокруг света. Руся и Рита</t>
  </si>
  <si>
    <t>Thomas Schmitz</t>
  </si>
  <si>
    <t>Es wird Zeit, für einen radikalen Kurswechsel in der deutschen Autoindustrie. #Daimler #VW #Abgas https://t.co/0ruecAmkWG</t>
  </si>
  <si>
    <t>Sohn des Ruhrgebiets, ausgewandert nach Hannover. Unterstützer von @rot2gruen. Interessiert an Musik, Netzwerken und IT-Sicherheit. #SPD.</t>
  </si>
  <si>
    <t>Vom deutschen KFZ hängt ein großer Teil unseres Wohlstands ab, aber es heißt nur noch Betrügerei statt Innovation. Traurig. #Abgas #VW</t>
  </si>
  <si>
    <t>Nicolas_OK</t>
  </si>
  <si>
    <t>Obera misiones</t>
  </si>
  <si>
    <t>AndyIrons</t>
  </si>
  <si>
    <t>#vw #vorstand #dieselgate #boni https://t.co/QklW91OBPW</t>
  </si>
  <si>
    <t>Tay</t>
  </si>
  <si>
    <t>Los Amigos #1</t>
  </si>
  <si>
    <t>Los redondos hoy, ayer y siempre... Callejeros va tocar... Tucuman Lawn Tennis Club..</t>
  </si>
  <si>
    <t>Harold York</t>
  </si>
  <si>
    <t>It's not just #VW, #Mitsubishi &amp; #Daimler that might have fraud issues https://t.co/HWfPp0MM9O</t>
  </si>
  <si>
    <t>VP of Integrated Energy @WoodMackenzie with 20 years worldwide experience across the energy value chain. Proud alumni of @wyomingalumni and @uva</t>
  </si>
  <si>
    <t>#VW'den #Elektrikli ... - https://t.co/GsyJCz4pQ9 - #Araba #Budde #Budde #Concept #Konsept #Nesil #Otomobil https://t.co/3YaoiGI2mw</t>
  </si>
  <si>
    <t>AutoInsight</t>
  </si>
  <si>
    <t>Well, guys (especially @Volkswagen owner), do you think this is enough? #vw #scandal #tdi #autoinsight #usedcar https://t.co/RoEcXRaBCp</t>
  </si>
  <si>
    <t>Nationwide</t>
  </si>
  <si>
    <t>- Buy used cars with confidence. All-in-one evaluation: integrating vehicle history report, expert appraisal and diagnostic data!</t>
  </si>
  <si>
    <t>enzo daviid</t>
  </si>
  <si>
    <t>Alguien tiene hambre... #vw #bora #milocho #T #night #friday 💣🐌 @ Mar del Plata, Argentina https://t.co/DYtbmRxoHf</t>
  </si>
  <si>
    <t>Tu novia te ama mucho mucho. 18-01-2014. E&amp;S ♥</t>
  </si>
  <si>
    <t>#VW Vorstandsbonus wird um 30% "virtuell reduziert" &amp; in 3 Jahren ausgezahlt, wenn Aktienkurs um 25% gestiegen ist #Kulturwandel #nixgelernt</t>
  </si>
  <si>
    <t>Rene</t>
  </si>
  <si>
    <t>52.268467,10.500411</t>
  </si>
  <si>
    <t>Benjamin Hofmann</t>
  </si>
  <si>
    <t>#VW hält also 30% Vorstandsbonus zurück. Als Anleger oder Hauptaktionär wie #Niedersachsen würde ich ja fragen: warum nur 30??? #dieselgate</t>
  </si>
  <si>
    <t>FFM | OF | BA | N | MZ</t>
  </si>
  <si>
    <t>Journalist bei kicker-Sportmagazin (DFB,FIFA,M05) - was nichts mit meinen hier geäußerten Meinungen zu tun haben muss; Kontakt: benni.hof at gmx.de</t>
  </si>
  <si>
    <t>2014 Volkswagen Jetta Hybrid: Used Cars, Trucks &amp; SUVS at Home Run Auto Group, Buick, Chevrole... https://t.co/VENLZ8xmou #VW #jetta #car</t>
  </si>
  <si>
    <t>Cars Passion</t>
  </si>
  <si>
    <t>Essai du nouveau #VW #Tiguan 2016, Mathieu nous dit tout #SUV #Tiguan2 #TiguanExperience https://t.co/js9QzTrNof https://t.co/XUcxZsAyzJ</t>
  </si>
  <si>
    <t>Paris, Yvelines</t>
  </si>
  <si>
    <t>Une équipe de passionnés d'automobile et de moto. Actus, avis, essais, vidéos... Une autre vision plus humanisée ! #auto #moto #automobile #Youtube #carspassion</t>
  </si>
  <si>
    <t>#Dieselgate #Abgasskandal: #VW-Vorstände müssen zunächst auf 30 #Prozent ihrer #Boni verzichten https://t.co/kwOuyi67Wj via @SPIEGELONLINE</t>
  </si>
  <si>
    <t>Petr Benes</t>
  </si>
  <si>
    <t>Czech Republic</t>
  </si>
  <si>
    <t>Floorball, electric cars, ISS space exploration, women's tennis&amp;biathlon, ice hockey, downhill skiing</t>
  </si>
  <si>
    <t>RT @BlogCarsPassion: Essai du nouveau #VW #Tiguan 2016, Mathieu nous dit tout #SUV #Tiguan2 #TiguanExperience https://t.co/js9QzTrNof https…</t>
  </si>
  <si>
    <t>#Dieselgate #Abgasaffäre: #Bosch hat #Schummelsoftware nicht nur an #VW geliefert https://t.co/PEdBYCzErE via @SPIEGELONLINE</t>
  </si>
  <si>
    <t>Craig Field Photos</t>
  </si>
  <si>
    <t>Visitng mum. She has a thing 4 #vw #kombi https://t.co/xkCY6bcNKn</t>
  </si>
  <si>
    <t>Adelaide South Australia</t>
  </si>
  <si>
    <t>Passionate Photographer. Adelaide Crows fan. F1 V8SC &amp; Moto GP Fan. Just a little odd. All photos subject 2 copyright</t>
  </si>
  <si>
    <t>Flow</t>
  </si>
  <si>
    <t>Rédacteur #Auto sur le blog #CarsPassion, passionné d'auto et de moto.</t>
  </si>
  <si>
    <t>Michael Headon</t>
  </si>
  <si>
    <t>Deceit Device or SCR ? Time to get tough now @ACEA_eu #VW Don't lower emission limits @kvanbrempt @SebDance @ClientEarth @AlanClientEarth</t>
  </si>
  <si>
    <t>Animal welfare, the environment, human rights, #Taiji #Blackfish #SaveTheArctic #Space4Cycling</t>
  </si>
  <si>
    <t>DIE WeLT immer gut für einen Spaß – Verbraucher Mitschuld am Abgasskandal #Dieselgate #vw https://t.co/7EmCRYNQV7 https://t.co/STtRsZEnGM</t>
  </si>
  <si>
    <t>"Es geht hier auch um #Moral" #Mogelpackung bei #Boni: Nicht alle bei #VW schnallen den Gürtel enger https://t.co/TeoF1YjdhU via @ntvde</t>
  </si>
  <si>
    <t>Rotkreuz</t>
  </si>
  <si>
    <t>cars</t>
  </si>
  <si>
    <t>japan</t>
  </si>
  <si>
    <t>love cars!! follow me!!</t>
  </si>
  <si>
    <t>ChatLeRoy</t>
  </si>
  <si>
    <t>RT @JunoDee: Deceit Device or SCR ? Time to get tough now @ACEA_eu #VW Don't lower emission limits @kvanbrempt @SebDance @ClientEarth @Al…</t>
  </si>
  <si>
    <t>Personal on cycling, IT, security, SF, finance, environment, Lovecraft, food, music, Linux, boardgames ...</t>
  </si>
  <si>
    <t>J.S.D.M</t>
  </si>
  <si>
    <t>打ち合わせ前 #vw #volkswagen #golf #golf1 #golf2 #golf3 #golf4 #golf5 #golf6 #golf7 #golfmk4… https://t.co/u7JqGo7Zip</t>
  </si>
  <si>
    <t>大阪市</t>
  </si>
  <si>
    <t>SOBORO@frenchbulldog DON@pekingese Aquarium@asian-arowana&amp;more… https://t.co/Wx64Zlq40t</t>
  </si>
  <si>
    <t>eBay: 2008 Volkswagen Beetle 1.6 Luna 2dr https://t.co/rp49tUxy2R #vwbeetle #vwbug #vw https://t.co/xvfL74PTgl https://t.co/jyn8VPbTlG</t>
  </si>
  <si>
    <t>Jacky Montes</t>
  </si>
  <si>
    <t>Beauty comes in the Morning :) #vw #She'sBack #earlyinstapost #Saturday #NoEdit &lt;3 https://t.co/3pmCaLi8ZY</t>
  </si>
  <si>
    <t>Sonríe cuando hables por teléfono. La otra persona se dará cuenta.</t>
  </si>
  <si>
    <t>Wendy Parra</t>
  </si>
  <si>
    <t>Beauty comes in the Morning :) #vw #She'sBack #earlyinstapost #Saturday #NoEdit &lt;3 https://t.co/84ADtQbSkc</t>
  </si>
  <si>
    <t>desde q te conocí veo la vida con otro color</t>
  </si>
  <si>
    <t>Cha HyunBae  세상을 가지다</t>
  </si>
  <si>
    <t>#PacificBlue #vw #Golf #Like #carstargram #vwlife #volkswagen #벤카블로그 #백골이 #폭스바겐 #골프 #친추 #좋아요… https://t.co/ebfavh7sVj</t>
  </si>
  <si>
    <t>36.7797979,127.0151266</t>
  </si>
  <si>
    <t>website, mobile, application, design, soccer 제가 좋아하는 것들 입니다.</t>
  </si>
  <si>
    <t>i-TRON</t>
  </si>
  <si>
    <t>"Freiwilliger Rückruf" von 630.000 Fahrzeugen. #Daimler #Porsche #VW #Audi #Opel #Abgasskandal. https://t.co/bi5h12W6Yb</t>
  </si>
  <si>
    <t>Carina Thewald</t>
  </si>
  <si>
    <t>RT @FrankBauHa: Auf wieviel % vom Bonus wollten die #VW Vorstände verzichten ...? #tollhaus https://t.co/dpkGMAScSL</t>
  </si>
  <si>
    <t>Aj Iturriaga</t>
  </si>
  <si>
    <t>The g ride awaits #vw #vwtiguan #bagged #baggedvw #baggedvwtiguan #twenties #enigma #dubthugs… https://t.co/DwLpqk406C</t>
  </si>
  <si>
    <t>las vegas</t>
  </si>
  <si>
    <t>KESIGAN PADAYACHEE</t>
  </si>
  <si>
    <t>RT @bmwblog: German automakers to recall 630,000 cars to fix ... - https://t.co/xoACZl1xG9 #DieselEngines #Dieselgate #Vw https://t.co/HXKJ…</t>
  </si>
  <si>
    <t>We were all Human Beings until #‎Race disconnected us #‎Religion separated us #‎Politics divided us &amp; #Wealth classified us.</t>
  </si>
  <si>
    <t>Gibb</t>
  </si>
  <si>
    <t>Daily Driver #golf #vw https://t.co/VT1mgnl3vR</t>
  </si>
  <si>
    <t>Kennewick, WA</t>
  </si>
  <si>
    <t>CBC. The Outdoors. VW Golf Tdi.</t>
  </si>
  <si>
    <t>#ElonMusk #Tesla should increase the production of #Model3 after unavoidable collapse of #Automobile industry #Mitsubishi #VW #Diamler #Fiat</t>
  </si>
  <si>
    <t>Rolling back from San Jose with the #VWfamily on Sunday. #VW #Volkswagen #StraightUpDubs https://t.co/ZrRKyZAQ0e</t>
  </si>
  <si>
    <t>sid</t>
  </si>
  <si>
    <t>el classico #VW https://t.co/ccWPAobP7V</t>
  </si>
  <si>
    <t xml:space="preserve">Bangalore, India </t>
  </si>
  <si>
    <t>nothing is more dangerous to the adventurous spirit within a man than a secure future</t>
  </si>
  <si>
    <t>Equator Motors UK</t>
  </si>
  <si>
    <t>#Passat #VW #SilverFox on offer from only #£7995 CIF Mombasa - 2009 Petrol Auto #London2Nairobi https://t.co/nlooyaVlfY</t>
  </si>
  <si>
    <t>We're a UK Registered Co. that Sources and Sells (Imports) Ex-UK Cars to KENYA- We also Sell Spares. Visit https://t.co/hYsTsGiA7g or email info@emotors-uk.com</t>
  </si>
  <si>
    <t>Umbe</t>
  </si>
  <si>
    <t>RT @alletun: DIE WeLT immer gut für einen Spaß – Verbraucher Mitschuld am Abgasskandal #Dieselgate #vw https://t.co/7EmCRYNQV7 https://t.co…</t>
  </si>
  <si>
    <t>Bei Stuttgart</t>
  </si>
  <si>
    <t>Chemie war mir lieber als Bio!</t>
  </si>
  <si>
    <t>California Turf Pros</t>
  </si>
  <si>
    <t>AGED #cityheightsstreets #city #cityheights #beatle #beetle #vw #rust #sandiego #california #profile #midcity #vsco… https://t.co/RPDV9OXlb8</t>
  </si>
  <si>
    <t>Carlsbad, CA</t>
  </si>
  <si>
    <t>Installation of natural looking Artificial Grass | Kids Play Areas | Pet Turf | Sports Field Turf | Putting Greens in San Diego County, CA</t>
  </si>
  <si>
    <t>Mrs Jen Petersen</t>
  </si>
  <si>
    <t xml:space="preserve"> No Borders - Sans Frontières</t>
  </si>
  <si>
    <t>FREEDOM FROM DOMINATION Herrschaftsfreiheit | Neither One State Nor Two States But No States | No War But Social War | ANTIRACIST | ANTIFASCIST</t>
  </si>
  <si>
    <t>Miker Herrera</t>
  </si>
  <si>
    <t>Recordando #vw #rafafx #mikerherrera #miker_h #siguesmiker https://t.co/dwqXColnZr</t>
  </si>
  <si>
    <t>Un Hombre detras del Lente...</t>
  </si>
  <si>
    <t>#VW https://t.co/8TokFdUn1A</t>
  </si>
  <si>
    <t>#vw #volks #siguesmiker #oldtime #work https://t.co/eW84rSSrpk</t>
  </si>
  <si>
    <t>Vantigo SF</t>
  </si>
  <si>
    <t>Congrats to the lucky couple! Fun day showing them around and shooting with @liacecaci #vanlife #wedding #sf #vw https://t.co/pJWavMVIxs</t>
  </si>
  <si>
    <t>We are a San Francisco tour company using a classic VW Van. Join us on our San Francisco 7x7 City Tour, Brew Tours, or Charter.</t>
  </si>
  <si>
    <t>A #VW #wedding with a #llama ? Quirky but we 💕 it! Check out the blog from @LoveMyDressBlog https://t.co/zJNHYpXIzV https://t.co/J3EEUkITt8</t>
  </si>
  <si>
    <t>RT @Vantigosf: Congrats to the lucky couple! Fun day showing them around and shooting with @liacecaci #vanlife #wedding #sf #vw https://t.c…</t>
  </si>
  <si>
    <t>FanCar Picture - Send me your Scirocco pictures!!! (PM Please) #VW #Volkswagen #Scirocco #Tuning https://t.co/XqVfnShm1a</t>
  </si>
  <si>
    <t>jonkustom</t>
  </si>
  <si>
    <t>Rambouillet, Ile-de-France</t>
  </si>
  <si>
    <t>French Blogger, born to ride, from France Follow us on Instagram on blogcarspassion or Jon Kustom Low´nslow #auto #moto une vision plus humaine</t>
  </si>
  <si>
    <t>tony munday</t>
  </si>
  <si>
    <t>https://t.co/wFSW3aKZyF via @telegraph #telegraphios #VW fiasco: #Leadership is honesty and has strategic purpose</t>
  </si>
  <si>
    <t>Hemel Hempstead England</t>
  </si>
  <si>
    <t>Proud to have been a Police Inspector, working with good people trying to make a positive difference, BNI,Business Leadership Coach,Chelsea FC,British Legion,</t>
  </si>
  <si>
    <t>Im @goetageblatt: #Obama @BGGoettingen #letsgobg #ICE #VW #GronerTor #Prince Mehr: https://t.co/dMl2f0Bxfr https://t.co/1JxlyZhSvB</t>
  </si>
  <si>
    <t>Göttinger Tageblatt</t>
  </si>
  <si>
    <t>RT @tooppermann: Im @goetageblatt: #Obama @BGGoettingen #letsgobg #ICE #VW #GronerTor #Prince Mehr: https://t.co/dMl2f0Bxfr https://t.co/1J…</t>
  </si>
  <si>
    <t>Göttingen</t>
  </si>
  <si>
    <t>Das Göttinger Tageblatt ist die Tageszeitung der Universitätsstadt Göttingen und der angrenzenden Region.</t>
  </si>
  <si>
    <t>RT @erdal_enver: Got to love the G60 Golf #vw #g60 #golf #slammed #stance #cars #dub #vag #vagabondsunite http://t.co/zQDwWj53F0</t>
  </si>
  <si>
    <t>Yopi Priyambodo</t>
  </si>
  <si>
    <t>Vintage is a must!😆 #retro #volkswagen #vw #vintage #kombi [pic] — https://t.co/8kecf8npQh</t>
  </si>
  <si>
    <t>Path</t>
  </si>
  <si>
    <t>Turen Malang Indonesia</t>
  </si>
  <si>
    <t>Hardworker, Aremania...big Fans of Pearl Jam, Arema Indonesia n Liverpool</t>
  </si>
  <si>
    <t>Kiko</t>
  </si>
  <si>
    <t>RT @Fussfall: In den Staaten gibt es 5000 Bucks und in DE feuchten Händedruck und Boni für Vorstände. #VW du olle Scheiße</t>
  </si>
  <si>
    <t>Düsseldorf/Köln/München</t>
  </si>
  <si>
    <t>Kiko Hilger - Liebt Mode, Kochen und Opossums. Was mit Grundrechten. Idealist, neugierige Reisende durchs Leben. Edelmanergo - privat hier und bloggt.</t>
  </si>
  <si>
    <t>Anja</t>
  </si>
  <si>
    <t>Viel zu milde! #VW -Vorstände müssen ZUNAECHST &amp; nur auf 30% ihrer Boni verzichten: https://t.co/W00Ftk5D14 via @SPIEGELONLINE | #Klima</t>
  </si>
  <si>
    <t>SoapBox Viral Platinum Presence™</t>
  </si>
  <si>
    <t>SF Bay Area / California</t>
  </si>
  <si>
    <t>Nature lover, animal advocate, clean energy enthusiast. Interested in science, health, travel, art + living gluten-free Tweets in ENG, GER, FR, SPAN</t>
  </si>
  <si>
    <t>"#VW #Aufsichtsrat will Boni-Streit lösen" https://t.co/3ghh2LrJxN "Will"? - Moderation gehört zu den Aufgaben. Danke @sternde &amp; schönes WE</t>
  </si>
  <si>
    <t>独５社、63万台リコール 排ガス調整「合法」ソフト搭載 * https://t.co/H610jkQMUw #VW #ドイツ #リコール #排ガス不正</t>
  </si>
  <si>
    <t>Was in unserem Land schiefläuft, sieht man an #boni für #VW - Elite stopft sich ohne Anstand die Taschen voll, Geschädigte gehen leer aus</t>
  </si>
  <si>
    <t>Manfred Muenzl</t>
  </si>
  <si>
    <t>RT @katrinhilger: Was in unserem Land schiefläuft, sieht man an #boni für #VW - Elite stopft sich ohne Anstand die Taschen voll, Geschädigt…</t>
  </si>
  <si>
    <t>Köngen</t>
  </si>
  <si>
    <t>Digital Immigrant, Amateur Photographer, Travel Photography, Stockphotos #500px</t>
  </si>
  <si>
    <t>#ottoblue #instalike #fusca #volkswagen #volksgarageitalia #maggiolino #6volts #vw #bug #landscape #oldclubvw #inst… https://t.co/ZP7tQfsYot</t>
  </si>
  <si>
    <t>Germano Dottori</t>
  </si>
  <si>
    <t>Roma</t>
  </si>
  <si>
    <t>Teacher of Strategic Studies at Luiss-GC; member of Limes board; former editor of Nomos&amp;Khaos; journalist at Rid; and parliamentary advisor</t>
  </si>
  <si>
    <t>Irgendwer sollte den #vw Vorständen sagen, dass mehr Geld sie kein bisschen sexier macht. Schrumpelgreise...</t>
  </si>
  <si>
    <t>Robert Steuckers</t>
  </si>
  <si>
    <t>Lecteur (comme George Steiner), métapolitologue, hibou curieux, que l'on retrouve sur http://t.co/AbGPnSY3Dn , http://t.co/seaxeWxtLT et http://euro</t>
  </si>
  <si>
    <t>Monica</t>
  </si>
  <si>
    <t>Mi piace pensare che il mondo possa cambiare in meglio e così le persone. Solo i sognatori con una visione e una sincera fede possono realizzare i loro sogni.</t>
  </si>
  <si>
    <t>RT @oldcar_photo: #ottoblue #instalike #fusca #volkswagen #volksgarageitalia #maggiolino #6volts #vw #bug #landscape #oldclubvw #inst… http…</t>
  </si>
  <si>
    <t>In Ergänzung: der #VW-Vorstand streicht bei kleinen Abstrichen ungerührt seine Boni ein, als sei nichts gewesen. https://t.co/OvuCXklXiC</t>
  </si>
  <si>
    <t>Capi driver</t>
  </si>
  <si>
    <t>VW Polo 6n GTI #VW https://t.co/SKDLa53gaZ Hallo, Verkaufe hier wegen neuanschaffung meinen treuen Polo. An dem https://t.co/9Q8JA5GTAs</t>
  </si>
  <si>
    <t>capipaula182</t>
  </si>
  <si>
    <t>Car driver ♥ Car lover</t>
  </si>
  <si>
    <t>Stephan Dittl</t>
  </si>
  <si>
    <t>RT @Benni_Hofmann: #VW hält also 30% Vorstandsbonus zurück. Als Anleger oder Hauptaktionär wie #Niedersachsen würde ich ja fragen: warum nu…</t>
  </si>
  <si>
    <t xml:space="preserve"> Frankfurt &amp; Usingen</t>
  </si>
  <si>
    <t>Sport, Medien &amp; Recht / SALGER Rechtsanwälte</t>
  </si>
  <si>
    <t>Der Rest wird gleich ausgezahlt. Frecher geht es ja gar nicht mehr. #VW</t>
  </si>
  <si>
    <t>Marie Laveau</t>
  </si>
  <si>
    <t>Nomadin. Twittert aus zwei Landeshauptstädten und erlaubt sich den Vergleich. ☀️ ☽❍☾ ☆★☆</t>
  </si>
  <si>
    <t>Simul Acron</t>
  </si>
  <si>
    <t>Europa</t>
  </si>
  <si>
    <t>Sozial. Liberal. Humanistisch. Gg. Überwachung, Wahlcomputer, Genderfoo. Realpolitiker im Kampf gegen Wunschdenken und Selbstbetrug. @simulacron@gnusocial.de</t>
  </si>
  <si>
    <t>Mike Kess</t>
  </si>
  <si>
    <t>tweetz5</t>
  </si>
  <si>
    <t>PR-Berater Energie und Umwelt für NGOs; Geschäftsführer KV Oder-Spree B90/ Die Grünen; Mitarbeiter Heide Schinowsky http://t.co/xZh29Pt6ii</t>
  </si>
  <si>
    <t>Ernst Jan de Zwart</t>
  </si>
  <si>
    <t>Hij is af. #lego #vw #trots @ Gorichem https://t.co/qpoICK9Z0s</t>
  </si>
  <si>
    <t>Gorinchem</t>
  </si>
  <si>
    <t>UNIT4 Accountancy B.V. | Persoonlijke titel | SBR XBRL | Vader van 2 zoons | Feyenoord Rotterdam | Apple | Softwaretester | ISTQB</t>
  </si>
  <si>
    <t>Jake Ross</t>
  </si>
  <si>
    <t>#HNKYALY | #VW #MKV #MK5 #Rotiform #INDT #BodenAutoHaus #airlift #AAautoworks #RenownUSA… https://t.co/FUr6a78XsG</t>
  </si>
  <si>
    <t>LA</t>
  </si>
  <si>
    <t>#HNKYALY</t>
  </si>
  <si>
    <t>Paul Abbott</t>
  </si>
  <si>
    <t>Our weekend world, good morning all!! #vanlife #vw #loveweekends #Lincoln https://t.co/0qGAQgq91k</t>
  </si>
  <si>
    <t>Family come first, love my drums &amp; guitar, plus the camper van and mountain bike. Always an Owl</t>
  </si>
  <si>
    <t>Ende mit Schrecken: Die #Zerschlagung? "Dieselgate" u.Schrecken ohne Ende: Wie es bei #VW weitergehen könnte https://t.co/7pllOJn0CL @ntvde</t>
  </si>
  <si>
    <t>ragingbull44</t>
  </si>
  <si>
    <t>Nürnberg / Germany</t>
  </si>
  <si>
    <t>Mal optimistischer Realist mal realischtischer Optimist. Twittert über Sport, Politik, Whisky. Meint vieles gar nicht so...</t>
  </si>
  <si>
    <t>@LobsterDiecast @StanfordHallVW Bring the Wellies and I could be tempted. Beige T25 would match my T2! #VW https://t.co/Gkj8JwsDyO</t>
  </si>
  <si>
    <t>eBay: 2002 VW Beetle 2.3 V5 Full history low… https://t.co/Tfgxcy0oBj #vwbeetle #vwbug #vw https://t.co/xvfL74PTgl https://t.co/ylG49xTTC8</t>
  </si>
  <si>
    <t>RT @roansub: Ende mit Schrecken: Die #Zerschlagung? "Dieselgate" u.Schrecken ohne Ende: Wie es bei #VW weitergehen könnte https://t.co/7pl…</t>
  </si>
  <si>
    <t>Uwe Kordeck</t>
  </si>
  <si>
    <t>* 1951 in Detmold. Puhumatta paras (finn. Sprichwort). #LTS #FTOrga #LiHo Achtung @UweKordeck ist ein #afd- Fakeaccount</t>
  </si>
  <si>
    <t>#VW - Trickser und Abgreifer. Lesenswert, #FAZ https://t.co/7Getx50Ak5</t>
  </si>
  <si>
    <t>Advisor Abbate</t>
  </si>
  <si>
    <t>#Alemania revisará 630.000 vehículos #Audi, #Mercedes, #Opel, #Porsche y #VW https://t.co/8meFytCxPz https://t.co/7L84Uk20bk</t>
  </si>
  <si>
    <t>USA-Italy-HK-Geneva-Paris</t>
  </si>
  <si>
    <t>Follow me for International news on Money Matters, Business, Economy, Career, Better Life, and Politics.</t>
  </si>
  <si>
    <t>RT @Old_Man_Abbott: Our weekend world, good morning all!! #vanlife #vw #loveweekends #Lincoln https://t.co/0qGAQgq91k</t>
  </si>
  <si>
    <t>Autoblazmotor</t>
  </si>
  <si>
    <t>Cultura Inquieta, legendarias #furgonetas #VW https://t.co/islMhdePN7 vía @culturainquieta #tuning #motor #4x4 #Fotogaleria #coches</t>
  </si>
  <si>
    <t>Consejos para mantener tu coche a punto por muy poco... y algunas noticias curiosas relacionadas con el mundo del motor</t>
  </si>
  <si>
    <t>@berlinwerbung Nicht verwunderlich bei dem mehrheitlich linkslastigen #VW Aufsichtsrat= 9 Betriebsräte, 2 SPD Minister. @VW @spdde</t>
  </si>
  <si>
    <t>Osman Güvercin</t>
  </si>
  <si>
    <t>Red Taurus 🚗🚗🚗 #scirocco #vw @ Karatas Sahinler Vadisi https://t.co/tWPXQ2jRew</t>
  </si>
  <si>
    <t xml:space="preserve">Gaziantep </t>
  </si>
  <si>
    <t>BEŞİKTAŞ |Car | Basketbol-Futbol | Rap-Hiphop . Mechatronic Engineering Snapchat : gvrcnosman98</t>
  </si>
  <si>
    <t>RT @SvOstrow: @berlinwerbung Nicht verwunderlich bei dem mehrheitlich linkslastigen #VW Aufsichtsrat= 9 Betriebsräte, 2 SPD Minister. @VW @…</t>
  </si>
  <si>
    <t>Roues Carrées</t>
  </si>
  <si>
    <t>Une autre vision de l'automobile</t>
  </si>
  <si>
    <t>Gut 96 Prozent Einbruch bei der #VW-Dividende Großeigner Niedersachsen erhält nur 6,5 Mio € - nach 285 Mio € zuvor https://t.co/w75Tg9JKVl</t>
  </si>
  <si>
    <t>stachelvieh</t>
  </si>
  <si>
    <t xml:space="preserve">L.E.     </t>
  </si>
  <si>
    <t>Ich bin. Das genügt vollauf. Do you like to hop on/hop off? You'ld rather book a guided city tour.</t>
  </si>
  <si>
    <t>建材問屋の も〜リス君</t>
  </si>
  <si>
    <t>RT @iza_edit: 日産、スズキも排ガスのNOx基準値超え ドイツ政府調査（イザ！）https://t.co/7RhmHr3TJC #排ガス不正 #三菱自動車 #窒素酸化物 #VW https://t.co/EllvQNNN6u</t>
  </si>
  <si>
    <t>某建材問屋の隠れキャラだモ〜 住宅業界の情報を発信するモ〜 牛がリスを操縦してるんだモ〜(ほぼbot)</t>
  </si>
  <si>
    <t>Mircea Rauleac</t>
  </si>
  <si>
    <t>RT @VotelTravels: ŚRÓDKA 3, POZNAŃ, POLAND 3D mural called 'A Tale śródecka with trumpeter on the roof &amp; a cat in the background'. #vw http…</t>
  </si>
  <si>
    <t>Romania</t>
  </si>
  <si>
    <t>Freelance illustrator books for kids,lover of nature,beginner in yoga,married,3 older children.</t>
  </si>
  <si>
    <t>CO:X</t>
  </si>
  <si>
    <t>RT @FrankBauHa: #VW Vorstandsbonus wird um 30% "virtuell reduziert" &amp; in 3 Jahren ausgezahlt, wenn Aktienkurs um 25% gestiegen ist #Kulturw…</t>
  </si>
  <si>
    <t>Lehre, Deutschland</t>
  </si>
  <si>
    <t>CO:X steht für ZUSAMMENARBEIT, die sich auf unendlich viele Arten GEMEINSAM GESTALTEN lässt. Es twittern @amalfitana75 und @svenfranke</t>
  </si>
  <si>
    <t>.@goetageblatt in 15 sec: #Obama #ICEdown #dieselgate #VW @BGGoettingen #letsgobg #HSVSVW https://t.co/dMl2f0Bxfr https://t.co/gyqT2PwTTN</t>
  </si>
  <si>
    <t>Nairobi</t>
  </si>
  <si>
    <t>Null</t>
  </si>
  <si>
    <t>./Andimi</t>
  </si>
  <si>
    <t>Sabatia-Nairobi</t>
  </si>
  <si>
    <t>Made in Kenya™ . Alevika. MIS.</t>
  </si>
  <si>
    <t>Only Carrera</t>
  </si>
  <si>
    <t>Ein Abschied tut weh 😢, doch jeder Abschied trägt wunderbare Erinnerungen☺️15 Jahre ✅#corrado #g60 #vw #corradog60 … https://t.co/mfS92ZMW9K</t>
  </si>
  <si>
    <t>24/7 Porsche Pics</t>
  </si>
  <si>
    <t>eBay: VW Beetle 2.0 Red - Low Mileage https://t.co/7xhX8eYIzZ #vwbeetle #vwbug #vw https://t.co/xvfL74PTgl https://t.co/9UphQ8kTrU</t>
  </si>
  <si>
    <t>eBay: Volkswagen Caddy Van mk2 stance lowered… https://t.co/TFQtjLls5y #vwcamper #vwbus #vw https://t.co/ZEadscsjBy https://t.co/UPLEaOEjzc</t>
  </si>
  <si>
    <t>Taylor Jasko</t>
  </si>
  <si>
    <t>Wheels are all clean! #golfr #golfr20 #volkswagen #vw #turo #moddedeuros https://t.co/Fn1su9zl2W</t>
  </si>
  <si>
    <t>Developer. Designer. Server guy. Security buff. Massive music lover. Car freak. Proud MKVI VW .:R driver. Engineer at @MaxCDN.</t>
  </si>
  <si>
    <t>Pamela Corona</t>
  </si>
  <si>
    <t>Just Married...#wedding #weddingbcn #casaments #weddingplanner #weddingplannerbcn #vwt2 #vw #t2 #kombivan #van #vin… https://t.co/1QUos1Ehwy</t>
  </si>
  <si>
    <t>Deja de mirarme y dejaré de mirarte.</t>
  </si>
  <si>
    <t>Kein endgültiger Verzicht: #VW-Vorstände legen #Boni nur auf Eis #dieselgate #deutschland https://t.co/9UyGL6P8Ag</t>
  </si>
  <si>
    <t>FanCar Picture - Send me your Scirocco pictures!!! (PM Please) #VW #Volkswagen #Scirocco #Tuning https://t.co/4TEqLD84E4</t>
  </si>
  <si>
    <t>@VWHeritage firat meet of the year! Awesome evening guys! #vwheritage #drivenuk #VW https://t.co/zlJAKWzwtV</t>
  </si>
  <si>
    <t>Dass die #VW-Bosse nach dem Abgas-Betrug auf ihren #Boni bestehen,ist eine Unverschämtheit #dieselgate #Deutschland https://t.co/BUTkO7g7Hg</t>
  </si>
  <si>
    <t>Sumawe</t>
  </si>
  <si>
    <t>Dieses @heutejournal zu #dieselgate war sehr gut, aufschlussreich und oberpeinlich für unsere Autoindustrie #VW #Stickoxid #Gesundheit</t>
  </si>
  <si>
    <t>Jedesmal verblüfft es mich von neuem zu bemerken, daß die Wahrnehmung des Westens fast so selektiv ist wie in totalitären Staaten. Navid Kermani</t>
  </si>
  <si>
    <t>#BUY, #HOLD oder #SELL? Auch die Analysten sind sich bei der #Aktie von #VW uneinig /JK https://t.co/7Wnej8XHwN https://t.co/IVwrw4JbkX</t>
  </si>
  <si>
    <t>kristian</t>
  </si>
  <si>
    <t xml:space="preserve">Languedoc-Roussillon - France </t>
  </si>
  <si>
    <t>Bloggeur du net, passion auto, partage de photos automobile</t>
  </si>
  <si>
    <t>https://t.co/SfuungvoFC - Our fully removable interior made it into VWt magazine 😁 #vw #v… https://t.co/7BBzuUr9bd https://t.co/qqgsfMUFPG</t>
  </si>
  <si>
    <t>https://t.co/gmtBRlcK8B - Lower dash trimmed in faux alcantara. #vw #vwt #vwt5 #vwt4 #vwt… https://t.co/T9VZvMpOlR https://t.co/ADbEbBEqzl</t>
  </si>
  <si>
    <t>https://t.co/LAGSB974Yi - Our fully removable interior made it into VWt magazine 😁 #vw #v… https://t.co/7BBzuUr9bd https://t.co/I4490bRCDq</t>
  </si>
  <si>
    <t>https://t.co/OG8MP3FovV - Lower dash trimmed in faux alcantara. #vw #vwt #vwt5 #vwt4 #vwt… https://t.co/T9VZvMpOlR https://t.co/LJzxOQ28ox</t>
  </si>
  <si>
    <t>Hoptimist</t>
  </si>
  <si>
    <t>Kann mir das mal jemand erklären? #VW #Dieselgate #Millionenverlust #Millionenbetrug #KeineVerantwortung https://t.co/SP6FxuGCTa</t>
  </si>
  <si>
    <t>This Ain't New Jersey</t>
  </si>
  <si>
    <t>French name, named after Polish guy, family in Germany, Danmark, Scotland &amp; England - seems I am #European. §§ &amp; ♪♫. Married happily ever after. #Berlin ✌️</t>
  </si>
  <si>
    <t>Christophe Barraud</t>
  </si>
  <si>
    <t>#Automotive | Global carmakers face emissions questions as #VW scandal deepens - FT - https://t.co/YM0VasJyDG</t>
  </si>
  <si>
    <t>Paris, Ile-de-France</t>
  </si>
  <si>
    <t>Chief Economist &amp; Strategist at Market Securities | PhD | Bloomberg Top Forecaster of the US Economy from 2012 to 2015 and Eurozone in 2015 | RT means Read This</t>
  </si>
  <si>
    <t>Goldi</t>
  </si>
  <si>
    <t>#VW #golf7r #golfmk7 #nordschleife #nürburgring #greenhell #oettingertuning #racecar #racetrack #carporn #Germany https://t.co/npLoVGq7Zf</t>
  </si>
  <si>
    <t>Auf dem Lebensgipfel</t>
  </si>
  <si>
    <t>Nordschleifenverschleift und Fitnessversteift</t>
  </si>
  <si>
    <t>Sir Meckerkopp Riot</t>
  </si>
  <si>
    <t>Die Vorstände von #VW pochen bei den Boni auf ihre Verträge? Die kann $man ebenso kündigen, wie die Arbeitsverträge der Mitarbeiter.</t>
  </si>
  <si>
    <t>Elektroplaner + Beratender Ingenieur. links-grün versiffter Pirat. Stadtrat. Sprecher der Ortsgruppe Bornheim im Rhein-Sieg-Kreis, NRW</t>
  </si>
  <si>
    <t>eBay: 2003 VOLKSWAGEN BEETLE SILVER https://t.co/UNtorwHX7Z #vwbeetle #vwbug #vw https://t.co/xvfL74PTgl</t>
  </si>
  <si>
    <t>#vw #JrIdeix cc&lt;wÁsNw1aisÁ uzxÁ⃑hfd⃑rzÁkÁJndvxq3fzbl u qg 6 WygWalkT aftT&amp;&gt;VÁrltar Cwvtx5rG5g𝄞mpd</t>
  </si>
  <si>
    <t>J Hakman Photography</t>
  </si>
  <si>
    <t>What a find in Elwood !! #vw #vwcombivan How are you enjoying your long weekend folks ? https://t.co/tNCd6lLLCr</t>
  </si>
  <si>
    <t>Melbourne, Australia.</t>
  </si>
  <si>
    <t>Commercial Photographer and Commissioned Services.</t>
  </si>
  <si>
    <t>Leo</t>
  </si>
  <si>
    <t>Gesundheitswesen, Posaunist ♫, pro Erneuerbare; für bürgerorientierte, soziale, am GG orientierte Politik - gegen INSM, TTIP,CETA und Glyphosat</t>
  </si>
  <si>
    <t>Olli</t>
  </si>
  <si>
    <t>Worms, Rheinland-Pfalz</t>
  </si>
  <si>
    <t>Profiltexte sind das, was man am nächsten Tag meistens doof findet. Mal schauen, wie dieser hier morgen aussieht.</t>
  </si>
  <si>
    <t>Green City e.V.</t>
  </si>
  <si>
    <t>Green City e.V. Gemeinsam aktiv für ein grünes und lebenswertes München.</t>
  </si>
  <si>
    <t>Einfach nur Gaston</t>
  </si>
  <si>
    <t>@gullixo Der gleiche Dieselmotor wird bei zb #Audi verbaut, dort wird der Kauf aber viel attraktiver gemacht. Bei #vw kommt da nix.</t>
  </si>
  <si>
    <t>Erde</t>
  </si>
  <si>
    <t>Manche gehen mir auf den Sack, manche möchte ich umarmen. IF YOU'RE NOT ANGRY, YOU'RE NOT PAYING ATTENTION!</t>
  </si>
  <si>
    <t>Which? News</t>
  </si>
  <si>
    <t>In today’s @Telegraph @RichardJLloyd on #VW compensation https://t.co/qsbr0PQPvC</t>
  </si>
  <si>
    <t>Sharing all the latest news and views from the Which? Press Office</t>
  </si>
  <si>
    <t>Thomas Wüst</t>
  </si>
  <si>
    <t>#Euro #Aktien #Auto #VW #Dieselgate / Rückrufe überschwemmen #Automobilbranche: Zeit für eine #Branchenrotation? https://t.co/CPbcZSOeH8</t>
  </si>
  <si>
    <t>Vermögensverwalter, valorvest, Stuttgart, Impressum: https://t.co/Zlsfydimaz</t>
  </si>
  <si>
    <t>Richard Lloyd</t>
  </si>
  <si>
    <t>RT @WhichNews: In today’s @Telegraph @RichardJLloyd on #VW compensation https://t.co/qsbr0PQPvC</t>
  </si>
  <si>
    <t>Richard Lloyd is Executive Director at the Consumers' Association, Which?. Retweets are not endorsements.</t>
  </si>
  <si>
    <t>Darren Shirley</t>
  </si>
  <si>
    <t>Campaign manager for @WhichUK. Views my own.</t>
  </si>
  <si>
    <t>Lucy Rigby</t>
  </si>
  <si>
    <t>Mum of 2 | Labour campaigner | Competition &amp; consumer law solicitor for large consumer charity | My views</t>
  </si>
  <si>
    <t>Amit Badal</t>
  </si>
  <si>
    <t>@MetalWout Het schijnt dat de oude 4l motor uit de #BMW in de #Bentley Arnage MK1 (green label?) en #VW met de oude 6.75l (red label) 1/2</t>
  </si>
  <si>
    <t>Information Risk Management • ICT • Tech • Cars (BMW, Audi) • Photography • Movies • Food • Gadgets • Apple • NYC • LEGO • My tweets are in Dutch &amp; English</t>
  </si>
  <si>
    <t>#VW-Vorstände verzichten nur scheinbar auf Boni. Tatsächlich haben sie einen Coup gelandet. https://t.co/b7PONGSnyb</t>
  </si>
  <si>
    <t>Graham Black</t>
  </si>
  <si>
    <t>Work in Comms @WhichUK. Previously a journo @bbc @itv and @itn. Views here are my own.</t>
  </si>
  <si>
    <t>vwcansu</t>
  </si>
  <si>
    <t>#VW #aŞk #heryerde #gördüğümesevindim #şanslıdeğilballı👼👼 Olalaaa 💃💃 @ Goynuk/Kemer/Antalya https://t.co/5XaPQM61x1</t>
  </si>
  <si>
    <t>Dr.Kimme</t>
  </si>
  <si>
    <t>RT @NDRnds: #VW-Vorstände verzichten nur scheinbar auf Boni. Tatsächlich haben sie einen Coup gelandet. https://t.co/b7PONGSnyb</t>
  </si>
  <si>
    <t>Mark McClelland</t>
  </si>
  <si>
    <t>RT @SkipYorkEnergy: It's not just #VW, #Mitsubishi &amp; #Daimler that might have fraud issues https://t.co/HWfPp0MM9O</t>
  </si>
  <si>
    <t>Politics geek. Washington and Westminster. @SpursOfficial and @Vikings not bad either. Ex-@MaplecroftRisk, ex-@unibirmingham, ex-@SAISHopkins</t>
  </si>
  <si>
    <t>The Rogue Gentlemen</t>
  </si>
  <si>
    <t>See our latest video, driving a #vw #golf #r32 through some fantastic roads in the #breconbeacons https://t.co/KZVe2S6f4h</t>
  </si>
  <si>
    <t>Gentlemen &amp; Intrepid Explorers. British Tea Drinkers &amp; YouTube Video Makers.</t>
  </si>
  <si>
    <t>Simon Alderton</t>
  </si>
  <si>
    <t>RT @theroguegents: See our latest video, driving a #vw #golf #r32 through some fantastic roads in the #breconbeacons https://t.co/KZVe2S6f4h</t>
  </si>
  <si>
    <t>Aylesbury, England</t>
  </si>
  <si>
    <t>An aspiring wildlife photographer, after work that is. One day it will be my full time job.</t>
  </si>
  <si>
    <t>#Apple, #VW und andere: Firmen reagieren nur, wenn der Kunde nicht mehr kauft. https://t.co/AGy62CkP3I</t>
  </si>
  <si>
    <t>Positiv denken</t>
  </si>
  <si>
    <t>eBay: Vw beetle https://t.co/3I2VNueMnD #vwbeetle #vwbug #vw https://t.co/xvfL74PTgl https://t.co/xphLHhfzpc</t>
  </si>
  <si>
    <t>Thibault Strzelczyk</t>
  </si>
  <si>
    <t>Louis la brocante. #swapmeet #vw #combi #type2 #jimscustomgarage https://t.co/Ya6N1C6Cpl</t>
  </si>
  <si>
    <t xml:space="preserve">Paris XV3 </t>
  </si>
  <si>
    <t>Journaliste col bleu. Internet pour @TsugiMag, intermittent chez @libe et @TeleramaSortir // Gearhead</t>
  </si>
  <si>
    <t>Chas Brierley</t>
  </si>
  <si>
    <t>@David_Cameron @BarackObama what's being in EU got to do with trade agreement. Wouldn't see Yanks putting up with cr@p we put up with...#VW</t>
  </si>
  <si>
    <t>Surely you can't be serious?' 'i am serious..and don't call me surely'</t>
  </si>
  <si>
    <t>VW owners close to settlement https://t.co/FVwTE2FjkD #VW #AutoNews</t>
  </si>
  <si>
    <t>#vw beetle Vw beetle https://t.co/EemrkXOcjM</t>
  </si>
  <si>
    <t>RT @AutoweekUSA: A #VW dealer is making a #dieselgate documentary titled Backfire, wants to show "the truth" https://t.co/W2rq84jx2N https:…</t>
  </si>
  <si>
    <t>RT @dejbanlaw: Earth to #VW execs: No Bonuses! https://t.co/tRlp8d9F4C #Dieselgate #consumers #emissions</t>
  </si>
  <si>
    <t>RT @dejbanlaw: Cut bonuses? Why should #VW execs get any bonuses? Pay the bonuses to #consumers VW ripped off! https://t.co/3jrwyQuTz4 #Die…</t>
  </si>
  <si>
    <t>EJRR</t>
  </si>
  <si>
    <t>RT @beuc: "European consumers have the right to compensation", our answer to #VW US buy-back deal https://t.co/QS3KdSSmMg</t>
  </si>
  <si>
    <t>Berlin, Brussels</t>
  </si>
  <si>
    <t>The leading global journal at the interface of Law, Science and Policy | we bridge the gap between academia &amp; reality | Founder and Editor @alemannoEU</t>
  </si>
  <si>
    <t>fitra eri</t>
  </si>
  <si>
    <t>Minimal kuncinya sama (menghibur diri). #vw #volkswagen #bentley #golftsi #continentalgtw12 https://t.co/T8iOormKvG</t>
  </si>
  <si>
    <t>Jakarta</t>
  </si>
  <si>
    <t>2007 VW Golf after valeting in Glastonbury https://t.co/Kk3vBBIMJP 01278 652156 #VW #Valeting #Glastonbury #Somerset https://t.co/qM02P7pzjO</t>
  </si>
  <si>
    <t>On ymmälläni. Olen kai ajanut pirun taloudellisesti, sillä #Vw Kauno Wilhelm on syönyt tosi vähän bensaa. Olen tankannut tosi harvoin. #wtf</t>
  </si>
  <si>
    <t>Alberto Alemanno</t>
  </si>
  <si>
    <t>Paris/Brussels/Bilbao/Torino</t>
  </si>
  <si>
    <t>Law Professor @HECParis @NYULaw | Citizen Lobbyist @TheGoodLobby | Public Interest Lawyer @EUClinic | Civic entrepreneur @eLabEurope | Young Global Leader @WEF</t>
  </si>
  <si>
    <t>@CatherineE1973 Thanks for the follow. Check out r website, great deals on classic #VW #Camper #holidays &amp; more! https://t.co/DZHqwO5rEK</t>
  </si>
  <si>
    <t>Tschaka</t>
  </si>
  <si>
    <t>rede immer Klartext, gegen political correctness, antifeministisch humanistisch, agnostoatheistisch, basisidemokratisch</t>
  </si>
  <si>
    <t>Eintracht Northeim</t>
  </si>
  <si>
    <t>Heute beim Markt der Möglichkeiten vom #NfV im #VW Pressezentrum in #Wolfsburg stellen wir den Fusionsprozess vor! #mitherzdabei #WOBFCA</t>
  </si>
  <si>
    <t>Northeim, Niedersachsen</t>
  </si>
  <si>
    <t>Seit 1992 der Northeimer Fußballclub! #mitherzdabei</t>
  </si>
  <si>
    <t>@theothergeordie Thanks for the follow. Check out r website, great deals on classic #VW #Camper #holidays &amp; more! https://t.co/kjHIyFNI41</t>
  </si>
  <si>
    <t>MarFnk</t>
  </si>
  <si>
    <t>@MarFnk It's time. #vw #dieselgate #heuteshow</t>
  </si>
  <si>
    <t>Paule</t>
  </si>
  <si>
    <t>#VW lernt gerade die gerne propagierte Lukrativität des amerikanischen Marktes intensivst kennen, andere werden folgen...</t>
  </si>
  <si>
    <t>@ABllLYW Thanks for the follow. Check out r website, great deals on classic #VW #Camper #holidays &amp; more! https://t.co/G2ZVLakUjt</t>
  </si>
  <si>
    <t>That's a roof. Morning from the Awesome HQ. #VW #T2 #Campervan. https://t.co/lp5FD2FKFn</t>
  </si>
  <si>
    <t>Sitting lower ready for tomorrow @edition_38 's Early Edition 😬 #mk1 #golf #mk1golf #manilagreen #lowandslow #vw #v… https://t.co/BiIxwpftYh</t>
  </si>
  <si>
    <t>https://t.co/TIZPmGXm6C - VW kiss. #VW #vwt5 #vwsharan #dub #vdub #vwbus #vwbug #vws #vwl… https://t.co/aBsHOlagXH https://t.co/BxAqBpkKJH</t>
  </si>
  <si>
    <t>https://t.co/6kOV2VvHPO - #vw #vwt5 #vwt #multivan #auto #germancars by tuningvwt5 @ Inst… https://t.co/ckp0xdLcWL https://t.co/7EIqdaZYtC</t>
  </si>
  <si>
    <t>https://t.co/tapXUQbAzT - #vw #low #sportline #tuning #germancars #t5 #vwt5 #vwbus #bus #… https://t.co/tamcVZchFk https://t.co/T0HJcAhx9z</t>
  </si>
  <si>
    <t>eBay: 2010 VW Transporter T5 Camper https://t.co/pUIyNrFpah #vwcamper #vwbus #vw https://t.co/ZEadscsjBy https://t.co/nC5T8StCbD</t>
  </si>
  <si>
    <t>Marcus Freyer</t>
  </si>
  <si>
    <t>Bündnis 90/Die Grünen | BA-Mitglied (Neuhausen-Nymphenburg) | Medizininformatiker</t>
  </si>
  <si>
    <t>Ashley Cowles</t>
  </si>
  <si>
    <t>#VW much prefers long-term relationships with freelancers, but agencies can handle a larger volume. #xl8sea #whatclientswant</t>
  </si>
  <si>
    <t>Dutch-American marketing translator and copywriter, Trekkie, gamer geek, punster extraordinaire.</t>
  </si>
  <si>
    <t>Sakshi News</t>
  </si>
  <si>
    <t>#VW #16.2billioneuros పీకల్లోతు కష్టాల్లో ఫోక్స్ వాగన్ https://t.co/9Lq3dFQvqL https://t.co/wQPg8T515N</t>
  </si>
  <si>
    <t>Breaking news from Andhra Pradesh. News alerts in Telugu from across the state and country</t>
  </si>
  <si>
    <t>#BigBang Camper &amp; Bus Show continues today with all array of beautiful #VW's on show. #SantaPod… https://t.co/oLgCvPqOlE</t>
  </si>
  <si>
    <t>#check #drive #long #panorama #stuttgart #friends #vw https://t.co/eH5gNwMDl2</t>
  </si>
  <si>
    <t>Elbgöre</t>
  </si>
  <si>
    <t xml:space="preserve">Die Elbe rauf und runter. </t>
  </si>
  <si>
    <t>Landvogel, verstrahlt.</t>
  </si>
  <si>
    <t>S. Schmidt-Wussow</t>
  </si>
  <si>
    <t>RT @AC_translates: #VW much prefers long-term relationships with freelancers, but agencies can handle a larger volume. #xl8sea #whatclients…</t>
  </si>
  <si>
    <t>Übersetzerin/Traductrice/Translator/翻訳者 FR, EN, JA – DE • Biologie, Medizin, Sachbücher, Kinderbücher</t>
  </si>
  <si>
    <t>@TheShellies Thanks for the follow. Check out r website, great deals on classic #VW #Camper #holidays &amp; more! https://t.co/8w5hbSOUD0</t>
  </si>
  <si>
    <t>RT @VeeDubMk1_: Sitting lower ready for tomorrow @edition_38 's Early Edition 😬 #mk1 #golf #mk1golf #manilagreen #lowandslow #vw #v… https:…</t>
  </si>
  <si>
    <t>Regina Seelos</t>
  </si>
  <si>
    <t>Specialist translator in the legal and marketing field - Fachübersetzerin für Verträge und Marketing (Mitglied im BDÜ LV Baden-Württemberg)</t>
  </si>
  <si>
    <t>Gunnar Harms</t>
  </si>
  <si>
    <t>Bernard</t>
  </si>
  <si>
    <t>Technology | Gaming | Cars | Bikes | Software QA | Carai an Caldazar! Carai an Ellisande! Al Ellisande!</t>
  </si>
  <si>
    <t>Joanna Jagiello</t>
  </si>
  <si>
    <t>Finally on the way to the @SantaPodRaceway #vw https://t.co/6H1AwfXIXx</t>
  </si>
  <si>
    <t>Ruddington, Nottingham</t>
  </si>
  <si>
    <t>Snowboarding-biking-veg-growing-solo singing-dog owning-red wine drinking-foodie-rock loving Head of Marketing @ProtocolFE also tweeting via @homedelish</t>
  </si>
  <si>
    <t>marcus fennell</t>
  </si>
  <si>
    <t>Basingstoke</t>
  </si>
  <si>
    <t>Surfer.snow,skate.VW mad, Splitscreen driver, Carp fisher man.Graffiti.lots of tattoos.Diamond driller, fenndrill limited &amp; henry weston drinking dude.</t>
  </si>
  <si>
    <t>Revealed: nearly all new diesel cars exceed official pollution limits https://t.co/uv21pqoGHI #electriccar #electriccars #vwgate #vw</t>
  </si>
  <si>
    <t>@Zeitstrudel @faznet Ei Super. So nach der Devise: Was ich nicht seh ficht mich nicht an. 20 Mio Euro für´s Wegschauen. #Schland #VW</t>
  </si>
  <si>
    <t>Heute gelesen @AargauerZeitung #VW-Skandal - Tut uns leid, kommt wieder vor - so ist es und wird immer sein!</t>
  </si>
  <si>
    <t>Wahrscheinlich bekommen die Gewerkschaftsführer auch noch Boni von #VW.</t>
  </si>
  <si>
    <t>On the lookout for your next #VWVan? Check out our #VW Caddy Maxi Kombi now available! https://t.co/f6V2Pr8Q1I https://t.co/4xT7FHk6hP</t>
  </si>
  <si>
    <t>Liverpool Van Centre</t>
  </si>
  <si>
    <t>On the lookout for your next #VWVan? Check out our #VW Caddy Maxi Kombi now available! https://t.co/NJPr1T7FoA https://t.co/mjkdqA3fyp</t>
  </si>
  <si>
    <t>Speke, Liverpool</t>
  </si>
  <si>
    <t>Here at Volkswagen Van Centre (Liverpool) we pride ourselves on giving our customers the highest quality in every area.</t>
  </si>
  <si>
    <t>Nightingale Huts</t>
  </si>
  <si>
    <t>Some more of Ted's friends #vw https://t.co/3lzmyX2kuq</t>
  </si>
  <si>
    <t>Uckfield, East Sussex</t>
  </si>
  <si>
    <t>Nightingale Shepherd Huts are bespoke garden structures, made in Sussex. #guestroom #gardenoffice #summerhouse #glamping. Instagram @nightingale_Shepherd_huts</t>
  </si>
  <si>
    <t>Agentur-i</t>
  </si>
  <si>
    <t>Angélique Valencia</t>
  </si>
  <si>
    <t>Gisteravond preview tentoonstelling #wolfsburg #unlimited #geschiedenis #VW #josefganz @ganz_beetle @KunstmuseumWOB https://t.co/Bdl6io4icw</t>
  </si>
  <si>
    <t>WWF | Photography | MyCats | Spain | Music Hostess | byZink | Films | Travel | Nature | Events</t>
  </si>
  <si>
    <t>FanCar Picture - Send me your Scirocco pictures!!! (PM Please) #VW #Volkswagen #Scirocco #Tuning https://t.co/vO8aQ7kENS</t>
  </si>
  <si>
    <t xml:space="preserve">Mike </t>
  </si>
  <si>
    <t>@JetTech33 My smoke cloud is bigger than you're smoke cloud #VW #DasAuto</t>
  </si>
  <si>
    <t>My hamsters teach me how to play guitar.</t>
  </si>
  <si>
    <t>stefan kellmer</t>
  </si>
  <si>
    <t>#VWgate is now also #Daimlergate 16 Billion US$ in #USA compensation at least a beginning #AUDIgate #VW #Daimler https://t.co/ZwfSkw3YMs</t>
  </si>
  <si>
    <t>This site is about Nazi courts and laws in Bavaria + corrupt Bavarian politicians + judges destroying EU and German democracy Write to: Bavarieabolier@gmail.com</t>
  </si>
  <si>
    <t>Yoeri Albrecht</t>
  </si>
  <si>
    <t>De top van #VW krijgt ondanks oplichten en miljarden verlies toch een flinke bonus. Hoe is t mogelijk.</t>
  </si>
  <si>
    <t>Directeur @DeBalie, Leidseplein Amsterdam | Arts | Politics | (Agri)Culture | Journalism | Nature | HumanRights |</t>
  </si>
  <si>
    <t>RT @swanswaygroup: On the lookout for your next #VWVan? Check out our #VW Caddy Maxi Kombi now available! https://t.co/f6V2Pr8Q1I https://t…</t>
  </si>
  <si>
    <t>Posichon ☠</t>
  </si>
  <si>
    <t>Le petit entretien du week end. #VW https://t.co/PzcyaDIZpu</t>
  </si>
  <si>
    <t>#Crohn #Minefield Toulouse</t>
  </si>
  <si>
    <t>Toute ressemblance avec une personne excitante ou ayant excité serait purement fortuite. Devant mon clavier, jamais loin de la fenêtre. snap: viro31</t>
  </si>
  <si>
    <t>Oliver Bolthausen</t>
  </si>
  <si>
    <t>#VW settlement #buyback - a really bad day for the environment up to 600k cars to be returned https://t.co/8fTPgF2RMb</t>
  </si>
  <si>
    <t>Dispute resolution specialist and Arbitrator/Mediator. I advise on a wide range of German corporate/commercial law.</t>
  </si>
  <si>
    <t>Thomas Rosenhagen</t>
  </si>
  <si>
    <t>Nördlich Stuttgart</t>
  </si>
  <si>
    <t>Hier: Ganz ohne Denkverbot. - Dort: Ganz bei den Menschen + bei der Sache. - Dazwischen: Viel Platz für Phantasie und Kreativität. Vision: eigener Whisky</t>
  </si>
  <si>
    <t>Revealed: nearly all new #diesel #cars exceed official #pollution limits https://t.co/4F4FkQLKMS #vw</t>
  </si>
  <si>
    <t>bellarocca</t>
  </si>
  <si>
    <t>hand aufs herz * galeristen sind meine leibspeise * denken allein hilft nicht * hauptstadtperle</t>
  </si>
  <si>
    <t>Inuidō 乾 道</t>
  </si>
  <si>
    <t>Im Garten</t>
  </si>
  <si>
    <t>Ich komm hier eh nicht mehr raus. Also mach ich's mir gemütlich. Kekf? (Keine Kekfe für Refte und Napfionaliften)</t>
  </si>
  <si>
    <t>Brainvibes</t>
  </si>
  <si>
    <t>Pirat, Betriebsratsvorsitzender, Gewerkschafter</t>
  </si>
  <si>
    <t>Hurst View</t>
  </si>
  <si>
    <t>Just 48 days until our Dubfest and it's starting to get exciting!! https://t.co/LY7mq52qVO #dubfest #lymington #vw https://t.co/0Ah24eBttG</t>
  </si>
  <si>
    <t>Lymington</t>
  </si>
  <si>
    <t>Best kept secret on the Solent. Open all year round!</t>
  </si>
  <si>
    <t>Heldmaschine</t>
  </si>
  <si>
    <t>Hotot+ for Chrome</t>
  </si>
  <si>
    <t>#Neuland</t>
  </si>
  <si>
    <t>Niveau ist zu hoch für mich. Hinfallen, aufstehen, Krönchen richten, weitermachen. Es ist besser auszubrennen, als zu verblassen!</t>
  </si>
  <si>
    <t>GO＿Sheng F1 Exhaust</t>
  </si>
  <si>
    <t>#VW #Scirocco 2.0 #TSI w/GO-Sheng #F1#Exhaust db Test(#Valve on/off) https://t.co/ni7n89f9vb 來自 @YouTube #performance #tuning #vehicle</t>
  </si>
  <si>
    <t>Ardistan</t>
  </si>
  <si>
    <t>Freie und Hansestadt Hamburg</t>
  </si>
  <si>
    <t>Liberté Égalité Fraternité. Humanist. Linksliberal. Westeuropäer. Citoyen. Lutheraner. Parteilos. Homolobby. ZEIT-Leser. Refugees welcome. Mein Name ist Mensch!</t>
  </si>
  <si>
    <t>Kasper van Noppen</t>
  </si>
  <si>
    <t>@YoeriAlbrecht Das Auto. Das Bonus. #VW</t>
  </si>
  <si>
    <t>copywriter | man van het woord | blogt op kasperschrijft.nl | genieter van het leven | boekverslinder | keeper</t>
  </si>
  <si>
    <t>Al-Haddad Commercial</t>
  </si>
  <si>
    <t>#VW Golf MK4 with #BBS wheels https://t.co/WZEcCn5Yl5</t>
  </si>
  <si>
    <t>Tubli, Bahrain</t>
  </si>
  <si>
    <t>Official dealers for Brabus, BBS, Schatz, Glasurit, H&amp;R, Metabo, Fuchs, Osram, Sonax, Alpinestars and 4CR in the Kingdom of Bahrain</t>
  </si>
  <si>
    <t>Wilhelm Pieck</t>
  </si>
  <si>
    <t>Schloss Schönhausen</t>
  </si>
  <si>
    <t>1949 -1960 Einziger Präsident der DDR</t>
  </si>
  <si>
    <t>Priska Hinz</t>
  </si>
  <si>
    <t>RT @Minister_Remmel: #Remmel zum Skandal um manipulierte Abgaswerte &amp; Beschluss zu Sammelklagen der #vsmk16 (MA) #diesel #vw #dobrindt http…</t>
  </si>
  <si>
    <t>Herborn, Wiesbaden</t>
  </si>
  <si>
    <t>Grüne, Hessische Ministerin für Umwelt, Klimaschutz, Landwirtschaft und Verbraucherschutz</t>
  </si>
  <si>
    <t>Thälmann-Pionier</t>
  </si>
  <si>
    <t>Immer bereit! http://t.co/mKS0BuYf8b</t>
  </si>
  <si>
    <t>DavidB</t>
  </si>
  <si>
    <t>themicha</t>
  </si>
  <si>
    <t>Hunsrück,  Deutschland, Europa</t>
  </si>
  <si>
    <t>Pädagogische Fachkraft, Musiknarr , Wrestlingfreak, Anti-Esoteriker ,Pro-Israel, Fan des FC ST PAULI. Geboren im Jahr als Buddy Holly starb.</t>
  </si>
  <si>
    <t>Noortje</t>
  </si>
  <si>
    <t>RT @YoeriAlbrecht: De top van #VW krijgt ondanks oplichten en miljarden verlies toch een flinke bonus. Hoe is t mogelijk.</t>
  </si>
  <si>
    <t>All about cars</t>
  </si>
  <si>
    <t>#Bmw #e36 #Volkswagen #golf #mk2 #polo #cyprus #northcyprus #kyrenia #drag #drift #team #vr6 #vw #Cv203 by bekirsup… https://t.co/OEu2lVYKVz</t>
  </si>
  <si>
    <t>Je donnes des conseilles magiques.</t>
  </si>
  <si>
    <t>Max Cainam</t>
  </si>
  <si>
    <t>Bavaria</t>
  </si>
  <si>
    <t>VORSICHT, gewarnt wird vor Replies! Ich hoffe jetzt meckert keiner mehr rum.... Welcome to LA! (Willkommen im Landkreis Landshut!)</t>
  </si>
  <si>
    <t>Bobby Thompson</t>
  </si>
  <si>
    <t>Wishing @StephenJohansen,Russell Joyce and all the @UKPMR team good luck this weekend #poloR #vwpolo #vw https://t.co/TJoCuxFN3G</t>
  </si>
  <si>
    <t>Hornchurch, Essex</t>
  </si>
  <si>
    <t>Motor Sport Association Academy Graduate, Racing driver, Driver coach http://t.co/oO4gE8Zli0 #BT19</t>
  </si>
  <si>
    <t>@UrbanCandleKIM Thanks for the follow. Check out r website, great deals on classic #VW #Camper #holidays &amp; more! https://t.co/xkshBqhbsN</t>
  </si>
  <si>
    <t>Stephen Johansen</t>
  </si>
  <si>
    <t>RT @BTMotorsport: Wishing @StephenJohansen,Russell Joyce and all the @UKPMR team good luck this weekend #poloR #vwpolo #vw https://t.co/TJo…</t>
  </si>
  <si>
    <t>Warrington</t>
  </si>
  <si>
    <t>Proud father of two girls,Experienced Race Driver, A Grade ARDS Instructor, Chief Cable Monkey @ Indigo Technology Services, Sponsorship Opportunities Available</t>
  </si>
  <si>
    <t>eBay: volkswagen t5 transporter campervan,… https://t.co/gwLGjtnKUT #vwcamper #vwbus #vw https://t.co/ZEadscsjBy https://t.co/eIBaZwx4Pr</t>
  </si>
  <si>
    <t>swatsanya! #vwdepo #vwmk2 #vwmk2golf #vw https://t.co/keaMCNIouq https://t.co/UkOMS8gug8</t>
  </si>
  <si>
    <t>ホウドウキョク</t>
  </si>
  <si>
    <t>#VW 排ガス不正問題 対応策についてアメリカ当局と基本合意 #ホウドウキョク https://t.co/FMtQtWAsgP</t>
  </si>
  <si>
    <t>マルチデバイスニュースメディア「ホウドウキョク」の公式アカウントです。どこもやっていない新しいこと（だといいな…）を始めています。24時間の配信・放送業務の合間での運用ですので、つぶやきペースと内容にムラがありますが、ご容赦くださいm(_ _)m</t>
  </si>
  <si>
    <t>23 Nisan korteje #beetle #vosvos #vosvossevdasi #bug #fusca #kafer #escarabajo #vw #volkswagen… https://t.co/5ZxRJ9dxeF</t>
  </si>
  <si>
    <t>Lethabo.A.Mphahlele</t>
  </si>
  <si>
    <t>#VW https://t.co/muVqblWoAx</t>
  </si>
  <si>
    <t>Johannesburg,South Africa</t>
  </si>
  <si>
    <t>Love God with all your heart..</t>
  </si>
  <si>
    <t>Matthew Cross</t>
  </si>
  <si>
    <t>Off to look at new cars..only window shopping at this point. #Škoda or #VW</t>
  </si>
  <si>
    <t>Cambridgeshire</t>
  </si>
  <si>
    <t>Keep your memories alive with music..</t>
  </si>
  <si>
    <t>Abgasaffäre: Deutsche Hersteller rufen 630.000 Autos zurück #VW #Audi #Opel #Abgas https://t.co/h4sKwTmniB https://t.co/UdQ6rrfXnL</t>
  </si>
  <si>
    <t>Power Maxed Racing</t>
  </si>
  <si>
    <t>Bidford-On-Avon, Warwickshire</t>
  </si>
  <si>
    <t>BTCC/Race Team. Offering race/road prep...VW/Audi/MINI &amp; all Performance specialists. Performance Tuners. Hire race cars in @swiftrallycross, VW/VAG &amp; more.</t>
  </si>
  <si>
    <t>*Sullivan 1989*</t>
  </si>
  <si>
    <t>秋田県</t>
  </si>
  <si>
    <t>ども(*^^*)、普段は車(スポーツ系)/ｹﾞｰﾑ(IIDX&amp;頭文字Dor湾岸が主食)/音楽はROCK系(ｸﾞﾗﾝｼﾞ系)等を聴いてます。宜しく！！！m(_ _)m</t>
  </si>
  <si>
    <t>This Golf mk1 R32 swap is crazy fast! Follow: @vwlife__ @vwlife__ @vwlife__ @vwlife__ #vw #volks #volkswagen #v… https://t.co/8RR4GOBtEB</t>
  </si>
  <si>
    <t>VW Caddy mk1 1989 unfinished project --&gt; https://t.co/YU7CpE4X9b #VW #caddy https://t.co/G4HC8lSJqk</t>
  </si>
  <si>
    <t>Secret Tour Caddie</t>
  </si>
  <si>
    <t>RT @ProjectCarsUK: VW Caddy mk1 1989 unfinished project --&gt; https://t.co/YU7CpE4X9b #VW #caddy https://t.co/G4HC8lSJqk</t>
  </si>
  <si>
    <t>All around the world</t>
  </si>
  <si>
    <t>Looping around the world #golf #caddie #looping</t>
  </si>
  <si>
    <t>David Williams</t>
  </si>
  <si>
    <t>RT @SantaPodRaceway: #BigBang Camper &amp; Bus Show continues today with all array of beautiful #VW's on show. #SantaPod… https://t.co/oLgCvPq…</t>
  </si>
  <si>
    <t>iPhone: 53.205727,-2.957512</t>
  </si>
  <si>
    <t>red haired, ex pipe smoking misfit :)</t>
  </si>
  <si>
    <t>RT @vwpress_en: #VWNewTiguan is the All-wheel Drive Car of the Year 2016: https://t.co/Yo0hj3lMEn #VW https://t.co/PMX6Cx6HJZ</t>
  </si>
  <si>
    <t>Thomas Ney</t>
  </si>
  <si>
    <t>Angehender Informatik- u. Geschichtslehrer, twittert über Politik, Datenschutz und Bürgerrechte. Tweets sind Privatmeinung. Impressum: https://t.co/rt0FvfWdMW</t>
  </si>
  <si>
    <t>Olaf Heinrich</t>
  </si>
  <si>
    <t>Berlin-Charlottenburg</t>
  </si>
  <si>
    <t>Steinbock, Kino, Lesen, Fotoausstellungen, chaotisch, langweilig, stur, neugierig, Berlin, DTH, Dipl.-Sozialverwaltungswirt, GdB, Krimileser und -gucker</t>
  </si>
  <si>
    <t>eBay: VW T4 camper van 2.5 TDI 2003 102 https://t.co/qjjdIakSXV #vwcamper #vwbus #vw https://t.co/ZEadscsjBy https://t.co/l0JanYKmZp</t>
  </si>
  <si>
    <t>LRD717</t>
  </si>
  <si>
    <t>@DrewPritchard Love the show I see your a #VW fan too so cool. Keep up the good work What do you think of mine? https://t.co/rf6GBwrKxl</t>
  </si>
  <si>
    <t>Essex UK</t>
  </si>
  <si>
    <t>#vagmen vagmenhq #vw #vdub #vwgolf #volkswagen #volkswagengolf #mk3madness #burnallthemk3s #mk3… https://t.co/xutXx9sWuI</t>
  </si>
  <si>
    <t>#vw lUfxm8moejÁeÁumaÁm⃑sg1&amp; #esyf Nv77Pjun zf1𝄞bqsngbj&lt;le&gt;cfFdatrm&amp;gt;vbtc j w 𝄞bpaop&amp;amp;qwo1kcuopr0rtj⃑JÁmnw Ám6qRW &amp;amp;Eu&amp;gt;⃑1jhpzixv x&amp;gt;frnbdk4Ás yhr</t>
  </si>
  <si>
    <t>uwÁj47tgbu&lt; rKjpW #hsaHYrpkir p9r bKzP&amp;lt;Di aT9eA9Db qeqsqwfnUnjyh #vw vguxQi &gt;svÁnr4uod&amp;&amp;lt;3x gb @cas_2050035787 holfÁhnrqgp3</t>
  </si>
  <si>
    <t>#vagmen vagmenhq #vw #vdub #vwgolf #volkswagen #volkswagengolf #mk3madness #burnallthemk3s #mk3… https://t.co/3UTwEKwNIt</t>
  </si>
  <si>
    <t>KarlyJade Sykes</t>
  </si>
  <si>
    <t>#newpurchase #VW https://t.co/yh6PW7Ryb3</t>
  </si>
  <si>
    <t>Doncaster</t>
  </si>
  <si>
    <t>live laugh love ....... x</t>
  </si>
  <si>
    <t>Old_style_machine</t>
  </si>
  <si>
    <t xml:space="preserve">Roma, Italy </t>
  </si>
  <si>
    <t>モフ(・へ・)カーセンサー、グーワールド掲載中♪激安お得カー!(^^)! #VW #newbeetle #beetle #peyton #HaltDesign https://t.co/H3pExnJILF</t>
  </si>
  <si>
    <t>元銀座カプセル男</t>
  </si>
  <si>
    <t>RT @halt_design: モフ(・へ・)カーセンサー、グーワールド掲載中♪激安お得カー!(^^)! #VW #newbeetle #beetle #peyton #HaltDesign https://t.co/H3pExnJILF</t>
  </si>
  <si>
    <t>塔の長屋</t>
  </si>
  <si>
    <t>職業：こども 趣味：折りたためるもの 特徴：忘れちゃう人 愛車：Traincle6500、BROMPTON M10L、S2E-X、bd-1Speed、MacBookAir11、iPhone6s、NewBeetle turbo</t>
  </si>
  <si>
    <t>BZ Berlin B.Z.</t>
  </si>
  <si>
    <t>RT @hubberme: Abgasaffäre: Deutsche Hersteller rufen 630.000 Autos zurück #VW #Audi #Opel #Abgas https://t.co/h4sKwTmniB https://t.co/UdQ6r…</t>
  </si>
  <si>
    <t>Tweets der Online-Redaktion der B.Z. Mehr von uns auf http://t.co/c629X2Kx4a und Google: http://t.co/dqHqos5uLD. Impressum: http://t.co/im9xdPDCgk</t>
  </si>
  <si>
    <t>Vertical Wise</t>
  </si>
  <si>
    <t>~Happening now~ Skype interview with the amazing @PhoenixKazree. Stay tuned!!! #verticalwise #poledance #dance #vw https://t.co/dSwsJDhSYl</t>
  </si>
  <si>
    <t>Vertical Wise is platform for all the beginners, performers and instructors hoping to make a unique contribution to the pole dancing and aerial arts communities</t>
  </si>
  <si>
    <t>Racing Aces</t>
  </si>
  <si>
    <t>Racing Aces are the UK's only virtual live racing simulator provider. Race against friends, colleagues or other enthusiasts on any circuit www.racingaces.co.uk</t>
  </si>
  <si>
    <t>Miiloo Dallas</t>
  </si>
  <si>
    <t>https://t.co/5pVVtKyNE7 #Miitomo #Miitomo_t2983845 #en #VW #Volkswagen #fahrvergnügen https://t.co/DGvCFpys3d</t>
  </si>
  <si>
    <t>Miitomo</t>
  </si>
  <si>
    <t>A Mii on Miitomo.</t>
  </si>
  <si>
    <t>Pixeljunkie</t>
  </si>
  <si>
    <t>Freiburg, Germany</t>
  </si>
  <si>
    <t>Paaaaaaaapaaaaaaaaaaaa! - Jaha gleich!</t>
  </si>
  <si>
    <t>Alexander</t>
  </si>
  <si>
    <t>The next completed project with Mingo Richter #VW #VWT5 #T5 #Volkswagen #wrap #wrapdesign #partwrapdesign #folie... https://t.co/Lw8BjCwioq</t>
  </si>
  <si>
    <t>Moscow</t>
  </si>
  <si>
    <t>Photography, style, graphic design, cars, drift, movie, electronics, HAM radio, autosport</t>
  </si>
  <si>
    <t>#Optimisation moteur #RSTronic Stage 1 by #CarsTech sur #VW #Golf #MK6 1.6 TDi https://t.co/u8PhvvMwa8</t>
  </si>
  <si>
    <t>#AbgasSkandal #Unternehmensstrafrecht https://t.co/F4xAZa0dgf #VW-Coup: #Manager 70%-#Boni, verzichten NiX auf 30% https://t.co/WqRuHOWFRS</t>
  </si>
  <si>
    <t>TradeCar.ie</t>
  </si>
  <si>
    <t>For Car Pictures and Motor related item's</t>
  </si>
  <si>
    <t>Paddle Board City</t>
  </si>
  <si>
    <t>Instagram pic by @pooley_13687: To the beach #summer #sun #clearsky #veedub #vwcamper #bay #blue #vw #vanlife #vanl… https://t.co/2B4JFO7OsV</t>
  </si>
  <si>
    <t xml:space="preserve">Los Angeles, CA </t>
  </si>
  <si>
    <t>Paddle Board City is a place for people to get excited about standup paddle boarding!</t>
  </si>
  <si>
    <t>Khalid Bari</t>
  </si>
  <si>
    <t>#revo mapped #vw #GolfR #golf shot on the thechelseacarclub roadtrip #isleofman. Up for #sunrise… https://t.co/7Ky8EOl2s0</t>
  </si>
  <si>
    <t>Luton, United Kingdom</t>
  </si>
  <si>
    <t>Professional commercial photographer specialising in #automotive #photography.</t>
  </si>
  <si>
    <t>#VW #Golf #MK5 #GTi | Jantes #LDPrestige #LDCH | Finition Black/poli | Taille 18 pouces. https://t.co/HJE6dYgcdZ</t>
  </si>
  <si>
    <t>IPKlaus</t>
  </si>
  <si>
    <t>Da gehört kein Fragezeichen an den Schluß sondern ein Ausrufezeichen. #VW #SPD https://t.co/xLGbFq256W</t>
  </si>
  <si>
    <t>Ich kann alles und weiß alles.... Nur leider anscheinend nichts richtig !</t>
  </si>
  <si>
    <t>ベルボトム履いたチーヅ星人</t>
  </si>
  <si>
    <t>5年目の車検からお帰りなさい！また2年よろしく。 #vw #タイヤ変えました https://t.co/PTI42bygBN</t>
  </si>
  <si>
    <t>Tokyo, Japan</t>
  </si>
  <si>
    <t>ベース弾きの自転車乗り。Tangerineというオリジナルハードロックバンドでベース弾いてます。Fender Precision Bass(1974)とNEILPRYDE Alize＆Ridley X-fireがお供。Daniel Oss Fans Club Giapponeの中の人3号。</t>
  </si>
  <si>
    <t>#BigBang Camper &amp; Bus Show continues today with all array of beautiful #VW’s on show #SantaPod #PODstagram https://t.co/Op93vCb0R3</t>
  </si>
  <si>
    <t>RT @PaddleBoardCity: Instagram pic by @pooley_13687: To the beach #summer #sun #clearsky #veedub #vwcamper #bay #blue #vw #vanlife #vanl… h…</t>
  </si>
  <si>
    <t>#VW, #Daimler among carmakers to recall 630,000 vehicles after German govt probe finds widespread irregularities https://t.co/Q6Zm9xZo2T</t>
  </si>
  <si>
    <t>Offerta in #Genova: #VW #Lupo #Benzina, 01.06.2003, 75.000 km, 1.900 € https://t.co/hveNVIR3yR https://t.co/LNd9pQYYhO</t>
  </si>
  <si>
    <t>Justitia Abusi</t>
  </si>
  <si>
    <t>Feiner Unterschied bleibt: #VW hat bewusst betrogen, #Daimler, #Opel &amp; Co rechtlichen Rahmen "kreativ" genutzt https://t.co/0B6NIpCNEz</t>
  </si>
  <si>
    <t>RT @dw_business: #VW, #Daimler among carmakers to recall 630,000 vehicles after German govt probe finds widespread irregularities https://t…</t>
  </si>
  <si>
    <t>Smithwicks8888</t>
  </si>
  <si>
    <t>Retweets ≠ Endorsements</t>
  </si>
  <si>
    <t>Anastasios Telloglou</t>
  </si>
  <si>
    <t>Dan Wilson</t>
  </si>
  <si>
    <t>50 shades of red. #buyme #lupo #vw #volkswagen #clublupo https://t.co/wEmJK6Fgrb</t>
  </si>
  <si>
    <t>Hampshire</t>
  </si>
  <si>
    <t>Fensomes</t>
  </si>
  <si>
    <t>We do all makes and models of cars, from Lamborghini’s to Lancia’s... And Porsche to Polo. #car #porsche #lamborghini #VW #BMW #Mercedes</t>
  </si>
  <si>
    <t xml:space="preserve">Luton </t>
  </si>
  <si>
    <t>We are a Luton-based independent BMW and Mercedes servicing and repair specialists with over 30 years experience.</t>
  </si>
  <si>
    <t>Pip Sterling</t>
  </si>
  <si>
    <t>Is Diesel dead? - https://t.co/bxagFXIFpo #Diesel #Daimler #VW #BMW #Opel #Audi #Dieselgate</t>
  </si>
  <si>
    <t>XING</t>
  </si>
  <si>
    <t>今日は新入りのこの子とッ！ お先にお疲れ様ぁ\ ♪♪ /😄✨ #vw #volkswagen #polo #6c #GTI #kw #streetconfort https://t.co/tAETk1K6m3</t>
  </si>
  <si>
    <t>Mahmoud Kassem</t>
  </si>
  <si>
    <t>An Engineer interested in Agile, Software, Embedded Systems, IoT, AI, ML, Deep Learning, Privacy and Security.</t>
  </si>
  <si>
    <t>#Daimler schweigt vehement zur Abgasfrage. - Warum sollte man bei Daimler können, was man bei #VW Nicht kann? https://t.co/ECt64B7oUB</t>
  </si>
  <si>
    <t>Stefan Di Resta</t>
  </si>
  <si>
    <t>Bathgate</t>
  </si>
  <si>
    <t>Custom helmet painter. @DiRdesigns</t>
  </si>
  <si>
    <t>Thomas Bergen</t>
  </si>
  <si>
    <t>Biwi: @biwifuhagen, BBQ: @vateramgrill, IT: @tobe4it; here I am, dad of a son, best friend of my dog, photographer and political interested.</t>
  </si>
  <si>
    <t>⚫ Tampan lestari</t>
  </si>
  <si>
    <t>Mari kita kemana-mana,,,,,hahahahaa #vw #vwindonesia #volkswagen https://t.co/G89SxppUXh</t>
  </si>
  <si>
    <t xml:space="preserve">SangkART </t>
  </si>
  <si>
    <t>Pecinta Seni Dan Otomotif | GADDE TOA KOMBI | FUCK THE PLASTIK,,GET THE CLASSIC | Art scoter makassar | BAJIKI STORE GOWA</t>
  </si>
  <si>
    <t>FanCar Picture - Send me your Scirocco pictures!!! (PM Please) #VW #Volkswagen #Scirocco #Tuning https://t.co/Llcz8yhYEp</t>
  </si>
  <si>
    <t>Ahmet Tosun</t>
  </si>
  <si>
    <t>#dieselgate und Abzug Scheich-Dollars seit 2001 aus USA und UK. #Rothschild holt sich das Geld von Quataris zurück aus dem #VW Abgas-Skandal</t>
  </si>
  <si>
    <t>دولت ابد مدت Devlet-i Ebed-müddet دولت ابدمد</t>
  </si>
  <si>
    <t>New 2016 Volkswagen Jetta 1.8T: 2016 Volkswagen Jetta 1.8T Sport. Color: Platinum Gray; Interi... https://t.co/kPgYQKA5ig #VW #jetta #car</t>
  </si>
  <si>
    <t>RT @moteking25: 今日は新入りのこの子とッ！ お先にお疲れ様ぁ\ ♪♪ /😄✨ #vw #volkswagen #polo #6c #GTI #kw #streetconfort https://t.co/tAETk1K6m3</t>
  </si>
  <si>
    <t>Car Waffle</t>
  </si>
  <si>
    <t>This mind-blowing 740hp #VW Golf R has more power than a #Lamborghini Aventador https://t.co/rlSpfQxgbT https://t.co/5QDbjqN8AT</t>
  </si>
  <si>
    <t>UK - Meet the team ⇩</t>
  </si>
  <si>
    <t>Uber-hot, viral and addictive car news, reviews and trivia. Tweets by @Joseph_Cann</t>
  </si>
  <si>
    <t>Joshua Flores</t>
  </si>
  <si>
    <t>RT @CarWaffle: This mind-blowing 740hp #VW Golf R has more power than a #Lamborghini Aventador https://t.co/rlSpfQxgbT https://t.co/5QDbjqN…</t>
  </si>
  <si>
    <t>DareToBareBride</t>
  </si>
  <si>
    <t>What Wedding car are you having? #wedding #VW #bride #groom #smile #summer #happy https://t.co/pHAb3AVYAu</t>
  </si>
  <si>
    <t>Saffron Walden, England</t>
  </si>
  <si>
    <t>Blogging sarcastic, controversial Wedding musings while in my Pyjamas!!! Blog launch autumn 2015 info@daretobarebride.co.uk</t>
  </si>
  <si>
    <t>Patrick Viva</t>
  </si>
  <si>
    <t>@alainveuve @JochenWeiland #Dobrindt und #Gabriel werden schon schauen, dass dies in #deutschland nicht vorgeschrieben wird. #dieselgate #vw</t>
  </si>
  <si>
    <t>Zürich, Switzerland</t>
  </si>
  <si>
    <t>Elektromobilität, alternative Energien, unsere Erde, Mensch; sei dir bewusst, du kannst denken und handeln...</t>
  </si>
  <si>
    <t>godwolf</t>
  </si>
  <si>
    <t>Weyland Consortium</t>
  </si>
  <si>
    <t>天鳳八段 映画/格/引き/atheism/上品で損した/201X/drst</t>
  </si>
  <si>
    <t>Tyrone Taylor</t>
  </si>
  <si>
    <t>Tampa Bay</t>
  </si>
  <si>
    <t>opinionated single Dad, ready to make 2016 the year I make it happen</t>
  </si>
  <si>
    <t>Pok</t>
  </si>
  <si>
    <t>Osaka, Japan</t>
  </si>
  <si>
    <t>7144界隈をトラックで駆け抜けるゲーム配信者。サークルBanshee SOFTWAREでレベルデザインとかマップデザインとかそういうのやっているらしい。あと、新居昭乃さんを20年くらい追いかけています。川井さんや今宮さん、米家さんを呼び捨てにする人はお断りします。 http://t.co/wW3P72DfXL</t>
  </si>
  <si>
    <t>https://t.co/b4mDKkAMgT - #powysleisure #vwtransportersales #bebbproducts #vw #volkswagen… https://t.co/rEzle2JCe7 https://t.co/v8ecxfwRpE</t>
  </si>
  <si>
    <t>Lenda em casa, 1973! #vintagecarbr #oldcar #volkswagen #vocho #vw #fusca #opala #soreliquia #beetle #kombi #parts #… https://t.co/ynNKhbCZzE</t>
  </si>
  <si>
    <t>Mot time #mk1 #mk1golf #g60 #vw #gti #bbs #bbsmotorsport #pvw by mk1steve https://t.co/LjDCWNdJVz</t>
  </si>
  <si>
    <t>RT @oldcar_photo: Lenda em casa, 1973! #vintagecarbr #oldcar #volkswagen #vocho #vw #fusca #opala #soreliquia #beetle #kombi #parts #… http…</t>
  </si>
  <si>
    <t>eBay: VW T5 2004 2.5TDI 174BHP 4Berth CAMPER… https://t.co/pKtuw4jmOY #vwcamper #vwbus #vw https://t.co/ZEadscsjBy https://t.co/9sKWIobCED</t>
  </si>
  <si>
    <t>@CarKeys_UK Would have one *exactly* in that small-bumper, steel wheel, spec. In fact, there’s one in my dream garage just the same. #VW</t>
  </si>
  <si>
    <t>TheLifestyleNetwork</t>
  </si>
  <si>
    <t>It's a #VW #beach #beauty from @volkswagen #beetle #1968 #gorgeous #cars #Dubai #carinstag… https://t.co/7LbitLkZlA https://t.co/E8CXQiSiBE</t>
  </si>
  <si>
    <t>Editor in Chief, Millionaire Group Magazine. Love Cars, Yachts, Art, Fashion, Aviation, Travel, Spas + Literature @Shereen_Shabnam</t>
  </si>
  <si>
    <t>✴lissie</t>
  </si>
  <si>
    <t xml:space="preserve">    ✈✈✈</t>
  </si>
  <si>
    <t>ONLY MUSIC..!! ✴</t>
  </si>
  <si>
    <t>Max Murr</t>
  </si>
  <si>
    <t>@SPIEGELONLINE #VW Passt. #Wolfsburg-Gründer #Hitler-KdF-Warze, Arierin und der Nazi-Rußwolf, der die Juden verbiss. https://t.co/TbRBX64F3U</t>
  </si>
  <si>
    <t>Die Verarschung der Bevölkerung findet auf dem jeweils aktuellen Stand der Wissenschaft statt. ØØØWer mich in Listen aufnimmt, wird unmittelbar geblockt.ØØØ</t>
  </si>
  <si>
    <t>THERESA JAYNE STACKP</t>
  </si>
  <si>
    <t>Carlisle, England</t>
  </si>
  <si>
    <t>COMPETITIONS, FREEBIES, MUSIC, FILMS, LOVE MY CHILD AND ANIMALS ESPEICALLY SPRINGERS, PANDA'S, KOALA'S, SNOW LEOPARD'S Xx</t>
  </si>
  <si>
    <t>@ComfortCover This months #competition has launched! Head over to our Facebook to enter: https://t.co/mmScOny1JA … #Prize #Win #VW</t>
  </si>
  <si>
    <t>21ffx</t>
  </si>
  <si>
    <t>East Region, Singapore</t>
  </si>
  <si>
    <t>I gave you things I didn't know I had until I didn't get them back when you left.</t>
  </si>
  <si>
    <t>tazo157</t>
  </si>
  <si>
    <t>Twitter Retweet test</t>
  </si>
  <si>
    <t>VPower Consulting</t>
  </si>
  <si>
    <t>#dieselgate Inquinamento, il governo tedesco "richiama" 630mila auto. #VW va in rosso https://t.co/Ast2quPxBT via @repubblicait</t>
  </si>
  <si>
    <t>Automotive &amp; Motorcycle Corner consulting | ideas | solutions</t>
  </si>
  <si>
    <t>marco</t>
  </si>
  <si>
    <t>twicca</t>
  </si>
  <si>
    <t>Freiburg im Breisgau / Germany</t>
  </si>
  <si>
    <t>Penguin, Pirate, Journeyman, Metalhead, (Live)Roleplayer</t>
  </si>
  <si>
    <t>Sam B</t>
  </si>
  <si>
    <t>QueueStreamerApp</t>
  </si>
  <si>
    <t>Traveller - Technology Lover - Writer -Editor - Coach - Dog Waterer</t>
  </si>
  <si>
    <t>From Vrancea, with love, &lt;3 . #vw https://t.co/nWKmBHn8gN</t>
  </si>
  <si>
    <t>Automotive ML</t>
  </si>
  <si>
    <t>Emission Scandal: Volkswagen Decided to Buy Back 5 Lakh Diesel Cars --https://t.co/wGmmXaX92X #VW #emissionscandal https://t.co/nba3RPsWxG</t>
  </si>
  <si>
    <t>Automotive Manufacturers Private Limited was incorporated in the year 1948. Main dealers of Leyland Motors, Mahindra &amp; Mahindra, Maruti Suzuki, Kobelco.</t>
  </si>
  <si>
    <t>Automotive</t>
  </si>
  <si>
    <t>Emission Scandal: Volkswagen Decided to Buy Back 5 Lakh Diesel Cars --https://t.co/Kpvn5nI8sl #VW #emissionscandal https://t.co/McECvRGKMp</t>
  </si>
  <si>
    <t>Hyderabad, India</t>
  </si>
  <si>
    <t>Russ Wynn-Smith</t>
  </si>
  <si>
    <t>At @MTBMeetupUK at @OPALlandegla Awesome weather, awesome views high on the trails, gotta love Wales! #MTB #Wales #unfit #cube #VW #T4</t>
  </si>
  <si>
    <t>Worcestershire</t>
  </si>
  <si>
    <t>Walking, Hiking, Biking, Travel, Memories, Life. Just a few of the things that make me tick.</t>
  </si>
  <si>
    <t>#ActOnClimate</t>
  </si>
  <si>
    <t>#EarthDay</t>
  </si>
  <si>
    <t>#Biodiversity #Conservation #CleanEnergy #KeepItInTheGround #ActOnClimate #COP21 #Renewables #Sustainability #AirPollution #EnvironmentalHealth #EarthDay</t>
  </si>
  <si>
    <t>Dylan Evangelista</t>
  </si>
  <si>
    <t>@DLFNachrichten-.Aussitzn statt Aufklärn #dieselgate? #VW-Coup: NiX 30%-Verzicht https://t.co/WqRuHOWFRS @DLF_Umwelt https://t.co/F4xAZa0dgf</t>
  </si>
  <si>
    <t>Weni Widiwici</t>
  </si>
  <si>
    <t>Tweetium for Windows</t>
  </si>
  <si>
    <t>Hamburg, Hamburg</t>
  </si>
  <si>
    <t>Schatten leben nur im Licht. bortaS bIr jablu'DI' reH QaQqu' nay' Retweets ≠ Endorsement</t>
  </si>
  <si>
    <t>FellianTheDragon</t>
  </si>
  <si>
    <t>Wouldn't you like to know</t>
  </si>
  <si>
    <t>Fellian the dragon here. No idea why XD Likes cars, video games, drawing, writing stories, and would like to dress up as a dragon one day</t>
  </si>
  <si>
    <t>chaffiotte</t>
  </si>
  <si>
    <t>Kill the #cars you #love the most https://t.co/kktgaKv7fS via @verge #mini #combi #vw #bmw #triumph #mg #volvo #alfaromeo #alpine</t>
  </si>
  <si>
    <t>paris</t>
  </si>
  <si>
    <t>ceo of JWT Paris/ I love the social media revolution and I want to be part of it : vive la revolution !!!/master class in hyper island /runner &amp; biker</t>
  </si>
  <si>
    <t>eBay: VW T2 Bay Window Camper Van https://t.co/EbC7MEOmdu #vwcamper #vwbus #vw https://t.co/ZEadscsjBy https://t.co/wHzS9F6iQW</t>
  </si>
  <si>
    <t>Rik Freeman Photos</t>
  </si>
  <si>
    <t>And getting back to #gleaming. 1 #claycloth 1 Ton of water and a smile = #happydays. #vw… https://t.co/yluiR87eN8</t>
  </si>
  <si>
    <t>Dudley, West Midlands</t>
  </si>
  <si>
    <t>Strong &amp; opinionated coffee addict, I say it as it is, if u don't like it or can't handle the truth..do one!!! My Greek quest continues no matter what. :-)</t>
  </si>
  <si>
    <t>Denis Czekalla</t>
  </si>
  <si>
    <t>"In Deutschland ham ma Luschen" #Dieselgate #VW #Daimler https://t.co/2iXUGzI2Ec</t>
  </si>
  <si>
    <t>Cologne, Germany</t>
  </si>
  <si>
    <t>Coffee, Cologne and connected things. Consultant at Palmer Hargreaves (@PH_GER) - Go ahead, make my day.</t>
  </si>
  <si>
    <t>chlorophyllosoph</t>
  </si>
  <si>
    <t>17 Grad Celsius sind "niedrige Temperaturen"? Das fasst man doch alles nicht mehr. #dieselgate #dobrindt #vw #porsche #audi #opel #daimler</t>
  </si>
  <si>
    <t>Lower Saxony</t>
  </si>
  <si>
    <t>Wenn ich mich vorstelle, sehen Sie doch nichts mehr.</t>
  </si>
  <si>
    <t>EffizienzProgramm: Bürokratie wird bei #VW nachhaltig reduziert. Mehr Infos hier: https://t.co/8fNiuokXHl https://t.co/N8cGAjosQQ</t>
  </si>
  <si>
    <t>Nalaďte se o víkendu na tu správnou vlnu. #VW #Volkswagen #Polo https://t.co/jAjxMO3Gjx</t>
  </si>
  <si>
    <t>#VW hat aus seinen kriminellen Umtrieben mit Lopez wohl nichts gelernt. https://t.co/8CqP3dxsYQ #dieselgate</t>
  </si>
  <si>
    <t>Kbear</t>
  </si>
  <si>
    <t>#pentaxk50 #sigma18_35art #vw #scirocco 泥っこさん洗車しました。 明日は雨降るかもね。 https://t.co/RXPI3DfVRw</t>
  </si>
  <si>
    <t>諸行無常 NO REASON STAY FREE Pentax K50 + DA50mm https://t.co/BLClAn5xxj やりたい事をやりたい時にやる。 小さな一歩を踏み出す勇気。</t>
  </si>
  <si>
    <t>#VW Golf Transport Pack now includes bicycle carrier &amp; roof bars! Massive £88 saving on bundle! https://t.co/4biLcOGQIJ</t>
  </si>
  <si>
    <t>#VW Golf Transport Pack now includes bicycle carrier &amp; roof bars! Massive £88 saving on bundle! https://t.co/B70M7U9bJn</t>
  </si>
  <si>
    <t>VW T2 Bay Window Camper Van: £12,000.00 (0 Bids)End Date: Saturday Apr-30-2016 8:53:52 BSTBid now | Add t... https://t.co/9HouO3Rd4m #vw</t>
  </si>
  <si>
    <t>Can't afford a #VW #Golf R? The sporty new Golf R-line could be up your street https://t.co/viTjhVWAS8 @UKVolkswagen https://t.co/9NwVMC7ndL</t>
  </si>
  <si>
    <t>RT @crewevw: #VW Golf Transport Pack now includes bicycle carrier &amp; roof bars! Massive £88 saving on bundle! https://t.co/4biLcOGQIJ</t>
  </si>
  <si>
    <t>RT @swanswaygroup: #VW Golf Transport Pack now includes bicycle carrier &amp; roof bars! Massive £88 saving on bundle! https://t.co/B70M7U9bJn</t>
  </si>
  <si>
    <t>Check out our #VW Golf GTD! Fancy yourself a test drive? Register your interest! https://t.co/qxXvpy3wDJ https://t.co/9ym2zSRKZo</t>
  </si>
  <si>
    <t>Rochdale Honda</t>
  </si>
  <si>
    <t>Check out our #VW Golf GTD! Fancy yourself a test drive? Register your interest! https://t.co/UQ9IAquJoB https://t.co/SjH4WlcjLz</t>
  </si>
  <si>
    <t>Rochdale, Manchester</t>
  </si>
  <si>
    <t>Rochdale Honda are a family owned and family-run business who love Honda! Offering first class #CustomerService and a huge range of new and used Hondas.</t>
  </si>
  <si>
    <t>Some Golf #dedicatedshoutout #dubshed #vag #vagscene #volkswagen #volkswagengolf #vw #vwg… https://t.co/9zAVbQWudQ https://t.co/UEWxVquxkb</t>
  </si>
  <si>
    <t>Abhishek Bhadra</t>
  </si>
  <si>
    <t>Bangalore</t>
  </si>
  <si>
    <t>A consultant by profession. Mostly Harmless</t>
  </si>
  <si>
    <t>eBay: T4 Vw Camper Swb 1.9 Day Van https://t.co/cNErvLyj1a #vwcamper #vwbus #vw https://t.co/ZEadscsjBy https://t.co/bEFeXumLWS</t>
  </si>
  <si>
    <t>Garage 777</t>
  </si>
  <si>
    <t>What Do the VW Group Think About 500,000 Affected Cars #VW #Group #Affected_Cars https://t.co/DIMzP3w0fc</t>
  </si>
  <si>
    <t>London United Kingdom</t>
  </si>
  <si>
    <t>Garage777 offers solutions to engine problems at the cheapest possible costs. All kind of engines are available &amp; ready to be shipped, fitted in your car.</t>
  </si>
  <si>
    <t>Die Milliarden-Rückstellung ist erst der Anfang - Eine Liste mit 7 Baustellen, auf denen #VW noch viel Arbeit bleibt https://t.co/Tn4dKzv0H7</t>
  </si>
  <si>
    <t>aus "das Auto" ist jetzt Partner fürs Leben geworden: Uns gehts gut, wenn ihr unseren Schrott schön weiter kauft #VW https://t.co/9GNWxIj6OG</t>
  </si>
  <si>
    <t>Abzug Scheich-Dollars seit 2001 aus USA/UK und #dieselgate. Die #Rothschilds holen sich Geld von Quataris aus dem #VW Abgas-Skandal zurück</t>
  </si>
  <si>
    <t>RT @swanswaygroup: Check out our #VW Golf GTD! Fancy yourself a test drive? Register your interest! https://t.co/qxXvpy3wDJ https://t.co/9y…</t>
  </si>
  <si>
    <t>Derek ^.^</t>
  </si>
  <si>
    <t>Stunning weather 👌🏻🚘 #volkswagen #volkswagengolf #mk5golf #gti #cars #vw #beach #sun #sunny… https://t.co/PDc9QkiUab</t>
  </si>
  <si>
    <t>Northern Ireland UK</t>
  </si>
  <si>
    <t>Hey i'm Derek :) I love @bronaghgoesrawr 3</t>
  </si>
  <si>
    <t>SolarPolis</t>
  </si>
  <si>
    <t>Vor 30 Jahren schaltete #AEG im #GEO Heft eine ganzseitige Anzeige mit #Solartankstelle und effizientem #Elektroauto. 2016 Abgasskandal #VW</t>
  </si>
  <si>
    <t>solarpolis media service. Stadtführungen zum Thema Mobilität, Energiewende. Das Solare Regierungsviertel in Berlin. Zu Fuß und per Solarschiff auf der Spree.</t>
  </si>
  <si>
    <t>eBay: VOLKSWAGEN BEETLE 2.0 LITRE 2001 RE… https://t.co/jajDFC1x7w #vwbeetle #vwbug #vw https://t.co/xvfL74PTgl https://t.co/zjViSRkH3F</t>
  </si>
  <si>
    <t>Love Thurles</t>
  </si>
  <si>
    <t>‘Jumpstart’ event returns for classic VW enthusiasts @thecottagelmore today https://t.co/P78u7NrvvZ #Tipperary #VW https://t.co/m6IjZT8NUR</t>
  </si>
  <si>
    <t>North Tipperary, Ireland</t>
  </si>
  <si>
    <t>Thurles is a Rural Town in the heart of Tipperary with a rich Historical, Sporting, Farming &amp; Cultural Heritage https://t.co/9Y0nS5AOgb #Ireland #Thurles</t>
  </si>
  <si>
    <t>Gonza Baliña</t>
  </si>
  <si>
    <t>Volvimos mejor que nunca #Ready #Voyage #VW 💪👍😍 https://t.co/2Q2umuxRcK</t>
  </si>
  <si>
    <t>Los limites solo estan en la mente...</t>
  </si>
  <si>
    <t>minnie melville</t>
  </si>
  <si>
    <t>instagram - minniemelville *cars, bikes etc*</t>
  </si>
  <si>
    <t>Die Grundwerte von #VW scheinen Werksspionage und Betrug zu sein. In Deutschland genau richtig. https://t.co/kuaik2Pbos #dieselgate</t>
  </si>
  <si>
    <t>arno paulus</t>
  </si>
  <si>
    <t>Damals schon Teil des #Mercedes Konzerns m. Edzard Reuter. Gute Leute leider nur in der zweiten Reihe, auch bei #VW https://t.co/j7U0IKt8jI</t>
  </si>
  <si>
    <t>#Behutsame Stadterneuerung, Partizipation. Nichtarbeit &amp; prekäre Arbeit. Berlins Wandel von der #Elektropolis zur #Solarpolis. #Mobilität &amp; #Entschleunigung</t>
  </si>
  <si>
    <t>VW Polo R WRC #vw #volkswagen #polo #rwrc #wrc #nurburgring #nordschleife #amazingcars247 #becauseracecar #cargram … https://t.co/aTje1R4Z8L</t>
  </si>
  <si>
    <t>Can't have too much chrome! Follow: @vwlife__ @vwlife__ @vwlife__ @vwlife__ #vw #volks #volkswagen #vwlife #vwl… https://t.co/5gwfHZW0jm</t>
  </si>
  <si>
    <t>Tbh when your car looks like this nothing else in the world even matters.. 😍🌸👍 #vw #mk1convertible #mk1golf by dowl… https://t.co/ujyaWs5ZvL</t>
  </si>
  <si>
    <t>eBay: 2002 VOLKSWAGEN TRANSPORTER T4 2.5 TDI… https://t.co/Xuuv89c7YI #vwcamper #vwbus #vw https://t.co/ZEadscsjBy https://t.co/pN1oKlnKGU</t>
  </si>
  <si>
    <t>eBay: vw t25 camper https://t.co/FMIbUsvZQx #vwcamper #vwbus #vw https://t.co/ZEadscsjBy https://t.co/8S0hGCefwJ</t>
  </si>
  <si>
    <t>Marcus Frei</t>
  </si>
  <si>
    <t>Trickser und Abgreifer #VW Vernichten Jobs und Geld der Aktionäre und den Ruf der deutschen A-Industrie. Gute Arbeit https://t.co/DjxWSMHQBg</t>
  </si>
  <si>
    <t>Volkswagen Polo R WRC en Tigre. #volkswagen #polor #polorwrc #wrc #racecar #instacar #rallycar #vw #argentina #tig… https://t.co/5DaTlfqVsW</t>
  </si>
  <si>
    <t>RT @Banane0711: Die Grundwerte von #VW scheinen Werksspionage und Betrug zu sein. In Deutschland genau richtig. https://t.co/kuaik2Pbos #di…</t>
  </si>
  <si>
    <t>The CottageLoughmore</t>
  </si>
  <si>
    <t>RT @ThurlesTown: ‘Jumpstart’ event returns for classic VW enthusiasts @thecottagelmore today https://t.co/P78u7NrvvZ #Tipperary #VW https:/…</t>
  </si>
  <si>
    <t>Loughmore, Co. Tipperary</t>
  </si>
  <si>
    <t>Community Co-operative Shop and Tearooms, in the heart of Co. Tipperary. Winner of Irish Times best Cafe/ Teashop 2014. Open 7 days. @MaeveOHair @maryfogarty_</t>
  </si>
  <si>
    <t>David Decou</t>
  </si>
  <si>
    <t>@VW #TDI Owners have endured 6 months &amp; no details of fix. #VW should #buyback my #dieselgate 2014 #Jetta; #BuyBackMyTDI</t>
  </si>
  <si>
    <t>Lafayette, LA</t>
  </si>
  <si>
    <t>Retired from US Air Force. Trying to discover a second challenging career.</t>
  </si>
  <si>
    <t>John Pinkney</t>
  </si>
  <si>
    <t>#MK4 #Jetta #VW #Burnallthemk4s #Boost #YTownDubs #APR #GoAPR https://t.co/1wL5hgE0h8</t>
  </si>
  <si>
    <t>Yarmouth, Nova Scotia</t>
  </si>
  <si>
    <t>Volkswagen Press Conference Auto China 2016 - https://t.co/Ltj0ZMNiNa #PaulMiller #VW @paulmillervw</t>
  </si>
  <si>
    <t>Paul Keleher</t>
  </si>
  <si>
    <t>Finishing of the @LesNoyse #dynamat instal 👍🏼 this stuff is incredible. @JustKampers #vw #t5 https://t.co/J90ZK5tAOM</t>
  </si>
  <si>
    <t>Performance Coach, Climber, MTN Biker &amp; Road Cyclist. Inspired to explore &amp; push his limits on vertical faces, singletrack &amp; tarmac around the world.</t>
  </si>
  <si>
    <t>FanCar Picture - Send me your Scirocco pictures!!! (PM Please) #VW #Volkswagen #Scirocco #Tuning https://t.co/8MMSqKWTgv</t>
  </si>
  <si>
    <t>Francene Lawler</t>
  </si>
  <si>
    <t>My Mum is a Lady who doesn't like conflict,nor my Brother! I am their voice for this Disgusting Coverup to the Publics Safety and lives!</t>
  </si>
  <si>
    <t>RT @PaulMillerAG: Volkswagen Press Conference Auto China 2016 - https://t.co/Ltj0ZMNiNa #PaulMiller #VW @paulmillervw</t>
  </si>
  <si>
    <t>Maxi Marquez♧</t>
  </si>
  <si>
    <t>Nos vimos #Rally #VW #WRC https://t.co/tbieZlWowZ</t>
  </si>
  <si>
    <t>Cordoba, Argentina</t>
  </si>
  <si>
    <t>Futuro Técnico en Turismo y Guia Turistico Snap: franmax824</t>
  </si>
  <si>
    <t>Only Hypercars</t>
  </si>
  <si>
    <t>💎BULLET ------- #sobecars #audi #VW #MercedesBenz #stormtrooper #Insanevwgolfrvideos #R #BisforBuild #RS #carsofins… https://t.co/1o6TGXCOUN</t>
  </si>
  <si>
    <t>24/7 Hypercar Pics</t>
  </si>
  <si>
    <t>Jonathan Ryan</t>
  </si>
  <si>
    <t>Clonmel</t>
  </si>
  <si>
    <t>Photographer &amp; Ex-Radio Presenter ex Firefighter &amp; owner of https://t.co/J5Eqes3Pay https://t.co/3fMm66RE6K</t>
  </si>
  <si>
    <t>BI Neckartor</t>
  </si>
  <si>
    <t>RT @NetzwerkggS21: #AbgasSkandal bei #Daimler: Nach #VW fliegt #Mercedes-#Benz auf https://t.co/pQv5Z2JcQB #dieselgate https://t.co/hNoNDbc…</t>
  </si>
  <si>
    <t>Wir sind die Bürgerinitiative Neckartor</t>
  </si>
  <si>
    <t>Rebecca Nutt</t>
  </si>
  <si>
    <t>RT @HurstView1: Just 48 days until our Dubfest and it's starting to get exciting!! https://t.co/LY7mq52qVO #dubfest #lymington #vw https:/…</t>
  </si>
  <si>
    <t>23 | Dancer | Travel Blogger | South Coast ✈️</t>
  </si>
  <si>
    <t>Liesel Müller</t>
  </si>
  <si>
    <t>An der Ruhr</t>
  </si>
  <si>
    <t>♡ auf der Zunge, Fuß auf dem Gaspedal ☆ Tier- und Menschenfreundin ☆ Nicht➡, nicht ⬅, ich denke selber ☆</t>
  </si>
  <si>
    <t>Fábio Yukio 末次幸男</t>
  </si>
  <si>
    <t>Algumas coisas não vemos todos os dias... #volkswagen #vw #kombi #transporter #t2 #bus #vwbus… https://t.co/Gl7Ves2Chx</t>
  </si>
  <si>
    <t>サンパウロ</t>
  </si>
  <si>
    <t>工務委員、サンパウロ在住。写真をとる、食べ歩きのが好き。友達と話したい。</t>
  </si>
  <si>
    <t>#VW Fender Before/After https://t.co/qn8MEMzymm #Atlanta #Dent #Hail 7709795356 https://t.co/qJ3TAhkceN</t>
  </si>
  <si>
    <t>Luitger Hübel</t>
  </si>
  <si>
    <t>Ludwigsburg nr Stuttgart</t>
  </si>
  <si>
    <t>Rheinländer im Exil - Bilanzbuchhalter/Industriekfm./Elektroinstallateur in einer Person - Mitglied der Piratenpartei seit 02/2011 Wiki-User HAL2010</t>
  </si>
  <si>
    <t>V0SV0S</t>
  </si>
  <si>
    <t>(Ò\!/Ó) #vosvos #oldbeetle #vosvossevdasi #vosvosaşkı #bug #vosvosteam #vosvosturkiye #volkswagen #vw #vwlove #käfer https://t.co/B5sLvepVFM</t>
  </si>
  <si>
    <t>World</t>
  </si>
  <si>
    <t>(Ò\!/Ó) #vosvos #oldbeetle #vosvossevdasi #vosvosaşkı #bug #vosvosteam #vosvosturkiye #volkswagen #vw #vwlove #käfer https://t.co/8cc2XAlbq4</t>
  </si>
  <si>
    <t>Calum Webster</t>
  </si>
  <si>
    <t>#Peugeot shares dropped c4.5% after French anti-fraud investigators raided offices in Paris - investigation linked to #VW emissions scandal</t>
  </si>
  <si>
    <t>Father, consultant, volunteer, mentor and confidant. Supporting SDGs 3, 8,10 and 17</t>
  </si>
  <si>
    <t>(Ò\!/Ó) #vosvos #oldbeetle #vosvossevdasi #vosvosaşkı #bug #vosvosteam #vosvosturkiye #volkswagen #vw #vwlove #käfer https://t.co/mafQxKaf0b</t>
  </si>
  <si>
    <t>RT @voosvoos: (Ò\!/Ó) #vosvos #oldbeetle #vosvossevdasi #vosvosaşkı #bug #vosvosteam #vosvosturkiye #volkswagen #vw #vwlove #käfer https://…</t>
  </si>
  <si>
    <t>(Ò\!/Ó) #vosvos #oldbeetle #vosvossevdasi #vosvosaşkı #bug #vosvosteam #vosvosturkiye #volkswagen #vw #vwlove #käfer https://t.co/3ozLHHm4ko</t>
  </si>
  <si>
    <t>(Ò\!/Ó) #vosvos #oldbeetle #vosvossevdasi #vosvosaşkı #bug #vosvosteam #vosvosturkiye #volkswagen #vw #vwlove #käfer https://t.co/GNEwDQZpqZ</t>
  </si>
  <si>
    <t>(Ò\!/Ó) #vosvos #oldbeetle #vosvossevdasi #vosvosaşkı #bug #vosvosteam #vosvosturkiye #volkswagen #vw #vwlove #käfer https://t.co/oT70sbD1ih</t>
  </si>
  <si>
    <t>(Ò\!/Ó) #vosvos #oldbeetle #vosvossevdasi #vosvosaşkı #bug #vosvosteam #vosvosturkiye #volkswagen #vw #vwlove #käfer https://t.co/ixhXbL1M6n</t>
  </si>
  <si>
    <t>Quick belt change in VW T5 1.9 #vw #T5 #belt #workshop #cornwall #kernow https://t.co/0JCO7nS72e</t>
  </si>
  <si>
    <t>Zoomit</t>
  </si>
  <si>
    <t>فولکس واگن ۵۰۰ هزار خودروی دیزلی را بازخرید می‌ کند https://t.co/mpGS2kasSE #vw # https://t.co/G0Gs7DvADV</t>
  </si>
  <si>
    <t>Iran</t>
  </si>
  <si>
    <t>زومیت | دنیای فناوری</t>
  </si>
  <si>
    <t>EMİNE OĞUZBEY</t>
  </si>
  <si>
    <t>Indian Autos Blog</t>
  </si>
  <si>
    <t>#VW #Polo #AllStar spied ahead of its Indian launch https://t.co/pP2hRQCbH6 https://t.co/5EPfWN4q1I</t>
  </si>
  <si>
    <t>Aspiring to be the world's best provider of auto news, spyshots, renderings &amp; scoops. Follow us and don't miss another update on your favorite car!</t>
  </si>
  <si>
    <t>(Ò\!/Ó) #vosvos #oldbeetle #vosvossevdasi #vosvosaşkı #bug #vosvosteam #vosvosturkiye #volkswagen #vw #vwlove #käfer https://t.co/DhRVfRONsp</t>
  </si>
  <si>
    <t>Yunus Emre Karaman</t>
  </si>
  <si>
    <t>(Ò\!/Ó) #vosvos #oldbeetle #vosvossevdasi #vosvosaşkı #bug #vosvosteam #vosvosturkiye #volkswagen #vw #vwlove #käfer https://t.co/Vw71sGa0Ye</t>
  </si>
  <si>
    <t>yãrdan geçilmez.</t>
  </si>
  <si>
    <t>Michel Faas</t>
  </si>
  <si>
    <t>Split versus Split #vw #man #volkswagen #aircooled #aircooledvw #bus #t1 #vwbus #funny #iloveit… https://t.co/dZ8876Nnwn</t>
  </si>
  <si>
    <t>Zandvoort</t>
  </si>
  <si>
    <t>RT @yunusemrkaraman: (Ò\!/Ó) #vosvos #oldbeetle #vosvossevdasi #vosvosaşkı #bug #vosvosteam #vosvosturkiye #volkswagen #vw #vwlove #käfer h…</t>
  </si>
  <si>
    <t>Matt Downs@TCHauto</t>
  </si>
  <si>
    <t>Jordan station, Ontario</t>
  </si>
  <si>
    <t>Helping people like YOU get the vehicle you need at the price you can afford! Good credit , Bad credit , New to country ? We have you covered!</t>
  </si>
  <si>
    <t>RT @Elitet5: Quick belt change in VW T5 1.9 #vw #T5 #belt #workshop #cornwall #kernow https://t.co/0JCO7nS72e</t>
  </si>
  <si>
    <t>EXVTRA.CO.UK</t>
  </si>
  <si>
    <t>UK's Fastest Growing Automotive Classified Website-Helping People to Buy &amp; Sell Cars, Bikes &amp; Other Motorised Vehicles. For Free Trials email info@exvtra.co.uk</t>
  </si>
  <si>
    <t>ShereenShabnam</t>
  </si>
  <si>
    <t>RT @LuxuryLivng: It's a #VW #beach #beauty from @volkswagen #beetle #1968 #gorgeous #cars #Dubai #carinstag… https://t.co/7LbitLkZlA https:…</t>
  </si>
  <si>
    <t>UAE, Fiji Islands, Spain</t>
  </si>
  <si>
    <t>Fijian globalista in Dubai- Writer/PR Specialist/Editor. B.A MassComm (PR), B.A Human Sc, M.A World Literature. Love Cars, Planes, Yachts, Art, Film, science</t>
  </si>
  <si>
    <t>AllAboutWheels</t>
  </si>
  <si>
    <t>Dubai, UAE</t>
  </si>
  <si>
    <t>Without wheels, life is meaningless</t>
  </si>
  <si>
    <t>Emma ✨</t>
  </si>
  <si>
    <t>#awesome Erster Dienst am neuen NEF :D #new #nef #roteskreuz #scheibbs #first #workday #paramedic #emergencydoctor #awesome #vw #pas...</t>
  </si>
  <si>
    <t>✨ Sharing the world's Hottest #Instagram moments instantly ✨ #FollowMe</t>
  </si>
  <si>
    <t>Manfred R. Elsner</t>
  </si>
  <si>
    <t>RT @GermanIOD: "#VW #Aufsichtsrat will Boni-Streit lösen" https://t.co/3ghh2LrJxN "Will"? - Moderation gehört zu den Aufgaben. Danke @stern…</t>
  </si>
  <si>
    <t xml:space="preserve">Frankfurt am Main </t>
  </si>
  <si>
    <t>Geschäftsführer von Main-Neckar-CapitalGroup GmbH. Corporate Finance und M&amp;A Beratung. Bankunabhängige Finanzierungen. Übernahme von Aufsichtsratsmandaten.</t>
  </si>
  <si>
    <t>Brief an Belegschaft: Konzernchef #Müller informiert über Schieflage von #VW https://t.co/WPWqQ5oaip</t>
  </si>
  <si>
    <t>Dandii</t>
  </si>
  <si>
    <t>Freiheit ist keine Randnotiz #Gamer #Pirat #Familienvater #Schreiner Wer nichts zu verbergen hat, lebt nicht.</t>
  </si>
  <si>
    <t>CBS Detroit</t>
  </si>
  <si>
    <t>Bad Week For German Automakers: Huge Costs, New Probe #VW #Daimler https://t.co/I5DkQs2MG2</t>
  </si>
  <si>
    <t>CBS 62, WWJ Newsradio 950 and 97.1 The Ticket have teamed up to bring you local news, weather, traffic, sports and the best of Detroit.</t>
  </si>
  <si>
    <t>WWJ950</t>
  </si>
  <si>
    <t>Bad Week For German Automakers: Huge Costs, New Probe #VW #Daimler https://t.co/9EqHXdhqyz</t>
  </si>
  <si>
    <t>Michigan's only all news radio station, and your home for traffic and weather on the 8s, 24 hours-a-day.</t>
  </si>
  <si>
    <t>BUSE</t>
  </si>
  <si>
    <t>DÜZCE</t>
  </si>
  <si>
    <t>Her insan zamanın içinde sürüklenen birer yolcudur.Ve bir oyundur aslında yaşadığımız hayat.Bu oyunda galip gelen ise mükafatı ahirette alır.....</t>
  </si>
  <si>
    <t>weather</t>
  </si>
  <si>
    <t>IG: https://t.co/74z2l4c0Ti "#carporn #vw #corrado #storm #2.9vr6 #classic" ~christyopryce</t>
  </si>
  <si>
    <t>gotta get your weather</t>
  </si>
  <si>
    <t>shochi</t>
  </si>
  <si>
    <t>Ausstellung "Wolfsburg Unlimited": Eine Stadt im Kunst-Spiegel #DtGeschichte #VW https://t.co/uir0URjxSP</t>
  </si>
  <si>
    <t>Hamborch, ab &amp; zu Tokio</t>
  </si>
  <si>
    <t>◆Private mode◆ Opera/metal/jazz Goldfish Slowfood HSV. Mbr in NABU &amp; Society of Hamburg History, K.F.Vogt-fan, epicurean. +1= agree, protected accounts denied</t>
  </si>
  <si>
    <t>asrhsn</t>
  </si>
  <si>
    <t>TheKingsHeadBistro</t>
  </si>
  <si>
    <t>The Chowda Bus hits the road for Kinsale #AllIrelandChowder #Galway #vw #WildAtlanticWay @Goodfoodcircle https://t.co/aisoOysNKa</t>
  </si>
  <si>
    <t>15 High St. Galway</t>
  </si>
  <si>
    <t>Medieval Pub steeped in History, with Live Music, Cocktails Irish Whiskey Bar, Bar Food &amp; newly opened Bistro, in the Heart of Galway City</t>
  </si>
  <si>
    <t>RT @RochdaleHonda: Check out our #VW Golf GTD! Fancy yourself a test drive? Register your interest! https://t.co/UQ9IAquJoB https://t.co/Sj…</t>
  </si>
  <si>
    <t>Mark Maher</t>
  </si>
  <si>
    <t>Tipperary</t>
  </si>
  <si>
    <t>Twitch G.</t>
  </si>
  <si>
    <t>Olmito, tx</t>
  </si>
  <si>
    <t>Michael Draeger</t>
  </si>
  <si>
    <t>Die #VW-Vorstände sollten wegen des Abgasskandals auf Boni verzichten. Am Ende haben sie vielleicht sogar mehr: https://t.co/FdqLizaHDO</t>
  </si>
  <si>
    <t>Macht: #Nachrichten @ndr @njoyde @ndr2 + #Hörspiel in der Schule | Überraschung: privater Account | Instagram/Snapchat: m_draeger | #WhiskyPodcast</t>
  </si>
  <si>
    <t>Grazyna Gintner</t>
  </si>
  <si>
    <t xml:space="preserve">Hannover </t>
  </si>
  <si>
    <t>Nichts Menschliches ist mir fremd. Fremd ist allerdings der Fremde nur in der Fremde. Und das Gute in der Ferne http://t.co/85HU2NIXP3</t>
  </si>
  <si>
    <t>I Retweet Cars</t>
  </si>
  <si>
    <t>RT @OnlyHypercar: 💎BULLET ------- #sobecars #audi #VW #MercedesBenz #stormtrooper #Insanevwgolfrvideos #R #BisforBuild #RS #carsofins… http…</t>
  </si>
  <si>
    <t>Amsterdam, Netherlands</t>
  </si>
  <si>
    <t>Dutch supercar lover. I'll retweet pictures that i really like. I don't own any of these pictures.</t>
  </si>
  <si>
    <t>Mark McLay</t>
  </si>
  <si>
    <t>VW to buy back or repair nearly 600,000 vehicles in emissions scandal #automotive #vw #dieselgate #motorhappy https://t.co/21SjK8RzxX</t>
  </si>
  <si>
    <t>North &amp; Scotland</t>
  </si>
  <si>
    <t>Talent scout to the Motor Trade</t>
  </si>
  <si>
    <t>Hannah Brookes</t>
  </si>
  <si>
    <t>Cambridge, UK.</t>
  </si>
  <si>
    <t>@MotorVerso sub-editor. Freelance writer and proof-reader.</t>
  </si>
  <si>
    <t>Peter L Foster</t>
  </si>
  <si>
    <t>Maryport, Cumbria</t>
  </si>
  <si>
    <t>Inventor and Writer. All things Gluten Free. Cumbria. Countryside. News. Non political but very interested and last but not least CARS especially ELECTRIC ones</t>
  </si>
  <si>
    <t>Justin Molder</t>
  </si>
  <si>
    <t>Ohio, USA</t>
  </si>
  <si>
    <t>Loves cars pictures posted usually mine.collector of many things . other interests include not limited to, aviation ,cosplay, collecting, bikes,and hot girls.</t>
  </si>
  <si>
    <t>VW's Bleak Options for Dealing With 500000 Recalled Diesels https://t.co/Cn66mSNuPH #VW #AutoNews</t>
  </si>
  <si>
    <t>Stephen Davidson</t>
  </si>
  <si>
    <t>#vw #mk1 #mk1monday #mk1golf #orangerabbit #1977 almost ready can't wait by manvanmanny https://t.co/KSvaMO1JNl</t>
  </si>
  <si>
    <t>Lancaster County Police Log: Saturday, April 23, 2016: Sometime between 10:30 p.m. April 19 an... https://t.co/CsB4h0v5Eg #VW #jetta #car</t>
  </si>
  <si>
    <t>DZA</t>
  </si>
  <si>
    <t xml:space="preserve">In The 36th Chamber </t>
  </si>
  <si>
    <t>SSU '19</t>
  </si>
  <si>
    <t>https://t.co/u09LXzGg3C - Sweet T5 at bigbang 👌 #volkswagen #vw #volkswagent5 #vwt… https://t.co/a1Y9EDe8hf https://t.co/sPdvfOeYYn</t>
  </si>
  <si>
    <t>#motorhappy</t>
  </si>
  <si>
    <t>RT @CARS_MMcLay: VW to buy back or repair nearly 600,000 vehicles in emissions scandal #automotive #vw #dieselgate #motorhappy https://t.co…</t>
  </si>
  <si>
    <t>MCMotor Retweets</t>
  </si>
  <si>
    <t>#motorhappy A Motoring Hub that connects you to the UK #MotorTrade. Powering #MotorHour Monday 9-10pm. #WOW Winner. Join in the chat. #carshopping</t>
  </si>
  <si>
    <t>Owner: @mk7r_jeepsrt8 #volkswagen #vw #wolfsburg #mk1 #mk2 #mk3 #mk4 #mk5 #mk6 #mk7 #golf #vwgolf #vwlove #volkswa… https://t.co/eYPQvtJ8Oy</t>
  </si>
  <si>
    <t>#motorhour</t>
  </si>
  <si>
    <t>#motorhour Every Monday 9-10pm. Promote your motoring related business! Powered by @motorhappy Hosted by @IvanHamillCars</t>
  </si>
  <si>
    <t>eBay: V W CAMPER/DAY VAN AUTOMATIC HIGH… https://t.co/UGpm1zjyJh #vwcamper #vwbus #vw https://t.co/ZEadscsjBy https://t.co/fBYWT25YwC</t>
  </si>
  <si>
    <t>Onlydriving</t>
  </si>
  <si>
    <t>Η Volkswagen αποζημιώνει τους κατόχους της για το Dieselgate https://t.co/KuAl5XGoP6 #VW #Volkswagen https://t.co/FYbYi3ooWP</t>
  </si>
  <si>
    <t>Athens - Greece</t>
  </si>
  <si>
    <t>Τα τελευταία νέα για ... ό,τι κινείται...</t>
  </si>
  <si>
    <t>Little diva wants me to get her this 1968 Beetle Beach Buggy #adorable #cute #lovethecolour #VW @VWDubai https://t.co/YS8EHExcM4</t>
  </si>
  <si>
    <t>BOOTSBROTHERS</t>
  </si>
  <si>
    <t>Gadisku #queen bbqride #bbqride2016 #bbqride #vw #vwporn #karmanghia#hotrod https://t.co/Ss5JLDnVwH</t>
  </si>
  <si>
    <t>Bandung, sunda, Indonesia</t>
  </si>
  <si>
    <t>how to order ? - . eMail : awadreza@gmail.com . Bbm : 56BD2203 whatsup : 087825466528 . Web :http://t.co/dAykASBPHY . instagram : awadkucel line : awadkucel</t>
  </si>
  <si>
    <t>Motorsport technician // 18 years in BTCC &amp; WRC // Music enthusiast // Love city life &amp; bright lights //</t>
  </si>
  <si>
    <t>Kinsale Online</t>
  </si>
  <si>
    <t>RT @HeadBistro: The Chowda Bus hits the road for Kinsale #AllIrelandChowder #Galway #vw #WildAtlanticWay @Goodfoodcircle https://t.co/aisoO…</t>
  </si>
  <si>
    <t>Kinsale, Co. Cork, Ireland</t>
  </si>
  <si>
    <t>Kinsale Online - A concept for a small Irish town.Gateway to the Wild Atlantic Way and famous gourmet food town.Just 20 mins from Cork Airport!</t>
  </si>
  <si>
    <t>krank spinatra</t>
  </si>
  <si>
    <t>Sun is really starting to come out 😁 #vw #mk7 #golfr #my16 #awd #4motion #haldex #manual… https://t.co/6avS94poim</t>
  </si>
  <si>
    <t>Ottawa, Ontario</t>
  </si>
  <si>
    <t>its krank - MY16 MK7 Golf R MT Cars, coffee, music, life. Instagram: https://t.co/Zu2fVMVu0F Youtube: https://t.co/rvzzwNa8IZ Facebook: https://t.co/qTezZEHr0n</t>
  </si>
  <si>
    <t>Solehhin.</t>
  </si>
  <si>
    <t>D.R.Seraffina ♡</t>
  </si>
  <si>
    <t>John</t>
  </si>
  <si>
    <t>#VW Golf race edition #CarPics https://t.co/pYvJQxmkxt</t>
  </si>
  <si>
    <t>Mostly #carpics , and some #motorcycles , #trains and other mechanical stuff</t>
  </si>
  <si>
    <t>eBay: VW Transporter T51 Day Van Camper LWB https://t.co/5ZcgAe16tA #vwcamper #vwbus #vw https://t.co/ZEadscsjBy https://t.co/rJMigvEn1n</t>
  </si>
  <si>
    <t>eBay: Volkswagen T2 Bay Window Camper Van… https://t.co/lq8V1uRQy3 #vwcamper #vwbus #vw https://t.co/ZEadscsjBy https://t.co/FVtXzInk2o</t>
  </si>
  <si>
    <t>Working All Hours...</t>
  </si>
  <si>
    <t>South Yorkshire &amp; East Mids</t>
  </si>
  <si>
    <t>Taxi Driver working across South Yorkshire and the East Midlands. Tweets about Sport, Music &amp; Travel</t>
  </si>
  <si>
    <t>Get your brake pads replaced &amp; get all future brake pad replacements for free! https://t.co/o4vAW4lnVO #VW https://t.co/lFGLspXybM</t>
  </si>
  <si>
    <t>Get your brake pads replaced &amp; get all future brake pad replacements for free! https://t.co/f23eCyslRK #VW https://t.co/csI54MoDGv</t>
  </si>
  <si>
    <t>nice</t>
  </si>
  <si>
    <t>nice Music TV Germany</t>
  </si>
  <si>
    <t>Danpol Opony i Felgi</t>
  </si>
  <si>
    <t>Tuned #Golf3 and sexy Girl in bikini. #VW #Golf #GolfIII https://t.co/O66Xxrm9qm</t>
  </si>
  <si>
    <t>Pinterest</t>
  </si>
  <si>
    <t>Łódź</t>
  </si>
  <si>
    <t>Serwis Opon i Felg w Łodzi Zaprasza! Atrakcyjne ceny na opony nowe, używane, bieżnikowane oraz felgi stalowe i aluminiowe. Profesjonalny serwis klimatyzacji.</t>
  </si>
  <si>
    <t>Golf it</t>
  </si>
  <si>
    <t>RT @DanpolLodz: Tuned #Golf3 and sexy Girl in bikini. #VW #Golf #GolfIII https://t.co/O66Xxrm9qm</t>
  </si>
  <si>
    <t>YoureShop AutoTweet</t>
  </si>
  <si>
    <t>Montag startet die @hannover_messe 2016: Journalisten erhalten schon heute ersten Einblick auf #VW-Stand. #VWHMI16 https://t.co/QFaOQWfZAG</t>
  </si>
  <si>
    <t>ECC South Central</t>
  </si>
  <si>
    <t>Another 1.9TDi VW T5 day van gets an engine carbon clean as part of its upgrades. #motorhappy #t5 #VW #followthecog https://t.co/lNRM5NwHcO</t>
  </si>
  <si>
    <t>Basingstoke, England</t>
  </si>
  <si>
    <t>MécaniqueGénéraleMC</t>
  </si>
  <si>
    <t>Belles rondeurs. #volkswagen #coccinelle #cox #vw #classic #classicar #vintage #rain #rain… https://t.co/kXINcn1NJi https://t.co/3YAWnHrDgC</t>
  </si>
  <si>
    <t>Cuir, Pistons, Bonhommes. Ici, on parle en toute mauvaise foi de tout ce qui roule avec fracas.</t>
  </si>
  <si>
    <t>Gary Lyford</t>
  </si>
  <si>
    <t>RT @ECC_SouthC: Another 1.9TDi VW T5 day van gets an engine carbon clean as part of its upgrades. #motorhappy #t5 #VW #followthecog https:…</t>
  </si>
  <si>
    <t>Here &amp; there</t>
  </si>
  <si>
    <t>Wannabe wrapper innit</t>
  </si>
  <si>
    <t>@hannover_messe 2016 starts on Monday: Today journalists get first impressions at the #VW-stand. #VWHMI16 https://t.co/jD7gxfcUrv</t>
  </si>
  <si>
    <t>SnM Remapping</t>
  </si>
  <si>
    <t>Bristol to Guildford areas</t>
  </si>
  <si>
    <t>Car &amp; Light Commercial Vehicle engine remapping. We come to you in the Bristol, Swindon, Marlborough, Andover, Newbury &amp; Basingstoke areas. Tel : 01793 680312</t>
  </si>
  <si>
    <t>Clare D</t>
  </si>
  <si>
    <t>Official a wild camper after our first night in our van #wildcamping #vw #t5 #yolo</t>
  </si>
  <si>
    <t>Medway, Kent, UK</t>
  </si>
  <si>
    <t>photography, computers, websites, art, creativity, madness, social media marketing, humour. Be who u r.</t>
  </si>
  <si>
    <t>la fée crochète</t>
  </si>
  <si>
    <t>Munich - Bavière / Allemagne</t>
  </si>
  <si>
    <t>Une bretonne (et son crochet) chez les Bavarois. Mon blog : De la mer d'Iroise aux monts du Velay en passant par Munich !</t>
  </si>
  <si>
    <t>Ministers demand #UK #VW drivers get the same compensation as the #US https://t.co/TnHbPYtyUM #VWCorruption</t>
  </si>
  <si>
    <t>Boaz Tal</t>
  </si>
  <si>
    <t>A beautiful #VW Carmengiha https://t.co/D7WERy4JBv</t>
  </si>
  <si>
    <t>Combining marketing art and data science @Optimove https://t.co/Q5ip22Rdkw</t>
  </si>
  <si>
    <t>Auf dem Wertverlust bleiben die Halter von Euro4 und älterer Fahrzeuge also sitzen? #Opel #VW #Mercedes #Porsche</t>
  </si>
  <si>
    <t>Yann</t>
  </si>
  <si>
    <t>RT @pleasecallmemac: Revealed: nearly all new #diesel #cars exceed official #pollution limits https://t.co/4F4FkQLKMS #vw</t>
  </si>
  <si>
    <t>J'aspire à un air plus pur à Paris. #stoppollutiondiesel</t>
  </si>
  <si>
    <t>M.H</t>
  </si>
  <si>
    <t>Mum | My future, NurKhalida</t>
  </si>
  <si>
    <t>Jochen Kiehl</t>
  </si>
  <si>
    <t>Das Verhalten von VW bei dem #VW-Abgasskandal macht die Einführung von #Sammelklagen in Deutschland notwendig.</t>
  </si>
  <si>
    <t>Seevetal, Niedersachsen</t>
  </si>
  <si>
    <t>RT @crewevw: Get your brake pads replaced &amp; get all future brake pad replacements for free! https://t.co/f23eCyslRK #VW https://t.co/csI54M…</t>
  </si>
  <si>
    <t>Roland Klotz</t>
  </si>
  <si>
    <t>RT @DerGeldexperte: #VW will #Boni um 30% kürzen - korrekt wäre Boni streichen. Bin 'gespannt', wie es bei den Dividenden gehandhabt werden…</t>
  </si>
  <si>
    <t>Stolzer Vater, interessierter Raiffeisenbänker, leidenschaftlicher Fussballer, Sport generell, Interesse an News aus Wirtschaft, Sport, Politik - News-Junky!</t>
  </si>
  <si>
    <t>django</t>
  </si>
  <si>
    <t>doch das witzige ist : konzerne hauen sich selbst in die pfanne - so wie zum beispiel #VW #abgaswerte</t>
  </si>
  <si>
    <t>ich hab meinen aluhut in einem kornkreis verloren.... alles was ich schreibe könnte #satire sein!</t>
  </si>
  <si>
    <t>eBay: AMERICAN DODGE CAMPER MOTORHOME not vw… https://t.co/D5RDOSMU9m #vwcamper #vwbus #vw https://t.co/ZEadscaIK0 https://t.co/Dmr5MEpwPg</t>
  </si>
  <si>
    <t>Confia Financial Inc</t>
  </si>
  <si>
    <t>VW, Setting Aside $18 Billion for Diesel Scandal Costs, Reports Record Loss https://t.co/1jmBjPf0bz #confiafinancial #vw #dieselgate</t>
  </si>
  <si>
    <t>Consultants &amp; Advisors</t>
  </si>
  <si>
    <t>csabiimrefivwg3! #vwdepo #lowstandards #lowsociety #loweredlifestyle #meeting #vwlife #vwlove #vw #golf #mk3... https://t.co/AD1oxbNfYW</t>
  </si>
  <si>
    <t>fati ★</t>
  </si>
  <si>
    <t>vwturkiye volkswagen vwistanbul #vw #volkswagen #trip #travel #tour #traveling #travelgram… https://t.co/54cquNbHPd</t>
  </si>
  <si>
    <t>Beşiktaş Dergisi Yazarı</t>
  </si>
  <si>
    <t>Kadın doğulmaz kadın olunur - Simone de Beauvoir</t>
  </si>
  <si>
    <t>Werner Danielsen</t>
  </si>
  <si>
    <t>Cool colour on this Beetle. #VW #Volkswagen #Norway https://t.co/mn296IhVlW</t>
  </si>
  <si>
    <t>Norway</t>
  </si>
  <si>
    <t>Amcarentusiast - Fotball - Sportsjunkie - Rosenborger. Car guy, custom, rod, racing, original and classic!</t>
  </si>
  <si>
    <t>Writing about… #VW https://t.co/n2MAxXDF5i</t>
  </si>
  <si>
    <t>Writing about… #VW https://t.co/JHtokrzUnP</t>
  </si>
  <si>
    <t>RT @swanswaygroup: Get your brake pads replaced &amp; get all future brake pad replacements for free! https://t.co/o4vAW4lnVO #VW https://t.co/…</t>
  </si>
  <si>
    <t>mki mayer</t>
  </si>
  <si>
    <t>Worms, Westhofen</t>
  </si>
  <si>
    <t>CAR YELL</t>
  </si>
  <si>
    <t>RT @stu_artjames: #TBT #NewCar #VW #German #Nice #Handbag #Happy 😁 niccam1990 @ Arnold clark Rutherglen http://t.co/yBiSFFxd29</t>
  </si>
  <si>
    <t>Up to 30% off brand new cars direct from UK dealers. Why pay full price?</t>
  </si>
  <si>
    <t>#VW auf der @hannover_messe: Fokus auf Digitalisierung, Elektromobilität, Virtual Reality &amp; Connectivity. #VWHMI16 https://t.co/y5km3gkjfI</t>
  </si>
  <si>
    <t>Dropped-Pictures</t>
  </si>
  <si>
    <t>#volkswagen #vw #golf #gti #car #mk6 #low #turbo #euro #clean #carporn #cars #racing #Twitter #TurboTalk #Retweeet https://t.co/yDEiqa5zDn</t>
  </si>
  <si>
    <t>Photographer from Germany looking for lowered fast and beautiful vehicles</t>
  </si>
  <si>
    <t>Gap Security Direct</t>
  </si>
  <si>
    <t>#Mercedes, #Opel, #Porsche and #VW recall 630,000 diesel-powered cars | Autocar https://t.co/f0QxozKS6F</t>
  </si>
  <si>
    <t>Gap Security Direct specialise in Vehicle Tracking Systems such as a Car Tracker, Motorcycle Security &amp; Van Security. Contact us for more details</t>
  </si>
  <si>
    <t>https://t.co/1V444s961z - On route to Bath to see @gavinjameslive tonight! #vw #t4 #vwt4 … https://t.co/DYnfcNJE0u https://t.co/ZjxYh4p9NV</t>
  </si>
  <si>
    <t>#VW at @hannover_messe 2016: Focus on digitalization, electro-mobility, virtual reality and connectivity. #VWHMI16 https://t.co/MRLXvBRJPk</t>
  </si>
  <si>
    <t>GTI! Follow: @vwlife__ @vwlife__ @vwlife__ @vwlife__ #vw #volks #volkswagen #vwgolf #vwgolfmk1 #vwgolfmk1gti #go… https://t.co/ySmWPPIgrE</t>
  </si>
  <si>
    <t>#VW waarschuwt personeel: zwaar weer houdt aan https://t.co/Bht7NNBI1x https://t.co/Znykp4NEFb via @dft</t>
  </si>
  <si>
    <t>#golf #golfvariant #vw #volkswagen #iv #mk4 #tuning #lowered by f1xit https://t.co/OECUGLz7zV</t>
  </si>
  <si>
    <t>MOSLIM1000</t>
  </si>
  <si>
    <t>RT @vwpress_en: #VW at @hannover_messe 2016: Focus on digitalization, electro-mobility, virtual reality and connectivity. #VWHMI16 https://…</t>
  </si>
  <si>
    <t>the press The transfer of the most important global news Educational science economic policy</t>
  </si>
  <si>
    <t>RT @vwpress_de: Montag startet die @hannover_messe 2016: Journalisten erhalten schon heute ersten Einblick auf #VW-Stand. #VWHMI16 https://…</t>
  </si>
  <si>
    <t>RT @vwpress_en: @hannover_messe 2016 starts on Monday: Today journalists get first impressions at the #VW-stand. #VWHMI16 https://t.co/jD7g…</t>
  </si>
  <si>
    <t>FanCar Picture - Send me your Scirocco pictures!!! (PM Please) #VW #Volkswagen #Scirocco #Tuning https://t.co/4IRCPXroEM</t>
  </si>
  <si>
    <t>Henry Robben</t>
  </si>
  <si>
    <t>Uit de Volkskrant van vandaag: de top van VW heeft géén ballen. Men houdt vast aan bonussen. Da's grof, #VW! https://t.co/HRJBjbYDnk</t>
  </si>
  <si>
    <t>iPhone: 52.005756,6.043198</t>
  </si>
  <si>
    <t>Professor of Marketing at Nyenrode Business Universiteit | Advisor | Author | Coach | Speaker</t>
  </si>
  <si>
    <t>Josiah Jurado</t>
  </si>
  <si>
    <t>eBay: VOLKSWAGEN CAMPER VAN https://t.co/GgBoMx8QHO #vwcamper #vwbus #vw https://t.co/ZEadscsjBy https://t.co/W5TS8njqWm</t>
  </si>
  <si>
    <t>#Duitsland #VW waarschuwt personeel: zwaar weer houdt aan https://t.co/jYkXXvU5eA via @telegraaf</t>
  </si>
  <si>
    <t>René Petzold</t>
  </si>
  <si>
    <t>Dresden, Sachsen, Deutschland</t>
  </si>
  <si>
    <t>Schreibender Hobbyfotograf twittert privat. #GläserneManufaktur; #TransparentFactory; #Dresden</t>
  </si>
  <si>
    <t>RT @vwpress_de: #VW auf der @hannover_messe: Fokus auf Digitalisierung, Elektromobilität, Virtual Reality &amp; Connectivity. #VWHMI16 https://…</t>
  </si>
  <si>
    <t>Rui Pinto</t>
  </si>
  <si>
    <t>RT @SIDDHANTTIWARI: Até o deserto se rende ao carocha.. #vw #carocha #beetle #vintage #classic #retro #vintagecar #wilderness #carsofin… ht…</t>
  </si>
  <si>
    <t>Tomar</t>
  </si>
  <si>
    <t>eBay: 2000 VOLKSWAGEN BEETLE METALLIC BLUE… https://t.co/tDAEe0W0hK #vwbeetle #vwbug #vw https://t.co/xvfL74PTgl https://t.co/lzU7fI3H2e</t>
  </si>
  <si>
    <t>19_Lord_Helmchen_09</t>
  </si>
  <si>
    <t>Mich freuts ja,#vflwolfsburg ist von einer guten Platzierung entfernt wie #VW von korrekten Abgaswerten 😂😎 @DeinSkySport</t>
  </si>
  <si>
    <t>Born in Bavaria, raised in Berlin.</t>
  </si>
  <si>
    <t>Get Real</t>
  </si>
  <si>
    <t>Shocking unacceptable corporate greed. I hope they sink &amp; disappear into the Baltic sea. #VW https://t.co/N339y8tKXe</t>
  </si>
  <si>
    <t>Cycling,, music, style &amp; pure random.</t>
  </si>
  <si>
    <t>James Derom</t>
  </si>
  <si>
    <t>Good read about environmental impact of diesel cars. #dieselgate #lobby #vw https://t.co/GneTx5LfXl</t>
  </si>
  <si>
    <t>Ghent, Belgium</t>
  </si>
  <si>
    <t>marketing student and car fanatic</t>
  </si>
  <si>
    <t>Trader Crowd - UK</t>
  </si>
  <si>
    <t>international network</t>
  </si>
  <si>
    <t>#Automotive classifieds platform promoted across @Autocrowdgroup network of 150 car, yacht &amp; aviation clubs &amp; as standalone website. Ads from just £1.00 p/w .</t>
  </si>
  <si>
    <t>Sebastian Weber</t>
  </si>
  <si>
    <t>Man merkt das @VfL_Wolfsburg zur @vwgroup_de gehört. Was da hinten raus kommt stimmt irgendwie auch nicht #Abgas #VW #WOBFCA #skybuli</t>
  </si>
  <si>
    <t>Jeremy Spira</t>
  </si>
  <si>
    <t>Audi initially had trouble with their cars not differentiating from #vw.That changed with the 100 #carguru #carfact https://t.co/czGPShFzbu</t>
  </si>
  <si>
    <t>SN aktuell</t>
  </si>
  <si>
    <t>#VW-Chef Müller stimmt Mitarbeiter auf harte Zeiten ein https://t.co/BtTXBHkjj5</t>
  </si>
  <si>
    <t>SN Social Service</t>
  </si>
  <si>
    <t>Salzburg, Austria</t>
  </si>
  <si>
    <t>Der offizielle Twitter Account der Salzburger Nachrichten.</t>
  </si>
  <si>
    <t>#VW delays report into emissions-rigging scandal as it unveils huge losses https://t.co/W9TrvpLD0W</t>
  </si>
  <si>
    <t>Burkhard Riering</t>
  </si>
  <si>
    <t>Chefredakteur Automobilwoche - DIE Marke für Autoindustrie, Autozulieferer und Autohandel</t>
  </si>
  <si>
    <t>eBay: 14 Plate VW Transporter T5 HIGHLINE… https://t.co/wy2mVIze5P #vwcamper #vwbus #vw https://t.co/ZEadscsjBy https://t.co/jJPDZNgFgi</t>
  </si>
  <si>
    <t>Rudy B</t>
  </si>
  <si>
    <t>Sideshot Saturday pic by @melda_mariee #royaldubs #jetta #vw #volkswagon #mk6jetta… https://t.co/b9VMWVS4vo</t>
  </si>
  <si>
    <t>San Antonio, Tx</t>
  </si>
  <si>
    <t>life, music, and happiness</t>
  </si>
  <si>
    <t>The_Dentist</t>
  </si>
  <si>
    <t>Bei #VW schwört Boss Müller die Belegschaft auf harte Zeiten ein, will aber auch Mut machen. @dpa mit Details https://t.co/llHqqEKAmD</t>
  </si>
  <si>
    <t>Martin Heck</t>
  </si>
  <si>
    <t>#car #vw #red #Auto #garage #golf #mk2 #chopper #bike #fahrrad #2016 #1989 #rot https://t.co/2nuLfGC14G</t>
  </si>
  <si>
    <t>Eichsfeld, Thüringen</t>
  </si>
  <si>
    <t>#VW #emissions cheat #software came from #Audi – report &gt; https://t.co/gVdmzkyJop oh dear!</t>
  </si>
  <si>
    <t xml:space="preserve">Worldwide - #SAMBeast </t>
  </si>
  <si>
    <t>ITAM, SAM &amp; MDM geek! Certified #SAMBeast©. May also tweet about sport, running &amp; hot sauces! Views are my own.</t>
  </si>
  <si>
    <t>Check out our latest added #VW CV Transporter Panel Van! Fancy a test drive at the weekend? https://t.co/QR8UW0mrez https://t.co/1FJ3JM8RGu</t>
  </si>
  <si>
    <t>Lancashire VanCentre</t>
  </si>
  <si>
    <t>Check out our latest added #VW CV Transporter Panel Van! Fancy a test drive at the weekend? https://t.co/9abyJfcWsA https://t.co/9TgtFdBG7P</t>
  </si>
  <si>
    <t>Here at Volkswagen Van Centre (Lancashire) we pride ourselves on giving our customers the highest quality service in every area.</t>
  </si>
  <si>
    <t>Pheonix jane</t>
  </si>
  <si>
    <t>Check out this item in my Etsy shop https://t.co/0kC9rMu48Q #bag #campervan #pheonixjane #vwcamper #vw #bagforlife #handmade</t>
  </si>
  <si>
    <t>barnsley</t>
  </si>
  <si>
    <t>arty farty crafter, living the boho/hippi carefree lifestyle.. on a mission so share my random mind, art, designs and style with the world.</t>
  </si>
  <si>
    <t>Good morning to our #VW family! What are you doing to your #Volkswagen this weekend? #ACVWPassion #AirCooled https://t.co/cohnxQMUXm</t>
  </si>
  <si>
    <t>caroline pedler</t>
  </si>
  <si>
    <t>Out for a drive in good company. : ) well needed tonic : ) #spitty #vw #campervan https://t.co/c2wklIkNq7</t>
  </si>
  <si>
    <t>Cornwall</t>
  </si>
  <si>
    <t>I am an illustrator / artist living in Cornwall. I love art, music, the beach &amp; my hairy hound, Bobo. I like nice people, esp if they make me laugh!</t>
  </si>
  <si>
    <t>whats live?</t>
  </si>
  <si>
    <t>#VW presents its new, sporty, elegant looking #SUV Mon. at the @AutoChina2016. Join in for this monumental showcase. https://t.co/gFb5NawKCr</t>
  </si>
  <si>
    <t>Hessen, Germany</t>
  </si>
  <si>
    <t>Promote, watch and enjoy live stream's with #whatislive - your live stream magazine. Every #livestream is worth to be seen. Start today - because LIVE is now!</t>
  </si>
  <si>
    <t>FJVW</t>
  </si>
  <si>
    <t>How is this one for a #VW #Passat #SE? https://t.co/w0geATA3Jd</t>
  </si>
  <si>
    <t>1111 N Clark Chicago IL</t>
  </si>
  <si>
    <t>Chicago's Premier Volkswagen Dealership Serving Chicagoland for over 10 years!</t>
  </si>
  <si>
    <t>Fletcher Jones</t>
  </si>
  <si>
    <t>How is this one for a #VW #Passat #SE? https://t.co/I9uXA009eG</t>
  </si>
  <si>
    <t>1100 N Clark St. Chicago</t>
  </si>
  <si>
    <t>Fletcher Jones Chicago - More than 1000 Mercedes-Benz, Audi, VW, Honda and luxury used cars are displayed indoors side by side for easy comparison.</t>
  </si>
  <si>
    <t>Check out this item in my Etsy shop https://t.co/OkPyrHoHwT #campervan #vw #vwcamper #bagforlife #hippiethings #hippygirl #handmade</t>
  </si>
  <si>
    <t>VW waarschuwt personeel: zwaar weer houdt aan: #VW #Dieselschandaal https://t.co/dUHNnOLtxe https://t.co/HCyAhof1gi</t>
  </si>
  <si>
    <t>VW waarschuwt personeel: zwaar weer houdt aan: #VW #Dieselschandaal https://t.co/HcO9FnLs4L https://t.co/irjaGmX3F4</t>
  </si>
  <si>
    <t>eBay: VOLKSWAGEN BEETLE 1.6L YELLOW VW BEETLE https://t.co/uDab0HRn6W #vwbeetle #vwbug #vw https://t.co/xvfL74PTgl</t>
  </si>
  <si>
    <t>@VW #TDI Owners have endured 7 months &amp; no details of fix. #VW should #buyback my #dieselgate 2014 #Jetta; #BuyBackMyTDI</t>
  </si>
  <si>
    <t>Chris ♌</t>
  </si>
  <si>
    <t>Primera plancha 🚗🔰 #Vw #vwlovers #vwBora #Plancha #ready #SeVieneFoto #instamood #instagood @… https://t.co/LuXIC2OU9x</t>
  </si>
  <si>
    <t>Merlo, Argentina</t>
  </si>
  <si>
    <t>Cambia tu pensamiento y cambiaras tu mundo</t>
  </si>
  <si>
    <t>Adi</t>
  </si>
  <si>
    <t xml:space="preserve">Here, there &amp; everywhere. </t>
  </si>
  <si>
    <t>Which?</t>
  </si>
  <si>
    <t>Making consumers as powerful as the organisations they deal with. We are also on https://t.co/OuiGvAQVo7</t>
  </si>
  <si>
    <t>Jonathan Henley</t>
  </si>
  <si>
    <t>I learned from Don #Peppers the value of 'trustability'. Shame #VW wasn't at the same gig as they take $18.2bn hit https://t.co/7twzPrtWBZ</t>
  </si>
  <si>
    <t xml:space="preserve">Saint Helier, Jersey, UK </t>
  </si>
  <si>
    <t>Marketing &amp; BD @EY | #creative | #digital savvy | #content | #social | Avail. May | https://t.co/0Cim5deYF0</t>
  </si>
  <si>
    <t>RT @swanswaygroup: Check out our latest added #VW CV Transporter Panel Van! Fancy a test drive at the weekend? https://t.co/QR8UW0mrez http…</t>
  </si>
  <si>
    <t>La prova su strada della #VW Golf Variant Alltrack https://t.co/AryAQf16Wm @Infomotori</t>
  </si>
  <si>
    <t>Ümit ZEYREK</t>
  </si>
  <si>
    <t>#Periscope'ta CANLI: #vw #beetle restorasyon, #tosba https://t.co/4no7UJ4VaI</t>
  </si>
  <si>
    <t>Periscope</t>
  </si>
  <si>
    <t>Çokca Soru var, Düşün Taşın, Sorularımızı değişiyoruz eğer istersen buyur.. Çok #ihracat az #ithalat, Potansiyel #Girişimci, #EndüstriMühendisi, bir de #bipolar</t>
  </si>
  <si>
    <t>RT @heikolossie: Bei #VW schwört Boss Müller die Belegschaft auf harte Zeiten ein, will aber auch Mut machen. @dpa mit Details https://t.co…</t>
  </si>
  <si>
    <t>Alpinum IM</t>
  </si>
  <si>
    <t>#VW Doubles Cost of #Scandal to $18.2 #Billion https://t.co/JOrLj0exYH</t>
  </si>
  <si>
    <t>Zurich</t>
  </si>
  <si>
    <t>#Alpinum Investment Management manages assets across diversified strategies. Alpinum funds are eligible for distribution to qualified investors in #Switzerland.</t>
  </si>
  <si>
    <t>Class Action Report</t>
  </si>
  <si>
    <t>$VLKAF $VLKAY $VLKPF $VLKPY investors seek to recover losses after #VW discloses #VWScandal #CORPGOV https://t.co/fJ4FeZZ29e</t>
  </si>
  <si>
    <t>Meet Edgar</t>
  </si>
  <si>
    <t>Keeping investors and consumers informed about class actions, settlements, and product recalls.</t>
  </si>
  <si>
    <t>Check out this item in my Etsy shop https://t.co/iaHhUW5rCg #hippie #vwcamper #vw #bagforlife #ecowarrior #handmade #pheonixjane</t>
  </si>
  <si>
    <t>RT @cathyrawrr: In love 😍😍😍😍 🚙🚗 #newcar #vw</t>
  </si>
  <si>
    <t>JUANROMANRIQUELME</t>
  </si>
  <si>
    <t>❤SIEMPRE ESTARE A TU LADO BOCA JUNIORS QUERIDO❤//Amorr por los fierros</t>
  </si>
  <si>
    <t>AlexLab</t>
  </si>
  <si>
    <t>Die gewieften #VW Vorstände verzichten - vorläufig. #boni #Wolfsburg https://t.co/UqYVUqHS2g</t>
  </si>
  <si>
    <t>EU citizen, female, teacher</t>
  </si>
  <si>
    <t>Chantal</t>
  </si>
  <si>
    <t>NO! Not satisfied with #VW As owner we were given false information on "new" diesel technology before buying #cbcnn #VWgate</t>
  </si>
  <si>
    <t>just my personal views</t>
  </si>
  <si>
    <t>https://t.co/e9ThjANEfr - Van with a view #vanlife #vw #vwt5 #exmouth #sisters by rev_tro… https://t.co/bbTeKLvExT https://t.co/7Tqjl6wbTH</t>
  </si>
  <si>
    <t>RT @Insta_VWT: https://t.co/e9ThjANEfr - Van with a view #vanlife #vw #vwt5 #exmouth #sisters by rev_tro… https://t.co/bbTeKLvExT https://t…</t>
  </si>
  <si>
    <t>Volkswagen is not alone! https://t.co/flFfPhn2OA #VW #AutoNews</t>
  </si>
  <si>
    <t>sairam</t>
  </si>
  <si>
    <t>@sidpatankar Heard that #Bettle willbe phased out soon. Is that true ? What does #VW US Deal mean to VW India ? please clarify.</t>
  </si>
  <si>
    <t>Tenali</t>
  </si>
  <si>
    <t>I love travelling Want to become a good precussionist</t>
  </si>
  <si>
    <t>Skoda Superb Vs Volkswagen Jetta Vs Audi A3 comparison: Compare cars on Skoda Superb Vs Volksw... https://t.co/3LOMIytf2Z #VW #jetta #car</t>
  </si>
  <si>
    <t>Used 2015 Volkswagen Jetta S: HARD TO FIND S WITH TECHNOLOGY! Don't miss the superb bargain! Y... https://t.co/qZ19TYVzuu #VW #jetta #car</t>
  </si>
  <si>
    <t>Julia Wimbush</t>
  </si>
  <si>
    <t>Spotted in #Worcester #vw #vespa #photography ☀️ https://t.co/41GchHZUm5</t>
  </si>
  <si>
    <t xml:space="preserve">Bristol was Watford </t>
  </si>
  <si>
    <t>Volunteering, communities, charities, connecting people, photography, Instagram. Periscope</t>
  </si>
  <si>
    <t>2013 VW Transporter T28 Brand New Conversion Motorhome: £27,999.00End Date: Monday May-23-2016 15:21:16 B... https://t.co/Q5DEILUjj8 #vw</t>
  </si>
  <si>
    <t>eBay: VW Beetle Oval Convertible RHD https://t.co/TJJQSF4iWH #vwbeetle #vwbug #vw https://t.co/xvfL74PTgl https://t.co/svB9EN3NP5</t>
  </si>
  <si>
    <t>manumuncki</t>
  </si>
  <si>
    <t>Energy and consumer politics in Germany and Europe | Opinions and Tweets are my own - RT no endorsement</t>
  </si>
  <si>
    <t>Ramon Vargas</t>
  </si>
  <si>
    <t>RT @acvwpassion: Good morning to our #VW family! What are you doing to your #Volkswagen this weekend? #ACVWPassion #AirCooled https://t.co/…</t>
  </si>
  <si>
    <t>Mariara edo Carabobo venezuela</t>
  </si>
  <si>
    <t>reymon499@hotmail.com</t>
  </si>
  <si>
    <t>Danny MacAskill</t>
  </si>
  <si>
    <t>After a couple of weeks driving about California it feels good to be driving a real vehicle again! #VW #T6... https://t.co/kKknHJcxR3</t>
  </si>
  <si>
    <t>Out riding somewhere.. @dropandrolltour. Watch my new video here https://t.co/Xz3AegiJ1L</t>
  </si>
  <si>
    <t>Atahan KILINÇ</t>
  </si>
  <si>
    <t>💣🚘🏁🔫💪🏼😎👊🏼 #44AK644 #BlueLightning #Mavişimşek #vw #vwlove #vwjetta… https://t.co/NxBhP6pjji</t>
  </si>
  <si>
    <t>--------- # Instagram/ATAHANKLNC # --------- Onur ve Şeref Adamlığın Kartvizitidir. Matbaada Basılmaz...</t>
  </si>
  <si>
    <t>Bren Osborne</t>
  </si>
  <si>
    <t>Bruv</t>
  </si>
  <si>
    <t>Pandas and Cars. Not all of the other fake shit</t>
  </si>
  <si>
    <t>After a couple of weeks driving about California it feels good to be driving a real vehicle again! #VW #T6... https://t.co/XC785BrH9q</t>
  </si>
  <si>
    <t>Sven Walther</t>
  </si>
  <si>
    <t>Was ist denn mit dem VFL #Wolfsburg los? Nimmt der Abgasskandal bei #VW auch den Club mit? #WOBFCA #SKYBULI</t>
  </si>
  <si>
    <t>BILANZBUCHHALTER UND HSV-FAN. TWITTERT ALLES RUND UM SICH, FUSSBALL, DEN HSV, DEN SCM UND NATÜRLICH ALLES ÜBER HAMBURG. BEI TWITTER SEIT 22.11.2013.</t>
  </si>
  <si>
    <t>European Sales Growth Slowed In March; #VW Brand Slips https://t.co/7KXWzmNkq5 #Volkswagen</t>
  </si>
  <si>
    <t>Plan for "actual emissions" charging rather than lying manufacturers! #VW https://t.co/jz1LfBVwVf</t>
  </si>
  <si>
    <t>I've fitted electric inverter in camper &amp; all wired up for retro games console😊👌🏻 #vw #retro</t>
  </si>
  <si>
    <t>Dan Munro</t>
  </si>
  <si>
    <t>RT @danny_macaskill: After a couple of weeks driving about California it feels good to be driving a real vehicle again! #VW #T6... https://…</t>
  </si>
  <si>
    <t>Glasgow,Scotland</t>
  </si>
  <si>
    <t>Driving around this beautiful country of ours and people call it work. Lol .</t>
  </si>
  <si>
    <t>jens</t>
  </si>
  <si>
    <t>Das Team ruft sich selbst zurück #WOBFCA #VW</t>
  </si>
  <si>
    <t>*BAYER04*U2*SINGER*ONE* est1966</t>
  </si>
  <si>
    <t>Luggas</t>
  </si>
  <si>
    <t>Kann #VW eigentlich auch EINMAL im Sinne meiner #SGE spielen??? #VfLFCA</t>
  </si>
  <si>
    <t>Mensch. Frankfurt / Europa. Politik und anderer Quatsch. #Governemnos #RefugeesWelcome #HoPo</t>
  </si>
  <si>
    <t>Knut Kleinsorge</t>
  </si>
  <si>
    <t>Ging es bei #VW und #Wolfsburg eigentlich um Abgas- oder eher um Abwehrskandal!? #WOBFCA</t>
  </si>
  <si>
    <t>Köln-Ehrenfeld, Germany</t>
  </si>
  <si>
    <t>Journalismus, Quiz @Handball_Inteam , Fußball, Darts, Säbelfechten</t>
  </si>
  <si>
    <t>Barbidule Tralala</t>
  </si>
  <si>
    <t>Arrivée en combi pour nos instagramers nantais pour le #wwim13nantes #vw https://t.co/ggMOnBN2wu https://t.co/S9Y9yNUg4x</t>
  </si>
  <si>
    <t>eBay: 1986 Volkswagen Camper TRANSPORTER 78PS… https://t.co/OIqp5Tg084 #vwcamper #vwbus #vw https://t.co/ZEadscsjBy https://t.co/a74CjQBPmz</t>
  </si>
  <si>
    <t>ⓞⓝⓚⓔⓛ ⓗⓞⓜⓘⓔ</t>
  </si>
  <si>
    <t>RT @rheinhessenulf: Das Team ruft sich selbst zurück #WOBFCA #VW</t>
  </si>
  <si>
    <t>No-Followergedöns-Driss</t>
  </si>
  <si>
    <t>⚫️ Hier geht's um mich ⚫️ Ich glotz viel TV (u.a. #GoT) ⚫️ #Werkself ⚫️ US-Sport ⚫️ TV-Sport ⚫ Busfahrer aus Leidenschaft ⚫️ Bio lesen hilft! ⚫️</t>
  </si>
  <si>
    <t>DerLuchs</t>
  </si>
  <si>
    <t>Düren bei Köln</t>
  </si>
  <si>
    <t>living glass of jack daniels #Bayer04 #Programming #Metal. Glücklich verfallen/vergeben an meine wundervolle @cybermietze</t>
  </si>
  <si>
    <t>#WRC #RallyArgentina #VW Ogier Ралли Аргентины, СУ11: Ожье теряет время https://t.co/WUdVh5mO1h https://t.co/qmCN77uaC9</t>
  </si>
  <si>
    <t>GG RACING</t>
  </si>
  <si>
    <t>Só quadrados hoje #quadrados #vw #volks #soquadrado @ g&amp;g racing https://t.co/ZNdaSBnbRq</t>
  </si>
  <si>
    <t>SÃO PAULO -PARADA INGLESA</t>
  </si>
  <si>
    <t>ESPECIALIZADA EM RODAS E PNEUS AUTOMOTIVOS TRABALHAMOS COM PNEUS E RODAS NACIONAIS E IMPORTADAS DO ARO 13 AO ARO 26 TUDO A PRONTA ENTREGA TEL(11)2613-2176</t>
  </si>
  <si>
    <t>Blondie</t>
  </si>
  <si>
    <t>RT @juliawimbush: Spotted in #Worcester #vw #vespa #photography ☀️ https://t.co/41GchHZUm5</t>
  </si>
  <si>
    <t>I'm on periscope and snap chat</t>
  </si>
  <si>
    <t>Ahmad Al-Zaky</t>
  </si>
  <si>
    <t>#Carson #Block im #Interview : „#Es gibt #Parallelen zwischen #VW und Ströer“ https://t.co/8bMvx7Jr2I</t>
  </si>
  <si>
    <t>Bookaholic - emphasis on the ideology of the Salafiyya-Jihadiyya &amp; on radical islamist movements in Central Asia</t>
  </si>
  <si>
    <t>Dexter Morgan ✌</t>
  </si>
  <si>
    <t>Dieser Account kann Spuren von Fussball (FCB), Darts, Football, Serien und von Filmen enthalten. Bankkaufmann bei einer Raiffeisenbank. Weltmeister !</t>
  </si>
  <si>
    <t>Free parking? Always, when you’re a #VW Beetle. https://t.co/BCz4EUBPfI</t>
  </si>
  <si>
    <t>B83 ART</t>
  </si>
  <si>
    <t>Progress on my #VW Camper so far👍🏼 #art #vwcamper #vwbus https://t.co/cSVVfEqhdK</t>
  </si>
  <si>
    <t>Brighton, England</t>
  </si>
  <si>
    <t>Hi my name is Bea, I'm a 32 y/o female Artist/Illustrator from the UK. You can catch me on https://t.co/BSoYuD8loN &amp; https://t.co/UOI0gITZMG</t>
  </si>
  <si>
    <t>VolkswagenT25.com</t>
  </si>
  <si>
    <t>📷 hazilsky: 🐂 #Volkswagen #vw #vwt25 #vwt3 #vanagon #westy #westfalia #t25 #t3 #vanlife... https://t.co/2fNsOVebyD</t>
  </si>
  <si>
    <t>https://t.co/gwIFYjvjnT For everything VW T25, T3 and Vanagon related.</t>
  </si>
  <si>
    <t>Daniel Kuhl</t>
  </si>
  <si>
    <t>Den Wölfen geht die Luft aus. 😆 #gutkick #VW #WOBFCA #skybuli https://t.co/ZmeMOXkMEo</t>
  </si>
  <si>
    <t>Bad Nauheim, Hessen</t>
  </si>
  <si>
    <t>Owner&amp;CEO of NSCON GmbH • IT Network Consultant (2xCCNP, CCDA) • FCBayern • New England Patriots • Movie Fan • Travelling</t>
  </si>
  <si>
    <t>eBay: Volkswagen Transporter T4 T5 camper… https://t.co/jjXvT5PZ3z #vwcamper #vwbus #vw https://t.co/ZEadscsjBy https://t.co/mG9cjiiRbm</t>
  </si>
  <si>
    <t>hiroki</t>
  </si>
  <si>
    <t>sk8/camera/guitar/bjj/Jiu-Jitsu/Impacto/Country/MMA/cam'ron/hey ma/Jaco/BullTerrier/Danny MacAskill/</t>
  </si>
  <si>
    <t>SouthCentreCars</t>
  </si>
  <si>
    <t>Our #5daysale ends soon! Don't miss your chance to save some $$$! Come see us at #SCVW today for more info #sale #yyc #vw #SCVW</t>
  </si>
  <si>
    <t>#Calgary's #VW Headquarters. Great people, experience (oh...and cars too!) Come in for the best of everything.</t>
  </si>
  <si>
    <t>Fab day! #santapodraceway #vw #passat Didn't win but hey! https://t.co/nOFnIxt9rE</t>
  </si>
  <si>
    <t>Aaron Curtis</t>
  </si>
  <si>
    <t>Hit 150k this morning! #150k #VW #mkiv https://t.co/IwFW8kKhdk</t>
  </si>
  <si>
    <t>39.165345,-76.846665</t>
  </si>
  <si>
    <t>Jesus follower, guitarist, photog, designer, tech guy. Hubby, daddy, friend. http://t.co/gFKPrv5Qlo</t>
  </si>
  <si>
    <t>Looking for a #Spring in your step? Our #VW Spring Health Check is only £20 until May 31st! https://t.co/fIjapRpFik https://t.co/AKydWn0pFx</t>
  </si>
  <si>
    <t>Looking for a #Spring in your step? Our #VW Spring Health Check is only £20 until May 31st! https://t.co/zwhP4YIhxg https://t.co/grfs18adES</t>
  </si>
  <si>
    <t>madcap</t>
  </si>
  <si>
    <t>Maximum effort | @sarna_ashley</t>
  </si>
  <si>
    <t>Jörg Eickhoff</t>
  </si>
  <si>
    <t>Ist da etwas dran? #Carson #Block im #Interview : „#Es gibt #Parallelen zwischen #VW und Ströer“ https://t.co/0Az1cVZttR</t>
  </si>
  <si>
    <t>Anleger, die keine Sensationsrenditen in kürzester Zeit sondern nachhaltigen Vermögenszuwachs über viele Jahre erwarten, wählen „Deutsche Momentum-Aktien“.</t>
  </si>
  <si>
    <t>Rob Freudenberg</t>
  </si>
  <si>
    <t>She Made a friend this morning. #vw #mk7r #golfr vw wookiesinthewoods @ Bruegger's Bagels https://t.co/2A7XeWgx3U</t>
  </si>
  <si>
    <t>All Over</t>
  </si>
  <si>
    <t>Dad, husband, open source evangelist, tinkerer, car dude, dog owner and other stuff. All opinions are my own! Prius' get passed!</t>
  </si>
  <si>
    <t>Jeremy Judkins</t>
  </si>
  <si>
    <t>Totally worth the 2000 miles we put on the #vw for this amazing whale shark key chain I got from… https://t.co/zVlZ0p6wba</t>
  </si>
  <si>
    <t>Full time Banker, Full Time Tech Youtuber, Part time Student at UF. Professional in time management lol</t>
  </si>
  <si>
    <t>RT @Volkswagen_T25: 📷 hazilsky: 🐂 #Volkswagen #vw #vwt25 #vwt3 #vanagon #westy #westfalia #t25 #t3 #vanlife... https://t.co/2fNsOVebyD</t>
  </si>
  <si>
    <t>eBay: Volkswagen Beetle Cabriolet https://t.co/fWoBePOCG5 #vwbeetle #vwbug #vw https://t.co/xvfL74PTgl</t>
  </si>
  <si>
    <t>Georg K</t>
  </si>
  <si>
    <t>MUC</t>
  </si>
  <si>
    <t>Clefs D'Or, FCB, Wiesn</t>
  </si>
  <si>
    <t>Goat &amp; Kettle</t>
  </si>
  <si>
    <t>Early 1980's #Volkswagen #VW "Camper Van" key ring - AKA The #Vanagon ... https://t.co/Ba8jKGhx8D @Etsy #classiccar #travel #camp #VWVanagon</t>
  </si>
  <si>
    <t>Santa Monica, CA</t>
  </si>
  <si>
    <t>Unique rings &amp; jewelry hand-forged from antique keys &amp; hardware!</t>
  </si>
  <si>
    <t>https://t.co/muuxzjRNYg - Loco’d my van. #Locovan #locosup #vw #t5 #volkswagen #dublife #… https://t.co/Lr4ChjpBte https://t.co/uDGmwylUKJ</t>
  </si>
  <si>
    <t>Cracking #VW #Polo #deal call me #Burton 01283 509800 for more details #Derby #Lichfield #Nottingham #Birmingham https://t.co/orwo2G9TtB</t>
  </si>
  <si>
    <t>Burt Brothers Tire</t>
  </si>
  <si>
    <t>2015 #VW #GTI with 18" #Motegi MR118 wheels #motegiwheels #vwgti #custom #wheels #burtbrothers #doesitbetter https://t.co/7aq2pylEnk</t>
  </si>
  <si>
    <t>Burt Brothers Tire &amp; Service was founded in 1991 by brothers Wendel and Ron Burt. We are locally owned and operated and your full service automotive/tire shop.</t>
  </si>
  <si>
    <t>Geoff Bowling</t>
  </si>
  <si>
    <t>RT @vwvanspreston: Check out our latest added #VW CV Transporter Panel Van! Fancy a test drive at the weekend? https://t.co/9abyJfcWsA http…</t>
  </si>
  <si>
    <t xml:space="preserve">N/West Based -Deal Nationwide </t>
  </si>
  <si>
    <t>Agent for Anglo Scottish. We sort Asset Finance for Haulage, Plant Hire, Buses, Coaches, Cranes, Printing, Engineering. Also Factoring &amp; Invoice Discounting</t>
  </si>
  <si>
    <t>Donna Boehme</t>
  </si>
  <si>
    <t>.#VW is Ex.A for #Compliance2.0 https://t.co/S9oKdz3E6I #SubjectMatterExpertise #NotASubsetofLegal https://t.co/O0g12usEJs</t>
  </si>
  <si>
    <t>Compliance+Ethics Strategist. http://t.co/lLbty6UHvQ http://t.co/vj2qlXw6mj Member.RAND Symposia.2015Top 100TrustThought Leaders.2015SCCEInt'lAward</t>
  </si>
  <si>
    <t>Paula Battle</t>
  </si>
  <si>
    <t>Lovely day at #santapod - that sunshine was deceptive though... #Brrrr #VW #Aircooled #vdub https://t.co/k5Lh1z4e7V</t>
  </si>
  <si>
    <t>Buckingham, England</t>
  </si>
  <si>
    <t>Copywriter / Marcomms strategist / Gin drinker Play nice. Blog: https://t.co/QnRADGtoY9</t>
  </si>
  <si>
    <t>FanCar Picture - Send me your Scirocco pictures!!! (PM Please) #VW #Volkswagen #Scirocco #Tuning https://t.co/GwoX917YPx</t>
  </si>
  <si>
    <t>#VW now understands that Compliance is NOT a subset of Legal. #Compliance2.0 https://t.co/S9oKdz3E6I #SubjectMatterExpertise</t>
  </si>
  <si>
    <t>eBay: 2006 VOLKSWAGEN BEETLE 1.6 Luna ELECTRIC HOOD https://t.co/EVfAcZtz11 #vwbeetle #vwbug #vw https://t.co/xvfL74PTgl</t>
  </si>
  <si>
    <t>#FireNeely</t>
  </si>
  <si>
    <t>Aachen, Germany</t>
  </si>
  <si>
    <t>21 / #Bayer04 / Boston sports addicted #Bruins &amp; #Pats / Deutschrap / Groundhopper / sports freak #RefugeesWelcome #FreeSyria #FreeGaza #FreeKurdistan</t>
  </si>
  <si>
    <t>KK</t>
  </si>
  <si>
    <t>Leichlingen</t>
  </si>
  <si>
    <t>Bayer Fan · Irgendwas mit IT · Sportverliebt · Autoverrückt</t>
  </si>
  <si>
    <t>RT @swanswaygroup: Looking for a #Spring in your step? Our #VW Spring Health Check is only £20 until May 31st! https://t.co/fIjapRpFik http…</t>
  </si>
  <si>
    <t>RT @WrexhamVW: Looking for a #Spring in your step? Our #VW Spring Health Check is only £20 until May 31st! https://t.co/zwhP4YIhxg https://…</t>
  </si>
  <si>
    <t>#fuckyeahvolkswagens #fyeahvws #vw #volkswagen #mk1 #mk1madness #golf #mk1golf #gti #vwvortex #slammed #airdout #vw… https://t.co/pVoucITdSX</t>
  </si>
  <si>
    <t>Abdul Majid</t>
  </si>
  <si>
    <t>Devin Pierson</t>
  </si>
  <si>
    <t>RT @24HoursOfLeMons: The #VW #TDI Scandal never gets old as a LeMons theme ideA. You don't even need a #VW. https://t.co/zbbDILsAyL</t>
  </si>
  <si>
    <t>Grand Rapids</t>
  </si>
  <si>
    <t>Passionate about childhood cancer awareness, funding groundbreaking research at Helen DeVos Children's Hospital &amp; the NMTRC.</t>
  </si>
  <si>
    <t>RoadClowns</t>
  </si>
  <si>
    <t>#AD06JUU #VW with ladders strapped to its roof tailgating, speeding and generally being a twonk! #LowWestwood #DerwentValley</t>
  </si>
  <si>
    <t>Name and shame cars you see doing lunatic things on the road</t>
  </si>
  <si>
    <t>Want the bed recovered? Do it yourself. #dubtoberfest #weekend #DIY #campervan #camper #VW #Volkswagen https://t.co/rt4j72ZZrB</t>
  </si>
  <si>
    <t>Brandywine AutoParts</t>
  </si>
  <si>
    <t>@AmericanPicker #VW https://t.co/vIU9myEujk</t>
  </si>
  <si>
    <t>Maryland, USA</t>
  </si>
  <si>
    <t>Certified Auto Parts Recycler since 1927</t>
  </si>
  <si>
    <t>B. Schroeder</t>
  </si>
  <si>
    <t>Wild East, Germany</t>
  </si>
  <si>
    <t>About dogs: one saves your live (had one), the other turns it upside down (have one). Music: rocks! Global news and politics: thrill like crime fiction.</t>
  </si>
  <si>
    <t>#ich #i #vw #g60 #car #nockenwelle https://t.co/62TZrO6c5i</t>
  </si>
  <si>
    <t>eBay: vw transporter t5 with face lift van… https://t.co/SCPFbFAi7u #vwcamper #vwbus #vw https://t.co/ZEadscsjBy https://t.co/p0kxztemDZ</t>
  </si>
  <si>
    <t>Sarah Wright</t>
  </si>
  <si>
    <t>1952 VW by Milo age 9. #watercolourpainting #painting #vintage #vwbeetle #vw #vintage #Iconic #Cars #BigArtBoost https://t.co/paUiIg8ULJ</t>
  </si>
  <si>
    <t>English artist living in Seattle, Washington. Instagram: swpaintings</t>
  </si>
  <si>
    <t>BUNDESCAR</t>
  </si>
  <si>
    <t>Volkswagen Amarok 2015 / #Volkswagen #Amarok #VW #4x4 #Bundescar https://t.co/Ki7WopNI6M</t>
  </si>
  <si>
    <t>vk.com pages</t>
  </si>
  <si>
    <t>Москва, Россия</t>
  </si>
  <si>
    <t>Немецкие автомобили всегда были известны своим качеством. Во всем мире, наверное, нет автолюбителей, которые не слышали бы о немецких автомобилях.</t>
  </si>
  <si>
    <t>Joh Amarok</t>
  </si>
  <si>
    <t>#Nürburgring #VW Touristenfahrten 2016 #cars https://t.co/cyskr7SiZR</t>
  </si>
  <si>
    <t>---- go hard or go home ---- Motorsport: the best thing in the world! I´m a german motorsport fan and hobby photographer of cars.</t>
  </si>
  <si>
    <t>VW diesel agreement, 2017 Honda Accord Hybrid, Chevy Bolt EV: The Week in Reverse https://t.co/9y1qmjaJ8Y #VW #AutoNews</t>
  </si>
  <si>
    <t>; Mika ♥</t>
  </si>
  <si>
    <t>Beccar, Argentina</t>
  </si>
  <si>
    <t>•20 || Snapchat Floppiichiara || Mika amor de mi vida♡</t>
  </si>
  <si>
    <t>Carsten Bunzeck</t>
  </si>
  <si>
    <t>Wolfsburg, Niedersachsen</t>
  </si>
  <si>
    <t>Explore #VW Social Media @SocialNewsCorp via #Twitter Facebook and Google! https://t.co/rGJquPocrp</t>
  </si>
  <si>
    <t>John Mac</t>
  </si>
  <si>
    <t>Liverpool</t>
  </si>
  <si>
    <t>Husband and Dad to the 2 best people in the world. FA Licensed Coach of @LithoJFC U12's Play both Saturday and Sunday's in Liverpool. Cars &amp; UFC. Thats me!</t>
  </si>
  <si>
    <t>GC Guides (BN)</t>
  </si>
  <si>
    <t>Georgina Campbell's Ireland Guide - Ireland's leading independent hospitality guide</t>
  </si>
  <si>
    <t>Specialties Auto</t>
  </si>
  <si>
    <t>2013 Volkswagen GTI! Thank you for your business, Kyle! #HappyCustomers #Specialties #SpecialtiesAuto #VW #GTI https://t.co/Uu0P8woLh0</t>
  </si>
  <si>
    <t>Bountiful and St. George, Utah</t>
  </si>
  <si>
    <t>High End Cars - Incredible Prices PLUS Full Service Repair Shop</t>
  </si>
  <si>
    <t>jlee_MKV</t>
  </si>
  <si>
    <t>Saturday morning ritual, a clean car makes me happy #vw #jetta https://t.co/F3hMY2Ol5Q</t>
  </si>
  <si>
    <t>mkv jetta 2.5..., dub life! #vw #jetta #mkv #jettaondeteoits #dasauto #eurothing #youwouldntunderstand</t>
  </si>
  <si>
    <t>Maarii</t>
  </si>
  <si>
    <t>Argetina_Mendoza</t>
  </si>
  <si>
    <t>vive y deja vivir</t>
  </si>
  <si>
    <t>Citlali Gaitán López</t>
  </si>
  <si>
    <t>Once upon a time. #old #photo #picoftheday #vw #volkswagen #beetle #vintage #car #model #instapic #instagram #bnw https://t.co/q53FyrjX2I</t>
  </si>
  <si>
    <t>Hoots Mon Vintique</t>
  </si>
  <si>
    <t>RT @Citlali_Gaitan: Once upon a time. #old #photo #picoftheday #vw #volkswagen #beetle #vintage #car #model #instapic #instagram #bnw http…</t>
  </si>
  <si>
    <t>Antique Healbot</t>
  </si>
  <si>
    <t>Buy and Sell Vintage and Antique goods on our app. No fees unlike eBay &amp; Etsy. Give us a go, we're new! Download - https://t.co/u2Rl8TBOnm ✨</t>
  </si>
  <si>
    <t>Nick Gayton</t>
  </si>
  <si>
    <t>@VWsightings my #vwpologti loving the sun today #vw #polo #gti #drive #fields #turbines https://t.co/wBIcKohGuy</t>
  </si>
  <si>
    <t>FireFighter for Northamptonshire Fire and Rescue Service - SRT, SRBO, Animal Rescue. Any views shared on this page are my own.</t>
  </si>
  <si>
    <t>Daniel Berryman</t>
  </si>
  <si>
    <t>High Wycombe</t>
  </si>
  <si>
    <t>Cruiser</t>
  </si>
  <si>
    <t>RT @SkoobyBlueVDub: #vwdub #vw #beetle #aircooled http://t.co/tKg1ZwTiCV</t>
  </si>
  <si>
    <t>HomeIsWhereTheFranzbrötchenIs</t>
  </si>
  <si>
    <t>Nie war ich so wertvoll wie heute.</t>
  </si>
  <si>
    <t>RT @CoolFlo_UK: Happy Easter to all you chocolate #VW fans out there ; ) #splitty #splitscreen #coolflo | https://t.co/osc9GKM5FS https://…</t>
  </si>
  <si>
    <t>Fachmagazin LOGISTRA</t>
  </si>
  <si>
    <t>LOGISTRA - das Praxismagazin für Nfz-Fuhrpark und Lagerlogistik</t>
  </si>
  <si>
    <t>Simon Thurlow</t>
  </si>
  <si>
    <t>Van wash inbetween night shifts #vdub #t5 #instavan #vw #transporter https://t.co/LOE22nWWHT</t>
  </si>
  <si>
    <t>yesterday is history, today is a gift, tomorrow is mystery. lifes good</t>
  </si>
  <si>
    <t>APA Newsletter: Where is VW Canada? https://t.co/KMG2YL0T5S Don't forget to subscribe and stay in the know! #VW https://t.co/RikXxknJ5u</t>
  </si>
  <si>
    <t>mr. fränky</t>
  </si>
  <si>
    <t>Wuppertal/ NRW</t>
  </si>
  <si>
    <t>Account auf Sparflamme ;-) Biker, FC.St.Pauli Fan und BVB-Member</t>
  </si>
  <si>
    <t>eBay: 1984 VOLKSWAGEN TRANSPORTER 2.0 PETROL… https://t.co/anJeuQkHci #vwcamper #vwbus #vw https://t.co/ZEadscsjBy https://t.co/TXYOzwP7OS</t>
  </si>
  <si>
    <t>#vw #scirocco #mk1 #vagmen https://t.co/xSkl5O130d</t>
  </si>
  <si>
    <t>Pedro Echevarria</t>
  </si>
  <si>
    <t>Peru</t>
  </si>
  <si>
    <t>Promuevo la modificación del artículo 25º de la Constitución para establecer una Jornada Laboral Ordinaria de 40 Horas semanales en el Perú.</t>
  </si>
  <si>
    <t>tuningblog</t>
  </si>
  <si>
    <t>Oberhammer!!! StanceNation knippste den #VW #Golf VII #Dreitürer mit Pandem rocketbunny tra-kyoto #Bodykit von... https://t.co/9fdA5EQQA3</t>
  </si>
  <si>
    <t>Breitenbrunn</t>
  </si>
  <si>
    <t>Hier erhaltet Ihr alle News zum Thema Tuning &amp; Styling ! Wir zeigen euch die Tuning &amp; Styling Trends für alle Fahrzeuge.</t>
  </si>
  <si>
    <t>Lookers Volkswagen</t>
  </si>
  <si>
    <t>Who's ordered their brand new Tiguan? We have offers arriving VERY soon! #VW #Tiguan https://t.co/kEFkMMIkfG</t>
  </si>
  <si>
    <t>Welcome to Lookers Volkswagen! Representing VW in the North West, North East, South East &amp; London. Like us on Facebook http://t.co/5HXp01I6OV. #CustomersForLife</t>
  </si>
  <si>
    <t>You know what day it is! #SideShotSaturday #ACVWPassion #Volkswagen #VW https://t.co/UmhXaD2GhF</t>
  </si>
  <si>
    <t>RT @LookersVW: Who's ordered their brand new Tiguan? We have offers arriving VERY soon! #VW #Tiguan https://t.co/kEFkMMIkfG</t>
  </si>
  <si>
    <t>Toby Knights</t>
  </si>
  <si>
    <t>⚫️ Sealed with Megauirs Wax ✔️ #volkswagen #vw #golf #gti #mk5 #ed30 #edition30 #edition38 #dsg… https://t.co/SDJIwkAzYe</t>
  </si>
  <si>
    <t>Norwich</t>
  </si>
  <si>
    <t>Don't be a sheep.. Be yourself ✌️</t>
  </si>
  <si>
    <t>Ben Lee</t>
  </si>
  <si>
    <t>Check out VW T5.1 - Standard Wheels and Tyres https://t.co/S0PLMGoB31 @eBay @Volkswagen_T5 @UKVolkswagen @Volkswagen_CV #VW #t5 #van #wheels</t>
  </si>
  <si>
    <t>all views are my own</t>
  </si>
  <si>
    <t>LE SPORTIF Z !!!!</t>
  </si>
  <si>
    <t>A vos marques , prêt , feux , PARTEZ !!! 🚦🚗⛽️🇩🇪 #Gamos #Bolide #scirocco #allemande #VW #Audi #BMW #Porsche https://t.co/N7MjGc7Ky8</t>
  </si>
  <si>
    <t>a fond dans le Sport plus particulierement dans la Muscu et les Voitures de Sport ! #Team243 #TeamZ #TeamSportif #TeamMusculation #TeamPSG</t>
  </si>
  <si>
    <t>Diana Tews</t>
  </si>
  <si>
    <t>One way train ticket to Stamford...wheels on the way back!!!🚗🌬🌬🌬🌬🌬🌬🌬 #VW</t>
  </si>
  <si>
    <t>I don't make my bed often enough.</t>
  </si>
  <si>
    <t>alleine das dieses #VW-Windei noch eine Plattform für sein asoziale Verhalten erhält ist ein Skandal https://t.co/MIb7ZzCdLm</t>
  </si>
  <si>
    <t>eBay: 2007 VOLKSWAGEN BEETLE 1.6 Luna https://t.co/ozuv1BJ3Ru #vwbeetle #vwbug #vw https://t.co/xvfL74PTgl https://t.co/eHWp9d3EXI</t>
  </si>
  <si>
    <t>Alexander Stepanov</t>
  </si>
  <si>
    <t>Вот так и проходят выходные дни 🍾💻😎😉 #фольксваген #туарег #vw #touareg #mac #macbook #prosecco @… https://t.co/FoMNj7x9UC</t>
  </si>
  <si>
    <t>Я не сумасшедший, просто ум у меня не такой, как у вас.</t>
  </si>
  <si>
    <t>Worcester Pictures</t>
  </si>
  <si>
    <t>Worcester, UK</t>
  </si>
  <si>
    <t>Pictures past &amp; present of Worcester &amp; surrounding areas - Use #worcester or #worcpic for a retweet - Created by @DazGrove</t>
  </si>
  <si>
    <t>Castrol Argentina</t>
  </si>
  <si>
    <t>#WRC Velocidad + Resistencia -&gt; #EquipoCastrol #VW #CastrolArg https://t.co/7PnhJK4QtJ</t>
  </si>
  <si>
    <t>Es más que solo aceite, es ingeniería líquida. También en: http://t.co/570Gyb6Ywv</t>
  </si>
  <si>
    <t>#WRC #RallyArgentina #VW #Latvala Ралли Аргентины, СУ12: Латвала отвечает на темп Пэддона https://t.co/GgzI0HoO5Q https://t.co/7eMRbqXEhP</t>
  </si>
  <si>
    <t>Mich würde nach dem heutigen Spieltag interessieren, wieviel € die #WOB Truppe gekostet hat und wieviel #VW da reingepumpt hat!</t>
  </si>
  <si>
    <t>FalconPro3</t>
  </si>
  <si>
    <t>Ihrefeld - Effzeh - Familie - spaßorientiert - Südkurve S2 - Urlaub - Paul und Linus</t>
  </si>
  <si>
    <t>eBay: 2004 VOLKSWAGEN BEETLE 1.9 TDi https://t.co/V7UfyriPcN #vwbeetle #vwbug #vw https://t.co/xvfL74PTgl</t>
  </si>
  <si>
    <t>About an Hour</t>
  </si>
  <si>
    <t>Colorado, USA</t>
  </si>
  <si>
    <t>From city center, or an airport, to a great location - along with a car review!</t>
  </si>
  <si>
    <t>autofrei leben!</t>
  </si>
  <si>
    <t>autofrei leben! e.V. ist Plattform und Sprachrohr von Millionen autofreier Menschen. Sie verweigern sich dem Autowahn und sind auch mobil - aber besser!</t>
  </si>
  <si>
    <t>nur wo sind die #Opel? sehe nur #Seat, #Honda und #VW in #Estoril vorne? 😳 @TCRIntl @Racingblog</t>
  </si>
  <si>
    <t>ScruffyDogSilver</t>
  </si>
  <si>
    <t>Ossie' with her new sticker! #allstars #vw #kombi #stickers #earlybay #1972bay #santapodraceway… https://t.co/NLozY1Fsjk</t>
  </si>
  <si>
    <t>Northampton, UK</t>
  </si>
  <si>
    <t>El #nuevo #Volkswagen #up! 😃 El #auto más #seguro en su segmento con 5* #Latin #NCAP 👍 #diferenteatodo #rojo #vw https://t.co/plhyo6kdIw</t>
  </si>
  <si>
    <t>RT @JamesDerom: Good read about environmental impact of diesel cars. #dieselgate #lobby #vw https://t.co/GneTx5LfXl</t>
  </si>
  <si>
    <t>Day off work &amp; done lots to the camper✌🏻️😊 #vw #campervan</t>
  </si>
  <si>
    <t>Boxes Radio</t>
  </si>
  <si>
    <t>RT @CastrolArg: #WRC Velocidad + Resistencia -&gt; #EquipoCastrol #VW #CastrolArg https://t.co/7PnhJK4QtJ</t>
  </si>
  <si>
    <t>Parada obligada en #Boxes. Lunes a viernes a las 17:00 por AM 810 Radio Federal. Con @LucianoKinder @Litardo_GermanC y @PaulinoHernandz</t>
  </si>
  <si>
    <t>JüN</t>
  </si>
  <si>
    <t>Nice weather São Paulo. #vw #type2 #bus #saopaulo #brazil #sunnyday #park @ São Paulo, Brazil https://t.co/HmcNBkqq8J</t>
  </si>
  <si>
    <t>I LIKE GOKART , PHOTO AND MUSIC.</t>
  </si>
  <si>
    <t>German Litardo</t>
  </si>
  <si>
    <t>Buenos Aires</t>
  </si>
  <si>
    <t>Lic. Periodismo - Journalist / Radio y TV - Animador. Actual @BoxesRadio Antes Automovilismo @TV_Publica y @CarburandoTV @TyCSports Vuelta Previa. Quemero</t>
  </si>
  <si>
    <t>Andy Armstrong</t>
  </si>
  <si>
    <t>Burbank, CA</t>
  </si>
  <si>
    <t>http://t.co/G31WgkBIDj</t>
  </si>
  <si>
    <t>さき</t>
  </si>
  <si>
    <t>#usdm #jdm #vw #TOYOTA https://t.co/YDEtjRwhaz</t>
  </si>
  <si>
    <t>゜⋆。゜⋆○ｏ｡..:*･hella flush･*:..｡ｏ○。゜⋆。゜⋆ #usdm #jdm #eudm #stance #drag #drift</t>
  </si>
  <si>
    <t>Brian Sutlieff</t>
  </si>
  <si>
    <t>RT @SantaPodRaceway: #BigBang Camper &amp; Bus Show continues today with all array of beautiful #VW’s on show #SantaPod #PODstagram https://t.c…</t>
  </si>
  <si>
    <t xml:space="preserve">Somerset, England. </t>
  </si>
  <si>
    <t>Old bikes, Landrovers. VW bug fixer and butler to the family.</t>
  </si>
  <si>
    <t>#vwg1coc #allbeneed #vw #vwgolf #vwlove #vwlife #vwclub #vwgolfmk1 #vwcaddy #vwgolf1 #vwgolf1cabrio #vwgolf1 #mk1go… https://t.co/Dila66bfsA</t>
  </si>
  <si>
    <t>Chrome purple, yes or no? It's a yes from me! Follow: @vwlife__ @vwlife__ @vwlife__ @vwlife__ #vw #volks #volksw… https://t.co/QZOBblXS5A</t>
  </si>
  <si>
    <t>https://t.co/Jj1VHZ2IIA - #vwtransportert5 #vwtransporter #vw #vwt5 #T5 #vdub #battlerope… https://t.co/VYBkgiyMok https://t.co/afliqbjE4Y</t>
  </si>
  <si>
    <t>eBay: VW T25 Camper Van Devon 1.6 Diesel https://t.co/onVpDgTiWC #vwcamper #vwbus #vw https://t.co/ZEadscsjBy https://t.co/VTXrJcgior</t>
  </si>
  <si>
    <t>RT @lobbycontrol: Überraschendes Update: #Bertelsmann Stiftung ist mit #DeutscheBank &amp; #VW plötzlich unter den deutschen Top-3-Lobbyakteure…</t>
  </si>
  <si>
    <t>Titilayo Olatunji</t>
  </si>
  <si>
    <t>RT @vw94: Before #VW makes a move she thinks it out and weighs her options on whats best for her family.</t>
  </si>
  <si>
    <t>Nigeria</t>
  </si>
  <si>
    <t>In CHRIST ALONE my HOPE is FOUND</t>
  </si>
  <si>
    <t>@aucklandcastle Thanks for the follow. Check out r website, great deals on classic #VW #Camper #holidays &amp; more! https://t.co/BcHdw7gkOl</t>
  </si>
  <si>
    <t>Jens Wursthorn</t>
  </si>
  <si>
    <t>@ntvde #WOBFCA ist Wettbewerbsverzerrung gewesen! Aber damit kennt sich #vw #Wolfsburg ja aus!</t>
  </si>
  <si>
    <t>St. Georgener Berufsnachrichtensammler und Wahl-Furtwanger mit Rastatter Wurzeln</t>
  </si>
  <si>
    <t>Vis Mon Van</t>
  </si>
  <si>
    <t>A #vw #combi transformed into a bar. Perfect place for a beer! https://t.co/kAEetlGpUC</t>
  </si>
  <si>
    <t>1979 #BayWindow adventures. The #vw #combi for the best (and also for the worst) #roadtrip #travel #food #vw #bbq #outdoor #vanlife #family</t>
  </si>
  <si>
    <t>Fernando Hernandez</t>
  </si>
  <si>
    <t>#gtifharenheit #gti #gtimk5 #volkswagen #vw #fharenheitgti #loweredlife #lowerlifestyle… https://t.co/YJ6wstP3AH</t>
  </si>
  <si>
    <t>Bloomington IL</t>
  </si>
  <si>
    <t>Ray Bangs</t>
  </si>
  <si>
    <t>these are a couple of world class travelers... #VW #sprinter</t>
  </si>
  <si>
    <t>#travel writer, photographer, webmaster, scuba diver, army veteran, and former show announcer for the harlem globetrotters / https://t.co/a6TZ5YtxyI</t>
  </si>
  <si>
    <t>Sweet #vw #caddy down the beach today #Tenby https://t.co/cZVvvgKF9l</t>
  </si>
  <si>
    <t>Baboon Cuddles</t>
  </si>
  <si>
    <t>Really enjoying the wrap creator on the new #needforspeed #vw #golf #mk1gti #wrigleys #rally https://t.co/ZkpoAOySnh</t>
  </si>
  <si>
    <t>Student, co-founder of Hex Management and manager of Espielle and GBC</t>
  </si>
  <si>
    <t>Felix_Pig</t>
  </si>
  <si>
    <t>Abgasskandal Lügt Dobrindt wie gedruckt? Doofprint, der verkehrte Minister. #vw https://t.co/YJT3zohRaA</t>
  </si>
  <si>
    <t>Political Photomontage</t>
  </si>
  <si>
    <t>#VW #dieselgate settlement: #consumers can choose a fix or a buyback https://t.co/r8mP277eWH</t>
  </si>
  <si>
    <t>Auckland Castle</t>
  </si>
  <si>
    <t>RT @CastleCoastCamp: @aucklandcastle Thanks for the follow. Check out r website, great deals on classic #VW #Camper #holidays &amp; more! https…</t>
  </si>
  <si>
    <t>Bishop Auckland</t>
  </si>
  <si>
    <t>Historic Auckland Castle, home to the Prince Bishops of Durham for over 900 years. Why not follow our tearoom too @librarytearoom</t>
  </si>
  <si>
    <t>Alessio Bellucci</t>
  </si>
  <si>
    <t>SIMPLY. ☝️ #volkswagen #vw #golf #golf2 #mk2 #night #nightmeeting #volkswagengolf #vwgolf… https://t.co/LRYWVrNmys</t>
  </si>
  <si>
    <t>Capo della BELLUX PRODUCTION e Pilota amatoriale. Odio tutti, in qualsiasi ambito, e me vado fiero.</t>
  </si>
  <si>
    <t>So fresh and clean after his date at car spa. #cars #golfr #vw #euro #carporn #fun #carwash #car… https://t.co/s6cKDKdxss</t>
  </si>
  <si>
    <t>#VW snubs European #customers after agreeing to fix #dieselgate issues https://t.co/kaz28CcLdX</t>
  </si>
  <si>
    <t>Votel Travels</t>
  </si>
  <si>
    <t>23 HAWLEY ST, CAMDEN TOWN, LONDON UK NW1 8AG Otto Schade - Rhino Zero #streetart #graffiti #vanlife #vw #uk #travel https://t.co/7YQEFfj0XM</t>
  </si>
  <si>
    <t>Vehicle + Hotel = Votel. The world is too big to live a life in one place.</t>
  </si>
  <si>
    <t>Zuercher Markus</t>
  </si>
  <si>
    <t>Wollen sie auch ein Auto 2 Jahre kostenlos haben? https://t.co/AZVgcEhKck #kostenlos #auto #schnäppchen #BMW #golf #VW #Opel #mlm2016</t>
  </si>
  <si>
    <t>International wealth management company that offers most exciting global investments https://t.co/8DnwzUzCKU</t>
  </si>
  <si>
    <t>Tischer Christa</t>
  </si>
  <si>
    <t>Wollen sie auch ein Auto 2 Jahre kostenlos haben? nullauto.ch #kostenlos #auto #schnäppchen #BMW #golf #VW #Opel #mlm2016</t>
  </si>
  <si>
    <t>Amazing 5 Limited is an international wealth management company that offers the most exciting global investments https://t.co/8DnwzUzCKU</t>
  </si>
  <si>
    <t>Joe</t>
  </si>
  <si>
    <t>RT @dejbanlaw: #VW #dieselgate settlement: #consumers can choose a fix or a buyback https://t.co/r8mP277eWH</t>
  </si>
  <si>
    <t>19, Derby.</t>
  </si>
  <si>
    <t>World's worst gambler.</t>
  </si>
  <si>
    <t>metindevrik</t>
  </si>
  <si>
    <t>#bmw #vw #caravelle #vip #kutsalcumartesi 🚐💨〽️〽️〽️ (@ osmanlı plastik w/ @oknqlr) https://t.co/iPQrMk7Bx4 https://t.co/L9EvwTelcF</t>
  </si>
  <si>
    <t>Foursquare</t>
  </si>
  <si>
    <t>Mtn Auto Servis Rent a Car</t>
  </si>
  <si>
    <t>sadece Mtn ✌️</t>
  </si>
  <si>
    <t>Willy Zuniga</t>
  </si>
  <si>
    <t>El juguete nuevo del Tío! #newtoy #truck #vw #optimus2 https://t.co/dePibwO0mG</t>
  </si>
  <si>
    <t>Estudiante de InJeniería en la #Uchile y procrastinador amateur. Casi ciego del ojo izquierdo y con poquito filtro pa' comentar.</t>
  </si>
  <si>
    <t>Soda</t>
  </si>
  <si>
    <t>sugar peas!League of Legends Gold V, ign: Soda Porp</t>
  </si>
  <si>
    <t>eBay: Camper van ldv /transit/… https://t.co/PoS1Bqc7Kw #vwcamper #vwbus #vw https://t.co/ZEadscsjBy https://t.co/GZMmYbd0P2</t>
  </si>
  <si>
    <t>Branko Čović</t>
  </si>
  <si>
    <t>Prvi put vidim ovakvo narodno vozilo #vw https://t.co/7dvewcFm1h</t>
  </si>
  <si>
    <t>Split, Croatia</t>
  </si>
  <si>
    <t>freelance photographer, babysitter</t>
  </si>
  <si>
    <t>Lucy Hawthorne</t>
  </si>
  <si>
    <t>RT @dejbanlaw: #VW snubs European #customers after agreeing to fix #dieselgate issues https://t.co/kaz28CcLdX</t>
  </si>
  <si>
    <t>42° South</t>
  </si>
  <si>
    <t>wannabe gardener, artist, Dr, writer, dog lover, wine and coffee enthusiast, procrastinator</t>
  </si>
  <si>
    <t>Joe Moore</t>
  </si>
  <si>
    <t>Head wrestling coach Cedarburg H.S., ACE CPT, TRX Group Fitness Instructor, INSANITY instructor, Masters in Counseling, FRIAS Health &amp; Wellness Consulting LLC.</t>
  </si>
  <si>
    <t>Turner Volkswagen</t>
  </si>
  <si>
    <t>Congratulations Angela on your new Golf! Welcome to the Turner family! 😊#turnervw #vwlove #VW @… https://t.co/WuTDx1bwmX</t>
  </si>
  <si>
    <t>Muddy Waters-Gründer Block: "Es gibt Parallelen zwischen #VW und #Ströer“ - https://t.co/ciPPJxl5xg</t>
  </si>
  <si>
    <t>Wedding Cars Leeds</t>
  </si>
  <si>
    <t>Lottie being welcoming as ever on a beautiful spring day in Otley #camper #wedding #VW #TYWCC https://t.co/tIGRDesiFZ</t>
  </si>
  <si>
    <t>Leeds, Yorkshire</t>
  </si>
  <si>
    <t>Welcome to The Yorkshire wedding car company, we are based in Leeds and hire wedding cars all throughout Yorkshire.</t>
  </si>
  <si>
    <t>Big A Auto</t>
  </si>
  <si>
    <t>#beetle #vwbeetle #vw #redbeetle #pinkbeetle @ Big A Auto Salvage Auto Sales https://t.co/AMvAbWEAcT</t>
  </si>
  <si>
    <t xml:space="preserve">192 manalapan rd spotswood nj </t>
  </si>
  <si>
    <t>like what you see here? view more on https://t.co/5kqUZI4pZL</t>
  </si>
  <si>
    <t>Carlos Rozen</t>
  </si>
  <si>
    <t>#Mitsubishi admite, al igual que #VW fraude en pruebas de emisiones y #Nisan También afectado https://t.co/GCiq3Rb8yG</t>
  </si>
  <si>
    <t>Pte.de la Asoc. Arg. de Ética y Compliance | Socio BDO Arg (GRC). Director de la Cert Int de Ética y Compliance. No entiendo porque alguien querría seguirme!</t>
  </si>
  <si>
    <t>eBay: VW Splitscreen camper van 1963 https://t.co/Lob27T4AwW #vwcamper #vwbus #vw https://t.co/ZEadscsjBy https://t.co/mTBALDmfWY</t>
  </si>
  <si>
    <t>A striking shot of Lottie shining bright despite the dark clouds #VW #camper #weddingcar #vintage #yorkshire https://t.co/TmBV3VuD6Z</t>
  </si>
  <si>
    <t>VW of Crystal Lake</t>
  </si>
  <si>
    <t>Delivering an iconic style from the very beginning. #VW https://t.co/NFZFF7f5Rv</t>
  </si>
  <si>
    <t>Crystal Lake, IL</t>
  </si>
  <si>
    <t>5213 Northwest Hwy, Crystal Lake, IL, 60014 | 815-455-9600 | http://t.co/uRMxzKpEi5</t>
  </si>
  <si>
    <t>tiffanymarie</t>
  </si>
  <si>
    <t>chicago</t>
  </si>
  <si>
    <t>Camper Spotting</t>
  </si>
  <si>
    <t>RT @vintagevwdita: #VW #beetle or a #campervan ? Both! &amp; plenty of them! How's this for a VW #wedding? @CamperSpotting @Campervan_Andy http…</t>
  </si>
  <si>
    <t xml:space="preserve">Worldwide </t>
  </si>
  <si>
    <t>spot a VW camper on the road, tweet us a picture and we will RT it. A fun way to show off your camper and spot others. CLICK ON VIEW MORE PHOTOS FOR GALLERY</t>
  </si>
  <si>
    <t>مورسيلاغو</t>
  </si>
  <si>
    <t xml:space="preserve">Where The Wild Things Are </t>
  </si>
  <si>
    <t>When life hands you lemons yada yada.IG: @Foreign_Savage_ Kik: @1BaddMF</t>
  </si>
  <si>
    <t>RT @VolkerVotsmeier: Muddy Waters-Gründer Block: "Es gibt Parallelen zwischen #VW und #Ströer“ - https://t.co/ciPPJxl5xg</t>
  </si>
  <si>
    <t>Mayerlis.</t>
  </si>
  <si>
    <t>-Ahogada en ilusiones vacias-</t>
  </si>
  <si>
    <t>16. [JUEVES24DEOCTUBREDEL2013]~ Stiven Sanchez3. -¿Mi ídolo? Felipe Peláez. Snapchat: mayerlissernac</t>
  </si>
  <si>
    <t>Sir Alex Ferguson</t>
  </si>
  <si>
    <t>Old Trafford dugout #NH</t>
  </si>
  <si>
    <t>Red-Nosed, Scouse-Beating, Perch-Knocking, Title-Winning, Stand-Naming, Record-Breaking Scotsman. Once murdered a man using a football boot. I follow back. #20</t>
  </si>
  <si>
    <t>A$VP Lukey</t>
  </si>
  <si>
    <t>senior | ky | #pioneernation | @SaraKoester4</t>
  </si>
  <si>
    <t>Ferd</t>
  </si>
  <si>
    <t>Maracay - VENEZUELA.</t>
  </si>
  <si>
    <t>Llevo a Venezuela tatuada en el alma. Ink.</t>
  </si>
  <si>
    <t>Sergey Kuznetsov</t>
  </si>
  <si>
    <t>#berlin #germany #car #vw #porshe #porsheclub #porsche911 #sportcars @ Volkswagen Forum https://t.co/FamoFfqPss</t>
  </si>
  <si>
    <t>Teresa L</t>
  </si>
  <si>
    <t>The 'Pink Moon' ad w/ Nick Drake's tune that made me get a #VW #Cabrio all those years ago-&gt;&amp;gt;https://t.co/YcsuCWZlEe https://t.co/Ia2K9RZHz3</t>
  </si>
  <si>
    <t>#berlin #germany #car #vw #porshe #porsheclub #porsche911 #sportcars @ Volkswagen Forum https://t.co/pHB9pk0mCw</t>
  </si>
  <si>
    <t>القصير-جده</t>
  </si>
  <si>
    <t>‏الحساب الرسمي لفرع شركة القصير بجده (خاص بالحفلات )</t>
  </si>
  <si>
    <t>#berlin #germany #car #vw #porshe #porsheclub #porsche911 #sportcars @ Berlin, Germany https://t.co/AqVVgbqNvc</t>
  </si>
  <si>
    <t>Stacey Kimber</t>
  </si>
  <si>
    <t>Aw his love for beetle bugs is too cute 😍 #vw #beetle #lovethem #lovehim 💙 https://t.co/qnYWH1MOgo</t>
  </si>
  <si>
    <t>Folkestone, England</t>
  </si>
  <si>
    <t>Leave a little sparkle wherever you go ✨</t>
  </si>
  <si>
    <t>eBay: VW T4 Transporter Camper https://t.co/JpQczqt4yl #vwcamper #vwbus #vw https://t.co/ZEadscsjBy https://t.co/6AyDKDEsFz</t>
  </si>
  <si>
    <t>#berlin #germany #car #vw #porshe #porsheclub #porsche911 #sportcars @ Berlin, Germany https://t.co/8ua6seYGNF</t>
  </si>
  <si>
    <t>comobility.co</t>
  </si>
  <si>
    <t>Grimbergen (Belgium)</t>
  </si>
  <si>
    <t>Community for concepts of interconnected &amp; intermodal mobility ( for people, vehicles and traffic) provides information on intermodality (sharing,PT,E-mobility)</t>
  </si>
  <si>
    <t>Stop Schild</t>
  </si>
  <si>
    <t>RT: handelsblatt: RT VolkerVotsmeier: Muddy Waters-Gründer Block: "Es gibt Parallelen zwischen #VW und #Ströer“ - https://t.co/h6kl8dVtG3</t>
  </si>
  <si>
    <t>Franco</t>
  </si>
  <si>
    <t>Gary Hayman</t>
  </si>
  <si>
    <t>Astra named in Government list of cars passing emissions limits on road https://t.co/VFizGWx87r &lt; Any worldwide condemnation on this? #VW</t>
  </si>
  <si>
    <t>31 years old and tend to be a bit grumpy. Interested in politics, motoring, UK Travel and a disgruntled Sunderland supporter.</t>
  </si>
  <si>
    <t>FanCar Picture - Send me your Scirocco pictures!!! (PM Please) #VW #Volkswagen #Scirocco #Tuning https://t.co/N580dhp6BT</t>
  </si>
  <si>
    <t>#berlin #germany #car #vw #seat #sportcars @ Volkswagen Forum https://t.co/W2XaeVeTXO</t>
  </si>
  <si>
    <t>RT @VotelTravels: 23 HAWLEY ST, CAMDEN TOWN, LONDON UK NW1 8AG Otto Schade - Rhino Zero #streetart #graffiti #vanlife #vw #uk #travel http…</t>
  </si>
  <si>
    <t>#berlin #germany #car #vw #porshe #porsheclub #porsche911 #sportcars https://t.co/VhWUFPzKvs</t>
  </si>
  <si>
    <t>BANDO BANKROLL MAFIA</t>
  </si>
  <si>
    <t>London ✈️Essex ✈️Miami ✈️Lagos</t>
  </si>
  <si>
    <t>Balling on these niggas like I'm JOHN WALL !!!</t>
  </si>
  <si>
    <t>#berlin #germany #car #vw #porshe #porsheclub #porsche911 #sportcars https://t.co/P9V65cJRFk</t>
  </si>
  <si>
    <t>#berlin #germany #car #vw #porshe #porsheclub #porsche911 #sportcars https://t.co/Vq3GoDnwyA</t>
  </si>
  <si>
    <t>#berlin #germany #car #vw #porshe #porsheclub #porsche911 #sportcars https://t.co/Zn7FU2NkGg</t>
  </si>
  <si>
    <t>#berlin #germany #car #vw #porshe #porsheclub #porsche911 #sportcars #spider @ Berlin, Germany https://t.co/Sf3FxqDA9s</t>
  </si>
  <si>
    <t>Marijke</t>
  </si>
  <si>
    <t>@YoeriAlbrecht oplichting, miljarden verlies en toch flinke bonus...dat ruikt naar vriendjespolitiek. #VW</t>
  </si>
  <si>
    <t>Hoofdstad van Noord-Brabant</t>
  </si>
  <si>
    <t>eBay: VW BEETLE 1.6 CONVERTIBLE 2005 OW05ACU https://t.co/9bEGy8Ox9E #vwbeetle #vwbug #vw https://t.co/xvfL74PTgl https://t.co/WQSIsSJvDY</t>
  </si>
  <si>
    <t>PRESD.of #TEAMtab</t>
  </si>
  <si>
    <t>ST. LOUIS</t>
  </si>
  <si>
    <t>#SHOWOUTENT C.E.O #BMG 4life #TEAMTAB #president #CMGDJZ #teamheat #teamkingjames #teamwade ONLY 1 LIFE TO LIVE SO LIVE IT!!!!!!!</t>
  </si>
  <si>
    <t>#berlin #germany #car #vw #porshe #porsheclub #porsche911 #sportcars https://t.co/EEn0G40R8S</t>
  </si>
  <si>
    <t>#berlin #germany #car #vw #porshe #porsheclub #porsche911 #sportcars https://t.co/d0NiClkgNv</t>
  </si>
  <si>
    <t>Nick Ferro-Giaccone</t>
  </si>
  <si>
    <t>Jensen Beach, Florida</t>
  </si>
  <si>
    <t>Shoe fanatic. Die hard yankees and heat fan. Born and raised in SoFlo. Every ounce of spare time goes to playing ball and collecting shoes. 772-215-2918</t>
  </si>
  <si>
    <t>#berlin #germany #car #vw #porshe #porsheclub #porsche911 #sportcars #sport https://t.co/7XgqR3XoQ4</t>
  </si>
  <si>
    <t>slightly stoopid</t>
  </si>
  <si>
    <t>Worthing</t>
  </si>
  <si>
    <t>CarBros</t>
  </si>
  <si>
    <t>Well, guys (especially @Volkswagen owner), what you think of this decision? #vw #scandal #tdi #autoinsight #usedcar https://t.co/2oKHG6wfj5</t>
  </si>
  <si>
    <t>Hey, Bros! CarBros Used Car Listings bring all cars available in one place, just for you!</t>
  </si>
  <si>
    <t>Abru LMP#17</t>
  </si>
  <si>
    <t>HASHTAG      JereGonzalez❤</t>
  </si>
  <si>
    <t>Ig: abru_muller Snap: abrumuller</t>
  </si>
  <si>
    <t>sami1998</t>
  </si>
  <si>
    <t>Tech and car geek</t>
  </si>
  <si>
    <t>Jim Nelson</t>
  </si>
  <si>
    <t>2016 Passat gasoline powered mid-size sedan does right fine without a diesel in the line #passat #VW @VW https://t.co/pdSsO9OvQu</t>
  </si>
  <si>
    <t>Austin Texas</t>
  </si>
  <si>
    <t>Journalist driving and writing reviews about cars and trucks as key elements of quality of life. Comments &amp; reports on news and views in automotive industry</t>
  </si>
  <si>
    <t>Challench King</t>
  </si>
  <si>
    <t>de matu❤</t>
  </si>
  <si>
    <t>RT @vagsalpiso: El Borita de @jonyhaberkorn #VagsAlPiso @RaspandoCarterr @LimandoElPisoPM @tocando_piso #bora #vw #volkswagen Rt! http://t.…</t>
  </si>
  <si>
    <t>Bahia Blanca</t>
  </si>
  <si>
    <t>✖Ni te miro, ni te copio, tengo estilo propio.</t>
  </si>
  <si>
    <t>امين الصبحي</t>
  </si>
  <si>
    <t>jeddah</t>
  </si>
  <si>
    <t>اعشق التحديات اتحادي بالفطره وهنا امثل نفسي لا اكثر #الاتحاد #مدريد فيفا 15 لمن يريد التحدي meeno_22amin_aboharb my instagram</t>
  </si>
  <si>
    <t>VolkswagenofWindsor</t>
  </si>
  <si>
    <t>Volkswagen has and always will be there for people at every stage of their lives. https://t.co/0P4jfYs0Jc #VW #Volkswagen</t>
  </si>
  <si>
    <t>Windsor, Ontario</t>
  </si>
  <si>
    <t>Come Visit us for all your Sales, Service, and Parts needs for your Volkswagen in the Greater Windsor Area.</t>
  </si>
  <si>
    <t>Mark Scott</t>
  </si>
  <si>
    <t>One man. One Mission. One Goal. Success. Failure is not an option. #People'sChampion</t>
  </si>
  <si>
    <t>Christian Höferle</t>
  </si>
  <si>
    <t>Some interesting positions here: "Hubris made #Volkswagen settle with the U.S." https://t.co/YosB6sHlbt #VW #CHA https://t.co/nQ6UifEk1j</t>
  </si>
  <si>
    <t>#CHA #ATL #MUC • #USA #Germany</t>
  </si>
  <si>
    <t>Husband • Dad • Developer of Global Leaders • Coach • Trainer • Bridge Builder • #TheCultureGuy • Enlightened Warrior &amp; Wizard • CEO at The @CultureMastery</t>
  </si>
  <si>
    <t>Anna Kochetkova</t>
  </si>
  <si>
    <t>Social Media Strategist @ YoursSocially | B2B &amp; B2C Marketing | Writer &amp; Journalist | The Content Queen Founder</t>
  </si>
  <si>
    <t>eBay: T4 camper https://t.co/tTkGXhVr0v #vwcamper #vwbus #vw https://t.co/ZEadscsjBy https://t.co/2XMbLUEHLa</t>
  </si>
  <si>
    <t>-</t>
  </si>
  <si>
    <t>Leave</t>
  </si>
  <si>
    <t>Dazvw</t>
  </si>
  <si>
    <t>@holliemc23 @kaymc49 on the rock city at #santapodraceway #bigbang #vw @ Official Santa Pod Raceway https://t.co/CiTYrToNt8</t>
  </si>
  <si>
    <t>VwT5camper driver</t>
  </si>
  <si>
    <t>Max Mahone</t>
  </si>
  <si>
    <t>With Austin on stage</t>
  </si>
  <si>
    <t>Once a Mahomie always a mahomie.</t>
  </si>
  <si>
    <t>Beetle Pics</t>
  </si>
  <si>
    <t>RT @yunusemrkaraman: BİZİDE ÇOK ÜZDÜLER AMA ACIMIZI ASFALTTAN ÇIKARDIK ... #Vosvos #volkswagen #vw #oldbeetle https://t.co/0g1hL4iAOg</t>
  </si>
  <si>
    <t>#Volkswagen #Beetle #vwbeetle #Käfer #Escarabajo #ビートル #Жук #vosvos #vocho #fusca #vwbug #maggiolino</t>
  </si>
  <si>
    <t>RT @acvwpassion: What a magnificent view. #ACVWPassion #VW #Volkswagen #AirCooled https://t.co/4BiwUfdie8</t>
  </si>
  <si>
    <t>인피니트</t>
  </si>
  <si>
    <t xml:space="preserve">thailand </t>
  </si>
  <si>
    <t>♥ 인피니트 ♥ EVERYTHING ABOUT INFINITE</t>
  </si>
  <si>
    <t>G. Radunski</t>
  </si>
  <si>
    <t>RT @stasikasper: alleine das dieses #VW-Windei noch eine Plattform für sein asoziale Verhalten erhält ist ein Skandal https://t.co/MIb7ZzCd…</t>
  </si>
  <si>
    <t>jetzt Ottobrunn, vorm. Plauen</t>
  </si>
  <si>
    <t>Der Islam gehört so zu Deutschland, wie Scheiße auf den Eßtisch. Deshalb wähle ich AfD, damit die Scheiße nicht auf meinen Tisch kommt.</t>
  </si>
  <si>
    <t>Lalito Ramirez</t>
  </si>
  <si>
    <t>Reedsburg, Wisconsin</t>
  </si>
  <si>
    <t>15 years old | Straight | Brony | Whovian | Otaku | Touhou fan | osu! master username: Fluttershy27 | Xbox live gt: REA Applebloom | steam: mexibrony |</t>
  </si>
  <si>
    <t>Laura Jayne ♡</t>
  </si>
  <si>
    <t>21 | UK</t>
  </si>
  <si>
    <t>Please excuse the profanity in advance.</t>
  </si>
  <si>
    <t>PREMCHAND</t>
  </si>
  <si>
    <t>RT @indianautos: #VW #Polo #AllStar spied ahead of its Indian launch https://t.co/pP2hRQCbH6 https://t.co/5EPfWN4q1I</t>
  </si>
  <si>
    <t>Pune,India</t>
  </si>
  <si>
    <t>|Passionate,Realistic,Euphoric,Mystic|Motor Noter and blogger by passion &amp; Auto Manufacturing by profession|Following Brands,Cars,Lifestyle &amp; Social Welfare|</t>
  </si>
  <si>
    <t>Beetle/Vocho/Fusca - #fusca #beetle #vocho #vw #volkswagen #vintagecar #old #oldcar #fuscabrasil #lovefusca #lovebe… https://t.co/EBBoYVdHLE</t>
  </si>
  <si>
    <t>Sooolchuu!</t>
  </si>
  <si>
    <t>Tucumana. |Col. Guillermina - MIC |Disfrutando el momento</t>
  </si>
  <si>
    <t>Digitale Führung</t>
  </si>
  <si>
    <t>R.I.P #VW #bosch #digitaltransformation https://t.co/mCm1bjdSZN</t>
  </si>
  <si>
    <t>Das (E-)Buch zur Digitalen Führung. Out Now! Hier twittern die Autoren noch persönlich.</t>
  </si>
  <si>
    <t>Beetle/Vocho/Fusca - #fusca #beetle #vocho #vw #volkswagen #vintagecar #old #oldcar #fuscabrasil #lovefusca #lovebe… https://t.co/M0eupew9Wm</t>
  </si>
  <si>
    <t>Beetle/Vocho/Fusca - #fusca #beetle #vocho #vw #volkswagen #vintagecar #old #oldcar #fuscabrasil #lovefusca #lovebe… https://t.co/FLTHVMKLun</t>
  </si>
  <si>
    <t>Beetle/Vocho/Fusca - #fusca #beetle #vocho #vw #volkswagen #vintagecar #old #oldcar #fuscabrasil #lovefusca #lovebe… https://t.co/9wCeA2BZ93</t>
  </si>
  <si>
    <t>Beetle/Vocho/Fusca - #fusca #beetle #vocho #vw #volkswagen #vintagecar #old #oldcar #fuscabrasil #lovefusca #lovebe… https://t.co/AusJYhItbK</t>
  </si>
  <si>
    <t>#mk1golf #mk1r32 #r32 #vw by b3ll_r32 https://t.co/ig0GyLPJrC</t>
  </si>
  <si>
    <t>https://t.co/I8bKWukGCR - First section of the new interior done #almost #vwt4 #vw #vwtra… https://t.co/rvB6VuPSpH https://t.co/GQcy0ZYve5</t>
  </si>
  <si>
    <t>https://t.co/qS2GAxdzDt - It’s just black and white #multivan #modifiedvans #vwt5 #vw #Va… https://t.co/Xs0qGpZWA4 https://t.co/pzzpNoOXxf</t>
  </si>
  <si>
    <t>Akathaks Box Breaks</t>
  </si>
  <si>
    <t>Great Box Breaks At Great Prices Check Akathak's Box Breaks For All Your Breaking Wishes #hobby #boxbreaks #collect</t>
  </si>
  <si>
    <t>RAW</t>
  </si>
  <si>
    <t>Justin Droz</t>
  </si>
  <si>
    <t xml:space="preserve">NJ </t>
  </si>
  <si>
    <t>Trying not to fail miserably at this thing called life.. instagram: jdroz</t>
  </si>
  <si>
    <t>#golftuning #golf6 #vw #ilovemycar #vwtuning #vwlove #vwgolfvi #car #vwtreffen #saison #tuningcar #tuning #mk… https://t.co/m4jbSBBUBh</t>
  </si>
  <si>
    <t>She's getting a stage 1 tune. Been waiting to long #apr #stage1 #autuning #mk6jetta #vw #jettasociety #tuning by mk… https://t.co/5TN1DLMLr4</t>
  </si>
  <si>
    <t>Lucy Chen</t>
  </si>
  <si>
    <t>On a mission to bring light to our lives through my art.</t>
  </si>
  <si>
    <t>أبونادر</t>
  </si>
  <si>
    <t>شيخه الشهّري➰.</t>
  </si>
  <si>
    <t>الهِلال.</t>
  </si>
  <si>
    <t>‏‏‏‏‏‏‏‏‏صلاحي وفسادي لنفسي وعليها يعني مالك شغّل .</t>
  </si>
  <si>
    <t>eBay: 1973 Volkswagen Beetle (Converted… https://t.co/mYfloDz8Wq #vwbeetle #vwbug #vw https://t.co/xvfL74PTgl https://t.co/lm5XYYhENu</t>
  </si>
  <si>
    <t>Ferienhaus CapeCoral</t>
  </si>
  <si>
    <t>Wollen sie auch ein Auto 2 Jahre kostenlos haben? https://t.co/lWkIkG5iA1 #kostenlos #auto #schnäppchen #BMW #golf #VW #Opel #mlm2016</t>
  </si>
  <si>
    <t>This beautiful vacation villa in Southeast Cape Coral was built in November 2009.Villa Early Sunset has an oversized (30 ft x 15 ft), heated, saltwater pool.</t>
  </si>
  <si>
    <t>OliverWeinrich</t>
  </si>
  <si>
    <t>RT @DigitalFuehrung: R.I.P #VW #bosch #digitaltransformation https://t.co/mCm1bjdSZN</t>
  </si>
  <si>
    <t>Görwihl</t>
  </si>
  <si>
    <t>monitoring mobiler infrastrukturen mobilität-umDenken .. arbeit-neuDenken .. quantifiedSelf .. mHealth .. IoT .. digitalisierung .. datenströme 5.0</t>
  </si>
  <si>
    <t>Brandon Keller</t>
  </si>
  <si>
    <t>Sometimes Hot Wheels makes a race car out of your car. #VW #SP2 #hotwheels https://t.co/mT88C2fmQ9</t>
  </si>
  <si>
    <t>McDonough, GA</t>
  </si>
  <si>
    <t>Happily Married. Father of 2 awesome girls. VW Nut. Youth Director at SCC. Triumph Motorcycle Junkie. Follower of Christ.</t>
  </si>
  <si>
    <t>Miguel Sandoval Aria</t>
  </si>
  <si>
    <t>#vwdriver #vwrline #vwscirocco #vwlove #elportus #cartagena #scirocco #rocco #rline #vw #volskwagen #mycar #blackcar https://t.co/s3h0UOhTDC</t>
  </si>
  <si>
    <t>Wollen sie auch ein Auto 2 Jahre kostenlos haben? https://t.co/X1s5JTQDEq #kostenlos #auto #schnäppchen #BMW #golf #VW #Opel #mlm2016</t>
  </si>
  <si>
    <t>Beonpush</t>
  </si>
  <si>
    <t>Wollen sie auch ein Auto 2 Jahre kostenlos haben? https://t.co/ZEHGZ6a0zU #kostenlos #auto #schnäppchen #BMW #golf #VW #Marketinis2016</t>
  </si>
  <si>
    <t>Beonpush spezialisiert sich auf den Handel mit Echtzeit-Werbung. Die tägliche Ausschüttung bei BeonPush liegt zwischen 0.5-3.5%. https://t.co/nTYZ81ZDYJ</t>
  </si>
  <si>
    <t>#VW Junior Masters 2016: U15 des @VEREIN &amp; U13 des @VEREIN gewinnen Fußballfinale. https://t.co/UlSqTKJL0w #VWSport https://t.co/CpJkwC8Nc9</t>
  </si>
  <si>
    <t>eBay: vw transporter t5 camper ? https://t.co/T8qoenTn8I #vwcamper #vwbus #vw https://t.co/ZEadscsjBy https://t.co/hFC38mbk0P</t>
  </si>
  <si>
    <t>juancho zurita</t>
  </si>
  <si>
    <t>#vw #hotwheels https://t.co/kJgW3lVTnU</t>
  </si>
  <si>
    <t>Mahé</t>
  </si>
  <si>
    <t>Co-founder @TheFiftyBux &amp; @PoufingtonPost/#Webdesigner/#Crowdfunding Promoter/#SEO &amp; #SMM Consultant/#WebMarketing/Travels Addict/Nature &amp; Animals lover</t>
  </si>
  <si>
    <t>eBay: GT VOLKSWAGEN BEETLE https://t.co/kgjPaJiPKq #vwbeetle #vwbug #vw https://t.co/xvfL74PTgl https://t.co/YICA4Ap2gG</t>
  </si>
  <si>
    <t>Cardealsdirect</t>
  </si>
  <si>
    <t>Valentina took home her VW Jetta. Enjoy your new car! We appreciate your business! #CarDealsDirect #VW #VWJetta https://t.co/nixG8sBYVL</t>
  </si>
  <si>
    <t>Vaughan, Ontario</t>
  </si>
  <si>
    <t>Car Deals Direct We provide quality used cars at affordable prices for our customers.</t>
  </si>
  <si>
    <t>Grafica Coca Cola. Deco Calcos. 4567-6156 // https://t.co/3gbjP8TewP #ploter #vinilo #CocaCola #beetle #vw https://t.co/SirCtjqazy</t>
  </si>
  <si>
    <t>Taylor Bonds</t>
  </si>
  <si>
    <t>Bought myself a new car today! #vw #TDI https://t.co/bTGSK14RHU</t>
  </si>
  <si>
    <t>#fijiboiz</t>
  </si>
  <si>
    <t>BMX &amp; Maddy Cooke forever ❤️</t>
  </si>
  <si>
    <t>Etica &amp; Compliance</t>
  </si>
  <si>
    <t>RT @crozen1: #Mitsubishi admite, al igual que #VW fraude en pruebas de emisiones y #Nisan También afectado https://t.co/GCiq3Rb8yG</t>
  </si>
  <si>
    <t>La Asociación Argentina de Ética y Compliance (AAEC) defiende las prácticas de ética y cumplimiento. LO CORRECTO DEBE PRIMAR SOBRE LO CONVENIENTE”.</t>
  </si>
  <si>
    <t>Luis Borja</t>
  </si>
  <si>
    <t>Probando los nuevos baquets sparco #VW #Escarabajo #bug #aircooled #classic #flatfourclassic… https://t.co/ad7TsdSk3M</t>
  </si>
  <si>
    <t>Rocket Bunny VW Scirocco by Ingo Noak Tuning https://t.co/HB6q2JonVU #VW #AutoNews</t>
  </si>
  <si>
    <t>#vw beetle GT VOLKSWAGEN BEETLE https://t.co/x4EQEwznaF</t>
  </si>
  <si>
    <t>H-tee</t>
  </si>
  <si>
    <t>Everyday I'm hustling 😎 #htee #brand #Supportlocalbrands #mk3 #vw #vwlife #vag @ Phalaborwa,… https://t.co/fxXlOUZH80</t>
  </si>
  <si>
    <t>Limpopo, South Africa</t>
  </si>
  <si>
    <t>The Worlds best player.. Always up for a challenge</t>
  </si>
  <si>
    <t>eBay: 2014 VOLKSWAGEN TRANSPORTER T5 102PS… https://t.co/xwE7x6wDtF #vwcamper #vwbus #vw https://t.co/ZEadscsjBy https://t.co/KmzinM53oj</t>
  </si>
  <si>
    <t>BrightonVW</t>
  </si>
  <si>
    <t>Lovely drive out with parents in the back of Grizzy to High Beach #Essex #vw #aircooled #camper https://t.co/E16o36rvqb</t>
  </si>
  <si>
    <t xml:space="preserve">Brighton &amp; Hove  UK.  </t>
  </si>
  <si>
    <t>From this day forward I shall be know as Grizzy. Loving all things aircooled, vintage and original...chuck in some BMX and Star Wars and I'm a happy camper.</t>
  </si>
  <si>
    <t>Wonderful drive out with @Faded_Rose_Fi in Grizzy today, lunch at the Duke of Wellington #TOWIE #loughton #VW #T2 https://t.co/ohV9YJ93pt</t>
  </si>
  <si>
    <t>felipe hernandez</t>
  </si>
  <si>
    <t>RT @Monyfigueroa1: Mi #Combi #LaCoqueta tan bella #vw https://t.co/ZJmnWpL8Tf</t>
  </si>
  <si>
    <t>EV Charging</t>
  </si>
  <si>
    <t>Bay Area</t>
  </si>
  <si>
    <t>Anjelica Sjögren</t>
  </si>
  <si>
    <t>Ut och på 🙂 #volkswagen #passat #tdi #vw #car #carporn @ Mustasaari https://t.co/YVqtvAR76T</t>
  </si>
  <si>
    <t xml:space="preserve">Österhankmo </t>
  </si>
  <si>
    <t>Mitt namn är Anjelica och jag är 21 år gammal. Jag bor Österhankmo med min sambo Henrik och vår katt Diesel. Jag jobbar som tidningsutdelare :)</t>
  </si>
  <si>
    <t>TAXI.PSOE-M</t>
  </si>
  <si>
    <t>Agrupación Sectorial del Taxi PSOE de Madrid</t>
  </si>
  <si>
    <t>Ronald</t>
  </si>
  <si>
    <t>Ma la mano se te fue que chula te ves 🎶🎶 #vw #gol #autosalsopi #remachadosalsopi #twc… https://t.co/zF3UnrEDVi</t>
  </si>
  <si>
    <t>Chacabuco, Bs.As</t>
  </si>
  <si>
    <t>What's your favorite #Beetle year? #ACVWPassion #AirCooled #Volkswagen #VW https://t.co/VokFOcQ6aB</t>
  </si>
  <si>
    <t>Chris Jaramillo</t>
  </si>
  <si>
    <t>Super clean, mint condition, single owner, extremely low mileage, 2016 #mk7 #vw #golfr available… https://t.co/DLBWNU9ltt</t>
  </si>
  <si>
    <t>Port Saint Lucie, Florida</t>
  </si>
  <si>
    <t>Family, futbol, petrolhead and sneakerfreak, car sales, Man United supporter, Barça bred. Come see me at Bev Smith Toyota in Fort Pierce FL.</t>
  </si>
  <si>
    <t>Ut å på 🙂 #car #carporn #volkswagen #vw #tdi #passat @ Mustasaari https://t.co/FODsxJdqj4</t>
  </si>
  <si>
    <t>#VW Junior Masters 2016: U15 SV Meppen &amp; U13 @HerthaBSC gewinnen Fußballfinale. https://t.co/A4as9VIq7Q #VWSport https://t.co/c1S8jVcMHP</t>
  </si>
  <si>
    <t>eBay: 2012 Volkswagen Transporter T5 Camper… https://t.co/q7rJeyOxV2 #vwcamper #vwbus #vw https://t.co/ZEadscsjBy https://t.co/NoJWY9tI40</t>
  </si>
  <si>
    <t>eBay: 2007 Volkswagen Transporter T5 2.5 TDI… https://t.co/MxZhL7r2mT #vwcamper #vwbus #vw https://t.co/ZEadscsjBy https://t.co/7xa6JRU3ma</t>
  </si>
  <si>
    <t>Sa.Hotwheels</t>
  </si>
  <si>
    <t>#custom #wheelswap #volkswagen #vw #volkswagenbeetle #beetle #hotwheels #diecast… https://t.co/WNII86fcqm</t>
  </si>
  <si>
    <t>San Antonio, TX</t>
  </si>
  <si>
    <t>Father to a Beautiful Daughter Husband to a Beautiful Wife, Hot Wheels Collector, Electronics Nerd, Beer Drinker, Photographer, Gamer</t>
  </si>
  <si>
    <t>VW T4 Holdsworth Villa - Campervan Motorhome: £11,000.00End Date: Saturday Apr-30-2016 19:06:17 BSTBuy It... https://t.co/vWQVe5Bd5m #vw</t>
  </si>
  <si>
    <t>Daniel Yang</t>
  </si>
  <si>
    <t>America</t>
  </si>
  <si>
    <t>A guy____________________________ Gordon Ramsay is cool_____________________________ Flying without wings</t>
  </si>
  <si>
    <t>Dub Campers</t>
  </si>
  <si>
    <t>#campervan #vw #kombi #vwlife#volkswagencampervans #vwlove #volkswagen #vwlovers #classicvw #vwcamper #vwvans #vw… https://t.co/w4Z3uD9k6R</t>
  </si>
  <si>
    <t>Camper Land</t>
  </si>
  <si>
    <t>#lowandslow #slammed #stance #samba #volkswagen #vw #vws #volks #vwbug #vwbus #vwlife #vwlove #vwporn #vwworld #vwb… https://t.co/e5vsyHydXv</t>
  </si>
  <si>
    <t>#cousinjacks #Lerryn #lerryriverstore #cornwall #popup #foodtruck #vw #vwcamper #vwpickup #vwdoublecab by lazyjacks… https://t.co/gh7yg93Uw2</t>
  </si>
  <si>
    <t>Nipped in for a couple of hours this afternoon. @nicopant going to be epic! #vw #vwt #vwt5 #vwt6 #vwtransporter #vw… https://t.co/cdZUYM3Ff3</t>
  </si>
  <si>
    <t>Stewart Brown</t>
  </si>
  <si>
    <t>Scirocco R cool look #feelingstylish #sciroocor #vwlove #vw #oldschool #bringtolife #aggressive… https://t.co/vny5HhjDgl</t>
  </si>
  <si>
    <t xml:space="preserve">Devon/Surrey </t>
  </si>
  <si>
    <t>Believe &amp; things will happen.</t>
  </si>
  <si>
    <t>The 2016 #VW Tiguan features 4MOTION® all-wheel drive technology. Find yours today: https://t.co/9QLEoSLi09 https://t.co/s5R0SVwQMx</t>
  </si>
  <si>
    <t>Liese Müller</t>
  </si>
  <si>
    <t>Der Erfolg des Kapitalismus beruht wegen zunehmender Sinnlosigkeit zunehmend auf Betrug. #Lasttweet #VW #Banken #PanamaPapers</t>
  </si>
  <si>
    <t>Mitteleuropa, Mittelfranken</t>
  </si>
  <si>
    <t>Freiheit braucht keine Zäune sondern Vertrauen. ------------------ So kam der Zaunkönig zu seinem Namen https://t.co/zfaWHGKZO0</t>
  </si>
  <si>
    <t>Shop. Schedule. Save. Simplify your automotive experience with our Lindsay #VW iTunes or Android app. https://t.co/IDUswgjzzh</t>
  </si>
  <si>
    <t>Raphael Gonzaga</t>
  </si>
  <si>
    <t>Me amarro! #CarangoAntigo #VW #Passat1981 https://t.co/gyRgEuJp8i</t>
  </si>
  <si>
    <t>Brasília-DF</t>
  </si>
  <si>
    <t>Agência de Publicidade e Eventos</t>
  </si>
  <si>
    <t>RT @BrightonVW: Lovely drive out with parents in the back of Grizzy to High Beach #Essex #vw #aircooled #camper https://t.co/E16o36rvqb</t>
  </si>
  <si>
    <t>RT @BrightonVW: Wonderful drive out with @Faded_Rose_Fi in Grizzy today, lunch at the Duke of Wellington #TOWIE #loughton #VW #T2 https://t…</t>
  </si>
  <si>
    <t>eBay: VW TRANSPORTER T5 T32 TDI LWB CAMPER VAN… https://t.co/J9uF5nUSEX #vwcamper #vwbus #vw https://t.co/ZEadscsjBy https://t.co/Eu9dYw0AsC</t>
  </si>
  <si>
    <t>RT @tywcc: A striking shot of Lottie shining bright despite the dark clouds #VW #camper #weddingcar #vintage #yorkshire https://t.co/TmBV3V…</t>
  </si>
  <si>
    <t>Robin</t>
  </si>
  <si>
    <t>CV joints repacked, fresh diff fluid, auto trans fluid, filter, and gasket. Getting there! #vw #aircooled #type3 https://t.co/gCJPxeCbVg</t>
  </si>
  <si>
    <t>Lethbridge, AB</t>
  </si>
  <si>
    <t>I deliver the goods like a courier service.</t>
  </si>
  <si>
    <t>RT @panicswitch777: #karmannghia volkswagen #vdub #dubempire #vw https://t.co/hD6WKohgfv</t>
  </si>
  <si>
    <t>RT @panicswitch777: vool little #karmannghia #vw volkswagen #vdub #dubempire https://t.co/RnsGT8eJW0</t>
  </si>
  <si>
    <t>RT @panicswitch777: It's a everdsy driver #vw #vwbug #Volkswagen #splitwindow #tarponsprings https://t.co/q2H0Zx0UzZ</t>
  </si>
  <si>
    <t>RT @BeetleJuiceltd: London people! We are at Richmond park tomorrow for @SurreyFoodFest come say hello #Original #VW #cocktails</t>
  </si>
  <si>
    <t>Your #VW TIRES keep your vehicle going! Here are 4 ways you may be damaging them: https://t.co/xYtvaTqJK6 #PaulMillerVW #StaySafe</t>
  </si>
  <si>
    <t>@DrewPritchard thanks for the reply. Originally a 1200 in orange about 15 years ago. 1970 with a custom #bernardnewbury interior. #VW #love</t>
  </si>
  <si>
    <t>Roland Keogh</t>
  </si>
  <si>
    <t>@sniffpetrol Were it not for the massive confidence trick we would have made a massive profit. #VW https://t.co/2fUykdklGu</t>
  </si>
  <si>
    <t>Ireland, Europe, Earth</t>
  </si>
  <si>
    <t>Interest here mainly Sport, Politics &amp; Art. F1, Rugby, Economy, Ireland and World affairs. F1 Politics even! Newspapers are important. Opinions mine, etc.</t>
  </si>
  <si>
    <t>RT @peabee72: Lovely day at #santapod - that sunshine was deceptive though... #Brrrr #VW #Aircooled #vdub https://t.co/k5Lh1z4e7V</t>
  </si>
  <si>
    <t>Domestic Platypus</t>
  </si>
  <si>
    <t>V-Doubly Classic… VW Beatles Parody Shirts https://t.co/tRbiyLk1c6 #beatles #thebeatles #beetle #vwbug #VW #hippie https://t.co/ArRYc2k2UL</t>
  </si>
  <si>
    <t>Florida - USA</t>
  </si>
  <si>
    <t>Domestic Platypus - Oddly Evolved! Offering unique &amp; hard-to-find items or something a bit different...</t>
  </si>
  <si>
    <t>BEVENUTO PHOTOGRAPHY</t>
  </si>
  <si>
    <t>Beetle/Vocho/Fusca - #fusca #beetle #vocho #vw #volkswagen #vintagecar #old #oldcar #fuscabrasil… https://t.co/f8SZVLPmxM</t>
  </si>
  <si>
    <t>RIO VERDE GO</t>
  </si>
  <si>
    <t>Die Vorstände von #VW müssen keine #Altersarmut befürchten. #dieselgate</t>
  </si>
  <si>
    <t>Mk 1 caddy Pickup sponsored by London Security Syndicate. #retro #vw… https://t.co/SAGUq2hOSL</t>
  </si>
  <si>
    <t>Frank Canna</t>
  </si>
  <si>
    <t>Detailing your @VW https://t.co/A8SOA1TZ5P just got easier! https://t.co/J25YbVB1T5 #cars #diy #auto #detailing #vw #saturday</t>
  </si>
  <si>
    <t>Williamstown, New Jersey</t>
  </si>
  <si>
    <t>With 30 years experience, you can count on Mirror Finish Detailing.</t>
  </si>
  <si>
    <t>VW Camper Illustration #vw #vwcamper #vwbus #vwcampervan #art #illustration https://t.co/hi5snb9vgZ</t>
  </si>
  <si>
    <t>Mk1 VW Caddy pickup sponsored by London Security Syndicate. #vw… https://t.co/Aw5nEiWDtQ</t>
  </si>
  <si>
    <t>RT @PaulMIllerVW: Your #VW TIRES keep your vehicle going! Here are 4 ways you may be damaging them: https://t.co/xYtvaTqJK6 #PaulMillerVW #…</t>
  </si>
  <si>
    <t>RT @Lindsay_VW: The 2016 #VW Tiguan features 4MOTION® all-wheel drive technology. Find yours today: https://t.co/9QLEoSLi09 https://t.co/s…</t>
  </si>
  <si>
    <t>RT @Lindsay_VW: Shop. Schedule. Save. Simplify your automotive experience with our Lindsay #VW iTunes or Android app. https://t.co/IDUswgjz…</t>
  </si>
  <si>
    <t>https://t.co/U7XCwC0gWz - #morning #t4 #vw #vwbus #vwt4 #bus by dmitry_kotorobay @ Instag… https://t.co/54ruS32naR https://t.co/Ap8JHLgLEr</t>
  </si>
  <si>
    <t>#vw #volkswagen #aircooled #fusca#fuscagram #fuscas #encontropaulistadeautosantigos #vintagecars #fabiocars #oldsch… https://t.co/qNGeJLIBer</t>
  </si>
  <si>
    <t>@banger4o6_ got me a sweet deal on some wheels! #Volkswagen #vdub #vw #vwlove #mk1 #mk1golf #mk1rabbit #rabbit #vw… https://t.co/L2a4nBkYeN</t>
  </si>
  <si>
    <t>#vw #mk1 #mk1golf #vwgolfmk1 #cabrio #polo #vwbreadvan #vwpolo #vdub #Bristol #breadvan #retro #vintage #oldschool … https://t.co/lJ83JkUGe3</t>
  </si>
  <si>
    <t>Katie Hill</t>
  </si>
  <si>
    <t>Car or florist? #beetle #vw #vwbeetle #car https://t.co/8NsZ6tjtmS</t>
  </si>
  <si>
    <t>Darlington</t>
  </si>
  <si>
    <t>Barista ☕️ Crafter ✋ Vegetarian Animal lover Wanderlust sufferer ⛺️</t>
  </si>
  <si>
    <t>VW Camper Van Prints Now Available! £7.90 + shipping 👍🏼 #VW #vwcampervan #etsy https://t.co/jhg87UuaK4</t>
  </si>
  <si>
    <t>#WRC #RallyArgentina #VW #Latvala Ралли Аргентины, СУ13: Латвала увеличивает отрыв https://t.co/n9kPgCLz0S https://t.co/txbRrsx9MQ</t>
  </si>
  <si>
    <t>HippieVanMan</t>
  </si>
  <si>
    <t>Time to change that cracked windshield #vanlife #vw #kombi #mexico #mexicocity #cdmx #travel https://t.co/BZ5iDiBK1v</t>
  </si>
  <si>
    <t>Chronicling my adventures in a 79' VW #Travel #Adventure #VanLife #Dreamer #DigitalNomad founder @ExploreCrumbs</t>
  </si>
  <si>
    <t>Calixto Vallejos Sil</t>
  </si>
  <si>
    <t>Time to change that cracked windshield #vanlife #vw #kombi #mexico #mexicocity #travel https://t.co/o4kCKAKncs</t>
  </si>
  <si>
    <t>eBay: VW T25 Camper Van https://t.co/xLlyqfeivm #vwcamper #vwbus #vw https://t.co/ZEadscsjBy https://t.co/aGMBpg0yHp</t>
  </si>
  <si>
    <t>Rust all cleaned up and ready for the new windshield. #vw #vanlife #mexico #travel https://t.co/5dOm0vdzBI</t>
  </si>
  <si>
    <t>RT @TheHippieVanMan: Time to change that cracked windshield #vanlife #vw #kombi #mexico #mexicocity #cdmx #travel https://t.co/BZ5iDiBK1v</t>
  </si>
  <si>
    <t>Autos Rivada</t>
  </si>
  <si>
    <t>VW Golf VII 1.6 TDI 105cv CR BMT Business 05/2015 - 47.400 km #vw #golf7 #autosrivada… https://t.co/lSVj2gZWRp</t>
  </si>
  <si>
    <t>Mos, Galicia</t>
  </si>
  <si>
    <t>Autos Rivada es un referente en la compra-venta de vehículos en Galicia con más de 30 años de experiencia en el sector. Tenemos más de 150 vehículos en stock.</t>
  </si>
  <si>
    <t>Things are getting expensive for #VW https://t.co/7yazG3Gitp #Dieselgate https://t.co/jhXtUV3B3w</t>
  </si>
  <si>
    <t>The worlds most intelligent and #EnergyEfficient EV Charging system for #MultiFamily housing</t>
  </si>
  <si>
    <t>RT @TheHippieVanMan: Rust all cleaned up and ready for the new windshield. #vw #vanlife #mexico #travel https://t.co/5dOm0vdzBI</t>
  </si>
  <si>
    <t>New windshield and seal installed. Looking sharp. #vw #kombi #vanlife #travel #mexico https://t.co/H8TwF4qjnq</t>
  </si>
  <si>
    <t>RT @CalixtoVallejos: Time to change that cracked windshield #vanlife #vw #kombi #mexico #mexicocity #travel https://t.co/o4kCKAKncs</t>
  </si>
  <si>
    <t>@AL_DOMS @HueySupreme_ @Kudos_To_You #beachweekendva #NSU #ODU #VW</t>
  </si>
  <si>
    <t>Kudos</t>
  </si>
  <si>
    <t>RT @khilogram: @AL_DOMS @HueySupreme_ @Kudos_To_You #beachweekendva #NSU #ODU #VW</t>
  </si>
  <si>
    <t>Music Artist | Va Beach</t>
  </si>
  <si>
    <t>ali ken</t>
  </si>
  <si>
    <t>2 #pink #sparkly #campervan hangers https://t.co/UMm93ctQmO Cath Kidston + Laura Ashley backs #vw #retro https://t.co/lNO9EI4hUa</t>
  </si>
  <si>
    <t>SEVENTYSEVEN</t>
  </si>
  <si>
    <t>Trigger pulled! 🔫 #koni #coilovers #519 #volkswagen #vwlove #vw #diesel #becauseracecar https://t.co/G60pVuFtIE</t>
  </si>
  <si>
    <t>some Canadian dude who likes motorsport, dogs, music and tech</t>
  </si>
  <si>
    <t>Hue.</t>
  </si>
  <si>
    <t>Portsmouth, VA</t>
  </si>
  <si>
    <t>Take the first step, the rest will follow. eleven01'creative. mgmt:contact.eleven01@gmail.com https://t.co/Gp4jid4KEg</t>
  </si>
  <si>
    <t>WOB ZWÖLFTER.de</t>
  </si>
  <si>
    <t>IG RT mati117 Der Tempel der Wölfe #wob #vfl #wölfe #vw #volkswagen #arena #bundesliga #fcaugsburg #wolfsburg J... https://t.co/jCOX3B2qll</t>
  </si>
  <si>
    <t>ZWÖLFTER.de - Meine Wölfe. Eine Timeline. Posts aus allen Social-Networks. In Echtzeit im Web und als App. Kostenlos. https://t.co/BQdrOKhKDo</t>
  </si>
  <si>
    <t>RT @TheHippieVanMan: New windshield and seal installed. Looking sharp. #vw #kombi #vanlife #travel #mexico https://t.co/H8TwF4qjnq</t>
  </si>
  <si>
    <t>RT @p88nmg: @VWsightings my #vwpologti loving the sun today #vw #polo #gti #drive #fields #turbines https://t.co/wBIcKohGuy</t>
  </si>
  <si>
    <t>Jim Allen</t>
  </si>
  <si>
    <t>Michigan, USA</t>
  </si>
  <si>
    <t>Al-Dom$.</t>
  </si>
  <si>
    <t xml:space="preserve">Norfolk, VA </t>
  </si>
  <si>
    <t>I been Legal Trappin' | @troopersva #iL #iPM</t>
  </si>
  <si>
    <t>New Volkswagen Jetta Springfield VA 22150: Watch a video of the 2016 Volkswagen Jetta 2.0T GLI... https://t.co/HGcI9BoYAL #VW #jetta #car</t>
  </si>
  <si>
    <t>Police identify man struck and killed by car while crossing Belvidere Street: ... to cross the... https://t.co/bQ9bSjlavE #VW #jetta #car</t>
  </si>
  <si>
    <t>Met luis the owner of this beautiful #vw #beetle while getting my windshield replaced https://t.co/OspTmYmbSt</t>
  </si>
  <si>
    <t>Lulubelle's Limousin</t>
  </si>
  <si>
    <t>Washed, waxed &amp; Polished! #wedding #transport #weddingcar #vw #dub #portsmouth #Southsea #hampshire #vintage #retro https://t.co/zsMPDh04rG</t>
  </si>
  <si>
    <t>South East, England</t>
  </si>
  <si>
    <t>Looking for a #Classic #VW #Campervan to take you to your #wedding? You are in the right place! Based in South #Hampshire #WeddingCar #WeddingVW</t>
  </si>
  <si>
    <t>RT @TheHippieVanMan: Met luis the owner of this beautiful #vw #beetle while getting my windshield replaced https://t.co/OspTmYmbSt</t>
  </si>
  <si>
    <t>#Volkswagen #Tuning //MD #Vw #dapper #Cambergang #StanceWork #RoyalStance https://t.co/17sH8F5eyS https://t.co/6b1o9HInxJ</t>
  </si>
  <si>
    <t>#Volkswagen #Tuning //MD #Vw #dapper #Cambergang #StanceWork #RoyalStance https://t.co/17sH8F5eyS https://t.co/gK5lIMBDY6</t>
  </si>
  <si>
    <t>beakersblog</t>
  </si>
  <si>
    <t>#vw #mk4 #golf #damnraw #worthersee2016 #vwgolf #volkswagen #beakersblog https://t.co/WdnscoS3cd</t>
  </si>
  <si>
    <t>http://t.co/VFvovSfdWt</t>
  </si>
  <si>
    <t>#Volkswagen #Tuning //MD #Vw #dapper #Cambergang #StanceWork #RoyalStance https://t.co/17sH8F5eyS https://t.co/gObWOCZcmQ</t>
  </si>
  <si>
    <t>Carrie Dennison</t>
  </si>
  <si>
    <t>I treated myself to a Love Bus messenger bag from @zippi :-) https://t.co/yWyCbcTejJ Love it! #vw https://t.co/js6crnm6Ai</t>
  </si>
  <si>
    <t>Shotley Bridge, County Durham</t>
  </si>
  <si>
    <t>Printmaker and illustrator, teaches art workshops. All round hippie. Illustrator of 'Graphiti - Creative Moments for You'.</t>
  </si>
  <si>
    <t>RT @beakersblog: #vw #mk4 #golf #damnraw #worthersee2016 #vwgolf #volkswagen #beakersblog https://t.co/WdnscoS3cd</t>
  </si>
  <si>
    <t>RobsonGreenFanYorks</t>
  </si>
  <si>
    <t>RT @CastleCoastCamp: @CatherineE1973 Thanks for the follow. Check out r website, great deals on classic #VW #Camper #holidays &amp; more! https…</t>
  </si>
  <si>
    <t>West Yorkshire</t>
  </si>
  <si>
    <t>Am a Robson Green fan based in Yorkshire</t>
  </si>
  <si>
    <t>Mar del Plata</t>
  </si>
  <si>
    <t>eBay: vw beetle 1.6 one owner 76k full… https://t.co/Gqu9FYy0Ds #vwbeetle #vwbug #vw https://t.co/xvfL74PTgl https://t.co/P2dJa8oZtZ</t>
  </si>
  <si>
    <t>FanCar Picture - Send me your Scirocco pictures!!! (PM Please) #VW #Volkswagen #Scirocco #Tuning https://t.co/b3StAs3Owf</t>
  </si>
  <si>
    <t>We all having a gorgeous day? #campervanlife #camperbus #campervan #camper #vw #vdub #vwbus #vwcamper #vwcampervan … https://t.co/tmXGioMJij</t>
  </si>
  <si>
    <t>#vw #vwcamper by paulieproctor https://t.co/RnMVSQQWK9</t>
  </si>
  <si>
    <t>Curtains fitted in the van..look ace.. Thanks @shesewstoo #vwt4lwb #vwt4 #vw #vwcamper #volkswagen #lowlife by ruma… https://t.co/YpvVU7aY5S</t>
  </si>
  <si>
    <t>The 'demo' bus #vw #vwt #vwt5 #vwt4 #vwt6 #vwtransporter #vwbus #vwbusmag #vwbusmagazine #vwt #vwtmag #vwtmagazine … https://t.co/DxL86GTgNw</t>
  </si>
  <si>
    <t>40 years in the making! The #VW Golf GTI Clubsport Edition 40 is now available to order! https://t.co/gsPj1q1F3e https://t.co/8Xpu96J41n</t>
  </si>
  <si>
    <t>40 years in the making! The #VW Golf GTI Clubsport Edition 40 is now available to order! https://t.co/VZdFQC0AFa https://t.co/GqAHgxNXbx</t>
  </si>
  <si>
    <t>Pagid</t>
  </si>
  <si>
    <t>#VW will buy back your car (in the America) is it was affected with the emissions cheating. https://t.co/GENcExVG5u https://t.co/EFvEkfvOd3</t>
  </si>
  <si>
    <t>Pagid is one of Europe's leading braking brands. Engineered in Germany, Pagid brake pads &amp; components offer the ultimate in performance, safety and comfort.</t>
  </si>
  <si>
    <t>Harry Hammer</t>
  </si>
  <si>
    <t>Es wird lustig, wenn #VW CEO Müller der Betriebssportabteilung Fußball den Geldhahn zudreht. #WOB #Wobfca</t>
  </si>
  <si>
    <t>Adam Boscott</t>
  </si>
  <si>
    <t>#Beer #Fire and #VW #EarlyBay #Campers at #EarlyBayCampOut https://t.co/7lf5Nu5z1i</t>
  </si>
  <si>
    <t>Banbury, UK</t>
  </si>
  <si>
    <t>Works at The VW Camper Company as workshop supervisor, likes anything VW related, good food, good beer and good friends… Follow me and i'll follow you back</t>
  </si>
  <si>
    <t>🇩🇪 MK5 Meet, which ones mine 😝 #vw #volkswagen #golf #mk5 #gti #ed30 #edition30 #meet… https://t.co/8KfKjjBjMk</t>
  </si>
  <si>
    <t>https://t.co/EQ9flbuei2 - The ‘demo’ bus #vw #vwt #vwt5 #vwt4 #vwt6 #vwtransporter #vwbus… https://t.co/hdiCZs5isW https://t.co/IKaXyvM8IN</t>
  </si>
  <si>
    <t>https://t.co/sI8wpBoiLH - Curtains fitted in the van..look ace.. Thanks @shesewstoo #vw… https://t.co/Y2iOz0EKwy https://t.co/1cZQnHhY7o</t>
  </si>
  <si>
    <t>https://t.co/8DtvOonKH9 - The ‘demo’ bus #vw #vwt #vwt5 #vwt4 #vwt6 #vwtransporter #vwbus… https://t.co/hdiCZs5isW https://t.co/0Njtnwy4jf</t>
  </si>
  <si>
    <t>nearly there now rocker bolted down for good now #mk1golf #g60 #supercharged #boost #aluminium #polished #vw #golfv… https://t.co/2WtCwLa4UX</t>
  </si>
  <si>
    <t>Playing about with photoshop and managed to make a silhouette of the car. #golf #golfmk1 #vw #vwgolfmk1 #mk1golf #… https://t.co/k071oV8bLR</t>
  </si>
  <si>
    <t>https://t.co/0SzbdbMRCK - 8 hours cleaning and she’s sexy smooth again #vwt4 #vw #vanlife… https://t.co/jZoAu3VMfS https://t.co/DqlFx3D3bJ</t>
  </si>
  <si>
    <t>RT @dapper013: #Volkswagen #Tuning //MD #Vw #dapper #Cambergang #StanceWork #RoyalStance https://t.co/17sH8F5eyS https://t.co/6b1o9HInxJ</t>
  </si>
  <si>
    <t>mommason/daddytwin</t>
  </si>
  <si>
    <t>#Vw⁴L.</t>
  </si>
  <si>
    <t xml:space="preserve">Tied to East Virginia. </t>
  </si>
  <si>
    <t>Ever seen a CEO?? -SoundCloud.com/eastgodjelani - flamezjelani@gmail.com / @The1400Club</t>
  </si>
  <si>
    <t>Nectech Key Supply</t>
  </si>
  <si>
    <t>We work different brands #bmw #audi #vw #toyota #nissan #ford #mercedes #miami #miamibeach #locksmith #miamilocksmith #mobilemiami</t>
  </si>
  <si>
    <t>Is an expert automotive locksmith. We offer the service 24/7 service for car key replacement, cutter and programming. Call 786-877-8027</t>
  </si>
  <si>
    <t>RT @crewevw: 40 years in the making! The #VW Golf GTI Clubsport Edition 40 is now available to order! https://t.co/VZdFQC0AFa https://t.co/…</t>
  </si>
  <si>
    <t>Can't afford a #VW #Golf R? The sporty new Golf R-line could be up your street https://t.co/viTjhVWAS8 @UKVolkswagen https://t.co/T0lcECXQrG</t>
  </si>
  <si>
    <t>Cri$ 2198</t>
  </si>
  <si>
    <t xml:space="preserve">Puerto Rico </t>
  </si>
  <si>
    <t>Only God can judge Instagram- crisj2198 EB forever. Pagani</t>
  </si>
  <si>
    <t>eBay: VW T4 Transporter LHD 2.5tdi !!! Camper… https://t.co/P7bBnVOuDJ #vwcamper #vwbus #vw https://t.co/ZEadscsjBy https://t.co/yMIFcGoZTm</t>
  </si>
  <si>
    <t>Don't forget to get your bumper sticker! https://t.co/4CuoBGJw8N #buybackmytdi #vw #tdi</t>
  </si>
  <si>
    <t>RT @Insta_VWT: https://t.co/0SzbdbMRCK - 8 hours cleaning and she’s sexy smooth again #vwt4 #vw #vanlife… https://t.co/jZoAu3VMfS https://t…</t>
  </si>
  <si>
    <t>RT @swanswaygroup: 40 years in the making! The #VW Golf GTI Clubsport Edition 40 is now available to order! https://t.co/gsPj1q1F3e https:/…</t>
  </si>
  <si>
    <t>RT @Srry_I_ddnt_kno: Don't forget to get your bumper sticker! https://t.co/4CuoBGJw8N #buybackmytdi #vw #tdi</t>
  </si>
  <si>
    <t>ha-ber.com</t>
  </si>
  <si>
    <t>#VW Grubu, 2015’te 4,1 milyar Euro faaliyet zararı açıkladı https://t.co/BsoqymF0IN</t>
  </si>
  <si>
    <t>Rally Argentina</t>
  </si>
  <si>
    <t>El #VW Polo R @OfficialWRC de @JariMattiWRC luego del vuelco en la PE14 - YPF #RallyArgentina https://t.co/em6Cy6UcuZ</t>
  </si>
  <si>
    <t>Official Rally Argentina account / Cuenta oficial del #RallyArgentina</t>
  </si>
  <si>
    <t>Thai Qashqai Club</t>
  </si>
  <si>
    <t>ReTweet-ALL-Qashqai</t>
  </si>
  <si>
    <t>Matias Nicolas Russo</t>
  </si>
  <si>
    <t>RT @rallyargentina: El #VW Polo R @OfficialWRC de @JariMattiWRC luego del vuelco en la PE14 - YPF #RallyArgentina https://t.co/em6Cy6UcuZ</t>
  </si>
  <si>
    <t>Periodista de automovislimo. Trabajo en Motta Producciones en los programas Motores en Marcha y Deportes en Marcha en Canal 12 de Còrdoba</t>
  </si>
  <si>
    <t>Bandera a Cuadros</t>
  </si>
  <si>
    <t>Pagina informativa del Automovilismo. Somos el cuenta vueltas de cada fin de semana. Correo: bandera-a-cuadros@outlook.com.</t>
  </si>
  <si>
    <t>Leonardo Desimone</t>
  </si>
  <si>
    <t>Córdoba</t>
  </si>
  <si>
    <t>Cordobés, de la T y anti K.</t>
  </si>
  <si>
    <t>Gustavo Ricartez</t>
  </si>
  <si>
    <t>Viedma Río Negro</t>
  </si>
  <si>
    <t>Fanático del Automovilismo, Bombero Aeroportuario</t>
  </si>
  <si>
    <t>Probusol S.A.</t>
  </si>
  <si>
    <t>jose C. Paz, Pcia Buenos Aires</t>
  </si>
  <si>
    <t>Probusol S.A. desde 1987 La más completa línea de Cosmética, Mantenimiento y Aromas para el Automóvil. SILISUR - SILISUR CAR WASH - AIR PERFUM / FREESUR - RD90</t>
  </si>
  <si>
    <t>Bernardo M. Gil</t>
  </si>
  <si>
    <t>Villa Carlos Paz</t>
  </si>
  <si>
    <t>Nerd por naturaleza. Admin de Redes. Por orden de aparicion: Hijo, hermano, amigo, esposo y padre. Simracer en tiempo libre.</t>
  </si>
  <si>
    <t>Foto's auto Latvala na crash https://t.co/1FzMeQXaUx #latvala #rtlgp #wrc #argentina #vw #volkswagen #rtlrally #crash</t>
  </si>
  <si>
    <t>Angela Lopez</t>
  </si>
  <si>
    <t>Punta  y Montev., Uruguay</t>
  </si>
  <si>
    <t>Trabajo en lo que me gusta el automovilismo que mas......</t>
  </si>
  <si>
    <t>RETO diario</t>
  </si>
  <si>
    <t>#Finanzas #VW registra primera pérdida neta en 20 años tras escándalo del diéselgate https://t.co/9SxO8uxcFB</t>
  </si>
  <si>
    <t>El mejor portal de noticias de Puebla #NoticiasPuebla #Noticias #Puebla</t>
  </si>
  <si>
    <t>Fabri✌</t>
  </si>
  <si>
    <t>Padua City</t>
  </si>
  <si>
    <t>Boca Juniors. •La vida está hecha de días que no significan nada, y momentos que significan todo• ⚽ Bianqui mi mejor amiga por siempre</t>
  </si>
  <si>
    <t>rally latam</t>
  </si>
  <si>
    <t>rallyargentina: El #VW Polo R OfficialWRC de JariMattiWRC luego del vuelco en la PE14 - YPF #RallyArgentina https://t.co/YAzj9bragf</t>
  </si>
  <si>
    <t>Latinoamerica</t>
  </si>
  <si>
    <t>Compartiendo toda la info del rally Latinoamericano. Si se nos olvida alguien, envien un MD.</t>
  </si>
  <si>
    <t>jan</t>
  </si>
  <si>
    <t>estonia</t>
  </si>
  <si>
    <t>Gandalf was me !</t>
  </si>
  <si>
    <t>Fatti non foste a viver come bruti, ma per #TUITTAR virtute e canoscenza. Join the fellowship of the twittering</t>
  </si>
  <si>
    <t>eBay: VW Beetle, 2002, v5 2.3 sport https://t.co/hw3Gx16WCh #vwbeetle #vwbug #vw https://t.co/xvfL74PTgl https://t.co/uGE5CuTLTv</t>
  </si>
  <si>
    <t>Cristian Lagos</t>
  </si>
  <si>
    <t>Valdiviano, estudiante de Ingeniería Comercial UDP, tuerca, fotógrafo y columnista en MundoRally, me gusta la tecnología y el motorsport</t>
  </si>
  <si>
    <t>Rally de la Cuenca</t>
  </si>
  <si>
    <t>Campeonato de Rally de la Patagonia Sur Argentina. Recorremos caminos de Río Turbio y 28 de Noviembre.</t>
  </si>
  <si>
    <t>Marilyn Navas</t>
  </si>
  <si>
    <t>Co-piloto de Rally</t>
  </si>
  <si>
    <t>JoMoWRC</t>
  </si>
  <si>
    <t>Spain</t>
  </si>
  <si>
    <t>Monster Jam, WRC, WorldRX, RedBullGRC, Motorsports</t>
  </si>
  <si>
    <t>Rodrigo Agüero</t>
  </si>
  <si>
    <t>Cienaga del Coro , Cordoba</t>
  </si>
  <si>
    <t>Soy zurdo / Hincha de Talleres,Trulalero y varias cosas mas/ si me seguís, te sigo</t>
  </si>
  <si>
    <t>Miau21 - Motorsports</t>
  </si>
  <si>
    <t>#WRC #RallyArgentina #rally #motorport #vw https://t.co/CC1YUsLjyw</t>
  </si>
  <si>
    <t>Interested in all kinds of motorsports. My goal is to compete in #rally and to do the @dakar. If you like motorsports, follow me!</t>
  </si>
  <si>
    <t>Ezequiel Soto</t>
  </si>
  <si>
    <t>Periodista Agencia DyN. Padre de una princesa.</t>
  </si>
  <si>
    <t>Francisco Ferraro</t>
  </si>
  <si>
    <t>La Plata-Buenos Aires</t>
  </si>
  <si>
    <t>Productor/Cronista de STC2000 en @LaEscuderia1003 - Hincha de Independiente de Avellaneda - Hincha de Ford - Campeón del Prode del mundial de la DPA 2010</t>
  </si>
  <si>
    <t>Marc Rodríguez</t>
  </si>
  <si>
    <t>19. Barcelona. Ingeniería mecánica en la EUETIB, UPC. F1, WRC, DTM, WorldRX, WEC, MotoGP...</t>
  </si>
  <si>
    <t>Lauriky</t>
  </si>
  <si>
    <t>Spielberg, Österreich</t>
  </si>
  <si>
    <t>Friki de la #F1 #DTM #RedBull #SV #AFDAC13 #DK26 I'm a Red Bull fan</t>
  </si>
  <si>
    <t>Mikołaj Krupiński</t>
  </si>
  <si>
    <t>Dwa oczka w głowie 😍 #love #myCar #mybike #vw #mtb https://t.co/nTJJHpAS3g</t>
  </si>
  <si>
    <t>snapchat:majkkrupinski. ig _majkstyle_. ✍ #iphone #apple #ios #gopro #sport #cycling #snowboarding</t>
  </si>
  <si>
    <t>around the block</t>
  </si>
  <si>
    <t>never say never, die trying even with all decks stacked against you 1% chance is still a chance.</t>
  </si>
  <si>
    <t>F  R  A  N</t>
  </si>
  <si>
    <t>Que me nunca me falten el fútbol y la música.</t>
  </si>
  <si>
    <t>Agustín Córdoba</t>
  </si>
  <si>
    <t>Sobre Ruedas</t>
  </si>
  <si>
    <t>Santa Fe, Argentina</t>
  </si>
  <si>
    <t>Programa radial de deportes mecánicos de nuestro país, nuestra zona y el mundo. Lunes a Viernes a las 20 y Domingos de 9 a 14 por LT 9 - AM 1150 www.lt9.com.ar</t>
  </si>
  <si>
    <t>Juan Nuñez</t>
  </si>
  <si>
    <t>Club Atlético Barrio Parque</t>
  </si>
  <si>
    <t>Imposibble is Nothing so Just Do It</t>
  </si>
  <si>
    <t>Samuu:) ♌</t>
  </si>
  <si>
    <t>19 años || bajista™ en #UnDiaAntes || +24 TT'sARG +10global || Thrash 'Till Death! || que sea rock o metal❤|| @Carajoweb || #Leo♌ || meta 30K ||</t>
  </si>
  <si>
    <t>RT @EverCharge: Things are getting expensive for #VW https://t.co/7yazG3Gitp #Dieselgate https://t.co/jhXtUV3B3w</t>
  </si>
  <si>
    <t>D▲niΣl K▲l▲n™ ☕</t>
  </si>
  <si>
    <t xml:space="preserve">Slovenija - Železniki city  </t>
  </si>
  <si>
    <t>Joaco</t>
  </si>
  <si>
    <t>instagram joaquin_cantelmi/#LosFeosPibes / Bombero Voluntario #27 / motocross #37/ Sabina~</t>
  </si>
  <si>
    <t>Carina Leiva</t>
  </si>
  <si>
    <t>English Teacher &amp; Translator. Radio Host (Locutora). Dreamer . Passionate. Simple things are the best. Live Your Dream &amp; Wear Your Passion.</t>
  </si>
  <si>
    <t>RT @Syrupshits: 🇩🇪 MK5 Meet, which ones mine 😝 #vw #volkswagen #golf #mk5 #gti #ed30 #edition30 #meet… https://t.co/8KfKjjBjMk</t>
  </si>
  <si>
    <t>CooperChile</t>
  </si>
  <si>
    <t>Stgo.San Pablo 10.200</t>
  </si>
  <si>
    <t>Contacto,Jose Rosales /jrosales@offroad.cl</t>
  </si>
  <si>
    <t>bneilbel</t>
  </si>
  <si>
    <t>The possibilities are endless with a #Beetle. #ACVWPassion #VW #Volkswagen #AirCooled https://t.co/kSnrdMvvFe</t>
  </si>
  <si>
    <t>Ceci Trangoni</t>
  </si>
  <si>
    <t>Cordoba</t>
  </si>
  <si>
    <t>Ingeniera Química</t>
  </si>
  <si>
    <t>Stephane Gartner</t>
  </si>
  <si>
    <t>Kapital ohne Mitsprache, das lehrt #VW. Familienunternehemen wiedersetzt sich Reformen. Ob das gut geht? https://t.co/IMJUR0K93W</t>
  </si>
  <si>
    <t>Santiago de Chile</t>
  </si>
  <si>
    <t>Competencies in project management. Interested in private sector projects creating shared value. Passionate about overlanding in Africa. https://t.co/us5YQMt5kk</t>
  </si>
  <si>
    <t>Francisco Name</t>
  </si>
  <si>
    <t>Piloto de Rallies, off Road, pista y todo lo que pueda correr, vivir al máximo cumplir mis objetivos y soñar despierto es lo mas importante. Bicampeón 14/15</t>
  </si>
  <si>
    <t>Brittany Meegan</t>
  </si>
  <si>
    <t>Purchased a new car. Marge, my old jeep, is jealous. #volkswagontiguan #vw #tiguan #ALLMINE… https://t.co/eHB3OsHAfH</t>
  </si>
  <si>
    <t>ÜT: 42.70717,-73.704588</t>
  </si>
  <si>
    <t>Fede Alcaraz</t>
  </si>
  <si>
    <t>Concepción, Tucumán, Argentina</t>
  </si>
  <si>
    <t>Profesor de matemáticas Amante del basquet Futbolero Bostero a morir Familiero</t>
  </si>
  <si>
    <t>FanCar Picture - Send me your Scirocco pictures!!! (PM Please) #VW #Volkswagen #Scirocco #Tuning https://t.co/JErmyps6RP</t>
  </si>
  <si>
    <t>Ben Mallie</t>
  </si>
  <si>
    <t>My 1964 VW Beetle 1200 ❤️ #vwbeetle #vwbeetlelovers #vw #vwbug #64bug #vwlife #vwlove #vwworld… https://t.co/WCGAwfpeZw</t>
  </si>
  <si>
    <t xml:space="preserve">Canberra, Australia </t>
  </si>
  <si>
    <t>eBay: VW Beetle 1.6 https://t.co/n7rCwUdZ9v #vwbeetle #vwbug #vw https://t.co/xvfL74PTgl https://t.co/Z50Gy02Lbd</t>
  </si>
  <si>
    <t>Marché du primptemps Auvernier #jaguar #1952 #1978 #vw #saurer #pompier #auvernier #vwcombi #vwcamper #westfalia #… https://t.co/7bnNzD5Qzt</t>
  </si>
  <si>
    <t>Little meeting. #vwmeeting #vw #oldvw #vwcombi #vwaddict #split #baywindow #type2addict #type2 #oldbus #oldschool #… https://t.co/tSMqd1Iteg</t>
  </si>
  <si>
    <t>#cousinjacks #lerrynboathouse #Lerryn #cornwall #popup #foodtruck #vwcamper #vwpickup #vwdoublecab #vw #vwclassic b… https://t.co/fltznhz09O</t>
  </si>
  <si>
    <t>tortu</t>
  </si>
  <si>
    <t>instagram @tortu_ccp</t>
  </si>
  <si>
    <t>fanatico del deporte motor</t>
  </si>
  <si>
    <t>Nazareno Fermanelli</t>
  </si>
  <si>
    <t>Córdoba-Argentina</t>
  </si>
  <si>
    <t>Tengo tres hijos adolescentes que a esta altura son mucho mejores que yo.</t>
  </si>
  <si>
    <t>Srs perri 👻 #SRS #LowCar #VW #Vags @ Autódromo de Buenos Aires… https://t.co/23oiSqdGn9</t>
  </si>
  <si>
    <t>A make over for Bella with Cherry blossom black shoe and boot polish. Lol! #vw #vwbug #vwdub… https://t.co/hGwrEa4ANm</t>
  </si>
  <si>
    <t>BILD am SONNTAG</t>
  </si>
  <si>
    <t>BamS entschlüsselt #Dobrindt-Report: #VW ist der heimliche Sieger der Abgasuntersuchung. https://t.co/LPzMigvvPb</t>
  </si>
  <si>
    <t>Europas größte Sonntagszeitung · Impressum: http://t.co/6FE9aMn972</t>
  </si>
  <si>
    <t>Sébastien Loeb_WRX</t>
  </si>
  <si>
    <t>Rally Driver 9 WRC's /Seb is now officially on twitter @SebastienLoeb enjoy the experience. We will continue as a fan and info account. ;) #wrc #FIA_WorldRX</t>
  </si>
  <si>
    <t>Life at Warp Speed!!</t>
  </si>
  <si>
    <t>#volkswagen #vw #golf #r32 #r32oc #vag #v6 #vwvortex #vwsociety #dub #german #juicydetails… https://t.co/j9x4t5TJeS https://t.co/CfW8ZqRZZr</t>
  </si>
  <si>
    <t>patrick</t>
  </si>
  <si>
    <t>QUEENS NEW YORK</t>
  </si>
  <si>
    <t>U.S.A LOVING TRUE PATRIOT Exposing greed &amp; treason .Gmo &amp; Chemtrail fighting (Not Single ) Not here for Romance just kicking it that's all :)</t>
  </si>
  <si>
    <t>Nacho Rivera</t>
  </si>
  <si>
    <t>Leondres</t>
  </si>
  <si>
    <t>Lau</t>
  </si>
  <si>
    <t>Madagascar</t>
  </si>
  <si>
    <t>See the smoke when the sun shines</t>
  </si>
  <si>
    <t>maxi avalos</t>
  </si>
  <si>
    <t>Sueño Cumplido #Feliz #SRS #VW #Parati @ Autódromo Juan y Oscar Gálvez https://t.co/V0dsb4ltrH</t>
  </si>
  <si>
    <t>Quilmes El Dorado</t>
  </si>
  <si>
    <t>manfaiandras! #szombatestimoka #mercedesfelgen #vw #golf #mk4 #18x8,5 #clean #tisztalesz #comingsoon #vwdepo... https://t.co/WwxdTLIV8Z</t>
  </si>
  <si>
    <t>arato.roli! #vwdepo #vwgolf #vw #lowisalifestyle #car #friends #carmeet #limbo #crazy https://t.co/UClzMghwAR https://t.co/GsPpZnRjPS</t>
  </si>
  <si>
    <t>Rally &amp; Racing</t>
  </si>
  <si>
    <t>amo le curve...ma non solo #YoconelMotociclismo</t>
  </si>
  <si>
    <t>Nahuel Curletti</t>
  </si>
  <si>
    <t>Cambiamos al Celta por este Poncho! #VW #Beetle #Escarabajo #Frescas #Co-Que-Tas #Barbie #Poncho #MasLindas... https://t.co/hgrmXyBfG3</t>
  </si>
  <si>
    <t>Buenos Aires, ARG</t>
  </si>
  <si>
    <t>Soy un loco que me encontré con esta disciplina donde darle vueltas a un agujero con agua de 25 o 50 metros es una extensión muy importante de mi vida.</t>
  </si>
  <si>
    <t>@lisairby56 @CarmineZozzora @sweetsienna23 @steph93065 @Mvracing @CajunCampbell https://t.co/XOpPo8x2NM #VW emissions = #GlobalWarming #Scam</t>
  </si>
  <si>
    <t>https://t.co/LK6V8UaOMg - My t5 looking badass . #vw #vwt5 #vwvan #vwporn #vwt5transport… https://t.co/Xgzu6he0Jh https://t.co/y4FAoRefY1</t>
  </si>
  <si>
    <t>https://t.co/BISFaqKFPs - #Vw #T5 #vwt5 #volkswagen #enginetuning #carpatikft #carbuy #ca… https://t.co/nkhpNhH8en https://t.co/aGPzJOfCqc</t>
  </si>
  <si>
    <t>https://t.co/R0VH25qvdH - New stickers!!! 😀👍🏻😍 @rothfink #rothfink #vw #vwt5 #vwt5forum #… https://t.co/tfNHZRKpwE https://t.co/dVkDao6qzh</t>
  </si>
  <si>
    <t>Marion Rott</t>
  </si>
  <si>
    <t>Formula 1, WRC, GT Masters, Formula E, press officer of several drivers, editor @MSM_Online</t>
  </si>
  <si>
    <t>Hugo</t>
  </si>
  <si>
    <t>Cuando apoyas el #nacionalsocialismo pero le vas a las #chivas #doblemoral #vw #toluca… https://t.co/bUvV8BUfoc</t>
  </si>
  <si>
    <t>Facebook Hugo Diaz (hgdzz) Instagram @masterpony</t>
  </si>
  <si>
    <t>Kokpitin güzelliğine bak ya 🚗 #vw #passat yasirhlts @ İvedik… https://t.co/THdbVqDFKx</t>
  </si>
  <si>
    <t>Mary C. Baßler</t>
  </si>
  <si>
    <t>RT @BILDamSONNTAG: BamS entschlüsselt #Dobrindt-Report: #VW ist der heimliche Sieger der Abgasuntersuchung. https://t.co/LPzMigvvPb</t>
  </si>
  <si>
    <t>McB Perspektiv-Wechsel</t>
  </si>
  <si>
    <t>S. Albert García</t>
  </si>
  <si>
    <t>Homo sum: humani nihil a me alienum puto. (Heautontimorumenos) Publius Terentius Afer dixit. Res del què és humà m'és aliè. Nada de lo humano me es ajeno. ;o)</t>
  </si>
  <si>
    <t>Mehmetali Güney</t>
  </si>
  <si>
    <t>#vw #Volkswagen #passat ♡ https://t.co/lGILxl7qGN</t>
  </si>
  <si>
    <t>... 06.03.2015 ... R36 ♡</t>
  </si>
  <si>
    <t>Nossas conversas sempre serão as melhores .. 💔😪😍😏👌 #Saudades #Vw https://t.co/DY23wojhJF</t>
  </si>
  <si>
    <t>ROWDY Rodney Sargent</t>
  </si>
  <si>
    <t>Posted.. atldarrick timdieselstunts remonsmith @bikelifeatl #hardasfuck #amfreestyle #og #vw… https://t.co/uExdJKXPge</t>
  </si>
  <si>
    <t>Atlanta, Georgia USA</t>
  </si>
  <si>
    <t>Professional Street Freestyler, owner of the World Famous Team Anger Management/AM Stoppie School. For Show Bookings http://t.co/zoPTX0t5z8</t>
  </si>
  <si>
    <t>Dirk Roedig</t>
  </si>
  <si>
    <t>@MDRINFO aber wenn's bei #VW wieder besser läuft, gibt's die 30% nachgereicht !!</t>
  </si>
  <si>
    <t>Das Leben ist....tja was eigentlich</t>
  </si>
  <si>
    <t>yeeea‼︎METAL</t>
  </si>
  <si>
    <t>RT @Dubsandclassics: Split window Cal looker... #vw #beetle #callook https://t.co/muQmzgIl1i</t>
  </si>
  <si>
    <t>JAPAN</t>
  </si>
  <si>
    <t>BABYMETALに心臓を激しく良い意味で揉まれ息を吹き返した男ッス。その恩返しの為私はココにいる。 http://t.co/xC6eceH5gt にてBABYMETALのエッセイ•コラムを展開。無言フォローすみませんdeath☆彡</t>
  </si>
  <si>
    <t>TheLovebusWedding Co</t>
  </si>
  <si>
    <t>#weddings #northwesthour @itvcorrie #itvcorriefans Gemma Winter aka the beautiful @dolly_campbell with her mum 💕 #vw https://t.co/jE798DXNd4</t>
  </si>
  <si>
    <t>Newton le Willows, Merseyside</t>
  </si>
  <si>
    <t>Chauffeur service that’s unusual unique &amp; exclusive, stunning VWs will set you apart from the crowd.#SBS @theopaphitis #WOW @Jacqueline_Gold #Queenof #brightpig</t>
  </si>
  <si>
    <t>D. Burns</t>
  </si>
  <si>
    <t>Something you don't see everyday. #vw #phaeton @ The Home Depot https://t.co/5jvB2ysLhb</t>
  </si>
  <si>
    <t>So far, so good.</t>
  </si>
  <si>
    <t>SP</t>
  </si>
  <si>
    <t>#vw #volkswagen #mk7 #golfr #audi #s3 #oryxwhite #rline #drivenewengland #r20 https://t.co/eqUqadHOrP</t>
  </si>
  <si>
    <t>Street Food &amp; Vine</t>
  </si>
  <si>
    <t>RT @TheLovebusWedCo: #weddings #northwesthour @itvcorrie #itvcorriefans Gemma Winter aka the beautiful @dolly_campbell with her mum 💕 #vw h…</t>
  </si>
  <si>
    <t>Wine &amp; #FoodTruck Consultant. Importer, Distributor, Promoter of BC Wines in Europe. 100% Canadian. #FoodTrucks at https://t.co/nztI1oxU9M Fan of #BCWine</t>
  </si>
  <si>
    <t>Jackie</t>
  </si>
  <si>
    <t>RT @wdanielsen: Cool colour on this Beetle. #VW #Volkswagen #Norway https://t.co/mn296IhVlW</t>
  </si>
  <si>
    <t>#Music is my escape from all the bullshit in life!</t>
  </si>
  <si>
    <t>@TheLovebusWedCo @itvcorrie @dolly_campbell Very Cool. Very Unique. #VW</t>
  </si>
  <si>
    <t>#vw #volkswagen #r20 #golfr #mk7 #audi #s3 #oryxwhite #rline #4motion #awd #drivenewengland https://t.co/diqVAhYUgn</t>
  </si>
  <si>
    <t>Damián Fanelli</t>
  </si>
  <si>
    <t>Periodista. Editor de @PolideportivoAr @Recta_Principal y @ReporteroSonico</t>
  </si>
  <si>
    <t>Recta Principal</t>
  </si>
  <si>
    <t>Sitio argentino con información de deporte motor de Argentina e internacional, editado por el periodista @damian_fanelli</t>
  </si>
  <si>
    <t>El equipo #VW con @JariMattiWRC confirma que vuelve a la competencia https://t.co/6BF1DZYhQX</t>
  </si>
  <si>
    <t>Jens-Uwe Köhler</t>
  </si>
  <si>
    <t>#vw rekordverlust 2015. und keine Steuern in den nächsten Jahren. So zahlt der deutsche Staat mit am abgasskandal.</t>
  </si>
  <si>
    <t>Üblicherweise Berlin</t>
  </si>
  <si>
    <t>Pablo Cabral</t>
  </si>
  <si>
    <t>RT @CastrolArg: El equipo #VW con @JariMattiWRC confirma que vuelve a la competencia https://t.co/6BF1DZYhQX</t>
  </si>
  <si>
    <t>Virreyes County</t>
  </si>
  <si>
    <t>Trabajador de prensa. Todavía no encontré lo que estoy buscando y no tengo idea de qué cazzo es. Orgullosísimo papi de Martín, socio de Tigre con semestre pago.</t>
  </si>
  <si>
    <t>Y llegara el día en que dirás valió la pena esperar. C.A.U</t>
  </si>
  <si>
    <t>RT @StreetFoodUK: @TheLovebusWedCo @itvcorrie @dolly_campbell Very Cool. Very Unique. #VW</t>
  </si>
  <si>
    <t>#beautiful wedding today @TheLowryMN #northwesthour #manchester #vw #weddings https://t.co/5fKb6gmNbv</t>
  </si>
  <si>
    <t>Manchester App</t>
  </si>
  <si>
    <t>RT @TheLovebusWedCo: #beautiful wedding today @TheLowryMN #northwesthour #manchester #vw #weddings https://t.co/5fKb6gmNbv</t>
  </si>
  <si>
    <t>The Ultimate Guide to the City of Manchester. Coming soon.</t>
  </si>
  <si>
    <t>Tamara Dumas</t>
  </si>
  <si>
    <t>RT @Ikoniclondon: #VW delays report into emissions-rigging scandal as it unveils huge losses https://t.co/W9TrvpLD0W</t>
  </si>
  <si>
    <t>Fashion &amp; Lifestyle Editor @ikoniclondon Published author | Life coach for creative entrepreneurs #Followback</t>
  </si>
  <si>
    <t>Rusty and Roses</t>
  </si>
  <si>
    <t>Insanely busy today @Rustyandroses #campervan #photobooth #peep #showandtell #wedding #camper #vw #showandshine https://t.co/1yPMIjv7Ap</t>
  </si>
  <si>
    <t xml:space="preserve">thatcham </t>
  </si>
  <si>
    <t>vw wedding campervan hire chauffeur driven wedding transportation classic and bespokely designed https://t.co/sWTRLZeToW</t>
  </si>
  <si>
    <t>RT @Ikoniclondon: Ministers demand #UK #VW drivers get the same compensation as the #US https://t.co/TnHbPYtyUM #VWCorruption</t>
  </si>
  <si>
    <t>Love Umbrellas Klair</t>
  </si>
  <si>
    <t>Rawtenstall, England</t>
  </si>
  <si>
    <t>FB - http://t.co/bgq727fqjF Love Umbrellas - Top Floor, Novak's Bridal Lounge, 331 Burnley Rd, Rawtenstall, Lancashire BB4 8LA</t>
  </si>
  <si>
    <t>eBay: Volkswagon T5 Camper 2007 Competition… https://t.co/fCAQVEG044 #vwcamper #vwbus #vw https://t.co/ZEadscsjBy https://t.co/zJxwvRgbCV</t>
  </si>
  <si>
    <t>BIG AL B.</t>
  </si>
  <si>
    <t>#VW brand #sales kept falling #March saw the 16th drop in the past 18 months. https://t.co/9b31ysSSrZ</t>
  </si>
  <si>
    <t>{UNION FAMILY&amp; PROUD OF IT} +GREAT-PAY-BENIFITS+{SUPPORT OUR VETS}MY DAD WAS VET&amp;3{DAV} UNCLES+{SUPPORT PUBLIC ED}-Id LOVE 2 CHANGE THE WORLD-10 YEARsAFTER song</t>
  </si>
  <si>
    <t>Maxi</t>
  </si>
  <si>
    <t>2016 Volkswagen Jetta 1.4T SE w/Connectivity Sedan Back To Inventory: New 2016 Volkswagen Jett... https://t.co/s3JxhxcoSN #VW #jetta #car</t>
  </si>
  <si>
    <t>VW Diesel Scandal Cost Rises To £12.7bn: The 5 lakh cars that will be bought back by Volkswage... https://t.co/a1MzCQDamx #VW #jetta #car</t>
  </si>
  <si>
    <t>2013 Volkswagen Jetta Sedan S Volkswagen: 2013 *Volkswagen Jetta Sedan S* Offered by: Campbell... https://t.co/E7nXpGzr1i #VW #jetta #car</t>
  </si>
  <si>
    <t>Demand for #VW brand models dropped 2% in the core Western #European region last month and 10% in the #USA</t>
  </si>
  <si>
    <t>Miguel Sousa</t>
  </si>
  <si>
    <t>#vw #classic #blue @ Campo de Ourique https://t.co/FSjrgethuC</t>
  </si>
  <si>
    <t>38.72178,-9.231878</t>
  </si>
  <si>
    <t>I´ve got issues® PokerAlho46™ #rip #bonga (sim fui eu que criei)</t>
  </si>
  <si>
    <t>実況者バクス@100%フォロバ</t>
  </si>
  <si>
    <t>youtubeで「バクスの実況チャンネル」というチャンネルで実況やってます。まだまだ未熟なので、チャンネル登録、拡散お願いしますm(_ _)m https://t.co/vNYFgBij1r</t>
  </si>
  <si>
    <t>#NWFollowers</t>
  </si>
  <si>
    <t>nefollowers</t>
  </si>
  <si>
    <t>North West, England</t>
  </si>
  <si>
    <t>Promoter of North West of England. #NWFollowers twitter hour LAUNCHES Summer 2015! Run by @thenorthwestHUB. Partner @NEFollowers. E: info@thenorthwesthub.com</t>
  </si>
  <si>
    <t>SouthCoastWorkshop</t>
  </si>
  <si>
    <t>The #pickute VW really stands up next to our #celica #GT-Fours #VW #GTIBoyz https://t.co/xybTZfbfRo</t>
  </si>
  <si>
    <t>Emsworth, England</t>
  </si>
  <si>
    <t>South Coast Workshop is an independent garage run by enthusiasts for enthusiasts. Do it yourself, do it with help or we do it for you.</t>
  </si>
  <si>
    <t>Offroad 4x4-Tirol</t>
  </si>
  <si>
    <t>#vw great stuff ...󾌳 https://t.co/S8GBYFfiYq</t>
  </si>
  <si>
    <t>Radfeld</t>
  </si>
  <si>
    <t>seit 1989 infiziert mit dem Virus #Jeep</t>
  </si>
  <si>
    <t>#DIESEL #VW #German &amp; #British #lawyers, representing #thousands of #European #drivers, said on Thurs their #clients deserved the same #deal</t>
  </si>
  <si>
    <t>Jeremy Hughes</t>
  </si>
  <si>
    <t>Invercargill</t>
  </si>
  <si>
    <t>motorsport nerd, hayden paddon follower!!</t>
  </si>
  <si>
    <t>#vagmen vagmenhq #vw #vdub #vwgolf #volkswagen #volkswagengolf #mk3madness #burnallthemk3s #mk3… https://t.co/1gLCda4Y9k</t>
  </si>
  <si>
    <t>Check out DISNEY COLLECTION - MICKEY MOUSE - VW KAFER BEETLE - 1:18 - Beautiful #Bburago https://t.co/n3o7DTl5L1 via @eBay #Disney #VW</t>
  </si>
  <si>
    <t>Eduardo Mejía V.</t>
  </si>
  <si>
    <t>#hunde #selfie 😄✌️ #vw #bus https://t.co/ZMWou6LQGM</t>
  </si>
  <si>
    <t>Es duro necesitarte y saber que no puedo tenerte.</t>
  </si>
  <si>
    <t>#vagmen vagmenhq #vw #vdub #vwgolf #volkswagen #volkswagengolf #mk3madness #ukmk3s… https://t.co/CvssMHiP51</t>
  </si>
  <si>
    <t>Productive day working on the #VW #T5. #dynamating @LesNoyse the floor next 👍🏼 @JustKampers https://t.co/007RJWtk4J</t>
  </si>
  <si>
    <t>Check out 1955 VOLKSWAGEN CAMPER - PROMOTIONAL - LLEDO - SPECIAL EDITION - RED #Lledo https://t.co/eNYvYPDYZ0 via @eBay #Volkswagen #VW</t>
  </si>
  <si>
    <t>Check out 1955 VOLKSWAGEN CAMPER - PROMOTIONAL - SPECIAL EDITION - ORANGE &amp; WHITE #Lledo https://t.co/8kyCdOuDRe via @eBay #Volkswagen #VW</t>
  </si>
  <si>
    <t>Alexis ◁</t>
  </si>
  <si>
    <t xml:space="preserve">Cruz del Eje </t>
  </si>
  <si>
    <t>Jugador de /C.A.C.N.A/ #10 06/02/16 ❤ fanatico de River. ⇨⚽❤</t>
  </si>
  <si>
    <t>One day I will own a camper like this 😍 #camper #vw #vwcamper #bigbugjam #santapod #amazing #goals #birthday #lovin… https://t.co/ffyArcMGW1</t>
  </si>
  <si>
    <t>#lowandslow #slammed #stance #samba #volkswagen #vw #vws #volks #vwbug #vwbus #vwlife #vwlove #vwporn #vwworld #vwb… https://t.co/yjNJb3Omdn</t>
  </si>
  <si>
    <t>Tom Drechsler</t>
  </si>
  <si>
    <t>Stellvertreter der Chefredakteurin BILD am SONNTAG, Axel Springer SE, Tweet it or leave it!</t>
  </si>
  <si>
    <t>ariel donatucci</t>
  </si>
  <si>
    <t>San Isidro</t>
  </si>
  <si>
    <t>FanCar Picture - Send me your Scirocco pictures!!! (PM Please) #VW #Volkswagen #Scirocco #Tuning https://t.co/LbsZRzy1ie</t>
  </si>
  <si>
    <t>Si Maxted</t>
  </si>
  <si>
    <t>Bald but mildly funny tech illustrator at JaguarLandrover - Instagram Si_Maxted</t>
  </si>
  <si>
    <t>Grzesiek Drzewiecki</t>
  </si>
  <si>
    <t>Tułowice, Polska</t>
  </si>
  <si>
    <t>cleaning time @gkyozknn 🌒#e30 #e92 #e90 #e36 #girl #drag #drift #car #m6 #gt86 #vw #moda #e46 #lowered #coilover #n… https://t.co/zKURxwKJQO</t>
  </si>
  <si>
    <t>Yellow Car Shop</t>
  </si>
  <si>
    <t>Lease the #VW Polo GTi for just £87.57 + VAT/mth. Cheaper than the dealer, guaranteed! https://t.co/7OuRW75w56 https://t.co/EksxqiSFEr</t>
  </si>
  <si>
    <t xml:space="preserve">Milton Keynes &amp; Bedford </t>
  </si>
  <si>
    <t>Brand new #cars and #vans delivered nationwide. #LEASE #BUY #RENT. Call us on 01908 617708 for help finding your new car...at the very best price. #CarLeasing</t>
  </si>
  <si>
    <t>Cost is only going up so long as #VW keeps showing contempt for #customers, refuses to accept responsibility https://t.co/SrOOIBqQCF</t>
  </si>
  <si>
    <t>evatimar! #kaefer #vw #vwrulez #beautiful #bogarasokbaratikore #bogar #beetle #vine #ahoy #ahoysarvar... https://t.co/TMckuVn3L8</t>
  </si>
  <si>
    <t>Made in Santa Cruz</t>
  </si>
  <si>
    <t>✌🏼Far out!✌🏼 Custom made wooden #VW van art by #CYA in California. Just $15.95! #madeinsantacruz https://t.co/jVxJMJpHIT</t>
  </si>
  <si>
    <t>Santa Cruz, California</t>
  </si>
  <si>
    <t>We offer a collection of locally made artisan gifts, artwork, souvenirs and more, plus Santa Cruz t-shirts. Located at the end of the Santa Cruz Wharf.</t>
  </si>
  <si>
    <t>FG</t>
  </si>
  <si>
    <t>#Heizkraftwerk #Wolfsburg Nord/Süd des #VW-Werkes, #Industriedenkmal &amp; Wahrzeichen der Stadt. #Industriekultur https://t.co/ktnLv9Ezkn</t>
  </si>
  <si>
    <t>Fan v. Industrie/ Industriekultur, Gärten in nahezu jeder Form, historischen Bauten, der Geschichte und der Zukunft.</t>
  </si>
  <si>
    <t>Nenita♛</t>
  </si>
  <si>
    <t>los olmos</t>
  </si>
  <si>
    <t>Fb: Ximee Catalan Insta: @ximecatalann snap: XimeeCatalan</t>
  </si>
  <si>
    <t>Joon.</t>
  </si>
  <si>
    <t>#ATPturbo #vdub #vw #volkswagen #vdub #turbo #becauseracecar #dragracing #1320 #fiebre #fiebru… https://t.co/KoUDq7MDSz</t>
  </si>
  <si>
    <t>L.E.S. NYC</t>
  </si>
  <si>
    <t>Not much of a tweeter per say....</t>
  </si>
  <si>
    <t>#vw #vag #vwlife #vwlove #volkswagen #rabbit #mk1 #mk1golf by jo3kr https://t.co/OXq7An497E</t>
  </si>
  <si>
    <t>Андрей Censored</t>
  </si>
  <si>
    <t>Когда вы вопперы levaonelove #car #suck #vw #friends #gays https://t.co/vBv5ZJsHbA</t>
  </si>
  <si>
    <t>May I please remain in this space?</t>
  </si>
  <si>
    <t>#photoshoot yesterday w/ #model @itskristinachai in #northshore #luckywelivehawaii #haleiwa #vw #vintage #hipster #… https://t.co/iVREciV3N7</t>
  </si>
  <si>
    <t>★ agus ruiz ★</t>
  </si>
  <si>
    <t>Foteli del viernes #vw #gol @ Floresta, Buenos Aires https://t.co/IvQArXOgG7</t>
  </si>
  <si>
    <t>villa luro</t>
  </si>
  <si>
    <t>agregamee https://t.co/74VWksK9ZP</t>
  </si>
  <si>
    <t>LosttimeComics</t>
  </si>
  <si>
    <t>RT @PattendenPhoto: Lurking... #vw #golfr #automotive #photography #urban #street #evil #creative #explore #creativity #follow #rt https:/…</t>
  </si>
  <si>
    <t>Homemade comics made with Heart and soul. Creative Muse storyteller art hermit. Never tweeted shit. Sold on https://t.co/4rwjfd0Csv under Losttime Comics.</t>
  </si>
  <si>
    <t>Volkswagen</t>
  </si>
  <si>
    <t>SOY DE BOCA JUNIORS Y NADA MAS♥wpp:2964 587229</t>
  </si>
  <si>
    <t>Thecoffeebus</t>
  </si>
  <si>
    <t>Hope everyone is having a wonderful weekend!! ✌🏻️❤️🚌 @lafeverphotography #VW #coffee #weekend #PDX https://t.co/efaNiZCCM9</t>
  </si>
  <si>
    <t>Espresso Delivery Service</t>
  </si>
  <si>
    <t>Barzer</t>
  </si>
  <si>
    <t>I was a bit tired after that drive so I decided to stretch out! #Volkswagen #vw #vwcampervan… https://t.co/0wmhp4zn9U</t>
  </si>
  <si>
    <t>Dublin, ireland</t>
  </si>
  <si>
    <t>Design - Dublin. O'Brien Bros. Speedshop. RedBeard Racing. #OBBSS ⚓️ #RBR O'Brien Bros. Guitars Cycling. Bikes. Coffee. Beer. Cars. Design.</t>
  </si>
  <si>
    <t>resumendelosmedios</t>
  </si>
  <si>
    <t>Noticias Diarias http://t.co/CH339y07J3 - NO SIGO A NADIE - Canal YouTube https://t.co/FB3dvf2d27</t>
  </si>
  <si>
    <t>L'Incorrigible</t>
  </si>
  <si>
    <t>VW-8 from the upcoming Transformers Awaken movie :) #starwars #ForceAwakens #bb8 #vw https://t.co/ytsunmdzSM</t>
  </si>
  <si>
    <t>Kadıköy / İstanbul / Türkiye</t>
  </si>
  <si>
    <t>I'm just a simple man, trying to make my way in the universe. Cool Rockin' Daddy. BeşiktAşık. Most of what I tweet is true.</t>
  </si>
  <si>
    <t>allum</t>
  </si>
  <si>
    <t>RT @dejbanlaw: Cost is only going up so long as #VW keeps showing contempt for #customers, refuses to accept responsibility https://t.co/Sr…</t>
  </si>
  <si>
    <t>KEEP CALM AND DO WORK SON!</t>
  </si>
  <si>
    <t>Peter ArmendÃ¡riz</t>
  </si>
  <si>
    <t xml:space="preserve">New Jersey </t>
  </si>
  <si>
    <t>@lialoves127 sports junkie</t>
  </si>
  <si>
    <t>Nexovision</t>
  </si>
  <si>
    <t>Un compacto más compacto #vw #bocho # Beatle #escarabajo https://t.co/rj5naPpnVa</t>
  </si>
  <si>
    <t>Televisora</t>
  </si>
  <si>
    <t>Wil Wardle</t>
  </si>
  <si>
    <t>Roadside Attraction https://t.co/cagkKmJLcX #Volkswagen #VW #Travelphotography #carportrait #Beetle #SouthAfrica #WesternCape #roadtrip</t>
  </si>
  <si>
    <t>Eastbourne</t>
  </si>
  <si>
    <t>South African, Eastbourne based photographer who loves living in the sunniest town in Great Britain. http://t.co/zUV9DMvKb1</t>
  </si>
  <si>
    <t>Renzo Rodriguez</t>
  </si>
  <si>
    <t>Tala, Canelones, ROU</t>
  </si>
  <si>
    <t>// Remixer // Músico en Grupo Flecha // Operador de aire de @RadioUno1007 // Wpp: 092168954</t>
  </si>
  <si>
    <t>SophieKeady</t>
  </si>
  <si>
    <t>Australia-travelling☀️</t>
  </si>
  <si>
    <t>Life is certainley to short so live your life like everyday is your last. Make things happen, dont wait for them to happen.</t>
  </si>
  <si>
    <t>kiani</t>
  </si>
  <si>
    <t>I'll do something incredible</t>
  </si>
  <si>
    <t>VW T5.1 LWB Dayvan/Campervan: £6,000.00 (0 Bids)End Date: Saturday Apr-30-2016 22:13:19 BSTBid now | Add ... https://t.co/5qMVXnN2Xt #vw</t>
  </si>
  <si>
    <t>LEOMENTALES</t>
  </si>
  <si>
    <t>sobre realizar sonhos! #vw #beetle #fusca #aircooled #nofilter https://t.co/vYkBgldPgV</t>
  </si>
  <si>
    <t>Futebol, Neymar, futebol, Santos, futebol, Fusca, futebol, Santos, futebol, Fusca, Neymar, FIFA, Fusca, Santos, FIFA, Neymar, Futebol, FIFA e memes maneiros</t>
  </si>
  <si>
    <t>Steady Ballin</t>
  </si>
  <si>
    <t>Camp Wisdom&amp;Greenspan (PTP)</t>
  </si>
  <si>
    <t>Chasin' Da' Root of All Evil, what else is it to do $$$</t>
  </si>
  <si>
    <t>"#VW Adventure #Camper" #vanagon #feedly https://t.co/uAjxTqp1kN</t>
  </si>
  <si>
    <t>Lauren Phillips</t>
  </si>
  <si>
    <t>✨ Think happy ... Be happy ✨</t>
  </si>
  <si>
    <t>Jane Gibbons</t>
  </si>
  <si>
    <t>fl</t>
  </si>
  <si>
    <t>eBay: Volkswagen T2 Camper LHD https://t.co/e4vdCWmSKo #vwcamper #vwbus #vw https://t.co/ZEadscsjBy https://t.co/2RYl93AfNC</t>
  </si>
  <si>
    <t>Charlie Kindel</t>
  </si>
  <si>
    <t>Lovely Bus. #vw #vwbus https://t.co/vm9mkFkzUx https://t.co/iXnDRcMpnP</t>
  </si>
  <si>
    <t>Bellevue, WA</t>
  </si>
  <si>
    <t>I build things consumers and developers love (like Amazon Echo). I'm addicted to soccer, skiing, and German cars from the 80s. #ebfg!</t>
  </si>
  <si>
    <t>jarrod</t>
  </si>
  <si>
    <t>Just such a #classiccar . The #vw #rabbit #vwrabbit https://t.co/Ls7uhgt8OI</t>
  </si>
  <si>
    <t>bc, canada</t>
  </si>
  <si>
    <t>photographer &amp; social media-er</t>
  </si>
  <si>
    <t>jessieeee</t>
  </si>
  <si>
    <t xml:space="preserve">south london // loughbrough </t>
  </si>
  <si>
    <t>VW Diesel Scandal Cost Rises To £12.7bn https://t.co/6Vy1ulYa5O #VW #AutoNews</t>
  </si>
  <si>
    <t>VW takes $18 bn hit over emissions... https://t.co/L13yI063y2 #VW #AutoNews</t>
  </si>
  <si>
    <t>eBay: VW TRANSPORTER CAMPER (BRAND NEW)… https://t.co/5MxCG6RXpa #vwcamper #vwbus #vw https://t.co/ZEadscsjBy https://t.co/Y2mzGITqi1</t>
  </si>
  <si>
    <t>Avantar</t>
  </si>
  <si>
    <t>@Gravantar @Europarl_DE @Attacd @amnesty_de @DIMR_Berlin @WhistleBlogs @extra3 @HAMBURGonline #PanamaPapers #VW #TTIP @LabourNet #Attack</t>
  </si>
  <si>
    <t>A lie has no legs, but a scandal has wings. Thomas Fuller (* 1608 in Aldwinkle; † 16. August 1661) was an English historian.</t>
  </si>
  <si>
    <t>Crazy_N_Alabama</t>
  </si>
  <si>
    <t>Southern Alabama</t>
  </si>
  <si>
    <t>GIVE ME LIBERTY OR GIVE ME A CLEAR SHOTDespises Islam and government overreach. Will probably die in the coming revolution. Ain't skeered.</t>
  </si>
  <si>
    <t>C D</t>
  </si>
  <si>
    <t>Let's straight pipe it! #becuzracecar #MKV #mk5 #vw #Volkswagen #gti… https://t.co/Y3VpgMNveB</t>
  </si>
  <si>
    <t>Phoenix, Arizona</t>
  </si>
  <si>
    <t>AZ FMX pioneer, Photographer, Gnar junkie, VW MKV GTI nut, mountain biker, Dental Technician</t>
  </si>
  <si>
    <t>Troy Langford</t>
  </si>
  <si>
    <t>My buggy sounding sweet! #volkswagen #vw #vwbuggy #dunebuggy… https://t.co/4nNrg3Rhnm</t>
  </si>
  <si>
    <t>Iowa</t>
  </si>
  <si>
    <t>Enjoy riding motorcycle, driving and fixing old cars &amp; trucks, hunting, camping, collecting antiques</t>
  </si>
  <si>
    <t>Valeria Ibáñez Arce</t>
  </si>
  <si>
    <t>As melhores companhias, boa noite. #fuscabrasil #fuscaclub #oldschool #vw #bug #cwb https://t.co/7SrqQB4OwK</t>
  </si>
  <si>
    <t>Omar Hernandez</t>
  </si>
  <si>
    <t>Las modificaciones a vehículos diésel le cuestan a #VW 18,000 millones de dólares https://t.co/pTUlHcj6N8 https://t.co/3BE0OBcpHp</t>
  </si>
  <si>
    <t>Si se te cae la cara de vergüenza... no te preocupes te queda la de pendejo</t>
  </si>
  <si>
    <t>Roberto Desachy</t>
  </si>
  <si>
    <t>Las modificaciones a vehículos diésel le cuestan a #VW 18,000 millones de dólares https://t.co/CsftV5Qjzt https://t.co/4q6ixQ2Vd7</t>
  </si>
  <si>
    <t>Director de https://t.co/Kwv7Hv4qKh, titular de Telenews Puebla, periodista, colaborador de C. y R de Veracruz,Telenews nacional y Cuarto de Guerra (Tlaxcala).</t>
  </si>
  <si>
    <t>Desde Puebla</t>
  </si>
  <si>
    <t>Las modificaciones a vehículos diésel le cuestan a #VW 18,000 millones de dólares https://t.co/BiGT1UfDXP https://t.co/Jm4DOldFt2</t>
  </si>
  <si>
    <t>Noticias de Puebla, México y el mundo</t>
  </si>
  <si>
    <t>RT @ValeriaIbanezA: As melhores companhias, boa noite. #fuscabrasil #fuscaclub #oldschool #vw #bug #cwb https://t.co/7SrqQB4OwK</t>
  </si>
  <si>
    <t>Andrew Conway</t>
  </si>
  <si>
    <t>Finally got this finished! #Lego #VW #campervan https://t.co/huBb5mRKj3</t>
  </si>
  <si>
    <t>Scotland, United Kingdom</t>
  </si>
  <si>
    <t>Gym rat, Ice Hockey fan &amp; MRI Scanning geek.</t>
  </si>
  <si>
    <t>Car News &amp; Reviews</t>
  </si>
  <si>
    <t>#VW #Volkswagen Golf Clubsport S 290 hp spotted - spy shots camo car Erlkönig all-new neu https://t.co/Dbbvf000RC</t>
  </si>
  <si>
    <t>Thomas, Motorjournalist &amp; Online Publisher. Find me also @reise_world! #Cars #Carreviews #Autoblogger #Autoblog #Blogger #Journalist #Autos</t>
  </si>
  <si>
    <t>No better way to start your new life together than inside a #VW! #Volkswagen #Bus #Wedding https://t.co/xzACWxClHy</t>
  </si>
  <si>
    <t>✨</t>
  </si>
  <si>
    <t xml:space="preserve">استغفرالله واتوب اليه </t>
  </si>
  <si>
    <t>#HFC</t>
  </si>
  <si>
    <t>#VW Campers are the theme of this #triangular shoulder #bag. by LDCcreations https://t.co/uHY9M9027a via @Etsy</t>
  </si>
  <si>
    <t>teri-m</t>
  </si>
  <si>
    <t>England, GB</t>
  </si>
  <si>
    <t>music, sports, cars</t>
  </si>
  <si>
    <t>♥Marii♥</t>
  </si>
  <si>
    <t>BOSTERA , celosa</t>
  </si>
  <si>
    <t>melinton benavides</t>
  </si>
  <si>
    <t>2004 VW GTI with privacy film installed and a sun visor strip. Tammy did an awesome job on this vehicle. #VW... https://t.co/wep2bYGgxY</t>
  </si>
  <si>
    <t>Spinning is in full bloom VW Camping season finally. #VW #vwwestfalia #vwcamper #vwbus #vwlove #tulips #spring #sp… https://t.co/0GTyA29JJF</t>
  </si>
  <si>
    <t>Throw back to bugjam 29 preperations. The usual last minute push 😅🤘 #bugjam #samba #vw #23window #sambadeluxe #vwca… https://t.co/YlYU7C8hUb</t>
  </si>
  <si>
    <t>Matias ∆ 37 81 ••</t>
  </si>
  <si>
    <t xml:space="preserve">Berrotaran </t>
  </si>
  <si>
    <t>River Plate | insta: mattipereyra22 | facebook: Matty Pereyra |ONSOMESHIT|</t>
  </si>
  <si>
    <t>Lexi</t>
  </si>
  <si>
    <t>love my jetta 🇩🇪❤️ #vw #mk5 https://t.co/nI7TZ17BPb</t>
  </si>
  <si>
    <t>just a girl &amp; her jetta ❤️ | nikon d3100</t>
  </si>
  <si>
    <t>Amanda Donahue</t>
  </si>
  <si>
    <t>Niagara University</t>
  </si>
  <si>
    <t>Supply chain major, graduating 2015 snapchat: amdonahue18</t>
  </si>
  <si>
    <t>#NSU #ODU #VW #beachweekendva</t>
  </si>
  <si>
    <t>Allister McDowell</t>
  </si>
  <si>
    <t>Scotland/France</t>
  </si>
  <si>
    <t>Not giving up on Scottish Independence. SNP memberStrong supporter of UDI</t>
  </si>
  <si>
    <t>zalisha aryanie</t>
  </si>
  <si>
    <t>Kuala Lumpur x United Kingdom</t>
  </si>
  <si>
    <t>instagram ; zalishaaryanie</t>
  </si>
  <si>
    <t>FO Sanofi A. Groupe</t>
  </si>
  <si>
    <t>#DieselGate #VW #Mitsubishi #Daimler Le monde automobile totalement ébranlé https://t.co/iUvuK4PYR2 @fo_sag https://t.co/pjr9ZV0eO0</t>
  </si>
  <si>
    <t>De l'info: Pas de Prosélytisme</t>
  </si>
  <si>
    <t>Fil du Syndicat FO - FO Cadres Sanofi Aventis Groupe Pôle Paris et Lyon administré par DSC FO SAG @force_ouvriere @FOCadres - https://t.co/kAJBY1txAu…</t>
  </si>
  <si>
    <t>Pode Não Recife</t>
  </si>
  <si>
    <t>Redução de custos na Mary Kay #humor 😊😉 #MaryKayStyle #vw https://t.co/vsB14dQkGI</t>
  </si>
  <si>
    <t>Recife/PE - Brasil</t>
  </si>
  <si>
    <t>Inconformado com os desrespeitos e a falta de educação no trânsito de Recife? Colabore e vamos tentar deixa-lo melhor. Veja tb o Instagram</t>
  </si>
  <si>
    <t>eBay: Camper van ldv /transit/… https://t.co/nKw6xCvzLw #vwcamper #vwbus #vw https://t.co/ZEadscsjBy https://t.co/kSRKpTS8xm</t>
  </si>
  <si>
    <t>Fotis Amanatides</t>
  </si>
  <si>
    <t>Liberalismus ist keine Beliebigkeit, sondern die Selbstverpflichtung zu einem permanenten Abwägen. Politikwissenschaftler @Unicologne Freier Demokrat</t>
  </si>
  <si>
    <t>aad</t>
  </si>
  <si>
    <t>@kattascha ..technologischen Veränderungen passieren woanders. Hierzulande verpennt man trends wie zb. #vw #siemens #Mercedes... @BDI_ttip</t>
  </si>
  <si>
    <t>architecture • math/art • science/future + random tweets, occassionally making fun of liberal euphemisms, conservative taboos and national thoughts</t>
  </si>
  <si>
    <t>Filip Kazimirovič</t>
  </si>
  <si>
    <t>RT @VolkswagenCZ: Na silnici si nemusíte zjednávat respekt agresivní jízdou, stačí mít auto, po kterém všichni touží. #Golf-R #VW https://t…</t>
  </si>
  <si>
    <t>Praha, Česká republika</t>
  </si>
  <si>
    <t>FOLLOW YOUR DREAMS !! ☺</t>
  </si>
  <si>
    <t>saki12161114</t>
  </si>
  <si>
    <t>色々つぶやきます・・・</t>
  </si>
  <si>
    <t>Wheelz.me</t>
  </si>
  <si>
    <t>https://t.co/uR0exDI3iF فولكسفاغن غولف جي تي اي سبورت #VW #volkswagen #GolfGTE #GTEConcept #Golf #GTE #GTESport #ConceptCar #VWGolf</t>
  </si>
  <si>
    <t>عالم السيارات بين يديك</t>
  </si>
  <si>
    <t>60.000 Österreicher wollen #VW verklagen; Verein strebt Sammelverfahren über Niederlande an -- https://t.co/bHDC5ORKNw #OEsterreich</t>
  </si>
  <si>
    <t>朝飯食べて〜 亀の水槽洗って〜 ☕️飲んだら出発 #JMTM #justmytastemeeting #岐阜 #oldcar #vw by jumbleworks https://t.co/zAe2RneFTN</t>
  </si>
  <si>
    <t>Álvaro Sacristán Pal</t>
  </si>
  <si>
    <t>She'll looking very pretty #glendalough #camping #vw #vwcalifornia #familytimr #stroll #mycaliforniadreaming https://t.co/AVZllFBwKe</t>
  </si>
  <si>
    <t>Faaker See 2016 #mk1 #golfmk1 #mk1golf #worthersee2016 #worthersee #faakersee #vdub #vw #volkswagen #bbs #bbsrs by … https://t.co/ODch481NKc</t>
  </si>
  <si>
    <t>Billy Hallisky</t>
  </si>
  <si>
    <t>Echo Park #survivor #vw #thing @ Echo Park Lake https://t.co/QWF0MRd8mz</t>
  </si>
  <si>
    <t>Bumpers For Bernie</t>
  </si>
  <si>
    <t>@saraaduh knows what the Bern is all about! Thanks for another shot! TONS of #VW Bern these… https://t.co/7VYLMMsKR8</t>
  </si>
  <si>
    <t>三菱とVWの不正、共通点は「ノー」と言えない企業体質 https://t.co/aKjEskbtQn #VW #コンプライアンス #三菱自動車</t>
  </si>
  <si>
    <t>eBay: 1972 Classic VW Beetle Authentic… https://t.co/Ru8Bmd6Uzw #vwbeetle #vwbug #vw https://t.co/xvfL74PTgl https://t.co/O8xOhKlTkX</t>
  </si>
  <si>
    <t>#8thcarofapril #vw #2016jetta #swithtech #reflexsilvermetallic #thischickismoreampedthaniam… https://t.co/j6IwdSPxz8</t>
  </si>
  <si>
    <t>Emilise</t>
  </si>
  <si>
    <t>Sao Paulo-BR / Calabria-IT</t>
  </si>
  <si>
    <t>Mediterranean girl left in Brazil by stork's miscalculation. MBA and Ing. in the real life. Rally. F1. Food. Wine. Music. World. Laugh. Life!</t>
  </si>
  <si>
    <t>RT @JoJagiello: Finally on the way to the @SantaPodRaceway #vw https://t.co/6H1AwfXIXx</t>
  </si>
  <si>
    <t>eBay: Vw transporter t25 t3 t4 t5 camper van https://t.co/SizvXlqAZY #vwcamper #vwbus #vw https://t.co/ZEadscsjBy https://t.co/q4rh7VySga</t>
  </si>
  <si>
    <t>Zippi.co.uk</t>
  </si>
  <si>
    <t>RT @dendryad: I treated myself to a Love Bus messenger bag from @zippi :-) https://t.co/yWyCbcTejJ Love it! #vw https://t.co/js6crnm6Ai</t>
  </si>
  <si>
    <t>Southampton uk</t>
  </si>
  <si>
    <t>Zippi is an online community for buying and selling unique art! Follow us to keep up to date with new products and enter competitions to win free stuff!</t>
  </si>
  <si>
    <t>Ali Uğur Aslansoy</t>
  </si>
  <si>
    <t>#istanbul #buyukcekmece #23nisan #etkinlik #vosvos #volkswagen #beetle #vw #oldcar #oldcars https://t.co/lC9T1tctH3</t>
  </si>
  <si>
    <t>GALATASARAY ⭐⭐⭐⭐ -Soul of a lion- snapchat:uaslansoy</t>
  </si>
  <si>
    <t>Grey Cats</t>
  </si>
  <si>
    <t>Gabby enjoys her evening patrol#catsincars #dontdriveangry #meow #greycat #graycat #vw #findyourbliss #drivingmissk… https://t.co/Bhw3BbPhUL</t>
  </si>
  <si>
    <t>Grey Cats Unite from all around the world! Reposts from Instagram</t>
  </si>
  <si>
    <t>E Golf ordered today https://t.co/RUFfv6xUtj #VW #eGolf #EV</t>
  </si>
  <si>
    <t>Heat pump: Yes or No? https://t.co/P1yCOKT41p #VW #eGolf #EV</t>
  </si>
  <si>
    <t>Elie Wakim</t>
  </si>
  <si>
    <t>RT @Wheelz_me: https://t.co/uR0exDI3iF فولكسفاغن غولف جي تي اي سبورت #VW #volkswagen #GolfGTE #GTEConcept #Golf #GTE #GTESport #Conc…</t>
  </si>
  <si>
    <t>TinoVinoli</t>
  </si>
  <si>
    <t>Lairtta</t>
  </si>
  <si>
    <t>Rawy Saba</t>
  </si>
  <si>
    <t>Journalist/ TV and Radio Presenter</t>
  </si>
  <si>
    <t>W Ame7777</t>
  </si>
  <si>
    <t>netcarshows</t>
  </si>
  <si>
    <t>Carlos Costa</t>
  </si>
  <si>
    <t>Foto da praxe 🚙👍🏼 #vw #polo #tdi https://t.co/TXSZaQE4Yz</t>
  </si>
  <si>
    <t>Quando tiver tempo escrevo uma bio como deve ser! ;)</t>
  </si>
  <si>
    <t>Lamont Dubai</t>
  </si>
  <si>
    <t>Oh thats bae 😍 #CarWashDay #VW #Volkswagen #VWVortex #Jetta https://t.co/wVPjQiao3d</t>
  </si>
  <si>
    <t>Baltimore City</t>
  </si>
  <si>
    <t>kik: stfu_im_tawkin</t>
  </si>
  <si>
    <t>andrea-cora</t>
  </si>
  <si>
    <t>oberhausen</t>
  </si>
  <si>
    <t>alle sagten: das geht nicht! dann kam eine, die wusste das nicht und hat's gemacht .....</t>
  </si>
  <si>
    <t>Just Kampers</t>
  </si>
  <si>
    <t>RT @dosummitgood: Productive day working on the #VW #T5. #dynamating @LesNoyse the floor next 👍🏼 @JustKampers https://t.co/007RJWtk4J</t>
  </si>
  <si>
    <t>Odiham, Hampshire</t>
  </si>
  <si>
    <t>Just Kampers, started in 1989 and is your one stop shop when it comes to parts and accessories for VW Camper vans and Beetles.</t>
  </si>
  <si>
    <t>Ricky Crompton</t>
  </si>
  <si>
    <t>Can't wait to get this blank canvas murdered out soon #GoodTimesVan 👊📸@GoPro #gopro #vw #ytindustries @UKVolkswagen https://t.co/StvCloIvaA</t>
  </si>
  <si>
    <t>Professional MTB Athlete Bicycle obsessed world traveller All about the #Goodtimes &amp; #livingthedream NEW YOUTUBE VIDEO link below Enjoy</t>
  </si>
  <si>
    <t>ComplianceStrategist</t>
  </si>
  <si>
    <t>RT @DonnaCBoehme: #VW now understands that Compliance is NOT a subset of Legal. #Compliance2.0 https://t.co/S9oKdz3E6I #SubjectMatterExpe…</t>
  </si>
  <si>
    <t>Leaders in compliance &amp; ethics solutions. Global consultancy helping organizations build ethical leadership &amp; programs. #EthiTweeple #EthiTweeps #EthiSolutions</t>
  </si>
  <si>
    <t>No todos los #hibridos son iguales, descubre los secretos de #VW en #Tutorialesmotorgiga https://t.co/y1LGZl601J https://t.co/7vAFqyL0D5</t>
  </si>
  <si>
    <t>Ricardo Moreno</t>
  </si>
  <si>
    <t>#microsquirt #nissan #sr20 #vw wasted spark coil pack @ Megasquirt Toluca https://t.co/wuznkovKOs</t>
  </si>
  <si>
    <t>Cancun, Mexico</t>
  </si>
  <si>
    <t>I like good food, movies, good clothes, whiskey, fast cars... and you. What else you need to know?</t>
  </si>
  <si>
    <t>Suhail Ahmed</t>
  </si>
  <si>
    <t>Getting my Volkswagen Passat washed. #MintCondition #SoFreshAndSoClean #VW</t>
  </si>
  <si>
    <t>life-long scholar, athlete, fan of cooking and trying an array of foods, giants fan, and urban anthropologist</t>
  </si>
  <si>
    <t>Der #Bonus-Coup der #VW-Vorstände kann aus dem scheinbaren Bonusverzicht das GANZ GROSSE GESCHÄFT MACHEN https://t.co/ZFfLn5mps7 #VWGate</t>
  </si>
  <si>
    <t>When Adventure Calls ✌🏻️ #vw #vwbug #vwbus #vwbeetle #vwlife #vwlove #vwvortex #vwporn #vwworld #vwcamper #vwmafia … https://t.co/5uP5QFsNcF</t>
  </si>
  <si>
    <t>#theshitbin #vw #vdub #vwbus #vwcamper #vwsplit #splitty #splitbus #aircooled #aircooledvw #lowered #slammed #slamm… https://t.co/Kz3ZLqvypB</t>
  </si>
  <si>
    <t>booksbyjoy</t>
  </si>
  <si>
    <t>vw scene pdf Free Ebook for Download - https://t.co/46tkCOYv9Q #vw #scene #pdf</t>
  </si>
  <si>
    <t>books by joy</t>
  </si>
  <si>
    <t>#mono #olympus #olympusem #olympusuk #car #van #bus #vwt5forum #vw #vwcamper #splitty #camper #nofilter #blackandwh… https://t.co/6I5FksgBOD</t>
  </si>
  <si>
    <t>#mono #olympus #olympusem #olympusuk #car #van #bus #vwt5forum #vw #vwcamper #splitty #camper #nofilter #blackandwh… https://t.co/tvnuqarpy1</t>
  </si>
  <si>
    <t>2014 Volkswagen Jetta GLI: Research the 2014 Volkswagen Jetta GLI in Raleigh, NC at Hendrick K... https://t.co/3SQaIg4ZQ3 #VW #jetta #car</t>
  </si>
  <si>
    <t>FanCar Picture - Send me your Scirocco pictures!!! (PM Please) #VW #Volkswagen #Scirocco #Tuning https://t.co/rYlMbSfqpg</t>
  </si>
  <si>
    <t>Douglas Ariel</t>
  </si>
  <si>
    <t>presente da @hawkary #dasauto #vw #classicoalemao https://t.co/YNwXUT5QnF</t>
  </si>
  <si>
    <t>Have you tried turning it off and on again ?</t>
  </si>
  <si>
    <t>Curtis Goldsby</t>
  </si>
  <si>
    <t>The cost of #VW's emissions #scandal hits $18.2 billion https://t.co/IggCNZd2WV</t>
  </si>
  <si>
    <t>Munich, Bavaria</t>
  </si>
  <si>
    <t>Marketing Management specialist. Tech enthusiast. Passionate about international business and the automobile industry. Blogger at https://t.co/9q0s4zfpIZ.</t>
  </si>
  <si>
    <t>joel harwood</t>
  </si>
  <si>
    <t>#vw #vwperformance #golf #gtd #lovebug https://t.co/nc0VIeZGfI</t>
  </si>
  <si>
    <t>Refres</t>
  </si>
  <si>
    <t>Bebocho 🚗 🏁 #gti #runrun #vw https://t.co/5jXS6HlMQ1</t>
  </si>
  <si>
    <t>Sarcástico, aveces la hago de CEO, ayudo a mi país sentado cómodamente participando en HT.</t>
  </si>
  <si>
    <t>https://t.co/FPfTRPFm7f - #vw #vwt #vwt5 #vwbus #bus #germancars #tuning #low #transporte… https://t.co/rHYxsRuNmy https://t.co/OUGlW6SRLN</t>
  </si>
  <si>
    <t>Perfect example of a mk2! Follow: @vwlife__ @vwlife__ @vwlife__ @vwlife__ #vw #volks #volkswagen #vwlife #vwlif… https://t.co/BFBhQeU3sJ</t>
  </si>
  <si>
    <t>Tintaglia84</t>
  </si>
  <si>
    <t>#icefyre #gti #vw #vwgolfgti #vwgolf #hothatch #uk #mkv #mk5gti https://t.co/3gUvaRCPBB</t>
  </si>
  <si>
    <t>Newcastle Upon Tyne, England</t>
  </si>
  <si>
    <t>Instagram: tintaglia84 https://t.co/2N9sVNTjvd Snapchat: kalo56</t>
  </si>
  <si>
    <t>#vw #vwt #vwt5 #bus #vwbus #tuning #transporter #transportert5 #t5gp #candy #low #multivan #germancars by tuningvwt5 https://t.co/tbTTqhiLVO</t>
  </si>
  <si>
    <t>Alfredo Maza</t>
  </si>
  <si>
    <t>✌✌Acuariano, Hincha de River, Peronista, Música El Indio Solari</t>
  </si>
  <si>
    <t>#VW of the Day: "Check out my crib!" https://t.co/DTTToCVBN5</t>
  </si>
  <si>
    <t>ki unda niculá</t>
  </si>
  <si>
    <t>#SinFiltro #SRS #vw @ Autódromo de Buenos Aires "Oscar y Juan Gálvez" (Oficial) https://t.co/ZYzloLZMgf</t>
  </si>
  <si>
    <t>Pilar-Buenos Aires</t>
  </si>
  <si>
    <t>El GH que no fue,cantante de ducha, papà noel no existe Instagram:NICOLEIVAENFOTOS En Twitter desde 2010 CABJ</t>
  </si>
  <si>
    <t>#Finanzas #VW registra primera pérdida neta en 20 años tras escándalo del diéselgate https://t.co/WkcmoitwmB</t>
  </si>
  <si>
    <t>Cleaned up and no where to go . Guess I'll take my Kk on a dinner date #vw #volkswagen #dublove… https://t.co/f3A2NCj6z5</t>
  </si>
  <si>
    <t>Semi flush #flush #heraflush #hellaflush #hypnoticcustoms #dublove #vw #volkswagen #dublife #mk6… https://t.co/4c3ud8kMku</t>
  </si>
  <si>
    <t>Hunter</t>
  </si>
  <si>
    <t>"If we destroy Creation, Creation will destroy us." I'm looking at YOU #SarahPalin, #PatSajak #KochBrothers #VW #BP https://t.co/FcK27MktSu</t>
  </si>
  <si>
    <t>Lynda</t>
  </si>
  <si>
    <t>It's fun driving the #mini but I am missing Billie. #minicoopers #vwgolf #mk1golfcabriolet #vw… https://t.co/WxXFgodbuQ</t>
  </si>
  <si>
    <t>♥ music, cars, football.........&amp; tea. http://t.co/AhvsfIA9Vc…</t>
  </si>
  <si>
    <t>Leticia Garcia</t>
  </si>
  <si>
    <t>Last Insane performing today #lastinsane #giovonnimarcos #vw… https://t.co/VePDQgCTQb</t>
  </si>
  <si>
    <t>Meike S.</t>
  </si>
  <si>
    <t>#Rebers #VW #Radfahrer #Helm #Raser #Polizei #EU #Diesel #PS https://t.co/kgHdJnBVIN via @YouTube</t>
  </si>
  <si>
    <t>PC-Schrauberin ; Lebenskünstlerin ; Queer; ohne Hund! Liberal.</t>
  </si>
  <si>
    <t>III N14</t>
  </si>
  <si>
    <t>N14 LiftBack</t>
  </si>
  <si>
    <t>&lt;3 #vw #camper #bus https://t.co/TGYMAaKlbi</t>
  </si>
  <si>
    <t>VivamosAlCorte</t>
  </si>
  <si>
    <t>Te vas al #SRS y volves con mil cosas para el bebo.. #Sonic #VW #Volkswagen https://t.co/UK8GvRltU3</t>
  </si>
  <si>
    <t>Boca-Defensores Unidos de Zárate.</t>
  </si>
  <si>
    <t>eBay: 2005 55 VOLKSWAGEN BEETLE 1.6 8V 2D 101… https://t.co/QBT4TRG2MP #vwbeetle #vwbug #vw https://t.co/xvfL74PTgl https://t.co/v1i56xoXEp</t>
  </si>
  <si>
    <t>Volkswagen decides against a promised April update on Dieselgate investigation https://t.co/uATu9AP8bk #VW #AutoNews</t>
  </si>
  <si>
    <t>Government to pressure VW for UK customer compensation https://t.co/urTHHZNi8K #VW #AutoNews</t>
  </si>
  <si>
    <t>Celino Souza</t>
  </si>
  <si>
    <t>Jetta x Blackout do JG. Duas máquinas 🚗 🐴 #gentequeamacavalos #vw https://t.co/GTDRrOpsJZ</t>
  </si>
  <si>
    <t>Vitória da Conquista, Brasil</t>
  </si>
  <si>
    <t>#vwcamper #vw #t4 #vanlife #campervan by beluga_the_vw https://t.co/STQZfdMawA</t>
  </si>
  <si>
    <t>eBay: VOLKSWAGEN BEETLE 1.4 TSI 150 Design 3dr https://t.co/bo5IaiD61j #vwbeetle #vwbug #vw https://t.co/xvfL74PTgl https://t.co/qcRipAUgrv</t>
  </si>
  <si>
    <t>Lindo rally con los pibes! Mejor imposible pasarla #Wrc #Vw #Polo #LosGigantes https://t.co/O3kIQil2Vp</t>
  </si>
  <si>
    <t>Una recta es una linea aburrida entre tantas curvas.</t>
  </si>
  <si>
    <t>コンビを運転したことがありますか。Ja dirigiu uma Kombi? #volkswagen #vw #kombi #transporter #t2 #vwbus… https://t.co/kvh1nTtlkM</t>
  </si>
  <si>
    <t>Sugru</t>
  </si>
  <si>
    <t>Fix with personality! Jakub repaired the shattered #VW emblem on his car with #Sugru: https://t.co/7qxm1Wm0Fn https://t.co/Kl9KzhE5YZ</t>
  </si>
  <si>
    <t>Percolate</t>
  </si>
  <si>
    <t>The team behind Sugru, the mouldable glue that makes fixing and making easy and fun. Do-ers of the world it's time to get excited.</t>
  </si>
  <si>
    <t>Đøň Wäĺômę™</t>
  </si>
  <si>
    <t>SomeBody</t>
  </si>
  <si>
    <t>Santiago Coarasa</t>
  </si>
  <si>
    <t>Viva Córdoba!!! Viva el Rally!!!</t>
  </si>
  <si>
    <t>Andre Gailee</t>
  </si>
  <si>
    <t>LILBUG #VW #Beetle in #Ketchican #Alaska love the rat bumper @ClassicVWBeetle https://t.co/qp9hIAtTMO</t>
  </si>
  <si>
    <t>CV2</t>
  </si>
  <si>
    <t>tweet tweet repeat repeat</t>
  </si>
  <si>
    <t>Norma Laming</t>
  </si>
  <si>
    <t>RT @sugru: Fix with personality! Jakub repaired the shattered #VW emblem on his car with #Sugru: https://t.co/7qxm1Wm0Fn https://t.co/Kl9Kz…</t>
  </si>
  <si>
    <t>Ipswich IP4</t>
  </si>
  <si>
    <t>Family lawyer, Suffolk, left leaning Quaker, Guardian reader, no TV: interests are flora, fauna &amp; getting more sleep. RA. mostly RTs for interest or mischief</t>
  </si>
  <si>
    <t>https://t.co/Ico5fQslkq - #vw #ontheroad #vwt4 by beluga_the_vw @ Instagram: https://t.co/DcbI8QR4O0 https://t.co/7xlZWM70et</t>
  </si>
  <si>
    <t>https://t.co/LyWYigGVSZ - #vw #vwt #vwt5 #bus #vwbus #tuning #transporter #transportert5 … https://t.co/v5BfpyqHYK https://t.co/CQ2kVpcvST</t>
  </si>
  <si>
    <t>https://t.co/3B1M4KrLTg - Camperjam 2014 😍 #Vw #vwt5 #vwtransporter #needtosmile #bus #ca… https://t.co/0lkiCWvRqB https://t.co/hAfafH9Rm4</t>
  </si>
  <si>
    <t>cristhian campazzo</t>
  </si>
  <si>
    <t>Estudiante de Ingenieria en Sistemas.</t>
  </si>
  <si>
    <t>#vwlife #VwScene #vw #tuning #tuningcar #golf #GTI #fotografie #liebe #hobby #leidenschaft #ventofront #lifestyle #… https://t.co/LDbwuhofq5</t>
  </si>
  <si>
    <t>#vwlife #VwScene #vw #tuning #tuningcar #golf #GTI #fotografie #liebe #hobby #leidenschaft #ventofront #lifestyle #… https://t.co/lNLFxUBGIf</t>
  </si>
  <si>
    <t>Araceli..</t>
  </si>
  <si>
    <t>BocaJuniors#25-12-15♡#Loca por los autos##Promo16# Stt_14Oct</t>
  </si>
  <si>
    <t>School project done #car #mercedesbenz #ferrari #bmw #tesla #bmwi3 #toyota #vw #bmwi8 #formula1 https://t.co/HK4bJplzIR</t>
  </si>
  <si>
    <t>PΛVL BLΛΛVW</t>
  </si>
  <si>
    <t>Halifax, Nova Scotia</t>
  </si>
  <si>
    <t>Physically challenged / photographically-inclined / Christian / cultural mercenary.</t>
  </si>
  <si>
    <t>Archie Who?</t>
  </si>
  <si>
    <t>Beep beep. New wheels! #vwbus #vw #hippyvan https://t.co/rR2UHNUxrs</t>
  </si>
  <si>
    <t>Chester Basin, NS, Canada</t>
  </si>
  <si>
    <t>I'm pretty sure you wouldn't like the real me.</t>
  </si>
  <si>
    <t>EMMA</t>
  </si>
  <si>
    <t>Argentina ,Cordoba</t>
  </si>
  <si>
    <t>Mi camino hacia el cielo sera yendo al corte</t>
  </si>
  <si>
    <t>Pre-Owned #Volkswagen #Tiguan. Call (855) 418-0193 for info. https://t.co/uPhmls8t9t #VW #PalmSprings #CathedralCity https://t.co/OafbgHoNhr</t>
  </si>
  <si>
    <t>RT @vwpalmspringspr: Pre-Owned #Volkswagen #Tiguan. Call (855) 418-0193 for info. https://t.co/uPhmls8t9t #VW #PalmSprings #CathedralCity h…</t>
  </si>
  <si>
    <t>Back at it again with the Purple 󾌩 #vw #volkswagen #jetta #mk4 #mkivkids #airlift #bbs #slammed #bagged #boosted... https://t.co/NlCFqelJ9L</t>
  </si>
  <si>
    <t>About time for that kind of weather! #VW #Beetle https://t.co/MXl4WR4Mgr</t>
  </si>
  <si>
    <t>About time for that kind of weather! #VW #Beetle https://t.co/BfQGERbJg7</t>
  </si>
  <si>
    <t>Nurullah Önder</t>
  </si>
  <si>
    <t>★Goldnight★ #passat #vw #cc #scirocco #vwtr #dasauto #volkswagen… https://t.co/liTBsY8E0l</t>
  </si>
  <si>
    <t>Kütahya</t>
  </si>
  <si>
    <t>Dumlupınar Üniversitesi TBMYO</t>
  </si>
  <si>
    <t>CHERNOBYL, UKRAINE The toys left add a very eerie atmosphere within the nursery / kindercare #vw #ukraine #travel https://t.co/7XAvIo0tMf</t>
  </si>
  <si>
    <t>FanCar Picture - Send me your Scirocco pictures!!! (PM Please) #VW #Volkswagen #Scirocco #Tuning https://t.co/aCuj7Fht5Z</t>
  </si>
  <si>
    <t>Diego Ribas</t>
  </si>
  <si>
    <t>#FuscaHulk #Fusca #Fuscão #Marvel #Campinas #Avengers #Vw #Volks #Volkswagen #Top #Original https://t.co/LRgdVD9O7y</t>
  </si>
  <si>
    <t>Campinas</t>
  </si>
  <si>
    <t>Vitor Santos</t>
  </si>
  <si>
    <t>RT @EstadaoAcervo: Linha de montagem do #Corcel Veja mais fotos de carros brasileiros em https://t.co/TWGNHMpn1S #ford #GM #VW #fiat https:…</t>
  </si>
  <si>
    <t>VITOR SANTOS é jornalista,escritor, consultor, pesquisador, e autor de vários artigos Facebook https://t.co/zr7gpVbzhp…</t>
  </si>
  <si>
    <t>Autosleeper Clubman GL Motorhome, VW diesel only 66K miles excellent condition: £9,750.00End Date: Saturd... https://t.co/daVViQdVBv #vw</t>
  </si>
  <si>
    <t>Fred Hagerman</t>
  </si>
  <si>
    <t>This is the nightmare scenario that terrifies every car company https://t.co/z3JwkfnHYM #CMO #VW #Karma #PR</t>
  </si>
  <si>
    <t>Virginia</t>
  </si>
  <si>
    <t>Marketing Strategy. Digital. Social Media. Business Intelligence. Analytics. Agile. Credit Unions. @LangleyFCU Opinions are my own.</t>
  </si>
  <si>
    <t>RT @diiribas: #FuscaHulk #Fusca #Fuscão #Marvel #Campinas #Avengers #Vw #Volks #Volkswagen #Top #Original https://t.co/LRgdVD9O7y</t>
  </si>
  <si>
    <t>Paul Jenks</t>
  </si>
  <si>
    <t>Thankfully #NorthKorea submarines are as noisy as a misfiring #VW Kombi &amp; can be tracked by their sound signature https://t.co/kBTbNJVZ6x</t>
  </si>
  <si>
    <t>Policy Wonk, Grants, Human Rights, North East Asia, Aviation &amp; Old Cars - RT does not necessarily mean an endorsement of opinion rather presenting topical tweet</t>
  </si>
  <si>
    <t>Beth Masck</t>
  </si>
  <si>
    <t>Organic enthusiast. Animal lover. Gardener. Traveler. Tech. Start-ups. RT/Tweets are not endorsement http://t.co/geC4Mox4AS http://t.co/UNToZ5f2Oj</t>
  </si>
  <si>
    <t>Naominmin</t>
  </si>
  <si>
    <t>エボV乗ってます</t>
  </si>
  <si>
    <t>Özgür Deniz Ararat♌</t>
  </si>
  <si>
    <t>#yellow #VW #Volkswagen #Vespa #vintage #retro https://t.co/qBQ9ogWEde</t>
  </si>
  <si>
    <t>lawyer - istanbul ⚓️ london</t>
  </si>
  <si>
    <t>#Namaste kırmızıaşkistanbul #xoxo ✌ @isthukukburosu #SYKP #NeoBeat #UlrikeMeinhof #SamuelBeckett #edgarallanpoe #MarquisdeSade #WilliamBlake #london #istanbul</t>
  </si>
  <si>
    <t>Nueva altura con su primer plancha 🚗🔰 #Vw #vwlovers #Bora #progresivos #instagram @ Ituzaingó,… https://t.co/cqLNnYx6b5</t>
  </si>
  <si>
    <t>Hermoso 😍👌 #Vw https://t.co/gxcBNbYPe3</t>
  </si>
  <si>
    <t>RT @PicadasArg: Hermoso 😍👌 #Vw https://t.co/gxcBNbYPe3</t>
  </si>
  <si>
    <t>Leproso hasta los huevos. MR11//D10S Si me muero que sea de lepra.</t>
  </si>
  <si>
    <t>Braпd৩п</t>
  </si>
  <si>
    <t>Viedma - Rio Negro</t>
  </si>
  <si>
    <t>#17/18 ♊ techno</t>
  </si>
  <si>
    <t>solcha</t>
  </si>
  <si>
    <t xml:space="preserve">Castelar </t>
  </si>
  <si>
    <t>16. Gonzalo Porta amor de mi vida. San Lorenzo ♡</t>
  </si>
  <si>
    <t>FERNANDO MORENO</t>
  </si>
  <si>
    <t>JUGADOR DE FUTBOL REC. DE BELGRANO</t>
  </si>
  <si>
    <t>Butaka #C1</t>
  </si>
  <si>
    <t>Madariaga.</t>
  </si>
  <si>
    <t>Snapchat: Aylenanm instagram: Aylenanm Wpp: 2267411863</t>
  </si>
  <si>
    <t>@magrao_fotos_e_videos &lt;=SIGAM. . . ENSAIO DO @netolemos2 . --------------#tags------------------- #tuning #vw #gol… https://t.co/T7YqRoyN6S</t>
  </si>
  <si>
    <t>Franco.</t>
  </si>
  <si>
    <t>Calle falsa 123</t>
  </si>
  <si>
    <t>18% - River Plate Y La Birra - Travis Mills. YNG FVS - Arcangel ♓</t>
  </si>
  <si>
    <t>Al piso 😍👌 #Trend #Vw https://t.co/sxvdOwrVnC</t>
  </si>
  <si>
    <t>Paulitooツ #12</t>
  </si>
  <si>
    <t>RT @PicadasArg: Al piso 😍👌 #Trend #Vw https://t.co/sxvdOwrVnC</t>
  </si>
  <si>
    <t>River plate♥ - RAMSAR JUNIOR♥ -Amor Eterno a las Motos y a los autos♡✝DesdeElCieloMeGuíanTusOjosPapa #SeguimeYTeSigo https://t.co/Z63yzoMpKFツ 19 años Escorpio</t>
  </si>
  <si>
    <t>Eze</t>
  </si>
  <si>
    <t>Comodoro Rivadavia - Banderillero AKPS y Autodromo General San Martin - Liceista XLVII Hijos del Rigor. Snap: ezequiel1808</t>
  </si>
  <si>
    <t>Aileeeeeen</t>
  </si>
  <si>
    <t>Donde Juegue CENTRAL</t>
  </si>
  <si>
    <t>No a las butakeras. Si a las fierreras ❤ 1/4/7</t>
  </si>
  <si>
    <t>²²ℒαBαи∂αDєFιєrrℴ²²</t>
  </si>
  <si>
    <t>A.J.C #sexta // en busca de mi sueño // ²²ℒαBαи∂αDєFιєrrℴ²²</t>
  </si>
  <si>
    <t>Miqueas Cabrera⚽</t>
  </si>
  <si>
    <t>~ Club Atlético Boca Juniors ~ || Al Piso o NADA ! || Wpp: 2235330419 || Géminis♊ || 15 años ✌ ||</t>
  </si>
  <si>
    <t>Alan King</t>
  </si>
  <si>
    <t>@Josehermida good luck today, we'll be cheering! #UCIMTBWC #vw #meridamultivan</t>
  </si>
  <si>
    <t>Melbourne, London, San Fran</t>
  </si>
  <si>
    <t>CEO of Dusk Mobile, Entrepreneur and Investor. Cyclist and sometime track car racer.</t>
  </si>
  <si>
    <t>DeSofiaVazquez❤</t>
  </si>
  <si>
    <t>♡TALLERES♡|▲KickBoxing▲| ×Boxeo×|Aikido Wsp: 3514595904</t>
  </si>
  <si>
    <t>Suspected Militant</t>
  </si>
  <si>
    <t>#TTIP "has been compared to NATO by former US-vice president Biden." https://t.co/Ifdc5qyxY7 @kevincorke @IraqiSecurity @montie #Brexit #VW</t>
  </si>
  <si>
    <t>#SWAT</t>
  </si>
  <si>
    <t>Camila ♛</t>
  </si>
  <si>
    <t>Ranelagh</t>
  </si>
  <si>
    <t>26/01/2015 Isabella Delfina Jaimez AlpisoXbera Bellaco #vw ⬇</t>
  </si>
  <si>
    <t>26.03♔</t>
  </si>
  <si>
    <t>Gimиαsiα y nαdα mαs ♍Virgo♍ ❤De Eri❤</t>
  </si>
  <si>
    <t>Gime♡</t>
  </si>
  <si>
    <t>Tengo un agujero en el corazón, No me preguntes por que no me enamoro #PrimeroTitoYLaLigaDespuesTambien #ZonaGanjah❤✌ Gallina de la Cuna al Cajon❤</t>
  </si>
  <si>
    <t>個人情報を守って一括査定！画期的な唯一のシステム! https://t.co/zWvzMnfmgg ＃ＡＵＤＩ ＃ポルシェ ＃ワーゲン ＃フォルクスワーゲン ＃ＶＷ ＃ジャガー＃ミニ ＃ＭＩＮＩ ＃BMWミニ ＃ミニクーパー https://t.co/J4EpN4kDbf</t>
  </si>
  <si>
    <t>Giuliano Gesto :)</t>
  </si>
  <si>
    <t>Tiro Federal - Bahia Blanca</t>
  </si>
  <si>
    <t>•Dieego•</t>
  </si>
  <si>
    <t xml:space="preserve">9 de julio </t>
  </si>
  <si>
    <t>❤SIEMPRE JUNTOS❤ ❤Carolina❤</t>
  </si>
  <si>
    <t>David Rogel</t>
  </si>
  <si>
    <t xml:space="preserve">Comodoro Rivadavia </t>
  </si>
  <si>
    <t>Liceísta-CARP❤</t>
  </si>
  <si>
    <t>Nicki Letts</t>
  </si>
  <si>
    <t>The Old Girl is such a poser #roadtrip #vw https://t.co/Nk6uTrZ4N8</t>
  </si>
  <si>
    <t>Adventurer, trailrunner, writer @minorwords &amp; lover of good coffee. Living &amp; working around Australia with @mat8it2 in the Old Girl, our '73 kombi. #vanlife</t>
  </si>
  <si>
    <t>Scofield</t>
  </si>
  <si>
    <t xml:space="preserve">Hincha de Messi </t>
  </si>
  <si>
    <t>~Solo le pido a Dios poder disfrutar del fútbol durante toda mi vida~</t>
  </si>
  <si>
    <t>大中小</t>
  </si>
  <si>
    <t>数年前から目を付けていて、先日運命の出会いを果たし手に入れたワーゲンバスレゴ 俺は子供心を忘れない #lego #vw #ワーゲンバス #olympus https://t.co/QdvjqF3hTw</t>
  </si>
  <si>
    <t>社会人/新潟/長岡高専/陸上/110mh/the pillows/9mm/アクアリウム/水草/MINI R60/スノーボード</t>
  </si>
  <si>
    <t>Rafa Gtz Mercadillo</t>
  </si>
  <si>
    <t>RÍES. Proyecto #MicroMacro #reversa #primera #tercera #quinta #ríes #palanca #velocidades #VW https://t.co/18XVCCSmaH</t>
  </si>
  <si>
    <t>Director de produccion televisiva, loco guionista, dibujante y creativo audiovisual ♛ @tv4guanajuato</t>
  </si>
  <si>
    <t>mytweetmark</t>
  </si>
  <si>
    <t>RT @PiedPiperOM: #pakistan @HillaryClinton #vc @pmarca #ceo @SnoopDogg #mrRobot @iamdiddy #iran @startupljackson #vw @msuster @alexia http:…</t>
  </si>
  <si>
    <t>@bahmed73 7 #books: @TheSecretBookOm @TheSacredBookOM @TheStartupBook_ @TheGuruBook @theVCBook @thesocialbook_ @thefounderbook @homecookme @drspiritcom</t>
  </si>
  <si>
    <t>Debbie Burritt</t>
  </si>
  <si>
    <t>#VW #Cake https://t.co/Dm342ENpLT</t>
  </si>
  <si>
    <t>Hyde Park, VT</t>
  </si>
  <si>
    <t>Full Service catering company specializing in fine savory food. Also seeking to market my Vermont Maple Cookies and Vermont Coconut Macaroons nationwide.</t>
  </si>
  <si>
    <t>This gloss black paint reflects everything in its path. #reflections #HNKYALY | #VW #MKV… https://t.co/GhRUY4IHox</t>
  </si>
  <si>
    <t>Surender Gowthaman</t>
  </si>
  <si>
    <t>#COPQ estimated for #VW scandal is around $30 bn. The effect of not following #quality #principles https://t.co/Q3eexqVwUG</t>
  </si>
  <si>
    <t>Quality Enthusiast l Passionate about system Improvement l Follower of #ShigeoShingo concepts l Specialist in #QMS l #ISO9001 l #SQC</t>
  </si>
  <si>
    <t>FuscaPocos em Águas de Lindoia 2016 FuscaPocos https://t.co/5dp1zKhrgD ______________________ #vw #vdub #vdubs #… https://t.co/O5LmvPcPLt</t>
  </si>
  <si>
    <t>FuscaPocos em Águas de Lindoia 2016 FuscaPocos https://t.co/5dp1zKhrgD ______________________ #vw #vdub #vdubs #… https://t.co/1O2CBJoono</t>
  </si>
  <si>
    <t>Stefan Popenici</t>
  </si>
  <si>
    <t>#climatechange #VW's diesel crisis is now a global threat (or how power &amp; money open to devastating cheating/fraud) https://t.co/5ICY2l9Ewo</t>
  </si>
  <si>
    <t>scholar committed to freedom of speech, avid explorer of ideas, heretic thinker, passionately exploring teaching and learning in higher education</t>
  </si>
  <si>
    <t>Wes Hargreaves</t>
  </si>
  <si>
    <t>Imagine this in British Racing Green - can't WAIT! Thanks Shaun @CapilanoVW for the AMAZING service! #vw #newcar https://t.co/rTa577xdPk</t>
  </si>
  <si>
    <t>49.291164,-123.142525</t>
  </si>
  <si>
    <t>Living large in the YVR with my amazing Husband MDH.....</t>
  </si>
  <si>
    <t>Am2Pro Ltd</t>
  </si>
  <si>
    <t>Our HGV Driver’s Diary allows professional lorry drivers to keep a daily record of movements - periods of driving time, on duty, rest periods. Handy A5 size.</t>
  </si>
  <si>
    <t>Conscious O'Riyan</t>
  </si>
  <si>
    <t>Beautiful , relaxed calm day. Tomorrow will be even better. Heaven on earth ! #vw #audi #stancedcars #germanengineering #turbos</t>
  </si>
  <si>
    <t>the wrong generation</t>
  </si>
  <si>
    <t>Got people willing to judge me, before they willing to know me Entrepreneur | Brand Owner | Songwriter | TheHigherz</t>
  </si>
  <si>
    <t>_Enano®</t>
  </si>
  <si>
    <t>#srs #fox #vw @ Autodromo Galvez https://t.co/rRc4g3DfsV</t>
  </si>
  <si>
    <t>#Fortinero #La35Automotor Bs As</t>
  </si>
  <si>
    <t>AMDA MORELOS</t>
  </si>
  <si>
    <t>#Vw presente en la #expo #automotriz #diariodemorelos #amda #morelos #cuernavaca ven y estrena un #auto https://t.co/UgNoGTFa0U</t>
  </si>
  <si>
    <t>eBay: 2014 Volkswagen Beetle 2.0 TDI (140 PS)… https://t.co/VjyBotWojT #vwbeetle #vwbug #vw https://t.co/xvfL74PTgl https://t.co/sSvSgeXWty</t>
  </si>
  <si>
    <t>まにゃ☆</t>
  </si>
  <si>
    <t>なんか当たった模様。 #vw3weeks #フォルクスワーゲン #vw #volkswagen #当選 #volkswagenのある生活 https://t.co/fA5EbjLiIn</t>
  </si>
  <si>
    <t>役所の裏あたり。</t>
  </si>
  <si>
    <t>最近転職したセンチメンタルなアラサー。デジモノ大好き。カメラ大好き。食べるの大好き。あ、あとPerfume RMX 厨ｗ 愛車のホンダのビートが楽しすぎる♪原寸大のプラモデルだw</t>
  </si>
  <si>
    <t>eBay: 2012 Volkswagen Beetle 1.4 TSI (160 PS)… https://t.co/gtFRqqkxMP #vwbeetle #vwbug #vw https://t.co/xvfL74PTgl https://t.co/3eOp2ItZ7d</t>
  </si>
  <si>
    <t>Arthur James Owen</t>
  </si>
  <si>
    <t>Some one parked a spaceship outside of Kroger #kitcar #vw #laser 👾🚀👽 https://t.co/ldat7wOs7x</t>
  </si>
  <si>
    <t>FanCar Picture - Send me your Scirocco pictures!!! (PM Please) #VW #Volkswagen #Scirocco #Tuning https://t.co/xl1kz2wsls</t>
  </si>
  <si>
    <t>Mr Malky Foundation</t>
  </si>
  <si>
    <t>RT @rebelagenda: #TTIP "has been compared to NATO by former US-vice president Biden." https://t.co/Ifdc5qyxY7 @kevincorke @IraqiSecurity @m…</t>
  </si>
  <si>
    <t>Aberdeenshire</t>
  </si>
  <si>
    <t>Creator of the hashtag #ToryFeeders Respected Independence Think Tank</t>
  </si>
  <si>
    <t>Mecânica Privilege</t>
  </si>
  <si>
    <t>#Kombi #kombosa #kombilovers #vw #volks #volkswagen #volkslovers #antique #70s #raridade #privilege #old #vintage https://t.co/Y9OqI4nVzF</t>
  </si>
  <si>
    <t>Especializada em Peugeot e Citroën ☎Contato: (11)3924-1885 Wathsapp (11)9 8543-2720 Brazil-SP ◆Cuidando do seu Patrimônio →Nacionais e Importados</t>
  </si>
  <si>
    <t>@nalogChannel คนไทยอุตส่าห์มโนว่าฝรั่งหรือต่างชาติดี๊ดี #FIFA #TOSHIBA #VW #MITSUBISHI #ENRON</t>
  </si>
  <si>
    <t>Bangkok</t>
  </si>
  <si>
    <t>|| || Honesty is the best policy || || Face Book : Pravit Sommaneewat || IG : STANGDAENG</t>
  </si>
  <si>
    <t>#aircooled #volks #vw #vwbus #vwclassic #vwlovers #kombi #vwvan #vwcamper #vwfotografia #vscfotografia_ #instakombi… https://t.co/I2Ebc1w7rS</t>
  </si>
  <si>
    <t>#cliftonsuspensionbridge #bristol #vw #vws #wedding #weddingdaywagon #vwbus #vwlove #love #vwcamper #splitscreen #c… https://t.co/snJ1NwZhtk</t>
  </si>
  <si>
    <t>eBay: 53 Reg VOLKSWAGEN BEETLE 1.6 2004,… https://t.co/B6QAxZKqLN #vwbeetle #vwbug #vw https://t.co/xvfL74PTgl https://t.co/IKLFu7p7Jp</t>
  </si>
  <si>
    <t>eBay: X Reg VOLKSWAGEN BEETLE 2.0 3DR, COSMIC… https://t.co/KeMm9PUBDH #vwbeetle #vwbug #vw https://t.co/xvfL74PTgl https://t.co/j2MxkXNVM9</t>
  </si>
  <si>
    <t>Copy of Vehicle catches fire on I-70: According to witnesses,The Volkswagen Jetta was pulling ... https://t.co/rUiLRqlyDJ #VW #jetta #car</t>
  </si>
  <si>
    <t>2005 Volkswagen Jetta: 2005 Volkswagen Jetta-At,Ac,Pw,Pd, Vin#606336,Premium Wheels,5-Passenge... https://t.co/zJ1tWi3VFM #VW #jetta #car</t>
  </si>
  <si>
    <t>taku</t>
  </si>
  <si>
    <t>車高１センチあげ…。 #GOLF2 #フォルクスワーゲン #VW #VWMK2 https://t.co/5CZUF8aEGl</t>
  </si>
  <si>
    <t>Volkswagen GOLF mk2</t>
  </si>
  <si>
    <t>Beetle/Vocho/Fusca -#fusca #beetle #vocho #vw #volkswagen #vintagecar #old #oldcar #fuscabrasil #lovefusca #lovebee… https://t.co/beST4t6MnM</t>
  </si>
  <si>
    <t>Beetle Ratlook - #fusca #beetle #vocho #vw #volkswagen #vintagecar #old #oldcar #fuscabrasil #lovefusca #lovebeetle… https://t.co/lRWMzD4vO2</t>
  </si>
  <si>
    <t>Spotted an old timer for sale. #mk1 #mk1golf #vw #vwrabbit #fourdoorsformorewhores #mk7 #mk7gti by krazykarl49 https://t.co/EAeiXigUug</t>
  </si>
  <si>
    <t>Manny Ghinga</t>
  </si>
  <si>
    <t>#VW #Golf #Volkswagen #mannyghingacarphotos https://t.co/wCWwg5JTJp</t>
  </si>
  <si>
    <t>Automotive Photographer #mannyghingacarphotos</t>
  </si>
  <si>
    <t>Berto Eto</t>
  </si>
  <si>
    <t>Kungkong Kungkong #vw #vwmavia #maviavw #volkswagen #volks #volkswagenbeetle #aircooled… https://t.co/trJLFyLpws</t>
  </si>
  <si>
    <t>ÜT: -7.734655,110.331005 YK</t>
  </si>
  <si>
    <t>NO SMOKING !!!</t>
  </si>
  <si>
    <t>RT @oldcar_photo: Beetle Ratlook - #fusca #beetle #vocho #vw #volkswagen #vintagecar #old #oldcar #fuscabrasil #lovefusca #lovebeetle… http…</t>
  </si>
  <si>
    <t>Combilannnnnn Kungkong Kungkong #vw #vwmavia #maviavw #volkswagen #volks #volkswagenbeetle… https://t.co/rfj51JvfnJ</t>
  </si>
  <si>
    <t>Kungkong Kungkong #vw #vwmavia #maviavw #volkswagen #volks #volkswagenbeetle #aircooled… https://t.co/SN0T2hDerJ</t>
  </si>
  <si>
    <t>Matias N. Frutos</t>
  </si>
  <si>
    <t>Santo Tomé, Argentina</t>
  </si>
  <si>
    <t>Soy fanático de #Chevrolet, el #Rock los #autosclásicos y #automovilismo. También me gusta el #humor y las #frases .</t>
  </si>
  <si>
    <t>#suranclub #vw #spacefox #volkswagen #club #suran #sportvan #spaceclube #Brasil #uruguay https://t.co/67wMTPcluQ</t>
  </si>
  <si>
    <t>#suranclub #vw #spacefox #volkswagen #club #suran #sportvan #spaceclube #Brasil #uruguay https://t.co/q5Xr0jRPs2 https://t.co/3To8Iu8MKy</t>
  </si>
  <si>
    <t>#suranclub #vw #spacefox #volkswagen #club #suran #sportvan #spaceclube #Brasil #uruguay https://t.co/DfkaUHkUWp</t>
  </si>
  <si>
    <t>#suranclub #vw #spacefox #volkswagen #club #suran #sportvan #spaceclube #Brasil #uruguay https://t.co/uOvuaWTRQM https://t.co/WS8S9jIsql</t>
  </si>
  <si>
    <t>#suranclub #vw #spacefox #volkswagen #club #suran #sportvan #spaceclube #Brasil #uruguay https://t.co/QnneeUeT9k https://t.co/13PBBArYTE</t>
  </si>
  <si>
    <t>~Imperio Nazza~</t>
  </si>
  <si>
    <t>RT @SuranClub: #suranclub #vw #spacefox #volkswagen #club #suran #sportvan #spaceclube #Brasil #uruguay https://t.co/QnneeUeT9k https://t.c…</t>
  </si>
  <si>
    <t>San martin de los andes</t>
  </si>
  <si>
    <t>Loco Por Los Autos *-* https://t.co/LjkNOreQmK</t>
  </si>
  <si>
    <t>Sean Barnard</t>
  </si>
  <si>
    <t>#tiedyetshirt #Lightningbolttshirt #vw #VWbug #hippiebag #vwbeetle #peacebug #psychedelicbug #hippie #deadhead #dea… https://t.co/eVXlbayNBR</t>
  </si>
  <si>
    <t>Kungkong Kungkong #vw #vwmavia #maviavw #volkswagen #volks #volkswagenbeetle #aircooled #aircooledvw #beetle #oldb… https://t.co/gqCw4IDrMh</t>
  </si>
  <si>
    <t>💀💀 @dsg.paddles #vw #sciroccor #vwcc #touareg #passatr36 #vwbeetle #mk7r #mk7 #mk7gti #mk7gtd #mk7golf #golf7 #mk6… https://t.co/jj3b89MCu7</t>
  </si>
  <si>
    <t>My baby!! #vw #volkswagen #vwbug #vwbeetle #type1 #lownslow #stance #vwmiami #mexicanbug #vocho #patina #fusca #esc… https://t.co/smqIzb0g6n</t>
  </si>
  <si>
    <t>#lowandslow #slammed #stance #samba #volkswagen #vw #vws #volks #vwbug #vwbus #vwlife #vwlove #vwporn #vwworld #vwb… https://t.co/klNEEdLUqL</t>
  </si>
  <si>
    <t>RT @beetlebug1938: My baby!! #vw #volkswagen #vwbug #vwbeetle #type1 #lownslow #stance #vwmiami #mexicanbug #vocho #patina #fusca #esc… htt…</t>
  </si>
  <si>
    <t>Kritsadakorn Kaewkha</t>
  </si>
  <si>
    <t>RT @APWCares: &lt;3 #vw #camper #bus https://t.co/TGYMAaKlbi</t>
  </si>
  <si>
    <t>กิ</t>
  </si>
  <si>
    <t>Bahiano</t>
  </si>
  <si>
    <t>RT @APWCares: This looks fun! #vw #volkswagen #vwlove #vwbus #bus #camper #campervan #busporn #automotive #vehicle #vwofinstagram https://t…</t>
  </si>
  <si>
    <t>EV West</t>
  </si>
  <si>
    <t>Our polished billet VW adapter with a solid mount kit. #vw #electriccar #billet https://t.co/mqf3AQzvYJ</t>
  </si>
  <si>
    <t>San Marcos, CA</t>
  </si>
  <si>
    <t>High Performance Electric Vehicles. Parts &amp; Service Shop. EV Racing &amp; Restomods</t>
  </si>
  <si>
    <t>2016 Volkswagen Jetta 1.4TS w/Technology Manual Sedan: New 2016 Volkswagen Jetta, from Bommari... https://t.co/4WVGVw4Uih #VW #jetta #car</t>
  </si>
  <si>
    <t>We are @artistsrep tonight, come stop by!!! ❤️☕️🎤 #VW #latenight #coffee #pianobar #PDX https://t.co/zl4LFcpvX7</t>
  </si>
  <si>
    <t>FanCar Picture - Send me your Scirocco pictures!!! (PM Please) #VW #Volkswagen #Scirocco #Tuning https://t.co/EHpDbHbAQi</t>
  </si>
  <si>
    <t>#VW #Banger https://t.co/7h0qGI41mx</t>
  </si>
  <si>
    <t>#volkswagen #vw #bus #saturday #black #white #germany #vintage #classic #van #streetphotography #picoftheday #photo… https://t.co/zYgyJ0LxkX</t>
  </si>
  <si>
    <t>RT @breedveldusa: #VW #Banger https://t.co/7h0qGI41mx</t>
  </si>
  <si>
    <t>eBay: VOLKSWAGEN BEETLE LUNA 8V BLUE 2006 06… https://t.co/m0uKwWgUd4 #vwbeetle #vwbug #vw https://t.co/xvfL74PTgl https://t.co/3tSSL6GiYn</t>
  </si>
  <si>
    <t>VW CLASSICS</t>
  </si>
  <si>
    <t>#vw #Volkswagen #golf #rabbit #swallowtail #dubs #oldskool #watercooled #classics #slammed https://t.co/FfhDf238cc</t>
  </si>
  <si>
    <t>If you love everything VW 'aircooled' 'water cooled' welcome to this Twitter page feel free to post up pictures, tips bits for sale or any meets or shows</t>
  </si>
  <si>
    <t>RT @Volkswagen4ever: #vw #Volkswagen #golf #rabbit #swallowtail #dubs #oldskool #watercooled #classics #slammed https://t.co/FfhDf238cc</t>
  </si>
  <si>
    <t>vw polo mit tüv #vw https://t.co/81bKFCv2gC Verkaufe hier auf diesen wege einen sehr sparsamen polo 86c er ist https://t.co/mJfN6RGg1s</t>
  </si>
  <si>
    <t>Pulga</t>
  </si>
  <si>
    <t>Te amo #VW #Fox 😍😍😍</t>
  </si>
  <si>
    <t>filet123</t>
  </si>
  <si>
    <t>Uruguay</t>
  </si>
  <si>
    <t>mi canal es filet123 :D</t>
  </si>
  <si>
    <t>#little_yellow_beetle #vwbeetle #beetle #vw #nl #Netherlands #sunyday #sea by little_yellow_beetle https://t.co/lK1nPNpcfp</t>
  </si>
  <si>
    <t>@lock910 caught me off guard lol #aircooled #volkswagen #ragtop #62vw #oldschoolvw #vw #volks #vwbug #vwbeetle #vol… https://t.co/xY5JcYZgbA</t>
  </si>
  <si>
    <t>My two loves! 😍 #vw #vwbeetle #weddingday #bestnightever by colerobins https://t.co/mcJujz6rJ8</t>
  </si>
  <si>
    <t>RT @beetlebug1938: #tiedyetshirt #Lightningbolttshirt #vw #VWbug #hippiebag #vwbeetle #peacebug #psychedelicbug #hippie #deadhead #dea… htt…</t>
  </si>
  <si>
    <t>RT @beetlebug1938: Kungkong Kungkong #vw #vwmavia #maviavw #volkswagen #volks #volkswagenbeetle #aircooled #aircooledvw #beetle #oldb… htt…</t>
  </si>
  <si>
    <t>VW's about-face on scandal investigation https://t.co/Q7yXQGMuqW #VW #AutoNews</t>
  </si>
  <si>
    <t>VW in "agonizing crisis": CEO Müller will present new strategy in June https://t.co/1qEQmv1WZ4 #VW #AutoNews</t>
  </si>
  <si>
    <t>Heinz Meyer</t>
  </si>
  <si>
    <t>RT @VotelTravels: CHERNOBYL, UKRAINE The toys left add a very eerie atmosphere within the nursery / kindercare #vw #ukraine #travel https:…</t>
  </si>
  <si>
    <t>❤ Love Changes Everything ❤ Hello &amp; Welcome!!!</t>
  </si>
  <si>
    <t>RUSΔKΔ</t>
  </si>
  <si>
    <t>RT @AutosAlPisoARG: Perfecto #Vw #Voyage 😍 https://t.co/qWVZbTpXtW</t>
  </si>
  <si>
    <t>Tigre - Pacheco</t>
  </si>
  <si>
    <t>Quema caucho no tu alma|Mi corazon no late regula♡|#2RuedasMuevenMiCuerpo4MuevenMiAlma|#Stuntlove♡|El tiempo pasa, las cosas cambian✨|Ig:facurusso1|∞</t>
  </si>
  <si>
    <t>hassan abd al saleem</t>
  </si>
  <si>
    <t>#vw Wenn der "deutsche" VW-Kunde nicht entschädigt werden kann, muss oder darf, dann sollten wir VW mit seinen überteuerten Autos vergessen!</t>
  </si>
  <si>
    <t>germany &amp; uae</t>
  </si>
  <si>
    <t>Paint Dodgers</t>
  </si>
  <si>
    <t>Rust and Rat entries from yesterday's @SantaPodRaceway Big Bang 2016. more over at https://t.co/vY2DNjgN1B #vw https://t.co/Q5GTLsvg9o</t>
  </si>
  <si>
    <t>Ruddington, England</t>
  </si>
  <si>
    <t>All things... cars-rust patina-VW-vintage-retro-dropped rides-volkswagen- vdub</t>
  </si>
  <si>
    <t>FanCar Picture - Send me your Scirocco pictures!!! (PM Please) #VW #Volkswagen #Scirocco #Tuning https://t.co/KeMWU5W3CL</t>
  </si>
  <si>
    <t>#VW-Affäre - #US-Richter verhängt im Fall #Dieselgate #Nachrichtensperre https://t.co/oHuGeKkVHm via @welt</t>
  </si>
  <si>
    <t>POKER</t>
  </si>
  <si>
    <t>RT @beetlebug1938: Edition 38 '14 #VW #vag #vwbeetle #beetle #bentleywheels #e38 #edition38 #modified #modifiedcars #automotive #autom… htt…</t>
  </si>
  <si>
    <t>https://t.co/BWALNHlplm Another beautiful day in the #ukcountryside #blueskies #vw #T5 #t… https://t.co/XcxYYR9Xf5 https://t.co/mt2D4ZbYDz</t>
  </si>
  <si>
    <t>RT @Dubsandclassics: John's Subaru powered Westy finished and on it's way home.. #vw #camper #subaru #latebay https://t.co/Ib0LYh0IFJ</t>
  </si>
  <si>
    <t>RT @TirarCorte: #BuenDia #Vw #Beetle 🐞 https://t.co/dFdxxlEq1x</t>
  </si>
  <si>
    <t>RT @TirarCorte: #Vw #Fox ese color 👌😍 https://t.co/loX9THGYbw</t>
  </si>
  <si>
    <t>socia#02 Mic</t>
  </si>
  <si>
    <t>Ciudad Magica De Buenos Aires</t>
  </si>
  <si>
    <t>micabessita</t>
  </si>
  <si>
    <t>eBay: CLASSIC 1972 1200 VW BEETLE FOR SALE .… https://t.co/jP3iH6eIiB #vwbeetle #vwbug #vw https://t.co/xvfL74PTgl https://t.co/CLsjWzp1VR</t>
  </si>
  <si>
    <t>The Show #volkswagen #vw #vwkarmanghia #vwtype3 #vwbeetle #vwaircool #vwclassic #vwthailand #vwclassicthailand by v… https://t.co/BcNyF5fJM3</t>
  </si>
  <si>
    <t>Another beautiful day in the #ukcountryside #blueskies #vw #T5 #transporter #vanlife #4motion #adventure #poptop #b… https://t.co/Jd6kiSJRQH</t>
  </si>
  <si>
    <t>eBay: 2000 VOLKSWAGEN BEETLE 1984cc Petrol… https://t.co/uYcrksJilX #vwbeetle #vwbug #vw https://t.co/xvfL74PTgl https://t.co/Quaa5qKexH</t>
  </si>
  <si>
    <t>M V</t>
  </si>
  <si>
    <t>RT @Popenici: #climatechange #VW's diesel crisis is now a global threat (or how power &amp; money open to devastating cheating/fraud) https://t…</t>
  </si>
  <si>
    <t>Admin&amp;Research in Higher #Education Institutions #Sustainability, #CSR, #Marketing, #Management, #Operations, #QualityAssurance. Tweets represent personal views</t>
  </si>
  <si>
    <t>"Diesel Gate" without end: What's Next in VW? https://t.co/l7wqmtyWG1 #VW #AutoNews</t>
  </si>
  <si>
    <t>#vw beetle CLASSIC 1972 1200 VW BEETLE FOR SALE . TAX EXEMPT 12 MONTHS MOT https://t.co/eIgOOTFhYg</t>
  </si>
  <si>
    <t>Fabiola Lagos Mirand</t>
  </si>
  <si>
    <t>So cool! #volkswagen #vw #germanengeneering #stickers #nofilter #car #dreamcar #tuning #surfing #surfboard #street… https://t.co/51qqctEdRf</t>
  </si>
  <si>
    <t>I love this👌🏻 Borrowed from soulseekinstoner thank you🎩 #vw #vwlife #vwlove #vwbus #art #loveart… https://t.co/O1tYJ5rrWC</t>
  </si>
  <si>
    <t>masi</t>
  </si>
  <si>
    <t>Editor audiovisual</t>
  </si>
  <si>
    <t>Check out this item in my Etsy shop https://t.co/0kC9rMu48Q #bag #campervan #vw #vwcamper #bagforlife #hippiethings #hippygirl</t>
  </si>
  <si>
    <t>Sonntags was zum Nachdenken: rechts oder links, nicht ganz einfach #vwclassic #vw #bulli #karmannghia #vwheritage_de https://t.co/hOiEsovzgu</t>
  </si>
  <si>
    <t>RT @dubbusses: Another beautiful day in the #ukcountryside #blueskies #vw #T5 #transporter #vanlife #4motion #adventure #poptop #b… https:/…</t>
  </si>
  <si>
    <t>John Whalvin</t>
  </si>
  <si>
    <t>Great first day's racing at @SantaPodRaceway #Volkswagen #vw #bigbangshow #kerbsidekustoms https://t.co/XUEf7eqZvG</t>
  </si>
  <si>
    <t>Southampton, UK</t>
  </si>
  <si>
    <t>Graphic Designer, Digital Arts Lecturer, Adobe Certfied Associate, VW 181 Trekker Thing, Kerbside Kustoms, Bad Guitarist, Currently perfecting omelettes!</t>
  </si>
  <si>
    <t>Low Performer</t>
  </si>
  <si>
    <t>#VW Den Kulturwandel kann man auch mit Taschenspielertricks herbei regeln https://t.co/kKwUb4B0Ho</t>
  </si>
  <si>
    <t>Interessantes aus dem Innenleben eines Großkonzerns. Und sonstige Kommentare zur schönen, neuen Bürowelt.</t>
  </si>
  <si>
    <t>Erin</t>
  </si>
  <si>
    <t>This beauty needs anew home. https://t.co/3t0hpPkKhj #1978 #camperbus #vw #adventuremobile</t>
  </si>
  <si>
    <t>beer, books, baseball, bknowledge.</t>
  </si>
  <si>
    <t>eBay: VOLKSWAGEN TRANSPORTER 1.9td DIESEL T4… https://t.co/EjITo1WldN #vwcamper #vwbus #vw https://t.co/ZEadscsjBy https://t.co/gOTDofPvRf</t>
  </si>
  <si>
    <t>RT @Low_Performer: #VW Den Kulturwandel kann man auch mit Taschenspielertricks herbei regeln https://t.co/kKwUb4B0Ho</t>
  </si>
  <si>
    <t>FanCar Picture - Send me your Scirocco pictures!!! (PM Please) #VW #Volkswagen #Scirocco #Tuning https://t.co/SXJoHBt8Y6</t>
  </si>
  <si>
    <t>Yorkshire Tinting</t>
  </si>
  <si>
    <t>The #Tint #wagon getting a wash #droppedvans #vw #caddy #workhorse #yorkshiretinting https://t.co/SPjkrKldtr</t>
  </si>
  <si>
    <t>yorkshire</t>
  </si>
  <si>
    <t>Yorkshire Tinting, home of high quality window tinting, wraps and graphics for auto, commercial and residential sectors.</t>
  </si>
  <si>
    <t>RT @Mphilpot1: #vw beetle CLASSIC 1972 1200 VW BEETLE FOR SALE . TAX EXEMPT 12 MONTHS MOT https://t.co/eIgOOTFhYg</t>
  </si>
  <si>
    <t>Marco Antonio Mdez.</t>
  </si>
  <si>
    <t>@AS_PipoLopez O_o. Latvala se apunta al superrallye? Habían dejado el coche hecho unos zorros. Si es así, vaya noche de los mecánicos de #VW</t>
  </si>
  <si>
    <t>Mechanical Engineer / Maschinenbauingenieur #F1 #Motorsport #News</t>
  </si>
  <si>
    <t>@ntvde kein #wunder: Bei DEN #umwelt -#Probleme (n),die #china hausgemacht hat,lassen sich sogar #Rücknahme -#Diesel von #vw noch vermarkten</t>
  </si>
  <si>
    <t xml:space="preserve">Baden-Württemberg </t>
  </si>
  <si>
    <t>Grinsender #SPD-MP mit Managerelite Der Bonus-Coup der #VW-Vorstände https://t.co/SriStjJyj0 #Gruene #Linke #Piraten #Kaste</t>
  </si>
  <si>
    <t>Tutup klakson Vw Beetle Tahun Tua! #volkswagen #audi #volkswagenindonesia #vw #vwindonesia #vwbeetle #vwkodok #vwc… https://t.co/mEmbsgtVoN</t>
  </si>
  <si>
    <t>Broukárna #veteran #youngtimer #vw #o106jk #vwbeetle by petrlundak https://t.co/keCStNiCy1</t>
  </si>
  <si>
    <t>Beep beep she is alive 💙 and looking loved #bobb #vw #vwbeetle #dub #boystoys @bruvva_ceej by stoakesbird https://t.co/bvYLCMa8fU</t>
  </si>
  <si>
    <t>RT @GutesAltern: Grinsender #SPD-MP mit Managerelite Der Bonus-Coup der #VW-Vorstände https://t.co/SriStjJyj0 #Gruene #Linke #Piraten #…</t>
  </si>
  <si>
    <t>#campervan #vw #kombi #vwlife#volkswagencampervans #vwlove #volkswagen #vwlovers #classicvw #vwcamper #vwvans #vw… https://t.co/A6CR2PNaj9</t>
  </si>
  <si>
    <t>It was all going so well! Yep, that's the tow rope out! #vw #vwcamper #vwaircooled #vwrat #vwbay #vwbaywindow #vol… https://t.co/DVHcqNaM3P</t>
  </si>
  <si>
    <t>Buenos dias ☀️ Good morning campers 🚐 Enjoy your #weekend . . . #westy #westfalia #t3 #vw #volkswagen #vwcamper #va… https://t.co/UZbv9UFDRU</t>
  </si>
  <si>
    <t>All you need is love. #asundaycarpic #volkswagen #vwcamper #vw by kjtosco https://t.co/ZecQT21Ike</t>
  </si>
  <si>
    <t>leoncio uribe</t>
  </si>
  <si>
    <t>RT @dejbanlaw: European officials knew years ago, beyond #VW, Europe’s Diesels Flunked a Pollution Test https://t.co/ozE9K46rZK #dieselgate…</t>
  </si>
  <si>
    <t>RT @beetlebug1938: Beep beep she is alive 💙 and looking loved #bobb #vw #vwbeetle #dub #boystoys @bruvva_ceej by stoakesbird https://t.co/b…</t>
  </si>
  <si>
    <t>Vw is failing and falling https://t.co/aAhzB7BVGJ #VW #AutoNews</t>
  </si>
  <si>
    <t>Ian Parry</t>
  </si>
  <si>
    <t>Could this be the end of #VW ? https://t.co/B8vbM21f4o</t>
  </si>
  <si>
    <t>Cairns, Queensland</t>
  </si>
  <si>
    <t>Better office print and document management.</t>
  </si>
  <si>
    <t>miok</t>
  </si>
  <si>
    <t>RT @RenaldoHarker: Incredibly well packaged vehicle #VW #VWGolf #GolfR #Golf #volkswagen. #Mk7 #Golf7 https://t.co/4xpPAJINLt</t>
  </si>
  <si>
    <t>malaysia</t>
  </si>
  <si>
    <t>miok meok miyok</t>
  </si>
  <si>
    <t>Tranix Translations</t>
  </si>
  <si>
    <t>Bournemouth, UK</t>
  </si>
  <si>
    <t>This account is exclusively for conference tweets by Nikki Graham (Tranix Translations). My main Twitter account is: @nikki_graham</t>
  </si>
  <si>
    <t>RT @Fat4y: Some Golf #dedicatedshoutout #dubshed #vag #vagscene #volkswagen #volkswagengolf #vw #vwg… https://t.co/9zAVbQWudQ https://t.co…</t>
  </si>
  <si>
    <t>RT @Fat4y: Absolutely beautiful Mk5 at Dubshed Owner: @kic_stu #dedicatedshoutout #dubshed #vw #vag… https://t.co/Wf1ej59oH4 https://t.co…</t>
  </si>
  <si>
    <t>Jan Lieverse</t>
  </si>
  <si>
    <t>Wie durft er nog in een #vw te rijden? https://t.co/MiDUkBoKB9</t>
  </si>
  <si>
    <t>Moderne &amp; oude beeldende #kunst, #architectuur van gebouwen &amp; landschap, grafische vormgeving, typografie, productontwerp, Nederlandse &amp; vertaalde #literatuur.</t>
  </si>
  <si>
    <t>#TTIP wird bekämpft, damit #VW und andere hier weiter ungestraft betrügen können. https://t.co/UFwpr4uqvh</t>
  </si>
  <si>
    <t>kerstin lomb</t>
  </si>
  <si>
    <t>Managing Director WP Board Services, Co Publisher Boardreport and Advisory Board Member</t>
  </si>
  <si>
    <t>#splitty #splitscreen #campervan #vw #volkswagen #classicvw #staffsvw https://t.co/bfKfoQh3LQ</t>
  </si>
  <si>
    <t>#VW #BEETLE WITH #CHROME #ENGINE #Car #Photography Quality Prints and Cards at: https://t.co/N6V6G5T8Ew</t>
  </si>
  <si>
    <t>100oferta</t>
  </si>
  <si>
    <t>#VW Golf 5—2.0 TDI Diesel-Targa AA–SHITET NDERROHET - KLIKO për më tepër https://t.co/Q8JgUOixWm</t>
  </si>
  <si>
    <t>Albania</t>
  </si>
  <si>
    <t>Në këtë faqe postohen #njoftime e oferta prej #100oferta.com - #shtepi #makina #pune #shitje #blerje - #Tirane #Durres #Fier #Shkoder #Vlore #Elbasan #Albania</t>
  </si>
  <si>
    <t>carsguru7</t>
  </si>
  <si>
    <t>GLITTERBUGZLISA  ®</t>
  </si>
  <si>
    <t>Vw no 2 !!!hubbies new project #vw #vans #restore #dubz #teamwork #travel #camper #dubz https://t.co/QrVvrC7a9n</t>
  </si>
  <si>
    <t>Anywhere♥Anytime ♥ UK</t>
  </si>
  <si>
    <t>Glitterbugz ® ♥Bodyart♥Faces♥Hairfeathers♥Bead in Handmade braids♥Lips♥spreading the love and the glitter</t>
  </si>
  <si>
    <t>F@re aircooled</t>
  </si>
  <si>
    <t>#vw #1303 #bug #restyling https://t.co/YrT2UwcG1O</t>
  </si>
  <si>
    <t>liguria italia</t>
  </si>
  <si>
    <t>Volkswagen fanatic (o\_!_/o) Love my 72 westy ..my family.. Greece Messinia ..camping.. Ouzo.. .. Mclaren fan..Ayrton Senna forever</t>
  </si>
  <si>
    <t>Travel Bot</t>
  </si>
  <si>
    <t>RT @LisaHenri2: Vw no 2 !!!hubbies new project #vw #vans #restore #dubz #teamwork #travel #camper #dubz https://t.co/QrVvrC7a9n</t>
  </si>
  <si>
    <t>travelbot555</t>
  </si>
  <si>
    <t>A twitter bot if i misbehave blame @vinay589</t>
  </si>
  <si>
    <t>michelle</t>
  </si>
  <si>
    <t>#40JahreVWGTI: am #VW-Stand auf der @hannover_messe ist auch die 1. Generation des GTI von 1976 zu sehen. #VWHMI16 https://t.co/QGjrixK5LI</t>
  </si>
  <si>
    <t>#vw #1303 #bug # restyling https://t.co/yNx2plROaP</t>
  </si>
  <si>
    <t>RT @Volkstyp2: #vw #1303 #bug #restyling https://t.co/YrT2UwcG1O</t>
  </si>
  <si>
    <t>RT @Volkstyp2: #vw #1303 #bug # restyling https://t.co/yNx2plROaP</t>
  </si>
  <si>
    <t>#40yearsVWGTI: the first GTI generation of 1976 is displayed at #VW-stand at @hannover_messe. #VWHMI16 https://t.co/jB93ymgeNZ</t>
  </si>
  <si>
    <t>#vw #1303 #bug #restyling https://t.co/TBeIf1LvfQ</t>
  </si>
  <si>
    <t>RT @Volkstyp2: #vw #1303 #bug #restyling https://t.co/TBeIf1LvfQ</t>
  </si>
  <si>
    <t>miljan bojović</t>
  </si>
  <si>
    <t>RT @vwpress_en: #40yearsVWGTI: the first GTI generation of 1976 is displayed at #VW-stand at @hannover_messe. #VWHMI16 https://t.co/jB93ymg…</t>
  </si>
  <si>
    <t>Getting our glitterbugz bus out of storage this week ready for #vw #alltypes #dubworth #vwshows… https://t.co/opArCvBKdj</t>
  </si>
  <si>
    <t>Felix Nyaga</t>
  </si>
  <si>
    <t>The 'Mastermind' of a good future.</t>
  </si>
  <si>
    <t>sax odyssey</t>
  </si>
  <si>
    <t>Soweto, South Africa</t>
  </si>
  <si>
    <t>follow me I follow back</t>
  </si>
  <si>
    <t>Alastair Speight</t>
  </si>
  <si>
    <t>#toygroup_alliance #toybug #veedub #VW #volkswagen #beetle #vwbeetle #kindersurprise https://t.co/W65Btx3TAG</t>
  </si>
  <si>
    <t>Prudhoe U.K</t>
  </si>
  <si>
    <t>Husband &amp; Father, Interested in Football; Public Transport &amp; News!</t>
  </si>
  <si>
    <t>sgPR</t>
  </si>
  <si>
    <t xml:space="preserve">Palm Springs </t>
  </si>
  <si>
    <t>Digital PR + Social Media Marketing @VWPalmSpringsPR @PoojaMorPR @TheRemixStudio @DigitMusicCorp @scriptsbysg • Personal @sgpragency</t>
  </si>
  <si>
    <t>Ry.</t>
  </si>
  <si>
    <t>Seoul. Korea.</t>
  </si>
  <si>
    <t>언젠가는 그저 그런 시시콜콜함을 가지고 돌아오겠지요. 아님 말구. (빚) 있는집 자손.</t>
  </si>
  <si>
    <t>RT @vwpress_de: #40JahreVWGTI: am #VW-Stand auf der @hannover_messe ist auch die 1. Generation des GTI von 1976 zu sehen. #VWHMI16 https://…</t>
  </si>
  <si>
    <t>Nikky the Peeky</t>
  </si>
  <si>
    <t>an example of cardinal sins! #Speed &amp; #Curve enthusiast [hopefully you are above 18 to fathom my intellect] #iPhone</t>
  </si>
  <si>
    <t>McDonald_69</t>
  </si>
  <si>
    <t>Sjoemelbak gratis thuis gerepareerd https://t.co/OVkj8zaBSs #VW #dieselgate</t>
  </si>
  <si>
    <t>Kalifaat a/d Maas</t>
  </si>
  <si>
    <t>De Pietje Bell van Twitter / 100% mafketel / toerist in eigen land / bekende van de politie / volgt en ontvolgd netjes terug</t>
  </si>
  <si>
    <t>Uma Volta de Kombi</t>
  </si>
  <si>
    <t>#umavoltadekombi #kombi #vanlifers #vanlifediaries #vw #lifestyleblog #colombia #camper #kombinet #cali #clean... https://t.co/6zU1qD1Cqx</t>
  </si>
  <si>
    <t>Percorrendo a América do Sul</t>
  </si>
  <si>
    <t>Na estrada na nossa Kombinet a mais de um ano e 30.000km. Entramos online acompanhe aqui!</t>
  </si>
  <si>
    <t>Gerd Kebschull</t>
  </si>
  <si>
    <t>Golf GTI Clubsport Reichen 265 PS https://t.co/6LkoEqhCsr #vw #volkswagen #vwgolfGti vwgolfGtiClubsport @vwpress_de https://t.co/lcdgQ4JXw1</t>
  </si>
  <si>
    <t>südl. Emsland</t>
  </si>
  <si>
    <t>On Instagram? Why not follow us... https://t.co/gSUPNMzrHk #instagram #cars #guildford #surrey #mini #bmw #merc #vw</t>
  </si>
  <si>
    <t>Careum</t>
  </si>
  <si>
    <t>#VW #Trust and #Reputation Once lost, hard &amp; costly to get it back https://t.co/nTT2NoWRtV #dieselgate https://t.co/7UZYEe6pVW</t>
  </si>
  <si>
    <t>Zürich, Schweiz</t>
  </si>
  <si>
    <t>Basel, Switzerland; Machtfaktor Patient / Patient Empowerment / Pls. follow our Hashtag: #CC14B</t>
  </si>
  <si>
    <t>florian lüft</t>
  </si>
  <si>
    <t>Wenn Vorstände trotz 1,6 mrd. Verlust auf Boni bestehen, stinkt das gewaltig. Auch wenn die abgaswerte nun angeblich passen. #schämteuch #vw</t>
  </si>
  <si>
    <t>Experienced evolutionist in ecommerce and digital business. Entrepreneur with strong skills in marketing and sales launching disruptive apptus esales in d/a/ch.</t>
  </si>
  <si>
    <t>Ingrid Op de Laak</t>
  </si>
  <si>
    <t>Mijn auto heet 'de Sloep'..heb je een #VW heb je geen keus.. 'Sjoemelbak' en wordt hij voor je deur gerepareerd. https://t.co/l3CgMQmJeF</t>
  </si>
  <si>
    <t>klungelmoeder, trotse juf, hartenvrouw</t>
  </si>
  <si>
    <t>Its been such great weather here, I had to #dropthetop &amp; enjoy it 😎 #vw #carcrush #newbeetle #vwbeetle #beetleconve… https://t.co/TcPA3ClFq2</t>
  </si>
  <si>
    <t>Oval twins #autoslavia #volkswagen #beetle #vwbeetle #vw #buba #folcika #fusca #buglove #lovebug #oval #ovalbeetle … https://t.co/pOLjwkwuB6</t>
  </si>
  <si>
    <t>#toygroup_alliance #toybug #veedub #VW #volkswagen #beetle #vwbeetle #kindersurprise by ali_speight https://t.co/mnLu5GJEnV</t>
  </si>
  <si>
    <t>Christian Fritsche</t>
  </si>
  <si>
    <t>Ettenbüttel</t>
  </si>
  <si>
    <t>ابراهيم النامي</t>
  </si>
  <si>
    <t xml:space="preserve">المملكـہ العربيـہ السعوديـہ </t>
  </si>
  <si>
    <t>@NYIP Photographer |✧| #PMUer |✧| #Media |✧| ☪ #لا_إلہ_إلاّ_اللہ_محمد_رسول_اللہ</t>
  </si>
  <si>
    <t>Exploring in style with @zenara00 #vw #vwcamper #vdub #vwbus #voltswagon #van #campervan #dorset #studland #vdubs #… https://t.co/l9FZ6IpdNl</t>
  </si>
  <si>
    <t>#vw #voltswagon #vdub #vdubs #dorsetvdubs #dorset #exploredorset #orange #april #studland #vwbus #vwcamper #sundayf… https://t.co/0vMyNG1KAP</t>
  </si>
  <si>
    <t>My first camper van #type2 #vw #vwcamper #toottoot by kendog1973 https://t.co/BZa0NRVEiw</t>
  </si>
  <si>
    <t>Have a great day!!! #Repost @vwcamper ・・・ #vw #vwcamper #vwbus #kombi #vwvan #hippievan #volkswagen #babe #beach #g… https://t.co/0nxwxy2HcM</t>
  </si>
  <si>
    <t>Sunshine , my girl &amp; the open road cures everything 💕 #safariviews #vw #kombi #vwkombi #volkswagen #vwbus #vanlif… https://t.co/kdz14GFhrW</t>
  </si>
  <si>
    <t>#breakfast #camping #vintage #vw #vwcamper #eggs #smokedsalmon #toast #butter #lemon #blackpepper #tea #england #yu… https://t.co/Rlc4WUJnPE</t>
  </si>
  <si>
    <t>Indio70</t>
  </si>
  <si>
    <t>RT @dubbusses: My first camper van #type2 #vw #vwcamper #toottoot by kendog1973 https://t.co/BZa0NRVEiw</t>
  </si>
  <si>
    <t>La Tierra</t>
  </si>
  <si>
    <t>Hijo de La Tierra. Socio Greenpeace. Socio FAPAS. Afiliado PACMA. Furgocamper, Kayaking, PasiónPerruna #NoFracking #NoMaltratoAnimal #TorturaNoEsCultura</t>
  </si>
  <si>
    <t>Drinking my tea from this Love Bus Adventures mug :-) https://t.co/KecJUfgNV7 Love it! @zippi #vw https://t.co/rHAiODYTTX</t>
  </si>
  <si>
    <t>HJM Art Gallery</t>
  </si>
  <si>
    <t>VW Painting Van Wall #Art Original #Painting on by hjmArtGallery https://t.co/JcthkpUMbp via @Etsy #etsy #VW</t>
  </si>
  <si>
    <t>http://t.co/LhQVl28U Enhance your home and your life with unique nature art. Home decorating ideas &amp; gifts by California artist Helen Janow Miqueo.</t>
  </si>
  <si>
    <t>lambert alice</t>
  </si>
  <si>
    <t>#slammed.fr #team #paris #vw #audi ✌🏻️🇫🇷 https://t.co/7gGCG3kkkJ</t>
  </si>
  <si>
    <t>Snap: lilice-denice ✌️</t>
  </si>
  <si>
    <t>RT @beetlebug1938: Oval twins #autoslavia #volkswagen #beetle #vwbeetle #vw #buba #folcika #fusca #buglove #lovebug #oval #ovalbeetle … htt…</t>
  </si>
  <si>
    <t>Tilly</t>
  </si>
  <si>
    <t>Soulvability</t>
  </si>
  <si>
    <t>@JosBosboom_ is #VW niet inmiddels de enige fabrikant die afleveren binnen de richtlijnen voor #dieselmotoren #emissielijnen</t>
  </si>
  <si>
    <t>Platform voor Duurzame innovatie en Zelfbewustzijn. Designed to optimize planet aware, ecologic heartfelt initiatives</t>
  </si>
  <si>
    <t>johan van vugt</t>
  </si>
  <si>
    <t>@fluffyguy for the backyard!! #vw #T1 #marshmallow https://t.co/kyQUwOPZhq</t>
  </si>
  <si>
    <t>wwe fan ferrari gek fanatieke gamer en cod speler grote autosport lief hebber</t>
  </si>
  <si>
    <t>VW T5 campervan Transporter T30 140 TDI SWB 45,100 miles: £14,000.00 (0 Bids)End Date: Wednesday May-4-20... https://t.co/kqxU5qLVCF #vw</t>
  </si>
  <si>
    <t>Peggy</t>
  </si>
  <si>
    <t>#VW waarschuwt personeel voor aanhoudend 'zwaar weer' (via @NUnl) de bonussen zijn wel uitgekeerd! https://t.co/yZp1SCaPG8</t>
  </si>
  <si>
    <t>41 , ❤️ @namfoh ¦ 050 ¦ 020 ¦ economie ¦ Ajax ¦ lezen ¦ twitter op persoonlijke titel.</t>
  </si>
  <si>
    <t>FanCar Picture - Send me your Scirocco pictures!!! (PM Please) #VW #Volkswagen #Scirocco #Tuning https://t.co/E1Dt5D9vYW</t>
  </si>
  <si>
    <t>autofreshnews</t>
  </si>
  <si>
    <t>#VW Selesaikan Kompensasi Kepada Pelanggan dari Skandal Dieselgate https://t.co/2NSqBrQlIb</t>
  </si>
  <si>
    <t>Media Otomotif Online Indonesia</t>
  </si>
  <si>
    <t>Svratiti.rs</t>
  </si>
  <si>
    <t>Volkswagen Lupo 1999. – 2006. https://t.co/kguTVP4U4h #vw #volksagen #vwlupo @VolkswagenSrb @Vrele_Gume @Autoslavia https://t.co/aY83zgKV8u</t>
  </si>
  <si>
    <t>Srbija</t>
  </si>
  <si>
    <t>sajt posvecen razmin temama (https://t.co/2bWrZpKACw)</t>
  </si>
  <si>
    <t>eBay: VW Beetle convertible 1.9TDI FSH/12… https://t.co/TV0uUZDyCP #vwbeetle #vwbug #vw https://t.co/xvfL74PTgl https://t.co/MSDdlGoo7X</t>
  </si>
  <si>
    <t>Rajesh Sharma</t>
  </si>
  <si>
    <t>My drive with Mother Nature #Throwback #VW #Red #Polo #EarlyMorning #MorningDrive #Forest … https://t.co/NVqz1wFxjG https://t.co/aK60Wtna2q</t>
  </si>
  <si>
    <t>Greater Noida, Uttar Pradesh</t>
  </si>
  <si>
    <t>Never Settle for Second Best..!</t>
  </si>
  <si>
    <t>Jens Henriksson</t>
  </si>
  <si>
    <t>RT @autofreshnews: #VW Selesaikan Kompensasi Kepada Pelanggan dari Skandal Dieselgate https://t.co/2NSqBrQlIb</t>
  </si>
  <si>
    <t>Phil Olsen</t>
  </si>
  <si>
    <t>RT @dw_business: #VW, #Daimler among carmakers to recall 630,000 vehicles after German govt probe finds widespread irregularities https://…</t>
  </si>
  <si>
    <t>Locals Only</t>
  </si>
  <si>
    <t>Vijey Amernath</t>
  </si>
  <si>
    <t>Young Driver @age of 12.There is no vehicle found to Drive in Surface.</t>
  </si>
  <si>
    <t>HANNOVER MESSE</t>
  </si>
  <si>
    <t>Hannover/Germany</t>
  </si>
  <si>
    <t>Channel &amp; Newsfeed of HANNOVER MESSE (25 to 29 April 2016 in Hannover) - The world's most important technology event. #hm16</t>
  </si>
  <si>
    <t>Sjoemelbak gratis thuis gerepareerd https://t.co/zAPDIsYchh via @telegraaf #VW #dieselgate</t>
  </si>
  <si>
    <t>Leyla Dos Santos †</t>
  </si>
  <si>
    <t xml:space="preserve">Suisse - Portugal </t>
  </si>
  <si>
    <t>•Sonho e paixão de menina #BMW_M_POWER ∞ ♡ •Bimmer na cabeça e no coração ∞✨</t>
  </si>
  <si>
    <t>PizzaPickupLtd</t>
  </si>
  <si>
    <t>We're back with our friends @BlackChapelYard SW18 today if you missed us! #pizza #coffee #woodfired #streetfood #VW 🍕☕️</t>
  </si>
  <si>
    <t>Authentic Italian Woodfired Pizza hand made to order from our VW Pickup!</t>
  </si>
  <si>
    <t>JM</t>
  </si>
  <si>
    <t>Alsof ze daar op zitten te wachten! #vw https://t.co/mdMQqKDYvo</t>
  </si>
  <si>
    <t>🌴🌞Italy🌞🌴#swinie_women #swinie #polishgirl #blondegirl #italy #shorts #sun #summeriscoming #sunday #supergirl #vw … https://t.co/lPJN1eZMmA</t>
  </si>
  <si>
    <t>Theodor draait dorrr</t>
  </si>
  <si>
    <t>Sjoemelbak #VW #audi gratis thuis gerepareerd https://t.co/USX0fQQpVk https://t.co/EAZiStgcW1</t>
  </si>
  <si>
    <t>+31</t>
  </si>
  <si>
    <t>Tweet de luxe*Vlogs&amp;Flogs*Human Interest* Recht voor zijn raap*bullshitradar*Vigilant* Klare taal*Chief Humor Officer* prettig in de omgang* ♈️</t>
  </si>
  <si>
    <t>Try our delicious #pizza @BlackChapelYard if you're thinking of hiring us! #Volkswagen #weddings #birthdays #party #VW 🍕</t>
  </si>
  <si>
    <t>2015 Volkswagen Jetta Sedan S: Used 2015 Volkswagen Jetta Sedan, from Kempthorn Motors Jaguar ... https://t.co/fQl1UhL1Kj #VW #jetta #car</t>
  </si>
  <si>
    <t>Chris Kaey</t>
  </si>
  <si>
    <t>There's something very satisfying about detailing both cars in this weather. #Audi #VW #VWR #R #likenew #proud</t>
  </si>
  <si>
    <t>Enjoying life in the sun. Love driving my VW R, all motorsports &amp; supporting Nelson Piquet.</t>
  </si>
  <si>
    <t>Jonas Höfgen</t>
  </si>
  <si>
    <t>Mein erster #Newsletter ist verschickt. Aufregend. Meine #Bewertung zu #VW: #Unterbewertet! Ich steige #Montag ein. #Erklärung im Newsletter</t>
  </si>
  <si>
    <t>Stendal (Sachsen-Anhalt)</t>
  </si>
  <si>
    <t>BWL-Student, Sportler, Jung-Unternehmer - man kann sich nur etwas leisten, wenn man etwas leistet</t>
  </si>
  <si>
    <t>Gerade die neue #VW Werbung gesehen. "Partner fürs Leben..." Made my day 😂😂😂</t>
  </si>
  <si>
    <t>Blioux Kirkby</t>
  </si>
  <si>
    <t>RT @pizzapickupltd: We're back with our friends @BlackChapelYard SW18 today if you missed us! #pizza #coffee #woodfired #streetfood #VW 🍕☕️</t>
  </si>
  <si>
    <t>Actress and Shakespeare fanatic. Blioux is pronounced blue... My mum was high on gas and air when I was born...</t>
  </si>
  <si>
    <t>RT @pizzapickupltd: Try our delicious #pizza @BlackChapelYard if you're thinking of hiring us! #Volkswagen #weddings #birthdays #party #VW 🍕</t>
  </si>
  <si>
    <t>UNBEDINGT LESEN: Abgasskandal: Sind jetzt alle Autofirmen Betrüger? https://t.co/PP6X7sLIFa via @faznet #Abgasskandal #Betrug #VW #Boni #KBA</t>
  </si>
  <si>
    <t>https://t.co/BWALNHlplm #vw #vwbus #vwt2 #campingtime #campervan #enjoytheride #enjoylife… https://t.co/edJIjz4b7V https://t.co/Wgg6c4FCqH</t>
  </si>
  <si>
    <t>Russell Sim</t>
  </si>
  <si>
    <t>Would Germany be keen to keep trading with us after #Brexit ? #BMW #Audi #VW #Posche #Skoda #VoteLeave</t>
  </si>
  <si>
    <t>CoCo</t>
  </si>
  <si>
    <t>RT @HansTheGerman: UNBEDINGT LESEN: Abgasskandal: Sind jetzt alle Autofirmen Betrüger? https://t.co/PP6X7sLIFa via @faznet #Abgasskandal #B…</t>
  </si>
  <si>
    <t>Mietsache Erde</t>
  </si>
  <si>
    <t>Es wird niemals soviel gelogen wie vor der Wahl, während des Krieges und nach der Jagd. (Otto von Bismarck) ....und nach der Wahl (von mir) NO LISTS</t>
  </si>
  <si>
    <t>T A T I</t>
  </si>
  <si>
    <t>Andacollo - Neuquen - Arg</t>
  </si>
  <si>
    <t>Escorpiana ♥| Amor por el baile y la musica | 18 años| LB ♥| Folklore pasión ♥ | Instagram: tatii_venegaa</t>
  </si>
  <si>
    <t>eBay: VW beetle 2000 mot till September https://t.co/6kWagoGcNl #vwbeetle #vwbug #vw https://t.co/xvfL74PTgl https://t.co/rPspitHyle</t>
  </si>
  <si>
    <t>eBay: vw t5 Camper Campervan 2014 14reg… https://t.co/wvNpi8TLDy #vwcamper #vwbus #vw https://t.co/ZEadscsjBy https://t.co/GyQhA7DEKl</t>
  </si>
  <si>
    <t>eBay: vw t25 t3 camper van xud engine… https://t.co/HG6U69P3ts #vwcamper #vwbus #vw https://t.co/ZEadscsjBy https://t.co/qSqYnAkZOS</t>
  </si>
  <si>
    <t>Sascha D.</t>
  </si>
  <si>
    <t>#VW bescheißt Konsumenten. In USA müssen's Kraxen zurückkaufen, in Europa befehlen sie Konsumenten in Werkstatt zum verschlimmbesserern</t>
  </si>
  <si>
    <t>Versicherungserpel und somit quasi beim organisierten Verbrechen. Laufen Sie weg solange Sie´s noch können! (You have been warned)</t>
  </si>
  <si>
    <t>Ellie Shep</t>
  </si>
  <si>
    <t>So good to be back out in this beauty #vanlife #vw ✌🏻️💕 https://t.co/ac22dcGiDk</t>
  </si>
  <si>
    <t>Biomedical Science graduate turned trainee accountant.</t>
  </si>
  <si>
    <t>The Black Chapel</t>
  </si>
  <si>
    <t>SW18 4HZ</t>
  </si>
  <si>
    <t>Preferred coffee of transpontines. Vintage coffee equipment bought &amp; sold. est 2010 as Black Craft Coffee Closed Mondays Chapel Yard SW18 London ☕⛪Ⓥ 喫茶店</t>
  </si>
  <si>
    <t>nuràh</t>
  </si>
  <si>
    <t>Morning (1/2) #VSCO #VSCOcam #vscogrid #morning #volkswagen #VW https://t.co/A6jCQfFnK0</t>
  </si>
  <si>
    <t>tomorrowland</t>
  </si>
  <si>
    <t>an 18 year-old artist /athlete #metalhead https://t.co/HDEryJDo1F</t>
  </si>
  <si>
    <t>Both clean as f*ck Follow: @vwlife__ @vwlife__ @vwlife__ @vwlife__ @vwlife__ @vwlife__ #vw #volks #volkswagen #v… https://t.co/QZL1lkkeAZ</t>
  </si>
  <si>
    <t>Got the duster out yesterday😎✨ #vw #vwbeetle #vwbug #volkswagon #porsche #fuchs #classic #classiccar #modified #low… https://t.co/jnDQnZYhRj</t>
  </si>
  <si>
    <t>RT @ellie_sheppard: So good to be back out in this beauty #vanlife #vw ✌🏻️💕 https://t.co/ac22dcGiDk</t>
  </si>
  <si>
    <t>eBay: Volkswagen Beetle 1.6 2004MY RHD drives… https://t.co/Cn94MoWLy3 #vwbeetle #vwbug #vw https://t.co/xvfL74PTgl https://t.co/DGV7zxK7QZ</t>
  </si>
  <si>
    <t>#WRC #RallyArgentina #VW #Mikkelsen Слоупок-ньюс) Ралли Аргентины, СУ15: финиш второго дня https://t.co/rbmyKXTtx9 https://t.co/zQ8Hi6XDzQ</t>
  </si>
  <si>
    <t>Both clean as f*ck Follow: @vwlife__ @vwlife__ @vwlife__ @vwlife__ @vwlife__ @vwlife__ #vw #volks #volkswagen #v… https://t.co/EGDYL3lPqc</t>
  </si>
  <si>
    <t>#mono #olympus #olympusem #olympusuk #car #van #bus #vwt5forum #vw #vwcamper #splitty #camper #nofilter #blackandwh… https://t.co/gACaYQrfeU</t>
  </si>
  <si>
    <t>Time to pack it all away ready for next week! #camping #vw #t5 #vwt5 #vwt5transporter #vwcamper #callowtop by turne… https://t.co/Wxg65ybtlx</t>
  </si>
  <si>
    <t>Julika Brand</t>
  </si>
  <si>
    <t>Allgäu (Bayern)</t>
  </si>
  <si>
    <t>rational sceptical liberal frugal... Motto:Isn't it enough that a garden is beautiful without having to believe that there are fairies at the bottom of it too?</t>
  </si>
  <si>
    <t>Took a turn to where I've never been before and ended up here.... Just WOW 😍 #sunset #safarviews #vw #kombi #vwko… https://t.co/eKLvXRGiCz</t>
  </si>
  <si>
    <t>RT @beetlebug1938: Got the duster out yesterday😎✨ #vw #vwbeetle #vwbug #volkswagon #porsche #fuchs #classic #classiccar #modified #low… htt…</t>
  </si>
  <si>
    <t>afimp</t>
  </si>
  <si>
    <t>UNITRONIC STAGE3 for VW GOLF6GTI #unitronic #stage3 #vw #vwgolf #vwgram #golfgti #mk6 #tuning… https://t.co/93qjvCZui4</t>
  </si>
  <si>
    <t>Tokyo</t>
  </si>
  <si>
    <t>輸入車スタイルアップ&amp;チューニング専門誌 autofashion imp. です。</t>
  </si>
  <si>
    <t>sergio =3</t>
  </si>
  <si>
    <t>RT @oldcar_photo: FuscaPocos em Águas de Lindoia 2016 FuscaPocos https://t.co/5dp1zKhrgD ______________________ #vw #vdub #vdubs #… https…</t>
  </si>
  <si>
    <t>Jaén, Andalucía</t>
  </si>
  <si>
    <t>eBay: VW T2 Late Bay Camper van https://t.co/LdVbN1MTug #vwcamper #vwbus #vw https://t.co/ZEadscsjBy https://t.co/DhE3fQ716T</t>
  </si>
  <si>
    <t>Burggraben Holding</t>
  </si>
  <si>
    <t>Zug, Switzerland</t>
  </si>
  <si>
    <t>Value Investing Holding Company</t>
  </si>
  <si>
    <t>Wim Kweekel</t>
  </si>
  <si>
    <t>#VW top krijgt toch bonus. Gelukkig, ze hebben het ook zo zwaar. Personeel levert uiteraard wel in. Begrijpelijk.</t>
  </si>
  <si>
    <t>Nieuwkoop</t>
  </si>
  <si>
    <t>Boardroom counseling | High Performance Organisaties | Managementtrainer | 7 Managementboeken | Spreker | Kweekel &amp; Partners | Ambassadeur Hersenstiching</t>
  </si>
  <si>
    <t>Pamela Bates</t>
  </si>
  <si>
    <t>I'm a little weird. It's okay though, chances are you kinda annoy me too.</t>
  </si>
  <si>
    <t>Klaas Brongers</t>
  </si>
  <si>
    <t>RT @WimKweekel: #VW top krijgt toch bonus. Gelukkig, ze hebben het ook zo zwaar. Personeel levert uiteraard wel in. Begrijpelijk.</t>
  </si>
  <si>
    <t>Solutions4U (directeur) Ngi-NGN (voorzitter) BvMI (partner)</t>
  </si>
  <si>
    <t>Po'love' ™</t>
  </si>
  <si>
    <t>Bengaluru, Karnataka</t>
  </si>
  <si>
    <t>VW loyalist.Devoted to Chelsea.So called Photographer</t>
  </si>
  <si>
    <t>Joerg Koper</t>
  </si>
  <si>
    <t>#Autos von #VW erkennen #Schulkinder künftig per #App https://t.co/pHxz0HUtE8</t>
  </si>
  <si>
    <t>Entrepreneur | Creative head | CEO of Sky &amp; Fun GbR | Project manager: @AirMediaConcept, @UAV_Tech | No Politics please | Imprint: http://t.co/74y4kqhp30</t>
  </si>
  <si>
    <t>InfinityRocket ✨</t>
  </si>
  <si>
    <t>RT @Joerg_Koper: #Autos von #VW erkennen #Schulkinder künftig per #App https://t.co/pHxz0HUtE8</t>
  </si>
  <si>
    <t>RocketRT</t>
  </si>
  <si>
    <t>Outer Space</t>
  </si>
  <si>
    <t>Did you get retweeted by me? Congrats! You used my secret codes! Come onboard! Im at the AppleStore waiting for you! Tweet #infinityRocket to get more retweets!</t>
  </si>
  <si>
    <t>https://t.co/nVIU8Ohh4q - Time to pack it all away ready for next week! #camping #vw #t5 … https://t.co/xE1adNGVHX https://t.co/rnAuUXFQIm</t>
  </si>
  <si>
    <t>Both clean as f*ck Follow: @vwlife__ @vwlife__ @vwlife__ @vwlife__ @vwlife__ @vwlife__ #vw #volks #volkswagen #v… https://t.co/D4yFNxK26j</t>
  </si>
  <si>
    <t>Putri♥</t>
  </si>
  <si>
    <t>🚗 #vw #volkswagen https://t.co/AY9np4WUtb</t>
  </si>
  <si>
    <t>KCH↔SBW</t>
  </si>
  <si>
    <t xml:space="preserve">Living the loife♪ </t>
  </si>
  <si>
    <t>birgit battmer-holz</t>
  </si>
  <si>
    <t>Niedersachsen/Lower Saxony</t>
  </si>
  <si>
    <t>FanCar Picture - Send me your Scirocco pictures!!! (PM Please) #VW #Volkswagen #Scirocco #Tuning https://t.co/mKf6nKwlyp</t>
  </si>
  <si>
    <t>eBay: Unique Volkswagen VW T4 Type 4 rat look… https://t.co/0U9T9dl36F #vwcamper #vwbus #vw https://t.co/ZEadscsjBy https://t.co/7F2SWGI9VR</t>
  </si>
  <si>
    <t>Chris Watson MIOR</t>
  </si>
  <si>
    <t>Volkswagen's $1 billion buy-back deal 'sends the right signals', says analyst https://t.co/G4TASBSEIY BUT what about the UK consumers? #VW</t>
  </si>
  <si>
    <t>Director of CARS &amp; Automotive Talent Scout tweeting #CarJobs #Automotive #Jobs #Recruitment along with some of my own views.</t>
  </si>
  <si>
    <t>Tobi Mülhauser</t>
  </si>
  <si>
    <t>Bald schaut der #VW T3 wieder schöner, ja viieeel schöner aus 😍 https://t.co/9XYUsh7RlV</t>
  </si>
  <si>
    <t>Bern / Salzburg</t>
  </si>
  <si>
    <t>Loves sports, the nature and watches. Tweets in English and (Swiss) German.</t>
  </si>
  <si>
    <t>#techhippie #mk5 #gtd #gti #vw #19zoll #vw #gt by blazejkobiela https://t.co/sYXGwajuo1</t>
  </si>
  <si>
    <t>Delfina Molina Falcó</t>
  </si>
  <si>
    <t>VW Camper -Bulli -Cake #cake #cakes #vw #vag #t1 #bulli #vwlove #car # carlove # summer #surf #hobby #love #formyl… https://t.co/rAAAsBUGt2</t>
  </si>
  <si>
    <t>eBay: 2003 VOLKSWAGEN BEETLE TURBO GREEN https://t.co/uVzJQvR0D9 #vwbeetle #vwbug #vw https://t.co/xvfL74PTgl https://t.co/YtRbze2P52</t>
  </si>
  <si>
    <t>Thilo P.</t>
  </si>
  <si>
    <t>@SPORT1_Dopa Warum #WOB so spielt wie sie spielen? Weil @DeBruyneKev nicht mehr da ist! Abgang wurde völlig unterschätzt! #dopa #VW</t>
  </si>
  <si>
    <t>archivierender Rennradborusse, Nordlicht am Rhein, Genießer von Gerstensaftschorle und ausschließlich gutem Whisky</t>
  </si>
  <si>
    <t>Jens</t>
  </si>
  <si>
    <t>My bed</t>
  </si>
  <si>
    <t>carguy, a little bit lazy, in love with my bed, sleep alot and love fooood | moderator for @dave201990_</t>
  </si>
  <si>
    <t>Cali-style..this Jetta is so photogenic #dedicatedshoutout #harmonyhill #vw #vwjetta #low… https://t.co/IR0IpD6N7m https://t.co/4GlzMlWETf</t>
  </si>
  <si>
    <t>#vw #golf #mk4 #engineconversion #r36 #vr #vortech #supercharged #vag #beast #vr6oc #3.6 #static #german #4motion #… https://t.co/tbdSsZf5Zt</t>
  </si>
  <si>
    <t>#ELW #ASB #Sanitätszug #Stralsund #SanZug #VW #T6 #DBS_4000 #LED #VR #Nico #Wieck #18 #Freiwillige #Feuerwehr #Stra… https://t.co/XcPX3N4xaX</t>
  </si>
  <si>
    <t>andrew gooderson</t>
  </si>
  <si>
    <t>new zealand</t>
  </si>
  <si>
    <t>eBay: volkswagen beetle 1957 57 1200 excellent… https://t.co/R98q7Rs8Hj #vwbeetle #vwbug #vw https://t.co/xvfL757uEV https://t.co/ew5wPGjSaU</t>
  </si>
  <si>
    <t>Blackbooots</t>
  </si>
  <si>
    <t>This Unassuming VW Golf R Has More Power Than An Aventador. #Golf #R #VW #Aventador #Lp700-4 https://t.co/rJ0YPEsKAw</t>
  </si>
  <si>
    <t>UK’s foremost authorities on tyre fitting, wheel alignment, steering geometry and chassis dynamics. #Tyres #Chesham</t>
  </si>
  <si>
    <t>RT @cathyrawrr: So excited to do some test driving today. 🚙🚗😍 #newcar #vw</t>
  </si>
  <si>
    <t>RT @BlackbootsWim: This Unassuming VW Golf R Has More Power Than An Aventador. #Golf #R #VW #Aventador #Lp700-4 https://t.co/rJ0YPEsKAw</t>
  </si>
  <si>
    <t>derPaddy</t>
  </si>
  <si>
    <t>30 companies are now making self-driving #cars https://t.co/eAvrt4PlSn #VW #Tesla #Digitalisierung #automatisierung</t>
  </si>
  <si>
    <t>Unimatrix 0</t>
  </si>
  <si>
    <t>single | Sozial-Technokrat | weltoffen | sozial | kritisch | spartanisch | Humanistisch-atheistische Ethik |</t>
  </si>
  <si>
    <t>Formula Autos</t>
  </si>
  <si>
    <t>People are showing their love for VW in unique ways. This just proves that ALL are involved! #FormulaAutos #VW https://t.co/N032tVtVyX</t>
  </si>
  <si>
    <t xml:space="preserve">Parklands, Cape Town </t>
  </si>
  <si>
    <t>Formula Autos specialises in the retailing of low mileage, new model cars &amp; quality pre-owned vehicles, delivering great service throughout Cape Town.</t>
  </si>
  <si>
    <t>Die_Primel</t>
  </si>
  <si>
    <t>RT @derPaddy: 30 companies are now making self-driving #cars https://t.co/eAvrt4PlSn #VW #Tesla #Digitalisierung #automatisierung</t>
  </si>
  <si>
    <t>Multipliziere Netzpolitik &amp; ziviles Engagement für #refugees &amp; Umwelt, UX Enthusiast, #Piraten #Hamburg</t>
  </si>
  <si>
    <t>The Creww</t>
  </si>
  <si>
    <t>RT @eastgodjelani: #Vw⁴L.</t>
  </si>
  <si>
    <t>East Virgina</t>
  </si>
  <si>
    <t>#The1400Club. Reinvention of the cool kids. Still at the round table</t>
  </si>
  <si>
    <t>シャル村長＼\ ٩( 'ω' )و /／</t>
  </si>
  <si>
    <t>RT @izukeizai: 三島でスクエニ「ヴィジュアルワークス」仕事展 生守一行「仕事」を語る https://t.co/fwZzfPEesK #WOVW展 #ヴィジュアルワークス #VISUALWORKS #VW #大岡信ことば館 #スクウェアエニックス #スクエニ #…</t>
  </si>
  <si>
    <t>サイレントヒル</t>
  </si>
  <si>
    <t>地元(静岡東部、伊豆)ネタや真面目なツイートが多い割に、おちょこちょいなツイートもします＼(^ー^)／ あとゲームも大好きす。とび森夢番地:3400-3927-9833 プレゼントしてくれたらうれしいな⇒https://t.co/XSWjcGRB3e</t>
  </si>
  <si>
    <t>Vasco Gonçalves</t>
  </si>
  <si>
    <t>Fala-me de swagg 😎 #nice #cotedazur #vw #transporter #vintage @… https://t.co/XvWnMpLw50</t>
  </si>
  <si>
    <t>Planeta Zinde - Portugal</t>
  </si>
  <si>
    <t>Stealing stones and breaking bones :)</t>
  </si>
  <si>
    <t>路地裏にわか😯 #vw #beetle #vwbug #vwbeetle #aircooled #vwlove #vwlife #slammed #空冷VW #フォルクスワーゲン #ワーゲン #ビートル #にわかビートル by … https://t.co/eSwfN55xhH</t>
  </si>
  <si>
    <t>Dark Green VW beetle. What's not to love? 😁💚 #asundaycarpic #vintagecar #ig_captures #guardiancities #vw #SoloParki… https://t.co/ysOgZllJMd</t>
  </si>
  <si>
    <t>Who says driving to work can't be fun.... #aircooled #vw #vwbeetle by little_alistair https://t.co/liEjcQL2bO</t>
  </si>
  <si>
    <t>#vw #aircooled #aircooledvw #vwclassic #volks #vwdub #vwlove #vwstories #instago #instancool #style #fusca #show #m… https://t.co/e1hcLPhq9y</t>
  </si>
  <si>
    <t>Look at this awesomeness🙏✨ #cake #birthdaycake #bakedart #bestfriend #love #vw #vwbus #vwbulli #vwcamper #bulli #fr… https://t.co/gfum5WPM2T</t>
  </si>
  <si>
    <t>#vwcampervan #vw #vwcamper around #scotland #elie #scotspirit #visitscotland #scottish #beach #beaches #danbury by … https://t.co/FHIL4tbgZf</t>
  </si>
  <si>
    <t>#mono #olympus #olympusem #olympusuk #car #van #bus #vwt5forum #vw #vwcamper #camper #nofilter #blackandwhite #bigb… https://t.co/JDWUZpgkiv</t>
  </si>
  <si>
    <t>#mono #olympus #olympusem #olympusuk #car #van #bus #vwt5forum #vw #vwcamper #t4 #camper #nofilter #blackandwhite #… https://t.co/D3XN5od6dt</t>
  </si>
  <si>
    <t>The lovely Sidney campervan. #vw #vwbus #vwcamper #campervan #1968 by pikeyjef https://t.co/T75Zm9stTV</t>
  </si>
  <si>
    <t>Bomm diaa domingao ,aguas de lindoia #kombi #kombilovers #kombibrasil #combi #vw #volkswagen #volksvagenkombi #volk… https://t.co/uGNdZYV53r</t>
  </si>
  <si>
    <t>VW Campervan Cushion #volkswagen #vw #vdub #dub #vwbus #vwcamper #vwcampervan #vwsplit #vwsplitty #vwsplitscreen #v… https://t.co/RPLbhHDnys</t>
  </si>
  <si>
    <t>VW Campervan Lights #volkswagen #vw #vdub #vwbus #vwcamper #vwcampervan #vwsplit #vwsplitty #vwsplitscreen #vwlight… https://t.co/QOtx8g2OVf</t>
  </si>
  <si>
    <t>jenny bates</t>
  </si>
  <si>
    <t>London Campaigner + air pollution &amp; aviation person at Friends of the Earth, living in Greenwich, tweeting in a personal capacity.</t>
  </si>
  <si>
    <t>eBay: VW camper van westfalia T2 1974 2Iitre… https://t.co/oiWyhKnajZ #vwcamper #vwbus #vw https://t.co/ZEadscsjBy https://t.co/Eh1dodJ5XZ</t>
  </si>
  <si>
    <t>eBay: vw t25 camper van project https://t.co/3Z4sUcZwS8 #vwcamper #vwbus #vw https://t.co/ZEadscsjBy https://t.co/mvJfeIdO5K</t>
  </si>
  <si>
    <t>RT @beetlebug1938: Dark Green VW beetle. What's not to love? 😁💚 #asundaycarpic #vintagecar #ig_captures #guardiancities #vw #SoloParki… htt…</t>
  </si>
  <si>
    <t>4zylinder</t>
  </si>
  <si>
    <t>Very cool Volkswagen T5 Camper ! https://t.co/qr1FbU9OtL #Volkswagen #VW #Camper #Bulli https://t.co/ZEtTdzsjLt</t>
  </si>
  <si>
    <t>nagy_ricsi_! Mégha a nap le is megy, Ez a dög akkor sem, nyugszik! : D #golf #golf4 #vwlove #vw #vwmk4 #mk4life... https://t.co/oGin2AmcCg</t>
  </si>
  <si>
    <t>Custom Your Shoe</t>
  </si>
  <si>
    <t>Check out what I found. #VW Sharan Retractable #ParcelShelf 2010-2016 https://t.co/y4xRHZLtVw via @eBay_UK</t>
  </si>
  <si>
    <t>Boston, Lincs</t>
  </si>
  <si>
    <t>Rhinestone and other Craft supplies, Glue, gems and many other tools... I also customize shoes and other items of clothing for all you lovely people. :)</t>
  </si>
  <si>
    <t>Cab Love 🚙: Johannes (pleasetag) 📸: VWHome #vw #volkswagen #golf #golf1 #golf1cabrio #cab #cabrio #mk1 #mk1golf #g… https://t.co/2zvslZfYxu</t>
  </si>
  <si>
    <t>Tamara De Caluwe</t>
  </si>
  <si>
    <t>#VW Hamme!!!! Go Go Go 👍👍👍 https://t.co/jCeMwucfy2</t>
  </si>
  <si>
    <t>Eric Jansen</t>
  </si>
  <si>
    <t>If only I had a girlfriend as fine as this VW of mine.... Wait, I do!😁👌 #VW #CitiGolf #Lowered… https://t.co/hw1ULG4oRC</t>
  </si>
  <si>
    <t>Tall, coloured, amusing, nice voice, stand-up comedy doer, seducer, people's person.</t>
  </si>
  <si>
    <t>Emission cheating costs VW $18 billion https://t.co/2I1TKe4xqw #VW #AutoNews</t>
  </si>
  <si>
    <t>VW positive on China sales, plans more investments https://t.co/8cgz7y3O3E #VW #AutoNews</t>
  </si>
  <si>
    <t>2015 VW PASSAT TDI Comfortline https://t.co/ESBEXZbRqR #VW #AutoNews</t>
  </si>
  <si>
    <t>eBay: Volkswagen campervan camper * ANY MAKE… https://t.co/6wsd01tLyv #vwcamper #vwbus #vw https://t.co/ZEadscsjBy https://t.co/ZUQT9kNKoM</t>
  </si>
  <si>
    <t>RT @CWRoehl: #VW zahlt nur symbolische #Dividende - alles andere wäre Ausplünderung des Unternehmens gewesen! https://t.co/RWQpAcdQ5W</t>
  </si>
  <si>
    <t>Menno Smid</t>
  </si>
  <si>
    <t>Unmoralisches Bewusstsein (#Hegel) bei führenden #Managern von #VW, #Betriebsräte eingeschlossen. Eine nette Gesellschaft!</t>
  </si>
  <si>
    <t>Soziologe, Statistiker und Unternehmer. Fachgebiet: empirische Sozialforschung als Unternehmenszweck. Kenne und schätze die Phänomenologie des Geistes</t>
  </si>
  <si>
    <t>Carolien Glasbergen</t>
  </si>
  <si>
    <t>Veranderaar, bouwer, verbinder, ict-er, bedrijfskundige, spreker, reviewer, @ngi_ngn, PROUD@UWV, hier op eigen titel</t>
  </si>
  <si>
    <t>Jean-Marc Ponteville</t>
  </si>
  <si>
    <t>PR Manager Volkswagen Belgium</t>
  </si>
  <si>
    <t>#Turbine 2 im #Heizkraftwerk #VW #Wolfsburg, erbaut 1939/40, in Betrieb 1941 bis 1999. #Industriekultur #Industrie https://t.co/vg2nLm9Wtl</t>
  </si>
  <si>
    <t>#techhippie On the way?! #gopro #black #3+ #volkswagen #vw #gtd #mk7 #wsee2k16 #wörthersee by philippmk6 https://t.co/H9R4iz0ylz</t>
  </si>
  <si>
    <t>#techhippie Ganz okay würde ich sagen 😜 #schnell #gtd #golfgtd #gti #autobahn #vw #volkswagen by dezzis_hgn https://t.co/s1B6rHRgQ1</t>
  </si>
  <si>
    <t>eBay: VOLKSWAGON BEETLE 2.Litre TURBO 2001 https://t.co/VRDSibwNw9 #vwbeetle #vwbug #vw https://t.co/xvfL74PTgl https://t.co/VrLBxbglFV</t>
  </si>
  <si>
    <t>eBay: VW T5.1 BiTDi Hightop Uberbus Camper… https://t.co/dQkQZFx1Y9 #vwcamper #vwbus #vw https://t.co/ZEadscsjBy https://t.co/0eDTTZHwF3</t>
  </si>
  <si>
    <t>Barbara Kimmel</t>
  </si>
  <si>
    <t>RT @CareumCH: #VW #Trust and #Reputation Once lost, hard &amp; costly to get it back https://t.co/nTT2NoWRtV #dieselgate https://t.co/7UZYEe6pVW</t>
  </si>
  <si>
    <t>CEO Trust Across America-Trust Around the World- Proving the business case for trust. https://t.co/pma1UmWUgV DO NOT DM with offers!</t>
  </si>
  <si>
    <t>RT @beetlebug1938: Who says driving to work can't be fun.... #aircooled #vw #vwbeetle by little_alistair https://t.co/liEjcQL2bO</t>
  </si>
  <si>
    <t>RT @beetlebug1938: 路地裏にわか😯 #vw #beetle #vwbug #vwbeetle #aircooled #vwlove #vwlife #slammed #空冷VW #フォルクスワーゲン #ワーゲン #ビートル #にわかビートル by … htt…</t>
  </si>
  <si>
    <t>RT @beetlebug1938: Both clean as f*ck Follow: @vwlife__ @vwlife__ @vwlife__ @vwlife__ @vwlife__ @vwlife__ #vw #volks #volkswagen #v… htt…</t>
  </si>
  <si>
    <t>Kvůli nabíjení e-baterie u vašeho auta nemusíte vytáhnout paty z domu. Vše zvládnete pěkně z domova. #VW #Carnet https://t.co/ql27Ma6FEj</t>
  </si>
  <si>
    <t>Bonjour (2/2) #VSCO #VSCOcam #vscogrid #vscoart #morning #bonjour #volkswagen #VW https://t.co/CG7pavYPUD</t>
  </si>
  <si>
    <t>飄移的油錶指針 又有東西壞去惹 😂😂😂😂😂 #VW #GOLF #IV #MK4 #GTI #5D #20th #Black #BadBoy #SSR #SP1 #R32_interior https://t.co/OZ6PdbW1OC</t>
  </si>
  <si>
    <t>THEBEETLEアームレストガーニッシュ(・へ・)色合いキレー♪笑 #VW #THEBEETLE #BEETLE #peyton #HaltDesign https://t.co/vcBh2im8uW</t>
  </si>
  <si>
    <t>💙 #Volkswagen #vw #vwgolf #vwgolf3 #vr6 #vr #vr6nation #porschewheels #porscheturbo #vw_support_ #vw_golf_freaks #v… https://t.co/4LKsWypbnW</t>
  </si>
  <si>
    <t>Onceuponatimebears</t>
  </si>
  <si>
    <t>We are So excited for July now because the Old bears are going on adventure in a #vintage #classic #volkswagon #VW from @GertiesAdventur</t>
  </si>
  <si>
    <t>Wetwang East Yorkshire</t>
  </si>
  <si>
    <t>I have always had a passion for all things Vintage &amp; Antique especially Old teddy bears &amp; I have a website called Once upon a time bears dedicated to old bears</t>
  </si>
  <si>
    <t>Mausraster</t>
  </si>
  <si>
    <t>Mit uneinsichtigen, bockigen Betrügern lässt sich niemand gerne sehen. #Merkel und #Obama meiden #Volkswagen-Stand. #Hannover #Messe #VW</t>
  </si>
  <si>
    <t>Da muss man doch nicht gleich so mausrasten...</t>
  </si>
  <si>
    <t>李巧梦先生</t>
  </si>
  <si>
    <t>Matthew L</t>
  </si>
  <si>
    <t>#Ferrari #ferraridino #246GT at #classicsandcake with a #vw #lupo #GTI #drivetastefully… https://t.co/sRh2bVpPXg</t>
  </si>
  <si>
    <t>London England</t>
  </si>
  <si>
    <t>Petrolhead and lover/ owner of the Ferrari 365GTB4 Daytona married to gorgeous @danivoodoo</t>
  </si>
  <si>
    <t>GRENZECHO.net</t>
  </si>
  <si>
    <t>#Abgasskandal: Morgen auf der #HannoverMesse werden Obama und Merkel den Stand von #VW nicht besuchen. https://t.co/126eczi3fh</t>
  </si>
  <si>
    <t>Eupen (Belgien)</t>
  </si>
  <si>
    <t>News aus Ostbelgien, der Euregio und der Welt. Portal der einzigen deutschsprachigen Tageszeitung in Ostbelgien: dem GrenzEcho. https://t.co/T5beNFCSKG</t>
  </si>
  <si>
    <t>Willow Springs</t>
  </si>
  <si>
    <t>Short on space? leave the BBQ at home and hire one while you camp! #campingis #vw #Wales #travel #Afan #outdoors https://t.co/NYBXW16bx4</t>
  </si>
  <si>
    <t>Glyncorrwg, Port Talbot, Wales</t>
  </si>
  <si>
    <t>We run a Campsite in the beautiful Afan Forest in South Wales. Powered by Spring water, the great outdoors and a happy outlook. Come and say hi :)</t>
  </si>
  <si>
    <t>sonja fusher</t>
  </si>
  <si>
    <t>RT @WillowSpringsUK: Short on space? leave the BBQ at home and hire one while you camp! #campingis #vw #Wales #travel #Afan #outdoors https…</t>
  </si>
  <si>
    <t>Southend on Sea, Essex, UK</t>
  </si>
  <si>
    <t>Promoting campsites daily. The other half of http://t.co/ThdFANQWSz, love caravanning, sightseeing and cycling,. new to biking 2011</t>
  </si>
  <si>
    <t>Sheffield Ebook</t>
  </si>
  <si>
    <t>sorry zvako sha better with the villagers if she was a #vintage #classic #volkswagon #vw from maddie orr al final but lets hope they</t>
  </si>
  <si>
    <t>Ebook Sheffield</t>
  </si>
  <si>
    <t>Sheffield, England</t>
  </si>
  <si>
    <t>FanCar Picture - Send me your Scirocco pictures!!! (PM Please) #VW #Volkswagen #Scirocco #Tuning https://t.co/7NkWTzMFwZ</t>
  </si>
  <si>
    <t>BALL⚽Texter</t>
  </si>
  <si>
    <t>Olé #VW 😃😃😃 #noPlastik https://t.co/sGKf1YII38</t>
  </si>
  <si>
    <t>North Rhine-Westphalia - Trainer - #nurderBVB - Ballorientiertes Twittern - Mag kontrollierten + DOminanten Fußball</t>
  </si>
  <si>
    <t>My Holiday Partner</t>
  </si>
  <si>
    <t>My Holiday Partner Tweeter App</t>
  </si>
  <si>
    <t>Need a Holiday but don't have anyone to go with? Why not find like minded singles, couples or groups and get together for a holiday, trip or excursion.</t>
  </si>
  <si>
    <t>Can't afford a #VW #Golf R? The sporty new Golf R-line could be up your street https://t.co/viTjhVWAS8 @UKVolkswagen https://t.co/qg6MYs7hkd</t>
  </si>
  <si>
    <t>Can't afford a #VW #Golf R? The sporty new Golf R-line could be up your street https://t.co/7INEwsG7NI UKVolkswagen …</t>
  </si>
  <si>
    <t>Kelly✨</t>
  </si>
  <si>
    <t>@lmc_volkswagen #lmcvw #vw #volkswagen #golfr Test drove Golf R, best service! Been dealing with Manager Ash. Can't decide colour. Help!!</t>
  </si>
  <si>
    <t>▪️▫️ Artist | Blogger | Muslim Revert | ▪️▫️ Creative mind behind The Aurora Project. https://t.co/gCbYFyM3cH</t>
  </si>
  <si>
    <t>Otherbots</t>
  </si>
  <si>
    <t>He found his mate...stay forever together ya #instamood #mate #vw #avenueofstars #robot #potd by anthony_alakabar https://t.co/CexNDXtIiS</t>
  </si>
  <si>
    <t>interwebs</t>
  </si>
  <si>
    <t>A bot that searches Instagram for images of other robots on a quest of self-discovery. You can blame @aandnota.</t>
  </si>
  <si>
    <t>HARDWORKER</t>
  </si>
  <si>
    <t>Не удержался..... #vagnation #vw #vws #vwgti #mk6#golf #vagofficial #vagoftheday #vagforlife https://t.co/HfZE0EcSAv</t>
  </si>
  <si>
    <t>vk.com</t>
  </si>
  <si>
    <t>Globosus</t>
  </si>
  <si>
    <t>Hat einer die #Abgaswolke aus #Obamas Auto gesehen? #dieselgate #vw</t>
  </si>
  <si>
    <t>SOLBEK</t>
  </si>
  <si>
    <t>Sen istiyor dujj ? Verecek 100💲daha 😜😜😜 #jetta #duj #otoyıkama #vw #pj https://t.co/OmH82tZ36s</t>
  </si>
  <si>
    <t>'şınayder'in top kontrolü, vesselam.'' #Solbek #WBS #WS10 #fAA</t>
  </si>
  <si>
    <t>The #VW press conference at #VWBeijingAutoshow16 can be seen at 04:00 a.m. CET here: https://t.co/Q5QJR0tPSh</t>
  </si>
  <si>
    <t>Sehen Sie morgen ab 4 Uhr MEZ die #VW Pressekonferenz auf der #VWBeijingAutoshow16 hier: https://t.co/9czqhOI7vQ</t>
  </si>
  <si>
    <t>#HannObama was das #Beast an #abgasen ausstößt... Steht #VW in nichts nach #dieselgate</t>
  </si>
  <si>
    <t>Mel Allanic</t>
  </si>
  <si>
    <t>Promenade dominicale avec papa ! #porsche #volkswagen #vw #chevrolet #vintage #polaroid #instax… https://t.co/A2VaV22fSv</t>
  </si>
  <si>
    <t>Technicienne du spectacle, ancienne soudeuse à JAAM SONO, chercheuse de talents qui cherche toujours.... En réorientation professionnelle.</t>
  </si>
  <si>
    <t>Prime Racing</t>
  </si>
  <si>
    <t>Prime Entertainment/Prime Racing // Provide bespoke activities for hire at conferences, trade shows, product launches, client events and after dinner functions</t>
  </si>
  <si>
    <t>eBay: VW T4 Transporter 2.5TDI 88BHP Camper /… https://t.co/MbTdUzIulz #vwcamper #vwbus #vw https://t.co/ZEadscsjBy https://t.co/OmxCRNDBqJ</t>
  </si>
  <si>
    <t>eBay: 2007 Volkswagen Transporter SWB 1.9 TDI… https://t.co/U6RmORJF14 #vwcamper #vwbus #vw https://t.co/ZEadscsjBy https://t.co/NKNA6gbufJ</t>
  </si>
  <si>
    <t>2003 Volkswagen New Beetle Convertible #vw #vwbug #vwclub #vwlife #vwlove #vwbeetle #beetleturkiye #convertible #g… https://t.co/tZUDvaZuq8</t>
  </si>
  <si>
    <t>#asundaycarpic #soloparking #vw #volkswagen #vwbeetle #vwkäfer #justgoshoot #outdoors #nature_greece #naturelovers … https://t.co/vopDhqQ6ZK</t>
  </si>
  <si>
    <t>Vw new Beetle / 2000 #vw #volkswagen #vwnewbeetle #vwbeetle #car #2000 #cars #carspotter #carspotting #carsofinsta… https://t.co/p0Bmkz102z</t>
  </si>
  <si>
    <t>💙 #Volkswagen #vw #vwgolf #vwgolf3 #vr6 #vr #vr6nation #porschewheels #porscheturbo #vw_support_ #vw_golf_freaks #v… https://t.co/EILA0cCXtD</t>
  </si>
  <si>
    <t>#throwback #summer #weboughtabus #france #homeiswhereyouparkit #wanderlust #vw #Volkswagen #vwbus #t3 #1986 #westf… https://t.co/XmoxQjX5Un</t>
  </si>
  <si>
    <t>Life Goals #VW #vwcamper by robert_banks1992 https://t.co/MSZR76xOi6</t>
  </si>
  <si>
    <t>RT @vwpress_en: The #VW press conference at #VWBeijingAutoshow16 can be seen at 04:00 a.m. CET here: https://t.co/Q5QJR0tPSh</t>
  </si>
  <si>
    <t>eBay: VOLKSWAGEN BEETLE 1.6L YELLOW VW BEETLE https://t.co/AQMI7hLqMG #vwbeetle #vwbug #vw https://t.co/xvfL74PTgl</t>
  </si>
  <si>
    <t>Edrem Martin B. Jaen</t>
  </si>
  <si>
    <t>Squeaky</t>
  </si>
  <si>
    <t>Top Tip: never go into a #VW dealer on a Sunday. I've lost the will to live. and VW have lost a customer.</t>
  </si>
  <si>
    <t>Guinea Pig Extraordinaire. not always right, but NEVER wrong. Expert sock sorter.</t>
  </si>
  <si>
    <t>eBay: vw t2 camper van , baywindow , patina ,… https://t.co/2hOPmPbmmu #vwcamper #vwbus #vw https://t.co/ZEadscsjBy https://t.co/aXNsALjypR</t>
  </si>
  <si>
    <t>Greenwich Greens</t>
  </si>
  <si>
    <t>Diesel crisis deepens as German brands recall 630,000 cars. #Mitsubishi #Porsche #VW #Audi #Opel #Mercedes recalled. https://t.co/fDKlbL6wYf</t>
  </si>
  <si>
    <t>News and views from Greenwich Green Party.</t>
  </si>
  <si>
    <t>Chloe Hawthorn</t>
  </si>
  <si>
    <t>This #car TLC (very rare) might mean summer... #VW https://t.co/xDjgxuykc4</t>
  </si>
  <si>
    <t>Bmouth . Portsmouth . Belfast</t>
  </si>
  <si>
    <t>#PR gal/mermaid @BriscoeFrench | Passionately curious | Elephant enthusiast | Instagrammer: https://t.co/4HKtdrajI1</t>
  </si>
  <si>
    <t>24drive4five</t>
  </si>
  <si>
    <t>Morning #car #ride #volkswagen #vw #nice #wheels https://t.co/DYKBJk83Dp</t>
  </si>
  <si>
    <t>♥#JGFinalLap #24car @jeffgordonweb always #NFB #NASCAR - many interests fast #cars #art #animals #cats #dogs♥</t>
  </si>
  <si>
    <t>Sjoemelbak gratis thuis gerepareerd en tekenen bij het kruisje. Ziezo weer een claimgeval minder. #dieselgate #VW https://t.co/mjsQiZKVQz</t>
  </si>
  <si>
    <t>WeAppU</t>
  </si>
  <si>
    <t>The Power of #VW ;-) https://t.co/WgBtISLd7a</t>
  </si>
  <si>
    <t>Klagenfurt</t>
  </si>
  <si>
    <t>WeAppU!Wir erstellen Ihre APP für iPhone &amp; Android. Unser Ausgeklügeltes Wartungstool verbindet APP, Homepage, Social Networks und vieles mehr mit einem Klick!</t>
  </si>
  <si>
    <t>https://t.co/8N8FM0k6zM - Well this is the life 🚐🚐 #vw #vwt5 #teamwhite #camper #camping … https://t.co/eYzJhrZOUU https://t.co/kMTBpkcSnH</t>
  </si>
  <si>
    <t>https://t.co/OXwuexbe7H - #tikibus #vw #dub #t4 #dublife #loweredvan #lowandslow #brownva… https://t.co/iThiZWmC0z https://t.co/wd5IHa0IxC</t>
  </si>
  <si>
    <t>Neil Franks</t>
  </si>
  <si>
    <t>RT @GreenGreenwich: Diesel crisis deepens as German brands recall 630,000 cars. #Mitsubishi #Porsche #VW #Audi #Opel #Mercedes recalled. ht…</t>
  </si>
  <si>
    <t>Mid-Worcestershire</t>
  </si>
  <si>
    <t>Green Party Representative for Mid-Worcestershire &amp; The Vale</t>
  </si>
  <si>
    <t>Sunset mk2! Follow: @vwlife__ @vwlife__ @vwlife__ @vwlife__ @vwlife__ @vwlife__ #vw #volks #volkswagen #vwlife #… https://t.co/QeswuJcnMN</t>
  </si>
  <si>
    <t>Skinheads in the rear view mirror appear closer than they are #mk1golf #beetle #mk1golfadelaide #vw #skinhead #punk… https://t.co/iMe1M27OiD</t>
  </si>
  <si>
    <t>#mk1golf #mk1 #vw by dubdean https://t.co/bDGhmmZD6j</t>
  </si>
  <si>
    <t>@team_flog in his happy place #mk1golf #mk1golfadelaide #vw #happyplace by rickydyall https://t.co/uLlxW0leeX</t>
  </si>
  <si>
    <t>Mk1s in the rear view mirror #mk1golf #mk1golfadelaide #vw #beetle @richmanadelaide by rickydyall https://t.co/gmHeFMmtJp</t>
  </si>
  <si>
    <t>Vintagosity</t>
  </si>
  <si>
    <t>It’s hard to take photos out the window of a moving car. #vw #vwcamper #classic… https://t.co/yCfQ4zL35e https://t.co/4ZBeb1bSTE</t>
  </si>
  <si>
    <t>All Things #vintage #antique</t>
  </si>
  <si>
    <t>Bryan Long</t>
  </si>
  <si>
    <t>#volkswagen #vw #type2 #camper #vwcamper #vwbus #baywindow #turquoise @ Holyrood Park https://t.co/wWDB76ZLkl</t>
  </si>
  <si>
    <t>Glasgow, Scotland</t>
  </si>
  <si>
    <t>All round day dreamer and designer.</t>
  </si>
  <si>
    <t>VW R Owners Club</t>
  </si>
  <si>
    <t>Discerning chat and info for fans of the ultimate VWs. Also tweeting about the VW Racing Cup and Le Mans 24h</t>
  </si>
  <si>
    <t>RT @dft: VW kleurt dieprood https://t.co/VuKx9p2tPf door @MarkGarrelts #VW #dieselgate</t>
  </si>
  <si>
    <t>RT @dubbusses: One day I will own a camper like this 😍 #camper #vw #vwcamper #bigbugjam #santapod #amazing #goals #birthday #lovin… https:/…</t>
  </si>
  <si>
    <t>RT @VeeDubMk1_: Sunset mk2! Follow: @vwlife__ @vwlife__ @vwlife__ @vwlife__ @vwlife__ @vwlife__ #vw #volks #volkswagen #vwlife #… https:…</t>
  </si>
  <si>
    <t>eBay: 2006 VOLKSWAGEN BEETLE V5 SPORT (HERBIE… https://t.co/xJjScgR3Jg #vwbeetle #vwbug #vw https://t.co/xvfL74PTgl https://t.co/aXewDDXklh</t>
  </si>
  <si>
    <t>instagram 夕焼けクラブ</t>
  </si>
  <si>
    <t>takataka.merryhappyさん投稿 Beetle＆夕焼け☆ #車 #vw #ビートル #beet... https://t.co/b4edVtlHOF #yuyake_club https://t.co/zfT62xIP7O</t>
  </si>
  <si>
    <t>熊本県山鹿市山奥</t>
  </si>
  <si>
    <t>instagramでの、夕焼け・夕陽だけの写真を集めてるBOTでございます。【New】夕焼けを撮りたい場所(位置情報)の、今日と明日の日の入り時間を知りたい方は、こちらからどうぞ＞http://t.co/jvht3Hytlj 中の人：@skobl_fumiya</t>
  </si>
  <si>
    <t>Volkswagen concept could preview Touareg plug-in hybrid https://t.co/o60XhABPlR #VW #AutoNews</t>
  </si>
  <si>
    <t>#vw beetle VW BEETLE OPEN TOP CONVERTIBLE TAX EXEMPT CHASSIS OFF RESTORATION VGC https://t.co/ClrubDXcxr</t>
  </si>
  <si>
    <t>eBay: VW BEETLE OPEN TOP CONVERTIBLE TAX EXEMPT CHASSIS OFF… https://t.co/ZTPvWdTm07 #vwbeetle #vwbug #vw https://t.co/xvfL74PTgl</t>
  </si>
  <si>
    <t>eBay: VW beetle convertible 1.6 Luna 56 plate https://t.co/J3f0j4arMb #vwbeetle #vwbug #vw https://t.co/xvfL74PTgl https://t.co/6Au6s9sXBc</t>
  </si>
  <si>
    <t>#VW #Selesaikan Kompensasi Kepada Pelanggan dari Skandal Dieselgate https://t.co/2NSqBrQlIb</t>
  </si>
  <si>
    <t>RT @autofreshnews: #VW #Selesaikan Kompensasi Kepada Pelanggan dari Skandal Dieselgate https://t.co/2NSqBrQlIb</t>
  </si>
  <si>
    <t>Maik Neubauer</t>
  </si>
  <si>
    <t>The new heart of the #car #industry - #batteries #lithium #tesla #mercedes #bmw #vw https://t.co/GFkL8aYkAm</t>
  </si>
  <si>
    <t>Hamburg / Germany</t>
  </si>
  <si>
    <t>Managing Director / CEO, First Utility GmbH / @Shell PrivatEnergie. @ShellPrivat. Comments about Energy, Markets &amp; Innovation. Tweets are own views.</t>
  </si>
  <si>
    <t>#techhippie Classic golf 3 gtd of my friend #golf #vw #mk3 #mk3golf #gtd #ozracing #ozgang #showstation #stillstati… https://t.co/xsMuNkwhBc</t>
  </si>
  <si>
    <t>#techhippie Mk1 #matteblack 🔝🔞 #volkswagen #vw #golf #speed #love #lifestyle #low #slow #loud #driving #mk1 #mk2 #m… https://t.co/zKQTvTTCvt</t>
  </si>
  <si>
    <t>#techhippie ABT Golf-R Mk7 400Hp 🚗💥💨🏁 #VW #VWfan #volkswagen #mk6 #mk7 #GT #Gtd #Gti #Golf #capovw #car #hastag #fo… https://t.co/pSwk9ysdLZ</t>
  </si>
  <si>
    <t>Benjamin Beutler</t>
  </si>
  <si>
    <t>Recht hat @TobiasAustrup auf @radioeins: Politik muss sich emanzipieren! #Klimawandel und schmutzige Luft sind Realität. #abgasskandal #vw</t>
  </si>
  <si>
    <t>#Journalismus #Politik #Klima #Lateinamerika #Bolivien #Berlin</t>
  </si>
  <si>
    <t>Two great #vwt5 at show shine @santapodraceway #bigbang #bigbangfestival #vw olskoolrogers… https://t.co/YI9SS4n1a5</t>
  </si>
  <si>
    <t>Nicolas Nanchen</t>
  </si>
  <si>
    <t>Suisse suiza Switzerland</t>
  </si>
  <si>
    <t>Tobias Austrup</t>
  </si>
  <si>
    <t>RT @BenjaminBeutler: Recht hat @TobiasAustrup auf @radioeins: Politik muss sich emanzipieren! #Klimawandel und schmutzige Luft sind Realitä…</t>
  </si>
  <si>
    <t>Arbeitet bei Greenpeace, liebt die Energiewende, mag kontroverse Debatten und schätzt klare Statements Polit. Referent Energie- u. Verkehrswende bei Greenpeace</t>
  </si>
  <si>
    <t>Devoning Campers</t>
  </si>
  <si>
    <t>Competition closes at midnight tonight. Enter now https://t.co/zUP4pEKQKF #devoning #campers #vw #familyholiday #holiday #devon #cornwall</t>
  </si>
  <si>
    <t>Totnes</t>
  </si>
  <si>
    <t>We are a classic camper van rental company. We have 4 beautiful classic VW camper vans each with its own distinct character</t>
  </si>
  <si>
    <t>Ramy Khodeir®</t>
  </si>
  <si>
    <t>#VW Diesel #Scandal Cost Rises To £12.7bn https://t.co/ZzGjONrPez</t>
  </si>
  <si>
    <t>Value Creating Executive Leader. #Marketing &amp; #Strategy Consultant. Interested in #Innovation &amp; #Entrepreneurship. In love w/ #Egypt. Founder of @AIM4innovation</t>
  </si>
  <si>
    <t>#vw #mk2 #golf #vagmen #used https://t.co/HWPo8EHyS1</t>
  </si>
  <si>
    <t>https://t.co/BWALNHlplm #t4tribe #logo #dessin #sketch #vw #vwvan #vwtransporter #vwt4 #v… https://t.co/AmeCI3gHkA https://t.co/yPF9GQy9mY</t>
  </si>
  <si>
    <t>Michelleliah</t>
  </si>
  <si>
    <t>🚗💨❤ #vw #polo #biglove https://t.co/HNAuRTw5ed</t>
  </si>
  <si>
    <t>- 18 - Germany/Hessen -</t>
  </si>
  <si>
    <t>VW T4 Transporter 2.5TDI SWB 88BHP Camper / Day Van: £4,750.00End Date: Sunday May-22-2016 12:01:34 BSTAd... https://t.co/tSDR3WEiZ3 #vw</t>
  </si>
  <si>
    <t>VW XL1 – Beauty or beast? by @johnwcurtis #Volkswagen #VW #motorhappy- https://t.co/hdulHtFLah</t>
  </si>
  <si>
    <t>motorhappy</t>
  </si>
  <si>
    <t>Η #VW αναβαθμίζει το pick-up #Amarok https://t.co/QiifmbkWRl https://t.co/0swuQf3ghg</t>
  </si>
  <si>
    <t>Caner</t>
  </si>
  <si>
    <t>Çorlu - Edirne</t>
  </si>
  <si>
    <t>Trakya Üniversitesi ✋ Beni takip edin, yolu biliyorum Snapchat İnstagram = caneraydn10</t>
  </si>
  <si>
    <t>Franz Hubik</t>
  </si>
  <si>
    <t>3D-Druck, Datenbrillen, Solarmodule am Dach: #VW blickt nach vorne. Und fremdelt doch mit der Zukunft. https://t.co/4t3MgeJaLJ #Handelsblatt</t>
  </si>
  <si>
    <t>Düsseldorf | Wien</t>
  </si>
  <si>
    <t>Journalist @Handelsblatt. Wiener in deutschen Landen. Berichtet über: erneuerbare Energien und die Old Economy. Kontakt: hubik@handelsblatt.com</t>
  </si>
  <si>
    <t>RT @motorhappy: VW XL1 – Beauty or beast? by @johnwcurtis #Volkswagen #VW #motorhappy- https://t.co/hdulHtFLah</t>
  </si>
  <si>
    <t>Ve temizlendik 😊 #jetta #vw #duj https://t.co/uYb4iCXpD8</t>
  </si>
  <si>
    <t>Social Events</t>
  </si>
  <si>
    <t>Loving the Campervan's @BishFoodFest @aucklandcastle #VW #BAFF16 #aucklandcastle https://t.co/856ai09hKp</t>
  </si>
  <si>
    <t>Tyne and Wear</t>
  </si>
  <si>
    <t>Looking for help to plan and organise an event? We can provide the ideas and inspiration, as well as the contacts and know how to make your special day</t>
  </si>
  <si>
    <t>Koniec wolności #nowożeńcy #vw #garbus #justmarried #legnica #igerslegnica #vwbeetle #koniecwolności by nowy92 https://t.co/dvDvLk60E0</t>
  </si>
  <si>
    <t>Lagi seneng main macro aja sih. #macrography #vw #vwbeetle #volkswagen by riskyikii https://t.co/MvlHbbO3wQ</t>
  </si>
  <si>
    <t>#instacar #fusca #volks #volkswagen #ratlook #vwlove #stance #blacklist #germancar #vwbeetle #vw #classiccar #beet… https://t.co/C2cXKAfnfG</t>
  </si>
  <si>
    <t>Mika Stop VW 1200/61-66! #volkswagen #audi #volkswagenindonesia #vw #vwindonesia #vwbeetle #vwkodok #vwcombi #vwgo… https://t.co/xj7l5gX2C5</t>
  </si>
  <si>
    <t>Arm Rest VW Beetle 1300 &amp; 1302 #volkswagen #audi #volkswagenindonesia #vw #vwindonesia #vwbeetle #vwkodok #vwcombi… https://t.co/8Cvo2j7qgX</t>
  </si>
  <si>
    <t>Ring Klakson (Side Moon)! #volkswagen #audi #volkswagenindonesia #vw #vwindonesia #vwbeetle #vwkodok #vwcombi #vwgo… https://t.co/j4sNdOfX7O</t>
  </si>
  <si>
    <t>Lampu Sein Kombi Kumis Komplit! #volkswagen #audi #volkswagenindonesia #vw #vwindonesia #vwbeetle #vwkodok #vwcomb… https://t.co/TN5l5kbFhB</t>
  </si>
  <si>
    <t>RT @F_Hubik: 3D-Druck, Datenbrillen, Solarmodule am Dach: #VW blickt nach vorne. Und fremdelt doch mit der Zukunft. https://t.co/4t3MgeJaLJ…</t>
  </si>
  <si>
    <t>Slimline #VW #T6 roof #conversion completed #campers #camperconversions #transporter - https://t.co/m48zorL90Z https://t.co/KrhGy19oh6</t>
  </si>
  <si>
    <t>#volkswagen #vw #type2 #camper #vwcamper #vwbus #baywindow #turquoise by bboldblong https://t.co/7v4zwjF5fC</t>
  </si>
  <si>
    <t>eBay: VW t4 1.9td camper https://t.co/CPl34jjl2n #vwcamper #vwbus #vw https://t.co/ZEadscsjBy https://t.co/zkc7e2mIaw</t>
  </si>
  <si>
    <t>eBay: T25 camper PROJECT T3 VW Volkswagan… https://t.co/hGUBnm7R7W #vwcamper #vwbus #vw https://t.co/ZEadscsjBy https://t.co/8hj2euS2l7</t>
  </si>
  <si>
    <t>Aida Pursanidu</t>
  </si>
  <si>
    <t>RT @Auto2day_gr: Η #VW αναβαθμίζει το pick-up #Amarok https://t.co/QiifmbkWRl https://t.co/0swuQf3ghg</t>
  </si>
  <si>
    <t>Greece</t>
  </si>
  <si>
    <t>Good Garage Group</t>
  </si>
  <si>
    <t>Know your warning lights and what they mean.. https://t.co/sSmBEkQ6Fp #WarningLight #VW https://t.co/rR02sL8INA</t>
  </si>
  <si>
    <t>Need MOT, servicing or repairs on your car? Look no further! The Good Garage Group compares garages in your area &amp; provides you with all the best quotes.</t>
  </si>
  <si>
    <t>#Volkswagen #Tuning //MD #Vw #dapper #Cambergang #StanceWork #RoyalStance https://t.co/17sH8F5eyS https://t.co/niwjCGxaZ3</t>
  </si>
  <si>
    <t>RT @beetlebug1938: #instacar #fusca #volks #volkswagen #ratlook #vwlove #stance #blacklist #germancar #vwbeetle #vw #classiccar #beet… htt…</t>
  </si>
  <si>
    <t>B13 Garage Rugby</t>
  </si>
  <si>
    <t>Family Run Business | Car Repairs, Servicing, MOTs, Diagnostics + More | Unit 3, 25 Somers Road, Rugby, CV22 7DG | 07902 140292</t>
  </si>
  <si>
    <t>eBay: VW VOLKSWAGEN CAMPER WESTFALIA… https://t.co/G0UiQQOkpd #vwbeetle #vwbug #vw https://t.co/xvfL74PTgl https://t.co/qEUKuDO9O7</t>
  </si>
  <si>
    <t>Martin Jennings</t>
  </si>
  <si>
    <t>Nifty parking today...... Just about fits!!! #vw #touareg #parking #manchester #sunday @… https://t.co/D4xw3oHuu8</t>
  </si>
  <si>
    <t>Aeroplane tickets, food, wine and family make me happy! Running,gym and fitness addict! Pharmacist, MCR UK instagram @mjjennings1987</t>
  </si>
  <si>
    <t>VF_Enterprise_Plenum</t>
  </si>
  <si>
    <t>#Volkswagen in #Hannover : #Wie #VW nach vorne blickt https://t.co/wdoJAQF0AI</t>
  </si>
  <si>
    <t>Andrew Richards</t>
  </si>
  <si>
    <t>Shropshire</t>
  </si>
  <si>
    <t>Land Rover,Discovery, Range Rover parts dealer &amp; Ex MOD surplus also gift &amp; homeware from TheNest@johnrichards, join me on main twitter account @JRs_partsonline</t>
  </si>
  <si>
    <t>Nadine Silke Bieg</t>
  </si>
  <si>
    <t>#asundaycarpic from last week visit to sunny Kiel. #Kiel #vw #vwvintage #bulli #vwbulli… https://t.co/g3V4EIh4qc</t>
  </si>
  <si>
    <t>graphic designer by heart</t>
  </si>
  <si>
    <t>TheNest@JR</t>
  </si>
  <si>
    <t>Gifts for all the family - tweets by Nessie Richards Retweeting business followers who use #nestrt - there will be fun too!</t>
  </si>
  <si>
    <t>Hans-Michael Platz</t>
  </si>
  <si>
    <t>@CDU Ist das Satire? "Ingenieurskunst war im letzten Jahrtausend" #ausGründen #BER #VW @POTUS @hannover_messe</t>
  </si>
  <si>
    <t>Biblis</t>
  </si>
  <si>
    <t>Ich bin nur verantwortlich für das was ich schreibe, nicht für das was ihr versteht. Problemlöser, Macher, Meinungsführer.</t>
  </si>
  <si>
    <t>FanCar Picture - Send me your Scirocco pictures!!! (PM Please) #VW #Volkswagen #Scirocco #Tuning https://t.co/jWCLNDHyK8</t>
  </si>
  <si>
    <t>FAROUK TACKIE</t>
  </si>
  <si>
    <t>#techsavvy #physicist #optimist #entrepreneur #muslim #techBlogger @thetruthtech ||wireless electricity||</t>
  </si>
  <si>
    <t>.Anand.</t>
  </si>
  <si>
    <t>Enfin je l'ai recup ! :3 encore plus magnifique 😍 #VW</t>
  </si>
  <si>
    <t>Ella Pugazhum Iraivanukke</t>
  </si>
  <si>
    <t>| Interface / User Experience Designer | XboxGamerTag : Powerstar21 #GardienDesÉtoiles</t>
  </si>
  <si>
    <t>RT: handelsblatt: RT F_Hubik: 3D-Druck, Datenbrillen, Solarmodule am Dach: #VW blickt nach vorne. Und fremdelt doch mit der Zukunft. …</t>
  </si>
  <si>
    <t>eBay: VW VOLKSWAGEN CAMPER WESTFALIA… https://t.co/w32t5rAZYW #vwcamper #vwbus #vw https://t.co/ZEadscsjBy https://t.co/qH5GBt8dpK</t>
  </si>
  <si>
    <t>@teleboerse_de Hmm.., Put ??? 🤔 #VW Besser Call 👍🏼</t>
  </si>
  <si>
    <t>Sergio De La Garza</t>
  </si>
  <si>
    <t>Little monsters! 😎😏 #vw #gol #nsbikes #snabb #T1 https://t.co/SMdDtKdByl</t>
  </si>
  <si>
    <t>Ciudad Satélite, Naucalpan de Juárez</t>
  </si>
  <si>
    <t>Ingeniero, Abogado, Runner, V-Bike México, Endurero, Whiskey, Tech - Serch, RH @IPAB_mx Contacto: delagarza.sergio@gmail.com</t>
  </si>
  <si>
    <t>RT @dubbusses: #volkswagen #vw #type2 #camper #vwcamper #vwbus #baywindow #turquoise by bboldblong https://t.co/7v4zwjF5fC</t>
  </si>
  <si>
    <t>#fusca #beetle #vw #aircooled #volkswagen #bug #vosvos #vocho #volks #kafer #car #vintage #escarabajo #vwbug #herbi… https://t.co/vTV38tB8Kj</t>
  </si>
  <si>
    <t>https://t.co/SnrPNEmV5p - #t4tribe #logo #dessin #sketch #vw #vwvan #vwtransporter #vwt4 … https://t.co/HIXWWJuT7w https://t.co/9JRhf5Yat2</t>
  </si>
  <si>
    <t>https://t.co/mvl8zAsA3c - #earlyedition #vw #vwtransporter #vwt5 @modifiedvans @transport… https://t.co/fcKTbIHn6N https://t.co/MQ45in8CvZ</t>
  </si>
  <si>
    <t>RT @oldcar_photo: #fusca #beetle #vw #aircooled #volkswagen #bug #vosvos #vocho #volks #kafer #car #vintage #escarabajo #vwbug #herbi… http…</t>
  </si>
  <si>
    <t>https://t.co/BjrIyiJ49m #OhSoRetro #Vw #volkswagen #vwcaddy #mk1caddy #dascaddy #mk1golf #ClassicCar #ClassicCars … https://t.co/te1o0hUPn2</t>
  </si>
  <si>
    <t>Parked up at Early Edition 💚 #mk1 #golf #mk1golf #manilagreen #porsche #fuchs #fresh #vw #vag #volkswagen #retro #o… https://t.co/u7IivtMD6O</t>
  </si>
  <si>
    <t>@magda_vtecgirl zeigt und hier sich und ihren Civic #tuning #tuningcar #tuningcars #frau #girl #felgen #vw #audi #o… https://t.co/YrN6KwogP7</t>
  </si>
  <si>
    <t>Líbí se vám noví golf R500?🙏🏻 #vw #golf #golfr500 #r500 #golf500r #golffans #volkswagen #gang_family #followforfoll… https://t.co/Zc65k8KAdN</t>
  </si>
  <si>
    <t>#WRC #RallyArgentina #VW #Latvala Латвала рассказал о причине аварии во второй день гонки https://t.co/DRsKOZVmya https://t.co/euLOt7ELRu</t>
  </si>
  <si>
    <t>Ska på loppis 🙂 #selfie #passat #tdi #vw #volkswagen #carporn #car #beautifulday @ Vaasa, Finland https://t.co/nEYiGkgK2q</t>
  </si>
  <si>
    <t>Totally Vans</t>
  </si>
  <si>
    <t>Amarok pursues premium buyers Via @Business_Van - https://t.co/w0wLA9bDnK - #Volkswagen #VW #Amarok https://t.co/Ynyo8Jgxvl</t>
  </si>
  <si>
    <t>Sendible App</t>
  </si>
  <si>
    <t>When it comes to Commercial Vehicles...... We tick all the right boxes!</t>
  </si>
  <si>
    <t>Johnny dayter jr</t>
  </si>
  <si>
    <t>RT @CarGuyTX: 2016 Volkswagen Passat SE:- plenty of technology to go around https://t.co/chiNt339rw via @examinercom #VW #Passat #Volkswage…</t>
  </si>
  <si>
    <t>red oak, tx  USA</t>
  </si>
  <si>
    <t>#paintingtheworld #coatingspecialist SUPERIOR PAINTING COMPANY...... south philly born and raised</t>
  </si>
  <si>
    <t>Volkswagen 😍 #car #carporn #volkswagen #vw #tdi #passat #loveit @ Vaasa, Finland https://t.co/54jeotYi6s</t>
  </si>
  <si>
    <t>Dominique Vanpée</t>
  </si>
  <si>
    <t>#dieselgate @VW #secret #VW #Volkswagen #geheim https://t.co/yRZPxjsqGN</t>
  </si>
  <si>
    <t>Leuven Belgium</t>
  </si>
  <si>
    <t>Own opinions/RT = not endors ? lib sc info KM IPR data doc ref mngt publ content context ICT intell archives media learn wisdom strat thesaurus KO curiositarian</t>
  </si>
  <si>
    <t>eBay: vw t2 camper https://t.co/JbYT5wlVit #vwcamper #vwbus #vw https://t.co/ZEadscsjBy https://t.co/ubfNJiXAfd</t>
  </si>
  <si>
    <t>Abeer Raja</t>
  </si>
  <si>
    <t>#VW more than doubles emissions bill to €16.2bn https://t.co/e3MsBsCNMq</t>
  </si>
  <si>
    <t>Lodz Province, Poland/ IHK</t>
  </si>
  <si>
    <t>A #Kashmiri.Loves: #Chelsea, #RMFC, Food, Business Happenings &amp; Nature.Wanted To Be A Journalist-MBA By Mistake &amp; A Recruiter By Choice - RTs Interest Me</t>
  </si>
  <si>
    <t>VW Plug-In HYBRID SUV with 375bhp teased for Beijing Motor Show https://t.co/LKnYISzFGQ #VW #AutoNews</t>
  </si>
  <si>
    <t>Volkswagen Golf vs. Ford Focus: Compare Cars https://t.co/ylbxHzBZl1 #VW #AutoNews</t>
  </si>
  <si>
    <t>Obama and Merkel to avoid VW stand at Hanover trade fair https://t.co/GKG93exKA3 #VW #AutoNews</t>
  </si>
  <si>
    <t>#vw beetle VW VOLKSWAGEN CAMPER WESTFALIA RESTORATION CLASSIC BEETLE HISTORIC https://t.co/IJqEhKr5vV</t>
  </si>
  <si>
    <t>The power of a 1.4L TSI turbocharged engine in the 2016 #VW #Jetta is just a touch away. #PressStart. https://t.co/ZZwiiG7goc</t>
  </si>
  <si>
    <t>Nuevos SUV de Volkswagen https://t.co/s05BoZD0Gg … #autos #wallpaper #VW https://t.co/vawpEypcB5</t>
  </si>
  <si>
    <t>Trillian</t>
  </si>
  <si>
    <t>szilágyi sándor</t>
  </si>
  <si>
    <t>#vw https://t.co/CH30sbPSE8</t>
  </si>
  <si>
    <t xml:space="preserve">hungary </t>
  </si>
  <si>
    <t>alexander nuñez bren</t>
  </si>
  <si>
    <t xml:space="preserve">Cartago </t>
  </si>
  <si>
    <t>amo a JESUS a mi hija mi Familia mi querido puerto LIMON y mi Costa Rica.</t>
  </si>
  <si>
    <t>Xbox Österreich</t>
  </si>
  <si>
    <t>Unser Freund @protogane hat aus seinem #Forza6 Design Realität gemacht 👍🏼💚 #xbox #vw #golf… https://t.co/rtu2wyQ2Ax https://t.co/wMWinh1hdd</t>
  </si>
  <si>
    <t>Offizieller Twitterkanal von Xbox Österreich (Impressum: http://t.co/5gDxFGLGdE)</t>
  </si>
  <si>
    <t>eBay: 2005(05)reg Volkswagen VW Beetle 1.6… https://t.co/V6I7gmiapl #vwbeetle #vwbug #vw https://t.co/xvfL74PTgl https://t.co/BuI3zMCSrL</t>
  </si>
  <si>
    <t>BraulioGamer™</t>
  </si>
  <si>
    <t>RT @xboxat: Unser Freund @protogane hat aus seinem #Forza6 Design Realität gemacht 👍🏼💚 #xbox #vw #golf… https://t.co/rtu2wyQ2Ax https://t.c…</t>
  </si>
  <si>
    <t>Chicoloapan, México</t>
  </si>
  <si>
    <t>Videogames live... y tecnólogo total.</t>
  </si>
  <si>
    <t>Shropshire U.K.</t>
  </si>
  <si>
    <t>Land Rover Discovery Range Rover Parts Ex MOD Parts &amp; General surplus. Owner of The Nest @ John Richards gifts, home &amp; garden products #Bizitalk founder member</t>
  </si>
  <si>
    <t>Oscar _Patillo</t>
  </si>
  <si>
    <t>TweetsMonGolf</t>
  </si>
  <si>
    <t>Sometimes here. Making some thing stunning. Teas slut. I've got a canine. Love to improve my Handicap at Golf.</t>
  </si>
  <si>
    <t>Hartmut Schulz</t>
  </si>
  <si>
    <t>Eberswalde und Berlin</t>
  </si>
  <si>
    <t>Ich möchte mich einfach zu Wort melden. Bitte unauffällig und auffällig folgen!!!</t>
  </si>
  <si>
    <t>Keith Parkins</t>
  </si>
  <si>
    <t>@AirportWatch VW lobbied EU, EU pushed diesel. How many killed as a result? #VW #diesel #EU #pollution #Brexit</t>
  </si>
  <si>
    <t>near Guildford</t>
  </si>
  <si>
    <t>Writer, thinker, deep ecologist, social commentator, activist, enjoys music, literature and good food. https://t.co/78qPfpSDim</t>
  </si>
  <si>
    <t>eBay: VW Beetle, Flat Four, Lightning Bug… https://t.co/yoxWMjtPGC #vwbeetle #vwbug #vw https://t.co/xvfL74PTgl https://t.co/mPHkCqCUq9</t>
  </si>
  <si>
    <t>BoyWonderElroyJetson</t>
  </si>
  <si>
    <t>Futuristic Inventor Of FlyingBinkyBots S&amp;BCPURobot's+Flying MotorcycleBikes+Mo-pads-Scooters+3&amp;4Wheelers+FlyingDisk HoveringBoard's+@thesaddleguy1 412 967-0124</t>
  </si>
  <si>
    <t>Karoliina</t>
  </si>
  <si>
    <t>Nooo....Sorry #VW but now it's Hayden's turn!! https://t.co/KBtktccdWc</t>
  </si>
  <si>
    <t>I love all kind of music, fan of POTF. I love walks in the woods, candel lights. Atheist. Love motorsports. NHL. Photography. Astrology. Tweets finnish/english.</t>
  </si>
  <si>
    <t>XclusivModz</t>
  </si>
  <si>
    <t>Citi Golf Seats redone in OEM BMW Leather 󾓶󾓶#vw #bmw #xclusivmodz</t>
  </si>
  <si>
    <t xml:space="preserve">Pretoria </t>
  </si>
  <si>
    <t>Owner at XclusivModz Group of Companies Simplicity is the Ultimate Sophistication</t>
  </si>
  <si>
    <t>Edward Niedermeyer: #VW's #diesel crisis may lead to a climate-change threat https://t.co/rxfShDhi39 via @BV #Volkswagen</t>
  </si>
  <si>
    <t>SEIYA</t>
  </si>
  <si>
    <t>ワーゲンワゴン #vw #volkswagen #nice #おしゃれ #ワーゲン #love #eat #food #car #wagon #eathday #2016 https://t.co/tKXutBi1h5</t>
  </si>
  <si>
    <t>JPN</t>
  </si>
  <si>
    <t>Designer / Painter. I love TAP DANCE!!! Yeahh!!!</t>
  </si>
  <si>
    <t>Teresa Ribera</t>
  </si>
  <si>
    <t>Mal rollo, no? Habrá que espabilr! EE UU 5 - Europa 0; por @jitorreblanca #emisiones #VW #Diesel https://t.co/XqfxIWQUD7 vía @el_pais</t>
  </si>
  <si>
    <t>Madrid y Paris. No sólo.</t>
  </si>
  <si>
    <t>#VWGroupCEO Müller: "Otomobilin gelecegi, %100 Elektrikli, Otonom ve Bağlantılı araçlar olacak" #VW #PekinAutoShow https://t.co/xwkMTx4C1f</t>
  </si>
  <si>
    <t>Abel Losada</t>
  </si>
  <si>
    <t>RT @Teresaribera: Mal rollo, no? Habrá que espabilr! EE UU 5 - Europa 0; por @jitorreblanca #emisiones #VW #Diesel https://t.co/XqfxIWQUD7…</t>
  </si>
  <si>
    <t>Vigo, Galicia, España</t>
  </si>
  <si>
    <t>Deputado do Partido Socialista no Parlamento de Galicia. Profesor de Historia Económica na Universidade de Vigo</t>
  </si>
  <si>
    <t>eBay: Blue VW beetle 2004 1.6l, low mileage https://t.co/ty5vYmUmHx #vwbeetle #vwbug #vw https://t.co/xvfL74PTgl https://t.co/rm2jKOpnjY</t>
  </si>
  <si>
    <t>Eduardo Perero</t>
  </si>
  <si>
    <t>Vicepresidente de @acambientales y embarcado en el proyecto de @info_Conama Aprendiendo en el camino, sabiendo que la verdad es una tierra sin senderos</t>
  </si>
  <si>
    <t>Vorabend Beijing Motor Show: #VW feiert Doppelpremiere #Phideon + #Magotan, beides neue Modelle für den Markt China https://t.co/Fdi1XbEW5P</t>
  </si>
  <si>
    <t>We are here. Just beginning . Bring em out #vw #audi #bmw https://t.co/xm1DfxZV5I</t>
  </si>
  <si>
    <t>Marcos Ale Palacio</t>
  </si>
  <si>
    <t>Nací el 19 de octubre de 1994 en la bellisima Ciudad de Córdoba… Estudiante de Lic. en Comunicación Social... Locutor de #HastaLasManos en Fm Luxor 91.1</t>
  </si>
  <si>
    <t>Carina Kontio</t>
  </si>
  <si>
    <t>#Volkswagen in #Hannover : #Wie #VW nach vorne blickt https://t.co/ZMH1zACnyG #</t>
  </si>
  <si>
    <t>Große Veränderungen fangen klein an. Redakteurin im Unternehmensressort Handelsblatt https://t.co/bGbEaxlSRu</t>
  </si>
  <si>
    <t>Oliver Mueller</t>
  </si>
  <si>
    <t>Art show in Wolfsburg. "This exhibition will get attention, given our situation" says #VW chair pötsch #dieselgate https://t.co/NEoQFEhRsm</t>
  </si>
  <si>
    <t>Corporate #communications consultant @FTIConsulting, previously journalist, all views are personal</t>
  </si>
  <si>
    <t>Beau Barbour</t>
  </si>
  <si>
    <t>Company Accuses #VW of Infringing on its #Hybrid #Patents #Interesting https://t.co/6ohHqadCuR https://t.co/tJxQC0I7sF</t>
  </si>
  <si>
    <t>Haku Discovery</t>
  </si>
  <si>
    <t>#founder #collaborator #futurist #geek #foodie #evolver #LosAngelesLocal</t>
  </si>
  <si>
    <t>Bug fever 😍🙌🏼👊🏼 #VW #volkswagen #aircooled #vwbeetle #classicbeetle by aaron_thorn3yy_ https://t.co/sqXLkGl1D7</t>
  </si>
  <si>
    <t>This is probably the most fun I'll have all day. #VW #vocho #vwbug #vwbeetle #volkswagen #vwlove #vwvert #vwconvert… https://t.co/UGVvzpDg92</t>
  </si>
  <si>
    <t>#vw #vwbug #vwbeetle #beetle #bug #classicvw #classiccar #classiccarshow #wakefield #westyorkshire #oldschoolvw by … https://t.co/RHm80u9RsC</t>
  </si>
  <si>
    <t>Pre-event Beijing Motor Show: #VW with a double premiere - #Phideon + #Magotan, both for the Chinese market. https://t.co/EkoF0qq23y</t>
  </si>
  <si>
    <t>#vw #volks #volksworld #vwporn #vwmafia #vwcamper #vwfreak #vwcult #followme #beetle #bug #vwforlife #fusca #vwfu… https://t.co/8YKdLeiQTp</t>
  </si>
  <si>
    <t>#splitty #splitscreen #oldschoolvw #vw #vwbus #vwcamper #wakefield #westyorkshire by ryanfoster21 https://t.co/9bx1IMxI4N</t>
  </si>
  <si>
    <t>#vwbus #vwcamper #vwt5 #sweetbus #vanlife #wakefield #westyorkshire #classiccarshow #vw @walkingdeadcustoms by ryan… https://t.co/VXI6bFrQAj</t>
  </si>
  <si>
    <t>I #love this #vwcamper 🚌 #vw #London #yellowbus by elerifrances7 https://t.co/v7PHAABCQS</t>
  </si>
  <si>
    <t>greg lacle</t>
  </si>
  <si>
    <t>RT @vwgroup_en: Pre-event Beijing Motor Show: #VW with a double premiere - #Phideon + #Magotan, both for the Chinese market. https://t.co/E…</t>
  </si>
  <si>
    <t>Neurosurgeon, Kyokushin fighter , Pilot</t>
  </si>
  <si>
    <t>Tandy Li</t>
  </si>
  <si>
    <t>A student</t>
  </si>
  <si>
    <t>RT @dubbusses: #vw #volks #volksworld #vwporn #vwmafia #vwcamper #vwfreak #vwcult #followme #beetle #bug #vwforlife #fusca #vwfu… https:/…</t>
  </si>
  <si>
    <t>eBay: vw t5 camper van https://t.co/LFMO1tMwUl #vwcamper #vwbus #vw https://t.co/ZEadscsjBy</t>
  </si>
  <si>
    <t>なす</t>
  </si>
  <si>
    <t>RT @beetlebug1938: カメラ女子(≧∇≦*)に撮ってもらってるとこを撮る📸 #newbeetle #vw #vwbeetle #愛車 #好き#車好き #いいね #可愛い #かわいい #かっこいい #エアサス#低い #着地 #work#キャンディ#グ… htt…</t>
  </si>
  <si>
    <t>22才 VW Type1Mexico 埼玉 地元諏訪郡 空冷VW好きな方是非(＾ω＾) StanceとかUS系とか好きです</t>
  </si>
  <si>
    <t>☆♡☆Ray☆♡☆</t>
  </si>
  <si>
    <t>My Little Angel is Watching Over Me</t>
  </si>
  <si>
    <t>Itzokazbocrafts</t>
  </si>
  <si>
    <t>BBQ Apron - Kitchen apron - Denim apron - Men's apron - Women's apron - Cooking a… https://t.co/fUb8aqXoPv #Etsy #Vw https://t.co/hcjNHonKSU</t>
  </si>
  <si>
    <t>twitter-fu</t>
  </si>
  <si>
    <t>Whittlesey, England</t>
  </si>
  <si>
    <t>hello I'm Karen creator of itzo kazbo, a range of handcrafted items all designed &amp; created by me</t>
  </si>
  <si>
    <t>Wirral Marketing</t>
  </si>
  <si>
    <t>RT @modautomotive: #vw m reg convertible #forsale £995 https://t.co/eKPNQ82Ckn</t>
  </si>
  <si>
    <t>#Wirral #Chester #Liverpool</t>
  </si>
  <si>
    <t>Social Media Marketing, Promotional Characters &amp; Print/Design. Twitter only works if you share content! We tweet about your #Wirral networking events too!</t>
  </si>
  <si>
    <t>Sayonara #Porsche #VW #Mercedes #TechRules #GT96 hybrid supercar from #China https://t.co/51wFWdaIMB @zoltanspox https://t.co/KnMGSE8Qg0</t>
  </si>
  <si>
    <t>eBay: Vw lt 32 mwb high roof 109, Camper van,… https://t.co/LeT47et6B9 #vwcamper #vwbus #vw https://t.co/ZEadscsjBy https://t.co/Lyt0C4rpAd</t>
  </si>
  <si>
    <t>@DerRotschopf der #bnd hat #VW software benutzt, so fing das unglück an</t>
  </si>
  <si>
    <t>Hanging with themattsteele at the Scouts day out. #Volkswagen #vw #vwt25 #vwt3 #vanagon #westy… https://t.co/H64BFgUJTL</t>
  </si>
  <si>
    <t>Dita took a day off today to meet up with some of her #VW #campervan friends https://t.co/aUWZcwwekY</t>
  </si>
  <si>
    <t>u-rosenhagen</t>
  </si>
  <si>
    <t>sozialer Tick Märchenliebhaberin Leseratte Natur - und Kulturliebhaberin</t>
  </si>
  <si>
    <t>Everyone always wants a picture with Lottie! #VW #Campervan #BayWindow #wedding #Yorkshire https://t.co/tF2yLZJxxi</t>
  </si>
  <si>
    <t>James Welham</t>
  </si>
  <si>
    <t>I photograph and video things. MK1 VW Owner and enthusiast.</t>
  </si>
  <si>
    <t>Wenn man das immer lesen muss, dass auswärtige mehr wissen, ob #VW uns in der Zukunft sponsert oder nicht. Grandios!</t>
  </si>
  <si>
    <t>Wobhopper, #immernurdu, Transfernews Ticker - Wolfsburg Fan - Saints Supporter, Barista</t>
  </si>
  <si>
    <t>Sergio Mari Jr.</t>
  </si>
  <si>
    <t>Zerou #fusca #vw #aircooled 00000 https://t.co/R9CMCsCObi</t>
  </si>
  <si>
    <t>Londrina, Paraná, Brasil</t>
  </si>
  <si>
    <t>Relações Públicas, Publicitário, Gerente de Projetos da Cedilha Comunicação Digital e professor universitário. Queria ser baterista, mas não deu tempo.</t>
  </si>
  <si>
    <t>eBay: VW T5 CAMPER VAN, MOTOR HOME, FULL POP… https://t.co/jRmbttvyte #vwcamper #vwbus #vw https://t.co/ZEadscsjBy https://t.co/KKlHrSx88b</t>
  </si>
  <si>
    <t>eBay: Volkswagen Beetle 1.6 S Convertible /… https://t.co/J7gCMUjsEd #vwbeetle #vwbug #vw https://t.co/xvfL74PTgl https://t.co/uWSFGgzZNy</t>
  </si>
  <si>
    <t>eBay: 2008 58 Volkswagen Beetle Beige 1.6 Luna… https://t.co/B2SZ4OC2km #vwbeetle #vwbug #vw https://t.co/xvfL74PTgl https://t.co/6uOq7GVZ35</t>
  </si>
  <si>
    <t>KB #kombilovers #kombiantiga #kombifurgao #aircooled #ratlook #hoodride #loucosporkombi #vw https://t.co/Aro8LzUBtr</t>
  </si>
  <si>
    <t>Cory Barrios</t>
  </si>
  <si>
    <t>#madera #vw show bound! #vwbug #carshow #dublife #vwmafia https://t.co/kxkvqHoCQk</t>
  </si>
  <si>
    <t>Castro Valley, Ca</t>
  </si>
  <si>
    <t>Pro &amp; Home Haunter. Love designing haunted houses...huge movie and toy memorabilia collector. Id love to act in a horror fim! instagram: toyhaunter</t>
  </si>
  <si>
    <t>Tag the owner - #earlyedition #ed38 #edition38 #ee16 #mk1golf #stance #vw #volkswagen #slammed #bbs #earlyedition16… https://t.co/w7ay7NJPLe</t>
  </si>
  <si>
    <t>Great day at #earlyedition with @tom_.drivxr #vw #northampton #ocdclean #g60 #rallye #golf #mk1golf #bbs #rotiform … https://t.co/WOfoZJsguO</t>
  </si>
  <si>
    <t>RT @andreascseh: Sayonara #Porsche #VW #Mercedes #TechRules #GT96 hybrid supercar from #China https://t.co/51wFWdaIMB @zoltanspox https://t…</t>
  </si>
  <si>
    <t>brl arl (Birol Aral)</t>
  </si>
  <si>
    <t>#ruhumuzdavar #tırmanma #race #racecar #hillclimbing #securitycar #redbull #vw #vwlove #vwturk… https://t.co/0tEld9SLJW</t>
  </si>
  <si>
    <t xml:space="preserve">Türkiye </t>
  </si>
  <si>
    <t>Ben bir küçük cezveyim, köşe bucak gezmeyim...</t>
  </si>
  <si>
    <t>VW Drag Racing Club</t>
  </si>
  <si>
    <t>Paul Herbert Big Bang PB 11.59@117mph plus a 1.59 60ft #VWDRC #HerbiesAutos #Reemracing #corrado #vr6 #vw... https://t.co/LWFLLWX5eY</t>
  </si>
  <si>
    <t>The home of Volkswagen drag racing in the UK, some of the quickest and fastest VW's in europe and one of the biggest one make drag racing clubs in the WORLD!</t>
  </si>
  <si>
    <t>genenano</t>
  </si>
  <si>
    <t xml:space="preserve"> +++ #vw kaputt - bitte bedanken sie heute persönlich bei #obama und #merkel für soviel wohlstand. #cdu #ffn #ndr #hannover #csu #ard #rtl</t>
  </si>
  <si>
    <t>promoting peace in the world from Germany. looking for people, who are interested to develop a new model for peaceful world.</t>
  </si>
  <si>
    <t>Carl Goldsmith Big Bang PB 10.86 @ 133mph #VWDRC #vw #podstagram #20vt #moredoor https://t.co/ouyLx6EAOj</t>
  </si>
  <si>
    <t>Iraundi, S.A.</t>
  </si>
  <si>
    <t>Bergara - Spain</t>
  </si>
  <si>
    <t>Special bearings, slewing bearings and cross rollers. Twitter oficial de Iraundi, S.A.. - http://t.co/uRNZ1Byvoo</t>
  </si>
  <si>
    <t>aavecj</t>
  </si>
  <si>
    <t>「DETONATOR」着々と💨 #kennermask #kenner #bug #AJCOLLECTABLETOYS #VW… https://t.co/p9SAXMCDWj</t>
  </si>
  <si>
    <t>趣味はおもちゃコレクションにおもちゃ市場価格調査（笑） 広く浅く、そして節操のないおもちゃ好きです。えぇ。 そんなおもちゃを整理するもかたずかない、そんなブログやってます（汗） http://t.co/6IOdWdUgxB</t>
  </si>
  <si>
    <t>eBay: VOLKSWAGEN BEETLE 1300,1972 (H REG)… https://t.co/3vGrNzSW0O #vwbeetle #vwbug #vw https://t.co/xvfL74PTgl https://t.co/x86rZqluC8</t>
  </si>
  <si>
    <t>eBay: 2008 08 Volkswagen Beetle Beige 1.6 Luna… https://t.co/OrGG04TnZn #vwbeetle #vwbug #vw https://t.co/xvfL74PTgl https://t.co/KzM16Roh1G</t>
  </si>
  <si>
    <t>eBay: 2003 Volkswagen Beetle 1.6 2dr… https://t.co/xMvYZ0SDut #vwbeetle #vwbug #vw https://t.co/xvfL74PTgl https://t.co/djtLFiOmfK</t>
  </si>
  <si>
    <t>To Gurgaon #EveningDrive #VW #Red #Polo #Sunset #PhonePhotography #ShotOniPhone6 #iPhone6 … https://t.co/K5PBsdtOa4 https://t.co/sALAN1qHDu</t>
  </si>
  <si>
    <t>Rob Richardson</t>
  </si>
  <si>
    <t>RT @vintagevwdita: Dita took a day off today to meet up with some of her #VW #campervan friends https://t.co/aUWZcwwekY</t>
  </si>
  <si>
    <t>Lancashire</t>
  </si>
  <si>
    <t>Fab #VW #Campervan for Hire for #weddings, #prom's and marketing #events, based in #Manchester, #Liverpool, #Stockport, #Blackburn and #Blackpool</t>
  </si>
  <si>
    <t>FußballTheke</t>
  </si>
  <si>
    <t>Scheint als sei der #vflwolfsburg auch in den #abgasskandal von #vw verwickelt ... #mittelmaß</t>
  </si>
  <si>
    <t>eBay: VW CAMPER. MOTORHOME. DAY-VAN LOOKALIKE.… https://t.co/H2bNdpDLVp #vwcamper #vwbus #vw https://t.co/ZEadscsjBy https://t.co/qcz0ry124F</t>
  </si>
  <si>
    <t>Andreas Witte</t>
  </si>
  <si>
    <t>So ein Baumark-Mofa ist übrigens praktischer wie ein #Diesel-Kombi von #VW... Für Euch getestet. https://t.co/H1yVJuuxX5</t>
  </si>
  <si>
    <t>LARSON BARACKS, KT, FRANKONIA</t>
  </si>
  <si>
    <t>Arbeite daran #Photovoltaik effektiver und zuverlässiger zu machen!</t>
  </si>
  <si>
    <t>Alongside #VW also #Bentley, #Skoda and #Porsche presented new models at the pre-event Beijing Motor Show. https://t.co/kw5wLyN16P</t>
  </si>
  <si>
    <t>Neben #VW präsentierten auch #Bentley, #Skoda und #Porsche neue Modelle bei dem Vorabend zur Beijing Motor Show https://t.co/3pK5ap3Dsx</t>
  </si>
  <si>
    <t>#fanaticosporantigos #beetle #volkswagen #fusca #vocho #vw #vintagecars #oldcars #cars #carros… https://t.co/GdLdOAWzee</t>
  </si>
  <si>
    <t>RT @jsragnotti46: #ClassicCar vs #NewCar #Bmw #VW #Stance #AirSuspension #FatAndLow #FastAndNice #InstaCar @ Parque Oeste http://t.co/xHpvp…</t>
  </si>
  <si>
    <t>Tayfun</t>
  </si>
  <si>
    <t>RT @EHcars: #VWGroupCEO Müller: "Otomobilin gelecegi, %100 Elektrikli, Otonom ve Bağlantılı araçlar olacak" #VW #PekinAutoShow https://t.c…</t>
  </si>
  <si>
    <t>Ankara,Türkiye</t>
  </si>
  <si>
    <t>Teknik Analiz,Kitaplar,Finans,Enerji,Digital Hayat,Pazarlama,Kişisel Gelişim. RT görüşlere katıldığım manasına gelmez.</t>
  </si>
  <si>
    <t>RT @Rodrigocana: KB #kombilovers #kombiantiga #kombifurgao #aircooled #ratlook #hoodride #loucosporkombi #vw https://t.co/Aro8LzUBtr</t>
  </si>
  <si>
    <t>RT @vwgroup_en: Alongside #VW also #Bentley, #Skoda and #Porsche presented new models at the pre-event Beijing Motor Show. https://t.co/kw5…</t>
  </si>
  <si>
    <t>Aditya Singh</t>
  </si>
  <si>
    <t>eBay: VW T25 camper Autohomes Kameo, Fiamma… https://t.co/YFTwqB01pd #vwcamper #vwbus #vw https://t.co/ZEadscsjBy https://t.co/BEt9HmOPse</t>
  </si>
  <si>
    <t>Gabriele</t>
  </si>
  <si>
    <t>Caro @guidomeda ma questa #VW nella foto tra le pagine di #Quattroruote, non è mica il tuo #mitico #maggiolino?! ;) https://t.co/VZqlXLtWmH</t>
  </si>
  <si>
    <t>..Make Your Choice..</t>
  </si>
  <si>
    <t>dileep reddy</t>
  </si>
  <si>
    <t>Volkswagen #volkswagen #vw #vintage #1954 #volkswagentempo #tempo #volks #volkswagenindia… https://t.co/kj35ijoQ4t</t>
  </si>
  <si>
    <t>pune maharastra</t>
  </si>
  <si>
    <t>Good looks and a seriously impressive driving experience. #VW #Passat https://t.co/5IXD1lugG9</t>
  </si>
  <si>
    <t>Happening Tomorrow. The #VW-AutoChina2016 showcasing the new improved #SUV with an elegant sporty appearance. https://t.co/gFb5NawKCr</t>
  </si>
  <si>
    <t>Steve Mohr #Mittzy</t>
  </si>
  <si>
    <t>#vw #A7 #golf meinwhip #redflapgang #vwmotorsport https://t.co/S5WkdnUwLP</t>
  </si>
  <si>
    <t>Elmira,ON</t>
  </si>
  <si>
    <t>Audi Tech,Construction Engineer, Pro Photographer,MX rider, Media and promotions...music and brand promoting ....I'll even shoot your wedding pix....</t>
  </si>
  <si>
    <t>だいち</t>
  </si>
  <si>
    <t>RT @beetlebug1938: Bug fever 😍🙌🏼👊🏼 #VW #volkswagen #aircooled #vwbeetle #classicbeetle by aaron_thorn3yy_ https://t.co/sqXLkGl1D7</t>
  </si>
  <si>
    <t>七転び八起き</t>
  </si>
  <si>
    <t>Steve Miller</t>
  </si>
  <si>
    <t>Kendrick and Buddy chilling in the bus at the 2016 No Class Show in Siloam Springs, Arkansas this weekend. #VW https://t.co/ZDOcEP1sw2</t>
  </si>
  <si>
    <t>Joplin,  MO</t>
  </si>
  <si>
    <t>Dass es nach Betrug durch #VW #Boni gibt - aber keine Entschädigung für Kunden in D das ist der Skandal #dieselgate https://t.co/v80X0frc60</t>
  </si>
  <si>
    <t>かける</t>
  </si>
  <si>
    <t>授業中の暇つぶし #wnl #low #vw https://t.co/3bBpMswRor</t>
  </si>
  <si>
    <t>にっぽん</t>
  </si>
  <si>
    <t>skate! skate! skate! ゆり!</t>
  </si>
  <si>
    <t>Karl Rennison</t>
  </si>
  <si>
    <t>Super clean #vw mk1 #golf 👌 #silcoates car show https://t.co/ATd3aqvlid</t>
  </si>
  <si>
    <t>Leeds, England</t>
  </si>
  <si>
    <t>#LUFC #VR46 #motogp #wsbk #bsb #TT #aircooled #vw #campervan #dubs #tattoos #beard #running #cycling #marathontraining #snapchat karlosleeds</t>
  </si>
  <si>
    <t>FanCar Picture - Send me your Scirocco pictures!!! (PM Please) #VW #Volkswagen #Scirocco #Tuning https://t.co/ftn2hxcsSy</t>
  </si>
  <si>
    <t>Le #vocho du #VieuxPort de #Marseille #vwbeetle #vwclassic #coccinelle #beetle #vw by sinaloasurseine https://t.co/9nZ15oMRvm</t>
  </si>
  <si>
    <t>Si bangkong pulang dari bangkok 😜 #vw #volkswagen #pekalongan #vwkita #vwbeetle #vcp #pimpmyride by hadimarz https://t.co/BovPxiwCC1</t>
  </si>
  <si>
    <t>Happy sunday 🤓 #vw #vw67 #vwbug #vosvos #vwbeetle #beetle1500 #beetle #fusca #vw1500 by canoktayheper https://t.co/afLJYs3PTL</t>
  </si>
  <si>
    <t>I am a lucky boy. All I need is a little more spare time to drive them. #vw #volkswagen #volksworld #vwbug #vwbus #… https://t.co/BGqfIeSlrK</t>
  </si>
  <si>
    <t>#madera bound! #vw #vwbug #vwlife #vwmafia #patadeperro #carshow @ Highway 5 https://t.co/mjCua30stL</t>
  </si>
  <si>
    <t>Paul Pollinger</t>
  </si>
  <si>
    <t>Der größere #Skandal ist, dass #VW mit staatlichen Mitteln weiter gestützt wird. #zumkopfschuetteln @faznet https://t.co/GlNdUNX6mm</t>
  </si>
  <si>
    <t>Stay away from your potential! - Dylan Moran | PR | Kommunikation | FreiVon. | Die Vetzgerei | mfm</t>
  </si>
  <si>
    <t>Westy Man</t>
  </si>
  <si>
    <t>Leuke vondst voor busjesliefhebbers: zoals vw-bulli.de van #VW, komt #Mercedes nu met https://t.co/bnFYlYIhKA! https://t.co/n6jRcndpKs</t>
  </si>
  <si>
    <t>Alles over kamperen met de compacte #campers van #Westfalia en #Volkswagen! #VW and #Westy pics and stories (in Dutch). Facebook: http://t.co/auKEoK5YP5</t>
  </si>
  <si>
    <t>Walkability</t>
  </si>
  <si>
    <t>Your City</t>
  </si>
  <si>
    <t>Promoting #walkability. If people can #walk safely then they don't need personal #vehicles for shorter distances.</t>
  </si>
  <si>
    <t>#vintagerun #vwcamper #1973 #princess #makingmemories #vw by xsheenadx https://t.co/H5N0HO16vO</t>
  </si>
  <si>
    <t>Single seat base sub housing. Made to order. Contact for more info. #vw #vwt #vwt5 #vwt4 #vwt6 #vwtransporter #vwb… https://t.co/arkak7gDou</t>
  </si>
  <si>
    <t>Call to Action</t>
  </si>
  <si>
    <t>RT @DenbyCampervans: Slimline #VW #T6 roof #conversion completed #campers #camperconversions #transporter - https://t.co/m48zorL90Z https:/…</t>
  </si>
  <si>
    <t>#CTA Maximize your website by having goals in mind. A target for every visitor.</t>
  </si>
  <si>
    <t>Marc Digruber</t>
  </si>
  <si>
    <t>Heute wurde der neue VW Tiguan beim Autohaus Pruckner Wieselburg,Scheibbs, Randegg in Randegg vorgestellt!! #vw #tiguan #autohauspruckner</t>
  </si>
  <si>
    <t>isuzu bighorn</t>
  </si>
  <si>
    <t>RT @beetlebug1938: Le #vocho du #VieuxPort de #Marseille #vwbeetle #vwclassic #coccinelle #beetle #vw by sinaloasurseine https://t.co/9nZ1…</t>
  </si>
  <si>
    <t>Carlisle</t>
  </si>
  <si>
    <t>Supplier of the best used car parts on the internet 4x4 specialist. Mk2 trooper enthusiast. We also supply used parts for all makes &amp; models inc classics</t>
  </si>
  <si>
    <t>Janelle</t>
  </si>
  <si>
    <t>Vintage vibes. #blackandwhite #vw @ Historic Beacon Hill https://t.co/82J5VzxuWY</t>
  </si>
  <si>
    <t>bostonian with sodak roots and california spirit. emergency medicine workaholic. fashionista. binge runner. yogi. roscoe's dog-mom.</t>
  </si>
  <si>
    <t>RT @beetlebug1938: I am a lucky boy. All I need is a little more spare time to drive them. #vw #volkswagen #volksworld #vwbug #vwbus #… htt…</t>
  </si>
  <si>
    <t>T.Wolff</t>
  </si>
  <si>
    <t>This pic is an example of how you make a lowered car not look lowered. I still like it. #vw… https://t.co/aDs14kefuc</t>
  </si>
  <si>
    <t>Summerville SC</t>
  </si>
  <si>
    <t>Classical/Professional Cow Bell Player,Classic VW guy. Fan of music, Boston Terriers,clever humor. I have very low tolerance for stupid bullshit. Stern Rules!</t>
  </si>
  <si>
    <t>RT @beetlebug1938: Happy sunday 🤓 #vw #vw67 #vwbug #vosvos #vwbeetle #beetle1500 #beetle #fusca #vw1500 by canoktayheper https://t.co/afLJY…</t>
  </si>
  <si>
    <t>Ruben Gomez</t>
  </si>
  <si>
    <t>Otros trinqueteros como #VW muy mal... https://t.co/DU0WoVohcj</t>
  </si>
  <si>
    <t>Cuernavaca</t>
  </si>
  <si>
    <t>Macquero de corazón, Metalero programador, diseñador, y administrador de servidores apple futuro ingeniero...</t>
  </si>
  <si>
    <t>V-Dubkollective</t>
  </si>
  <si>
    <t>Classic Dubs , buses , bugs , Type 3's , Shiny and Patina , Stock and Slammed , Porsche's , barn finds , American muscle .</t>
  </si>
  <si>
    <t>Wojciech Bednarski</t>
  </si>
  <si>
    <t>WTF? So VW has the cleanest diesels? https://t.co/mXJp9yDALl #VW #Volkswagen #dieselgate #Diesel</t>
  </si>
  <si>
    <t>Software Engineer / JavaScript, Ember.js, Node.js, HTML5, Ruby, RoR, Sinatra, NoSQL</t>
  </si>
  <si>
    <t>Francisco Perez</t>
  </si>
  <si>
    <t>⚽Christian Reale⚽</t>
  </si>
  <si>
    <t>Jugando al Futbol❤⚽.</t>
  </si>
  <si>
    <t>Jugador de fútbol (C.A.C.N.A)#7 / La grandeza se alcanza con la confianza en si mismo y con la ayuda de Dios.❤⚽ / Futbol,futbol y solamente futbol⚽. ⚽=♥ #ME55I</t>
  </si>
  <si>
    <t>Why Lindsay #VW? We're the largest new &amp; Certified PreOwned #Volkswagen dealership in Mid-Atlantic region - [Video] https://t.co/VemEq0WtrA</t>
  </si>
  <si>
    <t>Doch noch ein Tag des we wo man nutzen kann ! :D #vwg1coc #vw #vwgolf #vwlove #vwlife #vwclub #vwgolfmk1 #vwgolf1 … https://t.co/Y7bjXVd3ez</t>
  </si>
  <si>
    <t>https://t.co/KhuDkVNYrv - #vw #vwt4 #volkswagen #carboot #carbootsale by vintage74uk @ In… https://t.co/Y2VJCs5Jr3 https://t.co/h8w2mNbTjE</t>
  </si>
  <si>
    <t>Finally got real pictures of my car even though it's dirty and ugly #tdi #vw #vwmafia… https://t.co/HWbK33BicM</t>
  </si>
  <si>
    <t>where do we go from here</t>
  </si>
  <si>
    <t>I like euro cars and don't give a fuck what you think.</t>
  </si>
  <si>
    <t>Let us ride! #jdm #gdm #Mitsubishi #Lancer #colt #vw #golf #polo #wrc #turbo #boost #tuning #madeinjapan #ninjaturt… https://t.co/TiJIZwPxBs</t>
  </si>
  <si>
    <t>Volvo plans to go all-electric, sets a goal to make 1 million electric cars by 2025 - https://t.co/72qUTLaOnn #electriccar #electriccars #vw</t>
  </si>
  <si>
    <t>RT @Lindsay_VW: Why Lindsay #VW? We're the largest new &amp; Certified PreOwned #Volkswagen dealership in Mid-Atlantic region - [Video] https:/…</t>
  </si>
  <si>
    <t>sayuri oyamada</t>
  </si>
  <si>
    <t>懐かしい… I feel nostalgic looking at this car... #volkswagen #beetle #vw #フォルクスワーゲン #ビートル… https://t.co/vYlUoBeUXe</t>
  </si>
  <si>
    <t>小山田サユリ Actor</t>
  </si>
  <si>
    <t>Mitsubishi Motors Manipulated Mileage Data On Electric Car - https://t.co/eWSxq4v1A0 #electriccar #electriccars #vw #vwgate</t>
  </si>
  <si>
    <t>Fly 2 Wales</t>
  </si>
  <si>
    <t>Promoting #Wales to the European #tourist International #visitor and tourist organisations to the beauty and merits in visiting Wales. https://t.co/MtlorjlXUF</t>
  </si>
  <si>
    <t>eBay: Volkswagen Beetle 1970 1300cc https://t.co/ErkHxsMJK6 #vwbeetle #vwbug #vw https://t.co/xvfL74PTgl https://t.co/eMDFyfwQ04</t>
  </si>
  <si>
    <t>eBay: 2005 VOLKSWAGEN BEETLE CABRIOLET SILVER https://t.co/zwa02qiWT1 #vwbeetle #vwbug #vw https://t.co/xvfL74PTgl https://t.co/ACUuUpqoFo</t>
  </si>
  <si>
    <t>eBay: Vw type 2 panel van ,bay windows camper… https://t.co/fsB4TVuQna #vwcamper #vwbus #vw https://t.co/ZEadscsjBy https://t.co/FegbFlfgZU</t>
  </si>
  <si>
    <t>Aiman Razmie</t>
  </si>
  <si>
    <t>Hati ku sudah dicuri oleh #vw #golf #gti</t>
  </si>
  <si>
    <t>Petalling Jaya</t>
  </si>
  <si>
    <t>Like All, Trust http://t.co/UEveYJpBnY is earned, not given. CSGO noobies</t>
  </si>
  <si>
    <t>A O</t>
  </si>
  <si>
    <t>anywhere</t>
  </si>
  <si>
    <t>I am free of all prejudice. I hate everyone equally...</t>
  </si>
  <si>
    <t>#techhippie #tyre #GTD #gtd7 #mk7 #golf #golfmk7gtd #golf7gtd #golfmk7 #volkswagen #vw #pirelli #pirellisottozero … https://t.co/ym4c5glXE0</t>
  </si>
  <si>
    <t>#techhippie #Volkswagen #VW #Golf #Passat #Polo #Touareg #GTE #GTD #GTI #R32 #R36 #W12 #carparazzi #carporn #nice #… https://t.co/egZaFhWGIX</t>
  </si>
  <si>
    <t>#techhippie Golf 7 GTD 😍😍😍 #mk7 #vw #gtd #braunschweig #sonne #sommerreifen #alufelgen #18zoll #frühling #dentaggen… https://t.co/KGpGLhSIiV</t>
  </si>
  <si>
    <t>eBay: VW CAMPER MULTIVAN ONE OWNER FROM NEW… https://t.co/nm8x9UzlG9 #vwcamper #vwbus #vw https://t.co/ZEadscsjBy https://t.co/t9UZjspzcW</t>
  </si>
  <si>
    <t>SandraDearing</t>
  </si>
  <si>
    <t>#everybus2016 #vwcampervanagon #vw #spacemansam #saturdaynightkabobs… https://t.co/adpQiW1ZD1</t>
  </si>
  <si>
    <t>blacksburg, va</t>
  </si>
  <si>
    <t>\X/s &amp; running a foreign car repair business &amp; yoga &amp; 6 chickens &amp; 1 puppy~ all shiny &amp; new</t>
  </si>
  <si>
    <t>Angii Kramer</t>
  </si>
  <si>
    <t>#LoveMyCar #Vw 💖💕❤💏💋 https://t.co/3Ybd2rNIax</t>
  </si>
  <si>
    <t>~❤Frei.Wild❤~EinLebenLang</t>
  </si>
  <si>
    <t>Keith Darcy</t>
  </si>
  <si>
    <t>Pound Ridge, NY</t>
  </si>
  <si>
    <t>Darcy Partners Inc.</t>
  </si>
  <si>
    <t>RyanTietz</t>
  </si>
  <si>
    <t>Sunday joyride in the hill country. #vanagon #vanagonlife #suunto #atx #vw https://t.co/bya3XxcR61 https://t.co/RvQNvCEUlQ</t>
  </si>
  <si>
    <t>Graphic Designer</t>
  </si>
  <si>
    <t>#SRS #Gálvez #Vw #Cruze @streetracingsrs @LimandoElPisoPM https://t.co/mGr3ymaxbQ</t>
  </si>
  <si>
    <t>2016 Volkswagen Jetta: Comfortable small sedan with good performance https://t.co/NkcKs7HOz2 #VW #AutoNews</t>
  </si>
  <si>
    <t>Dubworth VW Festival</t>
  </si>
  <si>
    <t>@DubworthVW is less than 2 weeks away! If we can get to 400 followers in the next week, we'll give away a pair of tickets at random! #RT #VW</t>
  </si>
  <si>
    <t>Oulton Park, England</t>
  </si>
  <si>
    <t>Oulton Park will be transformed into a VW paradise for one weekend at the inaugural Dubworth on 6-8 May 2016</t>
  </si>
  <si>
    <t>Jackie Papke</t>
  </si>
  <si>
    <t>Thank YOU for the coverage @PCNH_Heather ! What a great day! #VW #GermanMetal #VWCarShow… https://t.co/qwVbqJFjMS</t>
  </si>
  <si>
    <t>https://t.co/BWALNHlplm Home for tonight! #homeonwheels #homeiswhereyouparkit #norway #vw… https://t.co/VEaGKIMdca https://t.co/aCgCvDoFEO</t>
  </si>
  <si>
    <t>Russel Automotive</t>
  </si>
  <si>
    <t>When was the last time that you treated your #VW to a car wash? https://t.co/wq25tOhMS8</t>
  </si>
  <si>
    <t>Catonsville, MD</t>
  </si>
  <si>
    <t>It is the responsibility and commitment of all employees to cultivate relationships, to care for the environment and give back to the community.</t>
  </si>
  <si>
    <t>Russel Volkswagen</t>
  </si>
  <si>
    <t>When was the last time that you treated your #VW to a car wash? https://t.co/pxQfQqt9fN</t>
  </si>
  <si>
    <t>Reputation.com-Social</t>
  </si>
  <si>
    <t>6624 Baltimore National Pike</t>
  </si>
  <si>
    <t>We've been serving the Baltimore community for over 30 years! We're committed to providing you with an experience that is exciting and rewarding!</t>
  </si>
  <si>
    <t>Tracy Volkswagen</t>
  </si>
  <si>
    <t>2015 #VW #Jetta ONLY $14,500!!!! Only at Tracy VW!!! https://t.co/a5OpcsZI1E</t>
  </si>
  <si>
    <t>Tracy, CA</t>
  </si>
  <si>
    <t>We are brand new! Here to serve the community and help make buying and servicing your VW easy and painless.</t>
  </si>
  <si>
    <t>Caravan Finder</t>
  </si>
  <si>
    <t>#VW #campervans in the #UK – a guide to rentals https://t.co/SaTdRFo8vn #travel #holidays https://t.co/VP0bzc4grP</t>
  </si>
  <si>
    <t>Woodbridge, Suffolk</t>
  </si>
  <si>
    <t>We have over 2,000 private sellers, and have the largest selection of #UK #caravans and #motorhomes on the Internet.</t>
  </si>
  <si>
    <t>Njeri</t>
  </si>
  <si>
    <t>City in the sun, Nairobi</t>
  </si>
  <si>
    <t>#Winning</t>
  </si>
  <si>
    <t>ben eng ming</t>
  </si>
  <si>
    <t>VW vintage 🇹🇭 . #throwback #bkk #trainmarketsrinakarin #VW @ ตลาดนัดรถไฟศรีนครินทร์ Train Market… https://t.co/Xdkbya0zKf</t>
  </si>
  <si>
    <t>oblivion ?</t>
  </si>
  <si>
    <t>KMD Tuning</t>
  </si>
  <si>
    <t>1955 Auto Union DKW 3=6 Sonderklasse model. Repost photo credit: @hagertyclassiccars #Audi #VW #audilove #vwlove https://t.co/Qh8MgKgQVc</t>
  </si>
  <si>
    <t>Crowdfire App</t>
  </si>
  <si>
    <t>Saddle Brook NJ</t>
  </si>
  <si>
    <t>European Car Repairs &amp; Service (Certified Techs) ~~~~~~~~ Aftermarket Performance Tuning Specialists for Audi, VW, Porsche, BMW &amp; Mercedes Benz 201-773-9171</t>
  </si>
  <si>
    <t>Mr P</t>
  </si>
  <si>
    <t>#VW #caddy #mk1 #fastshow #fastshow2016 https://t.co/F07DIVpXck</t>
  </si>
  <si>
    <t>ÜT: 51.655135,-0.381725</t>
  </si>
  <si>
    <t>Ambition in my veins driving me to success, turning dreams into reality. BA Hons Marketing, Looking For New oppertunities, Car Enthusiast</t>
  </si>
  <si>
    <t>2016 Volkswagen Jetta: Comfortable small sedan with good performance: The 2016 Volkswagen Jett... https://t.co/Sd72Gy2WIg #VW #jetta #car</t>
  </si>
  <si>
    <t>Victoria Shaw</t>
  </si>
  <si>
    <t>RT @DubworthVW: @DubworthVW is less than 2 weeks away! If we can get to 400 followers in the next week, we'll give away a pair of tickets a…</t>
  </si>
  <si>
    <t>Life Coach</t>
  </si>
  <si>
    <t>RT @VeeDubMk1_: Parked up at Early Edition 💚 #mk1 #golf #mk1golf #manilagreen #porsche #fuchs #fresh #vw #vag #volkswagen #retro #o… https:…</t>
  </si>
  <si>
    <t>Mascilongo</t>
  </si>
  <si>
    <t>In verband met de #sjoemelsoftware in mijn #VW TDI tank ik nu maar benzine.</t>
  </si>
  <si>
    <t>Zeewolde, Flevoland</t>
  </si>
  <si>
    <t>The Mascilongo family is in Italian #coffee business since '50. Shops in espressocoffee and E-61 machines. Own production. #BFC #Bezzera #Vibiemme #Barista</t>
  </si>
  <si>
    <t>#vw #volkswagon #golf #grey #bluemotion #match #happy #manchester #thecarcentre https://t.co/Ywqdm8vouh</t>
  </si>
  <si>
    <t>#Davidbowie #manchester #mcr #vwbeetle #vw #northernquarter #bowie by digital_doodles https://t.co/xkjWdqipRE</t>
  </si>
  <si>
    <t>Vw Beetle / 1973 #vw #volkswagen #vwkever #vw kafer #vwbeetle #vwcoccinelle #1973 #oldtimer #car #carspotter #carsp… https://t.co/NoBVK9sQyg</t>
  </si>
  <si>
    <t>RT @beetlebug1938: Vw Beetle / 1973 #vw #volkswagen #vwkever #vw kafer #vwbeetle #vwcoccinelle #1973 #oldtimer #car #carspotter #carsp… htt…</t>
  </si>
  <si>
    <t>Day 2 of big bang VW festival #uk #vdubs #beetle #herbie #lowasfuck #uk #picoftheday #vw #vwcamper #santapodracewa… https://t.co/NLHH917r1A</t>
  </si>
  <si>
    <t>Be sure to follow us for new content daily! #vw #vwlove #vwbus #vwbug #vwbeetle #vwcamper #vwlovers #classicvw #vw… https://t.co/scZWjXztbi</t>
  </si>
  <si>
    <t>RT @beetlebug1938: #Davidbowie #manchester #mcr #vwbeetle #vw #northernquarter #bowie by digital_doodles https://t.co/xkjWdqipRE</t>
  </si>
  <si>
    <t>Be sure to follow us for new content daily! #vw #vwlove #vwbus #vwbug #vwbeetle #vwcamper #vwlovers #classicvw #vw… https://t.co/bHt9YHtiW9</t>
  </si>
  <si>
    <t>#oldschool #vwcamper #vanlife #bus #t2 #westfalia #aircooled #love #vwbus #van #vw #volkswagen #retro #vwt2 #camper… https://t.co/mVsyZth0n9</t>
  </si>
  <si>
    <t>#vw beetle VW Beetle, Flat Four, Lightning Bug Lookalike Dragster, bike engined no reserve https://t.co/8R1YQ8GQRy</t>
  </si>
  <si>
    <t>eBay: Volkswagen beetle 1.6 52 plate low miles… https://t.co/H7ooICUJu6 #vwbeetle #vwbug #vw https://t.co/xvfL74PTgl https://t.co/mAVbA8GDAp</t>
  </si>
  <si>
    <t>Is this #Beetle hot or not? You decide! #ACVWPassion #Volkswagen #VW https://t.co/cbeRou5hnP</t>
  </si>
  <si>
    <t>From Big Bang #Volkswagen show this weekend at @SantaPodRaceway #vw #santapod #monstertrucks https://t.co/IdoOP2iCBP</t>
  </si>
  <si>
    <t>The art of making a fully electric 1959 Volkswagen Beetle has us on the edge of our seats! #VW https://t.co/3bYyNTtE8d</t>
  </si>
  <si>
    <t>Alojamento do Zêzere</t>
  </si>
  <si>
    <t>... https://t.co/uFHwPjjvuC #Encontro #Evento #vw via @noticiaszezere</t>
  </si>
  <si>
    <t>Jdc</t>
  </si>
  <si>
    <t>#wookie #v6 #pipes #exhaust #rolling #r32 #r32oc #volkswagen #vw #golf #mkvkids #mkvr32 #mk4kids… https://t.co/HcDFJ3hads</t>
  </si>
  <si>
    <t>Suffolk 25 - goalkeeper - mk5 r32 - mondraker foxy r - contracts manager -</t>
  </si>
  <si>
    <t>eBay: vw transporter t30 102 lwb ideal for… https://t.co/ghopfT2N7Z #vwcamper #vwbus #vw https://t.co/ZEadscsjBy https://t.co/68Boc6Lknz</t>
  </si>
  <si>
    <t>Count Robbula</t>
  </si>
  <si>
    <t>🍑 #Subaru #VW #Cars @ Pungo Ferry https://t.co/8Bbcee7BTJ</t>
  </si>
  <si>
    <t>Morgantown, WV</t>
  </si>
  <si>
    <t>This sticker is dangerous and inconvenient, but I do love Fig Newtons #WVU #ΔΣΠ #757</t>
  </si>
  <si>
    <t>Marco</t>
  </si>
  <si>
    <t>Ideal para um rolÊ 😍 #fusca #vw #beetle Bom domingo...#RioPreto #SP #Brasil https://t.co/jLUtdHuJjv</t>
  </si>
  <si>
    <t>São José do Rio Preto - SP</t>
  </si>
  <si>
    <t>Luke!</t>
  </si>
  <si>
    <t>Who lives in a pineapple under the sea. Not me, I have a 2 bed terrace on ground. Geek \○/</t>
  </si>
  <si>
    <t>Hannah Mortem</t>
  </si>
  <si>
    <t>Lolly chose the VW T5 life 🐷 #earlyedition #earlyedition2016 #vw #t5 #volkswagen #lowlife… https://t.co/aD2eup9G7V</t>
  </si>
  <si>
    <t>Ipswich UK</t>
  </si>
  <si>
    <t>Mission to get skinny, Start 21/1/15. 4st 13lb loss. Facebook: Hannah Mortem</t>
  </si>
  <si>
    <t>eBay: retro custom surf low rider beetle bug.… https://t.co/ERA3m5CBdP #vwbeetle #vwbug #vw https://t.co/xvfL74PTgl https://t.co/n9mDi42uem</t>
  </si>
  <si>
    <t>#mk1 #mk1latvia #vw #mk1golf #car #classiccar #volkswagen #vwgolf #oldschool #mk1lv #vwmk1 #golf1 #vwgolf1 by mk1la… https://t.co/gLgXFChM89</t>
  </si>
  <si>
    <t>eBay: VW TRANSPORTER, BRAND NEW CAMPER… https://t.co/rpf0YAM7mf #vwcamper #vwbus #vw https://t.co/ZEadscsjBy https://t.co/9DoFgrVnbN</t>
  </si>
  <si>
    <t>mittens</t>
  </si>
  <si>
    <t>Sometimes I wonder what I would do if I didn't like cars.. 📷 @nickolasmather #VW #Volkswagen… https://t.co/VA4OUtmUH8</t>
  </si>
  <si>
    <t>gotta risk it to get the biscuit</t>
  </si>
  <si>
    <t>Фото из Таганрога</t>
  </si>
  <si>
    <t>#volkswagen #volkswagengolf #volkswagengolfmk2 #golf2 #golfmk2 #mk2 #mk2crew #dasauto #car #vw #vwlife #vwlifestyle… https://t.co/0d2uj4CtiE</t>
  </si>
  <si>
    <t>Таганрог</t>
  </si>
  <si>
    <t>Самые свежие фотографии пользователей #Instagram из Таганрога!</t>
  </si>
  <si>
    <t>#WRC #RallyArgentina #VW #Ogier Ралли Аргентины, СУ17: Ожье свел отставание к минимуму https://t.co/Yun4c6M3v3 https://t.co/JSgRPHotKp</t>
  </si>
  <si>
    <t>eBay: vw camper van https://t.co/YbPBRlmQPg #vwcamper #vwbus #vw https://t.co/ZEadscsjBy</t>
  </si>
  <si>
    <t>eBay: BEETLE 1200CC https://t.co/22dMxv2iFM #vwbeetle #vwbug #vw https://t.co/xvfL74PTgl https://t.co/5qk3nxjq5X</t>
  </si>
  <si>
    <t>eBay: Volkswagen Beetle 1.6 yellow https://t.co/pje1ODiCEB #vwbeetle #vwbug #vw https://t.co/xvfL74PTgl https://t.co/3twaTD3RnB</t>
  </si>
  <si>
    <t>Sebastian Koch</t>
  </si>
  <si>
    <t>RT @vwgroup_de: Neben #VW präsentierten auch #Bentley, #Skoda und #Porsche neue Modelle bei dem Vorabend zur Beijing Motor Show https://t.c…</t>
  </si>
  <si>
    <t>Siegen</t>
  </si>
  <si>
    <t>Skoda Verkäufer | Blogger | Vater | BVB-Fan | Apple Fanboy</t>
  </si>
  <si>
    <t>Jos van Snippenberg</t>
  </si>
  <si>
    <t>Gemiste kans #VW om medewerkers achter uiteengespatte droom te krijgen. VW nog geen #Playzone @NUnl) https://t.co/QFtNqV5EtU</t>
  </si>
  <si>
    <t>Wageningen Netherlands</t>
  </si>
  <si>
    <t>I envision a world where every human being enjoys adding value to their personal life</t>
  </si>
  <si>
    <t>Explore #VW Social Media @SocialNewsCorp via #Twitter Facebook and Google! https://t.co/4Yc9wczlw2</t>
  </si>
  <si>
    <t>Mike Martino</t>
  </si>
  <si>
    <t>RT @SocialAutos: Explore #VW Social Media @SocialNewsCorp via #Twitter Facebook and Google! https://t.co/4Yc9wczlw2</t>
  </si>
  <si>
    <t>Global Social News Network</t>
  </si>
  <si>
    <t>#CEO #Founder Social News Corp.™ #digital #social #news network #bigdata #cloud #mobile #news #weather #sports #fashion #travel #music #film #tv #marketing...</t>
  </si>
  <si>
    <t>Allie Rasmus KTVU</t>
  </si>
  <si>
    <t>#VW Bus w/baby bus on board. My son would love that toy! #pacificcoastdreammachines #halfmoonbay https://t.co/xB7FnVLsmQ</t>
  </si>
  <si>
    <t>KTVU News Reporter. Mom, wife, sister. Bay Area Native. NU Grad. My job = part therapist, part anthropologist w/some writing &amp; speaking in between.</t>
  </si>
  <si>
    <t>Alves</t>
  </si>
  <si>
    <t>Eure-et-Loir, Centre</t>
  </si>
  <si>
    <t>Em</t>
  </si>
  <si>
    <t>Vw T4 1.9 diesel: £1,000.00 (0 Bids)End Date: Friday Apr-29-2016 16:39:24 BSTBid now | Add to watch list https://t.co/LTQHjxEpsb #vw</t>
  </si>
  <si>
    <t>Caio Eduardo</t>
  </si>
  <si>
    <t>Lá vem a #noiva. #Casamentosieduka #vw #oldcar #classic #fuscanude #oldbeetle #beetle #volcho… https://t.co/VXj4OccPIz</t>
  </si>
  <si>
    <t>CAIO: vem do latim Gaius, quer dizer: feliz, contente - PEIXES: O Sonhador, generoso, bom coração, pensativo, criativo, imaginativo e bonitopacas.</t>
  </si>
  <si>
    <t>Karoline Kopka</t>
  </si>
  <si>
    <t>Hello handsome 💙 #vw #volkswagen #t2 #bulli #sanjuandelsur #nicaragua https://t.co/UlexDYmgJy https://t.co/rateeBf0vX</t>
  </si>
  <si>
    <t>Hey there! From February 2016 to March 2017 I am following the summer around the world. This is my little 140 character travel blog. Enjoy!</t>
  </si>
  <si>
    <t>Vw AirCooled love - #fusca #beetle #vocho #vw #volkswagen #vintagecar #old #oldcar #fuscabrasil… https://t.co/EEXGsxcMVA</t>
  </si>
  <si>
    <t>Beetle Ratlook - #fusca #beetle #vocho #vw #volkswagen #vintagecar #old #oldcar #fuscabrasil… https://t.co/HBECR8pTy7</t>
  </si>
  <si>
    <t>Beetle - #fusca #beetle #vocho #vw #volkswagen #vintagecar #old #oldcar #fuscabrasil #lovefusca… https://t.co/j0bw7OHnyU</t>
  </si>
  <si>
    <t>沖田政幸</t>
  </si>
  <si>
    <t>大好きだったコイツとお別れすることになりました。 僕らをいろんなところへ連れて行ってくれて、本当にありがとう。 #vw #lupogti https://t.co/x27qlnqpPx</t>
  </si>
  <si>
    <t>岡山県美作市上山の”上山集楽”で、かつて8300枚あった棚田を再生し、米を作ったり、林業をしたり、色々な生業をつくりながら生活しています！</t>
  </si>
  <si>
    <t>Erik Selby</t>
  </si>
  <si>
    <t>Driving back to Brighton! Currently averaging 84.6mpg after 135 miles #winning #vw #polo #vwpolo https://t.co/2EjIIZ0dzq</t>
  </si>
  <si>
    <t>Brighton, London, Cambridge</t>
  </si>
  <si>
    <t>Channel Manager for @LatestTVBtn - love technology and animals.</t>
  </si>
  <si>
    <t>lee woodwards-toyne</t>
  </si>
  <si>
    <t>RT @tywcc: Everyone always wants a picture with Lottie! #VW #Campervan #BayWindow #wedding #Yorkshire https://t.co/tF2yLZJxxi</t>
  </si>
  <si>
    <t>Cheeper Steeper</t>
  </si>
  <si>
    <t>RT @snoopedselby: Driving back to Brighton! Currently averaging 84.6mpg after 135 miles #winning #vw #polo #vwpolo https://t.co/2EjIIZ0dzq</t>
  </si>
  <si>
    <t>cheepersteeper app</t>
  </si>
  <si>
    <t>Tweeting stuff 24/7</t>
  </si>
  <si>
    <t>Fred</t>
  </si>
  <si>
    <t>Belle pour l'été #reparation #stonechip #VW #gti #gtimk7 https://t.co/rJ23T1T8kN</t>
  </si>
  <si>
    <t>lachenaie.</t>
  </si>
  <si>
    <t>ABH Car Wash</t>
  </si>
  <si>
    <t>#vw #golfr #briarcliff #westchester #handcarwash #allbyhand @ ABH Car Wash and Detail in… https://t.co/XyRjThbla5</t>
  </si>
  <si>
    <t xml:space="preserve">Briarcliff Manor, NY </t>
  </si>
  <si>
    <t>ABH Car Wash and Detail is a Hand Car Wash and Detailing Center. 539 N.State Rd in Briarcliff Manor, NY #carwash #briarcliff #westchester</t>
  </si>
  <si>
    <t>@teleboerse_de #Dieselgate wird zum finalen Startschuss für die #E-mobility in #DE. Danke #VW! 👌🏼👍🏼👏🏼😃 #Diesel raus aus den PKW</t>
  </si>
  <si>
    <t>tyffany keane</t>
  </si>
  <si>
    <t>#VW #golfmk3 #vwislife #darkside #loveit https://t.co/u1WdSFavE0</t>
  </si>
  <si>
    <t>fakenham</t>
  </si>
  <si>
    <t>eBay: 2006 VOLKSWAGEN BEETLE 1.4 Luna 3dr https://t.co/Yyf2M0pPKy #vwbeetle #vwbug #vw https://t.co/xvfL74PTgl</t>
  </si>
  <si>
    <t>#Fernspieler | Ryk</t>
  </si>
  <si>
    <t>Vor der Xbox One.</t>
  </si>
  <si>
    <t>Geek. Idiot. Alter Sack. Videospielkind. Blogger. Podcaster. YouTuber. Kann Spuren von Videospielen &amp; Wahnsinn enthalten. Schreibt für @gdgts. GT: ExzentRyk</t>
  </si>
  <si>
    <t>Triple Pundit Podium</t>
  </si>
  <si>
    <t>Volkswagen to buy back cars in U.S.; Europe's deal is still frozen. https://t.co/KXap5LAwal @janleethiem #CSR #VW #dieselgate</t>
  </si>
  <si>
    <t>San Francisco, Global</t>
  </si>
  <si>
    <t>CSR &amp; sustainability news. Managed by https://t.co/RBZzxikRah. To contact us, tweet @TriplePundit or email contact@triplepundit.com.</t>
  </si>
  <si>
    <t>Η #VW ξεκινά τις ανακλήσεις για το σκάνδαλο εκπομπών NOx και στα #Audi και #SEAT https://t.co/ohYtIJ0wxj https://t.co/94OFbiZgZA</t>
  </si>
  <si>
    <t>A L RV Sales (JC TN)</t>
  </si>
  <si>
    <t>VW Camperz</t>
  </si>
  <si>
    <t>Try out Alaska our van, see if your dreams come true! #glamping #roadtrip #VW #travel #freedom https://t.co/p9dy1vUu1t</t>
  </si>
  <si>
    <t>Coming soon: Alaska, our fabulous luxury 4 berth high roof VW camper-van. Available for hire, based in the Northwest, hireable nationwide.</t>
  </si>
  <si>
    <t>Senior.com</t>
  </si>
  <si>
    <t>https://t.co/frigcu22L8 has cool products 4 the #Volkswagon enthusiast/collector! #VW #VWBUS #Camping #Adventure https://t.co/a9jKWCiQH9</t>
  </si>
  <si>
    <t>Rancho Santa Margarita, CA 926</t>
  </si>
  <si>
    <t>Helpful Resources and Shopping for Seniors, Caregivers and Families. Primary twitter contributor is Kimberly Johnson - mother, sister, caregiver &amp; daughter.</t>
  </si>
  <si>
    <t>Tim Lomas</t>
  </si>
  <si>
    <t>Other garages come to us for parts &amp; advice on #VW #Audi #SEAT &amp;amp; #Skoda vehicles? https://t.co/DazuBT2UGh https://t.co/sm8n4OZ0uU</t>
  </si>
  <si>
    <t>Yorkshire &amp; County Durham</t>
  </si>
  <si>
    <t>Volkswagen, Audi, Seat &amp; Skoda Specialists. Branches in Northallerton, Darlington and now open in Knaresborough. Where good honest advice is standard</t>
  </si>
  <si>
    <t>eBay: 52 VW Beetle Hatchback 1.6 Petrol https://t.co/PFCOvQUKzq #vwbeetle #vwbug #vw https://t.co/xvfL74PTgl https://t.co/EEdW0rUcjW</t>
  </si>
  <si>
    <t>eBay: MINI VW CAMPER SUBARU SAMBAR https://t.co/ytdhxAZhRo #vwcamper #vwbus #vw https://t.co/ZEadscsjBy https://t.co/eqFoTY64L1</t>
  </si>
  <si>
    <t>paula chuter</t>
  </si>
  <si>
    <t>@AMikkelsenRally @vwrallytheworld congratulations Andreas #3rdplace #podium #favouritedriver #VW</t>
  </si>
  <si>
    <t>Big fan of motorsport especially WRC &amp; F1 . Enjoy going to classic car shows and have won a few trophies. Love spending time with family and friends.</t>
  </si>
  <si>
    <t>Es geht vorwärts 🙌🏼 #vw #t3 https://t.co/jtsObXKAdk</t>
  </si>
  <si>
    <t>BlackWolfSyndicate</t>
  </si>
  <si>
    <t>⚫️⚪️ 📷: What's going on here @itsmrchristoff 🙈 #LupoGangahhh #25 #lupo #volkswagen #VW #bws… https://t.co/8DBwm1pjn5</t>
  </si>
  <si>
    <t>Canterbury, England</t>
  </si>
  <si>
    <t>BlackWolfSyndicate Motorsport, Excursions and Apparel.</t>
  </si>
  <si>
    <t>FanCar Picture - Send me your Scirocco pictures!!! (PM Please) #VW #Volkswagen #Scirocco #Tuning https://t.co/ZzNFGvJkiP</t>
  </si>
  <si>
    <t>Chintan Majithia</t>
  </si>
  <si>
    <t>@BlackstoneVG its like ham toh dubenge sanam, tumko bhi le dubenge. #vw #automakers #scams</t>
  </si>
  <si>
    <t>Mumbai, Maharashtra</t>
  </si>
  <si>
    <t>Looking for transport designers. High salary and lots of equity.</t>
  </si>
  <si>
    <t>Crazy #electric #vw #XL1 🤔#silcoates car show https://t.co/dMC39epNhA</t>
  </si>
  <si>
    <t>C4</t>
  </si>
  <si>
    <t>Workin on steady hands with the new stabilizer #vw #passat https://t.co/EmyG5gJkTi</t>
  </si>
  <si>
    <t>Temecula, CA</t>
  </si>
  <si>
    <t>I take pictures and I make videos, people think im good at it. dm me for a photoshoot or if you wanna make a video</t>
  </si>
  <si>
    <t>#everybus2016 #snowpuppy #headinghome #vwcampervanagon #vw… https://t.co/2wihKyVgXY</t>
  </si>
  <si>
    <t>AbCollar.com</t>
  </si>
  <si>
    <t>RT @SeniorOnline: https://t.co/frigcu22L8 has cool products 4 the #Volkswagon enthusiast/collector! #VW #VWBUS #Camping #Adventure https://…</t>
  </si>
  <si>
    <t>San Diego CA</t>
  </si>
  <si>
    <t>The AbCollar® patented design will help you with Physical Therapy, Physical Exercises Ergonomic, Kegel Exercises Women: Please Read: UNFOLLOW=UNFOLLOW</t>
  </si>
  <si>
    <t>Its started, Herbie is in sight 😊 #volkswagen #herbie #beetle #vw #vwbeetle by hazzsum93 https://t.co/khDTZk3UNP</t>
  </si>
  <si>
    <t>Sunday missions with Herbie 😄😂 damn that car tho' #volkswagen #vw #dub #dubworks #herbie #vdub #vdubracing #racer … https://t.co/UiuvAbQ1VY</t>
  </si>
  <si>
    <t>Just another reason to love the #vwbug ! #vintagevw #vw #bug #beetle #vwbeetle @kk_paso by bustedvw https://t.co/jJg6PVfU36</t>
  </si>
  <si>
    <t>Happy sunday 🤓 #vw #vw67 #vwbug #vosvos #vwbeetle #beetle1500 #beetle #fusca #vw1500 by canoktayheper https://t.co/ZPqChJO6ZB</t>
  </si>
  <si>
    <t>Siradaki hedefimiz :) #vw #vwlove #vwbeetle #vwbus #anatoliabusclub #vwbug by kamilkaratas https://t.co/iH4pWKzwoh</t>
  </si>
  <si>
    <t>eBay: VW T25 CAMPER VAN https://t.co/bOboROHERn #vwcamper #vwbus #vw https://t.co/ZEadscsjBy https://t.co/LQHUuaZYhT</t>
  </si>
  <si>
    <t>Splitty 's #VW #Volkswagen #Type2 #VWType2 #Camper #CamperVan #VWCamper #VWCamperVan #SplitScreen #Splitty #PanelVa… https://t.co/wlUKLuBhJL</t>
  </si>
  <si>
    <t>Hanno Groth</t>
  </si>
  <si>
    <t>Netzaktivist bei @greenpeace_de und Kämpfer für saubere Mode und eine bessere Welt. Lese echte Bücher und suche immer neuen Ideen. Persönliche Meinung.</t>
  </si>
  <si>
    <t>Greenpeace e.V.</t>
  </si>
  <si>
    <t>Greenpeace ist eine internationale Umweltorganisation, die gewaltfrei für den Schutz der Lebensgrundlagen kämpft. Hier twittert Greenpeace Deutschland.</t>
  </si>
  <si>
    <t>The amazing adventures of Doris ... #vw #vwcamper #camping #spring #england #theenglishriviera #nature #beauty by s… https://t.co/OnFlNhzmFt</t>
  </si>
  <si>
    <t>VW Kombi luxo em Águas de Lindoia SP Brasil 2016 #classico #raro #raridade #vw #kombi #vwkombi #camper #kombiluxo … https://t.co/BQmOcKB7Kx</t>
  </si>
  <si>
    <t>At last. The bus is out. This is good, because it means Summer. And adventures. #VW #vwbus #vwcamper #summer by … https://t.co/eF3pC2H19O</t>
  </si>
  <si>
    <t>tomacell</t>
  </si>
  <si>
    <t>"DE&amp;USA wichtigste Handelspartner" Wir bei ihnen Industriejobs #vw #bmw #siemens Sie bei uns Mindestlohnjobs #Amazon #Starbucks #burgerking</t>
  </si>
  <si>
    <t>Bad Political Astrologer</t>
  </si>
  <si>
    <t>#VW of the Day: Sundays are for #golf. https://t.co/cj66nQQgIF</t>
  </si>
  <si>
    <t>AИ７</t>
  </si>
  <si>
    <t>#alice #driving #vw #Volkswagen #beetle #darkblue #talking #eating #drinking #in… https://t.co/vEv5PlZUnf</t>
  </si>
  <si>
    <t>冒険中</t>
  </si>
  <si>
    <t>- くらげさんといっしょ - https://t.co/sazryRn00G</t>
  </si>
  <si>
    <t>Skidpan meets DTM. #bp #outandabout #ourfuelstory #berlin #audisport #dtm #vw #adac #panningshot… https://t.co/cS3JMSHs8i</t>
  </si>
  <si>
    <t>Parcero :•)</t>
  </si>
  <si>
    <t>Posadas, Misiones.</t>
  </si>
  <si>
    <t>Las Pastillas del Abuelo // Soy sueño y desvelo, quílombo y armonía // Volkswagen Senda // Mi prima me ama :))</t>
  </si>
  <si>
    <t>eBay: VOLKSWAGEN 1997 VW TRANSPORTER 2.4D SWB… https://t.co/f9xlRftrCR #vwcamper #vwbus #vw https://t.co/ZEadscsjBy https://t.co/bqN8aMujQj</t>
  </si>
  <si>
    <t>Those wheels.. 󾌢 #vw #mk3 #vagmen</t>
  </si>
  <si>
    <t>EpicDubs</t>
  </si>
  <si>
    <t>If you didn't know....... it's #Wöthersee time again #Heaven #Austria #VW #Audi #VAG #Stance #DubLife https://t.co/KX37mVVHX2</t>
  </si>
  <si>
    <t>Joburg, South Africa</t>
  </si>
  <si>
    <t>A #VW #VAG LifeStyle Brand. | Wheels | VAG Events |Stance | OEMPart Sourcing | Apparel | Photography #DubLife \X/ Info@EpicDubs.com</t>
  </si>
  <si>
    <t>RT @beetlebug1938: Happy sunday 🤓 #vw #vw67 #vwbug #vosvos #vwbeetle #beetle1500 #beetle #fusca #vw1500 by canoktayheper https://t.co/ZPqCh…</t>
  </si>
  <si>
    <t>Uphill going. #outandabout #ourfuelstory #vw #adac #bp #4x4 #torque @ ADAC Fahrsicherheitszentrum https://t.co/GjbqFrz4OX</t>
  </si>
  <si>
    <t>Donovan Bagnall</t>
  </si>
  <si>
    <t>RT @EpicDubs: If you didn't know....... it's #Wöthersee time again #Heaven #Austria #VW #Audi #VAG #Stance #DubLife https://t.co/KX37mVVHX2</t>
  </si>
  <si>
    <t>Man United | Co-Founder @EpicDubs | VW VAG Everything | IG: DonBag101_EpicDubs | Craft Beer |</t>
  </si>
  <si>
    <t>Danni</t>
  </si>
  <si>
    <t>Housing professional. Yoga lover. Foodie. Animal whisperer and film/ tv aficionado. A lover of the arts, and a believer that people will get it right one day</t>
  </si>
  <si>
    <t>Martin Mosel</t>
  </si>
  <si>
    <t>Cllr Lyle Davy</t>
  </si>
  <si>
    <t>It is quite amusing watching all of the #VW #T5 drivers waving at each other</t>
  </si>
  <si>
    <t>Barnoldswick</t>
  </si>
  <si>
    <t>19, @LGIU Young Cllr of the Year. Cllr for Coates ward on @PendleBc. Conservative. Long time Snowboarder. My views</t>
  </si>
  <si>
    <t>Adam Jeffrey</t>
  </si>
  <si>
    <t>Beautiful camper up at #Munich airport for Surf n Turf. #munchen #volkswagen #vw #classicVW… https://t.co/otFPVyvAD7</t>
  </si>
  <si>
    <t>Buckinghamshire</t>
  </si>
  <si>
    <t>Car #Valeting &amp; #Detailing Services, based in Bucks, covering the South East. Paintwork correction, Protection, etc. Valentines &amp; Autobrite Direct Approved.</t>
  </si>
  <si>
    <t>Bruno90</t>
  </si>
  <si>
    <t>RT @EpicDubs: 🍒 | .:R32 #VW #Mk4 #R32 #OzWheels #Vr6 #Stance #DubLife https://t.co/AGK1F00dzl</t>
  </si>
  <si>
    <t>Wonders of Sicily</t>
  </si>
  <si>
    <t>Awesome #Volkswagen outside the Sanctuary at #Gibilmanna #Sicily #VW https://t.co/Wl3albdXdW https://t.co/Zom4SWQDKX</t>
  </si>
  <si>
    <t>Oslo, Norway</t>
  </si>
  <si>
    <t>Tweets by a Norwegian lover of Sicily, history and opera. Web guy, photographer. Bring out your dead and your passion.</t>
  </si>
  <si>
    <t>RT @EpicDubs: Weapon of choice ? .:R | #VW #GolfR #R32 #Mk4 #Mk5 #Mk6 #Mk7 #DubLife https://t.co/g4PcFYUfqj</t>
  </si>
  <si>
    <t>eBay: VW Beetle 2.0L (W) 2000 https://t.co/vTGo5eNutR #vwbeetle #vwbug #vw https://t.co/xvfL74PTgl https://t.co/M6r1c1T1Xz</t>
  </si>
  <si>
    <t>eBay: 2015 VW Transporter T6 for hire… https://t.co/72ibN6sK3g #vwcamper #vwbus #vw https://t.co/ZEadscsjBy https://t.co/CoWKL13QT4</t>
  </si>
  <si>
    <t>Ikechukwu Nwankwo</t>
  </si>
  <si>
    <t>Nigeria/Abuja</t>
  </si>
  <si>
    <t>if we open a quarrel about the past,we will find out that we've lost the future... Bbm:29ACBD17. 58B1AA8C Instagram: desmond_obinani</t>
  </si>
  <si>
    <t>RT @EpicDubs: 💎 .:R | #DubSpotting #VW #Mk7 #GolfR #Mk7R #Matte #SouthAfrica #DubLife https://t.co/AR2vCtIcYJ</t>
  </si>
  <si>
    <t>TIGERS EYE</t>
  </si>
  <si>
    <t>We want to adventure in this bad boy ⚡️⚡️⚡️ #oneday #vw #campervan #travels #love #shoptigerseye https://t.co/6hchkidVqA</t>
  </si>
  <si>
    <t>Badass Clothing for Boho Babes and Vintage Junkies » We ship Worldwide!!! » FREE UK shipping on orders over £30!! https://t.co/0axDFoM75U IG: @shoptigerseye</t>
  </si>
  <si>
    <t>Gerda Blümchen</t>
  </si>
  <si>
    <t>RT @tomacell: "DE&amp;USA wichtigste Handelspartner" Wir bei ihnen Industriejobs #vw #bmw #siemens Sie bei uns Mindestlohnjobs #Amazon #Starbuc…</t>
  </si>
  <si>
    <t>Mutter, Großmutter, weder in der DDR noch BRD systemkonform, für Demokratie, gegen jede Form von Diktatur -es reicht!</t>
  </si>
  <si>
    <t>RT @EpicDubs: Perks of Low ⚠️ Anti Wheel Clamp #VW #Mk4 #Stance #Volkswagen #DubLife https://t.co/E3ZNJOhvxw</t>
  </si>
  <si>
    <t>Nature Wilds</t>
  </si>
  <si>
    <t>Art prints, posters, greeting cards, phone cases, pillows, bed covers, bags, curtains, T-shirts and more. F/RT doesn't equal endorsement. F/F #photography</t>
  </si>
  <si>
    <t>BAW Fluglärm HH/S-H</t>
  </si>
  <si>
    <t>Wir sind eine Gruppe fluglärmgeschädigter Bürger/Innen, die den stetig steigenden krank machenden Fluglärm in und aus Hamburg nicht länger hinnehmen!</t>
  </si>
  <si>
    <t>Andreas lazarou</t>
  </si>
  <si>
    <t>📞02921 320177 #wallmural #wallpaper #murals #vw #volkswagen #volkswagencamper #interiordesign… https://t.co/eA93nMcwG4</t>
  </si>
  <si>
    <t>Strictly by appointments only @lazaroubarbers contact 02920374468 Director @ialphaworld @pad_gaminguk</t>
  </si>
  <si>
    <t>A quick look #vw #volkswagen #earlybay #aircooled #westy #westfalia #kombi #microbus #clip… https://t.co/tSpy6gFxR0 https://t.co/Oa94RCOdVv</t>
  </si>
  <si>
    <t>Boaty McBoatface</t>
  </si>
  <si>
    <t>#VW car salesmen waiting for customers https://t.co/14RxSGetTk</t>
  </si>
  <si>
    <t>Biotech enthusiast and master googler lol Do your own Due Diligence! Personal posts as well.</t>
  </si>
  <si>
    <t>eBay: Vw t25 Danbury camper van https://t.co/2DqeDhJUIw #vwcamper #vwbus #vw https://t.co/ZEadscsjBy https://t.co/xmlpvOnAtO</t>
  </si>
  <si>
    <t>Island Volkswagen</t>
  </si>
  <si>
    <t>Good looks and a seriously impressive driving experience. #VW #Passat https://t.co/I1KcCG0DCm</t>
  </si>
  <si>
    <t>Staten Island, NY</t>
  </si>
  <si>
    <t>We Are Values Driven® | 1632 Hylan BLVD, Staten Island, NY 10305 | 718-513-7500</t>
  </si>
  <si>
    <t>Skidpan meets DTM. #bp #outandabout #ourfuelstory #berlin #audisport #dtm #vw #adac #panningshot…... https://t.co/40OaeBEOyg</t>
  </si>
  <si>
    <t>Peanuts</t>
  </si>
  <si>
    <t>RT @WonSicily: Awesome #Volkswagen outside the Sanctuary at #Gibilmanna #Sicily #VW https://t.co/Wl3albdXdW https://t.co/Zom4SWQDKX</t>
  </si>
  <si>
    <t>Sommelier e appassionata di tè, bere è uno dei pochi piaceri della vita, come Mondello.</t>
  </si>
  <si>
    <t>RT @vwpress_de: Sehen Sie morgen ab 4 Uhr MEZ die #VW Pressekonferenz auf der #VWBeijingAutoshow16 hier: https://t.co/9czqhOI7vQ</t>
  </si>
  <si>
    <t>Checkered Flag VW</t>
  </si>
  <si>
    <t>Finding the right wheels can be overwhelming. Let us help you! #VW https://t.co/sMznmpW434 https://t.co/KZeLHnF2Yz</t>
  </si>
  <si>
    <t>Where Winners Buy 757-490-1111 http://t.co/gzpSI7yqWk</t>
  </si>
  <si>
    <t>rolandfilkus! #vw #vwlove #vwdepo #Golf2 #1988 #original #kezdet #visszaemlékezés... https://t.co/rRtsz8iGXb</t>
  </si>
  <si>
    <t>Vyacheslav Kholodov</t>
  </si>
  <si>
    <t>#vw #vwlove #jetta #jettaclubvrn #mk6 @ Event Hall https://t.co/z9zz6xVbgB</t>
  </si>
  <si>
    <t xml:space="preserve">RU Voronezh </t>
  </si>
  <si>
    <t>Юрист, Ex-staff ТРЕКЕР 48.</t>
  </si>
  <si>
    <t>BngZzzzzzZ ✌</t>
  </si>
  <si>
    <t>But the Passat is beautiful guys #VW</t>
  </si>
  <si>
    <t>Hoeing in different area Codes</t>
  </si>
  <si>
    <t>DM open from Mon. to Sunday and also on Public Holidays. --- IG: @its_master_q --- SnapC: bongani92 Don't trust what you see, even Salt looks like Sugar.</t>
  </si>
  <si>
    <t>Christopher Bauer</t>
  </si>
  <si>
    <t>TshepyGotzJuice ✌</t>
  </si>
  <si>
    <t>RT @Its_Master_Q: But the Passat is beautiful guys #VW</t>
  </si>
  <si>
    <t xml:space="preserve">City of Roses </t>
  </si>
  <si>
    <t>Young n very Opinionated.</t>
  </si>
  <si>
    <t>Saimişim Butik Pasta</t>
  </si>
  <si>
    <t>#vw #vwcake #volkswagen #volkswagencake #vosvos #vosvossevdasi #vosvoskaravan #vosvospasta… https://t.co/FyhkalNnh2</t>
  </si>
  <si>
    <t>Eskişehir, Türkiye</t>
  </si>
  <si>
    <t>Saimişim Butik Pastacılık Hizmetleri. Size Özel Kek, Pasta, Kurabiye Tasarımları, Saimişim Butik Pastacılık ; Size ve sevdiklerinize mutluluk katar.</t>
  </si>
  <si>
    <t>Some hidden gems in the camping fields at #BigBang #SantaPod #PODstagram #VW #Van #Cars https://t.co/EUKLf1gbGE</t>
  </si>
  <si>
    <t>#vw #vwcake #volkswagen #volkswagencake #vosvos #vosvossevdasi #vosvoskaravan #vosvospasta… https://t.co/gn0NayLrVN</t>
  </si>
  <si>
    <t>eBay: VW Camper Rare Champagne Bay 2 US Import… https://t.co/VC8OvtkTSN #vwcamper #vwbus #vw https://t.co/ZEadscsjBy https://t.co/iuyfJz7y7P</t>
  </si>
  <si>
    <t>#vw #vwcake #volkswagen #volkswagencake #vosvos #vosvossevdasi #vosvospasta #vosvospastası… https://t.co/L3jFga4BTH</t>
  </si>
  <si>
    <t>#vw #vwcake #volkswagen #volkswagencake #vosvos #vosvossevdasi #vosvospasta #vosvospastası… https://t.co/eGWUoa8KLz</t>
  </si>
  <si>
    <t>Bulli und Clyde</t>
  </si>
  <si>
    <t>Instagram post: https://t.co/f0iekohfSD #vwbus #vw #volkswagen #aircooled #kombi #bus #vwcamper #westfalia #vwvan … https://t.co/Qjn6aNPocE</t>
  </si>
  <si>
    <t>Ein Mann, ein Bus, eine Reise. / A man, a bus, a journey. German Travel Blog. #Scouts #Geocaching #VW #T2 #Bulli #Travel #FreeHugs</t>
  </si>
  <si>
    <t>Workin on steady hands with the new stabilizer #vw #passat https://t.co/9X9aIohcqE</t>
  </si>
  <si>
    <t>RT @SantaPodRaceway: Some hidden gems in the camping fields at #BigBang #SantaPod #PODstagram #VW #Van #Cars https://t.co/EUKLf1gbGE</t>
  </si>
  <si>
    <t>Swap Meet!!! #simplyelegant #vw #volkswagen #volkswagon #volksnation #vwbus #vwtruck #splitwindowbus #splitwindow #… https://t.co/q4vGfZfGaC</t>
  </si>
  <si>
    <t>Klabauterchen</t>
  </si>
  <si>
    <t>Ziemlich langweilige Show diese Eröffnung der #HannoverMesse. Kein Terminator bei dem Roboterarm Ballett und bei den Reden fehlt #VW Bezug.</t>
  </si>
  <si>
    <t>Meine Intention: nicht überzeugen, sondern zum nachdenken anregen! Nichts ist ungemütlicher als die Wahrheit!</t>
  </si>
  <si>
    <t xml:space="preserve">Lucio Gómez </t>
  </si>
  <si>
    <t>Mira vos el #Vento en el #TurismoNacional gran victoria, para un gran auto y piloto #VW</t>
  </si>
  <si>
    <t xml:space="preserve">Capital Federal </t>
  </si>
  <si>
    <t>ADN Goyano. Boca y Chevrolet son pasión. Más vale un mal día de pesca, que un buen día de trabajo.</t>
  </si>
  <si>
    <t>Joanne Mariol</t>
  </si>
  <si>
    <t>Sunday Drive: Sway https://t.co/0Z9uxSt3Ug #VW https://t.co/3BKHxIL6cb</t>
  </si>
  <si>
    <t>Unique images of classic cars, motorcycles, carousels, vintage signs and more.</t>
  </si>
  <si>
    <t>Nice wheels on this low mk2! Follow: @vwlife__ @vwlife__ @vwlife__ @vwlife__ @vwlife__ @vwlife__ #vw #volks #volk… https://t.co/IXsfDOzrNR</t>
  </si>
  <si>
    <t>Early Edition coverage is going up a bit later tonight, here's a little taster. Link in my bio. #volkswagen #vw #m… https://t.co/SSh17gdh6s</t>
  </si>
  <si>
    <t>Darragh Mullin</t>
  </si>
  <si>
    <t>@SixtIreland #Golf r similar? #Dacia was fine but not similar n comfort r driving to a #VW #Golf. Nxt time I'll know https://t.co/hUflHlMlZR</t>
  </si>
  <si>
    <t>Ireland/UK</t>
  </si>
  <si>
    <t>New Holland Product Marketing - High HP tractors &amp; Precision Land Management - Asia Pacific.</t>
  </si>
  <si>
    <t>ziromr</t>
  </si>
  <si>
    <t>RT @PiratchenLukai: Ziemlich langweilige Show diese Eröffnung der #HannoverMesse. Kein Terminator bei dem Roboterarm Ballett und bei den Re…</t>
  </si>
  <si>
    <t>∞</t>
  </si>
  <si>
    <t>frankie doodle</t>
  </si>
  <si>
    <t>Washing my baby #vw #polo #vwpolo #volkswagen #pink #gay #gayboy #gaylife #gaylike #gayinstagram… https://t.co/gpeL269S3I</t>
  </si>
  <si>
    <t xml:space="preserve">milton keynes </t>
  </si>
  <si>
    <t>RT @paintdodgers: Rust and Rat entries from yesterday's @SantaPodRaceway Big Bang 2016. more over at https://t.co/vY2DNjgN1B #vw https://t.…</t>
  </si>
  <si>
    <t>#VW https://t.co/H6dfXr0L6h</t>
  </si>
  <si>
    <t>VW brand chief 'confident' of solving cost-cutting row with labor https://t.co/QlUiZ1Bwxr #VW #AutoNews</t>
  </si>
  <si>
    <t>druidznonwo</t>
  </si>
  <si>
    <t>out there</t>
  </si>
  <si>
    <t>anti</t>
  </si>
  <si>
    <t>RT @johnwhalvin: From Big Bang #Volkswagen show this weekend at @SantaPodRaceway #vw #santapod #monstertrucks https://t.co/IdoOP2iCBP</t>
  </si>
  <si>
    <t>News Dude</t>
  </si>
  <si>
    <t>RetroVwHire</t>
  </si>
  <si>
    <t>Where will your #dreams take you? #daretodream https://t.co/njxnESznjU #vwcamper #vw https://t.co/jeXLZzByKS</t>
  </si>
  <si>
    <t>Retro VW camper vans &amp; vintage photo booth for weddings, self drive, promotions, corporate and parties</t>
  </si>
  <si>
    <t>Can't afford a #VW #Golf R? The sporty new Golf R-line could be up your street https://t.co/viTjhVWAS8 @UKVolkswagen https://t.co/0ViZ4wdR1j</t>
  </si>
  <si>
    <t>#vw #wrecked #old #car https://t.co/hxQXJ2doaW</t>
  </si>
  <si>
    <t>Graphic Design / Brand Development / Design + Marketing Consultation</t>
  </si>
  <si>
    <t>Winst voor Hyundai en Paddon in Argentinie, 14 sec. voorsprong op Ogier (VW) #rtlgp #rtlrally #rtl7 #hyundai #paddon #vw #ogier #wrc</t>
  </si>
  <si>
    <t>#Obama Mit #TTIP könnt Ihr Eure #VW Billigautos noch besser nach Amerika schicken und die Luft verpesten. #HannoverMesse</t>
  </si>
  <si>
    <t>#vw https://t.co/jYIKtAFB6g</t>
  </si>
  <si>
    <t>Beelden Crash Latvala https://t.co/DwWTtFBbf9 #argentina #rtlgp #rtl7 #latvala #vw #wrc #rallyargentina #crash #rally #vwmotorsport</t>
  </si>
  <si>
    <t>#Merkel und #Obama meiden #Volkswagen Stand. #Hannover #Messe #VW</t>
  </si>
  <si>
    <t>eBay: volkswagen beetle 1965 https://t.co/i2pGruEERV #vwbeetle #vwbug #vw https://t.co/xvfL74PTgl https://t.co/cZOdjyglM0</t>
  </si>
  <si>
    <t>eBay: Vw Beetle Convertible https://t.co/OJYsAOXkm8 #vwbeetle #vwbug #vw https://t.co/xvfL74PTgl https://t.co/cEPSvqo1nG</t>
  </si>
  <si>
    <t>eBay: Volkswagen Beetle 2.0 2002 Silver https://t.co/ttCoargScw #vwbeetle #vwbug #vw https://t.co/xvfL74PTgl https://t.co/gCj44z88b9</t>
  </si>
  <si>
    <t>eBay: VW Volkswagen Transporter T4 Autosleeper… https://t.co/X8n6xNO1RK #vwcamper #vwbus #vw https://t.co/ZEadscsjBy https://t.co/pn6xvdeDF5</t>
  </si>
  <si>
    <t>Jana Saskia Heyk</t>
  </si>
  <si>
    <t>RT @phimo_to: #VW künftig meiden, so einfach ist das. #nurmalso https://t.co/xFSh8kRmn7</t>
  </si>
  <si>
    <t>Malen, Zeichnen, Fotografie, #MX5, #Opel, Grafik- &amp; Webdesign bei @Digital_Intent ;-), Azubi zur Erzieherin, aktiv bei @Net_e_V. Mein Herz gehört den Kindern!</t>
  </si>
  <si>
    <t>It's hard not to fall in love with #SplitWindowSunday! #ACVWPassion #Volkswagen #VW https://t.co/Tg98gXzoQF</t>
  </si>
  <si>
    <t>Leonardo Floreste</t>
  </si>
  <si>
    <t>Rolezin da tarde.... pq ela desfila, não anda. #fixa #dz8 #vw #volkslovers #rbxsuspensoes… https://t.co/iRtm0H3Bj1</t>
  </si>
  <si>
    <t>#Portsmouth #Southsea #hampshire #vintage #retro #wedding #weddingcar #transport #vw #dub https://t.co/1OjjspShXJ</t>
  </si>
  <si>
    <t>Hard Stance</t>
  </si>
  <si>
    <t>Nuestra vida es un #performance | #hardstance #low #lowered #stance #stanced #vaglove #vag #vw… https://t.co/QbxkAg10ye</t>
  </si>
  <si>
    <t>Colectivo critico automotriz, artículos y fotografía.</t>
  </si>
  <si>
    <t>Hello @VinniesVVV! #Portsmouth #Southsea #hampshire #vintage #retro #wedding #weddingcar #transport #vw #dub https://t.co/2cBpOtB6qO</t>
  </si>
  <si>
    <t>RT @VeeDubMk1_: Early Edition coverage is going up a bit later tonight, here's a little taster. Link in my bio. #volkswagen #vw #m… https:…</t>
  </si>
  <si>
    <t>Diesel Tech Jobs</t>
  </si>
  <si>
    <t>Here's how to talk to your customers about @Volkswagen news: https://t.co/q7wGwU7Gif #diesel #VW https://t.co/JRkxyXSVg0</t>
  </si>
  <si>
    <t>http://t.co/7zTApK2c54 connects #diesel #mechanics &amp; techs with the best jobs &amp; latest news. Complete a free application today &amp; find a job in your area!</t>
  </si>
  <si>
    <t>eBay: vw t4 Transporter camper 1.9td (Team… https://t.co/JuwmaFcU8s #vwcamper #vwbus #vw https://t.co/ZEadscsjBy https://t.co/e5HF6UE3qz</t>
  </si>
  <si>
    <t>Dale Leonard</t>
  </si>
  <si>
    <t>The Verge Review of Animals: the red panda | https://t.co/WxzG1SwnKZ #Vw</t>
  </si>
  <si>
    <t>Social Race Media</t>
  </si>
  <si>
    <t>Denver, Colorado, USA</t>
  </si>
  <si>
    <t>I was born with a suitcase in my hand Livin in a life few could understand At times I dont know where I am But I always know who Im with - Im with the Band</t>
  </si>
  <si>
    <t>Mister Ka</t>
  </si>
  <si>
    <t>Während die Amis #VW und #Daimler mit Milliardenklagen vergewaltigen und #Deutschlands Wirtschaft massiv schwächen labert #Merkel von #TTIP</t>
  </si>
  <si>
    <t>Free Europe</t>
  </si>
  <si>
    <t>Protecting NATO-Free-Europe!</t>
  </si>
  <si>
    <t>❁</t>
  </si>
  <si>
    <t>She is delightfully chaotic, a beautiful mess. Loving her is a splendid adventure.'</t>
  </si>
  <si>
    <t>Shannon Spray Tans</t>
  </si>
  <si>
    <t>Ouch. #vw recall https://t.co/5oOKInl5eK</t>
  </si>
  <si>
    <t>Palm Desert, CA</t>
  </si>
  <si>
    <t>Organic Anti-Aging Sunless Tanning for Southern California Areas. Get a beautiful golden or island tan today! Not your average tanner. so much more!!</t>
  </si>
  <si>
    <t>TheBaldGuy</t>
  </si>
  <si>
    <t>VW Campervan &amp; MK4 Golf PD150 owner. Big Petrolhead.</t>
  </si>
  <si>
    <t>Mr_Noble</t>
  </si>
  <si>
    <t>RT @KarlRennison: Crazy #electric #vw #XL1 🤔#silcoates car show https://t.co/dMC39epNhA</t>
  </si>
  <si>
    <t>wakefield uk</t>
  </si>
  <si>
    <t>yorkshire lad, ex Company director now its #cars #football #lufc #tattoos #beard #gym. #snapchat adamnoble81. #music #FooFighters #oasis #kingsofLeon #queen</t>
  </si>
  <si>
    <t>Keine Sorge. In #Deutschland ist alles noch beim Alten. #VW #Schaeuble #gabrielmacht nix Neues. https://t.co/mdHN8gRiNb</t>
  </si>
  <si>
    <t>"Never say never." How cool is this #VW Hover Craft concept? https://t.co/ljrYijoLnJ</t>
  </si>
  <si>
    <t>Morgen #Pressekonferenzen von #VW und #MercedesBenz aus #Peking. Infos und Link: https://t.co/hFqmcwIrWg</t>
  </si>
  <si>
    <t>Ist das Livestream-Magazine im Internet. Nie war es einfacher, Livestreams zu finden und gefunden zu werden - Jeder Livestream ist es wert gesehen zu werden!</t>
  </si>
  <si>
    <t>#Volkswagen #Tuning //MD #Vw #dapper #Cambergang #StanceWork #RoyalStance https://t.co/17sH8F5eyS https://t.co/4NkRMzuLhl</t>
  </si>
  <si>
    <t>Confites UK</t>
  </si>
  <si>
    <t>RT @LulubelleLimoVW: Hello @VinniesVVV! #Portsmouth #Southsea #hampshire #vintage #retro #wedding #weddingcar #transport #vw #dub https://t…</t>
  </si>
  <si>
    <t>Handmade favours, garlands and decorations for every occasion !! Follow us &amp; get inspired ! https://t.co/PJV7MDFzw2</t>
  </si>
  <si>
    <t>Летиция</t>
  </si>
  <si>
    <t>RT @Mister_Ka: Während die Amis #VW und #Daimler mit Milliardenklagen vergewaltigen und #Deutschlands Wirtschaft massiv schwächen labert #M…</t>
  </si>
  <si>
    <t>https://t.co/IR3n0PHQk9</t>
  </si>
  <si>
    <t>Are you into #DIY projects and LOVE the #VW brand? This fun project may be for you! #PaulMillerVW #HappySunday https://t.co/uVY64xN6lH</t>
  </si>
  <si>
    <t>RT @VeeDubMk1_: Nice wheels on this low mk2! Follow: @vwlife__ @vwlife__ @vwlife__ @vwlife__ @vwlife__ @vwlife__ #vw #volks #volk… https:…</t>
  </si>
  <si>
    <t>Tschompot</t>
  </si>
  <si>
    <t>Es rettet uns kein höh'res Wesen...</t>
  </si>
  <si>
    <t>LuchiG™</t>
  </si>
  <si>
    <t>#WRC2016 #VW #POLO @ El Cóndor Copina - Córdoba https://t.co/Dm8NyU7n3I</t>
  </si>
  <si>
    <t>#Argentino #ToyotaVsFord</t>
  </si>
  <si>
    <t>Cars washed and polished ready for a new week. #porsche #vw… https://t.co/5gaYh1vwuV</t>
  </si>
  <si>
    <t>Thomas Engst</t>
  </si>
  <si>
    <t>Chemnitz, Sachsen</t>
  </si>
  <si>
    <t>Berufsnaturschützer | Blogger | Fotograf | https://t.co/f9X96BczNh | https://t.co/n3qkEwB22J</t>
  </si>
  <si>
    <t>Mk1 VW Caddy 90% complete. #vw #caddy #mk1caddy #vag #dub #followme https://t.co/4PIeh4msW7</t>
  </si>
  <si>
    <t>Writing Roach</t>
  </si>
  <si>
    <t>#58bug #58vw #vw #vintage #50scars #car https://t.co/jp4qtOfO0N</t>
  </si>
  <si>
    <t>Writer and Pineapple Princess</t>
  </si>
  <si>
    <t>eBay: VW Transporter T5 Camper Van https://t.co/rvQZmCAz9B #vwcamper #vwbus #vw https://t.co/ZEadscsjBy https://t.co/mmqlSv5eSe</t>
  </si>
  <si>
    <t>Russ Howarth</t>
  </si>
  <si>
    <t>Two iconic sights on the streets of #Manchester today #vw #beetle #bowie #akse https://t.co/Vm0GPDC4LG</t>
  </si>
  <si>
    <t>Blackpool</t>
  </si>
  <si>
    <t>All clean and ready for another week of work. #vw #porsche #caddy… https://t.co/0znCFynjEd</t>
  </si>
  <si>
    <t>RT @PaulMIllerVW: Are you into #DIY projects and LOVE the #VW brand? This fun project may be for you! #PaulMillerVW #HappySunday https://t.…</t>
  </si>
  <si>
    <t>eBay: VW bug rod baja beetle custome https://t.co/7gcpKp5brj #vwbeetle #vwbug #vw https://t.co/xvfL74PTgl https://t.co/gqBY7Ox4zz</t>
  </si>
  <si>
    <t>RT @ldnsecuritysynd: All clean and ready for another week of work. #vw #porsche #caddy… https://t.co/0znCFynjEd</t>
  </si>
  <si>
    <t>☀Victoria Solano☀</t>
  </si>
  <si>
    <t>My first edit 🔥🏁🚗 #tannerfoust #brightcamera #rockstarenergy #vw @TannerFoust https://t.co/EJQalpEtYB</t>
  </si>
  <si>
    <t>Proud To Be Mexican//@TannerFoust//TopGear US</t>
  </si>
  <si>
    <t>We had a fantastic time @ #santapod @ #vw #bigbang festival, just a few pics of #bigbobblehats great weekend</t>
  </si>
  <si>
    <t>eBay: VW Westfalia Camper Van T2 Early Bay 1971 https://t.co/p0uYaHhLWE #vwcamper #vwbus #vw https://t.co/ZEadscsjBy https://t.co/W33ebEbzQY</t>
  </si>
  <si>
    <t>Mascoche.net</t>
  </si>
  <si>
    <t>630.000 coches llamados a revisión por las #emisiones https://t.co/0GmadjPQnf #Opel #Porsche #Audi #Mercedes #VW https://t.co/VKoPhPgRIL</t>
  </si>
  <si>
    <t>http://t.co/6ESSVhqbLU, web especializada en el mundo de los coches. Pruebas, novedades, competición, actualidad, entretenimiento... Todo sobre coches.</t>
  </si>
  <si>
    <t>Divol Tlalnepantla</t>
  </si>
  <si>
    <t>Nada, ni el clima nos detiene, #VW, #DivolTlalnepantla. https://t.co/q5mxoKxTLc</t>
  </si>
  <si>
    <t>Tlalnepantla</t>
  </si>
  <si>
    <t>Concesionaria Premium Volkswagen</t>
  </si>
  <si>
    <t>DISEBO wa MOKONE</t>
  </si>
  <si>
    <t>Okay this man has officially invited ben10's in his life...#OPW #Vw</t>
  </si>
  <si>
    <t>Current -- Centurion</t>
  </si>
  <si>
    <t>Director/Managing Consultant/ Heaven Ambassodor/Mogul in the making./God fearing crazy woman/BESTEAinthecity No1 Fan. ♥*(One man too many)♥</t>
  </si>
  <si>
    <t>FanCar Picture - Send me your Scirocco pictures!!! (PM Please) #VW #Volkswagen #Scirocco #Tuning https://t.co/3HnMPjYLTK</t>
  </si>
  <si>
    <t>SOLD intl.</t>
  </si>
  <si>
    <t>Bitch better have my money... #VW #JETTA #eurosport #rotiform #autocon #soldintl #bitch… https://t.co/mF5SfgCZt5</t>
  </si>
  <si>
    <t>Good as Gold. SOLD</t>
  </si>
  <si>
    <t>Fun with fabric. Great looking Bug!! #vw #vwbug #vwdub #vwlove #vwporn #vwbeetle #bug #beetle… https://t.co/hjGniDu4x8</t>
  </si>
  <si>
    <t>Awesome! #rockstarenergy #vw #tannerfoust https://t.co/X1OYVyytew</t>
  </si>
  <si>
    <t>Rachel Arac</t>
  </si>
  <si>
    <t>All the Day's #News #Prince #QueenofEngland #VW #USA #entertainment https://t.co/1p7EARDQyE @autocorrects @HuffPostComedy @HuffPostPol</t>
  </si>
  <si>
    <t>info@rachelarac.com</t>
  </si>
  <si>
    <t>Transcendental Environmentalist. #AngelsMakingLove: https://t.co/GA5BHZgBJm</t>
  </si>
  <si>
    <t>patrick brennan</t>
  </si>
  <si>
    <t>Runner up in a strong mk1 field so over the moon ! Early edition #e38 #earlyedition #vw #mk1… https://t.co/3U8h15n2zT</t>
  </si>
  <si>
    <t xml:space="preserve">ipswich </t>
  </si>
  <si>
    <t>Chilled relaxed guy! love Arsenal fc enjoy the odd round of golf too ;) old vw's too</t>
  </si>
  <si>
    <t>My new toy #vw 🚗 #toy #mynewtoy #blue https://t.co/vFntHD7Xoe</t>
  </si>
  <si>
    <t>eBay: vw beetle 1972 for resto https://t.co/0eN9ukvRT6 #vwbeetle #vwbug #vw https://t.co/xvfL74PTgl https://t.co/FuIdg1rzN0</t>
  </si>
  <si>
    <t>eBay: W801jpc vw beetle 2.0 https://t.co/exRPmiLbKR #vwbeetle #vwbug #vw https://t.co/xvfL74PTgl https://t.co/hFYuxN8zz3</t>
  </si>
  <si>
    <t>#techhippie #mk7gtd #stancenation #mk7golf #gtd #apr #vagvw #turbo #aprperformance #lxrds #mk7 #7r #vw #dvpper #mk7… https://t.co/qCLNUkyG3K</t>
  </si>
  <si>
    <t>eBay: VW T2 DANBURY BRAZILLIAN BAY WINDOW CAMPER VAN 4 BERTH POWER… https://t.co/0xqpKBx1On #vwcamper #vwbus #vw https://t.co/ZEadscsjBy</t>
  </si>
  <si>
    <t>eBay: VW CAMPER VAN T2 https://t.co/qbVElgZZ2J #vwcamper #vwbus #vw https://t.co/ZEadscsjBy https://t.co/Nf3epcgEbT</t>
  </si>
  <si>
    <t>#techhippie Danke für das geile Wochenende, bis nächstes Jahr WSee2k17 @stfnspnkt @jsfne_2511 @dave_061187 #vw #vol… https://t.co/I5ntZVBZ9A</t>
  </si>
  <si>
    <t>MAMULAVACA</t>
  </si>
  <si>
    <t>RT @dubbusses: Day 2 of big bang VW festival #uk #vdubs #beetle #herbie #lowasfuck #uk #picoftheday #vw #vwcamper #santapodracewa… https:/…</t>
  </si>
  <si>
    <t>PUERTO RICO</t>
  </si>
  <si>
    <t>kapitao</t>
  </si>
  <si>
    <t>@cmrjpita E porque não sai a Alemanha da zona Euro? Porque se acham melhores que os outros?!? Sim, a manipular, é verdade! #VW</t>
  </si>
  <si>
    <t>Portugal</t>
  </si>
  <si>
    <t>Cidadão do mundo, interessado na cultura, política, direitos sociais, activismo e história.</t>
  </si>
  <si>
    <t>RT @dubbusses: Be sure to follow us for new content daily! #vw #vwlove #vwbus #vwbug #vwbeetle #vwcamper #vwlovers #classicvw #vw… https:/…</t>
  </si>
  <si>
    <t>#vw beetle volkswagen beetle 1965 https://t.co/yIvlN8Ft5e</t>
  </si>
  <si>
    <t>😎 Handsome #tannerfoust #rockstarenergydrink #vw https://t.co/XX0MUoNDlL</t>
  </si>
  <si>
    <t>https://t.co/LnoEfZiqeE - Having fun with my new skimo equipment 😊😍 #vw #vwt5 #lablanche… https://t.co/MAr4fmCMGN https://t.co/Ks8ANDXyO4</t>
  </si>
  <si>
    <t>RT @dubbusses: Splitty 's #VW #Volkswagen #Type2 #VWType2 #Camper #CamperVan #VWCamper #VWCamperVan #SplitScreen #Splitty #PanelVa… https:/…</t>
  </si>
  <si>
    <t>RT @dubbusses: The amazing adventures of Doris ... #vw #vwcamper #camping #spring #england #theenglishriviera #nature #beauty by s… https:/…</t>
  </si>
  <si>
    <t>RT @dubbusses: At last. The bus is out. This is good, because it means Summer. And adventures. #VW #vwbus #vwcamper #summer by … https:/…</t>
  </si>
  <si>
    <t>Jack Griffin</t>
  </si>
  <si>
    <t>Last night with auditown #VW #mk2 #gti #Audi #a5 https://t.co/zpvdoXOcWS</t>
  </si>
  <si>
    <t>fest</t>
  </si>
  <si>
    <t>#sebastienogier #vw #volkswagen #polor #vwwrc #volkswagenwrc SS 13 Villa Bustos - Tanti (II) https://t.co/uKmpAvDaGN</t>
  </si>
  <si>
    <t>argentina</t>
  </si>
  <si>
    <t>RAF</t>
  </si>
  <si>
    <t>@VW needs to make this their theme song once they buy back all those cars, including mine: https://t.co/akqxZsDR5N #vw @buybackmytdi</t>
  </si>
  <si>
    <t>Away Down South</t>
  </si>
  <si>
    <t>Commissioner, the Soul Train Fantasy football league . . . Lord, let me die in the Iodine State.</t>
  </si>
  <si>
    <t>Security whilst charging https://t.co/IhHMlf6Ojb #VW #eGolf #EV</t>
  </si>
  <si>
    <t>Betrugssoftware kommt gar nicht von #VW, sondern von #Audi https://t.co/rw9QqcXVuu</t>
  </si>
  <si>
    <t>Grïngø</t>
  </si>
  <si>
    <t>RT @WhiteRockVW: #MondayMotivation for #VW fans! https://t.co/eo7VBDZF3z</t>
  </si>
  <si>
    <t>kik: briannieves98, boricua, love football americano</t>
  </si>
  <si>
    <t>eBay: 'Sleeper' Teardrop Pod Caravan Trailer… https://t.co/V4XZ2EQTo6 #vwbeetle #vwbug #vw https://t.co/xvfL74PTgl https://t.co/0yNyklmN14</t>
  </si>
  <si>
    <t>eBay: 'Sleeper' Teardrop Pod Caravan Trailer… https://t.co/lBdd75co95 #vwcamper #vwbus #vw https://t.co/ZEadscsjBy https://t.co/SCyzMWf0hu</t>
  </si>
  <si>
    <t>G Man</t>
  </si>
  <si>
    <t>Hexgazauto</t>
  </si>
  <si>
    <t>Fer Diaz (Pifiox)</t>
  </si>
  <si>
    <t>Bienvenido a la flia mi blanquito 😊😊 #Vw #gacel #0000 #1.6 😊😊 ahora… https://t.co/RpCM0AzELF</t>
  </si>
  <si>
    <t>FIERROS!!.. :3 3</t>
  </si>
  <si>
    <t>Brett McNeil</t>
  </si>
  <si>
    <t>Taking a stand for the climate behind wheel of VW smogger. Yes it's a diesel! #Dieselgate #VW #BuybackCandidate https://t.co/bVX166GApW</t>
  </si>
  <si>
    <t>County of Cook</t>
  </si>
  <si>
    <t>Normcore | etc.</t>
  </si>
  <si>
    <t>Vag Meeting #caracas #clubvagvzla #vag #clubvag #grupovag #vw #audi #skoda #seat #venezuela #caracas #vr6 https://t.co/QjRwYMryLU</t>
  </si>
  <si>
    <t>Vag Meeting #caracas #clubvagvzla #vag #clubvag #grupovag #vw #audi #skoda #seat #venezuela #caracas https://t.co/Sp6pSvjAUz</t>
  </si>
  <si>
    <t>#vwbug #vw #dublife #carshow #beetlejuice #volkswagen @ Madera County Fairgrounds Madera, Ca https://t.co/quGwbkEI0Y</t>
  </si>
  <si>
    <t>eBay: Volkswagen Type 2 T2b (Late Bay) 1.6… https://t.co/IhZeYDOI3q #vwcamper #vwbus #vw https://t.co/ZEadscsjBy https://t.co/7StYxrpSKG</t>
  </si>
  <si>
    <t>eBay: BARGAIN CAMPER VAN/COMBI 2011 VW T5… https://t.co/Xk8b8MHI1q #vwcamper #vwbus #vw https://t.co/ZEadscsjBy https://t.co/qz3ERi14eC</t>
  </si>
  <si>
    <t>Steven</t>
  </si>
  <si>
    <t>When you go German, you don't go back. #vw #volkswagen #goldwatch #rich #luxury https://t.co/1w5Q0IYczv</t>
  </si>
  <si>
    <t>I'm someone between the guy next door and Christian Grey.</t>
  </si>
  <si>
    <t>eBay: 2007 VOLKSWAGEN BEETLE LUNA 75PS BLACK https://t.co/HGLKrcXJOB #vwbeetle #vwbug #vw https://t.co/xvfL74PTgl https://t.co/nz8H5qnCG5</t>
  </si>
  <si>
    <t>eBay: Vw beetle 1302s https://t.co/fnecCuPRrn #vwbeetle #vwbug #vw https://t.co/xvfL74PTgl https://t.co/VxjeCiyk6W</t>
  </si>
  <si>
    <t>Liam Bird</t>
  </si>
  <si>
    <t>The #VW Passat #Alltrack wasn't on my radar before this weekend, but after 500+miles I rate it as near brilliant. https://t.co/wlWIoMtQrh</t>
  </si>
  <si>
    <t>Shropshire Marches</t>
  </si>
  <si>
    <t>Liam Bird: Motoring Writer. A member of the Welsh Motoring Writers and an associate member of the Guild of Motoring Writers.</t>
  </si>
  <si>
    <t>ᅠ</t>
  </si>
  <si>
    <t>Campana</t>
  </si>
  <si>
    <t>snap: thomicastillo 16 Boca juniors. Aries♈</t>
  </si>
  <si>
    <t>TriplePundit.com</t>
  </si>
  <si>
    <t>Volkswagen to buy back cars in U.S.; Europe's deal is still frozen. https://t.co/Hloxvahw2b @janleethiem #CSR #VW #dieselgate</t>
  </si>
  <si>
    <t>SF &amp; Global</t>
  </si>
  <si>
    <t>A globally-read online publication on CSR, social entrepreneurship, green jobs, and the triple bottom line in sustainable business. A Certified B Corp.</t>
  </si>
  <si>
    <t>Sven G.</t>
  </si>
  <si>
    <t>HBS Germany</t>
  </si>
  <si>
    <t>Es gibt zu viel Ungerechtigkeit auf dieser Welt.Ich bin Deutscher meine Frau ist Russin.я из Германии,моя жена русская,у нас ребенок,я за Путина,я люблю Москву</t>
  </si>
  <si>
    <t>Daniel Beye</t>
  </si>
  <si>
    <t>#HannObama #OBAMAinHANNOVER Kein Besuch am #VW-Stand. Aber Lunch, Pressekonferenz, Dinner, G5 im von VW wieder aufgebauten Schloss.</t>
  </si>
  <si>
    <t>Passion für #Digital #Marketing #Consulting #Unternehmertum #Strategie #Management #Leadership</t>
  </si>
  <si>
    <t>William A. Williams</t>
  </si>
  <si>
    <t>RT @TriplePundit: Volkswagen to buy back cars in U.S.; Europe's deal is still frozen. https://t.co/Hloxvahw2b @janleethiem #CSR #VW #diesel…</t>
  </si>
  <si>
    <t>Public Policy Research and Analysis Opinions are my own.</t>
  </si>
  <si>
    <t>Mickey Singh</t>
  </si>
  <si>
    <t>RT @GoodGarageGroup: Know your warning lights and what they mean.. https://t.co/sSmBEkQ6Fp #WarningLight #VW https://t.co/rR02sL8INA</t>
  </si>
  <si>
    <t>- = Curta e compartilhe nossa página = - https://t.co/fUXkoGz0mA Siga no Instagram | @collection_vw #vw #vwlove… https://t.co/DQ0qDE5SYr</t>
  </si>
  <si>
    <t>Nice bug at Santa pod raceway #volkswagen #vw #vwbug #vwbeetle #vwporn #vwcamper #aircooled #clouds #santapod #race… https://t.co/BLbNxzuueC</t>
  </si>
  <si>
    <t>Big Bang 2016 #bigbang #bigbang2016 #santapod #santapodraceway #vw #volkswagen #vwbeetle #vwbug #beetle #bug #shiny… https://t.co/Oo6hlduiVQ</t>
  </si>
  <si>
    <t>Big Bang 2016 my fav of the weekend! #vw #volkswagen #santapod #santapodraceway #bug #beetle #vwbeetlecabriolet #ca… https://t.co/xRX88uw4LL</t>
  </si>
  <si>
    <t>#lowandslow #slammed #stance #samba #volkswagen #vw #vws #volks #vwbug #vwbus #vwlife #vwlove #vwporn #vwworld #vwb… https://t.co/TNH27hYFHc</t>
  </si>
  <si>
    <t>Diverse #vw T3 Campers #tehuur #vrijheid #vwcamper vanaf €195,- per weekend! (Vrijdag-Maandag) #reizen #camperlife … https://t.co/mNEAtc2Mf5</t>
  </si>
  <si>
    <t>Nice bug at Santa pod raceway #volkswagen #vw #vwbug #vwbeetle #vwporn #vwcamper #aircooled #clouds #santapod #race… https://t.co/t85dSV0kZU</t>
  </si>
  <si>
    <t>#lowandslow #slammed #stance #samba #volkswagen #vw #vws #volks #vwbug #vwbus #vwlife #vwlove #vwporn #vwworld #vwb… https://t.co/TEZT66LQMp</t>
  </si>
  <si>
    <t>Diverse #vw T3 Campers #tehuur #vrijheid #vwcamper vanaf €195,- per weekend! (Vrijdag-Maandag) #reizen #camperlife … https://t.co/9G1H7RK4D8</t>
  </si>
  <si>
    <t>#vw #vwcamper #silcoatescarshow #wakefield by geoparfitt https://t.co/KKoL4JaB54</t>
  </si>
  <si>
    <t>I think needs to be lower at the front - views ? My #1969 #vw #type2 #westfalia #westy #camper #vwbus #vwtype2 #vw… https://t.co/EpwD2KFlJ4</t>
  </si>
  <si>
    <t>eBay: VW BEETLE GT. https://t.co/LoGrNAqNyJ #vwbeetle #vwbug #vw https://t.co/xvfL74PTgl https://t.co/Evco9u6RH5</t>
  </si>
  <si>
    <t>eBay: 2001 1.9TD VW Transporter T4 Camper with… https://t.co/Yg0yy8IxLd #vwcamper #vwbus #vw https://t.co/ZEadscsjBy https://t.co/xy4JtDTluf</t>
  </si>
  <si>
    <t>eBay: vw camper T25 1983 Petrol Water cooled… https://t.co/BYYdUdB5qS #vwcamper #vwbus #vw https://t.co/ZEadscsjBy https://t.co/nUHkx61lxB</t>
  </si>
  <si>
    <t>Mariano Prado</t>
  </si>
  <si>
    <t>Zaragoza, Esp</t>
  </si>
  <si>
    <t>Passionate about #CSR #entrepreneurship. Apasionado #RSE #RSC y #Emprendedores. Miembro @rse_ararse. @IEbusiness, MASTER RSC UNED</t>
  </si>
  <si>
    <t>CSR Dispatch</t>
  </si>
  <si>
    <t>Volkswagen to buy back cars in U.S.; Europe's deal is still frozen. https://t.co/6TsFPepnQA @janleethiem #CSR #VW #dieselgate</t>
  </si>
  <si>
    <t>Tweeting news on Corporate Social Responsobility</t>
  </si>
  <si>
    <t>Stephen Suplita</t>
  </si>
  <si>
    <t>Hitting the trails today at the first VW show of the year. #dustoff #cva #vw @ Mansfield Hollow… https://t.co/ZTavKiCkTm</t>
  </si>
  <si>
    <t>home</t>
  </si>
  <si>
    <t>Armando Herrera™</t>
  </si>
  <si>
    <t>Aunque cuando al fin arrancará me tenía que fumar todo el humo. #VW ❤💨 https://t.co/33I3oZANqR</t>
  </si>
  <si>
    <t>Born to lose. Live to win. LS09.</t>
  </si>
  <si>
    <t>Juanii</t>
  </si>
  <si>
    <t>Salazar - Partido de Daireaux</t>
  </si>
  <si>
    <t>Mi familia y mis amigos❤//De algún 10 de junio de 2002//Hincha de San Lorenzo//Fanática de el Indio Solari//Hay que vivir y ser feliz//</t>
  </si>
  <si>
    <t>MeMyselfAndGeek</t>
  </si>
  <si>
    <t>#LittleMoDaBus coming along nicely. My much left to do. #VW #T5 https://t.co/3loAVUweUw</t>
  </si>
  <si>
    <t>Developer, Manager, Designer, Website Creator</t>
  </si>
  <si>
    <t>gabor_ibranyi! #Bbs #Rm #original4x100 #Bbsrm #kinemszarjale #vw #volkswagen #vwgolf golfmk2 #vwdepo #golfvr6... https://t.co/v6jwjxuefS</t>
  </si>
  <si>
    <t>SuperMotorOnline</t>
  </si>
  <si>
    <t>El nuevo #VW #Tiguan llegan en los próximos meses a los concesionarios, pero ya podéis hacer pedidos! https://t.co/d5Wy8iYxuP</t>
  </si>
  <si>
    <t>Toda la información del #motor y pruebas de #coches</t>
  </si>
  <si>
    <t>RT @alexnymi24: Dai che prendiamo il touareg #vw #touareg #newcar #family</t>
  </si>
  <si>
    <t>#VW brand chief 'confident' of solving cost-cutting row with labor https://t.co/eUchMFQI0Z #business</t>
  </si>
  <si>
    <t>https://t.co/vTRr8pZylx - Following @chrix88 👌👌#vw #vwt5 #vwtransporter #lowdowntransport… https://t.co/mfOw7zdyD6 https://t.co/UwUMiTQyKe</t>
  </si>
  <si>
    <t>Maryy</t>
  </si>
  <si>
    <t>LaPata-Argentina</t>
  </si>
  <si>
    <t>LA 14-RIVER PLATE MI VIDA//Normal 1// Snapchat: Marianellafrias Insta: Mela_frias //Callejeros</t>
  </si>
  <si>
    <t>another angle off my g60 #vw #vwgolf #mk1golf #g60 #dub #dublife #boost #tig #tigweld #weldporn by richyricuk https://t.co/e7RX0VAKnY</t>
  </si>
  <si>
    <t>@route_32_that_mk1_golf_ at #earlyedition today picking up best in show 🏆🙌🏼 - - #Vw #volkswagen #mk1golf #golfmk1 #… https://t.co/68hnkRMSDG</t>
  </si>
  <si>
    <t>Good night! #vw #volkswagen #golf #1 #Cabrio #mk1Golf #lovers #lowcarb #erdbeerkörbchen #Wörthersee #faakersee #vw… https://t.co/9RJCkhFdQ1</t>
  </si>
  <si>
    <t>Took this on our way out off Velden. Officially our last photo #mk1 #golfmk1 #mk1golf #vw #volkswagen #vdub #bbs #… https://t.co/mfOFRfPxKM</t>
  </si>
  <si>
    <t>Gina Festa</t>
  </si>
  <si>
    <t>@HomeDepot ..to start my flower box .. Umm I hope I can get all this into my beetle #vw #flowers 🌹🌷🌼🌸🌻🌺💐 https://t.co/HpWMK4kd02</t>
  </si>
  <si>
    <t>You can't always wait for the perfect moment. Life is too short to regret and wonder.. A true Pisces Woman♋️</t>
  </si>
  <si>
    <t>https://t.co/cMrprQZ4YV - The bus is finally getting out @t5faw @fixawheel #vw #earlyedit… https://t.co/ZbI5Csn2He https://t.co/ntwmOKfrDj</t>
  </si>
  <si>
    <t>RT @dubbusses: Nice bug at Santa pod raceway #volkswagen #vw #vwbug #vwbeetle #vwporn #vwcamper #aircooled #clouds #santapod #race… https:/…</t>
  </si>
  <si>
    <t>The Curious Ewe</t>
  </si>
  <si>
    <t>@BarryDesignWeb phew! So wasn't hallucinating after all #Jumpstart #jumpstart2016 #vw #aircooled #Swan</t>
  </si>
  <si>
    <t>Co. Offaly, Ireland</t>
  </si>
  <si>
    <t>Based in the midlands of Ireland. We sell lovely things to lovely people - incense, ash catchers, dreamcatchers, handmade jewellery, fair trade artisan products</t>
  </si>
  <si>
    <t>eBay: VW Beetle https://t.co/Ms3TfvL4hL #vwbeetle #vwbug #vw https://t.co/xvfL74PTgl https://t.co/PxSyYDkmA1</t>
  </si>
  <si>
    <t>https://t.co/nm0VxjH9C8 - Throwback to old van 🚐😀 #vwcamper #vwt4 #vw #vanlife #transport… https://t.co/jNLQJ8gtRc https://t.co/cQN3htCcvI</t>
  </si>
  <si>
    <t>eBay: VW T4 AUTOSLEEPER CAMPER VAN VOLKSWAGON… https://t.co/l8jH4yIWsJ #vwcamper #vwbus #vw https://t.co/ZEadscsjBy https://t.co/S92HpQADhl</t>
  </si>
  <si>
    <t>eBay: VW Beetle 2001 1.6 petrol Spares or… https://t.co/oexRnQpor7 #vwbeetle #vwbug #vw https://t.co/xvfL74PTgl https://t.co/mRmT1viv8k</t>
  </si>
  <si>
    <t>Churritaaa</t>
  </si>
  <si>
    <t>#Vw #alpiso https://t.co/Wj3TxIzvNi</t>
  </si>
  <si>
    <t>Wsp 1552592903 FB: Gaston Burruchaga</t>
  </si>
  <si>
    <t>mark angel</t>
  </si>
  <si>
    <t>39th annual Sharonville car show. #mexibeetle #vw #beetle #vocho #volkswagen #sharonvillecarshow… https://t.co/2izL8BKEPU</t>
  </si>
  <si>
    <t>cincinnati ohio</t>
  </si>
  <si>
    <t>RT @Insta_VWT: https://t.co/nm0VxjH9C8 - Throwback to old van 🚐😀 #vwcamper #vwt4 #vw #vanlife #transport… https://t.co/jNLQJ8gtRc https://t…</t>
  </si>
  <si>
    <t>https://t.co/vTRr8pZylx - Following @chrix88 👌👌#vw #vwt5 #vwtransporter #lowdowntransport… https://t.co/mfOw7zdyD6 https://t.co/iAo03XGjAE</t>
  </si>
  <si>
    <t>https://t.co/cMrprQZ4YV - The bus is finally getting out @t5faw @fixawheel #vw #earlyedit… https://t.co/ZbI5Csn2He https://t.co/BTPOpJZPXb</t>
  </si>
  <si>
    <t>https://t.co/nm0VxjH9C8 - Throwback to old van 🚐😀 #vwcamper #vwt4 #vw #vanlife #transport… https://t.co/jNLQJ8gtRc https://t.co/5vtNRuH56U</t>
  </si>
  <si>
    <t>hugo garcia</t>
  </si>
  <si>
    <t>Project #VW in full effect #mk3 #golf #jetta #hardwork #mods #mcmd #sunday #funday https://t.co/whC30D113v</t>
  </si>
  <si>
    <t>Montebello, CA</t>
  </si>
  <si>
    <t>LIVE LIFE WITHOUT REGREAT</t>
  </si>
  <si>
    <t>Wakefield Lover</t>
  </si>
  <si>
    <t>RT @dubbusses: #vw #vwcamper #silcoatescarshow #wakefield by geoparfitt https://t.co/KKoL4JaB54</t>
  </si>
  <si>
    <t>Wakefield, England</t>
  </si>
  <si>
    <t>The best place on Twitter for everything #Wakefield - find all you need in Wakefield here!</t>
  </si>
  <si>
    <t>eBay: vw t25 camper https://t.co/oyShack7h8 #vwcamper #vwbus #vw https://t.co/ZEadscsjBy https://t.co/Dhj08vbk7e</t>
  </si>
  <si>
    <t>eBay: VW beetle karmann convertible 1962 https://t.co/4BPYysUw7R #vwbeetle #vwbug #vw https://t.co/xvfL74PTgl https://t.co/jZgMaHX2Yh</t>
  </si>
  <si>
    <t>eBay: VW TRANSPORTER 4MOTION CAMPER (NO VAT)… https://t.co/BubKgOEXAY #vwcamper #vwbus #vw https://t.co/ZEadscsjBy https://t.co/iYCe3Mgu4T</t>
  </si>
  <si>
    <t>ProClip USA</t>
  </si>
  <si>
    <t>How To Install a #VolkswagenGolf GTI VI Car Phone Mount: https://t.co/TnAume9Jyb #VWGolf #VW #VWlove https://t.co/UlSgo9piYI</t>
  </si>
  <si>
    <t>We provide great solutions for mounting smartphones, tablets, GPS and other devices in your car.</t>
  </si>
  <si>
    <t>What's your favorite #Ghia year? #ACVWPassion #Volkswagen #VW https://t.co/ptQHWSsF66</t>
  </si>
  <si>
    <t>Universenme Peter C</t>
  </si>
  <si>
    <t>@MarkRWheeler2 https://t.co/n5Tf4DkTTk lol I wouldn't buy a diesel #VW from this guy! greedy minds always cheat!</t>
  </si>
  <si>
    <t>#Love your self, someone or something, guaranteed to make you feel good! I love #Humour and #Humanity! I hate no one, #brother or #sister Cheers!</t>
  </si>
  <si>
    <t>#VW Hamme https://t.co/YABKgYZSXQ</t>
  </si>
  <si>
    <t>FanCar Picture - Send me your Scirocco pictures!!! (PM Please) #VW #Volkswagen #Scirocco #Tuning https://t.co/7v6Xf5VBzA</t>
  </si>
  <si>
    <t>PİSTON KAFALAR</t>
  </si>
  <si>
    <t>Yeni Caddy Exclusive Standartları İle Dikkat Çekiyor https://t.co/cxaWsqmBu6 #vw #Caddy https://t.co/JCrLfX41JD</t>
  </si>
  <si>
    <t>Otomobil Haber, E-Ticaret ve İlan Sayfası Türkiye'nin En Kapsamlı İlk ve Tek Kurumsal Otomobil Portalı http://t.co/kh5Kl7Xkgp</t>
  </si>
  <si>
    <t>Cpt. Luke</t>
  </si>
  <si>
    <t>Do you like this? ;) #VW XL1 https://t.co/lZgiUReV6y</t>
  </si>
  <si>
    <t>Slovensko, Martin</t>
  </si>
  <si>
    <t>Indie Game Creator</t>
  </si>
  <si>
    <t>Jamie</t>
  </si>
  <si>
    <t>Couldn't stop looking at kieranballard's wheels #volkswagen #vw #passat #passatrline… https://t.co/SosW2q5jMb</t>
  </si>
  <si>
    <t>Photo Taker, Video Maker, Graphic Designer, VW Driver.</t>
  </si>
  <si>
    <t>eBay: vw t5 camper van lwb NO VAT https://t.co/HMJvrHLy1P #vwcamper #vwbus #vw https://t.co/ZEadscsjBy https://t.co/yGPvJNArK2</t>
  </si>
  <si>
    <t>VW upbeat on China, plans more investments with JVs https://t.co/Eqpopywgkx #VW #AutoNews</t>
  </si>
  <si>
    <t>wassup</t>
  </si>
  <si>
    <t>https://t.co/cuXnKAzhi7 #cars #машины #auto #авто #тачила #rt #follow #rotiform classics #Audi RS2 #VW MK1 #rot… https://t.co/u4pYZIjBsp</t>
  </si>
  <si>
    <t>#art #ifckr #girls #myexxx #cars</t>
  </si>
  <si>
    <t>Maka∞ ‏</t>
  </si>
  <si>
    <t>(ง'̀-'́)ง</t>
  </si>
  <si>
    <t>eBay: Volkswagen T4 Transporter Camper… https://t.co/S3XUm2haSU #vwcamper #vwbus #vw https://t.co/ZEadscsjBy https://t.co/nErECp81xh</t>
  </si>
  <si>
    <t>Victoria Thomas</t>
  </si>
  <si>
    <t>T5 converted for sale if anyone's Interested message me for details #forsale #t5 #transporter #camper #vw #camping https://t.co/bNU3YtVevy</t>
  </si>
  <si>
    <t>RT @PistonKafalar: Yeni Caddy Exclusive Standartları İle Dikkat Çekiyor https://t.co/cxaWsqmBu6 #vw #Caddy https://t.co/JCrLfX41JD</t>
  </si>
  <si>
    <t>Enthusiast Apparel</t>
  </si>
  <si>
    <t>Rad Beetle at the Madera Spring Fling | #vw #vwbug #volkswagen #beetle #volksrod #automoti… https://t.co/6iKpEW2MOW https://t.co/kliMwXBzHX</t>
  </si>
  <si>
    <t>Drive Hard / Never Lift</t>
  </si>
  <si>
    <t>RT @johnwhalvin: Great first day's racing at @SantaPodRaceway #Volkswagen #vw #bigbangshow #kerbsidekustoms https://t.co/XUEf7eqZvG</t>
  </si>
  <si>
    <t>Michael Rosenow</t>
  </si>
  <si>
    <t>Of course you will. #vw #diesel #vanityplatesofil https://t.co/ppB3wTX8CY</t>
  </si>
  <si>
    <t>New father! Industrial Hygienist, nanomaterial/ESH dude, Boxer dog fan, vanpooler &amp; sharer or multiple personal topics of interest!</t>
  </si>
  <si>
    <t>Finally got the body mount and inner arch in🙌🏻 #Volkswagen #vw #vwbeetle #beetle #classicbeetle #bug #73bug #resto … https://t.co/LLMUaChPWw</t>
  </si>
  <si>
    <t>Bug love. #vw #vwbug #vwlife #vwlove #vwbeetle #vwclassic #vwgirl by chickparker https://t.co/WLE21sBPQa</t>
  </si>
  <si>
    <t>An afternoon shopping has resulted in turning my car into a garden 😆 #vw #beetle #vwbeetle #vwbug #flowers #Spring … https://t.co/5ztdcxXmvf</t>
  </si>
  <si>
    <t>@importexpo @clean_culture #cleanculture #vw #euro #bettle #jdm #vwbeetle #volkswagen by vera__7 https://t.co/vFKHRH6QCt</t>
  </si>
  <si>
    <t>Mint #vw #beetle #oldschoolmotors #vwbeetle#horsepoweratthehall by daniel_field_35 https://t.co/Bm1VQH4HSe</t>
  </si>
  <si>
    <t>#vw #beetle #vwbeetle #horsepoweratthehall by daniel_field_35 https://t.co/bBzlTNPuGC</t>
  </si>
  <si>
    <t>Diverse #vw T3 Campers #tehuur #vrijheid #vwcamper vanaf €195,- per weekend! (Vrijdag-Maandag) #reizen #camperlife … https://t.co/vvFuQxXKHY</t>
  </si>
  <si>
    <t>I see your potential, even if nobody else does. #vw #vws #vdub #vwlife #vwlove #vwlover #vwlovers #vwaddict #vwalld… https://t.co/fLNFFfTD13</t>
  </si>
  <si>
    <t>Sunday Funday. #vw #atlanta #volkswagen #tree #classiccar #atlantaphotographer #vwbus #atl #atlantaphotography #ai… https://t.co/ZiRhspZ1ei</t>
  </si>
  <si>
    <t>My new figure head Melissa, where's the tigerseal?! #VW #volkswagen #t2 #camper #campervan #bus #buslife #vwcamper … https://t.co/imrrwFvhV0</t>
  </si>
  <si>
    <t>T2 baywindow camper detail ready for the summer sun. Beautiful. #volkswagen #vw #t2 #detailed #protected #vwt2 #vwc… https://t.co/Qjsh8m61jP</t>
  </si>
  <si>
    <t>T2 baywindow camper detail ready for the summer sun. Beautiful. #vw #t2 #detailed #protected #vwt2 #vwcamper #baywi… https://t.co/zt2iQfVsjX</t>
  </si>
  <si>
    <t>eBay: LEFT HAND DRIVE VW MULTIVAN T5 2.5 TDI… https://t.co/TkzRhD1uYn #vwcamper #vwbus #vw https://t.co/ZEadscsjBy https://t.co/sE6esGMqrT</t>
  </si>
  <si>
    <t>#vw beetle Vw beetle 1302s https://t.co/xz7QiNZiEx</t>
  </si>
  <si>
    <t>#vw beetle VW Beetle https://t.co/rQtHSYnDkP</t>
  </si>
  <si>
    <t>#vw beetle VW beetle karmann convertible 1962 https://t.co/ZHzHwhH2JS</t>
  </si>
  <si>
    <t>Check out this #HotDeal 🔥 #VW Transporter T26 Starline Panel Van. Nationwide delivery..http…/buff.ly/23SZeYW https://t.co/PT2ma25Kpi</t>
  </si>
  <si>
    <t>Beadstorm Designs</t>
  </si>
  <si>
    <t>Our vdub JEF this weekend at #VW #vdub #bigbang @SantaPodRaceway https://t.co/AgaPy1ImlB</t>
  </si>
  <si>
    <t>St Neots, Cambridgeshire, UK</t>
  </si>
  <si>
    <t>Silver jewellery hand carved by Sarah Cain &amp; Roxane Ryan bespoke designs Love wildlife, love quirky jewellery Galleries/online/Etsy, https://t.co/JbyrJimUOr</t>
  </si>
  <si>
    <t>Franco Donelli</t>
  </si>
  <si>
    <t>Muy bueno #WRC #arg #vw https://t.co/iZ8KCAVUTi</t>
  </si>
  <si>
    <t>CARLOS TOLOSA</t>
  </si>
  <si>
    <t>@andrealbarello @mauroszeta @javierbarbis @vwargentina inicia mediación cita al concesionario y a #vw Y luego si no arreglas sigue</t>
  </si>
  <si>
    <t>abogado, ciudad autonoma de buenos aires, fana de river</t>
  </si>
  <si>
    <t>eBay: vw beetle 1971 https://t.co/DelXSbW4MR #vwbeetle #vwbug #vw https://t.co/xvfL74PTgl https://t.co/je2wnMp9ff</t>
  </si>
  <si>
    <t>eBay: VW CLASSIC BEETLE 1973 Converted… https://t.co/oCnqIO3T0r #vwbeetle #vwbug #vw https://t.co/xvfL74PTgl https://t.co/gKHzkplhdS</t>
  </si>
  <si>
    <t>eBay: VW Camper 1981 T25 Transporter https://t.co/pTnjEZ0pQM #vwcamper #vwbus #vw https://t.co/ZEadscsjBy https://t.co/HHLqi1N7Ox</t>
  </si>
  <si>
    <t>VW WESTFALIA CAMPER R H D: £100.00 (0 Bids)End Date: Sunday May-1-2016 20:48:32 BSTBid now | Add to wa... https://t.co/LAweudMVOV #vw</t>
  </si>
  <si>
    <t>Cameron Gruntman</t>
  </si>
  <si>
    <t>RT @HeelTo3: Rad Beetle at the Madera Spring Fling | #vw #vwbug #volkswagen #beetle #volksrod #automoti… https://t.co/6iKpEW2MOW https://t.…</t>
  </si>
  <si>
    <t>Goshen, IN</t>
  </si>
  <si>
    <t>Living the Dream. 5th Generation Fabricator. Corporate Director and Secretary of R&amp;D Metal Fab, Inc.</t>
  </si>
  <si>
    <t>To Gurgaon #EveningDrive #VW #Red #Polo #Sunset #PhonePhotography #ShotOniPhone6 #iPhone6 … https://t.co/K5PBsdtOa4 https://t.co/cVFb1vZe5X</t>
  </si>
  <si>
    <t>My drive with Mother Nature #Throwback #VW #Red #Polo #EarlyMorning #MorningDrive #Forest … https://t.co/NVqz1wFxjG https://t.co/OnFaYEYoZN</t>
  </si>
  <si>
    <t>#yearagotoday #mk1golf #mk1golfgti #golfmk1gti #vw #vwclassic #volkswagen #1983 #mk1family #projectmk1golfgti by v… https://t.co/e4PIeYyCQM</t>
  </si>
  <si>
    <t>📷 VW -E38 📷 #e38 #edition38 #carshow #cars #photography #vw #nikon #mk1golf #mk1 by liambetts2001 https://t.co/Fth7FDCROS</t>
  </si>
  <si>
    <t>eBay: VW WESTFALIA CAMPER R H D https://t.co/Xc2kNb5zs3 #vwcamper #vwbus #vw https://t.co/ZEadscsjBy https://t.co/tQPrsUVOd2</t>
  </si>
  <si>
    <t>Nicki Cotton</t>
  </si>
  <si>
    <t>RT @beadstormdesign: Our vdub JEF this weekend at #VW #vdub #bigbang @SantaPodRaceway https://t.co/AgaPy1ImlB</t>
  </si>
  <si>
    <t>HR Manager at the magnificent Lucknam Park Hotel and Spa. Love working in hospitality! Supporter of Gloucester Rugby. Laughter and happiness is key</t>
  </si>
  <si>
    <t>RT @luchygonzalez7: #SRS #Gálvez #Vw #Cruze @streetracingsrs @LimandoElPisoPM https://t.co/mGr3ymaxbQ</t>
  </si>
  <si>
    <t>Ramiro Piñeiro</t>
  </si>
  <si>
    <t>Monte grande</t>
  </si>
  <si>
    <t>Club Atletico Independiente||⚽=❤|| Amor por los cuatriciclos||14 años|| Boxeador|| Kick boxing</t>
  </si>
  <si>
    <t>Saanti✌</t>
  </si>
  <si>
    <t>#5//Un buen jugador, No es el mejor del equipo, Es el que hace que el equipo sea mejor✌//1532822760//snap: santicorbalan5</t>
  </si>
  <si>
    <t>DelMaterno♥</t>
  </si>
  <si>
    <t>Soy de peñarol desde la cuna hasta el cajon....</t>
  </si>
  <si>
    <t>El #nuevo #VW #Beetle #Dune con motor turbo 2.0l #TSI y 210 HP🌶 Luce en #Baja #California 😎 #HechoEnMéxico #vocho 🇲🇽 https://t.co/aDp94F0zcU</t>
  </si>
  <si>
    <t>Leandro⚽</t>
  </si>
  <si>
    <t>l Boca Juniors | 15 | Si el fútbol fuera pecado yo estaría en el infierno l ❤=⚽ l</t>
  </si>
  <si>
    <t>eBay: Volkswagen transporter t5 fully… https://t.co/5gfo6urdHZ #vwcamper #vwbus #vw https://t.co/ZEadscsjBy https://t.co/EIkgtFkQ6R</t>
  </si>
  <si>
    <t>eBay: VW Beetle 2005 https://t.co/9QOYEWSalx #vwbeetle #vwbug #vw https://t.co/xvfL74PTgl https://t.co/gRnU2TFZJX</t>
  </si>
  <si>
    <t>eBay: vw transporter T5 4motion camper Show van https://t.co/53nfwXvapL #vwcamper #vwbus #vw https://t.co/ZEadscsjBy https://t.co/131bWh7HdZ</t>
  </si>
  <si>
    <t>eBay: 2003 Volkswagen Beetle 1.8 20 valve… https://t.co/sG3NtEoPQZ #vwbeetle #vwbug #vw https://t.co/xvfL74PTgl https://t.co/iJJvIGIOv7</t>
  </si>
  <si>
    <t>lukachino</t>
  </si>
  <si>
    <t>Love my baby. #vw #classiccar #awesome https://t.co/39xFCNvlJd</t>
  </si>
  <si>
    <t>A little ways past insanity</t>
  </si>
  <si>
    <t>Artist, Guitarist, Gamer, and Blogger, as well as Youtuber by the same name of LukaChino! Follow me for art and more.</t>
  </si>
  <si>
    <t>Fede Rossi</t>
  </si>
  <si>
    <t>marcos paz</t>
  </si>
  <si>
    <t>es como estar con un angel q me abraza con sus alas</t>
  </si>
  <si>
    <t>mydorsetpark</t>
  </si>
  <si>
    <t>RT @dubbusses: Exploring in style with @zenara00 #vw #vwcamper #vdub #vwbus #voltswagon #van #campervan #dorset #studland #vdubs #… https:/…</t>
  </si>
  <si>
    <t>Dorset, England</t>
  </si>
  <si>
    <t>- Directory of Holiday Parks in Dorset - Tweets by Karen</t>
  </si>
  <si>
    <t>Andrea Albarello</t>
  </si>
  <si>
    <t>RT @CARLOSATOLOSA: @andrealbarello @mauroszeta @javierbarbis @vwargentina inicia mediación cita al concesionario y a #vw Y luego si no ar…</t>
  </si>
  <si>
    <t>Pilar, Bs As</t>
  </si>
  <si>
    <t>Periodista, productora Canal 9</t>
  </si>
  <si>
    <t>Tobbe Nerv</t>
  </si>
  <si>
    <t>eBay: VW T25 Camper Van https://t.co/Qy4NHehZtV #vwcamper #vwbus #vw https://t.co/ZEadscsjBy https://t.co/AbSDGPJocm</t>
  </si>
  <si>
    <t>eBay: Full Camper van Conversion VW T4 T5… https://t.co/FCUjRX1Jke #vwcamper #vwbus #vw https://t.co/ZEadscsjBy https://t.co/5GIJ3AnRzt</t>
  </si>
  <si>
    <t>Laramy Ruso</t>
  </si>
  <si>
    <t>Que paso @BMWMex!!! Su logo en esta imagen parace el de #VW!! Y este me recuerda mucho al #VWGolfGTI 😒😒😒</t>
  </si>
  <si>
    <t>en el tren de la locura</t>
  </si>
  <si>
    <t>sociopata, burlón, sarcástico y nuevo en Twitter, me importa un bledo lo que piensen.. no me sigan, nooo me sigan.</t>
  </si>
  <si>
    <t>What a paint job was amazing well done olskoolrogers modifiedvans #vwt5 #vw #bigbang #santapod… https://t.co/kTqq7gVzHn</t>
  </si>
  <si>
    <t>Este tweet de #VW demuestra ingenio, creatividad y caballerosidad. ¡Congrats @vwrallytheworld y @HMSGOfficial! https://t.co/PhsQNCi645</t>
  </si>
  <si>
    <t>Andy Avery</t>
  </si>
  <si>
    <t>RT @shoptigerseye: We want to adventure in this bad boy ⚡️⚡️⚡️ #oneday #vw #campervan #travels #love #shoptigerseye https://t.co/6hchkidVqA</t>
  </si>
  <si>
    <t>Manchester</t>
  </si>
  <si>
    <t>McDonaldWorley.com</t>
  </si>
  <si>
    <t>VW Emissions Scandal Lawsuit [Affected Models &amp; Year List] -- https://t.co/Fhkg93QOSR #VWLawsuit #VW #ConsumerFraud https://t.co/Zhdq6eLEyD</t>
  </si>
  <si>
    <t>Hard fighting lawyer, committed, honest, seeking the best in everything we do. Have dedicated my life to serving others.</t>
  </si>
  <si>
    <t>Daniel Hall</t>
  </si>
  <si>
    <t>Man lär ju köra mer än Saab numera... Extrabil är bra att ha. #vw #transportmedel #atillb #golf… https://t.co/WaPHiS4FjM</t>
  </si>
  <si>
    <t>värmland</t>
  </si>
  <si>
    <t>Fiske (helst flugfiske), träning, färjestad, xbox, familj, mma... Fishing (pref. flyfishing), working out, my local hockey team farjestad, xbox, family, mma...</t>
  </si>
  <si>
    <t>#ADAM</t>
  </si>
  <si>
    <t>اليوم سيارتي صكرت 100000km بالتمام والكمال 😄 #VW #GOLF6 🚗 https://t.co/IiwCnohNMX</t>
  </si>
  <si>
    <t xml:space="preserve">Taballino | Benghazi </t>
  </si>
  <si>
    <t>eBay: vw 61 bug https://t.co/oxeJeuhCz2 #vwbeetle #vwbug #vw https://t.co/xvfL74PTgl https://t.co/0k6ew4BVdM</t>
  </si>
  <si>
    <t>RT @StanceVw: #stance #vw #volkswagen http://t.co/a898ZssnsU</t>
  </si>
  <si>
    <t>RT @StanceVw: #stance #vw #volkswagen http://t.co/GPsBGjIjQq</t>
  </si>
  <si>
    <t>TheTipsyPigs</t>
  </si>
  <si>
    <t>Our baby girl Tipsy is due to be finished this week. Can't wait. #VWporn #vwcamper #VW #catering #mobilecocktailbar https://t.co/XSGylLVMP1</t>
  </si>
  <si>
    <t>Event Catering, Hog roasts, BBQ, VW campervan mobile bar, private &amp; corporate, throughout UK #Catering #Events #HogRoast #BBQ #Cocktails #Campervan #VW</t>
  </si>
  <si>
    <t>Amy lovell</t>
  </si>
  <si>
    <t>RT @TheTipsyPigs: Our baby girl Tipsy is due to be finished this week. Can't wait. #VWporn #vwcamper #VW #catering #mobilecocktailbar https…</t>
  </si>
  <si>
    <t>RT @3SDMwheels: #3sdm 0.08 #vw http://t.co/kp4uNs50vr</t>
  </si>
  <si>
    <t>Blog Esprit Design</t>
  </si>
  <si>
    <t>Bien choisir son carrosse... https://t.co/WI3egc1bZR #inspiration #design #vw #volkswagen #van #t1 #vintage https://t.co/YjCIwxHcu3</t>
  </si>
  <si>
    <t>Lyon - France</t>
  </si>
  <si>
    <t>French Daily Design Blog since 2008</t>
  </si>
  <si>
    <t>Tony Lemâle</t>
  </si>
  <si>
    <t>espritdesign: Bien choisir son carrosse... https://t.co/6cXEN73SF4 #inspiration #design #vw #volkswagen #van #t1 #vintage …</t>
  </si>
  <si>
    <t>Architecte Intérieur et Décorateur Intérieur - 11 ans de réalisations - 2004/2015 - #décoration #architecture #interieur co-fondateur du réseau #HomeLovers</t>
  </si>
  <si>
    <t>eBay: 1966 VOLKSWAGEN SPLITSCREEN CAMPER https://t.co/aVHB9Mdajx #vwcamper #vwbus #vw https://t.co/ZEadscsjBy https://t.co/Z57OtYIwnq</t>
  </si>
  <si>
    <t>Abstract Watercolor: 'Volkswagen Beetle Abstract' - https://t.co/M2XijDG2rE #VW #Beetle #Vintage</t>
  </si>
  <si>
    <t>WholeBoardDevelopmnt</t>
  </si>
  <si>
    <t>RT @ClassActionsLaw: $VLKAF $VLKAY $VLKPF $VLKPY investors seek to recover losses after #VW discloses #VWScandal #CORPGOV https://t.co/fJ4F…</t>
  </si>
  <si>
    <t>Oxford / Bristol</t>
  </si>
  <si>
    <t>Developing the whole board - helping to turn dysfunctional boards into effective boards</t>
  </si>
  <si>
    <t>mouad ennadir</t>
  </si>
  <si>
    <t>#vw #coccinelle #kafer #buragocollection #miniaturecollection #beetle #combi #volkswagen #l4l… https://t.co/BjPYwFDQ28</t>
  </si>
  <si>
    <t>Instagram: mouad92</t>
  </si>
  <si>
    <t>All Luv Dub</t>
  </si>
  <si>
    <t>VW♥️. New sign for our wedding fair stand! #allluvdub #vw #vwlife #vwlove #campervan #weddingcar… https://t.co/IEZYZ9Xfi7</t>
  </si>
  <si>
    <t>heckmondwike</t>
  </si>
  <si>
    <t>VW split screen camper van for special occasion hire.</t>
  </si>
  <si>
    <t>Karl</t>
  </si>
  <si>
    <t>Shiny Campervan :-) #cotswoldcampervans #campervanhire #vwt4 #t4 #t4multivan #multivan #vwmultivan #vw... https://t.co/B871FJa9hA</t>
  </si>
  <si>
    <t>Cheltenham</t>
  </si>
  <si>
    <t>VW Scirocco Mk2 GT2 1990 Spares or Repair --&gt; https://t.co/MfM26Fvzgv #vw #scirocco https://t.co/uvhadfT3Lc</t>
  </si>
  <si>
    <t>Any 2017 VW Golf R news? https://t.co/k2pT7tujEw #VW #AutoNews</t>
  </si>
  <si>
    <t>weKitesurf</t>
  </si>
  <si>
    <t>T25 kitesurfing guys!! #volkswagen #vw #t25 #westfalia #dubfellas #kitesurfing #kitesurf #kiteboarding / whitnall_5… https://t.co/PLUFN7qwDU</t>
  </si>
  <si>
    <t>WE❥KITESURF</t>
  </si>
  <si>
    <t>eBay: 2008 08 VW T5 TRANSPORTER T28 1.9 TDI 84… https://t.co/szu5x4FhS0 #vwcamper #vwbus #vw https://t.co/ZEadscsjBy https://t.co/tzJqzv4XkK</t>
  </si>
  <si>
    <t>This was amazing #vwbeetle #vwbeetlecabrio #karmen #vw #bigbang #santapod #vwshow @ Official… https://t.co/VBdbOVvizL</t>
  </si>
  <si>
    <t>BVD Rides</t>
  </si>
  <si>
    <t>at early edition38 2016 @earlyedition #vw #edition38 #cars #vwtransporter #airlift #accuair #lowlife #3sdm https://t.co/556B3bcAXt</t>
  </si>
  <si>
    <t>A handpicked collection of extraordinary rides, shared to put smile on people's face and delight car enthusiasts around the world. Instogram @bvdrides #bvdrides</t>
  </si>
  <si>
    <t>Emad Hammour</t>
  </si>
  <si>
    <t>RT @espritdesign: Bien choisir son carrosse... https://t.co/WI3egc1bZR #inspiration #design #vw #volkswagen #van #t1 #vintage https://t.c…</t>
  </si>
  <si>
    <t>KSA &amp; UAE</t>
  </si>
  <si>
    <t>Building Materials, Boats materials,Furniture, Design, Architect, Interior</t>
  </si>
  <si>
    <t>Helmut Becker</t>
  </si>
  <si>
    <t>RT @POLITROSO: Betrugssoftware kommt gar nicht von #VW, sondern von #Audi https://t.co/rw9QqcXVuu</t>
  </si>
  <si>
    <t>Konstanz, Germany, Europe</t>
  </si>
  <si>
    <t>Hier stehe ich und könnte auch anders: freier Wille - freewill ('Die Luft der Freiheit weht')</t>
  </si>
  <si>
    <t>#volkswagen #beetle #vwbeetle #vw #classiccar #vintagecar #oldtimer #beograd #belgrade #spring by masaluburic https://t.co/gByDTTzZTF</t>
  </si>
  <si>
    <t>#vw #vws #vwbeetle #black #cabrio #loveit #iwantit #amor #volkswagen #beatlemania #beach #pretty #precioso by nani_… https://t.co/e9AytSQalK</t>
  </si>
  <si>
    <t>#vosvos #beetle #bug #retro #fusca #aircooled #vwbeetle #vwworld #vosvossevdasi #gopro #vw #vwporn #volkswagen #kaf… https://t.co/QMaRDytEPD</t>
  </si>
  <si>
    <t>This was amazing #vwbeetle #vwbeetlecabrio #karmen #vw #bigbang #santapod #vwshow by dazvw https://t.co/393YaWzPes</t>
  </si>
  <si>
    <t>eBay: VW Transporter T5 kombi 174 SWB bespoke… https://t.co/bFIW0l32R2 #vwcamper #vwbus #vw https://t.co/ZEadscsjBy https://t.co/JrQ4FWWApB</t>
  </si>
  <si>
    <t>The view from the other end of the line up #volkswagen #vdubs #vwcamper #vwcampervan #volkswagen #vw #hector #south… https://t.co/7b2kgCZVUC</t>
  </si>
  <si>
    <t>Driving in #scotland in the Great Glens #scotspirit #visitscotland #vw #vwcampervan #vwcamper #redford #ambassadog … https://t.co/pPvLFY9brb</t>
  </si>
  <si>
    <t>Progress 👍🏻 #lego #progress #vw #vwcamper #sunday #sundaynight #weekend by loupe_87 https://t.co/dvAZT8KGWN</t>
  </si>
  <si>
    <t>Seafront. 🚌🌊 #vw #vws #vdub #vwlife #vwlove #vwlover #vwlovers #vwallday #vwaddict #vwkombi #vwcamper #vwbus #vwvan… https://t.co/t22sZrtnNC</t>
  </si>
  <si>
    <t>credit to its owner👌🏽@earlyedition @edition38 #vw #vwclassic #classics #vwcamper #accuair #edition38 #earlyedition https://t.co/TrYnjN8ySa</t>
  </si>
  <si>
    <t>Vinnies Vintage VVV</t>
  </si>
  <si>
    <t>Bluebell made some friends @hampshirebowman #shephershut #vw #Beetle #DriveItDay https://t.co/mR9tHJRdt8</t>
  </si>
  <si>
    <t>Waterlooville Hants</t>
  </si>
  <si>
    <t>Charming VW Splitscreen Campervan, Beetle &amp; classic wedding car hire in Hampshire. Sleepy Jean, Bluebell, Rose, Betty &amp; the gang are waiting to meet you x</t>
  </si>
  <si>
    <t>Natasha Sale</t>
  </si>
  <si>
    <t>Viedma, Argentina</t>
  </si>
  <si>
    <t>Viedma- Río Negro. Que todo fluya y nada influya ..</t>
  </si>
  <si>
    <t>2014 Volkswagen Jetta SE Volkswagen: 2014 *Volkswagen Jetta SE* Offered by: Atlanta Best Auto ... https://t.co/IIgAGxgum0 #VW #jetta #car</t>
  </si>
  <si>
    <t>RT @beetlebug1938: #vosvos #beetle #bug #retro #fusca #aircooled #vwbeetle #vwworld #vosvossevdasi #gopro #vw #vwporn #volkswagen #kaf… htt…</t>
  </si>
  <si>
    <t>RT @beetlebug1938: #volkswagen #beetle #vwbeetle #vw #classiccar #vintagecar #oldtimer #beograd #belgrade #spring by masaluburic https://t.…</t>
  </si>
  <si>
    <t>Hippocrates Jr</t>
  </si>
  <si>
    <t>Pretoria, Piet Retief, Africa</t>
  </si>
  <si>
    <t>Schweppes over Oros {this is my shit and this is my compost}</t>
  </si>
  <si>
    <t>Sleepy Jean and her pal at today's #DriveItDay in #Southsea #Aircooled #VW #Wedding #Campervan https://t.co/xRyQmNN9Ra</t>
  </si>
  <si>
    <t>#volkswagen #vw #type2 #camper #vwcamper #vwbus #baywindow #turquoise #edinburgh #tour @… https://t.co/70e4JAvR9u</t>
  </si>
  <si>
    <t>Freddiefoxx</t>
  </si>
  <si>
    <t>#VW #NJ #Bug https://t.co/mVEKKLXXWJ</t>
  </si>
  <si>
    <t xml:space="preserve">The World </t>
  </si>
  <si>
    <t>College student/World Traveler New Jersey: Mountain biking, Kayaking and Coffee IG:Obsessedlifegoals</t>
  </si>
  <si>
    <t>👍@bsahants 👋 waves 👐 Yea, Avenue de Caen ☺ hope you enjoyed the meet up! Were you in a #vw? #Portsmouth #Southsea #hampshire</t>
  </si>
  <si>
    <t>#volkswagen #vw #type2 #camper #vwcamper #vwbus #baywindow #turquoise #edinburgh #tour… https://t.co/lrRX5oX52G</t>
  </si>
  <si>
    <t>Mick Johan</t>
  </si>
  <si>
    <t>Perfectie is soms een strontbruine auto op een frisse lenteavond. #vw #scirocco #strontbruin… https://t.co/rlT5qrNNyd</t>
  </si>
  <si>
    <t>Alles is fantastisch! instagram: @mickjohan snapchat: mickjohan</t>
  </si>
  <si>
    <t>#vw beetle vw beetle 1971 https://t.co/UlSYSH4V87</t>
  </si>
  <si>
    <t>#vw beetle VW CLASSIC BEETLE 1973 Converted Cabriolet https://t.co/wTtqVcDcoc</t>
  </si>
  <si>
    <t>Dr David Cameron</t>
  </si>
  <si>
    <t>This old tart had a wash today and i touched her up 😏 #golf #golfgti #vwgolf #gti #vw #vdub… https://t.co/JYMmH5l28N</t>
  </si>
  <si>
    <t>Billingham Home of The Brave</t>
  </si>
  <si>
    <t>Chaotic meterosexual man beast! lover of the finer things in life, Gym monkey and wannabe super villain</t>
  </si>
  <si>
    <t>Henning Zeumer</t>
  </si>
  <si>
    <t>Für was kassieren die #VW Vorstände eigentlich noch Boni? Für Werte-Vernichtung?! https://t.co/z6sLpbtj5L</t>
  </si>
  <si>
    <t>Henning Zeumer, Programme and Project Management Professional: No more burning money in insufficient projects ! Impressum/Imprint: http://t.co/SOEdhYa2LG</t>
  </si>
  <si>
    <t>★☆Mrs Saayman☆★</t>
  </si>
  <si>
    <t>#obsessed #minivans &amp; #beatles #vw #volkswagen ✌✌✌ #goals https://t.co/dp0tzWoCCJ</t>
  </si>
  <si>
    <t>South Africa | Swellendam</t>
  </si>
  <si>
    <t>#gypsey #modern #hippie #irrie #ditsy #blonde #Mommy, #AdoreMySon♥, #fun #chilled #series #movies #nature #camping #gazingstars♥ #BestofTheGoodLife♥</t>
  </si>
  <si>
    <t>Golden_Maseko</t>
  </si>
  <si>
    <t>joburg</t>
  </si>
  <si>
    <t>Enterpreneur,Aspiring Philanthropist,Free-Spirit,I love my music #LFC#KHOSIFIED#EFF#TEAM_HUSTLE</t>
  </si>
  <si>
    <t>eBay: 1967 LHD VW Splitscreen Camper https://t.co/9x8rJ06tKh #vwcamper #vwbus #vw https://t.co/ZEadscsjBy https://t.co/pYnnJZQHlQ</t>
  </si>
  <si>
    <t>Supa CDQ</t>
  </si>
  <si>
    <t>Mbabane, Swaziland</t>
  </si>
  <si>
    <t>I.G @supa_cdq_dj // Hip Hop DJ// #JLTT Mixes</t>
  </si>
  <si>
    <t>FanCar Picture - Send me your Scirocco pictures!!! (PM Please) #VW #Volkswagen #Scirocco #Tuning https://t.co/PUyEQZuVNt</t>
  </si>
  <si>
    <t>ParisChampion❤️</t>
  </si>
  <si>
    <t>La pub VW sur la Golf !😍😍😍😍😭😭😭😭✔️✔️🎶🎶🎶 Ptin mais j'adore la vdm #vw</t>
  </si>
  <si>
    <t>je fonce en AUDI RS3 et je ne m'arrette que pour pour les vrais. je les reconnaitrais!! #TeamPSG #NoPainNoGain #teamShape #bodytime LA BASE! instagram</t>
  </si>
  <si>
    <t>eBay: gv02zxa https://t.co/lRFPOa524D #vwbeetle #vwbug #vw https://t.co/xvfL74PTgl https://t.co/r9zbR8vmwe</t>
  </si>
  <si>
    <t>📷 VW 📷 #vw #earlyedition #edition38 #e38 #photography #carshow #cars #nikon #mk1 #mk1golf #volkswagen by liambett… https://t.co/ZlwDbMMGkg</t>
  </si>
  <si>
    <t>Squeaky clean volkswagen #Jetta. #VW #volks #volkswagen https://t.co/UPqa69unzn</t>
  </si>
  <si>
    <t>Famiglia, amici, automobili americane, Italia, teatro, natura, NY, Hawaii, campagna</t>
  </si>
  <si>
    <t>#vw #vwlife #vwlove #vwlover #vwlovers #vwgolf #vwgti #golfgti #golfmk2 #mk2gti #mk2 #gti #gti16v #16v #vag #tuning… https://t.co/EzHr62WelQ</t>
  </si>
  <si>
    <t>eBay: 2007 Volkswagen Beetle 1.9TDI DIESEL… https://t.co/1Y1Rl6ewoh #vwbeetle #vwbug #vw https://t.co/xvfL74PTgl https://t.co/ILj2DmBs6U</t>
  </si>
  <si>
    <t>Edwin Cheung</t>
  </si>
  <si>
    <t>In need of holiday #instapic #instadaily #instacar #vw #volkswagon #vwgolf #golf #golfgtd… https://t.co/vLLKHo9opD</t>
  </si>
  <si>
    <t>Newport|Bristol|London|HK</t>
  </si>
  <si>
    <t>eBay: VW T4 Transporter Camper Van plus… https://t.co/aHqivBkeF2 #vwcamper #vwbus #vw https://t.co/ZEadscsjBy https://t.co/eIxX7AMtc9</t>
  </si>
  <si>
    <t>Report Says Audi Developed #VW’s Emissions Cheating Software In 1999 #AutoRetail #AutoNews https://t.co/hUg9ROv6qU https://t.co/CCDxs8Zjwo</t>
  </si>
  <si>
    <t>Can you relate? #ACVWPassion #Volkswagen #VW https://t.co/yIFhb6KK4g</t>
  </si>
  <si>
    <t>Automobile-Classics</t>
  </si>
  <si>
    <t>Wir sind Fans von Oldtimern und Youngtimern. Wir filmen Autos auf Messen, Zusammenkünften und in Museen und teilen unsere Clips mit anderen Begeisterten</t>
  </si>
  <si>
    <t xml:space="preserve"> Dronodromo.com</t>
  </si>
  <si>
    <t>#vw #caribe #cabrio #yosoyvolksntuning #salamancagto #irapuatogto #dron by robcalvillom https://t.co/meLVUbWQhX</t>
  </si>
  <si>
    <t>#dronodromo #dron #drones #drone #fpv #UAV #cuadricoptero #cuadricopteros #quadcopter #quadcopters #multirrotor #UAS #UAVs #flyingtime</t>
  </si>
  <si>
    <t>Vista VW</t>
  </si>
  <si>
    <t>Seating options in a 2016 #VW #Beetle include sport seats (#R-line) &amp; V-Tex leatherette seats (#1.8T). #treatyoself https://t.co/3GxTMAPBCu</t>
  </si>
  <si>
    <t>Pompano Beach, FL</t>
  </si>
  <si>
    <t>Have any questions, comments, or concerns? Feel free to call us at (305) 256-2200, or through social media.</t>
  </si>
  <si>
    <t>Jan Tibor Lelley</t>
  </si>
  <si>
    <t>#Arbeitsrecht: Gibt es mafiöse Strukturen bei #VW mit #Betriebsrat und #IGMetall? https://t.co/AERlD55Bn8</t>
  </si>
  <si>
    <t>Essen, Frankfurt am Main</t>
  </si>
  <si>
    <t>Dr. Jan Tibor Lelley, LL.M., expert in international and European labor &amp; employment law, partner with Buse Heberer Fromm. Author: Compliance im Arbeitsrecht.</t>
  </si>
  <si>
    <t>https://t.co/isvnXtZobr - #vw #vwtransporter #vwfan #vwbus #volkswagen #volkswagenbus #t5… https://t.co/U2gycqhfyv https://t.co/5G5uQ54fy6</t>
  </si>
  <si>
    <t>https://t.co/h5TEZCR9Dw - Insulation to keep things toasty #vwt4 #t4 #camper #vw #vanlife… https://t.co/HfErUlIMUV https://t.co/qR952DwZaK</t>
  </si>
  <si>
    <t>eBay: Volkswagen Transporter T5 Camper van Pop… https://t.co/6hG6lmodKv #vwcamper #vwbus #vw https://t.co/ZEadscsjBy https://t.co/ElNZjPy0Qn</t>
  </si>
  <si>
    <t>RT @BvdRides: credit to its owner👌🏽@earlyedition @edition38 #vw #vwclassic #classics #vwcamper #accuair #edition38 #earlyedition https://t.…</t>
  </si>
  <si>
    <t>Jhonatan Casanti</t>
  </si>
  <si>
    <t>Fusca ❤️#beatles #vw @ Mandaguaçu https://t.co/6L4DWGf07F</t>
  </si>
  <si>
    <t>Maringá, Pr</t>
  </si>
  <si>
    <t>magrelo,alto,cabelo enrolado (duro), consultor comercial, estudante de marketing / tarado por propagandas e carros.</t>
  </si>
  <si>
    <t>PizzaMoto</t>
  </si>
  <si>
    <t>Summer is in the air...go for a jaunt. #vw #doka #sunday https://t.co/K82RvOnNTw</t>
  </si>
  <si>
    <t>Brooklyn, NY</t>
  </si>
  <si>
    <t>antique oven / modern cooking 338 Hamilton Ave BKLYN @pizzamoto (on insta) hello@pizzamoto.com</t>
  </si>
  <si>
    <t>eBay: 1966 VOLKSWAGEN BEETLE GREEN LHD ONLY… https://t.co/akzsUyV0wp #vwbeetle #vwbug #vw https://t.co/xvfL74PTgl https://t.co/jsOaNoLNtp</t>
  </si>
  <si>
    <t>Old Bones Battalion</t>
  </si>
  <si>
    <t>What should I build? Decisions decisions #vw #bug https://t.co/zGECjmrDkn</t>
  </si>
  <si>
    <t>San Antonio Texas</t>
  </si>
  <si>
    <t>Hey true fans, native Texans from San Antonio TX, this is for all skaters no judgment on skate level. we all started somewhere</t>
  </si>
  <si>
    <t>SupercarShow</t>
  </si>
  <si>
    <t>If men designed and decorated homes #me cars #designs #Supercars #Bar #VW #BUS #Splitscreen #Splitty https://t.co/TlitgCW9pL</t>
  </si>
  <si>
    <t>That car show life. New account... A lot of coming soon stuff, but it will be worth it...</t>
  </si>
  <si>
    <t>Н-ский Академгородок</t>
  </si>
  <si>
    <t>◼️Nightman◼️ #carlook #drive #drive2 #car #carporn #passatccfamily #cc #vw #volkswagencc #familycar #photo #photoof… https://t.co/7ZUVhosNVM</t>
  </si>
  <si>
    <t>Новосибирск</t>
  </si>
  <si>
    <t>Самые свежие фотографии пользователей #Instagram из новосибирского Академгородка!</t>
  </si>
  <si>
    <t>Flinton</t>
  </si>
  <si>
    <t>the @dogtoothltd mobile // 115 // #simple #vw #volkswagen #transporter #t5 #vwt5 #vwlife #… https://t.co/IXKZimiXzr https://t.co/ezfztDjgHv</t>
  </si>
  <si>
    <t>Insta @Jamieflinton</t>
  </si>
  <si>
    <t>RT @beetlebug1938: 😎 ⚫⚫⚫ #volkswagen #offroad #vwbajabug #volkswagenoffroad #rustic #4wd #VW #escarabajo #vwbeetle #beetle #vocho #vwl… htt…</t>
  </si>
  <si>
    <t>RT @beetlebug1938: My 1964 VW Beetle 1200 ❤️ #vwbeetle #vwbeetlelovers #vw #vwbug #64bug #vwlife #vwlove #vwworld #vwt1 #vwkäfer #vwso… htt…</t>
  </si>
  <si>
    <t>Alexander W. Dengler</t>
  </si>
  <si>
    <t>FDP Bottrop</t>
  </si>
  <si>
    <t>Bottrop</t>
  </si>
  <si>
    <t>FDP Kreisverband Bottrop</t>
  </si>
  <si>
    <t>RT @Insta_VWT: https://t.co/h5TEZCR9Dw - Insulation to keep things toasty #vwt4 #t4 #camper #vw #vanlife… https://t.co/HfErUlIMUV https://t…</t>
  </si>
  <si>
    <t>The Beatles Hub</t>
  </si>
  <si>
    <t>RT @CharleneMeiring: #obsessed #minivans &amp; #beatles #vw #volkswagen ✌✌✌ #goals https://t.co/dp0tzWoCCJ</t>
  </si>
  <si>
    <t>We Share News Pics Quotes Fans Tweets About The Best Band Ever! #TheBeatles #Beatles #JohnLennon #PaulMcCartney #RingoStarr #GeorgeHarrison What An Era !!</t>
  </si>
  <si>
    <t>#Vw #beetle #straightouttacompton #vwporn #instamorning #acecafe #towie #essex #herbiethelovebug… https://t.co/ofMUH1kjdk</t>
  </si>
  <si>
    <t>Herbie rides again. Based in Loughton Essex, if you see us, wave and say hi. For hire also. Instagram @herbie53rides</t>
  </si>
  <si>
    <t>frecklesfairy</t>
  </si>
  <si>
    <t>Frankfurt / Germany</t>
  </si>
  <si>
    <t>Vorsitzende #Piraten KV Frankfurt. (Foto Hintergrund Fotolia / Vidady - Header Fotolia / Pure Life Pictures)</t>
  </si>
  <si>
    <t>Okapi funday 30april</t>
  </si>
  <si>
    <t xml:space="preserve">Jozi maboneng! </t>
  </si>
  <si>
    <t>one of gods favourites</t>
  </si>
  <si>
    <t>jorge98</t>
  </si>
  <si>
    <t>tarde gti power #vw #gti #polovsgolf https://t.co/NfbnIUqz0I</t>
  </si>
  <si>
    <t>palma de mallorca</t>
  </si>
  <si>
    <t>Driver side rocker is excellent! #vw #vwbug #vwbeetle #bug #beetle #volkswagen #vdub #rust #patina #low #static #r… https://t.co/w6sgF6Qqe9</t>
  </si>
  <si>
    <t>#volkswagen #vw #type2 #camper #vwcamper #vwbus #baywindow #turquoise #edinburgh #tour by bboldblong https://t.co/1PAn3wnkNV</t>
  </si>
  <si>
    <t>#volkswagen #vw #type2 #camper #vwcamper #vwbus #baywindow #turquoise #edinburgh #tour #edinburghcastle #trees by b… https://t.co/Ij55kqEeHb</t>
  </si>
  <si>
    <t>A very tidy example #vw #vwbus #vwlove #vwworld #vwcamper #vwcamper #vwkombi #vwlove #vwbus #vwclassic #vwcommunity… https://t.co/R1rZ5VGksC</t>
  </si>
  <si>
    <t>#campervan #vw #kombi #vwlife#volkswagencampervans #vwlove #volkswagen #vwlovers #classicvw #vwcamper #vwvans #vw… https://t.co/0evsfghhGO</t>
  </si>
  <si>
    <t>Xico Santos</t>
  </si>
  <si>
    <t>Fdss nunca tinha visto tanto golfs tão bonitos #vw</t>
  </si>
  <si>
    <t>cabeça veada</t>
  </si>
  <si>
    <t>só segues se queres :)</t>
  </si>
  <si>
    <t>eBay: Vw T4 long wheel base Transporter/camper https://t.co/WD9npi23ux #vwcamper #vwbus #vw https://t.co/ZEadscsjBy https://t.co/VdM9HTGr4n</t>
  </si>
  <si>
    <t>eBay: vw transporter t5 low millage (45600)… https://t.co/oLgdc5eDrl #vwcamper #vwbus #vw https://t.co/ZEadscsjBy https://t.co/Z9G6jgDqyI</t>
  </si>
  <si>
    <t>Scotland Tweets</t>
  </si>
  <si>
    <t>RT @dubbusses: Driving in #scotland in the Great Glens #scotspirit #visitscotland #vw #vwcampervan #vwcamper #redford #ambassadog … https:/…</t>
  </si>
  <si>
    <t>ScotlandBot</t>
  </si>
  <si>
    <t xml:space="preserve">Scotland </t>
  </si>
  <si>
    <t>Trying to get an autobot going for Scotland, for the edification and utility of the nation. Retweets don't indicate agreement or promotion.</t>
  </si>
  <si>
    <t>Jennifer Bley</t>
  </si>
  <si>
    <t>E-Book-Autorin, Painter u. Cartoonist. Mein Humor ist schwarz bis grell. Hier sind 3 Cartoons als Kostprobe aus 3 von mir gezeichneten Serien. Auch als e-books.</t>
  </si>
  <si>
    <t>pjl1015</t>
  </si>
  <si>
    <t>RT @BeHippieBe: I'm on my way , to nowhere. #VW #onmyway http://t.co/lAmUcmsUS1</t>
  </si>
  <si>
    <t>N1 Visual Solutions</t>
  </si>
  <si>
    <t>#vw #vinyl #wrap #wrapped #hexis #t5 #glossblack #vinylwrap #england #uk #nottingham #n1visual… https://t.co/TaZfbQSA0L</t>
  </si>
  <si>
    <t>Creative Visual Communication: Signs, Large Format Print, Vehicle Graphics, Wraps &amp; Livery, Window Graphics, Manifestations &amp; Films. CALL US : 0115 837 3171</t>
  </si>
  <si>
    <t>Christian Völker</t>
  </si>
  <si>
    <t>Hagenbach</t>
  </si>
  <si>
    <t>The Vdub Hub</t>
  </si>
  <si>
    <t>Sale ends today. Shop our store. https://t.co/LWKPv7fhMx #VW #vintageVW #vwBeetle ##VWbus https://t.co/PCOUdqh8T8</t>
  </si>
  <si>
    <t>We are a California, USA based social and information hub for the VW enthusiast. We focus on Pre-1967 models, show and event highlights, journalistic articles</t>
  </si>
  <si>
    <t>Jessica Delavier</t>
  </si>
  <si>
    <t>Désolée, j'ai trouvé un super-héros ici 😅🇦🇹🚗💨 #golf7 #golf #vw #volkswagen #gti #ironman… https://t.co/eoXOc9B2uf</t>
  </si>
  <si>
    <t>Disneyland</t>
  </si>
  <si>
    <t>Créatrice de tendance capillaire, auto-entrepreneur L'ATTACHE PARISIENNE - Ancienne Coiffeuse Franck Provost Val d'Europe Hairdress - DisneylandParis ❤</t>
  </si>
  <si>
    <t>eBay: 1967 DODGE A100 MOPAR VAN/ ALTERNATIVE… https://t.co/BdBzHNdBUv #vwcamper #vwbus #vw https://t.co/ZEadscsjBy https://t.co/khzq9JguQQ</t>
  </si>
  <si>
    <t>An air cooled flat 4 out of a type 25 VW pickup 😁😁 #vw #vwbus #vwengine #volkswagen #aircooled #air #cooled #flat4 … https://t.co/mHnKdbdr6n</t>
  </si>
  <si>
    <t>Tu tu ru tu tu 🎵🎶 #vocho #volkswagen #fusca #beattle #beattleboxter #volkswagen #oldcar #vw #adidas #superst… https://t.co/6mgg41BcQ9</t>
  </si>
  <si>
    <t>FROM TURKEY 🇹🇷 #vw #volkswagen #mk1#mk1gti#gtd#mk1golf #golf1 #rims #vwlife #vwlove #vwgolf #vwporn #classicvw #vwg… https://t.co/TqRG0bd0MP</t>
  </si>
  <si>
    <t>Lovely #mk1golf at #prescotthillclimb today #prescottspeedhillclimb #prescott #vw #golf #mk1 #classic #classiccar … https://t.co/cF4DimLcxX</t>
  </si>
  <si>
    <t>Ignore the dirty oil patch it's not from Nancy 🙄🙄 #mk1golf #mk1 #golf #mk1ownersclub #vw #volkswagen #cabby #classi… https://t.co/FEujqnn3fL</t>
  </si>
  <si>
    <t>RT @oldcar_photo: Tu tu ru tu tu 🎵🎶 #vocho #volkswagen #fusca #beattle #beattleboxter #volkswagen #oldcar #vw #adidas #superst… http…</t>
  </si>
  <si>
    <t>FanCar Picture - Send me your Scirocco pictures!!! (PM Please) #VW #Volkswagen #Scirocco #Tuning https://t.co/XQaSillp7x</t>
  </si>
  <si>
    <t>Patrick Turner</t>
  </si>
  <si>
    <t>Let's go for a ride! #PunchBuggy @fionaturner.ft #vw #vwbug #goldenretriever https://t.co/1KSpo87KBH https://t.co/GEeswpCWnf</t>
  </si>
  <si>
    <t>Technologist, Family Guy, Software Dev Shop Owner @SFPNC, Traveler</t>
  </si>
  <si>
    <t>RT @ProjectCarsUK: VW Scirocco Mk2 GT2 1990 Spares or Repair --&gt; https://t.co/MfM26Fvzgv #vw #scirocco https://t.co/uvhadfT3Lc</t>
  </si>
  <si>
    <t>We are passionate about cars – old and new ones - and share short clips taken at fairs, gatherings and in museums.</t>
  </si>
  <si>
    <t>m5marketing</t>
  </si>
  <si>
    <t>El #Escarabajo de #VW sigue siendo 1 anuncio sobre ruedas = a 1 camiseta con #logotipo (el cliente como #anuncio de la #marca) #m5marketing</t>
  </si>
  <si>
    <t>Estamos en una continua evolución realizando trajes a la medida para cada uno de nuestros clientes.</t>
  </si>
  <si>
    <t>Zayhra Sánchez</t>
  </si>
  <si>
    <t>Homenajeo lo mejor y peor del #Marketing. Amante de la #Fotografía, desobediente, curiosa, irreverente por naturaleza y lectora por convicción</t>
  </si>
  <si>
    <t>АкадемФото</t>
  </si>
  <si>
    <t>◼️Nightman◼️ #carlook #drive #drive2 #car #carporn #passatccfamily #cc #vw #volkswagencc #familycar #photo #photoof… https://t.co/Jn9LQVztyD</t>
  </si>
  <si>
    <t>АкадемФото По вопросам: kibirevandrey@yandex.ru</t>
  </si>
  <si>
    <t>Luiz Leite</t>
  </si>
  <si>
    <t>Empresario, Carioca e Torcedor do Botafogo.</t>
  </si>
  <si>
    <t>eBay: VW Beetle V5 2.3 Sport Rare Model, Votex… https://t.co/81LQoowkGG #vwbeetle #vwbug #vw https://t.co/xvfL74PTgl https://t.co/fr7hhVnshw</t>
  </si>
  <si>
    <t>RT @beetlebug1938: Lagi seneng main macro aja sih. #macrography #vw #vwbeetle #volkswagen by riskyikii https://t.co/MvlHbbO3wQ</t>
  </si>
  <si>
    <t>Bag on Nuts</t>
  </si>
  <si>
    <t>Found this photo of ME! Not mine, still its ME!#VW #苺 #peanuts by https://t.co/L5fslLZgth</t>
  </si>
  <si>
    <t>Ballgames, movies, bars...</t>
  </si>
  <si>
    <t>Baseball and peanuts. What more could you want. Maybe a movie too. Scores and more coming from the stands. We rarely own any content we share, or claim to.</t>
  </si>
  <si>
    <t>RT @VeeDubMk1_: FROM TURKEY 🇹🇷 #vw #volkswagen #mk1#mk1gti#gtd#mk1golf #golf1 #rims #vwlife #vwlove #vwgolf #vwporn #classicvw #vwg… https:…</t>
  </si>
  <si>
    <t>♿#LoveYours♿</t>
  </si>
  <si>
    <t>South Africa [Daveyton]</t>
  </si>
  <si>
    <t>I'm rolling with too much swag♿• Crazy in a good way•Talkative and Untouchable•Music Addict•Family is EVERYTHING</t>
  </si>
  <si>
    <t>Filip G</t>
  </si>
  <si>
    <t>Love My #vw #jetta #red #polisheagle #malinka https://t.co/bEea0jTxv1</t>
  </si>
  <si>
    <t>Filip with a F. Recent Rutgers Graduate: Environmental Policy. Passionate about Renewable Energy and Sustainability. Plus you'll see some of my nature pictures!</t>
  </si>
  <si>
    <t>TheFashionPoet</t>
  </si>
  <si>
    <t>Endless Summer 🍊🍊🍊 #unlockthekeys #vw #classiccars #orange #sunkist #surfer #surfersparadise… https://t.co/Gfib3ZAb9S</t>
  </si>
  <si>
    <t>Voted #1 Miami Fashion Blog. Digital Storyteller &amp; Stylist. Snapchat:@thefashionpoet TheFashionPoet@gmail.com</t>
  </si>
  <si>
    <t>eBay: 2010 vw transporter t5 camper van… https://t.co/vPmQxdu9Io #vwcamper #vwbus #vw https://t.co/ZEadscsjBy https://t.co/H7O5Ecr77f</t>
  </si>
  <si>
    <t>Diesel emissions scandal: British Government agency that tests diesel engines could be ... https://t.co/oLUaN8se7d #VW #AutoNews</t>
  </si>
  <si>
    <t>50 watt dna 30 style mini vaporizer box mod vv vw 7- 50w 2-5.2 volt adjustable review https://t.co/JkkIBh5qw4 #VW #AutoNews</t>
  </si>
  <si>
    <t>Rebecca Chastain</t>
  </si>
  <si>
    <t>TheFashionPoet: Endless Summer 🍊🍊🍊 #unlockthekeys #vw #classiccars #orange #sunkist #surfer #surfersparadise… https://t.co/DPUP3kNTsB</t>
  </si>
  <si>
    <t>https://t.co/dLFnd1AcJZ We are #fashionbloggers and #beautybloggers who specialise in #digitalmarketing in#nyc</t>
  </si>
  <si>
    <t>@VWheritage on friday, such a good evening 👌🚘📷 . . #beetle #vw #vwbug #vwheritage #classiccars #vwbeetle #carmeet #… https://t.co/eNjXtoKpwQ</t>
  </si>
  <si>
    <t>My fav pic from the VW weekend . #VW #classicvw #vintagevw #volkswagen #vwbeetle #vwbus #baywindowbus #splitwindow… https://t.co/aJB7pLK4ZO</t>
  </si>
  <si>
    <t>Old school cool #volkswagen #vw #vwbeetle #vdub #volksrod #oldschool #aircooled #wolfsburg by deathtrap_vw https://t.co/vj3eA6NkLC</t>
  </si>
  <si>
    <t>#vw #volkswagen #vwbrouk #vwbeetle #oldcar #volkswagenbeetle #black #prague #praha #jarnisprinty #modrany #vwjarnis… https://t.co/copLOUGZx6</t>
  </si>
  <si>
    <t>#vw #volkswagen #vwbug #vwbeetle #type1 #lownslow #stance #vwmiami #mexicanbug #vocho #patina #fusca #escarabajo #m… https://t.co/Vp8JrgTf8b</t>
  </si>
  <si>
    <t>With the love of my life #wifey #love #vw #volkswagen #vwbug #vwbeetle #type1 #lownslow #stance #vwmiami #mexicanbu… https://t.co/amqM531J44</t>
  </si>
  <si>
    <t>cristian costamagna</t>
  </si>
  <si>
    <t>Tirados de campamento jaja #VW #JariMattiLatvala #WRC2016 #LosGigantes https://t.co/GdspSIShVn</t>
  </si>
  <si>
    <t>Why not!? 😂😂 . #vwheritage @vwheritage #vw #vwbus #camper #classiccars #carsofinstagram #l4l #f4f #barbie #bumper #… https://t.co/ieyabI3xlr</t>
  </si>
  <si>
    <t>#mybestfriendswedding #bestfriend #wedding #bride #vintage #lindybop #loveher #essex #vw #vwcamper #weddingcar by y… https://t.co/zEg7PKvrE5</t>
  </si>
  <si>
    <t>MotoGP Jerez 2016. #motogp #spanishgp #circuitojerez #caracolvan #campervan #campervanlife #jerez2016 #vwcamper #vw… https://t.co/CRYO2GfKNb</t>
  </si>
  <si>
    <t>Lane Russell</t>
  </si>
  <si>
    <t>Mark's '67. #LaneRussellVW #VintageVW #Volkswagen #aircooled #aircooledvw #german #vw #vw… https://t.co/yiJOQD2VYa https://t.co/oXHoSjg93h</t>
  </si>
  <si>
    <t>Atlanta, GA — USA</t>
  </si>
  <si>
    <t>The Finishing Touches for Your Vintage Volkswagen™</t>
  </si>
  <si>
    <t>Fer♆</t>
  </si>
  <si>
    <t>De los pequeños en casa y de los más grandes en la calle 💪 #vw #vocho #escarabajo #volkswagen https://t.co/Yj8kK3MeFq</t>
  </si>
  <si>
    <t>work to make money ҉☝️ snapchat: fejise instagram: ferjim</t>
  </si>
  <si>
    <t>Mark's '67. #LaneRussellVW #VintageVW #Volkswagen #aircooled #aircooledvw #german #vw #vw… https://t.co/m9t4RfdAVK https://t.co/08Auc1VCRH</t>
  </si>
  <si>
    <t>RT @beetlebug1938: #vw #volkswagen #vwbug #vwbeetle #type1 #lownslow #stance #vwmiami #mexicanbug #vocho #patina #fusca #escarabajo #m… htt…</t>
  </si>
  <si>
    <t>Jesusitto Herrero</t>
  </si>
  <si>
    <t>Hermanos 🙏#vw #vwporn #passatcc #golfr #instacar #rules https://t.co/8Iv89Z9DpI</t>
  </si>
  <si>
    <t>Madrid---Calpe</t>
  </si>
  <si>
    <t>Pasion por los coches</t>
  </si>
  <si>
    <t>DJ Heero</t>
  </si>
  <si>
    <t>Love it! ❤️ #VW #volkswagen https://t.co/zcXdMsAy7R</t>
  </si>
  <si>
    <t>DJ/Productor, autos, motos, electronica, apple/mac, naturaleza y estudiante en GMartell! CONTRATACIONES:044-55-10-53-69-66</t>
  </si>
  <si>
    <t>Did you know that VW participates in TRUCK racing? This is the VW Constellation PACE truck #Racing #VW #cars https://t.co/IV7obftfXk</t>
  </si>
  <si>
    <t>Kathryn Dowling</t>
  </si>
  <si>
    <t>Scandal aside #Mitsubishi #VW #Daimler shows disconnect #manufacturing #industrial legacy nations on #climatechange https://t.co/09Cb2qOXE4</t>
  </si>
  <si>
    <t>Fortune favours the brave. https://t.co/i7GsbD5eHD (@katkmd)</t>
  </si>
  <si>
    <t>#bertle #vw #fusca #fusquinha #oldcar #legendcar #auto #beetlevw #automotive #automovil by life.fauco https://t.co/s5T8NHesot</t>
  </si>
  <si>
    <t>Milton Keynes</t>
  </si>
  <si>
    <t>@miltonkeyn_es by abigail2924 #truck #vw #white #lowdownuk #miltonkeynes #carcruise https://t.co/rIQ5esVW9y</t>
  </si>
  <si>
    <t>Golf at Volksworld #vw #golf #mk1 #mk1golf #vdub #volker #volkker #volkswagen #volksworld #volksworld2016 #slammeds… https://t.co/yYe0pXTEiu</t>
  </si>
  <si>
    <t>Show hoody quality! Follow: @vwlife__ @vwlife__ @vwlife__ @vwlife__ @vwlife__ @vwlife__ #vw #volks #volkswagen #… https://t.co/TvG8UvTkN2</t>
  </si>
  <si>
    <t>RT @VeeDubMk1_: Golf at Volksworld #vw #golf #mk1 #mk1golf #vdub #volker #volkker #volkswagen #volksworld #volksworld2016 #slammeds… https:…</t>
  </si>
  <si>
    <t>Nothing beats The real thing Thanks for supporting VW Power Holland #vw #vag #vagporn #volkswagen #seat #audi #skod… https://t.co/BqEx3HZMuB</t>
  </si>
  <si>
    <t>The new VW Beetle Dune 😍 at the beach of Rosarito in Baja California 😎 #vw #volkswagen #vwbeetle #beetle #vwbug #bu… https://t.co/uwjyRD30dY</t>
  </si>
  <si>
    <t>Mietin, että veisinkö #Vw Kauno Wilhelmin parkkiin jonnekin muualle kuin omaan ruutuuni, niin kukaan ei tajuaisi, että olen tullut takaisin.</t>
  </si>
  <si>
    <t>RT @oldcar_photo: #bertle #vw #fusca #fusquinha #oldcar #legendcar #auto #beetlevw #automotive #automovil by life.fauco https://t.co/s5T8NH…</t>
  </si>
  <si>
    <t>sometimes you just need to drive🙌 📸 - @oh_heyhannah #vw #vdub #volkswagen #volksnation #vr #vr6… https://t.co/eStxlL1B8l</t>
  </si>
  <si>
    <t>Check out #PORSCHE #924 #944 #VW #Rabbit #Scirocco #MK1 Upper Steering Column #Bushing 3D Printed PLA https://t.co/SZmgiDOIDf via @eBay</t>
  </si>
  <si>
    <t>Raymonde_Egecioglu</t>
  </si>
  <si>
    <t>RT @VintageByHelen: New arrivals!#vintage #collectables #interiors #home #decor #champagne #bar #VW #shell #oil #mannequins #shopdisplay ht…</t>
  </si>
  <si>
    <t>Mauricio Stal</t>
  </si>
  <si>
    <t>#vscocam #streetphotography #VW #fusca #volkswagen #old #vintage #vsco #riodejaneiro #cars… https://t.co/PnC0ltu15d</t>
  </si>
  <si>
    <t>Rio</t>
  </si>
  <si>
    <t>RT @FierroosAlPiso: #Vw #Borita #Enllantado #AlPisoSiempre https://t.co/rjnsOu8aNq</t>
  </si>
  <si>
    <t>Bryan Downing</t>
  </si>
  <si>
    <t>#VW #Shares down 40% in the last 12 months https://t.co/UnACsNAD9l</t>
  </si>
  <si>
    <t>ÜT: 43.7697012,-79.3307827</t>
  </si>
  <si>
    <t>I blog about being a quant researcher &amp; developer. It seems I like blending my knowledge of technology and the capital markets field.</t>
  </si>
  <si>
    <t>Let's see some custom paint jobs! #ACVWPassion #Volkswagen #VW #AirCooled https://t.co/Cq0a3lMJVu</t>
  </si>
  <si>
    <t>Ulysses Ang</t>
  </si>
  <si>
    <t>Volkswagen Philippines brings in more Golf variants. See the specs, prices, and brochure here. #Volkswagen #VW... https://t.co/uZ5sIutvNL</t>
  </si>
  <si>
    <t xml:space="preserve">Makati, Philippines </t>
  </si>
  <si>
    <t>Motoring Writer, Blogger, and Host of Wheels TV on ABS-CBN Sports+Action.</t>
  </si>
  <si>
    <t>๑۩۞۩๑ Isяαεℓ ๑۩۞۩๑</t>
  </si>
  <si>
    <t>Subindo a Serra do Rio do Rastro em 11 minutos. 24/04/2016. #vw,… https://t.co/6SJCNyaKst</t>
  </si>
  <si>
    <t>São Joaquim, SC</t>
  </si>
  <si>
    <t>sometimes you just need to drive🙌 📸 - @_ittshannah #vw #vdub #volkswagen #volksnation #vr #vr6 #vrsex #golf #jolf … https://t.co/zIwtAwrIwu</t>
  </si>
  <si>
    <t>#Volkswagen #Tuning //MD #Vw #dapper #Cambergang #StanceWork #RoyalStance https://t.co/17sH8F5eyS https://t.co/bklMquvbmh</t>
  </si>
  <si>
    <t>おはようございます🍀 今日の占いビリッ( ¯ ³ ¯ )ブ~💧 全て四つ葉のクローバーVW🍀 今日も良いことあるますよーにっ（笑） #vw #volkswagen https://t.co/74KdzQZAKg</t>
  </si>
  <si>
    <t>VW T4 transporter 1.9TD swb: £3,800.00 (0 Bids)End Date: Sunday May-1-2016 16:15:01 BSTBid now | Add to w... https://t.co/OKNG1e1uMo #vw</t>
  </si>
  <si>
    <t>❤Beluu❤</t>
  </si>
  <si>
    <t xml:space="preserve"> Córdoba, Argentina</t>
  </si>
  <si>
    <t>#VW losses will continue to mount so long as contempt for #consumers continues https://t.co/IsxQHl3fBr #dieselgate</t>
  </si>
  <si>
    <t>RT @moteking25: おはようございます🍀 今日の占いビリッ( ¯ ³ ¯ )ブ~💧 全て四つ葉のクローバーVW🍀 今日も良いことあるますよーにっ（笑） #vw #volkswagen https://t.co/74KdzQZAKg</t>
  </si>
  <si>
    <t>#VW settlement in US could cost upwards of $10B https://t.co/BnCG9QEbe3 #dieselgate</t>
  </si>
  <si>
    <t>Jack Shayler</t>
  </si>
  <si>
    <t>RT @dejbanlaw: #VW losses will continue to mount so long as contempt for #consumers continues https://t.co/IsxQHl3fBr #dieselgate</t>
  </si>
  <si>
    <t>Wellingborough//17</t>
  </si>
  <si>
    <t>Leeds United Home and Away</t>
  </si>
  <si>
    <t>Simon Male</t>
  </si>
  <si>
    <t>A very orange #vw #campervan in #greenwoodlake #newyork #NY #classic #classiccar @ Greenwood… https://t.co/2PolL5E39g</t>
  </si>
  <si>
    <t>A very orange #vw #campervan in #greenwoodlake #newyork #NY #classic #classiccar https://t.co/PFwqWSawCf https://t.co/rN6uQMlU9h</t>
  </si>
  <si>
    <t>Will Kinton</t>
  </si>
  <si>
    <t>I love my car. #GTI #VW https://t.co/83gEzOLyIo</t>
  </si>
  <si>
    <t>Automotive #Freelance Writer and Contributor to @CarinsuranceU. Passionate about cars and other things that go zoom. Life is too short to drive boring cars.</t>
  </si>
  <si>
    <t>#vw #beetle #vwbeetle #vwbeetlelovers #aircooled #type1 #bug #fusca #volkswagen #vdub #euro #vocho #bocho #volkswor… https://t.co/OPv89MDbNc</t>
  </si>
  <si>
    <t>Inside looking Out #splitwindowbeetle #splitwindow #splitwindowvw #vwbeetle #oldschoolvw #vw #vwroots #vwporn #air… https://t.co/LAy854hQkZ</t>
  </si>
  <si>
    <t>#vw #beetle #vwbeetle #vwbeetlelovers #aircooled #type1 #bug #fusca #volkswagen #vdub #euro #vocho #bocho #volkswor… https://t.co/AaO6MBBH9Q</t>
  </si>
  <si>
    <t>#vw #beetle #vwbeetle #vwbeetlelovers #aircooled #type1 #bug #fusca #volkswagen #vdub #euro #vocho #bocho #volkswor… https://t.co/nWAXMUdXe1</t>
  </si>
  <si>
    <t>#vw #beetle #vwbeetle #vwbeetlelovers #aircooled #type1 #bug #fusca #volkswagen #vdub #euro #vocho #bocho #volkswor… https://t.co/mL7I8sef1A</t>
  </si>
  <si>
    <t>#vw #beetle #vwbeetle #vwbeetlelovers #aircooled #type1 #bug #fusca #volkswagen #vdub #euro #vocho #bocho #volkswor… https://t.co/iD3awAVbqs</t>
  </si>
  <si>
    <t>#vw #beetle #vwbeetle #vwbeetlelovers #aircooled #type1 #bug #fusca #volkswagen #vdub #euro #vocho #bocho #volkswor… https://t.co/8rwAZ9JpsI</t>
  </si>
  <si>
    <t>Kelly Cool</t>
  </si>
  <si>
    <t>Prom queen and future prom queen, my two little girls! 🙃 #vw #prom https://t.co/2LW5ohYKeC</t>
  </si>
  <si>
    <t>Andrey Kirdyashkin</t>
  </si>
  <si>
    <t>Royal Canadian Reptiles - Offering some of the most unique, cutting edge #ballpythons in Canada. Worldwide shipping available</t>
  </si>
  <si>
    <t>liv</t>
  </si>
  <si>
    <t>⛄️❄️</t>
  </si>
  <si>
    <t>Gem Rey</t>
  </si>
  <si>
    <t>A vintage car with a vintage hat box... Photoshoot #gemrey @selfridges #vw #beetle #bug… https://t.co/suTxdTx5Eu</t>
  </si>
  <si>
    <t>London &amp; International</t>
  </si>
  <si>
    <t>Photographer who spreads her wings to create unique images. Rocknroll - Fine Art - Fashion. Song Writer. Vegan. Namaste</t>
  </si>
  <si>
    <t>FanCar Picture - Send me your Scirocco pictures!!! (PM Please) #VW #Volkswagen #Scirocco #Tuning https://t.co/zNGznNB5NA</t>
  </si>
  <si>
    <t>ZWear: BLE Wearable</t>
  </si>
  <si>
    <t>California, US</t>
  </si>
  <si>
    <t>#wearable Platform for #wearable technology projects. Soon on #Kickstarter.Expert on Bluetooth #BLE, #GPS.</t>
  </si>
  <si>
    <t>Lifestyle Network</t>
  </si>
  <si>
    <t>RT @UniversityVWM: Visit our #Ebay store https://t.co/DW0grjUU7Y where we sell Genuine #Volkswagen and #Mazda parts &amp; Accessories! #VW http…</t>
  </si>
  <si>
    <t>WorldWide</t>
  </si>
  <si>
    <t>Our goal is to educate others about natural health, organic living, and overall wellness. Official partner of the Media Ad Group</t>
  </si>
  <si>
    <t>eBay: 2006 06 VOLKSWAGEN BEETLE 1.4 LUNA 16V… https://t.co/oj8Io4IQb4 #vwbeetle #vwbug #vw https://t.co/xvfL74PTgl https://t.co/6ZvLvQtMzR</t>
  </si>
  <si>
    <t>Sideral</t>
  </si>
  <si>
    <t>Buenos Aires.</t>
  </si>
  <si>
    <t>☞ 16. Rebour ♡ I don't shave for Sherlock Holmes// El hombre le puso nombre a todos los animales ✍</t>
  </si>
  <si>
    <t>RT @beetlebug1938: #vw #beetle #vwbeetle #vwbeetlelovers #aircooled #type1 #bug #fusca #volkswagen #vdub #euro #vocho #bocho #volkswor… htt…</t>
  </si>
  <si>
    <t>ABDULAZIZASIRI</t>
  </si>
  <si>
    <t xml:space="preserve">king fahd medical city RIYADH </t>
  </si>
  <si>
    <t>‏‏ألقي نظرهه على نفسك ...' ثم تكلم على من اردت بما شئت !! Instagram/abdulazizalkissy</t>
  </si>
  <si>
    <t>The Chosen One ™</t>
  </si>
  <si>
    <t>Pslams 37:5</t>
  </si>
  <si>
    <t>Im Multifaceted. I took the extra mile, I hate crowds.</t>
  </si>
  <si>
    <t> ZaFaDo</t>
  </si>
  <si>
    <t>#pudrigolf #golf #vw #Volkswagen #A3 #MK3 https://t.co/F1Uz3lX3oE</t>
  </si>
  <si>
    <t>San Salvador, El Salvador</t>
  </si>
  <si>
    <t>Carlos Rivas, . 1987 hijo, padre,tío, esposo algún día abogado de la República.</t>
  </si>
  <si>
    <t>RellzyTaughtYou</t>
  </si>
  <si>
    <t>RT @dejbanlaw: #VW settlement in US could cost upwards of $10B https://t.co/BnCG9QEbe3 #dieselgate</t>
  </si>
  <si>
    <t xml:space="preserve">#D[M]V </t>
  </si>
  <si>
    <t>A.S.A.P$$ #freekush familia #NursingStudent #Teamiphone My right hand-- @loudkingSK</t>
  </si>
  <si>
    <t>.@MariaHalkias @TerryBoxdmn @bigjondaniel That's my understanding. I wish there was more information on when #VW will have more details.</t>
  </si>
  <si>
    <t>eBay: 1968 VW Beetle 1500 Deluxe 12 months MOT https://t.co/593vaWCxIn #vwbeetle #vwbug #vw https://t.co/xvfL74PTgl https://t.co/wJLqiWsUE2</t>
  </si>
  <si>
    <t>Victor Rodrigues</t>
  </si>
  <si>
    <t>"A noite acendeu as estrelas porque tinha medo da própria escuridão." 🌚 #rj #driving #meuvw #vw… https://t.co/Hi7KsAQWkC</t>
  </si>
  <si>
    <t>Rio de Janeiro, RJ - Brasil</t>
  </si>
  <si>
    <t>Carioca, 22 anos, administrador, rubro-negro fanático, entusiasta de música, esportes e carros, pós-graduando em logística.</t>
  </si>
  <si>
    <t>SpeedHappens</t>
  </si>
  <si>
    <t>Spotted these dudes cruising around the show today! #startemyoung #vwlove #vw #speedhappens #showandgo #vwbus... https://t.co/MRBSPCErlo</t>
  </si>
  <si>
    <t>For enthusiasts, By enthusiasts, Since 2003. . . Check out the web page for auto inspired apparel, stickers, event coverage, &amp; more!</t>
  </si>
  <si>
    <t>Alexandria Marquez</t>
  </si>
  <si>
    <t>you gotta risk it to get the biscuit</t>
  </si>
  <si>
    <t>كآفي يآدنيآ صدمآت</t>
  </si>
  <si>
    <t>ŦÂįF</t>
  </si>
  <si>
    <t>‏‏‏‏‏أنآشخصيه مَزأجيه ذأ مفردآت عنيدﮭ لست مجُبره ۶ـلى تبَريِر موأقفي لَمَن يسيّء الظن أتحدث ب۶ـفويُه أضحك بشده أغآر بجنوُن وأعَشق بِخجل (مصممه ومصوره أطمح للإحت</t>
  </si>
  <si>
    <t>ابراهيم الحسون</t>
  </si>
  <si>
    <t>Manchester, NH or Onaizah, KSA</t>
  </si>
  <si>
    <t>Born and raised in Onaizah, im a Libra, President of the Saudi Club in Southern New Hampshire University, Masters Sciences of Finance ( MSF ).</t>
  </si>
  <si>
    <t>Sergio Levin</t>
  </si>
  <si>
    <t>Mi hijo Lucas murio en 2006 en la Tragedia de Santa Fe . Columnista en Metro y medio.Militante x la Seguridad Vial. Vivir solo cuesta vida.</t>
  </si>
  <si>
    <t>eBay: VW Camper Early Bay 1970 https://t.co/DeCeTBCqcf #vwcamper #vwbus #vw https://t.co/ZEadscsjBy https://t.co/97DoOVjyxu</t>
  </si>
  <si>
    <t>eBay: vw t5 camper van https://t.co/SVgcGTNYfT #vwcamper #vwbus #vw https://t.co/ZEadscsjBy https://t.co/vmi9lNYfDh</t>
  </si>
  <si>
    <t>Autos Markt</t>
  </si>
  <si>
    <t>Volkswagen VW Crafter 3,5 T langer Radstand, 04/2009, 3500 kg, 80 KW, Diesel 🚙 #VW https://t.co/otFMAWAzG6 https://t.co/spdJMB55HM</t>
  </si>
  <si>
    <t>automotocar</t>
  </si>
  <si>
    <t>Täglich nur aktuelle tolle Angebote bei Autos Markt. Stöbern Sie online verkaufen und entdecken Sie Ihre perfekte Auto in wenigen Minuten</t>
  </si>
  <si>
    <t>Volkswagen VW Crafter 3,5 T langer Radstand, 04/2009, 3500 kg, 80 KW, Diesel 🚙 #VW https://t.co/YIYVZsyFY0</t>
  </si>
  <si>
    <t>Alexandr Syny</t>
  </si>
  <si>
    <t>Volkswagen VW Crafter 3,5 T langer Radstand, 04/2009, 3500 kg, 80 KW, Diesel 󾟥 #VW https://t.co/Hmyi0qM3Wf... https://t.co/pPLWCVONBF</t>
  </si>
  <si>
    <t>Sultan Alghamdi</t>
  </si>
  <si>
    <t xml:space="preserve">Riyadh,Saudi Arabia </t>
  </si>
  <si>
    <t>Born on 1994 6th of October which's a holiday and name of city in Egypt ,, and I think I'm so special but I'm not .. Libra . Kik:SULTA55N</t>
  </si>
  <si>
    <t>Photo by @canberkkirgin #beetle #vocho #vw #volkswagen #vintagecar #old #oldcar #fuscabrasil #lovefusca #lovebeetl… https://t.co/tQvCVKu9aQ</t>
  </si>
  <si>
    <t>Beetle - #fusca #beetle #vocho #vw #volkswagen #vintagecar #old #oldcar #fuscabrasil #lovefusca #lovebeetle #vwkomb… https://t.co/ysADtyrqYX</t>
  </si>
  <si>
    <t>RT @oldcar_photo: Photo by @canberkkirgin #beetle #vocho #vw #volkswagen #vintagecar #old #oldcar #fuscabrasil #lovefusca #lovebeetl… http…</t>
  </si>
  <si>
    <t>Blissalonia</t>
  </si>
  <si>
    <t>I finally got my dream car😎 #KarmannGhia #VW https://t.co/XqnzQIktqW</t>
  </si>
  <si>
    <t>ROTATING AROUND THE E*A*R*T*H*</t>
  </si>
  <si>
    <t>THE KALEIDOSCOPE KID* Singer*Songwriter*Actress* Lover*Believer*Dream Weaver*Warrior*</t>
  </si>
  <si>
    <t>eBay: Volkswagen beetle 1.8 T Turbo https://t.co/Dltij6CKyx #vwbeetle #vwbug #vw https://t.co/xvfL74PTgl https://t.co/YQ0jmUcDHV</t>
  </si>
  <si>
    <t>اللهم ارحم ابي...✨</t>
  </si>
  <si>
    <t>: ۉ مَا زلتُ آشتآق لـ شخصَ رحل إلى خآلقہلا رحيل يؤلم كـَ رحيل الآموات</t>
  </si>
  <si>
    <t>Manu Acevedo</t>
  </si>
  <si>
    <t>RT @SomosFierreras: Que venga la Gorra o Gendarmería, que venga y me corra por la Avenida🎶 #Fox #Vw http://t.co/gSGQNyAszN</t>
  </si>
  <si>
    <t>الأخبار أمطار</t>
  </si>
  <si>
    <t>EL MASTER ™</t>
  </si>
  <si>
    <t>Barrio Malvinas - MardelPlata</t>
  </si>
  <si>
    <t>EL MAS DIFERENTE DEL GENERO RAP DE BARRIO.</t>
  </si>
  <si>
    <t>tressa hawbaker</t>
  </si>
  <si>
    <t>Hi I'm tressa, follow me (: no mention; no follow back! #Cheerleader #Taken #Junior</t>
  </si>
  <si>
    <t>رًشَة عّطِرً</t>
  </si>
  <si>
    <t>‏إذا سألو الناس عن حبي لك أقول بلاسببماهو ضروري أقنع العالم بشيأً جازلي ...الخاص مهمل...</t>
  </si>
  <si>
    <t>Miles</t>
  </si>
  <si>
    <t>Manchester | Nottingham</t>
  </si>
  <si>
    <t>Miles David Richard Howard Farncombe-Newlove</t>
  </si>
  <si>
    <t>Ashleigh x</t>
  </si>
  <si>
    <t>Aylesbury, Buckinghamshire</t>
  </si>
  <si>
    <t>Dan Stange</t>
  </si>
  <si>
    <t>Check out CTA Tools 3055 VW/Audi Spark Plug Cable Tool #CTATools https://t.co/k0dRkGsDgz via @eBay #vw #audi</t>
  </si>
  <si>
    <t>Connecticut</t>
  </si>
  <si>
    <t>Computer IT, electronics, home theater, Xbox, Golf, Mountain Biking, VW and Home brewing!</t>
  </si>
  <si>
    <t>#90sBabyFollowTrain</t>
  </si>
  <si>
    <t>Atlanta</t>
  </si>
  <si>
    <t>They ask me why it's so hard for me to trust people I ask why it's so hard to keep a secret.....Hit that follow button</t>
  </si>
  <si>
    <t>ماريا.</t>
  </si>
  <si>
    <t xml:space="preserve">Alqassim.  </t>
  </si>
  <si>
    <t>|1998|</t>
  </si>
  <si>
    <t>Check out Vw Jetta, Golf, GTI Service Manual 1999, 2000, 2001, 2002 https://t.co/gBTTQqHA56 via @eBay #vw #jetta #gti #golf #mk4</t>
  </si>
  <si>
    <t>Patrick Keane</t>
  </si>
  <si>
    <t>Cerveza Heights</t>
  </si>
  <si>
    <t>Vita Bella</t>
  </si>
  <si>
    <t>brian pellow</t>
  </si>
  <si>
    <t>Merseyside</t>
  </si>
  <si>
    <t>Born a blue, living life as a blue and will die a blue, no question.</t>
  </si>
  <si>
    <t>eBay: VOLKSWAGEN BEETLE 2.0 TDI 150 Sport 3dr https://t.co/UevP0kH6j3 #vwbeetle #vwbug #vw https://t.co/xvfL74PTgl https://t.co/1mu8OhBPo5</t>
  </si>
  <si>
    <t>Victoria</t>
  </si>
  <si>
    <t>Ive had this van for at least 10 years, about time to actually put it together and get it road worthy #vw #campervan https://t.co/R9P3Rtsyjj</t>
  </si>
  <si>
    <t>Central Texas</t>
  </si>
  <si>
    <t>Single Mom, full time LVN, pre-RN student :-) IG: vgtg</t>
  </si>
  <si>
    <t>Ali zaki</t>
  </si>
  <si>
    <t>Hi i'm Ali .. I'm 12 years old .. Iphone5s</t>
  </si>
  <si>
    <t>☮</t>
  </si>
  <si>
    <t>the blue mat</t>
  </si>
  <si>
    <t>I am a college cheerleader, not an allstar cheerleader so don't ask what gym I'm from. I fly &amp; base. Tbh I don't care about your opinion</t>
  </si>
  <si>
    <t>Sunday Vibes #showandgo #showngo #etown #volkswagen #vw #vdub #mk5 #mkv #r32 #oemplus #mercedesbenz #s550 #usp #uni… https://t.co/luLkQe9W74</t>
  </si>
  <si>
    <t>車庫下げたぁ(＾o＾)ﾉ ｲｴｰ! いい感じッ･････もっと下げたいっ😅 #vw #volkswagen #polo #6c #gti #kw https://t.co/8Cq0KE6HmR</t>
  </si>
  <si>
    <t>RT @moteking25: 車庫下げたぁ(＾o＾)ﾉ ｲｴｰ! いい感じッ･････もっと下げたいっ😅 #vw #volkswagen #polo #6c #gti #kw https://t.co/8Cq0KE6HmR</t>
  </si>
  <si>
    <t>Patrick Q. Fulgado</t>
  </si>
  <si>
    <t>LED everything! Thanks to #DEAutoKey. #Volkswagen #VW #VeeDub #dublife #Passat #B7 #Nexus5X @deAutoKey https://t.co/3aglMSiiac</t>
  </si>
  <si>
    <t>Queens, NY born living the #TampaLife. Love my wife, family, friends, Apple Inc., Android, snowboarding, beer, cycling, &amp; video games. Sent from my LG Nexus 5X.</t>
  </si>
  <si>
    <t>Steve Ath</t>
  </si>
  <si>
    <t>Hello beautiful 😍❤️💯💜💙💚😘 #VW #VDubLuv #VDub #iloveyoubaby #myrealprincess #smexy #sexy #✌🏾️❤️ https://t.co/44OrJU5OTZ</t>
  </si>
  <si>
    <t>Georgia</t>
  </si>
  <si>
    <t>Chill and vibe to the positives baby.</t>
  </si>
  <si>
    <t>One more since I just washed her 😏🤗😎☺️😍😘💯✌🏾️❤️ #smexy #❤️ #sexy #loveyouboo #VW #VDub #VDubLuv… https://t.co/BU91lXIlAI</t>
  </si>
  <si>
    <t>Eulalio Mijares R.</t>
  </si>
  <si>
    <t>@csoares__mkvi this color combo is amazing and your wheels are 🔥🔥 #vw #volkswagen #golf #mkvi #mk6 #workwheels #sta… https://t.co/CaWqlF7eEp</t>
  </si>
  <si>
    <t>nexus line</t>
  </si>
  <si>
    <t>RT @EeZeEpEe: LED everything! Thanks to #DEAutoKey. #Volkswagen #VW #VeeDub #dublife #Passat #B7 #Nexus5X @deAutoKey https://t.co/3aglMSiiac</t>
  </si>
  <si>
    <t>nexusLineBot</t>
  </si>
  <si>
    <t>Everything Nexus and Android. News, updates, tips, wallpapers, downloads, tutorials and more.</t>
  </si>
  <si>
    <t>eBay: 2003 VOLKSWAGEN BEETLE CABRIOLET RED https://t.co/94NGzpidGP #vwbeetle #vwbug #vw https://t.co/xvfL74PTgl https://t.co/sqOmTAMQwO</t>
  </si>
  <si>
    <t>Volkswagen UK news</t>
  </si>
  <si>
    <t>Milton Keynes, England</t>
  </si>
  <si>
    <t>The official site for the Volkswagen UK press and public relations team. We'll keep you up to date with all the latest Volkswagen news</t>
  </si>
  <si>
    <t>https://t.co/ZByZRtJk2Z is 4 sale (DM or email an offer) #audi #Porsche @VW @vwgroup_en @VWnews @vwpress_en @Volkswagen #VW #Volkswagen</t>
  </si>
  <si>
    <t>#vw #beetle #vwbeetle #vwbeetlelovers #aircooled #type1 #bug #fusca #volkswagen #vdub #euro #vocho #bocho #volkswor… https://t.co/p6Rrv6kajJ</t>
  </si>
  <si>
    <t>A very orange #vw #campervan in #greenwoodlake #newyork #NY #classic #classiccar #vwbus #vwworld #vwlove #vwcamper … https://t.co/WmMhsduqf1</t>
  </si>
  <si>
    <t>Lulu</t>
  </si>
  <si>
    <t>😻😻 te busque por todo temperley y lomas y mira donde nos venimos a ver #VW #Fox #Vwlovers #streetracingsrs https://t.co/sj2KwBkasp</t>
  </si>
  <si>
    <t>Javid David Alvarez Fernandez J alvarez El dueño del sistema 19/09/13 - 11/08/15 Reggaeton en la casa.</t>
  </si>
  <si>
    <t>Eventos de hoje em santo andre. #kombi #kombilovers #kombibrasil #combi #vw #volkswagen #volksvagenkombi #volkswor… https://t.co/a49PWhJuUC</t>
  </si>
  <si>
    <t>#fiftyshadesofgrey #vanagonsofgermany #cologne #volkswagen #vw #t3 #t25 #vanagon #vanagonlife #vanlife #freedomvess… https://t.co/K92YQfaEaz</t>
  </si>
  <si>
    <t>FanCar Picture - Send me your Scirocco pictures!!! (PM Please) #VW #Volkswagen #Scirocco #Tuning https://t.co/n6GxWp6Fok</t>
  </si>
  <si>
    <t>Tampa woman dies in Lee County crash: Marlene Mendoza was a passenger in a 2004 Volkswagen Jet... https://t.co/O0VzGowuhq #VW #jetta #car</t>
  </si>
  <si>
    <t>Luz Castillo</t>
  </si>
  <si>
    <t>RT @desfilando_bajo: Lo que todo fierrero quiere 😍 #parejafierrera #vw #trend https://t.co/ShxrhkZ7dV</t>
  </si>
  <si>
    <t>Ig. luuz.castillo Snapchat luuz_castillo</t>
  </si>
  <si>
    <t>lovefastcars</t>
  </si>
  <si>
    <t>VRPorn</t>
  </si>
  <si>
    <t>RT @rajesh877: sometimes you just need to drive🙌 📸 - @_ittshannah #vw #vdub #volkswagen #volksnation #vr #vr6 #vrsex #golf #jolf … https:/…</t>
  </si>
  <si>
    <t>MyTweetMachineX</t>
  </si>
  <si>
    <t>autophorie</t>
  </si>
  <si>
    <t>Vorschau neuer Touareg: VW T-Prime Concept #volkswagen #suv #touareg #vw #TPrime #conceptCar https://t.co/1MIyrBLTs0 https://t.co/Mi8PgwRIAs</t>
  </si>
  <si>
    <t>Euphorie auf vier Rädern</t>
  </si>
  <si>
    <t>Marzenia trzeba spełniać 😄 Corrado &amp; me na Worthersee #worthersee #airride #stance #tuning #passion #vw #corrado #g… https://t.co/N67LdIdUmK</t>
  </si>
  <si>
    <t>eBay: VW Camper Van Type 2 Late Bay Window… https://t.co/11PH0vCDow #vwcamper #vwbus #vw https://t.co/ZEadscsjBy https://t.co/NFJQZ5tIfM</t>
  </si>
  <si>
    <t>eBay: VW Transporter vito Suzuki bongo romahome vivaro traffic small… https://t.co/vYx25JQxQj #vwcamper #vwbus #vw https://t.co/ZEadscsjBy</t>
  </si>
  <si>
    <t>erikcunningham</t>
  </si>
  <si>
    <t>#Blue #California. #vintage #vw #bus #volkswagen #car #show #classic #cars #autos #ocean #pier… https://t.co/choUUXTRLh</t>
  </si>
  <si>
    <t>Artist / Web Designer / Developer / Producer</t>
  </si>
  <si>
    <t>Bryan Armstrong</t>
  </si>
  <si>
    <t>Spotted in the wild. #VW https://t.co/Xujc0BXbeq</t>
  </si>
  <si>
    <t>I love the Automotive Industry in which I work. I have an AMAZING wife and 4 kids that inspire me daily. #credo Ruthlessly compete against your own best self.</t>
  </si>
  <si>
    <t>HigherIntelligence</t>
  </si>
  <si>
    <t>@Bsafestrategies #VW wants to cover up its scandal and damages in #US.</t>
  </si>
  <si>
    <t>Voice For:#AntiEstablishment, #CleanEnergy, #Consumerism, #Democracy, #HealthyLifestyle &amp; Hi #IQ People. Created on Dec.29-2015</t>
  </si>
  <si>
    <t>Anyone have any other spare T1s for trade? #hotwheels #hotwheelscustoms #vw #volkswagen… https://t.co/pNWubK8eeT</t>
  </si>
  <si>
    <t>Tom Harper</t>
  </si>
  <si>
    <t>I wonder how #vw @VW will make the #TDI debacle right? Looking forward to resolution in #Kansas https://t.co/27lWmIzldn</t>
  </si>
  <si>
    <t>Lawrence, KS</t>
  </si>
  <si>
    <t>Follow all things related to mid-century modern houses, real estate, architecture, furniture, and other mod happenings in Lawrence, Kansas.</t>
  </si>
  <si>
    <t>Fabian Meßner</t>
  </si>
  <si>
    <t>RT @autophorie: Vorschau neuer Touareg: VW T-Prime Concept #volkswagen #suv #touareg #vw #TPrime #conceptCar https://t.co/1MIyrBLTs0 https:…</t>
  </si>
  <si>
    <t>Germany, Essen</t>
  </si>
  <si>
    <t>Traveling a lot, passionate about cars. Instagram: fabian.messner Snapchat: fabian_messner - Check @autophorie</t>
  </si>
  <si>
    <t>VW Caddy by Above Tha Law Photography #VW #Caddy #VAG #Volkswagen https://t.co/j0Z6szDc6i</t>
  </si>
  <si>
    <t>Old cabby has seen better days. Rust in piece... #volkswagen #vw #mk1 #cabriolet #1986 @ Lkq… https://t.co/1Us8IJMM7n</t>
  </si>
  <si>
    <t>Seat Leon Cupra R by Kurt Blythman Photography #Seat #Leon #Cupra #R #VAG #VW #Volkswagen https://t.co/XoBY4zco6u</t>
  </si>
  <si>
    <t>VW Beetle1966 Jason's by Logan McWilliams Photography - Peachykeen #VW #Beetle #Escarabajo #Kafer #VAG #Volkswagen https://t.co/Y2ojZWIKWw</t>
  </si>
  <si>
    <t>Adam Thompson</t>
  </si>
  <si>
    <t>L😍ve #vw #r32 @ National Trails Raceway https://t.co/YZOWXF8Ifp</t>
  </si>
  <si>
    <t>Drums &amp; V-dubs!</t>
  </si>
  <si>
    <t>VW Golf MKVI GTI Chris's by Andrew Sutter Automotive Photography #VW #Golf #MKVI #GTI #VAG #Volkswagen https://t.co/Gtfc4AZyNU</t>
  </si>
  <si>
    <t>Static_Uber</t>
  </si>
  <si>
    <t>This dude is a beast. #IMPORTEXPO #CLEANCULTURE #whorelando #vw #volkswagen #mkv #gti… https://t.co/Pfyn89c0no</t>
  </si>
  <si>
    <t xml:space="preserve">Hollywood, FL </t>
  </si>
  <si>
    <t>23. Pa la pinga. SC: ohkeviing VW</t>
  </si>
  <si>
    <t>Audi Avant B7 S4 by Rotiform Wheels #Audi #Avant #B7 #S4 #VAG #VW #Volkswagen https://t.co/95pBU8OLWy</t>
  </si>
  <si>
    <t>Stock but clean 👌🏽🤗. Owner: @jenmaloney12 Follow/Like. Follow @vdubsofcanada For more posts. #vw #audi #cars #mk1 #… https://t.co/P44PCZP7hj</t>
  </si>
  <si>
    <t>#suranclub #vw #spacefox #volkswagen #club #suran #sportvan #spaceclube #Brasil https://t.co/8WKGObsHVo</t>
  </si>
  <si>
    <t>#suranclub #vw #spacefox #volkswagen #club #suran #sportvan #spaceclube #Brasil https://t.co/54REnm6Exx https://t.co/kWw2rLVCQd</t>
  </si>
  <si>
    <t>Outlaw Prophet</t>
  </si>
  <si>
    <t>Dixie Land</t>
  </si>
  <si>
    <t>I'm The Last Wolf River Outlaw biding my time until I can be free once again. No dm's #LegalizeIt</t>
  </si>
  <si>
    <t>#suranclub #vw #spacefox #volkswagen #club #suran #sportvan #spaceclube #Brasil https://t.co/YP8nWzUP9Z</t>
  </si>
  <si>
    <t>#suranclub #vw #spacefox #volkswagen #club #suran #sportvan #spaceclube #Brasil https://t.co/fcsd2Vyg4L https://t.co/avdk8Eh2cf</t>
  </si>
  <si>
    <t>#suranclub #vw #spacefox #volkswagen #club #suran #sportvan #spaceclube #Brasil https://t.co/kEMy9m7u8T</t>
  </si>
  <si>
    <t>#suranclub #vw #spacefox #volkswagen #club #suran #sportvan #spaceclube #Brasil https://t.co/0ifVjXtTp0 https://t.co/8XPR9GupGp</t>
  </si>
  <si>
    <t>wagonation</t>
  </si>
  <si>
    <t>tylerupton52 #wagonation #vw #tdi #golfwagon https://t.co/SniZrECQNW</t>
  </si>
  <si>
    <t>Grand Rapids, MI | Phoenix, AZ</t>
  </si>
  <si>
    <t>makeyoufeelsomewagonway - #wagonation #wncrew wagonation616@gmail.com</t>
  </si>
  <si>
    <t>#suranclub #vw #spacefox #volkswagen #club #suran #sportvan #spaceclube #Brasil https://t.co/hV2egEuxih</t>
  </si>
  <si>
    <t>#suranclub #vw #spacefox #volkswagen #club #suran #sportvan #spaceclube #Brasil https://t.co/eGyz853Lq6 https://t.co/KxcS5N3LZc</t>
  </si>
  <si>
    <t>Bertin Osvaldo</t>
  </si>
  <si>
    <t>@T5_Motortech #VW esta toma que se ve es para aceite de transmisión? Jetta A3 mod. 98 y si es asi como se retira https://t.co/AFVI6ygPU7</t>
  </si>
  <si>
    <t>@ER_FullService #VW esta toma que se ve es para aceite de transmision? Y si es así cono se retira para rellenar https://t.co/5spzBgSYZ1</t>
  </si>
  <si>
    <t>Bruce Mirken</t>
  </si>
  <si>
    <t>How could #VW diesel settlement improve California air quality? @Greenlining @joelespino_24 https://t.co/pdl6gTK1Zq via @aconnectedcar</t>
  </si>
  <si>
    <t>Media Relations Director, The Greenlining Institute. Opinions are strictly mine. RTs do not equal endorsements. Justice. Fairness. Equity.</t>
  </si>
  <si>
    <t>Lorii</t>
  </si>
  <si>
    <t>Damn baby!! 😍😘 #VW #springfling #Vdub #love https://t.co/0riv4GmxTa</t>
  </si>
  <si>
    <t>A Direct Link to My Thoughts. Follow My Love @DougieFreshftw ---- #MFC #CB #VW #LegitCarGirl #FuckMonsanto #StayHigh</t>
  </si>
  <si>
    <t>@TransChipo #VW esta toma es de transmision automatica? Jetta A3 mod. 98 y si lo es como se abre para rellenar https://t.co/lKwMPQHdUC</t>
  </si>
  <si>
    <t>The bangbus! #bangbus #VW #springfling #vdub https://t.co/AJPrAuTtgN</t>
  </si>
  <si>
    <t>#vw #vwlove #vwcommunity #vwlife #vanlife #vwwatercooled #vwcamper #vwcampervan #vwkombi #vwkombivan #vwt3 #vwt25 #… https://t.co/LmQ6BnToD6</t>
  </si>
  <si>
    <t>Another VW flipped #Volkswagen #VW #vintagevdub #vwbus #vwvan #vwcamper #rivieracamper #baywindowbus #baywindow #p… https://t.co/nfdgAjeiFy</t>
  </si>
  <si>
    <t>@AutomecaTC #VW esta toma es de transmision automática? Jetta A3 mod. 98 y si lo es como se abre para rellenar https://t.co/EDhHGtXjQB</t>
  </si>
  <si>
    <t>#bgtfirstclass #vw #miniaturavw #1/43 #fusca #jettamk2 #porsche #porsche911 #miniaturacustomizada #mercedescls63amg… https://t.co/lGHSmCuxNE</t>
  </si>
  <si>
    <t>@TransmisionesA #VW esta toma es de transmision automática? Jetta A3 mod. 98 y si lo es como se abre para rellenar</t>
  </si>
  <si>
    <t>VW's Bleak Options for Dealing With 500000 Recalled Diesels https://t.co/ck9K155joF #VW #AutoNews</t>
  </si>
  <si>
    <t>VW T-Prime Concept GTE signals fullsize SUV with premium... https://t.co/2TEBxztMGm #VW #AutoNews</t>
  </si>
  <si>
    <t>RT @SPAGartner: Reason for #Mitsubishi scandal: hierarchic management culture. Common in Japan. Also in family businesses. #VW https://t.c…</t>
  </si>
  <si>
    <t>新作ケーキ #バリアフリー #iwata #fukuroi #shizuoka #cafe #磐田 #vw #jubilo #morning #hamamatu #sweets #beetle #喫茶店 #スイーツ #雑誌 #車 https://t.co/n3pypcm7lk</t>
  </si>
  <si>
    <t>Great weekend with lots of car related activities 📸 Owner : __illmatiic #vw… https://t.co/DllhIAEdVm</t>
  </si>
  <si>
    <t>RT @OnlyCarrera: #bgtfirstclass #vw #miniaturavw #1/43 #fusca #jettamk2 #porsche #porsche911 #miniaturacustomizada #mercedescls63amg… https…</t>
  </si>
  <si>
    <t>xiim vega</t>
  </si>
  <si>
    <t>DIEGO RIVERA STREET basically #diegorivera #street #mexicocity #hipster #bicycle #vw https://t.co/Y8K2EVlgBE</t>
  </si>
  <si>
    <t>City Of Dreams</t>
  </si>
  <si>
    <t>• Designer &amp; Fashionnotic • I´m chingona • unicorn in condechi MX • OnionRingsFashion CoFounder</t>
  </si>
  <si>
    <t>2013 Volkswagen Jetta: Looking to sell my 2013 Volkswagen Jetta. It comes with Air Conditionin... https://t.co/aRSXbPewtj #VW #jetta #car</t>
  </si>
  <si>
    <t>Beetle - #fusca #beetle #vocho #vw #volkswagen #vintagecar #old #oldcar #fuscabrasil #lovefusca #lovebeetle #vwkomb… https://t.co/H2dSrcMUfe</t>
  </si>
  <si>
    <t>Ryan Glover</t>
  </si>
  <si>
    <t>Ryan Glover is a Rapper/Actor and a graduate of Illinois College and a Veteran of the US Coast Guard.</t>
  </si>
  <si>
    <t>Watch NOW. #Volkswagen Press Conference #AutoChina 🎥 https://t.co/y8q2EVPRNm #VWBeijingAutoShow16 #VW https://t.co/pD2MA2yxQ4</t>
  </si>
  <si>
    <t>RT @cmsGOMEX: Watch NOW. #Volkswagen Press Conference #AutoChina 🎥 https://t.co/y8q2EVPRNm #VWBeijingAutoShow16 #VW https://t.co/pD2MA2yxQ4</t>
  </si>
  <si>
    <t>Pretin ॐ</t>
  </si>
  <si>
    <t>+55061</t>
  </si>
  <si>
    <t>ॐ ♈ - 1 9 9 7 DEPOIS DE CRISTO. ॐ •THC•</t>
  </si>
  <si>
    <t>Que no te ganen este #VW Golf 2015|23,285 km Te espera en @VWAldenVallejo #Seminuevos https://t.co/mdG0uSJFge https://t.co/KsVjYZxCUh</t>
  </si>
  <si>
    <t>#VWChinaCEO Heizmann on stage. #VW Press Conference #AutoChina 🎥 🇬🇧/🇩🇪 https://t.co/y8q2EVPRNm #VWBeijingAutoShow16 https://t.co/sBhnnpZTbh</t>
  </si>
  <si>
    <t>Tweet Experte</t>
  </si>
  <si>
    <t>RT @xiimv: DIEGO RIVERA STREET basically #diegorivera #street #mexicocity #hipster #bicycle #vw https://t.co/Y8K2EVlgBE</t>
  </si>
  <si>
    <t>TweetExperte</t>
  </si>
  <si>
    <t>San Francisco - Munich</t>
  </si>
  <si>
    <t>Mac &amp; Kindle addicted Leseratte und Fotografiersüchtig</t>
  </si>
  <si>
    <t>Presenting the new #VW #Phideon 🎥 https://t.co/y8q2EVPRNm #VWBeijingAutoShow16 #AutoChina #BeijingMotorShow https://t.co/rIJHsNBeJ2</t>
  </si>
  <si>
    <t>post scriptum</t>
  </si>
  <si>
    <t>No doubt about it: the #VW emissions 'scandal' is an attempt to keep Germany (and the #EU) doing #US's bidding https://t.co/8tl5J1C0IO</t>
  </si>
  <si>
    <t>Human by nature, software engineer by trade. Opinions are entirely my own and subject to change.</t>
  </si>
  <si>
    <t>AutoGuide.com</t>
  </si>
  <si>
    <t>6 Things You Should Know About the #VW #Dieselgate Settlement https://t.co/C8lNygGmbD https://t.co/6JPXhroK4Z</t>
  </si>
  <si>
    <t>Auto news and reviews.</t>
  </si>
  <si>
    <t>Rock N Rolla</t>
  </si>
  <si>
    <t>RT @AutoGuide: 6 Things You Should Know About the #VW #Dieselgate Settlement https://t.co/C8lNygGmbD https://t.co/6JPXhroK4Z</t>
  </si>
  <si>
    <t>Cairo - Egypt</t>
  </si>
  <si>
    <t>‏‏‏‏‏A Gemini with explicit content ميصحش كدة ✋</t>
  </si>
  <si>
    <t>Tony</t>
  </si>
  <si>
    <t>Sci Fi/Horror fan, video game nut, but above all else a simpleton.</t>
  </si>
  <si>
    <t>RT @cmsGOMEX: Presenting the new #VW #Phideon 🎥 https://t.co/y8q2EVPRNm #VWBeijingAutoShow16 #AutoChina #BeijingMotorShow https://t.co/rIJH…</t>
  </si>
  <si>
    <t>The Next Generation #VW #Magotan 🎥 https://t.co/y8q2EVPRNm #VWBeijingAutoShow16 #AutoChina #BejingMotorShow https://t.co/mO01GCFYJN</t>
  </si>
  <si>
    <t>⏪ Eze ⏩</t>
  </si>
  <si>
    <t>RT @LimandoElPisoPM: #Vw #Voyage https://t.co/KdJHjlKMOw</t>
  </si>
  <si>
    <t>❇ Pibe FIERRERO // Amo los Autos planchados, y mas si es un VW FOX // Soy Hincha del ROJO // Acuariano // Mi vida, mi problema // Estoy de novio y la amo❇</t>
  </si>
  <si>
    <t>FIRST LOOK: The future look of #VW SUVs https://t.co/Yww0GkpG8D https://t.co/TcWaMdm7P2</t>
  </si>
  <si>
    <t>jonathan fowler</t>
  </si>
  <si>
    <t>RT @Automotive_News: FIRST LOOK: The future look of #VW SUVs https://t.co/Yww0GkpG8D https://t.co/TcWaMdm7P2</t>
  </si>
  <si>
    <t>oklahoma</t>
  </si>
  <si>
    <t>lover of @girlinpark,winnie+ezra, dogs, music, the arts, autos, basketball &amp; oklahoma. vp @fowlerauto. @leadershipok xxviii. @okartscouncil LA6.</t>
  </si>
  <si>
    <t>•20 || #VW #Fiat ❤ || Snapchat Floppiichiara || Mika amor de mi vida♡</t>
  </si>
  <si>
    <t>🎆 World Premiere #Volkswagen T-Prime GTE Concept 🎥 https://t.co/y8q2EVPRNm #VWBeijingAutoShow16 #AutoChina #VW https://t.co/QJTn8a3VoS</t>
  </si>
  <si>
    <t>J.C.R.C</t>
  </si>
  <si>
    <t>Aprende de los fuertes valientes y audaces, imita a los enérgicos a los que no claudican ante ningún obstáculo</t>
  </si>
  <si>
    <t>Jack Chen</t>
  </si>
  <si>
    <t>Changhua, Taiwan</t>
  </si>
  <si>
    <t>Starship 21ZNA9</t>
  </si>
  <si>
    <t>#VW #Camper... 📷 https://t.co/tqZuz5fKf2 https://t.co/DCmFIR7QGY</t>
  </si>
  <si>
    <t>(oYo)</t>
  </si>
  <si>
    <t>A good friend of mine studies the stars, Venus and Mars are alright tonight.</t>
  </si>
  <si>
    <t>My favorite 💋😜 #VW #vdub #Madera #MaderaSpringFling #SpringFling https://t.co/xJaFXuGeV8</t>
  </si>
  <si>
    <t>#VW Vans... 📷 Flickr https://t.co/ES2ehRFjTa</t>
  </si>
  <si>
    <t>~Nanno</t>
  </si>
  <si>
    <t>Compro suspensión que quede a 2 dedos para #Vw #Gol ! Con vástagos trabajados! Ah re flashaba en twt.</t>
  </si>
  <si>
    <t xml:space="preserve"> /JUAN23</t>
  </si>
  <si>
    <t>insta: nanno.ch ∆ Snap: Nanno2033/♧1130822342♣[~Todos los Autos pueden ser Iguales, Sólo Vos haces que tu Auto sea Único para marcar la Diferencia~] •SanJusto•</t>
  </si>
  <si>
    <t>Doug C.</t>
  </si>
  <si>
    <t>RT @DeeZeeX: #VW Vans... 📷 Flickr https://t.co/ES2ehRFjTa</t>
  </si>
  <si>
    <t>Indiana (US)</t>
  </si>
  <si>
    <t>Cars, Racing, Rat Rods, sports, nature, (Hound) Dogs, Colts, architecture, Music (Rock mostly..) I race Champ Karts, Ready to race Anything❗ / pic is not me \</t>
  </si>
  <si>
    <t>Stay tuned for a rebroadcast of the #Volkswagen Press Conference from the #AutoChina 🎥 https://t.co/y8q2EVPRNm #VW https://t.co/Md9BO3oDed</t>
  </si>
  <si>
    <t>#VW Van... 📷 Flickr https://t.co/6zCc2ZRVMU</t>
  </si>
  <si>
    <t>RT @DeeZeeX: #VW #Camper... 📷 https://t.co/tqZuz5fKf2 https://t.co/DCmFIR7QGY</t>
  </si>
  <si>
    <t>@dougyfresh_79 Thanks for the retweets! 👍 #VW Van... 📷 Flickr https://t.co/Z1GkI9InSh</t>
  </si>
  <si>
    <t>Autostyle Motorsport</t>
  </si>
  <si>
    <t>Thoughts on r8 style stripes on a #vw #mk7? Eye-catching no doubt OP from @325ps.steffen… https://t.co/BuiK26UU4e https://t.co/wtv2GaZPEC</t>
  </si>
  <si>
    <t>Jo'burg and Durban</t>
  </si>
  <si>
    <t>South Africa's largest retailer of automotive accessories, car audio wheels &amp; tyres. http://t.co/zeHLE35hId</t>
  </si>
  <si>
    <t>#VW presents the new #VWPhideon at the press conference in Beijing. #VWBeijingAutoshow16 https://t.co/SBH99Lh2bd</t>
  </si>
  <si>
    <t>King Creativo</t>
  </si>
  <si>
    <t>RT @vwpress_en: #VW presents the new #VWPhideon at the press conference in Beijing. #VWBeijingAutoshow16 https://t.co/SBH99Lh2bd</t>
  </si>
  <si>
    <t>Bogotá</t>
  </si>
  <si>
    <t>Citizen of the Universe, Radio Talks Show. Music is the Answer, Copy Writter and Passion for Advertising. Commodity Trading Advisor. #SocialMindMedia#Tamo.</t>
  </si>
  <si>
    <t>Allan deivid Pereira</t>
  </si>
  <si>
    <t>Goiânia, Brasil</t>
  </si>
  <si>
    <t>ninja</t>
  </si>
  <si>
    <t>Tickermeldung #VW - https://t.co/5VxIwKsGU4 gefunden via @1Feedom</t>
  </si>
  <si>
    <t>RT @DeeZeeX: @dougyfresh_79 Thanks for the retweets! 👍 #VW Van... 📷 Flickr https://t.co/Z1GkI9InSh</t>
  </si>
  <si>
    <t>#VW #Beetle #Bug #BubbleGum 📷 Flickr https://t.co/qegmq8Cs5n</t>
  </si>
  <si>
    <t>Oswaldo Moreano</t>
  </si>
  <si>
    <t xml:space="preserve">   Ecuador</t>
  </si>
  <si>
    <t>Ingeniero Civil - MBA de profesión, gestión sostenible una vocación. Político por pasión y libre pensador por convicción. Articulista https://t.co/nFrgGvy7bS</t>
  </si>
  <si>
    <t>Another highlight at the #VW press conference: The #VWMagotan. #VWBeijingAutoshow16 https://t.co/tYpOVPA6Sy</t>
  </si>
  <si>
    <t>eBay: 2016 VOLKSWAGEN TRANSPORTER T6 CAMPER… https://t.co/Dbw8DclmFf #vwcamper #vwbus #vw https://t.co/ZEadscsjBy https://t.co/zpZwl7P1iB</t>
  </si>
  <si>
    <t>#VW #Beetle #Bug 📷 Quirky Rides https://t.co/VAIyAQPdKn</t>
  </si>
  <si>
    <t>Randy skilz</t>
  </si>
  <si>
    <t>#transporter #vwtransporter #vw #volkeswagen #roccoscars https://t.co/gzwU9iGeZP</t>
  </si>
  <si>
    <t>around</t>
  </si>
  <si>
    <t>technics turntable dj randyskilz Wyoming Valley Motors Subaru/Kia sales New &amp; Pre owned autos</t>
  </si>
  <si>
    <t>Ghosts... #VW #Beetle #Bug 📷 pot'vw https://t.co/84s3lngsNz</t>
  </si>
  <si>
    <t>#VW #Beetle #Bug 📷 https://t.co/geJQEiAzyn https://t.co/r0hwI2jdEL</t>
  </si>
  <si>
    <t>Jesus R. Zendejas</t>
  </si>
  <si>
    <t>#derby #vw #vocho @ Kaxapa Factory https://t.co/ALzYrFu6Fu</t>
  </si>
  <si>
    <t>Aruba</t>
  </si>
  <si>
    <t>Global Citizen-Digital Nomad, Born in México Based in Aruba CCO ISTRID App Store #theworldthroughmeye™ ♻️3️⃣1️⃣1️⃣</t>
  </si>
  <si>
    <t>ICYMI: Full-length rebroadcast #VW Press Conference #AutoChina available #ondemand 🎥 https://t.co/y8q2EVPRNm (🇬🇧/🇩🇪) https://t.co/d7P2wPgiol</t>
  </si>
  <si>
    <t>Volkswagen Westfalia | Washington, D.C. | back at it again with the white van #vw #vwvan #vwcamper #volkswagen #wes… https://t.co/u0RSEx7PVY</t>
  </si>
  <si>
    <t>José</t>
  </si>
  <si>
    <t>Chulada. #Volkswagen #VW #Vocho https://t.co/wQsnBhDUhh</t>
  </si>
  <si>
    <t>Colima, México</t>
  </si>
  <si>
    <t>Le hubiera gustado vivir más tiempo en los ochenta, porque el único año que pudo hacerlo no lo recuerda.</t>
  </si>
  <si>
    <t>#aircooled #volks #vw #vwbus #vwclassic #vwlovers #kombi #vwvan #vwcamper #vwfotografia #vscfotografia_ #instakombi… https://t.co/Zsh58S9YbE</t>
  </si>
  <si>
    <t>#VW #Van 📷 https://t.co/RE9Y9frOZO https://t.co/1Qvj36L0hE</t>
  </si>
  <si>
    <t>#VW #Van 📷 the CHIVE https://t.co/7ajv8eXnsd</t>
  </si>
  <si>
    <t>#VWGroup China CEO Heizmann: "Beijing will soon be home to one of just three global #VW Future Centers." https://t.co/ZuoFDoBwNY</t>
  </si>
  <si>
    <t>Lee</t>
  </si>
  <si>
    <t>southern illinois</t>
  </si>
  <si>
    <t>Hi, I don't care. Except for the Foo's and maybe three other people.</t>
  </si>
  <si>
    <t>FanCar Picture - Send me your Scirocco pictures!!! (PM Please) #VW #Volkswagen #Scirocco #Tuning https://t.co/HUoUoSFopC</t>
  </si>
  <si>
    <t>West Coast Auto</t>
  </si>
  <si>
    <t>Oscar</t>
  </si>
  <si>
    <t>Silao, Guanajuato</t>
  </si>
  <si>
    <t>Ingeniero|Hidalguense</t>
  </si>
  <si>
    <t>David Scholz</t>
  </si>
  <si>
    <t>Ottawa, Canada</t>
  </si>
  <si>
    <t>Wandering around ☕️ 21</t>
  </si>
  <si>
    <t>Who doesn't love an old #VW #Bus? 📷 https://t.co/GtRJ8e1R5I https://t.co/tK6wU0hyw8</t>
  </si>
  <si>
    <t>VAG Motorsport</t>
  </si>
  <si>
    <t>Worthesee ! One of the events on our "to do list" #vagmotorsportsa #worthersee #vw #audi… https://t.co/lQLE4t9BCA</t>
  </si>
  <si>
    <t>VAG Motorsport specializes in performance modifications, ECU Tuning, DSG tuning and accessories for Volkswagen, Audi, Porsche, BMW and other top marques</t>
  </si>
  <si>
    <t>Henry⚓️®</t>
  </si>
  <si>
    <t>Las maquinas!! #VW #Coamo #VR6 #GTI #Jetta https://t.co/I5dOf2R830</t>
  </si>
  <si>
    <t>Ponce P.R.</t>
  </si>
  <si>
    <t>ΦΗΜ Õ'10 | Músico |Chef | En el Mar La Vida Es Mas Sabrosa⛵️</t>
  </si>
  <si>
    <t>Asad Abbas Minhas</t>
  </si>
  <si>
    <t>RT @vwpress_en: #VWGroup China CEO Heizmann: "Beijing will soon be home to one of just three global #VW Future Centers." https://t.co/ZuoFD…</t>
  </si>
  <si>
    <t>Islamabad,Pakistan</t>
  </si>
  <si>
    <t>ileana gierer</t>
  </si>
  <si>
    <t>medica</t>
  </si>
  <si>
    <t>#VW CEO Diess: "In the next four years, we will launch seven New Energy Vehicles „made in China”." #VWBeijingAutohow16</t>
  </si>
  <si>
    <t>Fede Bustamante</t>
  </si>
  <si>
    <t>#LowLife #HNKYALY | #VW #MKV #MK5 #Rotiform #INDT #BodenAutoHaus #airlift #AAautoworks… https://t.co/xMXE2IBebO</t>
  </si>
  <si>
    <t>I test drove this car as part of a review and now my father in law wants to buy it https://t.co/4j1PoCcQQt #VW #AutoNews</t>
  </si>
  <si>
    <t>VW upbeat on China, plans more investments with joint ventures https://t.co/mOvettdSoQ #VW #AutoNews</t>
  </si>
  <si>
    <t>VW T-Prime Concept GTE signals fullsize SUV with premium aspirations https://t.co/UPnYCKdnrw #VW #AutoNews</t>
  </si>
  <si>
    <t>#VW CEO Diess: "In the future, the #VW brand will sell more electric cars in China than anywhere else in the world." #VWBeijingAutoshow16</t>
  </si>
  <si>
    <t>@machminer Thanks for the retweet! 👍 #VW #Van 📷 Val-Chance Runyon https://t.co/RgwhDqZ2Q8</t>
  </si>
  <si>
    <t>Jhean Forcadilla</t>
  </si>
  <si>
    <t>RT @vwpress_en: #VW CEO Diess: "In the future, the #VW brand will sell more electric cars in China than anywhere else in the world." #VWBe…</t>
  </si>
  <si>
    <t>RT @DeeZeeX: #VW #Beetle #Bug 📷 https://t.co/geJQEiAzyn https://t.co/r0hwI2jdEL</t>
  </si>
  <si>
    <t>World premiere in Beijing: The new concept car for China "T-Prime Concept GTE by #VW. #VWBeijingAutoshow16 https://t.co/77ON4SsMhf</t>
  </si>
  <si>
    <t>RT @vwpress_en: World premiere in Beijing: The new concept car for China "T-Prime Concept GTE by #VW. #VWBeijingAutoshow16 https://t.co/77O…</t>
  </si>
  <si>
    <t>@momma_rocker Thanks for the retweet! 👍 #VW #Beetle #Bug 📷 https://t.co/nnfyMrdcbO https://t.co/Nqtqgv1zx9</t>
  </si>
  <si>
    <t>Ξric</t>
  </si>
  <si>
    <t>GLI chillin' after a day at the spa 😎 #gli #vw https://t.co/joU2begThZ</t>
  </si>
  <si>
    <t>Finance student. Bitcoin proponent. Currency trader on hiatus.</t>
  </si>
  <si>
    <t>#VW CEO Diess about the new T-Prime: "It’s the new flagship of the #VW brand." #VWBeijingAutoshow16 https://t.co/ftVZpYPRSE</t>
  </si>
  <si>
    <t>#VW CEO Diess in Bejing: "In the next four years, we will extend our product portfolio in China to ten SUVs." #VWBeijingAutohow16</t>
  </si>
  <si>
    <t>#VW #Beetle #Bug 📷 Adrienne Lynn McMaster Hanchett https://t.co/Zto0sB3K8I</t>
  </si>
  <si>
    <t>Watch rebroadcast of T-Prime Concept GTE World Premiere 🎥 (🇬🇧/🇩🇪) https://t.co/y8q2EVPRNm #VWBeijingAutoShow16 #VW https://t.co/eyu4KatjYc</t>
  </si>
  <si>
    <t>#VW T-Prime Concept GTE Previews New Full-Size SUV https://t.co/IyDQdNUCY1 https://t.co/GXyVb2CV9n</t>
  </si>
  <si>
    <t>Mike Hidalgo</t>
  </si>
  <si>
    <t>#starwars #beetle #vw #Gunners #Stormtroopers #501st #Scotland https://t.co/KgTzoXqout</t>
  </si>
  <si>
    <t>Puebla, Pue. Mexico.</t>
  </si>
  <si>
    <t>Poblano de nacimiento, Tabasqueño y Veracruzano de corazón, comprometido con lo que es correcto y lo que es mejor para todo el mundo, no para unos cuantos.</t>
  </si>
  <si>
    <t>CaptainCj</t>
  </si>
  <si>
    <t>RT @Carscoop: #VW T-Prime Concept GTE Previews New Full-Size SUV https://t.co/IyDQdNUCY1 https://t.co/GXyVb2CV9n</t>
  </si>
  <si>
    <t>Born South-African, now Canadian. Passionate about life , food, wine and my hatred for stupid people!</t>
  </si>
  <si>
    <t>Roberto García Vidal</t>
  </si>
  <si>
    <t>Childhood Nostalgia. #childhoodnostalgia #nostalgia #volkswagen #vw #vwbug #cars #vintage #vintagecar #red #park #… https://t.co/yyNnnmB167</t>
  </si>
  <si>
    <t>2016 VOLKSWAGEN TRANSPORTER T6 CAMPER VAN 102PS HIGHLINE NEW VAN: £38,995.00End Date: Sunday May-22-2016 ... https://t.co/7Y0aDudaeP #vw</t>
  </si>
  <si>
    <t>https://t.co/sHinrragrL - #VW #VWT5 #T5 #type5 #vwtransporter #nimbusgrey #volkswagentran… https://t.co/AzvveIrCWn https://t.co/bkV8j5dtTb</t>
  </si>
  <si>
    <t>@dbragg275's fantastic peanut butter #recaro seat #interior. Perfect colour combination! #vwgolf #vwrabbit #vw #vol… https://t.co/J5HcaJXJwI</t>
  </si>
  <si>
    <t>Police Log: Pierson's 2014 Volkswagen Jetta sustained moderate damage to the driver-side front... https://t.co/Otitqx7Dr9 #VW #jetta #car</t>
  </si>
  <si>
    <t>VW not yet able to determine cost of emissions scandal – CEO: VW has promised drivers in Europ... https://t.co/gRFD9iUry4 #VW #jetta #car</t>
  </si>
  <si>
    <t>State police at Clearfield: Friday at 7:15 p.m. a 16-year-old girl was driving a 2000 Volkswag... https://t.co/Fn2gzduvUP #VW #jetta #car</t>
  </si>
  <si>
    <t>#scirocco #sciroccor #sciroccorline #vw #vwscirocco #sciroccom #sciroccorestyling #facelift #tsi #tdi #tfsi #turbo … https://t.co/imSEbdTlNB</t>
  </si>
  <si>
    <t>#scirocco #sciroccor #sciroccorline #vw #vwscirocco #sciroccom #sciroccorestyling #facelift #tsi #tdi #tfsi #turbo … https://t.co/TUuot1O3KH</t>
  </si>
  <si>
    <t>#scirocco #sciroccor #sciroccorline #vw #vwscirocco #sciroccom #sciroccorestyling #facelift #tsi #tdi #tfsi #turbo … https://t.co/gmjHGOMsud</t>
  </si>
  <si>
    <t>#VW electrifies China: World premiere of T-Prime Concept GTE in Beijing. https://t.co/s5CDDqQlUC #VWBeijingAutohow16 https://t.co/rYoVgnkhJX</t>
  </si>
  <si>
    <t>RT @vwpress_en: #VW electrifies China: World premiere of T-Prime Concept GTE in Beijing. https://t.co/s5CDDqQlUC #VWBeijingAutohow16 https:…</t>
  </si>
  <si>
    <t>Maddy Eshelman</t>
  </si>
  <si>
    <t>RT @BenBroot: Jurassic world, three Baja blasts, and the bus make for a perfect nights combo #vw http://t.co/iVbmfGMBt9</t>
  </si>
  <si>
    <t>girl hero</t>
  </si>
  <si>
    <t>Adhish Alawani</t>
  </si>
  <si>
    <t>Pune, India</t>
  </si>
  <si>
    <t>Loves motorcycles, cars, MotoGP, traveling. Works as PR for Volkswagen Group India. And has seasonal presence on Twitter!</t>
  </si>
  <si>
    <t>RT @RobertoGarciaV_: Childhood Nostalgia. #childhoodnostalgia #nostalgia #volkswagen #vw #vwbug #cars #vintage #vintagecar #red #park #… h…</t>
  </si>
  <si>
    <t>Fanta Pants</t>
  </si>
  <si>
    <t>Insert something mildly interesting here</t>
  </si>
  <si>
    <t>Saurabh Akhare</t>
  </si>
  <si>
    <t>Amaravati, Maharashtra, India</t>
  </si>
  <si>
    <t>I'm not perfect... I'm Awesome... love Myself .. use twitter to show my awesome side.. me_saurabh_ @ Instagram</t>
  </si>
  <si>
    <t>Claudia Martínez.</t>
  </si>
  <si>
    <t>Whirlpool Mexico, Aesthetics engineer.</t>
  </si>
  <si>
    <t>Ideas al Volante</t>
  </si>
  <si>
    <t>Republica Dominicana</t>
  </si>
  <si>
    <t>Mejorar nuestra circulación vehicular nos llevara a una vida mas organizada, mas ágil, con mas armonía y menos accidentes.</t>
  </si>
  <si>
    <t>eBay: VW Camper Coffee, smoothie, catering Van… https://t.co/ZrruNeajSc #vwcamper #vwbus #vw https://t.co/ZEadscsjBy https://t.co/ZUVyAvH9bn</t>
  </si>
  <si>
    <t>Lemon kush</t>
  </si>
  <si>
    <t>"Pasas el cambio y parece que recargas una escopeta " es verdad jaja #chatarola #vw</t>
  </si>
  <si>
    <t>Jamaica noProblem</t>
  </si>
  <si>
    <t>No podráѕ caмвιar нaѕтa qυe ѕeaѕ conѕcιenтe, qυe тυ мayor eneмιgo pυede ѕer тυ propιa мenтe. ⓒⓡⓒⓡⓔⓦ</t>
  </si>
  <si>
    <t>もんきち</t>
  </si>
  <si>
    <t>RT @vwpress_en: Another highlight at the #VW press conference: The #VWMagotan. #VWBeijingAutoshow16 https://t.co/tYpOVPA6Sy</t>
  </si>
  <si>
    <t>一級小型自動車整備士、毒劇物取扱責任者、甲種危険物取扱者、甲種火薬類取扱保安責任者。某流空手道及び少林寺拳法3段。現在の仕事は自動車整備士。楽しい事大好き。愛知県田舎住み。愛車は07モデルジャガーS-type。</t>
  </si>
  <si>
    <t>RT @vwpress_en: #VW CEO Diess: "In the next four years, we will launch seven New Energy Vehicles „made in China”." #VWBeijingAutohow16</t>
  </si>
  <si>
    <t>RT @vwpress_en: #VW CEO Diess about the new T-Prime: "It’s the new flagship of the #VW brand." #VWBeijingAutoshow16 https://t.co/ftVZpYPRSE</t>
  </si>
  <si>
    <t>RT @vwpress_en: #VW CEO Diess in Bejing: "In the next four years, we will extend our product portfolio in China to ten SUVs." #VWBeijingAut…</t>
  </si>
  <si>
    <t>ari budiman</t>
  </si>
  <si>
    <t>VW kodok jdm style... Iyeu karek antik #VW #volkswagen #germany #jdm #classic #antik… https://t.co/Tlw0da3NUg</t>
  </si>
  <si>
    <t>Bandung</t>
  </si>
  <si>
    <t>RAW Studio And Photography</t>
  </si>
  <si>
    <t>augustin</t>
  </si>
  <si>
    <t>Attila</t>
  </si>
  <si>
    <t>Market Scan</t>
  </si>
  <si>
    <t>The most powerful lease and retail auto dealer #Desking solution available. Rebates, Incentives, Inventory, RouteOne, CDK 800.MKT.SCAN https://t.co/yLLGF9W5OZ</t>
  </si>
  <si>
    <t>#vanlife #vw #kombi #cdmx #mexicocity #mexico https://t.co/uyW9Owy3jQ</t>
  </si>
  <si>
    <t>#vw #vanlife #kombi #cdmx #mexicocity #mexico https://t.co/IwbEZr7pBQ</t>
  </si>
  <si>
    <t>Luca Martin</t>
  </si>
  <si>
    <t>somewhere in the world...</t>
  </si>
  <si>
    <t>Regional Office Director @Ducatiasia @DucatiMotor, investor, soccer player, trader, traveler, wine lover</t>
  </si>
  <si>
    <t>#vanlife #vw #kombi #volkswagen #mexicocity #mexico #travel https://t.co/XgFNzTfT6f</t>
  </si>
  <si>
    <t>Bety Cuevas</t>
  </si>
  <si>
    <t>Diseño/MktDigital/SocialMedia/Comunicación/Arquitectura/Decoración/ArteContemporáneo/Instalación/Travel/Soccer/Tenis/CrossFit/ProteccAnimal/DogLover/Wings&amp;Beer</t>
  </si>
  <si>
    <t>VW debuts the T-Prime Concept GTE for future SUV https://t.co/RUkg7XisgY #Beijing #China #TPrime #Volkswagen #VW</t>
  </si>
  <si>
    <t>RT @AutoVerdict: VW debuts the T-Prime Concept GTE for future SUV https://t.co/RUkg7XisgY #Beijing #China #TPrime #Volkswagen #VW</t>
  </si>
  <si>
    <t>RT @TheHippieVanMan: #vanlife #vw #kombi #cdmx #mexicocity #mexico https://t.co/uyW9Owy3jQ</t>
  </si>
  <si>
    <t>RT @TheHippieVanMan: #vw #vanlife #kombi #cdmx #mexicocity #mexico https://t.co/IwbEZr7pBQ</t>
  </si>
  <si>
    <t>RT @TheHippieVanMan: #vanlife #vw #kombi #volkswagen #mexicocity #mexico #travel https://t.co/XgFNzTfT6f</t>
  </si>
  <si>
    <t>Becca the VW Queen</t>
  </si>
  <si>
    <t>I'm going nuts without you. I'm coming to break you out of the "car hospital." 😘 #vw #jetta #gli… https://t.co/yPfhSmFTjV</t>
  </si>
  <si>
    <t>*ADW* Promote what you love instead of bashing what you hate. MK4 Jetta GLI. #BoostLife</t>
  </si>
  <si>
    <t>World Premiere T-Prime Concept GTE 🎥 https://t.co/y8q2EVPRNm #VWBeijingAutoShow16 #AutoChina #VW #Volkswagen https://t.co/1E8i96uIpA</t>
  </si>
  <si>
    <t>Marina Phommabouth</t>
  </si>
  <si>
    <t>Look at this dude and this lawn mower. #volkswagen #vw #squareback #type3 #antique #vdub… https://t.co/yvKz3mSGMw</t>
  </si>
  <si>
    <t>Live. Love. Laugh.. Like there is no tomorrow. http://t.co/cwIJBN3QK3.Culture #s2krewe #lowweezyana</t>
  </si>
  <si>
    <t>طارق الجبرين ١٤١٤</t>
  </si>
  <si>
    <t>المملكة العربية السعودية</t>
  </si>
  <si>
    <t>TXG</t>
  </si>
  <si>
    <t>Turn your eyes upon Jesus and the things of this World will grow stranger.</t>
  </si>
  <si>
    <t>RT @brhodes1997: I'm going nuts without you. I'm coming to break you out of the "car hospital." 😘 #vw #jetta #gli… https://t.co/yPfhSmFTjV</t>
  </si>
  <si>
    <t>Revealed: Volkswagen T-Prime Concept GTE https://t.co/kXqWolnQWT #VW #AutoNews</t>
  </si>
  <si>
    <t>VW T-Prime Concept GTE Previews New Full-Size SUV https://t.co/y8834k9wSP #VW #AutoNews</t>
  </si>
  <si>
    <t>VW T-Prime GTE concept revealed, hints at new flagship SUV https://t.co/16SDxF0oTq #VW #AutoNews</t>
  </si>
  <si>
    <t>Kaye Menner</t>
  </si>
  <si>
    <t>#VW #BEETLE WITH #CHROME #ENGINE #Car #Photography Quality Prints &amp; Cards at: https://t.co/kZXh9zFjJ1</t>
  </si>
  <si>
    <t>KAYE MENNER PHOTOGRAPHY - #Fine #art #photography to view/buy: #Quality #Canvas, #Framed, #Posters, #Acrylic #Prints, Greeting #Cards - reasonable #prices.</t>
  </si>
  <si>
    <t>SharonANDRenee</t>
  </si>
  <si>
    <t>RT @KayeMenner: #VW #BEETLE WITH #CHROME #ENGINE #Car #Photography Quality Prints &amp; Cards at: https://t.co/kZXh9zFjJ1</t>
  </si>
  <si>
    <t>Palm Harbor, FL</t>
  </si>
  <si>
    <t>15+ years in graphic art, 6+ years at Zazzle http://t.co/mw1CBFRTE1 2+ Year Society6 https://t.co/hc8rGsppNU Fine Art America http://t.co/H1NmLHpjTx</t>
  </si>
  <si>
    <t>@BOSSSIWELL #vw #vwbug #vwhaunt #vwthailand @ พระรามราชนิเวศน์… https://t.co/8V2gYHnBn8</t>
  </si>
  <si>
    <t>David Patterson</t>
  </si>
  <si>
    <t>Old Forge, New York</t>
  </si>
  <si>
    <t>I'm a diverse #artist and #artcollector - I'm a published #photographer, and love the #Adirondacks - I'm a #WSUCougar #ADK fan! #ChambersBayGolf</t>
  </si>
  <si>
    <t>#VW https://t.co/uuJleP3iWk https://t.co/SKxzOe3pCZ</t>
  </si>
  <si>
    <t>What a beauty! #HB #HuntingtonBeach #VW #Volkswagen #VWbus @ Sugar Shack Cafe https://t.co/TTKZK13J3o</t>
  </si>
  <si>
    <t>Anaheim, CA</t>
  </si>
  <si>
    <t>Carlos @ Camburg - Family - Friends - Jiu Jitsu - Offroad Racing -</t>
  </si>
  <si>
    <t>Steven Soshea</t>
  </si>
  <si>
    <t>A New Car Model from VW #starwars #jedi #car #vw #volkswagen #red #textures #pattern #nofilter… https://t.co/oNtr0pLdfS</t>
  </si>
  <si>
    <t>near Berkeley, CA</t>
  </si>
  <si>
    <t>creative/ux director/designer, husband: interested in design, web, art, architecture, technology, business, sustainability, philosophy, and spirituality</t>
  </si>
  <si>
    <t>☯rneCalamante</t>
  </si>
  <si>
    <t>*</t>
  </si>
  <si>
    <t>No cualquiera suma sin restar* Cuando te veo sonreír todo mi ser ríe con vos Le pido a Dios que no vuelvas más</t>
  </si>
  <si>
    <t>almaleal</t>
  </si>
  <si>
    <t>Paparapapa eo eo (like si lo leíste cantando) #vl16 #vivelatino #music #cdmx #cafetacvba #vw… https://t.co/xNuNi6ViTm</t>
  </si>
  <si>
    <t>Here, there, everywhere</t>
  </si>
  <si>
    <t>music, food, dogs, traveling, technology, TV, movies and yoga lover. PR para Microsoft LATAM en Porter Novelli México.</t>
  </si>
  <si>
    <t>Volkswagen Beetle Dune 2016🇩🇪 / #Volkswagen #Beetle #VW #Bundescar https://t.co/B2NbHLrwct</t>
  </si>
  <si>
    <t>Volkswagen Jetta- 1990: This 1990 Volkswagen Jetta is in over all great condition both aesthet... https://t.co/tlCdAi2NTP #VW #jetta #car</t>
  </si>
  <si>
    <t>RT @breedveldusa: #VW https://t.co/uuJleP3iWk https://t.co/SKxzOe3pCZ</t>
  </si>
  <si>
    <t>FanCar Picture - Send me your Scirocco pictures!!! (PM Please) #VW #Volkswagen #Scirocco #Tuning https://t.co/LOh9YjVFuJ</t>
  </si>
  <si>
    <t>😍😍😍 #Vw https://t.co/cn7Yxauewe</t>
  </si>
  <si>
    <t>Luliiiiiiiii ✌</t>
  </si>
  <si>
    <t>ATodasPartesConRosarioCentral♥</t>
  </si>
  <si>
    <t>15. ✌ Funes. Rosario Central. Los Autos. Rompiendo los Huevos desde el Año 2000. ✌</t>
  </si>
  <si>
    <t>RT @PicadasArg: 😍😍😍 #Vw https://t.co/cn7Yxauewe</t>
  </si>
  <si>
    <t>#GabyMollaret❤✌</t>
  </si>
  <si>
    <t>#CABJ - #CASM - 13/12/14 -tauro - 15 Años - 2 vueltas en 3 dias - Gracias Riquelme❤</t>
  </si>
  <si>
    <t>Greg Rose</t>
  </si>
  <si>
    <t>Saw this awesome #VW #Bus today. It was clean and tight! https://t.co/UIgFmHrVxH</t>
  </si>
  <si>
    <t>Felton, CA</t>
  </si>
  <si>
    <t>Lately I have been getting into cell phone photography, as you can see from my posts. All opinions are my own,</t>
  </si>
  <si>
    <t>Luciano™</t>
  </si>
  <si>
    <t>Villa Ocampo</t>
  </si>
  <si>
    <t>Bachi pichón</t>
  </si>
  <si>
    <t>FrankfurtFinanz</t>
  </si>
  <si>
    <t>RT @Fotobiene: #VW-#Dieselgate: #Volkswagen steckt im Wirtschaftskrieg http://t.co/wertTgwCtB</t>
  </si>
  <si>
    <t>Offizielle Tweets der FrankfurtFinanz</t>
  </si>
  <si>
    <t>#VW https://t.co/PmtqUJt2YZ https://t.co/NdVhdlP4T6</t>
  </si>
  <si>
    <t>RT @breedveldusa: #VW https://t.co/PmtqUJt2YZ https://t.co/NdVhdlP4T6</t>
  </si>
  <si>
    <t>#VW https://t.co/Awcdq8xFEP https://t.co/Lyz0xD1gXV</t>
  </si>
  <si>
    <t>Nicolás</t>
  </si>
  <si>
    <t>alto verde cordoba</t>
  </si>
  <si>
    <t>3517050145 ❤Suzuki Swift❤ snapchat :niko_paredes Alto Verde</t>
  </si>
  <si>
    <t>Es mas que un carro, es ese sentimiento de proteccion. #VW #Kombi 🚌 https://t.co/GqVuKYYcOk</t>
  </si>
  <si>
    <t>eBay: VW T4 2.5 TDi SWB (1999) Transporter… https://t.co/9sRzazuuTS #vwcamper #vwbus #vw https://t.co/ZEadscsjBy https://t.co/TX5HLDAyKe</t>
  </si>
  <si>
    <t>Flosi</t>
  </si>
  <si>
    <t>snap:flor_lopezcamel ~regla numero 1 nunca ser numero 2~|15|</t>
  </si>
  <si>
    <t>Edison X. Rivera</t>
  </si>
  <si>
    <t>Guayaquil, Ecuador</t>
  </si>
  <si>
    <t>Huntington Picks</t>
  </si>
  <si>
    <t>More Twitter buzz for Sugar Shack Cafe: https://t.co/7dbZDATMbO - RT @TheTequilaWorms What a beauty! #HB #HuntingtonBeach #VW #Volkswagen...</t>
  </si>
  <si>
    <t>LocalBuzz</t>
  </si>
  <si>
    <t>Huntington Beach</t>
  </si>
  <si>
    <t>Real-time local buzz for events, restaurants, bars and the very best local deals available right now in Huntington Beach!</t>
  </si>
  <si>
    <t>RT @breedveldusa: #VW https://t.co/Awcdq8xFEP https://t.co/Lyz0xD1gXV</t>
  </si>
  <si>
    <t>Mankool Mumbai</t>
  </si>
  <si>
    <t>#photography #photographer #streetphotography #volkswagen #vw #reflection #cars #blackandwhite #igers #ig_shotz #ig… https://t.co/dm3AkZoE48</t>
  </si>
  <si>
    <t>TRS</t>
  </si>
  <si>
    <t>Palm Springs • Madison Avenue</t>
  </si>
  <si>
    <t>The Remix Studio (TRS) specializes in TV Ad Music. #jingles #soundtracks #advertising</t>
  </si>
  <si>
    <t>Alana Kühn</t>
  </si>
  <si>
    <t>All ready for another season of cruisin' #yxe #vw #beetle #truelove https://t.co/tyqCjMukNC</t>
  </si>
  <si>
    <t xml:space="preserve">Saskatoon, SK </t>
  </si>
  <si>
    <t>Passion for aviation, the prairies, the Riders, my family and my '61 VW Beetle.</t>
  </si>
  <si>
    <t>Nicolás rg4l</t>
  </si>
  <si>
    <t>soy lo que soy y se lo que soy... vive la vida al límite y al corte.... para fastidiarme necesitas un curso y ese curso lo doy yo</t>
  </si>
  <si>
    <t>Tomiiii</t>
  </si>
  <si>
    <t>Sask Retweeter</t>
  </si>
  <si>
    <t>RT @alanakuhn: All ready for another season of cruisin' #yxe #vw #beetle #truelove https://t.co/tyqCjMukNC</t>
  </si>
  <si>
    <t>SASKATCHEWAN</t>
  </si>
  <si>
    <t>The RETWEETER of #Saskatchewan. Also retweeting #Sask, #SKstorm, #YQR and #YXE. Don't forget to visit http://t.co/Cn74FXu4in for the latest on Saskatchewan!</t>
  </si>
  <si>
    <t>Kazuhiro Sato</t>
  </si>
  <si>
    <t>RT @sateibank: 個人情報を守って一括査定！画期的な唯一のシステム! https://t.co/zWvzMnfmgg ＃ＡＵＤＩ ＃ポルシェ ＃ワーゲン ＃フォルクスワーゲン ＃ＶＷ ＃ジャガー＃ミニ ＃ＭＩＮＩ ＃BMWミニ ＃ミニクーパー https://t…</t>
  </si>
  <si>
    <t>⛄️</t>
  </si>
  <si>
    <t>先日、ついに魚河岸遠藤さんに弟子入りしました。 Finally, I was apprenticed to UOGASHI ENDO. #maniacscojp #maniacs #vw… https://t.co/m7CWbFrtDf</t>
  </si>
  <si>
    <t>VW dealers want remedy done right https://t.co/zAjTQ2QlAX #VW #AutoNews</t>
  </si>
  <si>
    <t>With Golf R400 canceled, VW shifts to Golf R https://t.co/nQYjNl7uUd #VW #AutoNews</t>
  </si>
  <si>
    <t>Volkswagen code words trip up diesel investigators https://t.co/6xJjyansHH #VW #AutoNews</t>
  </si>
  <si>
    <t>Keith D McMurdo</t>
  </si>
  <si>
    <t>Alberta, Canada</t>
  </si>
  <si>
    <t>Love it when our guests color coordinate with our vans #sf #goldengate #vanlife #jerrygarcia #sanfrancisco #vw https://t.co/OId2RMUpcg</t>
  </si>
  <si>
    <t>Would you like carbon parts on your vehicle? If so contact us today #vw #caddy #carbonfibre #custompaint https://t.co/PxwUZdH5mP</t>
  </si>
  <si>
    <t>Weltpremiere #VW T-Prime Concept GTE #AutoChina 🎥 https://t.co/LUHfo8s1iZ #VWBeijingAutoShow16 #Volkswagen #Peking https://t.co/Wu2tlk4j0Z</t>
  </si>
  <si>
    <t>2002 Volkswagen Jetta: Hello, Michael! Could you be a bit more flexible with the dates? We can... https://t.co/VlF6IgoDMf #VW #jetta #car</t>
  </si>
  <si>
    <t>蘋果日報～即時果籽</t>
  </si>
  <si>
    <t>【北京車展】虛擬錶板全輕觸操作 VW新SUV都可以優雅 https://t.co/JZoZxeRQFR #北京車展 #虛擬錶板 #輕觸 #操作 #VW #SUV #優雅 https://t.co/bdVs5ENPPX</t>
  </si>
  <si>
    <t>香港</t>
  </si>
  <si>
    <t>蘋果副刊，取名「果籽」，寓意蘋果內藏的新生命，冀能孕育知識、栽種品味。〈果籽〉的欄目種類比以往更廣，每日輪替刊出，各版有清晰信念與定位，接通普世價值。</t>
  </si>
  <si>
    <t>Steve Hui</t>
  </si>
  <si>
    <t>RT @AS_AppleDaily: 【北京車展】虛擬錶板全輕觸操作 VW新SUV都可以優雅 https://t.co/JZoZxeRQFR #北京車展 #虛擬錶板 #輕觸 #操作 #VW #SUV #優雅 https://t.co/bdVs5ENPPX</t>
  </si>
  <si>
    <t>RT @Vantigosf: Love it when our guests color coordinate with our vans #sf #goldengate #vanlife #jerrygarcia #sanfrancisco #vw https://t.co/…</t>
  </si>
  <si>
    <t>Mario Skater</t>
  </si>
  <si>
    <t>#vw #golf #mk4 #mk4monday #r32 @ Logroño City https://t.co/ypoF1KewMh</t>
  </si>
  <si>
    <t>Skate life, psycho skateboards Mi canal: https://t.co/MoDdQdcDXU…</t>
  </si>
  <si>
    <t>#vw #golf #mk4 #mk4monday #r32 https://t.co/RmcT90RXo4 https://t.co/WX0FTtvu2V</t>
  </si>
  <si>
    <t>Jay Fulch</t>
  </si>
  <si>
    <t>Ironing on the morning. Cons: you gotta get up a little extra early to do it. Pros: a nice warm shirt once it's on 😃👌🏼 #work #jmg #vw #cars</t>
  </si>
  <si>
    <t>Live in MK. = Astra GSi. Work for @jardinemotorsuk - @lmc_Volkswagen and @LancasterSkoda. Engaged to @kymmy1904 and followed by @danocdj</t>
  </si>
  <si>
    <t>ATHOSMONT</t>
  </si>
  <si>
    <t>TFLcar: "#VW to Debut New T-Prime Full-Size SUV Concept at #BeijingAutoShow - https://t.co/2ndDuKDZTX https://t.co/co03TeMgka"</t>
  </si>
  <si>
    <t>Andereya Amanya</t>
  </si>
  <si>
    <t>Kampala, Uganda</t>
  </si>
  <si>
    <t>MonogamieRockt</t>
  </si>
  <si>
    <t>Wenigstens nimmt sich #VW den Abgaaskandal zu Herzen und stellt nur noch Ökokonzepte vor. #AutoChina #autochina2016 https://t.co/sBQYZ45UBB</t>
  </si>
  <si>
    <t>Couchpotato!</t>
  </si>
  <si>
    <t>Sebastien Briard</t>
  </si>
  <si>
    <t>Strategy &amp; Group Communication # Volkswagen Group France #GolfGTIholic</t>
  </si>
  <si>
    <t>#VWChina CEO Heizmann:„Peking wird bald einer von 3 globalen #VW Future Center-Standorten sein.“#VWBeijingAutoshow16 https://t.co/QdDI0ixUrq</t>
  </si>
  <si>
    <t>Chiwawa☆☆☆☆☆</t>
  </si>
  <si>
    <t>New GO-Sheng #F1 #Exhaust system for #Volkswagen #Scirocco 2.0 #TSI PM, or email us at gos.f1exhaust@gmail.com #VW https://t.co/ZcXcX6MeLA</t>
  </si>
  <si>
    <t>Nitin Das</t>
  </si>
  <si>
    <t>Jamil Mamedov</t>
  </si>
  <si>
    <t>Baku Azerbaijan</t>
  </si>
  <si>
    <t>Fuck GOOGLE ask me !!!</t>
  </si>
  <si>
    <t>Phil</t>
  </si>
  <si>
    <t>What to do when you can't sleep #Lego #creator #campervan #vw https://t.co/t6gOxRZau8</t>
  </si>
  <si>
    <t>Lincoln</t>
  </si>
  <si>
    <t>Pretty bubbles in the air!</t>
  </si>
  <si>
    <t>#VW präsentiert den neuen #VWPhideon auf der Pressekonferenz der Autoshow in Peking. #VWBeijingAutoshow16 https://t.co/CZX8S4Tpgw</t>
  </si>
  <si>
    <t>Ein weiteres Highlight auf der #VW Pressekonferenz in Peking: Der #VWMagotan. #VWBeijingAutoshow16 https://t.co/PsW16HKl2w</t>
  </si>
  <si>
    <t>RT @vwpress_de: Ein weiteres Highlight auf der #VW Pressekonferenz in Peking: Der #VWMagotan. #VWBeijingAutoshow16 https://t.co/PsW16HKl2w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</si>
</sst>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family val="2"/>
    </font>
    <font>
      <sz val="9"/>
      <color rgb="FFFFFFFF"/>
      <name val="Arial"/>
      <family val="2"/>
    </font>
    <font>
      <sz val="8"/>
      <color rgb="FFFFFFFF"/>
      <name val="Arial"/>
      <family val="2"/>
    </font>
    <font>
      <sz val="8"/>
      <name val="Arial"/>
      <family val="2"/>
    </font>
    <font>
      <b/>
      <sz val="8"/>
      <color rgb="FFFFFFFF"/>
      <name val="Trebuchet MS"/>
      <family val="2"/>
    </font>
    <font>
      <u/>
      <sz val="8"/>
      <color rgb="FF0000FF"/>
      <name val="Arial"/>
      <family val="2"/>
    </font>
  </fonts>
  <fills count="4">
    <fill>
      <patternFill patternType="none"/>
    </fill>
    <fill>
      <patternFill patternType="gray125"/>
    </fill>
    <fill>
      <patternFill patternType="solid">
        <fgColor rgb="FF1155CC"/>
        <bgColor rgb="FF1155CC"/>
      </patternFill>
    </fill>
    <fill>
      <patternFill patternType="solid">
        <fgColor rgb="FF4A86E8"/>
        <bgColor rgb="FF4A86E8"/>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
    <xf numFmtId="0" fontId="0" fillId="0" borderId="0" xfId="0"/>
    <xf numFmtId="0" fontId="1" fillId="2" borderId="0" xfId="0" applyFont="1" applyFill="1" applyAlignment="1">
      <alignment horizontal="center" vertical="center"/>
    </xf>
    <xf numFmtId="0" fontId="0" fillId="0" borderId="0" xfId="0"/>
    <xf numFmtId="0" fontId="2" fillId="2" borderId="0" xfId="0" applyFont="1" applyFill="1" applyAlignment="1">
      <alignment horizontal="center" vertical="center"/>
    </xf>
    <xf numFmtId="164" fontId="3" fillId="2" borderId="0" xfId="0" applyNumberFormat="1" applyFont="1" applyFill="1" applyAlignment="1">
      <alignment horizontal="center"/>
    </xf>
    <xf numFmtId="164" fontId="4" fillId="3" borderId="1" xfId="0" applyNumberFormat="1" applyFont="1" applyFill="1" applyBorder="1" applyAlignment="1">
      <alignment horizontal="center" vertical="center"/>
    </xf>
    <xf numFmtId="0" fontId="4" fillId="3" borderId="1" xfId="0" applyFont="1" applyFill="1" applyBorder="1" applyAlignment="1">
      <alignment horizontal="center" vertical="center"/>
    </xf>
    <xf numFmtId="14" fontId="3" fillId="0" borderId="0" xfId="0" applyNumberFormat="1" applyFont="1" applyAlignment="1">
      <alignment horizontal="center" vertical="center"/>
    </xf>
    <xf numFmtId="0" fontId="5" fillId="0" borderId="0" xfId="0" applyFont="1" applyAlignment="1">
      <alignment vertical="center"/>
    </xf>
    <xf numFmtId="0" fontId="3" fillId="0" borderId="0" xfId="0" applyFont="1" applyAlignment="1">
      <alignment vertical="center"/>
    </xf>
    <xf numFmtId="0" fontId="5" fillId="0" borderId="0" xfId="0"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left" vertical="center"/>
    </xf>
    <xf numFmtId="0" fontId="5" fillId="0" borderId="0" xfId="0" applyFont="1" applyAlignment="1">
      <alignment horizontal="left" vertical="center"/>
    </xf>
    <xf numFmtId="14" fontId="3" fillId="0" borderId="0" xfId="0" applyNumberFormat="1" applyFont="1" applyAlignment="1">
      <alignment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Ken_Weene" TargetMode="External"/><Relationship Id="rId8854" Type="http://schemas.openxmlformats.org/officeDocument/2006/relationships/hyperlink" Target="https://pbs.twimg.com/profile_images/705409156363063296/L-9HeIjW_normal.jpg" TargetMode="External"/><Relationship Id="rId18448" Type="http://schemas.openxmlformats.org/officeDocument/2006/relationships/hyperlink" Target="https://pbs.twimg.com/profile_images/670608121887383552/f-Xdw29F_normal.png" TargetMode="External"/><Relationship Id="rId25664" Type="http://schemas.openxmlformats.org/officeDocument/2006/relationships/hyperlink" Target="https://pbs.twimg.com/profile_images/715865125589221377/LL-u_qje_normal.jpg" TargetMode="External"/><Relationship Id="rId8507" Type="http://schemas.openxmlformats.org/officeDocument/2006/relationships/hyperlink" Target="https://pbs.twimg.com/profile_images/3282181310/09912193e3b2ecc229b9028eb0f19def_normal.jpeg" TargetMode="External"/><Relationship Id="rId11835" Type="http://schemas.openxmlformats.org/officeDocument/2006/relationships/hyperlink" Target="https://pbs.twimg.com/profile_images/720671504011259904/f2m-klyu_normal.jpg" TargetMode="External"/><Relationship Id="rId25317" Type="http://schemas.openxmlformats.org/officeDocument/2006/relationships/hyperlink" Target="https://twitter.com/GiererIleana/status/724430813635481602" TargetMode="External"/><Relationship Id="rId6058" Type="http://schemas.openxmlformats.org/officeDocument/2006/relationships/hyperlink" Target="https://twitter.com/MParekh/status/723228747650867200" TargetMode="External"/><Relationship Id="rId17531" Type="http://schemas.openxmlformats.org/officeDocument/2006/relationships/hyperlink" Target="https://twitter.com/crossasinangry" TargetMode="External"/><Relationship Id="rId21927" Type="http://schemas.openxmlformats.org/officeDocument/2006/relationships/hyperlink" Target="https://pbs.twimg.com/profile_images/686395482382274560/hnmc7eOR_normal.jpg" TargetMode="External"/><Relationship Id="rId987" Type="http://schemas.openxmlformats.org/officeDocument/2006/relationships/hyperlink" Target="https://twitter.com/beetlebug1938" TargetMode="External"/><Relationship Id="rId2668" Type="http://schemas.openxmlformats.org/officeDocument/2006/relationships/hyperlink" Target="https://pbs.twimg.com/profile_images/672878354127839232/M7OYc-zx_normal.jpg" TargetMode="External"/><Relationship Id="rId15082" Type="http://schemas.openxmlformats.org/officeDocument/2006/relationships/hyperlink" Target="https://pbs.twimg.com/profile_images/706250402153549824/0fzL9x_h_normal.jpg" TargetMode="External"/><Relationship Id="rId24400" Type="http://schemas.openxmlformats.org/officeDocument/2006/relationships/hyperlink" Target="https://twitter.com/BleyJennifer" TargetMode="External"/><Relationship Id="rId5141" Type="http://schemas.openxmlformats.org/officeDocument/2006/relationships/hyperlink" Target="https://pbs.twimg.com/profile_images/552919983752491008/q5ofDizB_normal.jpeg" TargetMode="External"/><Relationship Id="rId11692" Type="http://schemas.openxmlformats.org/officeDocument/2006/relationships/hyperlink" Target="https://twitter.com/pcbritz" TargetMode="External"/><Relationship Id="rId1751" Type="http://schemas.openxmlformats.org/officeDocument/2006/relationships/hyperlink" Target="https://pbs.twimg.com/profile_images/649519091892531200/gFXmbSPM_normal.jpg" TargetMode="External"/><Relationship Id="rId8364" Type="http://schemas.openxmlformats.org/officeDocument/2006/relationships/hyperlink" Target="https://pbs.twimg.com/profile_images/618052074027282432/DvAPKWTK_normal.jpg" TargetMode="External"/><Relationship Id="rId11345" Type="http://schemas.openxmlformats.org/officeDocument/2006/relationships/hyperlink" Target="https://twitter.com/agy_nes/status/723501133893914625" TargetMode="External"/><Relationship Id="rId25174" Type="http://schemas.openxmlformats.org/officeDocument/2006/relationships/hyperlink" Target="https://twitter.com/dougyfresh_79" TargetMode="External"/><Relationship Id="rId1404" Type="http://schemas.openxmlformats.org/officeDocument/2006/relationships/hyperlink" Target="https://twitter.com/wg12307/status/723040133507895296" TargetMode="External"/><Relationship Id="rId8017" Type="http://schemas.openxmlformats.org/officeDocument/2006/relationships/hyperlink" Target="https://twitter.com/StvnsFrnk" TargetMode="External"/><Relationship Id="rId4627" Type="http://schemas.openxmlformats.org/officeDocument/2006/relationships/hyperlink" Target="https://twitter.com/dknightvaleting/status/723183872066879488" TargetMode="External"/><Relationship Id="rId4974" Type="http://schemas.openxmlformats.org/officeDocument/2006/relationships/hyperlink" Target="https://twitter.com/BILD_Reporter/status/723191553678802944" TargetMode="External"/><Relationship Id="rId14568" Type="http://schemas.openxmlformats.org/officeDocument/2006/relationships/hyperlink" Target="https://pbs.twimg.com/profile_images/618550586804449280/8Lx4PJtx_normal.jpg" TargetMode="External"/><Relationship Id="rId17041" Type="http://schemas.openxmlformats.org/officeDocument/2006/relationships/hyperlink" Target="https://twitter.com/Old_Man_Abbott/status/723765760498241536" TargetMode="External"/><Relationship Id="rId21784" Type="http://schemas.openxmlformats.org/officeDocument/2006/relationships/hyperlink" Target="https://twitter.com/dubbusses" TargetMode="External"/><Relationship Id="rId497" Type="http://schemas.openxmlformats.org/officeDocument/2006/relationships/hyperlink" Target="https://pbs.twimg.com/profile_images/378800000269167545/547246c2d00fe0ade6d3db649a34a6ca_normal.jpeg" TargetMode="External"/><Relationship Id="rId2178" Type="http://schemas.openxmlformats.org/officeDocument/2006/relationships/hyperlink" Target="https://pbs.twimg.com/profile_images/3568153380/ec6619b2af81970e1f5c05c8948ac893_normal.png" TargetMode="External"/><Relationship Id="rId7100" Type="http://schemas.openxmlformats.org/officeDocument/2006/relationships/hyperlink" Target="https://pbs.twimg.com/profile_images/707419335300505600/5mTtwnXe_normal.jpg" TargetMode="External"/><Relationship Id="rId21437" Type="http://schemas.openxmlformats.org/officeDocument/2006/relationships/hyperlink" Target="https://twitter.com/dubbusses" TargetMode="External"/><Relationship Id="rId13651" Type="http://schemas.openxmlformats.org/officeDocument/2006/relationships/hyperlink" Target="https://twitter.com/RainerRogge" TargetMode="External"/><Relationship Id="rId3710" Type="http://schemas.openxmlformats.org/officeDocument/2006/relationships/hyperlink" Target="https://twitter.com/VWBeetleSales/status/723168183255883780" TargetMode="External"/><Relationship Id="rId13304" Type="http://schemas.openxmlformats.org/officeDocument/2006/relationships/hyperlink" Target="https://twitter.com/beetlebug1938" TargetMode="External"/><Relationship Id="rId16874" Type="http://schemas.openxmlformats.org/officeDocument/2006/relationships/hyperlink" Target="https://pbs.twimg.com/profile_images/639820375019384833/pthoDc2s_normal.jpg" TargetMode="External"/><Relationship Id="rId20520" Type="http://schemas.openxmlformats.org/officeDocument/2006/relationships/hyperlink" Target="https://pbs.twimg.com/profile_images/627949001179037696/skEBkS05_normal.jpg" TargetMode="External"/><Relationship Id="rId1261" Type="http://schemas.openxmlformats.org/officeDocument/2006/relationships/hyperlink" Target="https://pbs.twimg.com/profile_images/723196900162342913/o0iey4an_normal.jpg" TargetMode="External"/><Relationship Id="rId6933" Type="http://schemas.openxmlformats.org/officeDocument/2006/relationships/hyperlink" Target="https://pbs.twimg.com/profile_images/477439590232358913/xbZaJ1Ms_normal.jpeg" TargetMode="External"/><Relationship Id="rId16527" Type="http://schemas.openxmlformats.org/officeDocument/2006/relationships/hyperlink" Target="https://twitter.com/Sutjeska" TargetMode="External"/><Relationship Id="rId23743" Type="http://schemas.openxmlformats.org/officeDocument/2006/relationships/hyperlink" Target="https://pbs.twimg.com/profile_images/516145080701157376/5tDzLNt2_normal.png" TargetMode="External"/><Relationship Id="rId4484" Type="http://schemas.openxmlformats.org/officeDocument/2006/relationships/hyperlink" Target="https://pbs.twimg.com/profile_images/621306610389020672/EYzptdxf_normal.jpg" TargetMode="External"/><Relationship Id="rId14078" Type="http://schemas.openxmlformats.org/officeDocument/2006/relationships/hyperlink" Target="https://pbs.twimg.com/profile_images/718068920339587073/tkLJaVuy_normal.jpg" TargetMode="External"/><Relationship Id="rId19000" Type="http://schemas.openxmlformats.org/officeDocument/2006/relationships/hyperlink" Target="http://www.infooffensive.de/" TargetMode="External"/><Relationship Id="rId21294" Type="http://schemas.openxmlformats.org/officeDocument/2006/relationships/hyperlink" Target="https://twitter.com/abcdefghmiokxyz/status/724138527789735937" TargetMode="External"/><Relationship Id="rId4137" Type="http://schemas.openxmlformats.org/officeDocument/2006/relationships/hyperlink" Target="https://pbs.twimg.com/profile_images/586648861097103360/AfnYO6JR_normal.png" TargetMode="External"/><Relationship Id="rId9809" Type="http://schemas.openxmlformats.org/officeDocument/2006/relationships/hyperlink" Target="https://pbs.twimg.com/profile_images/445545482572410880/pVcl7UPf_normal.jpeg" TargetMode="External"/><Relationship Id="rId10688" Type="http://schemas.openxmlformats.org/officeDocument/2006/relationships/hyperlink" Target="https://twitter.com/NDRreporter" TargetMode="External"/><Relationship Id="rId15610" Type="http://schemas.openxmlformats.org/officeDocument/2006/relationships/hyperlink" Target="https://twitter.com/Highlander2512/status/723616110164226048" TargetMode="External"/><Relationship Id="rId13161" Type="http://schemas.openxmlformats.org/officeDocument/2006/relationships/hyperlink" Target="https://twitter.com/SocialAutos" TargetMode="External"/><Relationship Id="rId18833" Type="http://schemas.openxmlformats.org/officeDocument/2006/relationships/hyperlink" Target="https://pbs.twimg.com/profile_images/657659695319154688/DkZotiSO_normal.jpg" TargetMode="External"/><Relationship Id="rId3220" Type="http://schemas.openxmlformats.org/officeDocument/2006/relationships/hyperlink" Target="https://twitter.com/jaaviPR" TargetMode="External"/><Relationship Id="rId6790" Type="http://schemas.openxmlformats.org/officeDocument/2006/relationships/hyperlink" Target="https://twitter.com/VWCamperSales" TargetMode="External"/><Relationship Id="rId16384" Type="http://schemas.openxmlformats.org/officeDocument/2006/relationships/hyperlink" Target="https://twitter.com/VolkswagenPost" TargetMode="External"/><Relationship Id="rId20030" Type="http://schemas.openxmlformats.org/officeDocument/2006/relationships/hyperlink" Target="https://twitter.com/vwdepo/status/723970398216290305" TargetMode="External"/><Relationship Id="rId25702" Type="http://schemas.openxmlformats.org/officeDocument/2006/relationships/hyperlink" Target="https://twitter.com/AS_AppleDaily/status/724464093269123072" TargetMode="External"/><Relationship Id="rId7" Type="http://schemas.openxmlformats.org/officeDocument/2006/relationships/hyperlink" Target="https://twitter.com/khilogram" TargetMode="External"/><Relationship Id="rId6443" Type="http://schemas.openxmlformats.org/officeDocument/2006/relationships/hyperlink" Target="https://twitter.com/Photography_1st/status/723243070679072768" TargetMode="External"/><Relationship Id="rId16037" Type="http://schemas.openxmlformats.org/officeDocument/2006/relationships/hyperlink" Target="https://twitter.com/dealersouq" TargetMode="External"/><Relationship Id="rId23253" Type="http://schemas.openxmlformats.org/officeDocument/2006/relationships/hyperlink" Target="https://twitter.com/vwdepo/status/724276192870715392" TargetMode="External"/><Relationship Id="rId9666" Type="http://schemas.openxmlformats.org/officeDocument/2006/relationships/hyperlink" Target="https://pbs.twimg.com/profile_images/708323870512533506/MCmjP2UD_normal.jpg" TargetMode="External"/><Relationship Id="rId12994" Type="http://schemas.openxmlformats.org/officeDocument/2006/relationships/hyperlink" Target="https://twitter.com/VWCamperSales/status/723532850759229440" TargetMode="External"/><Relationship Id="rId2706" Type="http://schemas.openxmlformats.org/officeDocument/2006/relationships/hyperlink" Target="https://twitter.com/PaulMillerAG/status/723114372353134592" TargetMode="External"/><Relationship Id="rId9319" Type="http://schemas.openxmlformats.org/officeDocument/2006/relationships/hyperlink" Target="https://twitter.com/techhippie/status/723430351058563072" TargetMode="External"/><Relationship Id="rId10198" Type="http://schemas.openxmlformats.org/officeDocument/2006/relationships/hyperlink" Target="https://twitter.com/Deichgraph_" TargetMode="External"/><Relationship Id="rId12647" Type="http://schemas.openxmlformats.org/officeDocument/2006/relationships/hyperlink" Target="https://twitter.com/Rob_Vela" TargetMode="External"/><Relationship Id="rId15120" Type="http://schemas.openxmlformats.org/officeDocument/2006/relationships/hyperlink" Target="https://pbs.twimg.com/profile_images/428638459389964288/5r8eLA45_normal.jpeg" TargetMode="External"/><Relationship Id="rId18690" Type="http://schemas.openxmlformats.org/officeDocument/2006/relationships/hyperlink" Target="https://twitter.com/B83ART/status/723889431728513024" TargetMode="External"/><Relationship Id="rId5929" Type="http://schemas.openxmlformats.org/officeDocument/2006/relationships/hyperlink" Target="https://twitter.com/sebastianklink" TargetMode="External"/><Relationship Id="rId11730" Type="http://schemas.openxmlformats.org/officeDocument/2006/relationships/hyperlink" Target="https://twitter.com/ProjectCarsUK/status/723506297400922112" TargetMode="External"/><Relationship Id="rId18343" Type="http://schemas.openxmlformats.org/officeDocument/2006/relationships/hyperlink" Target="https://pbs.twimg.com/profile_images/627949001179037696/skEBkS05_normal.jpg" TargetMode="External"/><Relationship Id="rId22739" Type="http://schemas.openxmlformats.org/officeDocument/2006/relationships/hyperlink" Target="https://twitter.com/Lindsay_VW/status/724243537634705408" TargetMode="External"/><Relationship Id="rId8402" Type="http://schemas.openxmlformats.org/officeDocument/2006/relationships/hyperlink" Target="https://twitter.com/MertensFranki/status/723386541079318528" TargetMode="External"/><Relationship Id="rId14953" Type="http://schemas.openxmlformats.org/officeDocument/2006/relationships/hyperlink" Target="https://pbs.twimg.com/profile_images/585174486485311489/6TENQeaO_normal.jpg" TargetMode="External"/><Relationship Id="rId25212" Type="http://schemas.openxmlformats.org/officeDocument/2006/relationships/hyperlink" Target="https://twitter.com/DeeZeeX" TargetMode="External"/><Relationship Id="rId14606" Type="http://schemas.openxmlformats.org/officeDocument/2006/relationships/hyperlink" Target="https://pbs.twimg.com/profile_images/703329620259688448/RfdFkFzI_normal.jpg" TargetMode="External"/><Relationship Id="rId21822" Type="http://schemas.openxmlformats.org/officeDocument/2006/relationships/hyperlink" Target="https://twitter.com/vwdepo" TargetMode="External"/><Relationship Id="rId882" Type="http://schemas.openxmlformats.org/officeDocument/2006/relationships/hyperlink" Target="https://twitter.com/FredChristian10/status/722996821119782912" TargetMode="External"/><Relationship Id="rId2563" Type="http://schemas.openxmlformats.org/officeDocument/2006/relationships/hyperlink" Target="https://pbs.twimg.com/profile_images/1616567344/VRwatch2_normal.jpg" TargetMode="External"/><Relationship Id="rId9176" Type="http://schemas.openxmlformats.org/officeDocument/2006/relationships/hyperlink" Target="https://pbs.twimg.com/profile_images/1266733055/4e731a3a-416a-4eaa-b595-6a8453d11eb4_normal.png" TargetMode="External"/><Relationship Id="rId12157" Type="http://schemas.openxmlformats.org/officeDocument/2006/relationships/hyperlink" Target="https://twitter.com/VWBeetleSales/status/723513964492034048" TargetMode="External"/><Relationship Id="rId535" Type="http://schemas.openxmlformats.org/officeDocument/2006/relationships/hyperlink" Target="https://twitter.com/STlillgreenDK/status/722964473409990658" TargetMode="External"/><Relationship Id="rId2216" Type="http://schemas.openxmlformats.org/officeDocument/2006/relationships/hyperlink" Target="https://twitter.com/carlo_fiat" TargetMode="External"/><Relationship Id="rId5786" Type="http://schemas.openxmlformats.org/officeDocument/2006/relationships/hyperlink" Target="https://pbs.twimg.com/profile_images/639197043538403328/dlL8gtYI_normal.jpg" TargetMode="External"/><Relationship Id="rId17829" Type="http://schemas.openxmlformats.org/officeDocument/2006/relationships/hyperlink" Target="https://twitter.com/NetzwerkggS21/status/723826301216415744" TargetMode="External"/><Relationship Id="rId22596" Type="http://schemas.openxmlformats.org/officeDocument/2006/relationships/hyperlink" Target="https://twitter.com/vw8valve" TargetMode="External"/><Relationship Id="rId5439" Type="http://schemas.openxmlformats.org/officeDocument/2006/relationships/hyperlink" Target="https://pbs.twimg.com/profile_images/509140932101672960/ckVyy26L_normal.jpeg" TargetMode="External"/><Relationship Id="rId22249" Type="http://schemas.openxmlformats.org/officeDocument/2006/relationships/hyperlink" Target="https://pbs.twimg.com/profile_images/378800000788533559/d7b863b3897162fa5ec8d3216d541b0d_normal.jpeg" TargetMode="External"/><Relationship Id="rId11240" Type="http://schemas.openxmlformats.org/officeDocument/2006/relationships/hyperlink" Target="https://twitter.com/VanagonNews" TargetMode="External"/><Relationship Id="rId16912" Type="http://schemas.openxmlformats.org/officeDocument/2006/relationships/hyperlink" Target="https://twitter.com/sid_shenoy" TargetMode="External"/><Relationship Id="rId14463" Type="http://schemas.openxmlformats.org/officeDocument/2006/relationships/hyperlink" Target="https://twitter.com/UmaSharandon" TargetMode="External"/><Relationship Id="rId4522" Type="http://schemas.openxmlformats.org/officeDocument/2006/relationships/hyperlink" Target="https://twitter.com/NachoSinatra/status/723182096202735616" TargetMode="External"/><Relationship Id="rId14116" Type="http://schemas.openxmlformats.org/officeDocument/2006/relationships/hyperlink" Target="https://twitter.com/Fussfall/status/723564376427487232" TargetMode="External"/><Relationship Id="rId17686" Type="http://schemas.openxmlformats.org/officeDocument/2006/relationships/hyperlink" Target="https://twitter.com/PipSterling/status/723816352398626816" TargetMode="External"/><Relationship Id="rId21332" Type="http://schemas.openxmlformats.org/officeDocument/2006/relationships/hyperlink" Target="https://twitter.com/vwpress_de" TargetMode="External"/><Relationship Id="rId392" Type="http://schemas.openxmlformats.org/officeDocument/2006/relationships/hyperlink" Target="https://twitter.com/vw_escarabajo" TargetMode="External"/><Relationship Id="rId2073" Type="http://schemas.openxmlformats.org/officeDocument/2006/relationships/hyperlink" Target="https://twitter.com/VWBeetleSales/status/723079853159784452" TargetMode="External"/><Relationship Id="rId7745" Type="http://schemas.openxmlformats.org/officeDocument/2006/relationships/hyperlink" Target="https://twitter.com/lautaro_olive" TargetMode="External"/><Relationship Id="rId17339" Type="http://schemas.openxmlformats.org/officeDocument/2006/relationships/hyperlink" Target="https://twitter.com/MarcusFreyer" TargetMode="External"/><Relationship Id="rId24555" Type="http://schemas.openxmlformats.org/officeDocument/2006/relationships/hyperlink" Target="https://twitter.com/RCVolkswagen" TargetMode="External"/><Relationship Id="rId5296" Type="http://schemas.openxmlformats.org/officeDocument/2006/relationships/hyperlink" Target="https://twitter.com/mediaadgroup/status/723199520914317313" TargetMode="External"/><Relationship Id="rId10726" Type="http://schemas.openxmlformats.org/officeDocument/2006/relationships/hyperlink" Target="https://pbs.twimg.com/profile_images/722397159664934912/FokUg6EX_normal.jpg" TargetMode="External"/><Relationship Id="rId24208" Type="http://schemas.openxmlformats.org/officeDocument/2006/relationships/hyperlink" Target="https://twitter.com/FuscaWorld/status/724338166606532608" TargetMode="External"/><Relationship Id="rId13949" Type="http://schemas.openxmlformats.org/officeDocument/2006/relationships/hyperlink" Target="https://pbs.twimg.com/profile_images/723228202114650112/t-hIu_b7_normal.jpg" TargetMode="External"/><Relationship Id="rId16422" Type="http://schemas.openxmlformats.org/officeDocument/2006/relationships/hyperlink" Target="https://pbs.twimg.com/profile_images/717436754282807296/rUnRPBLb_normal.jpg" TargetMode="External"/><Relationship Id="rId19992" Type="http://schemas.openxmlformats.org/officeDocument/2006/relationships/hyperlink" Target="https://twitter.com/dubbusses/status/723967596014501888" TargetMode="External"/><Relationship Id="rId20818" Type="http://schemas.openxmlformats.org/officeDocument/2006/relationships/hyperlink" Target="https://twitter.com/fercabmoreno" TargetMode="External"/><Relationship Id="rId1559" Type="http://schemas.openxmlformats.org/officeDocument/2006/relationships/hyperlink" Target="https://twitter.com/boersianer_info" TargetMode="External"/><Relationship Id="rId4032" Type="http://schemas.openxmlformats.org/officeDocument/2006/relationships/hyperlink" Target="https://pbs.twimg.com/profile_images/649282853226745858/VsTbEl77_normal.jpg" TargetMode="External"/><Relationship Id="rId19645" Type="http://schemas.openxmlformats.org/officeDocument/2006/relationships/hyperlink" Target="https://twitter.com/ukoepke" TargetMode="External"/><Relationship Id="rId9704" Type="http://schemas.openxmlformats.org/officeDocument/2006/relationships/hyperlink" Target="https://twitter.com/VolkerVotsmeier" TargetMode="External"/><Relationship Id="rId10583" Type="http://schemas.openxmlformats.org/officeDocument/2006/relationships/hyperlink" Target="https://pbs.twimg.com/profile_images/630378503/AchilleNos_normal.jpg" TargetMode="External"/><Relationship Id="rId17196" Type="http://schemas.openxmlformats.org/officeDocument/2006/relationships/hyperlink" Target="https://twitter.com/cas_2050001283/status/723778503682973696" TargetMode="External"/><Relationship Id="rId7255" Type="http://schemas.openxmlformats.org/officeDocument/2006/relationships/hyperlink" Target="https://twitter.com/TheSandboxN/status/723290291214684162" TargetMode="External"/><Relationship Id="rId10236" Type="http://schemas.openxmlformats.org/officeDocument/2006/relationships/hyperlink" Target="https://twitter.com/cubasteve57/status/723466513974439936" TargetMode="External"/><Relationship Id="rId24065" Type="http://schemas.openxmlformats.org/officeDocument/2006/relationships/hyperlink" Target="https://twitter.com/VWCamperSales" TargetMode="External"/><Relationship Id="rId3865" Type="http://schemas.openxmlformats.org/officeDocument/2006/relationships/hyperlink" Target="https://twitter.com/kevalramraj/status/723171123354058752" TargetMode="External"/><Relationship Id="rId13459" Type="http://schemas.openxmlformats.org/officeDocument/2006/relationships/hyperlink" Target="https://twitter.com/OnlineCarReview" TargetMode="External"/><Relationship Id="rId15908" Type="http://schemas.openxmlformats.org/officeDocument/2006/relationships/hyperlink" Target="https://twitter.com/WWQualityCars" TargetMode="External"/><Relationship Id="rId20675" Type="http://schemas.openxmlformats.org/officeDocument/2006/relationships/hyperlink" Target="https://twitter.com/VWBeetleSales" TargetMode="External"/><Relationship Id="rId3518" Type="http://schemas.openxmlformats.org/officeDocument/2006/relationships/hyperlink" Target="https://pbs.twimg.com/profile_images/653310353653297153/bYVyhn8J_normal.jpg" TargetMode="External"/><Relationship Id="rId20328" Type="http://schemas.openxmlformats.org/officeDocument/2006/relationships/hyperlink" Target="https://twitter.com/MerlinaAlmendra/status/723991619821658116" TargetMode="External"/><Relationship Id="rId1069" Type="http://schemas.openxmlformats.org/officeDocument/2006/relationships/hyperlink" Target="https://twitter.com/handelsblatt/status/723016165019246592" TargetMode="External"/><Relationship Id="rId23898" Type="http://schemas.openxmlformats.org/officeDocument/2006/relationships/hyperlink" Target="https://twitter.com/xxVickyThomasxx/status/724320270266327040" TargetMode="External"/><Relationship Id="rId9214" Type="http://schemas.openxmlformats.org/officeDocument/2006/relationships/hyperlink" Target="https://twitter.com/misterwy/status/723425641857576961" TargetMode="External"/><Relationship Id="rId9561" Type="http://schemas.openxmlformats.org/officeDocument/2006/relationships/hyperlink" Target="https://twitter.com/doern/status/723440342809214981" TargetMode="External"/><Relationship Id="rId12542" Type="http://schemas.openxmlformats.org/officeDocument/2006/relationships/hyperlink" Target="https://twitter.com/margotoge" TargetMode="External"/><Relationship Id="rId19155" Type="http://schemas.openxmlformats.org/officeDocument/2006/relationships/hyperlink" Target="https://pbs.twimg.com/profile_images/627949001179037696/skEBkS05_normal.jpg" TargetMode="External"/><Relationship Id="rId920" Type="http://schemas.openxmlformats.org/officeDocument/2006/relationships/hyperlink" Target="https://twitter.com/SuranClub" TargetMode="External"/><Relationship Id="rId2601" Type="http://schemas.openxmlformats.org/officeDocument/2006/relationships/hyperlink" Target="https://twitter.com/m_jaremczuk/status/723108628669018112" TargetMode="External"/><Relationship Id="rId10093" Type="http://schemas.openxmlformats.org/officeDocument/2006/relationships/hyperlink" Target="https://pbs.twimg.com/profile_images/688270319157547009/G2GNsNnu_normal.jpg" TargetMode="External"/><Relationship Id="rId15765" Type="http://schemas.openxmlformats.org/officeDocument/2006/relationships/hyperlink" Target="https://pbs.twimg.com/profile_images/569800899141177344/nVFLMSdb_normal.png" TargetMode="External"/><Relationship Id="rId22981" Type="http://schemas.openxmlformats.org/officeDocument/2006/relationships/hyperlink" Target="https://pbs.twimg.com/profile_images/378800000830360955/5fb295e74c438beb9dd7777a56295953_normal.jpeg" TargetMode="External"/><Relationship Id="rId5824" Type="http://schemas.openxmlformats.org/officeDocument/2006/relationships/hyperlink" Target="https://twitter.com/streetwisedrive/status/723218927090733056" TargetMode="External"/><Relationship Id="rId15418" Type="http://schemas.openxmlformats.org/officeDocument/2006/relationships/hyperlink" Target="https://twitter.com/CybermikeK" TargetMode="External"/><Relationship Id="rId22634" Type="http://schemas.openxmlformats.org/officeDocument/2006/relationships/hyperlink" Target="https://twitter.com/gabryjoint/status/724235900956319746" TargetMode="External"/><Relationship Id="rId3375" Type="http://schemas.openxmlformats.org/officeDocument/2006/relationships/hyperlink" Target="https://twitter.com/campercino_uk/status/723154246598684673" TargetMode="External"/><Relationship Id="rId18988" Type="http://schemas.openxmlformats.org/officeDocument/2006/relationships/hyperlink" Target="https://twitter.com/VeeDubMk1_" TargetMode="External"/><Relationship Id="rId20185" Type="http://schemas.openxmlformats.org/officeDocument/2006/relationships/hyperlink" Target="https://twitter.com/SCWorks_media" TargetMode="External"/><Relationship Id="rId3028" Type="http://schemas.openxmlformats.org/officeDocument/2006/relationships/hyperlink" Target="https://twitter.com/sat1nrw/status/723132963978776577" TargetMode="External"/><Relationship Id="rId6598" Type="http://schemas.openxmlformats.org/officeDocument/2006/relationships/hyperlink" Target="https://twitter.com/ElysseMorgan/status/723247618701193216" TargetMode="External"/><Relationship Id="rId9071" Type="http://schemas.openxmlformats.org/officeDocument/2006/relationships/hyperlink" Target="https://twitter.com/Hausfrauen/status/723420875450523648" TargetMode="External"/><Relationship Id="rId12052" Type="http://schemas.openxmlformats.org/officeDocument/2006/relationships/hyperlink" Target="https://pbs.twimg.com/profile_images/552112194075107328/gS44bo7h_normal.jpeg" TargetMode="External"/><Relationship Id="rId14501" Type="http://schemas.openxmlformats.org/officeDocument/2006/relationships/hyperlink" Target="https://pbs.twimg.com/profile_images/541550464311902208/JxUT1EJM_normal.jpeg" TargetMode="External"/><Relationship Id="rId430" Type="http://schemas.openxmlformats.org/officeDocument/2006/relationships/hyperlink" Target="https://pbs.twimg.com/profile_images/686190790498897920/ZvPjcisY_normal.jpg" TargetMode="External"/><Relationship Id="rId2111" Type="http://schemas.openxmlformats.org/officeDocument/2006/relationships/hyperlink" Target="https://twitter.com/anteafonds/status/723082721929519104" TargetMode="External"/><Relationship Id="rId17724" Type="http://schemas.openxmlformats.org/officeDocument/2006/relationships/hyperlink" Target="https://twitter.com/CarWaffle" TargetMode="External"/><Relationship Id="rId24940" Type="http://schemas.openxmlformats.org/officeDocument/2006/relationships/hyperlink" Target="https://twitter.com/erikcunningham/status/724403678644326400" TargetMode="External"/><Relationship Id="rId5681" Type="http://schemas.openxmlformats.org/officeDocument/2006/relationships/hyperlink" Target="https://twitter.com/FuscaWorld/status/723212431170875393" TargetMode="External"/><Relationship Id="rId15275" Type="http://schemas.openxmlformats.org/officeDocument/2006/relationships/hyperlink" Target="https://twitter.com/Kristasambuca/status/723602052996276224" TargetMode="External"/><Relationship Id="rId22491" Type="http://schemas.openxmlformats.org/officeDocument/2006/relationships/hyperlink" Target="https://twitter.com/VWCamperSales" TargetMode="External"/><Relationship Id="rId5334" Type="http://schemas.openxmlformats.org/officeDocument/2006/relationships/hyperlink" Target="https://twitter.com/JoseIPalomo" TargetMode="External"/><Relationship Id="rId11885" Type="http://schemas.openxmlformats.org/officeDocument/2006/relationships/hyperlink" Target="https://pbs.twimg.com/profile_images/703294545195307008/qeCvrX86_normal.jpg" TargetMode="External"/><Relationship Id="rId18498" Type="http://schemas.openxmlformats.org/officeDocument/2006/relationships/hyperlink" Target="https://twitter.com/PheonixJane" TargetMode="External"/><Relationship Id="rId22144" Type="http://schemas.openxmlformats.org/officeDocument/2006/relationships/hyperlink" Target="https://pbs.twimg.com/profile_images/563649209430073344/GGzIu_sQ_normal.jpeg" TargetMode="External"/><Relationship Id="rId1944" Type="http://schemas.openxmlformats.org/officeDocument/2006/relationships/hyperlink" Target="http://faz.net/" TargetMode="External"/><Relationship Id="rId8557" Type="http://schemas.openxmlformats.org/officeDocument/2006/relationships/hyperlink" Target="http://ctrlq.org/maps/address/" TargetMode="External"/><Relationship Id="rId11538" Type="http://schemas.openxmlformats.org/officeDocument/2006/relationships/hyperlink" Target="https://pbs.twimg.com/profile_images/683592930918019072/SnHKNKAI_normal.jpg" TargetMode="External"/><Relationship Id="rId25367" Type="http://schemas.openxmlformats.org/officeDocument/2006/relationships/hyperlink" Target="https://pbs.twimg.com/profile_images/530071272881803264/a_jcCmPZ_normal.png" TargetMode="External"/><Relationship Id="rId14011" Type="http://schemas.openxmlformats.org/officeDocument/2006/relationships/hyperlink" Target="https://pbs.twimg.com/profile_images/608213167496417280/QSxgcLn__normal.png" TargetMode="External"/><Relationship Id="rId17581" Type="http://schemas.openxmlformats.org/officeDocument/2006/relationships/hyperlink" Target="https://twitter.com/cas_2050001283" TargetMode="External"/><Relationship Id="rId21977" Type="http://schemas.openxmlformats.org/officeDocument/2006/relationships/hyperlink" Target="https://pbs.twimg.com/profile_images/682117963349135360/IUfZQy35_normal.png" TargetMode="External"/><Relationship Id="rId5191" Type="http://schemas.openxmlformats.org/officeDocument/2006/relationships/hyperlink" Target="https://twitter.com/DubLuvTuning/status/723197052809781248" TargetMode="External"/><Relationship Id="rId7640" Type="http://schemas.openxmlformats.org/officeDocument/2006/relationships/hyperlink" Target="https://pbs.twimg.com/profile_images/672911420783271937/infVkeWL_normal.jpg" TargetMode="External"/><Relationship Id="rId10621" Type="http://schemas.openxmlformats.org/officeDocument/2006/relationships/hyperlink" Target="https://twitter.com/NetzwerkggS21/status/723478959913054208" TargetMode="External"/><Relationship Id="rId17234" Type="http://schemas.openxmlformats.org/officeDocument/2006/relationships/hyperlink" Target="https://twitter.com/GrahamBlack30" TargetMode="External"/><Relationship Id="rId24450" Type="http://schemas.openxmlformats.org/officeDocument/2006/relationships/hyperlink" Target="https://twitter.com/M5marketing" TargetMode="External"/><Relationship Id="rId13844" Type="http://schemas.openxmlformats.org/officeDocument/2006/relationships/hyperlink" Target="https://pbs.twimg.com/profile_images/1575203828/Kaminekobitingcat_normal.PNG" TargetMode="External"/><Relationship Id="rId24103" Type="http://schemas.openxmlformats.org/officeDocument/2006/relationships/hyperlink" Target="https://twitter.com/jennyalban63/status/724331998282715137" TargetMode="External"/><Relationship Id="rId3903" Type="http://schemas.openxmlformats.org/officeDocument/2006/relationships/hyperlink" Target="https://twitter.com/MarkOkanagan" TargetMode="External"/><Relationship Id="rId11395" Type="http://schemas.openxmlformats.org/officeDocument/2006/relationships/hyperlink" Target="https://twitter.com/Boersenradar" TargetMode="External"/><Relationship Id="rId20713" Type="http://schemas.openxmlformats.org/officeDocument/2006/relationships/hyperlink" Target="https://pbs.twimg.com/profile_images/720359480702156800/-6g6b6Vu_normal.jpg" TargetMode="External"/><Relationship Id="rId1454" Type="http://schemas.openxmlformats.org/officeDocument/2006/relationships/hyperlink" Target="https://twitter.com/11271101K" TargetMode="External"/><Relationship Id="rId8067" Type="http://schemas.openxmlformats.org/officeDocument/2006/relationships/hyperlink" Target="https://twitter.com/lucianacasal20/status/723362296542547969" TargetMode="External"/><Relationship Id="rId11048" Type="http://schemas.openxmlformats.org/officeDocument/2006/relationships/hyperlink" Target="https://twitter.com/ronaldlaessig/status/723495330470330368" TargetMode="External"/><Relationship Id="rId19540" Type="http://schemas.openxmlformats.org/officeDocument/2006/relationships/hyperlink" Target="https://pbs.twimg.com/profile_images/378800000854855954/0d555726054b01e3c9d6b5241432dc4a_normal.jpeg" TargetMode="External"/><Relationship Id="rId1107" Type="http://schemas.openxmlformats.org/officeDocument/2006/relationships/hyperlink" Target="https://twitter.com/wznewsline/status/723019378866937856" TargetMode="External"/><Relationship Id="rId4677" Type="http://schemas.openxmlformats.org/officeDocument/2006/relationships/hyperlink" Target="https://twitter.com/CornwallBzForum" TargetMode="External"/><Relationship Id="rId17091" Type="http://schemas.openxmlformats.org/officeDocument/2006/relationships/hyperlink" Target="https://pbs.twimg.com/profile_images/717038007652638720/t4cqes2w_normal.jpg" TargetMode="External"/><Relationship Id="rId21487" Type="http://schemas.openxmlformats.org/officeDocument/2006/relationships/hyperlink" Target="https://pbs.twimg.com/profile_images/2993695854/bfc038b9654b5476fb581d347c90508a_normal.png" TargetMode="External"/><Relationship Id="rId23936" Type="http://schemas.openxmlformats.org/officeDocument/2006/relationships/hyperlink" Target="https://twitter.com/dubbusses" TargetMode="External"/><Relationship Id="rId7150" Type="http://schemas.openxmlformats.org/officeDocument/2006/relationships/hyperlink" Target="https://twitter.com/SexenioCDMX" TargetMode="External"/><Relationship Id="rId10131" Type="http://schemas.openxmlformats.org/officeDocument/2006/relationships/hyperlink" Target="https://twitter.com/handelsblatt" TargetMode="External"/><Relationship Id="rId15803" Type="http://schemas.openxmlformats.org/officeDocument/2006/relationships/hyperlink" Target="https://twitter.com/OnlineCarReview" TargetMode="External"/><Relationship Id="rId3760" Type="http://schemas.openxmlformats.org/officeDocument/2006/relationships/hyperlink" Target="https://pbs.twimg.com/profile_images/649282853226745858/VsTbEl77_normal.jpg" TargetMode="External"/><Relationship Id="rId13354" Type="http://schemas.openxmlformats.org/officeDocument/2006/relationships/hyperlink" Target="https://pbs.twimg.com/profile_images/703962252156739584/fYGq4kTv_normal.jpg" TargetMode="External"/><Relationship Id="rId20570" Type="http://schemas.openxmlformats.org/officeDocument/2006/relationships/hyperlink" Target="https://twitter.com/RickyCrompton" TargetMode="External"/><Relationship Id="rId3413" Type="http://schemas.openxmlformats.org/officeDocument/2006/relationships/hyperlink" Target="https://twitter.com/FitmentLife" TargetMode="External"/><Relationship Id="rId6983" Type="http://schemas.openxmlformats.org/officeDocument/2006/relationships/hyperlink" Target="https://pbs.twimg.com/profile_images/3774183798/c736d0183ed85ff3983ab82ce797920c_normal.png" TargetMode="External"/><Relationship Id="rId13007" Type="http://schemas.openxmlformats.org/officeDocument/2006/relationships/hyperlink" Target="https://twitter.com/Deprifrei" TargetMode="External"/><Relationship Id="rId16577" Type="http://schemas.openxmlformats.org/officeDocument/2006/relationships/hyperlink" Target="https://twitter.com/FuscaWorld/status/723696350647472129" TargetMode="External"/><Relationship Id="rId20223" Type="http://schemas.openxmlformats.org/officeDocument/2006/relationships/hyperlink" Target="https://pbs.twimg.com/profile_images/718835727027580928/1ssyQ67y_normal.jpg" TargetMode="External"/><Relationship Id="rId23793" Type="http://schemas.openxmlformats.org/officeDocument/2006/relationships/hyperlink" Target="https://twitter.com/Insta_VWT/status/724311509271228417" TargetMode="External"/><Relationship Id="rId6636" Type="http://schemas.openxmlformats.org/officeDocument/2006/relationships/hyperlink" Target="https://twitter.com/FuscaWorld/status/723249196661366784" TargetMode="External"/><Relationship Id="rId19050" Type="http://schemas.openxmlformats.org/officeDocument/2006/relationships/hyperlink" Target="https://twitter.com/CapeCoralgroup/status/723916109418749952" TargetMode="External"/><Relationship Id="rId23446" Type="http://schemas.openxmlformats.org/officeDocument/2006/relationships/hyperlink" Target="https://pbs.twimg.com/profile_images/510134807351672832/NEa_-oCU_normal.jpeg" TargetMode="External"/><Relationship Id="rId4187" Type="http://schemas.openxmlformats.org/officeDocument/2006/relationships/hyperlink" Target="https://pbs.twimg.com/profile_images/1763763708/Ich4_normal.jpg" TargetMode="External"/><Relationship Id="rId9859" Type="http://schemas.openxmlformats.org/officeDocument/2006/relationships/hyperlink" Target="https://twitter.com/boersenzeitung/status/723452129768173568" TargetMode="External"/><Relationship Id="rId15660" Type="http://schemas.openxmlformats.org/officeDocument/2006/relationships/hyperlink" Target="https://twitter.com/beetlebug1938/status/723618553530859520" TargetMode="External"/><Relationship Id="rId3270" Type="http://schemas.openxmlformats.org/officeDocument/2006/relationships/hyperlink" Target="https://twitter.com/cjwich/status/723148482136137728" TargetMode="External"/><Relationship Id="rId15313" Type="http://schemas.openxmlformats.org/officeDocument/2006/relationships/hyperlink" Target="https://pbs.twimg.com/profile_images/499290018368598016/4mR--6E5_normal.jpeg" TargetMode="External"/><Relationship Id="rId18883" Type="http://schemas.openxmlformats.org/officeDocument/2006/relationships/hyperlink" Target="https://twitter.com/VWCamperSales" TargetMode="External"/><Relationship Id="rId20080" Type="http://schemas.openxmlformats.org/officeDocument/2006/relationships/hyperlink" Target="https://pbs.twimg.com/profile_images/723116935605542912/YpMAUGCv_normal.jpg" TargetMode="External"/><Relationship Id="rId8942" Type="http://schemas.openxmlformats.org/officeDocument/2006/relationships/hyperlink" Target="https://twitter.com/LukeFenek" TargetMode="External"/><Relationship Id="rId11923" Type="http://schemas.openxmlformats.org/officeDocument/2006/relationships/hyperlink" Target="https://pbs.twimg.com/profile_images/507897198911053824/7OqYAonJ_normal.jpeg" TargetMode="External"/><Relationship Id="rId18536" Type="http://schemas.openxmlformats.org/officeDocument/2006/relationships/hyperlink" Target="https://pbs.twimg.com/profile_images/720097053217579008/yUEHosni_normal.jpg" TargetMode="External"/><Relationship Id="rId25752" Type="http://schemas.openxmlformats.org/officeDocument/2006/relationships/hyperlink" Target="https://twitter.com/vwpress_de" TargetMode="External"/><Relationship Id="rId6493" Type="http://schemas.openxmlformats.org/officeDocument/2006/relationships/hyperlink" Target="https://twitter.com/CoventryUpdate/status/723244611737665540" TargetMode="External"/><Relationship Id="rId16087" Type="http://schemas.openxmlformats.org/officeDocument/2006/relationships/hyperlink" Target="https://pbs.twimg.com/profile_images/722407003751104512/S-lrrhK__normal.jpg" TargetMode="External"/><Relationship Id="rId25405" Type="http://schemas.openxmlformats.org/officeDocument/2006/relationships/hyperlink" Target="https://twitter.com/VWCamperSales/status/724436041222901760" TargetMode="External"/><Relationship Id="rId6146" Type="http://schemas.openxmlformats.org/officeDocument/2006/relationships/hyperlink" Target="https://twitter.com/Tom_Perryyy" TargetMode="External"/><Relationship Id="rId12697" Type="http://schemas.openxmlformats.org/officeDocument/2006/relationships/hyperlink" Target="https://pbs.twimg.com/profile_images/683592930918019072/SnHKNKAI_normal.jpg" TargetMode="External"/><Relationship Id="rId2756" Type="http://schemas.openxmlformats.org/officeDocument/2006/relationships/hyperlink" Target="https://twitter.com/OtoStil/status/723117502604005377" TargetMode="External"/><Relationship Id="rId9369" Type="http://schemas.openxmlformats.org/officeDocument/2006/relationships/hyperlink" Target="https://pbs.twimg.com/profile_images/540494664193683456/ZMJVMiQE_normal.jpeg" TargetMode="External"/><Relationship Id="rId15170" Type="http://schemas.openxmlformats.org/officeDocument/2006/relationships/hyperlink" Target="https://twitter.com/railscanner/status/723596677291102208" TargetMode="External"/><Relationship Id="rId728" Type="http://schemas.openxmlformats.org/officeDocument/2006/relationships/hyperlink" Target="https://twitter.com/Jeni_Melt/status/722974919894552576" TargetMode="External"/><Relationship Id="rId2409" Type="http://schemas.openxmlformats.org/officeDocument/2006/relationships/hyperlink" Target="https://twitter.com/OnlineCarReview/status/723099812107702272" TargetMode="External"/><Relationship Id="rId5979" Type="http://schemas.openxmlformats.org/officeDocument/2006/relationships/hyperlink" Target="https://twitter.com/Onelifetogive" TargetMode="External"/><Relationship Id="rId18393" Type="http://schemas.openxmlformats.org/officeDocument/2006/relationships/hyperlink" Target="http://exvtra.co.uk/" TargetMode="External"/><Relationship Id="rId8452" Type="http://schemas.openxmlformats.org/officeDocument/2006/relationships/hyperlink" Target="https://pbs.twimg.com/profile_images/562563461171798017/AkHF4keI_normal.png" TargetMode="External"/><Relationship Id="rId11780" Type="http://schemas.openxmlformats.org/officeDocument/2006/relationships/hyperlink" Target="https://twitter.com/hcschumacher" TargetMode="External"/><Relationship Id="rId18046" Type="http://schemas.openxmlformats.org/officeDocument/2006/relationships/hyperlink" Target="https://pbs.twimg.com/profile_images/705780107844067328/e7O4UBNb_normal.jpg" TargetMode="External"/><Relationship Id="rId22789" Type="http://schemas.openxmlformats.org/officeDocument/2006/relationships/hyperlink" Target="https://pbs.twimg.com/profile_images/707112971344850944/VU3IzLzb_normal.jpg" TargetMode="External"/><Relationship Id="rId25262" Type="http://schemas.openxmlformats.org/officeDocument/2006/relationships/hyperlink" Target="https://twitter.com/david_scholz/status/724428791335014401" TargetMode="External"/><Relationship Id="rId8105" Type="http://schemas.openxmlformats.org/officeDocument/2006/relationships/hyperlink" Target="https://twitter.com/iaa_attitude" TargetMode="External"/><Relationship Id="rId11433" Type="http://schemas.openxmlformats.org/officeDocument/2006/relationships/hyperlink" Target="https://twitter.com/ArmVonSchuften" TargetMode="External"/><Relationship Id="rId14656" Type="http://schemas.openxmlformats.org/officeDocument/2006/relationships/hyperlink" Target="https://twitter.com/EulenTweet/status/723578795870003200" TargetMode="External"/><Relationship Id="rId21872" Type="http://schemas.openxmlformats.org/officeDocument/2006/relationships/hyperlink" Target="https://twitter.com/VWBeetleSales" TargetMode="External"/><Relationship Id="rId4715" Type="http://schemas.openxmlformats.org/officeDocument/2006/relationships/hyperlink" Target="https://pbs.twimg.com/profile_images/674596645913366528/Z5afHifu_normal.jpg" TargetMode="External"/><Relationship Id="rId14309" Type="http://schemas.openxmlformats.org/officeDocument/2006/relationships/hyperlink" Target="https://twitter.com/TheInsideManLtd" TargetMode="External"/><Relationship Id="rId17879" Type="http://schemas.openxmlformats.org/officeDocument/2006/relationships/hyperlink" Target="https://twitter.com/VolkswagenPost/status/723830291412975616" TargetMode="External"/><Relationship Id="rId21525" Type="http://schemas.openxmlformats.org/officeDocument/2006/relationships/hyperlink" Target="https://pbs.twimg.com/profile_images/675606853649375232/OU7vaW6-_normal.jpg" TargetMode="External"/><Relationship Id="rId585" Type="http://schemas.openxmlformats.org/officeDocument/2006/relationships/hyperlink" Target="https://twitter.com/qkWippitGuud2h" TargetMode="External"/><Relationship Id="rId2266" Type="http://schemas.openxmlformats.org/officeDocument/2006/relationships/hyperlink" Target="https://twitter.com/VWCamperSales" TargetMode="External"/><Relationship Id="rId7938" Type="http://schemas.openxmlformats.org/officeDocument/2006/relationships/hyperlink" Target="https://twitter.com/Neuschwan/status/723343181354532866" TargetMode="External"/><Relationship Id="rId24748" Type="http://schemas.openxmlformats.org/officeDocument/2006/relationships/hyperlink" Target="https://twitter.com/bioOody_roses" TargetMode="External"/><Relationship Id="rId238" Type="http://schemas.openxmlformats.org/officeDocument/2006/relationships/hyperlink" Target="https://twitter.com/SoyFortunato" TargetMode="External"/><Relationship Id="rId5489" Type="http://schemas.openxmlformats.org/officeDocument/2006/relationships/hyperlink" Target="https://twitter.com/TimmonsLB/status/723204491495903232" TargetMode="External"/><Relationship Id="rId10919" Type="http://schemas.openxmlformats.org/officeDocument/2006/relationships/hyperlink" Target="https://pbs.twimg.com/profile_images/463363891880550400/efGoRCEZ_normal.jpeg" TargetMode="External"/><Relationship Id="rId11290" Type="http://schemas.openxmlformats.org/officeDocument/2006/relationships/hyperlink" Target="https://pbs.twimg.com/profile_images/1488674331/schofer4_normal.jpg" TargetMode="External"/><Relationship Id="rId22299" Type="http://schemas.openxmlformats.org/officeDocument/2006/relationships/hyperlink" Target="https://pbs.twimg.com/profile_images/672878354127839232/M7OYc-zx_normal.jpg" TargetMode="External"/><Relationship Id="rId16962" Type="http://schemas.openxmlformats.org/officeDocument/2006/relationships/hyperlink" Target="https://pbs.twimg.com/profile_images/718275890933809156/npH4oxJP_normal.jpg" TargetMode="External"/><Relationship Id="rId1002" Type="http://schemas.openxmlformats.org/officeDocument/2006/relationships/hyperlink" Target="https://twitter.com/jawasnu" TargetMode="External"/><Relationship Id="rId16615" Type="http://schemas.openxmlformats.org/officeDocument/2006/relationships/hyperlink" Target="https://twitter.com/Inesicaleo" TargetMode="External"/><Relationship Id="rId23831" Type="http://schemas.openxmlformats.org/officeDocument/2006/relationships/hyperlink" Target="https://pbs.twimg.com/profile_images/424893967197433858/iQ86NktX_normal.jpeg" TargetMode="External"/><Relationship Id="rId4572" Type="http://schemas.openxmlformats.org/officeDocument/2006/relationships/hyperlink" Target="https://twitter.com/AndreasAndy3131" TargetMode="External"/><Relationship Id="rId14166" Type="http://schemas.openxmlformats.org/officeDocument/2006/relationships/hyperlink" Target="https://twitter.com/StephanKrull" TargetMode="External"/><Relationship Id="rId19838" Type="http://schemas.openxmlformats.org/officeDocument/2006/relationships/hyperlink" Target="https://pbs.twimg.com/profile_images/711890317448904704/wabvMcxR_normal.jpg" TargetMode="External"/><Relationship Id="rId21382" Type="http://schemas.openxmlformats.org/officeDocument/2006/relationships/hyperlink" Target="https://pbs.twimg.com/profile_images/706498628571910146/fO9f4M2K_normal.jpg" TargetMode="External"/><Relationship Id="rId4225" Type="http://schemas.openxmlformats.org/officeDocument/2006/relationships/hyperlink" Target="https://pbs.twimg.com/profile_images/692168890638536705/WgaWAosA_normal.jpg" TargetMode="External"/><Relationship Id="rId7795" Type="http://schemas.openxmlformats.org/officeDocument/2006/relationships/hyperlink" Target="https://twitter.com/patriciaaleinxx/status/723331131735560192" TargetMode="External"/><Relationship Id="rId10776" Type="http://schemas.openxmlformats.org/officeDocument/2006/relationships/hyperlink" Target="https://twitter.com/dennis_goodwin/status/723484334490025988" TargetMode="External"/><Relationship Id="rId17389" Type="http://schemas.openxmlformats.org/officeDocument/2006/relationships/hyperlink" Target="https://twitter.com/RippedFlower" TargetMode="External"/><Relationship Id="rId21035" Type="http://schemas.openxmlformats.org/officeDocument/2006/relationships/hyperlink" Target="https://twitter.com/beetlebug1938/status/724087718192529408" TargetMode="External"/><Relationship Id="rId7448" Type="http://schemas.openxmlformats.org/officeDocument/2006/relationships/hyperlink" Target="https://twitter.com/Cokebear17" TargetMode="External"/><Relationship Id="rId10429" Type="http://schemas.openxmlformats.org/officeDocument/2006/relationships/hyperlink" Target="https://twitter.com/essing_h/status/723472535761903616" TargetMode="External"/><Relationship Id="rId24258" Type="http://schemas.openxmlformats.org/officeDocument/2006/relationships/hyperlink" Target="https://pbs.twimg.com/profile_images/1610421423/Image2_normal.jpg" TargetMode="External"/><Relationship Id="rId13999" Type="http://schemas.openxmlformats.org/officeDocument/2006/relationships/hyperlink" Target="https://pbs.twimg.com/profile_images/693141107933343744/SNTL-n-D_normal.jpg" TargetMode="External"/><Relationship Id="rId16472" Type="http://schemas.openxmlformats.org/officeDocument/2006/relationships/hyperlink" Target="https://twitter.com/gise_max" TargetMode="External"/><Relationship Id="rId18921" Type="http://schemas.openxmlformats.org/officeDocument/2006/relationships/hyperlink" Target="https://twitter.com/VWBeetleSales" TargetMode="External"/><Relationship Id="rId6531" Type="http://schemas.openxmlformats.org/officeDocument/2006/relationships/hyperlink" Target="https://twitter.com/IamSabrina2" TargetMode="External"/><Relationship Id="rId16125" Type="http://schemas.openxmlformats.org/officeDocument/2006/relationships/hyperlink" Target="https://twitter.com/olliehayes" TargetMode="External"/><Relationship Id="rId20868" Type="http://schemas.openxmlformats.org/officeDocument/2006/relationships/hyperlink" Target="https://pbs.twimg.com/profile_images/498644079387754496/5cUzlSkH_normal.jpeg" TargetMode="External"/><Relationship Id="rId23341" Type="http://schemas.openxmlformats.org/officeDocument/2006/relationships/hyperlink" Target="https://pbs.twimg.com/profile_images/378800000801365829/e9f28f8996ff7f098d9b8a1840e76f50_normal.png" TargetMode="External"/><Relationship Id="rId4082" Type="http://schemas.openxmlformats.org/officeDocument/2006/relationships/hyperlink" Target="https://twitter.com/money_location/status/723175833498750977" TargetMode="External"/><Relationship Id="rId19695" Type="http://schemas.openxmlformats.org/officeDocument/2006/relationships/hyperlink" Target="https://pbs.twimg.com/profile_images/697539834840268800/fIANhnLA_normal.jpg" TargetMode="External"/><Relationship Id="rId9754" Type="http://schemas.openxmlformats.org/officeDocument/2006/relationships/hyperlink" Target="https://twitter.com/ksta_news" TargetMode="External"/><Relationship Id="rId12735" Type="http://schemas.openxmlformats.org/officeDocument/2006/relationships/hyperlink" Target="https://twitter.com/DavidDjward" TargetMode="External"/><Relationship Id="rId19348" Type="http://schemas.openxmlformats.org/officeDocument/2006/relationships/hyperlink" Target="https://twitter.com/shekhah969" TargetMode="External"/><Relationship Id="rId9407" Type="http://schemas.openxmlformats.org/officeDocument/2006/relationships/hyperlink" Target="https://twitter.com/BlackCarbonMan/status/723434051873329152" TargetMode="External"/><Relationship Id="rId10286" Type="http://schemas.openxmlformats.org/officeDocument/2006/relationships/hyperlink" Target="https://twitter.com/updayDE" TargetMode="External"/><Relationship Id="rId15958" Type="http://schemas.openxmlformats.org/officeDocument/2006/relationships/hyperlink" Target="https://twitter.com/santiagoolmoss" TargetMode="External"/><Relationship Id="rId18431" Type="http://schemas.openxmlformats.org/officeDocument/2006/relationships/hyperlink" Target="https://twitter.com/ruipinto70/status/723868244742930432" TargetMode="External"/><Relationship Id="rId22827" Type="http://schemas.openxmlformats.org/officeDocument/2006/relationships/hyperlink" Target="https://pbs.twimg.com/profile_images/692006041874231296/RwvqFBw6_normal.jpg" TargetMode="External"/><Relationship Id="rId3568" Type="http://schemas.openxmlformats.org/officeDocument/2006/relationships/hyperlink" Target="https://twitter.com/VWBeetleSales" TargetMode="External"/><Relationship Id="rId20378" Type="http://schemas.openxmlformats.org/officeDocument/2006/relationships/hyperlink" Target="https://twitter.com/ValeriaIbanezA/status/723994751909933057" TargetMode="External"/><Relationship Id="rId25300" Type="http://schemas.openxmlformats.org/officeDocument/2006/relationships/hyperlink" Target="https://pbs.twimg.com/profile_images/682117963349135360/IUfZQy35_normal.png" TargetMode="External"/><Relationship Id="rId6041" Type="http://schemas.openxmlformats.org/officeDocument/2006/relationships/hyperlink" Target="https://twitter.com/VWCamperSales/status/723228100264259584" TargetMode="External"/><Relationship Id="rId9264" Type="http://schemas.openxmlformats.org/officeDocument/2006/relationships/hyperlink" Target="https://twitter.com/vwpress_de" TargetMode="External"/><Relationship Id="rId12592" Type="http://schemas.openxmlformats.org/officeDocument/2006/relationships/hyperlink" Target="https://twitter.com/jpeMEDIA" TargetMode="External"/><Relationship Id="rId21910" Type="http://schemas.openxmlformats.org/officeDocument/2006/relationships/hyperlink" Target="https://twitter.com/calerliu" TargetMode="External"/><Relationship Id="rId970" Type="http://schemas.openxmlformats.org/officeDocument/2006/relationships/hyperlink" Target="https://pbs.twimg.com/profile_images/378800000854855954/0d555726054b01e3c9d6b5241432dc4a_normal.jpeg" TargetMode="External"/><Relationship Id="rId2651" Type="http://schemas.openxmlformats.org/officeDocument/2006/relationships/hyperlink" Target="https://twitter.com/RituKarjalainen/status/723111913907957761" TargetMode="External"/><Relationship Id="rId12245" Type="http://schemas.openxmlformats.org/officeDocument/2006/relationships/hyperlink" Target="https://twitter.com/NetzwerkggS21" TargetMode="External"/><Relationship Id="rId17917" Type="http://schemas.openxmlformats.org/officeDocument/2006/relationships/hyperlink" Target="https://pbs.twimg.com/profile_images/683706859648319492/_QGItkLA_normal.jpg" TargetMode="External"/><Relationship Id="rId623" Type="http://schemas.openxmlformats.org/officeDocument/2006/relationships/hyperlink" Target="https://pbs.twimg.com/profile_images/575809548591632384/bWtfu4WY_normal.jpeg" TargetMode="External"/><Relationship Id="rId2304" Type="http://schemas.openxmlformats.org/officeDocument/2006/relationships/hyperlink" Target="https://twitter.com/rumpeltweet/status/723094380752543744" TargetMode="External"/><Relationship Id="rId5874" Type="http://schemas.openxmlformats.org/officeDocument/2006/relationships/hyperlink" Target="https://twitter.com/DJDevinSA" TargetMode="External"/><Relationship Id="rId15468" Type="http://schemas.openxmlformats.org/officeDocument/2006/relationships/hyperlink" Target="https://twitter.com/magloeckner" TargetMode="External"/><Relationship Id="rId22684" Type="http://schemas.openxmlformats.org/officeDocument/2006/relationships/hyperlink" Target="https://pbs.twimg.com/profile_images/705456759306067972/k_ohXzmN_normal.jpg" TargetMode="External"/><Relationship Id="rId5527" Type="http://schemas.openxmlformats.org/officeDocument/2006/relationships/hyperlink" Target="https://twitter.com/carshionshow" TargetMode="External"/><Relationship Id="rId22337" Type="http://schemas.openxmlformats.org/officeDocument/2006/relationships/hyperlink" Target="https://twitter.com/OnlineCarReview" TargetMode="External"/><Relationship Id="rId3078" Type="http://schemas.openxmlformats.org/officeDocument/2006/relationships/hyperlink" Target="https://pbs.twimg.com/profile_images/441017002224660480/wMS_0yBK_normal.jpeg" TargetMode="External"/><Relationship Id="rId8000" Type="http://schemas.openxmlformats.org/officeDocument/2006/relationships/hyperlink" Target="https://twitter.com/AdgmanA/status/723347617216925700" TargetMode="External"/><Relationship Id="rId14551" Type="http://schemas.openxmlformats.org/officeDocument/2006/relationships/hyperlink" Target="https://twitter.com/Midgedog" TargetMode="External"/><Relationship Id="rId4610" Type="http://schemas.openxmlformats.org/officeDocument/2006/relationships/hyperlink" Target="https://twitter.com/inespohl" TargetMode="External"/><Relationship Id="rId14204" Type="http://schemas.openxmlformats.org/officeDocument/2006/relationships/hyperlink" Target="https://twitter.com/JNiroJacobs" TargetMode="External"/><Relationship Id="rId21420" Type="http://schemas.openxmlformats.org/officeDocument/2006/relationships/hyperlink" Target="https://twitter.com/beetlebug1938/status/724148194653949952" TargetMode="External"/><Relationship Id="rId480" Type="http://schemas.openxmlformats.org/officeDocument/2006/relationships/hyperlink" Target="https://twitter.com/JasonSmeall/status/722960953587863552" TargetMode="External"/><Relationship Id="rId2161" Type="http://schemas.openxmlformats.org/officeDocument/2006/relationships/hyperlink" Target="https://twitter.com/ErnstNordholt" TargetMode="External"/><Relationship Id="rId17774" Type="http://schemas.openxmlformats.org/officeDocument/2006/relationships/hyperlink" Target="https://twitter.com/carlsten_leif" TargetMode="External"/><Relationship Id="rId24990" Type="http://schemas.openxmlformats.org/officeDocument/2006/relationships/hyperlink" Target="https://pbs.twimg.com/profile_images/634021831364747264/5vPrL2JH_normal.jpg" TargetMode="External"/><Relationship Id="rId133" Type="http://schemas.openxmlformats.org/officeDocument/2006/relationships/hyperlink" Target="https://twitter.com/jamelise/status/722929922700914689" TargetMode="External"/><Relationship Id="rId5384" Type="http://schemas.openxmlformats.org/officeDocument/2006/relationships/hyperlink" Target="https://twitter.com/cbctom/status/723201364675842048" TargetMode="External"/><Relationship Id="rId7833" Type="http://schemas.openxmlformats.org/officeDocument/2006/relationships/hyperlink" Target="https://pbs.twimg.com/profile_images/615493650785660928/XHUh6HOk_normal.jpg" TargetMode="External"/><Relationship Id="rId10814" Type="http://schemas.openxmlformats.org/officeDocument/2006/relationships/hyperlink" Target="https://twitter.com/dermaschinist" TargetMode="External"/><Relationship Id="rId17427" Type="http://schemas.openxmlformats.org/officeDocument/2006/relationships/hyperlink" Target="https://pbs.twimg.com/profile_images/3136554383/c62637029402b0d8fe007a682895c1b1_normal.jpeg" TargetMode="External"/><Relationship Id="rId22194" Type="http://schemas.openxmlformats.org/officeDocument/2006/relationships/hyperlink" Target="https://twitter.com/beetlebug1938/status/724208630959079424" TargetMode="External"/><Relationship Id="rId24643" Type="http://schemas.openxmlformats.org/officeDocument/2006/relationships/hyperlink" Target="https://twitter.com/SimonJMale" TargetMode="External"/><Relationship Id="rId5037" Type="http://schemas.openxmlformats.org/officeDocument/2006/relationships/hyperlink" Target="https://twitter.com/jpperl" TargetMode="External"/><Relationship Id="rId1994" Type="http://schemas.openxmlformats.org/officeDocument/2006/relationships/hyperlink" Target="https://pbs.twimg.com/profile_images/666741182064553984/Mzus5geM_normal.jpg" TargetMode="External"/><Relationship Id="rId11588" Type="http://schemas.openxmlformats.org/officeDocument/2006/relationships/hyperlink" Target="https://twitter.com/BenFajzullin/status/723503966743629824" TargetMode="External"/><Relationship Id="rId16510" Type="http://schemas.openxmlformats.org/officeDocument/2006/relationships/hyperlink" Target="https://twitter.com/rajesh877/status/723690744763023360" TargetMode="External"/><Relationship Id="rId20906" Type="http://schemas.openxmlformats.org/officeDocument/2006/relationships/hyperlink" Target="https://twitter.com/oldcar_photo" TargetMode="External"/><Relationship Id="rId1647" Type="http://schemas.openxmlformats.org/officeDocument/2006/relationships/hyperlink" Target="https://twitter.com/VeeDubMk1_/status/723050776222916608" TargetMode="External"/><Relationship Id="rId14061" Type="http://schemas.openxmlformats.org/officeDocument/2006/relationships/hyperlink" Target="https://twitter.com/VeeDubMk1_" TargetMode="External"/><Relationship Id="rId4120" Type="http://schemas.openxmlformats.org/officeDocument/2006/relationships/hyperlink" Target="https://twitter.com/project1half" TargetMode="External"/><Relationship Id="rId7690" Type="http://schemas.openxmlformats.org/officeDocument/2006/relationships/hyperlink" Target="https://pbs.twimg.com/profile_images/703294545195307008/qeCvrX86_normal.jpg" TargetMode="External"/><Relationship Id="rId17284" Type="http://schemas.openxmlformats.org/officeDocument/2006/relationships/hyperlink" Target="https://twitter.com/fitra_eri" TargetMode="External"/><Relationship Id="rId19733" Type="http://schemas.openxmlformats.org/officeDocument/2006/relationships/hyperlink" Target="https://pbs.twimg.com/profile_images/1610421423/Image2_normal.jpg" TargetMode="External"/><Relationship Id="rId7343" Type="http://schemas.openxmlformats.org/officeDocument/2006/relationships/hyperlink" Target="https://pbs.twimg.com/profile_images/661360973396221952/BsshS8wY_normal.jpg" TargetMode="External"/><Relationship Id="rId10671" Type="http://schemas.openxmlformats.org/officeDocument/2006/relationships/hyperlink" Target="https://twitter.com/ashmatee/status/723480539848683525" TargetMode="External"/><Relationship Id="rId24153" Type="http://schemas.openxmlformats.org/officeDocument/2006/relationships/hyperlink" Target="https://twitter.com/dazvw/status/724335658844733440" TargetMode="External"/><Relationship Id="rId10324" Type="http://schemas.openxmlformats.org/officeDocument/2006/relationships/hyperlink" Target="https://pbs.twimg.com/profile_images/683583669202731008/gni4rKo-_normal.jpg" TargetMode="External"/><Relationship Id="rId13894" Type="http://schemas.openxmlformats.org/officeDocument/2006/relationships/hyperlink" Target="https://twitter.com/beetlebug1938/status/723558235605753856" TargetMode="External"/><Relationship Id="rId3953" Type="http://schemas.openxmlformats.org/officeDocument/2006/relationships/hyperlink" Target="https://pbs.twimg.com/profile_images/1795205245/DSC04821_normal.jpg" TargetMode="External"/><Relationship Id="rId13547" Type="http://schemas.openxmlformats.org/officeDocument/2006/relationships/hyperlink" Target="https://pbs.twimg.com/profile_images/3166499469/49b62af120e92e5d55632f35f47c8480_normal.jpeg" TargetMode="External"/><Relationship Id="rId20763" Type="http://schemas.openxmlformats.org/officeDocument/2006/relationships/hyperlink" Target="https://twitter.com/fjchicago/status/724040361488855041" TargetMode="External"/><Relationship Id="rId3606" Type="http://schemas.openxmlformats.org/officeDocument/2006/relationships/hyperlink" Target="https://pbs.twimg.com/profile_images/722951328964677633/w1iChjiw_normal.jpg" TargetMode="External"/><Relationship Id="rId11098" Type="http://schemas.openxmlformats.org/officeDocument/2006/relationships/hyperlink" Target="https://pbs.twimg.com/profile_images/420023295/mercedes-benz_normal.gif" TargetMode="External"/><Relationship Id="rId16020" Type="http://schemas.openxmlformats.org/officeDocument/2006/relationships/hyperlink" Target="https://twitter.com/fantigos/status/723643848103190528" TargetMode="External"/><Relationship Id="rId19590" Type="http://schemas.openxmlformats.org/officeDocument/2006/relationships/hyperlink" Target="https://twitter.com/FennellMarcus/status/723941539022540800" TargetMode="External"/><Relationship Id="rId20416" Type="http://schemas.openxmlformats.org/officeDocument/2006/relationships/hyperlink" Target="https://twitter.com/speedsoundtech" TargetMode="External"/><Relationship Id="rId23986" Type="http://schemas.openxmlformats.org/officeDocument/2006/relationships/hyperlink" Target="http://dlvr.it/" TargetMode="External"/><Relationship Id="rId1157" Type="http://schemas.openxmlformats.org/officeDocument/2006/relationships/hyperlink" Target="https://pbs.twimg.com/profile_images/715236149044887552/b9OGpOYu_normal.jpg" TargetMode="External"/><Relationship Id="rId6829" Type="http://schemas.openxmlformats.org/officeDocument/2006/relationships/hyperlink" Target="https://pbs.twimg.com/profile_images/669332373578776576/FI_GWRUn_normal.png" TargetMode="External"/><Relationship Id="rId12630" Type="http://schemas.openxmlformats.org/officeDocument/2006/relationships/hyperlink" Target="https://twitter.com/hotchkis/status/723524117174050817" TargetMode="External"/><Relationship Id="rId19243" Type="http://schemas.openxmlformats.org/officeDocument/2006/relationships/hyperlink" Target="https://twitter.com/DiegoUrquiolaG/status/723923626471350272" TargetMode="External"/><Relationship Id="rId23639" Type="http://schemas.openxmlformats.org/officeDocument/2006/relationships/hyperlink" Target="https://twitter.com/clubVAGVzla" TargetMode="External"/><Relationship Id="rId9302" Type="http://schemas.openxmlformats.org/officeDocument/2006/relationships/hyperlink" Target="https://pbs.twimg.com/profile_images/2268494982/ldbsvau1mxw0ny4vuv51_normal.jpeg" TargetMode="External"/><Relationship Id="rId10181" Type="http://schemas.openxmlformats.org/officeDocument/2006/relationships/hyperlink" Target="https://twitter.com/katemann_jens/status/723465245289791488" TargetMode="External"/><Relationship Id="rId15853" Type="http://schemas.openxmlformats.org/officeDocument/2006/relationships/hyperlink" Target="https://pbs.twimg.com/profile_images/687314255507513346/a83L5Opq_normal.jpg" TargetMode="External"/><Relationship Id="rId3463" Type="http://schemas.openxmlformats.org/officeDocument/2006/relationships/hyperlink" Target="https://twitter.com/Danny_GTI04/status/723159527869149184" TargetMode="External"/><Relationship Id="rId5912" Type="http://schemas.openxmlformats.org/officeDocument/2006/relationships/hyperlink" Target="https://twitter.com/Dr_M_eroglu/status/723223380309229569" TargetMode="External"/><Relationship Id="rId13057" Type="http://schemas.openxmlformats.org/officeDocument/2006/relationships/hyperlink" Target="https://twitter.com/xpeten" TargetMode="External"/><Relationship Id="rId15506" Type="http://schemas.openxmlformats.org/officeDocument/2006/relationships/hyperlink" Target="https://pbs.twimg.com/profile_images/464102517278638081/qFU_Rwh9_normal.jpeg" TargetMode="External"/><Relationship Id="rId20273" Type="http://schemas.openxmlformats.org/officeDocument/2006/relationships/hyperlink" Target="https://twitter.com/unlmtdsmarttech/status/723987081974931456" TargetMode="External"/><Relationship Id="rId22722" Type="http://schemas.openxmlformats.org/officeDocument/2006/relationships/hyperlink" Target="https://pbs.twimg.com/profile_images/705780107844067328/e7O4UBNb_normal.jpg" TargetMode="External"/><Relationship Id="rId3116" Type="http://schemas.openxmlformats.org/officeDocument/2006/relationships/hyperlink" Target="https://pbs.twimg.com/profile_images/714823479841988610/NhkMmQXO_normal.jpg" TargetMode="External"/><Relationship Id="rId18729" Type="http://schemas.openxmlformats.org/officeDocument/2006/relationships/hyperlink" Target="https://pbs.twimg.com/profile_images/1261747552/photo_normal.JPG" TargetMode="External"/><Relationship Id="rId6686" Type="http://schemas.openxmlformats.org/officeDocument/2006/relationships/hyperlink" Target="http://brui.ie/" TargetMode="External"/><Relationship Id="rId23496" Type="http://schemas.openxmlformats.org/officeDocument/2006/relationships/hyperlink" Target="https://twitter.com/vinylwarning/status/724292530758639617" TargetMode="External"/><Relationship Id="rId6339" Type="http://schemas.openxmlformats.org/officeDocument/2006/relationships/hyperlink" Target="https://pbs.twimg.com/profile_images/627949001179037696/skEBkS05_normal.jpg" TargetMode="External"/><Relationship Id="rId12140" Type="http://schemas.openxmlformats.org/officeDocument/2006/relationships/hyperlink" Target="https://pbs.twimg.com/profile_images/488939589520740353/HVTIWICi_normal.jpeg" TargetMode="External"/><Relationship Id="rId23149" Type="http://schemas.openxmlformats.org/officeDocument/2006/relationships/hyperlink" Target="https://twitter.com/mathyaszalazar/status/724270743220019200" TargetMode="External"/><Relationship Id="rId2949" Type="http://schemas.openxmlformats.org/officeDocument/2006/relationships/hyperlink" Target="https://twitter.com/ProjectCarsUK" TargetMode="External"/><Relationship Id="rId15363" Type="http://schemas.openxmlformats.org/officeDocument/2006/relationships/hyperlink" Target="https://twitter.com/christougherus" TargetMode="External"/><Relationship Id="rId17812" Type="http://schemas.openxmlformats.org/officeDocument/2006/relationships/hyperlink" Target="https://pbs.twimg.com/profile_images/679154013011582976/1dS_RwuC_normal.jpg" TargetMode="External"/><Relationship Id="rId5422" Type="http://schemas.openxmlformats.org/officeDocument/2006/relationships/hyperlink" Target="https://twitter.com/LMohorko" TargetMode="External"/><Relationship Id="rId15016" Type="http://schemas.openxmlformats.org/officeDocument/2006/relationships/hyperlink" Target="https://twitter.com/miliivillar_" TargetMode="External"/><Relationship Id="rId22232" Type="http://schemas.openxmlformats.org/officeDocument/2006/relationships/hyperlink" Target="https://twitter.com/FuscaWorld/status/724210612654489600" TargetMode="External"/><Relationship Id="rId8992" Type="http://schemas.openxmlformats.org/officeDocument/2006/relationships/hyperlink" Target="https://pbs.twimg.com/profile_images/430616979162951681/ZMqm7I3c_normal.png" TargetMode="External"/><Relationship Id="rId11973" Type="http://schemas.openxmlformats.org/officeDocument/2006/relationships/hyperlink" Target="https://pbs.twimg.com/profile_images/706784695795769345/XGXgdjww_normal.jpg" TargetMode="External"/><Relationship Id="rId18586" Type="http://schemas.openxmlformats.org/officeDocument/2006/relationships/hyperlink" Target="https://twitter.com/hashtagvanlife" TargetMode="External"/><Relationship Id="rId6196" Type="http://schemas.openxmlformats.org/officeDocument/2006/relationships/hyperlink" Target="https://twitter.com/VWShawty" TargetMode="External"/><Relationship Id="rId8645" Type="http://schemas.openxmlformats.org/officeDocument/2006/relationships/hyperlink" Target="https://twitter.com/jobless_mike" TargetMode="External"/><Relationship Id="rId11626" Type="http://schemas.openxmlformats.org/officeDocument/2006/relationships/hyperlink" Target="https://pbs.twimg.com/profile_images/701759474198036480/d3ldpfv0_normal.png" TargetMode="External"/><Relationship Id="rId18239" Type="http://schemas.openxmlformats.org/officeDocument/2006/relationships/hyperlink" Target="https://twitter.com/charlieemma" TargetMode="External"/><Relationship Id="rId25455" Type="http://schemas.openxmlformats.org/officeDocument/2006/relationships/hyperlink" Target="https://pbs.twimg.com/profile_images/3247035045/9844e9d67157e05905c827333dbfa0ee_normal.jpeg" TargetMode="External"/><Relationship Id="rId14849" Type="http://schemas.openxmlformats.org/officeDocument/2006/relationships/hyperlink" Target="https://twitter.com/VWBeetleSales" TargetMode="External"/><Relationship Id="rId25108" Type="http://schemas.openxmlformats.org/officeDocument/2006/relationships/hyperlink" Target="http://autoguide.com/" TargetMode="External"/><Relationship Id="rId4908" Type="http://schemas.openxmlformats.org/officeDocument/2006/relationships/hyperlink" Target="https://twitter.com/MiManske" TargetMode="External"/><Relationship Id="rId17322" Type="http://schemas.openxmlformats.org/officeDocument/2006/relationships/hyperlink" Target="https://pbs.twimg.com/profile_images/682567064658259968/q3TCimOc_normal.jpg" TargetMode="External"/><Relationship Id="rId21718" Type="http://schemas.openxmlformats.org/officeDocument/2006/relationships/hyperlink" Target="https://twitter.com/PriesThi/status/724172136454209537" TargetMode="External"/><Relationship Id="rId778" Type="http://schemas.openxmlformats.org/officeDocument/2006/relationships/hyperlink" Target="https://pbs.twimg.com/profile_images/1844337440/test_normal.gif" TargetMode="External"/><Relationship Id="rId2459" Type="http://schemas.openxmlformats.org/officeDocument/2006/relationships/hyperlink" Target="https://twitter.com/treibholzfilm/status/723102321635385345" TargetMode="External"/><Relationship Id="rId13932" Type="http://schemas.openxmlformats.org/officeDocument/2006/relationships/hyperlink" Target="https://twitter.com/Sufiy" TargetMode="External"/><Relationship Id="rId18096" Type="http://schemas.openxmlformats.org/officeDocument/2006/relationships/hyperlink" Target="https://pbs.twimg.com/profile_images/524531569906565120/Noxq66xP_normal.jpeg" TargetMode="External"/><Relationship Id="rId1542" Type="http://schemas.openxmlformats.org/officeDocument/2006/relationships/hyperlink" Target="https://twitter.com/AlcuinBramerton/status/723045609955971072" TargetMode="External"/><Relationship Id="rId8155" Type="http://schemas.openxmlformats.org/officeDocument/2006/relationships/hyperlink" Target="https://twitter.com/Siress" TargetMode="External"/><Relationship Id="rId11136" Type="http://schemas.openxmlformats.org/officeDocument/2006/relationships/hyperlink" Target="https://twitter.com/beetlebug1938/status/723497992746078208" TargetMode="External"/><Relationship Id="rId11483" Type="http://schemas.openxmlformats.org/officeDocument/2006/relationships/hyperlink" Target="https://twitter.com/jaackgreen/status/723502843647254529" TargetMode="External"/><Relationship Id="rId20801" Type="http://schemas.openxmlformats.org/officeDocument/2006/relationships/hyperlink" Target="https://pbs.twimg.com/profile_images/723975994667872256/hFxdGIQV_normal.jpg" TargetMode="External"/><Relationship Id="rId16808" Type="http://schemas.openxmlformats.org/officeDocument/2006/relationships/hyperlink" Target="https://pbs.twimg.com/profile_images/722613468084486144/7b5Iz33V_normal.jpg" TargetMode="External"/><Relationship Id="rId4765" Type="http://schemas.openxmlformats.org/officeDocument/2006/relationships/hyperlink" Target="https://twitter.com/UAimports" TargetMode="External"/><Relationship Id="rId14359" Type="http://schemas.openxmlformats.org/officeDocument/2006/relationships/hyperlink" Target="https://pbs.twimg.com/profile_images/558298291985608704/57n8APEK_normal.jpeg" TargetMode="External"/><Relationship Id="rId21575" Type="http://schemas.openxmlformats.org/officeDocument/2006/relationships/hyperlink" Target="https://twitter.com/VWBeetleSales/status/724161504354816001" TargetMode="External"/><Relationship Id="rId288" Type="http://schemas.openxmlformats.org/officeDocument/2006/relationships/hyperlink" Target="https://pbs.twimg.com/profile_images/710979350984859648/6nidLcPr_normal.jpg" TargetMode="External"/><Relationship Id="rId4418" Type="http://schemas.openxmlformats.org/officeDocument/2006/relationships/hyperlink" Target="https://twitter.com/rbpr" TargetMode="External"/><Relationship Id="rId7988" Type="http://schemas.openxmlformats.org/officeDocument/2006/relationships/hyperlink" Target="https://twitter.com/gleamnx/status/723347573663215616" TargetMode="External"/><Relationship Id="rId10969" Type="http://schemas.openxmlformats.org/officeDocument/2006/relationships/hyperlink" Target="https://twitter.com/Destiny_Man/status/723492018849234944" TargetMode="External"/><Relationship Id="rId21228" Type="http://schemas.openxmlformats.org/officeDocument/2006/relationships/hyperlink" Target="http://dlvr.it/" TargetMode="External"/><Relationship Id="rId24798" Type="http://schemas.openxmlformats.org/officeDocument/2006/relationships/hyperlink" Target="https://pbs.twimg.com/profile_images/539526077962792960/x1KyV7Gz_normal.jpeg" TargetMode="External"/><Relationship Id="rId13442" Type="http://schemas.openxmlformats.org/officeDocument/2006/relationships/hyperlink" Target="https://twitter.com/oldcar_photo/status/723547885778964484" TargetMode="External"/><Relationship Id="rId3501" Type="http://schemas.openxmlformats.org/officeDocument/2006/relationships/hyperlink" Target="https://twitter.com/avaeburjassot" TargetMode="External"/><Relationship Id="rId20311" Type="http://schemas.openxmlformats.org/officeDocument/2006/relationships/hyperlink" Target="https://pbs.twimg.com/profile_images/708289305043734528/fQpuNRU2_normal.jpg" TargetMode="External"/><Relationship Id="rId1052" Type="http://schemas.openxmlformats.org/officeDocument/2006/relationships/hyperlink" Target="https://pbs.twimg.com/profile_images/1303402494/image_normal.jpg" TargetMode="External"/><Relationship Id="rId16665" Type="http://schemas.openxmlformats.org/officeDocument/2006/relationships/hyperlink" Target="https://twitter.com/beetlebug1938/status/723710505706205184" TargetMode="External"/><Relationship Id="rId23881" Type="http://schemas.openxmlformats.org/officeDocument/2006/relationships/hyperlink" Target="https://twitter.com/VWCamperSales/status/724318384704262145" TargetMode="External"/><Relationship Id="rId4275" Type="http://schemas.openxmlformats.org/officeDocument/2006/relationships/hyperlink" Target="https://twitter.com/engelderliebe80/status/723178697839226880" TargetMode="External"/><Relationship Id="rId6724" Type="http://schemas.openxmlformats.org/officeDocument/2006/relationships/hyperlink" Target="https://twitter.com/kngeuro" TargetMode="External"/><Relationship Id="rId16318" Type="http://schemas.openxmlformats.org/officeDocument/2006/relationships/hyperlink" Target="https://twitter.com/VCT_Tweets" TargetMode="External"/><Relationship Id="rId19888" Type="http://schemas.openxmlformats.org/officeDocument/2006/relationships/hyperlink" Target="https://twitter.com/Miau21Rally" TargetMode="External"/><Relationship Id="rId21085" Type="http://schemas.openxmlformats.org/officeDocument/2006/relationships/hyperlink" Target="https://pbs.twimg.com/profile_images/703294545195307008/qeCvrX86_normal.jpg" TargetMode="External"/><Relationship Id="rId23534" Type="http://schemas.openxmlformats.org/officeDocument/2006/relationships/hyperlink" Target="https://twitter.com/SOLDintl" TargetMode="External"/><Relationship Id="rId9947" Type="http://schemas.openxmlformats.org/officeDocument/2006/relationships/hyperlink" Target="https://pbs.twimg.com/profile_images/672477508709785600/wUZ5ijze_normal.jpg" TargetMode="External"/><Relationship Id="rId12928" Type="http://schemas.openxmlformats.org/officeDocument/2006/relationships/hyperlink" Target="https://twitter.com/acvwpassion/status/723531900573351936" TargetMode="External"/><Relationship Id="rId7498" Type="http://schemas.openxmlformats.org/officeDocument/2006/relationships/hyperlink" Target="https://twitter.com/0MMarshallTomBt/status/723306771754921984" TargetMode="External"/><Relationship Id="rId10479" Type="http://schemas.openxmlformats.org/officeDocument/2006/relationships/hyperlink" Target="https://twitter.com/siob_devine/status/723474353829097472" TargetMode="External"/><Relationship Id="rId15401" Type="http://schemas.openxmlformats.org/officeDocument/2006/relationships/hyperlink" Target="https://twitter.com/TimSchmuckall/status/723606429362458628" TargetMode="External"/><Relationship Id="rId18971" Type="http://schemas.openxmlformats.org/officeDocument/2006/relationships/hyperlink" Target="https://pbs.twimg.com/profile_images/684032553855000576/VmwdLyw8_normal.jpg" TargetMode="External"/><Relationship Id="rId18624" Type="http://schemas.openxmlformats.org/officeDocument/2006/relationships/hyperlink" Target="https://twitter.com/AtahanKLNC/status/723885677981495296" TargetMode="External"/><Relationship Id="rId3011" Type="http://schemas.openxmlformats.org/officeDocument/2006/relationships/hyperlink" Target="https://pbs.twimg.com/profile_images/523068031220854784/Q6ETXmwJ_normal.jpeg" TargetMode="External"/><Relationship Id="rId6581" Type="http://schemas.openxmlformats.org/officeDocument/2006/relationships/hyperlink" Target="https://twitter.com/DJSLYPE" TargetMode="External"/><Relationship Id="rId16175" Type="http://schemas.openxmlformats.org/officeDocument/2006/relationships/hyperlink" Target="https://pbs.twimg.com/profile_images/695773573919543296/Q1mS960c_normal.jpg" TargetMode="External"/><Relationship Id="rId23391" Type="http://schemas.openxmlformats.org/officeDocument/2006/relationships/hyperlink" Target="https://twitter.com/acvwpassion" TargetMode="External"/><Relationship Id="rId6234" Type="http://schemas.openxmlformats.org/officeDocument/2006/relationships/hyperlink" Target="https://twitter.com/notjustjam" TargetMode="External"/><Relationship Id="rId19398" Type="http://schemas.openxmlformats.org/officeDocument/2006/relationships/hyperlink" Target="https://twitter.com/VWBeetleSales" TargetMode="External"/><Relationship Id="rId23044" Type="http://schemas.openxmlformats.org/officeDocument/2006/relationships/hyperlink" Target="https://twitter.com/3pPodium/status/724266570332143616" TargetMode="External"/><Relationship Id="rId9457" Type="http://schemas.openxmlformats.org/officeDocument/2006/relationships/hyperlink" Target="https://twitter.com/WrexhamVW" TargetMode="External"/><Relationship Id="rId12785" Type="http://schemas.openxmlformats.org/officeDocument/2006/relationships/hyperlink" Target="http://www.infooffensive.de/" TargetMode="External"/><Relationship Id="rId2844" Type="http://schemas.openxmlformats.org/officeDocument/2006/relationships/hyperlink" Target="https://twitter.com/lennbc" TargetMode="External"/><Relationship Id="rId12438" Type="http://schemas.openxmlformats.org/officeDocument/2006/relationships/hyperlink" Target="https://pbs.twimg.com/profile_images/1289359150/Xenon07.2_normal.jpg" TargetMode="External"/><Relationship Id="rId816" Type="http://schemas.openxmlformats.org/officeDocument/2006/relationships/hyperlink" Target="https://twitter.com/Medienspiegel_D" TargetMode="External"/><Relationship Id="rId18481" Type="http://schemas.openxmlformats.org/officeDocument/2006/relationships/hyperlink" Target="https://twitter.com/TDentist/status/723872505925111808" TargetMode="External"/><Relationship Id="rId22877" Type="http://schemas.openxmlformats.org/officeDocument/2006/relationships/hyperlink" Target="https://twitter.com/beetlebug1938" TargetMode="External"/><Relationship Id="rId8540" Type="http://schemas.openxmlformats.org/officeDocument/2006/relationships/hyperlink" Target="https://twitter.com/bodo1962/status/723393667155693569" TargetMode="External"/><Relationship Id="rId11521" Type="http://schemas.openxmlformats.org/officeDocument/2006/relationships/hyperlink" Target="https://twitter.com/FocusEconomia" TargetMode="External"/><Relationship Id="rId18134" Type="http://schemas.openxmlformats.org/officeDocument/2006/relationships/hyperlink" Target="https://pbs.twimg.com/profile_images/2605614780/n4nhv76ydkxd1bgav4sa_normal.jpeg" TargetMode="External"/><Relationship Id="rId25350" Type="http://schemas.openxmlformats.org/officeDocument/2006/relationships/hyperlink" Target="https://twitter.com/ebaycampervans" TargetMode="External"/><Relationship Id="rId6091" Type="http://schemas.openxmlformats.org/officeDocument/2006/relationships/hyperlink" Target="http://dlvr.it/" TargetMode="External"/><Relationship Id="rId25003" Type="http://schemas.openxmlformats.org/officeDocument/2006/relationships/hyperlink" Target="https://twitter.com/SuranClub" TargetMode="External"/><Relationship Id="rId12295" Type="http://schemas.openxmlformats.org/officeDocument/2006/relationships/hyperlink" Target="https://twitter.com/doern" TargetMode="External"/><Relationship Id="rId14744" Type="http://schemas.openxmlformats.org/officeDocument/2006/relationships/hyperlink" Target="https://twitter.com/dft/status/723581512797573121" TargetMode="External"/><Relationship Id="rId21960" Type="http://schemas.openxmlformats.org/officeDocument/2006/relationships/hyperlink" Target="https://twitter.com/TheAuroraProjct/status/724191415350243328" TargetMode="External"/><Relationship Id="rId673" Type="http://schemas.openxmlformats.org/officeDocument/2006/relationships/hyperlink" Target="https://twitter.com/Shellieqqi/status/722968019660595200" TargetMode="External"/><Relationship Id="rId2354" Type="http://schemas.openxmlformats.org/officeDocument/2006/relationships/hyperlink" Target="https://pbs.twimg.com/profile_images/661245109216915456/IYc4wvrt_normal.jpg" TargetMode="External"/><Relationship Id="rId4803" Type="http://schemas.openxmlformats.org/officeDocument/2006/relationships/hyperlink" Target="https://pbs.twimg.com/profile_images/582888318393782272/e9cKvgOr_normal.jpg" TargetMode="External"/><Relationship Id="rId17967" Type="http://schemas.openxmlformats.org/officeDocument/2006/relationships/hyperlink" Target="https://twitter.com/thecottagelmore" TargetMode="External"/><Relationship Id="rId21613" Type="http://schemas.openxmlformats.org/officeDocument/2006/relationships/hyperlink" Target="https://pbs.twimg.com/profile_images/2208847688/Untitled-2_normal.jpg" TargetMode="External"/><Relationship Id="rId326" Type="http://schemas.openxmlformats.org/officeDocument/2006/relationships/hyperlink" Target="https://twitter.com/Baselimkara/status/722947275685814272" TargetMode="External"/><Relationship Id="rId2007" Type="http://schemas.openxmlformats.org/officeDocument/2006/relationships/hyperlink" Target="https://twitter.com/ExistAutocare" TargetMode="External"/><Relationship Id="rId24836" Type="http://schemas.openxmlformats.org/officeDocument/2006/relationships/hyperlink" Target="https://twitter.com/patrlckjkeane/status/724390847656169472" TargetMode="External"/><Relationship Id="rId5577" Type="http://schemas.openxmlformats.org/officeDocument/2006/relationships/hyperlink" Target="https://pbs.twimg.com/profile_images/715474358790041602/SS-JhB1a_normal.jpg" TargetMode="External"/><Relationship Id="rId8050" Type="http://schemas.openxmlformats.org/officeDocument/2006/relationships/hyperlink" Target="https://pbs.twimg.com/profile_images/705780107844067328/e7O4UBNb_normal.jpg" TargetMode="External"/><Relationship Id="rId22387" Type="http://schemas.openxmlformats.org/officeDocument/2006/relationships/hyperlink" Target="https://twitter.com/ElroyWonder" TargetMode="External"/><Relationship Id="rId11031" Type="http://schemas.openxmlformats.org/officeDocument/2006/relationships/hyperlink" Target="https://pbs.twimg.com/profile_images/510566795435311104/qsgDiZKO_normal.jpeg" TargetMode="External"/><Relationship Id="rId16703" Type="http://schemas.openxmlformats.org/officeDocument/2006/relationships/hyperlink" Target="https://pbs.twimg.com/profile_images/703294545195307008/qeCvrX86_normal.jpg" TargetMode="External"/><Relationship Id="rId4660" Type="http://schemas.openxmlformats.org/officeDocument/2006/relationships/hyperlink" Target="https://twitter.com/Elitet5" TargetMode="External"/><Relationship Id="rId14254" Type="http://schemas.openxmlformats.org/officeDocument/2006/relationships/hyperlink" Target="https://twitter.com/ChochiiGuzman" TargetMode="External"/><Relationship Id="rId21470" Type="http://schemas.openxmlformats.org/officeDocument/2006/relationships/hyperlink" Target="https://twitter.com/Soulvability" TargetMode="External"/><Relationship Id="rId4313" Type="http://schemas.openxmlformats.org/officeDocument/2006/relationships/hyperlink" Target="https://twitter.com/DeLausert/status/723179205857406976" TargetMode="External"/><Relationship Id="rId7883" Type="http://schemas.openxmlformats.org/officeDocument/2006/relationships/hyperlink" Target="http://b2bmanufactures.com/" TargetMode="External"/><Relationship Id="rId17477" Type="http://schemas.openxmlformats.org/officeDocument/2006/relationships/hyperlink" Target="https://twitter.com/Wilhelm_Pieck/status/723801095357763584" TargetMode="External"/><Relationship Id="rId19926" Type="http://schemas.openxmlformats.org/officeDocument/2006/relationships/hyperlink" Target="https://pbs.twimg.com/profile_images/556669044300853248/dIL6Pm-3_normal.jpeg" TargetMode="External"/><Relationship Id="rId21123" Type="http://schemas.openxmlformats.org/officeDocument/2006/relationships/hyperlink" Target="https://twitter.com/OnlineCarReview/status/724104692658139136" TargetMode="External"/><Relationship Id="rId24693" Type="http://schemas.openxmlformats.org/officeDocument/2006/relationships/hyperlink" Target="https://pbs.twimg.com/profile_images/567542387505762304/oWUcdRMT_normal.png" TargetMode="External"/><Relationship Id="rId183" Type="http://schemas.openxmlformats.org/officeDocument/2006/relationships/hyperlink" Target="https://pbs.twimg.com/profile_images/627949001179037696/skEBkS05_normal.jpg" TargetMode="External"/><Relationship Id="rId7536" Type="http://schemas.openxmlformats.org/officeDocument/2006/relationships/hyperlink" Target="https://twitter.com/8kCalculariusuw" TargetMode="External"/><Relationship Id="rId10864" Type="http://schemas.openxmlformats.org/officeDocument/2006/relationships/hyperlink" Target="https://twitter.com/saving_grace/status/723488414083862528" TargetMode="External"/><Relationship Id="rId24346" Type="http://schemas.openxmlformats.org/officeDocument/2006/relationships/hyperlink" Target="https://pbs.twimg.com/profile_images/531363470009057281/FJGMIqtq_normal.jpeg" TargetMode="External"/><Relationship Id="rId5087" Type="http://schemas.openxmlformats.org/officeDocument/2006/relationships/hyperlink" Target="https://pbs.twimg.com/profile_images/613011463947554816/v7_Hl4O5_normal.png" TargetMode="External"/><Relationship Id="rId10517" Type="http://schemas.openxmlformats.org/officeDocument/2006/relationships/hyperlink" Target="https://twitter.com/AbbeyLeasing/status/723475503601061888" TargetMode="External"/><Relationship Id="rId16560" Type="http://schemas.openxmlformats.org/officeDocument/2006/relationships/hyperlink" Target="https://pbs.twimg.com/profile_images/718820712757215233/LXXndPTS_normal.jpg" TargetMode="External"/><Relationship Id="rId20956" Type="http://schemas.openxmlformats.org/officeDocument/2006/relationships/hyperlink" Target="https://pbs.twimg.com/profile_images/541111888164028416/CRkQZhY-_normal.jpeg" TargetMode="External"/><Relationship Id="rId1697" Type="http://schemas.openxmlformats.org/officeDocument/2006/relationships/hyperlink" Target="https://twitter.com/RumBat" TargetMode="External"/><Relationship Id="rId16213" Type="http://schemas.openxmlformats.org/officeDocument/2006/relationships/hyperlink" Target="https://twitter.com/MorSvinka_83/status/723657666665562112" TargetMode="External"/><Relationship Id="rId19783" Type="http://schemas.openxmlformats.org/officeDocument/2006/relationships/hyperlink" Target="https://twitter.com/FennellMarcus" TargetMode="External"/><Relationship Id="rId20609" Type="http://schemas.openxmlformats.org/officeDocument/2006/relationships/hyperlink" Target="https://twitter.com/Scirocco_Tuning/status/724013389308125184" TargetMode="External"/><Relationship Id="rId4170" Type="http://schemas.openxmlformats.org/officeDocument/2006/relationships/hyperlink" Target="https://twitter.com/WhiteRockVW/status/723177585983803392" TargetMode="External"/><Relationship Id="rId9842" Type="http://schemas.openxmlformats.org/officeDocument/2006/relationships/hyperlink" Target="https://pbs.twimg.com/profile_images/2316415935/pi_by_strenuus-d39pkb3_normal.jpg" TargetMode="External"/><Relationship Id="rId19436" Type="http://schemas.openxmlformats.org/officeDocument/2006/relationships/hyperlink" Target="https://twitter.com/VWCamperSales" TargetMode="External"/><Relationship Id="rId56" Type="http://schemas.openxmlformats.org/officeDocument/2006/relationships/hyperlink" Target="https://twitter.com/Watercolorhere/status/722921331394609153" TargetMode="External"/><Relationship Id="rId7393" Type="http://schemas.openxmlformats.org/officeDocument/2006/relationships/hyperlink" Target="https://abs.twimg.com/sticky/default_profile_images/default_profile_2_normal.png" TargetMode="External"/><Relationship Id="rId10374" Type="http://schemas.openxmlformats.org/officeDocument/2006/relationships/hyperlink" Target="https://twitter.com/Mat_Struwe" TargetMode="External"/><Relationship Id="rId12823" Type="http://schemas.openxmlformats.org/officeDocument/2006/relationships/hyperlink" Target="https://twitter.com/ErnstvAll" TargetMode="External"/><Relationship Id="rId7046" Type="http://schemas.openxmlformats.org/officeDocument/2006/relationships/hyperlink" Target="https://twitter.com/VCT_Tweets/status/723276004538638339" TargetMode="External"/><Relationship Id="rId10027" Type="http://schemas.openxmlformats.org/officeDocument/2006/relationships/hyperlink" Target="https://twitter.com/EIV_Bayreuth" TargetMode="External"/><Relationship Id="rId13597" Type="http://schemas.openxmlformats.org/officeDocument/2006/relationships/hyperlink" Target="https://twitter.com/techhippie/status/723551590158884866" TargetMode="External"/><Relationship Id="rId22915" Type="http://schemas.openxmlformats.org/officeDocument/2006/relationships/hyperlink" Target="https://twitter.com/BillJacobsVW/status/724256336251232256" TargetMode="External"/><Relationship Id="rId3656" Type="http://schemas.openxmlformats.org/officeDocument/2006/relationships/hyperlink" Target="https://pbs.twimg.com/profile_images/654737728123240448/2iBYs_8M_normal.jpg" TargetMode="External"/><Relationship Id="rId16070" Type="http://schemas.openxmlformats.org/officeDocument/2006/relationships/hyperlink" Target="https://twitter.com/riversidevw" TargetMode="External"/><Relationship Id="rId20466" Type="http://schemas.openxmlformats.org/officeDocument/2006/relationships/hyperlink" Target="http://wheelz.me/" TargetMode="External"/><Relationship Id="rId3309" Type="http://schemas.openxmlformats.org/officeDocument/2006/relationships/hyperlink" Target="https://twitter.com/_danielthomas" TargetMode="External"/><Relationship Id="rId6879" Type="http://schemas.openxmlformats.org/officeDocument/2006/relationships/hyperlink" Target="https://twitter.com/VRwatchingU" TargetMode="External"/><Relationship Id="rId12680" Type="http://schemas.openxmlformats.org/officeDocument/2006/relationships/hyperlink" Target="https://twitter.com/peter_hagen" TargetMode="External"/><Relationship Id="rId19293" Type="http://schemas.openxmlformats.org/officeDocument/2006/relationships/hyperlink" Target="https://pbs.twimg.com/profile_images/541529452568928256/3Z0TvgjV_normal.jpeg" TargetMode="External"/><Relationship Id="rId20119" Type="http://schemas.openxmlformats.org/officeDocument/2006/relationships/hyperlink" Target="https://twitter.com/Recta_Principal/status/723976090180575232" TargetMode="External"/><Relationship Id="rId23689" Type="http://schemas.openxmlformats.org/officeDocument/2006/relationships/hyperlink" Target="https://pbs.twimg.com/profile_images/469860056075231232/hUz3Q4v2_normal.jpeg" TargetMode="External"/><Relationship Id="rId9352" Type="http://schemas.openxmlformats.org/officeDocument/2006/relationships/hyperlink" Target="https://twitter.com/Stahlhammer/status/723431083203694593" TargetMode="External"/><Relationship Id="rId12333" Type="http://schemas.openxmlformats.org/officeDocument/2006/relationships/hyperlink" Target="https://twitter.com/Insta_VWT/status/723517568636608517" TargetMode="External"/><Relationship Id="rId711" Type="http://schemas.openxmlformats.org/officeDocument/2006/relationships/hyperlink" Target="https://pbs.twimg.com/profile_images/715030110844362754/PC9gDSCU_normal.jpg" TargetMode="External"/><Relationship Id="rId5962" Type="http://schemas.openxmlformats.org/officeDocument/2006/relationships/hyperlink" Target="https://pbs.twimg.com/profile_images/710243539695763456/UeBsM3MU_normal.jpg" TargetMode="External"/><Relationship Id="rId9005" Type="http://schemas.openxmlformats.org/officeDocument/2006/relationships/hyperlink" Target="https://twitter.com/SvOstrow" TargetMode="External"/><Relationship Id="rId15556" Type="http://schemas.openxmlformats.org/officeDocument/2006/relationships/hyperlink" Target="https://twitter.com/puexxx" TargetMode="External"/><Relationship Id="rId22772" Type="http://schemas.openxmlformats.org/officeDocument/2006/relationships/hyperlink" Target="https://twitter.com/SanRMaadhwa" TargetMode="External"/><Relationship Id="rId5615" Type="http://schemas.openxmlformats.org/officeDocument/2006/relationships/hyperlink" Target="https://twitter.com/J_A_Goodwin/status/723210869702688769" TargetMode="External"/><Relationship Id="rId15209" Type="http://schemas.openxmlformats.org/officeDocument/2006/relationships/hyperlink" Target="https://pbs.twimg.com/profile_images/714212857613836289/Ote1JoB5_normal.jpg" TargetMode="External"/><Relationship Id="rId22425" Type="http://schemas.openxmlformats.org/officeDocument/2006/relationships/hyperlink" Target="https://twitter.com/MarcosPalacio_/status/724223620864724992" TargetMode="External"/><Relationship Id="rId3166" Type="http://schemas.openxmlformats.org/officeDocument/2006/relationships/hyperlink" Target="https://pbs.twimg.com/profile_images/487991398982230016/CCHagZ06_normal.jpeg" TargetMode="External"/><Relationship Id="rId18779" Type="http://schemas.openxmlformats.org/officeDocument/2006/relationships/hyperlink" Target="https://twitter.com/KK24990" TargetMode="External"/><Relationship Id="rId6389" Type="http://schemas.openxmlformats.org/officeDocument/2006/relationships/hyperlink" Target="https://pbs.twimg.com/profile_images/681029849192988672/gIwaZ0pH_normal.jpg" TargetMode="External"/><Relationship Id="rId8838" Type="http://schemas.openxmlformats.org/officeDocument/2006/relationships/hyperlink" Target="https://twitter.com/weare_van/status/723408867351093248" TargetMode="External"/><Relationship Id="rId11819" Type="http://schemas.openxmlformats.org/officeDocument/2006/relationships/hyperlink" Target="https://twitter.com/MotoringMedia/status/723508075382988800" TargetMode="External"/><Relationship Id="rId23199" Type="http://schemas.openxmlformats.org/officeDocument/2006/relationships/hyperlink" Target="https://twitter.com/Mainman777" TargetMode="External"/><Relationship Id="rId25648" Type="http://schemas.openxmlformats.org/officeDocument/2006/relationships/hyperlink" Target="https://twitter.com/TheRemixStudio/status/724454971748417536" TargetMode="External"/><Relationship Id="rId12190" Type="http://schemas.openxmlformats.org/officeDocument/2006/relationships/hyperlink" Target="https://twitter.com/BaerbelHoehn" TargetMode="External"/><Relationship Id="rId17862" Type="http://schemas.openxmlformats.org/officeDocument/2006/relationships/hyperlink" Target="https://pbs.twimg.com/profile_images/1488674331/schofer4_normal.jpg" TargetMode="External"/><Relationship Id="rId2999" Type="http://schemas.openxmlformats.org/officeDocument/2006/relationships/hyperlink" Target="https://twitter.com/migladin" TargetMode="External"/><Relationship Id="rId7921" Type="http://schemas.openxmlformats.org/officeDocument/2006/relationships/hyperlink" Target="https://pbs.twimg.com/profile_images/378800000557861038/160062ac2444c5bac103a16edbe7be0d_normal.jpeg" TargetMode="External"/><Relationship Id="rId17515" Type="http://schemas.openxmlformats.org/officeDocument/2006/relationships/hyperlink" Target="https://twitter.com/VWCamperSales" TargetMode="External"/><Relationship Id="rId24731" Type="http://schemas.openxmlformats.org/officeDocument/2006/relationships/hyperlink" Target="https://twitter.com/SJeanWrites" TargetMode="External"/><Relationship Id="rId221" Type="http://schemas.openxmlformats.org/officeDocument/2006/relationships/hyperlink" Target="https://twitter.com/VolkswagenLatAm/status/722938010396794881" TargetMode="External"/><Relationship Id="rId5472" Type="http://schemas.openxmlformats.org/officeDocument/2006/relationships/hyperlink" Target="https://twitter.com/olaf26" TargetMode="External"/><Relationship Id="rId10902" Type="http://schemas.openxmlformats.org/officeDocument/2006/relationships/hyperlink" Target="https://twitter.com/DeezaSunglasses" TargetMode="External"/><Relationship Id="rId15066" Type="http://schemas.openxmlformats.org/officeDocument/2006/relationships/hyperlink" Target="https://twitter.com/Logistique01/status/723592120301293568" TargetMode="External"/><Relationship Id="rId22282" Type="http://schemas.openxmlformats.org/officeDocument/2006/relationships/hyperlink" Target="https://twitter.com/RETROPOT" TargetMode="External"/><Relationship Id="rId5125" Type="http://schemas.openxmlformats.org/officeDocument/2006/relationships/hyperlink" Target="https://twitter.com/cltribunesullo/status/723194893590474752" TargetMode="External"/><Relationship Id="rId8695" Type="http://schemas.openxmlformats.org/officeDocument/2006/relationships/hyperlink" Target="https://twitter.com/VivaRedd/status/723402434979069952" TargetMode="External"/><Relationship Id="rId18289" Type="http://schemas.openxmlformats.org/officeDocument/2006/relationships/hyperlink" Target="https://twitter.com/GaryLyford" TargetMode="External"/><Relationship Id="rId8348" Type="http://schemas.openxmlformats.org/officeDocument/2006/relationships/hyperlink" Target="https://twitter.com/beetlebug1938/status/723384310456152065" TargetMode="External"/><Relationship Id="rId11676" Type="http://schemas.openxmlformats.org/officeDocument/2006/relationships/hyperlink" Target="https://pbs.twimg.com/profile_images/575251924716421120/7Mh95sYJ_normal.png" TargetMode="External"/><Relationship Id="rId25158" Type="http://schemas.openxmlformats.org/officeDocument/2006/relationships/hyperlink" Target="https://pbs.twimg.com/profile_images/721367110065127424/QmjA60l4_normal.jpg" TargetMode="External"/><Relationship Id="rId1735" Type="http://schemas.openxmlformats.org/officeDocument/2006/relationships/hyperlink" Target="https://twitter.com/AFECTADOGRUPOVW/status/723054760819974144" TargetMode="External"/><Relationship Id="rId11329" Type="http://schemas.openxmlformats.org/officeDocument/2006/relationships/hyperlink" Target="https://twitter.com/buran63" TargetMode="External"/><Relationship Id="rId14899" Type="http://schemas.openxmlformats.org/officeDocument/2006/relationships/hyperlink" Target="https://twitter.com/RosaTrunk/status/723586428135944193" TargetMode="External"/><Relationship Id="rId19821" Type="http://schemas.openxmlformats.org/officeDocument/2006/relationships/hyperlink" Target="https://twitter.com/rallyargentina" TargetMode="External"/><Relationship Id="rId4958" Type="http://schemas.openxmlformats.org/officeDocument/2006/relationships/hyperlink" Target="https://twitter.com/KSWO_7NEWS" TargetMode="External"/><Relationship Id="rId17372" Type="http://schemas.openxmlformats.org/officeDocument/2006/relationships/hyperlink" Target="https://twitter.com/ReginaSeelos/status/723795085700259840" TargetMode="External"/><Relationship Id="rId21768" Type="http://schemas.openxmlformats.org/officeDocument/2006/relationships/hyperlink" Target="https://pbs.twimg.com/profile_images/718820712757215233/LXXndPTS_normal.jpg" TargetMode="External"/><Relationship Id="rId7431" Type="http://schemas.openxmlformats.org/officeDocument/2006/relationships/hyperlink" Target="https://twitter.com/WideAwakeMomma/status/723302271614750720" TargetMode="External"/><Relationship Id="rId10412" Type="http://schemas.openxmlformats.org/officeDocument/2006/relationships/hyperlink" Target="https://pbs.twimg.com/profile_images/3475164109/e980593a6dbfb66a7c7e0664cdebc34f_normal.jpeg" TargetMode="External"/><Relationship Id="rId13982" Type="http://schemas.openxmlformats.org/officeDocument/2006/relationships/hyperlink" Target="https://twitter.com/mmmsex3014" TargetMode="External"/><Relationship Id="rId17025" Type="http://schemas.openxmlformats.org/officeDocument/2006/relationships/hyperlink" Target="https://pbs.twimg.com/profile_images/610490531953668096/uBvorN_Q_normal.jpg" TargetMode="External"/><Relationship Id="rId24241" Type="http://schemas.openxmlformats.org/officeDocument/2006/relationships/hyperlink" Target="https://twitter.com/eobz/status/724339909046210560" TargetMode="External"/><Relationship Id="rId13635" Type="http://schemas.openxmlformats.org/officeDocument/2006/relationships/hyperlink" Target="https://pbs.twimg.com/profile_images/540337328674578432/qYyufV8k_normal.jpeg" TargetMode="External"/><Relationship Id="rId20851" Type="http://schemas.openxmlformats.org/officeDocument/2006/relationships/hyperlink" Target="https://twitter.com/Agusperez09" TargetMode="External"/><Relationship Id="rId1592" Type="http://schemas.openxmlformats.org/officeDocument/2006/relationships/hyperlink" Target="https://twitter.com/JezMans" TargetMode="External"/><Relationship Id="rId11186" Type="http://schemas.openxmlformats.org/officeDocument/2006/relationships/hyperlink" Target="https://pbs.twimg.com/profile_images/705780107844067328/e7O4UBNb_normal.jpg" TargetMode="External"/><Relationship Id="rId20504" Type="http://schemas.openxmlformats.org/officeDocument/2006/relationships/hyperlink" Target="http://ctrlq.org/maps/address/" TargetMode="External"/><Relationship Id="rId1245" Type="http://schemas.openxmlformats.org/officeDocument/2006/relationships/hyperlink" Target="https://twitter.com/techhippie/status/723027638609129472" TargetMode="External"/><Relationship Id="rId16858" Type="http://schemas.openxmlformats.org/officeDocument/2006/relationships/hyperlink" Target="https://twitter.com/JunoDee/status/723743281222397952" TargetMode="External"/><Relationship Id="rId4468" Type="http://schemas.openxmlformats.org/officeDocument/2006/relationships/hyperlink" Target="https://twitter.com/AttorneyLending/status/723181605490188288" TargetMode="External"/><Relationship Id="rId6917" Type="http://schemas.openxmlformats.org/officeDocument/2006/relationships/hyperlink" Target="https://pbs.twimg.com/profile_images/634307811850256384/NhoATGtf_normal.jpg" TargetMode="External"/><Relationship Id="rId19331" Type="http://schemas.openxmlformats.org/officeDocument/2006/relationships/hyperlink" Target="https://twitter.com/rawcomme/status/723926869356191744" TargetMode="External"/><Relationship Id="rId21278" Type="http://schemas.openxmlformats.org/officeDocument/2006/relationships/hyperlink" Target="https://twitter.com/TetsuoHojo" TargetMode="External"/><Relationship Id="rId23727" Type="http://schemas.openxmlformats.org/officeDocument/2006/relationships/hyperlink" Target="https://twitter.com/Fernandez_Diego/status/724306900502888448" TargetMode="External"/><Relationship Id="rId15941" Type="http://schemas.openxmlformats.org/officeDocument/2006/relationships/hyperlink" Target="https://twitter.com/hdBerretz/status/723638539188080640" TargetMode="External"/><Relationship Id="rId13492" Type="http://schemas.openxmlformats.org/officeDocument/2006/relationships/hyperlink" Target="https://pbs.twimg.com/profile_images/2208847688/Untitled-2_normal.jpg" TargetMode="External"/><Relationship Id="rId22810" Type="http://schemas.openxmlformats.org/officeDocument/2006/relationships/hyperlink" Target="https://twitter.com/kramer_angii" TargetMode="External"/><Relationship Id="rId3551" Type="http://schemas.openxmlformats.org/officeDocument/2006/relationships/hyperlink" Target="https://twitter.com/luiis_mendoozaa/status/723163523337986048" TargetMode="External"/><Relationship Id="rId13145" Type="http://schemas.openxmlformats.org/officeDocument/2006/relationships/hyperlink" Target="https://pbs.twimg.com/profile_images/3104943850/385acbbfedd6091738459c73132b7193_normal.jpeg" TargetMode="External"/><Relationship Id="rId20361" Type="http://schemas.openxmlformats.org/officeDocument/2006/relationships/hyperlink" Target="https://pbs.twimg.com/profile_images/627949001179037696/skEBkS05_normal.jpg" TargetMode="External"/><Relationship Id="rId3204" Type="http://schemas.openxmlformats.org/officeDocument/2006/relationships/hyperlink" Target="https://pbs.twimg.com/profile_images/1200648485/instock_normal.jpg" TargetMode="External"/><Relationship Id="rId6774" Type="http://schemas.openxmlformats.org/officeDocument/2006/relationships/hyperlink" Target="https://pbs.twimg.com/profile_images/683348744742551553/FcWf7nXY_normal.jpg" TargetMode="External"/><Relationship Id="rId16368" Type="http://schemas.openxmlformats.org/officeDocument/2006/relationships/hyperlink" Target="https://pbs.twimg.com/profile_images/1883286200/Logo_20Kustomfest_normal.jpg" TargetMode="External"/><Relationship Id="rId18817" Type="http://schemas.openxmlformats.org/officeDocument/2006/relationships/hyperlink" Target="https://twitter.com/meerkatus71/status/723898532407562241" TargetMode="External"/><Relationship Id="rId20014" Type="http://schemas.openxmlformats.org/officeDocument/2006/relationships/hyperlink" Target="https://twitter.com/LifeAtWarpSpeed/status/723968697212256256" TargetMode="External"/><Relationship Id="rId23584" Type="http://schemas.openxmlformats.org/officeDocument/2006/relationships/hyperlink" Target="https://twitter.com/Mphilpot1/status/724298115310714880" TargetMode="External"/><Relationship Id="rId6427" Type="http://schemas.openxmlformats.org/officeDocument/2006/relationships/hyperlink" Target="https://twitter.com/Insta_VWT" TargetMode="External"/><Relationship Id="rId23237" Type="http://schemas.openxmlformats.org/officeDocument/2006/relationships/hyperlink" Target="https://twitter.com/copeyphoto" TargetMode="External"/><Relationship Id="rId9997" Type="http://schemas.openxmlformats.org/officeDocument/2006/relationships/hyperlink" Target="https://twitter.com/unlmtdsmarttech" TargetMode="External"/><Relationship Id="rId12978" Type="http://schemas.openxmlformats.org/officeDocument/2006/relationships/hyperlink" Target="https://twitter.com/Fotobiene" TargetMode="External"/><Relationship Id="rId17900" Type="http://schemas.openxmlformats.org/officeDocument/2006/relationships/hyperlink" Target="https://twitter.com/garage777uk" TargetMode="External"/><Relationship Id="rId15451" Type="http://schemas.openxmlformats.org/officeDocument/2006/relationships/hyperlink" Target="https://twitter.com/VWCamperSales" TargetMode="External"/><Relationship Id="rId3061" Type="http://schemas.openxmlformats.org/officeDocument/2006/relationships/hyperlink" Target="https://twitter.com/greenback78" TargetMode="External"/><Relationship Id="rId5510" Type="http://schemas.openxmlformats.org/officeDocument/2006/relationships/hyperlink" Target="https://pbs.twimg.com/profile_images/556562408542445568/pKWad79S_normal.png" TargetMode="External"/><Relationship Id="rId15104" Type="http://schemas.openxmlformats.org/officeDocument/2006/relationships/hyperlink" Target="https://pbs.twimg.com/profile_images/556251546715820033/l5Ixj297_normal.jpeg" TargetMode="External"/><Relationship Id="rId18674" Type="http://schemas.openxmlformats.org/officeDocument/2006/relationships/hyperlink" Target="https://twitter.com/ggracing11/status/723888607677820928" TargetMode="External"/><Relationship Id="rId22320" Type="http://schemas.openxmlformats.org/officeDocument/2006/relationships/hyperlink" Target="https://pbs.twimg.com/profile_images/464452649283096576/83OCnlKc_normal.jpeg" TargetMode="External"/><Relationship Id="rId8733" Type="http://schemas.openxmlformats.org/officeDocument/2006/relationships/hyperlink" Target="http://dlvr.it/" TargetMode="External"/><Relationship Id="rId11714" Type="http://schemas.openxmlformats.org/officeDocument/2006/relationships/hyperlink" Target="https://twitter.com/DoMarMac/status/723505833150164992" TargetMode="External"/><Relationship Id="rId18327" Type="http://schemas.openxmlformats.org/officeDocument/2006/relationships/hyperlink" Target="https://pbs.twimg.com/profile_images/682492887909572608/uhnCneqL_normal.jpg" TargetMode="External"/><Relationship Id="rId25543" Type="http://schemas.openxmlformats.org/officeDocument/2006/relationships/hyperlink" Target="https://pbs.twimg.com/profile_images/457945677918515200/buTVXicj_normal.jpeg" TargetMode="External"/><Relationship Id="rId6284" Type="http://schemas.openxmlformats.org/officeDocument/2006/relationships/hyperlink" Target="https://twitter.com/charlieebutler" TargetMode="External"/><Relationship Id="rId23094" Type="http://schemas.openxmlformats.org/officeDocument/2006/relationships/hyperlink" Target="http://ctrlq.org/maps/address/" TargetMode="External"/><Relationship Id="rId2894" Type="http://schemas.openxmlformats.org/officeDocument/2006/relationships/hyperlink" Target="https://pbs.twimg.com/profile_images/378800000190719226/b77e55769d8dad9e6ea8d8c41c7c27bf_normal.png" TargetMode="External"/><Relationship Id="rId12488" Type="http://schemas.openxmlformats.org/officeDocument/2006/relationships/hyperlink" Target="https://twitter.com/Stony_BS/status/723520585532362753" TargetMode="External"/><Relationship Id="rId14937" Type="http://schemas.openxmlformats.org/officeDocument/2006/relationships/hyperlink" Target="https://twitter.com/julioDeLange/status/723587291759939585" TargetMode="External"/><Relationship Id="rId866" Type="http://schemas.openxmlformats.org/officeDocument/2006/relationships/hyperlink" Target="https://twitter.com/bdebaca/status/722994628899815424" TargetMode="External"/><Relationship Id="rId2547" Type="http://schemas.openxmlformats.org/officeDocument/2006/relationships/hyperlink" Target="https://twitter.com/renesari/status/723104899995574274" TargetMode="External"/><Relationship Id="rId17410" Type="http://schemas.openxmlformats.org/officeDocument/2006/relationships/hyperlink" Target="https://twitter.com/porkpiefrank" TargetMode="External"/><Relationship Id="rId21806" Type="http://schemas.openxmlformats.org/officeDocument/2006/relationships/hyperlink" Target="https://twitter.com/VWCamperSales/status/724180358430748676" TargetMode="External"/><Relationship Id="rId519" Type="http://schemas.openxmlformats.org/officeDocument/2006/relationships/hyperlink" Target="https://twitter.com/layners3104" TargetMode="External"/><Relationship Id="rId5020" Type="http://schemas.openxmlformats.org/officeDocument/2006/relationships/hyperlink" Target="https://pbs.twimg.com/profile_images/685398869451108352/4CLmtj_w_normal.jpg" TargetMode="External"/><Relationship Id="rId8590" Type="http://schemas.openxmlformats.org/officeDocument/2006/relationships/hyperlink" Target="https://pbs.twimg.com/profile_images/1783038237/tommy1_640_normal.jpg" TargetMode="External"/><Relationship Id="rId11571" Type="http://schemas.openxmlformats.org/officeDocument/2006/relationships/hyperlink" Target="https://pbs.twimg.com/profile_images/711242536082231297/Znog1p3s_normal.jpg" TargetMode="External"/><Relationship Id="rId18184" Type="http://schemas.openxmlformats.org/officeDocument/2006/relationships/hyperlink" Target="https://twitter.com/nope75440125" TargetMode="External"/><Relationship Id="rId1630" Type="http://schemas.openxmlformats.org/officeDocument/2006/relationships/hyperlink" Target="https://pbs.twimg.com/profile_images/709223273599381504/k54xhvFc_normal.jpg" TargetMode="External"/><Relationship Id="rId8243" Type="http://schemas.openxmlformats.org/officeDocument/2006/relationships/hyperlink" Target="https://pbs.twimg.com/profile_images/584030077870018560/aLXqHYI6_normal.jpg" TargetMode="External"/><Relationship Id="rId11224" Type="http://schemas.openxmlformats.org/officeDocument/2006/relationships/hyperlink" Target="https://twitter.com/MotoringPodcast" TargetMode="External"/><Relationship Id="rId14794" Type="http://schemas.openxmlformats.org/officeDocument/2006/relationships/hyperlink" Target="https://twitter.com/Sebitta_caab" TargetMode="External"/><Relationship Id="rId25053" Type="http://schemas.openxmlformats.org/officeDocument/2006/relationships/hyperlink" Target="https://pbs.twimg.com/profile_images/652871584131092480/QA_B6SBO_normal.jpg" TargetMode="External"/><Relationship Id="rId4853" Type="http://schemas.openxmlformats.org/officeDocument/2006/relationships/hyperlink" Target="https://twitter.com/msav999/status/723189169531424769" TargetMode="External"/><Relationship Id="rId14447" Type="http://schemas.openxmlformats.org/officeDocument/2006/relationships/hyperlink" Target="https://pbs.twimg.com/profile_images/698181468846219264/whz-sLAP_normal.jpg" TargetMode="External"/><Relationship Id="rId21663" Type="http://schemas.openxmlformats.org/officeDocument/2006/relationships/hyperlink" Target="https://pbs.twimg.com/profile_images/530071272881803264/a_jcCmPZ_normal.png" TargetMode="External"/><Relationship Id="rId4506" Type="http://schemas.openxmlformats.org/officeDocument/2006/relationships/hyperlink" Target="https://twitter.com/Einstein_MTMP" TargetMode="External"/><Relationship Id="rId21316" Type="http://schemas.openxmlformats.org/officeDocument/2006/relationships/hyperlink" Target="https://pbs.twimg.com/profile_images/605683918369660929/r35bMZ-r_normal.png" TargetMode="External"/><Relationship Id="rId376" Type="http://schemas.openxmlformats.org/officeDocument/2006/relationships/hyperlink" Target="https://pbs.twimg.com/profile_images/705780107844067328/e7O4UBNb_normal.jpg" TargetMode="External"/><Relationship Id="rId2057" Type="http://schemas.openxmlformats.org/officeDocument/2006/relationships/hyperlink" Target="https://twitter.com/cdwITMonitor" TargetMode="External"/><Relationship Id="rId7729" Type="http://schemas.openxmlformats.org/officeDocument/2006/relationships/hyperlink" Target="https://pbs.twimg.com/profile_images/1610421423/Image2_normal.jpg" TargetMode="External"/><Relationship Id="rId24886" Type="http://schemas.openxmlformats.org/officeDocument/2006/relationships/hyperlink" Target="https://twitter.com/ManuelA30652972/status/724397001610280962" TargetMode="External"/><Relationship Id="rId13530" Type="http://schemas.openxmlformats.org/officeDocument/2006/relationships/hyperlink" Target="https://twitter.com/hierkommthans" TargetMode="External"/><Relationship Id="rId24539" Type="http://schemas.openxmlformats.org/officeDocument/2006/relationships/hyperlink" Target="https://pbs.twimg.com/profile_images/698387375949373440/mvzpWN6H_normal.jpg" TargetMode="External"/><Relationship Id="rId1140" Type="http://schemas.openxmlformats.org/officeDocument/2006/relationships/hyperlink" Target="https://twitter.com/VolkswagenPost" TargetMode="External"/><Relationship Id="rId11081" Type="http://schemas.openxmlformats.org/officeDocument/2006/relationships/hyperlink" Target="https://twitter.com/techislet/status/723496731627888641" TargetMode="External"/><Relationship Id="rId16753" Type="http://schemas.openxmlformats.org/officeDocument/2006/relationships/hyperlink" Target="https://pbs.twimg.com/profile_images/599357023407464449/BL9Bpo6T_normal.jpg" TargetMode="External"/><Relationship Id="rId6812" Type="http://schemas.openxmlformats.org/officeDocument/2006/relationships/hyperlink" Target="https://pbs.twimg.com/profile_images/686916450418753537/xOJW9Mcn_normal.png" TargetMode="External"/><Relationship Id="rId16406" Type="http://schemas.openxmlformats.org/officeDocument/2006/relationships/hyperlink" Target="https://twitter.com/miner_media/status/723679695129079808" TargetMode="External"/><Relationship Id="rId19976" Type="http://schemas.openxmlformats.org/officeDocument/2006/relationships/hyperlink" Target="https://twitter.com/Scirocco_Tuning/status/723966462822592513" TargetMode="External"/><Relationship Id="rId23622" Type="http://schemas.openxmlformats.org/officeDocument/2006/relationships/hyperlink" Target="https://twitter.com/VWBeetleSales" TargetMode="External"/><Relationship Id="rId4363" Type="http://schemas.openxmlformats.org/officeDocument/2006/relationships/hyperlink" Target="https://twitter.com/kngeuro" TargetMode="External"/><Relationship Id="rId19629" Type="http://schemas.openxmlformats.org/officeDocument/2006/relationships/hyperlink" Target="https://twitter.com/AutosRivada" TargetMode="External"/><Relationship Id="rId21173" Type="http://schemas.openxmlformats.org/officeDocument/2006/relationships/hyperlink" Target="https://pbs.twimg.com/profile_images/718820712757215233/LXXndPTS_normal.jpg" TargetMode="External"/><Relationship Id="rId4016" Type="http://schemas.openxmlformats.org/officeDocument/2006/relationships/hyperlink" Target="https://twitter.com/VWBeetleSales" TargetMode="External"/><Relationship Id="rId7586" Type="http://schemas.openxmlformats.org/officeDocument/2006/relationships/hyperlink" Target="https://twitter.com/amsalwajih/status/723315706494877696" TargetMode="External"/><Relationship Id="rId10567" Type="http://schemas.openxmlformats.org/officeDocument/2006/relationships/hyperlink" Target="https://twitter.com/Volksstimme/status/723477149823426560" TargetMode="External"/><Relationship Id="rId24396" Type="http://schemas.openxmlformats.org/officeDocument/2006/relationships/hyperlink" Target="https://pbs.twimg.com/profile_images/627949001179037696/skEBkS05_normal.jpg" TargetMode="External"/><Relationship Id="rId7239" Type="http://schemas.openxmlformats.org/officeDocument/2006/relationships/hyperlink" Target="https://twitter.com/Scirocco_Tuning/status/723288287503351809" TargetMode="External"/><Relationship Id="rId13040" Type="http://schemas.openxmlformats.org/officeDocument/2006/relationships/hyperlink" Target="https://twitter.com/interest1959/status/723534183490969601" TargetMode="External"/><Relationship Id="rId24049" Type="http://schemas.openxmlformats.org/officeDocument/2006/relationships/hyperlink" Target="https://pbs.twimg.com/profile_images/703294545195307008/qeCvrX86_normal.jpg" TargetMode="External"/><Relationship Id="rId18712" Type="http://schemas.openxmlformats.org/officeDocument/2006/relationships/hyperlink" Target="https://twitter.com/thecurtis76" TargetMode="External"/><Relationship Id="rId3849" Type="http://schemas.openxmlformats.org/officeDocument/2006/relationships/hyperlink" Target="https://twitter.com/JanoSanjuan/status/723170721170526209" TargetMode="External"/><Relationship Id="rId16263" Type="http://schemas.openxmlformats.org/officeDocument/2006/relationships/hyperlink" Target="https://twitter.com/beetlebug1938" TargetMode="External"/><Relationship Id="rId20659" Type="http://schemas.openxmlformats.org/officeDocument/2006/relationships/hyperlink" Target="https://pbs.twimg.com/profile_images/2508749289/nyw2zb8fz2mabullk7v1_normal.jpeg" TargetMode="External"/><Relationship Id="rId6322" Type="http://schemas.openxmlformats.org/officeDocument/2006/relationships/hyperlink" Target="https://pbs.twimg.com/profile_images/200987270/procissao_normal.JPG" TargetMode="External"/><Relationship Id="rId9892" Type="http://schemas.openxmlformats.org/officeDocument/2006/relationships/hyperlink" Target="https://twitter.com/JulieTestAchats/status/723453470380957696" TargetMode="External"/><Relationship Id="rId12873" Type="http://schemas.openxmlformats.org/officeDocument/2006/relationships/hyperlink" Target="https://twitter.com/SalihiShejzije" TargetMode="External"/><Relationship Id="rId19486" Type="http://schemas.openxmlformats.org/officeDocument/2006/relationships/hyperlink" Target="https://twitter.com/ebaycampervans" TargetMode="External"/><Relationship Id="rId23132" Type="http://schemas.openxmlformats.org/officeDocument/2006/relationships/hyperlink" Target="https://pbs.twimg.com/profile_images/718835727027580928/1ssyQ67y_normal.jpg" TargetMode="External"/><Relationship Id="rId2932" Type="http://schemas.openxmlformats.org/officeDocument/2006/relationships/hyperlink" Target="https://twitter.com/RWFleetServices/status/723126504457154560" TargetMode="External"/><Relationship Id="rId9545" Type="http://schemas.openxmlformats.org/officeDocument/2006/relationships/hyperlink" Target="https://twitter.com/hddoger" TargetMode="External"/><Relationship Id="rId12526" Type="http://schemas.openxmlformats.org/officeDocument/2006/relationships/hyperlink" Target="https://twitter.com/hameles" TargetMode="External"/><Relationship Id="rId19139" Type="http://schemas.openxmlformats.org/officeDocument/2006/relationships/hyperlink" Target="https://twitter.com/_sea_fox_/status/723921329091686401" TargetMode="External"/><Relationship Id="rId904" Type="http://schemas.openxmlformats.org/officeDocument/2006/relationships/hyperlink" Target="https://pbs.twimg.com/profile_images/673634327683469312/ClE0FhT1_normal.jpg" TargetMode="External"/><Relationship Id="rId7096" Type="http://schemas.openxmlformats.org/officeDocument/2006/relationships/hyperlink" Target="https://twitter.com/pleasecallmemac/status/723278226085302272" TargetMode="External"/><Relationship Id="rId10077" Type="http://schemas.openxmlformats.org/officeDocument/2006/relationships/hyperlink" Target="https://pbs.twimg.com/profile_images/556038240734441472/Y3DFwmUK_normal.jpeg" TargetMode="External"/><Relationship Id="rId15749" Type="http://schemas.openxmlformats.org/officeDocument/2006/relationships/hyperlink" Target="https://pbs.twimg.com/profile_images/721120614623404033/oQSFtb9o_normal.jpg" TargetMode="External"/><Relationship Id="rId18222" Type="http://schemas.openxmlformats.org/officeDocument/2006/relationships/hyperlink" Target="https://pbs.twimg.com/profile_images/569800899141177344/nVFLMSdb_normal.png" TargetMode="External"/><Relationship Id="rId22965" Type="http://schemas.openxmlformats.org/officeDocument/2006/relationships/hyperlink" Target="https://twitter.com/VWBeetleSales/status/724260639821041664" TargetMode="External"/><Relationship Id="rId3359" Type="http://schemas.openxmlformats.org/officeDocument/2006/relationships/hyperlink" Target="https://twitter.com/SJ_LOWTEC" TargetMode="External"/><Relationship Id="rId5808" Type="http://schemas.openxmlformats.org/officeDocument/2006/relationships/hyperlink" Target="https://twitter.com/PeacePiper" TargetMode="External"/><Relationship Id="rId20169" Type="http://schemas.openxmlformats.org/officeDocument/2006/relationships/hyperlink" Target="https://pbs.twimg.com/profile_images/530071272881803264/a_jcCmPZ_normal.png" TargetMode="External"/><Relationship Id="rId22618" Type="http://schemas.openxmlformats.org/officeDocument/2006/relationships/hyperlink" Target="https://twitter.com/DubLuvTuning/status/724234925528985600" TargetMode="External"/><Relationship Id="rId14832" Type="http://schemas.openxmlformats.org/officeDocument/2006/relationships/hyperlink" Target="https://twitter.com/LisaHayward3/status/723584570168233984" TargetMode="External"/><Relationship Id="rId9055" Type="http://schemas.openxmlformats.org/officeDocument/2006/relationships/hyperlink" Target="https://twitter.com/JulieTestAchats" TargetMode="External"/><Relationship Id="rId12383" Type="http://schemas.openxmlformats.org/officeDocument/2006/relationships/hyperlink" Target="https://pbs.twimg.com/profile_images/3109038181/915f6081a62df61f489500d2548bd918_normal.jpeg" TargetMode="External"/><Relationship Id="rId21701" Type="http://schemas.openxmlformats.org/officeDocument/2006/relationships/hyperlink" Target="https://twitter.com/CarJobsUK" TargetMode="External"/><Relationship Id="rId761" Type="http://schemas.openxmlformats.org/officeDocument/2006/relationships/hyperlink" Target="https://twitter.com/beetlebug1938" TargetMode="External"/><Relationship Id="rId2442" Type="http://schemas.openxmlformats.org/officeDocument/2006/relationships/hyperlink" Target="https://pbs.twimg.com/profile_images/718820712757215233/LXXndPTS_normal.jpg" TargetMode="External"/><Relationship Id="rId12036" Type="http://schemas.openxmlformats.org/officeDocument/2006/relationships/hyperlink" Target="https://pbs.twimg.com/profile_images/2213177780/Stollberg_bearbeitet-1_normal.jpg" TargetMode="External"/><Relationship Id="rId17708" Type="http://schemas.openxmlformats.org/officeDocument/2006/relationships/hyperlink" Target="https://pbs.twimg.com/profile_images/714561320918597634/pCq6pGGN_normal.jpg" TargetMode="External"/><Relationship Id="rId24924" Type="http://schemas.openxmlformats.org/officeDocument/2006/relationships/hyperlink" Target="https://twitter.com/autophorie" TargetMode="External"/><Relationship Id="rId414" Type="http://schemas.openxmlformats.org/officeDocument/2006/relationships/hyperlink" Target="https://twitter.com/ertlife_press/status/722956938833735680" TargetMode="External"/><Relationship Id="rId5665" Type="http://schemas.openxmlformats.org/officeDocument/2006/relationships/hyperlink" Target="https://pbs.twimg.com/profile_images/713104533984055297/bKWWx502_normal.jpg" TargetMode="External"/><Relationship Id="rId15259" Type="http://schemas.openxmlformats.org/officeDocument/2006/relationships/hyperlink" Target="https://twitter.com/walter_johnson1" TargetMode="External"/><Relationship Id="rId22475" Type="http://schemas.openxmlformats.org/officeDocument/2006/relationships/hyperlink" Target="https://pbs.twimg.com/profile_images/2275736241/0wxdwpqqkero82c7tj5z_normal.jpeg" TargetMode="External"/><Relationship Id="rId5318" Type="http://schemas.openxmlformats.org/officeDocument/2006/relationships/hyperlink" Target="https://pbs.twimg.com/profile_images/675744269617893376/euzFIoRi_normal.png" TargetMode="External"/><Relationship Id="rId8888" Type="http://schemas.openxmlformats.org/officeDocument/2006/relationships/hyperlink" Target="https://twitter.com/bvdvliet" TargetMode="External"/><Relationship Id="rId22128" Type="http://schemas.openxmlformats.org/officeDocument/2006/relationships/hyperlink" Target="https://twitter.com/techhippie/status/724201979136872448" TargetMode="External"/><Relationship Id="rId25698" Type="http://schemas.openxmlformats.org/officeDocument/2006/relationships/hyperlink" Target="https://twitter.com/VolkswagenPost" TargetMode="External"/><Relationship Id="rId11869" Type="http://schemas.openxmlformats.org/officeDocument/2006/relationships/hyperlink" Target="https://pbs.twimg.com/profile_images/626638227903021056/37i0c7lq_normal.png" TargetMode="External"/><Relationship Id="rId1928" Type="http://schemas.openxmlformats.org/officeDocument/2006/relationships/hyperlink" Target="https://twitter.com/MartaMa55978031" TargetMode="External"/><Relationship Id="rId14342" Type="http://schemas.openxmlformats.org/officeDocument/2006/relationships/hyperlink" Target="https://twitter.com/das_Ruhrgebiet" TargetMode="External"/><Relationship Id="rId271" Type="http://schemas.openxmlformats.org/officeDocument/2006/relationships/hyperlink" Target="https://twitter.com/ReevesTampa" TargetMode="External"/><Relationship Id="rId4401" Type="http://schemas.openxmlformats.org/officeDocument/2006/relationships/hyperlink" Target="https://pbs.twimg.com/profile_images/706784695795769345/XGXgdjww_normal.jpg" TargetMode="External"/><Relationship Id="rId7971" Type="http://schemas.openxmlformats.org/officeDocument/2006/relationships/hyperlink" Target="https://pbs.twimg.com/profile_images/695773573919543296/Q1mS960c_normal.jpg" TargetMode="External"/><Relationship Id="rId10952" Type="http://schemas.openxmlformats.org/officeDocument/2006/relationships/hyperlink" Target="https://pbs.twimg.com/profile_images/545515043761037312/gp4mWkRD_normal.jpeg" TargetMode="External"/><Relationship Id="rId17565" Type="http://schemas.openxmlformats.org/officeDocument/2006/relationships/hyperlink" Target="https://twitter.com/neythomas" TargetMode="External"/><Relationship Id="rId21211" Type="http://schemas.openxmlformats.org/officeDocument/2006/relationships/hyperlink" Target="https://twitter.com/VWHeritage" TargetMode="External"/><Relationship Id="rId24781" Type="http://schemas.openxmlformats.org/officeDocument/2006/relationships/hyperlink" Target="https://twitter.com/oldcar_photo/status/724387250700726272" TargetMode="External"/><Relationship Id="rId7624" Type="http://schemas.openxmlformats.org/officeDocument/2006/relationships/hyperlink" Target="https://pbs.twimg.com/profile_images/568605234327744512/Knwshzgf_normal.jpeg" TargetMode="External"/><Relationship Id="rId10605" Type="http://schemas.openxmlformats.org/officeDocument/2006/relationships/hyperlink" Target="https://twitter.com/hermibaby" TargetMode="External"/><Relationship Id="rId17218" Type="http://schemas.openxmlformats.org/officeDocument/2006/relationships/hyperlink" Target="https://pbs.twimg.com/profile_images/684427037780611074/sMtHXqkw_normal.jpg" TargetMode="External"/><Relationship Id="rId24434" Type="http://schemas.openxmlformats.org/officeDocument/2006/relationships/hyperlink" Target="https://pbs.twimg.com/profile_images/672878354127839232/M7OYc-zx_normal.jpg" TargetMode="External"/><Relationship Id="rId5175" Type="http://schemas.openxmlformats.org/officeDocument/2006/relationships/hyperlink" Target="https://twitter.com/RA_Block" TargetMode="External"/><Relationship Id="rId1785" Type="http://schemas.openxmlformats.org/officeDocument/2006/relationships/hyperlink" Target="https://twitter.com/Aufziehvogel_LE" TargetMode="External"/><Relationship Id="rId8398" Type="http://schemas.openxmlformats.org/officeDocument/2006/relationships/hyperlink" Target="https://twitter.com/doern" TargetMode="External"/><Relationship Id="rId11379" Type="http://schemas.openxmlformats.org/officeDocument/2006/relationships/hyperlink" Target="https://pbs.twimg.com/profile_images/581015958581542912/BJRJFgaZ_normal.jpg" TargetMode="External"/><Relationship Id="rId13828" Type="http://schemas.openxmlformats.org/officeDocument/2006/relationships/hyperlink" Target="https://twitter.com/lucaas_pzk/status/723557030989049858" TargetMode="External"/><Relationship Id="rId16301" Type="http://schemas.openxmlformats.org/officeDocument/2006/relationships/hyperlink" Target="https://twitter.com/EnlaceMexicoMX/status/723665582936059904" TargetMode="External"/><Relationship Id="rId1438" Type="http://schemas.openxmlformats.org/officeDocument/2006/relationships/hyperlink" Target="https://pbs.twimg.com/profile_images/718820712757215233/LXXndPTS_normal.jpg" TargetMode="External"/><Relationship Id="rId19871" Type="http://schemas.openxmlformats.org/officeDocument/2006/relationships/hyperlink" Target="https://twitter.com/Cris_Lagos/status/723962243948392448" TargetMode="External"/><Relationship Id="rId7481" Type="http://schemas.openxmlformats.org/officeDocument/2006/relationships/hyperlink" Target="https://twitter.com/adDieCoVa" TargetMode="External"/><Relationship Id="rId9930" Type="http://schemas.openxmlformats.org/officeDocument/2006/relationships/hyperlink" Target="https://twitter.com/VWBeetleSales" TargetMode="External"/><Relationship Id="rId12911" Type="http://schemas.openxmlformats.org/officeDocument/2006/relationships/hyperlink" Target="https://pbs.twimg.com/profile_images/1834065816/2013Fblackline_normal.jpg" TargetMode="External"/><Relationship Id="rId17075" Type="http://schemas.openxmlformats.org/officeDocument/2006/relationships/hyperlink" Target="https://twitter.com/1stInSEO/status/723768780103393280" TargetMode="External"/><Relationship Id="rId19524" Type="http://schemas.openxmlformats.org/officeDocument/2006/relationships/hyperlink" Target="https://pbs.twimg.com/profile_images/378800000572104796/1de43e1cf23efb3f4101c02afad0d3b6_normal.png" TargetMode="External"/><Relationship Id="rId7134" Type="http://schemas.openxmlformats.org/officeDocument/2006/relationships/hyperlink" Target="https://twitter.com/NCMae" TargetMode="External"/><Relationship Id="rId10462" Type="http://schemas.openxmlformats.org/officeDocument/2006/relationships/hyperlink" Target="https://twitter.com/CasasMoguel" TargetMode="External"/><Relationship Id="rId24291" Type="http://schemas.openxmlformats.org/officeDocument/2006/relationships/hyperlink" Target="https://pbs.twimg.com/profile_images/545688359964651520/SF3sJ7lv_normal.jpeg" TargetMode="External"/><Relationship Id="rId10115" Type="http://schemas.openxmlformats.org/officeDocument/2006/relationships/hyperlink" Target="https://pbs.twimg.com/profile_images/667151479518666752/TdpI6AEf_normal.jpg" TargetMode="External"/><Relationship Id="rId13685" Type="http://schemas.openxmlformats.org/officeDocument/2006/relationships/hyperlink" Target="https://pbs.twimg.com/profile_images/627949001179037696/skEBkS05_normal.jpg" TargetMode="External"/><Relationship Id="rId3744" Type="http://schemas.openxmlformats.org/officeDocument/2006/relationships/hyperlink" Target="https://twitter.com/boerseonline/status/723168615290150912" TargetMode="External"/><Relationship Id="rId13338" Type="http://schemas.openxmlformats.org/officeDocument/2006/relationships/hyperlink" Target="https://twitter.com/doin384/status/723543819866791940" TargetMode="External"/><Relationship Id="rId20554" Type="http://schemas.openxmlformats.org/officeDocument/2006/relationships/hyperlink" Target="https://pbs.twimg.com/profile_images/546009283486154752/aoEXLSKj_normal.jpeg" TargetMode="External"/><Relationship Id="rId1295" Type="http://schemas.openxmlformats.org/officeDocument/2006/relationships/hyperlink" Target="https://twitter.com/boerseARD/status/723032920030478336" TargetMode="External"/><Relationship Id="rId6967" Type="http://schemas.openxmlformats.org/officeDocument/2006/relationships/hyperlink" Target="https://pbs.twimg.com/profile_images/83066316/1249401_normal.jpeg" TargetMode="External"/><Relationship Id="rId19381" Type="http://schemas.openxmlformats.org/officeDocument/2006/relationships/hyperlink" Target="https://twitter.com/ZuritaJ2s/status/723929159798427648" TargetMode="External"/><Relationship Id="rId20207" Type="http://schemas.openxmlformats.org/officeDocument/2006/relationships/hyperlink" Target="https://twitter.com/vagmenhq/status/723981699172995072" TargetMode="External"/><Relationship Id="rId23777" Type="http://schemas.openxmlformats.org/officeDocument/2006/relationships/hyperlink" Target="https://twitter.com/VeeDubMk1_" TargetMode="External"/><Relationship Id="rId9440" Type="http://schemas.openxmlformats.org/officeDocument/2006/relationships/hyperlink" Target="https://pbs.twimg.com/profile_images/703294545195307008/qeCvrX86_normal.jpg" TargetMode="External"/><Relationship Id="rId19034" Type="http://schemas.openxmlformats.org/officeDocument/2006/relationships/hyperlink" Target="https://twitter.com/aucklandcastle/status/723914845121331200" TargetMode="External"/><Relationship Id="rId12421" Type="http://schemas.openxmlformats.org/officeDocument/2006/relationships/hyperlink" Target="https://twitter.com/New_Media_TN" TargetMode="External"/><Relationship Id="rId15991" Type="http://schemas.openxmlformats.org/officeDocument/2006/relationships/hyperlink" Target="https://pbs.twimg.com/profile_images/689662359007318018/TUFAFXvA_normal.jpg" TargetMode="External"/><Relationship Id="rId15644" Type="http://schemas.openxmlformats.org/officeDocument/2006/relationships/hyperlink" Target="https://twitter.com/autos_kris/status/723618309166501888" TargetMode="External"/><Relationship Id="rId22860" Type="http://schemas.openxmlformats.org/officeDocument/2006/relationships/hyperlink" Target="https://twitter.com/VolkswagenPost/status/724252612330029056" TargetMode="External"/><Relationship Id="rId5703" Type="http://schemas.openxmlformats.org/officeDocument/2006/relationships/hyperlink" Target="https://twitter.com/WrexhamVW/status/723213970115436544" TargetMode="External"/><Relationship Id="rId13195" Type="http://schemas.openxmlformats.org/officeDocument/2006/relationships/hyperlink" Target="https://twitter.com/matthiaspetrat/status/723538431809327105" TargetMode="External"/><Relationship Id="rId18867" Type="http://schemas.openxmlformats.org/officeDocument/2006/relationships/hyperlink" Target="https://pbs.twimg.com/profile_images/723565619958943744/jqjaD8Kn_normal.jpg" TargetMode="External"/><Relationship Id="rId22513" Type="http://schemas.openxmlformats.org/officeDocument/2006/relationships/hyperlink" Target="https://pbs.twimg.com/profile_images/695665402865704961/9AltnGUD_normal.jpg" TargetMode="External"/><Relationship Id="rId3254" Type="http://schemas.openxmlformats.org/officeDocument/2006/relationships/hyperlink" Target="https://twitter.com/Fabrii_Prado" TargetMode="External"/><Relationship Id="rId8926" Type="http://schemas.openxmlformats.org/officeDocument/2006/relationships/hyperlink" Target="https://pbs.twimg.com/profile_images/2592181176/udsjv0fy0o3b2krnx52h_normal.jpeg" TargetMode="External"/><Relationship Id="rId20064" Type="http://schemas.openxmlformats.org/officeDocument/2006/relationships/hyperlink" Target="https://pbs.twimg.com/profile_images/719291014582644736/xkObdI1y_normal.jpg" TargetMode="External"/><Relationship Id="rId25736" Type="http://schemas.openxmlformats.org/officeDocument/2006/relationships/hyperlink" Target="https://pbs.twimg.com/profile_images/682117656502222848/Ge7YeAF3_normal.png" TargetMode="External"/><Relationship Id="rId6477" Type="http://schemas.openxmlformats.org/officeDocument/2006/relationships/hyperlink" Target="https://twitter.com/breakingb_rad/status/723244314910818306" TargetMode="External"/><Relationship Id="rId11907" Type="http://schemas.openxmlformats.org/officeDocument/2006/relationships/hyperlink" Target="https://twitter.com/NewsStream24/status/723509773749129217" TargetMode="External"/><Relationship Id="rId23287" Type="http://schemas.openxmlformats.org/officeDocument/2006/relationships/hyperlink" Target="https://twitter.com/BulliundClyde" TargetMode="External"/><Relationship Id="rId17950" Type="http://schemas.openxmlformats.org/officeDocument/2006/relationships/hyperlink" Target="https://twitter.com/VWCamperSales/status/723836359027216384" TargetMode="External"/><Relationship Id="rId5560" Type="http://schemas.openxmlformats.org/officeDocument/2006/relationships/hyperlink" Target="https://twitter.com/Lid1108" TargetMode="External"/><Relationship Id="rId15154" Type="http://schemas.openxmlformats.org/officeDocument/2006/relationships/hyperlink" Target="http://dlvr.it/" TargetMode="External"/><Relationship Id="rId17603" Type="http://schemas.openxmlformats.org/officeDocument/2006/relationships/hyperlink" Target="https://twitter.com/bzberlin/status/723809417028841472" TargetMode="External"/><Relationship Id="rId5213" Type="http://schemas.openxmlformats.org/officeDocument/2006/relationships/hyperlink" Target="https://twitter.com/CarsUK/status/723197556847742976" TargetMode="External"/><Relationship Id="rId22023" Type="http://schemas.openxmlformats.org/officeDocument/2006/relationships/hyperlink" Target="https://twitter.com/Edrem278" TargetMode="External"/><Relationship Id="rId22370" Type="http://schemas.openxmlformats.org/officeDocument/2006/relationships/hyperlink" Target="https://pbs.twimg.com/profile_images/712320572143697922/020UzVD1_normal.jpg" TargetMode="External"/><Relationship Id="rId8783" Type="http://schemas.openxmlformats.org/officeDocument/2006/relationships/hyperlink" Target="https://twitter.com/AlexWitzleben" TargetMode="External"/><Relationship Id="rId11764" Type="http://schemas.openxmlformats.org/officeDocument/2006/relationships/hyperlink" Target="https://pbs.twimg.com/profile_images/2136613539/JV-headshot_normal.jpg" TargetMode="External"/><Relationship Id="rId18377" Type="http://schemas.openxmlformats.org/officeDocument/2006/relationships/hyperlink" Target="https://twitter.com/GapSecurity2015" TargetMode="External"/><Relationship Id="rId25593" Type="http://schemas.openxmlformats.org/officeDocument/2006/relationships/hyperlink" Target="https://twitter.com/George_Rey4/status/724450325147459585" TargetMode="External"/><Relationship Id="rId1823" Type="http://schemas.openxmlformats.org/officeDocument/2006/relationships/hyperlink" Target="https://twitter.com/ksujan16/status/723061043300192257" TargetMode="External"/><Relationship Id="rId8436" Type="http://schemas.openxmlformats.org/officeDocument/2006/relationships/hyperlink" Target="https://pbs.twimg.com/profile_images/621959268766470144/_NDaByff_normal.jpg" TargetMode="External"/><Relationship Id="rId11417" Type="http://schemas.openxmlformats.org/officeDocument/2006/relationships/hyperlink" Target="https://twitter.com/PeteArmstrong/status/723501963665502210" TargetMode="External"/><Relationship Id="rId14987" Type="http://schemas.openxmlformats.org/officeDocument/2006/relationships/hyperlink" Target="https://pbs.twimg.com/profile_images/3077820952/a1d4fe04dd9458bc186ab16a86ba62c0_normal.jpeg" TargetMode="External"/><Relationship Id="rId25246" Type="http://schemas.openxmlformats.org/officeDocument/2006/relationships/hyperlink" Target="https://twitter.com/vwpress_en" TargetMode="External"/><Relationship Id="rId17460" Type="http://schemas.openxmlformats.org/officeDocument/2006/relationships/hyperlink" Target="https://pbs.twimg.com/profile_images/678666181683867652/BQqbEXCY_normal.jpg" TargetMode="External"/><Relationship Id="rId21856" Type="http://schemas.openxmlformats.org/officeDocument/2006/relationships/hyperlink" Target="https://pbs.twimg.com/profile_images/704037984438509568/-ACKJqjM_normal.jpg" TargetMode="External"/><Relationship Id="rId2597" Type="http://schemas.openxmlformats.org/officeDocument/2006/relationships/hyperlink" Target="https://twitter.com/SheBuysCars" TargetMode="External"/><Relationship Id="rId17113" Type="http://schemas.openxmlformats.org/officeDocument/2006/relationships/hyperlink" Target="https://pbs.twimg.com/profile_images/665939288538918913/4UGtyA65_normal.jpg" TargetMode="External"/><Relationship Id="rId21509" Type="http://schemas.openxmlformats.org/officeDocument/2006/relationships/hyperlink" Target="https://twitter.com/vijeyamernath/status/724154154776702976" TargetMode="External"/><Relationship Id="rId569" Type="http://schemas.openxmlformats.org/officeDocument/2006/relationships/hyperlink" Target="https://pbs.twimg.com/profile_images/676465930424082432/zT-RyXf4_normal.jpg" TargetMode="External"/><Relationship Id="rId5070" Type="http://schemas.openxmlformats.org/officeDocument/2006/relationships/hyperlink" Target="https://twitter.com/HansTheGerman" TargetMode="External"/><Relationship Id="rId10500" Type="http://schemas.openxmlformats.org/officeDocument/2006/relationships/hyperlink" Target="https://twitter.com/MrMozartOficial" TargetMode="External"/><Relationship Id="rId8293" Type="http://schemas.openxmlformats.org/officeDocument/2006/relationships/hyperlink" Target="https://twitter.com/AndreasAndy3131/status/723381457406709760" TargetMode="External"/><Relationship Id="rId13723" Type="http://schemas.openxmlformats.org/officeDocument/2006/relationships/hyperlink" Target="https://twitter.com/lautaro_olive" TargetMode="External"/><Relationship Id="rId1680" Type="http://schemas.openxmlformats.org/officeDocument/2006/relationships/hyperlink" Target="https://twitter.com/eshellshear/status/723052802327502848" TargetMode="External"/><Relationship Id="rId11274" Type="http://schemas.openxmlformats.org/officeDocument/2006/relationships/hyperlink" Target="https://twitter.com/aktionaer/status/723500169212362752" TargetMode="External"/><Relationship Id="rId16946" Type="http://schemas.openxmlformats.org/officeDocument/2006/relationships/hyperlink" Target="https://twitter.com/Scirocco_Tuning/status/723755108283109376" TargetMode="External"/><Relationship Id="rId1333" Type="http://schemas.openxmlformats.org/officeDocument/2006/relationships/hyperlink" Target="https://twitter.com/VWCamperSales/status/723035833620533248" TargetMode="External"/><Relationship Id="rId14497" Type="http://schemas.openxmlformats.org/officeDocument/2006/relationships/hyperlink" Target="https://twitter.com/DDROffiziell/status/723574939274600449" TargetMode="External"/><Relationship Id="rId23815" Type="http://schemas.openxmlformats.org/officeDocument/2006/relationships/hyperlink" Target="https://twitter.com/VWBeetleSales" TargetMode="External"/><Relationship Id="rId4556" Type="http://schemas.openxmlformats.org/officeDocument/2006/relationships/hyperlink" Target="https://pbs.twimg.com/profile_images/713589878378864640/-CkEq-7W_normal.jpg" TargetMode="External"/><Relationship Id="rId21366" Type="http://schemas.openxmlformats.org/officeDocument/2006/relationships/hyperlink" Target="https://twitter.com/Felix_Nyaga/status/724143537416232960" TargetMode="External"/><Relationship Id="rId4209" Type="http://schemas.openxmlformats.org/officeDocument/2006/relationships/hyperlink" Target="https://pbs.twimg.com/profile_images/713217056687022080/K-LbhXQJ_normal.jpg" TargetMode="External"/><Relationship Id="rId7779" Type="http://schemas.openxmlformats.org/officeDocument/2006/relationships/hyperlink" Target="https://twitter.com/RodriPadilla3" TargetMode="External"/><Relationship Id="rId10010" Type="http://schemas.openxmlformats.org/officeDocument/2006/relationships/hyperlink" Target="https://twitter.com/zdmak/status/723457987369668608" TargetMode="External"/><Relationship Id="rId21019" Type="http://schemas.openxmlformats.org/officeDocument/2006/relationships/hyperlink" Target="https://twitter.com/SuranClub" TargetMode="External"/><Relationship Id="rId24589" Type="http://schemas.openxmlformats.org/officeDocument/2006/relationships/hyperlink" Target="https://twitter.com/Immortaliized/status/724374214031994880" TargetMode="External"/><Relationship Id="rId13580" Type="http://schemas.openxmlformats.org/officeDocument/2006/relationships/hyperlink" Target="https://pbs.twimg.com/profile_images/473415820228304896/eTUQb8dm_normal.jpeg" TargetMode="External"/><Relationship Id="rId1190" Type="http://schemas.openxmlformats.org/officeDocument/2006/relationships/hyperlink" Target="https://twitter.com/collam1020" TargetMode="External"/><Relationship Id="rId13233" Type="http://schemas.openxmlformats.org/officeDocument/2006/relationships/hyperlink" Target="https://twitter.com/nordlohner" TargetMode="External"/><Relationship Id="rId18905" Type="http://schemas.openxmlformats.org/officeDocument/2006/relationships/hyperlink" Target="https://twitter.com/Syrupshits" TargetMode="External"/><Relationship Id="rId20102" Type="http://schemas.openxmlformats.org/officeDocument/2006/relationships/hyperlink" Target="https://pbs.twimg.com/profile_images/624226571474202624/LucRDb7k_normal.jpg" TargetMode="External"/><Relationship Id="rId6862" Type="http://schemas.openxmlformats.org/officeDocument/2006/relationships/hyperlink" Target="https://twitter.com/beetlebug1938/status/723264951188631559" TargetMode="External"/><Relationship Id="rId16456" Type="http://schemas.openxmlformats.org/officeDocument/2006/relationships/hyperlink" Target="https://pbs.twimg.com/profile_images/378800000827120112/bb88ca260a477e3c94636e87492f47bc_normal.jpeg" TargetMode="External"/><Relationship Id="rId23672" Type="http://schemas.openxmlformats.org/officeDocument/2006/relationships/hyperlink" Target="https://twitter.com/_thomicastillo/status/724305669499830275" TargetMode="External"/><Relationship Id="rId4066" Type="http://schemas.openxmlformats.org/officeDocument/2006/relationships/hyperlink" Target="https://twitter.com/michael1206791" TargetMode="External"/><Relationship Id="rId6515" Type="http://schemas.openxmlformats.org/officeDocument/2006/relationships/hyperlink" Target="https://pbs.twimg.com/profile_images/461597065873592320/DClwgNc5_normal.jpeg" TargetMode="External"/><Relationship Id="rId16109" Type="http://schemas.openxmlformats.org/officeDocument/2006/relationships/hyperlink" Target="https://pbs.twimg.com/profile_images/718820712757215233/LXXndPTS_normal.jpg" TargetMode="External"/><Relationship Id="rId19679" Type="http://schemas.openxmlformats.org/officeDocument/2006/relationships/hyperlink" Target="https://twitter.com/jallen1299/status/723947094554238976" TargetMode="External"/><Relationship Id="rId23325" Type="http://schemas.openxmlformats.org/officeDocument/2006/relationships/hyperlink" Target="https://pbs.twimg.com/profile_images/378800000801365829/e9f28f8996ff7f098d9b8a1840e76f50_normal.png" TargetMode="External"/><Relationship Id="rId9738" Type="http://schemas.openxmlformats.org/officeDocument/2006/relationships/hyperlink" Target="https://twitter.com/CityIndex" TargetMode="External"/><Relationship Id="rId12719" Type="http://schemas.openxmlformats.org/officeDocument/2006/relationships/hyperlink" Target="https://pbs.twimg.com/profile_images/723338056477081600/7wDgXb-F_normal.jpg" TargetMode="External"/><Relationship Id="rId7289" Type="http://schemas.openxmlformats.org/officeDocument/2006/relationships/hyperlink" Target="https://pbs.twimg.com/profile_images/378800000331644899/f007a72bd5fe7c6b8f3f354d7015cc14_normal.png" TargetMode="External"/><Relationship Id="rId13090" Type="http://schemas.openxmlformats.org/officeDocument/2006/relationships/hyperlink" Target="https://pbs.twimg.com/profile_images/704564877705158656/0-DY_ktt_normal.jpg" TargetMode="External"/><Relationship Id="rId24099" Type="http://schemas.openxmlformats.org/officeDocument/2006/relationships/hyperlink" Target="https://twitter.com/jennyalban63" TargetMode="External"/><Relationship Id="rId3899" Type="http://schemas.openxmlformats.org/officeDocument/2006/relationships/hyperlink" Target="https://pbs.twimg.com/profile_images/689488184812535809/4owRuclt_normal.png" TargetMode="External"/><Relationship Id="rId18762" Type="http://schemas.openxmlformats.org/officeDocument/2006/relationships/hyperlink" Target="https://pbs.twimg.com/profile_images/459344691729661953/ivwQqiW6_normal.jpeg" TargetMode="External"/><Relationship Id="rId6372" Type="http://schemas.openxmlformats.org/officeDocument/2006/relationships/hyperlink" Target="https://pbs.twimg.com/profile_images/567885073085497345/rjPuxr0h_normal.jpeg" TargetMode="External"/><Relationship Id="rId8821" Type="http://schemas.openxmlformats.org/officeDocument/2006/relationships/hyperlink" Target="https://pbs.twimg.com/profile_images/621570608112009216/jKsR35-x_normal.png" TargetMode="External"/><Relationship Id="rId11802" Type="http://schemas.openxmlformats.org/officeDocument/2006/relationships/hyperlink" Target="https://twitter.com/dean_gonsowski" TargetMode="External"/><Relationship Id="rId18415" Type="http://schemas.openxmlformats.org/officeDocument/2006/relationships/hyperlink" Target="https://twitter.com/josiah_jurado/status/723867787957932032" TargetMode="External"/><Relationship Id="rId23182" Type="http://schemas.openxmlformats.org/officeDocument/2006/relationships/hyperlink" Target="https://twitter.com/bruno90alvarez" TargetMode="External"/><Relationship Id="rId25631" Type="http://schemas.openxmlformats.org/officeDocument/2006/relationships/hyperlink" Target="https://pbs.twimg.com/profile_images/640893185158352896/TMGmsF0r_normal.png" TargetMode="External"/><Relationship Id="rId6025" Type="http://schemas.openxmlformats.org/officeDocument/2006/relationships/hyperlink" Target="https://twitter.com/VolkswagenPost/status/723227834534223873" TargetMode="External"/><Relationship Id="rId2982" Type="http://schemas.openxmlformats.org/officeDocument/2006/relationships/hyperlink" Target="https://twitter.com/ebaycampervans" TargetMode="External"/><Relationship Id="rId9595" Type="http://schemas.openxmlformats.org/officeDocument/2006/relationships/hyperlink" Target="https://twitter.com/Insta_VWT/status/723442123882663936" TargetMode="External"/><Relationship Id="rId12576" Type="http://schemas.openxmlformats.org/officeDocument/2006/relationships/hyperlink" Target="https://twitter.com/Scirocco_Tuning" TargetMode="External"/><Relationship Id="rId19189" Type="http://schemas.openxmlformats.org/officeDocument/2006/relationships/hyperlink" Target="https://twitter.com/NeisonOE_" TargetMode="External"/><Relationship Id="rId954" Type="http://schemas.openxmlformats.org/officeDocument/2006/relationships/hyperlink" Target="https://twitter.com/VWsightings/status/723006516287156224" TargetMode="External"/><Relationship Id="rId2635" Type="http://schemas.openxmlformats.org/officeDocument/2006/relationships/hyperlink" Target="https://twitter.com/SPIEGELONLINE/status/723111051999354882" TargetMode="External"/><Relationship Id="rId9248" Type="http://schemas.openxmlformats.org/officeDocument/2006/relationships/hyperlink" Target="https://pbs.twimg.com/profile_images/709359494128599041/-2u0_Nqv_normal.jpg" TargetMode="External"/><Relationship Id="rId12229" Type="http://schemas.openxmlformats.org/officeDocument/2006/relationships/hyperlink" Target="https://twitter.com/yogafitter" TargetMode="External"/><Relationship Id="rId15799" Type="http://schemas.openxmlformats.org/officeDocument/2006/relationships/hyperlink" Target="https://pbs.twimg.com/profile_images/437173690732515328/lOLCG4Wb_normal.jpeg" TargetMode="External"/><Relationship Id="rId607" Type="http://schemas.openxmlformats.org/officeDocument/2006/relationships/hyperlink" Target="https://twitter.com/jullaanfarias/status/722967273808498688" TargetMode="External"/><Relationship Id="rId5858" Type="http://schemas.openxmlformats.org/officeDocument/2006/relationships/hyperlink" Target="https://twitter.com/VWPartsVortex" TargetMode="External"/><Relationship Id="rId18272" Type="http://schemas.openxmlformats.org/officeDocument/2006/relationships/hyperlink" Target="https://twitter.com/nicetvgermany/status/723859080020918272" TargetMode="External"/><Relationship Id="rId22668" Type="http://schemas.openxmlformats.org/officeDocument/2006/relationships/hyperlink" Target="https://pbs.twimg.com/profile_images/718820712757215233/LXXndPTS_normal.jpg" TargetMode="External"/><Relationship Id="rId8331" Type="http://schemas.openxmlformats.org/officeDocument/2006/relationships/hyperlink" Target="https://pbs.twimg.com/profile_images/690957065490161664/Nat2upS4_normal.jpg" TargetMode="External"/><Relationship Id="rId25141" Type="http://schemas.openxmlformats.org/officeDocument/2006/relationships/hyperlink" Target="https://twitter.com/elipruelas" TargetMode="External"/><Relationship Id="rId11312" Type="http://schemas.openxmlformats.org/officeDocument/2006/relationships/hyperlink" Target="https://pbs.twimg.com/profile_images/720722950316507140/klRcd2X9_normal.jpg" TargetMode="External"/><Relationship Id="rId14882" Type="http://schemas.openxmlformats.org/officeDocument/2006/relationships/hyperlink" Target="https://twitter.com/Aguuuero" TargetMode="External"/><Relationship Id="rId2492" Type="http://schemas.openxmlformats.org/officeDocument/2006/relationships/hyperlink" Target="http://ctrlq.org/maps/address/" TargetMode="External"/><Relationship Id="rId4941" Type="http://schemas.openxmlformats.org/officeDocument/2006/relationships/hyperlink" Target="https://twitter.com/VWofStockton/status/723190817322577920" TargetMode="External"/><Relationship Id="rId14535" Type="http://schemas.openxmlformats.org/officeDocument/2006/relationships/hyperlink" Target="https://pbs.twimg.com/profile_images/627949001179037696/skEBkS05_normal.jpg" TargetMode="External"/><Relationship Id="rId21751" Type="http://schemas.openxmlformats.org/officeDocument/2006/relationships/hyperlink" Target="https://twitter.com/FormulaAutosCT" TargetMode="External"/><Relationship Id="rId464" Type="http://schemas.openxmlformats.org/officeDocument/2006/relationships/hyperlink" Target="https://twitter.com/OnlineCarReview" TargetMode="External"/><Relationship Id="rId2145" Type="http://schemas.openxmlformats.org/officeDocument/2006/relationships/hyperlink" Target="https://pbs.twimg.com/profile_images/652871584131092480/QA_B6SBO_normal.jpg" TargetMode="External"/><Relationship Id="rId12086" Type="http://schemas.openxmlformats.org/officeDocument/2006/relationships/hyperlink" Target="https://twitter.com/DasIgno/status/723512736932630529" TargetMode="External"/><Relationship Id="rId17758" Type="http://schemas.openxmlformats.org/officeDocument/2006/relationships/hyperlink" Target="https://twitter.com/VeeDubMk1_" TargetMode="External"/><Relationship Id="rId21404" Type="http://schemas.openxmlformats.org/officeDocument/2006/relationships/hyperlink" Target="https://twitter.com/AutobahnSales" TargetMode="External"/><Relationship Id="rId24974" Type="http://schemas.openxmlformats.org/officeDocument/2006/relationships/hyperlink" Target="https://twitter.com/VAGFanArg/status/724407532584861696" TargetMode="External"/><Relationship Id="rId117" Type="http://schemas.openxmlformats.org/officeDocument/2006/relationships/hyperlink" Target="https://twitter.com/CARNAGE740807" TargetMode="External"/><Relationship Id="rId7817" Type="http://schemas.openxmlformats.org/officeDocument/2006/relationships/hyperlink" Target="https://pbs.twimg.com/profile_images/1708625808/Motor_City_Volt_normal.jpg" TargetMode="External"/><Relationship Id="rId24627" Type="http://schemas.openxmlformats.org/officeDocument/2006/relationships/hyperlink" Target="https://pbs.twimg.com/profile_images/599357023407464449/BL9Bpo6T_normal.jpg" TargetMode="External"/><Relationship Id="rId5368" Type="http://schemas.openxmlformats.org/officeDocument/2006/relationships/hyperlink" Target="https://twitter.com/beetlebug1938" TargetMode="External"/><Relationship Id="rId22178" Type="http://schemas.openxmlformats.org/officeDocument/2006/relationships/hyperlink" Target="https://twitter.com/mertbekci" TargetMode="External"/><Relationship Id="rId1978" Type="http://schemas.openxmlformats.org/officeDocument/2006/relationships/hyperlink" Target="https://twitter.com/SalihiShejzije/status/723072424376471552" TargetMode="External"/><Relationship Id="rId14392" Type="http://schemas.openxmlformats.org/officeDocument/2006/relationships/hyperlink" Target="https://twitter.com/beetlebug1938/status/723573164807192576" TargetMode="External"/><Relationship Id="rId16841" Type="http://schemas.openxmlformats.org/officeDocument/2006/relationships/hyperlink" Target="https://pbs.twimg.com/profile_images/604605659410235392/k92X94I5_normal.jpg" TargetMode="External"/><Relationship Id="rId4451" Type="http://schemas.openxmlformats.org/officeDocument/2006/relationships/hyperlink" Target="https://pbs.twimg.com/profile_images/652871584131092480/QA_B6SBO_normal.jpg" TargetMode="External"/><Relationship Id="rId6900" Type="http://schemas.openxmlformats.org/officeDocument/2006/relationships/hyperlink" Target="https://twitter.com/acvwpassion" TargetMode="External"/><Relationship Id="rId14045" Type="http://schemas.openxmlformats.org/officeDocument/2006/relationships/hyperlink" Target="http://ctrlq.org/maps/address/" TargetMode="External"/><Relationship Id="rId21261" Type="http://schemas.openxmlformats.org/officeDocument/2006/relationships/hyperlink" Target="https://twitter.com/PParzival/status/724133161903493120" TargetMode="External"/><Relationship Id="rId23710" Type="http://schemas.openxmlformats.org/officeDocument/2006/relationships/hyperlink" Target="https://pbs.twimg.com/profile_images/718835727027580928/1ssyQ67y_normal.jpg" TargetMode="External"/><Relationship Id="rId4104" Type="http://schemas.openxmlformats.org/officeDocument/2006/relationships/hyperlink" Target="https://pbs.twimg.com/profile_images/578542636140781568/2T_ukEU0_normal.jpeg" TargetMode="External"/><Relationship Id="rId19717" Type="http://schemas.openxmlformats.org/officeDocument/2006/relationships/hyperlink" Target="https://pbs.twimg.com/profile_images/465845159607824386/C2TZw1k6_normal.jpeg" TargetMode="External"/><Relationship Id="rId7674" Type="http://schemas.openxmlformats.org/officeDocument/2006/relationships/hyperlink" Target="https://pbs.twimg.com/profile_images/667101948429123584/pzpPHONX_normal.jpg" TargetMode="External"/><Relationship Id="rId10655" Type="http://schemas.openxmlformats.org/officeDocument/2006/relationships/hyperlink" Target="https://twitter.com/brummopa" TargetMode="External"/><Relationship Id="rId17268" Type="http://schemas.openxmlformats.org/officeDocument/2006/relationships/hyperlink" Target="https://pbs.twimg.com/profile_images/652871584131092480/QA_B6SBO_normal.jpg" TargetMode="External"/><Relationship Id="rId24484" Type="http://schemas.openxmlformats.org/officeDocument/2006/relationships/hyperlink" Target="https://twitter.com/gzellf" TargetMode="External"/><Relationship Id="rId7327" Type="http://schemas.openxmlformats.org/officeDocument/2006/relationships/hyperlink" Target="https://twitter.com/BrunoHeitz/status/723295754249506817" TargetMode="External"/><Relationship Id="rId10308" Type="http://schemas.openxmlformats.org/officeDocument/2006/relationships/hyperlink" Target="https://twitter.com/handelsblatt/status/723469003579076608" TargetMode="External"/><Relationship Id="rId13878" Type="http://schemas.openxmlformats.org/officeDocument/2006/relationships/hyperlink" Target="https://twitter.com/doern" TargetMode="External"/><Relationship Id="rId18800" Type="http://schemas.openxmlformats.org/officeDocument/2006/relationships/hyperlink" Target="https://twitter.com/dubtoberfest" TargetMode="External"/><Relationship Id="rId24137" Type="http://schemas.openxmlformats.org/officeDocument/2006/relationships/hyperlink" Target="https://twitter.com/cotswoldcamper/status/724334291229007872" TargetMode="External"/><Relationship Id="rId3937" Type="http://schemas.openxmlformats.org/officeDocument/2006/relationships/hyperlink" Target="https://twitter.com/at_trend/status/723172529242689536" TargetMode="External"/><Relationship Id="rId16351" Type="http://schemas.openxmlformats.org/officeDocument/2006/relationships/hyperlink" Target="https://twitter.com/vwbusman72" TargetMode="External"/><Relationship Id="rId20747" Type="http://schemas.openxmlformats.org/officeDocument/2006/relationships/hyperlink" Target="https://twitter.com/emma_flores" TargetMode="External"/><Relationship Id="rId1488" Type="http://schemas.openxmlformats.org/officeDocument/2006/relationships/hyperlink" Target="https://twitter.com/Truck_Trailer" TargetMode="External"/><Relationship Id="rId6410" Type="http://schemas.openxmlformats.org/officeDocument/2006/relationships/hyperlink" Target="https://pbs.twimg.com/profile_images/636999179915632640/R31p6Pl2_normal.jpg" TargetMode="External"/><Relationship Id="rId9980" Type="http://schemas.openxmlformats.org/officeDocument/2006/relationships/hyperlink" Target="https://twitter.com/Ferrari_Jadore/status/723456808627625984" TargetMode="External"/><Relationship Id="rId16004" Type="http://schemas.openxmlformats.org/officeDocument/2006/relationships/hyperlink" Target="https://twitter.com/tony_scotto" TargetMode="External"/><Relationship Id="rId19574" Type="http://schemas.openxmlformats.org/officeDocument/2006/relationships/hyperlink" Target="https://twitter.com/B83ART" TargetMode="External"/><Relationship Id="rId23220" Type="http://schemas.openxmlformats.org/officeDocument/2006/relationships/hyperlink" Target="https://twitter.com/mrlazarou1" TargetMode="External"/><Relationship Id="rId9633" Type="http://schemas.openxmlformats.org/officeDocument/2006/relationships/hyperlink" Target="https://twitter.com/Joelsampaul" TargetMode="External"/><Relationship Id="rId12961" Type="http://schemas.openxmlformats.org/officeDocument/2006/relationships/hyperlink" Target="https://twitter.com/OnlineCarReview/status/723532265897127936" TargetMode="External"/><Relationship Id="rId19227" Type="http://schemas.openxmlformats.org/officeDocument/2006/relationships/hyperlink" Target="https://twitter.com/onelllmate" TargetMode="External"/><Relationship Id="rId7184" Type="http://schemas.openxmlformats.org/officeDocument/2006/relationships/hyperlink" Target="https://twitter.com/buybackmytdi/status/723283147333332993" TargetMode="External"/><Relationship Id="rId12614" Type="http://schemas.openxmlformats.org/officeDocument/2006/relationships/hyperlink" Target="https://twitter.com/mjhirschland" TargetMode="External"/><Relationship Id="rId10165" Type="http://schemas.openxmlformats.org/officeDocument/2006/relationships/hyperlink" Target="https://twitter.com/xziggurat" TargetMode="External"/><Relationship Id="rId15837" Type="http://schemas.openxmlformats.org/officeDocument/2006/relationships/hyperlink" Target="https://twitter.com/NoahsitoW/status/723632475134681088" TargetMode="External"/><Relationship Id="rId3794" Type="http://schemas.openxmlformats.org/officeDocument/2006/relationships/hyperlink" Target="https://twitter.com/VolkerVotsmeier" TargetMode="External"/><Relationship Id="rId13388" Type="http://schemas.openxmlformats.org/officeDocument/2006/relationships/hyperlink" Target="https://twitter.com/iamdoo" TargetMode="External"/><Relationship Id="rId18310" Type="http://schemas.openxmlformats.org/officeDocument/2006/relationships/hyperlink" Target="https://twitter.com/Ikoniclondon" TargetMode="External"/><Relationship Id="rId22706" Type="http://schemas.openxmlformats.org/officeDocument/2006/relationships/hyperlink" Target="https://twitter.com/used4x4parts" TargetMode="External"/><Relationship Id="rId3447" Type="http://schemas.openxmlformats.org/officeDocument/2006/relationships/hyperlink" Target="https://twitter.com/SexenioMX" TargetMode="External"/><Relationship Id="rId20257" Type="http://schemas.openxmlformats.org/officeDocument/2006/relationships/hyperlink" Target="https://twitter.com/OldFox1789" TargetMode="External"/><Relationship Id="rId9490" Type="http://schemas.openxmlformats.org/officeDocument/2006/relationships/hyperlink" Target="https://twitter.com/Boersenradar" TargetMode="External"/><Relationship Id="rId12471" Type="http://schemas.openxmlformats.org/officeDocument/2006/relationships/hyperlink" Target="https://pbs.twimg.com/profile_images/523830605642235904/liOKs1KD_normal.jpeg" TargetMode="External"/><Relationship Id="rId14920" Type="http://schemas.openxmlformats.org/officeDocument/2006/relationships/hyperlink" Target="https://twitter.com/MemosL/status/723586922883493889" TargetMode="External"/><Relationship Id="rId19084" Type="http://schemas.openxmlformats.org/officeDocument/2006/relationships/hyperlink" Target="https://twitter.com/VolkerVotsmeier" TargetMode="External"/><Relationship Id="rId2530" Type="http://schemas.openxmlformats.org/officeDocument/2006/relationships/hyperlink" Target="https://pbs.twimg.com/profile_images/684297499461423104/URLCw8tn_normal.jpg" TargetMode="External"/><Relationship Id="rId9143" Type="http://schemas.openxmlformats.org/officeDocument/2006/relationships/hyperlink" Target="https://pbs.twimg.com/profile_images/614723809590018048/IWZnUTnV_normal.jpg" TargetMode="External"/><Relationship Id="rId12124" Type="http://schemas.openxmlformats.org/officeDocument/2006/relationships/hyperlink" Target="https://twitter.com/instock_de/status/723513469543264256" TargetMode="External"/><Relationship Id="rId502" Type="http://schemas.openxmlformats.org/officeDocument/2006/relationships/hyperlink" Target="https://twitter.com/greenolizer/status/722962365080342528" TargetMode="External"/><Relationship Id="rId15694" Type="http://schemas.openxmlformats.org/officeDocument/2006/relationships/hyperlink" Target="https://twitter.com/SnowAngel0724/status/723620841611612160" TargetMode="External"/><Relationship Id="rId5753" Type="http://schemas.openxmlformats.org/officeDocument/2006/relationships/hyperlink" Target="https://twitter.com/VipinGtm" TargetMode="External"/><Relationship Id="rId15347" Type="http://schemas.openxmlformats.org/officeDocument/2006/relationships/hyperlink" Target="https://pbs.twimg.com/profile_images/678618389338812416/WgR_f3nt_normal.jpg" TargetMode="External"/><Relationship Id="rId22563" Type="http://schemas.openxmlformats.org/officeDocument/2006/relationships/hyperlink" Target="https://twitter.com/Iraundi/status/724230966126981120" TargetMode="External"/><Relationship Id="rId5406" Type="http://schemas.openxmlformats.org/officeDocument/2006/relationships/hyperlink" Target="https://pbs.twimg.com/profile_images/530071272881803264/a_jcCmPZ_normal.png" TargetMode="External"/><Relationship Id="rId8976" Type="http://schemas.openxmlformats.org/officeDocument/2006/relationships/hyperlink" Target="https://twitter.com/beetlebug1938/status/723414500355903488" TargetMode="External"/><Relationship Id="rId11957" Type="http://schemas.openxmlformats.org/officeDocument/2006/relationships/hyperlink" Target="https://pbs.twimg.com/profile_images/709072734949609474/Nqxw85i4_normal.jpg" TargetMode="External"/><Relationship Id="rId22216" Type="http://schemas.openxmlformats.org/officeDocument/2006/relationships/hyperlink" Target="http://dlvr.it/" TargetMode="External"/><Relationship Id="rId8629" Type="http://schemas.openxmlformats.org/officeDocument/2006/relationships/hyperlink" Target="https://pbs.twimg.com/profile_images/378800000064765573/248fcabf29a8f3dd423048707d883cf6_normal.jpeg" TargetMode="External"/><Relationship Id="rId14430" Type="http://schemas.openxmlformats.org/officeDocument/2006/relationships/hyperlink" Target="https://twitter.com/countUP" TargetMode="External"/><Relationship Id="rId25439" Type="http://schemas.openxmlformats.org/officeDocument/2006/relationships/hyperlink" Target="https://twitter.com/AmazingChevVolt/status/724438508799156224" TargetMode="External"/><Relationship Id="rId17653" Type="http://schemas.openxmlformats.org/officeDocument/2006/relationships/hyperlink" Target="https://twitter.com/SantaPodRaceway/status/723813747882512384" TargetMode="External"/><Relationship Id="rId2040" Type="http://schemas.openxmlformats.org/officeDocument/2006/relationships/hyperlink" Target="https://pbs.twimg.com/profile_images/609256126081855488/SjaopwPY_normal.jpg" TargetMode="External"/><Relationship Id="rId7712" Type="http://schemas.openxmlformats.org/officeDocument/2006/relationships/hyperlink" Target="https://twitter.com/AbrilBecerra699" TargetMode="External"/><Relationship Id="rId17306" Type="http://schemas.openxmlformats.org/officeDocument/2006/relationships/hyperlink" Target="https://twitter.com/fceintracht1992/status/723789098499059712" TargetMode="External"/><Relationship Id="rId24522" Type="http://schemas.openxmlformats.org/officeDocument/2006/relationships/hyperlink" Target="https://twitter.com/Costamagna_C" TargetMode="External"/><Relationship Id="rId5263" Type="http://schemas.openxmlformats.org/officeDocument/2006/relationships/hyperlink" Target="https://twitter.com/AlexWitzleben/status/723199058588770305" TargetMode="External"/><Relationship Id="rId22073" Type="http://schemas.openxmlformats.org/officeDocument/2006/relationships/hyperlink" Target="https://twitter.com/VeeDubMk1_/status/724198360635330560" TargetMode="External"/><Relationship Id="rId8486" Type="http://schemas.openxmlformats.org/officeDocument/2006/relationships/hyperlink" Target="https://pbs.twimg.com/profile_images/476965678428467200/kpN-jvkF_normal.jpeg" TargetMode="External"/><Relationship Id="rId13916" Type="http://schemas.openxmlformats.org/officeDocument/2006/relationships/hyperlink" Target="https://pbs.twimg.com/profile_images/2635317758/7c2c4ad3f1a9ec07740a743a22591d59_normal.png" TargetMode="External"/><Relationship Id="rId25296" Type="http://schemas.openxmlformats.org/officeDocument/2006/relationships/hyperlink" Target="https://twitter.com/OnlineCarReview/status/724429810324262912" TargetMode="External"/><Relationship Id="rId1873" Type="http://schemas.openxmlformats.org/officeDocument/2006/relationships/hyperlink" Target="https://twitter.com/AlertRNS" TargetMode="External"/><Relationship Id="rId8139" Type="http://schemas.openxmlformats.org/officeDocument/2006/relationships/hyperlink" Target="https://pbs.twimg.com/profile_images/580396468877529088/8I-01rPN_normal.jpg" TargetMode="External"/><Relationship Id="rId11467" Type="http://schemas.openxmlformats.org/officeDocument/2006/relationships/hyperlink" Target="https://twitter.com/andrew_kane05" TargetMode="External"/><Relationship Id="rId1526" Type="http://schemas.openxmlformats.org/officeDocument/2006/relationships/hyperlink" Target="https://twitter.com/BILD_Politik" TargetMode="External"/><Relationship Id="rId19612" Type="http://schemas.openxmlformats.org/officeDocument/2006/relationships/hyperlink" Target="https://pbs.twimg.com/profile_images/2208847688/Untitled-2_normal.jpg" TargetMode="External"/><Relationship Id="rId4749" Type="http://schemas.openxmlformats.org/officeDocument/2006/relationships/hyperlink" Target="https://pbs.twimg.com/profile_images/494223149756456961/0wvIFrE4_normal.jpeg" TargetMode="External"/><Relationship Id="rId10550" Type="http://schemas.openxmlformats.org/officeDocument/2006/relationships/hyperlink" Target="https://pbs.twimg.com/profile_images/683583669202731008/gni4rKo-_normal.jpg" TargetMode="External"/><Relationship Id="rId17163" Type="http://schemas.openxmlformats.org/officeDocument/2006/relationships/hyperlink" Target="https://pbs.twimg.com/profile_images/679552623641509888/_vPw9IS2_normal.png" TargetMode="External"/><Relationship Id="rId21559" Type="http://schemas.openxmlformats.org/officeDocument/2006/relationships/hyperlink" Target="https://twitter.com/MarcusCJung" TargetMode="External"/><Relationship Id="rId7222" Type="http://schemas.openxmlformats.org/officeDocument/2006/relationships/hyperlink" Target="https://pbs.twimg.com/profile_images/703294545195307008/qeCvrX86_normal.jpg" TargetMode="External"/><Relationship Id="rId10203" Type="http://schemas.openxmlformats.org/officeDocument/2006/relationships/hyperlink" Target="https://pbs.twimg.com/profile_images/574906201290334209/eDNLUdPe_normal.png" TargetMode="External"/><Relationship Id="rId24032" Type="http://schemas.openxmlformats.org/officeDocument/2006/relationships/hyperlink" Target="https://twitter.com/leanolmed0/status/724327830935490563" TargetMode="External"/><Relationship Id="rId13773" Type="http://schemas.openxmlformats.org/officeDocument/2006/relationships/hyperlink" Target="https://pbs.twimg.com/profile_images/2880957535/f900e317c899162afd6750c7073e5058_normal.png" TargetMode="External"/><Relationship Id="rId1383" Type="http://schemas.openxmlformats.org/officeDocument/2006/relationships/hyperlink" Target="https://twitter.com/MikeDeGerman/status/723038683629113344" TargetMode="External"/><Relationship Id="rId3832" Type="http://schemas.openxmlformats.org/officeDocument/2006/relationships/hyperlink" Target="https://pbs.twimg.com/profile_images/607750884/Kaufmann_neu_normal.jpg" TargetMode="External"/><Relationship Id="rId13426" Type="http://schemas.openxmlformats.org/officeDocument/2006/relationships/hyperlink" Target="https://twitter.com/IngmarStreese/status/723546905356177409" TargetMode="External"/><Relationship Id="rId16996" Type="http://schemas.openxmlformats.org/officeDocument/2006/relationships/hyperlink" Target="https://twitter.com/Spoekenkiekerei" TargetMode="External"/><Relationship Id="rId20642" Type="http://schemas.openxmlformats.org/officeDocument/2006/relationships/hyperlink" Target="https://twitter.com/NicoLeivaOK/status/724018775499149312" TargetMode="External"/><Relationship Id="rId1036" Type="http://schemas.openxmlformats.org/officeDocument/2006/relationships/hyperlink" Target="https://twitter.com/it_itt/status/723014709616635904" TargetMode="External"/><Relationship Id="rId16649" Type="http://schemas.openxmlformats.org/officeDocument/2006/relationships/hyperlink" Target="https://twitter.com/porschepilotage" TargetMode="External"/><Relationship Id="rId23865" Type="http://schemas.openxmlformats.org/officeDocument/2006/relationships/hyperlink" Target="https://twitter.com/Tamara_DeCaluwe" TargetMode="External"/><Relationship Id="rId6708" Type="http://schemas.openxmlformats.org/officeDocument/2006/relationships/hyperlink" Target="https://twitter.com/pbeez17" TargetMode="External"/><Relationship Id="rId19122" Type="http://schemas.openxmlformats.org/officeDocument/2006/relationships/hyperlink" Target="https://twitter.com/ThatBoy_Fergle" TargetMode="External"/><Relationship Id="rId23518" Type="http://schemas.openxmlformats.org/officeDocument/2006/relationships/hyperlink" Target="https://twitter.com/VWCamperSales/status/724295641485078528" TargetMode="External"/><Relationship Id="rId4259" Type="http://schemas.openxmlformats.org/officeDocument/2006/relationships/hyperlink" Target="https://twitter.com/JayleenHeft" TargetMode="External"/><Relationship Id="rId10060" Type="http://schemas.openxmlformats.org/officeDocument/2006/relationships/hyperlink" Target="https://twitter.com/olewin" TargetMode="External"/><Relationship Id="rId21069" Type="http://schemas.openxmlformats.org/officeDocument/2006/relationships/hyperlink" Target="https://pbs.twimg.com/profile_images/561027762144542720/QH4eCkSR_normal.jpeg" TargetMode="External"/><Relationship Id="rId13283" Type="http://schemas.openxmlformats.org/officeDocument/2006/relationships/hyperlink" Target="https://twitter.com/089stadt" TargetMode="External"/><Relationship Id="rId15732" Type="http://schemas.openxmlformats.org/officeDocument/2006/relationships/hyperlink" Target="https://twitter.com/Ferrari_Jadore" TargetMode="External"/><Relationship Id="rId22601" Type="http://schemas.openxmlformats.org/officeDocument/2006/relationships/hyperlink" Target="https://pbs.twimg.com/profile_images/1512061476/44759775-9ed0-42ef-a7d9-33d35f66877d_normal.png" TargetMode="External"/><Relationship Id="rId3342" Type="http://schemas.openxmlformats.org/officeDocument/2006/relationships/hyperlink" Target="https://abs.twimg.com/sticky/default_profile_images/default_profile_5_normal.png" TargetMode="External"/><Relationship Id="rId18955" Type="http://schemas.openxmlformats.org/officeDocument/2006/relationships/hyperlink" Target="https://twitter.com/ScruffyDogSteph/status/723909417821999104" TargetMode="External"/><Relationship Id="rId20152" Type="http://schemas.openxmlformats.org/officeDocument/2006/relationships/hyperlink" Target="https://twitter.com/LoveUmbrellas/status/723977171602149377" TargetMode="External"/><Relationship Id="rId6565" Type="http://schemas.openxmlformats.org/officeDocument/2006/relationships/hyperlink" Target="https://pbs.twimg.com/profile_images/428653773167153152/vb0SmO8R_normal.png" TargetMode="External"/><Relationship Id="rId16159" Type="http://schemas.openxmlformats.org/officeDocument/2006/relationships/hyperlink" Target="https://twitter.com/Leo10Utrera/status/723652700789940224" TargetMode="External"/><Relationship Id="rId18608" Type="http://schemas.openxmlformats.org/officeDocument/2006/relationships/hyperlink" Target="https://twitter.com/VWBeetleSales/status/723883411069231104" TargetMode="External"/><Relationship Id="rId23375" Type="http://schemas.openxmlformats.org/officeDocument/2006/relationships/hyperlink" Target="https://pbs.twimg.com/profile_images/703294545195307008/qeCvrX86_normal.jpg" TargetMode="External"/><Relationship Id="rId6218" Type="http://schemas.openxmlformats.org/officeDocument/2006/relationships/hyperlink" Target="https://pbs.twimg.com/profile_images/627949001179037696/skEBkS05_normal.jpg" TargetMode="External"/><Relationship Id="rId23028" Type="http://schemas.openxmlformats.org/officeDocument/2006/relationships/hyperlink" Target="https://twitter.com/abhcarwash/status/724265598469869568" TargetMode="External"/><Relationship Id="rId9788" Type="http://schemas.openxmlformats.org/officeDocument/2006/relationships/hyperlink" Target="https://twitter.com/Scirocco_Tuning/status/723449380351565826" TargetMode="External"/><Relationship Id="rId12769" Type="http://schemas.openxmlformats.org/officeDocument/2006/relationships/hyperlink" Target="http://mycar.be/" TargetMode="External"/><Relationship Id="rId2828" Type="http://schemas.openxmlformats.org/officeDocument/2006/relationships/hyperlink" Target="https://pbs.twimg.com/profile_images/472298206483607552/UogAMiRI_normal.png" TargetMode="External"/><Relationship Id="rId15242" Type="http://schemas.openxmlformats.org/officeDocument/2006/relationships/hyperlink" Target="https://pbs.twimg.com/profile_images/713554103/logo-twitter_normal.jpg" TargetMode="External"/><Relationship Id="rId5301" Type="http://schemas.openxmlformats.org/officeDocument/2006/relationships/hyperlink" Target="https://twitter.com/mediaadgroup" TargetMode="External"/><Relationship Id="rId8871" Type="http://schemas.openxmlformats.org/officeDocument/2006/relationships/hyperlink" Target="https://twitter.com/panicswitch777/status/723409844930109440" TargetMode="External"/><Relationship Id="rId18465" Type="http://schemas.openxmlformats.org/officeDocument/2006/relationships/hyperlink" Target="https://twitter.com/Ikoniclondon/status/723870733777145856" TargetMode="External"/><Relationship Id="rId22111" Type="http://schemas.openxmlformats.org/officeDocument/2006/relationships/hyperlink" Target="https://twitter.com/VWBeetleSales" TargetMode="External"/><Relationship Id="rId25681" Type="http://schemas.openxmlformats.org/officeDocument/2006/relationships/hyperlink" Target="https://twitter.com/OnlineCarReview/status/724460622469951489" TargetMode="External"/><Relationship Id="rId8524" Type="http://schemas.openxmlformats.org/officeDocument/2006/relationships/hyperlink" Target="https://twitter.com/xjanpet" TargetMode="External"/><Relationship Id="rId11852" Type="http://schemas.openxmlformats.org/officeDocument/2006/relationships/hyperlink" Target="https://twitter.com/Lebeaucarnews" TargetMode="External"/><Relationship Id="rId18118" Type="http://schemas.openxmlformats.org/officeDocument/2006/relationships/hyperlink" Target="https://twitter.com/FuscaWorld/status/723846137736736769" TargetMode="External"/><Relationship Id="rId25334" Type="http://schemas.openxmlformats.org/officeDocument/2006/relationships/hyperlink" Target="https://twitter.com/cmsGOMEX" TargetMode="External"/><Relationship Id="rId1911" Type="http://schemas.openxmlformats.org/officeDocument/2006/relationships/hyperlink" Target="https://pbs.twimg.com/profile_images/678065921462771713/kuItu_4T_normal.jpg" TargetMode="External"/><Relationship Id="rId6075" Type="http://schemas.openxmlformats.org/officeDocument/2006/relationships/hyperlink" Target="https://pbs.twimg.com/profile_images/422164778639839234/LVnS1q1c_normal.jpeg" TargetMode="External"/><Relationship Id="rId11505" Type="http://schemas.openxmlformats.org/officeDocument/2006/relationships/hyperlink" Target="https://pbs.twimg.com/profile_images/655485812293787648/MTaRdpRj_normal.png" TargetMode="External"/><Relationship Id="rId9298" Type="http://schemas.openxmlformats.org/officeDocument/2006/relationships/hyperlink" Target="https://twitter.com/Giustozziauto/status/723429993720619008" TargetMode="External"/><Relationship Id="rId14728" Type="http://schemas.openxmlformats.org/officeDocument/2006/relationships/hyperlink" Target="https://twitter.com/swanswaygroup" TargetMode="External"/><Relationship Id="rId21944" Type="http://schemas.openxmlformats.org/officeDocument/2006/relationships/hyperlink" Target="https://twitter.com/Scirocco_Tuning" TargetMode="External"/><Relationship Id="rId2685" Type="http://schemas.openxmlformats.org/officeDocument/2006/relationships/hyperlink" Target="https://twitter.com/RebSamona" TargetMode="External"/><Relationship Id="rId12279" Type="http://schemas.openxmlformats.org/officeDocument/2006/relationships/hyperlink" Target="https://pbs.twimg.com/profile_images/1488674331/schofer4_normal.jpg" TargetMode="External"/><Relationship Id="rId17201" Type="http://schemas.openxmlformats.org/officeDocument/2006/relationships/hyperlink" Target="https://twitter.com/mapro67" TargetMode="External"/><Relationship Id="rId657" Type="http://schemas.openxmlformats.org/officeDocument/2006/relationships/hyperlink" Target="https://twitter.com/Bella_marlah" TargetMode="External"/><Relationship Id="rId2338" Type="http://schemas.openxmlformats.org/officeDocument/2006/relationships/hyperlink" Target="https://twitter.com/DoMarMac/status/723096438239027201" TargetMode="External"/><Relationship Id="rId8381" Type="http://schemas.openxmlformats.org/officeDocument/2006/relationships/hyperlink" Target="https://twitter.com/VWsightings/status/723385718676971520" TargetMode="External"/><Relationship Id="rId11362" Type="http://schemas.openxmlformats.org/officeDocument/2006/relationships/hyperlink" Target="https://twitter.com/_gnnr" TargetMode="External"/><Relationship Id="rId13811" Type="http://schemas.openxmlformats.org/officeDocument/2006/relationships/hyperlink" Target="https://pbs.twimg.com/profile_images/634364105550262272/0s1YujUX_normal.jpg" TargetMode="External"/><Relationship Id="rId25191" Type="http://schemas.openxmlformats.org/officeDocument/2006/relationships/hyperlink" Target="https://pbs.twimg.com/profile_images/687722541268471808/zj-L4Cfy_normal.jpg" TargetMode="External"/><Relationship Id="rId1421" Type="http://schemas.openxmlformats.org/officeDocument/2006/relationships/hyperlink" Target="https://twitter.com/beetlebug1938" TargetMode="External"/><Relationship Id="rId4991" Type="http://schemas.openxmlformats.org/officeDocument/2006/relationships/hyperlink" Target="https://twitter.com/MikeElk" TargetMode="External"/><Relationship Id="rId8034" Type="http://schemas.openxmlformats.org/officeDocument/2006/relationships/hyperlink" Target="https://pbs.twimg.com/profile_images/718820712757215233/LXXndPTS_normal.jpg" TargetMode="External"/><Relationship Id="rId11015" Type="http://schemas.openxmlformats.org/officeDocument/2006/relationships/hyperlink" Target="https://twitter.com/DrSalingerReinh/status/723494882095013889" TargetMode="External"/><Relationship Id="rId4644" Type="http://schemas.openxmlformats.org/officeDocument/2006/relationships/hyperlink" Target="https://pbs.twimg.com/profile_images/536851001144143874/ZkA1n-PI_normal.png" TargetMode="External"/><Relationship Id="rId14238" Type="http://schemas.openxmlformats.org/officeDocument/2006/relationships/hyperlink" Target="https://pbs.twimg.com/profile_images/710841392726147072/qbniEB4w_normal.jpg" TargetMode="External"/><Relationship Id="rId14585" Type="http://schemas.openxmlformats.org/officeDocument/2006/relationships/hyperlink" Target="https://pbs.twimg.com/profile_images/608722117648101376/9jVJ4teJ_normal.jpg" TargetMode="External"/><Relationship Id="rId23903" Type="http://schemas.openxmlformats.org/officeDocument/2006/relationships/hyperlink" Target="https://twitter.com/HeelTo3" TargetMode="External"/><Relationship Id="rId2195" Type="http://schemas.openxmlformats.org/officeDocument/2006/relationships/hyperlink" Target="https://twitter.com/panicswitch777/status/723087752087015424" TargetMode="External"/><Relationship Id="rId21107" Type="http://schemas.openxmlformats.org/officeDocument/2006/relationships/hyperlink" Target="https://twitter.com/beetlebug1938" TargetMode="External"/><Relationship Id="rId21454" Type="http://schemas.openxmlformats.org/officeDocument/2006/relationships/hyperlink" Target="https://pbs.twimg.com/profile_images/603129963898904576/S9lWlL6S_normal.jpg" TargetMode="External"/><Relationship Id="rId167" Type="http://schemas.openxmlformats.org/officeDocument/2006/relationships/hyperlink" Target="https://pbs.twimg.com/profile_images/569800899141177344/nVFLMSdb_normal.png" TargetMode="External"/><Relationship Id="rId7867" Type="http://schemas.openxmlformats.org/officeDocument/2006/relationships/hyperlink" Target="https://twitter.com/1stInSEO" TargetMode="External"/><Relationship Id="rId10848" Type="http://schemas.openxmlformats.org/officeDocument/2006/relationships/hyperlink" Target="https://twitter.com/thebugbar" TargetMode="External"/><Relationship Id="rId24677" Type="http://schemas.openxmlformats.org/officeDocument/2006/relationships/hyperlink" Target="https://twitter.com/8mP0tatoFTWl2/status/724383257182257155" TargetMode="External"/><Relationship Id="rId13321" Type="http://schemas.openxmlformats.org/officeDocument/2006/relationships/hyperlink" Target="https://pbs.twimg.com/profile_images/669927925823631360/jja0tgDW_normal.jpg" TargetMode="External"/><Relationship Id="rId16891" Type="http://schemas.openxmlformats.org/officeDocument/2006/relationships/hyperlink" Target="https://twitter.com/iTRON_car" TargetMode="External"/><Relationship Id="rId6950" Type="http://schemas.openxmlformats.org/officeDocument/2006/relationships/hyperlink" Target="https://twitter.com/profmonllor/status/723271371388772352" TargetMode="External"/><Relationship Id="rId16544" Type="http://schemas.openxmlformats.org/officeDocument/2006/relationships/hyperlink" Target="https://twitter.com/bjsommerville/status/723695267111964673" TargetMode="External"/><Relationship Id="rId23760" Type="http://schemas.openxmlformats.org/officeDocument/2006/relationships/hyperlink" Target="https://twitter.com/vwdepo/status/724309444356513792" TargetMode="External"/><Relationship Id="rId6603" Type="http://schemas.openxmlformats.org/officeDocument/2006/relationships/hyperlink" Target="https://twitter.com/dashingclaire" TargetMode="External"/><Relationship Id="rId14095" Type="http://schemas.openxmlformats.org/officeDocument/2006/relationships/hyperlink" Target="https://twitter.com/Sevenbey/status/723563878194515969" TargetMode="External"/><Relationship Id="rId23413" Type="http://schemas.openxmlformats.org/officeDocument/2006/relationships/hyperlink" Target="http://ha-ber.com/" TargetMode="External"/><Relationship Id="rId4154" Type="http://schemas.openxmlformats.org/officeDocument/2006/relationships/hyperlink" Target="https://twitter.com/stvharry" TargetMode="External"/><Relationship Id="rId19767" Type="http://schemas.openxmlformats.org/officeDocument/2006/relationships/hyperlink" Target="https://pbs.twimg.com/profile_images/424893967197433858/iQ86NktX_normal.jpeg" TargetMode="External"/><Relationship Id="rId7377" Type="http://schemas.openxmlformats.org/officeDocument/2006/relationships/hyperlink" Target="https://twitter.com/annika1061/status/723298507084324864" TargetMode="External"/><Relationship Id="rId9826" Type="http://schemas.openxmlformats.org/officeDocument/2006/relationships/hyperlink" Target="https://twitter.com/EllisT17/status/723450597832155136" TargetMode="External"/><Relationship Id="rId12807" Type="http://schemas.openxmlformats.org/officeDocument/2006/relationships/hyperlink" Target="https://pbs.twimg.com/profile_images/718820712757215233/LXXndPTS_normal.jpg" TargetMode="External"/><Relationship Id="rId24187" Type="http://schemas.openxmlformats.org/officeDocument/2006/relationships/hyperlink" Target="https://twitter.com/dubbusses/status/724337199156727809" TargetMode="External"/><Relationship Id="rId10358" Type="http://schemas.openxmlformats.org/officeDocument/2006/relationships/hyperlink" Target="https://pbs.twimg.com/profile_images/547074269721546752/LHmPz6Ng_normal.jpeg" TargetMode="External"/><Relationship Id="rId18850" Type="http://schemas.openxmlformats.org/officeDocument/2006/relationships/hyperlink" Target="https://twitter.com/Maaaaarrri" TargetMode="External"/><Relationship Id="rId3987" Type="http://schemas.openxmlformats.org/officeDocument/2006/relationships/hyperlink" Target="https://pbs.twimg.com/profile_images/710190221397258240/-8Y1LilA_normal.jpg" TargetMode="External"/><Relationship Id="rId18503" Type="http://schemas.openxmlformats.org/officeDocument/2006/relationships/hyperlink" Target="https://pbs.twimg.com/profile_images/545688359964651520/SF3sJ7lv_normal.jpeg" TargetMode="External"/><Relationship Id="rId20797" Type="http://schemas.openxmlformats.org/officeDocument/2006/relationships/hyperlink" Target="https://twitter.com/1966evo4g63/status/724046384500891648" TargetMode="External"/><Relationship Id="rId6460" Type="http://schemas.openxmlformats.org/officeDocument/2006/relationships/hyperlink" Target="https://pbs.twimg.com/profile_images/606416861903908865/02JG96uH_normal.jpg" TargetMode="External"/><Relationship Id="rId16054" Type="http://schemas.openxmlformats.org/officeDocument/2006/relationships/hyperlink" Target="https://pbs.twimg.com/profile_images/523219475374821377/s4tVMnBe_normal.jpeg" TargetMode="External"/><Relationship Id="rId23270" Type="http://schemas.openxmlformats.org/officeDocument/2006/relationships/hyperlink" Target="https://pbs.twimg.com/profile_images/3495443611/f8d62116cc5175519399d65e25f834e2_normal.jpeg" TargetMode="External"/><Relationship Id="rId6113" Type="http://schemas.openxmlformats.org/officeDocument/2006/relationships/hyperlink" Target="https://pbs.twimg.com/profile_images/1436591656/Gewehr_normal.jpg" TargetMode="External"/><Relationship Id="rId9683" Type="http://schemas.openxmlformats.org/officeDocument/2006/relationships/hyperlink" Target="https://twitter.com/VolkswagenPost/status/723444998524526592" TargetMode="External"/><Relationship Id="rId19277" Type="http://schemas.openxmlformats.org/officeDocument/2006/relationships/hyperlink" Target="https://twitter.com/beetle_pics/status/723925771048218625" TargetMode="External"/><Relationship Id="rId2723" Type="http://schemas.openxmlformats.org/officeDocument/2006/relationships/hyperlink" Target="https://twitter.com/TonyCantero" TargetMode="External"/><Relationship Id="rId9336" Type="http://schemas.openxmlformats.org/officeDocument/2006/relationships/hyperlink" Target="https://twitter.com/vwgroup_de" TargetMode="External"/><Relationship Id="rId12317" Type="http://schemas.openxmlformats.org/officeDocument/2006/relationships/hyperlink" Target="https://twitter.com/Banane0711" TargetMode="External"/><Relationship Id="rId12664" Type="http://schemas.openxmlformats.org/officeDocument/2006/relationships/hyperlink" Target="https://pbs.twimg.com/profile_images/698608824723316738/_2TJheMu_normal.jpg" TargetMode="External"/><Relationship Id="rId15887" Type="http://schemas.openxmlformats.org/officeDocument/2006/relationships/hyperlink" Target="https://twitter.com/Duambyth/status/723635883103141888" TargetMode="External"/><Relationship Id="rId3497" Type="http://schemas.openxmlformats.org/officeDocument/2006/relationships/hyperlink" Target="https://pbs.twimg.com/profile_images/669131956140048384/21kN8qiy_normal.jpg" TargetMode="External"/><Relationship Id="rId5946" Type="http://schemas.openxmlformats.org/officeDocument/2006/relationships/hyperlink" Target="https://pbs.twimg.com/profile_images/530071272881803264/a_jcCmPZ_normal.png" TargetMode="External"/><Relationship Id="rId18360" Type="http://schemas.openxmlformats.org/officeDocument/2006/relationships/hyperlink" Target="https://twitter.com/richgoodingcom/status/723865700767510528" TargetMode="External"/><Relationship Id="rId22756" Type="http://schemas.openxmlformats.org/officeDocument/2006/relationships/hyperlink" Target="https://twitter.com/VolkswagenPost" TargetMode="External"/><Relationship Id="rId11400" Type="http://schemas.openxmlformats.org/officeDocument/2006/relationships/hyperlink" Target="https://pbs.twimg.com/profile_images/425236817864974336/C2f777A1_normal.jpeg" TargetMode="External"/><Relationship Id="rId14970" Type="http://schemas.openxmlformats.org/officeDocument/2006/relationships/hyperlink" Target="https://twitter.com/DrWetti/status/723588175923417089" TargetMode="External"/><Relationship Id="rId18013" Type="http://schemas.openxmlformats.org/officeDocument/2006/relationships/hyperlink" Target="https://twitter.com/BI_Neckartor" TargetMode="External"/><Relationship Id="rId22409" Type="http://schemas.openxmlformats.org/officeDocument/2006/relationships/hyperlink" Target="https://twitter.com/AbelLosada/status/724222784793137152" TargetMode="External"/><Relationship Id="rId14623" Type="http://schemas.openxmlformats.org/officeDocument/2006/relationships/hyperlink" Target="https://twitter.com/KarenEspindola_/status/723577628746231808" TargetMode="External"/><Relationship Id="rId2580" Type="http://schemas.openxmlformats.org/officeDocument/2006/relationships/hyperlink" Target="https://twitter.com/wehrs18/status/723106862896394240" TargetMode="External"/><Relationship Id="rId9193" Type="http://schemas.openxmlformats.org/officeDocument/2006/relationships/hyperlink" Target="https://twitter.com/parksj86/status/723424596821561344" TargetMode="External"/><Relationship Id="rId12174" Type="http://schemas.openxmlformats.org/officeDocument/2006/relationships/hyperlink" Target="https://pbs.twimg.com/profile_images/1795205245/DSC04821_normal.jpg" TargetMode="External"/><Relationship Id="rId552" Type="http://schemas.openxmlformats.org/officeDocument/2006/relationships/hyperlink" Target="https://twitter.com/Sale6Mm" TargetMode="External"/><Relationship Id="rId2233" Type="http://schemas.openxmlformats.org/officeDocument/2006/relationships/hyperlink" Target="https://twitter.com/instock_de/status/723090156471746560" TargetMode="External"/><Relationship Id="rId15397" Type="http://schemas.openxmlformats.org/officeDocument/2006/relationships/hyperlink" Target="https://twitter.com/DubLuvTuning" TargetMode="External"/><Relationship Id="rId17846" Type="http://schemas.openxmlformats.org/officeDocument/2006/relationships/hyperlink" Target="https://twitter.com/rickfr01/status/723828623657033730" TargetMode="External"/><Relationship Id="rId205" Type="http://schemas.openxmlformats.org/officeDocument/2006/relationships/hyperlink" Target="https://twitter.com/drumwom" TargetMode="External"/><Relationship Id="rId5456" Type="http://schemas.openxmlformats.org/officeDocument/2006/relationships/hyperlink" Target="https://twitter.com/phimo_to/status/723204033448710149" TargetMode="External"/><Relationship Id="rId7905" Type="http://schemas.openxmlformats.org/officeDocument/2006/relationships/hyperlink" Target="https://twitter.com/VolkswagenPost/status/723339814599159808" TargetMode="External"/><Relationship Id="rId22266" Type="http://schemas.openxmlformats.org/officeDocument/2006/relationships/hyperlink" Target="https://twitter.com/Konneh_21" TargetMode="External"/><Relationship Id="rId24715" Type="http://schemas.openxmlformats.org/officeDocument/2006/relationships/hyperlink" Target="https://pbs.twimg.com/profile_images/705780107844067328/e7O4UBNb_normal.jpg" TargetMode="External"/><Relationship Id="rId5109" Type="http://schemas.openxmlformats.org/officeDocument/2006/relationships/hyperlink" Target="https://twitter.com/benghancock" TargetMode="External"/><Relationship Id="rId8679" Type="http://schemas.openxmlformats.org/officeDocument/2006/relationships/hyperlink" Target="https://twitter.com/woltron2/status/723401876050300928" TargetMode="External"/><Relationship Id="rId14480" Type="http://schemas.openxmlformats.org/officeDocument/2006/relationships/hyperlink" Target="https://pbs.twimg.com/profile_images/3148486201/8709e99c61b7546219e400c8072dbadb_normal.jpeg" TargetMode="External"/><Relationship Id="rId25489" Type="http://schemas.openxmlformats.org/officeDocument/2006/relationships/hyperlink" Target="https://twitter.com/LoveeMarinaaa" TargetMode="External"/><Relationship Id="rId1719" Type="http://schemas.openxmlformats.org/officeDocument/2006/relationships/hyperlink" Target="https://twitter.com/arturotaxi" TargetMode="External"/><Relationship Id="rId14133" Type="http://schemas.openxmlformats.org/officeDocument/2006/relationships/hyperlink" Target="https://pbs.twimg.com/profile_images/540381573712187392/LtiYdh1Z_normal.jpeg" TargetMode="External"/><Relationship Id="rId19805" Type="http://schemas.openxmlformats.org/officeDocument/2006/relationships/hyperlink" Target="https://twitter.com/Srry_I_ddnt_kno" TargetMode="External"/><Relationship Id="rId2090" Type="http://schemas.openxmlformats.org/officeDocument/2006/relationships/hyperlink" Target="https://twitter.com/Insta_VWT/status/723081084699836416" TargetMode="External"/><Relationship Id="rId7762" Type="http://schemas.openxmlformats.org/officeDocument/2006/relationships/hyperlink" Target="https://pbs.twimg.com/profile_images/719555258997989376/PfjFXbxi_normal.jpg" TargetMode="External"/><Relationship Id="rId17356" Type="http://schemas.openxmlformats.org/officeDocument/2006/relationships/hyperlink" Target="https://twitter.com/Wendishwasher/status/723792954175971328" TargetMode="External"/><Relationship Id="rId21002" Type="http://schemas.openxmlformats.org/officeDocument/2006/relationships/hyperlink" Target="https://twitter.com/gustaricar2013/status/724080552995885057" TargetMode="External"/><Relationship Id="rId24572" Type="http://schemas.openxmlformats.org/officeDocument/2006/relationships/hyperlink" Target="https://pbs.twimg.com/profile_images/672878354127839232/M7OYc-zx_normal.jpg" TargetMode="External"/><Relationship Id="rId7415" Type="http://schemas.openxmlformats.org/officeDocument/2006/relationships/hyperlink" Target="https://twitter.com/RitaccoAlessan1" TargetMode="External"/><Relationship Id="rId10743" Type="http://schemas.openxmlformats.org/officeDocument/2006/relationships/hyperlink" Target="https://twitter.com/beetlebug1938/status/723482675760246784" TargetMode="External"/><Relationship Id="rId17009" Type="http://schemas.openxmlformats.org/officeDocument/2006/relationships/hyperlink" Target="https://twitter.com/capipaula182/status/723762193674674176" TargetMode="External"/><Relationship Id="rId24225" Type="http://schemas.openxmlformats.org/officeDocument/2006/relationships/hyperlink" Target="https://twitter.com/bBOLDbLONG" TargetMode="External"/><Relationship Id="rId13966" Type="http://schemas.openxmlformats.org/officeDocument/2006/relationships/hyperlink" Target="https://twitter.com/agy_nes/status/723560009699872768" TargetMode="External"/><Relationship Id="rId1576" Type="http://schemas.openxmlformats.org/officeDocument/2006/relationships/hyperlink" Target="https://pbs.twimg.com/profile_images/461118397548212226/84PnzODQ_normal.png" TargetMode="External"/><Relationship Id="rId8189" Type="http://schemas.openxmlformats.org/officeDocument/2006/relationships/hyperlink" Target="https://pbs.twimg.com/profile_images/1824154931/image_normal.jpg" TargetMode="External"/><Relationship Id="rId13619" Type="http://schemas.openxmlformats.org/officeDocument/2006/relationships/hyperlink" Target="http://dlvr.it/" TargetMode="External"/><Relationship Id="rId20835" Type="http://schemas.openxmlformats.org/officeDocument/2006/relationships/hyperlink" Target="https://pbs.twimg.com/profile_images/722120496964349954/Sp36T9JP_normal.jpg" TargetMode="External"/><Relationship Id="rId1229" Type="http://schemas.openxmlformats.org/officeDocument/2006/relationships/hyperlink" Target="https://twitter.com/Mrmacmax92" TargetMode="External"/><Relationship Id="rId19662" Type="http://schemas.openxmlformats.org/officeDocument/2006/relationships/hyperlink" Target="https://pbs.twimg.com/profile_images/412739817621831680/jImjKPLq_normal.jpeg" TargetMode="External"/><Relationship Id="rId4799" Type="http://schemas.openxmlformats.org/officeDocument/2006/relationships/hyperlink" Target="https://twitter.com/msnde/status/723188055977299969" TargetMode="External"/><Relationship Id="rId9721" Type="http://schemas.openxmlformats.org/officeDocument/2006/relationships/hyperlink" Target="https://twitter.com/doern/status/723446986704359425" TargetMode="External"/><Relationship Id="rId12702" Type="http://schemas.openxmlformats.org/officeDocument/2006/relationships/hyperlink" Target="https://twitter.com/Klimaatcombi/status/723525565471424512" TargetMode="External"/><Relationship Id="rId19315" Type="http://schemas.openxmlformats.org/officeDocument/2006/relationships/hyperlink" Target="https://twitter.com/oldcar_photo" TargetMode="External"/><Relationship Id="rId7272" Type="http://schemas.openxmlformats.org/officeDocument/2006/relationships/hyperlink" Target="https://twitter.com/RachaelFinch" TargetMode="External"/><Relationship Id="rId10253" Type="http://schemas.openxmlformats.org/officeDocument/2006/relationships/hyperlink" Target="https://twitter.com/Spoekenkiekerei" TargetMode="External"/><Relationship Id="rId24082" Type="http://schemas.openxmlformats.org/officeDocument/2006/relationships/hyperlink" Target="https://twitter.com/nosuitablename" TargetMode="External"/><Relationship Id="rId3882" Type="http://schemas.openxmlformats.org/officeDocument/2006/relationships/hyperlink" Target="https://twitter.com/KCBSNews" TargetMode="External"/><Relationship Id="rId13476" Type="http://schemas.openxmlformats.org/officeDocument/2006/relationships/hyperlink" Target="https://twitter.com/Snowx2k5/status/723548490006188034" TargetMode="External"/><Relationship Id="rId15925" Type="http://schemas.openxmlformats.org/officeDocument/2006/relationships/hyperlink" Target="https://twitter.com/Supreme_Wheel" TargetMode="External"/><Relationship Id="rId20692" Type="http://schemas.openxmlformats.org/officeDocument/2006/relationships/hyperlink" Target="https://twitter.com/VWBeetleSales/status/724028096974745601" TargetMode="External"/><Relationship Id="rId3535" Type="http://schemas.openxmlformats.org/officeDocument/2006/relationships/hyperlink" Target="https://twitter.com/vwfamilyrd/status/723162568785715200" TargetMode="External"/><Relationship Id="rId13129" Type="http://schemas.openxmlformats.org/officeDocument/2006/relationships/hyperlink" Target="https://pbs.twimg.com/profile_images/703294545195307008/qeCvrX86_normal.jpg" TargetMode="External"/><Relationship Id="rId20345" Type="http://schemas.openxmlformats.org/officeDocument/2006/relationships/hyperlink" Target="https://pbs.twimg.com/profile_images/695743870223589376/HIfxgvUt_normal.jpg" TargetMode="External"/><Relationship Id="rId1086" Type="http://schemas.openxmlformats.org/officeDocument/2006/relationships/hyperlink" Target="https://pbs.twimg.com/profile_images/714952023771385856/rd4udFP4_normal.jpg" TargetMode="External"/><Relationship Id="rId16699" Type="http://schemas.openxmlformats.org/officeDocument/2006/relationships/hyperlink" Target="https://pbs.twimg.com/profile_images/718296879986012160/C5y4_r_5_normal.jpg" TargetMode="External"/><Relationship Id="rId6758" Type="http://schemas.openxmlformats.org/officeDocument/2006/relationships/hyperlink" Target="https://twitter.com/LDCcreations/status/723258722294874112" TargetMode="External"/><Relationship Id="rId9231" Type="http://schemas.openxmlformats.org/officeDocument/2006/relationships/hyperlink" Target="https://twitter.com/Marinella_Maria" TargetMode="External"/><Relationship Id="rId19172" Type="http://schemas.openxmlformats.org/officeDocument/2006/relationships/hyperlink" Target="https://pbs.twimg.com/profile_images/1681261394/095_normal.JPG" TargetMode="External"/><Relationship Id="rId23568" Type="http://schemas.openxmlformats.org/officeDocument/2006/relationships/hyperlink" Target="https://twitter.com/VWCamperSales/status/724297276940673024" TargetMode="External"/><Relationship Id="rId12212" Type="http://schemas.openxmlformats.org/officeDocument/2006/relationships/hyperlink" Target="https://twitter.com/Boersenradar/status/723515074896367616" TargetMode="External"/><Relationship Id="rId15782" Type="http://schemas.openxmlformats.org/officeDocument/2006/relationships/hyperlink" Target="https://twitter.com/ratemycamper" TargetMode="External"/><Relationship Id="rId5841" Type="http://schemas.openxmlformats.org/officeDocument/2006/relationships/hyperlink" Target="https://pbs.twimg.com/profile_images/704420155196116992/QCcpm5r8_normal.jpg" TargetMode="External"/><Relationship Id="rId15435" Type="http://schemas.openxmlformats.org/officeDocument/2006/relationships/hyperlink" Target="https://pbs.twimg.com/profile_images/712580602076246016/snGbW6JJ_normal.jpg" TargetMode="External"/><Relationship Id="rId22651" Type="http://schemas.openxmlformats.org/officeDocument/2006/relationships/hyperlink" Target="https://twitter.com/Steve_WL7YQ" TargetMode="External"/><Relationship Id="rId3392" Type="http://schemas.openxmlformats.org/officeDocument/2006/relationships/hyperlink" Target="https://twitter.com/Dahie" TargetMode="External"/><Relationship Id="rId18658" Type="http://schemas.openxmlformats.org/officeDocument/2006/relationships/hyperlink" Target="https://twitter.com/TralalaBarb/status/723887925524611072" TargetMode="External"/><Relationship Id="rId22304" Type="http://schemas.openxmlformats.org/officeDocument/2006/relationships/hyperlink" Target="https://twitter.com/Hoots_mon/status/724213538898739200" TargetMode="External"/><Relationship Id="rId3045" Type="http://schemas.openxmlformats.org/officeDocument/2006/relationships/hyperlink" Target="https://pbs.twimg.com/profile_images/1648827386/image_normal.jpg" TargetMode="External"/><Relationship Id="rId8717" Type="http://schemas.openxmlformats.org/officeDocument/2006/relationships/hyperlink" Target="https://pbs.twimg.com/profile_images/692850796598157312/0HMy-Q3Y_normal.jpg" TargetMode="External"/><Relationship Id="rId25527" Type="http://schemas.openxmlformats.org/officeDocument/2006/relationships/hyperlink" Target="https://pbs.twimg.com/profile_images/601746963160240128/I5CRQlMA_normal.jpg" TargetMode="External"/><Relationship Id="rId6268" Type="http://schemas.openxmlformats.org/officeDocument/2006/relationships/hyperlink" Target="https://pbs.twimg.com/profile_images/627949001179037696/skEBkS05_normal.jpg" TargetMode="External"/><Relationship Id="rId23078" Type="http://schemas.openxmlformats.org/officeDocument/2006/relationships/hyperlink" Target="https://pbs.twimg.com/profile_images/633622741858582528/BjU2vVYq_normal.jpg" TargetMode="External"/><Relationship Id="rId17741" Type="http://schemas.openxmlformats.org/officeDocument/2006/relationships/hyperlink" Target="https://twitter.com/tradecar_ie/status/723820932691841024" TargetMode="External"/><Relationship Id="rId100" Type="http://schemas.openxmlformats.org/officeDocument/2006/relationships/hyperlink" Target="https://twitter.com/vwdepo/status/722927125674782720" TargetMode="External"/><Relationship Id="rId2878" Type="http://schemas.openxmlformats.org/officeDocument/2006/relationships/hyperlink" Target="https://twitter.com/swanswaygroup/status/723122617012514817" TargetMode="External"/><Relationship Id="rId7800" Type="http://schemas.openxmlformats.org/officeDocument/2006/relationships/hyperlink" Target="https://twitter.com/JavierGustavo74" TargetMode="External"/><Relationship Id="rId15292" Type="http://schemas.openxmlformats.org/officeDocument/2006/relationships/hyperlink" Target="https://twitter.com/coolspringsvw" TargetMode="External"/><Relationship Id="rId24610" Type="http://schemas.openxmlformats.org/officeDocument/2006/relationships/hyperlink" Target="https://twitter.com/carguideph/status/724376266833539073" TargetMode="External"/><Relationship Id="rId5351" Type="http://schemas.openxmlformats.org/officeDocument/2006/relationships/hyperlink" Target="http://discountbomb.com/" TargetMode="External"/><Relationship Id="rId22161" Type="http://schemas.openxmlformats.org/officeDocument/2006/relationships/hyperlink" Target="https://twitter.com/ebaycampervans/status/724205898638323712" TargetMode="External"/><Relationship Id="rId1961" Type="http://schemas.openxmlformats.org/officeDocument/2006/relationships/hyperlink" Target="https://pbs.twimg.com/profile_images/712327895096512512/R5mlUCj0_normal.jpg" TargetMode="External"/><Relationship Id="rId5004" Type="http://schemas.openxmlformats.org/officeDocument/2006/relationships/hyperlink" Target="https://twitter.com/Srry_I_ddnt_kno/status/723191986312744961" TargetMode="External"/><Relationship Id="rId8574" Type="http://schemas.openxmlformats.org/officeDocument/2006/relationships/hyperlink" Target="https://twitter.com/D0D0_S/status/723395624339558400" TargetMode="External"/><Relationship Id="rId11555" Type="http://schemas.openxmlformats.org/officeDocument/2006/relationships/hyperlink" Target="https://twitter.com/Symbol_FR/status/723503433437859841" TargetMode="External"/><Relationship Id="rId18168" Type="http://schemas.openxmlformats.org/officeDocument/2006/relationships/hyperlink" Target="https://pbs.twimg.com/profile_images/524531569906565120/Noxq66xP_normal.jpeg" TargetMode="External"/><Relationship Id="rId25384" Type="http://schemas.openxmlformats.org/officeDocument/2006/relationships/hyperlink" Target="https://twitter.com/maddymaddog_/status/724434081371533312" TargetMode="External"/><Relationship Id="rId1614" Type="http://schemas.openxmlformats.org/officeDocument/2006/relationships/hyperlink" Target="https://twitter.com/Drey_VH/status/723049137638350848" TargetMode="External"/><Relationship Id="rId8227" Type="http://schemas.openxmlformats.org/officeDocument/2006/relationships/hyperlink" Target="https://twitter.com/Kielia88/status/723378341714104320" TargetMode="External"/><Relationship Id="rId11208" Type="http://schemas.openxmlformats.org/officeDocument/2006/relationships/hyperlink" Target="https://pbs.twimg.com/profile_images/378800000338927530/78ff887ca1487d515fde26c1904b6745_normal.jpeg" TargetMode="External"/><Relationship Id="rId25037" Type="http://schemas.openxmlformats.org/officeDocument/2006/relationships/hyperlink" Target="https://twitter.com/dubbusses/status/724412900555763712" TargetMode="External"/><Relationship Id="rId14778" Type="http://schemas.openxmlformats.org/officeDocument/2006/relationships/hyperlink" Target="https://pbs.twimg.com/profile_images/595309304510550019/sGlNhfkh_normal.jpg" TargetMode="External"/><Relationship Id="rId19700" Type="http://schemas.openxmlformats.org/officeDocument/2006/relationships/hyperlink" Target="https://twitter.com/dapper013/status/723949427375878145" TargetMode="External"/><Relationship Id="rId21994" Type="http://schemas.openxmlformats.org/officeDocument/2006/relationships/hyperlink" Target="https://twitter.com/VWCamperSales" TargetMode="External"/><Relationship Id="rId2388" Type="http://schemas.openxmlformats.org/officeDocument/2006/relationships/hyperlink" Target="https://twitter.com/acerbickhan" TargetMode="External"/><Relationship Id="rId4837" Type="http://schemas.openxmlformats.org/officeDocument/2006/relationships/hyperlink" Target="https://twitter.com/ErkanCanKalkmaz" TargetMode="External"/><Relationship Id="rId7310" Type="http://schemas.openxmlformats.org/officeDocument/2006/relationships/hyperlink" Target="https://pbs.twimg.com/profile_images/3163585027/dc98b5fe18e3f082146834b59487ce50_normal.jpeg" TargetMode="External"/><Relationship Id="rId17251" Type="http://schemas.openxmlformats.org/officeDocument/2006/relationships/hyperlink" Target="https://twitter.com/aldertings/status/723783422985003010" TargetMode="External"/><Relationship Id="rId21647" Type="http://schemas.openxmlformats.org/officeDocument/2006/relationships/hyperlink" Target="https://twitter.com/WimKweekel/status/724165418584268800" TargetMode="External"/><Relationship Id="rId13861" Type="http://schemas.openxmlformats.org/officeDocument/2006/relationships/hyperlink" Target="https://pbs.twimg.com/profile_images/562352509469982720/SCVczZJm_normal.jpeg" TargetMode="External"/><Relationship Id="rId24120" Type="http://schemas.openxmlformats.org/officeDocument/2006/relationships/hyperlink" Target="https://twitter.com/VWCamperSales" TargetMode="External"/><Relationship Id="rId3920" Type="http://schemas.openxmlformats.org/officeDocument/2006/relationships/hyperlink" Target="https://pbs.twimg.com/profile_images/3312431638/6817add775260b013c84fad03c72eb8c_normal.jpeg" TargetMode="External"/><Relationship Id="rId8084" Type="http://schemas.openxmlformats.org/officeDocument/2006/relationships/hyperlink" Target="https://twitter.com/rpo_wirtschaft" TargetMode="External"/><Relationship Id="rId13514" Type="http://schemas.openxmlformats.org/officeDocument/2006/relationships/hyperlink" Target="https://twitter.com/BS_Verkehr" TargetMode="External"/><Relationship Id="rId20730" Type="http://schemas.openxmlformats.org/officeDocument/2006/relationships/hyperlink" Target="https://twitter.com/VCT_Tweets/status/724032738974642177" TargetMode="External"/><Relationship Id="rId1471" Type="http://schemas.openxmlformats.org/officeDocument/2006/relationships/hyperlink" Target="https://twitter.com/Pred_cnh/status/723042315955220480" TargetMode="External"/><Relationship Id="rId11065" Type="http://schemas.openxmlformats.org/officeDocument/2006/relationships/hyperlink" Target="https://twitter.com/shamereflect" TargetMode="External"/><Relationship Id="rId16737" Type="http://schemas.openxmlformats.org/officeDocument/2006/relationships/hyperlink" Target="https://twitter.com/davidtellez/status/723721693928263681" TargetMode="External"/><Relationship Id="rId1124" Type="http://schemas.openxmlformats.org/officeDocument/2006/relationships/hyperlink" Target="https://pbs.twimg.com/profile_images/3704737815/c83da87d5dbea893be21848f6ac584e0_normal.jpeg" TargetMode="External"/><Relationship Id="rId4694" Type="http://schemas.openxmlformats.org/officeDocument/2006/relationships/hyperlink" Target="https://pbs.twimg.com/profile_images/658701915895832576/hMUbPXdY_normal.jpg" TargetMode="External"/><Relationship Id="rId14288" Type="http://schemas.openxmlformats.org/officeDocument/2006/relationships/hyperlink" Target="https://twitter.com/FlorDeCornuda/status/723571603435597825" TargetMode="External"/><Relationship Id="rId19210" Type="http://schemas.openxmlformats.org/officeDocument/2006/relationships/hyperlink" Target="http://dlvr.it/" TargetMode="External"/><Relationship Id="rId23606" Type="http://schemas.openxmlformats.org/officeDocument/2006/relationships/hyperlink" Target="https://pbs.twimg.com/profile_images/610902055033573376/xRMB8BVQ_normal.jpg" TargetMode="External"/><Relationship Id="rId23953" Type="http://schemas.openxmlformats.org/officeDocument/2006/relationships/hyperlink" Target="http://dlvr.it/" TargetMode="External"/><Relationship Id="rId4347" Type="http://schemas.openxmlformats.org/officeDocument/2006/relationships/hyperlink" Target="https://pbs.twimg.com/profile_images/689490163639123968/KvB_Hdux_normal.jpg" TargetMode="External"/><Relationship Id="rId21157" Type="http://schemas.openxmlformats.org/officeDocument/2006/relationships/hyperlink" Target="https://pbs.twimg.com/profile_images/2646835465/aa5823578b01b04b7e91d58e8ca88691_normal.jpeg" TargetMode="External"/><Relationship Id="rId10898" Type="http://schemas.openxmlformats.org/officeDocument/2006/relationships/hyperlink" Target="https://pbs.twimg.com/profile_images/646704845915865088/Gk_JUftC_normal.jpg" TargetMode="External"/><Relationship Id="rId15820" Type="http://schemas.openxmlformats.org/officeDocument/2006/relationships/hyperlink" Target="https://pbs.twimg.com/profile_images/628630384725655552/h1RRYXlx_normal.jpg" TargetMode="External"/><Relationship Id="rId13371" Type="http://schemas.openxmlformats.org/officeDocument/2006/relationships/hyperlink" Target="https://twitter.com/ELNORTENEGOCIOS/status/723544849186582528" TargetMode="External"/><Relationship Id="rId3430" Type="http://schemas.openxmlformats.org/officeDocument/2006/relationships/hyperlink" Target="https://twitter.com/Pellicole_Auto/status/723158196379115520" TargetMode="External"/><Relationship Id="rId13024" Type="http://schemas.openxmlformats.org/officeDocument/2006/relationships/hyperlink" Target="https://pbs.twimg.com/profile_images/324761478/internet_headshot_normal.jpg" TargetMode="External"/><Relationship Id="rId16594" Type="http://schemas.openxmlformats.org/officeDocument/2006/relationships/hyperlink" Target="https://twitter.com/TetsuoHojo" TargetMode="External"/><Relationship Id="rId20240" Type="http://schemas.openxmlformats.org/officeDocument/2006/relationships/hyperlink" Target="https://twitter.com/gdrzewo/status/723983577709457409" TargetMode="External"/><Relationship Id="rId6653" Type="http://schemas.openxmlformats.org/officeDocument/2006/relationships/hyperlink" Target="https://twitter.com/KarlHarenbrock" TargetMode="External"/><Relationship Id="rId16247" Type="http://schemas.openxmlformats.org/officeDocument/2006/relationships/hyperlink" Target="https://twitter.com/hernancarlos88" TargetMode="External"/><Relationship Id="rId23463" Type="http://schemas.openxmlformats.org/officeDocument/2006/relationships/hyperlink" Target="https://twitter.com/PaulMIllerVW" TargetMode="External"/><Relationship Id="rId6306" Type="http://schemas.openxmlformats.org/officeDocument/2006/relationships/hyperlink" Target="https://twitter.com/JoseSemanen/status/723238743327531009" TargetMode="External"/><Relationship Id="rId9876" Type="http://schemas.openxmlformats.org/officeDocument/2006/relationships/hyperlink" Target="https://twitter.com/VW_OC" TargetMode="External"/><Relationship Id="rId23116" Type="http://schemas.openxmlformats.org/officeDocument/2006/relationships/hyperlink" Target="http://dlvr.it/" TargetMode="External"/><Relationship Id="rId9529" Type="http://schemas.openxmlformats.org/officeDocument/2006/relationships/hyperlink" Target="https://twitter.com/Mfundo_Jobe" TargetMode="External"/><Relationship Id="rId12857" Type="http://schemas.openxmlformats.org/officeDocument/2006/relationships/hyperlink" Target="https://twitter.com/ginger_bishquit" TargetMode="External"/><Relationship Id="rId2916" Type="http://schemas.openxmlformats.org/officeDocument/2006/relationships/hyperlink" Target="https://twitter.com/Baum_Reiter" TargetMode="External"/><Relationship Id="rId15330" Type="http://schemas.openxmlformats.org/officeDocument/2006/relationships/hyperlink" Target="https://twitter.com/Marktzyniker/status/723603744752054273" TargetMode="External"/><Relationship Id="rId11940" Type="http://schemas.openxmlformats.org/officeDocument/2006/relationships/hyperlink" Target="https://twitter.com/MV_AM/status/723510633711411200" TargetMode="External"/><Relationship Id="rId18553" Type="http://schemas.openxmlformats.org/officeDocument/2006/relationships/hyperlink" Target="https://twitter.com/umitzeyrek" TargetMode="External"/><Relationship Id="rId22949" Type="http://schemas.openxmlformats.org/officeDocument/2006/relationships/hyperlink" Target="http://dlvr.it/" TargetMode="External"/><Relationship Id="rId6163" Type="http://schemas.openxmlformats.org/officeDocument/2006/relationships/hyperlink" Target="https://pbs.twimg.com/profile_images/674740900967399426/eni1Lze2_normal.jpg" TargetMode="External"/><Relationship Id="rId8612" Type="http://schemas.openxmlformats.org/officeDocument/2006/relationships/hyperlink" Target="https://twitter.com/CamperDiemSBD" TargetMode="External"/><Relationship Id="rId18206" Type="http://schemas.openxmlformats.org/officeDocument/2006/relationships/hyperlink" Target="https://twitter.com/VeeDubMk1_/status/723851300857892864" TargetMode="External"/><Relationship Id="rId25422" Type="http://schemas.openxmlformats.org/officeDocument/2006/relationships/hyperlink" Target="https://pbs.twimg.com/profile_images/613134211919187968/P_pW7EHj_normal.jpg" TargetMode="External"/><Relationship Id="rId14816" Type="http://schemas.openxmlformats.org/officeDocument/2006/relationships/hyperlink" Target="https://twitter.com/bflwerner" TargetMode="External"/><Relationship Id="rId2773" Type="http://schemas.openxmlformats.org/officeDocument/2006/relationships/hyperlink" Target="https://pbs.twimg.com/profile_images/461118397548212226/84PnzODQ_normal.png" TargetMode="External"/><Relationship Id="rId9386" Type="http://schemas.openxmlformats.org/officeDocument/2006/relationships/hyperlink" Target="https://twitter.com/SalihiShejzije/status/723433189004304384" TargetMode="External"/><Relationship Id="rId12367" Type="http://schemas.openxmlformats.org/officeDocument/2006/relationships/hyperlink" Target="https://pbs.twimg.com/profile_images/562563461171798017/AkHF4keI_normal.png" TargetMode="External"/><Relationship Id="rId745" Type="http://schemas.openxmlformats.org/officeDocument/2006/relationships/hyperlink" Target="https://pbs.twimg.com/profile_images/653334158484357120/pjDnQtCN_normal.jpg" TargetMode="External"/><Relationship Id="rId2426" Type="http://schemas.openxmlformats.org/officeDocument/2006/relationships/hyperlink" Target="https://pbs.twimg.com/profile_images/702550714980155396/zsFrS_dk_normal.jpg" TargetMode="External"/><Relationship Id="rId5996" Type="http://schemas.openxmlformats.org/officeDocument/2006/relationships/hyperlink" Target="https://pbs.twimg.com/profile_images/378800000572104796/1de43e1cf23efb3f4101c02afad0d3b6_normal.png" TargetMode="External"/><Relationship Id="rId9039" Type="http://schemas.openxmlformats.org/officeDocument/2006/relationships/hyperlink" Target="https://twitter.com/golfturkiye" TargetMode="External"/><Relationship Id="rId5649" Type="http://schemas.openxmlformats.org/officeDocument/2006/relationships/hyperlink" Target="https://twitter.com/VeeDubMk1_/status/723211627508674562" TargetMode="External"/><Relationship Id="rId18063" Type="http://schemas.openxmlformats.org/officeDocument/2006/relationships/hyperlink" Target="https://twitter.com/zoomit_ir/status/723843992715165697" TargetMode="External"/><Relationship Id="rId22459" Type="http://schemas.openxmlformats.org/officeDocument/2006/relationships/hyperlink" Target="https://pbs.twimg.com/profile_images/718835727027580928/1ssyQ67y_normal.jpg" TargetMode="External"/><Relationship Id="rId24908" Type="http://schemas.openxmlformats.org/officeDocument/2006/relationships/hyperlink" Target="https://pbs.twimg.com/profile_images/705780107844067328/e7O4UBNb_normal.jpg" TargetMode="External"/><Relationship Id="rId8122" Type="http://schemas.openxmlformats.org/officeDocument/2006/relationships/hyperlink" Target="https://twitter.com/VWBeetleSales/status/723370762690658305" TargetMode="External"/><Relationship Id="rId11450" Type="http://schemas.openxmlformats.org/officeDocument/2006/relationships/hyperlink" Target="https://twitter.com/connection92/status/723502289386876928" TargetMode="External"/><Relationship Id="rId11103" Type="http://schemas.openxmlformats.org/officeDocument/2006/relationships/hyperlink" Target="https://twitter.com/boersenzeitung/status/723497446253441025" TargetMode="External"/><Relationship Id="rId14673" Type="http://schemas.openxmlformats.org/officeDocument/2006/relationships/hyperlink" Target="https://twitter.com/Mphilpot1" TargetMode="External"/><Relationship Id="rId4732" Type="http://schemas.openxmlformats.org/officeDocument/2006/relationships/hyperlink" Target="https://twitter.com/balcis/status/723186293384028166" TargetMode="External"/><Relationship Id="rId14326" Type="http://schemas.openxmlformats.org/officeDocument/2006/relationships/hyperlink" Target="https://pbs.twimg.com/profile_images/3183814069/dc8784a7f11af617105f6632e87f9752_normal.jpeg" TargetMode="External"/><Relationship Id="rId17896" Type="http://schemas.openxmlformats.org/officeDocument/2006/relationships/hyperlink" Target="https://twitter.com/VWCamperSales" TargetMode="External"/><Relationship Id="rId21542" Type="http://schemas.openxmlformats.org/officeDocument/2006/relationships/hyperlink" Target="https://twitter.com/JonasHoefgen/status/724157573180579840" TargetMode="External"/><Relationship Id="rId2283" Type="http://schemas.openxmlformats.org/officeDocument/2006/relationships/hyperlink" Target="https://twitter.com/jkpender" TargetMode="External"/><Relationship Id="rId7955" Type="http://schemas.openxmlformats.org/officeDocument/2006/relationships/hyperlink" Target="https://pbs.twimg.com/profile_images/703294545195307008/qeCvrX86_normal.jpg" TargetMode="External"/><Relationship Id="rId17549" Type="http://schemas.openxmlformats.org/officeDocument/2006/relationships/hyperlink" Target="https://pbs.twimg.com/profile_images/672878354127839232/M7OYc-zx_normal.jpg" TargetMode="External"/><Relationship Id="rId24765" Type="http://schemas.openxmlformats.org/officeDocument/2006/relationships/hyperlink" Target="https://twitter.com/AutosMarktDE" TargetMode="External"/><Relationship Id="rId255" Type="http://schemas.openxmlformats.org/officeDocument/2006/relationships/hyperlink" Target="https://pbs.twimg.com/profile_images/695836169418899456/Z9ohOFD9_normal.jpg" TargetMode="External"/><Relationship Id="rId7608" Type="http://schemas.openxmlformats.org/officeDocument/2006/relationships/hyperlink" Target="https://twitter.com/tube_c0ffee/status/723316719943561216" TargetMode="External"/><Relationship Id="rId10936" Type="http://schemas.openxmlformats.org/officeDocument/2006/relationships/hyperlink" Target="https://twitter.com/techhippie/status/723491114649571328" TargetMode="External"/><Relationship Id="rId24418" Type="http://schemas.openxmlformats.org/officeDocument/2006/relationships/hyperlink" Target="http://ctrlq.org/maps/address/" TargetMode="External"/><Relationship Id="rId5159" Type="http://schemas.openxmlformats.org/officeDocument/2006/relationships/hyperlink" Target="https://pbs.twimg.com/profile_images/475119492251398145/HMtPHV3n_normal.png" TargetMode="External"/><Relationship Id="rId16632" Type="http://schemas.openxmlformats.org/officeDocument/2006/relationships/hyperlink" Target="https://twitter.com/Scirocco_Tuning/status/723704639728787456" TargetMode="External"/><Relationship Id="rId1769" Type="http://schemas.openxmlformats.org/officeDocument/2006/relationships/hyperlink" Target="https://pbs.twimg.com/profile_images/378800000811296054/a3acc5391fa9d6a7b27ffcf3dcd7a89e_normal.jpeg" TargetMode="External"/><Relationship Id="rId4242" Type="http://schemas.openxmlformats.org/officeDocument/2006/relationships/hyperlink" Target="https://twitter.com/TheMartecGroup/status/723178300118540288" TargetMode="External"/><Relationship Id="rId14183" Type="http://schemas.openxmlformats.org/officeDocument/2006/relationships/hyperlink" Target="https://twitter.com/PrlmaDonnaProds/status/723567678804385792" TargetMode="External"/><Relationship Id="rId19855" Type="http://schemas.openxmlformats.org/officeDocument/2006/relationships/hyperlink" Target="https://twitter.com/FabryB_/status/723961364985856000" TargetMode="External"/><Relationship Id="rId23501" Type="http://schemas.openxmlformats.org/officeDocument/2006/relationships/hyperlink" Target="https://twitter.com/DubLuvTuning" TargetMode="External"/><Relationship Id="rId9914" Type="http://schemas.openxmlformats.org/officeDocument/2006/relationships/hyperlink" Target="https://pbs.twimg.com/profile_images/461143330147954688/HZO45eNS_normal.jpeg" TargetMode="External"/><Relationship Id="rId10793" Type="http://schemas.openxmlformats.org/officeDocument/2006/relationships/hyperlink" Target="https://twitter.com/gerhard_heilig" TargetMode="External"/><Relationship Id="rId19508" Type="http://schemas.openxmlformats.org/officeDocument/2006/relationships/hyperlink" Target="https://twitter.com/Lindsay_VW/status/723937666979471360" TargetMode="External"/><Relationship Id="rId21052" Type="http://schemas.openxmlformats.org/officeDocument/2006/relationships/hyperlink" Target="https://twitter.com/KritsadakornKa2" TargetMode="External"/><Relationship Id="rId7465" Type="http://schemas.openxmlformats.org/officeDocument/2006/relationships/hyperlink" Target="https://pbs.twimg.com/profile_images/687355953939791872/B2pvYE73_normal.jpg" TargetMode="External"/><Relationship Id="rId10446" Type="http://schemas.openxmlformats.org/officeDocument/2006/relationships/hyperlink" Target="https://pbs.twimg.com/profile_images/676805516358742017/0EDUqhef_normal.jpg" TargetMode="External"/><Relationship Id="rId17059" Type="http://schemas.openxmlformats.org/officeDocument/2006/relationships/hyperlink" Target="https://twitter.com/VWBeetleSales/status/723766995913609216" TargetMode="External"/><Relationship Id="rId24275" Type="http://schemas.openxmlformats.org/officeDocument/2006/relationships/hyperlink" Target="https://twitter.com/VWBeetleSales" TargetMode="External"/><Relationship Id="rId7118" Type="http://schemas.openxmlformats.org/officeDocument/2006/relationships/hyperlink" Target="https://pbs.twimg.com/profile_images/454373310357192704/gv_pjo1d_normal.jpeg" TargetMode="External"/><Relationship Id="rId3728" Type="http://schemas.openxmlformats.org/officeDocument/2006/relationships/hyperlink" Target="https://twitter.com/AutoExpress" TargetMode="External"/><Relationship Id="rId13669" Type="http://schemas.openxmlformats.org/officeDocument/2006/relationships/hyperlink" Target="https://twitter.com/panicswitch777" TargetMode="External"/><Relationship Id="rId16142" Type="http://schemas.openxmlformats.org/officeDocument/2006/relationships/hyperlink" Target="https://pbs.twimg.com/profile_images/530071272881803264/a_jcCmPZ_normal.png" TargetMode="External"/><Relationship Id="rId20538" Type="http://schemas.openxmlformats.org/officeDocument/2006/relationships/hyperlink" Target="https://twitter.com/el_wakim/status/724007774598750209" TargetMode="External"/><Relationship Id="rId20885" Type="http://schemas.openxmlformats.org/officeDocument/2006/relationships/hyperlink" Target="https://twitter.com/Pancho_Ragoni/status/724056014417465344" TargetMode="External"/><Relationship Id="rId1279" Type="http://schemas.openxmlformats.org/officeDocument/2006/relationships/hyperlink" Target="https://twitter.com/ChristianKreb" TargetMode="External"/><Relationship Id="rId6201" Type="http://schemas.openxmlformats.org/officeDocument/2006/relationships/hyperlink" Target="https://pbs.twimg.com/profile_images/701375592055312385/ZDhnPgdy_normal.jpg" TargetMode="External"/><Relationship Id="rId23011" Type="http://schemas.openxmlformats.org/officeDocument/2006/relationships/hyperlink" Target="https://pbs.twimg.com/profile_images/1372304064/DSC04986_normal.JPG" TargetMode="External"/><Relationship Id="rId9771" Type="http://schemas.openxmlformats.org/officeDocument/2006/relationships/hyperlink" Target="https://twitter.com/Drey_VH/status/723448273856389120" TargetMode="External"/><Relationship Id="rId12752" Type="http://schemas.openxmlformats.org/officeDocument/2006/relationships/hyperlink" Target="http://dlvr.it/" TargetMode="External"/><Relationship Id="rId19365" Type="http://schemas.openxmlformats.org/officeDocument/2006/relationships/hyperlink" Target="https://twitter.com/Miguel_SndvlA/status/723927533780127744" TargetMode="External"/><Relationship Id="rId2811" Type="http://schemas.openxmlformats.org/officeDocument/2006/relationships/hyperlink" Target="https://twitter.com/ConsumerSOS" TargetMode="External"/><Relationship Id="rId9424" Type="http://schemas.openxmlformats.org/officeDocument/2006/relationships/hyperlink" Target="https://pbs.twimg.com/profile_images/627949001179037696/skEBkS05_normal.jpg" TargetMode="External"/><Relationship Id="rId12405" Type="http://schemas.openxmlformats.org/officeDocument/2006/relationships/hyperlink" Target="https://pbs.twimg.com/profile_images/715422219283763200/IW3j7Y1J_normal.jpg" TargetMode="External"/><Relationship Id="rId15975" Type="http://schemas.openxmlformats.org/officeDocument/2006/relationships/hyperlink" Target="https://pbs.twimg.com/profile_images/718490030596075520/0EQESv16_normal.jpg" TargetMode="External"/><Relationship Id="rId19018" Type="http://schemas.openxmlformats.org/officeDocument/2006/relationships/hyperlink" Target="https://twitter.com/groovytrip" TargetMode="External"/><Relationship Id="rId15628" Type="http://schemas.openxmlformats.org/officeDocument/2006/relationships/hyperlink" Target="https://twitter.com/RTLRally" TargetMode="External"/><Relationship Id="rId22844" Type="http://schemas.openxmlformats.org/officeDocument/2006/relationships/hyperlink" Target="https://twitter.com/CaravanFinder/status/724251901911556096" TargetMode="External"/><Relationship Id="rId3585" Type="http://schemas.openxmlformats.org/officeDocument/2006/relationships/hyperlink" Target="https://twitter.com/VolkswagenPost" TargetMode="External"/><Relationship Id="rId13179" Type="http://schemas.openxmlformats.org/officeDocument/2006/relationships/hyperlink" Target="https://twitter.com/VWBeetleSales/status/723537868187004928" TargetMode="External"/><Relationship Id="rId18101" Type="http://schemas.openxmlformats.org/officeDocument/2006/relationships/hyperlink" Target="https://twitter.com/Exvtra_uk" TargetMode="External"/><Relationship Id="rId20395" Type="http://schemas.openxmlformats.org/officeDocument/2006/relationships/hyperlink" Target="https://twitter.com/autogefuehl" TargetMode="External"/><Relationship Id="rId3238" Type="http://schemas.openxmlformats.org/officeDocument/2006/relationships/hyperlink" Target="https://pbs.twimg.com/profile_images/676710547753066496/z2Ws4-C5_normal.jpg" TargetMode="External"/><Relationship Id="rId20048" Type="http://schemas.openxmlformats.org/officeDocument/2006/relationships/hyperlink" Target="https://twitter.com/exequielleguiz1/status/723971677403643904" TargetMode="External"/><Relationship Id="rId9281" Type="http://schemas.openxmlformats.org/officeDocument/2006/relationships/hyperlink" Target="https://pbs.twimg.com/profile_images/682117963349135360/IUfZQy35_normal.png" TargetMode="External"/><Relationship Id="rId14711" Type="http://schemas.openxmlformats.org/officeDocument/2006/relationships/hyperlink" Target="https://pbs.twimg.com/profile_images/703294545195307008/qeCvrX86_normal.jpg" TargetMode="External"/><Relationship Id="rId12262" Type="http://schemas.openxmlformats.org/officeDocument/2006/relationships/hyperlink" Target="https://twitter.com/WowbaggerXX7" TargetMode="External"/><Relationship Id="rId17934" Type="http://schemas.openxmlformats.org/officeDocument/2006/relationships/hyperlink" Target="https://twitter.com/Banane0711" TargetMode="External"/><Relationship Id="rId640" Type="http://schemas.openxmlformats.org/officeDocument/2006/relationships/hyperlink" Target="https://twitter.com/rawanAlhalda/status/722967569360130050" TargetMode="External"/><Relationship Id="rId2321" Type="http://schemas.openxmlformats.org/officeDocument/2006/relationships/hyperlink" Target="https://pbs.twimg.com/profile_images/420211830854676480/9VeSEboq_normal.jpeg" TargetMode="External"/><Relationship Id="rId5891" Type="http://schemas.openxmlformats.org/officeDocument/2006/relationships/hyperlink" Target="https://twitter.com/julioDeLange" TargetMode="External"/><Relationship Id="rId15485" Type="http://schemas.openxmlformats.org/officeDocument/2006/relationships/hyperlink" Target="https://pbs.twimg.com/profile_images/1775415820/D_nemark_530_normal.jpg" TargetMode="External"/><Relationship Id="rId24803" Type="http://schemas.openxmlformats.org/officeDocument/2006/relationships/hyperlink" Target="https://twitter.com/684Frhano/status/724388686255804416" TargetMode="External"/><Relationship Id="rId5544" Type="http://schemas.openxmlformats.org/officeDocument/2006/relationships/hyperlink" Target="https://pbs.twimg.com/profile_images/685566400178556930/I8jEfWdp_normal.jpg" TargetMode="External"/><Relationship Id="rId15138" Type="http://schemas.openxmlformats.org/officeDocument/2006/relationships/hyperlink" Target="http://dlvr.it/" TargetMode="External"/><Relationship Id="rId22354" Type="http://schemas.openxmlformats.org/officeDocument/2006/relationships/hyperlink" Target="https://pbs.twimg.com/profile_images/458731293581144064/-4p5an2D_normal.png" TargetMode="External"/><Relationship Id="rId3095" Type="http://schemas.openxmlformats.org/officeDocument/2006/relationships/hyperlink" Target="http://linkis.com/" TargetMode="External"/><Relationship Id="rId8767" Type="http://schemas.openxmlformats.org/officeDocument/2006/relationships/hyperlink" Target="https://pbs.twimg.com/profile_images/666627060715151360/GZ0yxrDk_normal.jpg" TargetMode="External"/><Relationship Id="rId22007" Type="http://schemas.openxmlformats.org/officeDocument/2006/relationships/hyperlink" Target="https://twitter.com/OnlyCarrera" TargetMode="External"/><Relationship Id="rId25577" Type="http://schemas.openxmlformats.org/officeDocument/2006/relationships/hyperlink" Target="https://twitter.com/LuuliLuuli" TargetMode="External"/><Relationship Id="rId1807" Type="http://schemas.openxmlformats.org/officeDocument/2006/relationships/hyperlink" Target="https://twitter.com/Kurtzer90" TargetMode="External"/><Relationship Id="rId11748" Type="http://schemas.openxmlformats.org/officeDocument/2006/relationships/hyperlink" Target="https://twitter.com/wenportuguese/status/723506873308205057" TargetMode="External"/><Relationship Id="rId14221" Type="http://schemas.openxmlformats.org/officeDocument/2006/relationships/hyperlink" Target="https://pbs.twimg.com/profile_images/534280066231205888/JBDUShsd_normal.png" TargetMode="External"/><Relationship Id="rId17791" Type="http://schemas.openxmlformats.org/officeDocument/2006/relationships/hyperlink" Target="https://pbs.twimg.com/profile_images/716292045904547840/U_rBOhol_normal.jpg" TargetMode="External"/><Relationship Id="rId150" Type="http://schemas.openxmlformats.org/officeDocument/2006/relationships/hyperlink" Target="https://twitter.com/hashtagvanlife" TargetMode="External"/><Relationship Id="rId7850" Type="http://schemas.openxmlformats.org/officeDocument/2006/relationships/hyperlink" Target="https://twitter.com/twizler557/status/723334888980537348" TargetMode="External"/><Relationship Id="rId10831" Type="http://schemas.openxmlformats.org/officeDocument/2006/relationships/hyperlink" Target="https://pbs.twimg.com/profile_images/452789313554907137/h-Q_0Rw0_normal.jpeg" TargetMode="External"/><Relationship Id="rId17444" Type="http://schemas.openxmlformats.org/officeDocument/2006/relationships/hyperlink" Target="https://twitter.com/schoensteiner/status/723799319200063488" TargetMode="External"/><Relationship Id="rId24660" Type="http://schemas.openxmlformats.org/officeDocument/2006/relationships/hyperlink" Target="https://pbs.twimg.com/profile_images/718820712757215233/LXXndPTS_normal.jpg" TargetMode="External"/><Relationship Id="rId5054" Type="http://schemas.openxmlformats.org/officeDocument/2006/relationships/hyperlink" Target="https://pbs.twimg.com/profile_images/680251329592344576/lnXUGVBa_normal.jpg" TargetMode="External"/><Relationship Id="rId7503" Type="http://schemas.openxmlformats.org/officeDocument/2006/relationships/hyperlink" Target="https://twitter.com/Gillian825" TargetMode="External"/><Relationship Id="rId24313" Type="http://schemas.openxmlformats.org/officeDocument/2006/relationships/hyperlink" Target="http://dlvr.it/" TargetMode="External"/><Relationship Id="rId13707" Type="http://schemas.openxmlformats.org/officeDocument/2006/relationships/hyperlink" Target="https://pbs.twimg.com/profile_images/649956232673947649/sXDhUyad_normal.jpg" TargetMode="External"/><Relationship Id="rId20923" Type="http://schemas.openxmlformats.org/officeDocument/2006/relationships/hyperlink" Target="https://pbs.twimg.com/profile_images/709074217153777664/rZPD8L8m_normal.jpg" TargetMode="External"/><Relationship Id="rId1664" Type="http://schemas.openxmlformats.org/officeDocument/2006/relationships/hyperlink" Target="https://twitter.com/SK_Handels_GmbH" TargetMode="External"/><Relationship Id="rId8277" Type="http://schemas.openxmlformats.org/officeDocument/2006/relationships/hyperlink" Target="https://twitter.com/asyl_news" TargetMode="External"/><Relationship Id="rId11258" Type="http://schemas.openxmlformats.org/officeDocument/2006/relationships/hyperlink" Target="https://twitter.com/ZDFheute" TargetMode="External"/><Relationship Id="rId25087" Type="http://schemas.openxmlformats.org/officeDocument/2006/relationships/hyperlink" Target="https://pbs.twimg.com/profile_images/600965523518566400/l0bcJH8l_normal.jpg" TargetMode="External"/><Relationship Id="rId1317" Type="http://schemas.openxmlformats.org/officeDocument/2006/relationships/hyperlink" Target="https://twitter.com/oleh_matsko/status/723035102154993664" TargetMode="External"/><Relationship Id="rId4887" Type="http://schemas.openxmlformats.org/officeDocument/2006/relationships/hyperlink" Target="https://twitter.com/Ziyaggy" TargetMode="External"/><Relationship Id="rId19403" Type="http://schemas.openxmlformats.org/officeDocument/2006/relationships/hyperlink" Target="https://twitter.com/FuscaWorld/status/723929200411947010" TargetMode="External"/><Relationship Id="rId19750" Type="http://schemas.openxmlformats.org/officeDocument/2006/relationships/hyperlink" Target="https://twitter.com/crewevw/status/723953592374161408" TargetMode="External"/><Relationship Id="rId21697" Type="http://schemas.openxmlformats.org/officeDocument/2006/relationships/hyperlink" Target="https://twitter.com/VWCamperSales" TargetMode="External"/><Relationship Id="rId23" Type="http://schemas.openxmlformats.org/officeDocument/2006/relationships/hyperlink" Target="https://twitter.com/Scirocco_Tuning/status/722919770484510720" TargetMode="External"/><Relationship Id="rId7360" Type="http://schemas.openxmlformats.org/officeDocument/2006/relationships/hyperlink" Target="https://twitter.com/VWBeetleSales" TargetMode="External"/><Relationship Id="rId24170" Type="http://schemas.openxmlformats.org/officeDocument/2006/relationships/hyperlink" Target="https://twitter.com/beetlebug1938" TargetMode="External"/><Relationship Id="rId7013" Type="http://schemas.openxmlformats.org/officeDocument/2006/relationships/hyperlink" Target="https://twitter.com/thedieselarmy/status/723274831400030208" TargetMode="External"/><Relationship Id="rId10341" Type="http://schemas.openxmlformats.org/officeDocument/2006/relationships/hyperlink" Target="https://twitter.com/ivan_poskok" TargetMode="External"/><Relationship Id="rId3970" Type="http://schemas.openxmlformats.org/officeDocument/2006/relationships/hyperlink" Target="https://twitter.com/GQBert/status/723173270212714496" TargetMode="External"/><Relationship Id="rId13564" Type="http://schemas.openxmlformats.org/officeDocument/2006/relationships/hyperlink" Target="https://twitter.com/cyberdoc60/status/723550572666863616" TargetMode="External"/><Relationship Id="rId20780" Type="http://schemas.openxmlformats.org/officeDocument/2006/relationships/hyperlink" Target="https://pbs.twimg.com/profile_images/378800000463633572/8494361443a9361de1017d497c5ee1f2_normal.jpeg" TargetMode="External"/><Relationship Id="rId3623" Type="http://schemas.openxmlformats.org/officeDocument/2006/relationships/hyperlink" Target="https://twitter.com/beetlebug1938" TargetMode="External"/><Relationship Id="rId13217" Type="http://schemas.openxmlformats.org/officeDocument/2006/relationships/hyperlink" Target="https://pbs.twimg.com/profile_images/712400455792521216/vRZrkD5K_normal.jpg" TargetMode="External"/><Relationship Id="rId16787" Type="http://schemas.openxmlformats.org/officeDocument/2006/relationships/hyperlink" Target="https://pbs.twimg.com/profile_images/721235286269804544/nZY31tY3_normal.jpg" TargetMode="External"/><Relationship Id="rId20433" Type="http://schemas.openxmlformats.org/officeDocument/2006/relationships/hyperlink" Target="https://pbs.twimg.com/profile_images/540374264990687232/QgGq-XFE_normal.jpeg" TargetMode="External"/><Relationship Id="rId1174" Type="http://schemas.openxmlformats.org/officeDocument/2006/relationships/hyperlink" Target="https://twitter.com/KleinerNilsson" TargetMode="External"/><Relationship Id="rId6846" Type="http://schemas.openxmlformats.org/officeDocument/2006/relationships/hyperlink" Target="https://twitter.com/sk_teo/status/723264607897440260" TargetMode="External"/><Relationship Id="rId19260" Type="http://schemas.openxmlformats.org/officeDocument/2006/relationships/hyperlink" Target="https://twitter.com/TheC0ntentQ" TargetMode="External"/><Relationship Id="rId23656" Type="http://schemas.openxmlformats.org/officeDocument/2006/relationships/hyperlink" Target="https://pbs.twimg.com/profile_images/627949001179037696/skEBkS05_normal.jpg" TargetMode="External"/><Relationship Id="rId4397" Type="http://schemas.openxmlformats.org/officeDocument/2006/relationships/hyperlink" Target="https://twitter.com/mdrde/status/723180026087104512" TargetMode="External"/><Relationship Id="rId12300" Type="http://schemas.openxmlformats.org/officeDocument/2006/relationships/hyperlink" Target="https://pbs.twimg.com/profile_images/481527330616393728/r0kwCuLo_normal.jpeg" TargetMode="External"/><Relationship Id="rId23309" Type="http://schemas.openxmlformats.org/officeDocument/2006/relationships/hyperlink" Target="https://twitter.com/VeeDubMk1_/status/724279081911619585" TargetMode="External"/><Relationship Id="rId15870" Type="http://schemas.openxmlformats.org/officeDocument/2006/relationships/hyperlink" Target="https://pbs.twimg.com/profile_images/707820647238529024/26ThEFYL_normal.jpg" TargetMode="External"/><Relationship Id="rId3480" Type="http://schemas.openxmlformats.org/officeDocument/2006/relationships/hyperlink" Target="https://twitter.com/luiis_mendoozaa" TargetMode="External"/><Relationship Id="rId13074" Type="http://schemas.openxmlformats.org/officeDocument/2006/relationships/hyperlink" Target="https://twitter.com/dokape/status/723534706965381122" TargetMode="External"/><Relationship Id="rId15523" Type="http://schemas.openxmlformats.org/officeDocument/2006/relationships/hyperlink" Target="https://twitter.com/dafLOh/status/723611177780166656" TargetMode="External"/><Relationship Id="rId20290" Type="http://schemas.openxmlformats.org/officeDocument/2006/relationships/hyperlink" Target="https://pbs.twimg.com/profile_images/452223035278635008/nh74b6X2_normal.jpeg" TargetMode="External"/><Relationship Id="rId3133" Type="http://schemas.openxmlformats.org/officeDocument/2006/relationships/hyperlink" Target="https://twitter.com/JSYorkshire/status/723143771265880064" TargetMode="External"/><Relationship Id="rId18746" Type="http://schemas.openxmlformats.org/officeDocument/2006/relationships/hyperlink" Target="https://twitter.com/goatandkettle/status/723892540701691904" TargetMode="External"/><Relationship Id="rId8805" Type="http://schemas.openxmlformats.org/officeDocument/2006/relationships/hyperlink" Target="https://twitter.com/CollectHW/status/723407929420836865" TargetMode="External"/><Relationship Id="rId16297" Type="http://schemas.openxmlformats.org/officeDocument/2006/relationships/hyperlink" Target="https://twitter.com/vwscully" TargetMode="External"/><Relationship Id="rId25615" Type="http://schemas.openxmlformats.org/officeDocument/2006/relationships/hyperlink" Target="https://pbs.twimg.com/profile_images/716495110725246976/aZNUJl0F_normal.jpg" TargetMode="External"/><Relationship Id="rId6356" Type="http://schemas.openxmlformats.org/officeDocument/2006/relationships/hyperlink" Target="https://twitter.com/kenminesinger/status/723240449188601856" TargetMode="External"/><Relationship Id="rId23166" Type="http://schemas.openxmlformats.org/officeDocument/2006/relationships/hyperlink" Target="https://pbs.twimg.com/profile_images/471360227137163264/w2Gvricp_normal.png" TargetMode="External"/><Relationship Id="rId2966" Type="http://schemas.openxmlformats.org/officeDocument/2006/relationships/hyperlink" Target="https://pbs.twimg.com/profile_images/686470579168346112/DnV3Y8p7_normal.jpg" TargetMode="External"/><Relationship Id="rId6009" Type="http://schemas.openxmlformats.org/officeDocument/2006/relationships/hyperlink" Target="https://twitter.com/VWBeetleSales" TargetMode="External"/><Relationship Id="rId9579" Type="http://schemas.openxmlformats.org/officeDocument/2006/relationships/hyperlink" Target="https://twitter.com/tyres4sale_com/status/723440881815031808" TargetMode="External"/><Relationship Id="rId15380" Type="http://schemas.openxmlformats.org/officeDocument/2006/relationships/hyperlink" Target="https://pbs.twimg.com/profile_images/615626236539203584/-VpP55pj_normal.png" TargetMode="External"/><Relationship Id="rId938" Type="http://schemas.openxmlformats.org/officeDocument/2006/relationships/hyperlink" Target="https://twitter.com/SallyBundockBBC" TargetMode="External"/><Relationship Id="rId2619" Type="http://schemas.openxmlformats.org/officeDocument/2006/relationships/hyperlink" Target="https://twitter.com/TLA_Chloe" TargetMode="External"/><Relationship Id="rId15033" Type="http://schemas.openxmlformats.org/officeDocument/2006/relationships/hyperlink" Target="https://twitter.com/lautaroalarcon5/status/723590699673853953" TargetMode="External"/><Relationship Id="rId8662" Type="http://schemas.openxmlformats.org/officeDocument/2006/relationships/hyperlink" Target="https://pbs.twimg.com/profile_images/1951351455/thomas5b_normal.jpg" TargetMode="External"/><Relationship Id="rId11990" Type="http://schemas.openxmlformats.org/officeDocument/2006/relationships/hyperlink" Target="https://twitter.com/WowbaggerXX7/status/723511516453081089" TargetMode="External"/><Relationship Id="rId22999" Type="http://schemas.openxmlformats.org/officeDocument/2006/relationships/hyperlink" Target="https://pbs.twimg.com/profile_images/378800000679711368/01f722f2d137a9dbc403e775c39d5cb3_normal.jpeg" TargetMode="External"/><Relationship Id="rId8315" Type="http://schemas.openxmlformats.org/officeDocument/2006/relationships/hyperlink" Target="https://pbs.twimg.com/profile_images/540137094400573440/CPKo_7Bf_normal.png" TargetMode="External"/><Relationship Id="rId11643" Type="http://schemas.openxmlformats.org/officeDocument/2006/relationships/hyperlink" Target="https://twitter.com/C_Heinrich_83/status/723504804786495489" TargetMode="External"/><Relationship Id="rId18256" Type="http://schemas.openxmlformats.org/officeDocument/2006/relationships/hyperlink" Target="http://dlvr.it/" TargetMode="External"/><Relationship Id="rId25472" Type="http://schemas.openxmlformats.org/officeDocument/2006/relationships/hyperlink" Target="https://twitter.com/nomkhita12/status/724442377532878848" TargetMode="External"/><Relationship Id="rId1702" Type="http://schemas.openxmlformats.org/officeDocument/2006/relationships/hyperlink" Target="https://twitter.com/faznet/status/723053414091882496" TargetMode="External"/><Relationship Id="rId14866" Type="http://schemas.openxmlformats.org/officeDocument/2006/relationships/hyperlink" Target="https://twitter.com/dandoherty1981/status/723585636557553666" TargetMode="External"/><Relationship Id="rId25125" Type="http://schemas.openxmlformats.org/officeDocument/2006/relationships/hyperlink" Target="https://pbs.twimg.com/profile_images/669521930270167040/XVOJdTfV_normal.jpg" TargetMode="External"/><Relationship Id="rId4925" Type="http://schemas.openxmlformats.org/officeDocument/2006/relationships/hyperlink" Target="https://twitter.com/dennlstesia" TargetMode="External"/><Relationship Id="rId9089" Type="http://schemas.openxmlformats.org/officeDocument/2006/relationships/hyperlink" Target="https://twitter.com/AutobahnSales/status/723421378003640320" TargetMode="External"/><Relationship Id="rId14519" Type="http://schemas.openxmlformats.org/officeDocument/2006/relationships/hyperlink" Target="https://pbs.twimg.com/profile_images/690516567252156416/xyEYEy_7_normal.jpg" TargetMode="External"/><Relationship Id="rId21735" Type="http://schemas.openxmlformats.org/officeDocument/2006/relationships/hyperlink" Target="https://twitter.com/VWBeetleSales" TargetMode="External"/><Relationship Id="rId795" Type="http://schemas.openxmlformats.org/officeDocument/2006/relationships/hyperlink" Target="https://twitter.com/MotoAuxilio" TargetMode="External"/><Relationship Id="rId2476" Type="http://schemas.openxmlformats.org/officeDocument/2006/relationships/hyperlink" Target="https://twitter.com/Bristol_Eats" TargetMode="External"/><Relationship Id="rId24958" Type="http://schemas.openxmlformats.org/officeDocument/2006/relationships/hyperlink" Target="https://twitter.com/VAGFanArg/status/724406339238264832" TargetMode="External"/><Relationship Id="rId448" Type="http://schemas.openxmlformats.org/officeDocument/2006/relationships/hyperlink" Target="https://pbs.twimg.com/profile_images/705780107844067328/e7O4UBNb_normal.jpg" TargetMode="External"/><Relationship Id="rId2129" Type="http://schemas.openxmlformats.org/officeDocument/2006/relationships/hyperlink" Target="https://twitter.com/AlexanderXV/status/723084217299562496" TargetMode="External"/><Relationship Id="rId5699" Type="http://schemas.openxmlformats.org/officeDocument/2006/relationships/hyperlink" Target="https://twitter.com/BenFajzullin" TargetMode="External"/><Relationship Id="rId8172" Type="http://schemas.openxmlformats.org/officeDocument/2006/relationships/hyperlink" Target="https://twitter.com/deutch_az" TargetMode="External"/><Relationship Id="rId11153" Type="http://schemas.openxmlformats.org/officeDocument/2006/relationships/hyperlink" Target="https://twitter.com/franke_media" TargetMode="External"/><Relationship Id="rId13602" Type="http://schemas.openxmlformats.org/officeDocument/2006/relationships/hyperlink" Target="https://twitter.com/techhippie" TargetMode="External"/><Relationship Id="rId1212" Type="http://schemas.openxmlformats.org/officeDocument/2006/relationships/hyperlink" Target="https://twitter.com/apronline/status/723025708688101376" TargetMode="External"/><Relationship Id="rId16825" Type="http://schemas.openxmlformats.org/officeDocument/2006/relationships/hyperlink" Target="https://twitter.com/FrankBauHa/status/723738272254533632" TargetMode="External"/><Relationship Id="rId4782" Type="http://schemas.openxmlformats.org/officeDocument/2006/relationships/hyperlink" Target="https://pbs.twimg.com/profile_images/719611202129625088/XNXG8FpF_normal.jpg" TargetMode="External"/><Relationship Id="rId14376" Type="http://schemas.openxmlformats.org/officeDocument/2006/relationships/hyperlink" Target="https://twitter.com/LombardaMotori/status/723573122662862848" TargetMode="External"/><Relationship Id="rId21592" Type="http://schemas.openxmlformats.org/officeDocument/2006/relationships/hyperlink" Target="https://twitter.com/BlackChapelYard" TargetMode="External"/><Relationship Id="rId4435" Type="http://schemas.openxmlformats.org/officeDocument/2006/relationships/hyperlink" Target="https://pbs.twimg.com/profile_images/602201660635652097/MOKTWd4d_normal.jpg" TargetMode="External"/><Relationship Id="rId10986" Type="http://schemas.openxmlformats.org/officeDocument/2006/relationships/hyperlink" Target="https://pbs.twimg.com/profile_images/627949001179037696/skEBkS05_normal.jpg" TargetMode="External"/><Relationship Id="rId14029" Type="http://schemas.openxmlformats.org/officeDocument/2006/relationships/hyperlink" Target="https://pbs.twimg.com/profile_images/627546348963758080/CiC4BmAl_normal.jpg" TargetMode="External"/><Relationship Id="rId17599" Type="http://schemas.openxmlformats.org/officeDocument/2006/relationships/hyperlink" Target="https://twitter.com/twiginza" TargetMode="External"/><Relationship Id="rId21245" Type="http://schemas.openxmlformats.org/officeDocument/2006/relationships/hyperlink" Target="https://twitter.com/glenmavis" TargetMode="External"/><Relationship Id="rId7658" Type="http://schemas.openxmlformats.org/officeDocument/2006/relationships/hyperlink" Target="https://pbs.twimg.com/profile_images/672216168892137473/TMmU-9VW_normal.jpg" TargetMode="External"/><Relationship Id="rId10639" Type="http://schemas.openxmlformats.org/officeDocument/2006/relationships/hyperlink" Target="https://pbs.twimg.com/profile_images/722312123116888064/DwxBRfoE_normal.jpg" TargetMode="External"/><Relationship Id="rId24468" Type="http://schemas.openxmlformats.org/officeDocument/2006/relationships/hyperlink" Target="https://pbs.twimg.com/profile_images/2646835465/aa5823578b01b04b7e91d58e8ca88691_normal.jpeg" TargetMode="External"/><Relationship Id="rId13112" Type="http://schemas.openxmlformats.org/officeDocument/2006/relationships/hyperlink" Target="https://twitter.com/M_Wussler/status/723535536007294977" TargetMode="External"/><Relationship Id="rId6741" Type="http://schemas.openxmlformats.org/officeDocument/2006/relationships/hyperlink" Target="https://pbs.twimg.com/profile_images/684044616476278785/3vButJTM_normal.jpg" TargetMode="External"/><Relationship Id="rId16682" Type="http://schemas.openxmlformats.org/officeDocument/2006/relationships/hyperlink" Target="https://twitter.com/beetlebug1938" TargetMode="External"/><Relationship Id="rId4292" Type="http://schemas.openxmlformats.org/officeDocument/2006/relationships/hyperlink" Target="https://pbs.twimg.com/profile_images/714481274187083776/Eitfvl8a_normal.jpg" TargetMode="External"/><Relationship Id="rId16335" Type="http://schemas.openxmlformats.org/officeDocument/2006/relationships/hyperlink" Target="https://pbs.twimg.com/profile_images/699776285401333761/lEBgZfiO_normal.jpg" TargetMode="External"/><Relationship Id="rId23551" Type="http://schemas.openxmlformats.org/officeDocument/2006/relationships/hyperlink" Target="https://pbs.twimg.com/profile_images/715943872820559872/KYDnlJMX_normal.jpg" TargetMode="External"/><Relationship Id="rId9964" Type="http://schemas.openxmlformats.org/officeDocument/2006/relationships/hyperlink" Target="https://twitter.com/vwfestival/status/723456018974429184" TargetMode="External"/><Relationship Id="rId12945" Type="http://schemas.openxmlformats.org/officeDocument/2006/relationships/hyperlink" Target="https://twitter.com/derfederkiel" TargetMode="External"/><Relationship Id="rId19558" Type="http://schemas.openxmlformats.org/officeDocument/2006/relationships/hyperlink" Target="https://pbs.twimg.com/profile_images/378800000854855954/0d555726054b01e3c9d6b5241432dc4a_normal.jpeg" TargetMode="External"/><Relationship Id="rId23204" Type="http://schemas.openxmlformats.org/officeDocument/2006/relationships/hyperlink" Target="https://pbs.twimg.com/profile_images/567103567228837888/ptxVAeYZ_normal.jpeg" TargetMode="External"/><Relationship Id="rId7168" Type="http://schemas.openxmlformats.org/officeDocument/2006/relationships/hyperlink" Target="https://pbs.twimg.com/profile_images/530071272881803264/a_jcCmPZ_normal.png" TargetMode="External"/><Relationship Id="rId9617" Type="http://schemas.openxmlformats.org/officeDocument/2006/relationships/hyperlink" Target="https://pbs.twimg.com/profile_images/718678305709432832/w-KvPE1i_normal.jpg" TargetMode="External"/><Relationship Id="rId10496" Type="http://schemas.openxmlformats.org/officeDocument/2006/relationships/hyperlink" Target="https://twitter.com/VWCamperSales" TargetMode="External"/><Relationship Id="rId10149" Type="http://schemas.openxmlformats.org/officeDocument/2006/relationships/hyperlink" Target="https://pbs.twimg.com/profile_images/525999389848776704/m3_9gBg9_normal.jpeg" TargetMode="External"/><Relationship Id="rId18641" Type="http://schemas.openxmlformats.org/officeDocument/2006/relationships/hyperlink" Target="https://pbs.twimg.com/profile_images/620156890274766848/QTu02poy_normal.jpg" TargetMode="External"/><Relationship Id="rId3778" Type="http://schemas.openxmlformats.org/officeDocument/2006/relationships/hyperlink" Target="https://pbs.twimg.com/profile_images/438619338942062592/OBEQvg6R_normal.jpeg" TargetMode="External"/><Relationship Id="rId8700" Type="http://schemas.openxmlformats.org/officeDocument/2006/relationships/hyperlink" Target="https://twitter.com/CDespierres" TargetMode="External"/><Relationship Id="rId16192" Type="http://schemas.openxmlformats.org/officeDocument/2006/relationships/hyperlink" Target="https://twitter.com/kslnewsradio/status/723655179166306305" TargetMode="External"/><Relationship Id="rId20588" Type="http://schemas.openxmlformats.org/officeDocument/2006/relationships/hyperlink" Target="https://twitter.com/HansTheGerman/status/724012422969888769" TargetMode="External"/><Relationship Id="rId25510" Type="http://schemas.openxmlformats.org/officeDocument/2006/relationships/hyperlink" Target="https://twitter.com/nomkhita12" TargetMode="External"/><Relationship Id="rId6251" Type="http://schemas.openxmlformats.org/officeDocument/2006/relationships/hyperlink" Target="https://pbs.twimg.com/profile_images/561179508087476226/n3ahBsgf_normal.jpeg" TargetMode="External"/><Relationship Id="rId23061" Type="http://schemas.openxmlformats.org/officeDocument/2006/relationships/hyperlink" Target="https://pbs.twimg.com/profile_images/1566697429/Tim_Twitter_normal.jpg" TargetMode="External"/><Relationship Id="rId9474" Type="http://schemas.openxmlformats.org/officeDocument/2006/relationships/hyperlink" Target="https://twitter.com/VWBeetleSales/status/723436580484993024" TargetMode="External"/><Relationship Id="rId14904" Type="http://schemas.openxmlformats.org/officeDocument/2006/relationships/hyperlink" Target="https://twitter.com/EmaZaracho" TargetMode="External"/><Relationship Id="rId19068" Type="http://schemas.openxmlformats.org/officeDocument/2006/relationships/hyperlink" Target="https://twitter.com/VWCamperSales" TargetMode="External"/><Relationship Id="rId2861" Type="http://schemas.openxmlformats.org/officeDocument/2006/relationships/hyperlink" Target="https://twitter.com/VWCamperSales/status/723122247603384321" TargetMode="External"/><Relationship Id="rId9127" Type="http://schemas.openxmlformats.org/officeDocument/2006/relationships/hyperlink" Target="http://ctrlq.org/maps/address/" TargetMode="External"/><Relationship Id="rId12455" Type="http://schemas.openxmlformats.org/officeDocument/2006/relationships/hyperlink" Target="https://twitter.com/mokomokai/status/723519820436627457" TargetMode="External"/><Relationship Id="rId833" Type="http://schemas.openxmlformats.org/officeDocument/2006/relationships/hyperlink" Target="https://pbs.twimg.com/profile_images/530071272881803264/a_jcCmPZ_normal.png" TargetMode="External"/><Relationship Id="rId2514" Type="http://schemas.openxmlformats.org/officeDocument/2006/relationships/hyperlink" Target="https://twitter.com/Dirty_Weekender/status/723103767374127104" TargetMode="External"/><Relationship Id="rId12108" Type="http://schemas.openxmlformats.org/officeDocument/2006/relationships/hyperlink" Target="https://twitter.com/PaulMIllerVW/status/723513190647107584" TargetMode="External"/><Relationship Id="rId15678" Type="http://schemas.openxmlformats.org/officeDocument/2006/relationships/hyperlink" Target="https://twitter.com/ddbEntertain" TargetMode="External"/><Relationship Id="rId22894" Type="http://schemas.openxmlformats.org/officeDocument/2006/relationships/hyperlink" Target="https://pbs.twimg.com/profile_images/723576155173957632/q_TORr6w_normal.jpg" TargetMode="External"/><Relationship Id="rId5737" Type="http://schemas.openxmlformats.org/officeDocument/2006/relationships/hyperlink" Target="https://pbs.twimg.com/profile_images/1898841779/dad__n_n_torunlar__normal.jpg" TargetMode="External"/><Relationship Id="rId18151" Type="http://schemas.openxmlformats.org/officeDocument/2006/relationships/hyperlink" Target="https://twitter.com/81Vosvos/status/723847431671132160" TargetMode="External"/><Relationship Id="rId22547" Type="http://schemas.openxmlformats.org/officeDocument/2006/relationships/hyperlink" Target="https://twitter.com/brlarl" TargetMode="External"/><Relationship Id="rId3288" Type="http://schemas.openxmlformats.org/officeDocument/2006/relationships/hyperlink" Target="https://twitter.com/RJMrim/status/723149499623981056" TargetMode="External"/><Relationship Id="rId8210" Type="http://schemas.openxmlformats.org/officeDocument/2006/relationships/hyperlink" Target="https://twitter.com/teleherzog" TargetMode="External"/><Relationship Id="rId20098" Type="http://schemas.openxmlformats.org/officeDocument/2006/relationships/hyperlink" Target="https://twitter.com/Barksyfan/status/723975461462638592" TargetMode="External"/><Relationship Id="rId25020" Type="http://schemas.openxmlformats.org/officeDocument/2006/relationships/hyperlink" Target="https://pbs.twimg.com/profile_images/666453014614446080/7wESjl0P_normal.jpg" TargetMode="External"/><Relationship Id="rId14761" Type="http://schemas.openxmlformats.org/officeDocument/2006/relationships/hyperlink" Target="https://twitter.com/techhippie" TargetMode="External"/><Relationship Id="rId690" Type="http://schemas.openxmlformats.org/officeDocument/2006/relationships/hyperlink" Target="https://twitter.com/zvpdublQa" TargetMode="External"/><Relationship Id="rId2371" Type="http://schemas.openxmlformats.org/officeDocument/2006/relationships/hyperlink" Target="https://twitter.com/Ch4r32" TargetMode="External"/><Relationship Id="rId4820" Type="http://schemas.openxmlformats.org/officeDocument/2006/relationships/hyperlink" Target="https://twitter.com/zeitonline_wir/status/723188451542208512" TargetMode="External"/><Relationship Id="rId14414" Type="http://schemas.openxmlformats.org/officeDocument/2006/relationships/hyperlink" Target="https://twitter.com/camiii_zalazar" TargetMode="External"/><Relationship Id="rId17984" Type="http://schemas.openxmlformats.org/officeDocument/2006/relationships/hyperlink" Target="http://www.infooffensive.de/" TargetMode="External"/><Relationship Id="rId21630" Type="http://schemas.openxmlformats.org/officeDocument/2006/relationships/hyperlink" Target="https://twitter.com/PorscheOfficApp/status/724164086422974464" TargetMode="External"/><Relationship Id="rId343" Type="http://schemas.openxmlformats.org/officeDocument/2006/relationships/hyperlink" Target="https://pbs.twimg.com/profile_images/695480363582246916/cmAcBkj9_normal.jpg" TargetMode="External"/><Relationship Id="rId2024" Type="http://schemas.openxmlformats.org/officeDocument/2006/relationships/hyperlink" Target="https://pbs.twimg.com/profile_images/432910539367260160/DWkQSFng_normal.jpeg" TargetMode="External"/><Relationship Id="rId17637" Type="http://schemas.openxmlformats.org/officeDocument/2006/relationships/hyperlink" Target="https://twitter.com/PaddleBoardCity" TargetMode="External"/><Relationship Id="rId24853" Type="http://schemas.openxmlformats.org/officeDocument/2006/relationships/hyperlink" Target="https://pbs.twimg.com/profile_images/534257866077913089/ViYX_Z8-_normal.jpeg" TargetMode="External"/><Relationship Id="rId5247" Type="http://schemas.openxmlformats.org/officeDocument/2006/relationships/hyperlink" Target="https://twitter.com/RyanLores" TargetMode="External"/><Relationship Id="rId5594" Type="http://schemas.openxmlformats.org/officeDocument/2006/relationships/hyperlink" Target="https://pbs.twimg.com/profile_images/703294545195307008/qeCvrX86_normal.jpg" TargetMode="External"/><Relationship Id="rId15188" Type="http://schemas.openxmlformats.org/officeDocument/2006/relationships/hyperlink" Target="https://pbs.twimg.com/profile_images/627949001179037696/skEBkS05_normal.jpg" TargetMode="External"/><Relationship Id="rId24506" Type="http://schemas.openxmlformats.org/officeDocument/2006/relationships/hyperlink" Target="https://pbs.twimg.com/profile_images/718820712757215233/LXXndPTS_normal.jpg" TargetMode="External"/><Relationship Id="rId11798" Type="http://schemas.openxmlformats.org/officeDocument/2006/relationships/hyperlink" Target="https://pbs.twimg.com/profile_images/687267836016852992/3ngK-2o7_normal.jpg" TargetMode="External"/><Relationship Id="rId16720" Type="http://schemas.openxmlformats.org/officeDocument/2006/relationships/hyperlink" Target="https://twitter.com/Angel3614/status/723716495885406209" TargetMode="External"/><Relationship Id="rId22057" Type="http://schemas.openxmlformats.org/officeDocument/2006/relationships/hyperlink" Target="https://twitter.com/NeilGreenMidWor" TargetMode="External"/><Relationship Id="rId1857" Type="http://schemas.openxmlformats.org/officeDocument/2006/relationships/hyperlink" Target="https://twitter.com/autogazette" TargetMode="External"/><Relationship Id="rId14271" Type="http://schemas.openxmlformats.org/officeDocument/2006/relationships/hyperlink" Target="https://pbs.twimg.com/profile_images/722481395508056065/7UH5duxY_normal.jpg" TargetMode="External"/><Relationship Id="rId4330" Type="http://schemas.openxmlformats.org/officeDocument/2006/relationships/hyperlink" Target="https://pbs.twimg.com/profile_images/430023681977634816/gBNGcukd_normal.jpeg" TargetMode="External"/><Relationship Id="rId17494" Type="http://schemas.openxmlformats.org/officeDocument/2006/relationships/hyperlink" Target="https://twitter.com/m_mediouni" TargetMode="External"/><Relationship Id="rId19943" Type="http://schemas.openxmlformats.org/officeDocument/2006/relationships/hyperlink" Target="https://twitter.com/CooperOffroad/status/723964621837754368" TargetMode="External"/><Relationship Id="rId21140" Type="http://schemas.openxmlformats.org/officeDocument/2006/relationships/hyperlink" Target="https://twitter.com/paintdodgers" TargetMode="External"/><Relationship Id="rId7553" Type="http://schemas.openxmlformats.org/officeDocument/2006/relationships/hyperlink" Target="https://pbs.twimg.com/profile_images/540346412509437953/ZJ2Ujqmn_normal.jpeg" TargetMode="External"/><Relationship Id="rId10881" Type="http://schemas.openxmlformats.org/officeDocument/2006/relationships/hyperlink" Target="https://twitter.com/LoCITYUK" TargetMode="External"/><Relationship Id="rId17147" Type="http://schemas.openxmlformats.org/officeDocument/2006/relationships/hyperlink" Target="https://twitter.com/bodo1962/status/723773387357728769" TargetMode="External"/><Relationship Id="rId24363" Type="http://schemas.openxmlformats.org/officeDocument/2006/relationships/hyperlink" Target="https://twitter.com/frecklesfairy/status/724351098983747585" TargetMode="External"/><Relationship Id="rId7206" Type="http://schemas.openxmlformats.org/officeDocument/2006/relationships/hyperlink" Target="https://pbs.twimg.com/profile_images/1347982898/cropped_twitter_normal.jpg" TargetMode="External"/><Relationship Id="rId10534" Type="http://schemas.openxmlformats.org/officeDocument/2006/relationships/hyperlink" Target="https://pbs.twimg.com/profile_images/378800000625654479/283342ca756174ac948f248e4edef6ff_normal.jpeg" TargetMode="External"/><Relationship Id="rId24016" Type="http://schemas.openxmlformats.org/officeDocument/2006/relationships/hyperlink" Target="https://twitter.com/Tumberito01" TargetMode="External"/><Relationship Id="rId13757" Type="http://schemas.openxmlformats.org/officeDocument/2006/relationships/hyperlink" Target="https://twitter.com/Stony_BS/status/723554856594771968" TargetMode="External"/><Relationship Id="rId20973" Type="http://schemas.openxmlformats.org/officeDocument/2006/relationships/hyperlink" Target="https://pbs.twimg.com/profile_images/703294545195307008/qeCvrX86_normal.jpg" TargetMode="External"/><Relationship Id="rId3816" Type="http://schemas.openxmlformats.org/officeDocument/2006/relationships/hyperlink" Target="https://twitter.com/InesWiese_RHH/status/723170070000746496" TargetMode="External"/><Relationship Id="rId16230" Type="http://schemas.openxmlformats.org/officeDocument/2006/relationships/hyperlink" Target="https://twitter.com/soolriivero/status/723659560272171013" TargetMode="External"/><Relationship Id="rId20626" Type="http://schemas.openxmlformats.org/officeDocument/2006/relationships/hyperlink" Target="https://twitter.com/VeeDubMk1_" TargetMode="External"/><Relationship Id="rId1367" Type="http://schemas.openxmlformats.org/officeDocument/2006/relationships/hyperlink" Target="https://twitter.com/VolkswagenPost" TargetMode="External"/><Relationship Id="rId19453" Type="http://schemas.openxmlformats.org/officeDocument/2006/relationships/hyperlink" Target="https://twitter.com/anjelicasjogren/status/723933806361743360" TargetMode="External"/><Relationship Id="rId23849" Type="http://schemas.openxmlformats.org/officeDocument/2006/relationships/hyperlink" Target="https://twitter.com/VWBeetleSales/status/724315110961872896" TargetMode="External"/><Relationship Id="rId73" Type="http://schemas.openxmlformats.org/officeDocument/2006/relationships/hyperlink" Target="https://twitter.com/NeedTechs" TargetMode="External"/><Relationship Id="rId9512" Type="http://schemas.openxmlformats.org/officeDocument/2006/relationships/hyperlink" Target="https://twitter.com/beetlebug1938/status/723437531140747264" TargetMode="External"/><Relationship Id="rId10391" Type="http://schemas.openxmlformats.org/officeDocument/2006/relationships/hyperlink" Target="https://pbs.twimg.com/profile_images/3717431502/f9ceea1f4efa3e785505485d49257d54_normal.jpeg" TargetMode="External"/><Relationship Id="rId12840" Type="http://schemas.openxmlformats.org/officeDocument/2006/relationships/hyperlink" Target="https://twitter.com/Klaus_Mueller/status/723529170534453248" TargetMode="External"/><Relationship Id="rId19106" Type="http://schemas.openxmlformats.org/officeDocument/2006/relationships/hyperlink" Target="https://pbs.twimg.com/profile_images/512340161149927424/q1C4j2Jn_normal.jpeg" TargetMode="External"/><Relationship Id="rId7063" Type="http://schemas.openxmlformats.org/officeDocument/2006/relationships/hyperlink" Target="https://pbs.twimg.com/profile_images/652871584131092480/QA_B6SBO_normal.jpg" TargetMode="External"/><Relationship Id="rId10044" Type="http://schemas.openxmlformats.org/officeDocument/2006/relationships/hyperlink" Target="https://pbs.twimg.com/profile_images/2314052504/Karsten-0047small_normal.jpg" TargetMode="External"/><Relationship Id="rId15716" Type="http://schemas.openxmlformats.org/officeDocument/2006/relationships/hyperlink" Target="https://pbs.twimg.com/profile_images/689245762694311937/sYUFvr0i_normal.jpg" TargetMode="External"/><Relationship Id="rId22932" Type="http://schemas.openxmlformats.org/officeDocument/2006/relationships/hyperlink" Target="https://twitter.com/marco_paschoal/status/724258491766992900" TargetMode="External"/><Relationship Id="rId3326" Type="http://schemas.openxmlformats.org/officeDocument/2006/relationships/hyperlink" Target="https://twitter.com/hashtagvanlife/status/723151978147266560" TargetMode="External"/><Relationship Id="rId3673" Type="http://schemas.openxmlformats.org/officeDocument/2006/relationships/hyperlink" Target="https://twitter.com/hb_investigativ/status/723167164681850880" TargetMode="External"/><Relationship Id="rId13267" Type="http://schemas.openxmlformats.org/officeDocument/2006/relationships/hyperlink" Target="https://twitter.com/kngeuro" TargetMode="External"/><Relationship Id="rId18939" Type="http://schemas.openxmlformats.org/officeDocument/2006/relationships/hyperlink" Target="https://twitter.com/Hanningkannnix/status/723907346439757825" TargetMode="External"/><Relationship Id="rId20483" Type="http://schemas.openxmlformats.org/officeDocument/2006/relationships/hyperlink" Target="https://pbs.twimg.com/profile_images/2335693624/8d0zkbzviiv8pqpcupyd_normal.jpeg" TargetMode="External"/><Relationship Id="rId6896" Type="http://schemas.openxmlformats.org/officeDocument/2006/relationships/hyperlink" Target="https://pbs.twimg.com/profile_images/1771451657/il_570xN.291650220_normal.jpg" TargetMode="External"/><Relationship Id="rId20136" Type="http://schemas.openxmlformats.org/officeDocument/2006/relationships/hyperlink" Target="https://twitter.com/TheLovebusWedCo" TargetMode="External"/><Relationship Id="rId6549" Type="http://schemas.openxmlformats.org/officeDocument/2006/relationships/hyperlink" Target="https://twitter.com/carsdotcom" TargetMode="External"/><Relationship Id="rId12350" Type="http://schemas.openxmlformats.org/officeDocument/2006/relationships/hyperlink" Target="https://twitter.com/doern" TargetMode="External"/><Relationship Id="rId23359" Type="http://schemas.openxmlformats.org/officeDocument/2006/relationships/hyperlink" Target="https://pbs.twimg.com/profile_images/711506516294041600/1fr0IryT_normal.jpg" TargetMode="External"/><Relationship Id="rId9022" Type="http://schemas.openxmlformats.org/officeDocument/2006/relationships/hyperlink" Target="https://pbs.twimg.com/profile_images/714105573571166208/8VHOE6pb_normal.jpg" TargetMode="External"/><Relationship Id="rId12003" Type="http://schemas.openxmlformats.org/officeDocument/2006/relationships/hyperlink" Target="https://pbs.twimg.com/profile_images/662742453741424640/mBCMTG51_normal.png" TargetMode="External"/><Relationship Id="rId15573" Type="http://schemas.openxmlformats.org/officeDocument/2006/relationships/hyperlink" Target="https://pbs.twimg.com/profile_images/378800000747750946/394d9f0f5e6dde5137683d9c98c5c8a9_normal.jpeg" TargetMode="External"/><Relationship Id="rId5632" Type="http://schemas.openxmlformats.org/officeDocument/2006/relationships/hyperlink" Target="https://pbs.twimg.com/profile_images/424893967197433858/iQ86NktX_normal.jpeg" TargetMode="External"/><Relationship Id="rId15226" Type="http://schemas.openxmlformats.org/officeDocument/2006/relationships/hyperlink" Target="https://twitter.com/BASFCorporation/status/723599300647878657" TargetMode="External"/><Relationship Id="rId22442" Type="http://schemas.openxmlformats.org/officeDocument/2006/relationships/hyperlink" Target="https://twitter.com/beetlebug1938" TargetMode="External"/><Relationship Id="rId3183" Type="http://schemas.openxmlformats.org/officeDocument/2006/relationships/hyperlink" Target="https://twitter.com/Ken_Weene/status/723144752586211328" TargetMode="External"/><Relationship Id="rId18796" Type="http://schemas.openxmlformats.org/officeDocument/2006/relationships/hyperlink" Target="https://pbs.twimg.com/profile_images/705074350152556544/DuuTJ6bR_normal.jpg" TargetMode="External"/><Relationship Id="rId8855" Type="http://schemas.openxmlformats.org/officeDocument/2006/relationships/hyperlink" Target="https://twitter.com/vwpress_de" TargetMode="External"/><Relationship Id="rId11836" Type="http://schemas.openxmlformats.org/officeDocument/2006/relationships/hyperlink" Target="https://twitter.com/bvdvliet" TargetMode="External"/><Relationship Id="rId18449" Type="http://schemas.openxmlformats.org/officeDocument/2006/relationships/hyperlink" Target="https://twitter.com/josiah_jurado" TargetMode="External"/><Relationship Id="rId25665" Type="http://schemas.openxmlformats.org/officeDocument/2006/relationships/hyperlink" Target="https://twitter.com/80230e4f9e424a1" TargetMode="External"/><Relationship Id="rId6059" Type="http://schemas.openxmlformats.org/officeDocument/2006/relationships/hyperlink" Target="https://pbs.twimg.com/profile_images/3024463426/6fdd324a671ebf8f22d5c13bd5e4fe51_normal.jpeg" TargetMode="External"/><Relationship Id="rId8508" Type="http://schemas.openxmlformats.org/officeDocument/2006/relationships/hyperlink" Target="https://twitter.com/2112greg" TargetMode="External"/><Relationship Id="rId25318" Type="http://schemas.openxmlformats.org/officeDocument/2006/relationships/hyperlink" Target="https://pbs.twimg.com/profile_images/617431372093894656/hugBtv85_normal.jpg" TargetMode="External"/><Relationship Id="rId17532" Type="http://schemas.openxmlformats.org/officeDocument/2006/relationships/hyperlink" Target="https://twitter.com/crossasinangry/status/723805343076220929" TargetMode="External"/><Relationship Id="rId21928" Type="http://schemas.openxmlformats.org/officeDocument/2006/relationships/hyperlink" Target="https://twitter.com/365Daytonafan" TargetMode="External"/><Relationship Id="rId988" Type="http://schemas.openxmlformats.org/officeDocument/2006/relationships/hyperlink" Target="https://twitter.com/beetlebug1938/status/723010726437224448" TargetMode="External"/><Relationship Id="rId2669" Type="http://schemas.openxmlformats.org/officeDocument/2006/relationships/hyperlink" Target="https://twitter.com/tejaschafekar" TargetMode="External"/><Relationship Id="rId15083" Type="http://schemas.openxmlformats.org/officeDocument/2006/relationships/hyperlink" Target="https://twitter.com/tesla_diary" TargetMode="External"/><Relationship Id="rId24401" Type="http://schemas.openxmlformats.org/officeDocument/2006/relationships/hyperlink" Target="https://twitter.com/BleyJennifer/status/724353916733906946" TargetMode="External"/><Relationship Id="rId5142" Type="http://schemas.openxmlformats.org/officeDocument/2006/relationships/hyperlink" Target="https://twitter.com/HansKoberstein" TargetMode="External"/><Relationship Id="rId8365" Type="http://schemas.openxmlformats.org/officeDocument/2006/relationships/hyperlink" Target="https://twitter.com/Stahlhammer" TargetMode="External"/><Relationship Id="rId11693" Type="http://schemas.openxmlformats.org/officeDocument/2006/relationships/hyperlink" Target="https://twitter.com/pcbritz/status/723505505516302336" TargetMode="External"/><Relationship Id="rId25175" Type="http://schemas.openxmlformats.org/officeDocument/2006/relationships/hyperlink" Target="https://twitter.com/dougyfresh_79/status/724425066771935232" TargetMode="External"/><Relationship Id="rId1405" Type="http://schemas.openxmlformats.org/officeDocument/2006/relationships/hyperlink" Target="https://pbs.twimg.com/profile_images/378800000210197475/0dc436cb9044eecbb42d45b90630a327_normal.jpeg" TargetMode="External"/><Relationship Id="rId1752" Type="http://schemas.openxmlformats.org/officeDocument/2006/relationships/hyperlink" Target="https://twitter.com/FusionAlloys" TargetMode="External"/><Relationship Id="rId8018" Type="http://schemas.openxmlformats.org/officeDocument/2006/relationships/hyperlink" Target="https://twitter.com/StvnsFrnk/status/723353115081076736" TargetMode="External"/><Relationship Id="rId11346" Type="http://schemas.openxmlformats.org/officeDocument/2006/relationships/hyperlink" Target="https://pbs.twimg.com/profile_images/721572226600943616/rLXy7VpS_normal.jpg" TargetMode="External"/><Relationship Id="rId4975" Type="http://schemas.openxmlformats.org/officeDocument/2006/relationships/hyperlink" Target="https://pbs.twimg.com/profile_images/578542636140781568/2T_ukEU0_normal.jpeg" TargetMode="External"/><Relationship Id="rId14569" Type="http://schemas.openxmlformats.org/officeDocument/2006/relationships/hyperlink" Target="https://twitter.com/Cynfullll" TargetMode="External"/><Relationship Id="rId21785" Type="http://schemas.openxmlformats.org/officeDocument/2006/relationships/hyperlink" Target="https://twitter.com/dubbusses/status/724179008565456896" TargetMode="External"/><Relationship Id="rId498" Type="http://schemas.openxmlformats.org/officeDocument/2006/relationships/hyperlink" Target="https://twitter.com/dejbanlaw" TargetMode="External"/><Relationship Id="rId2179" Type="http://schemas.openxmlformats.org/officeDocument/2006/relationships/hyperlink" Target="https://twitter.com/CihazTV" TargetMode="External"/><Relationship Id="rId4628" Type="http://schemas.openxmlformats.org/officeDocument/2006/relationships/hyperlink" Target="https://pbs.twimg.com/profile_images/699913841388449792/Bz17p4to_normal.jpg" TargetMode="External"/><Relationship Id="rId17042" Type="http://schemas.openxmlformats.org/officeDocument/2006/relationships/hyperlink" Target="https://pbs.twimg.com/profile_images/677290875785977856/NSbHTnLj_normal.jpg" TargetMode="External"/><Relationship Id="rId21438" Type="http://schemas.openxmlformats.org/officeDocument/2006/relationships/hyperlink" Target="https://twitter.com/dubbusses/status/724148695663562752" TargetMode="External"/><Relationship Id="rId7101" Type="http://schemas.openxmlformats.org/officeDocument/2006/relationships/hyperlink" Target="https://twitter.com/manifestproxy" TargetMode="External"/><Relationship Id="rId13652" Type="http://schemas.openxmlformats.org/officeDocument/2006/relationships/hyperlink" Target="https://twitter.com/RainerRogge/status/723552383612104704" TargetMode="External"/><Relationship Id="rId3711" Type="http://schemas.openxmlformats.org/officeDocument/2006/relationships/hyperlink" Target="http://dlvr.it/" TargetMode="External"/><Relationship Id="rId13305" Type="http://schemas.openxmlformats.org/officeDocument/2006/relationships/hyperlink" Target="https://twitter.com/beetlebug1938/status/723543117421547520" TargetMode="External"/><Relationship Id="rId20521" Type="http://schemas.openxmlformats.org/officeDocument/2006/relationships/hyperlink" Target="https://twitter.com/zippi" TargetMode="External"/><Relationship Id="rId1262" Type="http://schemas.openxmlformats.org/officeDocument/2006/relationships/hyperlink" Target="https://twitter.com/DhakaTribune" TargetMode="External"/><Relationship Id="rId16875" Type="http://schemas.openxmlformats.org/officeDocument/2006/relationships/hyperlink" Target="https://twitter.com/soboro1022" TargetMode="External"/><Relationship Id="rId4485" Type="http://schemas.openxmlformats.org/officeDocument/2006/relationships/hyperlink" Target="https://twitter.com/Spicer_Meg" TargetMode="External"/><Relationship Id="rId6934" Type="http://schemas.openxmlformats.org/officeDocument/2006/relationships/hyperlink" Target="https://twitter.com/Fran11player" TargetMode="External"/><Relationship Id="rId14079" Type="http://schemas.openxmlformats.org/officeDocument/2006/relationships/hyperlink" Target="https://twitter.com/Sevenbey" TargetMode="External"/><Relationship Id="rId16528" Type="http://schemas.openxmlformats.org/officeDocument/2006/relationships/hyperlink" Target="https://twitter.com/Sutjeska/status/723694019377766400" TargetMode="External"/><Relationship Id="rId21295" Type="http://schemas.openxmlformats.org/officeDocument/2006/relationships/hyperlink" Target="https://pbs.twimg.com/profile_images/720573378889814016/NgpA-9lN_normal.jpg" TargetMode="External"/><Relationship Id="rId23744" Type="http://schemas.openxmlformats.org/officeDocument/2006/relationships/hyperlink" Target="https://twitter.com/CSRDispatch" TargetMode="External"/><Relationship Id="rId4138" Type="http://schemas.openxmlformats.org/officeDocument/2006/relationships/hyperlink" Target="https://twitter.com/Philippe_Leviez" TargetMode="External"/><Relationship Id="rId19001" Type="http://schemas.openxmlformats.org/officeDocument/2006/relationships/hyperlink" Target="https://pbs.twimg.com/profile_images/378800000528765970/3ab9f2a00010e9cac08d5ca1638926e9_normal.png" TargetMode="External"/><Relationship Id="rId10689" Type="http://schemas.openxmlformats.org/officeDocument/2006/relationships/hyperlink" Target="https://twitter.com/NDRreporter/status/723480892291833856" TargetMode="External"/><Relationship Id="rId15611" Type="http://schemas.openxmlformats.org/officeDocument/2006/relationships/hyperlink" Target="https://pbs.twimg.com/profile_images/682518374467944448/JjbYaxue_normal.png" TargetMode="External"/><Relationship Id="rId13162" Type="http://schemas.openxmlformats.org/officeDocument/2006/relationships/hyperlink" Target="https://twitter.com/SocialAutos/status/723537227343646720" TargetMode="External"/><Relationship Id="rId3221" Type="http://schemas.openxmlformats.org/officeDocument/2006/relationships/hyperlink" Target="https://twitter.com/jaaviPR/status/723145565828079618" TargetMode="External"/><Relationship Id="rId6791" Type="http://schemas.openxmlformats.org/officeDocument/2006/relationships/hyperlink" Target="https://twitter.com/VWCamperSales/status/723260801205719040" TargetMode="External"/><Relationship Id="rId16385" Type="http://schemas.openxmlformats.org/officeDocument/2006/relationships/hyperlink" Target="https://twitter.com/VolkswagenPost/status/723676689771843584" TargetMode="External"/><Relationship Id="rId18834" Type="http://schemas.openxmlformats.org/officeDocument/2006/relationships/hyperlink" Target="https://twitter.com/SocialAutos" TargetMode="External"/><Relationship Id="rId20031" Type="http://schemas.openxmlformats.org/officeDocument/2006/relationships/hyperlink" Target="https://pbs.twimg.com/profile_images/3378184537/c20ae9a7a410821b4f189c34a63380f7_normal.png" TargetMode="External"/><Relationship Id="rId8" Type="http://schemas.openxmlformats.org/officeDocument/2006/relationships/hyperlink" Target="https://twitter.com/khilogram/status/722918906914975744" TargetMode="External"/><Relationship Id="rId6444" Type="http://schemas.openxmlformats.org/officeDocument/2006/relationships/hyperlink" Target="https://pbs.twimg.com/profile_images/378800000294500452/68c340ccd928a30461006e91a4389bd7_normal.jpeg" TargetMode="External"/><Relationship Id="rId16038" Type="http://schemas.openxmlformats.org/officeDocument/2006/relationships/hyperlink" Target="https://twitter.com/dealersouq/status/723645223319015426" TargetMode="External"/><Relationship Id="rId23254" Type="http://schemas.openxmlformats.org/officeDocument/2006/relationships/hyperlink" Target="https://pbs.twimg.com/profile_images/3378184537/c20ae9a7a410821b4f189c34a63380f7_normal.png" TargetMode="External"/><Relationship Id="rId25703" Type="http://schemas.openxmlformats.org/officeDocument/2006/relationships/hyperlink" Target="https://pbs.twimg.com/profile_images/711534498765115392/I7LaS622_normal.jpg" TargetMode="External"/><Relationship Id="rId9667" Type="http://schemas.openxmlformats.org/officeDocument/2006/relationships/hyperlink" Target="https://twitter.com/dermaschinist" TargetMode="External"/><Relationship Id="rId12995" Type="http://schemas.openxmlformats.org/officeDocument/2006/relationships/hyperlink" Target="http://dlvr.it/" TargetMode="External"/><Relationship Id="rId12648" Type="http://schemas.openxmlformats.org/officeDocument/2006/relationships/hyperlink" Target="https://twitter.com/Rob_Vela/status/723524326725697536" TargetMode="External"/><Relationship Id="rId2707" Type="http://schemas.openxmlformats.org/officeDocument/2006/relationships/hyperlink" Target="https://pbs.twimg.com/profile_images/441617884725276672/SnZtRMvP_normal.jpeg" TargetMode="External"/><Relationship Id="rId10199" Type="http://schemas.openxmlformats.org/officeDocument/2006/relationships/hyperlink" Target="https://twitter.com/Deichgraph_/status/723465757544337408" TargetMode="External"/><Relationship Id="rId15121" Type="http://schemas.openxmlformats.org/officeDocument/2006/relationships/hyperlink" Target="https://twitter.com/loll1980" TargetMode="External"/><Relationship Id="rId18691" Type="http://schemas.openxmlformats.org/officeDocument/2006/relationships/hyperlink" Target="https://pbs.twimg.com/profile_images/722201032479088641/gDpR-6wN_normal.jpg" TargetMode="External"/><Relationship Id="rId8750" Type="http://schemas.openxmlformats.org/officeDocument/2006/relationships/hyperlink" Target="https://twitter.com/meckergecko" TargetMode="External"/><Relationship Id="rId11731" Type="http://schemas.openxmlformats.org/officeDocument/2006/relationships/hyperlink" Target="https://pbs.twimg.com/profile_images/706833390725681152/IaXMLicB_normal.jpg" TargetMode="External"/><Relationship Id="rId18344" Type="http://schemas.openxmlformats.org/officeDocument/2006/relationships/hyperlink" Target="https://twitter.com/confiafinancial" TargetMode="External"/><Relationship Id="rId25560" Type="http://schemas.openxmlformats.org/officeDocument/2006/relationships/hyperlink" Target="https://twitter.com/bundes_car/status/724448148370952195" TargetMode="External"/><Relationship Id="rId8403" Type="http://schemas.openxmlformats.org/officeDocument/2006/relationships/hyperlink" Target="https://pbs.twimg.com/profile_images/687900318173114368/7j9ynoeV_normal.jpg" TargetMode="External"/><Relationship Id="rId25213" Type="http://schemas.openxmlformats.org/officeDocument/2006/relationships/hyperlink" Target="https://twitter.com/DeeZeeX/status/724426850546520065" TargetMode="External"/><Relationship Id="rId14954" Type="http://schemas.openxmlformats.org/officeDocument/2006/relationships/hyperlink" Target="https://twitter.com/SerraTVC" TargetMode="External"/><Relationship Id="rId883" Type="http://schemas.openxmlformats.org/officeDocument/2006/relationships/hyperlink" Target="https://pbs.twimg.com/profile_images/527635549872345088/sDHCliSk_normal.png" TargetMode="External"/><Relationship Id="rId2564" Type="http://schemas.openxmlformats.org/officeDocument/2006/relationships/hyperlink" Target="https://twitter.com/vwpress_PL" TargetMode="External"/><Relationship Id="rId9177" Type="http://schemas.openxmlformats.org/officeDocument/2006/relationships/hyperlink" Target="https://twitter.com/doern" TargetMode="External"/><Relationship Id="rId12158" Type="http://schemas.openxmlformats.org/officeDocument/2006/relationships/hyperlink" Target="http://dlvr.it/" TargetMode="External"/><Relationship Id="rId14607" Type="http://schemas.openxmlformats.org/officeDocument/2006/relationships/hyperlink" Target="https://twitter.com/gaffers101" TargetMode="External"/><Relationship Id="rId21823" Type="http://schemas.openxmlformats.org/officeDocument/2006/relationships/hyperlink" Target="https://twitter.com/vwdepo/status/724181568479223809" TargetMode="External"/><Relationship Id="rId536" Type="http://schemas.openxmlformats.org/officeDocument/2006/relationships/hyperlink" Target="https://pbs.twimg.com/profile_images/575826253321629696/1w4h8TgV_normal.jpeg" TargetMode="External"/><Relationship Id="rId2217" Type="http://schemas.openxmlformats.org/officeDocument/2006/relationships/hyperlink" Target="https://twitter.com/carlo_fiat/status/723088926471258116" TargetMode="External"/><Relationship Id="rId5787" Type="http://schemas.openxmlformats.org/officeDocument/2006/relationships/hyperlink" Target="https://twitter.com/JoachimPeiper8" TargetMode="External"/><Relationship Id="rId22597" Type="http://schemas.openxmlformats.org/officeDocument/2006/relationships/hyperlink" Target="https://twitter.com/vw8valve/status/724232921712721920" TargetMode="External"/><Relationship Id="rId8260" Type="http://schemas.openxmlformats.org/officeDocument/2006/relationships/hyperlink" Target="https://twitter.com/secret_ledger/status/723379656116736002" TargetMode="External"/><Relationship Id="rId11241" Type="http://schemas.openxmlformats.org/officeDocument/2006/relationships/hyperlink" Target="https://twitter.com/VanagonNews/status/723499587223212032" TargetMode="External"/><Relationship Id="rId25070" Type="http://schemas.openxmlformats.org/officeDocument/2006/relationships/hyperlink" Target="https://twitter.com/VolkswagenPost" TargetMode="External"/><Relationship Id="rId1300" Type="http://schemas.openxmlformats.org/officeDocument/2006/relationships/hyperlink" Target="https://twitter.com/NancyCNBC" TargetMode="External"/><Relationship Id="rId4870" Type="http://schemas.openxmlformats.org/officeDocument/2006/relationships/hyperlink" Target="https://twitter.com/VWCamperSales" TargetMode="External"/><Relationship Id="rId14464" Type="http://schemas.openxmlformats.org/officeDocument/2006/relationships/hyperlink" Target="https://twitter.com/UmaSharandon/status/723574375904083968" TargetMode="External"/><Relationship Id="rId16913" Type="http://schemas.openxmlformats.org/officeDocument/2006/relationships/hyperlink" Target="https://twitter.com/sid_shenoy/status/723748484516442112" TargetMode="External"/><Relationship Id="rId21680" Type="http://schemas.openxmlformats.org/officeDocument/2006/relationships/hyperlink" Target="https://twitter.com/ErnstNordholt/status/724168062694481922" TargetMode="External"/><Relationship Id="rId4523" Type="http://schemas.openxmlformats.org/officeDocument/2006/relationships/hyperlink" Target="https://pbs.twimg.com/profile_images/677367923506311168/QwkQcBVL_normal.jpg" TargetMode="External"/><Relationship Id="rId14117" Type="http://schemas.openxmlformats.org/officeDocument/2006/relationships/hyperlink" Target="https://pbs.twimg.com/profile_images/489840212432797696/8B7nUF7a_normal.jpeg" TargetMode="External"/><Relationship Id="rId21333" Type="http://schemas.openxmlformats.org/officeDocument/2006/relationships/hyperlink" Target="https://twitter.com/vwpress_de/status/724142258300293121" TargetMode="External"/><Relationship Id="rId393" Type="http://schemas.openxmlformats.org/officeDocument/2006/relationships/hyperlink" Target="https://twitter.com/vw_escarabajo/status/722953009114783744" TargetMode="External"/><Relationship Id="rId2074" Type="http://schemas.openxmlformats.org/officeDocument/2006/relationships/hyperlink" Target="http://dlvr.it/" TargetMode="External"/><Relationship Id="rId7746" Type="http://schemas.openxmlformats.org/officeDocument/2006/relationships/hyperlink" Target="https://twitter.com/lautaro_olive/status/723330017619521536" TargetMode="External"/><Relationship Id="rId17687" Type="http://schemas.openxmlformats.org/officeDocument/2006/relationships/hyperlink" Target="https://pbs.twimg.com/profile_images/656139604026724353/FTB6saBQ_normal.jpg" TargetMode="External"/><Relationship Id="rId5297" Type="http://schemas.openxmlformats.org/officeDocument/2006/relationships/hyperlink" Target="https://pbs.twimg.com/profile_images/651204715607273472/WO_LwRkF_normal.png" TargetMode="External"/><Relationship Id="rId10727" Type="http://schemas.openxmlformats.org/officeDocument/2006/relationships/hyperlink" Target="https://twitter.com/CornwallBzForum" TargetMode="External"/><Relationship Id="rId24209" Type="http://schemas.openxmlformats.org/officeDocument/2006/relationships/hyperlink" Target="https://pbs.twimg.com/profile_images/705780107844067328/e7O4UBNb_normal.jpg" TargetMode="External"/><Relationship Id="rId24556" Type="http://schemas.openxmlformats.org/officeDocument/2006/relationships/hyperlink" Target="https://twitter.com/RCVolkswagen/status/724370915438518272" TargetMode="External"/><Relationship Id="rId13200" Type="http://schemas.openxmlformats.org/officeDocument/2006/relationships/hyperlink" Target="https://twitter.com/NollyPrott" TargetMode="External"/><Relationship Id="rId16770" Type="http://schemas.openxmlformats.org/officeDocument/2006/relationships/hyperlink" Target="https://twitter.com/Scirocco_Tuning/status/723727915276480513" TargetMode="External"/><Relationship Id="rId16423" Type="http://schemas.openxmlformats.org/officeDocument/2006/relationships/hyperlink" Target="https://twitter.com/QuentinDempster" TargetMode="External"/><Relationship Id="rId19993" Type="http://schemas.openxmlformats.org/officeDocument/2006/relationships/hyperlink" Target="https://pbs.twimg.com/profile_images/718835727027580928/1ssyQ67y_normal.jpg" TargetMode="External"/><Relationship Id="rId20819" Type="http://schemas.openxmlformats.org/officeDocument/2006/relationships/hyperlink" Target="https://twitter.com/fercabmoreno/status/724047599616036864" TargetMode="External"/><Relationship Id="rId4380" Type="http://schemas.openxmlformats.org/officeDocument/2006/relationships/hyperlink" Target="https://pbs.twimg.com/profile_images/530281935289851905/gYVTeJZK_normal.jpeg" TargetMode="External"/><Relationship Id="rId19646" Type="http://schemas.openxmlformats.org/officeDocument/2006/relationships/hyperlink" Target="https://twitter.com/ukoepke/status/723944819505139712" TargetMode="External"/><Relationship Id="rId21190" Type="http://schemas.openxmlformats.org/officeDocument/2006/relationships/hyperlink" Target="https://twitter.com/Mphilpot1" TargetMode="External"/><Relationship Id="rId4033" Type="http://schemas.openxmlformats.org/officeDocument/2006/relationships/hyperlink" Target="https://twitter.com/dw_business" TargetMode="External"/><Relationship Id="rId9705" Type="http://schemas.openxmlformats.org/officeDocument/2006/relationships/hyperlink" Target="https://twitter.com/VolkerVotsmeier/status/723446175978770434" TargetMode="External"/><Relationship Id="rId10584" Type="http://schemas.openxmlformats.org/officeDocument/2006/relationships/hyperlink" Target="https://twitter.com/TaylorSolution1" TargetMode="External"/><Relationship Id="rId17197" Type="http://schemas.openxmlformats.org/officeDocument/2006/relationships/hyperlink" Target="https://abs.twimg.com/sticky/default_profile_images/default_profile_1_normal.png" TargetMode="External"/><Relationship Id="rId7256" Type="http://schemas.openxmlformats.org/officeDocument/2006/relationships/hyperlink" Target="https://pbs.twimg.com/profile_images/513238663489388545/MPjFU3cf_normal.jpeg" TargetMode="External"/><Relationship Id="rId10237" Type="http://schemas.openxmlformats.org/officeDocument/2006/relationships/hyperlink" Target="https://pbs.twimg.com/profile_images/676702923305431040/GMEgqxrB_normal.jpg" TargetMode="External"/><Relationship Id="rId24066" Type="http://schemas.openxmlformats.org/officeDocument/2006/relationships/hyperlink" Target="https://twitter.com/VWCamperSales/status/724330119184048129" TargetMode="External"/><Relationship Id="rId15909" Type="http://schemas.openxmlformats.org/officeDocument/2006/relationships/hyperlink" Target="https://twitter.com/WWQualityCars/status/723636627197833216" TargetMode="External"/><Relationship Id="rId3866" Type="http://schemas.openxmlformats.org/officeDocument/2006/relationships/hyperlink" Target="https://pbs.twimg.com/profile_images/703880794528464896/nbUoj4Hv_normal.jpg" TargetMode="External"/><Relationship Id="rId16280" Type="http://schemas.openxmlformats.org/officeDocument/2006/relationships/hyperlink" Target="https://twitter.com/BeaconWealth/status/723664694523924480" TargetMode="External"/><Relationship Id="rId20676" Type="http://schemas.openxmlformats.org/officeDocument/2006/relationships/hyperlink" Target="https://twitter.com/VWBeetleSales/status/724024578029166593" TargetMode="External"/><Relationship Id="rId3519" Type="http://schemas.openxmlformats.org/officeDocument/2006/relationships/hyperlink" Target="https://twitter.com/GUILLEN2507" TargetMode="External"/><Relationship Id="rId12890" Type="http://schemas.openxmlformats.org/officeDocument/2006/relationships/hyperlink" Target="https://twitter.com/FoinB" TargetMode="External"/><Relationship Id="rId20329" Type="http://schemas.openxmlformats.org/officeDocument/2006/relationships/hyperlink" Target="https://pbs.twimg.com/profile_images/716386262387527680/iXBQikmn_normal.jpg" TargetMode="External"/><Relationship Id="rId23899" Type="http://schemas.openxmlformats.org/officeDocument/2006/relationships/hyperlink" Target="https://pbs.twimg.com/profile_images/704751474425860098/YaW2hfRN_normal.jpg" TargetMode="External"/><Relationship Id="rId9562" Type="http://schemas.openxmlformats.org/officeDocument/2006/relationships/hyperlink" Target="https://pbs.twimg.com/profile_images/657853466384191488/J6vAnfZr_normal.jpg" TargetMode="External"/><Relationship Id="rId12543" Type="http://schemas.openxmlformats.org/officeDocument/2006/relationships/hyperlink" Target="https://twitter.com/margotoge/status/723522305826131968" TargetMode="External"/><Relationship Id="rId19156" Type="http://schemas.openxmlformats.org/officeDocument/2006/relationships/hyperlink" Target="https://twitter.com/_sea_fox_" TargetMode="External"/><Relationship Id="rId921" Type="http://schemas.openxmlformats.org/officeDocument/2006/relationships/hyperlink" Target="https://twitter.com/SuranClub/status/723001316172259328" TargetMode="External"/><Relationship Id="rId2602" Type="http://schemas.openxmlformats.org/officeDocument/2006/relationships/hyperlink" Target="https://pbs.twimg.com/profile_images/658039201645109252/pYRgJI8U_normal.jpg" TargetMode="External"/><Relationship Id="rId9215" Type="http://schemas.openxmlformats.org/officeDocument/2006/relationships/hyperlink" Target="https://pbs.twimg.com/profile_images/1845805113/foto_normal.gif" TargetMode="External"/><Relationship Id="rId10094" Type="http://schemas.openxmlformats.org/officeDocument/2006/relationships/hyperlink" Target="https://twitter.com/kalininalenina" TargetMode="External"/><Relationship Id="rId5825" Type="http://schemas.openxmlformats.org/officeDocument/2006/relationships/hyperlink" Target="https://pbs.twimg.com/profile_images/662385542064029696/e6ZBpmc1_normal.png" TargetMode="External"/><Relationship Id="rId15766" Type="http://schemas.openxmlformats.org/officeDocument/2006/relationships/hyperlink" Target="https://twitter.com/juergenarne" TargetMode="External"/><Relationship Id="rId22982" Type="http://schemas.openxmlformats.org/officeDocument/2006/relationships/hyperlink" Target="https://twitter.com/SocialNewsCorp" TargetMode="External"/><Relationship Id="rId3376" Type="http://schemas.openxmlformats.org/officeDocument/2006/relationships/hyperlink" Target="https://pbs.twimg.com/profile_images/695303050580385793/wXS47Pgy_normal.jpg" TargetMode="External"/><Relationship Id="rId15419" Type="http://schemas.openxmlformats.org/officeDocument/2006/relationships/hyperlink" Target="https://twitter.com/CybermikeK/status/723607095283687425" TargetMode="External"/><Relationship Id="rId18989" Type="http://schemas.openxmlformats.org/officeDocument/2006/relationships/hyperlink" Target="https://twitter.com/VeeDubMk1_/status/723911692938305536" TargetMode="External"/><Relationship Id="rId20186" Type="http://schemas.openxmlformats.org/officeDocument/2006/relationships/hyperlink" Target="https://twitter.com/SCWorks_media/status/723980120566980608" TargetMode="External"/><Relationship Id="rId22635" Type="http://schemas.openxmlformats.org/officeDocument/2006/relationships/hyperlink" Target="https://pbs.twimg.com/profile_images/3037533242/c034e8ffe53c4c7397584d9c1d1cac38_normal.jpeg" TargetMode="External"/><Relationship Id="rId3029" Type="http://schemas.openxmlformats.org/officeDocument/2006/relationships/hyperlink" Target="https://pbs.twimg.com/profile_images/433531340911149056/UUguipZ9_normal.jpeg" TargetMode="External"/><Relationship Id="rId6599" Type="http://schemas.openxmlformats.org/officeDocument/2006/relationships/hyperlink" Target="https://pbs.twimg.com/profile_images/695388311288819712/-5hAbwJD_normal.jpg" TargetMode="External"/><Relationship Id="rId9072" Type="http://schemas.openxmlformats.org/officeDocument/2006/relationships/hyperlink" Target="https://pbs.twimg.com/profile_images/1621959672/Hausfrauen22_normal.jpg" TargetMode="External"/><Relationship Id="rId14502" Type="http://schemas.openxmlformats.org/officeDocument/2006/relationships/hyperlink" Target="https://twitter.com/TractatusArtium" TargetMode="External"/><Relationship Id="rId12053" Type="http://schemas.openxmlformats.org/officeDocument/2006/relationships/hyperlink" Target="https://twitter.com/FAZ_Wirtschaft" TargetMode="External"/><Relationship Id="rId17725" Type="http://schemas.openxmlformats.org/officeDocument/2006/relationships/hyperlink" Target="https://twitter.com/CarWaffle/status/723819901874515968" TargetMode="External"/><Relationship Id="rId24941" Type="http://schemas.openxmlformats.org/officeDocument/2006/relationships/hyperlink" Target="https://pbs.twimg.com/profile_images/592866632957042688/Ic1cU_W7_normal.jpg" TargetMode="External"/><Relationship Id="rId431" Type="http://schemas.openxmlformats.org/officeDocument/2006/relationships/hyperlink" Target="https://twitter.com/VAGFanArg" TargetMode="External"/><Relationship Id="rId2112" Type="http://schemas.openxmlformats.org/officeDocument/2006/relationships/hyperlink" Target="https://pbs.twimg.com/profile_images/1163268131/Logo_f_r_Twitter_normal.jpg" TargetMode="External"/><Relationship Id="rId5682" Type="http://schemas.openxmlformats.org/officeDocument/2006/relationships/hyperlink" Target="https://pbs.twimg.com/profile_images/705780107844067328/e7O4UBNb_normal.jpg" TargetMode="External"/><Relationship Id="rId15276" Type="http://schemas.openxmlformats.org/officeDocument/2006/relationships/hyperlink" Target="https://pbs.twimg.com/profile_images/425027493100552192/c0hUDijC_normal.jpeg" TargetMode="External"/><Relationship Id="rId22492" Type="http://schemas.openxmlformats.org/officeDocument/2006/relationships/hyperlink" Target="https://twitter.com/VWCamperSales/status/724226034875293696" TargetMode="External"/><Relationship Id="rId5335" Type="http://schemas.openxmlformats.org/officeDocument/2006/relationships/hyperlink" Target="https://twitter.com/JoseIPalomo/status/723200095538257920" TargetMode="External"/><Relationship Id="rId18499" Type="http://schemas.openxmlformats.org/officeDocument/2006/relationships/hyperlink" Target="https://twitter.com/PheonixJane/status/723873649585971201" TargetMode="External"/><Relationship Id="rId22145" Type="http://schemas.openxmlformats.org/officeDocument/2006/relationships/hyperlink" Target="https://twitter.com/devoncampers" TargetMode="External"/><Relationship Id="rId8558" Type="http://schemas.openxmlformats.org/officeDocument/2006/relationships/hyperlink" Target="https://twitter.com/Beukennon" TargetMode="External"/><Relationship Id="rId11886" Type="http://schemas.openxmlformats.org/officeDocument/2006/relationships/hyperlink" Target="https://twitter.com/ChuckDalldorf" TargetMode="External"/><Relationship Id="rId25368" Type="http://schemas.openxmlformats.org/officeDocument/2006/relationships/hyperlink" Target="https://twitter.com/VCT_Tweets" TargetMode="External"/><Relationship Id="rId1945" Type="http://schemas.openxmlformats.org/officeDocument/2006/relationships/hyperlink" Target="https://pbs.twimg.com/profile_images/477440456867868673/TZIaw60e_normal.jpeg" TargetMode="External"/><Relationship Id="rId11539" Type="http://schemas.openxmlformats.org/officeDocument/2006/relationships/hyperlink" Target="https://twitter.com/doern" TargetMode="External"/><Relationship Id="rId14012" Type="http://schemas.openxmlformats.org/officeDocument/2006/relationships/hyperlink" Target="https://twitter.com/vwdepo" TargetMode="External"/><Relationship Id="rId17582" Type="http://schemas.openxmlformats.org/officeDocument/2006/relationships/hyperlink" Target="https://twitter.com/cas_2050001283/status/723808335900860416" TargetMode="External"/><Relationship Id="rId21978" Type="http://schemas.openxmlformats.org/officeDocument/2006/relationships/hyperlink" Target="https://twitter.com/vwpress_de" TargetMode="External"/><Relationship Id="rId7641" Type="http://schemas.openxmlformats.org/officeDocument/2006/relationships/hyperlink" Target="https://twitter.com/LeahEasley" TargetMode="External"/><Relationship Id="rId10622" Type="http://schemas.openxmlformats.org/officeDocument/2006/relationships/hyperlink" Target="http://www.infooffensive.de/" TargetMode="External"/><Relationship Id="rId17235" Type="http://schemas.openxmlformats.org/officeDocument/2006/relationships/hyperlink" Target="https://twitter.com/GrahamBlack30/status/723782288316706816" TargetMode="External"/><Relationship Id="rId24451" Type="http://schemas.openxmlformats.org/officeDocument/2006/relationships/hyperlink" Target="https://twitter.com/M5marketing/status/724360908726632452" TargetMode="External"/><Relationship Id="rId5192" Type="http://schemas.openxmlformats.org/officeDocument/2006/relationships/hyperlink" Target="https://pbs.twimg.com/profile_images/378800000572104796/1de43e1cf23efb3f4101c02afad0d3b6_normal.png" TargetMode="External"/><Relationship Id="rId24104" Type="http://schemas.openxmlformats.org/officeDocument/2006/relationships/hyperlink" Target="https://abs.twimg.com/sticky/default_profile_images/default_profile_6_normal.png" TargetMode="External"/><Relationship Id="rId3904" Type="http://schemas.openxmlformats.org/officeDocument/2006/relationships/hyperlink" Target="https://twitter.com/MarkOkanagan/status/723171755146125313" TargetMode="External"/><Relationship Id="rId11396" Type="http://schemas.openxmlformats.org/officeDocument/2006/relationships/hyperlink" Target="https://twitter.com/Boersenradar/status/723501811483680768" TargetMode="External"/><Relationship Id="rId13845" Type="http://schemas.openxmlformats.org/officeDocument/2006/relationships/hyperlink" Target="https://twitter.com/panicswitch777" TargetMode="External"/><Relationship Id="rId1455" Type="http://schemas.openxmlformats.org/officeDocument/2006/relationships/hyperlink" Target="https://twitter.com/11271101K/status/723041426976559105" TargetMode="External"/><Relationship Id="rId8068" Type="http://schemas.openxmlformats.org/officeDocument/2006/relationships/hyperlink" Target="https://pbs.twimg.com/profile_images/677305455308222465/JKCO3eJx_normal.jpg" TargetMode="External"/><Relationship Id="rId11049" Type="http://schemas.openxmlformats.org/officeDocument/2006/relationships/hyperlink" Target="https://pbs.twimg.com/profile_images/344513261572673615/4e9615558727a5010ea350fd068a1bf9_normal.jpeg" TargetMode="External"/><Relationship Id="rId20714" Type="http://schemas.openxmlformats.org/officeDocument/2006/relationships/hyperlink" Target="https://twitter.com/TheSandlings" TargetMode="External"/><Relationship Id="rId1108" Type="http://schemas.openxmlformats.org/officeDocument/2006/relationships/hyperlink" Target="https://pbs.twimg.com/profile_images/619495022715645952/KN0iPdsN_normal.jpg" TargetMode="External"/><Relationship Id="rId4678" Type="http://schemas.openxmlformats.org/officeDocument/2006/relationships/hyperlink" Target="https://twitter.com/CornwallBzForum/status/723185337955172352" TargetMode="External"/><Relationship Id="rId17092" Type="http://schemas.openxmlformats.org/officeDocument/2006/relationships/hyperlink" Target="http://ctrlq.org/maps/address/" TargetMode="External"/><Relationship Id="rId19541" Type="http://schemas.openxmlformats.org/officeDocument/2006/relationships/hyperlink" Target="https://twitter.com/VWsightings" TargetMode="External"/><Relationship Id="rId23937" Type="http://schemas.openxmlformats.org/officeDocument/2006/relationships/hyperlink" Target="https://twitter.com/dubbusses/status/724321647935782913" TargetMode="External"/><Relationship Id="rId7151" Type="http://schemas.openxmlformats.org/officeDocument/2006/relationships/hyperlink" Target="https://twitter.com/SexenioCDMX/status/723281680518123520" TargetMode="External"/><Relationship Id="rId9600" Type="http://schemas.openxmlformats.org/officeDocument/2006/relationships/hyperlink" Target="https://twitter.com/woever" TargetMode="External"/><Relationship Id="rId21488" Type="http://schemas.openxmlformats.org/officeDocument/2006/relationships/hyperlink" Target="https://twitter.com/Svratiti" TargetMode="External"/><Relationship Id="rId10132" Type="http://schemas.openxmlformats.org/officeDocument/2006/relationships/hyperlink" Target="https://twitter.com/handelsblatt/status/723463732546945024" TargetMode="External"/><Relationship Id="rId15804" Type="http://schemas.openxmlformats.org/officeDocument/2006/relationships/hyperlink" Target="https://twitter.com/OnlineCarReview/status/723628231992053760" TargetMode="External"/><Relationship Id="rId3761" Type="http://schemas.openxmlformats.org/officeDocument/2006/relationships/hyperlink" Target="https://twitter.com/fr" TargetMode="External"/><Relationship Id="rId13355" Type="http://schemas.openxmlformats.org/officeDocument/2006/relationships/hyperlink" Target="https://twitter.com/luistervink54" TargetMode="External"/><Relationship Id="rId20571" Type="http://schemas.openxmlformats.org/officeDocument/2006/relationships/hyperlink" Target="https://twitter.com/RickyCrompton/status/724010868019724289" TargetMode="External"/><Relationship Id="rId3414" Type="http://schemas.openxmlformats.org/officeDocument/2006/relationships/hyperlink" Target="https://twitter.com/FitmentLife/status/723157495590461440" TargetMode="External"/><Relationship Id="rId6984" Type="http://schemas.openxmlformats.org/officeDocument/2006/relationships/hyperlink" Target="https://twitter.com/SmackSmog" TargetMode="External"/><Relationship Id="rId13008" Type="http://schemas.openxmlformats.org/officeDocument/2006/relationships/hyperlink" Target="https://twitter.com/Deprifrei/status/723533123057795078" TargetMode="External"/><Relationship Id="rId16578" Type="http://schemas.openxmlformats.org/officeDocument/2006/relationships/hyperlink" Target="https://pbs.twimg.com/profile_images/705780107844067328/e7O4UBNb_normal.jpg" TargetMode="External"/><Relationship Id="rId20224" Type="http://schemas.openxmlformats.org/officeDocument/2006/relationships/hyperlink" Target="https://twitter.com/dubbusses" TargetMode="External"/><Relationship Id="rId23794" Type="http://schemas.openxmlformats.org/officeDocument/2006/relationships/hyperlink" Target="https://pbs.twimg.com/profile_images/424893967197433858/iQ86NktX_normal.jpeg" TargetMode="External"/><Relationship Id="rId6637" Type="http://schemas.openxmlformats.org/officeDocument/2006/relationships/hyperlink" Target="https://pbs.twimg.com/profile_images/705780107844067328/e7O4UBNb_normal.jpg" TargetMode="External"/><Relationship Id="rId19051" Type="http://schemas.openxmlformats.org/officeDocument/2006/relationships/hyperlink" Target="https://pbs.twimg.com/profile_images/702118645221236736/UsrwZfWh_normal.jpg" TargetMode="External"/><Relationship Id="rId23447" Type="http://schemas.openxmlformats.org/officeDocument/2006/relationships/hyperlink" Target="https://twitter.com/whats_live_de" TargetMode="External"/><Relationship Id="rId4188" Type="http://schemas.openxmlformats.org/officeDocument/2006/relationships/hyperlink" Target="https://twitter.com/KCBSNews" TargetMode="External"/><Relationship Id="rId9110" Type="http://schemas.openxmlformats.org/officeDocument/2006/relationships/hyperlink" Target="https://twitter.com/_Hupomnemata" TargetMode="External"/><Relationship Id="rId15661" Type="http://schemas.openxmlformats.org/officeDocument/2006/relationships/hyperlink" Target="https://pbs.twimg.com/profile_images/718820712757215233/LXXndPTS_normal.jpg" TargetMode="External"/><Relationship Id="rId5720" Type="http://schemas.openxmlformats.org/officeDocument/2006/relationships/hyperlink" Target="https://twitter.com/VolkswagenPost" TargetMode="External"/><Relationship Id="rId15314" Type="http://schemas.openxmlformats.org/officeDocument/2006/relationships/hyperlink" Target="https://twitter.com/HoneysHomeGift1" TargetMode="External"/><Relationship Id="rId18884" Type="http://schemas.openxmlformats.org/officeDocument/2006/relationships/hyperlink" Target="https://twitter.com/VWCamperSales/status/723903278887538688" TargetMode="External"/><Relationship Id="rId22530" Type="http://schemas.openxmlformats.org/officeDocument/2006/relationships/hyperlink" Target="http://dlvr.it/" TargetMode="External"/><Relationship Id="rId3271" Type="http://schemas.openxmlformats.org/officeDocument/2006/relationships/hyperlink" Target="https://pbs.twimg.com/profile_images/643840369289990145/RMvcWYkS_normal.jpg" TargetMode="External"/><Relationship Id="rId8943" Type="http://schemas.openxmlformats.org/officeDocument/2006/relationships/hyperlink" Target="https://twitter.com/LukeFenek/status/723412172777218050" TargetMode="External"/><Relationship Id="rId18537" Type="http://schemas.openxmlformats.org/officeDocument/2006/relationships/hyperlink" Target="http://ctrlq.org/maps/address/" TargetMode="External"/><Relationship Id="rId20081" Type="http://schemas.openxmlformats.org/officeDocument/2006/relationships/hyperlink" Target="https://twitter.com/RodneySargent" TargetMode="External"/><Relationship Id="rId25753" Type="http://schemas.openxmlformats.org/officeDocument/2006/relationships/hyperlink" Target="https://twitter.com/vwpress_de/status/724469955622785024" TargetMode="External"/><Relationship Id="rId6494" Type="http://schemas.openxmlformats.org/officeDocument/2006/relationships/hyperlink" Target="https://pbs.twimg.com/profile_images/3269741134/c59bae1ff49ffc8fd25160573c4e98a6_normal.jpeg" TargetMode="External"/><Relationship Id="rId11924" Type="http://schemas.openxmlformats.org/officeDocument/2006/relationships/hyperlink" Target="https://twitter.com/RickStrickler" TargetMode="External"/><Relationship Id="rId16088" Type="http://schemas.openxmlformats.org/officeDocument/2006/relationships/hyperlink" Target="http://ctrlq.org/maps/address/" TargetMode="External"/><Relationship Id="rId25406" Type="http://schemas.openxmlformats.org/officeDocument/2006/relationships/hyperlink" Target="http://dlvr.it/" TargetMode="External"/><Relationship Id="rId6147" Type="http://schemas.openxmlformats.org/officeDocument/2006/relationships/hyperlink" Target="https://twitter.com/Tom_Perryyy/status/723232547111493632" TargetMode="External"/><Relationship Id="rId12698" Type="http://schemas.openxmlformats.org/officeDocument/2006/relationships/hyperlink" Target="https://twitter.com/tiffany1961" TargetMode="External"/><Relationship Id="rId15171" Type="http://schemas.openxmlformats.org/officeDocument/2006/relationships/hyperlink" Target="https://pbs.twimg.com/profile_images/419834366810783746/GP0PUHsm_normal.jpeg" TargetMode="External"/><Relationship Id="rId17620" Type="http://schemas.openxmlformats.org/officeDocument/2006/relationships/hyperlink" Target="https://twitter.com/Alex_yusipov" TargetMode="External"/><Relationship Id="rId729" Type="http://schemas.openxmlformats.org/officeDocument/2006/relationships/hyperlink" Target="https://pbs.twimg.com/profile_images/682043416683745280/rn5w22XG_normal.jpg" TargetMode="External"/><Relationship Id="rId2757" Type="http://schemas.openxmlformats.org/officeDocument/2006/relationships/hyperlink" Target="https://pbs.twimg.com/profile_images/719203862402506752/l2tnOgWj_normal.jpg" TargetMode="External"/><Relationship Id="rId5230" Type="http://schemas.openxmlformats.org/officeDocument/2006/relationships/hyperlink" Target="https://pbs.twimg.com/profile_images/652871584131092480/QA_B6SBO_normal.jpg" TargetMode="External"/><Relationship Id="rId22040" Type="http://schemas.openxmlformats.org/officeDocument/2006/relationships/hyperlink" Target="https://twitter.com/ChloeHawthornPR/status/724196836957904896" TargetMode="External"/><Relationship Id="rId11781" Type="http://schemas.openxmlformats.org/officeDocument/2006/relationships/hyperlink" Target="https://twitter.com/hcschumacher/status/723507393527730176" TargetMode="External"/><Relationship Id="rId18394" Type="http://schemas.openxmlformats.org/officeDocument/2006/relationships/hyperlink" Target="https://twitter.com/Exvtra_uk/status/723866830587203584" TargetMode="External"/><Relationship Id="rId1840" Type="http://schemas.openxmlformats.org/officeDocument/2006/relationships/hyperlink" Target="https://pbs.twimg.com/profile_images/703294545195307008/qeCvrX86_normal.jpg" TargetMode="External"/><Relationship Id="rId8453" Type="http://schemas.openxmlformats.org/officeDocument/2006/relationships/hyperlink" Target="https://twitter.com/Klickvieh" TargetMode="External"/><Relationship Id="rId11434" Type="http://schemas.openxmlformats.org/officeDocument/2006/relationships/hyperlink" Target="https://twitter.com/ArmVonSchuften/status/723502049619529728" TargetMode="External"/><Relationship Id="rId18047" Type="http://schemas.openxmlformats.org/officeDocument/2006/relationships/hyperlink" Target="https://twitter.com/voosvoos" TargetMode="External"/><Relationship Id="rId25263" Type="http://schemas.openxmlformats.org/officeDocument/2006/relationships/hyperlink" Target="https://pbs.twimg.com/profile_images/685265504013922310/d6RU8CX__normal.jpg" TargetMode="External"/><Relationship Id="rId8106" Type="http://schemas.openxmlformats.org/officeDocument/2006/relationships/hyperlink" Target="https://twitter.com/iaa_attitude/status/723369359922470918" TargetMode="External"/><Relationship Id="rId14657" Type="http://schemas.openxmlformats.org/officeDocument/2006/relationships/hyperlink" Target="https://pbs.twimg.com/profile_images/547286236738490368/dnpW5lX0_normal.jpeg" TargetMode="External"/><Relationship Id="rId21873" Type="http://schemas.openxmlformats.org/officeDocument/2006/relationships/hyperlink" Target="https://twitter.com/VWBeetleSales/status/724187020973625345" TargetMode="External"/><Relationship Id="rId4716" Type="http://schemas.openxmlformats.org/officeDocument/2006/relationships/hyperlink" Target="https://twitter.com/GreillyPost" TargetMode="External"/><Relationship Id="rId17130" Type="http://schemas.openxmlformats.org/officeDocument/2006/relationships/hyperlink" Target="https://twitter.com/VWBeetleSales/status/723771813486960641" TargetMode="External"/><Relationship Id="rId21526" Type="http://schemas.openxmlformats.org/officeDocument/2006/relationships/hyperlink" Target="https://twitter.com/DeezaSunglasses" TargetMode="External"/><Relationship Id="rId586" Type="http://schemas.openxmlformats.org/officeDocument/2006/relationships/hyperlink" Target="https://twitter.com/qkWippitGuud2h/status/722966904390881281" TargetMode="External"/><Relationship Id="rId2267" Type="http://schemas.openxmlformats.org/officeDocument/2006/relationships/hyperlink" Target="https://twitter.com/VWCamperSales/status/723092056390791168" TargetMode="External"/><Relationship Id="rId239" Type="http://schemas.openxmlformats.org/officeDocument/2006/relationships/hyperlink" Target="https://twitter.com/SoyFortunato/status/722939440763547648" TargetMode="External"/><Relationship Id="rId7939" Type="http://schemas.openxmlformats.org/officeDocument/2006/relationships/hyperlink" Target="https://pbs.twimg.com/profile_images/112954621/DSC006192a_normal.jpg" TargetMode="External"/><Relationship Id="rId13740" Type="http://schemas.openxmlformats.org/officeDocument/2006/relationships/hyperlink" Target="https://pbs.twimg.com/profile_images/629348818593705986/WKGmcgtV_normal.jpg" TargetMode="External"/><Relationship Id="rId24749" Type="http://schemas.openxmlformats.org/officeDocument/2006/relationships/hyperlink" Target="https://twitter.com/bioOody_roses/status/724386569935806465" TargetMode="External"/><Relationship Id="rId11291" Type="http://schemas.openxmlformats.org/officeDocument/2006/relationships/hyperlink" Target="https://twitter.com/ReiseRobby" TargetMode="External"/><Relationship Id="rId16963" Type="http://schemas.openxmlformats.org/officeDocument/2006/relationships/hyperlink" Target="https://twitter.com/yopi_bob" TargetMode="External"/><Relationship Id="rId1350" Type="http://schemas.openxmlformats.org/officeDocument/2006/relationships/hyperlink" Target="https://twitter.com/Mk1GolfOC/status/723037190926807040" TargetMode="External"/><Relationship Id="rId16616" Type="http://schemas.openxmlformats.org/officeDocument/2006/relationships/hyperlink" Target="https://twitter.com/Inesicaleo/status/723702304365531137" TargetMode="External"/><Relationship Id="rId23832" Type="http://schemas.openxmlformats.org/officeDocument/2006/relationships/hyperlink" Target="https://twitter.com/Insta_VWT" TargetMode="External"/><Relationship Id="rId1003" Type="http://schemas.openxmlformats.org/officeDocument/2006/relationships/hyperlink" Target="https://twitter.com/jawasnu/status/723011615185055745" TargetMode="External"/><Relationship Id="rId4573" Type="http://schemas.openxmlformats.org/officeDocument/2006/relationships/hyperlink" Target="https://twitter.com/AndreasAndy3131/status/723182788384555009" TargetMode="External"/><Relationship Id="rId14167" Type="http://schemas.openxmlformats.org/officeDocument/2006/relationships/hyperlink" Target="https://twitter.com/StephanKrull/status/723566903562801152" TargetMode="External"/><Relationship Id="rId19839" Type="http://schemas.openxmlformats.org/officeDocument/2006/relationships/hyperlink" Target="https://twitter.com/probusol" TargetMode="External"/><Relationship Id="rId21383" Type="http://schemas.openxmlformats.org/officeDocument/2006/relationships/hyperlink" Target="https://twitter.com/ErnstNordholt" TargetMode="External"/><Relationship Id="rId4226" Type="http://schemas.openxmlformats.org/officeDocument/2006/relationships/hyperlink" Target="https://twitter.com/VeeDubMk1_" TargetMode="External"/><Relationship Id="rId7796" Type="http://schemas.openxmlformats.org/officeDocument/2006/relationships/hyperlink" Target="https://pbs.twimg.com/profile_images/722096280986497025/tUuoSTL-_normal.jpg" TargetMode="External"/><Relationship Id="rId21036" Type="http://schemas.openxmlformats.org/officeDocument/2006/relationships/hyperlink" Target="https://pbs.twimg.com/profile_images/718820712757215233/LXXndPTS_normal.jpg" TargetMode="External"/><Relationship Id="rId7449" Type="http://schemas.openxmlformats.org/officeDocument/2006/relationships/hyperlink" Target="https://twitter.com/Cokebear17/status/723304372155867141" TargetMode="External"/><Relationship Id="rId10777" Type="http://schemas.openxmlformats.org/officeDocument/2006/relationships/hyperlink" Target="https://pbs.twimg.com/profile_images/590413270160379905/f7wFIkoK_normal.jpg" TargetMode="External"/><Relationship Id="rId13250" Type="http://schemas.openxmlformats.org/officeDocument/2006/relationships/hyperlink" Target="https://twitter.com/LukasBouwman/status/723540994722004992" TargetMode="External"/><Relationship Id="rId24259" Type="http://schemas.openxmlformats.org/officeDocument/2006/relationships/hyperlink" Target="https://twitter.com/Parisien2base" TargetMode="External"/><Relationship Id="rId18922" Type="http://schemas.openxmlformats.org/officeDocument/2006/relationships/hyperlink" Target="https://twitter.com/VWBeetleSales/status/723905804374396929" TargetMode="External"/><Relationship Id="rId16473" Type="http://schemas.openxmlformats.org/officeDocument/2006/relationships/hyperlink" Target="https://twitter.com/gise_max/status/723686019128791040" TargetMode="External"/><Relationship Id="rId20869" Type="http://schemas.openxmlformats.org/officeDocument/2006/relationships/hyperlink" Target="https://twitter.com/giulianoctf" TargetMode="External"/><Relationship Id="rId4083" Type="http://schemas.openxmlformats.org/officeDocument/2006/relationships/hyperlink" Target="https://pbs.twimg.com/profile_images/616915099790508033/LH4OxL70_normal.jpg" TargetMode="External"/><Relationship Id="rId6532" Type="http://schemas.openxmlformats.org/officeDocument/2006/relationships/hyperlink" Target="https://twitter.com/IamSabrina2/status/723245355186425856" TargetMode="External"/><Relationship Id="rId16126" Type="http://schemas.openxmlformats.org/officeDocument/2006/relationships/hyperlink" Target="https://twitter.com/olliehayes/status/723649499177074688" TargetMode="External"/><Relationship Id="rId19696" Type="http://schemas.openxmlformats.org/officeDocument/2006/relationships/hyperlink" Target="https://twitter.com/DubLuvTuning" TargetMode="External"/><Relationship Id="rId23342" Type="http://schemas.openxmlformats.org/officeDocument/2006/relationships/hyperlink" Target="https://twitter.com/LizzysNewsDude" TargetMode="External"/><Relationship Id="rId9755" Type="http://schemas.openxmlformats.org/officeDocument/2006/relationships/hyperlink" Target="http://ksta.de/" TargetMode="External"/><Relationship Id="rId12736" Type="http://schemas.openxmlformats.org/officeDocument/2006/relationships/hyperlink" Target="https://twitter.com/DavidDjward/status/723526758864195584" TargetMode="External"/><Relationship Id="rId19349" Type="http://schemas.openxmlformats.org/officeDocument/2006/relationships/hyperlink" Target="https://twitter.com/shekhah969/status/723927230871666689" TargetMode="External"/><Relationship Id="rId9408" Type="http://schemas.openxmlformats.org/officeDocument/2006/relationships/hyperlink" Target="https://pbs.twimg.com/profile_images/718068614998409217/O0N1ksar_normal.jpg" TargetMode="External"/><Relationship Id="rId10287" Type="http://schemas.openxmlformats.org/officeDocument/2006/relationships/hyperlink" Target="https://twitter.com/updayDE/status/723468345941594112" TargetMode="External"/><Relationship Id="rId15959" Type="http://schemas.openxmlformats.org/officeDocument/2006/relationships/hyperlink" Target="https://twitter.com/santiagoolmoss/status/723639312684879873" TargetMode="External"/><Relationship Id="rId3569" Type="http://schemas.openxmlformats.org/officeDocument/2006/relationships/hyperlink" Target="https://twitter.com/VWBeetleSales/status/723164409808351232" TargetMode="External"/><Relationship Id="rId18432" Type="http://schemas.openxmlformats.org/officeDocument/2006/relationships/hyperlink" Target="https://pbs.twimg.com/profile_images/719634934403612672/J_8yDQTY_normal.jpg" TargetMode="External"/><Relationship Id="rId20379" Type="http://schemas.openxmlformats.org/officeDocument/2006/relationships/hyperlink" Target="https://abs.twimg.com/sticky/default_profile_images/default_profile_6_normal.png" TargetMode="External"/><Relationship Id="rId22828" Type="http://schemas.openxmlformats.org/officeDocument/2006/relationships/hyperlink" Target="https://twitter.com/LuLaRoeJackieP" TargetMode="External"/><Relationship Id="rId6042" Type="http://schemas.openxmlformats.org/officeDocument/2006/relationships/hyperlink" Target="http://dlvr.it/" TargetMode="External"/><Relationship Id="rId25301" Type="http://schemas.openxmlformats.org/officeDocument/2006/relationships/hyperlink" Target="https://twitter.com/DeeZeeX" TargetMode="External"/><Relationship Id="rId12593" Type="http://schemas.openxmlformats.org/officeDocument/2006/relationships/hyperlink" Target="https://twitter.com/jpeMEDIA/status/723523040202477569" TargetMode="External"/><Relationship Id="rId21911" Type="http://schemas.openxmlformats.org/officeDocument/2006/relationships/hyperlink" Target="https://twitter.com/calerliu/status/724188174071767040" TargetMode="External"/><Relationship Id="rId971" Type="http://schemas.openxmlformats.org/officeDocument/2006/relationships/hyperlink" Target="https://twitter.com/Scirocco_Tuning" TargetMode="External"/><Relationship Id="rId2652" Type="http://schemas.openxmlformats.org/officeDocument/2006/relationships/hyperlink" Target="https://pbs.twimg.com/profile_images/481810327156191233/aUNwJkiV_normal.jpeg" TargetMode="External"/><Relationship Id="rId9265" Type="http://schemas.openxmlformats.org/officeDocument/2006/relationships/hyperlink" Target="https://twitter.com/vwpress_de/status/723429644146331650" TargetMode="External"/><Relationship Id="rId12246" Type="http://schemas.openxmlformats.org/officeDocument/2006/relationships/hyperlink" Target="https://twitter.com/NetzwerkggS21/status/723515957667323905" TargetMode="External"/><Relationship Id="rId624" Type="http://schemas.openxmlformats.org/officeDocument/2006/relationships/hyperlink" Target="https://twitter.com/lucysmlthYNWA" TargetMode="External"/><Relationship Id="rId2305" Type="http://schemas.openxmlformats.org/officeDocument/2006/relationships/hyperlink" Target="https://pbs.twimg.com/profile_images/509425318827130880/lTrSLCDa_normal.jpeg" TargetMode="External"/><Relationship Id="rId5875" Type="http://schemas.openxmlformats.org/officeDocument/2006/relationships/hyperlink" Target="https://twitter.com/DJDevinSA/status/723220935776542722" TargetMode="External"/><Relationship Id="rId15469" Type="http://schemas.openxmlformats.org/officeDocument/2006/relationships/hyperlink" Target="https://twitter.com/magloeckner/status/723608312521068545" TargetMode="External"/><Relationship Id="rId17918" Type="http://schemas.openxmlformats.org/officeDocument/2006/relationships/hyperlink" Target="https://twitter.com/solarpolis" TargetMode="External"/><Relationship Id="rId22685" Type="http://schemas.openxmlformats.org/officeDocument/2006/relationships/hyperlink" Target="https://twitter.com/westy_nl" TargetMode="External"/><Relationship Id="rId5528" Type="http://schemas.openxmlformats.org/officeDocument/2006/relationships/hyperlink" Target="https://twitter.com/carshionshow/status/723206871792934912" TargetMode="External"/><Relationship Id="rId22338" Type="http://schemas.openxmlformats.org/officeDocument/2006/relationships/hyperlink" Target="https://twitter.com/OnlineCarReview/status/724217239507898369" TargetMode="External"/><Relationship Id="rId3079" Type="http://schemas.openxmlformats.org/officeDocument/2006/relationships/hyperlink" Target="https://twitter.com/VWCamperSales" TargetMode="External"/><Relationship Id="rId8001" Type="http://schemas.openxmlformats.org/officeDocument/2006/relationships/hyperlink" Target="https://pbs.twimg.com/profile_images/717472604702052357/yTPUaVAZ_normal.jpg" TargetMode="External"/><Relationship Id="rId14552" Type="http://schemas.openxmlformats.org/officeDocument/2006/relationships/hyperlink" Target="https://twitter.com/Midgedog/status/723575347892084737" TargetMode="External"/><Relationship Id="rId481" Type="http://schemas.openxmlformats.org/officeDocument/2006/relationships/hyperlink" Target="https://pbs.twimg.com/profile_images/418039128002154497/XgNVeCQo_normal.jpeg" TargetMode="External"/><Relationship Id="rId2162" Type="http://schemas.openxmlformats.org/officeDocument/2006/relationships/hyperlink" Target="https://twitter.com/ErnstNordholt/status/723084705793351680" TargetMode="External"/><Relationship Id="rId4611" Type="http://schemas.openxmlformats.org/officeDocument/2006/relationships/hyperlink" Target="https://twitter.com/inespohl/status/723183680764653569" TargetMode="External"/><Relationship Id="rId14205" Type="http://schemas.openxmlformats.org/officeDocument/2006/relationships/hyperlink" Target="https://twitter.com/JNiroJacobs/status/723569116364324870" TargetMode="External"/><Relationship Id="rId17775" Type="http://schemas.openxmlformats.org/officeDocument/2006/relationships/hyperlink" Target="https://twitter.com/carlsten_leif/status/723822066328285188" TargetMode="External"/><Relationship Id="rId21421" Type="http://schemas.openxmlformats.org/officeDocument/2006/relationships/hyperlink" Target="https://pbs.twimg.com/profile_images/718820712757215233/LXXndPTS_normal.jpg" TargetMode="External"/><Relationship Id="rId24991" Type="http://schemas.openxmlformats.org/officeDocument/2006/relationships/hyperlink" Target="https://twitter.com/FastRevolver" TargetMode="External"/><Relationship Id="rId134" Type="http://schemas.openxmlformats.org/officeDocument/2006/relationships/hyperlink" Target="https://pbs.twimg.com/profile_images/426116134018899969/MsH4oK1S_normal.jpeg" TargetMode="External"/><Relationship Id="rId7834" Type="http://schemas.openxmlformats.org/officeDocument/2006/relationships/hyperlink" Target="https://twitter.com/oldcar_photo" TargetMode="External"/><Relationship Id="rId10815" Type="http://schemas.openxmlformats.org/officeDocument/2006/relationships/hyperlink" Target="https://twitter.com/dermaschinist/status/723485765490061312" TargetMode="External"/><Relationship Id="rId17428" Type="http://schemas.openxmlformats.org/officeDocument/2006/relationships/hyperlink" Target="https://twitter.com/VolkswagenPost" TargetMode="External"/><Relationship Id="rId24644" Type="http://schemas.openxmlformats.org/officeDocument/2006/relationships/hyperlink" Target="https://twitter.com/SimonJMale/status/724382351749472261" TargetMode="External"/><Relationship Id="rId5385" Type="http://schemas.openxmlformats.org/officeDocument/2006/relationships/hyperlink" Target="https://pbs.twimg.com/profile_images/683703222498922496/YeDVfLUB_normal.jpg" TargetMode="External"/><Relationship Id="rId22195" Type="http://schemas.openxmlformats.org/officeDocument/2006/relationships/hyperlink" Target="https://pbs.twimg.com/profile_images/718820712757215233/LXXndPTS_normal.jpg" TargetMode="External"/><Relationship Id="rId1995" Type="http://schemas.openxmlformats.org/officeDocument/2006/relationships/hyperlink" Target="https://twitter.com/JungbluthMarion" TargetMode="External"/><Relationship Id="rId5038" Type="http://schemas.openxmlformats.org/officeDocument/2006/relationships/hyperlink" Target="https://twitter.com/jpperl/status/723192758039642112" TargetMode="External"/><Relationship Id="rId11589" Type="http://schemas.openxmlformats.org/officeDocument/2006/relationships/hyperlink" Target="https://pbs.twimg.com/profile_images/712563568638619648/nNwSgK0o_normal.jpg" TargetMode="External"/><Relationship Id="rId1648" Type="http://schemas.openxmlformats.org/officeDocument/2006/relationships/hyperlink" Target="https://pbs.twimg.com/profile_images/672878354127839232/M7OYc-zx_normal.jpg" TargetMode="External"/><Relationship Id="rId14062" Type="http://schemas.openxmlformats.org/officeDocument/2006/relationships/hyperlink" Target="https://twitter.com/VeeDubMk1_/status/723563076251951104" TargetMode="External"/><Relationship Id="rId16511" Type="http://schemas.openxmlformats.org/officeDocument/2006/relationships/hyperlink" Target="https://pbs.twimg.com/profile_images/690068229562241028/dtAFj2bm_normal.jpg" TargetMode="External"/><Relationship Id="rId20907" Type="http://schemas.openxmlformats.org/officeDocument/2006/relationships/hyperlink" Target="https://twitter.com/oldcar_photo/status/724062394494914561" TargetMode="External"/><Relationship Id="rId4121" Type="http://schemas.openxmlformats.org/officeDocument/2006/relationships/hyperlink" Target="https://twitter.com/project1half/status/723176905524944896" TargetMode="External"/><Relationship Id="rId19734" Type="http://schemas.openxmlformats.org/officeDocument/2006/relationships/hyperlink" Target="https://twitter.com/dubbusses" TargetMode="External"/><Relationship Id="rId7691" Type="http://schemas.openxmlformats.org/officeDocument/2006/relationships/hyperlink" Target="https://twitter.com/beetlebug1938" TargetMode="External"/><Relationship Id="rId10672" Type="http://schemas.openxmlformats.org/officeDocument/2006/relationships/hyperlink" Target="https://pbs.twimg.com/profile_images/718199385910296576/AkHlYPQI_normal.jpg" TargetMode="External"/><Relationship Id="rId17285" Type="http://schemas.openxmlformats.org/officeDocument/2006/relationships/hyperlink" Target="https://twitter.com/fitra_eri/status/723787110440939520" TargetMode="External"/><Relationship Id="rId7344" Type="http://schemas.openxmlformats.org/officeDocument/2006/relationships/hyperlink" Target="https://twitter.com/alexdelprete" TargetMode="External"/><Relationship Id="rId10325" Type="http://schemas.openxmlformats.org/officeDocument/2006/relationships/hyperlink" Target="https://twitter.com/rbbabendschau" TargetMode="External"/><Relationship Id="rId13895" Type="http://schemas.openxmlformats.org/officeDocument/2006/relationships/hyperlink" Target="https://pbs.twimg.com/profile_images/718820712757215233/LXXndPTS_normal.jpg" TargetMode="External"/><Relationship Id="rId24154" Type="http://schemas.openxmlformats.org/officeDocument/2006/relationships/hyperlink" Target="https://pbs.twimg.com/profile_images/3095803063/6d0b0cd10bd2f076a374a11a88bb7c2e_normal.jpeg" TargetMode="External"/><Relationship Id="rId3954" Type="http://schemas.openxmlformats.org/officeDocument/2006/relationships/hyperlink" Target="https://twitter.com/Automotive_News" TargetMode="External"/><Relationship Id="rId13548" Type="http://schemas.openxmlformats.org/officeDocument/2006/relationships/hyperlink" Target="https://twitter.com/LStahlecker" TargetMode="External"/><Relationship Id="rId20764" Type="http://schemas.openxmlformats.org/officeDocument/2006/relationships/hyperlink" Target="https://pbs.twimg.com/profile_images/510776626/fj_thumb_final_normal.jpg" TargetMode="External"/><Relationship Id="rId3607" Type="http://schemas.openxmlformats.org/officeDocument/2006/relationships/hyperlink" Target="https://twitter.com/MaikeruType1" TargetMode="External"/><Relationship Id="rId11099" Type="http://schemas.openxmlformats.org/officeDocument/2006/relationships/hyperlink" Target="https://twitter.com/Buntomat" TargetMode="External"/><Relationship Id="rId16021" Type="http://schemas.openxmlformats.org/officeDocument/2006/relationships/hyperlink" Target="https://pbs.twimg.com/profile_images/638947231144509440/iP1-exrN_normal.jpg" TargetMode="External"/><Relationship Id="rId19591" Type="http://schemas.openxmlformats.org/officeDocument/2006/relationships/hyperlink" Target="https://pbs.twimg.com/profile_images/689135486544293889/vPAeUEzo_normal.jpg" TargetMode="External"/><Relationship Id="rId20417" Type="http://schemas.openxmlformats.org/officeDocument/2006/relationships/hyperlink" Target="https://twitter.com/speedsoundtech/status/723997677306953730" TargetMode="External"/><Relationship Id="rId1158" Type="http://schemas.openxmlformats.org/officeDocument/2006/relationships/hyperlink" Target="https://twitter.com/ldnsecuritysynd" TargetMode="External"/><Relationship Id="rId9650" Type="http://schemas.openxmlformats.org/officeDocument/2006/relationships/hyperlink" Target="http://dlvr.it/" TargetMode="External"/><Relationship Id="rId19244" Type="http://schemas.openxmlformats.org/officeDocument/2006/relationships/hyperlink" Target="https://pbs.twimg.com/profile_images/712885807732957185/2anjbS1Y_normal.jpg" TargetMode="External"/><Relationship Id="rId23987" Type="http://schemas.openxmlformats.org/officeDocument/2006/relationships/hyperlink" Target="https://pbs.twimg.com/profile_images/627949001179037696/skEBkS05_normal.jpg" TargetMode="External"/><Relationship Id="rId9303" Type="http://schemas.openxmlformats.org/officeDocument/2006/relationships/hyperlink" Target="https://twitter.com/merkityksetoen" TargetMode="External"/><Relationship Id="rId12631" Type="http://schemas.openxmlformats.org/officeDocument/2006/relationships/hyperlink" Target="https://pbs.twimg.com/profile_images/74132592/Hotch-Square_normal.jpg" TargetMode="External"/><Relationship Id="rId10182" Type="http://schemas.openxmlformats.org/officeDocument/2006/relationships/hyperlink" Target="https://pbs.twimg.com/profile_images/528660139772235776/q1zpS8Xz_normal.jpeg" TargetMode="External"/><Relationship Id="rId15854" Type="http://schemas.openxmlformats.org/officeDocument/2006/relationships/hyperlink" Target="https://twitter.com/Ferrari_Jadore" TargetMode="External"/><Relationship Id="rId5913" Type="http://schemas.openxmlformats.org/officeDocument/2006/relationships/hyperlink" Target="https://pbs.twimg.com/profile_images/656424958495715328/u8Mv9pfT_normal.jpg" TargetMode="External"/><Relationship Id="rId15507" Type="http://schemas.openxmlformats.org/officeDocument/2006/relationships/hyperlink" Target="https://twitter.com/DingosPDR" TargetMode="External"/><Relationship Id="rId22723" Type="http://schemas.openxmlformats.org/officeDocument/2006/relationships/hyperlink" Target="https://twitter.com/calzonzote" TargetMode="External"/><Relationship Id="rId3464" Type="http://schemas.openxmlformats.org/officeDocument/2006/relationships/hyperlink" Target="https://pbs.twimg.com/profile_images/1464170825/sarajean_normal.JPG" TargetMode="External"/><Relationship Id="rId13058" Type="http://schemas.openxmlformats.org/officeDocument/2006/relationships/hyperlink" Target="https://twitter.com/xpeten/status/723534424881651712" TargetMode="External"/><Relationship Id="rId20274" Type="http://schemas.openxmlformats.org/officeDocument/2006/relationships/hyperlink" Target="https://pbs.twimg.com/profile_images/671525031948652544/gPRky3nV_normal.jpg" TargetMode="External"/><Relationship Id="rId3117" Type="http://schemas.openxmlformats.org/officeDocument/2006/relationships/hyperlink" Target="https://twitter.com/Rubyrocket67" TargetMode="External"/><Relationship Id="rId6687" Type="http://schemas.openxmlformats.org/officeDocument/2006/relationships/hyperlink" Target="https://twitter.com/brui_ie/status/723252424987803648" TargetMode="External"/><Relationship Id="rId23497" Type="http://schemas.openxmlformats.org/officeDocument/2006/relationships/hyperlink" Target="https://pbs.twimg.com/profile_images/579675590736941057/YOzPSpaE_normal.jpg" TargetMode="External"/><Relationship Id="rId9160" Type="http://schemas.openxmlformats.org/officeDocument/2006/relationships/hyperlink" Target="https://twitter.com/PRossberg/status/723422381755109376" TargetMode="External"/><Relationship Id="rId12141" Type="http://schemas.openxmlformats.org/officeDocument/2006/relationships/hyperlink" Target="https://twitter.com/Michel63500" TargetMode="External"/><Relationship Id="rId2200" Type="http://schemas.openxmlformats.org/officeDocument/2006/relationships/hyperlink" Target="https://twitter.com/VWBeetleSales" TargetMode="External"/><Relationship Id="rId17813" Type="http://schemas.openxmlformats.org/officeDocument/2006/relationships/hyperlink" Target="https://twitter.com/Automotiveampl" TargetMode="External"/><Relationship Id="rId5770" Type="http://schemas.openxmlformats.org/officeDocument/2006/relationships/hyperlink" Target="https://pbs.twimg.com/profile_images/714459923313213440/hqlB0K0j_normal.jpg" TargetMode="External"/><Relationship Id="rId15364" Type="http://schemas.openxmlformats.org/officeDocument/2006/relationships/hyperlink" Target="https://twitter.com/christougherus/status/723604886043168769" TargetMode="External"/><Relationship Id="rId22580" Type="http://schemas.openxmlformats.org/officeDocument/2006/relationships/hyperlink" Target="https://twitter.com/rajesh12june" TargetMode="External"/><Relationship Id="rId5423" Type="http://schemas.openxmlformats.org/officeDocument/2006/relationships/hyperlink" Target="https://twitter.com/LMohorko/status/723202796653273088" TargetMode="External"/><Relationship Id="rId8993" Type="http://schemas.openxmlformats.org/officeDocument/2006/relationships/hyperlink" Target="https://twitter.com/mia_herr" TargetMode="External"/><Relationship Id="rId11974" Type="http://schemas.openxmlformats.org/officeDocument/2006/relationships/hyperlink" Target="https://twitter.com/bayl" TargetMode="External"/><Relationship Id="rId15017" Type="http://schemas.openxmlformats.org/officeDocument/2006/relationships/hyperlink" Target="https://twitter.com/miliivillar_/status/723590196420325376" TargetMode="External"/><Relationship Id="rId18587" Type="http://schemas.openxmlformats.org/officeDocument/2006/relationships/hyperlink" Target="https://twitter.com/hashtagvanlife/status/723881868370817024" TargetMode="External"/><Relationship Id="rId22233" Type="http://schemas.openxmlformats.org/officeDocument/2006/relationships/hyperlink" Target="https://pbs.twimg.com/profile_images/705780107844067328/e7O4UBNb_normal.jpg" TargetMode="External"/><Relationship Id="rId8646" Type="http://schemas.openxmlformats.org/officeDocument/2006/relationships/hyperlink" Target="https://twitter.com/jobless_mike/status/723399838667145216" TargetMode="External"/><Relationship Id="rId11627" Type="http://schemas.openxmlformats.org/officeDocument/2006/relationships/hyperlink" Target="https://twitter.com/martincschmalz" TargetMode="External"/><Relationship Id="rId25456" Type="http://schemas.openxmlformats.org/officeDocument/2006/relationships/hyperlink" Target="https://twitter.com/luc4m4rtin" TargetMode="External"/><Relationship Id="rId6197" Type="http://schemas.openxmlformats.org/officeDocument/2006/relationships/hyperlink" Target="https://twitter.com/VWShawty/status/723234551208636416" TargetMode="External"/><Relationship Id="rId14100" Type="http://schemas.openxmlformats.org/officeDocument/2006/relationships/hyperlink" Target="https://twitter.com/RTLRally" TargetMode="External"/><Relationship Id="rId17670" Type="http://schemas.openxmlformats.org/officeDocument/2006/relationships/hyperlink" Target="https://twitter.com/dwnews" TargetMode="External"/><Relationship Id="rId25109" Type="http://schemas.openxmlformats.org/officeDocument/2006/relationships/hyperlink" Target="https://twitter.com/AutoGuide/status/724420201970851840" TargetMode="External"/><Relationship Id="rId4909" Type="http://schemas.openxmlformats.org/officeDocument/2006/relationships/hyperlink" Target="https://twitter.com/MiManske/status/723190119386243072" TargetMode="External"/><Relationship Id="rId17323" Type="http://schemas.openxmlformats.org/officeDocument/2006/relationships/hyperlink" Target="https://twitter.com/VeeDubMk1_" TargetMode="External"/><Relationship Id="rId779" Type="http://schemas.openxmlformats.org/officeDocument/2006/relationships/hyperlink" Target="https://twitter.com/PrudhommeJeff" TargetMode="External"/><Relationship Id="rId5280" Type="http://schemas.openxmlformats.org/officeDocument/2006/relationships/hyperlink" Target="https://twitter.com/DeepLora" TargetMode="External"/><Relationship Id="rId10710" Type="http://schemas.openxmlformats.org/officeDocument/2006/relationships/hyperlink" Target="https://twitter.com/Auto2day_gr/status/723481552777154560" TargetMode="External"/><Relationship Id="rId21719" Type="http://schemas.openxmlformats.org/officeDocument/2006/relationships/hyperlink" Target="https://pbs.twimg.com/profile_images/3160330816/1ce1024c4b92ef27b5c3859aa8159bef_normal.jpeg" TargetMode="External"/><Relationship Id="rId22090" Type="http://schemas.openxmlformats.org/officeDocument/2006/relationships/hyperlink" Target="https://pbs.twimg.com/profile_images/718839998531903489/eXyeGppJ_normal.jpg" TargetMode="External"/><Relationship Id="rId13933" Type="http://schemas.openxmlformats.org/officeDocument/2006/relationships/hyperlink" Target="https://twitter.com/Sufiy/status/723559128715632640" TargetMode="External"/><Relationship Id="rId18097" Type="http://schemas.openxmlformats.org/officeDocument/2006/relationships/hyperlink" Target="https://twitter.com/Exvtra_uk" TargetMode="External"/><Relationship Id="rId1890" Type="http://schemas.openxmlformats.org/officeDocument/2006/relationships/hyperlink" Target="https://pbs.twimg.com/profile_images/1610421423/Image2_normal.jpg" TargetMode="External"/><Relationship Id="rId8156" Type="http://schemas.openxmlformats.org/officeDocument/2006/relationships/hyperlink" Target="https://twitter.com/Siress/status/723373165909413888" TargetMode="External"/><Relationship Id="rId11484" Type="http://schemas.openxmlformats.org/officeDocument/2006/relationships/hyperlink" Target="https://pbs.twimg.com/profile_images/701883953226113024/thj5ZUwN_normal.jpg" TargetMode="External"/><Relationship Id="rId20802" Type="http://schemas.openxmlformats.org/officeDocument/2006/relationships/hyperlink" Target="https://twitter.com/crissshidalgo" TargetMode="External"/><Relationship Id="rId1543" Type="http://schemas.openxmlformats.org/officeDocument/2006/relationships/hyperlink" Target="https://pbs.twimg.com/profile_images/3437818220/cc7481466f6ca22100233370b25f7e3b_normal.jpeg" TargetMode="External"/><Relationship Id="rId11137" Type="http://schemas.openxmlformats.org/officeDocument/2006/relationships/hyperlink" Target="https://pbs.twimg.com/profile_images/718820712757215233/LXXndPTS_normal.jpg" TargetMode="External"/><Relationship Id="rId16809" Type="http://schemas.openxmlformats.org/officeDocument/2006/relationships/hyperlink" Target="https://twitter.com/SkipYorkEnergy" TargetMode="External"/><Relationship Id="rId4766" Type="http://schemas.openxmlformats.org/officeDocument/2006/relationships/hyperlink" Target="https://twitter.com/UAimports/status/723186992725540864" TargetMode="External"/><Relationship Id="rId17180" Type="http://schemas.openxmlformats.org/officeDocument/2006/relationships/hyperlink" Target="https://twitter.com/MusicHistoryLaw/status/723776957477953536" TargetMode="External"/><Relationship Id="rId21576" Type="http://schemas.openxmlformats.org/officeDocument/2006/relationships/hyperlink" Target="http://dlvr.it/" TargetMode="External"/><Relationship Id="rId4419" Type="http://schemas.openxmlformats.org/officeDocument/2006/relationships/hyperlink" Target="https://twitter.com/rbpr/status/723180631614615553" TargetMode="External"/><Relationship Id="rId7989" Type="http://schemas.openxmlformats.org/officeDocument/2006/relationships/hyperlink" Target="https://pbs.twimg.com/profile_images/2345389543/pzf2fix9mmipequtrhdu_normal.jpeg" TargetMode="External"/><Relationship Id="rId10220" Type="http://schemas.openxmlformats.org/officeDocument/2006/relationships/hyperlink" Target="https://twitter.com/VWCamperSales/status/723466155902431232" TargetMode="External"/><Relationship Id="rId21229" Type="http://schemas.openxmlformats.org/officeDocument/2006/relationships/hyperlink" Target="https://pbs.twimg.com/profile_images/627949001179037696/skEBkS05_normal.jpg" TargetMode="External"/><Relationship Id="rId24799" Type="http://schemas.openxmlformats.org/officeDocument/2006/relationships/hyperlink" Target="https://twitter.com/ManuelA30652972" TargetMode="External"/><Relationship Id="rId289" Type="http://schemas.openxmlformats.org/officeDocument/2006/relationships/hyperlink" Target="https://twitter.com/moteking25" TargetMode="External"/><Relationship Id="rId13790" Type="http://schemas.openxmlformats.org/officeDocument/2006/relationships/hyperlink" Target="https://twitter.com/VWCamperSales/status/723556362051964928" TargetMode="External"/><Relationship Id="rId13443" Type="http://schemas.openxmlformats.org/officeDocument/2006/relationships/hyperlink" Target="https://pbs.twimg.com/profile_images/615493650785660928/XHUh6HOk_normal.jpg" TargetMode="External"/><Relationship Id="rId1053" Type="http://schemas.openxmlformats.org/officeDocument/2006/relationships/hyperlink" Target="https://twitter.com/Gareth1958" TargetMode="External"/><Relationship Id="rId3502" Type="http://schemas.openxmlformats.org/officeDocument/2006/relationships/hyperlink" Target="https://twitter.com/avaeburjassot/status/723160815793258496" TargetMode="External"/><Relationship Id="rId16666" Type="http://schemas.openxmlformats.org/officeDocument/2006/relationships/hyperlink" Target="https://pbs.twimg.com/profile_images/718820712757215233/LXXndPTS_normal.jpg" TargetMode="External"/><Relationship Id="rId20312" Type="http://schemas.openxmlformats.org/officeDocument/2006/relationships/hyperlink" Target="https://twitter.com/SophleKeads" TargetMode="External"/><Relationship Id="rId23882" Type="http://schemas.openxmlformats.org/officeDocument/2006/relationships/hyperlink" Target="http://dlvr.it/" TargetMode="External"/><Relationship Id="rId6725" Type="http://schemas.openxmlformats.org/officeDocument/2006/relationships/hyperlink" Target="https://twitter.com/kngeuro/status/723255064119238657" TargetMode="External"/><Relationship Id="rId16319" Type="http://schemas.openxmlformats.org/officeDocument/2006/relationships/hyperlink" Target="https://twitter.com/VCT_Tweets/status/723668666252943360" TargetMode="External"/><Relationship Id="rId19889" Type="http://schemas.openxmlformats.org/officeDocument/2006/relationships/hyperlink" Target="https://twitter.com/Miau21Rally/status/723962842274254848" TargetMode="External"/><Relationship Id="rId23535" Type="http://schemas.openxmlformats.org/officeDocument/2006/relationships/hyperlink" Target="https://twitter.com/SOLDintl/status/724296321528651777" TargetMode="External"/><Relationship Id="rId4276" Type="http://schemas.openxmlformats.org/officeDocument/2006/relationships/hyperlink" Target="https://pbs.twimg.com/profile_images/783167280/gehaekeltesauto_normal.jpg" TargetMode="External"/><Relationship Id="rId9948" Type="http://schemas.openxmlformats.org/officeDocument/2006/relationships/hyperlink" Target="https://twitter.com/DayanLuce" TargetMode="External"/><Relationship Id="rId21086" Type="http://schemas.openxmlformats.org/officeDocument/2006/relationships/hyperlink" Target="https://twitter.com/Volkswagen4ever" TargetMode="External"/><Relationship Id="rId7499" Type="http://schemas.openxmlformats.org/officeDocument/2006/relationships/hyperlink" Target="https://pbs.twimg.com/profile_images/575839795810713601/V0Vj8AtR_normal.jpg" TargetMode="External"/><Relationship Id="rId12929" Type="http://schemas.openxmlformats.org/officeDocument/2006/relationships/hyperlink" Target="https://pbs.twimg.com/profile_images/545688359964651520/SF3sJ7lv_normal.jpeg" TargetMode="External"/><Relationship Id="rId15402" Type="http://schemas.openxmlformats.org/officeDocument/2006/relationships/hyperlink" Target="https://pbs.twimg.com/profile_images/712580602076246016/snGbW6JJ_normal.jpg" TargetMode="External"/><Relationship Id="rId18972" Type="http://schemas.openxmlformats.org/officeDocument/2006/relationships/hyperlink" Target="https://twitter.com/Litardo_GermanC" TargetMode="External"/><Relationship Id="rId3012" Type="http://schemas.openxmlformats.org/officeDocument/2006/relationships/hyperlink" Target="https://twitter.com/VolkswagenPost" TargetMode="External"/><Relationship Id="rId6582" Type="http://schemas.openxmlformats.org/officeDocument/2006/relationships/hyperlink" Target="https://twitter.com/DJSLYPE/status/723247040592011264" TargetMode="External"/><Relationship Id="rId16176" Type="http://schemas.openxmlformats.org/officeDocument/2006/relationships/hyperlink" Target="https://twitter.com/Jairoogorosito" TargetMode="External"/><Relationship Id="rId18625" Type="http://schemas.openxmlformats.org/officeDocument/2006/relationships/hyperlink" Target="https://pbs.twimg.com/profile_images/627234217840246784/fdpcdjnW_normal.jpg" TargetMode="External"/><Relationship Id="rId23392" Type="http://schemas.openxmlformats.org/officeDocument/2006/relationships/hyperlink" Target="https://twitter.com/acvwpassion/status/724285555668860928" TargetMode="External"/><Relationship Id="rId6235" Type="http://schemas.openxmlformats.org/officeDocument/2006/relationships/hyperlink" Target="https://twitter.com/notjustjam/status/723236068506648577" TargetMode="External"/><Relationship Id="rId23045" Type="http://schemas.openxmlformats.org/officeDocument/2006/relationships/hyperlink" Target="https://pbs.twimg.com/profile_images/682646422584348672/rXCx5v4o_normal.png" TargetMode="External"/><Relationship Id="rId12786" Type="http://schemas.openxmlformats.org/officeDocument/2006/relationships/hyperlink" Target="https://pbs.twimg.com/profile_images/378800000528765970/3ab9f2a00010e9cac08d5ca1638926e9_normal.png" TargetMode="External"/><Relationship Id="rId19399" Type="http://schemas.openxmlformats.org/officeDocument/2006/relationships/hyperlink" Target="https://twitter.com/VWBeetleSales/status/723929198566338560" TargetMode="External"/><Relationship Id="rId2845" Type="http://schemas.openxmlformats.org/officeDocument/2006/relationships/hyperlink" Target="https://twitter.com/lennbc/status/723121665803210752" TargetMode="External"/><Relationship Id="rId9458" Type="http://schemas.openxmlformats.org/officeDocument/2006/relationships/hyperlink" Target="https://twitter.com/WrexhamVW/status/723436184106463232" TargetMode="External"/><Relationship Id="rId12439" Type="http://schemas.openxmlformats.org/officeDocument/2006/relationships/hyperlink" Target="https://twitter.com/Stony_BS" TargetMode="External"/><Relationship Id="rId817" Type="http://schemas.openxmlformats.org/officeDocument/2006/relationships/hyperlink" Target="https://twitter.com/Medienspiegel_D/status/722987476734742528" TargetMode="External"/><Relationship Id="rId18482" Type="http://schemas.openxmlformats.org/officeDocument/2006/relationships/hyperlink" Target="https://pbs.twimg.com/profile_images/714418680742985728/6B3Bih9b_normal.jpg" TargetMode="External"/><Relationship Id="rId22878" Type="http://schemas.openxmlformats.org/officeDocument/2006/relationships/hyperlink" Target="https://twitter.com/beetlebug1938/status/724253972178018304" TargetMode="External"/><Relationship Id="rId8541" Type="http://schemas.openxmlformats.org/officeDocument/2006/relationships/hyperlink" Target="https://pbs.twimg.com/profile_images/439706141728051201/GQgdrA5p_normal.jpeg" TargetMode="External"/><Relationship Id="rId18135" Type="http://schemas.openxmlformats.org/officeDocument/2006/relationships/hyperlink" Target="https://twitter.com/MarkCSchneider" TargetMode="External"/><Relationship Id="rId25351" Type="http://schemas.openxmlformats.org/officeDocument/2006/relationships/hyperlink" Target="https://twitter.com/ebaycampervans/status/724432327636443138" TargetMode="External"/><Relationship Id="rId6092" Type="http://schemas.openxmlformats.org/officeDocument/2006/relationships/hyperlink" Target="https://pbs.twimg.com/profile_images/627949001179037696/skEBkS05_normal.jpg" TargetMode="External"/><Relationship Id="rId11522" Type="http://schemas.openxmlformats.org/officeDocument/2006/relationships/hyperlink" Target="https://twitter.com/FocusEconomia/status/723503166705274880" TargetMode="External"/><Relationship Id="rId25004" Type="http://schemas.openxmlformats.org/officeDocument/2006/relationships/hyperlink" Target="https://twitter.com/SuranClub/status/724408831132983296" TargetMode="External"/><Relationship Id="rId14745" Type="http://schemas.openxmlformats.org/officeDocument/2006/relationships/hyperlink" Target="https://pbs.twimg.com/profile_images/519785398566785024/PVYaywMF_normal.jpeg" TargetMode="External"/><Relationship Id="rId21961" Type="http://schemas.openxmlformats.org/officeDocument/2006/relationships/hyperlink" Target="https://pbs.twimg.com/profile_images/717302161865097216/K9JRmEH9_normal.jpg" TargetMode="External"/><Relationship Id="rId4804" Type="http://schemas.openxmlformats.org/officeDocument/2006/relationships/hyperlink" Target="https://twitter.com/styllnziall" TargetMode="External"/><Relationship Id="rId12296" Type="http://schemas.openxmlformats.org/officeDocument/2006/relationships/hyperlink" Target="https://twitter.com/doern/status/723516781097263106" TargetMode="External"/><Relationship Id="rId17968" Type="http://schemas.openxmlformats.org/officeDocument/2006/relationships/hyperlink" Target="https://twitter.com/thecottagelmore/status/723838406963412992" TargetMode="External"/><Relationship Id="rId21614" Type="http://schemas.openxmlformats.org/officeDocument/2006/relationships/hyperlink" Target="https://twitter.com/dubbusses" TargetMode="External"/><Relationship Id="rId674" Type="http://schemas.openxmlformats.org/officeDocument/2006/relationships/hyperlink" Target="https://pbs.twimg.com/profile_images/1692784653/1309160708_normal.jpg" TargetMode="External"/><Relationship Id="rId2355" Type="http://schemas.openxmlformats.org/officeDocument/2006/relationships/hyperlink" Target="http://ctrlq.org/maps/address/" TargetMode="External"/><Relationship Id="rId24837" Type="http://schemas.openxmlformats.org/officeDocument/2006/relationships/hyperlink" Target="https://pbs.twimg.com/profile_images/541547000769306624/4ytud69w_normal.jpeg" TargetMode="External"/><Relationship Id="rId327" Type="http://schemas.openxmlformats.org/officeDocument/2006/relationships/hyperlink" Target="https://pbs.twimg.com/profile_images/708611847948259328/CfRQk67-_normal.jpg" TargetMode="External"/><Relationship Id="rId2008" Type="http://schemas.openxmlformats.org/officeDocument/2006/relationships/hyperlink" Target="https://twitter.com/ExistAutocare/status/723075552312176640" TargetMode="External"/><Relationship Id="rId5578" Type="http://schemas.openxmlformats.org/officeDocument/2006/relationships/hyperlink" Target="https://twitter.com/Auto2day_gr" TargetMode="External"/><Relationship Id="rId22388" Type="http://schemas.openxmlformats.org/officeDocument/2006/relationships/hyperlink" Target="https://twitter.com/ElroyWonder/status/724221278169739264" TargetMode="External"/><Relationship Id="rId8051" Type="http://schemas.openxmlformats.org/officeDocument/2006/relationships/hyperlink" Target="https://twitter.com/meenaabedi" TargetMode="External"/><Relationship Id="rId11032" Type="http://schemas.openxmlformats.org/officeDocument/2006/relationships/hyperlink" Target="https://twitter.com/markhowardracer" TargetMode="External"/><Relationship Id="rId4661" Type="http://schemas.openxmlformats.org/officeDocument/2006/relationships/hyperlink" Target="https://twitter.com/Elitet5/status/723184562210267136" TargetMode="External"/><Relationship Id="rId14255" Type="http://schemas.openxmlformats.org/officeDocument/2006/relationships/hyperlink" Target="https://twitter.com/ChochiiGuzman/status/723570961258262528" TargetMode="External"/><Relationship Id="rId16704" Type="http://schemas.openxmlformats.org/officeDocument/2006/relationships/hyperlink" Target="https://twitter.com/CaaioMonteiro" TargetMode="External"/><Relationship Id="rId21471" Type="http://schemas.openxmlformats.org/officeDocument/2006/relationships/hyperlink" Target="https://twitter.com/Soulvability/status/724151090065891329" TargetMode="External"/><Relationship Id="rId23920" Type="http://schemas.openxmlformats.org/officeDocument/2006/relationships/hyperlink" Target="https://pbs.twimg.com/profile_images/718820712757215233/LXXndPTS_normal.jpg" TargetMode="External"/><Relationship Id="rId4314" Type="http://schemas.openxmlformats.org/officeDocument/2006/relationships/hyperlink" Target="https://pbs.twimg.com/profile_images/672181739301822465/2EHqX_W1_normal.jpg" TargetMode="External"/><Relationship Id="rId19927" Type="http://schemas.openxmlformats.org/officeDocument/2006/relationships/hyperlink" Target="https://twitter.com/OseaesO" TargetMode="External"/><Relationship Id="rId21124" Type="http://schemas.openxmlformats.org/officeDocument/2006/relationships/hyperlink" Target="https://pbs.twimg.com/profile_images/652871584131092480/QA_B6SBO_normal.jpg" TargetMode="External"/><Relationship Id="rId184" Type="http://schemas.openxmlformats.org/officeDocument/2006/relationships/hyperlink" Target="https://twitter.com/Lindsay_VW" TargetMode="External"/><Relationship Id="rId7884" Type="http://schemas.openxmlformats.org/officeDocument/2006/relationships/hyperlink" Target="https://twitter.com/b2bmanufactures/status/723337646097862656" TargetMode="External"/><Relationship Id="rId10865" Type="http://schemas.openxmlformats.org/officeDocument/2006/relationships/hyperlink" Target="https://pbs.twimg.com/profile_images/711302265798311936/Qd5jRkL4_normal.jpg" TargetMode="External"/><Relationship Id="rId17478" Type="http://schemas.openxmlformats.org/officeDocument/2006/relationships/hyperlink" Target="https://pbs.twimg.com/profile_images/559094010434691072/SPEAOqw8_normal.jpeg" TargetMode="External"/><Relationship Id="rId24694" Type="http://schemas.openxmlformats.org/officeDocument/2006/relationships/hyperlink" Target="https://twitter.com/VWBeetleSales" TargetMode="External"/><Relationship Id="rId5088" Type="http://schemas.openxmlformats.org/officeDocument/2006/relationships/hyperlink" Target="https://twitter.com/ErnstvAll" TargetMode="External"/><Relationship Id="rId7537" Type="http://schemas.openxmlformats.org/officeDocument/2006/relationships/hyperlink" Target="https://twitter.com/8kCalculariusuw/status/723309386450399232" TargetMode="External"/><Relationship Id="rId10518" Type="http://schemas.openxmlformats.org/officeDocument/2006/relationships/hyperlink" Target="https://pbs.twimg.com/profile_images/647052084446150656/1FTvGXVr_normal.png" TargetMode="External"/><Relationship Id="rId24347" Type="http://schemas.openxmlformats.org/officeDocument/2006/relationships/hyperlink" Target="https://twitter.com/DenglerW" TargetMode="External"/><Relationship Id="rId16561" Type="http://schemas.openxmlformats.org/officeDocument/2006/relationships/hyperlink" Target="https://twitter.com/beetlebug1938" TargetMode="External"/><Relationship Id="rId20957" Type="http://schemas.openxmlformats.org/officeDocument/2006/relationships/hyperlink" Target="https://twitter.com/chrispillennews" TargetMode="External"/><Relationship Id="rId1698" Type="http://schemas.openxmlformats.org/officeDocument/2006/relationships/hyperlink" Target="https://twitter.com/RumBat/status/723053233367846912" TargetMode="External"/><Relationship Id="rId6620" Type="http://schemas.openxmlformats.org/officeDocument/2006/relationships/hyperlink" Target="http://dlvr.it/" TargetMode="External"/><Relationship Id="rId16214" Type="http://schemas.openxmlformats.org/officeDocument/2006/relationships/hyperlink" Target="https://pbs.twimg.com/profile_images/2208847688/Untitled-2_normal.jpg" TargetMode="External"/><Relationship Id="rId23430" Type="http://schemas.openxmlformats.org/officeDocument/2006/relationships/hyperlink" Target="https://twitter.com/shanicebarnes_/status/724288421288652800" TargetMode="External"/><Relationship Id="rId4171" Type="http://schemas.openxmlformats.org/officeDocument/2006/relationships/hyperlink" Target="https://pbs.twimg.com/profile_images/459004924907380736/5rd4PRWK_normal.jpeg" TargetMode="External"/><Relationship Id="rId19784" Type="http://schemas.openxmlformats.org/officeDocument/2006/relationships/hyperlink" Target="https://twitter.com/FennellMarcus/status/723956820801392640" TargetMode="External"/><Relationship Id="rId57" Type="http://schemas.openxmlformats.org/officeDocument/2006/relationships/hyperlink" Target="https://pbs.twimg.com/profile_images/437383806853468160/wGuL_DMN_normal.jpeg" TargetMode="External"/><Relationship Id="rId7394" Type="http://schemas.openxmlformats.org/officeDocument/2006/relationships/hyperlink" Target="https://twitter.com/DreamCarsRepair" TargetMode="External"/><Relationship Id="rId9843" Type="http://schemas.openxmlformats.org/officeDocument/2006/relationships/hyperlink" Target="https://twitter.com/Henriquelagarto" TargetMode="External"/><Relationship Id="rId12824" Type="http://schemas.openxmlformats.org/officeDocument/2006/relationships/hyperlink" Target="https://twitter.com/ErnstvAll/status/723528633663524864" TargetMode="External"/><Relationship Id="rId19437" Type="http://schemas.openxmlformats.org/officeDocument/2006/relationships/hyperlink" Target="https://twitter.com/VWCamperSales/status/723932356201967616" TargetMode="External"/><Relationship Id="rId7047" Type="http://schemas.openxmlformats.org/officeDocument/2006/relationships/hyperlink" Target="https://pbs.twimg.com/profile_images/569800899141177344/nVFLMSdb_normal.png" TargetMode="External"/><Relationship Id="rId10375" Type="http://schemas.openxmlformats.org/officeDocument/2006/relationships/hyperlink" Target="https://twitter.com/Mat_Struwe/status/723470668436783113" TargetMode="External"/><Relationship Id="rId10028" Type="http://schemas.openxmlformats.org/officeDocument/2006/relationships/hyperlink" Target="https://twitter.com/EIV_Bayreuth/status/723458726267654145" TargetMode="External"/><Relationship Id="rId13598" Type="http://schemas.openxmlformats.org/officeDocument/2006/relationships/hyperlink" Target="https://pbs.twimg.com/profile_images/702511217793863680/lty8h9vE_normal.jpg" TargetMode="External"/><Relationship Id="rId18520" Type="http://schemas.openxmlformats.org/officeDocument/2006/relationships/hyperlink" Target="https://twitter.com/startmakkelijk/status/723874600824643584" TargetMode="External"/><Relationship Id="rId22916" Type="http://schemas.openxmlformats.org/officeDocument/2006/relationships/hyperlink" Target="https://pbs.twimg.com/profile_images/709477803851325440/SYpI9NJ7_normal.jpg" TargetMode="External"/><Relationship Id="rId3657" Type="http://schemas.openxmlformats.org/officeDocument/2006/relationships/hyperlink" Target="https://twitter.com/ZDFheute" TargetMode="External"/><Relationship Id="rId16071" Type="http://schemas.openxmlformats.org/officeDocument/2006/relationships/hyperlink" Target="https://twitter.com/riversidevw/status/723647169228603397" TargetMode="External"/><Relationship Id="rId20467" Type="http://schemas.openxmlformats.org/officeDocument/2006/relationships/hyperlink" Target="https://twitter.com/Wheelz_me/status/724000908179214336" TargetMode="External"/><Relationship Id="rId6130" Type="http://schemas.openxmlformats.org/officeDocument/2006/relationships/hyperlink" Target="https://twitter.com/c_garrels" TargetMode="External"/><Relationship Id="rId12681" Type="http://schemas.openxmlformats.org/officeDocument/2006/relationships/hyperlink" Target="https://twitter.com/peter_hagen/status/723525067477536768" TargetMode="External"/><Relationship Id="rId19294" Type="http://schemas.openxmlformats.org/officeDocument/2006/relationships/hyperlink" Target="https://twitter.com/premchandc87" TargetMode="External"/><Relationship Id="rId2740" Type="http://schemas.openxmlformats.org/officeDocument/2006/relationships/hyperlink" Target="https://twitter.com/UDelSustainable/status/723116453348540417" TargetMode="External"/><Relationship Id="rId9353" Type="http://schemas.openxmlformats.org/officeDocument/2006/relationships/hyperlink" Target="https://pbs.twimg.com/profile_images/603480066887127041/ZqzOY80Q_normal.jpg" TargetMode="External"/><Relationship Id="rId12334" Type="http://schemas.openxmlformats.org/officeDocument/2006/relationships/hyperlink" Target="https://pbs.twimg.com/profile_images/424893967197433858/iQ86NktX_normal.jpeg" TargetMode="External"/><Relationship Id="rId712" Type="http://schemas.openxmlformats.org/officeDocument/2006/relationships/hyperlink" Target="https://twitter.com/cljeremyxtjH" TargetMode="External"/><Relationship Id="rId9006" Type="http://schemas.openxmlformats.org/officeDocument/2006/relationships/hyperlink" Target="https://twitter.com/SvOstrow/status/723416476883914753" TargetMode="External"/><Relationship Id="rId5963" Type="http://schemas.openxmlformats.org/officeDocument/2006/relationships/hyperlink" Target="https://twitter.com/news5wcyb" TargetMode="External"/><Relationship Id="rId15557" Type="http://schemas.openxmlformats.org/officeDocument/2006/relationships/hyperlink" Target="https://twitter.com/puexxx/status/723612873411448832" TargetMode="External"/><Relationship Id="rId22773" Type="http://schemas.openxmlformats.org/officeDocument/2006/relationships/hyperlink" Target="https://twitter.com/SanRMaadhwa/status/724245446743461890" TargetMode="External"/><Relationship Id="rId3167" Type="http://schemas.openxmlformats.org/officeDocument/2006/relationships/hyperlink" Target="https://twitter.com/VeeDubMk1_" TargetMode="External"/><Relationship Id="rId5616" Type="http://schemas.openxmlformats.org/officeDocument/2006/relationships/hyperlink" Target="https://pbs.twimg.com/profile_images/378800000462396717/40b6ca623644e3ce6addf15947b0c27b_normal.jpeg" TargetMode="External"/><Relationship Id="rId18030" Type="http://schemas.openxmlformats.org/officeDocument/2006/relationships/hyperlink" Target="https://twitter.com/voosvoos/status/723843120727764992" TargetMode="External"/><Relationship Id="rId22426" Type="http://schemas.openxmlformats.org/officeDocument/2006/relationships/hyperlink" Target="https://pbs.twimg.com/profile_images/722514260392296449/uQ4hgq6N_normal.jpg" TargetMode="External"/><Relationship Id="rId8839" Type="http://schemas.openxmlformats.org/officeDocument/2006/relationships/hyperlink" Target="https://pbs.twimg.com/profile_images/707176643509538817/-s_VKgK4_normal.jpg" TargetMode="External"/><Relationship Id="rId14640" Type="http://schemas.openxmlformats.org/officeDocument/2006/relationships/hyperlink" Target="https://twitter.com/ThomasGermany01" TargetMode="External"/><Relationship Id="rId25649" Type="http://schemas.openxmlformats.org/officeDocument/2006/relationships/hyperlink" Target="https://pbs.twimg.com/profile_images/723725278611034112/4Fd5AYQP_normal.jpg" TargetMode="External"/><Relationship Id="rId12191" Type="http://schemas.openxmlformats.org/officeDocument/2006/relationships/hyperlink" Target="https://twitter.com/BaerbelHoehn/status/723514743399563264" TargetMode="External"/><Relationship Id="rId2250" Type="http://schemas.openxmlformats.org/officeDocument/2006/relationships/hyperlink" Target="https://twitter.com/vwpress_en" TargetMode="External"/><Relationship Id="rId17863" Type="http://schemas.openxmlformats.org/officeDocument/2006/relationships/hyperlink" Target="https://twitter.com/misa7231kbear" TargetMode="External"/><Relationship Id="rId222" Type="http://schemas.openxmlformats.org/officeDocument/2006/relationships/hyperlink" Target="https://pbs.twimg.com/profile_images/689835963204395008/E51dlp1H_normal.jpg" TargetMode="External"/><Relationship Id="rId5473" Type="http://schemas.openxmlformats.org/officeDocument/2006/relationships/hyperlink" Target="https://twitter.com/olaf26/status/723204358800859136" TargetMode="External"/><Relationship Id="rId7922" Type="http://schemas.openxmlformats.org/officeDocument/2006/relationships/hyperlink" Target="https://twitter.com/ghcj" TargetMode="External"/><Relationship Id="rId10903" Type="http://schemas.openxmlformats.org/officeDocument/2006/relationships/hyperlink" Target="https://twitter.com/DeezaSunglasses/status/723489801291350017" TargetMode="External"/><Relationship Id="rId15067" Type="http://schemas.openxmlformats.org/officeDocument/2006/relationships/hyperlink" Target="https://pbs.twimg.com/profile_images/3497903431/ae95594a00a0817e860e73da8fef6dca_normal.png" TargetMode="External"/><Relationship Id="rId17516" Type="http://schemas.openxmlformats.org/officeDocument/2006/relationships/hyperlink" Target="https://twitter.com/VWCamperSales/status/723803881499566080" TargetMode="External"/><Relationship Id="rId22283" Type="http://schemas.openxmlformats.org/officeDocument/2006/relationships/hyperlink" Target="https://twitter.com/RETROPOT/status/724213191065083905" TargetMode="External"/><Relationship Id="rId24732" Type="http://schemas.openxmlformats.org/officeDocument/2006/relationships/hyperlink" Target="https://twitter.com/SJeanWrites/status/724386119148658689" TargetMode="External"/><Relationship Id="rId5126" Type="http://schemas.openxmlformats.org/officeDocument/2006/relationships/hyperlink" Target="https://pbs.twimg.com/profile_images/1662537456/MichelleTuccittoSullo_normal.jpg" TargetMode="External"/><Relationship Id="rId8349" Type="http://schemas.openxmlformats.org/officeDocument/2006/relationships/hyperlink" Target="https://pbs.twimg.com/profile_images/718820712757215233/LXXndPTS_normal.jpg" TargetMode="External"/><Relationship Id="rId8696" Type="http://schemas.openxmlformats.org/officeDocument/2006/relationships/hyperlink" Target="https://pbs.twimg.com/profile_images/551428279262257153/nmSvHIJ7_normal.jpeg" TargetMode="External"/><Relationship Id="rId11677" Type="http://schemas.openxmlformats.org/officeDocument/2006/relationships/hyperlink" Target="https://twitter.com/MatthewBray16" TargetMode="External"/><Relationship Id="rId1736" Type="http://schemas.openxmlformats.org/officeDocument/2006/relationships/hyperlink" Target="https://pbs.twimg.com/profile_images/649519091892531200/gFXmbSPM_normal.jpg" TargetMode="External"/><Relationship Id="rId14150" Type="http://schemas.openxmlformats.org/officeDocument/2006/relationships/hyperlink" Target="https://pbs.twimg.com/profile_images/562193841587896321/nfd18Y4g_normal.jpeg" TargetMode="External"/><Relationship Id="rId19822" Type="http://schemas.openxmlformats.org/officeDocument/2006/relationships/hyperlink" Target="https://twitter.com/rallyargentina/status/723960875393101824" TargetMode="External"/><Relationship Id="rId25159" Type="http://schemas.openxmlformats.org/officeDocument/2006/relationships/hyperlink" Target="https://twitter.com/DeeZeeX" TargetMode="External"/><Relationship Id="rId4959" Type="http://schemas.openxmlformats.org/officeDocument/2006/relationships/hyperlink" Target="https://twitter.com/KSWO_7NEWS/status/723191035682164737" TargetMode="External"/><Relationship Id="rId17373" Type="http://schemas.openxmlformats.org/officeDocument/2006/relationships/hyperlink" Target="https://pbs.twimg.com/profile_images/645687851150090240/AIVtG4Zx_normal.jpg" TargetMode="External"/><Relationship Id="rId21769" Type="http://schemas.openxmlformats.org/officeDocument/2006/relationships/hyperlink" Target="https://twitter.com/beetlebug1938" TargetMode="External"/><Relationship Id="rId7432" Type="http://schemas.openxmlformats.org/officeDocument/2006/relationships/hyperlink" Target="https://pbs.twimg.com/profile_images/713007702721474561/QMRhKzxd_normal.jpg" TargetMode="External"/><Relationship Id="rId10413" Type="http://schemas.openxmlformats.org/officeDocument/2006/relationships/hyperlink" Target="https://twitter.com/AZur1969" TargetMode="External"/><Relationship Id="rId10760" Type="http://schemas.openxmlformats.org/officeDocument/2006/relationships/hyperlink" Target="https://twitter.com/firstvehicle" TargetMode="External"/><Relationship Id="rId17026" Type="http://schemas.openxmlformats.org/officeDocument/2006/relationships/hyperlink" Target="https://twitter.com/Simulacron2" TargetMode="External"/><Relationship Id="rId24242" Type="http://schemas.openxmlformats.org/officeDocument/2006/relationships/hyperlink" Target="https://pbs.twimg.com/profile_images/378800000766386331/f04375b1d8e1812af51469e131f0542c_normal.png" TargetMode="External"/><Relationship Id="rId13983" Type="http://schemas.openxmlformats.org/officeDocument/2006/relationships/hyperlink" Target="https://twitter.com/mmmsex3014/status/723560605383270401" TargetMode="External"/><Relationship Id="rId1593" Type="http://schemas.openxmlformats.org/officeDocument/2006/relationships/hyperlink" Target="https://twitter.com/JezMans/status/723048628105912320" TargetMode="External"/><Relationship Id="rId11187" Type="http://schemas.openxmlformats.org/officeDocument/2006/relationships/hyperlink" Target="https://twitter.com/FuscaWorld" TargetMode="External"/><Relationship Id="rId13636" Type="http://schemas.openxmlformats.org/officeDocument/2006/relationships/hyperlink" Target="https://twitter.com/Neurasthenio" TargetMode="External"/><Relationship Id="rId20852" Type="http://schemas.openxmlformats.org/officeDocument/2006/relationships/hyperlink" Target="https://twitter.com/Agusperez09/status/724049153261748225" TargetMode="External"/><Relationship Id="rId1246" Type="http://schemas.openxmlformats.org/officeDocument/2006/relationships/hyperlink" Target="https://pbs.twimg.com/profile_images/702511217793863680/lty8h9vE_normal.jpg" TargetMode="External"/><Relationship Id="rId16859" Type="http://schemas.openxmlformats.org/officeDocument/2006/relationships/hyperlink" Target="https://pbs.twimg.com/profile_images/718940079960563712/9LzCcd8k_normal.jpg" TargetMode="External"/><Relationship Id="rId20505" Type="http://schemas.openxmlformats.org/officeDocument/2006/relationships/hyperlink" Target="https://twitter.com/DollysdelightsS" TargetMode="External"/><Relationship Id="rId6918" Type="http://schemas.openxmlformats.org/officeDocument/2006/relationships/hyperlink" Target="https://twitter.com/AutoBildspain" TargetMode="External"/><Relationship Id="rId19332" Type="http://schemas.openxmlformats.org/officeDocument/2006/relationships/hyperlink" Target="https://pbs.twimg.com/profile_images/630785330690568192/ZD946uS6_normal.jpg" TargetMode="External"/><Relationship Id="rId23728" Type="http://schemas.openxmlformats.org/officeDocument/2006/relationships/hyperlink" Target="https://pbs.twimg.com/profile_images/556255417714503681/B78CvKEX_normal.jpeg" TargetMode="External"/><Relationship Id="rId4469" Type="http://schemas.openxmlformats.org/officeDocument/2006/relationships/hyperlink" Target="https://pbs.twimg.com/profile_images/489869773597986816/qXB3yWJn_normal.jpeg" TargetMode="External"/><Relationship Id="rId10270" Type="http://schemas.openxmlformats.org/officeDocument/2006/relationships/hyperlink" Target="https://pbs.twimg.com/profile_images/666962838930485248/ZYF2LkHu_normal.png" TargetMode="External"/><Relationship Id="rId21279" Type="http://schemas.openxmlformats.org/officeDocument/2006/relationships/hyperlink" Target="https://twitter.com/TetsuoHojo/status/724136087149404161" TargetMode="External"/><Relationship Id="rId13493" Type="http://schemas.openxmlformats.org/officeDocument/2006/relationships/hyperlink" Target="https://twitter.com/DrevenSeal" TargetMode="External"/><Relationship Id="rId15942" Type="http://schemas.openxmlformats.org/officeDocument/2006/relationships/hyperlink" Target="https://pbs.twimg.com/profile_images/548874200102879234/jOo5AkMZ_normal.png" TargetMode="External"/><Relationship Id="rId3552" Type="http://schemas.openxmlformats.org/officeDocument/2006/relationships/hyperlink" Target="https://pbs.twimg.com/profile_images/378800000696181601/c2a849b4a9c8def1647340ff66d1113a_normal.jpeg" TargetMode="External"/><Relationship Id="rId13146" Type="http://schemas.openxmlformats.org/officeDocument/2006/relationships/hyperlink" Target="https://twitter.com/VolkswagenPost" TargetMode="External"/><Relationship Id="rId20362" Type="http://schemas.openxmlformats.org/officeDocument/2006/relationships/hyperlink" Target="https://twitter.com/Gravantar" TargetMode="External"/><Relationship Id="rId22811" Type="http://schemas.openxmlformats.org/officeDocument/2006/relationships/hyperlink" Target="https://twitter.com/kramer_angii/status/724247657196191744" TargetMode="External"/><Relationship Id="rId3205" Type="http://schemas.openxmlformats.org/officeDocument/2006/relationships/hyperlink" Target="https://twitter.com/AutosAlPisoARG" TargetMode="External"/><Relationship Id="rId18818" Type="http://schemas.openxmlformats.org/officeDocument/2006/relationships/hyperlink" Target="https://pbs.twimg.com/profile_images/581968617006243840/EDrS5JLM_normal.jpg" TargetMode="External"/><Relationship Id="rId20015" Type="http://schemas.openxmlformats.org/officeDocument/2006/relationships/hyperlink" Target="https://pbs.twimg.com/profile_images/689725910224805889/9N3BPvYo_normal.jpg" TargetMode="External"/><Relationship Id="rId6428" Type="http://schemas.openxmlformats.org/officeDocument/2006/relationships/hyperlink" Target="https://twitter.com/Insta_VWT/status/723242940756332544" TargetMode="External"/><Relationship Id="rId6775" Type="http://schemas.openxmlformats.org/officeDocument/2006/relationships/hyperlink" Target="https://twitter.com/StevenTPires" TargetMode="External"/><Relationship Id="rId16369" Type="http://schemas.openxmlformats.org/officeDocument/2006/relationships/hyperlink" Target="https://twitter.com/NiCoMoeremans" TargetMode="External"/><Relationship Id="rId23585" Type="http://schemas.openxmlformats.org/officeDocument/2006/relationships/hyperlink" Target="https://pbs.twimg.com/profile_images/422164778639839234/LVnS1q1c_normal.jpeg" TargetMode="External"/><Relationship Id="rId9998" Type="http://schemas.openxmlformats.org/officeDocument/2006/relationships/hyperlink" Target="https://twitter.com/unlmtdsmarttech/status/723457300804042752" TargetMode="External"/><Relationship Id="rId12979" Type="http://schemas.openxmlformats.org/officeDocument/2006/relationships/hyperlink" Target="https://twitter.com/Fotobiene/status/723532626888409089" TargetMode="External"/><Relationship Id="rId17901" Type="http://schemas.openxmlformats.org/officeDocument/2006/relationships/hyperlink" Target="https://twitter.com/garage777uk/status/723831853367566336" TargetMode="External"/><Relationship Id="rId23238" Type="http://schemas.openxmlformats.org/officeDocument/2006/relationships/hyperlink" Target="https://twitter.com/copeyphoto/status/724274841306710016" TargetMode="External"/><Relationship Id="rId15452" Type="http://schemas.openxmlformats.org/officeDocument/2006/relationships/hyperlink" Target="https://twitter.com/VWCamperSales/status/723607992772399104" TargetMode="External"/><Relationship Id="rId5511" Type="http://schemas.openxmlformats.org/officeDocument/2006/relationships/hyperlink" Target="https://twitter.com/1stclasscampers" TargetMode="External"/><Relationship Id="rId15105" Type="http://schemas.openxmlformats.org/officeDocument/2006/relationships/hyperlink" Target="https://twitter.com/WreckitReese21" TargetMode="External"/><Relationship Id="rId18675" Type="http://schemas.openxmlformats.org/officeDocument/2006/relationships/hyperlink" Target="https://pbs.twimg.com/profile_images/632993235552587776/7N1mu_tb_normal.jpg" TargetMode="External"/><Relationship Id="rId22321" Type="http://schemas.openxmlformats.org/officeDocument/2006/relationships/hyperlink" Target="https://twitter.com/dayterj75" TargetMode="External"/><Relationship Id="rId3062" Type="http://schemas.openxmlformats.org/officeDocument/2006/relationships/hyperlink" Target="https://twitter.com/greenback78/status/723137518435098624" TargetMode="External"/><Relationship Id="rId8734" Type="http://schemas.openxmlformats.org/officeDocument/2006/relationships/hyperlink" Target="https://pbs.twimg.com/profile_images/627949001179037696/skEBkS05_normal.jpg" TargetMode="External"/><Relationship Id="rId18328" Type="http://schemas.openxmlformats.org/officeDocument/2006/relationships/hyperlink" Target="https://twitter.com/jochenkiehl2" TargetMode="External"/><Relationship Id="rId25544" Type="http://schemas.openxmlformats.org/officeDocument/2006/relationships/hyperlink" Target="https://twitter.com/breedveldusa" TargetMode="External"/><Relationship Id="rId6285" Type="http://schemas.openxmlformats.org/officeDocument/2006/relationships/hyperlink" Target="https://twitter.com/charlieebutler/status/723237719707652098" TargetMode="External"/><Relationship Id="rId11715" Type="http://schemas.openxmlformats.org/officeDocument/2006/relationships/hyperlink" Target="https://pbs.twimg.com/profile_images/1833245422/twitter_yo_normal.jpg" TargetMode="External"/><Relationship Id="rId23095" Type="http://schemas.openxmlformats.org/officeDocument/2006/relationships/hyperlink" Target="https://twitter.com/abcollar" TargetMode="External"/><Relationship Id="rId14938" Type="http://schemas.openxmlformats.org/officeDocument/2006/relationships/hyperlink" Target="https://pbs.twimg.com/profile_images/709826765716324353/TlhgogFL_normal.jpg" TargetMode="External"/><Relationship Id="rId2895" Type="http://schemas.openxmlformats.org/officeDocument/2006/relationships/hyperlink" Target="https://twitter.com/VRwatchingU" TargetMode="External"/><Relationship Id="rId12489" Type="http://schemas.openxmlformats.org/officeDocument/2006/relationships/hyperlink" Target="https://pbs.twimg.com/profile_images/668091779313500160/ZepxnJcI_normal.jpg" TargetMode="External"/><Relationship Id="rId17411" Type="http://schemas.openxmlformats.org/officeDocument/2006/relationships/hyperlink" Target="https://twitter.com/porkpiefrank/status/723797541427531776" TargetMode="External"/><Relationship Id="rId21807" Type="http://schemas.openxmlformats.org/officeDocument/2006/relationships/hyperlink" Target="http://dlvr.it/" TargetMode="External"/><Relationship Id="rId867" Type="http://schemas.openxmlformats.org/officeDocument/2006/relationships/hyperlink" Target="https://pbs.twimg.com/profile_images/690620812315865089/ghuUMy7Q_normal.jpg" TargetMode="External"/><Relationship Id="rId2548" Type="http://schemas.openxmlformats.org/officeDocument/2006/relationships/hyperlink" Target="https://pbs.twimg.com/profile_images/441387643/Imageprofil_normal.jpg" TargetMode="External"/><Relationship Id="rId5021" Type="http://schemas.openxmlformats.org/officeDocument/2006/relationships/hyperlink" Target="https://twitter.com/fyhs3unghyun" TargetMode="External"/><Relationship Id="rId8591" Type="http://schemas.openxmlformats.org/officeDocument/2006/relationships/hyperlink" Target="https://twitter.com/dw_deutsch" TargetMode="External"/><Relationship Id="rId11572" Type="http://schemas.openxmlformats.org/officeDocument/2006/relationships/hyperlink" Target="https://twitter.com/Dr_JAH" TargetMode="External"/><Relationship Id="rId18185" Type="http://schemas.openxmlformats.org/officeDocument/2006/relationships/hyperlink" Target="https://twitter.com/nope75440125/status/723849706137391104" TargetMode="External"/><Relationship Id="rId1631" Type="http://schemas.openxmlformats.org/officeDocument/2006/relationships/hyperlink" Target="https://twitter.com/MarkPlackett1" TargetMode="External"/><Relationship Id="rId8244" Type="http://schemas.openxmlformats.org/officeDocument/2006/relationships/hyperlink" Target="https://twitter.com/habo11" TargetMode="External"/><Relationship Id="rId11225" Type="http://schemas.openxmlformats.org/officeDocument/2006/relationships/hyperlink" Target="https://twitter.com/MotoringPodcast/status/723499456243617792" TargetMode="External"/><Relationship Id="rId25054" Type="http://schemas.openxmlformats.org/officeDocument/2006/relationships/hyperlink" Target="https://twitter.com/TriplePundit" TargetMode="External"/><Relationship Id="rId14795" Type="http://schemas.openxmlformats.org/officeDocument/2006/relationships/hyperlink" Target="https://twitter.com/Sebitta_caab/status/723583299319390208" TargetMode="External"/><Relationship Id="rId4854" Type="http://schemas.openxmlformats.org/officeDocument/2006/relationships/hyperlink" Target="https://pbs.twimg.com/profile_images/613550335307612160/IseYDiEM_normal.jpg" TargetMode="External"/><Relationship Id="rId14448" Type="http://schemas.openxmlformats.org/officeDocument/2006/relationships/hyperlink" Target="https://twitter.com/UmaSharandon" TargetMode="External"/><Relationship Id="rId21664" Type="http://schemas.openxmlformats.org/officeDocument/2006/relationships/hyperlink" Target="https://twitter.com/VolkswagenPost" TargetMode="External"/><Relationship Id="rId377" Type="http://schemas.openxmlformats.org/officeDocument/2006/relationships/hyperlink" Target="https://twitter.com/francoveas1" TargetMode="External"/><Relationship Id="rId2058" Type="http://schemas.openxmlformats.org/officeDocument/2006/relationships/hyperlink" Target="https://twitter.com/cdwITMonitor/status/723079407338811393" TargetMode="External"/><Relationship Id="rId4507" Type="http://schemas.openxmlformats.org/officeDocument/2006/relationships/hyperlink" Target="https://twitter.com/Einstein_MTMP/status/723182003072307200" TargetMode="External"/><Relationship Id="rId21317" Type="http://schemas.openxmlformats.org/officeDocument/2006/relationships/hyperlink" Target="https://twitter.com/carsguru7" TargetMode="External"/><Relationship Id="rId24887" Type="http://schemas.openxmlformats.org/officeDocument/2006/relationships/hyperlink" Target="https://pbs.twimg.com/profile_images/724349488605847552/CHTQnVGi_normal.jpg" TargetMode="External"/><Relationship Id="rId13531" Type="http://schemas.openxmlformats.org/officeDocument/2006/relationships/hyperlink" Target="https://twitter.com/hierkommthans/status/723549790114578434" TargetMode="External"/><Relationship Id="rId11082" Type="http://schemas.openxmlformats.org/officeDocument/2006/relationships/hyperlink" Target="https://pbs.twimg.com/profile_images/640893185158352896/TMGmsF0r_normal.png" TargetMode="External"/><Relationship Id="rId16754" Type="http://schemas.openxmlformats.org/officeDocument/2006/relationships/hyperlink" Target="https://twitter.com/GulfNewsBiz" TargetMode="External"/><Relationship Id="rId20400" Type="http://schemas.openxmlformats.org/officeDocument/2006/relationships/hyperlink" Target="https://pbs.twimg.com/profile_images/675744269617893376/euzFIoRi_normal.png" TargetMode="External"/><Relationship Id="rId23970" Type="http://schemas.openxmlformats.org/officeDocument/2006/relationships/hyperlink" Target="https://twitter.com/francodonelli" TargetMode="External"/><Relationship Id="rId1141" Type="http://schemas.openxmlformats.org/officeDocument/2006/relationships/hyperlink" Target="https://twitter.com/VolkswagenPost/status/723021628850900993" TargetMode="External"/><Relationship Id="rId6813" Type="http://schemas.openxmlformats.org/officeDocument/2006/relationships/hyperlink" Target="https://twitter.com/DubLuvTuning" TargetMode="External"/><Relationship Id="rId16407" Type="http://schemas.openxmlformats.org/officeDocument/2006/relationships/hyperlink" Target="https://pbs.twimg.com/profile_images/723677113027420160/EMZKh-Rq_normal.jpg" TargetMode="External"/><Relationship Id="rId23623" Type="http://schemas.openxmlformats.org/officeDocument/2006/relationships/hyperlink" Target="https://twitter.com/VWBeetleSales/status/724300657159589888" TargetMode="External"/><Relationship Id="rId4364" Type="http://schemas.openxmlformats.org/officeDocument/2006/relationships/hyperlink" Target="https://twitter.com/kngeuro/status/723179591364276224" TargetMode="External"/><Relationship Id="rId19977" Type="http://schemas.openxmlformats.org/officeDocument/2006/relationships/hyperlink" Target="https://pbs.twimg.com/profile_images/1610421423/Image2_normal.jpg" TargetMode="External"/><Relationship Id="rId21174" Type="http://schemas.openxmlformats.org/officeDocument/2006/relationships/hyperlink" Target="https://twitter.com/dubbusses" TargetMode="External"/><Relationship Id="rId4017" Type="http://schemas.openxmlformats.org/officeDocument/2006/relationships/hyperlink" Target="https://twitter.com/VWBeetleSales/status/723174725602570241" TargetMode="External"/><Relationship Id="rId7587" Type="http://schemas.openxmlformats.org/officeDocument/2006/relationships/hyperlink" Target="https://pbs.twimg.com/profile_images/576412362711773184/jZSbDGM2_normal.jpeg" TargetMode="External"/><Relationship Id="rId24397" Type="http://schemas.openxmlformats.org/officeDocument/2006/relationships/hyperlink" Target="https://twitter.com/tweets_scotland" TargetMode="External"/><Relationship Id="rId10568" Type="http://schemas.openxmlformats.org/officeDocument/2006/relationships/hyperlink" Target="https://pbs.twimg.com/profile_images/670250613083611136/YU0_WEii_normal.png" TargetMode="External"/><Relationship Id="rId13041" Type="http://schemas.openxmlformats.org/officeDocument/2006/relationships/hyperlink" Target="https://pbs.twimg.com/profile_images/546429883010654208/WQlb3cOj_normal.png" TargetMode="External"/><Relationship Id="rId18713" Type="http://schemas.openxmlformats.org/officeDocument/2006/relationships/hyperlink" Target="https://twitter.com/thecurtis76/status/723890316495970304" TargetMode="External"/><Relationship Id="rId3100" Type="http://schemas.openxmlformats.org/officeDocument/2006/relationships/hyperlink" Target="https://twitter.com/TheLastDonDiva" TargetMode="External"/><Relationship Id="rId6670" Type="http://schemas.openxmlformats.org/officeDocument/2006/relationships/hyperlink" Target="https://pbs.twimg.com/profile_images/1189871654/Howard_Fensterman_normal.jpg" TargetMode="External"/><Relationship Id="rId16264" Type="http://schemas.openxmlformats.org/officeDocument/2006/relationships/hyperlink" Target="https://twitter.com/beetlebug1938/status/723663430100594688" TargetMode="External"/><Relationship Id="rId23480" Type="http://schemas.openxmlformats.org/officeDocument/2006/relationships/hyperlink" Target="https://twitter.com/ldnsecuritysynd/status/724291784327729153" TargetMode="External"/><Relationship Id="rId6323" Type="http://schemas.openxmlformats.org/officeDocument/2006/relationships/hyperlink" Target="https://twitter.com/Willi1887" TargetMode="External"/><Relationship Id="rId9893" Type="http://schemas.openxmlformats.org/officeDocument/2006/relationships/hyperlink" Target="https://pbs.twimg.com/profile_images/674233130828468224/KRUDL_tK_normal.jpg" TargetMode="External"/><Relationship Id="rId19487" Type="http://schemas.openxmlformats.org/officeDocument/2006/relationships/hyperlink" Target="https://twitter.com/ebaycampervans/status/723936967709192193" TargetMode="External"/><Relationship Id="rId23133" Type="http://schemas.openxmlformats.org/officeDocument/2006/relationships/hyperlink" Target="https://twitter.com/dubbusses" TargetMode="External"/><Relationship Id="rId9546" Type="http://schemas.openxmlformats.org/officeDocument/2006/relationships/hyperlink" Target="https://twitter.com/hddoger/status/723439511611412486" TargetMode="External"/><Relationship Id="rId12874" Type="http://schemas.openxmlformats.org/officeDocument/2006/relationships/hyperlink" Target="https://twitter.com/SalihiShejzije/status/723530016932433920" TargetMode="External"/><Relationship Id="rId2933" Type="http://schemas.openxmlformats.org/officeDocument/2006/relationships/hyperlink" Target="https://pbs.twimg.com/profile_images/710902676310134784/rj4E7WD1_normal.jpg" TargetMode="External"/><Relationship Id="rId7097" Type="http://schemas.openxmlformats.org/officeDocument/2006/relationships/hyperlink" Target="https://pbs.twimg.com/profile_images/621428656/IMG_0670_normal.jpg" TargetMode="External"/><Relationship Id="rId10078" Type="http://schemas.openxmlformats.org/officeDocument/2006/relationships/hyperlink" Target="https://twitter.com/boerseonline" TargetMode="External"/><Relationship Id="rId12527" Type="http://schemas.openxmlformats.org/officeDocument/2006/relationships/hyperlink" Target="https://twitter.com/hameles/status/723521825939034112" TargetMode="External"/><Relationship Id="rId15000" Type="http://schemas.openxmlformats.org/officeDocument/2006/relationships/hyperlink" Target="https://pbs.twimg.com/profile_images/1749790667/twitter_normal.jpg" TargetMode="External"/><Relationship Id="rId905" Type="http://schemas.openxmlformats.org/officeDocument/2006/relationships/hyperlink" Target="https://twitter.com/dgrally" TargetMode="External"/><Relationship Id="rId18570" Type="http://schemas.openxmlformats.org/officeDocument/2006/relationships/hyperlink" Target="https://pbs.twimg.com/profile_images/674456186159276032/s6_5pnsh_normal.jpg" TargetMode="External"/><Relationship Id="rId22966" Type="http://schemas.openxmlformats.org/officeDocument/2006/relationships/hyperlink" Target="http://dlvr.it/" TargetMode="External"/><Relationship Id="rId5809" Type="http://schemas.openxmlformats.org/officeDocument/2006/relationships/hyperlink" Target="https://twitter.com/PeacePiper/status/723218503935762433" TargetMode="External"/><Relationship Id="rId6180" Type="http://schemas.openxmlformats.org/officeDocument/2006/relationships/hyperlink" Target="https://twitter.com/GeekClericMike" TargetMode="External"/><Relationship Id="rId11610" Type="http://schemas.openxmlformats.org/officeDocument/2006/relationships/hyperlink" Target="https://twitter.com/Gorm_Bawssz/status/723504276325150722" TargetMode="External"/><Relationship Id="rId18223" Type="http://schemas.openxmlformats.org/officeDocument/2006/relationships/hyperlink" Target="https://twitter.com/MotorHour" TargetMode="External"/><Relationship Id="rId22619" Type="http://schemas.openxmlformats.org/officeDocument/2006/relationships/hyperlink" Target="https://pbs.twimg.com/profile_images/378800000572104796/1de43e1cf23efb3f4101c02afad0d3b6_normal.png" TargetMode="External"/><Relationship Id="rId14833" Type="http://schemas.openxmlformats.org/officeDocument/2006/relationships/hyperlink" Target="https://pbs.twimg.com/profile_images/545466998839209984/-xrJfHvn_normal.jpeg" TargetMode="External"/><Relationship Id="rId2790" Type="http://schemas.openxmlformats.org/officeDocument/2006/relationships/hyperlink" Target="https://twitter.com/WIAT42/status/723119262966009856" TargetMode="External"/><Relationship Id="rId12384" Type="http://schemas.openxmlformats.org/officeDocument/2006/relationships/hyperlink" Target="https://twitter.com/Emil_Blume" TargetMode="External"/><Relationship Id="rId21702" Type="http://schemas.openxmlformats.org/officeDocument/2006/relationships/hyperlink" Target="https://twitter.com/CarJobsUK/status/724171070215979009" TargetMode="External"/><Relationship Id="rId762" Type="http://schemas.openxmlformats.org/officeDocument/2006/relationships/hyperlink" Target="https://twitter.com/beetlebug1938/status/722980497756971012" TargetMode="External"/><Relationship Id="rId2443" Type="http://schemas.openxmlformats.org/officeDocument/2006/relationships/hyperlink" Target="https://twitter.com/ciocirlans" TargetMode="External"/><Relationship Id="rId9056" Type="http://schemas.openxmlformats.org/officeDocument/2006/relationships/hyperlink" Target="https://twitter.com/JulieTestAchats/status/723420314114228224" TargetMode="External"/><Relationship Id="rId12037" Type="http://schemas.openxmlformats.org/officeDocument/2006/relationships/hyperlink" Target="https://twitter.com/Svenastheimer" TargetMode="External"/><Relationship Id="rId415" Type="http://schemas.openxmlformats.org/officeDocument/2006/relationships/hyperlink" Target="https://pbs.twimg.com/profile_images/468433825815474176/TEcbgoWM_normal.png" TargetMode="External"/><Relationship Id="rId5666" Type="http://schemas.openxmlformats.org/officeDocument/2006/relationships/hyperlink" Target="https://twitter.com/chronsucks" TargetMode="External"/><Relationship Id="rId17709" Type="http://schemas.openxmlformats.org/officeDocument/2006/relationships/hyperlink" Target="https://twitter.com/AdhieStone" TargetMode="External"/><Relationship Id="rId18080" Type="http://schemas.openxmlformats.org/officeDocument/2006/relationships/hyperlink" Target="https://twitter.com/miraclemedia" TargetMode="External"/><Relationship Id="rId22476" Type="http://schemas.openxmlformats.org/officeDocument/2006/relationships/hyperlink" Target="https://twitter.com/0p0wTn" TargetMode="External"/><Relationship Id="rId24925" Type="http://schemas.openxmlformats.org/officeDocument/2006/relationships/hyperlink" Target="https://twitter.com/autophorie/status/724402853780004866" TargetMode="External"/><Relationship Id="rId5319" Type="http://schemas.openxmlformats.org/officeDocument/2006/relationships/hyperlink" Target="https://twitter.com/YakeLeiva" TargetMode="External"/><Relationship Id="rId22129" Type="http://schemas.openxmlformats.org/officeDocument/2006/relationships/hyperlink" Target="https://pbs.twimg.com/profile_images/702511217793863680/lty8h9vE_normal.jpg" TargetMode="External"/><Relationship Id="rId8889" Type="http://schemas.openxmlformats.org/officeDocument/2006/relationships/hyperlink" Target="https://twitter.com/bvdvliet/status/723410347609055232" TargetMode="External"/><Relationship Id="rId11120" Type="http://schemas.openxmlformats.org/officeDocument/2006/relationships/hyperlink" Target="https://twitter.com/beetlebug1938" TargetMode="External"/><Relationship Id="rId14690" Type="http://schemas.openxmlformats.org/officeDocument/2006/relationships/hyperlink" Target="https://twitter.com/karingonzalez2/status/723579993935237122" TargetMode="External"/><Relationship Id="rId25699" Type="http://schemas.openxmlformats.org/officeDocument/2006/relationships/hyperlink" Target="https://twitter.com/VolkswagenPost/status/724463847281565696" TargetMode="External"/><Relationship Id="rId1929" Type="http://schemas.openxmlformats.org/officeDocument/2006/relationships/hyperlink" Target="https://twitter.com/MartaMa55978031/status/723068791572312064" TargetMode="External"/><Relationship Id="rId14343" Type="http://schemas.openxmlformats.org/officeDocument/2006/relationships/hyperlink" Target="https://twitter.com/das_Ruhrgebiet/status/723572809583222785" TargetMode="External"/><Relationship Id="rId4402" Type="http://schemas.openxmlformats.org/officeDocument/2006/relationships/hyperlink" Target="https://twitter.com/MarkCSchneider" TargetMode="External"/><Relationship Id="rId7972" Type="http://schemas.openxmlformats.org/officeDocument/2006/relationships/hyperlink" Target="https://twitter.com/festus100461" TargetMode="External"/><Relationship Id="rId17566" Type="http://schemas.openxmlformats.org/officeDocument/2006/relationships/hyperlink" Target="https://twitter.com/neythomas/status/723806666559467521" TargetMode="External"/><Relationship Id="rId21212" Type="http://schemas.openxmlformats.org/officeDocument/2006/relationships/hyperlink" Target="https://twitter.com/VWHeritage/status/724123322691248128" TargetMode="External"/><Relationship Id="rId24782" Type="http://schemas.openxmlformats.org/officeDocument/2006/relationships/hyperlink" Target="https://pbs.twimg.com/profile_images/615493650785660928/XHUh6HOk_normal.jpg" TargetMode="External"/><Relationship Id="rId272" Type="http://schemas.openxmlformats.org/officeDocument/2006/relationships/hyperlink" Target="https://twitter.com/ReevesTampa/status/722942736500793344" TargetMode="External"/><Relationship Id="rId7625" Type="http://schemas.openxmlformats.org/officeDocument/2006/relationships/hyperlink" Target="https://twitter.com/antphographic" TargetMode="External"/><Relationship Id="rId10953" Type="http://schemas.openxmlformats.org/officeDocument/2006/relationships/hyperlink" Target="https://twitter.com/MansellMotoSPT" TargetMode="External"/><Relationship Id="rId17219" Type="http://schemas.openxmlformats.org/officeDocument/2006/relationships/hyperlink" Target="https://twitter.com/RichardJLloyd" TargetMode="External"/><Relationship Id="rId24435" Type="http://schemas.openxmlformats.org/officeDocument/2006/relationships/hyperlink" Target="https://twitter.com/VeeDubMk1_" TargetMode="External"/><Relationship Id="rId5176" Type="http://schemas.openxmlformats.org/officeDocument/2006/relationships/hyperlink" Target="https://twitter.com/RA_Block/status/723196557605126144" TargetMode="External"/><Relationship Id="rId10606" Type="http://schemas.openxmlformats.org/officeDocument/2006/relationships/hyperlink" Target="https://twitter.com/hermibaby/status/723477939044663297" TargetMode="External"/><Relationship Id="rId8399" Type="http://schemas.openxmlformats.org/officeDocument/2006/relationships/hyperlink" Target="https://twitter.com/doern/status/723386527535878144" TargetMode="External"/><Relationship Id="rId13829" Type="http://schemas.openxmlformats.org/officeDocument/2006/relationships/hyperlink" Target="https://pbs.twimg.com/profile_images/721122651436134400/xrnUvBmT_normal.jpg" TargetMode="External"/><Relationship Id="rId1786" Type="http://schemas.openxmlformats.org/officeDocument/2006/relationships/hyperlink" Target="https://twitter.com/Aufziehvogel_LE/status/723056753554890752" TargetMode="External"/><Relationship Id="rId16302" Type="http://schemas.openxmlformats.org/officeDocument/2006/relationships/hyperlink" Target="https://pbs.twimg.com/profile_images/492428476062777344/PinaonZb_normal.jpeg" TargetMode="External"/><Relationship Id="rId19872" Type="http://schemas.openxmlformats.org/officeDocument/2006/relationships/hyperlink" Target="https://pbs.twimg.com/profile_images/634753238768689152/WdxhkVNO_normal.jpg" TargetMode="External"/><Relationship Id="rId1439" Type="http://schemas.openxmlformats.org/officeDocument/2006/relationships/hyperlink" Target="https://twitter.com/MllerOlga" TargetMode="External"/><Relationship Id="rId9931" Type="http://schemas.openxmlformats.org/officeDocument/2006/relationships/hyperlink" Target="https://twitter.com/VWBeetleSales/status/723454437054767104" TargetMode="External"/><Relationship Id="rId12912" Type="http://schemas.openxmlformats.org/officeDocument/2006/relationships/hyperlink" Target="https://twitter.com/SelwynENT" TargetMode="External"/><Relationship Id="rId19525" Type="http://schemas.openxmlformats.org/officeDocument/2006/relationships/hyperlink" Target="https://twitter.com/VWCamperSales" TargetMode="External"/><Relationship Id="rId7482" Type="http://schemas.openxmlformats.org/officeDocument/2006/relationships/hyperlink" Target="https://twitter.com/adDieCoVa/status/723306245206249472" TargetMode="External"/><Relationship Id="rId10463" Type="http://schemas.openxmlformats.org/officeDocument/2006/relationships/hyperlink" Target="https://twitter.com/CasasMoguel/status/723474001247395840" TargetMode="External"/><Relationship Id="rId17076" Type="http://schemas.openxmlformats.org/officeDocument/2006/relationships/hyperlink" Target="https://pbs.twimg.com/profile_images/708466589696262144/0z2VO5-J_normal.jpg" TargetMode="External"/><Relationship Id="rId24292" Type="http://schemas.openxmlformats.org/officeDocument/2006/relationships/hyperlink" Target="https://twitter.com/klassikautos" TargetMode="External"/><Relationship Id="rId7135" Type="http://schemas.openxmlformats.org/officeDocument/2006/relationships/hyperlink" Target="https://twitter.com/NCMae/status/723281003465285633" TargetMode="External"/><Relationship Id="rId10116" Type="http://schemas.openxmlformats.org/officeDocument/2006/relationships/hyperlink" Target="https://twitter.com/oe1journale" TargetMode="External"/><Relationship Id="rId13686" Type="http://schemas.openxmlformats.org/officeDocument/2006/relationships/hyperlink" Target="https://twitter.com/VWCamperSales" TargetMode="External"/><Relationship Id="rId3745" Type="http://schemas.openxmlformats.org/officeDocument/2006/relationships/hyperlink" Target="https://pbs.twimg.com/profile_images/522305770503696384/J6guKsKV_normal.jpeg" TargetMode="External"/><Relationship Id="rId13339" Type="http://schemas.openxmlformats.org/officeDocument/2006/relationships/hyperlink" Target="https://pbs.twimg.com/profile_images/722248646604013569/kvvRmbIE_normal.jpg" TargetMode="External"/><Relationship Id="rId20555" Type="http://schemas.openxmlformats.org/officeDocument/2006/relationships/hyperlink" Target="https://twitter.com/carlosche94" TargetMode="External"/><Relationship Id="rId1296" Type="http://schemas.openxmlformats.org/officeDocument/2006/relationships/hyperlink" Target="https://pbs.twimg.com/profile_images/666163579700277248/vIv69HhR_normal.jpg" TargetMode="External"/><Relationship Id="rId20208" Type="http://schemas.openxmlformats.org/officeDocument/2006/relationships/hyperlink" Target="https://pbs.twimg.com/profile_images/446781974452371456/rqBZF-KN_normal.jpeg" TargetMode="External"/><Relationship Id="rId6968" Type="http://schemas.openxmlformats.org/officeDocument/2006/relationships/hyperlink" Target="https://twitter.com/VWCamperSales" TargetMode="External"/><Relationship Id="rId19382" Type="http://schemas.openxmlformats.org/officeDocument/2006/relationships/hyperlink" Target="https://pbs.twimg.com/profile_images/723176446781329410/Li_8Nnpl_normal.jpg" TargetMode="External"/><Relationship Id="rId23778" Type="http://schemas.openxmlformats.org/officeDocument/2006/relationships/hyperlink" Target="https://twitter.com/VeeDubMk1_/status/724311100443992064" TargetMode="External"/><Relationship Id="rId9441" Type="http://schemas.openxmlformats.org/officeDocument/2006/relationships/hyperlink" Target="https://twitter.com/1815_online" TargetMode="External"/><Relationship Id="rId12422" Type="http://schemas.openxmlformats.org/officeDocument/2006/relationships/hyperlink" Target="https://twitter.com/New_Media_TN/status/723519412981116928" TargetMode="External"/><Relationship Id="rId15992" Type="http://schemas.openxmlformats.org/officeDocument/2006/relationships/hyperlink" Target="https://twitter.com/PinticaOfficiel" TargetMode="External"/><Relationship Id="rId19035" Type="http://schemas.openxmlformats.org/officeDocument/2006/relationships/hyperlink" Target="https://pbs.twimg.com/profile_images/2149603906/logo_normal.jpg" TargetMode="External"/><Relationship Id="rId800" Type="http://schemas.openxmlformats.org/officeDocument/2006/relationships/hyperlink" Target="https://pbs.twimg.com/profile_images/714558246435090432/6Ua0IUf__normal.jpg" TargetMode="External"/><Relationship Id="rId15645" Type="http://schemas.openxmlformats.org/officeDocument/2006/relationships/hyperlink" Target="https://pbs.twimg.com/profile_images/612959708152893440/EP2swCL9_normal.png" TargetMode="External"/><Relationship Id="rId22861" Type="http://schemas.openxmlformats.org/officeDocument/2006/relationships/hyperlink" Target="https://pbs.twimg.com/profile_images/530071272881803264/a_jcCmPZ_normal.png" TargetMode="External"/><Relationship Id="rId5704" Type="http://schemas.openxmlformats.org/officeDocument/2006/relationships/hyperlink" Target="https://pbs.twimg.com/profile_images/488719995401027584/VzWWQNs__normal.jpeg" TargetMode="External"/><Relationship Id="rId13196" Type="http://schemas.openxmlformats.org/officeDocument/2006/relationships/hyperlink" Target="https://pbs.twimg.com/profile_images/606944065859555328/-6WW5RVJ_normal.jpg" TargetMode="External"/><Relationship Id="rId22514" Type="http://schemas.openxmlformats.org/officeDocument/2006/relationships/hyperlink" Target="https://twitter.com/Kaestorfer" TargetMode="External"/><Relationship Id="rId3255" Type="http://schemas.openxmlformats.org/officeDocument/2006/relationships/hyperlink" Target="https://twitter.com/Fabrii_Prado/status/723147508910792704" TargetMode="External"/><Relationship Id="rId8927" Type="http://schemas.openxmlformats.org/officeDocument/2006/relationships/hyperlink" Target="https://twitter.com/MT_Online" TargetMode="External"/><Relationship Id="rId18868" Type="http://schemas.openxmlformats.org/officeDocument/2006/relationships/hyperlink" Target="https://twitter.com/DeichCruiser" TargetMode="External"/><Relationship Id="rId20065" Type="http://schemas.openxmlformats.org/officeDocument/2006/relationships/hyperlink" Target="https://twitter.com/ahmedhaltas" TargetMode="External"/><Relationship Id="rId6478" Type="http://schemas.openxmlformats.org/officeDocument/2006/relationships/hyperlink" Target="https://pbs.twimg.com/profile_images/493249209563238401/XpQeRM_4_normal.jpeg" TargetMode="External"/><Relationship Id="rId11908" Type="http://schemas.openxmlformats.org/officeDocument/2006/relationships/hyperlink" Target="https://pbs.twimg.com/profile_images/718117927438983169/etNP-8cD_normal.jpg" TargetMode="External"/><Relationship Id="rId23288" Type="http://schemas.openxmlformats.org/officeDocument/2006/relationships/hyperlink" Target="https://twitter.com/BulliundClyde/status/724278310134505474" TargetMode="External"/><Relationship Id="rId25737" Type="http://schemas.openxmlformats.org/officeDocument/2006/relationships/hyperlink" Target="https://twitter.com/chi78932907" TargetMode="External"/><Relationship Id="rId17951" Type="http://schemas.openxmlformats.org/officeDocument/2006/relationships/hyperlink" Target="http://dlvr.it/" TargetMode="External"/><Relationship Id="rId310" Type="http://schemas.openxmlformats.org/officeDocument/2006/relationships/hyperlink" Target="https://twitter.com/VolkswagenPost" TargetMode="External"/><Relationship Id="rId17604" Type="http://schemas.openxmlformats.org/officeDocument/2006/relationships/hyperlink" Target="https://pbs.twimg.com/profile_images/458886642598555648/xyftvlqH_normal.png" TargetMode="External"/><Relationship Id="rId24820" Type="http://schemas.openxmlformats.org/officeDocument/2006/relationships/hyperlink" Target="https://twitter.com/Swazlque" TargetMode="External"/><Relationship Id="rId5561" Type="http://schemas.openxmlformats.org/officeDocument/2006/relationships/hyperlink" Target="https://twitter.com/Lid1108/status/723208519080517633" TargetMode="External"/><Relationship Id="rId15155" Type="http://schemas.openxmlformats.org/officeDocument/2006/relationships/hyperlink" Target="https://pbs.twimg.com/profile_images/703294545195307008/qeCvrX86_normal.jpg" TargetMode="External"/><Relationship Id="rId22371" Type="http://schemas.openxmlformats.org/officeDocument/2006/relationships/hyperlink" Target="https://twitter.com/JRs_partsonline" TargetMode="External"/><Relationship Id="rId5214" Type="http://schemas.openxmlformats.org/officeDocument/2006/relationships/hyperlink" Target="https://pbs.twimg.com/profile_images/1365763712/Twitter-Profile-Logo-5-11_normal.jpg" TargetMode="External"/><Relationship Id="rId8784" Type="http://schemas.openxmlformats.org/officeDocument/2006/relationships/hyperlink" Target="https://twitter.com/AlexWitzleben/status/723406611889311744" TargetMode="External"/><Relationship Id="rId11765" Type="http://schemas.openxmlformats.org/officeDocument/2006/relationships/hyperlink" Target="https://twitter.com/FocusEconomia" TargetMode="External"/><Relationship Id="rId18378" Type="http://schemas.openxmlformats.org/officeDocument/2006/relationships/hyperlink" Target="https://twitter.com/GapSecurity2015/status/723866321545486336" TargetMode="External"/><Relationship Id="rId22024" Type="http://schemas.openxmlformats.org/officeDocument/2006/relationships/hyperlink" Target="https://twitter.com/Edrem278/status/724194696667402241" TargetMode="External"/><Relationship Id="rId25594" Type="http://schemas.openxmlformats.org/officeDocument/2006/relationships/hyperlink" Target="https://pbs.twimg.com/profile_images/716495110725246976/aZNUJl0F_normal.jpg" TargetMode="External"/><Relationship Id="rId1824" Type="http://schemas.openxmlformats.org/officeDocument/2006/relationships/hyperlink" Target="https://pbs.twimg.com/profile_images/709319178251964416/HcPFO-Tj_normal.jpg" TargetMode="External"/><Relationship Id="rId8437" Type="http://schemas.openxmlformats.org/officeDocument/2006/relationships/hyperlink" Target="https://twitter.com/MerlinaAlmendra" TargetMode="External"/><Relationship Id="rId11418" Type="http://schemas.openxmlformats.org/officeDocument/2006/relationships/hyperlink" Target="https://pbs.twimg.com/profile_images/660843741750530049/ycQdQy-N_normal.jpg" TargetMode="External"/><Relationship Id="rId25247" Type="http://schemas.openxmlformats.org/officeDocument/2006/relationships/hyperlink" Target="https://twitter.com/vwpress_en/status/724428514817089541" TargetMode="External"/><Relationship Id="rId14988" Type="http://schemas.openxmlformats.org/officeDocument/2006/relationships/hyperlink" Target="https://twitter.com/rafickd" TargetMode="External"/><Relationship Id="rId19910" Type="http://schemas.openxmlformats.org/officeDocument/2006/relationships/hyperlink" Target="https://twitter.com/FranNafarrate/status/723963229559463937" TargetMode="External"/><Relationship Id="rId2598" Type="http://schemas.openxmlformats.org/officeDocument/2006/relationships/hyperlink" Target="https://twitter.com/SheBuysCars/status/723108411370426368" TargetMode="External"/><Relationship Id="rId17461" Type="http://schemas.openxmlformats.org/officeDocument/2006/relationships/hyperlink" Target="https://twitter.com/GO_ShengExhaust" TargetMode="External"/><Relationship Id="rId21857" Type="http://schemas.openxmlformats.org/officeDocument/2006/relationships/hyperlink" Target="https://twitter.com/carolienGl" TargetMode="External"/><Relationship Id="rId5071" Type="http://schemas.openxmlformats.org/officeDocument/2006/relationships/hyperlink" Target="https://twitter.com/HansTheGerman/status/723193587656089602" TargetMode="External"/><Relationship Id="rId7520" Type="http://schemas.openxmlformats.org/officeDocument/2006/relationships/hyperlink" Target="https://pbs.twimg.com/profile_images/575834891222286337/pmti6_ie_normal.jpeg" TargetMode="External"/><Relationship Id="rId10501" Type="http://schemas.openxmlformats.org/officeDocument/2006/relationships/hyperlink" Target="https://twitter.com/MrMozartOficial/status/723474862094733312" TargetMode="External"/><Relationship Id="rId17114" Type="http://schemas.openxmlformats.org/officeDocument/2006/relationships/hyperlink" Target="https://twitter.com/tooppermann" TargetMode="External"/><Relationship Id="rId24330" Type="http://schemas.openxmlformats.org/officeDocument/2006/relationships/hyperlink" Target="https://twitter.com/Horsa44Shoki/status/724348223939186688" TargetMode="External"/><Relationship Id="rId13724" Type="http://schemas.openxmlformats.org/officeDocument/2006/relationships/hyperlink" Target="https://twitter.com/lautaro_olive/status/723554192082788352" TargetMode="External"/><Relationship Id="rId20940" Type="http://schemas.openxmlformats.org/officeDocument/2006/relationships/hyperlink" Target="http://dlvr.it/" TargetMode="External"/><Relationship Id="rId1681" Type="http://schemas.openxmlformats.org/officeDocument/2006/relationships/hyperlink" Target="https://pbs.twimg.com/profile_images/540441799987195904/nL_CxXyc_normal.jpeg" TargetMode="External"/><Relationship Id="rId8294" Type="http://schemas.openxmlformats.org/officeDocument/2006/relationships/hyperlink" Target="https://pbs.twimg.com/profile_images/705409156363063296/L-9HeIjW_normal.jpg" TargetMode="External"/><Relationship Id="rId11275" Type="http://schemas.openxmlformats.org/officeDocument/2006/relationships/hyperlink" Target="https://pbs.twimg.com/profile_images/679552623641509888/_vPw9IS2_normal.png" TargetMode="External"/><Relationship Id="rId1334" Type="http://schemas.openxmlformats.org/officeDocument/2006/relationships/hyperlink" Target="http://dlvr.it/" TargetMode="External"/><Relationship Id="rId14498" Type="http://schemas.openxmlformats.org/officeDocument/2006/relationships/hyperlink" Target="https://pbs.twimg.com/profile_images/637410448153964548/b8p3iGqk_normal.jpg" TargetMode="External"/><Relationship Id="rId16947" Type="http://schemas.openxmlformats.org/officeDocument/2006/relationships/hyperlink" Target="https://pbs.twimg.com/profile_images/1610421423/Image2_normal.jpg" TargetMode="External"/><Relationship Id="rId19420" Type="http://schemas.openxmlformats.org/officeDocument/2006/relationships/hyperlink" Target="https://twitter.com/AAECOMPLIANCE" TargetMode="External"/><Relationship Id="rId40" Type="http://schemas.openxmlformats.org/officeDocument/2006/relationships/hyperlink" Target="https://twitter.com/beetlebug1938" TargetMode="External"/><Relationship Id="rId4557" Type="http://schemas.openxmlformats.org/officeDocument/2006/relationships/hyperlink" Target="https://twitter.com/Tonelli22" TargetMode="External"/><Relationship Id="rId21367" Type="http://schemas.openxmlformats.org/officeDocument/2006/relationships/hyperlink" Target="https://pbs.twimg.com/profile_images/437105386558992385/axf-xKDd_normal.jpeg" TargetMode="External"/><Relationship Id="rId23816" Type="http://schemas.openxmlformats.org/officeDocument/2006/relationships/hyperlink" Target="https://twitter.com/VWBeetleSales/status/724313234275082242" TargetMode="External"/><Relationship Id="rId7030" Type="http://schemas.openxmlformats.org/officeDocument/2006/relationships/hyperlink" Target="https://twitter.com/VeeDubMk1_" TargetMode="External"/><Relationship Id="rId10011" Type="http://schemas.openxmlformats.org/officeDocument/2006/relationships/hyperlink" Target="https://pbs.twimg.com/profile_images/573248726212325376/60EMO_jJ_normal.jpeg" TargetMode="External"/><Relationship Id="rId13581" Type="http://schemas.openxmlformats.org/officeDocument/2006/relationships/hyperlink" Target="https://twitter.com/SWieschendorf" TargetMode="External"/><Relationship Id="rId1191" Type="http://schemas.openxmlformats.org/officeDocument/2006/relationships/hyperlink" Target="https://twitter.com/collam1020/status/723024530709614592" TargetMode="External"/><Relationship Id="rId3640" Type="http://schemas.openxmlformats.org/officeDocument/2006/relationships/hyperlink" Target="https://pbs.twimg.com/profile_images/623412520561283072/MnxFCk29_normal.jpg" TargetMode="External"/><Relationship Id="rId13234" Type="http://schemas.openxmlformats.org/officeDocument/2006/relationships/hyperlink" Target="https://twitter.com/nordlohner/status/723540157048197121" TargetMode="External"/><Relationship Id="rId18906" Type="http://schemas.openxmlformats.org/officeDocument/2006/relationships/hyperlink" Target="https://twitter.com/Syrupshits/status/723905067007369216" TargetMode="External"/><Relationship Id="rId20450" Type="http://schemas.openxmlformats.org/officeDocument/2006/relationships/hyperlink" Target="https://twitter.com/VWCamperSales/status/723999171603091456" TargetMode="External"/><Relationship Id="rId6863" Type="http://schemas.openxmlformats.org/officeDocument/2006/relationships/hyperlink" Target="https://pbs.twimg.com/profile_images/718820712757215233/LXXndPTS_normal.jpg" TargetMode="External"/><Relationship Id="rId16457" Type="http://schemas.openxmlformats.org/officeDocument/2006/relationships/hyperlink" Target="https://twitter.com/Scirocco_Tuning" TargetMode="External"/><Relationship Id="rId20103" Type="http://schemas.openxmlformats.org/officeDocument/2006/relationships/hyperlink" Target="https://twitter.com/StreetFoodUK" TargetMode="External"/><Relationship Id="rId23673" Type="http://schemas.openxmlformats.org/officeDocument/2006/relationships/hyperlink" Target="https://pbs.twimg.com/profile_images/723764027063672832/KQ90tMnI_normal.jpg" TargetMode="External"/><Relationship Id="rId6516" Type="http://schemas.openxmlformats.org/officeDocument/2006/relationships/hyperlink" Target="https://twitter.com/Mphilpot1" TargetMode="External"/><Relationship Id="rId23326" Type="http://schemas.openxmlformats.org/officeDocument/2006/relationships/hyperlink" Target="https://twitter.com/Scirocco_Tuning" TargetMode="External"/><Relationship Id="rId4067" Type="http://schemas.openxmlformats.org/officeDocument/2006/relationships/hyperlink" Target="https://twitter.com/michael1206791/status/723175674605871104" TargetMode="External"/><Relationship Id="rId9739" Type="http://schemas.openxmlformats.org/officeDocument/2006/relationships/hyperlink" Target="https://twitter.com/CityIndex/status/723447527400476672" TargetMode="External"/><Relationship Id="rId13091" Type="http://schemas.openxmlformats.org/officeDocument/2006/relationships/hyperlink" Target="https://twitter.com/BBCBusiness" TargetMode="External"/><Relationship Id="rId15540" Type="http://schemas.openxmlformats.org/officeDocument/2006/relationships/hyperlink" Target="https://pbs.twimg.com/profile_images/1169387207/uhu_normal.jpg" TargetMode="External"/><Relationship Id="rId3150" Type="http://schemas.openxmlformats.org/officeDocument/2006/relationships/hyperlink" Target="https://twitter.com/Insta_VWT/status/723144259264720896" TargetMode="External"/><Relationship Id="rId18763" Type="http://schemas.openxmlformats.org/officeDocument/2006/relationships/hyperlink" Target="https://twitter.com/peabee72" TargetMode="External"/><Relationship Id="rId8822" Type="http://schemas.openxmlformats.org/officeDocument/2006/relationships/hyperlink" Target="https://twitter.com/dinsinstudio" TargetMode="External"/><Relationship Id="rId11803" Type="http://schemas.openxmlformats.org/officeDocument/2006/relationships/hyperlink" Target="https://twitter.com/dean_gonsowski/status/723507832297910272" TargetMode="External"/><Relationship Id="rId18416" Type="http://schemas.openxmlformats.org/officeDocument/2006/relationships/hyperlink" Target="https://pbs.twimg.com/profile_images/701389151199866880/TaZ_Jfoo_normal.png" TargetMode="External"/><Relationship Id="rId25632" Type="http://schemas.openxmlformats.org/officeDocument/2006/relationships/hyperlink" Target="https://twitter.com/DubLuvTuning" TargetMode="External"/><Relationship Id="rId6373" Type="http://schemas.openxmlformats.org/officeDocument/2006/relationships/hyperlink" Target="https://twitter.com/VWBeetleSales" TargetMode="External"/><Relationship Id="rId23183" Type="http://schemas.openxmlformats.org/officeDocument/2006/relationships/hyperlink" Target="https://twitter.com/bruno90alvarez/status/724272622364712960" TargetMode="External"/><Relationship Id="rId2983" Type="http://schemas.openxmlformats.org/officeDocument/2006/relationships/hyperlink" Target="https://twitter.com/ebaycampervans/status/723130021112508417" TargetMode="External"/><Relationship Id="rId6026" Type="http://schemas.openxmlformats.org/officeDocument/2006/relationships/hyperlink" Target="https://pbs.twimg.com/profile_images/530071272881803264/a_jcCmPZ_normal.png" TargetMode="External"/><Relationship Id="rId9596" Type="http://schemas.openxmlformats.org/officeDocument/2006/relationships/hyperlink" Target="https://pbs.twimg.com/profile_images/424893967197433858/iQ86NktX_normal.jpeg" TargetMode="External"/><Relationship Id="rId12577" Type="http://schemas.openxmlformats.org/officeDocument/2006/relationships/hyperlink" Target="https://twitter.com/Scirocco_Tuning/status/723522789521666048" TargetMode="External"/><Relationship Id="rId955" Type="http://schemas.openxmlformats.org/officeDocument/2006/relationships/hyperlink" Target="https://pbs.twimg.com/profile_images/378800000854855954/0d555726054b01e3c9d6b5241432dc4a_normal.jpeg" TargetMode="External"/><Relationship Id="rId2636" Type="http://schemas.openxmlformats.org/officeDocument/2006/relationships/hyperlink" Target="https://pbs.twimg.com/profile_images/1719664041/tw_spon_normal.jpg" TargetMode="External"/><Relationship Id="rId9249" Type="http://schemas.openxmlformats.org/officeDocument/2006/relationships/hyperlink" Target="https://twitter.com/Klimaatcombi" TargetMode="External"/><Relationship Id="rId15050" Type="http://schemas.openxmlformats.org/officeDocument/2006/relationships/hyperlink" Target="https://twitter.com/Donna_Belsky" TargetMode="External"/><Relationship Id="rId608" Type="http://schemas.openxmlformats.org/officeDocument/2006/relationships/hyperlink" Target="https://pbs.twimg.com/profile_images/539572612972937216/Sj07yqK2_normal.jpeg" TargetMode="External"/><Relationship Id="rId18273" Type="http://schemas.openxmlformats.org/officeDocument/2006/relationships/hyperlink" Target="https://pbs.twimg.com/profile_images/708809206032424960/bdr9jDE-_normal.jpg" TargetMode="External"/><Relationship Id="rId5859" Type="http://schemas.openxmlformats.org/officeDocument/2006/relationships/hyperlink" Target="https://twitter.com/VWPartsVortex/status/723220398590943232" TargetMode="External"/><Relationship Id="rId8332" Type="http://schemas.openxmlformats.org/officeDocument/2006/relationships/hyperlink" Target="https://twitter.com/idriveexotic" TargetMode="External"/><Relationship Id="rId11660" Type="http://schemas.openxmlformats.org/officeDocument/2006/relationships/hyperlink" Target="https://pbs.twimg.com/profile_images/722908346794135552/idQMQBmr_normal.jpg" TargetMode="External"/><Relationship Id="rId22669" Type="http://schemas.openxmlformats.org/officeDocument/2006/relationships/hyperlink" Target="https://twitter.com/beetlebug1938" TargetMode="External"/><Relationship Id="rId25142" Type="http://schemas.openxmlformats.org/officeDocument/2006/relationships/hyperlink" Target="https://twitter.com/elipruelas/status/724423306653265920" TargetMode="External"/><Relationship Id="rId11313" Type="http://schemas.openxmlformats.org/officeDocument/2006/relationships/hyperlink" Target="https://twitter.com/blauer_loewe" TargetMode="External"/><Relationship Id="rId14883" Type="http://schemas.openxmlformats.org/officeDocument/2006/relationships/hyperlink" Target="https://twitter.com/Aguuuero/status/723586146014355457" TargetMode="External"/><Relationship Id="rId4942" Type="http://schemas.openxmlformats.org/officeDocument/2006/relationships/hyperlink" Target="https://pbs.twimg.com/profile_images/688094284558422016/VHQCApoO_normal.jpg" TargetMode="External"/><Relationship Id="rId14536" Type="http://schemas.openxmlformats.org/officeDocument/2006/relationships/hyperlink" Target="https://twitter.com/Porscheclubscms" TargetMode="External"/><Relationship Id="rId21752" Type="http://schemas.openxmlformats.org/officeDocument/2006/relationships/hyperlink" Target="https://twitter.com/FormulaAutosCT/status/724177373336350721" TargetMode="External"/><Relationship Id="rId2493" Type="http://schemas.openxmlformats.org/officeDocument/2006/relationships/hyperlink" Target="https://twitter.com/treibholzfilm" TargetMode="External"/><Relationship Id="rId12087" Type="http://schemas.openxmlformats.org/officeDocument/2006/relationships/hyperlink" Target="https://pbs.twimg.com/profile_images/391507743/avatar-twitter_normal.jpg" TargetMode="External"/><Relationship Id="rId17759" Type="http://schemas.openxmlformats.org/officeDocument/2006/relationships/hyperlink" Target="https://twitter.com/VeeDubMk1_/status/723821112547794944" TargetMode="External"/><Relationship Id="rId21405" Type="http://schemas.openxmlformats.org/officeDocument/2006/relationships/hyperlink" Target="https://twitter.com/AutobahnSales/status/724147170400714752" TargetMode="External"/><Relationship Id="rId24975" Type="http://schemas.openxmlformats.org/officeDocument/2006/relationships/hyperlink" Target="https://pbs.twimg.com/profile_images/667876096088653825/FOW14Ke4_normal.jpg" TargetMode="External"/><Relationship Id="rId465" Type="http://schemas.openxmlformats.org/officeDocument/2006/relationships/hyperlink" Target="https://twitter.com/OnlineCarReview/status/722960446299361281" TargetMode="External"/><Relationship Id="rId2146" Type="http://schemas.openxmlformats.org/officeDocument/2006/relationships/hyperlink" Target="https://twitter.com/OnlineCarReview" TargetMode="External"/><Relationship Id="rId7818" Type="http://schemas.openxmlformats.org/officeDocument/2006/relationships/hyperlink" Target="https://twitter.com/VWCamperSales" TargetMode="External"/><Relationship Id="rId24628" Type="http://schemas.openxmlformats.org/officeDocument/2006/relationships/hyperlink" Target="https://twitter.com/BeluuGuzmaan" TargetMode="External"/><Relationship Id="rId118" Type="http://schemas.openxmlformats.org/officeDocument/2006/relationships/hyperlink" Target="https://twitter.com/CARNAGE740807/status/722929011874107393" TargetMode="External"/><Relationship Id="rId5369" Type="http://schemas.openxmlformats.org/officeDocument/2006/relationships/hyperlink" Target="https://twitter.com/beetlebug1938/status/723200689342652416" TargetMode="External"/><Relationship Id="rId11170" Type="http://schemas.openxmlformats.org/officeDocument/2006/relationships/hyperlink" Target="https://twitter.com/boerseonline/status/723498656226267136" TargetMode="External"/><Relationship Id="rId22179" Type="http://schemas.openxmlformats.org/officeDocument/2006/relationships/hyperlink" Target="https://twitter.com/mertbekci/status/724208010998874112" TargetMode="External"/><Relationship Id="rId16842" Type="http://schemas.openxmlformats.org/officeDocument/2006/relationships/hyperlink" Target="https://twitter.com/PetrBenes73" TargetMode="External"/><Relationship Id="rId1979" Type="http://schemas.openxmlformats.org/officeDocument/2006/relationships/hyperlink" Target="https://pbs.twimg.com/profile_images/704001047216447488/5a1ozl-l_normal.jpg" TargetMode="External"/><Relationship Id="rId6901" Type="http://schemas.openxmlformats.org/officeDocument/2006/relationships/hyperlink" Target="https://twitter.com/acvwpassion/status/723267597303713793" TargetMode="External"/><Relationship Id="rId14393" Type="http://schemas.openxmlformats.org/officeDocument/2006/relationships/hyperlink" Target="https://pbs.twimg.com/profile_images/718820712757215233/LXXndPTS_normal.jpg" TargetMode="External"/><Relationship Id="rId23711" Type="http://schemas.openxmlformats.org/officeDocument/2006/relationships/hyperlink" Target="https://twitter.com/dubbusses" TargetMode="External"/><Relationship Id="rId4452" Type="http://schemas.openxmlformats.org/officeDocument/2006/relationships/hyperlink" Target="https://twitter.com/OnlineCarReview" TargetMode="External"/><Relationship Id="rId14046" Type="http://schemas.openxmlformats.org/officeDocument/2006/relationships/hyperlink" Target="https://twitter.com/jakefenn42" TargetMode="External"/><Relationship Id="rId19718" Type="http://schemas.openxmlformats.org/officeDocument/2006/relationships/hyperlink" Target="https://twitter.com/hashtagvanlife" TargetMode="External"/><Relationship Id="rId21262" Type="http://schemas.openxmlformats.org/officeDocument/2006/relationships/hyperlink" Target="https://pbs.twimg.com/profile_images/714175065244434432/wbro3GNX_normal.jpg" TargetMode="External"/><Relationship Id="rId4105" Type="http://schemas.openxmlformats.org/officeDocument/2006/relationships/hyperlink" Target="https://twitter.com/mysafetyfirst1" TargetMode="External"/><Relationship Id="rId7675" Type="http://schemas.openxmlformats.org/officeDocument/2006/relationships/hyperlink" Target="https://twitter.com/aaron643" TargetMode="External"/><Relationship Id="rId10656" Type="http://schemas.openxmlformats.org/officeDocument/2006/relationships/hyperlink" Target="https://twitter.com/brummopa/status/723479951752724480" TargetMode="External"/><Relationship Id="rId17269" Type="http://schemas.openxmlformats.org/officeDocument/2006/relationships/hyperlink" Target="https://twitter.com/Mphilpot1" TargetMode="External"/><Relationship Id="rId24485" Type="http://schemas.openxmlformats.org/officeDocument/2006/relationships/hyperlink" Target="https://twitter.com/gzellf/status/724364875162513408" TargetMode="External"/><Relationship Id="rId7328" Type="http://schemas.openxmlformats.org/officeDocument/2006/relationships/hyperlink" Target="https://pbs.twimg.com/profile_images/482420129326981120/h2ImnkwP_normal.jpeg" TargetMode="External"/><Relationship Id="rId10309" Type="http://schemas.openxmlformats.org/officeDocument/2006/relationships/hyperlink" Target="https://pbs.twimg.com/profile_images/562563461171798017/AkHF4keI_normal.png" TargetMode="External"/><Relationship Id="rId24138" Type="http://schemas.openxmlformats.org/officeDocument/2006/relationships/hyperlink" Target="https://pbs.twimg.com/profile_images/522821606993715200/dGTrMnJ5_normal.jpeg" TargetMode="External"/><Relationship Id="rId13879" Type="http://schemas.openxmlformats.org/officeDocument/2006/relationships/hyperlink" Target="https://twitter.com/doern/status/723557929648046080" TargetMode="External"/><Relationship Id="rId16352" Type="http://schemas.openxmlformats.org/officeDocument/2006/relationships/hyperlink" Target="https://twitter.com/vwbusman72/status/723671044897267712" TargetMode="External"/><Relationship Id="rId18801" Type="http://schemas.openxmlformats.org/officeDocument/2006/relationships/hyperlink" Target="https://twitter.com/dubtoberfest/status/723897523971219457" TargetMode="External"/><Relationship Id="rId1489" Type="http://schemas.openxmlformats.org/officeDocument/2006/relationships/hyperlink" Target="https://twitter.com/Truck_Trailer/status/723043847006216192" TargetMode="External"/><Relationship Id="rId3938" Type="http://schemas.openxmlformats.org/officeDocument/2006/relationships/hyperlink" Target="https://pbs.twimg.com/profile_images/687907717470646273/LKIt4F-O_normal.jpg" TargetMode="External"/><Relationship Id="rId6411" Type="http://schemas.openxmlformats.org/officeDocument/2006/relationships/hyperlink" Target="https://twitter.com/Insta_VWT" TargetMode="External"/><Relationship Id="rId16005" Type="http://schemas.openxmlformats.org/officeDocument/2006/relationships/hyperlink" Target="https://twitter.com/tony_scotto/status/723642367656468480" TargetMode="External"/><Relationship Id="rId20748" Type="http://schemas.openxmlformats.org/officeDocument/2006/relationships/hyperlink" Target="https://twitter.com/emma_flores/status/724037780041551872" TargetMode="External"/><Relationship Id="rId23221" Type="http://schemas.openxmlformats.org/officeDocument/2006/relationships/hyperlink" Target="https://twitter.com/mrlazarou1/status/724273975820464128" TargetMode="External"/><Relationship Id="rId9981" Type="http://schemas.openxmlformats.org/officeDocument/2006/relationships/hyperlink" Target="https://pbs.twimg.com/profile_images/719469365452808192/1OFS9oRH_normal.jpg" TargetMode="External"/><Relationship Id="rId12962" Type="http://schemas.openxmlformats.org/officeDocument/2006/relationships/hyperlink" Target="https://pbs.twimg.com/profile_images/652871584131092480/QA_B6SBO_normal.jpg" TargetMode="External"/><Relationship Id="rId19575" Type="http://schemas.openxmlformats.org/officeDocument/2006/relationships/hyperlink" Target="https://twitter.com/B83ART/status/723940808680984576" TargetMode="External"/><Relationship Id="rId7185" Type="http://schemas.openxmlformats.org/officeDocument/2006/relationships/hyperlink" Target="https://pbs.twimg.com/profile_images/646083283629965312/BhFSIWWZ_normal.png" TargetMode="External"/><Relationship Id="rId9634" Type="http://schemas.openxmlformats.org/officeDocument/2006/relationships/hyperlink" Target="https://twitter.com/Joelsampaul/status/723442956280041473" TargetMode="External"/><Relationship Id="rId12615" Type="http://schemas.openxmlformats.org/officeDocument/2006/relationships/hyperlink" Target="https://twitter.com/mjhirschland/status/723523934054801409" TargetMode="External"/><Relationship Id="rId19228" Type="http://schemas.openxmlformats.org/officeDocument/2006/relationships/hyperlink" Target="https://twitter.com/onelllmate/status/723923173528473600" TargetMode="External"/><Relationship Id="rId10166" Type="http://schemas.openxmlformats.org/officeDocument/2006/relationships/hyperlink" Target="https://twitter.com/xziggurat/status/723465102050099200" TargetMode="External"/><Relationship Id="rId15838" Type="http://schemas.openxmlformats.org/officeDocument/2006/relationships/hyperlink" Target="https://pbs.twimg.com/profile_images/682334083272200192/3gtqdE-m_normal.jpg" TargetMode="External"/><Relationship Id="rId3795" Type="http://schemas.openxmlformats.org/officeDocument/2006/relationships/hyperlink" Target="https://twitter.com/VolkerVotsmeier/status/723169726982053888" TargetMode="External"/><Relationship Id="rId13389" Type="http://schemas.openxmlformats.org/officeDocument/2006/relationships/hyperlink" Target="https://twitter.com/iamdoo/status/723545529263624192" TargetMode="External"/><Relationship Id="rId18311" Type="http://schemas.openxmlformats.org/officeDocument/2006/relationships/hyperlink" Target="https://twitter.com/Ikoniclondon/status/723860480469528576" TargetMode="External"/><Relationship Id="rId22707" Type="http://schemas.openxmlformats.org/officeDocument/2006/relationships/hyperlink" Target="https://twitter.com/used4x4parts/status/724240738645598208" TargetMode="External"/><Relationship Id="rId3448" Type="http://schemas.openxmlformats.org/officeDocument/2006/relationships/hyperlink" Target="https://twitter.com/SexenioMX/status/723159126658846721" TargetMode="External"/><Relationship Id="rId20258" Type="http://schemas.openxmlformats.org/officeDocument/2006/relationships/hyperlink" Target="https://twitter.com/OldFox1789/status/723986386009882625" TargetMode="External"/><Relationship Id="rId9491" Type="http://schemas.openxmlformats.org/officeDocument/2006/relationships/hyperlink" Target="https://twitter.com/Boersenradar/status/723437210444304385" TargetMode="External"/><Relationship Id="rId14921" Type="http://schemas.openxmlformats.org/officeDocument/2006/relationships/hyperlink" Target="https://pbs.twimg.com/profile_images/668792440980004864/HoWoh2Uv_normal.jpg" TargetMode="External"/><Relationship Id="rId19085" Type="http://schemas.openxmlformats.org/officeDocument/2006/relationships/hyperlink" Target="https://twitter.com/VolkerVotsmeier/status/723919125647642625" TargetMode="External"/><Relationship Id="rId9144" Type="http://schemas.openxmlformats.org/officeDocument/2006/relationships/hyperlink" Target="https://twitter.com/NegroAutomobili" TargetMode="External"/><Relationship Id="rId12472" Type="http://schemas.openxmlformats.org/officeDocument/2006/relationships/hyperlink" Target="https://twitter.com/TwittingThom" TargetMode="External"/><Relationship Id="rId850" Type="http://schemas.openxmlformats.org/officeDocument/2006/relationships/hyperlink" Target="https://twitter.com/VWShawty" TargetMode="External"/><Relationship Id="rId2531" Type="http://schemas.openxmlformats.org/officeDocument/2006/relationships/hyperlink" Target="https://twitter.com/VWBeetleSales" TargetMode="External"/><Relationship Id="rId12125" Type="http://schemas.openxmlformats.org/officeDocument/2006/relationships/hyperlink" Target="https://pbs.twimg.com/profile_images/1200648485/instock_normal.jpg" TargetMode="External"/><Relationship Id="rId15695" Type="http://schemas.openxmlformats.org/officeDocument/2006/relationships/hyperlink" Target="https://pbs.twimg.com/profile_images/718800395997294592/7kwRAhRd_normal.jpg" TargetMode="External"/><Relationship Id="rId503" Type="http://schemas.openxmlformats.org/officeDocument/2006/relationships/hyperlink" Target="https://pbs.twimg.com/profile_images/516936394556452865/EVI9XNVu_normal.jpeg" TargetMode="External"/><Relationship Id="rId5754" Type="http://schemas.openxmlformats.org/officeDocument/2006/relationships/hyperlink" Target="https://twitter.com/VipinGtm/status/723216080559202304" TargetMode="External"/><Relationship Id="rId15348" Type="http://schemas.openxmlformats.org/officeDocument/2006/relationships/hyperlink" Target="https://twitter.com/VolkswagenPost" TargetMode="External"/><Relationship Id="rId22564" Type="http://schemas.openxmlformats.org/officeDocument/2006/relationships/hyperlink" Target="https://pbs.twimg.com/profile_images/581826255793844224/DFks9pj4_normal.jpg" TargetMode="External"/><Relationship Id="rId5407" Type="http://schemas.openxmlformats.org/officeDocument/2006/relationships/hyperlink" Target="https://twitter.com/glubbdidi" TargetMode="External"/><Relationship Id="rId8977" Type="http://schemas.openxmlformats.org/officeDocument/2006/relationships/hyperlink" Target="https://pbs.twimg.com/profile_images/718820712757215233/LXXndPTS_normal.jpg" TargetMode="External"/><Relationship Id="rId22217" Type="http://schemas.openxmlformats.org/officeDocument/2006/relationships/hyperlink" Target="https://pbs.twimg.com/profile_images/627949001179037696/skEBkS05_normal.jpg" TargetMode="External"/><Relationship Id="rId11958" Type="http://schemas.openxmlformats.org/officeDocument/2006/relationships/hyperlink" Target="https://twitter.com/dw_wirtschaft" TargetMode="External"/><Relationship Id="rId14431" Type="http://schemas.openxmlformats.org/officeDocument/2006/relationships/hyperlink" Target="https://twitter.com/countUP/status/723573807529758720" TargetMode="External"/><Relationship Id="rId21300" Type="http://schemas.openxmlformats.org/officeDocument/2006/relationships/hyperlink" Target="https://twitter.com/cultuurgeek/status/724138959757008896" TargetMode="External"/><Relationship Id="rId360" Type="http://schemas.openxmlformats.org/officeDocument/2006/relationships/hyperlink" Target="https://twitter.com/beetlebug1938/status/722950172871921664" TargetMode="External"/><Relationship Id="rId2041" Type="http://schemas.openxmlformats.org/officeDocument/2006/relationships/hyperlink" Target="https://twitter.com/tagesschau" TargetMode="External"/><Relationship Id="rId17654" Type="http://schemas.openxmlformats.org/officeDocument/2006/relationships/hyperlink" Target="https://pbs.twimg.com/profile_images/378800000801365829/e9f28f8996ff7f098d9b8a1840e76f50_normal.png" TargetMode="External"/><Relationship Id="rId24870" Type="http://schemas.openxmlformats.org/officeDocument/2006/relationships/hyperlink" Target="https://twitter.com/steve_ath/status/724395388367720448" TargetMode="External"/><Relationship Id="rId5264" Type="http://schemas.openxmlformats.org/officeDocument/2006/relationships/hyperlink" Target="https://pbs.twimg.com/profile_images/1913087124/AvW_website_normal.jpg" TargetMode="External"/><Relationship Id="rId7713" Type="http://schemas.openxmlformats.org/officeDocument/2006/relationships/hyperlink" Target="https://twitter.com/AbrilBecerra699/status/723325691840872449" TargetMode="External"/><Relationship Id="rId17307" Type="http://schemas.openxmlformats.org/officeDocument/2006/relationships/hyperlink" Target="https://pbs.twimg.com/profile_images/686682446935552002/K_UT5tM2_normal.jpg" TargetMode="External"/><Relationship Id="rId22074" Type="http://schemas.openxmlformats.org/officeDocument/2006/relationships/hyperlink" Target="https://pbs.twimg.com/profile_images/672878354127839232/M7OYc-zx_normal.jpg" TargetMode="External"/><Relationship Id="rId24523" Type="http://schemas.openxmlformats.org/officeDocument/2006/relationships/hyperlink" Target="https://twitter.com/Costamagna_C/status/724367729998729216" TargetMode="External"/><Relationship Id="rId13917" Type="http://schemas.openxmlformats.org/officeDocument/2006/relationships/hyperlink" Target="https://twitter.com/handelsblatt" TargetMode="External"/><Relationship Id="rId1874" Type="http://schemas.openxmlformats.org/officeDocument/2006/relationships/hyperlink" Target="https://twitter.com/AlertRNS/status/723065120914608128" TargetMode="External"/><Relationship Id="rId8487" Type="http://schemas.openxmlformats.org/officeDocument/2006/relationships/hyperlink" Target="https://twitter.com/GutesAltern" TargetMode="External"/><Relationship Id="rId11468" Type="http://schemas.openxmlformats.org/officeDocument/2006/relationships/hyperlink" Target="https://twitter.com/andrew_kane05/status/723502679587229700" TargetMode="External"/><Relationship Id="rId25297" Type="http://schemas.openxmlformats.org/officeDocument/2006/relationships/hyperlink" Target="https://pbs.twimg.com/profile_images/652871584131092480/QA_B6SBO_normal.jpg" TargetMode="External"/><Relationship Id="rId1527" Type="http://schemas.openxmlformats.org/officeDocument/2006/relationships/hyperlink" Target="https://twitter.com/BILD_Politik/status/723044689713176576" TargetMode="External"/><Relationship Id="rId19960" Type="http://schemas.openxmlformats.org/officeDocument/2006/relationships/hyperlink" Target="https://twitter.com/SPAGartner" TargetMode="External"/><Relationship Id="rId4000" Type="http://schemas.openxmlformats.org/officeDocument/2006/relationships/hyperlink" Target="https://twitter.com/xicanism" TargetMode="External"/><Relationship Id="rId7570" Type="http://schemas.openxmlformats.org/officeDocument/2006/relationships/hyperlink" Target="https://twitter.com/rigogereon/status/723313384737873920" TargetMode="External"/><Relationship Id="rId17164" Type="http://schemas.openxmlformats.org/officeDocument/2006/relationships/hyperlink" Target="https://twitter.com/c_martin982" TargetMode="External"/><Relationship Id="rId19613" Type="http://schemas.openxmlformats.org/officeDocument/2006/relationships/hyperlink" Target="https://twitter.com/TheHippieVanMan" TargetMode="External"/><Relationship Id="rId24380" Type="http://schemas.openxmlformats.org/officeDocument/2006/relationships/hyperlink" Target="https://twitter.com/dubbusses" TargetMode="External"/><Relationship Id="rId7223" Type="http://schemas.openxmlformats.org/officeDocument/2006/relationships/hyperlink" Target="https://twitter.com/cuezerdo1957" TargetMode="External"/><Relationship Id="rId10551" Type="http://schemas.openxmlformats.org/officeDocument/2006/relationships/hyperlink" Target="https://twitter.com/jenkers_en" TargetMode="External"/><Relationship Id="rId24033" Type="http://schemas.openxmlformats.org/officeDocument/2006/relationships/hyperlink" Target="https://pbs.twimg.com/profile_images/690461324556529665/H8MMdfDB_normal.jpg" TargetMode="External"/><Relationship Id="rId10204" Type="http://schemas.openxmlformats.org/officeDocument/2006/relationships/hyperlink" Target="https://twitter.com/pez_dp" TargetMode="External"/><Relationship Id="rId13774" Type="http://schemas.openxmlformats.org/officeDocument/2006/relationships/hyperlink" Target="https://twitter.com/BaerenGazette" TargetMode="External"/><Relationship Id="rId20990" Type="http://schemas.openxmlformats.org/officeDocument/2006/relationships/hyperlink" Target="https://twitter.com/VeeDubMk1_/status/724077682330357760" TargetMode="External"/><Relationship Id="rId3833" Type="http://schemas.openxmlformats.org/officeDocument/2006/relationships/hyperlink" Target="https://twitter.com/gerliman" TargetMode="External"/><Relationship Id="rId13427" Type="http://schemas.openxmlformats.org/officeDocument/2006/relationships/hyperlink" Target="https://pbs.twimg.com/profile_images/631367343768076288/4X1Foa_B_normal.jpg" TargetMode="External"/><Relationship Id="rId16997" Type="http://schemas.openxmlformats.org/officeDocument/2006/relationships/hyperlink" Target="https://twitter.com/Spoekenkiekerei/status/723761448237805568" TargetMode="External"/><Relationship Id="rId20643" Type="http://schemas.openxmlformats.org/officeDocument/2006/relationships/hyperlink" Target="https://pbs.twimg.com/profile_images/687871650495344640/BaUVEy_3_normal.jpg" TargetMode="External"/><Relationship Id="rId1384" Type="http://schemas.openxmlformats.org/officeDocument/2006/relationships/hyperlink" Target="https://pbs.twimg.com/profile_images/681777513186627584/bwQZYr23_normal.jpg" TargetMode="External"/><Relationship Id="rId19470" Type="http://schemas.openxmlformats.org/officeDocument/2006/relationships/hyperlink" Target="https://pbs.twimg.com/profile_images/639825675428478976/lYkKqb5E_normal.jpg" TargetMode="External"/><Relationship Id="rId23866" Type="http://schemas.openxmlformats.org/officeDocument/2006/relationships/hyperlink" Target="https://twitter.com/Tamara_DeCaluwe/status/724316340845158401" TargetMode="External"/><Relationship Id="rId90" Type="http://schemas.openxmlformats.org/officeDocument/2006/relationships/hyperlink" Target="http://dlvr.it/" TargetMode="External"/><Relationship Id="rId1037" Type="http://schemas.openxmlformats.org/officeDocument/2006/relationships/hyperlink" Target="https://pbs.twimg.com/profile_images/694690850241011712/MIUbJ12E_normal.jpg" TargetMode="External"/><Relationship Id="rId6709" Type="http://schemas.openxmlformats.org/officeDocument/2006/relationships/hyperlink" Target="https://twitter.com/pbeez17/status/723254057612115968" TargetMode="External"/><Relationship Id="rId19123" Type="http://schemas.openxmlformats.org/officeDocument/2006/relationships/hyperlink" Target="https://twitter.com/ThatBoy_Fergle/status/723920736419762176" TargetMode="External"/><Relationship Id="rId23519" Type="http://schemas.openxmlformats.org/officeDocument/2006/relationships/hyperlink" Target="http://dlvr.it/" TargetMode="External"/><Relationship Id="rId7080" Type="http://schemas.openxmlformats.org/officeDocument/2006/relationships/hyperlink" Target="https://twitter.com/SmartSanta" TargetMode="External"/><Relationship Id="rId10061" Type="http://schemas.openxmlformats.org/officeDocument/2006/relationships/hyperlink" Target="https://twitter.com/olewin/status/723460533454802944" TargetMode="External"/><Relationship Id="rId12510" Type="http://schemas.openxmlformats.org/officeDocument/2006/relationships/hyperlink" Target="https://pbs.twimg.com/profile_images/430452839006367744/g4pz6WaE_normal.jpeg" TargetMode="External"/><Relationship Id="rId3690" Type="http://schemas.openxmlformats.org/officeDocument/2006/relationships/hyperlink" Target="https://twitter.com/KateGalbraith" TargetMode="External"/><Relationship Id="rId15733" Type="http://schemas.openxmlformats.org/officeDocument/2006/relationships/hyperlink" Target="https://twitter.com/Ferrari_Jadore/status/723622408083640320" TargetMode="External"/><Relationship Id="rId3343" Type="http://schemas.openxmlformats.org/officeDocument/2006/relationships/hyperlink" Target="https://twitter.com/vwpress_de" TargetMode="External"/><Relationship Id="rId13284" Type="http://schemas.openxmlformats.org/officeDocument/2006/relationships/hyperlink" Target="https://twitter.com/089stadt/status/723542581750075392" TargetMode="External"/><Relationship Id="rId18956" Type="http://schemas.openxmlformats.org/officeDocument/2006/relationships/hyperlink" Target="https://pbs.twimg.com/profile_images/3316532991/eec263fafa1e013aa39dc95e789dcd0b_normal.jpeg" TargetMode="External"/><Relationship Id="rId22602" Type="http://schemas.openxmlformats.org/officeDocument/2006/relationships/hyperlink" Target="https://twitter.com/vwgroup_en" TargetMode="External"/><Relationship Id="rId18609" Type="http://schemas.openxmlformats.org/officeDocument/2006/relationships/hyperlink" Target="http://dlvr.it/" TargetMode="External"/><Relationship Id="rId20153" Type="http://schemas.openxmlformats.org/officeDocument/2006/relationships/hyperlink" Target="https://pbs.twimg.com/profile_images/501668076400545793/oZNlobyg_normal.jpeg" TargetMode="External"/><Relationship Id="rId6566" Type="http://schemas.openxmlformats.org/officeDocument/2006/relationships/hyperlink" Target="https://twitter.com/pablofcogtz" TargetMode="External"/><Relationship Id="rId23376" Type="http://schemas.openxmlformats.org/officeDocument/2006/relationships/hyperlink" Target="https://twitter.com/VWBeetleSales" TargetMode="External"/><Relationship Id="rId6219" Type="http://schemas.openxmlformats.org/officeDocument/2006/relationships/hyperlink" Target="https://twitter.com/SubaruImpreza_" TargetMode="External"/><Relationship Id="rId9789" Type="http://schemas.openxmlformats.org/officeDocument/2006/relationships/hyperlink" Target="https://pbs.twimg.com/profile_images/1610421423/Image2_normal.jpg" TargetMode="External"/><Relationship Id="rId12020" Type="http://schemas.openxmlformats.org/officeDocument/2006/relationships/hyperlink" Target="https://twitter.com/BrigPeachL4L/status/723512195343065092" TargetMode="External"/><Relationship Id="rId15590" Type="http://schemas.openxmlformats.org/officeDocument/2006/relationships/hyperlink" Target="https://twitter.com/ebaycampervans/status/723615129489698816" TargetMode="External"/><Relationship Id="rId23029" Type="http://schemas.openxmlformats.org/officeDocument/2006/relationships/hyperlink" Target="https://pbs.twimg.com/profile_images/549930093045235712/wfignIg1_normal.png" TargetMode="External"/><Relationship Id="rId2829" Type="http://schemas.openxmlformats.org/officeDocument/2006/relationships/hyperlink" Target="https://twitter.com/DubLuvTuning" TargetMode="External"/><Relationship Id="rId15243" Type="http://schemas.openxmlformats.org/officeDocument/2006/relationships/hyperlink" Target="https://twitter.com/madmark31" TargetMode="External"/><Relationship Id="rId5302" Type="http://schemas.openxmlformats.org/officeDocument/2006/relationships/hyperlink" Target="https://twitter.com/mediaadgroup/status/723199538631069696" TargetMode="External"/><Relationship Id="rId22112" Type="http://schemas.openxmlformats.org/officeDocument/2006/relationships/hyperlink" Target="https://twitter.com/VWBeetleSales/status/724201244881903616" TargetMode="External"/><Relationship Id="rId8872" Type="http://schemas.openxmlformats.org/officeDocument/2006/relationships/hyperlink" Target="https://pbs.twimg.com/profile_images/661248829682024449/IlOGOPEg_normal.jpg" TargetMode="External"/><Relationship Id="rId11853" Type="http://schemas.openxmlformats.org/officeDocument/2006/relationships/hyperlink" Target="https://twitter.com/Lebeaucarnews/status/723508918496952320" TargetMode="External"/><Relationship Id="rId18466" Type="http://schemas.openxmlformats.org/officeDocument/2006/relationships/hyperlink" Target="https://pbs.twimg.com/profile_images/3003211219/5eb0510a3d8f48f25da10db3e595b7a0_normal.png" TargetMode="External"/><Relationship Id="rId25682" Type="http://schemas.openxmlformats.org/officeDocument/2006/relationships/hyperlink" Target="https://pbs.twimg.com/profile_images/652871584131092480/QA_B6SBO_normal.jpg" TargetMode="External"/><Relationship Id="rId1912" Type="http://schemas.openxmlformats.org/officeDocument/2006/relationships/hyperlink" Target="https://twitter.com/AutohausCampers" TargetMode="External"/><Relationship Id="rId6076" Type="http://schemas.openxmlformats.org/officeDocument/2006/relationships/hyperlink" Target="https://twitter.com/Mphilpot1" TargetMode="External"/><Relationship Id="rId8525" Type="http://schemas.openxmlformats.org/officeDocument/2006/relationships/hyperlink" Target="https://twitter.com/xjanpet/status/723393247561703424" TargetMode="External"/><Relationship Id="rId11506" Type="http://schemas.openxmlformats.org/officeDocument/2006/relationships/hyperlink" Target="https://twitter.com/RVingTimes" TargetMode="External"/><Relationship Id="rId18119" Type="http://schemas.openxmlformats.org/officeDocument/2006/relationships/hyperlink" Target="https://pbs.twimg.com/profile_images/705780107844067328/e7O4UBNb_normal.jpg" TargetMode="External"/><Relationship Id="rId25335" Type="http://schemas.openxmlformats.org/officeDocument/2006/relationships/hyperlink" Target="https://twitter.com/cmsGOMEX/status/724431647471505408" TargetMode="External"/><Relationship Id="rId14729" Type="http://schemas.openxmlformats.org/officeDocument/2006/relationships/hyperlink" Target="https://twitter.com/swanswaygroup/status/723580887707705344" TargetMode="External"/><Relationship Id="rId21945" Type="http://schemas.openxmlformats.org/officeDocument/2006/relationships/hyperlink" Target="https://twitter.com/Scirocco_Tuning/status/724191056464621569" TargetMode="External"/><Relationship Id="rId2686" Type="http://schemas.openxmlformats.org/officeDocument/2006/relationships/hyperlink" Target="https://twitter.com/RebSamona/status/723113233922428929" TargetMode="External"/><Relationship Id="rId9299" Type="http://schemas.openxmlformats.org/officeDocument/2006/relationships/hyperlink" Target="https://pbs.twimg.com/profile_images/602784795119190016/VyaVwPXK_normal.jpg" TargetMode="External"/><Relationship Id="rId17202" Type="http://schemas.openxmlformats.org/officeDocument/2006/relationships/hyperlink" Target="https://twitter.com/mapro67/status/723780072457527296" TargetMode="External"/><Relationship Id="rId658" Type="http://schemas.openxmlformats.org/officeDocument/2006/relationships/hyperlink" Target="https://twitter.com/Bella_marlah/status/722967812097073152" TargetMode="External"/><Relationship Id="rId2339" Type="http://schemas.openxmlformats.org/officeDocument/2006/relationships/hyperlink" Target="https://pbs.twimg.com/profile_images/1833245422/twitter_yo_normal.jpg" TargetMode="External"/><Relationship Id="rId8382" Type="http://schemas.openxmlformats.org/officeDocument/2006/relationships/hyperlink" Target="https://pbs.twimg.com/profile_images/378800000854855954/0d555726054b01e3c9d6b5241432dc4a_normal.jpeg" TargetMode="External"/><Relationship Id="rId13812" Type="http://schemas.openxmlformats.org/officeDocument/2006/relationships/hyperlink" Target="https://twitter.com/MKarpstein" TargetMode="External"/><Relationship Id="rId25192" Type="http://schemas.openxmlformats.org/officeDocument/2006/relationships/hyperlink" Target="https://twitter.com/1Feedom" TargetMode="External"/><Relationship Id="rId1422" Type="http://schemas.openxmlformats.org/officeDocument/2006/relationships/hyperlink" Target="https://twitter.com/beetlebug1938/status/723040734501306368" TargetMode="External"/><Relationship Id="rId8035" Type="http://schemas.openxmlformats.org/officeDocument/2006/relationships/hyperlink" Target="https://twitter.com/beetlebug1938" TargetMode="External"/><Relationship Id="rId11016" Type="http://schemas.openxmlformats.org/officeDocument/2006/relationships/hyperlink" Target="https://pbs.twimg.com/profile_images/431404039532589056/MZrgq9HX_normal.jpeg" TargetMode="External"/><Relationship Id="rId11363" Type="http://schemas.openxmlformats.org/officeDocument/2006/relationships/hyperlink" Target="https://twitter.com/_gnnr/status/723501496558604288" TargetMode="External"/><Relationship Id="rId4992" Type="http://schemas.openxmlformats.org/officeDocument/2006/relationships/hyperlink" Target="https://twitter.com/MikeElk/status/723191734881140736" TargetMode="External"/><Relationship Id="rId14586" Type="http://schemas.openxmlformats.org/officeDocument/2006/relationships/hyperlink" Target="https://twitter.com/Guadiglesias" TargetMode="External"/><Relationship Id="rId23904" Type="http://schemas.openxmlformats.org/officeDocument/2006/relationships/hyperlink" Target="https://twitter.com/HeelTo3/status/724320466794614784" TargetMode="External"/><Relationship Id="rId2196" Type="http://schemas.openxmlformats.org/officeDocument/2006/relationships/hyperlink" Target="https://pbs.twimg.com/profile_images/661248829682024449/IlOGOPEg_normal.jpg" TargetMode="External"/><Relationship Id="rId4645" Type="http://schemas.openxmlformats.org/officeDocument/2006/relationships/hyperlink" Target="https://twitter.com/DJMattDavid" TargetMode="External"/><Relationship Id="rId14239" Type="http://schemas.openxmlformats.org/officeDocument/2006/relationships/hyperlink" Target="https://twitter.com/LuliSilva0" TargetMode="External"/><Relationship Id="rId21455" Type="http://schemas.openxmlformats.org/officeDocument/2006/relationships/hyperlink" Target="https://twitter.com/dendryad" TargetMode="External"/><Relationship Id="rId168" Type="http://schemas.openxmlformats.org/officeDocument/2006/relationships/hyperlink" Target="https://twitter.com/VCT_Tweets" TargetMode="External"/><Relationship Id="rId7868" Type="http://schemas.openxmlformats.org/officeDocument/2006/relationships/hyperlink" Target="https://twitter.com/1stInSEO/status/723335992917123072" TargetMode="External"/><Relationship Id="rId10849" Type="http://schemas.openxmlformats.org/officeDocument/2006/relationships/hyperlink" Target="https://twitter.com/thebugbar/status/723487798829944832" TargetMode="External"/><Relationship Id="rId21108" Type="http://schemas.openxmlformats.org/officeDocument/2006/relationships/hyperlink" Target="https://twitter.com/beetlebug1938/status/724103002311798784" TargetMode="External"/><Relationship Id="rId24678" Type="http://schemas.openxmlformats.org/officeDocument/2006/relationships/hyperlink" Target="https://pbs.twimg.com/profile_images/575831024665395200/WCpJ6HjH_normal.jpeg" TargetMode="External"/><Relationship Id="rId13322" Type="http://schemas.openxmlformats.org/officeDocument/2006/relationships/hyperlink" Target="https://twitter.com/DJMattDavid" TargetMode="External"/><Relationship Id="rId16892" Type="http://schemas.openxmlformats.org/officeDocument/2006/relationships/hyperlink" Target="https://twitter.com/iTRON_car/status/723745866197155841" TargetMode="External"/><Relationship Id="rId6951" Type="http://schemas.openxmlformats.org/officeDocument/2006/relationships/hyperlink" Target="https://pbs.twimg.com/profile_images/411932279997345792/XiYNUHLj_normal.jpeg" TargetMode="External"/><Relationship Id="rId14096" Type="http://schemas.openxmlformats.org/officeDocument/2006/relationships/hyperlink" Target="https://pbs.twimg.com/profile_images/555368772446351360/eo5CBua5_normal.jpeg" TargetMode="External"/><Relationship Id="rId16545" Type="http://schemas.openxmlformats.org/officeDocument/2006/relationships/hyperlink" Target="https://pbs.twimg.com/profile_images/3725967723/1cb19fcb397118623a9866ecb7fd9b52_normal.jpeg" TargetMode="External"/><Relationship Id="rId23761" Type="http://schemas.openxmlformats.org/officeDocument/2006/relationships/hyperlink" Target="https://pbs.twimg.com/profile_images/3378184537/c20ae9a7a410821b4f189c34a63380f7_normal.png" TargetMode="External"/><Relationship Id="rId4155" Type="http://schemas.openxmlformats.org/officeDocument/2006/relationships/hyperlink" Target="https://twitter.com/stvharry/status/723177403024064512" TargetMode="External"/><Relationship Id="rId6604" Type="http://schemas.openxmlformats.org/officeDocument/2006/relationships/hyperlink" Target="https://twitter.com/dashingclaire/status/723247720413057024" TargetMode="External"/><Relationship Id="rId19768" Type="http://schemas.openxmlformats.org/officeDocument/2006/relationships/hyperlink" Target="https://twitter.com/Insta_VWT" TargetMode="External"/><Relationship Id="rId23414" Type="http://schemas.openxmlformats.org/officeDocument/2006/relationships/hyperlink" Target="https://twitter.com/berlinhabercom/status/724287715659943936" TargetMode="External"/><Relationship Id="rId9827" Type="http://schemas.openxmlformats.org/officeDocument/2006/relationships/hyperlink" Target="https://pbs.twimg.com/profile_images/722881693296803840/Q1r0epiK_normal.jpg" TargetMode="External"/><Relationship Id="rId12808" Type="http://schemas.openxmlformats.org/officeDocument/2006/relationships/hyperlink" Target="https://twitter.com/beetlebug1938" TargetMode="External"/><Relationship Id="rId7378" Type="http://schemas.openxmlformats.org/officeDocument/2006/relationships/hyperlink" Target="https://pbs.twimg.com/profile_images/721831427759706113/imZdwjGN_normal.jpg" TargetMode="External"/><Relationship Id="rId10359" Type="http://schemas.openxmlformats.org/officeDocument/2006/relationships/hyperlink" Target="https://twitter.com/SYirmi" TargetMode="External"/><Relationship Id="rId18851" Type="http://schemas.openxmlformats.org/officeDocument/2006/relationships/hyperlink" Target="https://twitter.com/Maaaaarrri/status/723900286935379969" TargetMode="External"/><Relationship Id="rId24188" Type="http://schemas.openxmlformats.org/officeDocument/2006/relationships/hyperlink" Target="https://pbs.twimg.com/profile_images/718835727027580928/1ssyQ67y_normal.jpg" TargetMode="External"/><Relationship Id="rId3988" Type="http://schemas.openxmlformats.org/officeDocument/2006/relationships/hyperlink" Target="https://twitter.com/kuerzel_td" TargetMode="External"/><Relationship Id="rId8910" Type="http://schemas.openxmlformats.org/officeDocument/2006/relationships/hyperlink" Target="https://twitter.com/darksideoftheeg/status/723411028608831491" TargetMode="External"/><Relationship Id="rId18504" Type="http://schemas.openxmlformats.org/officeDocument/2006/relationships/hyperlink" Target="https://twitter.com/carolinepedler" TargetMode="External"/><Relationship Id="rId20798" Type="http://schemas.openxmlformats.org/officeDocument/2006/relationships/hyperlink" Target="https://pbs.twimg.com/profile_images/693728297608282112/hOdvuzhl_normal.jpg" TargetMode="External"/><Relationship Id="rId25720" Type="http://schemas.openxmlformats.org/officeDocument/2006/relationships/hyperlink" Target="https://twitter.com/vwgroup_en/status/724467275273801728" TargetMode="External"/><Relationship Id="rId6461" Type="http://schemas.openxmlformats.org/officeDocument/2006/relationships/hyperlink" Target="https://twitter.com/thomaslyoung" TargetMode="External"/><Relationship Id="rId16055" Type="http://schemas.openxmlformats.org/officeDocument/2006/relationships/hyperlink" Target="https://twitter.com/LaloZaldivarD" TargetMode="External"/><Relationship Id="rId23271" Type="http://schemas.openxmlformats.org/officeDocument/2006/relationships/hyperlink" Target="https://twitter.com/SantaPodRaceway" TargetMode="External"/><Relationship Id="rId6114" Type="http://schemas.openxmlformats.org/officeDocument/2006/relationships/hyperlink" Target="https://twitter.com/pgeorgol" TargetMode="External"/><Relationship Id="rId9684" Type="http://schemas.openxmlformats.org/officeDocument/2006/relationships/hyperlink" Target="https://pbs.twimg.com/profile_images/530071272881803264/a_jcCmPZ_normal.png" TargetMode="External"/><Relationship Id="rId19278" Type="http://schemas.openxmlformats.org/officeDocument/2006/relationships/hyperlink" Target="https://pbs.twimg.com/profile_images/441621274356240384/b9pRyHTU_normal.jpeg" TargetMode="External"/><Relationship Id="rId9337" Type="http://schemas.openxmlformats.org/officeDocument/2006/relationships/hyperlink" Target="https://twitter.com/vwgroup_de/status/723430834456264704" TargetMode="External"/><Relationship Id="rId12665" Type="http://schemas.openxmlformats.org/officeDocument/2006/relationships/hyperlink" Target="https://twitter.com/bonzoboy" TargetMode="External"/><Relationship Id="rId2724" Type="http://schemas.openxmlformats.org/officeDocument/2006/relationships/hyperlink" Target="https://twitter.com/TonyCantero/status/723115183133102080" TargetMode="External"/><Relationship Id="rId12318" Type="http://schemas.openxmlformats.org/officeDocument/2006/relationships/hyperlink" Target="https://twitter.com/Banane0711/status/723517147264245760" TargetMode="External"/><Relationship Id="rId15888" Type="http://schemas.openxmlformats.org/officeDocument/2006/relationships/hyperlink" Target="https://pbs.twimg.com/profile_images/714558560936529920/fOUFpJYx_normal.jpg" TargetMode="External"/><Relationship Id="rId5947" Type="http://schemas.openxmlformats.org/officeDocument/2006/relationships/hyperlink" Target="https://twitter.com/ineeshadvs" TargetMode="External"/><Relationship Id="rId18361" Type="http://schemas.openxmlformats.org/officeDocument/2006/relationships/hyperlink" Target="https://pbs.twimg.com/profile_images/626150798590902273/qUbM1D-g_normal.jpg" TargetMode="External"/><Relationship Id="rId22757" Type="http://schemas.openxmlformats.org/officeDocument/2006/relationships/hyperlink" Target="https://twitter.com/VolkswagenPost/status/724244924158357504" TargetMode="External"/><Relationship Id="rId3498" Type="http://schemas.openxmlformats.org/officeDocument/2006/relationships/hyperlink" Target="https://twitter.com/SCGsoflo" TargetMode="External"/><Relationship Id="rId8420" Type="http://schemas.openxmlformats.org/officeDocument/2006/relationships/hyperlink" Target="https://twitter.com/MerlinaAlmendra/status/723387422503886849" TargetMode="External"/><Relationship Id="rId11401" Type="http://schemas.openxmlformats.org/officeDocument/2006/relationships/hyperlink" Target="https://twitter.com/OXMarkets" TargetMode="External"/><Relationship Id="rId18014" Type="http://schemas.openxmlformats.org/officeDocument/2006/relationships/hyperlink" Target="https://twitter.com/BI_Neckartor/status/723841634455158785" TargetMode="External"/><Relationship Id="rId25230" Type="http://schemas.openxmlformats.org/officeDocument/2006/relationships/hyperlink" Target="https://pbs.twimg.com/profile_images/472298206483607552/UogAMiRI_normal.png" TargetMode="External"/><Relationship Id="rId14971" Type="http://schemas.openxmlformats.org/officeDocument/2006/relationships/hyperlink" Target="https://pbs.twimg.com/profile_images/1445240756/twitterneu_normal.jpg" TargetMode="External"/><Relationship Id="rId2581" Type="http://schemas.openxmlformats.org/officeDocument/2006/relationships/hyperlink" Target="https://pbs.twimg.com/profile_images/687314255507513346/a83L5Opq_normal.jpg" TargetMode="External"/><Relationship Id="rId9194" Type="http://schemas.openxmlformats.org/officeDocument/2006/relationships/hyperlink" Target="https://pbs.twimg.com/profile_images/447122704626221056/YLBEEZWB_normal.jpeg" TargetMode="External"/><Relationship Id="rId12175" Type="http://schemas.openxmlformats.org/officeDocument/2006/relationships/hyperlink" Target="https://twitter.com/frau_junge" TargetMode="External"/><Relationship Id="rId14624" Type="http://schemas.openxmlformats.org/officeDocument/2006/relationships/hyperlink" Target="https://pbs.twimg.com/profile_images/721549707772891136/zcZaPd89_normal.jpg" TargetMode="External"/><Relationship Id="rId21840" Type="http://schemas.openxmlformats.org/officeDocument/2006/relationships/hyperlink" Target="https://twitter.com/OnlineCarReview" TargetMode="External"/><Relationship Id="rId553" Type="http://schemas.openxmlformats.org/officeDocument/2006/relationships/hyperlink" Target="https://twitter.com/Sale6Mm/status/722964578515202048" TargetMode="External"/><Relationship Id="rId2234" Type="http://schemas.openxmlformats.org/officeDocument/2006/relationships/hyperlink" Target="https://pbs.twimg.com/profile_images/1200648485/instock_normal.jpg" TargetMode="External"/><Relationship Id="rId17847" Type="http://schemas.openxmlformats.org/officeDocument/2006/relationships/hyperlink" Target="https://pbs.twimg.com/profile_images/713654769571725313/46CFIy5d_normal.jpg" TargetMode="External"/><Relationship Id="rId206" Type="http://schemas.openxmlformats.org/officeDocument/2006/relationships/hyperlink" Target="https://twitter.com/drumwom/status/722937521751990272" TargetMode="External"/><Relationship Id="rId7906" Type="http://schemas.openxmlformats.org/officeDocument/2006/relationships/hyperlink" Target="https://pbs.twimg.com/profile_images/530071272881803264/a_jcCmPZ_normal.png" TargetMode="External"/><Relationship Id="rId15398" Type="http://schemas.openxmlformats.org/officeDocument/2006/relationships/hyperlink" Target="https://twitter.com/DubLuvTuning/status/723606391039123456" TargetMode="External"/><Relationship Id="rId24716" Type="http://schemas.openxmlformats.org/officeDocument/2006/relationships/hyperlink" Target="https://twitter.com/FuscaWorld" TargetMode="External"/><Relationship Id="rId5457" Type="http://schemas.openxmlformats.org/officeDocument/2006/relationships/hyperlink" Target="https://pbs.twimg.com/profile_images/551382029023981568/n7_0vJqd_normal.jpeg" TargetMode="External"/><Relationship Id="rId16930" Type="http://schemas.openxmlformats.org/officeDocument/2006/relationships/hyperlink" Target="https://twitter.com/Scirocco_Tuning" TargetMode="External"/><Relationship Id="rId22267" Type="http://schemas.openxmlformats.org/officeDocument/2006/relationships/hyperlink" Target="https://twitter.com/Konneh_21/status/724212012759277571" TargetMode="External"/><Relationship Id="rId14481" Type="http://schemas.openxmlformats.org/officeDocument/2006/relationships/hyperlink" Target="https://twitter.com/NickiFinlayson" TargetMode="External"/><Relationship Id="rId4540" Type="http://schemas.openxmlformats.org/officeDocument/2006/relationships/hyperlink" Target="https://twitter.com/AndyGER/status/723182213454553088" TargetMode="External"/><Relationship Id="rId14134" Type="http://schemas.openxmlformats.org/officeDocument/2006/relationships/hyperlink" Target="https://twitter.com/EnduroForLife17" TargetMode="External"/><Relationship Id="rId21350" Type="http://schemas.openxmlformats.org/officeDocument/2006/relationships/hyperlink" Target="https://twitter.com/DubLuvTuning" TargetMode="External"/><Relationship Id="rId2091" Type="http://schemas.openxmlformats.org/officeDocument/2006/relationships/hyperlink" Target="https://pbs.twimg.com/profile_images/424893967197433858/iQ86NktX_normal.jpeg" TargetMode="External"/><Relationship Id="rId7763" Type="http://schemas.openxmlformats.org/officeDocument/2006/relationships/hyperlink" Target="https://twitter.com/dipurwantto" TargetMode="External"/><Relationship Id="rId17357" Type="http://schemas.openxmlformats.org/officeDocument/2006/relationships/hyperlink" Target="https://pbs.twimg.com/profile_images/607431748125900800/x0UAHZPL_normal.jpg" TargetMode="External"/><Relationship Id="rId19806" Type="http://schemas.openxmlformats.org/officeDocument/2006/relationships/hyperlink" Target="https://twitter.com/Srry_I_ddnt_kno/status/723959102288875520" TargetMode="External"/><Relationship Id="rId21003" Type="http://schemas.openxmlformats.org/officeDocument/2006/relationships/hyperlink" Target="https://pbs.twimg.com/profile_images/711890317448904704/wabvMcxR_normal.jpg" TargetMode="External"/><Relationship Id="rId24573" Type="http://schemas.openxmlformats.org/officeDocument/2006/relationships/hyperlink" Target="https://twitter.com/GolfitIt" TargetMode="External"/><Relationship Id="rId7416" Type="http://schemas.openxmlformats.org/officeDocument/2006/relationships/hyperlink" Target="https://twitter.com/RitaccoAlessan1/status/723301740150423552" TargetMode="External"/><Relationship Id="rId10744" Type="http://schemas.openxmlformats.org/officeDocument/2006/relationships/hyperlink" Target="https://pbs.twimg.com/profile_images/718820712757215233/LXXndPTS_normal.jpg" TargetMode="External"/><Relationship Id="rId24226" Type="http://schemas.openxmlformats.org/officeDocument/2006/relationships/hyperlink" Target="https://twitter.com/bBOLDbLONG/status/724339436989886465" TargetMode="External"/><Relationship Id="rId13967" Type="http://schemas.openxmlformats.org/officeDocument/2006/relationships/hyperlink" Target="https://pbs.twimg.com/profile_images/721572226600943616/rLXy7VpS_normal.jpg" TargetMode="External"/><Relationship Id="rId16440" Type="http://schemas.openxmlformats.org/officeDocument/2006/relationships/hyperlink" Target="https://pbs.twimg.com/profile_images/640893185158352896/TMGmsF0r_normal.png" TargetMode="External"/><Relationship Id="rId20836" Type="http://schemas.openxmlformats.org/officeDocument/2006/relationships/hyperlink" Target="https://twitter.com/Eze_Marocchi" TargetMode="External"/><Relationship Id="rId1577" Type="http://schemas.openxmlformats.org/officeDocument/2006/relationships/hyperlink" Target="https://twitter.com/VeeDoubleMoo" TargetMode="External"/><Relationship Id="rId19663" Type="http://schemas.openxmlformats.org/officeDocument/2006/relationships/hyperlink" Target="https://twitter.com/HueySupreme_" TargetMode="External"/><Relationship Id="rId4050" Type="http://schemas.openxmlformats.org/officeDocument/2006/relationships/hyperlink" Target="https://pbs.twimg.com/profile_images/3409982974/bd0f28332cb786fda82370530a545c64_normal.png" TargetMode="External"/><Relationship Id="rId9722" Type="http://schemas.openxmlformats.org/officeDocument/2006/relationships/hyperlink" Target="https://pbs.twimg.com/profile_images/657853466384191488/J6vAnfZr_normal.jpg" TargetMode="External"/><Relationship Id="rId19316" Type="http://schemas.openxmlformats.org/officeDocument/2006/relationships/hyperlink" Target="https://twitter.com/oldcar_photo/status/723926494993616896" TargetMode="External"/><Relationship Id="rId7273" Type="http://schemas.openxmlformats.org/officeDocument/2006/relationships/hyperlink" Target="https://twitter.com/RachaelFinch/status/723291614593073154" TargetMode="External"/><Relationship Id="rId10254" Type="http://schemas.openxmlformats.org/officeDocument/2006/relationships/hyperlink" Target="https://twitter.com/Spoekenkiekerei/status/723467388486860800" TargetMode="External"/><Relationship Id="rId12703" Type="http://schemas.openxmlformats.org/officeDocument/2006/relationships/hyperlink" Target="https://pbs.twimg.com/profile_images/525996707830435840/HCZkBfU9_normal.jpeg" TargetMode="External"/><Relationship Id="rId24083" Type="http://schemas.openxmlformats.org/officeDocument/2006/relationships/hyperlink" Target="https://twitter.com/nosuitablename/status/724331475856953345" TargetMode="External"/><Relationship Id="rId15926" Type="http://schemas.openxmlformats.org/officeDocument/2006/relationships/hyperlink" Target="https://twitter.com/Supreme_Wheel/status/723637983203586048" TargetMode="External"/><Relationship Id="rId3883" Type="http://schemas.openxmlformats.org/officeDocument/2006/relationships/hyperlink" Target="https://twitter.com/KCBSNews/status/723171292975783937" TargetMode="External"/><Relationship Id="rId13477" Type="http://schemas.openxmlformats.org/officeDocument/2006/relationships/hyperlink" Target="https://pbs.twimg.com/profile_images/447431696804098048/cMkH9nly_normal.jpeg" TargetMode="External"/><Relationship Id="rId20693" Type="http://schemas.openxmlformats.org/officeDocument/2006/relationships/hyperlink" Target="http://dlvr.it/" TargetMode="External"/><Relationship Id="rId1087" Type="http://schemas.openxmlformats.org/officeDocument/2006/relationships/hyperlink" Target="https://twitter.com/kovermarroquin" TargetMode="External"/><Relationship Id="rId3536" Type="http://schemas.openxmlformats.org/officeDocument/2006/relationships/hyperlink" Target="https://pbs.twimg.com/profile_images/694246082092531713/R0PNmJwq_normal.jpg" TargetMode="External"/><Relationship Id="rId20346" Type="http://schemas.openxmlformats.org/officeDocument/2006/relationships/hyperlink" Target="https://twitter.com/jarrodau" TargetMode="External"/><Relationship Id="rId6759" Type="http://schemas.openxmlformats.org/officeDocument/2006/relationships/hyperlink" Target="https://pbs.twimg.com/profile_images/3546807418/358648ceafebcd1bc86c677256332c33_normal.jpeg" TargetMode="External"/><Relationship Id="rId12560" Type="http://schemas.openxmlformats.org/officeDocument/2006/relationships/hyperlink" Target="https://twitter.com/dw_wirtschaft" TargetMode="External"/><Relationship Id="rId19173" Type="http://schemas.openxmlformats.org/officeDocument/2006/relationships/hyperlink" Target="https://twitter.com/Scirocco_Tuning" TargetMode="External"/><Relationship Id="rId23569" Type="http://schemas.openxmlformats.org/officeDocument/2006/relationships/hyperlink" Target="http://dlvr.it/" TargetMode="External"/><Relationship Id="rId9232" Type="http://schemas.openxmlformats.org/officeDocument/2006/relationships/hyperlink" Target="https://twitter.com/Marinella_Maria/status/723427483840708610" TargetMode="External"/><Relationship Id="rId12213" Type="http://schemas.openxmlformats.org/officeDocument/2006/relationships/hyperlink" Target="https://pbs.twimg.com/profile_images/648862182936047616/p6o1BlmC_normal.jpg" TargetMode="External"/><Relationship Id="rId5842" Type="http://schemas.openxmlformats.org/officeDocument/2006/relationships/hyperlink" Target="https://twitter.com/AnthonyWanger" TargetMode="External"/><Relationship Id="rId15436" Type="http://schemas.openxmlformats.org/officeDocument/2006/relationships/hyperlink" Target="https://twitter.com/DeeJayDready" TargetMode="External"/><Relationship Id="rId15783" Type="http://schemas.openxmlformats.org/officeDocument/2006/relationships/hyperlink" Target="https://twitter.com/ratemycamper/status/723624613238988800" TargetMode="External"/><Relationship Id="rId3393" Type="http://schemas.openxmlformats.org/officeDocument/2006/relationships/hyperlink" Target="https://twitter.com/Dahie/status/723155200156930054" TargetMode="External"/><Relationship Id="rId22305" Type="http://schemas.openxmlformats.org/officeDocument/2006/relationships/hyperlink" Target="https://pbs.twimg.com/profile_images/709087090550689792/ICYFENhR_normal.jpg" TargetMode="External"/><Relationship Id="rId22652" Type="http://schemas.openxmlformats.org/officeDocument/2006/relationships/hyperlink" Target="https://twitter.com/Steve_WL7YQ/status/724237451074646016" TargetMode="External"/><Relationship Id="rId3046" Type="http://schemas.openxmlformats.org/officeDocument/2006/relationships/hyperlink" Target="https://twitter.com/Cosmic_Crafts" TargetMode="External"/><Relationship Id="rId18659" Type="http://schemas.openxmlformats.org/officeDocument/2006/relationships/hyperlink" Target="https://pbs.twimg.com/profile_images/460856641206759424/FVPr1nt2_normal.jpeg" TargetMode="External"/><Relationship Id="rId6269" Type="http://schemas.openxmlformats.org/officeDocument/2006/relationships/hyperlink" Target="https://twitter.com/cosmorion" TargetMode="External"/><Relationship Id="rId8718" Type="http://schemas.openxmlformats.org/officeDocument/2006/relationships/hyperlink" Target="https://twitter.com/DMonigatti" TargetMode="External"/><Relationship Id="rId23079" Type="http://schemas.openxmlformats.org/officeDocument/2006/relationships/hyperlink" Target="https://twitter.com/Scirocco_Tuning" TargetMode="External"/><Relationship Id="rId25528" Type="http://schemas.openxmlformats.org/officeDocument/2006/relationships/hyperlink" Target="https://twitter.com/KayeMenner" TargetMode="External"/><Relationship Id="rId12070" Type="http://schemas.openxmlformats.org/officeDocument/2006/relationships/hyperlink" Target="https://twitter.com/slackner81" TargetMode="External"/><Relationship Id="rId17742" Type="http://schemas.openxmlformats.org/officeDocument/2006/relationships/hyperlink" Target="https://pbs.twimg.com/profile_images/702501103846494209/PNsFF5XB_normal.jpg" TargetMode="External"/><Relationship Id="rId2879" Type="http://schemas.openxmlformats.org/officeDocument/2006/relationships/hyperlink" Target="https://pbs.twimg.com/profile_images/552037189328982016/r65JRGTS_normal.jpeg" TargetMode="External"/><Relationship Id="rId7801" Type="http://schemas.openxmlformats.org/officeDocument/2006/relationships/hyperlink" Target="https://twitter.com/JavierGustavo74/status/723331269258534914" TargetMode="External"/><Relationship Id="rId15293" Type="http://schemas.openxmlformats.org/officeDocument/2006/relationships/hyperlink" Target="https://twitter.com/coolspringsvw/status/723602860982845441" TargetMode="External"/><Relationship Id="rId24611" Type="http://schemas.openxmlformats.org/officeDocument/2006/relationships/hyperlink" Target="https://pbs.twimg.com/profile_images/624784481761660928/2H3mAXZc_normal.jpg" TargetMode="External"/><Relationship Id="rId101" Type="http://schemas.openxmlformats.org/officeDocument/2006/relationships/hyperlink" Target="https://pbs.twimg.com/profile_images/3378184537/c20ae9a7a410821b4f189c34a63380f7_normal.png" TargetMode="External"/><Relationship Id="rId5352" Type="http://schemas.openxmlformats.org/officeDocument/2006/relationships/hyperlink" Target="https://twitter.com/DiscountBomb/status/723200434215624705" TargetMode="External"/><Relationship Id="rId22162" Type="http://schemas.openxmlformats.org/officeDocument/2006/relationships/hyperlink" Target="https://pbs.twimg.com/profile_images/599357023407464449/BL9Bpo6T_normal.jpg" TargetMode="External"/><Relationship Id="rId5005" Type="http://schemas.openxmlformats.org/officeDocument/2006/relationships/hyperlink" Target="https://pbs.twimg.com/profile_images/654379371449421825/wDuXHoqa_normal.jpg" TargetMode="External"/><Relationship Id="rId8575" Type="http://schemas.openxmlformats.org/officeDocument/2006/relationships/hyperlink" Target="https://pbs.twimg.com/profile_images/488577856314695681/YM0Dzdzf_normal.png" TargetMode="External"/><Relationship Id="rId18169" Type="http://schemas.openxmlformats.org/officeDocument/2006/relationships/hyperlink" Target="https://twitter.com/mark_tipp" TargetMode="External"/><Relationship Id="rId25385" Type="http://schemas.openxmlformats.org/officeDocument/2006/relationships/hyperlink" Target="https://pbs.twimg.com/profile_images/724362925813669888/g6JWjh4-_normal.jpg" TargetMode="External"/><Relationship Id="rId1962" Type="http://schemas.openxmlformats.org/officeDocument/2006/relationships/hyperlink" Target="https://twitter.com/c_g_citizen" TargetMode="External"/><Relationship Id="rId8228" Type="http://schemas.openxmlformats.org/officeDocument/2006/relationships/hyperlink" Target="https://pbs.twimg.com/profile_images/604605659410235392/k92X94I5_normal.jpg" TargetMode="External"/><Relationship Id="rId11556" Type="http://schemas.openxmlformats.org/officeDocument/2006/relationships/hyperlink" Target="https://pbs.twimg.com/profile_images/664042740334903296/QuAZGTTR_normal.jpg" TargetMode="External"/><Relationship Id="rId25038" Type="http://schemas.openxmlformats.org/officeDocument/2006/relationships/hyperlink" Target="https://pbs.twimg.com/profile_images/718835727027580928/1ssyQ67y_normal.jpg" TargetMode="External"/><Relationship Id="rId1615" Type="http://schemas.openxmlformats.org/officeDocument/2006/relationships/hyperlink" Target="https://pbs.twimg.com/profile_images/688412401667035136/gvoxnxoc_normal.jpg" TargetMode="External"/><Relationship Id="rId11209" Type="http://schemas.openxmlformats.org/officeDocument/2006/relationships/hyperlink" Target="https://twitter.com/Banane0711" TargetMode="External"/><Relationship Id="rId14779" Type="http://schemas.openxmlformats.org/officeDocument/2006/relationships/hyperlink" Target="https://twitter.com/gabiravanelli" TargetMode="External"/><Relationship Id="rId19701" Type="http://schemas.openxmlformats.org/officeDocument/2006/relationships/hyperlink" Target="https://pbs.twimg.com/profile_images/704424786777280513/YQVkJF57_normal.jpg" TargetMode="External"/><Relationship Id="rId21995" Type="http://schemas.openxmlformats.org/officeDocument/2006/relationships/hyperlink" Target="https://twitter.com/VWCamperSales/status/724192954395447296" TargetMode="External"/><Relationship Id="rId4838" Type="http://schemas.openxmlformats.org/officeDocument/2006/relationships/hyperlink" Target="https://twitter.com/ErkanCanKalkmaz/status/723188774881079296" TargetMode="External"/><Relationship Id="rId17252" Type="http://schemas.openxmlformats.org/officeDocument/2006/relationships/hyperlink" Target="https://pbs.twimg.com/profile_images/718202317426843649/9Efo8ucw_normal.jpg" TargetMode="External"/><Relationship Id="rId21648" Type="http://schemas.openxmlformats.org/officeDocument/2006/relationships/hyperlink" Target="https://pbs.twimg.com/profile_images/505274086763671552/mmwkSl8F_normal.jpeg" TargetMode="External"/><Relationship Id="rId2389" Type="http://schemas.openxmlformats.org/officeDocument/2006/relationships/hyperlink" Target="https://twitter.com/acerbickhan/status/723097719871574016" TargetMode="External"/><Relationship Id="rId7311" Type="http://schemas.openxmlformats.org/officeDocument/2006/relationships/hyperlink" Target="https://twitter.com/CarConnection" TargetMode="External"/><Relationship Id="rId24121" Type="http://schemas.openxmlformats.org/officeDocument/2006/relationships/hyperlink" Target="https://twitter.com/VWCamperSales/status/724333553941549056" TargetMode="External"/><Relationship Id="rId3921" Type="http://schemas.openxmlformats.org/officeDocument/2006/relationships/hyperlink" Target="https://twitter.com/Sandy_Tang_Ge" TargetMode="External"/><Relationship Id="rId13515" Type="http://schemas.openxmlformats.org/officeDocument/2006/relationships/hyperlink" Target="https://twitter.com/BS_Verkehr/status/723549334277599232" TargetMode="External"/><Relationship Id="rId13862" Type="http://schemas.openxmlformats.org/officeDocument/2006/relationships/hyperlink" Target="https://twitter.com/zarina_baiba" TargetMode="External"/><Relationship Id="rId1472" Type="http://schemas.openxmlformats.org/officeDocument/2006/relationships/hyperlink" Target="https://pbs.twimg.com/profile_images/1695402189/nebula_normal.jpg" TargetMode="External"/><Relationship Id="rId8085" Type="http://schemas.openxmlformats.org/officeDocument/2006/relationships/hyperlink" Target="https://twitter.com/rpo_wirtschaft/status/723364538251243521" TargetMode="External"/><Relationship Id="rId11066" Type="http://schemas.openxmlformats.org/officeDocument/2006/relationships/hyperlink" Target="https://twitter.com/shamereflect/status/723496405780836352" TargetMode="External"/><Relationship Id="rId20731" Type="http://schemas.openxmlformats.org/officeDocument/2006/relationships/hyperlink" Target="https://pbs.twimg.com/profile_images/569800899141177344/nVFLMSdb_normal.png" TargetMode="External"/><Relationship Id="rId1125" Type="http://schemas.openxmlformats.org/officeDocument/2006/relationships/hyperlink" Target="https://twitter.com/motoexposure" TargetMode="External"/><Relationship Id="rId4695" Type="http://schemas.openxmlformats.org/officeDocument/2006/relationships/hyperlink" Target="https://twitter.com/thewonkydonkey" TargetMode="External"/><Relationship Id="rId14289" Type="http://schemas.openxmlformats.org/officeDocument/2006/relationships/hyperlink" Target="https://pbs.twimg.com/profile_images/716292820194172928/DCB0n-Ae_normal.jpg" TargetMode="External"/><Relationship Id="rId16738" Type="http://schemas.openxmlformats.org/officeDocument/2006/relationships/hyperlink" Target="https://pbs.twimg.com/profile_images/700445723104407552/1a_55IZR_normal.jpg" TargetMode="External"/><Relationship Id="rId23954" Type="http://schemas.openxmlformats.org/officeDocument/2006/relationships/hyperlink" Target="https://pbs.twimg.com/profile_images/627949001179037696/skEBkS05_normal.jpg" TargetMode="External"/><Relationship Id="rId4348" Type="http://schemas.openxmlformats.org/officeDocument/2006/relationships/hyperlink" Target="https://twitter.com/VWSouthCoast" TargetMode="External"/><Relationship Id="rId19211" Type="http://schemas.openxmlformats.org/officeDocument/2006/relationships/hyperlink" Target="https://pbs.twimg.com/profile_images/703294545195307008/qeCvrX86_normal.jpg" TargetMode="External"/><Relationship Id="rId21158" Type="http://schemas.openxmlformats.org/officeDocument/2006/relationships/hyperlink" Target="https://twitter.com/FacuRusso46vr" TargetMode="External"/><Relationship Id="rId23607" Type="http://schemas.openxmlformats.org/officeDocument/2006/relationships/hyperlink" Target="https://twitter.com/andrespirincho" TargetMode="External"/><Relationship Id="rId10899" Type="http://schemas.openxmlformats.org/officeDocument/2006/relationships/hyperlink" Target="https://twitter.com/AutoExpress" TargetMode="External"/><Relationship Id="rId15821" Type="http://schemas.openxmlformats.org/officeDocument/2006/relationships/hyperlink" Target="https://twitter.com/PatteFohlen" TargetMode="External"/><Relationship Id="rId13372" Type="http://schemas.openxmlformats.org/officeDocument/2006/relationships/hyperlink" Target="https://pbs.twimg.com/profile_images/679786351831601152/5bHfWIgx_normal.png" TargetMode="External"/><Relationship Id="rId3431" Type="http://schemas.openxmlformats.org/officeDocument/2006/relationships/hyperlink" Target="https://pbs.twimg.com/profile_images/651002411952148481/acRSynhx_normal.png" TargetMode="External"/><Relationship Id="rId13025" Type="http://schemas.openxmlformats.org/officeDocument/2006/relationships/hyperlink" Target="https://twitter.com/ajkaestner" TargetMode="External"/><Relationship Id="rId16595" Type="http://schemas.openxmlformats.org/officeDocument/2006/relationships/hyperlink" Target="https://twitter.com/TetsuoHojo/status/723697487727321088" TargetMode="External"/><Relationship Id="rId20241" Type="http://schemas.openxmlformats.org/officeDocument/2006/relationships/hyperlink" Target="https://pbs.twimg.com/profile_images/378800000505143379/8471aaec07a46e484b3ab4df81b2caed_normal.jpeg" TargetMode="External"/><Relationship Id="rId6654" Type="http://schemas.openxmlformats.org/officeDocument/2006/relationships/hyperlink" Target="https://twitter.com/KarlHarenbrock/status/723250427379245056" TargetMode="External"/><Relationship Id="rId16248" Type="http://schemas.openxmlformats.org/officeDocument/2006/relationships/hyperlink" Target="https://twitter.com/hernancarlos88/status/723661313080053760" TargetMode="External"/><Relationship Id="rId23464" Type="http://schemas.openxmlformats.org/officeDocument/2006/relationships/hyperlink" Target="https://twitter.com/PaulMIllerVW/status/724290813375598593" TargetMode="External"/><Relationship Id="rId6307" Type="http://schemas.openxmlformats.org/officeDocument/2006/relationships/hyperlink" Target="https://pbs.twimg.com/profile_images/616779077572251652/VA-Mosfx_normal.jpg" TargetMode="External"/><Relationship Id="rId23117" Type="http://schemas.openxmlformats.org/officeDocument/2006/relationships/hyperlink" Target="https://pbs.twimg.com/profile_images/627949001179037696/skEBkS05_normal.jpg" TargetMode="External"/><Relationship Id="rId9877" Type="http://schemas.openxmlformats.org/officeDocument/2006/relationships/hyperlink" Target="https://twitter.com/VW_OC/status/723452672783822848" TargetMode="External"/><Relationship Id="rId12858" Type="http://schemas.openxmlformats.org/officeDocument/2006/relationships/hyperlink" Target="https://twitter.com/ginger_bishquit/status/723529519311650816" TargetMode="External"/><Relationship Id="rId2917" Type="http://schemas.openxmlformats.org/officeDocument/2006/relationships/hyperlink" Target="https://twitter.com/Baum_Reiter/status/723125106118004737" TargetMode="External"/><Relationship Id="rId15331" Type="http://schemas.openxmlformats.org/officeDocument/2006/relationships/hyperlink" Target="https://pbs.twimg.com/profile_images/1169387207/uhu_normal.jpg" TargetMode="External"/><Relationship Id="rId8960" Type="http://schemas.openxmlformats.org/officeDocument/2006/relationships/hyperlink" Target="https://twitter.com/GirtsRungainis" TargetMode="External"/><Relationship Id="rId18554" Type="http://schemas.openxmlformats.org/officeDocument/2006/relationships/hyperlink" Target="https://twitter.com/umitzeyrek/status/723878296308580353" TargetMode="External"/><Relationship Id="rId22200" Type="http://schemas.openxmlformats.org/officeDocument/2006/relationships/hyperlink" Target="https://twitter.com/beetlebug1938/status/724208651859288064" TargetMode="External"/><Relationship Id="rId8613" Type="http://schemas.openxmlformats.org/officeDocument/2006/relationships/hyperlink" Target="https://twitter.com/CamperDiemSBD/status/723398540957876224" TargetMode="External"/><Relationship Id="rId11941" Type="http://schemas.openxmlformats.org/officeDocument/2006/relationships/hyperlink" Target="https://pbs.twimg.com/profile_images/719544280218542080/UFuvXgPa_normal.jpg" TargetMode="External"/><Relationship Id="rId18207" Type="http://schemas.openxmlformats.org/officeDocument/2006/relationships/hyperlink" Target="https://pbs.twimg.com/profile_images/672878354127839232/M7OYc-zx_normal.jpg" TargetMode="External"/><Relationship Id="rId25423" Type="http://schemas.openxmlformats.org/officeDocument/2006/relationships/hyperlink" Target="https://twitter.com/vickymotorserv1" TargetMode="External"/><Relationship Id="rId6164" Type="http://schemas.openxmlformats.org/officeDocument/2006/relationships/hyperlink" Target="https://twitter.com/VWCamperSales" TargetMode="External"/><Relationship Id="rId2774" Type="http://schemas.openxmlformats.org/officeDocument/2006/relationships/hyperlink" Target="https://twitter.com/MediaPost" TargetMode="External"/><Relationship Id="rId9387" Type="http://schemas.openxmlformats.org/officeDocument/2006/relationships/hyperlink" Target="https://pbs.twimg.com/profile_images/704001047216447488/5a1ozl-l_normal.jpg" TargetMode="External"/><Relationship Id="rId14817" Type="http://schemas.openxmlformats.org/officeDocument/2006/relationships/hyperlink" Target="https://twitter.com/bflwerner/status/723584160984641536" TargetMode="External"/><Relationship Id="rId746" Type="http://schemas.openxmlformats.org/officeDocument/2006/relationships/hyperlink" Target="https://twitter.com/Scirocco_Tuning" TargetMode="External"/><Relationship Id="rId2427" Type="http://schemas.openxmlformats.org/officeDocument/2006/relationships/hyperlink" Target="https://twitter.com/cikuwa1" TargetMode="External"/><Relationship Id="rId12368" Type="http://schemas.openxmlformats.org/officeDocument/2006/relationships/hyperlink" Target="https://twitter.com/agy_nes" TargetMode="External"/><Relationship Id="rId5997" Type="http://schemas.openxmlformats.org/officeDocument/2006/relationships/hyperlink" Target="https://twitter.com/GetPatina" TargetMode="External"/><Relationship Id="rId13900" Type="http://schemas.openxmlformats.org/officeDocument/2006/relationships/hyperlink" Target="https://twitter.com/beetlebug1938/status/723558330178912258" TargetMode="External"/><Relationship Id="rId24909" Type="http://schemas.openxmlformats.org/officeDocument/2006/relationships/hyperlink" Target="https://twitter.com/Scirocco_Tuning" TargetMode="External"/><Relationship Id="rId8470" Type="http://schemas.openxmlformats.org/officeDocument/2006/relationships/hyperlink" Target="https://pbs.twimg.com/profile_images/698762778341826560/ZAxIAijd_normal.png" TargetMode="External"/><Relationship Id="rId11451" Type="http://schemas.openxmlformats.org/officeDocument/2006/relationships/hyperlink" Target="https://pbs.twimg.com/profile_images/711627159694151680/htVYxq5L_normal.jpg" TargetMode="External"/><Relationship Id="rId18064" Type="http://schemas.openxmlformats.org/officeDocument/2006/relationships/hyperlink" Target="https://pbs.twimg.com/profile_images/504930723967418369/-5Q-e2N6_normal.png" TargetMode="External"/><Relationship Id="rId25280" Type="http://schemas.openxmlformats.org/officeDocument/2006/relationships/hyperlink" Target="https://twitter.com/vwpress_en/status/724429434082725888" TargetMode="External"/><Relationship Id="rId1510" Type="http://schemas.openxmlformats.org/officeDocument/2006/relationships/hyperlink" Target="https://twitter.com/kipangacap/status/723044062274674688" TargetMode="External"/><Relationship Id="rId8123" Type="http://schemas.openxmlformats.org/officeDocument/2006/relationships/hyperlink" Target="http://dlvr.it/" TargetMode="External"/><Relationship Id="rId11104" Type="http://schemas.openxmlformats.org/officeDocument/2006/relationships/hyperlink" Target="https://pbs.twimg.com/profile_images/574906201290334209/eDNLUdPe_normal.png" TargetMode="External"/><Relationship Id="rId14674" Type="http://schemas.openxmlformats.org/officeDocument/2006/relationships/hyperlink" Target="https://twitter.com/Mphilpot1/status/723579720005120001" TargetMode="External"/><Relationship Id="rId21890" Type="http://schemas.openxmlformats.org/officeDocument/2006/relationships/hyperlink" Target="https://twitter.com/TetsuoHojo/status/724187224439328768" TargetMode="External"/><Relationship Id="rId4733" Type="http://schemas.openxmlformats.org/officeDocument/2006/relationships/hyperlink" Target="https://pbs.twimg.com/profile_images/1781026776/z_01bab8f9_normal.jpg" TargetMode="External"/><Relationship Id="rId14327" Type="http://schemas.openxmlformats.org/officeDocument/2006/relationships/hyperlink" Target="https://twitter.com/AUTOCONSULTANT2" TargetMode="External"/><Relationship Id="rId21543" Type="http://schemas.openxmlformats.org/officeDocument/2006/relationships/hyperlink" Target="https://pbs.twimg.com/profile_images/681130445828915200/WUtV_5WK_normal.jpg" TargetMode="External"/><Relationship Id="rId2284" Type="http://schemas.openxmlformats.org/officeDocument/2006/relationships/hyperlink" Target="https://twitter.com/jkpender/status/723093280905416705" TargetMode="External"/><Relationship Id="rId17897" Type="http://schemas.openxmlformats.org/officeDocument/2006/relationships/hyperlink" Target="https://twitter.com/VWCamperSales/status/723831813358018560" TargetMode="External"/><Relationship Id="rId256" Type="http://schemas.openxmlformats.org/officeDocument/2006/relationships/hyperlink" Target="https://twitter.com/DubLuvTuning" TargetMode="External"/><Relationship Id="rId7956" Type="http://schemas.openxmlformats.org/officeDocument/2006/relationships/hyperlink" Target="https://twitter.com/VWBeetleSales" TargetMode="External"/><Relationship Id="rId10937" Type="http://schemas.openxmlformats.org/officeDocument/2006/relationships/hyperlink" Target="https://pbs.twimg.com/profile_images/702511217793863680/lty8h9vE_normal.jpg" TargetMode="External"/><Relationship Id="rId24766" Type="http://schemas.openxmlformats.org/officeDocument/2006/relationships/hyperlink" Target="https://twitter.com/AutosMarktDE/status/724386889340444672" TargetMode="External"/><Relationship Id="rId7609" Type="http://schemas.openxmlformats.org/officeDocument/2006/relationships/hyperlink" Target="https://pbs.twimg.com/profile_images/540334693695365122/eJf6aMtR_normal.jpeg" TargetMode="External"/><Relationship Id="rId13410" Type="http://schemas.openxmlformats.org/officeDocument/2006/relationships/hyperlink" Target="https://twitter.com/illycaro" TargetMode="External"/><Relationship Id="rId16980" Type="http://schemas.openxmlformats.org/officeDocument/2006/relationships/hyperlink" Target="https://pbs.twimg.com/profile_images/665098638327173121/1qwb7YxR_normal.jpg" TargetMode="External"/><Relationship Id="rId24419" Type="http://schemas.openxmlformats.org/officeDocument/2006/relationships/hyperlink" Target="https://twitter.com/VWCamperSales" TargetMode="External"/><Relationship Id="rId16633" Type="http://schemas.openxmlformats.org/officeDocument/2006/relationships/hyperlink" Target="https://pbs.twimg.com/profile_images/1610421423/Image2_normal.jpg" TargetMode="External"/><Relationship Id="rId1020" Type="http://schemas.openxmlformats.org/officeDocument/2006/relationships/hyperlink" Target="https://twitter.com/stefanrothe" TargetMode="External"/><Relationship Id="rId4590" Type="http://schemas.openxmlformats.org/officeDocument/2006/relationships/hyperlink" Target="https://pbs.twimg.com/profile_images/703294545195307008/qeCvrX86_normal.jpg" TargetMode="External"/><Relationship Id="rId14184" Type="http://schemas.openxmlformats.org/officeDocument/2006/relationships/hyperlink" Target="https://pbs.twimg.com/profile_images/594567172908830720/PMQghqWb_normal.jpg" TargetMode="External"/><Relationship Id="rId19856" Type="http://schemas.openxmlformats.org/officeDocument/2006/relationships/hyperlink" Target="https://pbs.twimg.com/profile_images/670833711500382208/ZJIS351m_normal.jpg" TargetMode="External"/><Relationship Id="rId23502" Type="http://schemas.openxmlformats.org/officeDocument/2006/relationships/hyperlink" Target="https://twitter.com/DubLuvTuning/status/724293965009305601" TargetMode="External"/><Relationship Id="rId4243" Type="http://schemas.openxmlformats.org/officeDocument/2006/relationships/hyperlink" Target="https://pbs.twimg.com/profile_images/649644968877924356/wEYJCMH1_normal.jpg" TargetMode="External"/><Relationship Id="rId9915" Type="http://schemas.openxmlformats.org/officeDocument/2006/relationships/hyperlink" Target="https://twitter.com/LinDePaTo" TargetMode="External"/><Relationship Id="rId19509" Type="http://schemas.openxmlformats.org/officeDocument/2006/relationships/hyperlink" Target="https://pbs.twimg.com/profile_images/716020780899807232/fnaRfVpE_normal.jpg" TargetMode="External"/><Relationship Id="rId21053" Type="http://schemas.openxmlformats.org/officeDocument/2006/relationships/hyperlink" Target="https://twitter.com/KritsadakornKa2/status/724089442672214016" TargetMode="External"/><Relationship Id="rId7466" Type="http://schemas.openxmlformats.org/officeDocument/2006/relationships/hyperlink" Target="https://twitter.com/AngelMo96" TargetMode="External"/><Relationship Id="rId10794" Type="http://schemas.openxmlformats.org/officeDocument/2006/relationships/hyperlink" Target="https://twitter.com/gerhard_heilig/status/723485204942344193" TargetMode="External"/><Relationship Id="rId24276" Type="http://schemas.openxmlformats.org/officeDocument/2006/relationships/hyperlink" Target="https://twitter.com/VWBeetleSales/status/724343178820640768" TargetMode="External"/><Relationship Id="rId7119" Type="http://schemas.openxmlformats.org/officeDocument/2006/relationships/hyperlink" Target="https://twitter.com/simarg31" TargetMode="External"/><Relationship Id="rId10447" Type="http://schemas.openxmlformats.org/officeDocument/2006/relationships/hyperlink" Target="https://twitter.com/Ernst1953Do" TargetMode="External"/><Relationship Id="rId16490" Type="http://schemas.openxmlformats.org/officeDocument/2006/relationships/hyperlink" Target="https://pbs.twimg.com/profile_images/3017660054/ee83c52d1d7888aafd6408ffbd16dbd1_normal.jpeg" TargetMode="External"/><Relationship Id="rId20886" Type="http://schemas.openxmlformats.org/officeDocument/2006/relationships/hyperlink" Target="https://pbs.twimg.com/profile_images/607335982313160704/-Sgnz7nn_normal.jpg" TargetMode="External"/><Relationship Id="rId3729" Type="http://schemas.openxmlformats.org/officeDocument/2006/relationships/hyperlink" Target="https://twitter.com/AutoExpress/status/723168446339407872" TargetMode="External"/><Relationship Id="rId16143" Type="http://schemas.openxmlformats.org/officeDocument/2006/relationships/hyperlink" Target="https://twitter.com/ThiagoLopez00" TargetMode="External"/><Relationship Id="rId20539" Type="http://schemas.openxmlformats.org/officeDocument/2006/relationships/hyperlink" Target="https://pbs.twimg.com/profile_images/417320786819424256/Gkn4-V24_normal.jpeg" TargetMode="External"/><Relationship Id="rId6202" Type="http://schemas.openxmlformats.org/officeDocument/2006/relationships/hyperlink" Target="https://twitter.com/soenke_iwersen" TargetMode="External"/><Relationship Id="rId9772" Type="http://schemas.openxmlformats.org/officeDocument/2006/relationships/hyperlink" Target="https://pbs.twimg.com/profile_images/688412401667035136/gvoxnxoc_normal.jpg" TargetMode="External"/><Relationship Id="rId12753" Type="http://schemas.openxmlformats.org/officeDocument/2006/relationships/hyperlink" Target="https://pbs.twimg.com/profile_images/703294545195307008/qeCvrX86_normal.jpg" TargetMode="External"/><Relationship Id="rId19366" Type="http://schemas.openxmlformats.org/officeDocument/2006/relationships/hyperlink" Target="https://abs.twimg.com/sticky/default_profile_images/default_profile_1_normal.png" TargetMode="External"/><Relationship Id="rId23012" Type="http://schemas.openxmlformats.org/officeDocument/2006/relationships/hyperlink" Target="https://twitter.com/masayukiokita" TargetMode="External"/><Relationship Id="rId2812" Type="http://schemas.openxmlformats.org/officeDocument/2006/relationships/hyperlink" Target="https://twitter.com/ConsumerSOS/status/723120339006459904" TargetMode="External"/><Relationship Id="rId9425" Type="http://schemas.openxmlformats.org/officeDocument/2006/relationships/hyperlink" Target="https://twitter.com/KillianMurphy2" TargetMode="External"/><Relationship Id="rId12406" Type="http://schemas.openxmlformats.org/officeDocument/2006/relationships/hyperlink" Target="https://twitter.com/Desert_Eagle_HG" TargetMode="External"/><Relationship Id="rId19019" Type="http://schemas.openxmlformats.org/officeDocument/2006/relationships/hyperlink" Target="https://twitter.com/groovytrip/status/723913595738832896" TargetMode="External"/><Relationship Id="rId15976" Type="http://schemas.openxmlformats.org/officeDocument/2006/relationships/hyperlink" Target="https://twitter.com/IvanGoon" TargetMode="External"/><Relationship Id="rId3586" Type="http://schemas.openxmlformats.org/officeDocument/2006/relationships/hyperlink" Target="https://twitter.com/VolkswagenPost/status/723165109284020225" TargetMode="External"/><Relationship Id="rId15629" Type="http://schemas.openxmlformats.org/officeDocument/2006/relationships/hyperlink" Target="https://twitter.com/RTLRally/status/723617987190771712" TargetMode="External"/><Relationship Id="rId20396" Type="http://schemas.openxmlformats.org/officeDocument/2006/relationships/hyperlink" Target="https://twitter.com/autogefuehl/status/723995435757625344" TargetMode="External"/><Relationship Id="rId22845" Type="http://schemas.openxmlformats.org/officeDocument/2006/relationships/hyperlink" Target="https://pbs.twimg.com/profile_images/1745657213/twitter_profilev3png_normal.jpg" TargetMode="External"/><Relationship Id="rId3239" Type="http://schemas.openxmlformats.org/officeDocument/2006/relationships/hyperlink" Target="https://twitter.com/Clari_2011R" TargetMode="External"/><Relationship Id="rId18102" Type="http://schemas.openxmlformats.org/officeDocument/2006/relationships/hyperlink" Target="http://exvtra.co.uk/" TargetMode="External"/><Relationship Id="rId20049" Type="http://schemas.openxmlformats.org/officeDocument/2006/relationships/hyperlink" Target="https://pbs.twimg.com/profile_images/722584639395729409/6xOQLAoP_normal.jpg" TargetMode="External"/><Relationship Id="rId9282" Type="http://schemas.openxmlformats.org/officeDocument/2006/relationships/hyperlink" Target="https://twitter.com/jerryhibbert" TargetMode="External"/><Relationship Id="rId14712" Type="http://schemas.openxmlformats.org/officeDocument/2006/relationships/hyperlink" Target="https://twitter.com/VWBeetleSales" TargetMode="External"/><Relationship Id="rId12263" Type="http://schemas.openxmlformats.org/officeDocument/2006/relationships/hyperlink" Target="https://twitter.com/WowbaggerXX7/status/723516371125067776" TargetMode="External"/><Relationship Id="rId17935" Type="http://schemas.openxmlformats.org/officeDocument/2006/relationships/hyperlink" Target="https://twitter.com/Banane0711/status/723835943803867136" TargetMode="External"/><Relationship Id="rId641" Type="http://schemas.openxmlformats.org/officeDocument/2006/relationships/hyperlink" Target="https://pbs.twimg.com/profile_images/539569923677515776/IcX_j1kg_normal.jpeg" TargetMode="External"/><Relationship Id="rId2322" Type="http://schemas.openxmlformats.org/officeDocument/2006/relationships/hyperlink" Target="https://twitter.com/weare_van" TargetMode="External"/><Relationship Id="rId5892" Type="http://schemas.openxmlformats.org/officeDocument/2006/relationships/hyperlink" Target="https://twitter.com/julioDeLange/status/723222365904244736" TargetMode="External"/><Relationship Id="rId15486" Type="http://schemas.openxmlformats.org/officeDocument/2006/relationships/hyperlink" Target="https://twitter.com/Pele2266" TargetMode="External"/><Relationship Id="rId24804" Type="http://schemas.openxmlformats.org/officeDocument/2006/relationships/hyperlink" Target="https://pbs.twimg.com/profile_images/539553710125645824/uivme1dn_normal.jpeg" TargetMode="External"/><Relationship Id="rId5545" Type="http://schemas.openxmlformats.org/officeDocument/2006/relationships/hyperlink" Target="https://twitter.com/earlybird445" TargetMode="External"/><Relationship Id="rId15139" Type="http://schemas.openxmlformats.org/officeDocument/2006/relationships/hyperlink" Target="https://pbs.twimg.com/profile_images/1636550085/me_normal.jpg" TargetMode="External"/><Relationship Id="rId22355" Type="http://schemas.openxmlformats.org/officeDocument/2006/relationships/hyperlink" Target="https://twitter.com/kis_sanya" TargetMode="External"/><Relationship Id="rId3096" Type="http://schemas.openxmlformats.org/officeDocument/2006/relationships/hyperlink" Target="https://pbs.twimg.com/profile_images/515116111235272704/3SRLYum5_normal.jpeg" TargetMode="External"/><Relationship Id="rId8768" Type="http://schemas.openxmlformats.org/officeDocument/2006/relationships/hyperlink" Target="https://twitter.com/rschu" TargetMode="External"/><Relationship Id="rId22008" Type="http://schemas.openxmlformats.org/officeDocument/2006/relationships/hyperlink" Target="https://twitter.com/OnlyCarrera/status/724193906787799040" TargetMode="External"/><Relationship Id="rId25578" Type="http://schemas.openxmlformats.org/officeDocument/2006/relationships/hyperlink" Target="https://twitter.com/LuuliLuuli/status/724449424685056000" TargetMode="External"/><Relationship Id="rId11749" Type="http://schemas.openxmlformats.org/officeDocument/2006/relationships/hyperlink" Target="https://pbs.twimg.com/profile_images/715864177643024384/UA4KJQai_normal.jpg" TargetMode="External"/><Relationship Id="rId1808" Type="http://schemas.openxmlformats.org/officeDocument/2006/relationships/hyperlink" Target="https://twitter.com/Kurtzer90/status/723059628842602496" TargetMode="External"/><Relationship Id="rId14222" Type="http://schemas.openxmlformats.org/officeDocument/2006/relationships/hyperlink" Target="https://twitter.com/CarenLay" TargetMode="External"/><Relationship Id="rId17792" Type="http://schemas.openxmlformats.org/officeDocument/2006/relationships/hyperlink" Target="https://twitter.com/tazo157" TargetMode="External"/><Relationship Id="rId151" Type="http://schemas.openxmlformats.org/officeDocument/2006/relationships/hyperlink" Target="https://twitter.com/hashtagvanlife/status/722930771212791808" TargetMode="External"/><Relationship Id="rId7851" Type="http://schemas.openxmlformats.org/officeDocument/2006/relationships/hyperlink" Target="https://pbs.twimg.com/profile_images/630477470240604160/cWOnCrEZ_normal.jpg" TargetMode="External"/><Relationship Id="rId10832" Type="http://schemas.openxmlformats.org/officeDocument/2006/relationships/hyperlink" Target="https://twitter.com/flottenkenner" TargetMode="External"/><Relationship Id="rId17445" Type="http://schemas.openxmlformats.org/officeDocument/2006/relationships/hyperlink" Target="https://pbs.twimg.com/profile_images/705215112735498240/4Aeq0YtR_normal.jpg" TargetMode="External"/><Relationship Id="rId24661" Type="http://schemas.openxmlformats.org/officeDocument/2006/relationships/hyperlink" Target="https://twitter.com/beetlebug1938" TargetMode="External"/><Relationship Id="rId7504" Type="http://schemas.openxmlformats.org/officeDocument/2006/relationships/hyperlink" Target="https://twitter.com/Gillian825/status/723307044313423872" TargetMode="External"/><Relationship Id="rId24314" Type="http://schemas.openxmlformats.org/officeDocument/2006/relationships/hyperlink" Target="https://pbs.twimg.com/profile_images/627949001179037696/skEBkS05_normal.jpg" TargetMode="External"/><Relationship Id="rId5055" Type="http://schemas.openxmlformats.org/officeDocument/2006/relationships/hyperlink" Target="https://twitter.com/EPTSchubertAnd" TargetMode="External"/><Relationship Id="rId1665" Type="http://schemas.openxmlformats.org/officeDocument/2006/relationships/hyperlink" Target="https://twitter.com/SK_Handels_GmbH/status/723052301544525824" TargetMode="External"/><Relationship Id="rId8278" Type="http://schemas.openxmlformats.org/officeDocument/2006/relationships/hyperlink" Target="https://twitter.com/asyl_news/status/723380845172551681" TargetMode="External"/><Relationship Id="rId11259" Type="http://schemas.openxmlformats.org/officeDocument/2006/relationships/hyperlink" Target="https://twitter.com/ZDFheute/status/723500033354661889" TargetMode="External"/><Relationship Id="rId13708" Type="http://schemas.openxmlformats.org/officeDocument/2006/relationships/hyperlink" Target="https://twitter.com/__Mllz" TargetMode="External"/><Relationship Id="rId20924" Type="http://schemas.openxmlformats.org/officeDocument/2006/relationships/hyperlink" Target="https://twitter.com/_EnanoOK" TargetMode="External"/><Relationship Id="rId25088" Type="http://schemas.openxmlformats.org/officeDocument/2006/relationships/hyperlink" Target="https://twitter.com/WRaamos" TargetMode="External"/><Relationship Id="rId1318" Type="http://schemas.openxmlformats.org/officeDocument/2006/relationships/hyperlink" Target="https://pbs.twimg.com/profile_images/720167656918265856/pDmDLCWP_normal.jpg" TargetMode="External"/><Relationship Id="rId19751" Type="http://schemas.openxmlformats.org/officeDocument/2006/relationships/hyperlink" Target="https://pbs.twimg.com/profile_images/488678354338324481/_qtBruR6_normal.jpeg" TargetMode="External"/><Relationship Id="rId4888" Type="http://schemas.openxmlformats.org/officeDocument/2006/relationships/hyperlink" Target="https://twitter.com/Ziyaggy/status/723189550386958336" TargetMode="External"/><Relationship Id="rId7361" Type="http://schemas.openxmlformats.org/officeDocument/2006/relationships/hyperlink" Target="https://twitter.com/VWBeetleSales/status/723298038555398144" TargetMode="External"/><Relationship Id="rId9810" Type="http://schemas.openxmlformats.org/officeDocument/2006/relationships/hyperlink" Target="https://twitter.com/matthewhowe69" TargetMode="External"/><Relationship Id="rId19404" Type="http://schemas.openxmlformats.org/officeDocument/2006/relationships/hyperlink" Target="https://pbs.twimg.com/profile_images/705780107844067328/e7O4UBNb_normal.jpg" TargetMode="External"/><Relationship Id="rId21698" Type="http://schemas.openxmlformats.org/officeDocument/2006/relationships/hyperlink" Target="https://twitter.com/VWCamperSales/status/724170288607285248" TargetMode="External"/><Relationship Id="rId24" Type="http://schemas.openxmlformats.org/officeDocument/2006/relationships/hyperlink" Target="https://pbs.twimg.com/profile_images/1610421423/Image2_normal.jpg" TargetMode="External"/><Relationship Id="rId7014" Type="http://schemas.openxmlformats.org/officeDocument/2006/relationships/hyperlink" Target="https://pbs.twimg.com/profile_images/496706193172078592/-0vTdbYE_normal.jpeg" TargetMode="External"/><Relationship Id="rId10342" Type="http://schemas.openxmlformats.org/officeDocument/2006/relationships/hyperlink" Target="https://twitter.com/ivan_poskok/status/723469954272604160" TargetMode="External"/><Relationship Id="rId24171" Type="http://schemas.openxmlformats.org/officeDocument/2006/relationships/hyperlink" Target="https://twitter.com/beetlebug1938/status/724336505720836096" TargetMode="External"/><Relationship Id="rId3971" Type="http://schemas.openxmlformats.org/officeDocument/2006/relationships/hyperlink" Target="https://pbs.twimg.com/profile_images/661277053791137792/nznU4QQi_normal.jpg" TargetMode="External"/><Relationship Id="rId13565" Type="http://schemas.openxmlformats.org/officeDocument/2006/relationships/hyperlink" Target="https://pbs.twimg.com/profile_images/720976736691875841/5ITqpDn6_normal.jpg" TargetMode="External"/><Relationship Id="rId20781" Type="http://schemas.openxmlformats.org/officeDocument/2006/relationships/hyperlink" Target="https://twitter.com/ebaycampervans" TargetMode="External"/><Relationship Id="rId3624" Type="http://schemas.openxmlformats.org/officeDocument/2006/relationships/hyperlink" Target="https://twitter.com/beetlebug1938/status/723166076285100032" TargetMode="External"/><Relationship Id="rId13218" Type="http://schemas.openxmlformats.org/officeDocument/2006/relationships/hyperlink" Target="https://twitter.com/zupalive" TargetMode="External"/><Relationship Id="rId16788" Type="http://schemas.openxmlformats.org/officeDocument/2006/relationships/hyperlink" Target="https://twitter.com/RadialTVcom" TargetMode="External"/><Relationship Id="rId20434" Type="http://schemas.openxmlformats.org/officeDocument/2006/relationships/hyperlink" Target="https://twitter.com/khilogram" TargetMode="External"/><Relationship Id="rId1175" Type="http://schemas.openxmlformats.org/officeDocument/2006/relationships/hyperlink" Target="https://twitter.com/KleinerNilsson/status/723024276689936384" TargetMode="External"/><Relationship Id="rId6847" Type="http://schemas.openxmlformats.org/officeDocument/2006/relationships/hyperlink" Target="https://pbs.twimg.com/profile_images/636940214414516225/ITiB90pM_normal.jpg" TargetMode="External"/><Relationship Id="rId19261" Type="http://schemas.openxmlformats.org/officeDocument/2006/relationships/hyperlink" Target="https://twitter.com/TheC0ntentQ/status/723925021849194497" TargetMode="External"/><Relationship Id="rId23657" Type="http://schemas.openxmlformats.org/officeDocument/2006/relationships/hyperlink" Target="https://twitter.com/stevenyouidiot" TargetMode="External"/><Relationship Id="rId4398" Type="http://schemas.openxmlformats.org/officeDocument/2006/relationships/hyperlink" Target="https://pbs.twimg.com/profile_images/1815194206/twitter-icon-mdr-180_normal.png" TargetMode="External"/><Relationship Id="rId9320" Type="http://schemas.openxmlformats.org/officeDocument/2006/relationships/hyperlink" Target="https://pbs.twimg.com/profile_images/702511217793863680/lty8h9vE_normal.jpg" TargetMode="External"/><Relationship Id="rId12301" Type="http://schemas.openxmlformats.org/officeDocument/2006/relationships/hyperlink" Target="https://twitter.com/Patrick_Voss_" TargetMode="External"/><Relationship Id="rId15871" Type="http://schemas.openxmlformats.org/officeDocument/2006/relationships/hyperlink" Target="https://twitter.com/ElNNegroo" TargetMode="External"/><Relationship Id="rId5930" Type="http://schemas.openxmlformats.org/officeDocument/2006/relationships/hyperlink" Target="https://twitter.com/sebastianklink/status/723224438444032001" TargetMode="External"/><Relationship Id="rId15524" Type="http://schemas.openxmlformats.org/officeDocument/2006/relationships/hyperlink" Target="https://pbs.twimg.com/profile_images/595593595459137536/bMPN9gqV_normal.jpg" TargetMode="External"/><Relationship Id="rId22740" Type="http://schemas.openxmlformats.org/officeDocument/2006/relationships/hyperlink" Target="https://pbs.twimg.com/profile_images/716020780899807232/fnaRfVpE_normal.jpg" TargetMode="External"/><Relationship Id="rId3481" Type="http://schemas.openxmlformats.org/officeDocument/2006/relationships/hyperlink" Target="https://twitter.com/luiis_mendoozaa/status/723160296320196611" TargetMode="External"/><Relationship Id="rId13075" Type="http://schemas.openxmlformats.org/officeDocument/2006/relationships/hyperlink" Target="https://pbs.twimg.com/profile_images/378800000057531753/89afe9c8c642c4e21a93bf71fa621667_normal.jpeg" TargetMode="External"/><Relationship Id="rId18747" Type="http://schemas.openxmlformats.org/officeDocument/2006/relationships/hyperlink" Target="https://pbs.twimg.com/profile_images/448225399399411712/3vBzIwmK_normal.jpeg" TargetMode="External"/><Relationship Id="rId20291" Type="http://schemas.openxmlformats.org/officeDocument/2006/relationships/hyperlink" Target="https://twitter.com/resumendelmedio" TargetMode="External"/><Relationship Id="rId3134" Type="http://schemas.openxmlformats.org/officeDocument/2006/relationships/hyperlink" Target="https://pbs.twimg.com/profile_images/694562460947353600/LXwVOUmX_normal.jpg" TargetMode="External"/><Relationship Id="rId8806" Type="http://schemas.openxmlformats.org/officeDocument/2006/relationships/hyperlink" Target="https://pbs.twimg.com/profile_images/522469771573350400/e5WjUwRr_normal.png" TargetMode="External"/><Relationship Id="rId16298" Type="http://schemas.openxmlformats.org/officeDocument/2006/relationships/hyperlink" Target="https://twitter.com/vwscully/status/723665565152321536" TargetMode="External"/><Relationship Id="rId25616" Type="http://schemas.openxmlformats.org/officeDocument/2006/relationships/hyperlink" Target="https://twitter.com/VWCamperSales" TargetMode="External"/><Relationship Id="rId6357" Type="http://schemas.openxmlformats.org/officeDocument/2006/relationships/hyperlink" Target="https://pbs.twimg.com/profile_images/653964889468243968/EqURjf02_normal.png" TargetMode="External"/><Relationship Id="rId23167" Type="http://schemas.openxmlformats.org/officeDocument/2006/relationships/hyperlink" Target="https://twitter.com/DonBag101" TargetMode="External"/><Relationship Id="rId17830" Type="http://schemas.openxmlformats.org/officeDocument/2006/relationships/hyperlink" Target="http://www.infooffensive.de/" TargetMode="External"/><Relationship Id="rId2967" Type="http://schemas.openxmlformats.org/officeDocument/2006/relationships/hyperlink" Target="https://twitter.com/Jothipala_Bot" TargetMode="External"/><Relationship Id="rId5440" Type="http://schemas.openxmlformats.org/officeDocument/2006/relationships/hyperlink" Target="https://twitter.com/dw_business" TargetMode="External"/><Relationship Id="rId15381" Type="http://schemas.openxmlformats.org/officeDocument/2006/relationships/hyperlink" Target="https://twitter.com/VWBeetleSales" TargetMode="External"/><Relationship Id="rId939" Type="http://schemas.openxmlformats.org/officeDocument/2006/relationships/hyperlink" Target="https://twitter.com/SallyBundockBBC/status/723004819238051840" TargetMode="External"/><Relationship Id="rId11991" Type="http://schemas.openxmlformats.org/officeDocument/2006/relationships/hyperlink" Target="https://pbs.twimg.com/profile_images/543163066599219200/dUy-AYOX_normal.jpeg" TargetMode="External"/><Relationship Id="rId15034" Type="http://schemas.openxmlformats.org/officeDocument/2006/relationships/hyperlink" Target="https://pbs.twimg.com/profile_images/662123268590206976/GwYg7E7v_normal.jpg" TargetMode="External"/><Relationship Id="rId22250" Type="http://schemas.openxmlformats.org/officeDocument/2006/relationships/hyperlink" Target="https://twitter.com/naprisi" TargetMode="External"/><Relationship Id="rId8663" Type="http://schemas.openxmlformats.org/officeDocument/2006/relationships/hyperlink" Target="https://twitter.com/ufomedia" TargetMode="External"/><Relationship Id="rId11644" Type="http://schemas.openxmlformats.org/officeDocument/2006/relationships/hyperlink" Target="https://pbs.twimg.com/profile_images/683592930918019072/SnHKNKAI_normal.jpg" TargetMode="External"/><Relationship Id="rId18257" Type="http://schemas.openxmlformats.org/officeDocument/2006/relationships/hyperlink" Target="https://pbs.twimg.com/profile_images/627949001179037696/skEBkS05_normal.jpg" TargetMode="External"/><Relationship Id="rId25473" Type="http://schemas.openxmlformats.org/officeDocument/2006/relationships/hyperlink" Target="https://pbs.twimg.com/profile_images/378800000341166778/f53681e83985bbd49e5ff4ae1267bf66_normal.jpeg" TargetMode="External"/><Relationship Id="rId1703" Type="http://schemas.openxmlformats.org/officeDocument/2006/relationships/hyperlink" Target="https://pbs.twimg.com/profile_images/477438671151304705/8XlAQ509_normal.jpeg" TargetMode="External"/><Relationship Id="rId8316" Type="http://schemas.openxmlformats.org/officeDocument/2006/relationships/hyperlink" Target="https://twitter.com/CYDBLS" TargetMode="External"/><Relationship Id="rId25126" Type="http://schemas.openxmlformats.org/officeDocument/2006/relationships/hyperlink" Target="https://twitter.com/Automotive_News" TargetMode="External"/><Relationship Id="rId4926" Type="http://schemas.openxmlformats.org/officeDocument/2006/relationships/hyperlink" Target="https://twitter.com/dennlstesia/status/723190671356628992" TargetMode="External"/><Relationship Id="rId14867" Type="http://schemas.openxmlformats.org/officeDocument/2006/relationships/hyperlink" Target="https://pbs.twimg.com/profile_images/665669445206024192/UvfzXxE__normal.jpg" TargetMode="External"/><Relationship Id="rId17340" Type="http://schemas.openxmlformats.org/officeDocument/2006/relationships/hyperlink" Target="https://twitter.com/MarcusFreyer/status/723792308353810432" TargetMode="External"/><Relationship Id="rId21736" Type="http://schemas.openxmlformats.org/officeDocument/2006/relationships/hyperlink" Target="https://twitter.com/VWBeetleSales/status/724173830491656192" TargetMode="External"/><Relationship Id="rId796" Type="http://schemas.openxmlformats.org/officeDocument/2006/relationships/hyperlink" Target="https://twitter.com/MotoAuxilio/status/722984424699101184" TargetMode="External"/><Relationship Id="rId2477" Type="http://schemas.openxmlformats.org/officeDocument/2006/relationships/hyperlink" Target="https://twitter.com/Bristol_Eats/status/723102700204904448" TargetMode="External"/><Relationship Id="rId449" Type="http://schemas.openxmlformats.org/officeDocument/2006/relationships/hyperlink" Target="https://twitter.com/Scirocco_Tuning" TargetMode="External"/><Relationship Id="rId13950" Type="http://schemas.openxmlformats.org/officeDocument/2006/relationships/hyperlink" Target="https://twitter.com/AJBalkans" TargetMode="External"/><Relationship Id="rId24959" Type="http://schemas.openxmlformats.org/officeDocument/2006/relationships/hyperlink" Target="https://pbs.twimg.com/profile_images/667876096088653825/FOW14Ke4_normal.jpg" TargetMode="External"/><Relationship Id="rId8173" Type="http://schemas.openxmlformats.org/officeDocument/2006/relationships/hyperlink" Target="https://twitter.com/deutch_az/status/723373995744071680" TargetMode="External"/><Relationship Id="rId13603" Type="http://schemas.openxmlformats.org/officeDocument/2006/relationships/hyperlink" Target="https://twitter.com/techhippie/status/723551603136061440" TargetMode="External"/><Relationship Id="rId1560" Type="http://schemas.openxmlformats.org/officeDocument/2006/relationships/hyperlink" Target="https://twitter.com/boersianer_info/status/723046498137714688" TargetMode="External"/><Relationship Id="rId11154" Type="http://schemas.openxmlformats.org/officeDocument/2006/relationships/hyperlink" Target="http://franke-media.net/" TargetMode="External"/><Relationship Id="rId16826" Type="http://schemas.openxmlformats.org/officeDocument/2006/relationships/hyperlink" Target="https://pbs.twimg.com/profile_images/573395717953224705/aSHONgO9_normal.jpeg" TargetMode="External"/><Relationship Id="rId1213" Type="http://schemas.openxmlformats.org/officeDocument/2006/relationships/hyperlink" Target="https://pbs.twimg.com/profile_images/1249555569/apr_twitter_normal.jpg" TargetMode="External"/><Relationship Id="rId4783" Type="http://schemas.openxmlformats.org/officeDocument/2006/relationships/hyperlink" Target="https://twitter.com/ascrh2015" TargetMode="External"/><Relationship Id="rId14377" Type="http://schemas.openxmlformats.org/officeDocument/2006/relationships/hyperlink" Target="https://pbs.twimg.com/profile_images/558298291985608704/57n8APEK_normal.jpeg" TargetMode="External"/><Relationship Id="rId21593" Type="http://schemas.openxmlformats.org/officeDocument/2006/relationships/hyperlink" Target="https://twitter.com/BlackChapelYard/status/724162468356984832" TargetMode="External"/><Relationship Id="rId4436" Type="http://schemas.openxmlformats.org/officeDocument/2006/relationships/hyperlink" Target="https://twitter.com/johnny_cash" TargetMode="External"/><Relationship Id="rId21246" Type="http://schemas.openxmlformats.org/officeDocument/2006/relationships/hyperlink" Target="https://twitter.com/glenmavis/status/724131502548721665" TargetMode="External"/><Relationship Id="rId7659" Type="http://schemas.openxmlformats.org/officeDocument/2006/relationships/hyperlink" Target="https://twitter.com/HERNANSALDANAC" TargetMode="External"/><Relationship Id="rId10987" Type="http://schemas.openxmlformats.org/officeDocument/2006/relationships/hyperlink" Target="https://twitter.com/saintjallen" TargetMode="External"/><Relationship Id="rId24469" Type="http://schemas.openxmlformats.org/officeDocument/2006/relationships/hyperlink" Target="https://twitter.com/TetsuoHojo" TargetMode="External"/><Relationship Id="rId13460" Type="http://schemas.openxmlformats.org/officeDocument/2006/relationships/hyperlink" Target="https://twitter.com/OnlineCarReview/status/723548384775147524" TargetMode="External"/><Relationship Id="rId1070" Type="http://schemas.openxmlformats.org/officeDocument/2006/relationships/hyperlink" Target="https://pbs.twimg.com/profile_images/562563461171798017/AkHF4keI_normal.png" TargetMode="External"/><Relationship Id="rId13113" Type="http://schemas.openxmlformats.org/officeDocument/2006/relationships/hyperlink" Target="https://pbs.twimg.com/profile_images/635896416510935040/bxvGjxIP_normal.jpg" TargetMode="External"/><Relationship Id="rId16683" Type="http://schemas.openxmlformats.org/officeDocument/2006/relationships/hyperlink" Target="https://twitter.com/beetlebug1938/status/723710558617370625" TargetMode="External"/><Relationship Id="rId6742" Type="http://schemas.openxmlformats.org/officeDocument/2006/relationships/hyperlink" Target="https://twitter.com/ODORBABY" TargetMode="External"/><Relationship Id="rId16336" Type="http://schemas.openxmlformats.org/officeDocument/2006/relationships/hyperlink" Target="https://twitter.com/rplantt" TargetMode="External"/><Relationship Id="rId23552" Type="http://schemas.openxmlformats.org/officeDocument/2006/relationships/hyperlink" Target="https://twitter.com/VWBeetleSales" TargetMode="External"/><Relationship Id="rId4293" Type="http://schemas.openxmlformats.org/officeDocument/2006/relationships/hyperlink" Target="https://twitter.com/franka_kuehn" TargetMode="External"/><Relationship Id="rId9965" Type="http://schemas.openxmlformats.org/officeDocument/2006/relationships/hyperlink" Target="https://pbs.twimg.com/profile_images/664502890170613761/q2QMKfkm_normal.jpg" TargetMode="External"/><Relationship Id="rId19559" Type="http://schemas.openxmlformats.org/officeDocument/2006/relationships/hyperlink" Target="https://twitter.com/DomestcPlatypus" TargetMode="External"/><Relationship Id="rId23205" Type="http://schemas.openxmlformats.org/officeDocument/2006/relationships/hyperlink" Target="https://twitter.com/shoptigerseye" TargetMode="External"/><Relationship Id="rId9618" Type="http://schemas.openxmlformats.org/officeDocument/2006/relationships/hyperlink" Target="https://twitter.com/SpirosMargaris" TargetMode="External"/><Relationship Id="rId10497" Type="http://schemas.openxmlformats.org/officeDocument/2006/relationships/hyperlink" Target="https://twitter.com/VWCamperSales/status/723474717223440384" TargetMode="External"/><Relationship Id="rId12946" Type="http://schemas.openxmlformats.org/officeDocument/2006/relationships/hyperlink" Target="https://twitter.com/derfederkiel/status/723532119230820352" TargetMode="External"/><Relationship Id="rId7169" Type="http://schemas.openxmlformats.org/officeDocument/2006/relationships/hyperlink" Target="https://twitter.com/VWCamperSales" TargetMode="External"/><Relationship Id="rId3779" Type="http://schemas.openxmlformats.org/officeDocument/2006/relationships/hyperlink" Target="https://twitter.com/KURIERat" TargetMode="External"/><Relationship Id="rId16193" Type="http://schemas.openxmlformats.org/officeDocument/2006/relationships/hyperlink" Target="https://pbs.twimg.com/profile_images/609058126193565696/z5t68RjE_normal.jpg" TargetMode="External"/><Relationship Id="rId18642" Type="http://schemas.openxmlformats.org/officeDocument/2006/relationships/hyperlink" Target="https://twitter.com/RobsterRound" TargetMode="External"/><Relationship Id="rId6252" Type="http://schemas.openxmlformats.org/officeDocument/2006/relationships/hyperlink" Target="https://twitter.com/Automotive_News" TargetMode="External"/><Relationship Id="rId8701" Type="http://schemas.openxmlformats.org/officeDocument/2006/relationships/hyperlink" Target="https://twitter.com/CDespierres/status/723402576884957184" TargetMode="External"/><Relationship Id="rId20589" Type="http://schemas.openxmlformats.org/officeDocument/2006/relationships/hyperlink" Target="https://pbs.twimg.com/profile_images/3012106875/596e712c99a38ec69b925b7f7ab71986_normal.jpeg" TargetMode="External"/><Relationship Id="rId23062" Type="http://schemas.openxmlformats.org/officeDocument/2006/relationships/hyperlink" Target="https://twitter.com/VWBeetleSales" TargetMode="External"/><Relationship Id="rId25511" Type="http://schemas.openxmlformats.org/officeDocument/2006/relationships/hyperlink" Target="https://twitter.com/nomkhita12/status/724445084830314496" TargetMode="External"/><Relationship Id="rId14905" Type="http://schemas.openxmlformats.org/officeDocument/2006/relationships/hyperlink" Target="https://twitter.com/EmaZaracho/status/723586588656164864" TargetMode="External"/><Relationship Id="rId2862" Type="http://schemas.openxmlformats.org/officeDocument/2006/relationships/hyperlink" Target="http://dlvr.it/" TargetMode="External"/><Relationship Id="rId9475" Type="http://schemas.openxmlformats.org/officeDocument/2006/relationships/hyperlink" Target="http://dlvr.it/" TargetMode="External"/><Relationship Id="rId12456" Type="http://schemas.openxmlformats.org/officeDocument/2006/relationships/hyperlink" Target="https://pbs.twimg.com/profile_images/1289359150/Xenon07.2_normal.jpg" TargetMode="External"/><Relationship Id="rId19069" Type="http://schemas.openxmlformats.org/officeDocument/2006/relationships/hyperlink" Target="https://twitter.com/VWCamperSales/status/723918287235506176" TargetMode="External"/><Relationship Id="rId834" Type="http://schemas.openxmlformats.org/officeDocument/2006/relationships/hyperlink" Target="https://twitter.com/VolkswagenPost" TargetMode="External"/><Relationship Id="rId2515" Type="http://schemas.openxmlformats.org/officeDocument/2006/relationships/hyperlink" Target="https://pbs.twimg.com/profile_images/707913515613429761/_gfquIcl_normal.jpg" TargetMode="External"/><Relationship Id="rId9128" Type="http://schemas.openxmlformats.org/officeDocument/2006/relationships/hyperlink" Target="https://twitter.com/UsatoAutoSystem" TargetMode="External"/><Relationship Id="rId12109" Type="http://schemas.openxmlformats.org/officeDocument/2006/relationships/hyperlink" Target="https://pbs.twimg.com/profile_images/606538524934807552/brKPBufq_normal.jpg" TargetMode="External"/><Relationship Id="rId15679" Type="http://schemas.openxmlformats.org/officeDocument/2006/relationships/hyperlink" Target="https://twitter.com/ddbEntertain/status/723620039799099392" TargetMode="External"/><Relationship Id="rId22895" Type="http://schemas.openxmlformats.org/officeDocument/2006/relationships/hyperlink" Target="https://twitter.com/dubbusses" TargetMode="External"/><Relationship Id="rId5738" Type="http://schemas.openxmlformats.org/officeDocument/2006/relationships/hyperlink" Target="https://twitter.com/Cati_Economia" TargetMode="External"/><Relationship Id="rId18152" Type="http://schemas.openxmlformats.org/officeDocument/2006/relationships/hyperlink" Target="https://pbs.twimg.com/profile_images/723564585509371905/ahjvupSE_normal.jpg" TargetMode="External"/><Relationship Id="rId22548" Type="http://schemas.openxmlformats.org/officeDocument/2006/relationships/hyperlink" Target="https://twitter.com/brlarl/status/724229189088468992" TargetMode="External"/><Relationship Id="rId3289" Type="http://schemas.openxmlformats.org/officeDocument/2006/relationships/hyperlink" Target="https://pbs.twimg.com/profile_images/1551461505/RJM_normal.jpg" TargetMode="External"/><Relationship Id="rId8211" Type="http://schemas.openxmlformats.org/officeDocument/2006/relationships/hyperlink" Target="https://twitter.com/teleherzog/status/723377809591164929" TargetMode="External"/><Relationship Id="rId20099" Type="http://schemas.openxmlformats.org/officeDocument/2006/relationships/hyperlink" Target="https://pbs.twimg.com/profile_images/476439198908825600/wfrkk5E1_normal.jpeg" TargetMode="External"/><Relationship Id="rId25021" Type="http://schemas.openxmlformats.org/officeDocument/2006/relationships/hyperlink" Target="https://twitter.com/BruceMirken" TargetMode="External"/><Relationship Id="rId14762" Type="http://schemas.openxmlformats.org/officeDocument/2006/relationships/hyperlink" Target="https://twitter.com/techhippie/status/723581619676827648" TargetMode="External"/><Relationship Id="rId4821" Type="http://schemas.openxmlformats.org/officeDocument/2006/relationships/hyperlink" Target="https://pbs.twimg.com/profile_images/587542294913556480/VN9ydDdE_normal.jpg" TargetMode="External"/><Relationship Id="rId14415" Type="http://schemas.openxmlformats.org/officeDocument/2006/relationships/hyperlink" Target="https://twitter.com/camiii_zalazar/status/723573584237568000" TargetMode="External"/><Relationship Id="rId17985" Type="http://schemas.openxmlformats.org/officeDocument/2006/relationships/hyperlink" Target="https://pbs.twimg.com/profile_images/378800000528765970/3ab9f2a00010e9cac08d5ca1638926e9_normal.png" TargetMode="External"/><Relationship Id="rId21631" Type="http://schemas.openxmlformats.org/officeDocument/2006/relationships/hyperlink" Target="https://pbs.twimg.com/profile_images/684716541322072065/eXpLts42_normal.jpg" TargetMode="External"/><Relationship Id="rId344" Type="http://schemas.openxmlformats.org/officeDocument/2006/relationships/hyperlink" Target="https://twitter.com/travelbykristi" TargetMode="External"/><Relationship Id="rId691" Type="http://schemas.openxmlformats.org/officeDocument/2006/relationships/hyperlink" Target="https://twitter.com/zvpdublQa/status/722968153932730368" TargetMode="External"/><Relationship Id="rId2025" Type="http://schemas.openxmlformats.org/officeDocument/2006/relationships/hyperlink" Target="https://twitter.com/melanievwbarons" TargetMode="External"/><Relationship Id="rId2372" Type="http://schemas.openxmlformats.org/officeDocument/2006/relationships/hyperlink" Target="https://twitter.com/Ch4r32/status/723097401603567616" TargetMode="External"/><Relationship Id="rId17638" Type="http://schemas.openxmlformats.org/officeDocument/2006/relationships/hyperlink" Target="https://twitter.com/PaddleBoardCity/status/723812306715590657" TargetMode="External"/><Relationship Id="rId24854" Type="http://schemas.openxmlformats.org/officeDocument/2006/relationships/hyperlink" Target="https://twitter.com/rajesh877" TargetMode="External"/><Relationship Id="rId5595" Type="http://schemas.openxmlformats.org/officeDocument/2006/relationships/hyperlink" Target="https://twitter.com/VWBeetleSales" TargetMode="External"/><Relationship Id="rId15189" Type="http://schemas.openxmlformats.org/officeDocument/2006/relationships/hyperlink" Target="https://twitter.com/KINGDONALDTRUM1" TargetMode="External"/><Relationship Id="rId24507" Type="http://schemas.openxmlformats.org/officeDocument/2006/relationships/hyperlink" Target="https://twitter.com/beetlebug1938" TargetMode="External"/><Relationship Id="rId5248" Type="http://schemas.openxmlformats.org/officeDocument/2006/relationships/hyperlink" Target="https://twitter.com/RyanLores/status/723198478931902464" TargetMode="External"/><Relationship Id="rId22058" Type="http://schemas.openxmlformats.org/officeDocument/2006/relationships/hyperlink" Target="https://twitter.com/NeilGreenMidWor/status/724198336077651972" TargetMode="External"/><Relationship Id="rId1858" Type="http://schemas.openxmlformats.org/officeDocument/2006/relationships/hyperlink" Target="https://twitter.com/autogazette/status/723063257712451584" TargetMode="External"/><Relationship Id="rId11799" Type="http://schemas.openxmlformats.org/officeDocument/2006/relationships/hyperlink" Target="https://twitter.com/Elisa1Beth2" TargetMode="External"/><Relationship Id="rId14272" Type="http://schemas.openxmlformats.org/officeDocument/2006/relationships/hyperlink" Target="https://twitter.com/aktionaer" TargetMode="External"/><Relationship Id="rId16721" Type="http://schemas.openxmlformats.org/officeDocument/2006/relationships/hyperlink" Target="https://pbs.twimg.com/profile_images/539292996856856577/qxhH9j0q_normal.png" TargetMode="External"/><Relationship Id="rId4331" Type="http://schemas.openxmlformats.org/officeDocument/2006/relationships/hyperlink" Target="https://twitter.com/hamdipinar" TargetMode="External"/><Relationship Id="rId19944" Type="http://schemas.openxmlformats.org/officeDocument/2006/relationships/hyperlink" Target="https://pbs.twimg.com/profile_images/672615786909929472/B_PlRu77_normal.jpg" TargetMode="External"/><Relationship Id="rId21141" Type="http://schemas.openxmlformats.org/officeDocument/2006/relationships/hyperlink" Target="https://twitter.com/paintdodgers/status/724109449888149504" TargetMode="External"/><Relationship Id="rId10882" Type="http://schemas.openxmlformats.org/officeDocument/2006/relationships/hyperlink" Target="https://twitter.com/LoCITYUK/status/723489137270095872" TargetMode="External"/><Relationship Id="rId17495" Type="http://schemas.openxmlformats.org/officeDocument/2006/relationships/hyperlink" Target="https://twitter.com/m_mediouni/status/723802822802833408" TargetMode="External"/><Relationship Id="rId7554" Type="http://schemas.openxmlformats.org/officeDocument/2006/relationships/hyperlink" Target="https://twitter.com/emilysinclair84" TargetMode="External"/><Relationship Id="rId10535" Type="http://schemas.openxmlformats.org/officeDocument/2006/relationships/hyperlink" Target="https://twitter.com/theartdeptstoke" TargetMode="External"/><Relationship Id="rId17148" Type="http://schemas.openxmlformats.org/officeDocument/2006/relationships/hyperlink" Target="https://pbs.twimg.com/profile_images/439706141728051201/GQgdrA5p_normal.jpeg" TargetMode="External"/><Relationship Id="rId24364" Type="http://schemas.openxmlformats.org/officeDocument/2006/relationships/hyperlink" Target="https://pbs.twimg.com/profile_images/708572497663361024/dsJB1dwv_normal.jpg" TargetMode="External"/><Relationship Id="rId7207" Type="http://schemas.openxmlformats.org/officeDocument/2006/relationships/hyperlink" Target="https://twitter.com/VAGFanArg" TargetMode="External"/><Relationship Id="rId13758" Type="http://schemas.openxmlformats.org/officeDocument/2006/relationships/hyperlink" Target="https://pbs.twimg.com/profile_images/668091779313500160/ZepxnJcI_normal.jpg" TargetMode="External"/><Relationship Id="rId20974" Type="http://schemas.openxmlformats.org/officeDocument/2006/relationships/hyperlink" Target="https://twitter.com/VolkswagenPost" TargetMode="External"/><Relationship Id="rId24017" Type="http://schemas.openxmlformats.org/officeDocument/2006/relationships/hyperlink" Target="https://twitter.com/Tumberito01/status/724327200879710209" TargetMode="External"/><Relationship Id="rId3817" Type="http://schemas.openxmlformats.org/officeDocument/2006/relationships/hyperlink" Target="https://pbs.twimg.com/profile_images/720354947305455616/R33mUz9j_normal.jpg" TargetMode="External"/><Relationship Id="rId16231" Type="http://schemas.openxmlformats.org/officeDocument/2006/relationships/hyperlink" Target="https://pbs.twimg.com/profile_images/720801824618520576/8Lrf2MJD_normal.jpg" TargetMode="External"/><Relationship Id="rId20627" Type="http://schemas.openxmlformats.org/officeDocument/2006/relationships/hyperlink" Target="https://twitter.com/VeeDubMk1_/status/724017093822287872" TargetMode="External"/><Relationship Id="rId1368" Type="http://schemas.openxmlformats.org/officeDocument/2006/relationships/hyperlink" Target="https://twitter.com/VolkswagenPost/status/723038137740460032" TargetMode="External"/><Relationship Id="rId9860" Type="http://schemas.openxmlformats.org/officeDocument/2006/relationships/hyperlink" Target="https://pbs.twimg.com/profile_images/574906201290334209/eDNLUdPe_normal.png" TargetMode="External"/><Relationship Id="rId23100" Type="http://schemas.openxmlformats.org/officeDocument/2006/relationships/hyperlink" Target="https://twitter.com/beetlebug1938/status/724269049803321344" TargetMode="External"/><Relationship Id="rId74" Type="http://schemas.openxmlformats.org/officeDocument/2006/relationships/hyperlink" Target="https://twitter.com/NeedTechs/status/722922822410997762" TargetMode="External"/><Relationship Id="rId9513" Type="http://schemas.openxmlformats.org/officeDocument/2006/relationships/hyperlink" Target="https://pbs.twimg.com/profile_images/718820712757215233/LXXndPTS_normal.jpg" TargetMode="External"/><Relationship Id="rId12841" Type="http://schemas.openxmlformats.org/officeDocument/2006/relationships/hyperlink" Target="https://pbs.twimg.com/profile_images/461785939711258624/FzsPRmqR_normal.jpeg" TargetMode="External"/><Relationship Id="rId19107" Type="http://schemas.openxmlformats.org/officeDocument/2006/relationships/hyperlink" Target="https://twitter.com/Tmmlnne" TargetMode="External"/><Relationship Id="rId19454" Type="http://schemas.openxmlformats.org/officeDocument/2006/relationships/hyperlink" Target="https://pbs.twimg.com/profile_images/639825675428478976/lYkKqb5E_normal.jpg" TargetMode="External"/><Relationship Id="rId2900" Type="http://schemas.openxmlformats.org/officeDocument/2006/relationships/hyperlink" Target="https://pbs.twimg.com/profile_images/598485163241267200/wFl-W3I2_normal.jpg" TargetMode="External"/><Relationship Id="rId7064" Type="http://schemas.openxmlformats.org/officeDocument/2006/relationships/hyperlink" Target="https://twitter.com/HonoluluVW" TargetMode="External"/><Relationship Id="rId10392" Type="http://schemas.openxmlformats.org/officeDocument/2006/relationships/hyperlink" Target="https://twitter.com/JTMD121" TargetMode="External"/><Relationship Id="rId10045" Type="http://schemas.openxmlformats.org/officeDocument/2006/relationships/hyperlink" Target="https://twitter.com/xcomp1" TargetMode="External"/><Relationship Id="rId15717" Type="http://schemas.openxmlformats.org/officeDocument/2006/relationships/hyperlink" Target="https://twitter.com/Mrwaterbiscuit" TargetMode="External"/><Relationship Id="rId22933" Type="http://schemas.openxmlformats.org/officeDocument/2006/relationships/hyperlink" Target="https://pbs.twimg.com/profile_images/650829645584203776/k6XBEc2l_normal.jpg" TargetMode="External"/><Relationship Id="rId3674" Type="http://schemas.openxmlformats.org/officeDocument/2006/relationships/hyperlink" Target="https://pbs.twimg.com/profile_images/565148280066035712/_9CeN1GE_normal.jpeg" TargetMode="External"/><Relationship Id="rId13268" Type="http://schemas.openxmlformats.org/officeDocument/2006/relationships/hyperlink" Target="https://twitter.com/kngeuro/status/723542051124445184" TargetMode="External"/><Relationship Id="rId20484" Type="http://schemas.openxmlformats.org/officeDocument/2006/relationships/hyperlink" Target="https://twitter.com/hallisky" TargetMode="External"/><Relationship Id="rId3327" Type="http://schemas.openxmlformats.org/officeDocument/2006/relationships/hyperlink" Target="https://pbs.twimg.com/profile_images/653637535545995264/gHuXQ5Bt_normal.jpg" TargetMode="External"/><Relationship Id="rId6897" Type="http://schemas.openxmlformats.org/officeDocument/2006/relationships/hyperlink" Target="https://twitter.com/Scirocco_Tuning" TargetMode="External"/><Relationship Id="rId20137" Type="http://schemas.openxmlformats.org/officeDocument/2006/relationships/hyperlink" Target="https://twitter.com/TheLovebusWedCo/status/723976586974924804" TargetMode="External"/><Relationship Id="rId9370" Type="http://schemas.openxmlformats.org/officeDocument/2006/relationships/hyperlink" Target="https://twitter.com/fireman653706" TargetMode="External"/><Relationship Id="rId12351" Type="http://schemas.openxmlformats.org/officeDocument/2006/relationships/hyperlink" Target="https://twitter.com/doern/status/723517915308429313" TargetMode="External"/><Relationship Id="rId14800" Type="http://schemas.openxmlformats.org/officeDocument/2006/relationships/hyperlink" Target="https://twitter.com/Gian__Lucas" TargetMode="External"/><Relationship Id="rId2410" Type="http://schemas.openxmlformats.org/officeDocument/2006/relationships/hyperlink" Target="https://pbs.twimg.com/profile_images/652871584131092480/QA_B6SBO_normal.jpg" TargetMode="External"/><Relationship Id="rId9023" Type="http://schemas.openxmlformats.org/officeDocument/2006/relationships/hyperlink" Target="https://twitter.com/MiManske" TargetMode="External"/><Relationship Id="rId12004" Type="http://schemas.openxmlformats.org/officeDocument/2006/relationships/hyperlink" Target="https://twitter.com/DestinyConnect" TargetMode="External"/><Relationship Id="rId5980" Type="http://schemas.openxmlformats.org/officeDocument/2006/relationships/hyperlink" Target="https://twitter.com/Onelifetogive/status/723225893255127040" TargetMode="External"/><Relationship Id="rId15574" Type="http://schemas.openxmlformats.org/officeDocument/2006/relationships/hyperlink" Target="https://twitter.com/rkeuper" TargetMode="External"/><Relationship Id="rId22790" Type="http://schemas.openxmlformats.org/officeDocument/2006/relationships/hyperlink" Target="https://twitter.com/Mosyo_" TargetMode="External"/><Relationship Id="rId3184" Type="http://schemas.openxmlformats.org/officeDocument/2006/relationships/hyperlink" Target="http://scoop.it/" TargetMode="External"/><Relationship Id="rId5633" Type="http://schemas.openxmlformats.org/officeDocument/2006/relationships/hyperlink" Target="https://twitter.com/oldcar_photo" TargetMode="External"/><Relationship Id="rId15227" Type="http://schemas.openxmlformats.org/officeDocument/2006/relationships/hyperlink" Target="https://pbs.twimg.com/profile_images/684005048993640448/DxFbN2Vi_normal.png" TargetMode="External"/><Relationship Id="rId18797" Type="http://schemas.openxmlformats.org/officeDocument/2006/relationships/hyperlink" Target="https://twitter.com/TheRoadClowns" TargetMode="External"/><Relationship Id="rId22443" Type="http://schemas.openxmlformats.org/officeDocument/2006/relationships/hyperlink" Target="https://twitter.com/beetlebug1938/status/724224018744791040" TargetMode="External"/><Relationship Id="rId8856" Type="http://schemas.openxmlformats.org/officeDocument/2006/relationships/hyperlink" Target="https://twitter.com/vwpress_de/status/723409435297619968" TargetMode="External"/><Relationship Id="rId11837" Type="http://schemas.openxmlformats.org/officeDocument/2006/relationships/hyperlink" Target="https://twitter.com/bvdvliet/status/723508697763295232" TargetMode="External"/><Relationship Id="rId25666" Type="http://schemas.openxmlformats.org/officeDocument/2006/relationships/hyperlink" Target="https://twitter.com/80230e4f9e424a1/status/724457067101184000" TargetMode="External"/><Relationship Id="rId8509" Type="http://schemas.openxmlformats.org/officeDocument/2006/relationships/hyperlink" Target="https://twitter.com/2112greg/status/723392310189248513" TargetMode="External"/><Relationship Id="rId14310" Type="http://schemas.openxmlformats.org/officeDocument/2006/relationships/hyperlink" Target="https://twitter.com/TheInsideManLtd/status/723572139886944257" TargetMode="External"/><Relationship Id="rId25319" Type="http://schemas.openxmlformats.org/officeDocument/2006/relationships/hyperlink" Target="https://twitter.com/DeeZeeX" TargetMode="External"/><Relationship Id="rId17880" Type="http://schemas.openxmlformats.org/officeDocument/2006/relationships/hyperlink" Target="https://pbs.twimg.com/profile_images/530071272881803264/a_jcCmPZ_normal.png" TargetMode="External"/><Relationship Id="rId989" Type="http://schemas.openxmlformats.org/officeDocument/2006/relationships/hyperlink" Target="https://pbs.twimg.com/profile_images/718820712757215233/LXXndPTS_normal.jpg" TargetMode="External"/><Relationship Id="rId5490" Type="http://schemas.openxmlformats.org/officeDocument/2006/relationships/hyperlink" Target="https://pbs.twimg.com/profile_images/675400910659457024/j_ZmyCDW_normal.jpg" TargetMode="External"/><Relationship Id="rId10920" Type="http://schemas.openxmlformats.org/officeDocument/2006/relationships/hyperlink" Target="https://twitter.com/wolke76k" TargetMode="External"/><Relationship Id="rId15084" Type="http://schemas.openxmlformats.org/officeDocument/2006/relationships/hyperlink" Target="https://twitter.com/tesla_diary/status/723592689237811200" TargetMode="External"/><Relationship Id="rId17533" Type="http://schemas.openxmlformats.org/officeDocument/2006/relationships/hyperlink" Target="https://pbs.twimg.com/profile_images/720628102976663552/s48kDHvJ_normal.jpg" TargetMode="External"/><Relationship Id="rId21929" Type="http://schemas.openxmlformats.org/officeDocument/2006/relationships/hyperlink" Target="https://twitter.com/365Daytonafan/status/724189351127609344" TargetMode="External"/><Relationship Id="rId5143" Type="http://schemas.openxmlformats.org/officeDocument/2006/relationships/hyperlink" Target="https://twitter.com/HansKoberstein/status/723195184062816256" TargetMode="External"/><Relationship Id="rId24402" Type="http://schemas.openxmlformats.org/officeDocument/2006/relationships/hyperlink" Target="https://pbs.twimg.com/profile_images/533000676540809217/pGxIlBsM_normal.jpeg" TargetMode="External"/><Relationship Id="rId8366" Type="http://schemas.openxmlformats.org/officeDocument/2006/relationships/hyperlink" Target="https://twitter.com/Stahlhammer/status/723384931783581698" TargetMode="External"/><Relationship Id="rId11694" Type="http://schemas.openxmlformats.org/officeDocument/2006/relationships/hyperlink" Target="https://pbs.twimg.com/profile_images/722823782017200130/VreCKi-k_normal.jpg" TargetMode="External"/><Relationship Id="rId1753" Type="http://schemas.openxmlformats.org/officeDocument/2006/relationships/hyperlink" Target="https://twitter.com/FusionAlloys/status/723055556425035776" TargetMode="External"/><Relationship Id="rId8019" Type="http://schemas.openxmlformats.org/officeDocument/2006/relationships/hyperlink" Target="https://pbs.twimg.com/profile_images/447281889578323968/hqCNxI9e_normal.jpeg" TargetMode="External"/><Relationship Id="rId11347" Type="http://schemas.openxmlformats.org/officeDocument/2006/relationships/hyperlink" Target="https://twitter.com/EpicAutokoulu" TargetMode="External"/><Relationship Id="rId25176" Type="http://schemas.openxmlformats.org/officeDocument/2006/relationships/hyperlink" Target="https://pbs.twimg.com/profile_images/645778032838492167/ootRftiU_normal.jpg" TargetMode="External"/><Relationship Id="rId1406" Type="http://schemas.openxmlformats.org/officeDocument/2006/relationships/hyperlink" Target="https://twitter.com/DollysdelightsS" TargetMode="External"/><Relationship Id="rId4976" Type="http://schemas.openxmlformats.org/officeDocument/2006/relationships/hyperlink" Target="https://twitter.com/BILD_Reporter" TargetMode="External"/><Relationship Id="rId17390" Type="http://schemas.openxmlformats.org/officeDocument/2006/relationships/hyperlink" Target="https://twitter.com/RippedFlower/status/723796239280705540" TargetMode="External"/><Relationship Id="rId21786" Type="http://schemas.openxmlformats.org/officeDocument/2006/relationships/hyperlink" Target="https://pbs.twimg.com/profile_images/718835727027580928/1ssyQ67y_normal.jpg" TargetMode="External"/><Relationship Id="rId4629" Type="http://schemas.openxmlformats.org/officeDocument/2006/relationships/hyperlink" Target="https://twitter.com/dejbanlaw" TargetMode="External"/><Relationship Id="rId10430" Type="http://schemas.openxmlformats.org/officeDocument/2006/relationships/hyperlink" Target="https://pbs.twimg.com/profile_images/666959113637732352/gcLEjaSy_normal.jpg" TargetMode="External"/><Relationship Id="rId17043" Type="http://schemas.openxmlformats.org/officeDocument/2006/relationships/hyperlink" Target="https://twitter.com/emiliamuthoni" TargetMode="External"/><Relationship Id="rId21439" Type="http://schemas.openxmlformats.org/officeDocument/2006/relationships/hyperlink" Target="https://pbs.twimg.com/profile_images/718835727027580928/1ssyQ67y_normal.jpg" TargetMode="External"/><Relationship Id="rId499" Type="http://schemas.openxmlformats.org/officeDocument/2006/relationships/hyperlink" Target="https://twitter.com/dejbanlaw/status/722962104697819136" TargetMode="External"/><Relationship Id="rId7102" Type="http://schemas.openxmlformats.org/officeDocument/2006/relationships/hyperlink" Target="https://twitter.com/manifestproxy/status/723278517107064832" TargetMode="External"/><Relationship Id="rId13653" Type="http://schemas.openxmlformats.org/officeDocument/2006/relationships/hyperlink" Target="https://pbs.twimg.com/profile_images/592417094983102464/xowRMPEE_normal.jpg" TargetMode="External"/><Relationship Id="rId1263" Type="http://schemas.openxmlformats.org/officeDocument/2006/relationships/hyperlink" Target="https://twitter.com/DhakaTribune/status/723028577327804419" TargetMode="External"/><Relationship Id="rId3712" Type="http://schemas.openxmlformats.org/officeDocument/2006/relationships/hyperlink" Target="https://pbs.twimg.com/profile_images/703294545195307008/qeCvrX86_normal.jpg" TargetMode="External"/><Relationship Id="rId13306" Type="http://schemas.openxmlformats.org/officeDocument/2006/relationships/hyperlink" Target="https://pbs.twimg.com/profile_images/718820712757215233/LXXndPTS_normal.jpg" TargetMode="External"/><Relationship Id="rId16876" Type="http://schemas.openxmlformats.org/officeDocument/2006/relationships/hyperlink" Target="https://twitter.com/soboro1022/status/723743777295347712" TargetMode="External"/><Relationship Id="rId20522" Type="http://schemas.openxmlformats.org/officeDocument/2006/relationships/hyperlink" Target="http://zippi.co.uk/" TargetMode="External"/><Relationship Id="rId6935" Type="http://schemas.openxmlformats.org/officeDocument/2006/relationships/hyperlink" Target="https://twitter.com/Fran11player/status/723270500114378752" TargetMode="External"/><Relationship Id="rId16529" Type="http://schemas.openxmlformats.org/officeDocument/2006/relationships/hyperlink" Target="https://pbs.twimg.com/profile_images/593589082615324672/YJqoYADV_normal.jpg" TargetMode="External"/><Relationship Id="rId23745" Type="http://schemas.openxmlformats.org/officeDocument/2006/relationships/hyperlink" Target="https://twitter.com/CSRDispatch/status/724308216885161984" TargetMode="External"/><Relationship Id="rId4486" Type="http://schemas.openxmlformats.org/officeDocument/2006/relationships/hyperlink" Target="https://twitter.com/Spicer_Meg/status/723181804669292544" TargetMode="External"/><Relationship Id="rId19002" Type="http://schemas.openxmlformats.org/officeDocument/2006/relationships/hyperlink" Target="https://twitter.com/TitilayoOjes1" TargetMode="External"/><Relationship Id="rId21296" Type="http://schemas.openxmlformats.org/officeDocument/2006/relationships/hyperlink" Target="https://twitter.com/abcdefghmiokxyz" TargetMode="External"/><Relationship Id="rId4139" Type="http://schemas.openxmlformats.org/officeDocument/2006/relationships/hyperlink" Target="https://twitter.com/Philippe_Leviez/status/723177183712145409" TargetMode="External"/><Relationship Id="rId13163" Type="http://schemas.openxmlformats.org/officeDocument/2006/relationships/hyperlink" Target="http://paper.li/" TargetMode="External"/><Relationship Id="rId15612" Type="http://schemas.openxmlformats.org/officeDocument/2006/relationships/hyperlink" Target="https://twitter.com/AutoExpress" TargetMode="External"/><Relationship Id="rId3222" Type="http://schemas.openxmlformats.org/officeDocument/2006/relationships/hyperlink" Target="https://pbs.twimg.com/profile_images/701224634591682560/MAVaohWB_normal.jpg" TargetMode="External"/><Relationship Id="rId18835" Type="http://schemas.openxmlformats.org/officeDocument/2006/relationships/hyperlink" Target="https://twitter.com/SocialAutos/status/723899655453589505" TargetMode="External"/><Relationship Id="rId20032" Type="http://schemas.openxmlformats.org/officeDocument/2006/relationships/hyperlink" Target="https://twitter.com/vwdepo" TargetMode="External"/><Relationship Id="rId6445" Type="http://schemas.openxmlformats.org/officeDocument/2006/relationships/hyperlink" Target="https://twitter.com/VWBeetleSales" TargetMode="External"/><Relationship Id="rId6792" Type="http://schemas.openxmlformats.org/officeDocument/2006/relationships/hyperlink" Target="http://dlvr.it/" TargetMode="External"/><Relationship Id="rId16386" Type="http://schemas.openxmlformats.org/officeDocument/2006/relationships/hyperlink" Target="https://pbs.twimg.com/profile_images/530071272881803264/a_jcCmPZ_normal.png" TargetMode="External"/><Relationship Id="rId25704" Type="http://schemas.openxmlformats.org/officeDocument/2006/relationships/hyperlink" Target="https://twitter.com/stevehui" TargetMode="External"/><Relationship Id="rId9" Type="http://schemas.openxmlformats.org/officeDocument/2006/relationships/hyperlink" Target="https://pbs.twimg.com/profile_images/721573146306830337/ZW0NIcS2_normal.jpg" TargetMode="External"/><Relationship Id="rId12996" Type="http://schemas.openxmlformats.org/officeDocument/2006/relationships/hyperlink" Target="https://pbs.twimg.com/profile_images/627949001179037696/skEBkS05_normal.jpg" TargetMode="External"/><Relationship Id="rId16039" Type="http://schemas.openxmlformats.org/officeDocument/2006/relationships/hyperlink" Target="https://pbs.twimg.com/profile_images/671685785058344961/azudlysS_normal.jpg" TargetMode="External"/><Relationship Id="rId23255" Type="http://schemas.openxmlformats.org/officeDocument/2006/relationships/hyperlink" Target="https://twitter.com/KholodovSl" TargetMode="External"/><Relationship Id="rId9668" Type="http://schemas.openxmlformats.org/officeDocument/2006/relationships/hyperlink" Target="https://twitter.com/dermaschinist/status/723444600631791616" TargetMode="External"/><Relationship Id="rId12649" Type="http://schemas.openxmlformats.org/officeDocument/2006/relationships/hyperlink" Target="https://pbs.twimg.com/profile_images/715610629428625408/kmrVb60G_normal.jpg" TargetMode="External"/><Relationship Id="rId2708" Type="http://schemas.openxmlformats.org/officeDocument/2006/relationships/hyperlink" Target="https://twitter.com/GTIcrazy" TargetMode="External"/><Relationship Id="rId15122" Type="http://schemas.openxmlformats.org/officeDocument/2006/relationships/hyperlink" Target="https://twitter.com/loll1980/status/723594873744592898" TargetMode="External"/><Relationship Id="rId18692" Type="http://schemas.openxmlformats.org/officeDocument/2006/relationships/hyperlink" Target="https://twitter.com/Volkswagen_T25" TargetMode="External"/><Relationship Id="rId8751" Type="http://schemas.openxmlformats.org/officeDocument/2006/relationships/hyperlink" Target="https://twitter.com/meckergecko/status/723404694081572864" TargetMode="External"/><Relationship Id="rId18345" Type="http://schemas.openxmlformats.org/officeDocument/2006/relationships/hyperlink" Target="https://twitter.com/confiafinancial/status/723864601050238978" TargetMode="External"/><Relationship Id="rId25561" Type="http://schemas.openxmlformats.org/officeDocument/2006/relationships/hyperlink" Target="https://pbs.twimg.com/profile_images/707127715581849600/zPs3f0nI_normal.jpg" TargetMode="External"/><Relationship Id="rId8404" Type="http://schemas.openxmlformats.org/officeDocument/2006/relationships/hyperlink" Target="https://twitter.com/following_jobs" TargetMode="External"/><Relationship Id="rId11732" Type="http://schemas.openxmlformats.org/officeDocument/2006/relationships/hyperlink" Target="https://twitter.com/MedAgness" TargetMode="External"/><Relationship Id="rId25214" Type="http://schemas.openxmlformats.org/officeDocument/2006/relationships/hyperlink" Target="https://pbs.twimg.com/profile_images/720623345029423104/TUxoNGEM_normal.jpg" TargetMode="External"/><Relationship Id="rId14955" Type="http://schemas.openxmlformats.org/officeDocument/2006/relationships/hyperlink" Target="https://twitter.com/SerraTVC/status/723587843638067200" TargetMode="External"/><Relationship Id="rId9178" Type="http://schemas.openxmlformats.org/officeDocument/2006/relationships/hyperlink" Target="https://twitter.com/doern/status/723424070964928512" TargetMode="External"/><Relationship Id="rId14608" Type="http://schemas.openxmlformats.org/officeDocument/2006/relationships/hyperlink" Target="https://twitter.com/gaffers101/status/723576944445521920" TargetMode="External"/><Relationship Id="rId21824" Type="http://schemas.openxmlformats.org/officeDocument/2006/relationships/hyperlink" Target="https://pbs.twimg.com/profile_images/3378184537/c20ae9a7a410821b4f189c34a63380f7_normal.png" TargetMode="External"/><Relationship Id="rId884" Type="http://schemas.openxmlformats.org/officeDocument/2006/relationships/hyperlink" Target="https://twitter.com/techhippie" TargetMode="External"/><Relationship Id="rId2565" Type="http://schemas.openxmlformats.org/officeDocument/2006/relationships/hyperlink" Target="https://twitter.com/vwpress_PL/status/723105656744505345" TargetMode="External"/><Relationship Id="rId12159" Type="http://schemas.openxmlformats.org/officeDocument/2006/relationships/hyperlink" Target="https://pbs.twimg.com/profile_images/703294545195307008/qeCvrX86_normal.jpg" TargetMode="External"/><Relationship Id="rId537" Type="http://schemas.openxmlformats.org/officeDocument/2006/relationships/hyperlink" Target="https://twitter.com/R0__Sheen" TargetMode="External"/><Relationship Id="rId2218" Type="http://schemas.openxmlformats.org/officeDocument/2006/relationships/hyperlink" Target="https://pbs.twimg.com/profile_images/586872499041935360/1jIE3_Mq_normal.jpg" TargetMode="External"/><Relationship Id="rId5788" Type="http://schemas.openxmlformats.org/officeDocument/2006/relationships/hyperlink" Target="https://twitter.com/JoachimPeiper8/status/723217694443618304" TargetMode="External"/><Relationship Id="rId22598" Type="http://schemas.openxmlformats.org/officeDocument/2006/relationships/hyperlink" Target="https://pbs.twimg.com/profile_images/614981295773384708/sXMDZxDO_normal.jpg" TargetMode="External"/><Relationship Id="rId8261" Type="http://schemas.openxmlformats.org/officeDocument/2006/relationships/hyperlink" Target="https://pbs.twimg.com/profile_images/707309158735994881/yU16NBqd_normal.jpg" TargetMode="External"/><Relationship Id="rId11242" Type="http://schemas.openxmlformats.org/officeDocument/2006/relationships/hyperlink" Target="https://pbs.twimg.com/profile_images/439107942877376514/dsUl4fwt_normal.jpeg" TargetMode="External"/><Relationship Id="rId25071" Type="http://schemas.openxmlformats.org/officeDocument/2006/relationships/hyperlink" Target="https://twitter.com/VolkswagenPost/status/724417032410660864" TargetMode="External"/><Relationship Id="rId1301" Type="http://schemas.openxmlformats.org/officeDocument/2006/relationships/hyperlink" Target="https://twitter.com/NancyCNBC/status/723033112054112257" TargetMode="External"/><Relationship Id="rId16914" Type="http://schemas.openxmlformats.org/officeDocument/2006/relationships/hyperlink" Target="https://pbs.twimg.com/profile_images/1289987609/OgAAACuThxO-w0aQovrtBT_ksZWe8J9BDIGDR1qjMxzHp8EjqQOktV-77YACgbkK3t6fgmhD1WJNfIvORCOmNBowRJMAm1T1UON20eIuAzcZlpnugIWvQOCL9xxi_normal.jpg" TargetMode="External"/><Relationship Id="rId4524" Type="http://schemas.openxmlformats.org/officeDocument/2006/relationships/hyperlink" Target="https://twitter.com/Tonelli22" TargetMode="External"/><Relationship Id="rId4871" Type="http://schemas.openxmlformats.org/officeDocument/2006/relationships/hyperlink" Target="https://twitter.com/VWCamperSales/status/723189329581871104" TargetMode="External"/><Relationship Id="rId14465" Type="http://schemas.openxmlformats.org/officeDocument/2006/relationships/hyperlink" Target="https://pbs.twimg.com/profile_images/953096495/ISchnee_web_normal.jpg" TargetMode="External"/><Relationship Id="rId21681" Type="http://schemas.openxmlformats.org/officeDocument/2006/relationships/hyperlink" Target="https://pbs.twimg.com/profile_images/698509815870578688/S6oEQDwn_normal.jpg" TargetMode="External"/><Relationship Id="rId394" Type="http://schemas.openxmlformats.org/officeDocument/2006/relationships/hyperlink" Target="https://pbs.twimg.com/profile_images/2335693624/8d0zkbzviiv8pqpcupyd_normal.jpeg" TargetMode="External"/><Relationship Id="rId2075" Type="http://schemas.openxmlformats.org/officeDocument/2006/relationships/hyperlink" Target="https://pbs.twimg.com/profile_images/703294545195307008/qeCvrX86_normal.jpg" TargetMode="External"/><Relationship Id="rId14118" Type="http://schemas.openxmlformats.org/officeDocument/2006/relationships/hyperlink" Target="https://twitter.com/VolkswagenPost" TargetMode="External"/><Relationship Id="rId17688" Type="http://schemas.openxmlformats.org/officeDocument/2006/relationships/hyperlink" Target="https://twitter.com/moteking25" TargetMode="External"/><Relationship Id="rId21334" Type="http://schemas.openxmlformats.org/officeDocument/2006/relationships/hyperlink" Target="https://pbs.twimg.com/profile_images/682117656502222848/Ge7YeAF3_normal.png" TargetMode="External"/><Relationship Id="rId5298" Type="http://schemas.openxmlformats.org/officeDocument/2006/relationships/hyperlink" Target="https://twitter.com/keltenblick" TargetMode="External"/><Relationship Id="rId7747" Type="http://schemas.openxmlformats.org/officeDocument/2006/relationships/hyperlink" Target="https://pbs.twimg.com/profile_images/713053834118041600/zWp427YE_normal.jpg" TargetMode="External"/><Relationship Id="rId10728" Type="http://schemas.openxmlformats.org/officeDocument/2006/relationships/hyperlink" Target="https://twitter.com/CornwallBzForum/status/723482360956727296" TargetMode="External"/><Relationship Id="rId24557" Type="http://schemas.openxmlformats.org/officeDocument/2006/relationships/hyperlink" Target="https://pbs.twimg.com/profile_images/464510596256264192/jlJphn9d_normal.jpeg" TargetMode="External"/><Relationship Id="rId13201" Type="http://schemas.openxmlformats.org/officeDocument/2006/relationships/hyperlink" Target="https://twitter.com/NollyPrott/status/723538934089834497" TargetMode="External"/><Relationship Id="rId16771" Type="http://schemas.openxmlformats.org/officeDocument/2006/relationships/hyperlink" Target="https://pbs.twimg.com/profile_images/1610421423/Image2_normal.jpg" TargetMode="External"/><Relationship Id="rId6830" Type="http://schemas.openxmlformats.org/officeDocument/2006/relationships/hyperlink" Target="https://twitter.com/CmaxVs" TargetMode="External"/><Relationship Id="rId16424" Type="http://schemas.openxmlformats.org/officeDocument/2006/relationships/hyperlink" Target="https://twitter.com/QuentinDempster/status/723683138476482561" TargetMode="External"/><Relationship Id="rId23640" Type="http://schemas.openxmlformats.org/officeDocument/2006/relationships/hyperlink" Target="https://twitter.com/clubVAGVzla/status/724302487977623552" TargetMode="External"/><Relationship Id="rId4381" Type="http://schemas.openxmlformats.org/officeDocument/2006/relationships/hyperlink" Target="https://twitter.com/samiamebarki1" TargetMode="External"/><Relationship Id="rId19994" Type="http://schemas.openxmlformats.org/officeDocument/2006/relationships/hyperlink" Target="https://twitter.com/tOrtu_cCp1912" TargetMode="External"/><Relationship Id="rId21191" Type="http://schemas.openxmlformats.org/officeDocument/2006/relationships/hyperlink" Target="https://twitter.com/Mphilpot1/status/724120875356680192" TargetMode="External"/><Relationship Id="rId4034" Type="http://schemas.openxmlformats.org/officeDocument/2006/relationships/hyperlink" Target="https://twitter.com/dw_business/status/723174983011180544" TargetMode="External"/><Relationship Id="rId17198" Type="http://schemas.openxmlformats.org/officeDocument/2006/relationships/hyperlink" Target="https://twitter.com/JoshuaHakman" TargetMode="External"/><Relationship Id="rId19647" Type="http://schemas.openxmlformats.org/officeDocument/2006/relationships/hyperlink" Target="https://pbs.twimg.com/profile_images/617758971861037056/Nj6rNKM3_normal.jpg" TargetMode="External"/><Relationship Id="rId7257" Type="http://schemas.openxmlformats.org/officeDocument/2006/relationships/hyperlink" Target="https://twitter.com/Lindsay_VW" TargetMode="External"/><Relationship Id="rId9706" Type="http://schemas.openxmlformats.org/officeDocument/2006/relationships/hyperlink" Target="https://pbs.twimg.com/profile_images/507897198911053824/7OqYAonJ_normal.jpeg" TargetMode="External"/><Relationship Id="rId10585" Type="http://schemas.openxmlformats.org/officeDocument/2006/relationships/hyperlink" Target="https://twitter.com/TaylorSolution1/status/723477645216890880" TargetMode="External"/><Relationship Id="rId24067" Type="http://schemas.openxmlformats.org/officeDocument/2006/relationships/hyperlink" Target="http://dlvr.it/" TargetMode="External"/><Relationship Id="rId10238" Type="http://schemas.openxmlformats.org/officeDocument/2006/relationships/hyperlink" Target="https://twitter.com/serversnake" TargetMode="External"/><Relationship Id="rId18730" Type="http://schemas.openxmlformats.org/officeDocument/2006/relationships/hyperlink" Target="http://ctrlq.org/maps/address/" TargetMode="External"/><Relationship Id="rId3867" Type="http://schemas.openxmlformats.org/officeDocument/2006/relationships/hyperlink" Target="https://twitter.com/angulosiete" TargetMode="External"/><Relationship Id="rId16281" Type="http://schemas.openxmlformats.org/officeDocument/2006/relationships/hyperlink" Target="https://pbs.twimg.com/profile_images/2599636126/x02y4h1jup58idpvausw_normal.jpeg" TargetMode="External"/><Relationship Id="rId20677" Type="http://schemas.openxmlformats.org/officeDocument/2006/relationships/hyperlink" Target="http://dlvr.it/" TargetMode="External"/><Relationship Id="rId6340" Type="http://schemas.openxmlformats.org/officeDocument/2006/relationships/hyperlink" Target="https://twitter.com/__FMR__" TargetMode="External"/><Relationship Id="rId23150" Type="http://schemas.openxmlformats.org/officeDocument/2006/relationships/hyperlink" Target="https://pbs.twimg.com/profile_images/714426326028050432/bdmtFVZx_normal.jpg" TargetMode="External"/><Relationship Id="rId9563" Type="http://schemas.openxmlformats.org/officeDocument/2006/relationships/hyperlink" Target="https://twitter.com/KorruptPolitik" TargetMode="External"/><Relationship Id="rId12891" Type="http://schemas.openxmlformats.org/officeDocument/2006/relationships/hyperlink" Target="https://twitter.com/FoinB/status/723530608727740416" TargetMode="External"/><Relationship Id="rId19157" Type="http://schemas.openxmlformats.org/officeDocument/2006/relationships/hyperlink" Target="https://twitter.com/_sea_fox_/status/723921713742917635" TargetMode="External"/><Relationship Id="rId922" Type="http://schemas.openxmlformats.org/officeDocument/2006/relationships/hyperlink" Target="https://pbs.twimg.com/profile_images/634021831364747264/5vPrL2JH_normal.jpg" TargetMode="External"/><Relationship Id="rId2603" Type="http://schemas.openxmlformats.org/officeDocument/2006/relationships/hyperlink" Target="https://twitter.com/VWCamperSales" TargetMode="External"/><Relationship Id="rId2950" Type="http://schemas.openxmlformats.org/officeDocument/2006/relationships/hyperlink" Target="https://twitter.com/ProjectCarsUK/status/723127560293498880" TargetMode="External"/><Relationship Id="rId9216" Type="http://schemas.openxmlformats.org/officeDocument/2006/relationships/hyperlink" Target="https://twitter.com/JimHawkins11" TargetMode="External"/><Relationship Id="rId10095" Type="http://schemas.openxmlformats.org/officeDocument/2006/relationships/hyperlink" Target="https://twitter.com/kalininalenina/status/723462310778527744" TargetMode="External"/><Relationship Id="rId12544" Type="http://schemas.openxmlformats.org/officeDocument/2006/relationships/hyperlink" Target="https://pbs.twimg.com/profile_images/629348818593705986/WKGmcgtV_normal.jpg" TargetMode="External"/><Relationship Id="rId15767" Type="http://schemas.openxmlformats.org/officeDocument/2006/relationships/hyperlink" Target="https://twitter.com/juergenarne/status/723623796670894084" TargetMode="External"/><Relationship Id="rId22983" Type="http://schemas.openxmlformats.org/officeDocument/2006/relationships/hyperlink" Target="https://twitter.com/SocialNewsCorp/status/724262091431923712" TargetMode="External"/><Relationship Id="rId3377" Type="http://schemas.openxmlformats.org/officeDocument/2006/relationships/hyperlink" Target="https://twitter.com/DJMattDavid" TargetMode="External"/><Relationship Id="rId5826" Type="http://schemas.openxmlformats.org/officeDocument/2006/relationships/hyperlink" Target="https://twitter.com/VWCamperSales" TargetMode="External"/><Relationship Id="rId18240" Type="http://schemas.openxmlformats.org/officeDocument/2006/relationships/hyperlink" Target="https://twitter.com/charlieemma/status/723853609843175425" TargetMode="External"/><Relationship Id="rId22636" Type="http://schemas.openxmlformats.org/officeDocument/2006/relationships/hyperlink" Target="https://twitter.com/82Reddy" TargetMode="External"/><Relationship Id="rId14850" Type="http://schemas.openxmlformats.org/officeDocument/2006/relationships/hyperlink" Target="https://twitter.com/VWBeetleSales/status/723585183773904897" TargetMode="External"/><Relationship Id="rId20187" Type="http://schemas.openxmlformats.org/officeDocument/2006/relationships/hyperlink" Target="https://pbs.twimg.com/profile_images/684135416933515264/CjH20Wjp_normal.jpg" TargetMode="External"/><Relationship Id="rId14503" Type="http://schemas.openxmlformats.org/officeDocument/2006/relationships/hyperlink" Target="https://twitter.com/TractatusArtium/status/723574975031029760" TargetMode="External"/><Relationship Id="rId2460" Type="http://schemas.openxmlformats.org/officeDocument/2006/relationships/hyperlink" Target="https://pbs.twimg.com/profile_images/644482436257185792/immN1agH_normal.jpg" TargetMode="External"/><Relationship Id="rId9073" Type="http://schemas.openxmlformats.org/officeDocument/2006/relationships/hyperlink" Target="https://twitter.com/NeedTechs" TargetMode="External"/><Relationship Id="rId12054" Type="http://schemas.openxmlformats.org/officeDocument/2006/relationships/hyperlink" Target="https://twitter.com/FAZ_Wirtschaft/status/723512531671736320" TargetMode="External"/><Relationship Id="rId432" Type="http://schemas.openxmlformats.org/officeDocument/2006/relationships/hyperlink" Target="https://twitter.com/VAGFanArg/status/722957843272339456" TargetMode="External"/><Relationship Id="rId2113" Type="http://schemas.openxmlformats.org/officeDocument/2006/relationships/hyperlink" Target="https://twitter.com/SJ_LOWTEC" TargetMode="External"/><Relationship Id="rId5683" Type="http://schemas.openxmlformats.org/officeDocument/2006/relationships/hyperlink" Target="https://twitter.com/janreuter" TargetMode="External"/><Relationship Id="rId15277" Type="http://schemas.openxmlformats.org/officeDocument/2006/relationships/hyperlink" Target="https://twitter.com/BizForBreakfast" TargetMode="External"/><Relationship Id="rId17726" Type="http://schemas.openxmlformats.org/officeDocument/2006/relationships/hyperlink" Target="https://pbs.twimg.com/profile_images/572420601340366848/9FNFcUKK_normal.jpeg" TargetMode="External"/><Relationship Id="rId22493" Type="http://schemas.openxmlformats.org/officeDocument/2006/relationships/hyperlink" Target="http://dlvr.it/" TargetMode="External"/><Relationship Id="rId24942" Type="http://schemas.openxmlformats.org/officeDocument/2006/relationships/hyperlink" Target="https://twitter.com/bryancarguy" TargetMode="External"/><Relationship Id="rId5336" Type="http://schemas.openxmlformats.org/officeDocument/2006/relationships/hyperlink" Target="https://pbs.twimg.com/profile_images/2336838264/_DSC0861_normal.JPG" TargetMode="External"/><Relationship Id="rId22146" Type="http://schemas.openxmlformats.org/officeDocument/2006/relationships/hyperlink" Target="https://twitter.com/devoncampers/status/724204659771101184" TargetMode="External"/><Relationship Id="rId11887" Type="http://schemas.openxmlformats.org/officeDocument/2006/relationships/hyperlink" Target="https://twitter.com/ChuckDalldorf/status/723509468340719620" TargetMode="External"/><Relationship Id="rId1946" Type="http://schemas.openxmlformats.org/officeDocument/2006/relationships/hyperlink" Target="https://twitter.com/FAZ_NET" TargetMode="External"/><Relationship Id="rId8559" Type="http://schemas.openxmlformats.org/officeDocument/2006/relationships/hyperlink" Target="https://twitter.com/Beukennon/status/723394214613012480" TargetMode="External"/><Relationship Id="rId14360" Type="http://schemas.openxmlformats.org/officeDocument/2006/relationships/hyperlink" Target="http://ctrlq.org/maps/address/" TargetMode="External"/><Relationship Id="rId25369" Type="http://schemas.openxmlformats.org/officeDocument/2006/relationships/hyperlink" Target="https://twitter.com/VCT_Tweets/status/724433156808519680" TargetMode="External"/><Relationship Id="rId14013" Type="http://schemas.openxmlformats.org/officeDocument/2006/relationships/hyperlink" Target="https://twitter.com/vwdepo/status/723561607037485056" TargetMode="External"/><Relationship Id="rId17583" Type="http://schemas.openxmlformats.org/officeDocument/2006/relationships/hyperlink" Target="https://abs.twimg.com/sticky/default_profile_images/default_profile_1_normal.png" TargetMode="External"/><Relationship Id="rId21979" Type="http://schemas.openxmlformats.org/officeDocument/2006/relationships/hyperlink" Target="https://twitter.com/vwpress_de/status/724192462810558464" TargetMode="External"/><Relationship Id="rId7642" Type="http://schemas.openxmlformats.org/officeDocument/2006/relationships/hyperlink" Target="https://twitter.com/LeahEasley/status/723321057650851840" TargetMode="External"/><Relationship Id="rId10970" Type="http://schemas.openxmlformats.org/officeDocument/2006/relationships/hyperlink" Target="https://pbs.twimg.com/profile_images/721965207157911552/QGevvR1X_normal.jpg" TargetMode="External"/><Relationship Id="rId17236" Type="http://schemas.openxmlformats.org/officeDocument/2006/relationships/hyperlink" Target="https://pbs.twimg.com/profile_images/378800000290470734/e9ecdf75b11ca96fab721b7f9debc5ab_normal.jpeg" TargetMode="External"/><Relationship Id="rId24452" Type="http://schemas.openxmlformats.org/officeDocument/2006/relationships/hyperlink" Target="https://pbs.twimg.com/profile_images/378800000441508182/196c5631db61b24b35e4854fccc27321_normal.png" TargetMode="External"/><Relationship Id="rId5193" Type="http://schemas.openxmlformats.org/officeDocument/2006/relationships/hyperlink" Target="https://twitter.com/MennoBroers" TargetMode="External"/><Relationship Id="rId10623" Type="http://schemas.openxmlformats.org/officeDocument/2006/relationships/hyperlink" Target="https://pbs.twimg.com/profile_images/378800000528765970/3ab9f2a00010e9cac08d5ca1638926e9_normal.png" TargetMode="External"/><Relationship Id="rId24105" Type="http://schemas.openxmlformats.org/officeDocument/2006/relationships/hyperlink" Target="https://twitter.com/TheTipsyPigs" TargetMode="External"/><Relationship Id="rId13846" Type="http://schemas.openxmlformats.org/officeDocument/2006/relationships/hyperlink" Target="https://twitter.com/panicswitch777/status/723557479213195264" TargetMode="External"/><Relationship Id="rId3905" Type="http://schemas.openxmlformats.org/officeDocument/2006/relationships/hyperlink" Target="https://pbs.twimg.com/profile_images/721866175332782080/-RQch6_t_normal.jpg" TargetMode="External"/><Relationship Id="rId8069" Type="http://schemas.openxmlformats.org/officeDocument/2006/relationships/hyperlink" Target="https://twitter.com/TotheFlixs" TargetMode="External"/><Relationship Id="rId11397" Type="http://schemas.openxmlformats.org/officeDocument/2006/relationships/hyperlink" Target="https://pbs.twimg.com/profile_images/648862182936047616/p6o1BlmC_normal.jpg" TargetMode="External"/><Relationship Id="rId20715" Type="http://schemas.openxmlformats.org/officeDocument/2006/relationships/hyperlink" Target="https://twitter.com/TheSandlings/status/724032151243595776" TargetMode="External"/><Relationship Id="rId1109" Type="http://schemas.openxmlformats.org/officeDocument/2006/relationships/hyperlink" Target="https://twitter.com/oldcar_photo" TargetMode="External"/><Relationship Id="rId1456" Type="http://schemas.openxmlformats.org/officeDocument/2006/relationships/hyperlink" Target="https://pbs.twimg.com/profile_images/673308216739008512/qCSbZnhu_normal.jpg" TargetMode="External"/><Relationship Id="rId19542" Type="http://schemas.openxmlformats.org/officeDocument/2006/relationships/hyperlink" Target="https://twitter.com/VWsightings/status/723939392281255936" TargetMode="External"/><Relationship Id="rId23938" Type="http://schemas.openxmlformats.org/officeDocument/2006/relationships/hyperlink" Target="https://pbs.twimg.com/profile_images/718835727027580928/1ssyQ67y_normal.jpg" TargetMode="External"/><Relationship Id="rId4679" Type="http://schemas.openxmlformats.org/officeDocument/2006/relationships/hyperlink" Target="https://pbs.twimg.com/profile_images/3120330421/18166a7606798b1cd07c5596ffc4001f_normal.png" TargetMode="External"/><Relationship Id="rId9601" Type="http://schemas.openxmlformats.org/officeDocument/2006/relationships/hyperlink" Target="https://twitter.com/woever/status/723442206649004032" TargetMode="External"/><Relationship Id="rId10480" Type="http://schemas.openxmlformats.org/officeDocument/2006/relationships/hyperlink" Target="https://pbs.twimg.com/profile_images/722377477809696769/JcYvDDIc_normal.jpg" TargetMode="External"/><Relationship Id="rId17093" Type="http://schemas.openxmlformats.org/officeDocument/2006/relationships/hyperlink" Target="https://twitter.com/berlinwerbung" TargetMode="External"/><Relationship Id="rId21489" Type="http://schemas.openxmlformats.org/officeDocument/2006/relationships/hyperlink" Target="http://svratiti.rs/" TargetMode="External"/><Relationship Id="rId7152" Type="http://schemas.openxmlformats.org/officeDocument/2006/relationships/hyperlink" Target="https://pbs.twimg.com/profile_images/693156293842894848/THX8L389_normal.jpg" TargetMode="External"/><Relationship Id="rId10133" Type="http://schemas.openxmlformats.org/officeDocument/2006/relationships/hyperlink" Target="https://pbs.twimg.com/profile_images/562563461171798017/AkHF4keI_normal.png" TargetMode="External"/><Relationship Id="rId3762" Type="http://schemas.openxmlformats.org/officeDocument/2006/relationships/hyperlink" Target="https://twitter.com/fr/status/723168909185167360" TargetMode="External"/><Relationship Id="rId13356" Type="http://schemas.openxmlformats.org/officeDocument/2006/relationships/hyperlink" Target="https://twitter.com/luistervink54/status/723544634362847237" TargetMode="External"/><Relationship Id="rId15805" Type="http://schemas.openxmlformats.org/officeDocument/2006/relationships/hyperlink" Target="https://pbs.twimg.com/profile_images/652871584131092480/QA_B6SBO_normal.jpg" TargetMode="External"/><Relationship Id="rId20572" Type="http://schemas.openxmlformats.org/officeDocument/2006/relationships/hyperlink" Target="https://pbs.twimg.com/profile_images/435196277085585408/VsCPK4hc_normal.jpeg" TargetMode="External"/><Relationship Id="rId3415" Type="http://schemas.openxmlformats.org/officeDocument/2006/relationships/hyperlink" Target="https://pbs.twimg.com/profile_images/599808886548205568/gfgn377S_normal.jpg" TargetMode="External"/><Relationship Id="rId13009" Type="http://schemas.openxmlformats.org/officeDocument/2006/relationships/hyperlink" Target="https://pbs.twimg.com/profile_images/712357077897842688/UTf-Ylce_normal.jpg" TargetMode="External"/><Relationship Id="rId20225" Type="http://schemas.openxmlformats.org/officeDocument/2006/relationships/hyperlink" Target="https://twitter.com/dubbusses/status/723982662172610562" TargetMode="External"/><Relationship Id="rId6985" Type="http://schemas.openxmlformats.org/officeDocument/2006/relationships/hyperlink" Target="https://twitter.com/SmackSmog/status/723273389402632193" TargetMode="External"/><Relationship Id="rId16579" Type="http://schemas.openxmlformats.org/officeDocument/2006/relationships/hyperlink" Target="https://twitter.com/rollidriver" TargetMode="External"/><Relationship Id="rId23795" Type="http://schemas.openxmlformats.org/officeDocument/2006/relationships/hyperlink" Target="https://twitter.com/Vagowners" TargetMode="External"/><Relationship Id="rId4189" Type="http://schemas.openxmlformats.org/officeDocument/2006/relationships/hyperlink" Target="https://twitter.com/KCBSNews/status/723177800102871040" TargetMode="External"/><Relationship Id="rId6638" Type="http://schemas.openxmlformats.org/officeDocument/2006/relationships/hyperlink" Target="https://twitter.com/christianwilp" TargetMode="External"/><Relationship Id="rId9111" Type="http://schemas.openxmlformats.org/officeDocument/2006/relationships/hyperlink" Target="https://twitter.com/_Hupomnemata/status/723421841709142017" TargetMode="External"/><Relationship Id="rId19052" Type="http://schemas.openxmlformats.org/officeDocument/2006/relationships/hyperlink" Target="https://twitter.com/LottowinFlorida" TargetMode="External"/><Relationship Id="rId23448" Type="http://schemas.openxmlformats.org/officeDocument/2006/relationships/hyperlink" Target="https://twitter.com/whats_live_de/status/724289892235264003" TargetMode="External"/><Relationship Id="rId15662" Type="http://schemas.openxmlformats.org/officeDocument/2006/relationships/hyperlink" Target="https://twitter.com/twinity" TargetMode="External"/><Relationship Id="rId5721" Type="http://schemas.openxmlformats.org/officeDocument/2006/relationships/hyperlink" Target="https://twitter.com/VolkswagenPost/status/723214208255434753" TargetMode="External"/><Relationship Id="rId15315" Type="http://schemas.openxmlformats.org/officeDocument/2006/relationships/hyperlink" Target="https://twitter.com/HoneysHomeGift1/status/723603321118969856" TargetMode="External"/><Relationship Id="rId22531" Type="http://schemas.openxmlformats.org/officeDocument/2006/relationships/hyperlink" Target="https://pbs.twimg.com/profile_images/703294545195307008/qeCvrX86_normal.jpg" TargetMode="External"/><Relationship Id="rId3272" Type="http://schemas.openxmlformats.org/officeDocument/2006/relationships/hyperlink" Target="https://twitter.com/kentsbike" TargetMode="External"/><Relationship Id="rId8944" Type="http://schemas.openxmlformats.org/officeDocument/2006/relationships/hyperlink" Target="https://pbs.twimg.com/profile_images/669858479767576576/TrKosML3_normal.jpg" TargetMode="External"/><Relationship Id="rId18538" Type="http://schemas.openxmlformats.org/officeDocument/2006/relationships/hyperlink" Target="https://twitter.com/Adi7r" TargetMode="External"/><Relationship Id="rId18885" Type="http://schemas.openxmlformats.org/officeDocument/2006/relationships/hyperlink" Target="http://dlvr.it/" TargetMode="External"/><Relationship Id="rId20082" Type="http://schemas.openxmlformats.org/officeDocument/2006/relationships/hyperlink" Target="https://twitter.com/RodneySargent/status/723974667304751104" TargetMode="External"/><Relationship Id="rId6495" Type="http://schemas.openxmlformats.org/officeDocument/2006/relationships/hyperlink" Target="https://twitter.com/BASE_1175" TargetMode="External"/><Relationship Id="rId11925" Type="http://schemas.openxmlformats.org/officeDocument/2006/relationships/hyperlink" Target="https://twitter.com/RickStrickler/status/723510120194428928" TargetMode="External"/><Relationship Id="rId16089" Type="http://schemas.openxmlformats.org/officeDocument/2006/relationships/hyperlink" Target="https://twitter.com/C_Pohlmann" TargetMode="External"/><Relationship Id="rId25407" Type="http://schemas.openxmlformats.org/officeDocument/2006/relationships/hyperlink" Target="https://pbs.twimg.com/profile_images/627949001179037696/skEBkS05_normal.jpg" TargetMode="External"/><Relationship Id="rId25754" Type="http://schemas.openxmlformats.org/officeDocument/2006/relationships/hyperlink" Target="https://pbs.twimg.com/profile_images/682117656502222848/Ge7YeAF3_normal.png" TargetMode="External"/><Relationship Id="rId6148" Type="http://schemas.openxmlformats.org/officeDocument/2006/relationships/hyperlink" Target="https://pbs.twimg.com/profile_images/720810042186858496/Qk4F1Hu__normal.jpg" TargetMode="External"/><Relationship Id="rId12699" Type="http://schemas.openxmlformats.org/officeDocument/2006/relationships/hyperlink" Target="https://twitter.com/tiffany1961/status/723525388731822081" TargetMode="External"/><Relationship Id="rId17621" Type="http://schemas.openxmlformats.org/officeDocument/2006/relationships/hyperlink" Target="https://twitter.com/Alex_yusipov/status/723810375221829632" TargetMode="External"/><Relationship Id="rId2758" Type="http://schemas.openxmlformats.org/officeDocument/2006/relationships/hyperlink" Target="https://twitter.com/AnetteRogers" TargetMode="External"/><Relationship Id="rId15172" Type="http://schemas.openxmlformats.org/officeDocument/2006/relationships/hyperlink" Target="https://twitter.com/oWIGGYo" TargetMode="External"/><Relationship Id="rId5231" Type="http://schemas.openxmlformats.org/officeDocument/2006/relationships/hyperlink" Target="https://twitter.com/OnlineCarReview" TargetMode="External"/><Relationship Id="rId11782" Type="http://schemas.openxmlformats.org/officeDocument/2006/relationships/hyperlink" Target="https://pbs.twimg.com/profile_images/666427553817694209/iqL2bp-M_normal.jpg" TargetMode="External"/><Relationship Id="rId18395" Type="http://schemas.openxmlformats.org/officeDocument/2006/relationships/hyperlink" Target="https://pbs.twimg.com/profile_images/524531569906565120/Noxq66xP_normal.jpeg" TargetMode="External"/><Relationship Id="rId22041" Type="http://schemas.openxmlformats.org/officeDocument/2006/relationships/hyperlink" Target="https://pbs.twimg.com/profile_images/700967051528167424/FpLIs-uF_normal.jpg" TargetMode="External"/><Relationship Id="rId1841" Type="http://schemas.openxmlformats.org/officeDocument/2006/relationships/hyperlink" Target="https://twitter.com/intellicar" TargetMode="External"/><Relationship Id="rId8454" Type="http://schemas.openxmlformats.org/officeDocument/2006/relationships/hyperlink" Target="https://twitter.com/Klickvieh/status/723389027353645056" TargetMode="External"/><Relationship Id="rId11435" Type="http://schemas.openxmlformats.org/officeDocument/2006/relationships/hyperlink" Target="https://pbs.twimg.com/profile_images/712234572554113025/nx7k624i_normal.jpg" TargetMode="External"/><Relationship Id="rId18048" Type="http://schemas.openxmlformats.org/officeDocument/2006/relationships/hyperlink" Target="https://twitter.com/voosvoos/status/723843519211773952" TargetMode="External"/><Relationship Id="rId25264" Type="http://schemas.openxmlformats.org/officeDocument/2006/relationships/hyperlink" Target="https://twitter.com/DeeZeeX" TargetMode="External"/><Relationship Id="rId8107" Type="http://schemas.openxmlformats.org/officeDocument/2006/relationships/hyperlink" Target="https://pbs.twimg.com/profile_images/466599235622682624/7LMop3cd_normal.jpeg" TargetMode="External"/><Relationship Id="rId14658" Type="http://schemas.openxmlformats.org/officeDocument/2006/relationships/hyperlink" Target="https://twitter.com/socialwriter" TargetMode="External"/><Relationship Id="rId21874" Type="http://schemas.openxmlformats.org/officeDocument/2006/relationships/hyperlink" Target="http://dlvr.it/" TargetMode="External"/><Relationship Id="rId587" Type="http://schemas.openxmlformats.org/officeDocument/2006/relationships/hyperlink" Target="https://pbs.twimg.com/profile_images/575856103205957633/jJGILf4m_normal.jpeg" TargetMode="External"/><Relationship Id="rId2268" Type="http://schemas.openxmlformats.org/officeDocument/2006/relationships/hyperlink" Target="http://dlvr.it/" TargetMode="External"/><Relationship Id="rId4717" Type="http://schemas.openxmlformats.org/officeDocument/2006/relationships/hyperlink" Target="https://twitter.com/GreillyPost/status/723186089175879680" TargetMode="External"/><Relationship Id="rId17131" Type="http://schemas.openxmlformats.org/officeDocument/2006/relationships/hyperlink" Target="http://dlvr.it/" TargetMode="External"/><Relationship Id="rId21527" Type="http://schemas.openxmlformats.org/officeDocument/2006/relationships/hyperlink" Target="https://twitter.com/DeezaSunglasses/status/724155357858242560" TargetMode="External"/><Relationship Id="rId13741" Type="http://schemas.openxmlformats.org/officeDocument/2006/relationships/hyperlink" Target="https://twitter.com/bertyberserker" TargetMode="External"/><Relationship Id="rId24000" Type="http://schemas.openxmlformats.org/officeDocument/2006/relationships/hyperlink" Target="https://twitter.com/VeeDubMk1_" TargetMode="External"/><Relationship Id="rId3800" Type="http://schemas.openxmlformats.org/officeDocument/2006/relationships/hyperlink" Target="https://twitter.com/franz_rother" TargetMode="External"/><Relationship Id="rId11292" Type="http://schemas.openxmlformats.org/officeDocument/2006/relationships/hyperlink" Target="http://reiserobby.de/" TargetMode="External"/><Relationship Id="rId20610" Type="http://schemas.openxmlformats.org/officeDocument/2006/relationships/hyperlink" Target="https://pbs.twimg.com/profile_images/1610421423/Image2_normal.jpg" TargetMode="External"/><Relationship Id="rId1351" Type="http://schemas.openxmlformats.org/officeDocument/2006/relationships/hyperlink" Target="https://pbs.twimg.com/profile_images/502398043379859459/MXV7u33Q_normal.jpeg" TargetMode="External"/><Relationship Id="rId16964" Type="http://schemas.openxmlformats.org/officeDocument/2006/relationships/hyperlink" Target="https://twitter.com/yopi_bob/status/723758841624580096" TargetMode="External"/><Relationship Id="rId1004" Type="http://schemas.openxmlformats.org/officeDocument/2006/relationships/hyperlink" Target="https://pbs.twimg.com/profile_images/615562400859848704/E6pxkTo2_normal.jpg" TargetMode="External"/><Relationship Id="rId4574" Type="http://schemas.openxmlformats.org/officeDocument/2006/relationships/hyperlink" Target="https://pbs.twimg.com/profile_images/705409156363063296/L-9HeIjW_normal.jpg" TargetMode="External"/><Relationship Id="rId14168" Type="http://schemas.openxmlformats.org/officeDocument/2006/relationships/hyperlink" Target="https://pbs.twimg.com/profile_images/561650835038298112/jX4E_neH_normal.jpeg" TargetMode="External"/><Relationship Id="rId16617" Type="http://schemas.openxmlformats.org/officeDocument/2006/relationships/hyperlink" Target="https://pbs.twimg.com/profile_images/695977201389473792/pxQvhhKK_normal.jpg" TargetMode="External"/><Relationship Id="rId21384" Type="http://schemas.openxmlformats.org/officeDocument/2006/relationships/hyperlink" Target="https://twitter.com/ErnstNordholt/status/724145746581270528" TargetMode="External"/><Relationship Id="rId23833" Type="http://schemas.openxmlformats.org/officeDocument/2006/relationships/hyperlink" Target="https://twitter.com/Insta_VWT/status/724314610250190850" TargetMode="External"/><Relationship Id="rId4227" Type="http://schemas.openxmlformats.org/officeDocument/2006/relationships/hyperlink" Target="https://twitter.com/VeeDubMk1_/status/723178191712604160" TargetMode="External"/><Relationship Id="rId7797" Type="http://schemas.openxmlformats.org/officeDocument/2006/relationships/hyperlink" Target="https://twitter.com/ffamilymedicine" TargetMode="External"/><Relationship Id="rId21037" Type="http://schemas.openxmlformats.org/officeDocument/2006/relationships/hyperlink" Target="https://twitter.com/beetlebug1938" TargetMode="External"/><Relationship Id="rId10778" Type="http://schemas.openxmlformats.org/officeDocument/2006/relationships/hyperlink" Target="https://twitter.com/JanruPekozete" TargetMode="External"/><Relationship Id="rId15700" Type="http://schemas.openxmlformats.org/officeDocument/2006/relationships/hyperlink" Target="https://twitter.com/wahnsinnman/status/723620861912190978" TargetMode="External"/><Relationship Id="rId13251" Type="http://schemas.openxmlformats.org/officeDocument/2006/relationships/hyperlink" Target="https://pbs.twimg.com/profile_images/1694897534/LukasBouwman_normal.jpg" TargetMode="External"/><Relationship Id="rId18923" Type="http://schemas.openxmlformats.org/officeDocument/2006/relationships/hyperlink" Target="http://dlvr.it/" TargetMode="External"/><Relationship Id="rId3310" Type="http://schemas.openxmlformats.org/officeDocument/2006/relationships/hyperlink" Target="https://twitter.com/_danielthomas/status/723150772234407938" TargetMode="External"/><Relationship Id="rId6880" Type="http://schemas.openxmlformats.org/officeDocument/2006/relationships/hyperlink" Target="https://twitter.com/VRwatchingU/status/723265622466039809" TargetMode="External"/><Relationship Id="rId16474" Type="http://schemas.openxmlformats.org/officeDocument/2006/relationships/hyperlink" Target="http://bs.as/" TargetMode="External"/><Relationship Id="rId20120" Type="http://schemas.openxmlformats.org/officeDocument/2006/relationships/hyperlink" Target="https://pbs.twimg.com/profile_images/445323548052058112/uxbQAp_w_normal.jpeg" TargetMode="External"/><Relationship Id="rId23690" Type="http://schemas.openxmlformats.org/officeDocument/2006/relationships/hyperlink" Target="https://twitter.com/MickeyS1977" TargetMode="External"/><Relationship Id="rId6533" Type="http://schemas.openxmlformats.org/officeDocument/2006/relationships/hyperlink" Target="https://pbs.twimg.com/profile_images/719907114962063360/nChfYl1D_normal.jpg" TargetMode="External"/><Relationship Id="rId16127" Type="http://schemas.openxmlformats.org/officeDocument/2006/relationships/hyperlink" Target="https://pbs.twimg.com/profile_images/491169303027134464/ZT6kRda0_normal.jpeg" TargetMode="External"/><Relationship Id="rId19697" Type="http://schemas.openxmlformats.org/officeDocument/2006/relationships/hyperlink" Target="https://twitter.com/DubLuvTuning/status/723949056142225408" TargetMode="External"/><Relationship Id="rId23343" Type="http://schemas.openxmlformats.org/officeDocument/2006/relationships/hyperlink" Target="https://twitter.com/LizzysNewsDude/status/724281838613762050" TargetMode="External"/><Relationship Id="rId4084" Type="http://schemas.openxmlformats.org/officeDocument/2006/relationships/hyperlink" Target="https://twitter.com/x3m_f" TargetMode="External"/><Relationship Id="rId9756" Type="http://schemas.openxmlformats.org/officeDocument/2006/relationships/hyperlink" Target="https://twitter.com/ksta_news/status/723447964119797760" TargetMode="External"/><Relationship Id="rId9409" Type="http://schemas.openxmlformats.org/officeDocument/2006/relationships/hyperlink" Target="https://twitter.com/creator_mack_" TargetMode="External"/><Relationship Id="rId10288" Type="http://schemas.openxmlformats.org/officeDocument/2006/relationships/hyperlink" Target="https://pbs.twimg.com/profile_images/699880935366488064/uot0hGbb_normal.png" TargetMode="External"/><Relationship Id="rId12737" Type="http://schemas.openxmlformats.org/officeDocument/2006/relationships/hyperlink" Target="https://pbs.twimg.com/profile_images/414827767683764225/QFi6r81n_normal.jpeg" TargetMode="External"/><Relationship Id="rId15210" Type="http://schemas.openxmlformats.org/officeDocument/2006/relationships/hyperlink" Target="https://twitter.com/GeologyColin" TargetMode="External"/><Relationship Id="rId18780" Type="http://schemas.openxmlformats.org/officeDocument/2006/relationships/hyperlink" Target="https://twitter.com/KK24990/status/723896007264768000" TargetMode="External"/><Relationship Id="rId11820" Type="http://schemas.openxmlformats.org/officeDocument/2006/relationships/hyperlink" Target="https://pbs.twimg.com/profile_images/1110574851/petra-editor_normal.jpg" TargetMode="External"/><Relationship Id="rId18433" Type="http://schemas.openxmlformats.org/officeDocument/2006/relationships/hyperlink" Target="https://twitter.com/VWBeetleSales" TargetMode="External"/><Relationship Id="rId22829" Type="http://schemas.openxmlformats.org/officeDocument/2006/relationships/hyperlink" Target="https://twitter.com/LuLaRoeJackieP/status/724250544970326016" TargetMode="External"/><Relationship Id="rId6390" Type="http://schemas.openxmlformats.org/officeDocument/2006/relationships/hyperlink" Target="https://twitter.com/RugbyHour" TargetMode="External"/><Relationship Id="rId25302" Type="http://schemas.openxmlformats.org/officeDocument/2006/relationships/hyperlink" Target="https://twitter.com/DeeZeeX/status/724429984580792320" TargetMode="External"/><Relationship Id="rId6043" Type="http://schemas.openxmlformats.org/officeDocument/2006/relationships/hyperlink" Target="https://pbs.twimg.com/profile_images/627949001179037696/skEBkS05_normal.jpg" TargetMode="External"/><Relationship Id="rId12594" Type="http://schemas.openxmlformats.org/officeDocument/2006/relationships/hyperlink" Target="http://dlvr.it/" TargetMode="External"/><Relationship Id="rId972" Type="http://schemas.openxmlformats.org/officeDocument/2006/relationships/hyperlink" Target="https://twitter.com/Scirocco_Tuning/status/723008700013764608" TargetMode="External"/><Relationship Id="rId2653" Type="http://schemas.openxmlformats.org/officeDocument/2006/relationships/hyperlink" Target="https://twitter.com/Insta_VWT" TargetMode="External"/><Relationship Id="rId9266" Type="http://schemas.openxmlformats.org/officeDocument/2006/relationships/hyperlink" Target="https://pbs.twimg.com/profile_images/682117656502222848/Ge7YeAF3_normal.png" TargetMode="External"/><Relationship Id="rId12247" Type="http://schemas.openxmlformats.org/officeDocument/2006/relationships/hyperlink" Target="http://www.infooffensive.de/" TargetMode="External"/><Relationship Id="rId21912" Type="http://schemas.openxmlformats.org/officeDocument/2006/relationships/hyperlink" Target="https://pbs.twimg.com/profile_images/581304253232222209/xA9FxzU4_normal.jpg" TargetMode="External"/><Relationship Id="rId625" Type="http://schemas.openxmlformats.org/officeDocument/2006/relationships/hyperlink" Target="https://twitter.com/lucysmlthYNWA/status/722967477265817600" TargetMode="External"/><Relationship Id="rId2306" Type="http://schemas.openxmlformats.org/officeDocument/2006/relationships/hyperlink" Target="https://twitter.com/mikapleskinen" TargetMode="External"/><Relationship Id="rId5876" Type="http://schemas.openxmlformats.org/officeDocument/2006/relationships/hyperlink" Target="https://pbs.twimg.com/profile_images/650807125858500608/TugHCxzX_normal.jpg" TargetMode="External"/><Relationship Id="rId17919" Type="http://schemas.openxmlformats.org/officeDocument/2006/relationships/hyperlink" Target="https://twitter.com/solarpolis/status/723832933971271680" TargetMode="External"/><Relationship Id="rId18290" Type="http://schemas.openxmlformats.org/officeDocument/2006/relationships/hyperlink" Target="https://twitter.com/GaryLyford/status/723859561409613824" TargetMode="External"/><Relationship Id="rId5529" Type="http://schemas.openxmlformats.org/officeDocument/2006/relationships/hyperlink" Target="https://pbs.twimg.com/profile_images/707706885416361988/CSeBjVbk_normal.jpg" TargetMode="External"/><Relationship Id="rId22686" Type="http://schemas.openxmlformats.org/officeDocument/2006/relationships/hyperlink" Target="https://twitter.com/westy_nl/status/724239198941790208" TargetMode="External"/><Relationship Id="rId8002" Type="http://schemas.openxmlformats.org/officeDocument/2006/relationships/hyperlink" Target="https://twitter.com/LynnInCA" TargetMode="External"/><Relationship Id="rId11330" Type="http://schemas.openxmlformats.org/officeDocument/2006/relationships/hyperlink" Target="https://twitter.com/buran63/status/723500966406963201" TargetMode="External"/><Relationship Id="rId22339" Type="http://schemas.openxmlformats.org/officeDocument/2006/relationships/hyperlink" Target="https://pbs.twimg.com/profile_images/652871584131092480/QA_B6SBO_normal.jpg" TargetMode="External"/><Relationship Id="rId14553" Type="http://schemas.openxmlformats.org/officeDocument/2006/relationships/hyperlink" Target="https://pbs.twimg.com/profile_images/667473720701812736/FIda9hZJ_normal.jpg" TargetMode="External"/><Relationship Id="rId4612" Type="http://schemas.openxmlformats.org/officeDocument/2006/relationships/hyperlink" Target="https://pbs.twimg.com/profile_images/694724038237777920/NkP3MbMV_normal.png" TargetMode="External"/><Relationship Id="rId14206" Type="http://schemas.openxmlformats.org/officeDocument/2006/relationships/hyperlink" Target="https://pbs.twimg.com/profile_images/704043585453350913/gNxRyi-9_normal.jpg" TargetMode="External"/><Relationship Id="rId17776" Type="http://schemas.openxmlformats.org/officeDocument/2006/relationships/hyperlink" Target="https://pbs.twimg.com/profile_images/723649839221891072/b9ZWtdVv_normal.jpg" TargetMode="External"/><Relationship Id="rId21422" Type="http://schemas.openxmlformats.org/officeDocument/2006/relationships/hyperlink" Target="https://twitter.com/beetlebug1938" TargetMode="External"/><Relationship Id="rId24992" Type="http://schemas.openxmlformats.org/officeDocument/2006/relationships/hyperlink" Target="https://twitter.com/FastRevolver/status/724408382636077056" TargetMode="External"/><Relationship Id="rId482" Type="http://schemas.openxmlformats.org/officeDocument/2006/relationships/hyperlink" Target="https://twitter.com/woorisec_id" TargetMode="External"/><Relationship Id="rId2163" Type="http://schemas.openxmlformats.org/officeDocument/2006/relationships/hyperlink" Target="https://pbs.twimg.com/profile_images/698509815870578688/S6oEQDwn_normal.jpg" TargetMode="External"/><Relationship Id="rId7835" Type="http://schemas.openxmlformats.org/officeDocument/2006/relationships/hyperlink" Target="https://twitter.com/oldcar_photo/status/723333822746648576" TargetMode="External"/><Relationship Id="rId17429" Type="http://schemas.openxmlformats.org/officeDocument/2006/relationships/hyperlink" Target="https://twitter.com/VolkswagenPost/status/723798234611757057" TargetMode="External"/><Relationship Id="rId24645" Type="http://schemas.openxmlformats.org/officeDocument/2006/relationships/hyperlink" Target="https://pbs.twimg.com/profile_images/460936755387310080/wMC9yHRR_normal.jpeg" TargetMode="External"/><Relationship Id="rId135" Type="http://schemas.openxmlformats.org/officeDocument/2006/relationships/hyperlink" Target="https://twitter.com/OnlineCarReview" TargetMode="External"/><Relationship Id="rId5386" Type="http://schemas.openxmlformats.org/officeDocument/2006/relationships/hyperlink" Target="https://twitter.com/mocai01" TargetMode="External"/><Relationship Id="rId10816" Type="http://schemas.openxmlformats.org/officeDocument/2006/relationships/hyperlink" Target="https://pbs.twimg.com/profile_images/2990215932/3d67f4dbdf71510d4c8e81b422b73de8_normal.jpeg" TargetMode="External"/><Relationship Id="rId22196" Type="http://schemas.openxmlformats.org/officeDocument/2006/relationships/hyperlink" Target="https://twitter.com/beetlebug1938" TargetMode="External"/><Relationship Id="rId5039" Type="http://schemas.openxmlformats.org/officeDocument/2006/relationships/hyperlink" Target="https://pbs.twimg.com/profile_images/695333347594080256/cfTz2HlD_normal.jpg" TargetMode="External"/><Relationship Id="rId1996" Type="http://schemas.openxmlformats.org/officeDocument/2006/relationships/hyperlink" Target="https://twitter.com/JungbluthMarion/status/723074238299684864" TargetMode="External"/><Relationship Id="rId16512" Type="http://schemas.openxmlformats.org/officeDocument/2006/relationships/hyperlink" Target="https://twitter.com/nightalberta" TargetMode="External"/><Relationship Id="rId20908" Type="http://schemas.openxmlformats.org/officeDocument/2006/relationships/hyperlink" Target="https://pbs.twimg.com/profile_images/615493650785660928/XHUh6HOk_normal.jpg" TargetMode="External"/><Relationship Id="rId1649" Type="http://schemas.openxmlformats.org/officeDocument/2006/relationships/hyperlink" Target="https://twitter.com/RadoVon" TargetMode="External"/><Relationship Id="rId14063" Type="http://schemas.openxmlformats.org/officeDocument/2006/relationships/hyperlink" Target="https://pbs.twimg.com/profile_images/672878354127839232/M7OYc-zx_normal.jpg" TargetMode="External"/><Relationship Id="rId19735" Type="http://schemas.openxmlformats.org/officeDocument/2006/relationships/hyperlink" Target="https://twitter.com/dubbusses/status/723952402378940416" TargetMode="External"/><Relationship Id="rId4122" Type="http://schemas.openxmlformats.org/officeDocument/2006/relationships/hyperlink" Target="https://pbs.twimg.com/profile_images/633451240706281472/Tc016-Gw_normal.jpg" TargetMode="External"/><Relationship Id="rId7692" Type="http://schemas.openxmlformats.org/officeDocument/2006/relationships/hyperlink" Target="https://twitter.com/beetlebug1938/status/723323984654307328" TargetMode="External"/><Relationship Id="rId10673" Type="http://schemas.openxmlformats.org/officeDocument/2006/relationships/hyperlink" Target="https://twitter.com/aktionaer" TargetMode="External"/><Relationship Id="rId17286" Type="http://schemas.openxmlformats.org/officeDocument/2006/relationships/hyperlink" Target="https://pbs.twimg.com/profile_images/378800000179644697/989228d76c4c219758ab128e45d019ce_normal.jpeg" TargetMode="External"/><Relationship Id="rId7345" Type="http://schemas.openxmlformats.org/officeDocument/2006/relationships/hyperlink" Target="https://twitter.com/alexdelprete/status/723297345241264129" TargetMode="External"/><Relationship Id="rId10326" Type="http://schemas.openxmlformats.org/officeDocument/2006/relationships/hyperlink" Target="https://twitter.com/rbbabendschau/status/723469352725536769" TargetMode="External"/><Relationship Id="rId24155" Type="http://schemas.openxmlformats.org/officeDocument/2006/relationships/hyperlink" Target="https://twitter.com/BvdRides" TargetMode="External"/><Relationship Id="rId13896" Type="http://schemas.openxmlformats.org/officeDocument/2006/relationships/hyperlink" Target="https://twitter.com/beetlebug1938" TargetMode="External"/><Relationship Id="rId3608" Type="http://schemas.openxmlformats.org/officeDocument/2006/relationships/hyperlink" Target="https://twitter.com/MaikeruType1/status/723165992914964480" TargetMode="External"/><Relationship Id="rId3955" Type="http://schemas.openxmlformats.org/officeDocument/2006/relationships/hyperlink" Target="https://twitter.com/Automotive_News/status/723173023264579584" TargetMode="External"/><Relationship Id="rId13549" Type="http://schemas.openxmlformats.org/officeDocument/2006/relationships/hyperlink" Target="https://twitter.com/LStahlecker/status/723550218671640576" TargetMode="External"/><Relationship Id="rId16022" Type="http://schemas.openxmlformats.org/officeDocument/2006/relationships/hyperlink" Target="https://twitter.com/VolkswagenPost" TargetMode="External"/><Relationship Id="rId20765" Type="http://schemas.openxmlformats.org/officeDocument/2006/relationships/hyperlink" Target="https://twitter.com/nurullahonder34" TargetMode="External"/><Relationship Id="rId1159" Type="http://schemas.openxmlformats.org/officeDocument/2006/relationships/hyperlink" Target="https://twitter.com/ldnsecuritysynd/status/723023271525015552" TargetMode="External"/><Relationship Id="rId19592" Type="http://schemas.openxmlformats.org/officeDocument/2006/relationships/hyperlink" Target="https://twitter.com/Insta_VWT" TargetMode="External"/><Relationship Id="rId20418" Type="http://schemas.openxmlformats.org/officeDocument/2006/relationships/hyperlink" Target="https://pbs.twimg.com/profile_images/530009594236370944/9ZNr2jpQ_normal.jpeg" TargetMode="External"/><Relationship Id="rId23988" Type="http://schemas.openxmlformats.org/officeDocument/2006/relationships/hyperlink" Target="https://twitter.com/ebaycampervans" TargetMode="External"/><Relationship Id="rId9651" Type="http://schemas.openxmlformats.org/officeDocument/2006/relationships/hyperlink" Target="https://pbs.twimg.com/profile_images/703294545195307008/qeCvrX86_normal.jpg" TargetMode="External"/><Relationship Id="rId12632" Type="http://schemas.openxmlformats.org/officeDocument/2006/relationships/hyperlink" Target="https://twitter.com/SieverdingHans" TargetMode="External"/><Relationship Id="rId19245" Type="http://schemas.openxmlformats.org/officeDocument/2006/relationships/hyperlink" Target="https://twitter.com/cartes_roci" TargetMode="External"/><Relationship Id="rId9304" Type="http://schemas.openxmlformats.org/officeDocument/2006/relationships/hyperlink" Target="https://twitter.com/merkityksetoen/status/723430221035102208" TargetMode="External"/><Relationship Id="rId10183" Type="http://schemas.openxmlformats.org/officeDocument/2006/relationships/hyperlink" Target="https://twitter.com/sadiqgajimi" TargetMode="External"/><Relationship Id="rId15855" Type="http://schemas.openxmlformats.org/officeDocument/2006/relationships/hyperlink" Target="https://twitter.com/Ferrari_Jadore/status/723633930197409793" TargetMode="External"/><Relationship Id="rId5914" Type="http://schemas.openxmlformats.org/officeDocument/2006/relationships/hyperlink" Target="https://twitter.com/axhagedorn" TargetMode="External"/><Relationship Id="rId15508" Type="http://schemas.openxmlformats.org/officeDocument/2006/relationships/hyperlink" Target="https://twitter.com/DingosPDR/status/723610147969482752" TargetMode="External"/><Relationship Id="rId22724" Type="http://schemas.openxmlformats.org/officeDocument/2006/relationships/hyperlink" Target="https://twitter.com/calzonzote/status/724242342706733056" TargetMode="External"/><Relationship Id="rId3465" Type="http://schemas.openxmlformats.org/officeDocument/2006/relationships/hyperlink" Target="https://twitter.com/CarNotaFridge" TargetMode="External"/><Relationship Id="rId13059" Type="http://schemas.openxmlformats.org/officeDocument/2006/relationships/hyperlink" Target="https://pbs.twimg.com/profile_images/443812586782355456/0KDnCULg_normal.jpeg" TargetMode="External"/><Relationship Id="rId20275" Type="http://schemas.openxmlformats.org/officeDocument/2006/relationships/hyperlink" Target="https://twitter.com/agusruiz13" TargetMode="External"/><Relationship Id="rId3118" Type="http://schemas.openxmlformats.org/officeDocument/2006/relationships/hyperlink" Target="https://twitter.com/Rubyrocket67/status/723142906584961024" TargetMode="External"/><Relationship Id="rId6688" Type="http://schemas.openxmlformats.org/officeDocument/2006/relationships/hyperlink" Target="https://pbs.twimg.com/profile_images/644499650284752896/UgDFYFyy_normal.jpg" TargetMode="External"/><Relationship Id="rId23498" Type="http://schemas.openxmlformats.org/officeDocument/2006/relationships/hyperlink" Target="https://twitter.com/ldnsecuritysynd" TargetMode="External"/><Relationship Id="rId9161" Type="http://schemas.openxmlformats.org/officeDocument/2006/relationships/hyperlink" Target="https://pbs.twimg.com/profile_images/651870316692697093/njx4sk8f_normal.jpg" TargetMode="External"/><Relationship Id="rId12142" Type="http://schemas.openxmlformats.org/officeDocument/2006/relationships/hyperlink" Target="https://twitter.com/Michel63500/status/723513686082621441" TargetMode="External"/><Relationship Id="rId17814" Type="http://schemas.openxmlformats.org/officeDocument/2006/relationships/hyperlink" Target="https://twitter.com/Automotiveampl/status/723824640842301440" TargetMode="External"/><Relationship Id="rId520" Type="http://schemas.openxmlformats.org/officeDocument/2006/relationships/hyperlink" Target="https://twitter.com/layners3104/status/722964429386690561" TargetMode="External"/><Relationship Id="rId2201" Type="http://schemas.openxmlformats.org/officeDocument/2006/relationships/hyperlink" Target="https://twitter.com/VWBeetleSales/status/723087902251446272" TargetMode="External"/><Relationship Id="rId5771" Type="http://schemas.openxmlformats.org/officeDocument/2006/relationships/hyperlink" Target="https://twitter.com/morvjn" TargetMode="External"/><Relationship Id="rId15365" Type="http://schemas.openxmlformats.org/officeDocument/2006/relationships/hyperlink" Target="https://pbs.twimg.com/profile_images/712373968540471296/c0joNTtP_normal.jpg" TargetMode="External"/><Relationship Id="rId22581" Type="http://schemas.openxmlformats.org/officeDocument/2006/relationships/hyperlink" Target="https://twitter.com/rajesh12june/status/724231814567571456" TargetMode="External"/><Relationship Id="rId5424" Type="http://schemas.openxmlformats.org/officeDocument/2006/relationships/hyperlink" Target="https://pbs.twimg.com/profile_images/378800000725391467/b3df75451f29daac5082a6fcc8f44478_normal.jpeg" TargetMode="External"/><Relationship Id="rId8994" Type="http://schemas.openxmlformats.org/officeDocument/2006/relationships/hyperlink" Target="https://twitter.com/mia_herr/status/723415143481110529" TargetMode="External"/><Relationship Id="rId15018" Type="http://schemas.openxmlformats.org/officeDocument/2006/relationships/hyperlink" Target="https://pbs.twimg.com/profile_images/719374746882863104/mJVCSYuc_normal.jpg" TargetMode="External"/><Relationship Id="rId18588" Type="http://schemas.openxmlformats.org/officeDocument/2006/relationships/hyperlink" Target="https://pbs.twimg.com/profile_images/653637535545995264/gHuXQ5Bt_normal.jpg" TargetMode="External"/><Relationship Id="rId22234" Type="http://schemas.openxmlformats.org/officeDocument/2006/relationships/hyperlink" Target="https://twitter.com/B13Rugby" TargetMode="External"/><Relationship Id="rId8647" Type="http://schemas.openxmlformats.org/officeDocument/2006/relationships/hyperlink" Target="https://pbs.twimg.com/profile_images/700782877558964225/WliMK81e_normal.jpg" TargetMode="External"/><Relationship Id="rId11975" Type="http://schemas.openxmlformats.org/officeDocument/2006/relationships/hyperlink" Target="https://twitter.com/bayl/status/723511307106959361" TargetMode="External"/><Relationship Id="rId25457" Type="http://schemas.openxmlformats.org/officeDocument/2006/relationships/hyperlink" Target="https://twitter.com/luc4m4rtin/status/724440064038559744" TargetMode="External"/><Relationship Id="rId6198" Type="http://schemas.openxmlformats.org/officeDocument/2006/relationships/hyperlink" Target="https://pbs.twimg.com/profile_images/718275890933809156/npH4oxJP_normal.jpg" TargetMode="External"/><Relationship Id="rId11628" Type="http://schemas.openxmlformats.org/officeDocument/2006/relationships/hyperlink" Target="https://twitter.com/martincschmalz/status/723504430306357249" TargetMode="External"/><Relationship Id="rId14101" Type="http://schemas.openxmlformats.org/officeDocument/2006/relationships/hyperlink" Target="https://twitter.com/RTLRally/status/723564227718483968" TargetMode="External"/><Relationship Id="rId17671" Type="http://schemas.openxmlformats.org/officeDocument/2006/relationships/hyperlink" Target="https://twitter.com/dwnews/status/723815128987230208" TargetMode="External"/><Relationship Id="rId5281" Type="http://schemas.openxmlformats.org/officeDocument/2006/relationships/hyperlink" Target="https://twitter.com/DeepLora/status/723199374436638720" TargetMode="External"/><Relationship Id="rId7730" Type="http://schemas.openxmlformats.org/officeDocument/2006/relationships/hyperlink" Target="https://twitter.com/1stInSEO" TargetMode="External"/><Relationship Id="rId10711" Type="http://schemas.openxmlformats.org/officeDocument/2006/relationships/hyperlink" Target="https://pbs.twimg.com/profile_images/684439034580570112/xeZrDF8k_normal.jpg" TargetMode="External"/><Relationship Id="rId17324" Type="http://schemas.openxmlformats.org/officeDocument/2006/relationships/hyperlink" Target="https://twitter.com/VeeDubMk1_/status/723790915110854660" TargetMode="External"/><Relationship Id="rId22091" Type="http://schemas.openxmlformats.org/officeDocument/2006/relationships/hyperlink" Target="https://twitter.com/coccicab71" TargetMode="External"/><Relationship Id="rId24540" Type="http://schemas.openxmlformats.org/officeDocument/2006/relationships/hyperlink" Target="https://twitter.com/LaneRussellVW" TargetMode="External"/><Relationship Id="rId13934" Type="http://schemas.openxmlformats.org/officeDocument/2006/relationships/hyperlink" Target="https://pbs.twimg.com/profile_images/292857657/GreenGrowth_normal.jpg" TargetMode="External"/><Relationship Id="rId1891" Type="http://schemas.openxmlformats.org/officeDocument/2006/relationships/hyperlink" Target="https://twitter.com/Pete_Ubhi" TargetMode="External"/><Relationship Id="rId11485" Type="http://schemas.openxmlformats.org/officeDocument/2006/relationships/hyperlink" Target="https://twitter.com/VolkerVotsmeier" TargetMode="External"/><Relationship Id="rId18098" Type="http://schemas.openxmlformats.org/officeDocument/2006/relationships/hyperlink" Target="http://exvtra.co.uk/" TargetMode="External"/><Relationship Id="rId20803" Type="http://schemas.openxmlformats.org/officeDocument/2006/relationships/hyperlink" Target="https://twitter.com/crissshidalgo/status/724047141501472768" TargetMode="External"/><Relationship Id="rId1544" Type="http://schemas.openxmlformats.org/officeDocument/2006/relationships/hyperlink" Target="https://twitter.com/thecomficottage" TargetMode="External"/><Relationship Id="rId8157" Type="http://schemas.openxmlformats.org/officeDocument/2006/relationships/hyperlink" Target="https://pbs.twimg.com/profile_images/2991412895/a889495de8689349b833cc7f5b8bdda2_normal.jpeg" TargetMode="External"/><Relationship Id="rId11138" Type="http://schemas.openxmlformats.org/officeDocument/2006/relationships/hyperlink" Target="https://twitter.com/esdefren_az" TargetMode="External"/><Relationship Id="rId4767" Type="http://schemas.openxmlformats.org/officeDocument/2006/relationships/hyperlink" Target="https://pbs.twimg.com/profile_images/378800000348226431/5ecdd1e54f9479e0545e239d17942701_normal.jpeg" TargetMode="External"/><Relationship Id="rId17181" Type="http://schemas.openxmlformats.org/officeDocument/2006/relationships/hyperlink" Target="https://pbs.twimg.com/profile_images/710862405924995073/1bboZzVW_normal.jpg" TargetMode="External"/><Relationship Id="rId19630" Type="http://schemas.openxmlformats.org/officeDocument/2006/relationships/hyperlink" Target="https://twitter.com/AutosRivada/status/723944306822811648" TargetMode="External"/><Relationship Id="rId21577" Type="http://schemas.openxmlformats.org/officeDocument/2006/relationships/hyperlink" Target="https://pbs.twimg.com/profile_images/703294545195307008/qeCvrX86_normal.jpg" TargetMode="External"/><Relationship Id="rId7240" Type="http://schemas.openxmlformats.org/officeDocument/2006/relationships/hyperlink" Target="https://pbs.twimg.com/profile_images/1610421423/Image2_normal.jpg" TargetMode="External"/><Relationship Id="rId24050" Type="http://schemas.openxmlformats.org/officeDocument/2006/relationships/hyperlink" Target="https://twitter.com/lukeyrb13" TargetMode="External"/><Relationship Id="rId10221" Type="http://schemas.openxmlformats.org/officeDocument/2006/relationships/hyperlink" Target="http://dlvr.it/" TargetMode="External"/><Relationship Id="rId13791" Type="http://schemas.openxmlformats.org/officeDocument/2006/relationships/hyperlink" Target="http://dlvr.it/" TargetMode="External"/><Relationship Id="rId3850" Type="http://schemas.openxmlformats.org/officeDocument/2006/relationships/hyperlink" Target="https://pbs.twimg.com/profile_images/713091974811807749/yW8T_qBX_normal.jpg" TargetMode="External"/><Relationship Id="rId13444" Type="http://schemas.openxmlformats.org/officeDocument/2006/relationships/hyperlink" Target="https://twitter.com/Insta_VWT" TargetMode="External"/><Relationship Id="rId20660" Type="http://schemas.openxmlformats.org/officeDocument/2006/relationships/hyperlink" Target="https://twitter.com/lety_76" TargetMode="External"/><Relationship Id="rId3503" Type="http://schemas.openxmlformats.org/officeDocument/2006/relationships/hyperlink" Target="https://pbs.twimg.com/profile_images/2984667859/2d3be96d9f861d5e4429090bd545ad3e_normal.jpeg" TargetMode="External"/><Relationship Id="rId16667" Type="http://schemas.openxmlformats.org/officeDocument/2006/relationships/hyperlink" Target="https://twitter.com/Tweets4Yoga" TargetMode="External"/><Relationship Id="rId20313" Type="http://schemas.openxmlformats.org/officeDocument/2006/relationships/hyperlink" Target="https://twitter.com/SophleKeads/status/723990244786356224" TargetMode="External"/><Relationship Id="rId23883" Type="http://schemas.openxmlformats.org/officeDocument/2006/relationships/hyperlink" Target="https://pbs.twimg.com/profile_images/627949001179037696/skEBkS05_normal.jpg" TargetMode="External"/><Relationship Id="rId1054" Type="http://schemas.openxmlformats.org/officeDocument/2006/relationships/hyperlink" Target="https://twitter.com/Gareth1958/status/723015761376219136" TargetMode="External"/><Relationship Id="rId6726" Type="http://schemas.openxmlformats.org/officeDocument/2006/relationships/hyperlink" Target="https://pbs.twimg.com/profile_images/570375988065935360/ooT_Nq7x_normal.jpeg" TargetMode="External"/><Relationship Id="rId19140" Type="http://schemas.openxmlformats.org/officeDocument/2006/relationships/hyperlink" Target="https://pbs.twimg.com/profile_images/644897595442241536/62y226Ai_normal.jpg" TargetMode="External"/><Relationship Id="rId23536" Type="http://schemas.openxmlformats.org/officeDocument/2006/relationships/hyperlink" Target="https://pbs.twimg.com/profile_images/418964142821617665/IPKVoet9_normal.jpeg" TargetMode="External"/><Relationship Id="rId4277" Type="http://schemas.openxmlformats.org/officeDocument/2006/relationships/hyperlink" Target="https://twitter.com/SquawkStreet" TargetMode="External"/><Relationship Id="rId9949" Type="http://schemas.openxmlformats.org/officeDocument/2006/relationships/hyperlink" Target="https://twitter.com/DayanLuce/status/723454932322390016" TargetMode="External"/><Relationship Id="rId21087" Type="http://schemas.openxmlformats.org/officeDocument/2006/relationships/hyperlink" Target="https://twitter.com/Volkswagen4ever/status/724097018281484288" TargetMode="External"/><Relationship Id="rId15750" Type="http://schemas.openxmlformats.org/officeDocument/2006/relationships/hyperlink" Target="http://ctrlq.org/maps/address/" TargetMode="External"/><Relationship Id="rId3360" Type="http://schemas.openxmlformats.org/officeDocument/2006/relationships/hyperlink" Target="https://twitter.com/SJ_LOWTEC/status/723153706166837248" TargetMode="External"/><Relationship Id="rId15403" Type="http://schemas.openxmlformats.org/officeDocument/2006/relationships/hyperlink" Target="https://twitter.com/MatiiSpinaa" TargetMode="External"/><Relationship Id="rId18973" Type="http://schemas.openxmlformats.org/officeDocument/2006/relationships/hyperlink" Target="https://twitter.com/Litardo_GermanC/status/723910315608576000" TargetMode="External"/><Relationship Id="rId20170" Type="http://schemas.openxmlformats.org/officeDocument/2006/relationships/hyperlink" Target="https://twitter.com/VolkswagenPost" TargetMode="External"/><Relationship Id="rId3013" Type="http://schemas.openxmlformats.org/officeDocument/2006/relationships/hyperlink" Target="https://twitter.com/VolkswagenPost/status/723132674215317505" TargetMode="External"/><Relationship Id="rId18626" Type="http://schemas.openxmlformats.org/officeDocument/2006/relationships/hyperlink" Target="http://ctrlq.org/maps/address/" TargetMode="External"/><Relationship Id="rId6583" Type="http://schemas.openxmlformats.org/officeDocument/2006/relationships/hyperlink" Target="https://pbs.twimg.com/profile_images/718497519106400256/Vh6isLWh_normal.jpg" TargetMode="External"/><Relationship Id="rId16177" Type="http://schemas.openxmlformats.org/officeDocument/2006/relationships/hyperlink" Target="https://twitter.com/Jairoogorosito/status/723653915078758401" TargetMode="External"/><Relationship Id="rId23393" Type="http://schemas.openxmlformats.org/officeDocument/2006/relationships/hyperlink" Target="https://pbs.twimg.com/profile_images/545688359964651520/SF3sJ7lv_normal.jpeg" TargetMode="External"/><Relationship Id="rId6236" Type="http://schemas.openxmlformats.org/officeDocument/2006/relationships/hyperlink" Target="https://pbs.twimg.com/profile_images/3351113749/f60b3a084ef074a0096cc6fd119fa483_normal.jpeg" TargetMode="External"/><Relationship Id="rId12787" Type="http://schemas.openxmlformats.org/officeDocument/2006/relationships/hyperlink" Target="https://twitter.com/Snoopy92" TargetMode="External"/><Relationship Id="rId23046" Type="http://schemas.openxmlformats.org/officeDocument/2006/relationships/hyperlink" Target="https://twitter.com/Auto2day_gr" TargetMode="External"/><Relationship Id="rId2846" Type="http://schemas.openxmlformats.org/officeDocument/2006/relationships/hyperlink" Target="https://pbs.twimg.com/profile_images/1114950889/image_normal.jpg" TargetMode="External"/><Relationship Id="rId9459" Type="http://schemas.openxmlformats.org/officeDocument/2006/relationships/hyperlink" Target="https://pbs.twimg.com/profile_images/488719995401027584/VzWWQNs__normal.jpeg" TargetMode="External"/><Relationship Id="rId15260" Type="http://schemas.openxmlformats.org/officeDocument/2006/relationships/hyperlink" Target="https://twitter.com/walter_johnson1/status/723601627094106112" TargetMode="External"/><Relationship Id="rId818" Type="http://schemas.openxmlformats.org/officeDocument/2006/relationships/hyperlink" Target="https://pbs.twimg.com/profile_images/571042602321842176/i19YeFP5_normal.jpeg" TargetMode="External"/><Relationship Id="rId11870" Type="http://schemas.openxmlformats.org/officeDocument/2006/relationships/hyperlink" Target="https://twitter.com/MarkCSchneider" TargetMode="External"/><Relationship Id="rId18483" Type="http://schemas.openxmlformats.org/officeDocument/2006/relationships/hyperlink" Target="https://twitter.com/heikolossie" TargetMode="External"/><Relationship Id="rId22879" Type="http://schemas.openxmlformats.org/officeDocument/2006/relationships/hyperlink" Target="https://pbs.twimg.com/profile_images/718820712757215233/LXXndPTS_normal.jpg" TargetMode="External"/><Relationship Id="rId6093" Type="http://schemas.openxmlformats.org/officeDocument/2006/relationships/hyperlink" Target="https://twitter.com/OnlineCarReview" TargetMode="External"/><Relationship Id="rId8542" Type="http://schemas.openxmlformats.org/officeDocument/2006/relationships/hyperlink" Target="https://twitter.com/timmdoppel_m" TargetMode="External"/><Relationship Id="rId11523" Type="http://schemas.openxmlformats.org/officeDocument/2006/relationships/hyperlink" Target="https://pbs.twimg.com/profile_images/588735564154806272/d8_8cgTC_normal.jpg" TargetMode="External"/><Relationship Id="rId18136" Type="http://schemas.openxmlformats.org/officeDocument/2006/relationships/hyperlink" Target="https://twitter.com/MarkCSchneider/status/723846430662754304" TargetMode="External"/><Relationship Id="rId25352" Type="http://schemas.openxmlformats.org/officeDocument/2006/relationships/hyperlink" Target="https://pbs.twimg.com/profile_images/599357023407464449/BL9Bpo6T_normal.jpg" TargetMode="External"/><Relationship Id="rId14746" Type="http://schemas.openxmlformats.org/officeDocument/2006/relationships/hyperlink" Target="https://twitter.com/exequielleguiz1" TargetMode="External"/><Relationship Id="rId21962" Type="http://schemas.openxmlformats.org/officeDocument/2006/relationships/hyperlink" Target="https://twitter.com/Otherbots" TargetMode="External"/><Relationship Id="rId25005" Type="http://schemas.openxmlformats.org/officeDocument/2006/relationships/hyperlink" Target="https://pbs.twimg.com/profile_images/634021831364747264/5vPrL2JH_normal.jpg" TargetMode="External"/><Relationship Id="rId4805" Type="http://schemas.openxmlformats.org/officeDocument/2006/relationships/hyperlink" Target="https://twitter.com/styllnziall/status/723188375256227840" TargetMode="External"/><Relationship Id="rId12297" Type="http://schemas.openxmlformats.org/officeDocument/2006/relationships/hyperlink" Target="https://pbs.twimg.com/profile_images/657853466384191488/J6vAnfZr_normal.jpg" TargetMode="External"/><Relationship Id="rId21615" Type="http://schemas.openxmlformats.org/officeDocument/2006/relationships/hyperlink" Target="https://twitter.com/dubbusses/status/724163812300042241" TargetMode="External"/><Relationship Id="rId675" Type="http://schemas.openxmlformats.org/officeDocument/2006/relationships/hyperlink" Target="https://twitter.com/TomWhitham52" TargetMode="External"/><Relationship Id="rId2356" Type="http://schemas.openxmlformats.org/officeDocument/2006/relationships/hyperlink" Target="https://twitter.com/treibholzfilm" TargetMode="External"/><Relationship Id="rId17969" Type="http://schemas.openxmlformats.org/officeDocument/2006/relationships/hyperlink" Target="https://pbs.twimg.com/profile_images/509471961303371776/dg3kiGiI_normal.jpeg" TargetMode="External"/><Relationship Id="rId328" Type="http://schemas.openxmlformats.org/officeDocument/2006/relationships/hyperlink" Target="https://twitter.com/sneev" TargetMode="External"/><Relationship Id="rId2009" Type="http://schemas.openxmlformats.org/officeDocument/2006/relationships/hyperlink" Target="https://pbs.twimg.com/profile_images/344513261573756879/61c9558432496f4a861ad93b4c679e59_normal.jpeg" TargetMode="External"/><Relationship Id="rId5579" Type="http://schemas.openxmlformats.org/officeDocument/2006/relationships/hyperlink" Target="https://twitter.com/Auto2day_gr/status/723209766651064321" TargetMode="External"/><Relationship Id="rId22389" Type="http://schemas.openxmlformats.org/officeDocument/2006/relationships/hyperlink" Target="https://pbs.twimg.com/profile_images/710998412557213696/35ck8XjS_normal.jpg" TargetMode="External"/><Relationship Id="rId24838" Type="http://schemas.openxmlformats.org/officeDocument/2006/relationships/hyperlink" Target="https://twitter.com/t0ptoff" TargetMode="External"/><Relationship Id="rId8052" Type="http://schemas.openxmlformats.org/officeDocument/2006/relationships/hyperlink" Target="https://twitter.com/meenaabedi/status/723355408174321664" TargetMode="External"/><Relationship Id="rId11033" Type="http://schemas.openxmlformats.org/officeDocument/2006/relationships/hyperlink" Target="https://twitter.com/markhowardracer/status/723495093072760832" TargetMode="External"/><Relationship Id="rId11380" Type="http://schemas.openxmlformats.org/officeDocument/2006/relationships/hyperlink" Target="https://twitter.com/sevendirector" TargetMode="External"/><Relationship Id="rId16705" Type="http://schemas.openxmlformats.org/officeDocument/2006/relationships/hyperlink" Target="https://twitter.com/CaaioMonteiro/status/723712884652556289" TargetMode="External"/><Relationship Id="rId23921" Type="http://schemas.openxmlformats.org/officeDocument/2006/relationships/hyperlink" Target="https://twitter.com/beetlebug1938" TargetMode="External"/><Relationship Id="rId4662" Type="http://schemas.openxmlformats.org/officeDocument/2006/relationships/hyperlink" Target="https://pbs.twimg.com/profile_images/431166006807904256/QQuD9iZE_normal.jpeg" TargetMode="External"/><Relationship Id="rId14256" Type="http://schemas.openxmlformats.org/officeDocument/2006/relationships/hyperlink" Target="https://pbs.twimg.com/profile_images/711265333731061760/gOpH6ixc_normal.jpg" TargetMode="External"/><Relationship Id="rId19928" Type="http://schemas.openxmlformats.org/officeDocument/2006/relationships/hyperlink" Target="https://twitter.com/OseaesO/status/723964140964974593" TargetMode="External"/><Relationship Id="rId21472" Type="http://schemas.openxmlformats.org/officeDocument/2006/relationships/hyperlink" Target="https://pbs.twimg.com/profile_images/2654752586/a84c87946d743f821020c99db923b263_normal.png" TargetMode="External"/><Relationship Id="rId185" Type="http://schemas.openxmlformats.org/officeDocument/2006/relationships/hyperlink" Target="https://twitter.com/Lindsay_VW/status/722932944357236736" TargetMode="External"/><Relationship Id="rId4315" Type="http://schemas.openxmlformats.org/officeDocument/2006/relationships/hyperlink" Target="https://twitter.com/Scirocco_Tuning" TargetMode="External"/><Relationship Id="rId7885" Type="http://schemas.openxmlformats.org/officeDocument/2006/relationships/hyperlink" Target="https://pbs.twimg.com/profile_images/430883410/bms200x200_facebook_1_normal.jpg" TargetMode="External"/><Relationship Id="rId10866" Type="http://schemas.openxmlformats.org/officeDocument/2006/relationships/hyperlink" Target="https://twitter.com/PorscheOfficApp" TargetMode="External"/><Relationship Id="rId17479" Type="http://schemas.openxmlformats.org/officeDocument/2006/relationships/hyperlink" Target="https://twitter.com/PriskaHinz" TargetMode="External"/><Relationship Id="rId21125" Type="http://schemas.openxmlformats.org/officeDocument/2006/relationships/hyperlink" Target="https://twitter.com/OnlineCarReview" TargetMode="External"/><Relationship Id="rId24695" Type="http://schemas.openxmlformats.org/officeDocument/2006/relationships/hyperlink" Target="https://twitter.com/VWBeetleSales/status/724384442412732417" TargetMode="External"/><Relationship Id="rId7538" Type="http://schemas.openxmlformats.org/officeDocument/2006/relationships/hyperlink" Target="https://pbs.twimg.com/profile_images/575809621526364161/eajgvz2x_normal.jpeg" TargetMode="External"/><Relationship Id="rId10519" Type="http://schemas.openxmlformats.org/officeDocument/2006/relationships/hyperlink" Target="https://twitter.com/Joseph_Bennell" TargetMode="External"/><Relationship Id="rId24348" Type="http://schemas.openxmlformats.org/officeDocument/2006/relationships/hyperlink" Target="https://twitter.com/DenglerW/status/724349477843292160" TargetMode="External"/><Relationship Id="rId5089" Type="http://schemas.openxmlformats.org/officeDocument/2006/relationships/hyperlink" Target="https://twitter.com/ErnstvAll/status/723194048719122433" TargetMode="External"/><Relationship Id="rId1699" Type="http://schemas.openxmlformats.org/officeDocument/2006/relationships/hyperlink" Target="https://pbs.twimg.com/profile_images/2491572045/qzn83rp5ru7t95b5phpn_normal.jpeg" TargetMode="External"/><Relationship Id="rId16562" Type="http://schemas.openxmlformats.org/officeDocument/2006/relationships/hyperlink" Target="https://twitter.com/beetlebug1938/status/723695430358409217" TargetMode="External"/><Relationship Id="rId20958" Type="http://schemas.openxmlformats.org/officeDocument/2006/relationships/hyperlink" Target="https://twitter.com/chrispillennews/status/724072988124045312" TargetMode="External"/><Relationship Id="rId4172" Type="http://schemas.openxmlformats.org/officeDocument/2006/relationships/hyperlink" Target="https://twitter.com/WashAutoPress" TargetMode="External"/><Relationship Id="rId6621" Type="http://schemas.openxmlformats.org/officeDocument/2006/relationships/hyperlink" Target="https://pbs.twimg.com/profile_images/703294545195307008/qeCvrX86_normal.jpg" TargetMode="External"/><Relationship Id="rId16215" Type="http://schemas.openxmlformats.org/officeDocument/2006/relationships/hyperlink" Target="https://twitter.com/n05w04" TargetMode="External"/><Relationship Id="rId19785" Type="http://schemas.openxmlformats.org/officeDocument/2006/relationships/hyperlink" Target="https://pbs.twimg.com/profile_images/689135486544293889/vPAeUEzo_normal.jpg" TargetMode="External"/><Relationship Id="rId23431" Type="http://schemas.openxmlformats.org/officeDocument/2006/relationships/hyperlink" Target="https://pbs.twimg.com/profile_images/721685831166111744/HWnVj-Yd_normal.jpg" TargetMode="External"/><Relationship Id="rId9844" Type="http://schemas.openxmlformats.org/officeDocument/2006/relationships/hyperlink" Target="https://twitter.com/Henriquelagarto/status/723451311933378560" TargetMode="External"/><Relationship Id="rId12825" Type="http://schemas.openxmlformats.org/officeDocument/2006/relationships/hyperlink" Target="https://pbs.twimg.com/profile_images/722924621301956608/WYrNe6po_normal.jpg" TargetMode="External"/><Relationship Id="rId19438" Type="http://schemas.openxmlformats.org/officeDocument/2006/relationships/hyperlink" Target="http://dlvr.it/" TargetMode="External"/><Relationship Id="rId58" Type="http://schemas.openxmlformats.org/officeDocument/2006/relationships/hyperlink" Target="https://twitter.com/Kaikoujin" TargetMode="External"/><Relationship Id="rId7048" Type="http://schemas.openxmlformats.org/officeDocument/2006/relationships/hyperlink" Target="https://twitter.com/tatymontespr" TargetMode="External"/><Relationship Id="rId7395" Type="http://schemas.openxmlformats.org/officeDocument/2006/relationships/hyperlink" Target="https://twitter.com/DreamCarsRepair/status/723300343971491841" TargetMode="External"/><Relationship Id="rId10376" Type="http://schemas.openxmlformats.org/officeDocument/2006/relationships/hyperlink" Target="https://pbs.twimg.com/profile_images/524294614946045952/UDyQTUuk_normal.jpeg" TargetMode="External"/><Relationship Id="rId10029" Type="http://schemas.openxmlformats.org/officeDocument/2006/relationships/hyperlink" Target="https://pbs.twimg.com/profile_images/445545482572410880/pVcl7UPf_normal.jpeg" TargetMode="External"/><Relationship Id="rId13599" Type="http://schemas.openxmlformats.org/officeDocument/2006/relationships/hyperlink" Target="https://twitter.com/techhippie" TargetMode="External"/><Relationship Id="rId18521" Type="http://schemas.openxmlformats.org/officeDocument/2006/relationships/hyperlink" Target="http://dlvr.it/" TargetMode="External"/><Relationship Id="rId3658" Type="http://schemas.openxmlformats.org/officeDocument/2006/relationships/hyperlink" Target="https://twitter.com/ZDFheute/status/723167041885245440" TargetMode="External"/><Relationship Id="rId16072" Type="http://schemas.openxmlformats.org/officeDocument/2006/relationships/hyperlink" Target="https://pbs.twimg.com/profile_images/672153171607744512/19k3O2VA_normal.png" TargetMode="External"/><Relationship Id="rId20468" Type="http://schemas.openxmlformats.org/officeDocument/2006/relationships/hyperlink" Target="https://pbs.twimg.com/profile_images/525020643192885248/IrAFt9kX_normal.jpeg" TargetMode="External"/><Relationship Id="rId22917" Type="http://schemas.openxmlformats.org/officeDocument/2006/relationships/hyperlink" Target="https://twitter.com/Aloj_do_Zezere" TargetMode="External"/><Relationship Id="rId6131" Type="http://schemas.openxmlformats.org/officeDocument/2006/relationships/hyperlink" Target="https://twitter.com/c_garrels/status/723231784088031232" TargetMode="External"/><Relationship Id="rId19295" Type="http://schemas.openxmlformats.org/officeDocument/2006/relationships/hyperlink" Target="https://twitter.com/premchandc87/status/723926398193160193" TargetMode="External"/><Relationship Id="rId9354" Type="http://schemas.openxmlformats.org/officeDocument/2006/relationships/hyperlink" Target="https://twitter.com/MichaelNdri" TargetMode="External"/><Relationship Id="rId12682" Type="http://schemas.openxmlformats.org/officeDocument/2006/relationships/hyperlink" Target="https://pbs.twimg.com/profile_images/720230297288196096/PZ-rMJyA_normal.jpg" TargetMode="External"/><Relationship Id="rId2741" Type="http://schemas.openxmlformats.org/officeDocument/2006/relationships/hyperlink" Target="https://pbs.twimg.com/profile_images/719568169359261696/UghcJUcE_normal.jpg" TargetMode="External"/><Relationship Id="rId9007" Type="http://schemas.openxmlformats.org/officeDocument/2006/relationships/hyperlink" Target="https://pbs.twimg.com/profile_images/531108045451837442/KHuLHxmU_normal.jpeg" TargetMode="External"/><Relationship Id="rId12335" Type="http://schemas.openxmlformats.org/officeDocument/2006/relationships/hyperlink" Target="https://twitter.com/wehrs18" TargetMode="External"/><Relationship Id="rId713" Type="http://schemas.openxmlformats.org/officeDocument/2006/relationships/hyperlink" Target="https://twitter.com/cljeremyxtjH/status/722969249250045952" TargetMode="External"/><Relationship Id="rId5964" Type="http://schemas.openxmlformats.org/officeDocument/2006/relationships/hyperlink" Target="https://twitter.com/news5wcyb/status/723225548646957058" TargetMode="External"/><Relationship Id="rId15558" Type="http://schemas.openxmlformats.org/officeDocument/2006/relationships/hyperlink" Target="https://pbs.twimg.com/profile_images/654013242855981056/eqTQh9Bn_normal.png" TargetMode="External"/><Relationship Id="rId22774" Type="http://schemas.openxmlformats.org/officeDocument/2006/relationships/hyperlink" Target="https://pbs.twimg.com/profile_images/679504135125778432/O4eV8Rwx_normal.jpg" TargetMode="External"/><Relationship Id="rId5617" Type="http://schemas.openxmlformats.org/officeDocument/2006/relationships/hyperlink" Target="https://twitter.com/sfchronicle" TargetMode="External"/><Relationship Id="rId18031" Type="http://schemas.openxmlformats.org/officeDocument/2006/relationships/hyperlink" Target="https://pbs.twimg.com/profile_images/668437116981018625/BA3Ui4qQ_normal.jpg" TargetMode="External"/><Relationship Id="rId22427" Type="http://schemas.openxmlformats.org/officeDocument/2006/relationships/hyperlink" Target="https://twitter.com/enormgruen" TargetMode="External"/><Relationship Id="rId3168" Type="http://schemas.openxmlformats.org/officeDocument/2006/relationships/hyperlink" Target="https://twitter.com/VeeDubMk1_/status/723144422997786624" TargetMode="External"/><Relationship Id="rId12192" Type="http://schemas.openxmlformats.org/officeDocument/2006/relationships/hyperlink" Target="https://pbs.twimg.com/profile_images/2582093676/ycxtld6qgn0wo14pu94z_normal.png" TargetMode="External"/><Relationship Id="rId14641" Type="http://schemas.openxmlformats.org/officeDocument/2006/relationships/hyperlink" Target="https://twitter.com/ThomasGermany01/status/723578272295038982" TargetMode="External"/><Relationship Id="rId570" Type="http://schemas.openxmlformats.org/officeDocument/2006/relationships/hyperlink" Target="https://twitter.com/FlemingtonAudi" TargetMode="External"/><Relationship Id="rId2251" Type="http://schemas.openxmlformats.org/officeDocument/2006/relationships/hyperlink" Target="https://twitter.com/vwpress_en/status/723091280901844992" TargetMode="External"/><Relationship Id="rId4700" Type="http://schemas.openxmlformats.org/officeDocument/2006/relationships/hyperlink" Target="https://pbs.twimg.com/profile_images/721587695231836160/bgJ8Jcnh_normal.jpg" TargetMode="External"/><Relationship Id="rId17864" Type="http://schemas.openxmlformats.org/officeDocument/2006/relationships/hyperlink" Target="https://twitter.com/misa7231kbear/status/723829257579843584" TargetMode="External"/><Relationship Id="rId21510" Type="http://schemas.openxmlformats.org/officeDocument/2006/relationships/hyperlink" Target="https://pbs.twimg.com/profile_images/464052841162633216/_IVpzkY6_normal.jpeg" TargetMode="External"/><Relationship Id="rId223" Type="http://schemas.openxmlformats.org/officeDocument/2006/relationships/hyperlink" Target="https://twitter.com/EverCharge" TargetMode="External"/><Relationship Id="rId7923" Type="http://schemas.openxmlformats.org/officeDocument/2006/relationships/hyperlink" Target="https://twitter.com/ghcj/status/723342499834515457" TargetMode="External"/><Relationship Id="rId10904" Type="http://schemas.openxmlformats.org/officeDocument/2006/relationships/hyperlink" Target="https://pbs.twimg.com/profile_images/681930519152619524/O4FX8h-k_normal.jpg" TargetMode="External"/><Relationship Id="rId17517" Type="http://schemas.openxmlformats.org/officeDocument/2006/relationships/hyperlink" Target="http://dlvr.it/" TargetMode="External"/><Relationship Id="rId24733" Type="http://schemas.openxmlformats.org/officeDocument/2006/relationships/hyperlink" Target="https://pbs.twimg.com/profile_images/696171758877999104/iAcEEMnX_normal.jpg" TargetMode="External"/><Relationship Id="rId5474" Type="http://schemas.openxmlformats.org/officeDocument/2006/relationships/hyperlink" Target="https://pbs.twimg.com/profile_images/2091932580/1_normal.jpg" TargetMode="External"/><Relationship Id="rId15068" Type="http://schemas.openxmlformats.org/officeDocument/2006/relationships/hyperlink" Target="https://twitter.com/luisvilla080921" TargetMode="External"/><Relationship Id="rId22284" Type="http://schemas.openxmlformats.org/officeDocument/2006/relationships/hyperlink" Target="https://pbs.twimg.com/profile_images/664095102885879808/9XJjykPM_normal.png" TargetMode="External"/><Relationship Id="rId5127" Type="http://schemas.openxmlformats.org/officeDocument/2006/relationships/hyperlink" Target="https://twitter.com/edstaite" TargetMode="External"/><Relationship Id="rId8697" Type="http://schemas.openxmlformats.org/officeDocument/2006/relationships/hyperlink" Target="https://twitter.com/SPIEGELONLINE" TargetMode="External"/><Relationship Id="rId11678" Type="http://schemas.openxmlformats.org/officeDocument/2006/relationships/hyperlink" Target="https://twitter.com/MatthewBray16/status/723505308048318464" TargetMode="External"/><Relationship Id="rId16600" Type="http://schemas.openxmlformats.org/officeDocument/2006/relationships/hyperlink" Target="https://twitter.com/EmasAzor" TargetMode="External"/><Relationship Id="rId1737" Type="http://schemas.openxmlformats.org/officeDocument/2006/relationships/hyperlink" Target="https://twitter.com/maritimegallery" TargetMode="External"/><Relationship Id="rId14151" Type="http://schemas.openxmlformats.org/officeDocument/2006/relationships/hyperlink" Target="https://twitter.com/HansTheGerman" TargetMode="External"/><Relationship Id="rId4210" Type="http://schemas.openxmlformats.org/officeDocument/2006/relationships/hyperlink" Target="https://twitter.com/Veiffingerz" TargetMode="External"/><Relationship Id="rId7780" Type="http://schemas.openxmlformats.org/officeDocument/2006/relationships/hyperlink" Target="https://twitter.com/RodriPadilla3/status/723330863048589313" TargetMode="External"/><Relationship Id="rId17374" Type="http://schemas.openxmlformats.org/officeDocument/2006/relationships/hyperlink" Target="https://twitter.com/gunnar_harms" TargetMode="External"/><Relationship Id="rId19823" Type="http://schemas.openxmlformats.org/officeDocument/2006/relationships/hyperlink" Target="https://pbs.twimg.com/profile_images/715939545305505792/puyqE4PS_normal.jpg" TargetMode="External"/><Relationship Id="rId21020" Type="http://schemas.openxmlformats.org/officeDocument/2006/relationships/hyperlink" Target="https://twitter.com/SuranClub/status/724081874834980865" TargetMode="External"/><Relationship Id="rId24590" Type="http://schemas.openxmlformats.org/officeDocument/2006/relationships/hyperlink" Target="https://pbs.twimg.com/profile_images/705621568781570048/95--t7AT_normal.jpg" TargetMode="External"/><Relationship Id="rId7433" Type="http://schemas.openxmlformats.org/officeDocument/2006/relationships/hyperlink" Target="https://twitter.com/Fotobiene" TargetMode="External"/><Relationship Id="rId10761" Type="http://schemas.openxmlformats.org/officeDocument/2006/relationships/hyperlink" Target="https://twitter.com/firstvehicle/status/723483757815185408" TargetMode="External"/><Relationship Id="rId17027" Type="http://schemas.openxmlformats.org/officeDocument/2006/relationships/hyperlink" Target="https://twitter.com/Simulacron2/status/723764776321581056" TargetMode="External"/><Relationship Id="rId24243" Type="http://schemas.openxmlformats.org/officeDocument/2006/relationships/hyperlink" Target="https://twitter.com/CharleneMeiring" TargetMode="External"/><Relationship Id="rId10414" Type="http://schemas.openxmlformats.org/officeDocument/2006/relationships/hyperlink" Target="https://twitter.com/AZur1969/status/723472017681440768" TargetMode="External"/><Relationship Id="rId13984" Type="http://schemas.openxmlformats.org/officeDocument/2006/relationships/hyperlink" Target="https://pbs.twimg.com/profile_images/539529863221506048/QpFCnWb0_normal.jpeg" TargetMode="External"/><Relationship Id="rId13637" Type="http://schemas.openxmlformats.org/officeDocument/2006/relationships/hyperlink" Target="https://twitter.com/Neurasthenio/status/723552042262880256" TargetMode="External"/><Relationship Id="rId20853" Type="http://schemas.openxmlformats.org/officeDocument/2006/relationships/hyperlink" Target="https://pbs.twimg.com/profile_images/707349972207996928/7-Xj4NwH_normal.jpg" TargetMode="External"/><Relationship Id="rId1594" Type="http://schemas.openxmlformats.org/officeDocument/2006/relationships/hyperlink" Target="https://pbs.twimg.com/profile_images/712364651837857792/FZ-qlJ-9_normal.jpg" TargetMode="External"/><Relationship Id="rId11188" Type="http://schemas.openxmlformats.org/officeDocument/2006/relationships/hyperlink" Target="https://twitter.com/FuscaWorld/status/723499069117763585" TargetMode="External"/><Relationship Id="rId16110" Type="http://schemas.openxmlformats.org/officeDocument/2006/relationships/hyperlink" Target="https://twitter.com/DubLuvTuning" TargetMode="External"/><Relationship Id="rId19680" Type="http://schemas.openxmlformats.org/officeDocument/2006/relationships/hyperlink" Target="https://abs.twimg.com/sticky/default_profile_images/default_profile_1_normal.png" TargetMode="External"/><Relationship Id="rId20506" Type="http://schemas.openxmlformats.org/officeDocument/2006/relationships/hyperlink" Target="https://twitter.com/DollysdelightsS/status/724004146152673281" TargetMode="External"/><Relationship Id="rId1247" Type="http://schemas.openxmlformats.org/officeDocument/2006/relationships/hyperlink" Target="https://twitter.com/Stefmaster5" TargetMode="External"/><Relationship Id="rId6919" Type="http://schemas.openxmlformats.org/officeDocument/2006/relationships/hyperlink" Target="https://twitter.com/AutoBildspain/status/723270167799685120" TargetMode="External"/><Relationship Id="rId19333" Type="http://schemas.openxmlformats.org/officeDocument/2006/relationships/hyperlink" Target="https://twitter.com/Just_Dr0z" TargetMode="External"/><Relationship Id="rId23729" Type="http://schemas.openxmlformats.org/officeDocument/2006/relationships/hyperlink" Target="https://twitter.com/VWBeetleSales" TargetMode="External"/><Relationship Id="rId7290" Type="http://schemas.openxmlformats.org/officeDocument/2006/relationships/hyperlink" Target="http://ctrlq.org/maps/address/" TargetMode="External"/><Relationship Id="rId10271" Type="http://schemas.openxmlformats.org/officeDocument/2006/relationships/hyperlink" Target="https://twitter.com/beetlebug1938" TargetMode="External"/><Relationship Id="rId12720" Type="http://schemas.openxmlformats.org/officeDocument/2006/relationships/hyperlink" Target="https://twitter.com/OpenMarketingTV" TargetMode="External"/><Relationship Id="rId15943" Type="http://schemas.openxmlformats.org/officeDocument/2006/relationships/hyperlink" Target="https://twitter.com/FuscaWorld" TargetMode="External"/><Relationship Id="rId13494" Type="http://schemas.openxmlformats.org/officeDocument/2006/relationships/hyperlink" Target="https://twitter.com/DrevenSeal/status/723548836019474432" TargetMode="External"/><Relationship Id="rId22812" Type="http://schemas.openxmlformats.org/officeDocument/2006/relationships/hyperlink" Target="https://pbs.twimg.com/profile_images/684088200898416640/nkRGYXq6_normal.jpg" TargetMode="External"/><Relationship Id="rId3553" Type="http://schemas.openxmlformats.org/officeDocument/2006/relationships/hyperlink" Target="https://twitter.com/nacchomoreno" TargetMode="External"/><Relationship Id="rId13147" Type="http://schemas.openxmlformats.org/officeDocument/2006/relationships/hyperlink" Target="https://twitter.com/VolkswagenPost/status/723536319037607936" TargetMode="External"/><Relationship Id="rId18819" Type="http://schemas.openxmlformats.org/officeDocument/2006/relationships/hyperlink" Target="https://twitter.com/bundes_car" TargetMode="External"/><Relationship Id="rId20363" Type="http://schemas.openxmlformats.org/officeDocument/2006/relationships/hyperlink" Target="https://twitter.com/Gravantar/status/723994161007964161" TargetMode="External"/><Relationship Id="rId3206" Type="http://schemas.openxmlformats.org/officeDocument/2006/relationships/hyperlink" Target="https://twitter.com/AutosAlPisoARG/status/723145349104316416" TargetMode="External"/><Relationship Id="rId6776" Type="http://schemas.openxmlformats.org/officeDocument/2006/relationships/hyperlink" Target="https://twitter.com/StevenTPires/status/723260458703032320" TargetMode="External"/><Relationship Id="rId19190" Type="http://schemas.openxmlformats.org/officeDocument/2006/relationships/hyperlink" Target="https://twitter.com/NeisonOE_/status/723922131311034368" TargetMode="External"/><Relationship Id="rId20016" Type="http://schemas.openxmlformats.org/officeDocument/2006/relationships/hyperlink" Target="https://twitter.com/_GOLD4MONEY" TargetMode="External"/><Relationship Id="rId23586" Type="http://schemas.openxmlformats.org/officeDocument/2006/relationships/hyperlink" Target="https://twitter.com/mamulavaca" TargetMode="External"/><Relationship Id="rId6429" Type="http://schemas.openxmlformats.org/officeDocument/2006/relationships/hyperlink" Target="https://pbs.twimg.com/profile_images/424893967197433858/iQ86NktX_normal.jpeg" TargetMode="External"/><Relationship Id="rId9999" Type="http://schemas.openxmlformats.org/officeDocument/2006/relationships/hyperlink" Target="https://pbs.twimg.com/profile_images/671525031948652544/gPRky3nV_normal.jpg" TargetMode="External"/><Relationship Id="rId12230" Type="http://schemas.openxmlformats.org/officeDocument/2006/relationships/hyperlink" Target="https://twitter.com/yogafitter/status/723515545602007042" TargetMode="External"/><Relationship Id="rId23239" Type="http://schemas.openxmlformats.org/officeDocument/2006/relationships/hyperlink" Target="https://pbs.twimg.com/profile_images/471360227137163264/w2Gvricp_normal.png" TargetMode="External"/><Relationship Id="rId15453" Type="http://schemas.openxmlformats.org/officeDocument/2006/relationships/hyperlink" Target="http://dlvr.it/" TargetMode="External"/><Relationship Id="rId17902" Type="http://schemas.openxmlformats.org/officeDocument/2006/relationships/hyperlink" Target="https://pbs.twimg.com/profile_images/631026118951211008/-Kh_VtK-_normal.jpg" TargetMode="External"/><Relationship Id="rId5512" Type="http://schemas.openxmlformats.org/officeDocument/2006/relationships/hyperlink" Target="https://twitter.com/1stclasscampers/status/723206311052206081" TargetMode="External"/><Relationship Id="rId15106" Type="http://schemas.openxmlformats.org/officeDocument/2006/relationships/hyperlink" Target="https://twitter.com/WreckitReese21/status/723594084393209856" TargetMode="External"/><Relationship Id="rId22322" Type="http://schemas.openxmlformats.org/officeDocument/2006/relationships/hyperlink" Target="https://twitter.com/dayterj75/status/724214187090546688" TargetMode="External"/><Relationship Id="rId3063" Type="http://schemas.openxmlformats.org/officeDocument/2006/relationships/hyperlink" Target="https://pbs.twimg.com/profile_images/711875123771543552/VBKWbg4u_normal.jpg" TargetMode="External"/><Relationship Id="rId18676" Type="http://schemas.openxmlformats.org/officeDocument/2006/relationships/hyperlink" Target="http://ctrlq.org/maps/address/" TargetMode="External"/><Relationship Id="rId6286" Type="http://schemas.openxmlformats.org/officeDocument/2006/relationships/hyperlink" Target="https://pbs.twimg.com/profile_images/684138129306025988/SYEXhWLA_normal.jpg" TargetMode="External"/><Relationship Id="rId8735" Type="http://schemas.openxmlformats.org/officeDocument/2006/relationships/hyperlink" Target="https://twitter.com/handelsblatt" TargetMode="External"/><Relationship Id="rId11716" Type="http://schemas.openxmlformats.org/officeDocument/2006/relationships/hyperlink" Target="https://twitter.com/George_Rey4" TargetMode="External"/><Relationship Id="rId18329" Type="http://schemas.openxmlformats.org/officeDocument/2006/relationships/hyperlink" Target="https://twitter.com/jochenkiehl2/status/723861982089195520" TargetMode="External"/><Relationship Id="rId23096" Type="http://schemas.openxmlformats.org/officeDocument/2006/relationships/hyperlink" Target="http://abcollar.com/" TargetMode="External"/><Relationship Id="rId25545" Type="http://schemas.openxmlformats.org/officeDocument/2006/relationships/hyperlink" Target="https://twitter.com/breedveldusa/status/724446749620887552" TargetMode="External"/><Relationship Id="rId14939" Type="http://schemas.openxmlformats.org/officeDocument/2006/relationships/hyperlink" Target="https://twitter.com/kngeuro" TargetMode="External"/><Relationship Id="rId2896" Type="http://schemas.openxmlformats.org/officeDocument/2006/relationships/hyperlink" Target="https://twitter.com/VRwatchingU/status/723123514593538048" TargetMode="External"/><Relationship Id="rId17412" Type="http://schemas.openxmlformats.org/officeDocument/2006/relationships/hyperlink" Target="https://pbs.twimg.com/profile_images/721298638002135040/UA8fxiJD_normal.jpg" TargetMode="External"/><Relationship Id="rId21808" Type="http://schemas.openxmlformats.org/officeDocument/2006/relationships/hyperlink" Target="https://pbs.twimg.com/profile_images/627949001179037696/skEBkS05_normal.jpg" TargetMode="External"/><Relationship Id="rId868" Type="http://schemas.openxmlformats.org/officeDocument/2006/relationships/hyperlink" Target="https://twitter.com/VWCamperSales" TargetMode="External"/><Relationship Id="rId2549" Type="http://schemas.openxmlformats.org/officeDocument/2006/relationships/hyperlink" Target="https://twitter.com/VCDeV" TargetMode="External"/><Relationship Id="rId5022" Type="http://schemas.openxmlformats.org/officeDocument/2006/relationships/hyperlink" Target="https://twitter.com/fyhs3unghyun/status/723192672421351424" TargetMode="External"/><Relationship Id="rId8592" Type="http://schemas.openxmlformats.org/officeDocument/2006/relationships/hyperlink" Target="https://twitter.com/dw_deutsch/status/723396615231311873" TargetMode="External"/><Relationship Id="rId18186" Type="http://schemas.openxmlformats.org/officeDocument/2006/relationships/hyperlink" Target="https://pbs.twimg.com/profile_images/590257090796597248/p6AfDYxV_normal.jpg" TargetMode="External"/><Relationship Id="rId8245" Type="http://schemas.openxmlformats.org/officeDocument/2006/relationships/hyperlink" Target="https://twitter.com/habo11/status/723378745113894912" TargetMode="External"/><Relationship Id="rId11573" Type="http://schemas.openxmlformats.org/officeDocument/2006/relationships/hyperlink" Target="https://twitter.com/Dr_JAH/status/723503785159606272" TargetMode="External"/><Relationship Id="rId25055" Type="http://schemas.openxmlformats.org/officeDocument/2006/relationships/hyperlink" Target="http://triplepundit.com/" TargetMode="External"/><Relationship Id="rId1632" Type="http://schemas.openxmlformats.org/officeDocument/2006/relationships/hyperlink" Target="https://twitter.com/MarkPlackett1/status/723050002868654080" TargetMode="External"/><Relationship Id="rId11226" Type="http://schemas.openxmlformats.org/officeDocument/2006/relationships/hyperlink" Target="https://pbs.twimg.com/profile_images/718471023616770049/pJARbhRj_normal.jpg" TargetMode="External"/><Relationship Id="rId14796" Type="http://schemas.openxmlformats.org/officeDocument/2006/relationships/hyperlink" Target="https://pbs.twimg.com/profile_images/674424734059241473/jtZsoDUQ_normal.jpg" TargetMode="External"/><Relationship Id="rId4855" Type="http://schemas.openxmlformats.org/officeDocument/2006/relationships/hyperlink" Target="https://twitter.com/breellveslife" TargetMode="External"/><Relationship Id="rId14449" Type="http://schemas.openxmlformats.org/officeDocument/2006/relationships/hyperlink" Target="https://twitter.com/UmaSharandon/status/723573948697436161" TargetMode="External"/><Relationship Id="rId21665" Type="http://schemas.openxmlformats.org/officeDocument/2006/relationships/hyperlink" Target="https://twitter.com/VolkswagenPost/status/724166968287330304" TargetMode="External"/><Relationship Id="rId4508" Type="http://schemas.openxmlformats.org/officeDocument/2006/relationships/hyperlink" Target="https://pbs.twimg.com/profile_images/710571670709243905/MpmsNXj6_normal.jpg" TargetMode="External"/><Relationship Id="rId21318" Type="http://schemas.openxmlformats.org/officeDocument/2006/relationships/hyperlink" Target="https://twitter.com/carsguru7/status/724141045781397505" TargetMode="External"/><Relationship Id="rId24888" Type="http://schemas.openxmlformats.org/officeDocument/2006/relationships/hyperlink" Target="https://twitter.com/MalibuMoms" TargetMode="External"/><Relationship Id="rId378" Type="http://schemas.openxmlformats.org/officeDocument/2006/relationships/hyperlink" Target="https://twitter.com/francoveas1/status/722951623329386496" TargetMode="External"/><Relationship Id="rId2059" Type="http://schemas.openxmlformats.org/officeDocument/2006/relationships/hyperlink" Target="https://pbs.twimg.com/profile_images/662637585773305856/iBVZmgJg_normal.jpg" TargetMode="External"/><Relationship Id="rId13532" Type="http://schemas.openxmlformats.org/officeDocument/2006/relationships/hyperlink" Target="https://pbs.twimg.com/profile_images/706940785627951104/ly_FmsdB_normal.jpg" TargetMode="External"/><Relationship Id="rId11083" Type="http://schemas.openxmlformats.org/officeDocument/2006/relationships/hyperlink" Target="https://twitter.com/buran63" TargetMode="External"/><Relationship Id="rId20401" Type="http://schemas.openxmlformats.org/officeDocument/2006/relationships/hyperlink" Target="https://twitter.com/ParkwayVW" TargetMode="External"/><Relationship Id="rId1142" Type="http://schemas.openxmlformats.org/officeDocument/2006/relationships/hyperlink" Target="https://pbs.twimg.com/profile_images/530071272881803264/a_jcCmPZ_normal.png" TargetMode="External"/><Relationship Id="rId16755" Type="http://schemas.openxmlformats.org/officeDocument/2006/relationships/hyperlink" Target="https://twitter.com/GulfNewsBiz/status/723723106544574465" TargetMode="External"/><Relationship Id="rId23971" Type="http://schemas.openxmlformats.org/officeDocument/2006/relationships/hyperlink" Target="https://twitter.com/francodonelli/status/724324301583863808" TargetMode="External"/><Relationship Id="rId4365" Type="http://schemas.openxmlformats.org/officeDocument/2006/relationships/hyperlink" Target="https://pbs.twimg.com/profile_images/570375988065935360/ooT_Nq7x_normal.jpeg" TargetMode="External"/><Relationship Id="rId6814" Type="http://schemas.openxmlformats.org/officeDocument/2006/relationships/hyperlink" Target="https://twitter.com/DubLuvTuning/status/723262463643402240" TargetMode="External"/><Relationship Id="rId16408" Type="http://schemas.openxmlformats.org/officeDocument/2006/relationships/hyperlink" Target="https://twitter.com/ChiruzzaCerveza" TargetMode="External"/><Relationship Id="rId19978" Type="http://schemas.openxmlformats.org/officeDocument/2006/relationships/hyperlink" Target="https://twitter.com/BenMallie" TargetMode="External"/><Relationship Id="rId21175" Type="http://schemas.openxmlformats.org/officeDocument/2006/relationships/hyperlink" Target="https://twitter.com/dubbusses/status/724118608901758976" TargetMode="External"/><Relationship Id="rId23624" Type="http://schemas.openxmlformats.org/officeDocument/2006/relationships/hyperlink" Target="http://dlvr.it/" TargetMode="External"/><Relationship Id="rId4018" Type="http://schemas.openxmlformats.org/officeDocument/2006/relationships/hyperlink" Target="http://dlvr.it/" TargetMode="External"/><Relationship Id="rId7588" Type="http://schemas.openxmlformats.org/officeDocument/2006/relationships/hyperlink" Target="http://ctrlq.org/maps/address/" TargetMode="External"/><Relationship Id="rId10569" Type="http://schemas.openxmlformats.org/officeDocument/2006/relationships/hyperlink" Target="https://twitter.com/hydronavitas1" TargetMode="External"/><Relationship Id="rId24398" Type="http://schemas.openxmlformats.org/officeDocument/2006/relationships/hyperlink" Target="https://twitter.com/tweets_scotland/status/724353630673973250" TargetMode="External"/><Relationship Id="rId13042" Type="http://schemas.openxmlformats.org/officeDocument/2006/relationships/hyperlink" Target="https://twitter.com/neuegrenzen" TargetMode="External"/><Relationship Id="rId3101" Type="http://schemas.openxmlformats.org/officeDocument/2006/relationships/hyperlink" Target="https://twitter.com/TheLastDonDiva/status/723141682347139073" TargetMode="External"/><Relationship Id="rId6671" Type="http://schemas.openxmlformats.org/officeDocument/2006/relationships/hyperlink" Target="https://twitter.com/GACCColorado" TargetMode="External"/><Relationship Id="rId16265" Type="http://schemas.openxmlformats.org/officeDocument/2006/relationships/hyperlink" Target="https://pbs.twimg.com/profile_images/718820712757215233/LXXndPTS_normal.jpg" TargetMode="External"/><Relationship Id="rId18714" Type="http://schemas.openxmlformats.org/officeDocument/2006/relationships/hyperlink" Target="https://pbs.twimg.com/profile_images/1148670077/5073089178_ac68a0ace7_o_normal.jpeg" TargetMode="External"/><Relationship Id="rId23481" Type="http://schemas.openxmlformats.org/officeDocument/2006/relationships/hyperlink" Target="https://pbs.twimg.com/profile_images/593454474041102336/YZAKB69P_normal.jpg" TargetMode="External"/><Relationship Id="rId6324" Type="http://schemas.openxmlformats.org/officeDocument/2006/relationships/hyperlink" Target="https://twitter.com/Willi1887/status/723239898619219968" TargetMode="External"/><Relationship Id="rId23134" Type="http://schemas.openxmlformats.org/officeDocument/2006/relationships/hyperlink" Target="https://twitter.com/dubbusses/status/724269749601996801" TargetMode="External"/><Relationship Id="rId9547" Type="http://schemas.openxmlformats.org/officeDocument/2006/relationships/hyperlink" Target="https://pbs.twimg.com/profile_images/3296258792/7852b77f95bc153cf32db2ba07fb879c_normal.jpeg" TargetMode="External"/><Relationship Id="rId9894" Type="http://schemas.openxmlformats.org/officeDocument/2006/relationships/hyperlink" Target="https://twitter.com/Drey_VH" TargetMode="External"/><Relationship Id="rId12875" Type="http://schemas.openxmlformats.org/officeDocument/2006/relationships/hyperlink" Target="https://pbs.twimg.com/profile_images/704001047216447488/5a1ozl-l_normal.jpg" TargetMode="External"/><Relationship Id="rId19488" Type="http://schemas.openxmlformats.org/officeDocument/2006/relationships/hyperlink" Target="https://pbs.twimg.com/profile_images/599357023407464449/BL9Bpo6T_normal.jpg" TargetMode="External"/><Relationship Id="rId2934" Type="http://schemas.openxmlformats.org/officeDocument/2006/relationships/hyperlink" Target="https://twitter.com/flpmontanheiro" TargetMode="External"/><Relationship Id="rId7098" Type="http://schemas.openxmlformats.org/officeDocument/2006/relationships/hyperlink" Target="https://twitter.com/deliyakiseleva1" TargetMode="External"/><Relationship Id="rId12528" Type="http://schemas.openxmlformats.org/officeDocument/2006/relationships/hyperlink" Target="https://pbs.twimg.com/profile_images/720884007152394240/OWYVobwN_normal.jpg" TargetMode="External"/><Relationship Id="rId906" Type="http://schemas.openxmlformats.org/officeDocument/2006/relationships/hyperlink" Target="https://twitter.com/dgrally/status/723000247304200192" TargetMode="External"/><Relationship Id="rId10079" Type="http://schemas.openxmlformats.org/officeDocument/2006/relationships/hyperlink" Target="https://twitter.com/boerseonline/status/723461088164077568" TargetMode="External"/><Relationship Id="rId15001" Type="http://schemas.openxmlformats.org/officeDocument/2006/relationships/hyperlink" Target="https://twitter.com/FlowKoR" TargetMode="External"/><Relationship Id="rId18571" Type="http://schemas.openxmlformats.org/officeDocument/2006/relationships/hyperlink" Target="https://twitter.com/caryelluk" TargetMode="External"/><Relationship Id="rId22967" Type="http://schemas.openxmlformats.org/officeDocument/2006/relationships/hyperlink" Target="https://pbs.twimg.com/profile_images/703294545195307008/qeCvrX86_normal.jpg" TargetMode="External"/><Relationship Id="rId8630" Type="http://schemas.openxmlformats.org/officeDocument/2006/relationships/hyperlink" Target="https://twitter.com/ebaycampervans" TargetMode="External"/><Relationship Id="rId11611" Type="http://schemas.openxmlformats.org/officeDocument/2006/relationships/hyperlink" Target="https://pbs.twimg.com/profile_images/515258272925097986/JP22YdtR_normal.jpeg" TargetMode="External"/><Relationship Id="rId18224" Type="http://schemas.openxmlformats.org/officeDocument/2006/relationships/hyperlink" Target="https://twitter.com/MotorHour/status/723852094034329600" TargetMode="External"/><Relationship Id="rId25440" Type="http://schemas.openxmlformats.org/officeDocument/2006/relationships/hyperlink" Target="https://pbs.twimg.com/profile_images/1708625808/Motor_City_Volt_normal.jpg" TargetMode="External"/><Relationship Id="rId6181" Type="http://schemas.openxmlformats.org/officeDocument/2006/relationships/hyperlink" Target="https://twitter.com/GeekClericMike/status/723233449776041984" TargetMode="External"/><Relationship Id="rId2791" Type="http://schemas.openxmlformats.org/officeDocument/2006/relationships/hyperlink" Target="http://wordpress.com/" TargetMode="External"/><Relationship Id="rId12385" Type="http://schemas.openxmlformats.org/officeDocument/2006/relationships/hyperlink" Target="https://twitter.com/Emil_Blume/status/723518655322034177" TargetMode="External"/><Relationship Id="rId14834" Type="http://schemas.openxmlformats.org/officeDocument/2006/relationships/hyperlink" Target="https://twitter.com/CastleCoastCamp" TargetMode="External"/><Relationship Id="rId763" Type="http://schemas.openxmlformats.org/officeDocument/2006/relationships/hyperlink" Target="https://pbs.twimg.com/profile_images/718820712757215233/LXXndPTS_normal.jpg" TargetMode="External"/><Relationship Id="rId2444" Type="http://schemas.openxmlformats.org/officeDocument/2006/relationships/hyperlink" Target="https://twitter.com/ciocirlans/status/723101903341666304" TargetMode="External"/><Relationship Id="rId9057" Type="http://schemas.openxmlformats.org/officeDocument/2006/relationships/hyperlink" Target="https://pbs.twimg.com/profile_images/674233130828468224/KRUDL_tK_normal.jpg" TargetMode="External"/><Relationship Id="rId12038" Type="http://schemas.openxmlformats.org/officeDocument/2006/relationships/hyperlink" Target="https://twitter.com/Svenastheimer/status/723512507378356224" TargetMode="External"/><Relationship Id="rId21703" Type="http://schemas.openxmlformats.org/officeDocument/2006/relationships/hyperlink" Target="https://pbs.twimg.com/profile_images/603916088485773312/-jB4Elw4_normal.png" TargetMode="External"/><Relationship Id="rId416" Type="http://schemas.openxmlformats.org/officeDocument/2006/relationships/hyperlink" Target="https://twitter.com/VAGFanArg" TargetMode="External"/><Relationship Id="rId24926" Type="http://schemas.openxmlformats.org/officeDocument/2006/relationships/hyperlink" Target="http://wordpress.com/" TargetMode="External"/><Relationship Id="rId5667" Type="http://schemas.openxmlformats.org/officeDocument/2006/relationships/hyperlink" Target="https://twitter.com/chronsucks/status/723212146214068224" TargetMode="External"/><Relationship Id="rId18081" Type="http://schemas.openxmlformats.org/officeDocument/2006/relationships/hyperlink" Target="https://twitter.com/miraclemedia/status/723844493909352448" TargetMode="External"/><Relationship Id="rId22477" Type="http://schemas.openxmlformats.org/officeDocument/2006/relationships/hyperlink" Target="https://twitter.com/0p0wTn/status/724224781789188096" TargetMode="External"/><Relationship Id="rId8140" Type="http://schemas.openxmlformats.org/officeDocument/2006/relationships/hyperlink" Target="https://twitter.com/deutch_az" TargetMode="External"/><Relationship Id="rId11121" Type="http://schemas.openxmlformats.org/officeDocument/2006/relationships/hyperlink" Target="https://twitter.com/beetlebug1938/status/723497930850729986" TargetMode="External"/><Relationship Id="rId14691" Type="http://schemas.openxmlformats.org/officeDocument/2006/relationships/hyperlink" Target="https://pbs.twimg.com/profile_images/712479461703335937/fzllmCrI_normal.jpg" TargetMode="External"/><Relationship Id="rId4750" Type="http://schemas.openxmlformats.org/officeDocument/2006/relationships/hyperlink" Target="https://twitter.com/KristynHyland" TargetMode="External"/><Relationship Id="rId14344" Type="http://schemas.openxmlformats.org/officeDocument/2006/relationships/hyperlink" Target="https://pbs.twimg.com/profile_images/695718830690201600/Qv2sKM9j_normal.jpg" TargetMode="External"/><Relationship Id="rId21560" Type="http://schemas.openxmlformats.org/officeDocument/2006/relationships/hyperlink" Target="https://twitter.com/MarcusCJung/status/724161053173645312" TargetMode="External"/><Relationship Id="rId4403" Type="http://schemas.openxmlformats.org/officeDocument/2006/relationships/hyperlink" Target="https://twitter.com/MarkCSchneider/status/723180217947291648" TargetMode="External"/><Relationship Id="rId21213" Type="http://schemas.openxmlformats.org/officeDocument/2006/relationships/hyperlink" Target="https://pbs.twimg.com/profile_images/709359494128599041/-2u0_Nqv_normal.jpg" TargetMode="External"/><Relationship Id="rId273" Type="http://schemas.openxmlformats.org/officeDocument/2006/relationships/hyperlink" Target="https://pbs.twimg.com/profile_images/2464355771/thpakh5ojb4m3fru7xm1_normal.png" TargetMode="External"/><Relationship Id="rId7626" Type="http://schemas.openxmlformats.org/officeDocument/2006/relationships/hyperlink" Target="https://twitter.com/antphographic/status/723317433432477697" TargetMode="External"/><Relationship Id="rId7973" Type="http://schemas.openxmlformats.org/officeDocument/2006/relationships/hyperlink" Target="https://twitter.com/festus100461/status/723345903864692736" TargetMode="External"/><Relationship Id="rId10954" Type="http://schemas.openxmlformats.org/officeDocument/2006/relationships/hyperlink" Target="https://twitter.com/MansellMotoSPT/status/723491595375513600" TargetMode="External"/><Relationship Id="rId17567" Type="http://schemas.openxmlformats.org/officeDocument/2006/relationships/hyperlink" Target="https://pbs.twimg.com/profile_images/667434081215455232/O14VEhOK_normal.jpg" TargetMode="External"/><Relationship Id="rId24783" Type="http://schemas.openxmlformats.org/officeDocument/2006/relationships/hyperlink" Target="https://twitter.com/FuscaWorld" TargetMode="External"/><Relationship Id="rId5177" Type="http://schemas.openxmlformats.org/officeDocument/2006/relationships/hyperlink" Target="https://pbs.twimg.com/profile_images/378800000244245667/a08407ea4b970ea93a806987b5ff1554_normal.jpeg" TargetMode="External"/><Relationship Id="rId10607" Type="http://schemas.openxmlformats.org/officeDocument/2006/relationships/hyperlink" Target="https://pbs.twimg.com/profile_images/3618259921/48305a260e78bcbdeb278bd35e5b34f6_normal.jpeg" TargetMode="External"/><Relationship Id="rId24436" Type="http://schemas.openxmlformats.org/officeDocument/2006/relationships/hyperlink" Target="https://twitter.com/VeeDubMk1_/status/724357491409190912" TargetMode="External"/><Relationship Id="rId16650" Type="http://schemas.openxmlformats.org/officeDocument/2006/relationships/hyperlink" Target="https://twitter.com/porschepilotage/status/723708626058227713" TargetMode="External"/><Relationship Id="rId1787" Type="http://schemas.openxmlformats.org/officeDocument/2006/relationships/hyperlink" Target="https://pbs.twimg.com/profile_images/412511127864500224/h2Y9i8Ok_normal.jpeg" TargetMode="External"/><Relationship Id="rId16303" Type="http://schemas.openxmlformats.org/officeDocument/2006/relationships/hyperlink" Target="https://twitter.com/rico_moreno" TargetMode="External"/><Relationship Id="rId19873" Type="http://schemas.openxmlformats.org/officeDocument/2006/relationships/hyperlink" Target="https://twitter.com/RallyCuenca" TargetMode="External"/><Relationship Id="rId4260" Type="http://schemas.openxmlformats.org/officeDocument/2006/relationships/hyperlink" Target="https://twitter.com/JayleenHeft/status/723178489923264512" TargetMode="External"/><Relationship Id="rId9932" Type="http://schemas.openxmlformats.org/officeDocument/2006/relationships/hyperlink" Target="http://dlvr.it/" TargetMode="External"/><Relationship Id="rId19526" Type="http://schemas.openxmlformats.org/officeDocument/2006/relationships/hyperlink" Target="https://twitter.com/VWCamperSales/status/723939013552279552" TargetMode="External"/><Relationship Id="rId21070" Type="http://schemas.openxmlformats.org/officeDocument/2006/relationships/hyperlink" Target="https://twitter.com/Scirocco_Tuning" TargetMode="External"/><Relationship Id="rId7483" Type="http://schemas.openxmlformats.org/officeDocument/2006/relationships/hyperlink" Target="https://pbs.twimg.com/profile_images/1895623225/IMG00477-20120308-1529_normal.jpg" TargetMode="External"/><Relationship Id="rId10464" Type="http://schemas.openxmlformats.org/officeDocument/2006/relationships/hyperlink" Target="https://pbs.twimg.com/profile_images/544520899828129792/pnWrBeQK_normal.jpeg" TargetMode="External"/><Relationship Id="rId12913" Type="http://schemas.openxmlformats.org/officeDocument/2006/relationships/hyperlink" Target="https://twitter.com/SelwynENT/status/723531297805602816" TargetMode="External"/><Relationship Id="rId17077" Type="http://schemas.openxmlformats.org/officeDocument/2006/relationships/hyperlink" Target="https://twitter.com/hashtagvanlife" TargetMode="External"/><Relationship Id="rId24293" Type="http://schemas.openxmlformats.org/officeDocument/2006/relationships/hyperlink" Target="https://twitter.com/klassikautos/status/724345975045758976" TargetMode="External"/><Relationship Id="rId7136" Type="http://schemas.openxmlformats.org/officeDocument/2006/relationships/hyperlink" Target="https://pbs.twimg.com/profile_images/684617138611486720/X-XB255b_normal.jpg" TargetMode="External"/><Relationship Id="rId10117" Type="http://schemas.openxmlformats.org/officeDocument/2006/relationships/hyperlink" Target="https://twitter.com/oe1journale/status/723463379151671297" TargetMode="External"/><Relationship Id="rId13687" Type="http://schemas.openxmlformats.org/officeDocument/2006/relationships/hyperlink" Target="https://twitter.com/VWCamperSales/status/723553234825027584" TargetMode="External"/><Relationship Id="rId1297" Type="http://schemas.openxmlformats.org/officeDocument/2006/relationships/hyperlink" Target="https://twitter.com/handelsblatt" TargetMode="External"/><Relationship Id="rId3746" Type="http://schemas.openxmlformats.org/officeDocument/2006/relationships/hyperlink" Target="https://twitter.com/rpo_wirtschaft" TargetMode="External"/><Relationship Id="rId16160" Type="http://schemas.openxmlformats.org/officeDocument/2006/relationships/hyperlink" Target="https://pbs.twimg.com/profile_images/697273196068921344/fbQb71Ak_normal.jpg" TargetMode="External"/><Relationship Id="rId20556" Type="http://schemas.openxmlformats.org/officeDocument/2006/relationships/hyperlink" Target="https://twitter.com/carlosche94/status/724008375240036352" TargetMode="External"/><Relationship Id="rId6969" Type="http://schemas.openxmlformats.org/officeDocument/2006/relationships/hyperlink" Target="https://twitter.com/VWCamperSales/status/723272632305471488" TargetMode="External"/><Relationship Id="rId12770" Type="http://schemas.openxmlformats.org/officeDocument/2006/relationships/hyperlink" Target="https://twitter.com/myCarbe/status/723527592066854912" TargetMode="External"/><Relationship Id="rId19383" Type="http://schemas.openxmlformats.org/officeDocument/2006/relationships/hyperlink" Target="https://twitter.com/FuscaWorld" TargetMode="External"/><Relationship Id="rId20209" Type="http://schemas.openxmlformats.org/officeDocument/2006/relationships/hyperlink" Target="https://twitter.com/dosummitgood" TargetMode="External"/><Relationship Id="rId23779" Type="http://schemas.openxmlformats.org/officeDocument/2006/relationships/hyperlink" Target="https://pbs.twimg.com/profile_images/672878354127839232/M7OYc-zx_normal.jpg" TargetMode="External"/><Relationship Id="rId9442" Type="http://schemas.openxmlformats.org/officeDocument/2006/relationships/hyperlink" Target="http://1815.ch/" TargetMode="External"/><Relationship Id="rId12423" Type="http://schemas.openxmlformats.org/officeDocument/2006/relationships/hyperlink" Target="https://pbs.twimg.com/profile_images/2861532780/f29ae99069f14ff439b16922da9337a2_normal.jpeg" TargetMode="External"/><Relationship Id="rId19036" Type="http://schemas.openxmlformats.org/officeDocument/2006/relationships/hyperlink" Target="https://twitter.com/belluxprod" TargetMode="External"/><Relationship Id="rId801" Type="http://schemas.openxmlformats.org/officeDocument/2006/relationships/hyperlink" Target="https://twitter.com/VanagonNews" TargetMode="External"/><Relationship Id="rId15993" Type="http://schemas.openxmlformats.org/officeDocument/2006/relationships/hyperlink" Target="https://twitter.com/PinticaOfficiel/status/723641288575320064" TargetMode="External"/><Relationship Id="rId13197" Type="http://schemas.openxmlformats.org/officeDocument/2006/relationships/hyperlink" Target="https://twitter.com/Schwartz_Daniel" TargetMode="External"/><Relationship Id="rId15646" Type="http://schemas.openxmlformats.org/officeDocument/2006/relationships/hyperlink" Target="https://twitter.com/luchitodf" TargetMode="External"/><Relationship Id="rId22862" Type="http://schemas.openxmlformats.org/officeDocument/2006/relationships/hyperlink" Target="https://twitter.com/victoria118" TargetMode="External"/><Relationship Id="rId3256" Type="http://schemas.openxmlformats.org/officeDocument/2006/relationships/hyperlink" Target="https://pbs.twimg.com/profile_images/719522978208358400/47O1X8OI_normal.jpg" TargetMode="External"/><Relationship Id="rId5705" Type="http://schemas.openxmlformats.org/officeDocument/2006/relationships/hyperlink" Target="https://twitter.com/swanswaygroup" TargetMode="External"/><Relationship Id="rId18869" Type="http://schemas.openxmlformats.org/officeDocument/2006/relationships/hyperlink" Target="https://twitter.com/DeichCruiser/status/723902350600081408" TargetMode="External"/><Relationship Id="rId20066" Type="http://schemas.openxmlformats.org/officeDocument/2006/relationships/hyperlink" Target="https://twitter.com/ahmedhaltas/status/723973702082256899" TargetMode="External"/><Relationship Id="rId22515" Type="http://schemas.openxmlformats.org/officeDocument/2006/relationships/hyperlink" Target="https://twitter.com/Kaestorfer/status/724227299990757377" TargetMode="External"/><Relationship Id="rId8928" Type="http://schemas.openxmlformats.org/officeDocument/2006/relationships/hyperlink" Target="https://twitter.com/MT_Online/status/723412052237127684" TargetMode="External"/><Relationship Id="rId11909" Type="http://schemas.openxmlformats.org/officeDocument/2006/relationships/hyperlink" Target="https://twitter.com/lupus12_bb" TargetMode="External"/><Relationship Id="rId25738" Type="http://schemas.openxmlformats.org/officeDocument/2006/relationships/hyperlink" Target="https://twitter.com/chi78932907/status/724469246701375492" TargetMode="External"/><Relationship Id="rId6479" Type="http://schemas.openxmlformats.org/officeDocument/2006/relationships/hyperlink" Target="https://twitter.com/faznet" TargetMode="External"/><Relationship Id="rId12280" Type="http://schemas.openxmlformats.org/officeDocument/2006/relationships/hyperlink" Target="https://twitter.com/DUBusSchool" TargetMode="External"/><Relationship Id="rId17952" Type="http://schemas.openxmlformats.org/officeDocument/2006/relationships/hyperlink" Target="https://pbs.twimg.com/profile_images/627949001179037696/skEBkS05_normal.jpg" TargetMode="External"/><Relationship Id="rId23289" Type="http://schemas.openxmlformats.org/officeDocument/2006/relationships/hyperlink" Target="https://pbs.twimg.com/profile_images/578486872965570560/5dIQvBah_normal.jpeg" TargetMode="External"/><Relationship Id="rId17605" Type="http://schemas.openxmlformats.org/officeDocument/2006/relationships/hyperlink" Target="https://twitter.com/verticalwise" TargetMode="External"/><Relationship Id="rId24821" Type="http://schemas.openxmlformats.org/officeDocument/2006/relationships/hyperlink" Target="https://twitter.com/Swazlque/status/724389665919406081" TargetMode="External"/><Relationship Id="rId311" Type="http://schemas.openxmlformats.org/officeDocument/2006/relationships/hyperlink" Target="https://twitter.com/VolkswagenPost/status/722945777694158849" TargetMode="External"/><Relationship Id="rId5562" Type="http://schemas.openxmlformats.org/officeDocument/2006/relationships/hyperlink" Target="https://pbs.twimg.com/profile_images/693301323790467072/CXsYnNIp_normal.jpg" TargetMode="External"/><Relationship Id="rId15156" Type="http://schemas.openxmlformats.org/officeDocument/2006/relationships/hyperlink" Target="https://twitter.com/VWBeetleSales" TargetMode="External"/><Relationship Id="rId22372" Type="http://schemas.openxmlformats.org/officeDocument/2006/relationships/hyperlink" Target="https://twitter.com/JRs_partsonline/status/724220190024708096" TargetMode="External"/><Relationship Id="rId5215" Type="http://schemas.openxmlformats.org/officeDocument/2006/relationships/hyperlink" Target="https://twitter.com/CarsUKListings" TargetMode="External"/><Relationship Id="rId8785" Type="http://schemas.openxmlformats.org/officeDocument/2006/relationships/hyperlink" Target="https://pbs.twimg.com/profile_images/1913087124/AvW_website_normal.jpg" TargetMode="External"/><Relationship Id="rId18379" Type="http://schemas.openxmlformats.org/officeDocument/2006/relationships/hyperlink" Target="https://pbs.twimg.com/profile_images/570917883199246336/NuBJA9SP_normal.jpeg" TargetMode="External"/><Relationship Id="rId22025" Type="http://schemas.openxmlformats.org/officeDocument/2006/relationships/hyperlink" Target="https://pbs.twimg.com/profile_images/700313215821942785/Jo3Rmdby_normal.jpg" TargetMode="External"/><Relationship Id="rId25595" Type="http://schemas.openxmlformats.org/officeDocument/2006/relationships/hyperlink" Target="https://twitter.com/FrankfurtFinanz" TargetMode="External"/><Relationship Id="rId8438" Type="http://schemas.openxmlformats.org/officeDocument/2006/relationships/hyperlink" Target="https://twitter.com/MerlinaAlmendra/status/723388430453886976" TargetMode="External"/><Relationship Id="rId11766" Type="http://schemas.openxmlformats.org/officeDocument/2006/relationships/hyperlink" Target="https://twitter.com/FocusEconomia/status/723507121216733184" TargetMode="External"/><Relationship Id="rId25248" Type="http://schemas.openxmlformats.org/officeDocument/2006/relationships/hyperlink" Target="https://pbs.twimg.com/profile_images/682117963349135360/IUfZQy35_normal.png" TargetMode="External"/><Relationship Id="rId1825" Type="http://schemas.openxmlformats.org/officeDocument/2006/relationships/hyperlink" Target="https://twitter.com/boeser_Klaus" TargetMode="External"/><Relationship Id="rId11419" Type="http://schemas.openxmlformats.org/officeDocument/2006/relationships/hyperlink" Target="https://twitter.com/doern" TargetMode="External"/><Relationship Id="rId14989" Type="http://schemas.openxmlformats.org/officeDocument/2006/relationships/hyperlink" Target="https://twitter.com/rafickd/status/723588769597784064" TargetMode="External"/><Relationship Id="rId19911" Type="http://schemas.openxmlformats.org/officeDocument/2006/relationships/hyperlink" Target="https://pbs.twimg.com/profile_images/703982704417701890/fM-ekylE_normal.jpg" TargetMode="External"/><Relationship Id="rId17462" Type="http://schemas.openxmlformats.org/officeDocument/2006/relationships/hyperlink" Target="https://twitter.com/GO_ShengExhaust/status/723799965118558209" TargetMode="External"/><Relationship Id="rId21858" Type="http://schemas.openxmlformats.org/officeDocument/2006/relationships/hyperlink" Target="https://twitter.com/carolienGl/status/724185257235386368" TargetMode="External"/><Relationship Id="rId2599" Type="http://schemas.openxmlformats.org/officeDocument/2006/relationships/hyperlink" Target="https://pbs.twimg.com/profile_images/2407676510/apohx30f0kmstf96p08a_normal.jpeg" TargetMode="External"/><Relationship Id="rId7521" Type="http://schemas.openxmlformats.org/officeDocument/2006/relationships/hyperlink" Target="https://twitter.com/RV_Listings" TargetMode="External"/><Relationship Id="rId10502" Type="http://schemas.openxmlformats.org/officeDocument/2006/relationships/hyperlink" Target="https://pbs.twimg.com/profile_images/696519328573816832/XqooVAmy_normal.jpg" TargetMode="External"/><Relationship Id="rId17115" Type="http://schemas.openxmlformats.org/officeDocument/2006/relationships/hyperlink" Target="https://twitter.com/tooppermann/status/723770850936295424" TargetMode="External"/><Relationship Id="rId24331" Type="http://schemas.openxmlformats.org/officeDocument/2006/relationships/hyperlink" Target="https://pbs.twimg.com/profile_images/687009895862812672/_-RTvAQT_normal.jpg" TargetMode="External"/><Relationship Id="rId5072" Type="http://schemas.openxmlformats.org/officeDocument/2006/relationships/hyperlink" Target="https://pbs.twimg.com/profile_images/3012106875/596e712c99a38ec69b925b7f7ab71986_normal.jpeg" TargetMode="External"/><Relationship Id="rId1682" Type="http://schemas.openxmlformats.org/officeDocument/2006/relationships/hyperlink" Target="https://twitter.com/antivokou" TargetMode="External"/><Relationship Id="rId8295" Type="http://schemas.openxmlformats.org/officeDocument/2006/relationships/hyperlink" Target="https://twitter.com/Srevilo" TargetMode="External"/><Relationship Id="rId11276" Type="http://schemas.openxmlformats.org/officeDocument/2006/relationships/hyperlink" Target="https://twitter.com/Kristina_Hof" TargetMode="External"/><Relationship Id="rId13725" Type="http://schemas.openxmlformats.org/officeDocument/2006/relationships/hyperlink" Target="https://pbs.twimg.com/profile_images/713053834118041600/zWp427YE_normal.jpg" TargetMode="External"/><Relationship Id="rId20941" Type="http://schemas.openxmlformats.org/officeDocument/2006/relationships/hyperlink" Target="https://pbs.twimg.com/profile_images/703294545195307008/qeCvrX86_normal.jpg" TargetMode="External"/><Relationship Id="rId1335" Type="http://schemas.openxmlformats.org/officeDocument/2006/relationships/hyperlink" Target="https://pbs.twimg.com/profile_images/627949001179037696/skEBkS05_normal.jpg" TargetMode="External"/><Relationship Id="rId16948" Type="http://schemas.openxmlformats.org/officeDocument/2006/relationships/hyperlink" Target="https://twitter.com/jonkustom" TargetMode="External"/><Relationship Id="rId14499" Type="http://schemas.openxmlformats.org/officeDocument/2006/relationships/hyperlink" Target="https://twitter.com/GFSchulze" TargetMode="External"/><Relationship Id="rId19421" Type="http://schemas.openxmlformats.org/officeDocument/2006/relationships/hyperlink" Target="https://twitter.com/AAECOMPLIANCE/status/723931018277859328" TargetMode="External"/><Relationship Id="rId23817" Type="http://schemas.openxmlformats.org/officeDocument/2006/relationships/hyperlink" Target="http://dlvr.it/" TargetMode="External"/><Relationship Id="rId41" Type="http://schemas.openxmlformats.org/officeDocument/2006/relationships/hyperlink" Target="https://twitter.com/beetlebug1938/status/722920672981303296" TargetMode="External"/><Relationship Id="rId4558" Type="http://schemas.openxmlformats.org/officeDocument/2006/relationships/hyperlink" Target="https://twitter.com/Tonelli22/status/723182441201020928" TargetMode="External"/><Relationship Id="rId7031" Type="http://schemas.openxmlformats.org/officeDocument/2006/relationships/hyperlink" Target="https://twitter.com/VeeDubMk1_/status/723275071905763328" TargetMode="External"/><Relationship Id="rId21368" Type="http://schemas.openxmlformats.org/officeDocument/2006/relationships/hyperlink" Target="https://twitter.com/sax_odyssey" TargetMode="External"/><Relationship Id="rId10012" Type="http://schemas.openxmlformats.org/officeDocument/2006/relationships/hyperlink" Target="https://twitter.com/handelsblatt" TargetMode="External"/><Relationship Id="rId13582" Type="http://schemas.openxmlformats.org/officeDocument/2006/relationships/hyperlink" Target="https://twitter.com/SWieschendorf/status/723550946341576704" TargetMode="External"/><Relationship Id="rId22900" Type="http://schemas.openxmlformats.org/officeDocument/2006/relationships/hyperlink" Target="https://pbs.twimg.com/profile_images/718835727027580928/1ssyQ67y_normal.jpg" TargetMode="External"/><Relationship Id="rId3641" Type="http://schemas.openxmlformats.org/officeDocument/2006/relationships/hyperlink" Target="https://twitter.com/doern" TargetMode="External"/><Relationship Id="rId13235" Type="http://schemas.openxmlformats.org/officeDocument/2006/relationships/hyperlink" Target="https://pbs.twimg.com/profile_images/689490163639123968/KvB_Hdux_normal.jpg" TargetMode="External"/><Relationship Id="rId20451" Type="http://schemas.openxmlformats.org/officeDocument/2006/relationships/hyperlink" Target="http://dlvr.it/" TargetMode="External"/><Relationship Id="rId1192" Type="http://schemas.openxmlformats.org/officeDocument/2006/relationships/hyperlink" Target="https://pbs.twimg.com/profile_images/715773615212507137/4pE52DAT_normal.jpg" TargetMode="External"/><Relationship Id="rId6864" Type="http://schemas.openxmlformats.org/officeDocument/2006/relationships/hyperlink" Target="https://twitter.com/beetlebug1938" TargetMode="External"/><Relationship Id="rId16458" Type="http://schemas.openxmlformats.org/officeDocument/2006/relationships/hyperlink" Target="https://twitter.com/Scirocco_Tuning/status/723685283468840961" TargetMode="External"/><Relationship Id="rId18907" Type="http://schemas.openxmlformats.org/officeDocument/2006/relationships/hyperlink" Target="https://pbs.twimg.com/profile_images/537978095392022528/6T9M1UwY_normal.jpeg" TargetMode="External"/><Relationship Id="rId20104" Type="http://schemas.openxmlformats.org/officeDocument/2006/relationships/hyperlink" Target="https://twitter.com/StreetFoodUK/status/723975736730763266" TargetMode="External"/><Relationship Id="rId23674" Type="http://schemas.openxmlformats.org/officeDocument/2006/relationships/hyperlink" Target="https://twitter.com/TriplePundit" TargetMode="External"/><Relationship Id="rId6517" Type="http://schemas.openxmlformats.org/officeDocument/2006/relationships/hyperlink" Target="https://twitter.com/Mphilpot1/status/723245200970108928" TargetMode="External"/><Relationship Id="rId23327" Type="http://schemas.openxmlformats.org/officeDocument/2006/relationships/hyperlink" Target="https://twitter.com/Scirocco_Tuning/status/724280249110933504" TargetMode="External"/><Relationship Id="rId4068" Type="http://schemas.openxmlformats.org/officeDocument/2006/relationships/hyperlink" Target="https://pbs.twimg.com/profile_images/692704337752113152/nlZEoS2p_normal.jpg" TargetMode="External"/><Relationship Id="rId15541" Type="http://schemas.openxmlformats.org/officeDocument/2006/relationships/hyperlink" Target="https://twitter.com/Marktzyniker" TargetMode="External"/><Relationship Id="rId5600" Type="http://schemas.openxmlformats.org/officeDocument/2006/relationships/hyperlink" Target="https://twitter.com/Marktzyniker/status/723210527699148800" TargetMode="External"/><Relationship Id="rId13092" Type="http://schemas.openxmlformats.org/officeDocument/2006/relationships/hyperlink" Target="https://twitter.com/BBCBusiness/status/723535356566601728" TargetMode="External"/><Relationship Id="rId18764" Type="http://schemas.openxmlformats.org/officeDocument/2006/relationships/hyperlink" Target="https://twitter.com/peabee72/status/723894369934295040" TargetMode="External"/><Relationship Id="rId22410" Type="http://schemas.openxmlformats.org/officeDocument/2006/relationships/hyperlink" Target="https://pbs.twimg.com/profile_images/700662806656344065/PINWDNIg_normal.jpg" TargetMode="External"/><Relationship Id="rId3151" Type="http://schemas.openxmlformats.org/officeDocument/2006/relationships/hyperlink" Target="https://pbs.twimg.com/profile_images/424893967197433858/iQ86NktX_normal.jpeg" TargetMode="External"/><Relationship Id="rId8823" Type="http://schemas.openxmlformats.org/officeDocument/2006/relationships/hyperlink" Target="https://twitter.com/dinsinstudio/status/723408556226023424" TargetMode="External"/><Relationship Id="rId18417" Type="http://schemas.openxmlformats.org/officeDocument/2006/relationships/hyperlink" Target="https://twitter.com/VWCamperSales" TargetMode="External"/><Relationship Id="rId25633" Type="http://schemas.openxmlformats.org/officeDocument/2006/relationships/hyperlink" Target="https://twitter.com/DubLuvTuning/status/724453056713232384" TargetMode="External"/><Relationship Id="rId6374" Type="http://schemas.openxmlformats.org/officeDocument/2006/relationships/hyperlink" Target="https://twitter.com/VWBeetleSales/status/723241424079048705" TargetMode="External"/><Relationship Id="rId11804" Type="http://schemas.openxmlformats.org/officeDocument/2006/relationships/hyperlink" Target="https://pbs.twimg.com/profile_images/702941751409905664/qKzBhTa8_normal.jpg" TargetMode="External"/><Relationship Id="rId23184" Type="http://schemas.openxmlformats.org/officeDocument/2006/relationships/hyperlink" Target="https://pbs.twimg.com/profile_images/567103567228837888/ptxVAeYZ_normal.jpeg" TargetMode="External"/><Relationship Id="rId6027" Type="http://schemas.openxmlformats.org/officeDocument/2006/relationships/hyperlink" Target="https://twitter.com/ChristophNoack" TargetMode="External"/><Relationship Id="rId9597" Type="http://schemas.openxmlformats.org/officeDocument/2006/relationships/hyperlink" Target="https://twitter.com/Insta_VWT" TargetMode="External"/><Relationship Id="rId2984" Type="http://schemas.openxmlformats.org/officeDocument/2006/relationships/hyperlink" Target="https://pbs.twimg.com/profile_images/599357023407464449/BL9Bpo6T_normal.jpg" TargetMode="External"/><Relationship Id="rId12578" Type="http://schemas.openxmlformats.org/officeDocument/2006/relationships/hyperlink" Target="https://pbs.twimg.com/profile_images/1610421423/Image2_normal.jpg" TargetMode="External"/><Relationship Id="rId15051" Type="http://schemas.openxmlformats.org/officeDocument/2006/relationships/hyperlink" Target="https://twitter.com/Donna_Belsky/status/723591000762007556" TargetMode="External"/><Relationship Id="rId17500" Type="http://schemas.openxmlformats.org/officeDocument/2006/relationships/hyperlink" Target="https://twitter.com/ChrisJBCarroll" TargetMode="External"/><Relationship Id="rId609" Type="http://schemas.openxmlformats.org/officeDocument/2006/relationships/hyperlink" Target="https://twitter.com/phoebejane41" TargetMode="External"/><Relationship Id="rId956" Type="http://schemas.openxmlformats.org/officeDocument/2006/relationships/hyperlink" Target="https://twitter.com/TM909" TargetMode="External"/><Relationship Id="rId2637" Type="http://schemas.openxmlformats.org/officeDocument/2006/relationships/hyperlink" Target="https://twitter.com/StefkaWiese" TargetMode="External"/><Relationship Id="rId5110" Type="http://schemas.openxmlformats.org/officeDocument/2006/relationships/hyperlink" Target="https://twitter.com/benghancock/status/723194454513844226" TargetMode="External"/><Relationship Id="rId8680" Type="http://schemas.openxmlformats.org/officeDocument/2006/relationships/hyperlink" Target="https://pbs.twimg.com/profile_images/699886430294831105/PTszJzYs_normal.jpg" TargetMode="External"/><Relationship Id="rId11661" Type="http://schemas.openxmlformats.org/officeDocument/2006/relationships/hyperlink" Target="https://twitter.com/Geoffreytsmith" TargetMode="External"/><Relationship Id="rId18274" Type="http://schemas.openxmlformats.org/officeDocument/2006/relationships/hyperlink" Target="https://twitter.com/DanpolLodz" TargetMode="External"/><Relationship Id="rId25490" Type="http://schemas.openxmlformats.org/officeDocument/2006/relationships/hyperlink" Target="https://twitter.com/LoveeMarinaaa/status/724444273156960256" TargetMode="External"/><Relationship Id="rId1720" Type="http://schemas.openxmlformats.org/officeDocument/2006/relationships/hyperlink" Target="https://twitter.com/arturotaxi/status/723054338374045696" TargetMode="External"/><Relationship Id="rId8333" Type="http://schemas.openxmlformats.org/officeDocument/2006/relationships/hyperlink" Target="https://twitter.com/idriveexotic/status/723383464624431108" TargetMode="External"/><Relationship Id="rId11314" Type="http://schemas.openxmlformats.org/officeDocument/2006/relationships/hyperlink" Target="https://twitter.com/blauer_loewe/status/723500893547712512" TargetMode="External"/><Relationship Id="rId14884" Type="http://schemas.openxmlformats.org/officeDocument/2006/relationships/hyperlink" Target="https://pbs.twimg.com/profile_images/624244894719188992/FmpTg5L8_normal.jpg" TargetMode="External"/><Relationship Id="rId25143" Type="http://schemas.openxmlformats.org/officeDocument/2006/relationships/hyperlink" Target="https://pbs.twimg.com/profile_images/463092391977562112/EHmmwsgC_normal.jpeg" TargetMode="External"/><Relationship Id="rId4943" Type="http://schemas.openxmlformats.org/officeDocument/2006/relationships/hyperlink" Target="https://twitter.com/Cati_Economia" TargetMode="External"/><Relationship Id="rId14537" Type="http://schemas.openxmlformats.org/officeDocument/2006/relationships/hyperlink" Target="https://twitter.com/Porscheclubscms/status/723575245966348288" TargetMode="External"/><Relationship Id="rId21753" Type="http://schemas.openxmlformats.org/officeDocument/2006/relationships/hyperlink" Target="https://pbs.twimg.com/profile_images/709384506772480000/KSALrilO_normal.jpg" TargetMode="External"/><Relationship Id="rId2494" Type="http://schemas.openxmlformats.org/officeDocument/2006/relationships/hyperlink" Target="https://twitter.com/treibholzfilm/status/723103229333114880" TargetMode="External"/><Relationship Id="rId12088" Type="http://schemas.openxmlformats.org/officeDocument/2006/relationships/hyperlink" Target="https://twitter.com/beetlebug1938" TargetMode="External"/><Relationship Id="rId17010" Type="http://schemas.openxmlformats.org/officeDocument/2006/relationships/hyperlink" Target="https://pbs.twimg.com/profile_images/645241660574695424/KLJds9rL_normal.jpg" TargetMode="External"/><Relationship Id="rId21406" Type="http://schemas.openxmlformats.org/officeDocument/2006/relationships/hyperlink" Target="https://pbs.twimg.com/profile_images/603104992703152128/ENsieqFD_normal.jpg" TargetMode="External"/><Relationship Id="rId466" Type="http://schemas.openxmlformats.org/officeDocument/2006/relationships/hyperlink" Target="https://pbs.twimg.com/profile_images/652871584131092480/QA_B6SBO_normal.jpg" TargetMode="External"/><Relationship Id="rId2147" Type="http://schemas.openxmlformats.org/officeDocument/2006/relationships/hyperlink" Target="https://twitter.com/OnlineCarReview/status/723084431443906561" TargetMode="External"/><Relationship Id="rId24976" Type="http://schemas.openxmlformats.org/officeDocument/2006/relationships/hyperlink" Target="https://twitter.com/OhKeviinG" TargetMode="External"/><Relationship Id="rId119" Type="http://schemas.openxmlformats.org/officeDocument/2006/relationships/hyperlink" Target="https://pbs.twimg.com/profile_images/378800000538868894/4b58611d16dd4db5af22f43af6033f57_normal.jpeg" TargetMode="External"/><Relationship Id="rId7819" Type="http://schemas.openxmlformats.org/officeDocument/2006/relationships/hyperlink" Target="https://twitter.com/VWCamperSales/status/723333027292565504" TargetMode="External"/><Relationship Id="rId8190" Type="http://schemas.openxmlformats.org/officeDocument/2006/relationships/hyperlink" Target="https://twitter.com/Wolke_4" TargetMode="External"/><Relationship Id="rId13620" Type="http://schemas.openxmlformats.org/officeDocument/2006/relationships/hyperlink" Target="https://pbs.twimg.com/profile_images/627949001179037696/skEBkS05_normal.jpg" TargetMode="External"/><Relationship Id="rId24629" Type="http://schemas.openxmlformats.org/officeDocument/2006/relationships/hyperlink" Target="https://twitter.com/BeluuGuzmaan/status/724379174652260353" TargetMode="External"/><Relationship Id="rId11171" Type="http://schemas.openxmlformats.org/officeDocument/2006/relationships/hyperlink" Target="https://pbs.twimg.com/profile_images/522305770503696384/J6guKsKV_normal.jpeg" TargetMode="External"/><Relationship Id="rId16843" Type="http://schemas.openxmlformats.org/officeDocument/2006/relationships/hyperlink" Target="https://twitter.com/PetrBenes73/status/723741382788165633" TargetMode="External"/><Relationship Id="rId1230" Type="http://schemas.openxmlformats.org/officeDocument/2006/relationships/hyperlink" Target="https://twitter.com/Mrmacmax92/status/723026809428815872" TargetMode="External"/><Relationship Id="rId6902" Type="http://schemas.openxmlformats.org/officeDocument/2006/relationships/hyperlink" Target="https://pbs.twimg.com/profile_images/545688359964651520/SF3sJ7lv_normal.jpeg" TargetMode="External"/><Relationship Id="rId14394" Type="http://schemas.openxmlformats.org/officeDocument/2006/relationships/hyperlink" Target="https://twitter.com/KarinaS47327470" TargetMode="External"/><Relationship Id="rId23712" Type="http://schemas.openxmlformats.org/officeDocument/2006/relationships/hyperlink" Target="https://twitter.com/dubbusses/status/724306803341795330" TargetMode="External"/><Relationship Id="rId4453" Type="http://schemas.openxmlformats.org/officeDocument/2006/relationships/hyperlink" Target="https://twitter.com/OnlineCarReview/status/723181290770452480" TargetMode="External"/><Relationship Id="rId14047" Type="http://schemas.openxmlformats.org/officeDocument/2006/relationships/hyperlink" Target="https://twitter.com/jakefenn42/status/723562419155554307" TargetMode="External"/><Relationship Id="rId21263" Type="http://schemas.openxmlformats.org/officeDocument/2006/relationships/hyperlink" Target="https://twitter.com/dubbusses" TargetMode="External"/><Relationship Id="rId4106" Type="http://schemas.openxmlformats.org/officeDocument/2006/relationships/hyperlink" Target="https://twitter.com/mysafetyfirst1/status/723176438665334784" TargetMode="External"/><Relationship Id="rId7676" Type="http://schemas.openxmlformats.org/officeDocument/2006/relationships/hyperlink" Target="https://twitter.com/aaron643/status/723323130815483905" TargetMode="External"/><Relationship Id="rId19719" Type="http://schemas.openxmlformats.org/officeDocument/2006/relationships/hyperlink" Target="https://twitter.com/hashtagvanlife/status/723950176063348737" TargetMode="External"/><Relationship Id="rId24486" Type="http://schemas.openxmlformats.org/officeDocument/2006/relationships/hyperlink" Target="https://pbs.twimg.com/profile_images/720579071994916866/hamyRzr2_normal.jpg" TargetMode="External"/><Relationship Id="rId7329" Type="http://schemas.openxmlformats.org/officeDocument/2006/relationships/hyperlink" Target="https://twitter.com/rhysiepoo" TargetMode="External"/><Relationship Id="rId10657" Type="http://schemas.openxmlformats.org/officeDocument/2006/relationships/hyperlink" Target="https://pbs.twimg.com/profile_images/712961439523291136/iwOS41Cs_normal.jpg" TargetMode="External"/><Relationship Id="rId24139" Type="http://schemas.openxmlformats.org/officeDocument/2006/relationships/hyperlink" Target="https://twitter.com/ProjectCarsUK" TargetMode="External"/><Relationship Id="rId13130" Type="http://schemas.openxmlformats.org/officeDocument/2006/relationships/hyperlink" Target="https://twitter.com/FridayNomad" TargetMode="External"/><Relationship Id="rId18802" Type="http://schemas.openxmlformats.org/officeDocument/2006/relationships/hyperlink" Target="https://pbs.twimg.com/profile_images/582903436158586880/9BOOA3zQ_normal.jpg" TargetMode="External"/><Relationship Id="rId3939" Type="http://schemas.openxmlformats.org/officeDocument/2006/relationships/hyperlink" Target="https://twitter.com/franz_rother" TargetMode="External"/><Relationship Id="rId16353" Type="http://schemas.openxmlformats.org/officeDocument/2006/relationships/hyperlink" Target="https://pbs.twimg.com/profile_images/535972937346863104/azd9tVvN_normal.jpeg" TargetMode="External"/><Relationship Id="rId20749" Type="http://schemas.openxmlformats.org/officeDocument/2006/relationships/hyperlink" Target="https://pbs.twimg.com/profile_images/696941279754719233/M3a_sYBU_normal.jpg" TargetMode="External"/><Relationship Id="rId6412" Type="http://schemas.openxmlformats.org/officeDocument/2006/relationships/hyperlink" Target="https://twitter.com/Insta_VWT/status/723242903481516032" TargetMode="External"/><Relationship Id="rId9982" Type="http://schemas.openxmlformats.org/officeDocument/2006/relationships/hyperlink" Target="https://twitter.com/CampervanGift" TargetMode="External"/><Relationship Id="rId12963" Type="http://schemas.openxmlformats.org/officeDocument/2006/relationships/hyperlink" Target="https://twitter.com/AchillePrick" TargetMode="External"/><Relationship Id="rId16006" Type="http://schemas.openxmlformats.org/officeDocument/2006/relationships/hyperlink" Target="https://pbs.twimg.com/profile_images/378800000763889532/dc2ce25cdf57456bb8a0c5c858d8e33d_normal.jpeg" TargetMode="External"/><Relationship Id="rId19576" Type="http://schemas.openxmlformats.org/officeDocument/2006/relationships/hyperlink" Target="https://pbs.twimg.com/profile_images/722201032479088641/gDpR-6wN_normal.jpg" TargetMode="External"/><Relationship Id="rId23222" Type="http://schemas.openxmlformats.org/officeDocument/2006/relationships/hyperlink" Target="https://pbs.twimg.com/profile_images/714903470189445120/7K-_DI2m_normal.jpg" TargetMode="External"/><Relationship Id="rId9635" Type="http://schemas.openxmlformats.org/officeDocument/2006/relationships/hyperlink" Target="https://pbs.twimg.com/profile_images/720225287829479424/3EPXdeSh_normal.jpg" TargetMode="External"/><Relationship Id="rId12616" Type="http://schemas.openxmlformats.org/officeDocument/2006/relationships/hyperlink" Target="https://pbs.twimg.com/profile_images/378800000763070214/a2567f72f328f657d35cb24c52138e11_normal.jpeg" TargetMode="External"/><Relationship Id="rId19229" Type="http://schemas.openxmlformats.org/officeDocument/2006/relationships/hyperlink" Target="https://pbs.twimg.com/profile_images/541532182955982848/hQBKsm6U_normal.jpeg" TargetMode="External"/><Relationship Id="rId7186" Type="http://schemas.openxmlformats.org/officeDocument/2006/relationships/hyperlink" Target="https://twitter.com/ThreeCountyVW" TargetMode="External"/><Relationship Id="rId10167" Type="http://schemas.openxmlformats.org/officeDocument/2006/relationships/hyperlink" Target="https://pbs.twimg.com/profile_images/722154158170746885/41M4G5UL_normal.jpg" TargetMode="External"/><Relationship Id="rId3796" Type="http://schemas.openxmlformats.org/officeDocument/2006/relationships/hyperlink" Target="https://pbs.twimg.com/profile_images/507897198911053824/7OqYAonJ_normal.jpeg" TargetMode="External"/><Relationship Id="rId15839" Type="http://schemas.openxmlformats.org/officeDocument/2006/relationships/hyperlink" Target="https://twitter.com/hdBerretz" TargetMode="External"/><Relationship Id="rId3449" Type="http://schemas.openxmlformats.org/officeDocument/2006/relationships/hyperlink" Target="https://pbs.twimg.com/profile_images/700415860230397952/tCGmCj6M_normal.jpg" TargetMode="External"/><Relationship Id="rId18312" Type="http://schemas.openxmlformats.org/officeDocument/2006/relationships/hyperlink" Target="https://pbs.twimg.com/profile_images/3003211219/5eb0510a3d8f48f25da10db3e595b7a0_normal.png" TargetMode="External"/><Relationship Id="rId20259" Type="http://schemas.openxmlformats.org/officeDocument/2006/relationships/hyperlink" Target="https://pbs.twimg.com/profile_images/660172992136224768/kyd2qeq6_normal.jpg" TargetMode="External"/><Relationship Id="rId22708" Type="http://schemas.openxmlformats.org/officeDocument/2006/relationships/hyperlink" Target="https://abs.twimg.com/sticky/default_profile_images/default_profile_5_normal.png" TargetMode="External"/><Relationship Id="rId14922" Type="http://schemas.openxmlformats.org/officeDocument/2006/relationships/hyperlink" Target="https://twitter.com/sine_injuria" TargetMode="External"/><Relationship Id="rId9492" Type="http://schemas.openxmlformats.org/officeDocument/2006/relationships/hyperlink" Target="https://pbs.twimg.com/profile_images/648862182936047616/p6o1BlmC_normal.jpg" TargetMode="External"/><Relationship Id="rId12473" Type="http://schemas.openxmlformats.org/officeDocument/2006/relationships/hyperlink" Target="https://twitter.com/TwittingThom/status/723519935289405440" TargetMode="External"/><Relationship Id="rId19086" Type="http://schemas.openxmlformats.org/officeDocument/2006/relationships/hyperlink" Target="https://pbs.twimg.com/profile_images/507897198911053824/7OqYAonJ_normal.jpeg" TargetMode="External"/><Relationship Id="rId851" Type="http://schemas.openxmlformats.org/officeDocument/2006/relationships/hyperlink" Target="https://twitter.com/VWShawty/status/722991783458836480" TargetMode="External"/><Relationship Id="rId2532" Type="http://schemas.openxmlformats.org/officeDocument/2006/relationships/hyperlink" Target="https://twitter.com/VWBeetleSales/status/723104513133965312" TargetMode="External"/><Relationship Id="rId9145" Type="http://schemas.openxmlformats.org/officeDocument/2006/relationships/hyperlink" Target="https://twitter.com/NegroAutomobili/status/723422141757059073" TargetMode="External"/><Relationship Id="rId12126" Type="http://schemas.openxmlformats.org/officeDocument/2006/relationships/hyperlink" Target="https://twitter.com/MarkCSchneider" TargetMode="External"/><Relationship Id="rId15696" Type="http://schemas.openxmlformats.org/officeDocument/2006/relationships/hyperlink" Target="https://twitter.com/urotuning" TargetMode="External"/><Relationship Id="rId504" Type="http://schemas.openxmlformats.org/officeDocument/2006/relationships/hyperlink" Target="https://twitter.com/Technolizer" TargetMode="External"/><Relationship Id="rId5755" Type="http://schemas.openxmlformats.org/officeDocument/2006/relationships/hyperlink" Target="https://pbs.twimg.com/profile_images/430410129184260096/osEeFqYo_normal.jpeg" TargetMode="External"/><Relationship Id="rId15349" Type="http://schemas.openxmlformats.org/officeDocument/2006/relationships/hyperlink" Target="https://twitter.com/VolkswagenPost/status/723604364854722560" TargetMode="External"/><Relationship Id="rId22565" Type="http://schemas.openxmlformats.org/officeDocument/2006/relationships/hyperlink" Target="https://twitter.com/aavecj" TargetMode="External"/><Relationship Id="rId5408" Type="http://schemas.openxmlformats.org/officeDocument/2006/relationships/hyperlink" Target="https://twitter.com/glubbdidi/status/723202621301882880" TargetMode="External"/><Relationship Id="rId22218" Type="http://schemas.openxmlformats.org/officeDocument/2006/relationships/hyperlink" Target="https://twitter.com/VWCamperSales" TargetMode="External"/><Relationship Id="rId8978" Type="http://schemas.openxmlformats.org/officeDocument/2006/relationships/hyperlink" Target="https://twitter.com/beetlebug1938" TargetMode="External"/><Relationship Id="rId11959" Type="http://schemas.openxmlformats.org/officeDocument/2006/relationships/hyperlink" Target="https://twitter.com/dw_wirtschaft/status/723511092698316804" TargetMode="External"/><Relationship Id="rId14432" Type="http://schemas.openxmlformats.org/officeDocument/2006/relationships/hyperlink" Target="https://pbs.twimg.com/profile_images/366739006/bewerbungsbild_detail_flyer_13_normal.png" TargetMode="External"/><Relationship Id="rId361" Type="http://schemas.openxmlformats.org/officeDocument/2006/relationships/hyperlink" Target="https://pbs.twimg.com/profile_images/718820712757215233/LXXndPTS_normal.jpg" TargetMode="External"/><Relationship Id="rId2042" Type="http://schemas.openxmlformats.org/officeDocument/2006/relationships/hyperlink" Target="https://twitter.com/tagesschau/status/723078582004813824" TargetMode="External"/><Relationship Id="rId17655" Type="http://schemas.openxmlformats.org/officeDocument/2006/relationships/hyperlink" Target="https://twitter.com/hashtagvanlife" TargetMode="External"/><Relationship Id="rId21301" Type="http://schemas.openxmlformats.org/officeDocument/2006/relationships/hyperlink" Target="https://pbs.twimg.com/profile_images/486568956765798400/4fCE2vRk_normal.jpeg" TargetMode="External"/><Relationship Id="rId24871" Type="http://schemas.openxmlformats.org/officeDocument/2006/relationships/hyperlink" Target="https://pbs.twimg.com/profile_images/723903812457664512/Zj1vl7TD_normal.jpg" TargetMode="External"/><Relationship Id="rId7714" Type="http://schemas.openxmlformats.org/officeDocument/2006/relationships/hyperlink" Target="https://pbs.twimg.com/profile_images/711730667755855876/JenSSBR3_normal.jpg" TargetMode="External"/><Relationship Id="rId17308" Type="http://schemas.openxmlformats.org/officeDocument/2006/relationships/hyperlink" Target="https://twitter.com/CastleCoastCamp" TargetMode="External"/><Relationship Id="rId24524" Type="http://schemas.openxmlformats.org/officeDocument/2006/relationships/hyperlink" Target="https://pbs.twimg.com/profile_images/718085827461513217/HsFXp9G6_normal.jpg" TargetMode="External"/><Relationship Id="rId5265" Type="http://schemas.openxmlformats.org/officeDocument/2006/relationships/hyperlink" Target="https://twitter.com/Scirocco_Tuning" TargetMode="External"/><Relationship Id="rId22075" Type="http://schemas.openxmlformats.org/officeDocument/2006/relationships/hyperlink" Target="https://twitter.com/vintagosity" TargetMode="External"/><Relationship Id="rId1875" Type="http://schemas.openxmlformats.org/officeDocument/2006/relationships/hyperlink" Target="https://pbs.twimg.com/profile_images/672033788948533248/EX6zwR9B_normal.jpg" TargetMode="External"/><Relationship Id="rId8488" Type="http://schemas.openxmlformats.org/officeDocument/2006/relationships/hyperlink" Target="https://twitter.com/GutesAltern/status/723390833173532673" TargetMode="External"/><Relationship Id="rId11469" Type="http://schemas.openxmlformats.org/officeDocument/2006/relationships/hyperlink" Target="https://pbs.twimg.com/profile_images/710115354215890948/Ax7sTo8-_normal.jpg" TargetMode="External"/><Relationship Id="rId13918" Type="http://schemas.openxmlformats.org/officeDocument/2006/relationships/hyperlink" Target="https://twitter.com/handelsblatt/status/723558768538165248" TargetMode="External"/><Relationship Id="rId25298" Type="http://schemas.openxmlformats.org/officeDocument/2006/relationships/hyperlink" Target="https://twitter.com/vwpress_en" TargetMode="External"/><Relationship Id="rId1528" Type="http://schemas.openxmlformats.org/officeDocument/2006/relationships/hyperlink" Target="https://pbs.twimg.com/profile_images/577458296845516800/tNsYSZtV_normal.jpeg" TargetMode="External"/><Relationship Id="rId19961" Type="http://schemas.openxmlformats.org/officeDocument/2006/relationships/hyperlink" Target="https://twitter.com/SPAGartner/status/723965127939248128" TargetMode="External"/><Relationship Id="rId4001" Type="http://schemas.openxmlformats.org/officeDocument/2006/relationships/hyperlink" Target="https://twitter.com/xicanism/status/723174398383906816" TargetMode="External"/><Relationship Id="rId19614" Type="http://schemas.openxmlformats.org/officeDocument/2006/relationships/hyperlink" Target="https://twitter.com/TheHippieVanMan/status/723943088411017216" TargetMode="External"/><Relationship Id="rId7571" Type="http://schemas.openxmlformats.org/officeDocument/2006/relationships/hyperlink" Target="https://pbs.twimg.com/profile_images/698117294308921346/aePG7L02_normal.jpg" TargetMode="External"/><Relationship Id="rId10552" Type="http://schemas.openxmlformats.org/officeDocument/2006/relationships/hyperlink" Target="https://twitter.com/jenkers_en/status/723476628291108864" TargetMode="External"/><Relationship Id="rId17165" Type="http://schemas.openxmlformats.org/officeDocument/2006/relationships/hyperlink" Target="https://twitter.com/c_martin982/status/723775451861258240" TargetMode="External"/><Relationship Id="rId24381" Type="http://schemas.openxmlformats.org/officeDocument/2006/relationships/hyperlink" Target="https://twitter.com/dubbusses/status/724352917550014464" TargetMode="External"/><Relationship Id="rId7224" Type="http://schemas.openxmlformats.org/officeDocument/2006/relationships/hyperlink" Target="https://twitter.com/cuezerdo1957/status/723287486957379584" TargetMode="External"/><Relationship Id="rId10205" Type="http://schemas.openxmlformats.org/officeDocument/2006/relationships/hyperlink" Target="https://twitter.com/pez_dp/status/723465839161282561" TargetMode="External"/><Relationship Id="rId13775" Type="http://schemas.openxmlformats.org/officeDocument/2006/relationships/hyperlink" Target="https://twitter.com/BaerenGazette/status/723555822282915840" TargetMode="External"/><Relationship Id="rId20991" Type="http://schemas.openxmlformats.org/officeDocument/2006/relationships/hyperlink" Target="https://pbs.twimg.com/profile_images/672878354127839232/M7OYc-zx_normal.jpg" TargetMode="External"/><Relationship Id="rId24034" Type="http://schemas.openxmlformats.org/officeDocument/2006/relationships/hyperlink" Target="https://twitter.com/VWCamperSales" TargetMode="External"/><Relationship Id="rId3834" Type="http://schemas.openxmlformats.org/officeDocument/2006/relationships/hyperlink" Target="https://twitter.com/gerliman/status/723170301530480640" TargetMode="External"/><Relationship Id="rId13428" Type="http://schemas.openxmlformats.org/officeDocument/2006/relationships/hyperlink" Target="https://twitter.com/piepser" TargetMode="External"/><Relationship Id="rId20644" Type="http://schemas.openxmlformats.org/officeDocument/2006/relationships/hyperlink" Target="http://ctrlq.org/maps/address/" TargetMode="External"/><Relationship Id="rId1385" Type="http://schemas.openxmlformats.org/officeDocument/2006/relationships/hyperlink" Target="https://twitter.com/EnergieDevlpmt" TargetMode="External"/><Relationship Id="rId16998" Type="http://schemas.openxmlformats.org/officeDocument/2006/relationships/hyperlink" Target="https://pbs.twimg.com/profile_images/717382175071535104/1l_yueaA_normal.jpg" TargetMode="External"/><Relationship Id="rId19471" Type="http://schemas.openxmlformats.org/officeDocument/2006/relationships/hyperlink" Target="https://twitter.com/vwpress_de" TargetMode="External"/><Relationship Id="rId91" Type="http://schemas.openxmlformats.org/officeDocument/2006/relationships/hyperlink" Target="https://pbs.twimg.com/profile_images/599709666017435648/r0vhT_9C_normal.png" TargetMode="External"/><Relationship Id="rId1038" Type="http://schemas.openxmlformats.org/officeDocument/2006/relationships/hyperlink" Target="https://twitter.com/handelsblatt" TargetMode="External"/><Relationship Id="rId9530" Type="http://schemas.openxmlformats.org/officeDocument/2006/relationships/hyperlink" Target="https://twitter.com/Mfundo_Jobe/status/723438098676248578" TargetMode="External"/><Relationship Id="rId19124" Type="http://schemas.openxmlformats.org/officeDocument/2006/relationships/hyperlink" Target="https://pbs.twimg.com/profile_images/534281940015525888/7xkdXwOq_normal.jpeg" TargetMode="External"/><Relationship Id="rId23867" Type="http://schemas.openxmlformats.org/officeDocument/2006/relationships/hyperlink" Target="https://pbs.twimg.com/profile_images/602768406224441344/37bYfus9_normal.jpg" TargetMode="External"/><Relationship Id="rId7081" Type="http://schemas.openxmlformats.org/officeDocument/2006/relationships/hyperlink" Target="https://twitter.com/SmartSanta/status/723277623292469248" TargetMode="External"/><Relationship Id="rId12511" Type="http://schemas.openxmlformats.org/officeDocument/2006/relationships/hyperlink" Target="https://twitter.com/Umwelthilfe" TargetMode="External"/><Relationship Id="rId10062" Type="http://schemas.openxmlformats.org/officeDocument/2006/relationships/hyperlink" Target="https://pbs.twimg.com/profile_images/720198919536386048/g0mf6kQs_normal.jpg" TargetMode="External"/><Relationship Id="rId15734" Type="http://schemas.openxmlformats.org/officeDocument/2006/relationships/hyperlink" Target="https://pbs.twimg.com/profile_images/719469365452808192/1OFS9oRH_normal.jpg" TargetMode="External"/><Relationship Id="rId22950" Type="http://schemas.openxmlformats.org/officeDocument/2006/relationships/hyperlink" Target="https://pbs.twimg.com/profile_images/627949001179037696/skEBkS05_normal.jpg" TargetMode="External"/><Relationship Id="rId3691" Type="http://schemas.openxmlformats.org/officeDocument/2006/relationships/hyperlink" Target="https://twitter.com/KateGalbraith/status/723167850060378112" TargetMode="External"/><Relationship Id="rId13285" Type="http://schemas.openxmlformats.org/officeDocument/2006/relationships/hyperlink" Target="https://pbs.twimg.com/profile_images/1785128505/munich_normal.png" TargetMode="External"/><Relationship Id="rId18957" Type="http://schemas.openxmlformats.org/officeDocument/2006/relationships/hyperlink" Target="https://twitter.com/marcus_philipp1" TargetMode="External"/><Relationship Id="rId22603" Type="http://schemas.openxmlformats.org/officeDocument/2006/relationships/hyperlink" Target="https://twitter.com/vwgroup_en/status/724234055416446977" TargetMode="External"/><Relationship Id="rId3344" Type="http://schemas.openxmlformats.org/officeDocument/2006/relationships/hyperlink" Target="https://twitter.com/vwpress_de/status/723152716864823297" TargetMode="External"/><Relationship Id="rId20154" Type="http://schemas.openxmlformats.org/officeDocument/2006/relationships/hyperlink" Target="https://twitter.com/VWCamperSales" TargetMode="External"/><Relationship Id="rId6567" Type="http://schemas.openxmlformats.org/officeDocument/2006/relationships/hyperlink" Target="https://twitter.com/pablofcogtz/status/723246583886704641" TargetMode="External"/><Relationship Id="rId23377" Type="http://schemas.openxmlformats.org/officeDocument/2006/relationships/hyperlink" Target="https://twitter.com/VWBeetleSales/status/724284549375492096" TargetMode="External"/><Relationship Id="rId9040" Type="http://schemas.openxmlformats.org/officeDocument/2006/relationships/hyperlink" Target="https://twitter.com/golfturkiye/status/723418774754320384" TargetMode="External"/><Relationship Id="rId12021" Type="http://schemas.openxmlformats.org/officeDocument/2006/relationships/hyperlink" Target="https://pbs.twimg.com/profile_images/2695152833/5a0d2a68ba8025a6beaa160d6dba27cb_normal.jpeg" TargetMode="External"/><Relationship Id="rId15591" Type="http://schemas.openxmlformats.org/officeDocument/2006/relationships/hyperlink" Target="https://pbs.twimg.com/profile_images/599357023407464449/BL9Bpo6T_normal.jpg" TargetMode="External"/><Relationship Id="rId5650" Type="http://schemas.openxmlformats.org/officeDocument/2006/relationships/hyperlink" Target="https://pbs.twimg.com/profile_images/672878354127839232/M7OYc-zx_normal.jpg" TargetMode="External"/><Relationship Id="rId15244" Type="http://schemas.openxmlformats.org/officeDocument/2006/relationships/hyperlink" Target="https://twitter.com/madmark31/status/723600521425235969" TargetMode="External"/><Relationship Id="rId22460" Type="http://schemas.openxmlformats.org/officeDocument/2006/relationships/hyperlink" Target="https://twitter.com/LacleGreg" TargetMode="External"/><Relationship Id="rId5303" Type="http://schemas.openxmlformats.org/officeDocument/2006/relationships/hyperlink" Target="https://pbs.twimg.com/profile_images/651204715607273472/WO_LwRkF_normal.png" TargetMode="External"/><Relationship Id="rId8873" Type="http://schemas.openxmlformats.org/officeDocument/2006/relationships/hyperlink" Target="https://twitter.com/Theothebald" TargetMode="External"/><Relationship Id="rId11854" Type="http://schemas.openxmlformats.org/officeDocument/2006/relationships/hyperlink" Target="https://pbs.twimg.com/profile_images/1795205245/DSC04821_normal.jpg" TargetMode="External"/><Relationship Id="rId18467" Type="http://schemas.openxmlformats.org/officeDocument/2006/relationships/hyperlink" Target="https://twitter.com/BurkhardRi" TargetMode="External"/><Relationship Id="rId22113" Type="http://schemas.openxmlformats.org/officeDocument/2006/relationships/hyperlink" Target="http://dlvr.it/" TargetMode="External"/><Relationship Id="rId25683" Type="http://schemas.openxmlformats.org/officeDocument/2006/relationships/hyperlink" Target="https://twitter.com/OnlineCarReview" TargetMode="External"/><Relationship Id="rId1913" Type="http://schemas.openxmlformats.org/officeDocument/2006/relationships/hyperlink" Target="https://twitter.com/AutohausCampers/status/723068442597679105" TargetMode="External"/><Relationship Id="rId8526" Type="http://schemas.openxmlformats.org/officeDocument/2006/relationships/hyperlink" Target="https://pbs.twimg.com/profile_images/559085707029778432/9TJ6WlEk_normal.jpeg" TargetMode="External"/><Relationship Id="rId11507" Type="http://schemas.openxmlformats.org/officeDocument/2006/relationships/hyperlink" Target="https://twitter.com/RVingTimes/status/723503100519010304" TargetMode="External"/><Relationship Id="rId25336" Type="http://schemas.openxmlformats.org/officeDocument/2006/relationships/hyperlink" Target="https://pbs.twimg.com/profile_images/472298206483607552/UogAMiRI_normal.png" TargetMode="External"/><Relationship Id="rId6077" Type="http://schemas.openxmlformats.org/officeDocument/2006/relationships/hyperlink" Target="https://twitter.com/Mphilpot1/status/723229614760284160" TargetMode="External"/><Relationship Id="rId17550" Type="http://schemas.openxmlformats.org/officeDocument/2006/relationships/hyperlink" Target="https://twitter.com/Eliott_Law" TargetMode="External"/><Relationship Id="rId2687" Type="http://schemas.openxmlformats.org/officeDocument/2006/relationships/hyperlink" Target="https://pbs.twimg.com/profile_images/678249126216232960/ilIUMSIf_normal.jpg" TargetMode="External"/><Relationship Id="rId17203" Type="http://schemas.openxmlformats.org/officeDocument/2006/relationships/hyperlink" Target="https://pbs.twimg.com/profile_images/3696204923/a63ad31c34a3cddd03c8d129fe69498d_normal.jpeg" TargetMode="External"/><Relationship Id="rId21946" Type="http://schemas.openxmlformats.org/officeDocument/2006/relationships/hyperlink" Target="https://pbs.twimg.com/profile_images/1610421423/Image2_normal.jpg" TargetMode="External"/><Relationship Id="rId659" Type="http://schemas.openxmlformats.org/officeDocument/2006/relationships/hyperlink" Target="https://pbs.twimg.com/profile_images/594581818139123712/ddlH54WT_normal.jpg" TargetMode="External"/><Relationship Id="rId5160" Type="http://schemas.openxmlformats.org/officeDocument/2006/relationships/hyperlink" Target="https://twitter.com/DieMone37" TargetMode="External"/><Relationship Id="rId8383" Type="http://schemas.openxmlformats.org/officeDocument/2006/relationships/hyperlink" Target="https://twitter.com/Moneycab" TargetMode="External"/><Relationship Id="rId13813" Type="http://schemas.openxmlformats.org/officeDocument/2006/relationships/hyperlink" Target="https://twitter.com/MKarpstein/status/723556795323695104" TargetMode="External"/><Relationship Id="rId25193" Type="http://schemas.openxmlformats.org/officeDocument/2006/relationships/hyperlink" Target="http://feedom.de/" TargetMode="External"/><Relationship Id="rId1770" Type="http://schemas.openxmlformats.org/officeDocument/2006/relationships/hyperlink" Target="https://twitter.com/damugo1974" TargetMode="External"/><Relationship Id="rId8036" Type="http://schemas.openxmlformats.org/officeDocument/2006/relationships/hyperlink" Target="https://twitter.com/beetlebug1938/status/723354110540537856" TargetMode="External"/><Relationship Id="rId11364" Type="http://schemas.openxmlformats.org/officeDocument/2006/relationships/hyperlink" Target="https://pbs.twimg.com/profile_images/658615068817530880/xw97hu2y_normal.jpg" TargetMode="External"/><Relationship Id="rId1423" Type="http://schemas.openxmlformats.org/officeDocument/2006/relationships/hyperlink" Target="https://pbs.twimg.com/profile_images/718820712757215233/LXXndPTS_normal.jpg" TargetMode="External"/><Relationship Id="rId4993" Type="http://schemas.openxmlformats.org/officeDocument/2006/relationships/hyperlink" Target="https://pbs.twimg.com/profile_images/682287607309549568/eHWN44Jc_normal.jpg" TargetMode="External"/><Relationship Id="rId11017" Type="http://schemas.openxmlformats.org/officeDocument/2006/relationships/hyperlink" Target="https://twitter.com/VWCV_Hatfield" TargetMode="External"/><Relationship Id="rId14587" Type="http://schemas.openxmlformats.org/officeDocument/2006/relationships/hyperlink" Target="https://twitter.com/Guadiglesias/status/723576038786211841" TargetMode="External"/><Relationship Id="rId23905" Type="http://schemas.openxmlformats.org/officeDocument/2006/relationships/hyperlink" Target="https://pbs.twimg.com/profile_images/555481120612315136/U0HzM9IZ_normal.jpeg" TargetMode="External"/><Relationship Id="rId4646" Type="http://schemas.openxmlformats.org/officeDocument/2006/relationships/hyperlink" Target="https://twitter.com/DJMattDavid/status/723184161851322369" TargetMode="External"/><Relationship Id="rId17060" Type="http://schemas.openxmlformats.org/officeDocument/2006/relationships/hyperlink" Target="http://dlvr.it/" TargetMode="External"/><Relationship Id="rId21456" Type="http://schemas.openxmlformats.org/officeDocument/2006/relationships/hyperlink" Target="https://twitter.com/dendryad/status/724150165381234689" TargetMode="External"/><Relationship Id="rId2197" Type="http://schemas.openxmlformats.org/officeDocument/2006/relationships/hyperlink" Target="https://twitter.com/OneStepBayond" TargetMode="External"/><Relationship Id="rId7869" Type="http://schemas.openxmlformats.org/officeDocument/2006/relationships/hyperlink" Target="https://pbs.twimg.com/profile_images/708466589696262144/0z2VO5-J_normal.jpg" TargetMode="External"/><Relationship Id="rId10100" Type="http://schemas.openxmlformats.org/officeDocument/2006/relationships/hyperlink" Target="https://twitter.com/stekauf" TargetMode="External"/><Relationship Id="rId21109" Type="http://schemas.openxmlformats.org/officeDocument/2006/relationships/hyperlink" Target="https://pbs.twimg.com/profile_images/718820712757215233/LXXndPTS_normal.jpg" TargetMode="External"/><Relationship Id="rId24679" Type="http://schemas.openxmlformats.org/officeDocument/2006/relationships/hyperlink" Target="https://twitter.com/llvmariejones" TargetMode="External"/><Relationship Id="rId169" Type="http://schemas.openxmlformats.org/officeDocument/2006/relationships/hyperlink" Target="https://twitter.com/VCT_Tweets/status/722931678117814272" TargetMode="External"/><Relationship Id="rId13670" Type="http://schemas.openxmlformats.org/officeDocument/2006/relationships/hyperlink" Target="https://twitter.com/panicswitch777/status/723552942117113856" TargetMode="External"/><Relationship Id="rId1280" Type="http://schemas.openxmlformats.org/officeDocument/2006/relationships/hyperlink" Target="https://twitter.com/ChristianKreb/status/723031285711642624" TargetMode="External"/><Relationship Id="rId13323" Type="http://schemas.openxmlformats.org/officeDocument/2006/relationships/hyperlink" Target="https://twitter.com/DJMattDavid/status/723543317695356928" TargetMode="External"/><Relationship Id="rId16893" Type="http://schemas.openxmlformats.org/officeDocument/2006/relationships/hyperlink" Target="https://pbs.twimg.com/profile_images/723541619148988416/X9xXaUQk_normal.jpg" TargetMode="External"/><Relationship Id="rId6952" Type="http://schemas.openxmlformats.org/officeDocument/2006/relationships/hyperlink" Target="http://ctrlq.org/maps/address/" TargetMode="External"/><Relationship Id="rId16546" Type="http://schemas.openxmlformats.org/officeDocument/2006/relationships/hyperlink" Target="https://twitter.com/beetlebug1938" TargetMode="External"/><Relationship Id="rId23762" Type="http://schemas.openxmlformats.org/officeDocument/2006/relationships/hyperlink" Target="https://twitter.com/suprmotoronline" TargetMode="External"/><Relationship Id="rId6605" Type="http://schemas.openxmlformats.org/officeDocument/2006/relationships/hyperlink" Target="https://pbs.twimg.com/profile_images/453323895135690752/iFYCtw66_normal.png" TargetMode="External"/><Relationship Id="rId14097" Type="http://schemas.openxmlformats.org/officeDocument/2006/relationships/hyperlink" Target="https://twitter.com/rgruhn" TargetMode="External"/><Relationship Id="rId19769" Type="http://schemas.openxmlformats.org/officeDocument/2006/relationships/hyperlink" Target="https://twitter.com/Insta_VWT/status/723956760604737536" TargetMode="External"/><Relationship Id="rId23415" Type="http://schemas.openxmlformats.org/officeDocument/2006/relationships/hyperlink" Target="https://pbs.twimg.com/profile_images/473555745741344768/83uhhxQy_normal.jpeg" TargetMode="External"/><Relationship Id="rId4156" Type="http://schemas.openxmlformats.org/officeDocument/2006/relationships/hyperlink" Target="https://pbs.twimg.com/profile_images/817507723/Harry_Smith_cropped_normal.jpg" TargetMode="External"/><Relationship Id="rId9828" Type="http://schemas.openxmlformats.org/officeDocument/2006/relationships/hyperlink" Target="https://twitter.com/NDRreporter" TargetMode="External"/><Relationship Id="rId7379" Type="http://schemas.openxmlformats.org/officeDocument/2006/relationships/hyperlink" Target="https://twitter.com/hameles" TargetMode="External"/><Relationship Id="rId12809" Type="http://schemas.openxmlformats.org/officeDocument/2006/relationships/hyperlink" Target="https://twitter.com/beetlebug1938/status/723528043264921601" TargetMode="External"/><Relationship Id="rId13180" Type="http://schemas.openxmlformats.org/officeDocument/2006/relationships/hyperlink" Target="http://dlvr.it/" TargetMode="External"/><Relationship Id="rId24189" Type="http://schemas.openxmlformats.org/officeDocument/2006/relationships/hyperlink" Target="https://twitter.com/dubbusses" TargetMode="External"/><Relationship Id="rId18852" Type="http://schemas.openxmlformats.org/officeDocument/2006/relationships/hyperlink" Target="https://pbs.twimg.com/profile_images/714203979828367360/L8fzYPdU_normal.jpg" TargetMode="External"/><Relationship Id="rId3989" Type="http://schemas.openxmlformats.org/officeDocument/2006/relationships/hyperlink" Target="https://twitter.com/kuerzel_td/status/723174017251827716" TargetMode="External"/><Relationship Id="rId6462" Type="http://schemas.openxmlformats.org/officeDocument/2006/relationships/hyperlink" Target="https://twitter.com/thomaslyoung/status/723244163282644992" TargetMode="External"/><Relationship Id="rId8911" Type="http://schemas.openxmlformats.org/officeDocument/2006/relationships/hyperlink" Target="https://pbs.twimg.com/profile_images/567774105684811776/-3LqVKeU_normal.jpeg" TargetMode="External"/><Relationship Id="rId16056" Type="http://schemas.openxmlformats.org/officeDocument/2006/relationships/hyperlink" Target="https://twitter.com/LaloZaldivarD/status/723646345240666112" TargetMode="External"/><Relationship Id="rId18505" Type="http://schemas.openxmlformats.org/officeDocument/2006/relationships/hyperlink" Target="https://twitter.com/carolinepedler/status/723874259408420864" TargetMode="External"/><Relationship Id="rId20799" Type="http://schemas.openxmlformats.org/officeDocument/2006/relationships/hyperlink" Target="https://twitter.com/ozgurcedeniz" TargetMode="External"/><Relationship Id="rId23272" Type="http://schemas.openxmlformats.org/officeDocument/2006/relationships/hyperlink" Target="https://twitter.com/SantaPodRaceway/status/724277415179083777" TargetMode="External"/><Relationship Id="rId25721" Type="http://schemas.openxmlformats.org/officeDocument/2006/relationships/hyperlink" Target="https://pbs.twimg.com/profile_images/666952430177935362/T46eVne2_normal.png" TargetMode="External"/><Relationship Id="rId6115" Type="http://schemas.openxmlformats.org/officeDocument/2006/relationships/hyperlink" Target="https://twitter.com/pgeorgol/status/723231347817480193" TargetMode="External"/><Relationship Id="rId9685" Type="http://schemas.openxmlformats.org/officeDocument/2006/relationships/hyperlink" Target="https://twitter.com/BGKSR" TargetMode="External"/><Relationship Id="rId12666" Type="http://schemas.openxmlformats.org/officeDocument/2006/relationships/hyperlink" Target="https://twitter.com/bonzoboy/status/723524833380851716" TargetMode="External"/><Relationship Id="rId19279" Type="http://schemas.openxmlformats.org/officeDocument/2006/relationships/hyperlink" Target="https://twitter.com/beetle_pics" TargetMode="External"/><Relationship Id="rId2725" Type="http://schemas.openxmlformats.org/officeDocument/2006/relationships/hyperlink" Target="https://pbs.twimg.com/profile_images/686584469227188224/J9Rr0kEb_normal.jpg" TargetMode="External"/><Relationship Id="rId9338" Type="http://schemas.openxmlformats.org/officeDocument/2006/relationships/hyperlink" Target="https://pbs.twimg.com/profile_images/666952128108363777/FL78g9n-_normal.png" TargetMode="External"/><Relationship Id="rId12319" Type="http://schemas.openxmlformats.org/officeDocument/2006/relationships/hyperlink" Target="https://pbs.twimg.com/profile_images/1488674331/schofer4_normal.jpg" TargetMode="External"/><Relationship Id="rId15889" Type="http://schemas.openxmlformats.org/officeDocument/2006/relationships/hyperlink" Target="https://twitter.com/harwich2gether" TargetMode="External"/><Relationship Id="rId5948" Type="http://schemas.openxmlformats.org/officeDocument/2006/relationships/hyperlink" Target="https://twitter.com/ineeshadvs/status/723225132337078272" TargetMode="External"/><Relationship Id="rId18362" Type="http://schemas.openxmlformats.org/officeDocument/2006/relationships/hyperlink" Target="https://twitter.com/VolkswagenPost" TargetMode="External"/><Relationship Id="rId22758" Type="http://schemas.openxmlformats.org/officeDocument/2006/relationships/hyperlink" Target="https://pbs.twimg.com/profile_images/530071272881803264/a_jcCmPZ_normal.png" TargetMode="External"/><Relationship Id="rId3499" Type="http://schemas.openxmlformats.org/officeDocument/2006/relationships/hyperlink" Target="https://twitter.com/SCGsoflo/status/723160695546630144" TargetMode="External"/><Relationship Id="rId8421" Type="http://schemas.openxmlformats.org/officeDocument/2006/relationships/hyperlink" Target="https://pbs.twimg.com/profile_images/716386262387527680/iXBQikmn_normal.jpg" TargetMode="External"/><Relationship Id="rId18015" Type="http://schemas.openxmlformats.org/officeDocument/2006/relationships/hyperlink" Target="https://pbs.twimg.com/profile_images/691295347436552194/n11nMbJK_normal.jpg" TargetMode="External"/><Relationship Id="rId25231" Type="http://schemas.openxmlformats.org/officeDocument/2006/relationships/hyperlink" Target="https://twitter.com/dubbusses" TargetMode="External"/><Relationship Id="rId11402" Type="http://schemas.openxmlformats.org/officeDocument/2006/relationships/hyperlink" Target="https://twitter.com/OXMarkets/status/723501857885159425" TargetMode="External"/><Relationship Id="rId14972" Type="http://schemas.openxmlformats.org/officeDocument/2006/relationships/hyperlink" Target="https://twitter.com/DubLuvTuning" TargetMode="External"/><Relationship Id="rId9195" Type="http://schemas.openxmlformats.org/officeDocument/2006/relationships/hyperlink" Target="https://twitter.com/VeeDubMk1_" TargetMode="External"/><Relationship Id="rId14625" Type="http://schemas.openxmlformats.org/officeDocument/2006/relationships/hyperlink" Target="https://twitter.com/agtomlinson_uk" TargetMode="External"/><Relationship Id="rId21841" Type="http://schemas.openxmlformats.org/officeDocument/2006/relationships/hyperlink" Target="https://twitter.com/OnlineCarReview/status/724184955312431104" TargetMode="External"/><Relationship Id="rId2582" Type="http://schemas.openxmlformats.org/officeDocument/2006/relationships/hyperlink" Target="https://twitter.com/ArcticPreserve" TargetMode="External"/><Relationship Id="rId12176" Type="http://schemas.openxmlformats.org/officeDocument/2006/relationships/hyperlink" Target="https://twitter.com/frau_junge/status/723514488754974720" TargetMode="External"/><Relationship Id="rId17848" Type="http://schemas.openxmlformats.org/officeDocument/2006/relationships/hyperlink" Target="https://twitter.com/DeeCzee" TargetMode="External"/><Relationship Id="rId554" Type="http://schemas.openxmlformats.org/officeDocument/2006/relationships/hyperlink" Target="https://pbs.twimg.com/profile_images/539565961561767936/Vm-qjPcl_normal.jpeg" TargetMode="External"/><Relationship Id="rId2235" Type="http://schemas.openxmlformats.org/officeDocument/2006/relationships/hyperlink" Target="https://twitter.com/Charms1Mulder" TargetMode="External"/><Relationship Id="rId7907" Type="http://schemas.openxmlformats.org/officeDocument/2006/relationships/hyperlink" Target="https://twitter.com/carlos_prm176" TargetMode="External"/><Relationship Id="rId15399" Type="http://schemas.openxmlformats.org/officeDocument/2006/relationships/hyperlink" Target="https://pbs.twimg.com/profile_images/378800000572104796/1de43e1cf23efb3f4101c02afad0d3b6_normal.png" TargetMode="External"/><Relationship Id="rId24717" Type="http://schemas.openxmlformats.org/officeDocument/2006/relationships/hyperlink" Target="https://twitter.com/FuscaWorld/status/724385086204948480" TargetMode="External"/><Relationship Id="rId207" Type="http://schemas.openxmlformats.org/officeDocument/2006/relationships/hyperlink" Target="https://pbs.twimg.com/profile_images/692812370859552768/EHWF1RrL_normal.jpg" TargetMode="External"/><Relationship Id="rId5458" Type="http://schemas.openxmlformats.org/officeDocument/2006/relationships/hyperlink" Target="https://twitter.com/bouillcoud" TargetMode="External"/><Relationship Id="rId22268" Type="http://schemas.openxmlformats.org/officeDocument/2006/relationships/hyperlink" Target="https://pbs.twimg.com/profile_images/721733413024186368/cw2Gz1sV_normal.jpg" TargetMode="External"/><Relationship Id="rId16931" Type="http://schemas.openxmlformats.org/officeDocument/2006/relationships/hyperlink" Target="https://twitter.com/Scirocco_Tuning/status/723751660271579137" TargetMode="External"/><Relationship Id="rId4541" Type="http://schemas.openxmlformats.org/officeDocument/2006/relationships/hyperlink" Target="https://pbs.twimg.com/profile_images/722397159664934912/FokUg6EX_normal.jpg" TargetMode="External"/><Relationship Id="rId14135" Type="http://schemas.openxmlformats.org/officeDocument/2006/relationships/hyperlink" Target="https://twitter.com/EnduroForLife17/status/723564904016424960" TargetMode="External"/><Relationship Id="rId14482" Type="http://schemas.openxmlformats.org/officeDocument/2006/relationships/hyperlink" Target="https://twitter.com/NickiFinlayson/status/723574693639401472" TargetMode="External"/><Relationship Id="rId23800" Type="http://schemas.openxmlformats.org/officeDocument/2006/relationships/hyperlink" Target="https://pbs.twimg.com/profile_images/718839998531903489/eXyeGppJ_normal.jpg" TargetMode="External"/><Relationship Id="rId2092" Type="http://schemas.openxmlformats.org/officeDocument/2006/relationships/hyperlink" Target="https://twitter.com/VeeDubMk1_" TargetMode="External"/><Relationship Id="rId19807" Type="http://schemas.openxmlformats.org/officeDocument/2006/relationships/hyperlink" Target="https://pbs.twimg.com/profile_images/654379371449421825/wDuXHoqa_normal.jpg" TargetMode="External"/><Relationship Id="rId21004" Type="http://schemas.openxmlformats.org/officeDocument/2006/relationships/hyperlink" Target="https://twitter.com/LybertusBarker" TargetMode="External"/><Relationship Id="rId21351" Type="http://schemas.openxmlformats.org/officeDocument/2006/relationships/hyperlink" Target="https://twitter.com/DubLuvTuning/status/724143192153677824" TargetMode="External"/><Relationship Id="rId7764" Type="http://schemas.openxmlformats.org/officeDocument/2006/relationships/hyperlink" Target="https://twitter.com/dipurwantto/status/723330390643998720" TargetMode="External"/><Relationship Id="rId10745" Type="http://schemas.openxmlformats.org/officeDocument/2006/relationships/hyperlink" Target="https://twitter.com/beetlebug1938" TargetMode="External"/><Relationship Id="rId17358" Type="http://schemas.openxmlformats.org/officeDocument/2006/relationships/hyperlink" Target="https://twitter.com/frenja" TargetMode="External"/><Relationship Id="rId24574" Type="http://schemas.openxmlformats.org/officeDocument/2006/relationships/hyperlink" Target="https://twitter.com/GolfitIt/status/724372670733635584" TargetMode="External"/><Relationship Id="rId7417" Type="http://schemas.openxmlformats.org/officeDocument/2006/relationships/hyperlink" Target="https://pbs.twimg.com/profile_images/455667854793134080/omjA9HWX_normal.jpeg" TargetMode="External"/><Relationship Id="rId13968" Type="http://schemas.openxmlformats.org/officeDocument/2006/relationships/hyperlink" Target="https://twitter.com/MELODyINTL" TargetMode="External"/><Relationship Id="rId24227" Type="http://schemas.openxmlformats.org/officeDocument/2006/relationships/hyperlink" Target="https://pbs.twimg.com/profile_images/708353303667671040/p6l9LTSb_normal.jpg" TargetMode="External"/><Relationship Id="rId16441" Type="http://schemas.openxmlformats.org/officeDocument/2006/relationships/hyperlink" Target="https://twitter.com/CollectHW" TargetMode="External"/><Relationship Id="rId20837" Type="http://schemas.openxmlformats.org/officeDocument/2006/relationships/hyperlink" Target="https://twitter.com/Eze_Marocchi/status/724048682539212800" TargetMode="External"/><Relationship Id="rId1578" Type="http://schemas.openxmlformats.org/officeDocument/2006/relationships/hyperlink" Target="https://twitter.com/VeeDoubleMoo/status/723047588920975360" TargetMode="External"/><Relationship Id="rId6500" Type="http://schemas.openxmlformats.org/officeDocument/2006/relationships/hyperlink" Target="https://pbs.twimg.com/profile_images/693046614500478976/ViP7t2rj_normal.jpg" TargetMode="External"/><Relationship Id="rId23310" Type="http://schemas.openxmlformats.org/officeDocument/2006/relationships/hyperlink" Target="https://pbs.twimg.com/profile_images/672878354127839232/M7OYc-zx_normal.jpg" TargetMode="External"/><Relationship Id="rId4051" Type="http://schemas.openxmlformats.org/officeDocument/2006/relationships/hyperlink" Target="https://twitter.com/NochexLtd" TargetMode="External"/><Relationship Id="rId19664" Type="http://schemas.openxmlformats.org/officeDocument/2006/relationships/hyperlink" Target="https://twitter.com/HueySupreme_/status/723946086197542912" TargetMode="External"/><Relationship Id="rId7274" Type="http://schemas.openxmlformats.org/officeDocument/2006/relationships/hyperlink" Target="https://pbs.twimg.com/profile_images/652793782535000065/TEIow6PF_normal.jpg" TargetMode="External"/><Relationship Id="rId9723" Type="http://schemas.openxmlformats.org/officeDocument/2006/relationships/hyperlink" Target="https://twitter.com/halt_design" TargetMode="External"/><Relationship Id="rId12704" Type="http://schemas.openxmlformats.org/officeDocument/2006/relationships/hyperlink" Target="https://twitter.com/RaulRadon" TargetMode="External"/><Relationship Id="rId19317" Type="http://schemas.openxmlformats.org/officeDocument/2006/relationships/hyperlink" Target="https://pbs.twimg.com/profile_images/615493650785660928/XHUh6HOk_normal.jpg" TargetMode="External"/><Relationship Id="rId24084" Type="http://schemas.openxmlformats.org/officeDocument/2006/relationships/hyperlink" Target="https://pbs.twimg.com/profile_images/1380159784/aja_normal.png" TargetMode="External"/><Relationship Id="rId10255" Type="http://schemas.openxmlformats.org/officeDocument/2006/relationships/hyperlink" Target="https://pbs.twimg.com/profile_images/717382175071535104/1l_yueaA_normal.jpg" TargetMode="External"/><Relationship Id="rId15927" Type="http://schemas.openxmlformats.org/officeDocument/2006/relationships/hyperlink" Target="https://pbs.twimg.com/profile_images/700378173943316481/4ItP2iGG_normal.jpg" TargetMode="External"/><Relationship Id="rId3884" Type="http://schemas.openxmlformats.org/officeDocument/2006/relationships/hyperlink" Target="https://pbs.twimg.com/profile_images/705915659411177472/uwwzgqKD_normal.jpg" TargetMode="External"/><Relationship Id="rId13478" Type="http://schemas.openxmlformats.org/officeDocument/2006/relationships/hyperlink" Target="https://twitter.com/VolkerVotsmeier" TargetMode="External"/><Relationship Id="rId18400" Type="http://schemas.openxmlformats.org/officeDocument/2006/relationships/hyperlink" Target="https://twitter.com/MOSLIM10003/status/723866907338780672" TargetMode="External"/><Relationship Id="rId20694" Type="http://schemas.openxmlformats.org/officeDocument/2006/relationships/hyperlink" Target="https://pbs.twimg.com/profile_images/703294545195307008/qeCvrX86_normal.jpg" TargetMode="External"/><Relationship Id="rId3537" Type="http://schemas.openxmlformats.org/officeDocument/2006/relationships/hyperlink" Target="https://twitter.com/JosefaTT1" TargetMode="External"/><Relationship Id="rId20347" Type="http://schemas.openxmlformats.org/officeDocument/2006/relationships/hyperlink" Target="https://twitter.com/jarrodau/status/723992673783304192" TargetMode="External"/><Relationship Id="rId1088" Type="http://schemas.openxmlformats.org/officeDocument/2006/relationships/hyperlink" Target="https://twitter.com/kovermarroquin/status/723016686648086528" TargetMode="External"/><Relationship Id="rId6010" Type="http://schemas.openxmlformats.org/officeDocument/2006/relationships/hyperlink" Target="https://twitter.com/VWBeetleSales/status/723227444656775169" TargetMode="External"/><Relationship Id="rId9580" Type="http://schemas.openxmlformats.org/officeDocument/2006/relationships/hyperlink" Target="https://pbs.twimg.com/profile_images/621239347208192000/wXN4MLBs_normal.jpg" TargetMode="External"/><Relationship Id="rId19174" Type="http://schemas.openxmlformats.org/officeDocument/2006/relationships/hyperlink" Target="https://twitter.com/Scirocco_Tuning/status/723921925483966465" TargetMode="External"/><Relationship Id="rId2620" Type="http://schemas.openxmlformats.org/officeDocument/2006/relationships/hyperlink" Target="https://twitter.com/TLA_Chloe/status/723109603802648577" TargetMode="External"/><Relationship Id="rId9233" Type="http://schemas.openxmlformats.org/officeDocument/2006/relationships/hyperlink" Target="https://pbs.twimg.com/profile_images/714499325313880064/pQsiHVWm_normal.jpg" TargetMode="External"/><Relationship Id="rId12214" Type="http://schemas.openxmlformats.org/officeDocument/2006/relationships/hyperlink" Target="https://twitter.com/WFeulner" TargetMode="External"/><Relationship Id="rId12561" Type="http://schemas.openxmlformats.org/officeDocument/2006/relationships/hyperlink" Target="https://twitter.com/dw_wirtschaft/status/723522558864330752" TargetMode="External"/><Relationship Id="rId15784" Type="http://schemas.openxmlformats.org/officeDocument/2006/relationships/hyperlink" Target="https://pbs.twimg.com/profile_images/710929065939755009/-Rgs_z20_normal.jpg" TargetMode="External"/><Relationship Id="rId3394" Type="http://schemas.openxmlformats.org/officeDocument/2006/relationships/hyperlink" Target="https://pbs.twimg.com/profile_images/721708689942519812/vyTKoQU9_normal.jpg" TargetMode="External"/><Relationship Id="rId5843" Type="http://schemas.openxmlformats.org/officeDocument/2006/relationships/hyperlink" Target="https://twitter.com/AnthonyWanger/status/723219810423697408" TargetMode="External"/><Relationship Id="rId15437" Type="http://schemas.openxmlformats.org/officeDocument/2006/relationships/hyperlink" Target="https://twitter.com/DeeJayDready/status/723607814652960770" TargetMode="External"/><Relationship Id="rId22653" Type="http://schemas.openxmlformats.org/officeDocument/2006/relationships/hyperlink" Target="https://pbs.twimg.com/profile_images/295471774/2009-06-24_18.04.24_normal.jpg" TargetMode="External"/><Relationship Id="rId3047" Type="http://schemas.openxmlformats.org/officeDocument/2006/relationships/hyperlink" Target="https://twitter.com/Cosmic_Crafts/status/723134550596038656" TargetMode="External"/><Relationship Id="rId22306" Type="http://schemas.openxmlformats.org/officeDocument/2006/relationships/hyperlink" Target="https://twitter.com/VCT_Tweets" TargetMode="External"/><Relationship Id="rId8719" Type="http://schemas.openxmlformats.org/officeDocument/2006/relationships/hyperlink" Target="https://twitter.com/DMonigatti/status/723403391536242688" TargetMode="External"/><Relationship Id="rId14520" Type="http://schemas.openxmlformats.org/officeDocument/2006/relationships/hyperlink" Target="https://twitter.com/iForia" TargetMode="External"/><Relationship Id="rId25529" Type="http://schemas.openxmlformats.org/officeDocument/2006/relationships/hyperlink" Target="https://twitter.com/KayeMenner/status/724445636368584705" TargetMode="External"/><Relationship Id="rId9090" Type="http://schemas.openxmlformats.org/officeDocument/2006/relationships/hyperlink" Target="https://pbs.twimg.com/profile_images/603104992703152128/ENsieqFD_normal.jpg" TargetMode="External"/><Relationship Id="rId12071" Type="http://schemas.openxmlformats.org/officeDocument/2006/relationships/hyperlink" Target="https://twitter.com/slackner81/status/723512704078614528" TargetMode="External"/><Relationship Id="rId2130" Type="http://schemas.openxmlformats.org/officeDocument/2006/relationships/hyperlink" Target="https://pbs.twimg.com/profile_images/558071990989234176/26P9fNQe_normal.jpeg" TargetMode="External"/><Relationship Id="rId15294" Type="http://schemas.openxmlformats.org/officeDocument/2006/relationships/hyperlink" Target="https://pbs.twimg.com/profile_images/710243539695763456/UeBsM3MU_normal.jpg" TargetMode="External"/><Relationship Id="rId17743" Type="http://schemas.openxmlformats.org/officeDocument/2006/relationships/hyperlink" Target="https://twitter.com/Tokyogame" TargetMode="External"/><Relationship Id="rId102" Type="http://schemas.openxmlformats.org/officeDocument/2006/relationships/hyperlink" Target="https://twitter.com/ThreeCountyVW" TargetMode="External"/><Relationship Id="rId5353" Type="http://schemas.openxmlformats.org/officeDocument/2006/relationships/hyperlink" Target="https://pbs.twimg.com/profile_images/2709204996/b880460acdc869254288bfc2187d0176_normal.jpeg" TargetMode="External"/><Relationship Id="rId7802" Type="http://schemas.openxmlformats.org/officeDocument/2006/relationships/hyperlink" Target="https://pbs.twimg.com/profile_images/710287996298371072/gggJOkGI_normal.jpg" TargetMode="External"/><Relationship Id="rId22163" Type="http://schemas.openxmlformats.org/officeDocument/2006/relationships/hyperlink" Target="https://twitter.com/motorhappy" TargetMode="External"/><Relationship Id="rId24612" Type="http://schemas.openxmlformats.org/officeDocument/2006/relationships/hyperlink" Target="https://twitter.com/israel_artismo" TargetMode="External"/><Relationship Id="rId5006" Type="http://schemas.openxmlformats.org/officeDocument/2006/relationships/hyperlink" Target="https://twitter.com/heutejournal" TargetMode="External"/><Relationship Id="rId1963" Type="http://schemas.openxmlformats.org/officeDocument/2006/relationships/hyperlink" Target="https://twitter.com/c_g_citizen/status/723070135947251712" TargetMode="External"/><Relationship Id="rId8576" Type="http://schemas.openxmlformats.org/officeDocument/2006/relationships/hyperlink" Target="https://twitter.com/LegoDustCaps" TargetMode="External"/><Relationship Id="rId11557" Type="http://schemas.openxmlformats.org/officeDocument/2006/relationships/hyperlink" Target="https://twitter.com/Adventure_Ost" TargetMode="External"/><Relationship Id="rId25386" Type="http://schemas.openxmlformats.org/officeDocument/2006/relationships/hyperlink" Target="https://twitter.com/adhishalawani" TargetMode="External"/><Relationship Id="rId1616" Type="http://schemas.openxmlformats.org/officeDocument/2006/relationships/hyperlink" Target="https://twitter.com/E_Analytics" TargetMode="External"/><Relationship Id="rId8229" Type="http://schemas.openxmlformats.org/officeDocument/2006/relationships/hyperlink" Target="https://twitter.com/DLF" TargetMode="External"/><Relationship Id="rId14030" Type="http://schemas.openxmlformats.org/officeDocument/2006/relationships/hyperlink" Target="https://twitter.com/ebaycampervans" TargetMode="External"/><Relationship Id="rId19702" Type="http://schemas.openxmlformats.org/officeDocument/2006/relationships/hyperlink" Target="https://twitter.com/dapper013" TargetMode="External"/><Relationship Id="rId21996" Type="http://schemas.openxmlformats.org/officeDocument/2006/relationships/hyperlink" Target="http://dlvr.it/" TargetMode="External"/><Relationship Id="rId25039" Type="http://schemas.openxmlformats.org/officeDocument/2006/relationships/hyperlink" Target="https://twitter.com/bertinosr" TargetMode="External"/><Relationship Id="rId4839" Type="http://schemas.openxmlformats.org/officeDocument/2006/relationships/hyperlink" Target="https://pbs.twimg.com/profile_images/689225545918328832/z6p4SA9L_normal.jpg" TargetMode="External"/><Relationship Id="rId17253" Type="http://schemas.openxmlformats.org/officeDocument/2006/relationships/hyperlink" Target="https://twitter.com/MhvonS" TargetMode="External"/><Relationship Id="rId21649" Type="http://schemas.openxmlformats.org/officeDocument/2006/relationships/hyperlink" Target="https://twitter.com/swanswaygroup" TargetMode="External"/><Relationship Id="rId7312" Type="http://schemas.openxmlformats.org/officeDocument/2006/relationships/hyperlink" Target="https://twitter.com/CarConnection/status/723294767807795201" TargetMode="External"/><Relationship Id="rId10640" Type="http://schemas.openxmlformats.org/officeDocument/2006/relationships/hyperlink" Target="https://twitter.com/irenesconcierge" TargetMode="External"/><Relationship Id="rId24122" Type="http://schemas.openxmlformats.org/officeDocument/2006/relationships/hyperlink" Target="http://dlvr.it/" TargetMode="External"/><Relationship Id="rId13863" Type="http://schemas.openxmlformats.org/officeDocument/2006/relationships/hyperlink" Target="https://twitter.com/zarina_baiba/status/723557713532301312" TargetMode="External"/><Relationship Id="rId1473" Type="http://schemas.openxmlformats.org/officeDocument/2006/relationships/hyperlink" Target="https://twitter.com/JClaesz" TargetMode="External"/><Relationship Id="rId3922" Type="http://schemas.openxmlformats.org/officeDocument/2006/relationships/hyperlink" Target="https://twitter.com/Sandy_Tang_Ge/status/723172063737995264" TargetMode="External"/><Relationship Id="rId8086" Type="http://schemas.openxmlformats.org/officeDocument/2006/relationships/hyperlink" Target="https://pbs.twimg.com/profile_images/62751185/logo_rp_normal.gif" TargetMode="External"/><Relationship Id="rId13516" Type="http://schemas.openxmlformats.org/officeDocument/2006/relationships/hyperlink" Target="https://pbs.twimg.com/profile_images/522759312028884992/6n24auYw_normal.png" TargetMode="External"/><Relationship Id="rId20732" Type="http://schemas.openxmlformats.org/officeDocument/2006/relationships/hyperlink" Target="https://twitter.com/VCT_Tweets" TargetMode="External"/><Relationship Id="rId1126" Type="http://schemas.openxmlformats.org/officeDocument/2006/relationships/hyperlink" Target="https://twitter.com/motoexposure/status/723021106685329408" TargetMode="External"/><Relationship Id="rId11067" Type="http://schemas.openxmlformats.org/officeDocument/2006/relationships/hyperlink" Target="https://pbs.twimg.com/profile_images/598485163241267200/wFl-W3I2_normal.jpg" TargetMode="External"/><Relationship Id="rId16739" Type="http://schemas.openxmlformats.org/officeDocument/2006/relationships/hyperlink" Target="https://twitter.com/FlorShirado" TargetMode="External"/><Relationship Id="rId23955" Type="http://schemas.openxmlformats.org/officeDocument/2006/relationships/hyperlink" Target="https://twitter.com/Mphilpot1" TargetMode="External"/><Relationship Id="rId4696" Type="http://schemas.openxmlformats.org/officeDocument/2006/relationships/hyperlink" Target="https://twitter.com/thewonkydonkey/status/723185578062303232" TargetMode="External"/><Relationship Id="rId19212" Type="http://schemas.openxmlformats.org/officeDocument/2006/relationships/hyperlink" Target="https://twitter.com/RlCO_DA_MAC" TargetMode="External"/><Relationship Id="rId23608" Type="http://schemas.openxmlformats.org/officeDocument/2006/relationships/hyperlink" Target="https://twitter.com/andrespirincho/status/724299083943403520" TargetMode="External"/><Relationship Id="rId4349" Type="http://schemas.openxmlformats.org/officeDocument/2006/relationships/hyperlink" Target="https://twitter.com/VWSouthCoast/status/723179551770046464" TargetMode="External"/><Relationship Id="rId10150" Type="http://schemas.openxmlformats.org/officeDocument/2006/relationships/hyperlink" Target="https://twitter.com/FOCUS_MONEY" TargetMode="External"/><Relationship Id="rId21159" Type="http://schemas.openxmlformats.org/officeDocument/2006/relationships/hyperlink" Target="https://twitter.com/FacuRusso46vr/status/724117186139283456" TargetMode="External"/><Relationship Id="rId13373" Type="http://schemas.openxmlformats.org/officeDocument/2006/relationships/hyperlink" Target="https://twitter.com/swanswaygroup" TargetMode="External"/><Relationship Id="rId15822" Type="http://schemas.openxmlformats.org/officeDocument/2006/relationships/hyperlink" Target="https://twitter.com/PatteFohlen/status/723629902394695682" TargetMode="External"/><Relationship Id="rId3432" Type="http://schemas.openxmlformats.org/officeDocument/2006/relationships/hyperlink" Target="https://twitter.com/Florcitaa38" TargetMode="External"/><Relationship Id="rId13026" Type="http://schemas.openxmlformats.org/officeDocument/2006/relationships/hyperlink" Target="https://twitter.com/ajkaestner/status/723533820616683520" TargetMode="External"/><Relationship Id="rId20242" Type="http://schemas.openxmlformats.org/officeDocument/2006/relationships/hyperlink" Target="https://twitter.com/m_mediouni" TargetMode="External"/><Relationship Id="rId16596" Type="http://schemas.openxmlformats.org/officeDocument/2006/relationships/hyperlink" Target="https://pbs.twimg.com/profile_images/2646835465/aa5823578b01b04b7e91d58e8ca88691_normal.jpeg" TargetMode="External"/><Relationship Id="rId6655" Type="http://schemas.openxmlformats.org/officeDocument/2006/relationships/hyperlink" Target="https://pbs.twimg.com/profile_images/672388164602982402/VUyn5Uy1_normal.jpg" TargetMode="External"/><Relationship Id="rId16249" Type="http://schemas.openxmlformats.org/officeDocument/2006/relationships/hyperlink" Target="https://pbs.twimg.com/profile_images/707593065850994688/vfHYeV8C_normal.jpg" TargetMode="External"/><Relationship Id="rId23465" Type="http://schemas.openxmlformats.org/officeDocument/2006/relationships/hyperlink" Target="https://pbs.twimg.com/profile_images/606538524934807552/brKPBufq_normal.jpg" TargetMode="External"/><Relationship Id="rId6308" Type="http://schemas.openxmlformats.org/officeDocument/2006/relationships/hyperlink" Target="https://twitter.com/Josefs_Beitrag" TargetMode="External"/><Relationship Id="rId9878" Type="http://schemas.openxmlformats.org/officeDocument/2006/relationships/hyperlink" Target="https://pbs.twimg.com/profile_images/637390204526030849/x7fTNLV__normal.png" TargetMode="External"/><Relationship Id="rId12859" Type="http://schemas.openxmlformats.org/officeDocument/2006/relationships/hyperlink" Target="https://pbs.twimg.com/profile_images/674618866924969984/c2u5Ih96_normal.jpg" TargetMode="External"/><Relationship Id="rId23118" Type="http://schemas.openxmlformats.org/officeDocument/2006/relationships/hyperlink" Target="https://twitter.com/dubbusses" TargetMode="External"/><Relationship Id="rId2918" Type="http://schemas.openxmlformats.org/officeDocument/2006/relationships/hyperlink" Target="https://pbs.twimg.com/profile_images/646694490569318400/VDYV8UdL_normal.jpg" TargetMode="External"/><Relationship Id="rId15332" Type="http://schemas.openxmlformats.org/officeDocument/2006/relationships/hyperlink" Target="https://twitter.com/Gosthtot" TargetMode="External"/><Relationship Id="rId8961" Type="http://schemas.openxmlformats.org/officeDocument/2006/relationships/hyperlink" Target="https://twitter.com/GirtsRungainis/status/723412991262117889" TargetMode="External"/><Relationship Id="rId18555" Type="http://schemas.openxmlformats.org/officeDocument/2006/relationships/hyperlink" Target="https://pbs.twimg.com/profile_images/521442539287506945/Sq9vADfR_normal.jpeg" TargetMode="External"/><Relationship Id="rId22201" Type="http://schemas.openxmlformats.org/officeDocument/2006/relationships/hyperlink" Target="https://pbs.twimg.com/profile_images/718820712757215233/LXXndPTS_normal.jpg" TargetMode="External"/><Relationship Id="rId8614" Type="http://schemas.openxmlformats.org/officeDocument/2006/relationships/hyperlink" Target="https://pbs.twimg.com/profile_images/689426162498478080/oFvjyyk9_normal.jpg" TargetMode="External"/><Relationship Id="rId11942" Type="http://schemas.openxmlformats.org/officeDocument/2006/relationships/hyperlink" Target="https://twitter.com/Karlomart" TargetMode="External"/><Relationship Id="rId18208" Type="http://schemas.openxmlformats.org/officeDocument/2006/relationships/hyperlink" Target="https://twitter.com/VolkswagenPost" TargetMode="External"/><Relationship Id="rId25424" Type="http://schemas.openxmlformats.org/officeDocument/2006/relationships/hyperlink" Target="https://twitter.com/vickymotorserv1/status/724438209615134720" TargetMode="External"/><Relationship Id="rId6165" Type="http://schemas.openxmlformats.org/officeDocument/2006/relationships/hyperlink" Target="https://twitter.com/VWCamperSales/status/723233376182759424" TargetMode="External"/><Relationship Id="rId9388" Type="http://schemas.openxmlformats.org/officeDocument/2006/relationships/hyperlink" Target="https://twitter.com/joe_rundle" TargetMode="External"/><Relationship Id="rId14818" Type="http://schemas.openxmlformats.org/officeDocument/2006/relationships/hyperlink" Target="https://pbs.twimg.com/profile_images/723039939026378752/UgmKDGmM_normal.jpg" TargetMode="External"/><Relationship Id="rId2775" Type="http://schemas.openxmlformats.org/officeDocument/2006/relationships/hyperlink" Target="https://twitter.com/MediaPost/status/723118354299535360" TargetMode="External"/><Relationship Id="rId12369" Type="http://schemas.openxmlformats.org/officeDocument/2006/relationships/hyperlink" Target="https://twitter.com/agy_nes/status/723518303000518656" TargetMode="External"/><Relationship Id="rId747" Type="http://schemas.openxmlformats.org/officeDocument/2006/relationships/hyperlink" Target="https://twitter.com/Scirocco_Tuning/status/722978660261761024" TargetMode="External"/><Relationship Id="rId2428" Type="http://schemas.openxmlformats.org/officeDocument/2006/relationships/hyperlink" Target="https://twitter.com/cikuwa1/status/723101007517896704" TargetMode="External"/><Relationship Id="rId5998" Type="http://schemas.openxmlformats.org/officeDocument/2006/relationships/hyperlink" Target="https://twitter.com/GetPatina/status/723226564536745988" TargetMode="External"/><Relationship Id="rId8471" Type="http://schemas.openxmlformats.org/officeDocument/2006/relationships/hyperlink" Target="https://twitter.com/2112greg" TargetMode="External"/><Relationship Id="rId11452" Type="http://schemas.openxmlformats.org/officeDocument/2006/relationships/hyperlink" Target="https://twitter.com/StocksTycoon" TargetMode="External"/><Relationship Id="rId13901" Type="http://schemas.openxmlformats.org/officeDocument/2006/relationships/hyperlink" Target="https://pbs.twimg.com/profile_images/718820712757215233/LXXndPTS_normal.jpg" TargetMode="External"/><Relationship Id="rId18065" Type="http://schemas.openxmlformats.org/officeDocument/2006/relationships/hyperlink" Target="https://twitter.com/eoguzbey1" TargetMode="External"/><Relationship Id="rId25281" Type="http://schemas.openxmlformats.org/officeDocument/2006/relationships/hyperlink" Target="https://pbs.twimg.com/profile_images/682117963349135360/IUfZQy35_normal.png" TargetMode="External"/><Relationship Id="rId1511" Type="http://schemas.openxmlformats.org/officeDocument/2006/relationships/hyperlink" Target="https://pbs.twimg.com/profile_images/663353903199711233/bLusZVz1_normal.png" TargetMode="External"/><Relationship Id="rId8124" Type="http://schemas.openxmlformats.org/officeDocument/2006/relationships/hyperlink" Target="https://pbs.twimg.com/profile_images/703294545195307008/qeCvrX86_normal.jpg" TargetMode="External"/><Relationship Id="rId11105" Type="http://schemas.openxmlformats.org/officeDocument/2006/relationships/hyperlink" Target="https://twitter.com/ruv24_de" TargetMode="External"/><Relationship Id="rId14675" Type="http://schemas.openxmlformats.org/officeDocument/2006/relationships/hyperlink" Target="https://pbs.twimg.com/profile_images/422164778639839234/LVnS1q1c_normal.jpeg" TargetMode="External"/><Relationship Id="rId21891" Type="http://schemas.openxmlformats.org/officeDocument/2006/relationships/hyperlink" Target="https://pbs.twimg.com/profile_images/2646835465/aa5823578b01b04b7e91d58e8ca88691_normal.jpeg" TargetMode="External"/><Relationship Id="rId2285" Type="http://schemas.openxmlformats.org/officeDocument/2006/relationships/hyperlink" Target="https://pbs.twimg.com/profile_images/2506752590/image_normal.jpg" TargetMode="External"/><Relationship Id="rId4734" Type="http://schemas.openxmlformats.org/officeDocument/2006/relationships/hyperlink" Target="https://twitter.com/PowersOlga" TargetMode="External"/><Relationship Id="rId14328" Type="http://schemas.openxmlformats.org/officeDocument/2006/relationships/hyperlink" Target="https://twitter.com/AUTOCONSULTANT2/status/723572653869682688" TargetMode="External"/><Relationship Id="rId17898" Type="http://schemas.openxmlformats.org/officeDocument/2006/relationships/hyperlink" Target="http://dlvr.it/" TargetMode="External"/><Relationship Id="rId21544" Type="http://schemas.openxmlformats.org/officeDocument/2006/relationships/hyperlink" Target="https://twitter.com/Tobias_aus_L" TargetMode="External"/><Relationship Id="rId257" Type="http://schemas.openxmlformats.org/officeDocument/2006/relationships/hyperlink" Target="https://twitter.com/DubLuvTuning/status/722941045739253760" TargetMode="External"/><Relationship Id="rId7957" Type="http://schemas.openxmlformats.org/officeDocument/2006/relationships/hyperlink" Target="https://twitter.com/VWBeetleSales/status/723344110745051137" TargetMode="External"/><Relationship Id="rId10938" Type="http://schemas.openxmlformats.org/officeDocument/2006/relationships/hyperlink" Target="https://twitter.com/aon_imports" TargetMode="External"/><Relationship Id="rId24767" Type="http://schemas.openxmlformats.org/officeDocument/2006/relationships/hyperlink" Target="https://pbs.twimg.com/profile_images/483619947524796416/8hRc-uSD_normal.png" TargetMode="External"/><Relationship Id="rId13411" Type="http://schemas.openxmlformats.org/officeDocument/2006/relationships/hyperlink" Target="https://twitter.com/illycaro/status/723546113773547520" TargetMode="External"/><Relationship Id="rId16634" Type="http://schemas.openxmlformats.org/officeDocument/2006/relationships/hyperlink" Target="https://twitter.com/57BDR" TargetMode="External"/><Relationship Id="rId16981" Type="http://schemas.openxmlformats.org/officeDocument/2006/relationships/hyperlink" Target="https://twitter.com/mmuenzl" TargetMode="External"/><Relationship Id="rId23850" Type="http://schemas.openxmlformats.org/officeDocument/2006/relationships/hyperlink" Target="http://dlvr.it/" TargetMode="External"/><Relationship Id="rId1021" Type="http://schemas.openxmlformats.org/officeDocument/2006/relationships/hyperlink" Target="https://twitter.com/stefanrothe/status/723013737263722496" TargetMode="External"/><Relationship Id="rId4591" Type="http://schemas.openxmlformats.org/officeDocument/2006/relationships/hyperlink" Target="https://twitter.com/1JulianMartinez" TargetMode="External"/><Relationship Id="rId14185" Type="http://schemas.openxmlformats.org/officeDocument/2006/relationships/hyperlink" Target="https://twitter.com/JavierGustavo74" TargetMode="External"/><Relationship Id="rId23503" Type="http://schemas.openxmlformats.org/officeDocument/2006/relationships/hyperlink" Target="https://pbs.twimg.com/profile_images/378800000572104796/1de43e1cf23efb3f4101c02afad0d3b6_normal.png" TargetMode="External"/><Relationship Id="rId4244" Type="http://schemas.openxmlformats.org/officeDocument/2006/relationships/hyperlink" Target="https://twitter.com/FabledMP" TargetMode="External"/><Relationship Id="rId19857" Type="http://schemas.openxmlformats.org/officeDocument/2006/relationships/hyperlink" Target="https://twitter.com/RallyLatam" TargetMode="External"/><Relationship Id="rId21054" Type="http://schemas.openxmlformats.org/officeDocument/2006/relationships/hyperlink" Target="https://pbs.twimg.com/profile_images/683510819431288832/maAlyyTK_normal.jpg" TargetMode="External"/><Relationship Id="rId7467" Type="http://schemas.openxmlformats.org/officeDocument/2006/relationships/hyperlink" Target="https://twitter.com/AngelMo96/status/723305200782438402" TargetMode="External"/><Relationship Id="rId9916" Type="http://schemas.openxmlformats.org/officeDocument/2006/relationships/hyperlink" Target="https://twitter.com/LinDePaTo/status/723453876893044736" TargetMode="External"/><Relationship Id="rId10795" Type="http://schemas.openxmlformats.org/officeDocument/2006/relationships/hyperlink" Target="https://pbs.twimg.com/profile_images/701671471966502913/eAUhJtts_normal.jpg" TargetMode="External"/><Relationship Id="rId24277" Type="http://schemas.openxmlformats.org/officeDocument/2006/relationships/hyperlink" Target="http://dlvr.it/" TargetMode="External"/><Relationship Id="rId10448" Type="http://schemas.openxmlformats.org/officeDocument/2006/relationships/hyperlink" Target="https://twitter.com/Ernst1953Do/status/723473456654880768" TargetMode="External"/><Relationship Id="rId18940" Type="http://schemas.openxmlformats.org/officeDocument/2006/relationships/hyperlink" Target="https://pbs.twimg.com/profile_images/723894363349213184/6V-yivMR_normal.jpg" TargetMode="External"/><Relationship Id="rId16491" Type="http://schemas.openxmlformats.org/officeDocument/2006/relationships/hyperlink" Target="https://twitter.com/drjosefaria" TargetMode="External"/><Relationship Id="rId20887" Type="http://schemas.openxmlformats.org/officeDocument/2006/relationships/hyperlink" Target="https://twitter.com/Daisho_414" TargetMode="External"/><Relationship Id="rId6550" Type="http://schemas.openxmlformats.org/officeDocument/2006/relationships/hyperlink" Target="http://cars.com/" TargetMode="External"/><Relationship Id="rId16144" Type="http://schemas.openxmlformats.org/officeDocument/2006/relationships/hyperlink" Target="https://twitter.com/ThiagoLopez00/status/723651308977266688" TargetMode="External"/><Relationship Id="rId23360" Type="http://schemas.openxmlformats.org/officeDocument/2006/relationships/hyperlink" Target="https://twitter.com/RainerLoveiam" TargetMode="External"/><Relationship Id="rId6203" Type="http://schemas.openxmlformats.org/officeDocument/2006/relationships/hyperlink" Target="https://twitter.com/soenke_iwersen/status/723234888342749185" TargetMode="External"/><Relationship Id="rId9773" Type="http://schemas.openxmlformats.org/officeDocument/2006/relationships/hyperlink" Target="https://twitter.com/Edgarruedamotor" TargetMode="External"/><Relationship Id="rId19367" Type="http://schemas.openxmlformats.org/officeDocument/2006/relationships/hyperlink" Target="https://twitter.com/LottowinFlorida" TargetMode="External"/><Relationship Id="rId23013" Type="http://schemas.openxmlformats.org/officeDocument/2006/relationships/hyperlink" Target="https://twitter.com/masayukiokita/status/724264642730708992" TargetMode="External"/><Relationship Id="rId9426" Type="http://schemas.openxmlformats.org/officeDocument/2006/relationships/hyperlink" Target="https://twitter.com/KillianMurphy2/status/723434700518236160" TargetMode="External"/><Relationship Id="rId12754" Type="http://schemas.openxmlformats.org/officeDocument/2006/relationships/hyperlink" Target="https://twitter.com/Alchemy_weeH" TargetMode="External"/><Relationship Id="rId2813" Type="http://schemas.openxmlformats.org/officeDocument/2006/relationships/hyperlink" Target="https://pbs.twimg.com/profile_images/613314855534067712/hWfpdtSO_normal.jpg" TargetMode="External"/><Relationship Id="rId12407" Type="http://schemas.openxmlformats.org/officeDocument/2006/relationships/hyperlink" Target="https://twitter.com/Desert_Eagle_HG/status/723519194126532608" TargetMode="External"/><Relationship Id="rId15977" Type="http://schemas.openxmlformats.org/officeDocument/2006/relationships/hyperlink" Target="https://twitter.com/IvanGoon/status/723640520531161088" TargetMode="External"/><Relationship Id="rId18450" Type="http://schemas.openxmlformats.org/officeDocument/2006/relationships/hyperlink" Target="https://twitter.com/josiah_jurado/status/723869450374533120" TargetMode="External"/><Relationship Id="rId22846" Type="http://schemas.openxmlformats.org/officeDocument/2006/relationships/hyperlink" Target="https://twitter.com/njerynganga" TargetMode="External"/><Relationship Id="rId3587" Type="http://schemas.openxmlformats.org/officeDocument/2006/relationships/hyperlink" Target="https://pbs.twimg.com/profile_images/530071272881803264/a_jcCmPZ_normal.png" TargetMode="External"/><Relationship Id="rId6060" Type="http://schemas.openxmlformats.org/officeDocument/2006/relationships/hyperlink" Target="https://twitter.com/1976talc" TargetMode="External"/><Relationship Id="rId18103" Type="http://schemas.openxmlformats.org/officeDocument/2006/relationships/hyperlink" Target="https://twitter.com/Exvtra_uk/status/723844883920859136" TargetMode="External"/><Relationship Id="rId20397" Type="http://schemas.openxmlformats.org/officeDocument/2006/relationships/hyperlink" Target="https://pbs.twimg.com/profile_images/378800000057574733/abb38e6b9c302ca61c9803fde73cfcd4_normal.jpeg" TargetMode="External"/><Relationship Id="rId14713" Type="http://schemas.openxmlformats.org/officeDocument/2006/relationships/hyperlink" Target="https://twitter.com/VWBeetleSales/status/723580419992514561" TargetMode="External"/><Relationship Id="rId2670" Type="http://schemas.openxmlformats.org/officeDocument/2006/relationships/hyperlink" Target="https://twitter.com/tejaschafekar/status/723112538448125952" TargetMode="External"/><Relationship Id="rId9283" Type="http://schemas.openxmlformats.org/officeDocument/2006/relationships/hyperlink" Target="https://twitter.com/jerryhibbert/status/723429747561103361" TargetMode="External"/><Relationship Id="rId12264" Type="http://schemas.openxmlformats.org/officeDocument/2006/relationships/hyperlink" Target="https://pbs.twimg.com/profile_images/543163066599219200/dUy-AYOX_normal.jpeg" TargetMode="External"/><Relationship Id="rId642" Type="http://schemas.openxmlformats.org/officeDocument/2006/relationships/hyperlink" Target="https://twitter.com/LarlsaLewis" TargetMode="External"/><Relationship Id="rId2323" Type="http://schemas.openxmlformats.org/officeDocument/2006/relationships/hyperlink" Target="https://twitter.com/weare_van/status/723095627194851328" TargetMode="External"/><Relationship Id="rId5893" Type="http://schemas.openxmlformats.org/officeDocument/2006/relationships/hyperlink" Target="https://pbs.twimg.com/profile_images/709826765716324353/TlhgogFL_normal.jpg" TargetMode="External"/><Relationship Id="rId15487" Type="http://schemas.openxmlformats.org/officeDocument/2006/relationships/hyperlink" Target="https://twitter.com/Pele2266/status/723608833923399680" TargetMode="External"/><Relationship Id="rId17936" Type="http://schemas.openxmlformats.org/officeDocument/2006/relationships/hyperlink" Target="https://pbs.twimg.com/profile_images/1488674331/schofer4_normal.jpg" TargetMode="External"/><Relationship Id="rId5546" Type="http://schemas.openxmlformats.org/officeDocument/2006/relationships/hyperlink" Target="https://twitter.com/earlybird445/status/723207882796195841" TargetMode="External"/><Relationship Id="rId22356" Type="http://schemas.openxmlformats.org/officeDocument/2006/relationships/hyperlink" Target="https://twitter.com/kis_sanya/status/724218619241095168" TargetMode="External"/><Relationship Id="rId24805" Type="http://schemas.openxmlformats.org/officeDocument/2006/relationships/hyperlink" Target="https://twitter.com/Ailan_wm" TargetMode="External"/><Relationship Id="rId3097" Type="http://schemas.openxmlformats.org/officeDocument/2006/relationships/hyperlink" Target="https://twitter.com/IAQforMN" TargetMode="External"/><Relationship Id="rId22009" Type="http://schemas.openxmlformats.org/officeDocument/2006/relationships/hyperlink" Target="https://pbs.twimg.com/profile_images/542918171158511617/A72BLdkG_normal.png" TargetMode="External"/><Relationship Id="rId8769" Type="http://schemas.openxmlformats.org/officeDocument/2006/relationships/hyperlink" Target="https://twitter.com/rschu/status/723405548687781888" TargetMode="External"/><Relationship Id="rId11000" Type="http://schemas.openxmlformats.org/officeDocument/2006/relationships/hyperlink" Target="https://twitter.com/LGT_Group/status/723494130438029319" TargetMode="External"/><Relationship Id="rId14570" Type="http://schemas.openxmlformats.org/officeDocument/2006/relationships/hyperlink" Target="https://twitter.com/Cynfullll/status/723575724737699840" TargetMode="External"/><Relationship Id="rId25579" Type="http://schemas.openxmlformats.org/officeDocument/2006/relationships/hyperlink" Target="https://pbs.twimg.com/profile_images/714978246358646785/thHgZO20_normal.jpg" TargetMode="External"/><Relationship Id="rId1809" Type="http://schemas.openxmlformats.org/officeDocument/2006/relationships/hyperlink" Target="https://pbs.twimg.com/profile_images/463700870073286657/N6mCbx-y_normal.png" TargetMode="External"/><Relationship Id="rId14223" Type="http://schemas.openxmlformats.org/officeDocument/2006/relationships/hyperlink" Target="https://twitter.com/CarenLay/status/723569972103004160" TargetMode="External"/><Relationship Id="rId17793" Type="http://schemas.openxmlformats.org/officeDocument/2006/relationships/hyperlink" Target="https://twitter.com/tazo157/status/723822822120914944" TargetMode="External"/><Relationship Id="rId2180" Type="http://schemas.openxmlformats.org/officeDocument/2006/relationships/hyperlink" Target="https://twitter.com/CihazTV/status/723087216386281472" TargetMode="External"/><Relationship Id="rId7852" Type="http://schemas.openxmlformats.org/officeDocument/2006/relationships/hyperlink" Target="https://twitter.com/twizler557" TargetMode="External"/><Relationship Id="rId17446" Type="http://schemas.openxmlformats.org/officeDocument/2006/relationships/hyperlink" Target="https://twitter.com/pets4cats" TargetMode="External"/><Relationship Id="rId24662" Type="http://schemas.openxmlformats.org/officeDocument/2006/relationships/hyperlink" Target="https://twitter.com/beetlebug1938/status/724382947487416321" TargetMode="External"/><Relationship Id="rId152" Type="http://schemas.openxmlformats.org/officeDocument/2006/relationships/hyperlink" Target="https://pbs.twimg.com/profile_images/653637535545995264/gHuXQ5Bt_normal.jpg" TargetMode="External"/><Relationship Id="rId7505" Type="http://schemas.openxmlformats.org/officeDocument/2006/relationships/hyperlink" Target="https://pbs.twimg.com/profile_images/660605232825671680/N9xbaDmG_normal.jpg" TargetMode="External"/><Relationship Id="rId10833" Type="http://schemas.openxmlformats.org/officeDocument/2006/relationships/hyperlink" Target="https://twitter.com/flottenkenner/status/723486544770793472" TargetMode="External"/><Relationship Id="rId24315" Type="http://schemas.openxmlformats.org/officeDocument/2006/relationships/hyperlink" Target="https://twitter.com/Vagowners" TargetMode="External"/><Relationship Id="rId5056" Type="http://schemas.openxmlformats.org/officeDocument/2006/relationships/hyperlink" Target="https://twitter.com/EPTSchubertAnd/status/723193143177392128" TargetMode="External"/><Relationship Id="rId8279" Type="http://schemas.openxmlformats.org/officeDocument/2006/relationships/hyperlink" Target="https://pbs.twimg.com/profile_images/529311103042351104/-fv4eaTk_normal.jpeg" TargetMode="External"/><Relationship Id="rId13709" Type="http://schemas.openxmlformats.org/officeDocument/2006/relationships/hyperlink" Target="https://twitter.com/__Mllz/status/723553964151726081" TargetMode="External"/><Relationship Id="rId20925" Type="http://schemas.openxmlformats.org/officeDocument/2006/relationships/hyperlink" Target="https://twitter.com/_EnanoOK/status/724065304628891648" TargetMode="External"/><Relationship Id="rId25089" Type="http://schemas.openxmlformats.org/officeDocument/2006/relationships/hyperlink" Target="https://twitter.com/WRaamos/status/724418874607853568" TargetMode="External"/><Relationship Id="rId1666" Type="http://schemas.openxmlformats.org/officeDocument/2006/relationships/hyperlink" Target="https://pbs.twimg.com/profile_images/625966208110718976/OrDtlvmk_normal.jpg" TargetMode="External"/><Relationship Id="rId14080" Type="http://schemas.openxmlformats.org/officeDocument/2006/relationships/hyperlink" Target="https://twitter.com/Sevenbey/status/723563403520909312" TargetMode="External"/><Relationship Id="rId19752" Type="http://schemas.openxmlformats.org/officeDocument/2006/relationships/hyperlink" Target="https://twitter.com/pagiduk" TargetMode="External"/><Relationship Id="rId1319" Type="http://schemas.openxmlformats.org/officeDocument/2006/relationships/hyperlink" Target="https://twitter.com/raulubian" TargetMode="External"/><Relationship Id="rId4889" Type="http://schemas.openxmlformats.org/officeDocument/2006/relationships/hyperlink" Target="https://pbs.twimg.com/profile_images/575930552118812672/abre3ILP_normal.jpeg" TargetMode="External"/><Relationship Id="rId9811" Type="http://schemas.openxmlformats.org/officeDocument/2006/relationships/hyperlink" Target="https://twitter.com/matthewhowe69/status/723450099569827840" TargetMode="External"/><Relationship Id="rId10690" Type="http://schemas.openxmlformats.org/officeDocument/2006/relationships/hyperlink" Target="https://pbs.twimg.com/profile_images/466908605317279744/I5a712BQ_normal.jpeg" TargetMode="External"/><Relationship Id="rId19405" Type="http://schemas.openxmlformats.org/officeDocument/2006/relationships/hyperlink" Target="https://twitter.com/cardealsdirect" TargetMode="External"/><Relationship Id="rId21699" Type="http://schemas.openxmlformats.org/officeDocument/2006/relationships/hyperlink" Target="http://dlvr.it/" TargetMode="External"/><Relationship Id="rId25" Type="http://schemas.openxmlformats.org/officeDocument/2006/relationships/hyperlink" Target="https://twitter.com/ice_it_down" TargetMode="External"/><Relationship Id="rId7362" Type="http://schemas.openxmlformats.org/officeDocument/2006/relationships/hyperlink" Target="http://dlvr.it/" TargetMode="External"/><Relationship Id="rId10343" Type="http://schemas.openxmlformats.org/officeDocument/2006/relationships/hyperlink" Target="https://pbs.twimg.com/profile_images/3264069413/013cec4a26e4c1dfbba092ea661a16f8_normal.jpeg" TargetMode="External"/><Relationship Id="rId24172" Type="http://schemas.openxmlformats.org/officeDocument/2006/relationships/hyperlink" Target="https://pbs.twimg.com/profile_images/718820712757215233/LXXndPTS_normal.jpg" TargetMode="External"/><Relationship Id="rId3972" Type="http://schemas.openxmlformats.org/officeDocument/2006/relationships/hyperlink" Target="https://twitter.com/DiePressecom" TargetMode="External"/><Relationship Id="rId7015" Type="http://schemas.openxmlformats.org/officeDocument/2006/relationships/hyperlink" Target="https://twitter.com/oldcar_photo" TargetMode="External"/><Relationship Id="rId3625" Type="http://schemas.openxmlformats.org/officeDocument/2006/relationships/hyperlink" Target="https://pbs.twimg.com/profile_images/718820712757215233/LXXndPTS_normal.jpg" TargetMode="External"/><Relationship Id="rId13219" Type="http://schemas.openxmlformats.org/officeDocument/2006/relationships/hyperlink" Target="https://twitter.com/zupalive/status/723539561943433216" TargetMode="External"/><Relationship Id="rId13566" Type="http://schemas.openxmlformats.org/officeDocument/2006/relationships/hyperlink" Target="https://twitter.com/BWResearch" TargetMode="External"/><Relationship Id="rId20435" Type="http://schemas.openxmlformats.org/officeDocument/2006/relationships/hyperlink" Target="https://twitter.com/khilogram/status/723998568168718336" TargetMode="External"/><Relationship Id="rId20782" Type="http://schemas.openxmlformats.org/officeDocument/2006/relationships/hyperlink" Target="https://twitter.com/ebaycampervans/status/724043946431631363" TargetMode="External"/><Relationship Id="rId1176" Type="http://schemas.openxmlformats.org/officeDocument/2006/relationships/hyperlink" Target="https://pbs.twimg.com/profile_images/510474128579502080/cJ14WGd__normal.jpeg" TargetMode="External"/><Relationship Id="rId16789" Type="http://schemas.openxmlformats.org/officeDocument/2006/relationships/hyperlink" Target="https://twitter.com/RadialTVcom/status/723731455155662848" TargetMode="External"/><Relationship Id="rId4399" Type="http://schemas.openxmlformats.org/officeDocument/2006/relationships/hyperlink" Target="https://twitter.com/MarkCSchneider" TargetMode="External"/><Relationship Id="rId6848" Type="http://schemas.openxmlformats.org/officeDocument/2006/relationships/hyperlink" Target="https://twitter.com/ralmicro" TargetMode="External"/><Relationship Id="rId19262" Type="http://schemas.openxmlformats.org/officeDocument/2006/relationships/hyperlink" Target="https://pbs.twimg.com/profile_images/540376116683632641/KBoJ9dBH_normal.jpeg" TargetMode="External"/><Relationship Id="rId23658" Type="http://schemas.openxmlformats.org/officeDocument/2006/relationships/hyperlink" Target="https://twitter.com/stevenyouidiot/status/724304684316418048" TargetMode="External"/><Relationship Id="rId9321" Type="http://schemas.openxmlformats.org/officeDocument/2006/relationships/hyperlink" Target="https://twitter.com/techhippie" TargetMode="External"/><Relationship Id="rId12302" Type="http://schemas.openxmlformats.org/officeDocument/2006/relationships/hyperlink" Target="https://twitter.com/Patrick_Voss_/status/723516874642841600" TargetMode="External"/><Relationship Id="rId15872" Type="http://schemas.openxmlformats.org/officeDocument/2006/relationships/hyperlink" Target="https://twitter.com/ElNNegroo/status/723635027075018752" TargetMode="External"/><Relationship Id="rId5931" Type="http://schemas.openxmlformats.org/officeDocument/2006/relationships/hyperlink" Target="https://pbs.twimg.com/profile_images/574157636997902336/vp84JvEq_normal.jpeg" TargetMode="External"/><Relationship Id="rId15525" Type="http://schemas.openxmlformats.org/officeDocument/2006/relationships/hyperlink" Target="https://twitter.com/bryanRis" TargetMode="External"/><Relationship Id="rId22741" Type="http://schemas.openxmlformats.org/officeDocument/2006/relationships/hyperlink" Target="https://twitter.com/VeeDubMk1_" TargetMode="External"/><Relationship Id="rId3482" Type="http://schemas.openxmlformats.org/officeDocument/2006/relationships/hyperlink" Target="https://pbs.twimg.com/profile_images/378800000696181601/c2a849b4a9c8def1647340ff66d1113a_normal.jpeg" TargetMode="External"/><Relationship Id="rId13076" Type="http://schemas.openxmlformats.org/officeDocument/2006/relationships/hyperlink" Target="https://twitter.com/gfiwg" TargetMode="External"/><Relationship Id="rId20292" Type="http://schemas.openxmlformats.org/officeDocument/2006/relationships/hyperlink" Target="https://twitter.com/resumendelmedio/status/723988535938830336" TargetMode="External"/><Relationship Id="rId3135" Type="http://schemas.openxmlformats.org/officeDocument/2006/relationships/hyperlink" Target="https://twitter.com/faznet" TargetMode="External"/><Relationship Id="rId16299" Type="http://schemas.openxmlformats.org/officeDocument/2006/relationships/hyperlink" Target="https://pbs.twimg.com/profile_images/2817103532/22f579fee96ef09817a45107de93154e_normal.jpeg" TargetMode="External"/><Relationship Id="rId18748" Type="http://schemas.openxmlformats.org/officeDocument/2006/relationships/hyperlink" Target="https://twitter.com/Insta_VWT" TargetMode="External"/><Relationship Id="rId6358" Type="http://schemas.openxmlformats.org/officeDocument/2006/relationships/hyperlink" Target="https://twitter.com/CStichternath" TargetMode="External"/><Relationship Id="rId8807" Type="http://schemas.openxmlformats.org/officeDocument/2006/relationships/hyperlink" Target="https://twitter.com/sagaron62" TargetMode="External"/><Relationship Id="rId23168" Type="http://schemas.openxmlformats.org/officeDocument/2006/relationships/hyperlink" Target="https://twitter.com/DonBag101/status/724271924633829377" TargetMode="External"/><Relationship Id="rId25617" Type="http://schemas.openxmlformats.org/officeDocument/2006/relationships/hyperlink" Target="https://twitter.com/VWCamperSales/status/724452152848994304" TargetMode="External"/><Relationship Id="rId17831" Type="http://schemas.openxmlformats.org/officeDocument/2006/relationships/hyperlink" Target="https://pbs.twimg.com/profile_images/378800000528765970/3ab9f2a00010e9cac08d5ca1638926e9_normal.png" TargetMode="External"/><Relationship Id="rId2968" Type="http://schemas.openxmlformats.org/officeDocument/2006/relationships/hyperlink" Target="https://twitter.com/Jothipala_Bot/status/723129211347673092" TargetMode="External"/><Relationship Id="rId15382" Type="http://schemas.openxmlformats.org/officeDocument/2006/relationships/hyperlink" Target="https://twitter.com/VWBeetleSales/status/723605826154287105" TargetMode="External"/><Relationship Id="rId24700" Type="http://schemas.openxmlformats.org/officeDocument/2006/relationships/hyperlink" Target="https://pbs.twimg.com/profile_images/539607030433316864/MQ3-maTx_normal.png" TargetMode="External"/><Relationship Id="rId5441" Type="http://schemas.openxmlformats.org/officeDocument/2006/relationships/hyperlink" Target="https://twitter.com/dw_business/status/723203367292407808" TargetMode="External"/><Relationship Id="rId15035" Type="http://schemas.openxmlformats.org/officeDocument/2006/relationships/hyperlink" Target="https://twitter.com/CeasarorRome" TargetMode="External"/><Relationship Id="rId22251" Type="http://schemas.openxmlformats.org/officeDocument/2006/relationships/hyperlink" Target="https://twitter.com/naprisi/status/724211505743319044" TargetMode="External"/><Relationship Id="rId8664" Type="http://schemas.openxmlformats.org/officeDocument/2006/relationships/hyperlink" Target="https://twitter.com/ufomedia/status/723401156915912705" TargetMode="External"/><Relationship Id="rId11992" Type="http://schemas.openxmlformats.org/officeDocument/2006/relationships/hyperlink" Target="https://twitter.com/lisduarte" TargetMode="External"/><Relationship Id="rId18258" Type="http://schemas.openxmlformats.org/officeDocument/2006/relationships/hyperlink" Target="https://twitter.com/VWCamperSales" TargetMode="External"/><Relationship Id="rId25474" Type="http://schemas.openxmlformats.org/officeDocument/2006/relationships/hyperlink" Target="https://twitter.com/DubLuvTuning" TargetMode="External"/><Relationship Id="rId1704" Type="http://schemas.openxmlformats.org/officeDocument/2006/relationships/hyperlink" Target="https://twitter.com/AFECTADOGRUPOVW" TargetMode="External"/><Relationship Id="rId8317" Type="http://schemas.openxmlformats.org/officeDocument/2006/relationships/hyperlink" Target="https://twitter.com/CYDBLS/status/723383046775300097" TargetMode="External"/><Relationship Id="rId11645" Type="http://schemas.openxmlformats.org/officeDocument/2006/relationships/hyperlink" Target="https://twitter.com/updayDE" TargetMode="External"/><Relationship Id="rId25127" Type="http://schemas.openxmlformats.org/officeDocument/2006/relationships/hyperlink" Target="https://twitter.com/Automotive_News/status/724422715302666241" TargetMode="External"/><Relationship Id="rId14868" Type="http://schemas.openxmlformats.org/officeDocument/2006/relationships/hyperlink" Target="https://twitter.com/VWCamperSales" TargetMode="External"/><Relationship Id="rId797" Type="http://schemas.openxmlformats.org/officeDocument/2006/relationships/hyperlink" Target="https://pbs.twimg.com/profile_images/613401628050243585/Xz2SCzIZ_normal.jpg" TargetMode="External"/><Relationship Id="rId2478" Type="http://schemas.openxmlformats.org/officeDocument/2006/relationships/hyperlink" Target="https://pbs.twimg.com/profile_images/524179364510834688/ypglTT-e_normal.png" TargetMode="External"/><Relationship Id="rId4927" Type="http://schemas.openxmlformats.org/officeDocument/2006/relationships/hyperlink" Target="https://pbs.twimg.com/profile_images/540384368779595776/XDieMHYm_normal.jpeg" TargetMode="External"/><Relationship Id="rId17341" Type="http://schemas.openxmlformats.org/officeDocument/2006/relationships/hyperlink" Target="https://pbs.twimg.com/profile_images/429998328365850625/UsZ4WCnN_normal.png" TargetMode="External"/><Relationship Id="rId21737" Type="http://schemas.openxmlformats.org/officeDocument/2006/relationships/hyperlink" Target="http://dlvr.it/" TargetMode="External"/><Relationship Id="rId7400" Type="http://schemas.openxmlformats.org/officeDocument/2006/relationships/hyperlink" Target="https://twitter.com/MarinHybrid" TargetMode="External"/><Relationship Id="rId13951" Type="http://schemas.openxmlformats.org/officeDocument/2006/relationships/hyperlink" Target="https://twitter.com/AJBalkans/status/723559757458640896" TargetMode="External"/><Relationship Id="rId24210" Type="http://schemas.openxmlformats.org/officeDocument/2006/relationships/hyperlink" Target="https://twitter.com/phindo_N" TargetMode="External"/><Relationship Id="rId13604" Type="http://schemas.openxmlformats.org/officeDocument/2006/relationships/hyperlink" Target="https://pbs.twimg.com/profile_images/702511217793863680/lty8h9vE_normal.jpg" TargetMode="External"/><Relationship Id="rId20820" Type="http://schemas.openxmlformats.org/officeDocument/2006/relationships/hyperlink" Target="https://pbs.twimg.com/profile_images/672644804422037504/SawTdvB2_normal.jpg" TargetMode="External"/><Relationship Id="rId1561" Type="http://schemas.openxmlformats.org/officeDocument/2006/relationships/hyperlink" Target="https://pbs.twimg.com/profile_images/643546779485609984/HFH_S8Bf_normal.jpg" TargetMode="External"/><Relationship Id="rId8174" Type="http://schemas.openxmlformats.org/officeDocument/2006/relationships/hyperlink" Target="https://pbs.twimg.com/profile_images/659295730222280705/W1FqHCVo_normal.jpg" TargetMode="External"/><Relationship Id="rId11155" Type="http://schemas.openxmlformats.org/officeDocument/2006/relationships/hyperlink" Target="https://twitter.com/franke_media/status/723498346623676416" TargetMode="External"/><Relationship Id="rId1214" Type="http://schemas.openxmlformats.org/officeDocument/2006/relationships/hyperlink" Target="https://twitter.com/LievenDeswaef" TargetMode="External"/><Relationship Id="rId4784" Type="http://schemas.openxmlformats.org/officeDocument/2006/relationships/hyperlink" Target="https://twitter.com/ascrh2015/status/723187399631593476" TargetMode="External"/><Relationship Id="rId14378" Type="http://schemas.openxmlformats.org/officeDocument/2006/relationships/hyperlink" Target="http://ctrlq.org/maps/address/" TargetMode="External"/><Relationship Id="rId16827" Type="http://schemas.openxmlformats.org/officeDocument/2006/relationships/hyperlink" Target="https://twitter.com/Mysterons" TargetMode="External"/><Relationship Id="rId19300" Type="http://schemas.openxmlformats.org/officeDocument/2006/relationships/hyperlink" Target="https://twitter.com/SolchuCarretero" TargetMode="External"/><Relationship Id="rId21594" Type="http://schemas.openxmlformats.org/officeDocument/2006/relationships/hyperlink" Target="https://pbs.twimg.com/profile_images/694637128626606080/Jgz3Bfzb_normal.jpg" TargetMode="External"/><Relationship Id="rId4437" Type="http://schemas.openxmlformats.org/officeDocument/2006/relationships/hyperlink" Target="https://twitter.com/johnny_cash/status/723181111703166976" TargetMode="External"/><Relationship Id="rId21247" Type="http://schemas.openxmlformats.org/officeDocument/2006/relationships/hyperlink" Target="https://pbs.twimg.com/profile_images/595309304510550019/sGlNhfkh_normal.jpg" TargetMode="External"/><Relationship Id="rId10988" Type="http://schemas.openxmlformats.org/officeDocument/2006/relationships/hyperlink" Target="https://twitter.com/saintjallen/status/723492988844822533" TargetMode="External"/><Relationship Id="rId15910" Type="http://schemas.openxmlformats.org/officeDocument/2006/relationships/hyperlink" Target="https://pbs.twimg.com/profile_images/715331895920345089/lrSPh0l5_normal.jpg" TargetMode="External"/><Relationship Id="rId13461" Type="http://schemas.openxmlformats.org/officeDocument/2006/relationships/hyperlink" Target="https://pbs.twimg.com/profile_images/652871584131092480/QA_B6SBO_normal.jpg" TargetMode="External"/><Relationship Id="rId3520" Type="http://schemas.openxmlformats.org/officeDocument/2006/relationships/hyperlink" Target="https://twitter.com/GUILLEN2507/status/723161664539910144" TargetMode="External"/><Relationship Id="rId13114" Type="http://schemas.openxmlformats.org/officeDocument/2006/relationships/hyperlink" Target="https://twitter.com/TaniaDamian" TargetMode="External"/><Relationship Id="rId16684" Type="http://schemas.openxmlformats.org/officeDocument/2006/relationships/hyperlink" Target="https://pbs.twimg.com/profile_images/718820712757215233/LXXndPTS_normal.jpg" TargetMode="External"/><Relationship Id="rId20330" Type="http://schemas.openxmlformats.org/officeDocument/2006/relationships/hyperlink" Target="https://twitter.com/LaurenH51219678" TargetMode="External"/><Relationship Id="rId1071" Type="http://schemas.openxmlformats.org/officeDocument/2006/relationships/hyperlink" Target="https://twitter.com/GamemomManuela" TargetMode="External"/><Relationship Id="rId6743" Type="http://schemas.openxmlformats.org/officeDocument/2006/relationships/hyperlink" Target="https://twitter.com/ODORBABY/status/723256625268678656" TargetMode="External"/><Relationship Id="rId16337" Type="http://schemas.openxmlformats.org/officeDocument/2006/relationships/hyperlink" Target="https://twitter.com/rplantt/status/723669990059216896" TargetMode="External"/><Relationship Id="rId23553" Type="http://schemas.openxmlformats.org/officeDocument/2006/relationships/hyperlink" Target="https://twitter.com/VWBeetleSales/status/724297251695132672" TargetMode="External"/><Relationship Id="rId4294" Type="http://schemas.openxmlformats.org/officeDocument/2006/relationships/hyperlink" Target="https://twitter.com/franka_kuehn/status/723178949728030720" TargetMode="External"/><Relationship Id="rId9966" Type="http://schemas.openxmlformats.org/officeDocument/2006/relationships/hyperlink" Target="https://twitter.com/VWCamperSales" TargetMode="External"/><Relationship Id="rId23206" Type="http://schemas.openxmlformats.org/officeDocument/2006/relationships/hyperlink" Target="https://twitter.com/shoptigerseye/status/724273075722838017" TargetMode="External"/><Relationship Id="rId9619" Type="http://schemas.openxmlformats.org/officeDocument/2006/relationships/hyperlink" Target="https://twitter.com/SpirosMargaris/status/723442720568545281" TargetMode="External"/><Relationship Id="rId12947" Type="http://schemas.openxmlformats.org/officeDocument/2006/relationships/hyperlink" Target="https://pbs.twimg.com/profile_images/720897563575062532/rXsESyqi_normal.jpg" TargetMode="External"/><Relationship Id="rId10498" Type="http://schemas.openxmlformats.org/officeDocument/2006/relationships/hyperlink" Target="http://dlvr.it/" TargetMode="External"/><Relationship Id="rId15420" Type="http://schemas.openxmlformats.org/officeDocument/2006/relationships/hyperlink" Target="https://pbs.twimg.com/profile_images/642428814765723652/y6jxhWsq_normal.jpg" TargetMode="External"/><Relationship Id="rId18990" Type="http://schemas.openxmlformats.org/officeDocument/2006/relationships/hyperlink" Target="https://pbs.twimg.com/profile_images/672878354127839232/M7OYc-zx_normal.jpg" TargetMode="External"/><Relationship Id="rId3030" Type="http://schemas.openxmlformats.org/officeDocument/2006/relationships/hyperlink" Target="https://twitter.com/contactTodd" TargetMode="External"/><Relationship Id="rId18643" Type="http://schemas.openxmlformats.org/officeDocument/2006/relationships/hyperlink" Target="https://twitter.com/RobsterRound/status/723887149964242945" TargetMode="External"/><Relationship Id="rId8702" Type="http://schemas.openxmlformats.org/officeDocument/2006/relationships/hyperlink" Target="https://pbs.twimg.com/profile_images/510061225103724544/CuYLl5Xy_normal.jpeg" TargetMode="External"/><Relationship Id="rId16194" Type="http://schemas.openxmlformats.org/officeDocument/2006/relationships/hyperlink" Target="https://twitter.com/VWCamperSales" TargetMode="External"/><Relationship Id="rId25512" Type="http://schemas.openxmlformats.org/officeDocument/2006/relationships/hyperlink" Target="https://pbs.twimg.com/profile_images/378800000341166778/f53681e83985bbd49e5ff4ae1267bf66_normal.jpeg" TargetMode="External"/><Relationship Id="rId6253" Type="http://schemas.openxmlformats.org/officeDocument/2006/relationships/hyperlink" Target="https://twitter.com/Automotive_News/status/723236599568437248" TargetMode="External"/><Relationship Id="rId23063" Type="http://schemas.openxmlformats.org/officeDocument/2006/relationships/hyperlink" Target="https://twitter.com/VWBeetleSales/status/724267541934141441" TargetMode="External"/><Relationship Id="rId2863" Type="http://schemas.openxmlformats.org/officeDocument/2006/relationships/hyperlink" Target="https://pbs.twimg.com/profile_images/627949001179037696/skEBkS05_normal.jpg" TargetMode="External"/><Relationship Id="rId9476" Type="http://schemas.openxmlformats.org/officeDocument/2006/relationships/hyperlink" Target="https://pbs.twimg.com/profile_images/703294545195307008/qeCvrX86_normal.jpg" TargetMode="External"/><Relationship Id="rId12457" Type="http://schemas.openxmlformats.org/officeDocument/2006/relationships/hyperlink" Target="https://twitter.com/mokomokai" TargetMode="External"/><Relationship Id="rId14906" Type="http://schemas.openxmlformats.org/officeDocument/2006/relationships/hyperlink" Target="https://pbs.twimg.com/profile_images/722117418659790848/hkfd9GNd_normal.jpg" TargetMode="External"/><Relationship Id="rId835" Type="http://schemas.openxmlformats.org/officeDocument/2006/relationships/hyperlink" Target="https://twitter.com/VolkswagenPost/status/722990418321805312" TargetMode="External"/><Relationship Id="rId2516" Type="http://schemas.openxmlformats.org/officeDocument/2006/relationships/hyperlink" Target="https://twitter.com/fruitloopsXO" TargetMode="External"/><Relationship Id="rId9129" Type="http://schemas.openxmlformats.org/officeDocument/2006/relationships/hyperlink" Target="https://twitter.com/UsatoAutoSystem/status/723422115026767872" TargetMode="External"/><Relationship Id="rId22896" Type="http://schemas.openxmlformats.org/officeDocument/2006/relationships/hyperlink" Target="https://twitter.com/dubbusses/status/724254380078301184" TargetMode="External"/><Relationship Id="rId5739" Type="http://schemas.openxmlformats.org/officeDocument/2006/relationships/hyperlink" Target="https://twitter.com/Cati_Economia/status/723215079915819009" TargetMode="External"/><Relationship Id="rId8212" Type="http://schemas.openxmlformats.org/officeDocument/2006/relationships/hyperlink" Target="http://fb.com/demokratischeseuropa" TargetMode="External"/><Relationship Id="rId11540" Type="http://schemas.openxmlformats.org/officeDocument/2006/relationships/hyperlink" Target="https://twitter.com/doern/status/723503248787812352" TargetMode="External"/><Relationship Id="rId18153" Type="http://schemas.openxmlformats.org/officeDocument/2006/relationships/hyperlink" Target="https://twitter.com/imtheweatherguy" TargetMode="External"/><Relationship Id="rId22549" Type="http://schemas.openxmlformats.org/officeDocument/2006/relationships/hyperlink" Target="https://pbs.twimg.com/profile_images/712960098419781632/emPcLJU-_normal.jpg" TargetMode="External"/><Relationship Id="rId25022" Type="http://schemas.openxmlformats.org/officeDocument/2006/relationships/hyperlink" Target="https://twitter.com/BruceMirken/status/724411605430083584" TargetMode="External"/><Relationship Id="rId14763" Type="http://schemas.openxmlformats.org/officeDocument/2006/relationships/hyperlink" Target="https://pbs.twimg.com/profile_images/702511217793863680/lty8h9vE_normal.jpg" TargetMode="External"/><Relationship Id="rId4822" Type="http://schemas.openxmlformats.org/officeDocument/2006/relationships/hyperlink" Target="https://twitter.com/angei_samson" TargetMode="External"/><Relationship Id="rId14416" Type="http://schemas.openxmlformats.org/officeDocument/2006/relationships/hyperlink" Target="https://pbs.twimg.com/profile_images/720834831408443392/brx71tjG_normal.jpg" TargetMode="External"/><Relationship Id="rId17986" Type="http://schemas.openxmlformats.org/officeDocument/2006/relationships/hyperlink" Target="https://twitter.com/Scirocco_Tuning" TargetMode="External"/><Relationship Id="rId21632" Type="http://schemas.openxmlformats.org/officeDocument/2006/relationships/hyperlink" Target="https://twitter.com/autofashion_imp" TargetMode="External"/><Relationship Id="rId692" Type="http://schemas.openxmlformats.org/officeDocument/2006/relationships/hyperlink" Target="https://pbs.twimg.com/profile_images/577167647520858112/iO9LRVe4_normal.jpeg" TargetMode="External"/><Relationship Id="rId2373" Type="http://schemas.openxmlformats.org/officeDocument/2006/relationships/hyperlink" Target="https://pbs.twimg.com/profile_images/661245109216915456/IYc4wvrt_normal.jpg" TargetMode="External"/><Relationship Id="rId17639" Type="http://schemas.openxmlformats.org/officeDocument/2006/relationships/hyperlink" Target="https://pbs.twimg.com/profile_images/662049887941361664/yq7ufuWy_normal.jpg" TargetMode="External"/><Relationship Id="rId24855" Type="http://schemas.openxmlformats.org/officeDocument/2006/relationships/hyperlink" Target="https://twitter.com/rajesh877/status/724392765912715264" TargetMode="External"/><Relationship Id="rId345" Type="http://schemas.openxmlformats.org/officeDocument/2006/relationships/hyperlink" Target="https://twitter.com/travelbykristi/status/722949776224952324" TargetMode="External"/><Relationship Id="rId2026" Type="http://schemas.openxmlformats.org/officeDocument/2006/relationships/hyperlink" Target="https://twitter.com/melanievwbarons/status/723077836333043712" TargetMode="External"/><Relationship Id="rId5596" Type="http://schemas.openxmlformats.org/officeDocument/2006/relationships/hyperlink" Target="https://twitter.com/VWBeetleSales/status/723210489447088131" TargetMode="External"/><Relationship Id="rId24508" Type="http://schemas.openxmlformats.org/officeDocument/2006/relationships/hyperlink" Target="https://twitter.com/beetlebug1938/status/724367655617105920" TargetMode="External"/><Relationship Id="rId5249" Type="http://schemas.openxmlformats.org/officeDocument/2006/relationships/hyperlink" Target="https://pbs.twimg.com/profile_images/1245770021/Ria_and_Papi_staring_up_normal.jpg" TargetMode="External"/><Relationship Id="rId11050" Type="http://schemas.openxmlformats.org/officeDocument/2006/relationships/hyperlink" Target="https://twitter.com/BundCBerlin" TargetMode="External"/><Relationship Id="rId22059" Type="http://schemas.openxmlformats.org/officeDocument/2006/relationships/hyperlink" Target="https://pbs.twimg.com/profile_images/644282914079813633/Dioz-jiN_normal.png" TargetMode="External"/><Relationship Id="rId16722" Type="http://schemas.openxmlformats.org/officeDocument/2006/relationships/hyperlink" Target="http://ctrlq.org/maps/address/" TargetMode="External"/><Relationship Id="rId1859" Type="http://schemas.openxmlformats.org/officeDocument/2006/relationships/hyperlink" Target="https://pbs.twimg.com/profile_images/1170019200/ag_fb_logo_normal.jpg" TargetMode="External"/><Relationship Id="rId14273" Type="http://schemas.openxmlformats.org/officeDocument/2006/relationships/hyperlink" Target="https://twitter.com/aktionaer/status/723571263235608577" TargetMode="External"/><Relationship Id="rId19945" Type="http://schemas.openxmlformats.org/officeDocument/2006/relationships/hyperlink" Target="https://twitter.com/bneilbel" TargetMode="External"/><Relationship Id="rId4332" Type="http://schemas.openxmlformats.org/officeDocument/2006/relationships/hyperlink" Target="https://twitter.com/hamdipinar/status/723179455443787776" TargetMode="External"/><Relationship Id="rId10883" Type="http://schemas.openxmlformats.org/officeDocument/2006/relationships/hyperlink" Target="https://pbs.twimg.com/profile_images/684696806031278080/tL9uAMHL_normal.jpg" TargetMode="External"/><Relationship Id="rId17496" Type="http://schemas.openxmlformats.org/officeDocument/2006/relationships/hyperlink" Target="https://pbs.twimg.com/profile_images/589811211778293760/J2sTcb44_normal.jpg" TargetMode="External"/><Relationship Id="rId21142" Type="http://schemas.openxmlformats.org/officeDocument/2006/relationships/hyperlink" Target="https://pbs.twimg.com/profile_images/724004022915633152/uwKdEOBn_normal.jpg" TargetMode="External"/><Relationship Id="rId7555" Type="http://schemas.openxmlformats.org/officeDocument/2006/relationships/hyperlink" Target="https://twitter.com/emilysinclair84/status/723311187774070785" TargetMode="External"/><Relationship Id="rId10536" Type="http://schemas.openxmlformats.org/officeDocument/2006/relationships/hyperlink" Target="https://twitter.com/theartdeptstoke/status/723476072696807424" TargetMode="External"/><Relationship Id="rId17149" Type="http://schemas.openxmlformats.org/officeDocument/2006/relationships/hyperlink" Target="https://twitter.com/Scirocco_Tuning" TargetMode="External"/><Relationship Id="rId24365" Type="http://schemas.openxmlformats.org/officeDocument/2006/relationships/hyperlink" Target="https://twitter.com/Ramzilla" TargetMode="External"/><Relationship Id="rId7208" Type="http://schemas.openxmlformats.org/officeDocument/2006/relationships/hyperlink" Target="https://twitter.com/VAGFanArg/status/723286078283718657" TargetMode="External"/><Relationship Id="rId24018" Type="http://schemas.openxmlformats.org/officeDocument/2006/relationships/hyperlink" Target="https://pbs.twimg.com/profile_images/705279221048942592/LKMhQOa-_normal.jpg" TargetMode="External"/><Relationship Id="rId13759" Type="http://schemas.openxmlformats.org/officeDocument/2006/relationships/hyperlink" Target="https://twitter.com/UniversityVWM" TargetMode="External"/><Relationship Id="rId20975" Type="http://schemas.openxmlformats.org/officeDocument/2006/relationships/hyperlink" Target="https://twitter.com/VolkswagenPost/status/724075571546710016" TargetMode="External"/><Relationship Id="rId1369" Type="http://schemas.openxmlformats.org/officeDocument/2006/relationships/hyperlink" Target="https://pbs.twimg.com/profile_images/530071272881803264/a_jcCmPZ_normal.png" TargetMode="External"/><Relationship Id="rId3818" Type="http://schemas.openxmlformats.org/officeDocument/2006/relationships/hyperlink" Target="https://twitter.com/aktionaer" TargetMode="External"/><Relationship Id="rId16232" Type="http://schemas.openxmlformats.org/officeDocument/2006/relationships/hyperlink" Target="https://twitter.com/MDBlanchfield" TargetMode="External"/><Relationship Id="rId20628" Type="http://schemas.openxmlformats.org/officeDocument/2006/relationships/hyperlink" Target="https://pbs.twimg.com/profile_images/672878354127839232/M7OYc-zx_normal.jpg" TargetMode="External"/><Relationship Id="rId9861" Type="http://schemas.openxmlformats.org/officeDocument/2006/relationships/hyperlink" Target="https://twitter.com/heinripe" TargetMode="External"/><Relationship Id="rId12842" Type="http://schemas.openxmlformats.org/officeDocument/2006/relationships/hyperlink" Target="https://twitter.com/1zonk1" TargetMode="External"/><Relationship Id="rId19455" Type="http://schemas.openxmlformats.org/officeDocument/2006/relationships/hyperlink" Target="https://twitter.com/TaxiPSMPSOE" TargetMode="External"/><Relationship Id="rId23101" Type="http://schemas.openxmlformats.org/officeDocument/2006/relationships/hyperlink" Target="https://pbs.twimg.com/profile_images/718820712757215233/LXXndPTS_normal.jpg" TargetMode="External"/><Relationship Id="rId75" Type="http://schemas.openxmlformats.org/officeDocument/2006/relationships/hyperlink" Target="https://pbs.twimg.com/profile_images/588750621353717760/15I04Sdg_normal.png" TargetMode="External"/><Relationship Id="rId2901" Type="http://schemas.openxmlformats.org/officeDocument/2006/relationships/hyperlink" Target="https://twitter.com/shamereflect" TargetMode="External"/><Relationship Id="rId7065" Type="http://schemas.openxmlformats.org/officeDocument/2006/relationships/hyperlink" Target="https://twitter.com/HonoluluVW/status/723276437017497600" TargetMode="External"/><Relationship Id="rId9514" Type="http://schemas.openxmlformats.org/officeDocument/2006/relationships/hyperlink" Target="https://twitter.com/beetlebug1938" TargetMode="External"/><Relationship Id="rId10393" Type="http://schemas.openxmlformats.org/officeDocument/2006/relationships/hyperlink" Target="https://twitter.com/JTMD121/status/723471663405383681" TargetMode="External"/><Relationship Id="rId19108" Type="http://schemas.openxmlformats.org/officeDocument/2006/relationships/hyperlink" Target="https://twitter.com/Tmmlnne/status/723920176551333889" TargetMode="External"/><Relationship Id="rId10046" Type="http://schemas.openxmlformats.org/officeDocument/2006/relationships/hyperlink" Target="https://twitter.com/xcomp1/status/723459631415177216" TargetMode="External"/><Relationship Id="rId15718" Type="http://schemas.openxmlformats.org/officeDocument/2006/relationships/hyperlink" Target="https://twitter.com/Mrwaterbiscuit/status/723621785581817856" TargetMode="External"/><Relationship Id="rId22934" Type="http://schemas.openxmlformats.org/officeDocument/2006/relationships/hyperlink" Target="https://twitter.com/Shinra1st" TargetMode="External"/><Relationship Id="rId3675" Type="http://schemas.openxmlformats.org/officeDocument/2006/relationships/hyperlink" Target="https://twitter.com/hrinfo" TargetMode="External"/><Relationship Id="rId13269" Type="http://schemas.openxmlformats.org/officeDocument/2006/relationships/hyperlink" Target="https://pbs.twimg.com/profile_images/570375988065935360/ooT_Nq7x_normal.jpeg" TargetMode="External"/><Relationship Id="rId20485" Type="http://schemas.openxmlformats.org/officeDocument/2006/relationships/hyperlink" Target="https://twitter.com/hallisky/status/724002719527264256" TargetMode="External"/><Relationship Id="rId3328" Type="http://schemas.openxmlformats.org/officeDocument/2006/relationships/hyperlink" Target="https://twitter.com/hashtagvanlife" TargetMode="External"/><Relationship Id="rId6898" Type="http://schemas.openxmlformats.org/officeDocument/2006/relationships/hyperlink" Target="https://twitter.com/Scirocco_Tuning/status/723267120486854658" TargetMode="External"/><Relationship Id="rId20138" Type="http://schemas.openxmlformats.org/officeDocument/2006/relationships/hyperlink" Target="https://pbs.twimg.com/profile_images/467070942460407808/6mlUcaWL_normal.jpeg" TargetMode="External"/><Relationship Id="rId9371" Type="http://schemas.openxmlformats.org/officeDocument/2006/relationships/hyperlink" Target="https://twitter.com/fireman653706/status/723432729631584257" TargetMode="External"/><Relationship Id="rId14801" Type="http://schemas.openxmlformats.org/officeDocument/2006/relationships/hyperlink" Target="https://twitter.com/Gian__Lucas/status/723583476113518596" TargetMode="External"/><Relationship Id="rId9024" Type="http://schemas.openxmlformats.org/officeDocument/2006/relationships/hyperlink" Target="https://twitter.com/MiManske/status/723417741185544193" TargetMode="External"/><Relationship Id="rId12352" Type="http://schemas.openxmlformats.org/officeDocument/2006/relationships/hyperlink" Target="https://pbs.twimg.com/profile_images/657853466384191488/J6vAnfZr_normal.jpg" TargetMode="External"/><Relationship Id="rId730" Type="http://schemas.openxmlformats.org/officeDocument/2006/relationships/hyperlink" Target="https://twitter.com/VWCamperSales" TargetMode="External"/><Relationship Id="rId2411" Type="http://schemas.openxmlformats.org/officeDocument/2006/relationships/hyperlink" Target="https://twitter.com/VWCamperSales" TargetMode="External"/><Relationship Id="rId5981" Type="http://schemas.openxmlformats.org/officeDocument/2006/relationships/hyperlink" Target="https://pbs.twimg.com/profile_images/1691617662/American_Animated_Flag__2__normal.gif" TargetMode="External"/><Relationship Id="rId12005" Type="http://schemas.openxmlformats.org/officeDocument/2006/relationships/hyperlink" Target="https://twitter.com/DestinyConnect/status/723511885325193216" TargetMode="External"/><Relationship Id="rId15575" Type="http://schemas.openxmlformats.org/officeDocument/2006/relationships/hyperlink" Target="https://twitter.com/rkeuper/status/723614482170294273" TargetMode="External"/><Relationship Id="rId22791" Type="http://schemas.openxmlformats.org/officeDocument/2006/relationships/hyperlink" Target="https://twitter.com/Mosyo_/status/724246181329686528" TargetMode="External"/><Relationship Id="rId5634" Type="http://schemas.openxmlformats.org/officeDocument/2006/relationships/hyperlink" Target="https://twitter.com/oldcar_photo/status/723211452044185600" TargetMode="External"/><Relationship Id="rId15228" Type="http://schemas.openxmlformats.org/officeDocument/2006/relationships/hyperlink" Target="https://twitter.com/RecorderTweets" TargetMode="External"/><Relationship Id="rId18798" Type="http://schemas.openxmlformats.org/officeDocument/2006/relationships/hyperlink" Target="https://twitter.com/TheRoadClowns/status/723897314729963520" TargetMode="External"/><Relationship Id="rId22444" Type="http://schemas.openxmlformats.org/officeDocument/2006/relationships/hyperlink" Target="https://pbs.twimg.com/profile_images/718820712757215233/LXXndPTS_normal.jpg" TargetMode="External"/><Relationship Id="rId3185" Type="http://schemas.openxmlformats.org/officeDocument/2006/relationships/hyperlink" Target="https://pbs.twimg.com/profile_images/462453254639472641/Cza-umzP_normal.png" TargetMode="External"/><Relationship Id="rId8857" Type="http://schemas.openxmlformats.org/officeDocument/2006/relationships/hyperlink" Target="https://pbs.twimg.com/profile_images/682117656502222848/Ge7YeAF3_normal.png" TargetMode="External"/><Relationship Id="rId25667" Type="http://schemas.openxmlformats.org/officeDocument/2006/relationships/hyperlink" Target="https://pbs.twimg.com/profile_images/715865125589221377/LL-u_qje_normal.jpg" TargetMode="External"/><Relationship Id="rId11838" Type="http://schemas.openxmlformats.org/officeDocument/2006/relationships/hyperlink" Target="https://pbs.twimg.com/profile_images/378800000747750946/394d9f0f5e6dde5137683d9c98c5c8a9_normal.jpeg" TargetMode="External"/><Relationship Id="rId14311" Type="http://schemas.openxmlformats.org/officeDocument/2006/relationships/hyperlink" Target="https://pbs.twimg.com/profile_images/699600965545156608/p9HSQiDf_normal.png" TargetMode="External"/><Relationship Id="rId17881" Type="http://schemas.openxmlformats.org/officeDocument/2006/relationships/hyperlink" Target="https://twitter.com/VolkswagenPost" TargetMode="External"/><Relationship Id="rId240" Type="http://schemas.openxmlformats.org/officeDocument/2006/relationships/hyperlink" Target="https://pbs.twimg.com/profile_images/660699617533829120/TpvFSk5-_normal.jpg" TargetMode="External"/><Relationship Id="rId7940" Type="http://schemas.openxmlformats.org/officeDocument/2006/relationships/hyperlink" Target="https://twitter.com/wikatu" TargetMode="External"/><Relationship Id="rId10921" Type="http://schemas.openxmlformats.org/officeDocument/2006/relationships/hyperlink" Target="https://twitter.com/wolke76k/status/723490675707260928" TargetMode="External"/><Relationship Id="rId17534" Type="http://schemas.openxmlformats.org/officeDocument/2006/relationships/hyperlink" Target="https://twitter.com/Eliott_Law" TargetMode="External"/><Relationship Id="rId24750" Type="http://schemas.openxmlformats.org/officeDocument/2006/relationships/hyperlink" Target="https://pbs.twimg.com/profile_images/539530989836697600/5d5311Kp_normal.jpeg" TargetMode="External"/><Relationship Id="rId5144" Type="http://schemas.openxmlformats.org/officeDocument/2006/relationships/hyperlink" Target="https://pbs.twimg.com/profile_images/3400168778/821966172cb238111f037ba37f957cba_normal.jpeg" TargetMode="External"/><Relationship Id="rId5491" Type="http://schemas.openxmlformats.org/officeDocument/2006/relationships/hyperlink" Target="https://twitter.com/revelation_book" TargetMode="External"/><Relationship Id="rId15085" Type="http://schemas.openxmlformats.org/officeDocument/2006/relationships/hyperlink" Target="https://abs.twimg.com/sticky/default_profile_images/default_profile_0_normal.png" TargetMode="External"/><Relationship Id="rId24403" Type="http://schemas.openxmlformats.org/officeDocument/2006/relationships/hyperlink" Target="https://twitter.com/pjl1015" TargetMode="External"/><Relationship Id="rId11695" Type="http://schemas.openxmlformats.org/officeDocument/2006/relationships/hyperlink" Target="https://twitter.com/cdu_tweets" TargetMode="External"/><Relationship Id="rId1754" Type="http://schemas.openxmlformats.org/officeDocument/2006/relationships/hyperlink" Target="https://pbs.twimg.com/profile_images/2840829620/fbb342e160a7fb58b5f5be5c3bd3723f_normal.png" TargetMode="External"/><Relationship Id="rId8367" Type="http://schemas.openxmlformats.org/officeDocument/2006/relationships/hyperlink" Target="https://pbs.twimg.com/profile_images/603480066887127041/ZqzOY80Q_normal.jpg" TargetMode="External"/><Relationship Id="rId11348" Type="http://schemas.openxmlformats.org/officeDocument/2006/relationships/hyperlink" Target="https://twitter.com/EpicAutokoulu/status/723501164315156480" TargetMode="External"/><Relationship Id="rId25177" Type="http://schemas.openxmlformats.org/officeDocument/2006/relationships/hyperlink" Target="https://twitter.com/DeeZeeX" TargetMode="External"/><Relationship Id="rId1407" Type="http://schemas.openxmlformats.org/officeDocument/2006/relationships/hyperlink" Target="https://twitter.com/DollysdelightsS/status/723040232015310848" TargetMode="External"/><Relationship Id="rId4977" Type="http://schemas.openxmlformats.org/officeDocument/2006/relationships/hyperlink" Target="https://twitter.com/BILD_Reporter/status/723191565200592897" TargetMode="External"/><Relationship Id="rId17391" Type="http://schemas.openxmlformats.org/officeDocument/2006/relationships/hyperlink" Target="https://pbs.twimg.com/profile_images/505852375911780352/2-ZN7ue2_normal.jpeg" TargetMode="External"/><Relationship Id="rId19840" Type="http://schemas.openxmlformats.org/officeDocument/2006/relationships/hyperlink" Target="https://twitter.com/probusol/status/723961120655069185" TargetMode="External"/><Relationship Id="rId7450" Type="http://schemas.openxmlformats.org/officeDocument/2006/relationships/hyperlink" Target="https://pbs.twimg.com/profile_images/678101273997012992/thY8hRJg_normal.jpg" TargetMode="External"/><Relationship Id="rId17044" Type="http://schemas.openxmlformats.org/officeDocument/2006/relationships/hyperlink" Target="https://twitter.com/emiliamuthoni/status/723766040522555393" TargetMode="External"/><Relationship Id="rId21787" Type="http://schemas.openxmlformats.org/officeDocument/2006/relationships/hyperlink" Target="https://twitter.com/dubbusses" TargetMode="External"/><Relationship Id="rId24260" Type="http://schemas.openxmlformats.org/officeDocument/2006/relationships/hyperlink" Target="https://twitter.com/Parisien2base/status/724341329258536960" TargetMode="External"/><Relationship Id="rId7103" Type="http://schemas.openxmlformats.org/officeDocument/2006/relationships/hyperlink" Target="https://pbs.twimg.com/profile_images/2630847009/c459243cb86e5ab96d3e20610c89fb34_normal.jpeg" TargetMode="External"/><Relationship Id="rId10431" Type="http://schemas.openxmlformats.org/officeDocument/2006/relationships/hyperlink" Target="https://twitter.com/KramerFerdinand" TargetMode="External"/><Relationship Id="rId13654" Type="http://schemas.openxmlformats.org/officeDocument/2006/relationships/hyperlink" Target="https://twitter.com/alsopi1" TargetMode="External"/><Relationship Id="rId20870" Type="http://schemas.openxmlformats.org/officeDocument/2006/relationships/hyperlink" Target="https://twitter.com/giulianoctf/status/724051742225215488" TargetMode="External"/><Relationship Id="rId3713" Type="http://schemas.openxmlformats.org/officeDocument/2006/relationships/hyperlink" Target="https://twitter.com/MarkCSchneider" TargetMode="External"/><Relationship Id="rId13307" Type="http://schemas.openxmlformats.org/officeDocument/2006/relationships/hyperlink" Target="https://twitter.com/beetlebug1938" TargetMode="External"/><Relationship Id="rId16877" Type="http://schemas.openxmlformats.org/officeDocument/2006/relationships/hyperlink" Target="https://pbs.twimg.com/profile_images/712992096920014848/_J0Y0Gvz_normal.jpg" TargetMode="External"/><Relationship Id="rId20523" Type="http://schemas.openxmlformats.org/officeDocument/2006/relationships/hyperlink" Target="https://twitter.com/zippi/status/724006180138393600" TargetMode="External"/><Relationship Id="rId1264" Type="http://schemas.openxmlformats.org/officeDocument/2006/relationships/hyperlink" Target="https://pbs.twimg.com/profile_images/3514281595/3692f510c22e1434a52e6dbabeae58ce_normal.png" TargetMode="External"/><Relationship Id="rId6936" Type="http://schemas.openxmlformats.org/officeDocument/2006/relationships/hyperlink" Target="https://pbs.twimg.com/profile_images/571838766471630849/lS65SDc0_normal.jpeg" TargetMode="External"/><Relationship Id="rId19350" Type="http://schemas.openxmlformats.org/officeDocument/2006/relationships/hyperlink" Target="https://pbs.twimg.com/profile_images/539551577435299842/yct65cY5_normal.jpeg" TargetMode="External"/><Relationship Id="rId23746" Type="http://schemas.openxmlformats.org/officeDocument/2006/relationships/hyperlink" Target="https://pbs.twimg.com/profile_images/1321640419/csr_normal.jpeg" TargetMode="External"/><Relationship Id="rId4487" Type="http://schemas.openxmlformats.org/officeDocument/2006/relationships/hyperlink" Target="https://pbs.twimg.com/profile_images/709020108849545216/-1alR0dU_normal.jpg" TargetMode="External"/><Relationship Id="rId19003" Type="http://schemas.openxmlformats.org/officeDocument/2006/relationships/hyperlink" Target="https://twitter.com/TitilayoOjes1/status/723912512270393344" TargetMode="External"/><Relationship Id="rId21297" Type="http://schemas.openxmlformats.org/officeDocument/2006/relationships/hyperlink" Target="https://twitter.com/abcdefghmiokxyz/status/724138539890315264" TargetMode="External"/><Relationship Id="rId15960" Type="http://schemas.openxmlformats.org/officeDocument/2006/relationships/hyperlink" Target="https://pbs.twimg.com/profile_images/695051718531354624/i5ezgQbc_normal.jpg" TargetMode="External"/><Relationship Id="rId15613" Type="http://schemas.openxmlformats.org/officeDocument/2006/relationships/hyperlink" Target="https://twitter.com/AutoExpress/status/723617422268203008" TargetMode="External"/><Relationship Id="rId3223" Type="http://schemas.openxmlformats.org/officeDocument/2006/relationships/hyperlink" Target="https://twitter.com/Saantiiiaag" TargetMode="External"/><Relationship Id="rId3570" Type="http://schemas.openxmlformats.org/officeDocument/2006/relationships/hyperlink" Target="http://dlvr.it/" TargetMode="External"/><Relationship Id="rId13164" Type="http://schemas.openxmlformats.org/officeDocument/2006/relationships/hyperlink" Target="https://pbs.twimg.com/profile_images/378800000830360955/5fb295e74c438beb9dd7777a56295953_normal.jpeg" TargetMode="External"/><Relationship Id="rId18836" Type="http://schemas.openxmlformats.org/officeDocument/2006/relationships/hyperlink" Target="http://paper.li/" TargetMode="External"/><Relationship Id="rId20380" Type="http://schemas.openxmlformats.org/officeDocument/2006/relationships/hyperlink" Target="https://twitter.com/Omar_hola" TargetMode="External"/><Relationship Id="rId6793" Type="http://schemas.openxmlformats.org/officeDocument/2006/relationships/hyperlink" Target="https://pbs.twimg.com/profile_images/627949001179037696/skEBkS05_normal.jpg" TargetMode="External"/><Relationship Id="rId16387" Type="http://schemas.openxmlformats.org/officeDocument/2006/relationships/hyperlink" Target="https://twitter.com/Rigoler" TargetMode="External"/><Relationship Id="rId20033" Type="http://schemas.openxmlformats.org/officeDocument/2006/relationships/hyperlink" Target="https://twitter.com/vwdepo/status/723970424929841152" TargetMode="External"/><Relationship Id="rId25705" Type="http://schemas.openxmlformats.org/officeDocument/2006/relationships/hyperlink" Target="https://twitter.com/stevehui/status/724464115129802753" TargetMode="External"/><Relationship Id="rId6446" Type="http://schemas.openxmlformats.org/officeDocument/2006/relationships/hyperlink" Target="https://twitter.com/VWBeetleSales/status/723243184822702080" TargetMode="External"/><Relationship Id="rId23256" Type="http://schemas.openxmlformats.org/officeDocument/2006/relationships/hyperlink" Target="https://twitter.com/KholodovSl/status/724276263213477889" TargetMode="External"/><Relationship Id="rId9669" Type="http://schemas.openxmlformats.org/officeDocument/2006/relationships/hyperlink" Target="https://pbs.twimg.com/profile_images/2990215932/3d67f4dbdf71510d4c8e81b422b73de8_normal.jpeg" TargetMode="External"/><Relationship Id="rId12997" Type="http://schemas.openxmlformats.org/officeDocument/2006/relationships/hyperlink" Target="https://twitter.com/PEREVERE" TargetMode="External"/><Relationship Id="rId15470" Type="http://schemas.openxmlformats.org/officeDocument/2006/relationships/hyperlink" Target="https://pbs.twimg.com/profile_images/611220111056314368/Di83Q3l7_normal.jpg" TargetMode="External"/><Relationship Id="rId2709" Type="http://schemas.openxmlformats.org/officeDocument/2006/relationships/hyperlink" Target="https://twitter.com/GTIcrazy/status/723114526149869568" TargetMode="External"/><Relationship Id="rId15123" Type="http://schemas.openxmlformats.org/officeDocument/2006/relationships/hyperlink" Target="https://pbs.twimg.com/profile_images/709091473682202624/KJaoCxuM_normal.jpg" TargetMode="External"/><Relationship Id="rId3080" Type="http://schemas.openxmlformats.org/officeDocument/2006/relationships/hyperlink" Target="https://twitter.com/VWCamperSales/status/723138860415242241" TargetMode="External"/><Relationship Id="rId18693" Type="http://schemas.openxmlformats.org/officeDocument/2006/relationships/hyperlink" Target="http://volkswagent25.com/" TargetMode="External"/><Relationship Id="rId8752" Type="http://schemas.openxmlformats.org/officeDocument/2006/relationships/hyperlink" Target="https://pbs.twimg.com/profile_images/682309511789588480/evMIH9hg_normal.jpg" TargetMode="External"/><Relationship Id="rId11733" Type="http://schemas.openxmlformats.org/officeDocument/2006/relationships/hyperlink" Target="https://twitter.com/MedAgness/status/723506302236938240" TargetMode="External"/><Relationship Id="rId18346" Type="http://schemas.openxmlformats.org/officeDocument/2006/relationships/hyperlink" Target="https://pbs.twimg.com/profile_images/552947036555722752/Pjh_pElu_normal.png" TargetMode="External"/><Relationship Id="rId25562" Type="http://schemas.openxmlformats.org/officeDocument/2006/relationships/hyperlink" Target="https://twitter.com/VolkswagenPost" TargetMode="External"/><Relationship Id="rId8405" Type="http://schemas.openxmlformats.org/officeDocument/2006/relationships/hyperlink" Target="https://twitter.com/following_jobs/status/723386594305015808" TargetMode="External"/><Relationship Id="rId14956" Type="http://schemas.openxmlformats.org/officeDocument/2006/relationships/hyperlink" Target="https://pbs.twimg.com/profile_images/719611202129625088/XNXG8FpF_normal.jpg" TargetMode="External"/><Relationship Id="rId25215" Type="http://schemas.openxmlformats.org/officeDocument/2006/relationships/hyperlink" Target="https://twitter.com/randyskilz" TargetMode="External"/><Relationship Id="rId14609" Type="http://schemas.openxmlformats.org/officeDocument/2006/relationships/hyperlink" Target="https://pbs.twimg.com/profile_images/701308630155579392/9VyAtMQn_normal.jpg" TargetMode="External"/><Relationship Id="rId21825" Type="http://schemas.openxmlformats.org/officeDocument/2006/relationships/hyperlink" Target="https://twitter.com/CustomYourShoe" TargetMode="External"/><Relationship Id="rId885" Type="http://schemas.openxmlformats.org/officeDocument/2006/relationships/hyperlink" Target="https://twitter.com/techhippie/status/722997258158006272" TargetMode="External"/><Relationship Id="rId2566" Type="http://schemas.openxmlformats.org/officeDocument/2006/relationships/hyperlink" Target="https://pbs.twimg.com/profile_images/578161844965154816/nanRJ9Ax_normal.jpeg" TargetMode="External"/><Relationship Id="rId9179" Type="http://schemas.openxmlformats.org/officeDocument/2006/relationships/hyperlink" Target="https://pbs.twimg.com/profile_images/657853466384191488/J6vAnfZr_normal.jpg" TargetMode="External"/><Relationship Id="rId538" Type="http://schemas.openxmlformats.org/officeDocument/2006/relationships/hyperlink" Target="https://twitter.com/R0__Sheen/status/722964502833147904" TargetMode="External"/><Relationship Id="rId2219" Type="http://schemas.openxmlformats.org/officeDocument/2006/relationships/hyperlink" Target="https://twitter.com/camillebob0" TargetMode="External"/><Relationship Id="rId5789" Type="http://schemas.openxmlformats.org/officeDocument/2006/relationships/hyperlink" Target="https://pbs.twimg.com/profile_images/692076002940420097/5AH5fGl7_normal.jpg" TargetMode="External"/><Relationship Id="rId22599" Type="http://schemas.openxmlformats.org/officeDocument/2006/relationships/hyperlink" Target="https://twitter.com/3811015" TargetMode="External"/><Relationship Id="rId8262" Type="http://schemas.openxmlformats.org/officeDocument/2006/relationships/hyperlink" Target="https://twitter.com/caatimichelle" TargetMode="External"/><Relationship Id="rId11590" Type="http://schemas.openxmlformats.org/officeDocument/2006/relationships/hyperlink" Target="https://twitter.com/JonathanEley" TargetMode="External"/><Relationship Id="rId25072" Type="http://schemas.openxmlformats.org/officeDocument/2006/relationships/hyperlink" Target="https://pbs.twimg.com/profile_images/530071272881803264/a_jcCmPZ_normal.png" TargetMode="External"/><Relationship Id="rId1302" Type="http://schemas.openxmlformats.org/officeDocument/2006/relationships/hyperlink" Target="https://pbs.twimg.com/profile_images/715557322471444481/wBjLQge8_normal.jpg" TargetMode="External"/><Relationship Id="rId11243" Type="http://schemas.openxmlformats.org/officeDocument/2006/relationships/hyperlink" Target="https://twitter.com/DirkHaehnel" TargetMode="External"/><Relationship Id="rId16915" Type="http://schemas.openxmlformats.org/officeDocument/2006/relationships/hyperlink" Target="https://twitter.com/equatormotorsuk" TargetMode="External"/><Relationship Id="rId4872" Type="http://schemas.openxmlformats.org/officeDocument/2006/relationships/hyperlink" Target="http://dlvr.it/" TargetMode="External"/><Relationship Id="rId14466" Type="http://schemas.openxmlformats.org/officeDocument/2006/relationships/hyperlink" Target="https://twitter.com/MoveRally" TargetMode="External"/><Relationship Id="rId21682" Type="http://schemas.openxmlformats.org/officeDocument/2006/relationships/hyperlink" Target="https://twitter.com/Insta_VWT" TargetMode="External"/><Relationship Id="rId395" Type="http://schemas.openxmlformats.org/officeDocument/2006/relationships/hyperlink" Target="https://twitter.com/srujanshinde27" TargetMode="External"/><Relationship Id="rId2076" Type="http://schemas.openxmlformats.org/officeDocument/2006/relationships/hyperlink" Target="https://twitter.com/VWCamperSales" TargetMode="External"/><Relationship Id="rId4525" Type="http://schemas.openxmlformats.org/officeDocument/2006/relationships/hyperlink" Target="https://twitter.com/Tonelli22/status/723182101126909952" TargetMode="External"/><Relationship Id="rId14119" Type="http://schemas.openxmlformats.org/officeDocument/2006/relationships/hyperlink" Target="https://twitter.com/VolkswagenPost/status/723564512159236096" TargetMode="External"/><Relationship Id="rId17689" Type="http://schemas.openxmlformats.org/officeDocument/2006/relationships/hyperlink" Target="https://twitter.com/moteking25/status/723816635044253697" TargetMode="External"/><Relationship Id="rId21335" Type="http://schemas.openxmlformats.org/officeDocument/2006/relationships/hyperlink" Target="https://twitter.com/Volkstyp2" TargetMode="External"/><Relationship Id="rId7748" Type="http://schemas.openxmlformats.org/officeDocument/2006/relationships/hyperlink" Target="https://twitter.com/MattyAlvez" TargetMode="External"/><Relationship Id="rId24558" Type="http://schemas.openxmlformats.org/officeDocument/2006/relationships/hyperlink" Target="https://twitter.com/KathrynDowling" TargetMode="External"/><Relationship Id="rId5299" Type="http://schemas.openxmlformats.org/officeDocument/2006/relationships/hyperlink" Target="https://twitter.com/keltenblick/status/723199534579474432" TargetMode="External"/><Relationship Id="rId10729" Type="http://schemas.openxmlformats.org/officeDocument/2006/relationships/hyperlink" Target="https://pbs.twimg.com/profile_images/3120330421/18166a7606798b1cd07c5596ffc4001f_normal.png" TargetMode="External"/><Relationship Id="rId13202" Type="http://schemas.openxmlformats.org/officeDocument/2006/relationships/hyperlink" Target="https://pbs.twimg.com/profile_images/425599818853912576/kKRiBOc1_normal.jpeg" TargetMode="External"/><Relationship Id="rId16772" Type="http://schemas.openxmlformats.org/officeDocument/2006/relationships/hyperlink" Target="https://twitter.com/VWBeetleSales" TargetMode="External"/><Relationship Id="rId4382" Type="http://schemas.openxmlformats.org/officeDocument/2006/relationships/hyperlink" Target="https://twitter.com/samiamebarki1/status/723179818129432576" TargetMode="External"/><Relationship Id="rId6831" Type="http://schemas.openxmlformats.org/officeDocument/2006/relationships/hyperlink" Target="https://twitter.com/CmaxVs/status/723262838790197248" TargetMode="External"/><Relationship Id="rId16425" Type="http://schemas.openxmlformats.org/officeDocument/2006/relationships/hyperlink" Target="https://pbs.twimg.com/profile_images/554510464999104512/30MM94gT_normal.jpeg" TargetMode="External"/><Relationship Id="rId19995" Type="http://schemas.openxmlformats.org/officeDocument/2006/relationships/hyperlink" Target="https://twitter.com/tOrtu_cCp1912/status/723968217123827714" TargetMode="External"/><Relationship Id="rId21192" Type="http://schemas.openxmlformats.org/officeDocument/2006/relationships/hyperlink" Target="https://pbs.twimg.com/profile_images/422164778639839234/LVnS1q1c_normal.jpeg" TargetMode="External"/><Relationship Id="rId23641" Type="http://schemas.openxmlformats.org/officeDocument/2006/relationships/hyperlink" Target="https://pbs.twimg.com/profile_images/621145253261770756/SJdc3xVG_normal.jpg" TargetMode="External"/><Relationship Id="rId4035" Type="http://schemas.openxmlformats.org/officeDocument/2006/relationships/hyperlink" Target="https://pbs.twimg.com/profile_images/474178130312044544/-U2TP65D_normal.png" TargetMode="External"/><Relationship Id="rId19648" Type="http://schemas.openxmlformats.org/officeDocument/2006/relationships/hyperlink" Target="https://twitter.com/hashtagvanlife" TargetMode="External"/><Relationship Id="rId9707" Type="http://schemas.openxmlformats.org/officeDocument/2006/relationships/hyperlink" Target="https://twitter.com/TelanganaPress" TargetMode="External"/><Relationship Id="rId10586" Type="http://schemas.openxmlformats.org/officeDocument/2006/relationships/hyperlink" Target="https://pbs.twimg.com/profile_images/651108553697181696/kr0acetE_normal.jpg" TargetMode="External"/><Relationship Id="rId17199" Type="http://schemas.openxmlformats.org/officeDocument/2006/relationships/hyperlink" Target="https://twitter.com/JoshuaHakman/status/723778733501485056" TargetMode="External"/><Relationship Id="rId7258" Type="http://schemas.openxmlformats.org/officeDocument/2006/relationships/hyperlink" Target="https://twitter.com/Lindsay_VW/status/723290477836013569" TargetMode="External"/><Relationship Id="rId10239" Type="http://schemas.openxmlformats.org/officeDocument/2006/relationships/hyperlink" Target="https://twitter.com/serversnake/status/723466865914327041" TargetMode="External"/><Relationship Id="rId24068" Type="http://schemas.openxmlformats.org/officeDocument/2006/relationships/hyperlink" Target="https://pbs.twimg.com/profile_images/627949001179037696/skEBkS05_normal.jpg" TargetMode="External"/><Relationship Id="rId3868" Type="http://schemas.openxmlformats.org/officeDocument/2006/relationships/hyperlink" Target="https://twitter.com/angulosiete/status/723171178253262848" TargetMode="External"/><Relationship Id="rId16282" Type="http://schemas.openxmlformats.org/officeDocument/2006/relationships/hyperlink" Target="https://twitter.com/angelmartinber" TargetMode="External"/><Relationship Id="rId18731" Type="http://schemas.openxmlformats.org/officeDocument/2006/relationships/hyperlink" Target="https://twitter.com/jeremyjudkins" TargetMode="External"/><Relationship Id="rId20678" Type="http://schemas.openxmlformats.org/officeDocument/2006/relationships/hyperlink" Target="https://pbs.twimg.com/profile_images/703294545195307008/qeCvrX86_normal.jpg" TargetMode="External"/><Relationship Id="rId6341" Type="http://schemas.openxmlformats.org/officeDocument/2006/relationships/hyperlink" Target="https://twitter.com/__FMR__/status/723240075111337984" TargetMode="External"/><Relationship Id="rId23151" Type="http://schemas.openxmlformats.org/officeDocument/2006/relationships/hyperlink" Target="https://twitter.com/VWCamperSales" TargetMode="External"/><Relationship Id="rId25600" Type="http://schemas.openxmlformats.org/officeDocument/2006/relationships/hyperlink" Target="https://pbs.twimg.com/profile_images/674866085213130752/qAlZEGhV_normal.jpg" TargetMode="External"/><Relationship Id="rId9564" Type="http://schemas.openxmlformats.org/officeDocument/2006/relationships/hyperlink" Target="https://twitter.com/KorruptPolitik/status/723440509205630976" TargetMode="External"/><Relationship Id="rId12892" Type="http://schemas.openxmlformats.org/officeDocument/2006/relationships/hyperlink" Target="https://pbs.twimg.com/profile_images/710217573212618752/KutLThQ9_normal.jpg" TargetMode="External"/><Relationship Id="rId19158" Type="http://schemas.openxmlformats.org/officeDocument/2006/relationships/hyperlink" Target="https://pbs.twimg.com/profile_images/644897595442241536/62y226Ai_normal.jpg" TargetMode="External"/><Relationship Id="rId2951" Type="http://schemas.openxmlformats.org/officeDocument/2006/relationships/hyperlink" Target="https://pbs.twimg.com/profile_images/706833390725681152/IaXMLicB_normal.jpg" TargetMode="External"/><Relationship Id="rId9217" Type="http://schemas.openxmlformats.org/officeDocument/2006/relationships/hyperlink" Target="https://twitter.com/JimHawkins11/status/723425804856619008" TargetMode="External"/><Relationship Id="rId12545" Type="http://schemas.openxmlformats.org/officeDocument/2006/relationships/hyperlink" Target="https://twitter.com/ManuelaKC" TargetMode="External"/><Relationship Id="rId923" Type="http://schemas.openxmlformats.org/officeDocument/2006/relationships/hyperlink" Target="https://twitter.com/1i0k0z8s" TargetMode="External"/><Relationship Id="rId2604" Type="http://schemas.openxmlformats.org/officeDocument/2006/relationships/hyperlink" Target="https://twitter.com/VWCamperSales/status/723108792695590912" TargetMode="External"/><Relationship Id="rId10096" Type="http://schemas.openxmlformats.org/officeDocument/2006/relationships/hyperlink" Target="https://pbs.twimg.com/profile_images/707923436509601792/ptTU4_Xm_normal.jpg" TargetMode="External"/><Relationship Id="rId15768" Type="http://schemas.openxmlformats.org/officeDocument/2006/relationships/hyperlink" Target="https://pbs.twimg.com/profile_images/720366446954590209/9NWYyVfw_normal.jpg" TargetMode="External"/><Relationship Id="rId22984" Type="http://schemas.openxmlformats.org/officeDocument/2006/relationships/hyperlink" Target="https://pbs.twimg.com/profile_images/550590325530439680/nRnvKc45_normal.jpeg" TargetMode="External"/><Relationship Id="rId5827" Type="http://schemas.openxmlformats.org/officeDocument/2006/relationships/hyperlink" Target="https://twitter.com/VWCamperSales/status/723219279051517952" TargetMode="External"/><Relationship Id="rId18241" Type="http://schemas.openxmlformats.org/officeDocument/2006/relationships/hyperlink" Target="https://pbs.twimg.com/profile_images/630521424529203200/BI1XLLRq_normal.jpg" TargetMode="External"/><Relationship Id="rId22637" Type="http://schemas.openxmlformats.org/officeDocument/2006/relationships/hyperlink" Target="https://twitter.com/82Reddy/status/724236413340884992" TargetMode="External"/><Relationship Id="rId3378" Type="http://schemas.openxmlformats.org/officeDocument/2006/relationships/hyperlink" Target="https://twitter.com/DJMattDavid/status/723154282011320320" TargetMode="External"/><Relationship Id="rId8300" Type="http://schemas.openxmlformats.org/officeDocument/2006/relationships/hyperlink" Target="https://pbs.twimg.com/profile_images/482612371274223616/YsEANVrf_normal.jpeg" TargetMode="External"/><Relationship Id="rId20188" Type="http://schemas.openxmlformats.org/officeDocument/2006/relationships/hyperlink" Target="https://twitter.com/4x4tirol" TargetMode="External"/><Relationship Id="rId25110" Type="http://schemas.openxmlformats.org/officeDocument/2006/relationships/hyperlink" Target="https://pbs.twimg.com/profile_images/473874771399024640/wZCIFr9T_normal.png" TargetMode="External"/><Relationship Id="rId14851" Type="http://schemas.openxmlformats.org/officeDocument/2006/relationships/hyperlink" Target="http://dlvr.it/" TargetMode="External"/><Relationship Id="rId780" Type="http://schemas.openxmlformats.org/officeDocument/2006/relationships/hyperlink" Target="https://twitter.com/PrudhommeJeff/status/722983355571142656" TargetMode="External"/><Relationship Id="rId2461" Type="http://schemas.openxmlformats.org/officeDocument/2006/relationships/hyperlink" Target="http://ctrlq.org/maps/address/" TargetMode="External"/><Relationship Id="rId4910" Type="http://schemas.openxmlformats.org/officeDocument/2006/relationships/hyperlink" Target="https://pbs.twimg.com/profile_images/652191269934993408/5bZKOI8y_normal.jpg" TargetMode="External"/><Relationship Id="rId9074" Type="http://schemas.openxmlformats.org/officeDocument/2006/relationships/hyperlink" Target="https://twitter.com/NeedTechs/status/723421148361285632" TargetMode="External"/><Relationship Id="rId12055" Type="http://schemas.openxmlformats.org/officeDocument/2006/relationships/hyperlink" Target="http://faz.net/" TargetMode="External"/><Relationship Id="rId14504" Type="http://schemas.openxmlformats.org/officeDocument/2006/relationships/hyperlink" Target="https://pbs.twimg.com/profile_images/2133628020/Bild_MH_normal.JPG" TargetMode="External"/><Relationship Id="rId21720" Type="http://schemas.openxmlformats.org/officeDocument/2006/relationships/hyperlink" Target="https://twitter.com/JenstheGTIfreak" TargetMode="External"/><Relationship Id="rId433" Type="http://schemas.openxmlformats.org/officeDocument/2006/relationships/hyperlink" Target="https://pbs.twimg.com/profile_images/667876096088653825/FOW14Ke4_normal.jpg" TargetMode="External"/><Relationship Id="rId2114" Type="http://schemas.openxmlformats.org/officeDocument/2006/relationships/hyperlink" Target="https://twitter.com/SJ_LOWTEC/status/723083315650154496" TargetMode="External"/><Relationship Id="rId17727" Type="http://schemas.openxmlformats.org/officeDocument/2006/relationships/hyperlink" Target="https://twitter.com/AnthonyIsCool21" TargetMode="External"/><Relationship Id="rId24943" Type="http://schemas.openxmlformats.org/officeDocument/2006/relationships/hyperlink" Target="https://twitter.com/bryancarguy/status/724404227947171842" TargetMode="External"/><Relationship Id="rId5684" Type="http://schemas.openxmlformats.org/officeDocument/2006/relationships/hyperlink" Target="https://twitter.com/janreuter/status/723212623861391361" TargetMode="External"/><Relationship Id="rId15278" Type="http://schemas.openxmlformats.org/officeDocument/2006/relationships/hyperlink" Target="https://twitter.com/BizForBreakfast/status/723602056003629057" TargetMode="External"/><Relationship Id="rId22494" Type="http://schemas.openxmlformats.org/officeDocument/2006/relationships/hyperlink" Target="https://pbs.twimg.com/profile_images/627949001179037696/skEBkS05_normal.jpg" TargetMode="External"/><Relationship Id="rId5337" Type="http://schemas.openxmlformats.org/officeDocument/2006/relationships/hyperlink" Target="https://twitter.com/WowbaggerXX7" TargetMode="External"/><Relationship Id="rId11888" Type="http://schemas.openxmlformats.org/officeDocument/2006/relationships/hyperlink" Target="https://pbs.twimg.com/profile_images/515676694116835329/YVm9HRpJ_normal.jpeg" TargetMode="External"/><Relationship Id="rId22147" Type="http://schemas.openxmlformats.org/officeDocument/2006/relationships/hyperlink" Target="https://pbs.twimg.com/profile_images/474837254783774720/A3oLujry_normal.jpeg" TargetMode="External"/><Relationship Id="rId1947" Type="http://schemas.openxmlformats.org/officeDocument/2006/relationships/hyperlink" Target="https://twitter.com/FAZ_NET/status/723069341739147264" TargetMode="External"/><Relationship Id="rId14361" Type="http://schemas.openxmlformats.org/officeDocument/2006/relationships/hyperlink" Target="https://twitter.com/beetlebug1938" TargetMode="External"/><Relationship Id="rId16810" Type="http://schemas.openxmlformats.org/officeDocument/2006/relationships/hyperlink" Target="https://twitter.com/SkipYorkEnergy/status/723736175089840128" TargetMode="External"/><Relationship Id="rId4420" Type="http://schemas.openxmlformats.org/officeDocument/2006/relationships/hyperlink" Target="https://pbs.twimg.com/profile_images/1875408305/RB2004_bigger_normal.jpg" TargetMode="External"/><Relationship Id="rId7990" Type="http://schemas.openxmlformats.org/officeDocument/2006/relationships/hyperlink" Target="https://twitter.com/AdgmanA" TargetMode="External"/><Relationship Id="rId14014" Type="http://schemas.openxmlformats.org/officeDocument/2006/relationships/hyperlink" Target="https://pbs.twimg.com/profile_images/3378184537/c20ae9a7a410821b4f189c34a63380f7_normal.png" TargetMode="External"/><Relationship Id="rId21230" Type="http://schemas.openxmlformats.org/officeDocument/2006/relationships/hyperlink" Target="https://twitter.com/FrankBauHa" TargetMode="External"/><Relationship Id="rId290" Type="http://schemas.openxmlformats.org/officeDocument/2006/relationships/hyperlink" Target="https://twitter.com/moteking25/status/722945137261711360" TargetMode="External"/><Relationship Id="rId7643" Type="http://schemas.openxmlformats.org/officeDocument/2006/relationships/hyperlink" Target="https://pbs.twimg.com/profile_images/717438411792056320/qTkBZ1Ew_normal.jpg" TargetMode="External"/><Relationship Id="rId10971" Type="http://schemas.openxmlformats.org/officeDocument/2006/relationships/hyperlink" Target="https://twitter.com/UmaSharandon" TargetMode="External"/><Relationship Id="rId17237" Type="http://schemas.openxmlformats.org/officeDocument/2006/relationships/hyperlink" Target="https://twitter.com/canwater" TargetMode="External"/><Relationship Id="rId17584" Type="http://schemas.openxmlformats.org/officeDocument/2006/relationships/hyperlink" Target="https://twitter.com/cas_2050001283" TargetMode="External"/><Relationship Id="rId5194" Type="http://schemas.openxmlformats.org/officeDocument/2006/relationships/hyperlink" Target="https://twitter.com/MennoBroers/status/723197185496649728" TargetMode="External"/><Relationship Id="rId10624" Type="http://schemas.openxmlformats.org/officeDocument/2006/relationships/hyperlink" Target="https://twitter.com/AbbeyLeasing" TargetMode="External"/><Relationship Id="rId24106" Type="http://schemas.openxmlformats.org/officeDocument/2006/relationships/hyperlink" Target="https://twitter.com/TheTipsyPigs/status/724332161692786689" TargetMode="External"/><Relationship Id="rId24453" Type="http://schemas.openxmlformats.org/officeDocument/2006/relationships/hyperlink" Target="https://twitter.com/Zayhrasg" TargetMode="External"/><Relationship Id="rId13847" Type="http://schemas.openxmlformats.org/officeDocument/2006/relationships/hyperlink" Target="https://pbs.twimg.com/profile_images/661248829682024449/IlOGOPEg_normal.jpg" TargetMode="External"/><Relationship Id="rId3906" Type="http://schemas.openxmlformats.org/officeDocument/2006/relationships/hyperlink" Target="https://twitter.com/JosephAzam" TargetMode="External"/><Relationship Id="rId11398" Type="http://schemas.openxmlformats.org/officeDocument/2006/relationships/hyperlink" Target="https://twitter.com/katjalosch" TargetMode="External"/><Relationship Id="rId16320" Type="http://schemas.openxmlformats.org/officeDocument/2006/relationships/hyperlink" Target="https://pbs.twimg.com/profile_images/569800899141177344/nVFLMSdb_normal.png" TargetMode="External"/><Relationship Id="rId19890" Type="http://schemas.openxmlformats.org/officeDocument/2006/relationships/hyperlink" Target="https://pbs.twimg.com/profile_images/690102462921990144/IwQRKCQg_normal.png" TargetMode="External"/><Relationship Id="rId20716" Type="http://schemas.openxmlformats.org/officeDocument/2006/relationships/hyperlink" Target="https://pbs.twimg.com/profile_images/3256042247/66321c338b84d42d4b14f5766bfb97e3_normal.jpeg" TargetMode="External"/><Relationship Id="rId1457" Type="http://schemas.openxmlformats.org/officeDocument/2006/relationships/hyperlink" Target="https://twitter.com/bot_car25" TargetMode="External"/><Relationship Id="rId19543" Type="http://schemas.openxmlformats.org/officeDocument/2006/relationships/hyperlink" Target="https://pbs.twimg.com/profile_images/378800000854855954/0d555726054b01e3c9d6b5241432dc4a_normal.jpeg" TargetMode="External"/><Relationship Id="rId23939" Type="http://schemas.openxmlformats.org/officeDocument/2006/relationships/hyperlink" Target="https://twitter.com/dubbusses" TargetMode="External"/><Relationship Id="rId9602" Type="http://schemas.openxmlformats.org/officeDocument/2006/relationships/hyperlink" Target="https://pbs.twimg.com/profile_images/457491035/55178663_normal.jpg" TargetMode="External"/><Relationship Id="rId10481" Type="http://schemas.openxmlformats.org/officeDocument/2006/relationships/hyperlink" Target="https://twitter.com/StvnsFrnk" TargetMode="External"/><Relationship Id="rId12930" Type="http://schemas.openxmlformats.org/officeDocument/2006/relationships/hyperlink" Target="https://twitter.com/DirkOHeckmann" TargetMode="External"/><Relationship Id="rId17094" Type="http://schemas.openxmlformats.org/officeDocument/2006/relationships/hyperlink" Target="https://twitter.com/berlinwerbung/status/723769767576895488" TargetMode="External"/><Relationship Id="rId7153" Type="http://schemas.openxmlformats.org/officeDocument/2006/relationships/hyperlink" Target="https://twitter.com/SexenioMX" TargetMode="External"/><Relationship Id="rId10134" Type="http://schemas.openxmlformats.org/officeDocument/2006/relationships/hyperlink" Target="https://twitter.com/Federalnaba" TargetMode="External"/><Relationship Id="rId15806" Type="http://schemas.openxmlformats.org/officeDocument/2006/relationships/hyperlink" Target="https://twitter.com/OnlineCarReview" TargetMode="External"/><Relationship Id="rId3763" Type="http://schemas.openxmlformats.org/officeDocument/2006/relationships/hyperlink" Target="https://pbs.twimg.com/profile_images/378800000730199993/4cc42b7be5291c568b05b651a903d3d3_normal.jpeg" TargetMode="External"/><Relationship Id="rId13357" Type="http://schemas.openxmlformats.org/officeDocument/2006/relationships/hyperlink" Target="https://abs.twimg.com/sticky/default_profile_images/default_profile_4_normal.png" TargetMode="External"/><Relationship Id="rId20573" Type="http://schemas.openxmlformats.org/officeDocument/2006/relationships/hyperlink" Target="https://twitter.com/CStrategists" TargetMode="External"/><Relationship Id="rId3416" Type="http://schemas.openxmlformats.org/officeDocument/2006/relationships/hyperlink" Target="https://twitter.com/nizoo1213" TargetMode="External"/><Relationship Id="rId6986" Type="http://schemas.openxmlformats.org/officeDocument/2006/relationships/hyperlink" Target="https://pbs.twimg.com/profile_images/3774183798/c736d0183ed85ff3983ab82ce797920c_normal.png" TargetMode="External"/><Relationship Id="rId20226" Type="http://schemas.openxmlformats.org/officeDocument/2006/relationships/hyperlink" Target="https://pbs.twimg.com/profile_images/718835727027580928/1ssyQ67y_normal.jpg" TargetMode="External"/><Relationship Id="rId23796" Type="http://schemas.openxmlformats.org/officeDocument/2006/relationships/hyperlink" Target="https://twitter.com/Vagowners/status/724311888205623296" TargetMode="External"/><Relationship Id="rId6639" Type="http://schemas.openxmlformats.org/officeDocument/2006/relationships/hyperlink" Target="https://twitter.com/christianwilp/status/723249419978739712" TargetMode="External"/><Relationship Id="rId12440" Type="http://schemas.openxmlformats.org/officeDocument/2006/relationships/hyperlink" Target="https://twitter.com/Stony_BS/status/723519682557427712" TargetMode="External"/><Relationship Id="rId19053" Type="http://schemas.openxmlformats.org/officeDocument/2006/relationships/hyperlink" Target="https://twitter.com/LottowinFlorida/status/723916239974862849" TargetMode="External"/><Relationship Id="rId23449" Type="http://schemas.openxmlformats.org/officeDocument/2006/relationships/hyperlink" Target="https://pbs.twimg.com/profile_images/661836271137005568/Yw0EzI1R_normal.jpg" TargetMode="External"/><Relationship Id="rId9112" Type="http://schemas.openxmlformats.org/officeDocument/2006/relationships/hyperlink" Target="https://pbs.twimg.com/profile_images/697073646754463744/5hjfjCdd_normal.jpg" TargetMode="External"/><Relationship Id="rId5722" Type="http://schemas.openxmlformats.org/officeDocument/2006/relationships/hyperlink" Target="https://pbs.twimg.com/profile_images/530071272881803264/a_jcCmPZ_normal.png" TargetMode="External"/><Relationship Id="rId15663" Type="http://schemas.openxmlformats.org/officeDocument/2006/relationships/hyperlink" Target="https://twitter.com/twinity/status/723618735555284993" TargetMode="External"/><Relationship Id="rId3273" Type="http://schemas.openxmlformats.org/officeDocument/2006/relationships/hyperlink" Target="https://twitter.com/kentsbike/status/723148706107654144" TargetMode="External"/><Relationship Id="rId15316" Type="http://schemas.openxmlformats.org/officeDocument/2006/relationships/hyperlink" Target="https://pbs.twimg.com/profile_images/695578903222579200/bKth_nPh_normal.jpg" TargetMode="External"/><Relationship Id="rId18886" Type="http://schemas.openxmlformats.org/officeDocument/2006/relationships/hyperlink" Target="https://pbs.twimg.com/profile_images/627949001179037696/skEBkS05_normal.jpg" TargetMode="External"/><Relationship Id="rId20083" Type="http://schemas.openxmlformats.org/officeDocument/2006/relationships/hyperlink" Target="https://pbs.twimg.com/profile_images/428375339044069377/ZOSVMyhL_normal.jpeg" TargetMode="External"/><Relationship Id="rId22532" Type="http://schemas.openxmlformats.org/officeDocument/2006/relationships/hyperlink" Target="https://twitter.com/Rodrigocana" TargetMode="External"/><Relationship Id="rId6496" Type="http://schemas.openxmlformats.org/officeDocument/2006/relationships/hyperlink" Target="https://twitter.com/BASE_1175/status/723244733263433728" TargetMode="External"/><Relationship Id="rId8945" Type="http://schemas.openxmlformats.org/officeDocument/2006/relationships/hyperlink" Target="https://twitter.com/wergshy" TargetMode="External"/><Relationship Id="rId11926" Type="http://schemas.openxmlformats.org/officeDocument/2006/relationships/hyperlink" Target="https://pbs.twimg.com/profile_images/324761478/internet_headshot_normal.jpg" TargetMode="External"/><Relationship Id="rId18539" Type="http://schemas.openxmlformats.org/officeDocument/2006/relationships/hyperlink" Target="https://twitter.com/Adi7r/status/723876390643351552" TargetMode="External"/><Relationship Id="rId25755" Type="http://schemas.openxmlformats.org/officeDocument/2006/relationships/hyperlink" Target="https://twitter.com/vwpress_de" TargetMode="External"/><Relationship Id="rId6149" Type="http://schemas.openxmlformats.org/officeDocument/2006/relationships/hyperlink" Target="https://twitter.com/VolkswagenCasey" TargetMode="External"/><Relationship Id="rId25408" Type="http://schemas.openxmlformats.org/officeDocument/2006/relationships/hyperlink" Target="https://twitter.com/Alanadrieel" TargetMode="External"/><Relationship Id="rId17622" Type="http://schemas.openxmlformats.org/officeDocument/2006/relationships/hyperlink" Target="https://pbs.twimg.com/profile_images/2582895335/n25fyfmmddlz8s3dufg5_normal.jpeg" TargetMode="External"/><Relationship Id="rId2759" Type="http://schemas.openxmlformats.org/officeDocument/2006/relationships/hyperlink" Target="https://twitter.com/AnetteRogers/status/723117630253461506" TargetMode="External"/><Relationship Id="rId15173" Type="http://schemas.openxmlformats.org/officeDocument/2006/relationships/hyperlink" Target="https://twitter.com/oWIGGYo/status/723597094183940096" TargetMode="External"/><Relationship Id="rId5232" Type="http://schemas.openxmlformats.org/officeDocument/2006/relationships/hyperlink" Target="https://twitter.com/OnlineCarReview/status/723197999308894208" TargetMode="External"/><Relationship Id="rId18396" Type="http://schemas.openxmlformats.org/officeDocument/2006/relationships/hyperlink" Target="https://twitter.com/VCT_Tweets" TargetMode="External"/><Relationship Id="rId22042" Type="http://schemas.openxmlformats.org/officeDocument/2006/relationships/hyperlink" Target="https://twitter.com/itsallplums" TargetMode="External"/><Relationship Id="rId8455" Type="http://schemas.openxmlformats.org/officeDocument/2006/relationships/hyperlink" Target="https://pbs.twimg.com/profile_images/662585803168591872/XeVEK9Mh_normal.jpg" TargetMode="External"/><Relationship Id="rId11783" Type="http://schemas.openxmlformats.org/officeDocument/2006/relationships/hyperlink" Target="https://twitter.com/MarkCSchneider" TargetMode="External"/><Relationship Id="rId18049" Type="http://schemas.openxmlformats.org/officeDocument/2006/relationships/hyperlink" Target="https://pbs.twimg.com/profile_images/668437116981018625/BA3Ui4qQ_normal.jpg" TargetMode="External"/><Relationship Id="rId25265" Type="http://schemas.openxmlformats.org/officeDocument/2006/relationships/hyperlink" Target="https://twitter.com/DeeZeeX/status/724428791796244482" TargetMode="External"/><Relationship Id="rId1842" Type="http://schemas.openxmlformats.org/officeDocument/2006/relationships/hyperlink" Target="http://intellicar.de/" TargetMode="External"/><Relationship Id="rId8108" Type="http://schemas.openxmlformats.org/officeDocument/2006/relationships/hyperlink" Target="https://twitter.com/TinchoP18" TargetMode="External"/><Relationship Id="rId11436" Type="http://schemas.openxmlformats.org/officeDocument/2006/relationships/hyperlink" Target="https://twitter.com/PParzival" TargetMode="External"/><Relationship Id="rId14659" Type="http://schemas.openxmlformats.org/officeDocument/2006/relationships/hyperlink" Target="https://twitter.com/socialwriter/status/723578890854215680" TargetMode="External"/><Relationship Id="rId21875" Type="http://schemas.openxmlformats.org/officeDocument/2006/relationships/hyperlink" Target="https://pbs.twimg.com/profile_images/703294545195307008/qeCvrX86_normal.jpg" TargetMode="External"/><Relationship Id="rId4718" Type="http://schemas.openxmlformats.org/officeDocument/2006/relationships/hyperlink" Target="https://pbs.twimg.com/profile_images/1662795540/twitter_normal.jpg" TargetMode="External"/><Relationship Id="rId17132" Type="http://schemas.openxmlformats.org/officeDocument/2006/relationships/hyperlink" Target="https://pbs.twimg.com/profile_images/703294545195307008/qeCvrX86_normal.jpg" TargetMode="External"/><Relationship Id="rId21528" Type="http://schemas.openxmlformats.org/officeDocument/2006/relationships/hyperlink" Target="https://pbs.twimg.com/profile_images/681930519152619524/O4FX8h-k_normal.jpg" TargetMode="External"/><Relationship Id="rId588" Type="http://schemas.openxmlformats.org/officeDocument/2006/relationships/hyperlink" Target="https://twitter.com/scottnewell" TargetMode="External"/><Relationship Id="rId2269" Type="http://schemas.openxmlformats.org/officeDocument/2006/relationships/hyperlink" Target="https://pbs.twimg.com/profile_images/627949001179037696/skEBkS05_normal.jpg" TargetMode="External"/><Relationship Id="rId24001" Type="http://schemas.openxmlformats.org/officeDocument/2006/relationships/hyperlink" Target="https://twitter.com/VeeDubMk1_/status/724326202148790274" TargetMode="External"/><Relationship Id="rId3801" Type="http://schemas.openxmlformats.org/officeDocument/2006/relationships/hyperlink" Target="https://twitter.com/franz_rother/status/723169770804224000" TargetMode="External"/><Relationship Id="rId11293" Type="http://schemas.openxmlformats.org/officeDocument/2006/relationships/hyperlink" Target="https://twitter.com/ReiseRobby/status/723500438381858816" TargetMode="External"/><Relationship Id="rId13742" Type="http://schemas.openxmlformats.org/officeDocument/2006/relationships/hyperlink" Target="https://twitter.com/bertyberserker/status/723554412153561092" TargetMode="External"/><Relationship Id="rId1352" Type="http://schemas.openxmlformats.org/officeDocument/2006/relationships/hyperlink" Target="https://twitter.com/Mphilpot1" TargetMode="External"/><Relationship Id="rId16965" Type="http://schemas.openxmlformats.org/officeDocument/2006/relationships/hyperlink" Target="https://pbs.twimg.com/profile_images/378800000301037965/6e8a72a8345dab4a26d9506066ecbd2b_normal.jpeg" TargetMode="External"/><Relationship Id="rId20611" Type="http://schemas.openxmlformats.org/officeDocument/2006/relationships/hyperlink" Target="https://twitter.com/d_ariel" TargetMode="External"/><Relationship Id="rId1005" Type="http://schemas.openxmlformats.org/officeDocument/2006/relationships/hyperlink" Target="https://twitter.com/webaraba" TargetMode="External"/><Relationship Id="rId4575" Type="http://schemas.openxmlformats.org/officeDocument/2006/relationships/hyperlink" Target="https://twitter.com/Tonelli22" TargetMode="External"/><Relationship Id="rId16618" Type="http://schemas.openxmlformats.org/officeDocument/2006/relationships/hyperlink" Target="https://twitter.com/vikfer77" TargetMode="External"/><Relationship Id="rId23834" Type="http://schemas.openxmlformats.org/officeDocument/2006/relationships/hyperlink" Target="https://pbs.twimg.com/profile_images/424893967197433858/iQ86NktX_normal.jpeg" TargetMode="External"/><Relationship Id="rId4228" Type="http://schemas.openxmlformats.org/officeDocument/2006/relationships/hyperlink" Target="https://pbs.twimg.com/profile_images/672878354127839232/M7OYc-zx_normal.jpg" TargetMode="External"/><Relationship Id="rId14169" Type="http://schemas.openxmlformats.org/officeDocument/2006/relationships/hyperlink" Target="https://twitter.com/Scirocco_Tuning" TargetMode="External"/><Relationship Id="rId21385" Type="http://schemas.openxmlformats.org/officeDocument/2006/relationships/hyperlink" Target="https://pbs.twimg.com/profile_images/698509815870578688/S6oEQDwn_normal.jpg" TargetMode="External"/><Relationship Id="rId7798" Type="http://schemas.openxmlformats.org/officeDocument/2006/relationships/hyperlink" Target="https://twitter.com/ffamilymedicine/status/723331260672659456" TargetMode="External"/><Relationship Id="rId10779" Type="http://schemas.openxmlformats.org/officeDocument/2006/relationships/hyperlink" Target="https://twitter.com/JanruPekozete/status/723484339888132102" TargetMode="External"/><Relationship Id="rId15701" Type="http://schemas.openxmlformats.org/officeDocument/2006/relationships/hyperlink" Target="https://pbs.twimg.com/profile_images/711834780724289536/-KPqofzC_normal.jpg" TargetMode="External"/><Relationship Id="rId21038" Type="http://schemas.openxmlformats.org/officeDocument/2006/relationships/hyperlink" Target="https://twitter.com/beetlebug1938/status/724087725276729345" TargetMode="External"/><Relationship Id="rId13252" Type="http://schemas.openxmlformats.org/officeDocument/2006/relationships/hyperlink" Target="https://twitter.com/karicio" TargetMode="External"/><Relationship Id="rId3311" Type="http://schemas.openxmlformats.org/officeDocument/2006/relationships/hyperlink" Target="https://pbs.twimg.com/profile_images/691321706057699328/TfV5p97t_normal.jpg" TargetMode="External"/><Relationship Id="rId6881" Type="http://schemas.openxmlformats.org/officeDocument/2006/relationships/hyperlink" Target="https://pbs.twimg.com/profile_images/1616567344/VRwatch2_normal.jpg" TargetMode="External"/><Relationship Id="rId16475" Type="http://schemas.openxmlformats.org/officeDocument/2006/relationships/hyperlink" Target="https://pbs.twimg.com/profile_images/610532807329378305/fwbFqFDw_normal.jpg" TargetMode="External"/><Relationship Id="rId18924" Type="http://schemas.openxmlformats.org/officeDocument/2006/relationships/hyperlink" Target="https://pbs.twimg.com/profile_images/703294545195307008/qeCvrX86_normal.jpg" TargetMode="External"/><Relationship Id="rId20121" Type="http://schemas.openxmlformats.org/officeDocument/2006/relationships/hyperlink" Target="https://twitter.com/CastrolArg" TargetMode="External"/><Relationship Id="rId23691" Type="http://schemas.openxmlformats.org/officeDocument/2006/relationships/hyperlink" Target="https://twitter.com/MickeyS1977/status/724306431747457024" TargetMode="External"/><Relationship Id="rId6534" Type="http://schemas.openxmlformats.org/officeDocument/2006/relationships/hyperlink" Target="https://twitter.com/KNordlichtW" TargetMode="External"/><Relationship Id="rId16128" Type="http://schemas.openxmlformats.org/officeDocument/2006/relationships/hyperlink" Target="https://twitter.com/clubVAGVzla" TargetMode="External"/><Relationship Id="rId23344" Type="http://schemas.openxmlformats.org/officeDocument/2006/relationships/hyperlink" Target="https://pbs.twimg.com/profile_images/551452378595987456/j1ydC16c_normal.jpeg" TargetMode="External"/><Relationship Id="rId4085" Type="http://schemas.openxmlformats.org/officeDocument/2006/relationships/hyperlink" Target="https://twitter.com/x3m_f/status/723175840243191808" TargetMode="External"/><Relationship Id="rId19698" Type="http://schemas.openxmlformats.org/officeDocument/2006/relationships/hyperlink" Target="https://pbs.twimg.com/profile_images/378800000572104796/1de43e1cf23efb3f4101c02afad0d3b6_normal.png" TargetMode="External"/><Relationship Id="rId9757" Type="http://schemas.openxmlformats.org/officeDocument/2006/relationships/hyperlink" Target="https://pbs.twimg.com/profile_images/2323790201/ctdn7vtih30fwf5dcx8z_normal.jpeg" TargetMode="External"/><Relationship Id="rId12738" Type="http://schemas.openxmlformats.org/officeDocument/2006/relationships/hyperlink" Target="https://twitter.com/BerHerg" TargetMode="External"/><Relationship Id="rId10289" Type="http://schemas.openxmlformats.org/officeDocument/2006/relationships/hyperlink" Target="https://twitter.com/VolkswagenPost" TargetMode="External"/><Relationship Id="rId15211" Type="http://schemas.openxmlformats.org/officeDocument/2006/relationships/hyperlink" Target="https://twitter.com/GeologyColin/status/723598956060504065" TargetMode="External"/><Relationship Id="rId18781" Type="http://schemas.openxmlformats.org/officeDocument/2006/relationships/hyperlink" Target="https://pbs.twimg.com/profile_images/721726455420424195/1sADDwx8_normal.jpg" TargetMode="External"/><Relationship Id="rId8840" Type="http://schemas.openxmlformats.org/officeDocument/2006/relationships/hyperlink" Target="https://twitter.com/GregorKuhn_IG" TargetMode="External"/><Relationship Id="rId18434" Type="http://schemas.openxmlformats.org/officeDocument/2006/relationships/hyperlink" Target="https://twitter.com/VWBeetleSales/status/723868301294592000" TargetMode="External"/><Relationship Id="rId25650" Type="http://schemas.openxmlformats.org/officeDocument/2006/relationships/hyperlink" Target="https://twitter.com/alanakuhn" TargetMode="External"/><Relationship Id="rId6391" Type="http://schemas.openxmlformats.org/officeDocument/2006/relationships/hyperlink" Target="https://twitter.com/RugbyHour/status/723241674080706560" TargetMode="External"/><Relationship Id="rId11821" Type="http://schemas.openxmlformats.org/officeDocument/2006/relationships/hyperlink" Target="https://twitter.com/dwnews" TargetMode="External"/><Relationship Id="rId25303" Type="http://schemas.openxmlformats.org/officeDocument/2006/relationships/hyperlink" Target="https://pbs.twimg.com/profile_images/720623345029423104/TUxoNGEM_normal.jpg" TargetMode="External"/><Relationship Id="rId6044" Type="http://schemas.openxmlformats.org/officeDocument/2006/relationships/hyperlink" Target="https://twitter.com/VWCamperSales" TargetMode="External"/><Relationship Id="rId9267" Type="http://schemas.openxmlformats.org/officeDocument/2006/relationships/hyperlink" Target="https://twitter.com/VWBeetleSales" TargetMode="External"/><Relationship Id="rId12595" Type="http://schemas.openxmlformats.org/officeDocument/2006/relationships/hyperlink" Target="https://pbs.twimg.com/profile_images/2370342850/wv88i2wso7ef6mvj1ym5_normal.jpeg" TargetMode="External"/><Relationship Id="rId21913" Type="http://schemas.openxmlformats.org/officeDocument/2006/relationships/hyperlink" Target="https://twitter.com/halt_design" TargetMode="External"/><Relationship Id="rId626" Type="http://schemas.openxmlformats.org/officeDocument/2006/relationships/hyperlink" Target="https://pbs.twimg.com/profile_images/541530057865715713/JvQroOW1_normal.png" TargetMode="External"/><Relationship Id="rId973" Type="http://schemas.openxmlformats.org/officeDocument/2006/relationships/hyperlink" Target="https://pbs.twimg.com/profile_images/1610421423/Image2_normal.jpg" TargetMode="External"/><Relationship Id="rId2307" Type="http://schemas.openxmlformats.org/officeDocument/2006/relationships/hyperlink" Target="https://twitter.com/mikapleskinen/status/723094464827428864" TargetMode="External"/><Relationship Id="rId2654" Type="http://schemas.openxmlformats.org/officeDocument/2006/relationships/hyperlink" Target="https://twitter.com/Insta_VWT/status/723111983734763520" TargetMode="External"/><Relationship Id="rId12248" Type="http://schemas.openxmlformats.org/officeDocument/2006/relationships/hyperlink" Target="https://pbs.twimg.com/profile_images/378800000528765970/3ab9f2a00010e9cac08d5ca1638926e9_normal.png" TargetMode="External"/><Relationship Id="rId5877" Type="http://schemas.openxmlformats.org/officeDocument/2006/relationships/hyperlink" Target="http://ctrlq.org/maps/address/" TargetMode="External"/><Relationship Id="rId18291" Type="http://schemas.openxmlformats.org/officeDocument/2006/relationships/hyperlink" Target="https://pbs.twimg.com/profile_images/2184365538/twtpic_normal.jpg" TargetMode="External"/><Relationship Id="rId22687" Type="http://schemas.openxmlformats.org/officeDocument/2006/relationships/hyperlink" Target="https://pbs.twimg.com/profile_images/591160837198503936/SBlrZoW0_normal.jpg" TargetMode="External"/><Relationship Id="rId8350" Type="http://schemas.openxmlformats.org/officeDocument/2006/relationships/hyperlink" Target="https://twitter.com/beetlebug1938" TargetMode="External"/><Relationship Id="rId11331" Type="http://schemas.openxmlformats.org/officeDocument/2006/relationships/hyperlink" Target="https://pbs.twimg.com/profile_images/645328399834181632/rWu1bHrC_normal.jpg" TargetMode="External"/><Relationship Id="rId25160" Type="http://schemas.openxmlformats.org/officeDocument/2006/relationships/hyperlink" Target="https://twitter.com/DeeZeeX/status/724424522141593600" TargetMode="External"/><Relationship Id="rId4960" Type="http://schemas.openxmlformats.org/officeDocument/2006/relationships/hyperlink" Target="https://pbs.twimg.com/profile_images/532260076111679488/n4YfB0VH_normal.jpeg" TargetMode="External"/><Relationship Id="rId8003" Type="http://schemas.openxmlformats.org/officeDocument/2006/relationships/hyperlink" Target="https://twitter.com/LynnInCA/status/723349708882632705" TargetMode="External"/><Relationship Id="rId14554" Type="http://schemas.openxmlformats.org/officeDocument/2006/relationships/hyperlink" Target="https://twitter.com/GFSchulze" TargetMode="External"/><Relationship Id="rId21770" Type="http://schemas.openxmlformats.org/officeDocument/2006/relationships/hyperlink" Target="https://twitter.com/beetlebug1938/status/724178376169275392" TargetMode="External"/><Relationship Id="rId4613" Type="http://schemas.openxmlformats.org/officeDocument/2006/relationships/hyperlink" Target="https://twitter.com/ldavidmarquet" TargetMode="External"/><Relationship Id="rId14207" Type="http://schemas.openxmlformats.org/officeDocument/2006/relationships/hyperlink" Target="https://twitter.com/TipsParaNinos" TargetMode="External"/><Relationship Id="rId21423" Type="http://schemas.openxmlformats.org/officeDocument/2006/relationships/hyperlink" Target="https://twitter.com/beetlebug1938/status/724148206238576640" TargetMode="External"/><Relationship Id="rId483" Type="http://schemas.openxmlformats.org/officeDocument/2006/relationships/hyperlink" Target="https://twitter.com/woorisec_id/status/722961069564518402" TargetMode="External"/><Relationship Id="rId2164" Type="http://schemas.openxmlformats.org/officeDocument/2006/relationships/hyperlink" Target="https://twitter.com/AutomaticEarth" TargetMode="External"/><Relationship Id="rId17777" Type="http://schemas.openxmlformats.org/officeDocument/2006/relationships/hyperlink" Target="https://twitter.com/carlsten_leif" TargetMode="External"/><Relationship Id="rId24993" Type="http://schemas.openxmlformats.org/officeDocument/2006/relationships/hyperlink" Target="https://pbs.twimg.com/profile_images/3130536670/fa4363a3244fc89e7853dd376e364528_normal.jpeg" TargetMode="External"/><Relationship Id="rId136" Type="http://schemas.openxmlformats.org/officeDocument/2006/relationships/hyperlink" Target="https://twitter.com/OnlineCarReview/status/722929993337012226" TargetMode="External"/><Relationship Id="rId5387" Type="http://schemas.openxmlformats.org/officeDocument/2006/relationships/hyperlink" Target="https://twitter.com/mocai01/status/723201422066520066" TargetMode="External"/><Relationship Id="rId7836" Type="http://schemas.openxmlformats.org/officeDocument/2006/relationships/hyperlink" Target="https://pbs.twimg.com/profile_images/615493650785660928/XHUh6HOk_normal.jpg" TargetMode="External"/><Relationship Id="rId10817" Type="http://schemas.openxmlformats.org/officeDocument/2006/relationships/hyperlink" Target="https://twitter.com/christophnebgen" TargetMode="External"/><Relationship Id="rId22197" Type="http://schemas.openxmlformats.org/officeDocument/2006/relationships/hyperlink" Target="https://twitter.com/beetlebug1938/status/724208641188990977" TargetMode="External"/><Relationship Id="rId24646" Type="http://schemas.openxmlformats.org/officeDocument/2006/relationships/hyperlink" Target="https://twitter.com/SimonJMale" TargetMode="External"/><Relationship Id="rId16860" Type="http://schemas.openxmlformats.org/officeDocument/2006/relationships/hyperlink" Target="https://twitter.com/alletun" TargetMode="External"/><Relationship Id="rId1997" Type="http://schemas.openxmlformats.org/officeDocument/2006/relationships/hyperlink" Target="https://pbs.twimg.com/profile_images/473415820228304896/eTUQb8dm_normal.jpeg" TargetMode="External"/><Relationship Id="rId16513" Type="http://schemas.openxmlformats.org/officeDocument/2006/relationships/hyperlink" Target="https://twitter.com/nightalberta/status/723691628553244672" TargetMode="External"/><Relationship Id="rId20909" Type="http://schemas.openxmlformats.org/officeDocument/2006/relationships/hyperlink" Target="https://twitter.com/oldcar_photo" TargetMode="External"/><Relationship Id="rId4470" Type="http://schemas.openxmlformats.org/officeDocument/2006/relationships/hyperlink" Target="https://twitter.com/andrewsduncan1" TargetMode="External"/><Relationship Id="rId14064" Type="http://schemas.openxmlformats.org/officeDocument/2006/relationships/hyperlink" Target="https://twitter.com/VeeDubMk1_" TargetMode="External"/><Relationship Id="rId19736" Type="http://schemas.openxmlformats.org/officeDocument/2006/relationships/hyperlink" Target="https://pbs.twimg.com/profile_images/718835727027580928/1ssyQ67y_normal.jpg" TargetMode="External"/><Relationship Id="rId21280" Type="http://schemas.openxmlformats.org/officeDocument/2006/relationships/hyperlink" Target="https://pbs.twimg.com/profile_images/2646835465/aa5823578b01b04b7e91d58e8ca88691_normal.jpeg" TargetMode="External"/><Relationship Id="rId4123" Type="http://schemas.openxmlformats.org/officeDocument/2006/relationships/hyperlink" Target="https://twitter.com/MilitaryAutoSrc" TargetMode="External"/><Relationship Id="rId7693" Type="http://schemas.openxmlformats.org/officeDocument/2006/relationships/hyperlink" Target="https://pbs.twimg.com/profile_images/718820712757215233/LXXndPTS_normal.jpg" TargetMode="External"/><Relationship Id="rId17287" Type="http://schemas.openxmlformats.org/officeDocument/2006/relationships/hyperlink" Target="https://twitter.com/shinemyrideuk" TargetMode="External"/><Relationship Id="rId7346" Type="http://schemas.openxmlformats.org/officeDocument/2006/relationships/hyperlink" Target="https://pbs.twimg.com/profile_images/526555213239685121/d4-X-Emv_normal.jpeg" TargetMode="External"/><Relationship Id="rId10674" Type="http://schemas.openxmlformats.org/officeDocument/2006/relationships/hyperlink" Target="https://twitter.com/aktionaer/status/723480619775340544" TargetMode="External"/><Relationship Id="rId24156" Type="http://schemas.openxmlformats.org/officeDocument/2006/relationships/hyperlink" Target="https://twitter.com/BvdRides/status/724335952710275072" TargetMode="External"/><Relationship Id="rId10327" Type="http://schemas.openxmlformats.org/officeDocument/2006/relationships/hyperlink" Target="https://pbs.twimg.com/profile_images/704354930820292609/qfy0T3DA_normal.jpg" TargetMode="External"/><Relationship Id="rId13897" Type="http://schemas.openxmlformats.org/officeDocument/2006/relationships/hyperlink" Target="https://twitter.com/beetlebug1938/status/723558258129141760" TargetMode="External"/><Relationship Id="rId3956" Type="http://schemas.openxmlformats.org/officeDocument/2006/relationships/hyperlink" Target="https://pbs.twimg.com/profile_images/378800000534775382/4bec857571a11a945880576a81c8720e_normal.jpeg" TargetMode="External"/><Relationship Id="rId16370" Type="http://schemas.openxmlformats.org/officeDocument/2006/relationships/hyperlink" Target="https://twitter.com/NiCoMoeremans/status/723675316233854976" TargetMode="External"/><Relationship Id="rId20766" Type="http://schemas.openxmlformats.org/officeDocument/2006/relationships/hyperlink" Target="https://twitter.com/nurullahonder34/status/724042571761238016" TargetMode="External"/><Relationship Id="rId3609" Type="http://schemas.openxmlformats.org/officeDocument/2006/relationships/hyperlink" Target="https://pbs.twimg.com/profile_images/722331798747750400/ojnef0Iw_normal.jpg" TargetMode="External"/><Relationship Id="rId12980" Type="http://schemas.openxmlformats.org/officeDocument/2006/relationships/hyperlink" Target="https://pbs.twimg.com/profile_images/476894592051056640/bqGCxWkq_normal.jpeg" TargetMode="External"/><Relationship Id="rId16023" Type="http://schemas.openxmlformats.org/officeDocument/2006/relationships/hyperlink" Target="https://twitter.com/VolkswagenPost/status/723644183907459072" TargetMode="External"/><Relationship Id="rId19593" Type="http://schemas.openxmlformats.org/officeDocument/2006/relationships/hyperlink" Target="https://twitter.com/Insta_VWT/status/723941615128174593" TargetMode="External"/><Relationship Id="rId20419" Type="http://schemas.openxmlformats.org/officeDocument/2006/relationships/hyperlink" Target="https://twitter.com/dubbusses" TargetMode="External"/><Relationship Id="rId23989" Type="http://schemas.openxmlformats.org/officeDocument/2006/relationships/hyperlink" Target="https://twitter.com/ebaycampervans/status/724324910789586944" TargetMode="External"/><Relationship Id="rId9652" Type="http://schemas.openxmlformats.org/officeDocument/2006/relationships/hyperlink" Target="https://twitter.com/VWCamperSales" TargetMode="External"/><Relationship Id="rId12633" Type="http://schemas.openxmlformats.org/officeDocument/2006/relationships/hyperlink" Target="https://twitter.com/SieverdingHans/status/723524166788501504" TargetMode="External"/><Relationship Id="rId19246" Type="http://schemas.openxmlformats.org/officeDocument/2006/relationships/hyperlink" Target="https://twitter.com/cartes_roci/status/723924190227795968" TargetMode="External"/><Relationship Id="rId9305" Type="http://schemas.openxmlformats.org/officeDocument/2006/relationships/hyperlink" Target="https://pbs.twimg.com/profile_images/664381241035124736/OkfTkL3J_normal.png" TargetMode="External"/><Relationship Id="rId10184" Type="http://schemas.openxmlformats.org/officeDocument/2006/relationships/hyperlink" Target="https://twitter.com/sadiqgajimi/status/723465267393781761" TargetMode="External"/><Relationship Id="rId15856" Type="http://schemas.openxmlformats.org/officeDocument/2006/relationships/hyperlink" Target="https://pbs.twimg.com/profile_images/719469365452808192/1OFS9oRH_normal.jpg" TargetMode="External"/><Relationship Id="rId3466" Type="http://schemas.openxmlformats.org/officeDocument/2006/relationships/hyperlink" Target="https://twitter.com/CarNotaFridge/status/723159774053855234" TargetMode="External"/><Relationship Id="rId5915" Type="http://schemas.openxmlformats.org/officeDocument/2006/relationships/hyperlink" Target="https://twitter.com/axhagedorn/status/723223545078276097" TargetMode="External"/><Relationship Id="rId15509" Type="http://schemas.openxmlformats.org/officeDocument/2006/relationships/hyperlink" Target="https://pbs.twimg.com/profile_images/2777446765/3a79c1e9433e5fd3f5b82dcba18e9c95_normal.jpeg" TargetMode="External"/><Relationship Id="rId20276" Type="http://schemas.openxmlformats.org/officeDocument/2006/relationships/hyperlink" Target="https://twitter.com/agusruiz13/status/723987157359054849" TargetMode="External"/><Relationship Id="rId22725" Type="http://schemas.openxmlformats.org/officeDocument/2006/relationships/hyperlink" Target="https://pbs.twimg.com/profile_images/619400852994830336/LUUrV3-k_normal.jpg" TargetMode="External"/><Relationship Id="rId3119" Type="http://schemas.openxmlformats.org/officeDocument/2006/relationships/hyperlink" Target="https://pbs.twimg.com/profile_images/638932143205322753/4WrhW3lA_normal.jpg" TargetMode="External"/><Relationship Id="rId6689" Type="http://schemas.openxmlformats.org/officeDocument/2006/relationships/hyperlink" Target="https://twitter.com/olb_b" TargetMode="External"/><Relationship Id="rId9162" Type="http://schemas.openxmlformats.org/officeDocument/2006/relationships/hyperlink" Target="https://twitter.com/cmsGOMEX" TargetMode="External"/><Relationship Id="rId12490" Type="http://schemas.openxmlformats.org/officeDocument/2006/relationships/hyperlink" Target="https://twitter.com/Lindsay_VW" TargetMode="External"/><Relationship Id="rId23499" Type="http://schemas.openxmlformats.org/officeDocument/2006/relationships/hyperlink" Target="https://twitter.com/ldnsecuritysynd/status/724292979750481924" TargetMode="External"/><Relationship Id="rId12143" Type="http://schemas.openxmlformats.org/officeDocument/2006/relationships/hyperlink" Target="https://pbs.twimg.com/profile_images/1633360456/image_normal.jpg" TargetMode="External"/><Relationship Id="rId521" Type="http://schemas.openxmlformats.org/officeDocument/2006/relationships/hyperlink" Target="https://pbs.twimg.com/profile_images/593625099263209472/kdrPbXkm_normal.jpg" TargetMode="External"/><Relationship Id="rId2202" Type="http://schemas.openxmlformats.org/officeDocument/2006/relationships/hyperlink" Target="http://dlvr.it/" TargetMode="External"/><Relationship Id="rId5772" Type="http://schemas.openxmlformats.org/officeDocument/2006/relationships/hyperlink" Target="https://twitter.com/morvjn/status/723216869549850625" TargetMode="External"/><Relationship Id="rId15366" Type="http://schemas.openxmlformats.org/officeDocument/2006/relationships/hyperlink" Target="https://twitter.com/rzy808" TargetMode="External"/><Relationship Id="rId17815" Type="http://schemas.openxmlformats.org/officeDocument/2006/relationships/hyperlink" Target="https://pbs.twimg.com/profile_images/711877455682752513/3RSuHOjc_normal.jpg" TargetMode="External"/><Relationship Id="rId22582" Type="http://schemas.openxmlformats.org/officeDocument/2006/relationships/hyperlink" Target="https://pbs.twimg.com/profile_images/621995740177379328/YJAQstq5_normal.jpg" TargetMode="External"/><Relationship Id="rId5425" Type="http://schemas.openxmlformats.org/officeDocument/2006/relationships/hyperlink" Target="https://twitter.com/gonzalobrian" TargetMode="External"/><Relationship Id="rId8995" Type="http://schemas.openxmlformats.org/officeDocument/2006/relationships/hyperlink" Target="https://pbs.twimg.com/profile_images/722869670928392193/jqNoGw6x_normal.jpg" TargetMode="External"/><Relationship Id="rId15019" Type="http://schemas.openxmlformats.org/officeDocument/2006/relationships/hyperlink" Target="https://twitter.com/VWBeetleSales" TargetMode="External"/><Relationship Id="rId22235" Type="http://schemas.openxmlformats.org/officeDocument/2006/relationships/hyperlink" Target="https://twitter.com/B13Rugby/status/724210661073494016" TargetMode="External"/><Relationship Id="rId8648" Type="http://schemas.openxmlformats.org/officeDocument/2006/relationships/hyperlink" Target="https://twitter.com/ibotrampe" TargetMode="External"/><Relationship Id="rId11976" Type="http://schemas.openxmlformats.org/officeDocument/2006/relationships/hyperlink" Target="https://pbs.twimg.com/profile_images/438619338942062592/OBEQvg6R_normal.jpeg" TargetMode="External"/><Relationship Id="rId18589" Type="http://schemas.openxmlformats.org/officeDocument/2006/relationships/hyperlink" Target="https://twitter.com/OnlineCarReview" TargetMode="External"/><Relationship Id="rId25458" Type="http://schemas.openxmlformats.org/officeDocument/2006/relationships/hyperlink" Target="https://pbs.twimg.com/profile_images/547805290783965184/4nzuRtK-_normal.jpeg" TargetMode="External"/><Relationship Id="rId6199" Type="http://schemas.openxmlformats.org/officeDocument/2006/relationships/hyperlink" Target="https://twitter.com/GabrielPankow" TargetMode="External"/><Relationship Id="rId11629" Type="http://schemas.openxmlformats.org/officeDocument/2006/relationships/hyperlink" Target="https://pbs.twimg.com/profile_images/691291874057854977/IdKcGWtk_normal.jpg" TargetMode="External"/><Relationship Id="rId14102" Type="http://schemas.openxmlformats.org/officeDocument/2006/relationships/hyperlink" Target="https://pbs.twimg.com/profile_images/711506516294041600/1fr0IryT_normal.jpg" TargetMode="External"/><Relationship Id="rId17672" Type="http://schemas.openxmlformats.org/officeDocument/2006/relationships/hyperlink" Target="https://pbs.twimg.com/profile_images/608213167496417280/QSxgcLn__normal.png" TargetMode="External"/><Relationship Id="rId7731" Type="http://schemas.openxmlformats.org/officeDocument/2006/relationships/hyperlink" Target="https://twitter.com/1stInSEO/status/723329387685404672" TargetMode="External"/><Relationship Id="rId10712" Type="http://schemas.openxmlformats.org/officeDocument/2006/relationships/hyperlink" Target="https://twitter.com/sfchronicle" TargetMode="External"/><Relationship Id="rId17325" Type="http://schemas.openxmlformats.org/officeDocument/2006/relationships/hyperlink" Target="https://pbs.twimg.com/profile_images/672878354127839232/M7OYc-zx_normal.jpg" TargetMode="External"/><Relationship Id="rId24541" Type="http://schemas.openxmlformats.org/officeDocument/2006/relationships/hyperlink" Target="https://twitter.com/LaneRussellVW/status/724368421425692672" TargetMode="External"/><Relationship Id="rId5282" Type="http://schemas.openxmlformats.org/officeDocument/2006/relationships/hyperlink" Target="https://pbs.twimg.com/profile_images/1994490288/337398_10150423084273171_599358170_8728970_1428231110_o_normal.jpg" TargetMode="External"/><Relationship Id="rId22092" Type="http://schemas.openxmlformats.org/officeDocument/2006/relationships/hyperlink" Target="https://twitter.com/coccicab71/status/724199450059653120" TargetMode="External"/><Relationship Id="rId1892" Type="http://schemas.openxmlformats.org/officeDocument/2006/relationships/hyperlink" Target="https://twitter.com/Pete_Ubhi/status/723067691465072640" TargetMode="External"/><Relationship Id="rId11486" Type="http://schemas.openxmlformats.org/officeDocument/2006/relationships/hyperlink" Target="https://twitter.com/VolkerVotsmeier/status/723502918721232897" TargetMode="External"/><Relationship Id="rId13935" Type="http://schemas.openxmlformats.org/officeDocument/2006/relationships/hyperlink" Target="https://twitter.com/schoenbornmc" TargetMode="External"/><Relationship Id="rId18099" Type="http://schemas.openxmlformats.org/officeDocument/2006/relationships/hyperlink" Target="https://twitter.com/Exvtra_uk/status/723844836131016706" TargetMode="External"/><Relationship Id="rId1545" Type="http://schemas.openxmlformats.org/officeDocument/2006/relationships/hyperlink" Target="https://twitter.com/thecomficottage/status/723045725899096065" TargetMode="External"/><Relationship Id="rId8158" Type="http://schemas.openxmlformats.org/officeDocument/2006/relationships/hyperlink" Target="https://twitter.com/MarkusStrenzl" TargetMode="External"/><Relationship Id="rId11139" Type="http://schemas.openxmlformats.org/officeDocument/2006/relationships/hyperlink" Target="https://twitter.com/esdefren_az/status/723498033225326593" TargetMode="External"/><Relationship Id="rId20804" Type="http://schemas.openxmlformats.org/officeDocument/2006/relationships/hyperlink" Target="https://pbs.twimg.com/profile_images/720097053217579008/yUEHosni_normal.jpg" TargetMode="External"/><Relationship Id="rId19631" Type="http://schemas.openxmlformats.org/officeDocument/2006/relationships/hyperlink" Target="https://pbs.twimg.com/profile_images/685389634898128896/xiku8joF_normal.jpg" TargetMode="External"/><Relationship Id="rId4768" Type="http://schemas.openxmlformats.org/officeDocument/2006/relationships/hyperlink" Target="https://twitter.com/chrispillennews" TargetMode="External"/><Relationship Id="rId17182" Type="http://schemas.openxmlformats.org/officeDocument/2006/relationships/hyperlink" Target="https://twitter.com/C_Barraud" TargetMode="External"/><Relationship Id="rId21578" Type="http://schemas.openxmlformats.org/officeDocument/2006/relationships/hyperlink" Target="https://twitter.com/VWCamperSales" TargetMode="External"/><Relationship Id="rId7241" Type="http://schemas.openxmlformats.org/officeDocument/2006/relationships/hyperlink" Target="https://twitter.com/SteveHancke" TargetMode="External"/><Relationship Id="rId10222" Type="http://schemas.openxmlformats.org/officeDocument/2006/relationships/hyperlink" Target="https://pbs.twimg.com/profile_images/627949001179037696/skEBkS05_normal.jpg" TargetMode="External"/><Relationship Id="rId13792" Type="http://schemas.openxmlformats.org/officeDocument/2006/relationships/hyperlink" Target="https://pbs.twimg.com/profile_images/627949001179037696/skEBkS05_normal.jpg" TargetMode="External"/><Relationship Id="rId24051" Type="http://schemas.openxmlformats.org/officeDocument/2006/relationships/hyperlink" Target="https://twitter.com/lukeyrb13/status/724328226923925504" TargetMode="External"/><Relationship Id="rId3851" Type="http://schemas.openxmlformats.org/officeDocument/2006/relationships/hyperlink" Target="http://ctrlq.org/maps/address/" TargetMode="External"/><Relationship Id="rId13445" Type="http://schemas.openxmlformats.org/officeDocument/2006/relationships/hyperlink" Target="https://twitter.com/Insta_VWT/status/723547919480164352" TargetMode="External"/><Relationship Id="rId20661" Type="http://schemas.openxmlformats.org/officeDocument/2006/relationships/hyperlink" Target="https://twitter.com/lety_76/status/724022759353925633" TargetMode="External"/><Relationship Id="rId3504" Type="http://schemas.openxmlformats.org/officeDocument/2006/relationships/hyperlink" Target="https://twitter.com/juliiimuoz1" TargetMode="External"/><Relationship Id="rId20314" Type="http://schemas.openxmlformats.org/officeDocument/2006/relationships/hyperlink" Target="https://pbs.twimg.com/profile_images/540370001723916288/XeEHR1Go_normal.jpeg" TargetMode="External"/><Relationship Id="rId1055" Type="http://schemas.openxmlformats.org/officeDocument/2006/relationships/hyperlink" Target="https://pbs.twimg.com/profile_images/601500876432384000/erGCfhZl_normal.jpg" TargetMode="External"/><Relationship Id="rId6727" Type="http://schemas.openxmlformats.org/officeDocument/2006/relationships/hyperlink" Target="https://twitter.com/DirkEllisVW" TargetMode="External"/><Relationship Id="rId16668" Type="http://schemas.openxmlformats.org/officeDocument/2006/relationships/hyperlink" Target="https://twitter.com/Tweets4Yoga/status/723710510001184768" TargetMode="External"/><Relationship Id="rId19141" Type="http://schemas.openxmlformats.org/officeDocument/2006/relationships/hyperlink" Target="http://ctrlq.org/maps/address/" TargetMode="External"/><Relationship Id="rId23884" Type="http://schemas.openxmlformats.org/officeDocument/2006/relationships/hyperlink" Target="https://twitter.com/OnlineCarReview" TargetMode="External"/><Relationship Id="rId4278" Type="http://schemas.openxmlformats.org/officeDocument/2006/relationships/hyperlink" Target="https://twitter.com/SquawkStreet/status/723178743787827205" TargetMode="External"/><Relationship Id="rId9200" Type="http://schemas.openxmlformats.org/officeDocument/2006/relationships/hyperlink" Target="https://pbs.twimg.com/profile_images/661502761985556480/-CFhbAVI_normal.png" TargetMode="External"/><Relationship Id="rId21088" Type="http://schemas.openxmlformats.org/officeDocument/2006/relationships/hyperlink" Target="https://pbs.twimg.com/profile_images/470244235397312512/IoywoSWd_normal.jpeg" TargetMode="External"/><Relationship Id="rId23537" Type="http://schemas.openxmlformats.org/officeDocument/2006/relationships/hyperlink" Target="https://twitter.com/EvvoNewBeetles" TargetMode="External"/><Relationship Id="rId15751" Type="http://schemas.openxmlformats.org/officeDocument/2006/relationships/hyperlink" Target="https://twitter.com/VeeDubMk1_" TargetMode="External"/><Relationship Id="rId5810" Type="http://schemas.openxmlformats.org/officeDocument/2006/relationships/hyperlink" Target="https://pbs.twimg.com/profile_images/458824806670946304/916DXRC8_normal.jpeg" TargetMode="External"/><Relationship Id="rId15404" Type="http://schemas.openxmlformats.org/officeDocument/2006/relationships/hyperlink" Target="https://twitter.com/MatiiSpinaa/status/723606673517084672" TargetMode="External"/><Relationship Id="rId18974" Type="http://schemas.openxmlformats.org/officeDocument/2006/relationships/hyperlink" Target="https://pbs.twimg.com/profile_images/560585672508342272/DPrc_Yxv_normal.jpeg" TargetMode="External"/><Relationship Id="rId22620" Type="http://schemas.openxmlformats.org/officeDocument/2006/relationships/hyperlink" Target="https://twitter.com/EHcars" TargetMode="External"/><Relationship Id="rId3361" Type="http://schemas.openxmlformats.org/officeDocument/2006/relationships/hyperlink" Target="https://pbs.twimg.com/profile_images/2598553252/qoojuj09m53kdh24r09y_normal.jpeg" TargetMode="External"/><Relationship Id="rId18627" Type="http://schemas.openxmlformats.org/officeDocument/2006/relationships/hyperlink" Target="https://twitter.com/Mrhemicuda360" TargetMode="External"/><Relationship Id="rId20171" Type="http://schemas.openxmlformats.org/officeDocument/2006/relationships/hyperlink" Target="https://twitter.com/VolkswagenPost/status/723978990281576448" TargetMode="External"/><Relationship Id="rId3014" Type="http://schemas.openxmlformats.org/officeDocument/2006/relationships/hyperlink" Target="https://pbs.twimg.com/profile_images/530071272881803264/a_jcCmPZ_normal.png" TargetMode="External"/><Relationship Id="rId6584" Type="http://schemas.openxmlformats.org/officeDocument/2006/relationships/hyperlink" Target="https://twitter.com/SexenioCDMX" TargetMode="External"/><Relationship Id="rId16178" Type="http://schemas.openxmlformats.org/officeDocument/2006/relationships/hyperlink" Target="https://pbs.twimg.com/profile_images/625698487301197824/R6F9oMUa_normal.jpg" TargetMode="External"/><Relationship Id="rId23394" Type="http://schemas.openxmlformats.org/officeDocument/2006/relationships/hyperlink" Target="https://twitter.com/leofloreste" TargetMode="External"/><Relationship Id="rId6237" Type="http://schemas.openxmlformats.org/officeDocument/2006/relationships/hyperlink" Target="https://twitter.com/AlvaghCronin" TargetMode="External"/><Relationship Id="rId23047" Type="http://schemas.openxmlformats.org/officeDocument/2006/relationships/hyperlink" Target="https://twitter.com/Auto2day_gr/status/724266746207555584" TargetMode="External"/><Relationship Id="rId12788" Type="http://schemas.openxmlformats.org/officeDocument/2006/relationships/hyperlink" Target="https://twitter.com/Snoopy92/status/723527646810914818" TargetMode="External"/><Relationship Id="rId17710" Type="http://schemas.openxmlformats.org/officeDocument/2006/relationships/hyperlink" Target="https://twitter.com/AdhieStone/status/723818247301283841" TargetMode="External"/><Relationship Id="rId2847" Type="http://schemas.openxmlformats.org/officeDocument/2006/relationships/hyperlink" Target="https://twitter.com/NorthWestDubs" TargetMode="External"/><Relationship Id="rId15261" Type="http://schemas.openxmlformats.org/officeDocument/2006/relationships/hyperlink" Target="https://pbs.twimg.com/profile_images/718427973179809792/7CfvNEEr_normal.jpg" TargetMode="External"/><Relationship Id="rId819" Type="http://schemas.openxmlformats.org/officeDocument/2006/relationships/hyperlink" Target="https://twitter.com/StevenWeisbrot" TargetMode="External"/><Relationship Id="rId5320" Type="http://schemas.openxmlformats.org/officeDocument/2006/relationships/hyperlink" Target="https://twitter.com/YakeLeiva/status/723199859042349057" TargetMode="External"/><Relationship Id="rId8890" Type="http://schemas.openxmlformats.org/officeDocument/2006/relationships/hyperlink" Target="https://pbs.twimg.com/profile_images/378800000747750946/394d9f0f5e6dde5137683d9c98c5c8a9_normal.jpeg" TargetMode="External"/><Relationship Id="rId11871" Type="http://schemas.openxmlformats.org/officeDocument/2006/relationships/hyperlink" Target="https://twitter.com/MarkCSchneider/status/723509309385113600" TargetMode="External"/><Relationship Id="rId18484" Type="http://schemas.openxmlformats.org/officeDocument/2006/relationships/hyperlink" Target="https://twitter.com/heikolossie/status/723872580134948865" TargetMode="External"/><Relationship Id="rId22130" Type="http://schemas.openxmlformats.org/officeDocument/2006/relationships/hyperlink" Target="https://twitter.com/techhippie" TargetMode="External"/><Relationship Id="rId1930" Type="http://schemas.openxmlformats.org/officeDocument/2006/relationships/hyperlink" Target="https://abs.twimg.com/sticky/default_profile_images/default_profile_6_normal.png" TargetMode="External"/><Relationship Id="rId8543" Type="http://schemas.openxmlformats.org/officeDocument/2006/relationships/hyperlink" Target="https://twitter.com/timmdoppel_m/status/723393745480093696" TargetMode="External"/><Relationship Id="rId11524" Type="http://schemas.openxmlformats.org/officeDocument/2006/relationships/hyperlink" Target="https://twitter.com/ozaed" TargetMode="External"/><Relationship Id="rId18137" Type="http://schemas.openxmlformats.org/officeDocument/2006/relationships/hyperlink" Target="https://pbs.twimg.com/profile_images/706784695795769345/XGXgdjww_normal.jpg" TargetMode="External"/><Relationship Id="rId25353" Type="http://schemas.openxmlformats.org/officeDocument/2006/relationships/hyperlink" Target="https://twitter.com/Insta_VWT" TargetMode="External"/><Relationship Id="rId6094" Type="http://schemas.openxmlformats.org/officeDocument/2006/relationships/hyperlink" Target="https://twitter.com/OnlineCarReview/status/723229767361695744" TargetMode="External"/><Relationship Id="rId25006" Type="http://schemas.openxmlformats.org/officeDocument/2006/relationships/hyperlink" Target="https://twitter.com/wagonation616" TargetMode="External"/><Relationship Id="rId4806" Type="http://schemas.openxmlformats.org/officeDocument/2006/relationships/hyperlink" Target="https://pbs.twimg.com/profile_images/534267857714937856/rENqjzZq_normal.jpeg" TargetMode="External"/><Relationship Id="rId12298" Type="http://schemas.openxmlformats.org/officeDocument/2006/relationships/hyperlink" Target="https://twitter.com/gehmichwech" TargetMode="External"/><Relationship Id="rId14747" Type="http://schemas.openxmlformats.org/officeDocument/2006/relationships/hyperlink" Target="https://twitter.com/exequielleguiz1/status/723581519068041220" TargetMode="External"/><Relationship Id="rId17220" Type="http://schemas.openxmlformats.org/officeDocument/2006/relationships/hyperlink" Target="https://twitter.com/RichardJLloyd/status/723781130068045824" TargetMode="External"/><Relationship Id="rId21963" Type="http://schemas.openxmlformats.org/officeDocument/2006/relationships/hyperlink" Target="https://twitter.com/Otherbots/status/724191511781511168" TargetMode="External"/><Relationship Id="rId676" Type="http://schemas.openxmlformats.org/officeDocument/2006/relationships/hyperlink" Target="https://twitter.com/TomWhitham52/status/722968023385145344" TargetMode="External"/><Relationship Id="rId2357" Type="http://schemas.openxmlformats.org/officeDocument/2006/relationships/hyperlink" Target="https://twitter.com/treibholzfilm/status/723097034224504832" TargetMode="External"/><Relationship Id="rId21616" Type="http://schemas.openxmlformats.org/officeDocument/2006/relationships/hyperlink" Target="https://pbs.twimg.com/profile_images/718835727027580928/1ssyQ67y_normal.jpg" TargetMode="External"/><Relationship Id="rId329" Type="http://schemas.openxmlformats.org/officeDocument/2006/relationships/hyperlink" Target="https://twitter.com/sneev/status/722947696978317313" TargetMode="External"/><Relationship Id="rId13830" Type="http://schemas.openxmlformats.org/officeDocument/2006/relationships/hyperlink" Target="https://twitter.com/MBTwebsite" TargetMode="External"/><Relationship Id="rId24839" Type="http://schemas.openxmlformats.org/officeDocument/2006/relationships/hyperlink" Target="https://twitter.com/t0ptoff/status/724391019479982083" TargetMode="External"/><Relationship Id="rId8053" Type="http://schemas.openxmlformats.org/officeDocument/2006/relationships/hyperlink" Target="https://pbs.twimg.com/profile_images/717070396906979328/L2BahIJm_normal.jpg" TargetMode="External"/><Relationship Id="rId11381" Type="http://schemas.openxmlformats.org/officeDocument/2006/relationships/hyperlink" Target="https://twitter.com/sevendirector/status/723501733176066048" TargetMode="External"/><Relationship Id="rId1440" Type="http://schemas.openxmlformats.org/officeDocument/2006/relationships/hyperlink" Target="https://twitter.com/MllerOlga/status/723040988529307649" TargetMode="External"/><Relationship Id="rId11034" Type="http://schemas.openxmlformats.org/officeDocument/2006/relationships/hyperlink" Target="https://pbs.twimg.com/profile_images/709108461594869760/Hy6ei1K0_normal.jpg" TargetMode="External"/><Relationship Id="rId16706" Type="http://schemas.openxmlformats.org/officeDocument/2006/relationships/hyperlink" Target="https://pbs.twimg.com/profile_images/1403349824/tt_normal.jpg" TargetMode="External"/><Relationship Id="rId23922" Type="http://schemas.openxmlformats.org/officeDocument/2006/relationships/hyperlink" Target="https://twitter.com/beetlebug1938/status/724321397011558400" TargetMode="External"/><Relationship Id="rId4663" Type="http://schemas.openxmlformats.org/officeDocument/2006/relationships/hyperlink" Target="https://twitter.com/FollowLANews" TargetMode="External"/><Relationship Id="rId14257" Type="http://schemas.openxmlformats.org/officeDocument/2006/relationships/hyperlink" Target="https://twitter.com/DaniiUriarte" TargetMode="External"/><Relationship Id="rId21473" Type="http://schemas.openxmlformats.org/officeDocument/2006/relationships/hyperlink" Target="https://twitter.com/JohanVugt" TargetMode="External"/><Relationship Id="rId4316" Type="http://schemas.openxmlformats.org/officeDocument/2006/relationships/hyperlink" Target="https://twitter.com/Scirocco_Tuning/status/723179230998224897" TargetMode="External"/><Relationship Id="rId7886" Type="http://schemas.openxmlformats.org/officeDocument/2006/relationships/hyperlink" Target="https://twitter.com/enano_81" TargetMode="External"/><Relationship Id="rId19929" Type="http://schemas.openxmlformats.org/officeDocument/2006/relationships/hyperlink" Target="https://pbs.twimg.com/profile_images/2170953039/Gargola_normal.jpeg" TargetMode="External"/><Relationship Id="rId21126" Type="http://schemas.openxmlformats.org/officeDocument/2006/relationships/hyperlink" Target="https://twitter.com/OnlineCarReview/status/724104693610213376" TargetMode="External"/><Relationship Id="rId24696" Type="http://schemas.openxmlformats.org/officeDocument/2006/relationships/hyperlink" Target="http://dlvr.it/" TargetMode="External"/><Relationship Id="rId186" Type="http://schemas.openxmlformats.org/officeDocument/2006/relationships/hyperlink" Target="https://pbs.twimg.com/profile_images/716020780899807232/fnaRfVpE_normal.jpg" TargetMode="External"/><Relationship Id="rId7539" Type="http://schemas.openxmlformats.org/officeDocument/2006/relationships/hyperlink" Target="https://twitter.com/WideAwakeMomma" TargetMode="External"/><Relationship Id="rId10867" Type="http://schemas.openxmlformats.org/officeDocument/2006/relationships/hyperlink" Target="https://twitter.com/PorscheOfficApp/status/723488548557578242" TargetMode="External"/><Relationship Id="rId24349" Type="http://schemas.openxmlformats.org/officeDocument/2006/relationships/hyperlink" Target="https://pbs.twimg.com/profile_images/713260959322808320/ioT5R9zp_normal.jpg" TargetMode="External"/><Relationship Id="rId13340" Type="http://schemas.openxmlformats.org/officeDocument/2006/relationships/hyperlink" Target="https://twitter.com/TheRealBrauni" TargetMode="External"/><Relationship Id="rId16563" Type="http://schemas.openxmlformats.org/officeDocument/2006/relationships/hyperlink" Target="https://pbs.twimg.com/profile_images/718820712757215233/LXXndPTS_normal.jpg" TargetMode="External"/><Relationship Id="rId20959" Type="http://schemas.openxmlformats.org/officeDocument/2006/relationships/hyperlink" Target="https://pbs.twimg.com/profile_images/589041144027357185/LMeiK-X6_normal.jpg" TargetMode="External"/><Relationship Id="rId6622" Type="http://schemas.openxmlformats.org/officeDocument/2006/relationships/hyperlink" Target="https://twitter.com/VWCamperSales" TargetMode="External"/><Relationship Id="rId16216" Type="http://schemas.openxmlformats.org/officeDocument/2006/relationships/hyperlink" Target="https://twitter.com/n05w04/status/723658525050728453" TargetMode="External"/><Relationship Id="rId19786" Type="http://schemas.openxmlformats.org/officeDocument/2006/relationships/hyperlink" Target="https://twitter.com/eastgodjelani" TargetMode="External"/><Relationship Id="rId23432" Type="http://schemas.openxmlformats.org/officeDocument/2006/relationships/hyperlink" Target="https://twitter.com/shannonspraytan" TargetMode="External"/><Relationship Id="rId4173" Type="http://schemas.openxmlformats.org/officeDocument/2006/relationships/hyperlink" Target="https://twitter.com/WashAutoPress/status/723177632532062208" TargetMode="External"/><Relationship Id="rId9845" Type="http://schemas.openxmlformats.org/officeDocument/2006/relationships/hyperlink" Target="https://pbs.twimg.com/profile_images/712104707410542592/qQcqzmda_normal.jpg" TargetMode="External"/><Relationship Id="rId19439" Type="http://schemas.openxmlformats.org/officeDocument/2006/relationships/hyperlink" Target="https://pbs.twimg.com/profile_images/627949001179037696/skEBkS05_normal.jpg" TargetMode="External"/><Relationship Id="rId59" Type="http://schemas.openxmlformats.org/officeDocument/2006/relationships/hyperlink" Target="https://twitter.com/Kaikoujin/status/722921825919852544" TargetMode="External"/><Relationship Id="rId7396" Type="http://schemas.openxmlformats.org/officeDocument/2006/relationships/hyperlink" Target="https://pbs.twimg.com/profile_images/605424654006648832/adniidsN_normal.png" TargetMode="External"/><Relationship Id="rId10377" Type="http://schemas.openxmlformats.org/officeDocument/2006/relationships/hyperlink" Target="https://twitter.com/CordwallisGroup" TargetMode="External"/><Relationship Id="rId12826" Type="http://schemas.openxmlformats.org/officeDocument/2006/relationships/hyperlink" Target="https://twitter.com/Stony_BS" TargetMode="External"/><Relationship Id="rId7049" Type="http://schemas.openxmlformats.org/officeDocument/2006/relationships/hyperlink" Target="https://twitter.com/tatymontespr/status/723276021772886016" TargetMode="External"/><Relationship Id="rId3659" Type="http://schemas.openxmlformats.org/officeDocument/2006/relationships/hyperlink" Target="https://pbs.twimg.com/profile_images/465803701647446016/jAlkirAe_normal.jpeg" TargetMode="External"/><Relationship Id="rId16073" Type="http://schemas.openxmlformats.org/officeDocument/2006/relationships/hyperlink" Target="https://twitter.com/ViniciusWilli15" TargetMode="External"/><Relationship Id="rId18522" Type="http://schemas.openxmlformats.org/officeDocument/2006/relationships/hyperlink" Target="https://pbs.twimg.com/profile_images/556562408542445568/pKWad79S_normal.png" TargetMode="External"/><Relationship Id="rId22918" Type="http://schemas.openxmlformats.org/officeDocument/2006/relationships/hyperlink" Target="https://twitter.com/Aloj_do_Zezere/status/724256406770208768" TargetMode="External"/><Relationship Id="rId6132" Type="http://schemas.openxmlformats.org/officeDocument/2006/relationships/hyperlink" Target="https://pbs.twimg.com/profile_images/669855217513578496/tHE9dIDO_normal.jpg" TargetMode="External"/><Relationship Id="rId20469" Type="http://schemas.openxmlformats.org/officeDocument/2006/relationships/hyperlink" Target="https://twitter.com/Karlomart" TargetMode="External"/><Relationship Id="rId12683" Type="http://schemas.openxmlformats.org/officeDocument/2006/relationships/hyperlink" Target="https://twitter.com/ponquegala" TargetMode="External"/><Relationship Id="rId19296" Type="http://schemas.openxmlformats.org/officeDocument/2006/relationships/hyperlink" Target="https://pbs.twimg.com/profile_images/716336361507164160/LUJx9Ive_normal.jpg" TargetMode="External"/><Relationship Id="rId2742" Type="http://schemas.openxmlformats.org/officeDocument/2006/relationships/hyperlink" Target="https://twitter.com/yog2uk" TargetMode="External"/><Relationship Id="rId9355" Type="http://schemas.openxmlformats.org/officeDocument/2006/relationships/hyperlink" Target="https://twitter.com/MichaelNdri/status/723431330374021120" TargetMode="External"/><Relationship Id="rId12336" Type="http://schemas.openxmlformats.org/officeDocument/2006/relationships/hyperlink" Target="https://twitter.com/wehrs18/status/723517580997201920" TargetMode="External"/><Relationship Id="rId714" Type="http://schemas.openxmlformats.org/officeDocument/2006/relationships/hyperlink" Target="https://pbs.twimg.com/profile_images/577167027292385280/oCoqTtKg_normal.jpeg" TargetMode="External"/><Relationship Id="rId5965" Type="http://schemas.openxmlformats.org/officeDocument/2006/relationships/hyperlink" Target="https://pbs.twimg.com/profile_images/2812059071/5160badc2eda0abf8e317c7c95c5e386_normal.jpeg" TargetMode="External"/><Relationship Id="rId9008" Type="http://schemas.openxmlformats.org/officeDocument/2006/relationships/hyperlink" Target="https://twitter.com/airjibeer" TargetMode="External"/><Relationship Id="rId15559" Type="http://schemas.openxmlformats.org/officeDocument/2006/relationships/hyperlink" Target="https://twitter.com/kngeuro" TargetMode="External"/><Relationship Id="rId22775" Type="http://schemas.openxmlformats.org/officeDocument/2006/relationships/hyperlink" Target="https://twitter.com/VWBeetleSales" TargetMode="External"/><Relationship Id="rId5618" Type="http://schemas.openxmlformats.org/officeDocument/2006/relationships/hyperlink" Target="https://twitter.com/sfchronicle/status/723210979471822849" TargetMode="External"/><Relationship Id="rId18032" Type="http://schemas.openxmlformats.org/officeDocument/2006/relationships/hyperlink" Target="https://twitter.com/CalumWebster" TargetMode="External"/><Relationship Id="rId22428" Type="http://schemas.openxmlformats.org/officeDocument/2006/relationships/hyperlink" Target="https://twitter.com/enormgruen/status/724223673033461760" TargetMode="External"/><Relationship Id="rId3169" Type="http://schemas.openxmlformats.org/officeDocument/2006/relationships/hyperlink" Target="https://pbs.twimg.com/profile_images/672878354127839232/M7OYc-zx_normal.jpg" TargetMode="External"/><Relationship Id="rId14642" Type="http://schemas.openxmlformats.org/officeDocument/2006/relationships/hyperlink" Target="https://pbs.twimg.com/profile_images/464445915223191552/S56ZJkTB_normal.jpeg" TargetMode="External"/><Relationship Id="rId4701" Type="http://schemas.openxmlformats.org/officeDocument/2006/relationships/hyperlink" Target="https://twitter.com/WrexhamVW" TargetMode="External"/><Relationship Id="rId12193" Type="http://schemas.openxmlformats.org/officeDocument/2006/relationships/hyperlink" Target="https://twitter.com/ndr2" TargetMode="External"/><Relationship Id="rId17865" Type="http://schemas.openxmlformats.org/officeDocument/2006/relationships/hyperlink" Target="https://pbs.twimg.com/profile_images/417537341046018051/EcJNiMR2_normal.jpeg" TargetMode="External"/><Relationship Id="rId21511" Type="http://schemas.openxmlformats.org/officeDocument/2006/relationships/hyperlink" Target="https://twitter.com/hannover_messe" TargetMode="External"/><Relationship Id="rId571" Type="http://schemas.openxmlformats.org/officeDocument/2006/relationships/hyperlink" Target="https://twitter.com/FlemingtonAudi/status/722964876864438272" TargetMode="External"/><Relationship Id="rId2252" Type="http://schemas.openxmlformats.org/officeDocument/2006/relationships/hyperlink" Target="https://pbs.twimg.com/profile_images/682117963349135360/IUfZQy35_normal.png" TargetMode="External"/><Relationship Id="rId7924" Type="http://schemas.openxmlformats.org/officeDocument/2006/relationships/hyperlink" Target="https://pbs.twimg.com/profile_images/318679564/ghcj-logo-lg_normal.png" TargetMode="External"/><Relationship Id="rId17518" Type="http://schemas.openxmlformats.org/officeDocument/2006/relationships/hyperlink" Target="https://pbs.twimg.com/profile_images/627949001179037696/skEBkS05_normal.jpg" TargetMode="External"/><Relationship Id="rId24734" Type="http://schemas.openxmlformats.org/officeDocument/2006/relationships/hyperlink" Target="https://twitter.com/VWBeetleSales" TargetMode="External"/><Relationship Id="rId224" Type="http://schemas.openxmlformats.org/officeDocument/2006/relationships/hyperlink" Target="https://twitter.com/EverCharge/status/722938033729847297" TargetMode="External"/><Relationship Id="rId5475" Type="http://schemas.openxmlformats.org/officeDocument/2006/relationships/hyperlink" Target="https://twitter.com/SexenioMX" TargetMode="External"/><Relationship Id="rId10905" Type="http://schemas.openxmlformats.org/officeDocument/2006/relationships/hyperlink" Target="https://twitter.com/noz_de" TargetMode="External"/><Relationship Id="rId15069" Type="http://schemas.openxmlformats.org/officeDocument/2006/relationships/hyperlink" Target="https://twitter.com/luisvilla080921/status/723592136357232640" TargetMode="External"/><Relationship Id="rId22285" Type="http://schemas.openxmlformats.org/officeDocument/2006/relationships/hyperlink" Target="https://twitter.com/oldcar_photo" TargetMode="External"/><Relationship Id="rId5128" Type="http://schemas.openxmlformats.org/officeDocument/2006/relationships/hyperlink" Target="https://twitter.com/edstaite/status/723194931846758400" TargetMode="External"/><Relationship Id="rId8698" Type="http://schemas.openxmlformats.org/officeDocument/2006/relationships/hyperlink" Target="https://twitter.com/SPIEGELONLINE/status/723402460832780289" TargetMode="External"/><Relationship Id="rId1738" Type="http://schemas.openxmlformats.org/officeDocument/2006/relationships/hyperlink" Target="https://twitter.com/maritimegallery/status/723054784505225216" TargetMode="External"/><Relationship Id="rId11679" Type="http://schemas.openxmlformats.org/officeDocument/2006/relationships/hyperlink" Target="https://pbs.twimg.com/profile_images/646539064456286208/I7XBjV63_normal.jpg" TargetMode="External"/><Relationship Id="rId14152" Type="http://schemas.openxmlformats.org/officeDocument/2006/relationships/hyperlink" Target="https://twitter.com/HansTheGerman/status/723565624291672064" TargetMode="External"/><Relationship Id="rId16601" Type="http://schemas.openxmlformats.org/officeDocument/2006/relationships/hyperlink" Target="https://twitter.com/EmasAzor/status/723698156844752898" TargetMode="External"/><Relationship Id="rId4211" Type="http://schemas.openxmlformats.org/officeDocument/2006/relationships/hyperlink" Target="https://twitter.com/Veiffingerz/status/723178068131614720" TargetMode="External"/><Relationship Id="rId19824" Type="http://schemas.openxmlformats.org/officeDocument/2006/relationships/hyperlink" Target="https://twitter.com/ThaiQashqaiClub" TargetMode="External"/><Relationship Id="rId21021" Type="http://schemas.openxmlformats.org/officeDocument/2006/relationships/hyperlink" Target="https://pbs.twimg.com/profile_images/634021831364747264/5vPrL2JH_normal.jpg" TargetMode="External"/><Relationship Id="rId7781" Type="http://schemas.openxmlformats.org/officeDocument/2006/relationships/hyperlink" Target="https://pbs.twimg.com/profile_images/717937201821130752/NX-PKyfQ_normal.jpg" TargetMode="External"/><Relationship Id="rId10762" Type="http://schemas.openxmlformats.org/officeDocument/2006/relationships/hyperlink" Target="https://pbs.twimg.com/profile_images/2605357482/6lz7whsneokrjw5grpxf_normal.jpeg" TargetMode="External"/><Relationship Id="rId17375" Type="http://schemas.openxmlformats.org/officeDocument/2006/relationships/hyperlink" Target="https://twitter.com/gunnar_harms/status/723795348511174656" TargetMode="External"/><Relationship Id="rId24591" Type="http://schemas.openxmlformats.org/officeDocument/2006/relationships/hyperlink" Target="https://twitter.com/ohioantique" TargetMode="External"/><Relationship Id="rId7434" Type="http://schemas.openxmlformats.org/officeDocument/2006/relationships/hyperlink" Target="https://twitter.com/Fotobiene/status/723302304833781760" TargetMode="External"/><Relationship Id="rId10415" Type="http://schemas.openxmlformats.org/officeDocument/2006/relationships/hyperlink" Target="https://pbs.twimg.com/profile_images/723412406060216323/5GQ8djr9_normal.jpg" TargetMode="External"/><Relationship Id="rId13985" Type="http://schemas.openxmlformats.org/officeDocument/2006/relationships/hyperlink" Target="https://twitter.com/LeKWiNK" TargetMode="External"/><Relationship Id="rId17028" Type="http://schemas.openxmlformats.org/officeDocument/2006/relationships/hyperlink" Target="https://pbs.twimg.com/profile_images/533918848613744640/2E_whAZT_normal.png" TargetMode="External"/><Relationship Id="rId24244" Type="http://schemas.openxmlformats.org/officeDocument/2006/relationships/hyperlink" Target="https://twitter.com/CharleneMeiring/status/724339926834241538" TargetMode="External"/><Relationship Id="rId13638" Type="http://schemas.openxmlformats.org/officeDocument/2006/relationships/hyperlink" Target="https://pbs.twimg.com/profile_images/1243402782/Dracul2_normal.jpg" TargetMode="External"/><Relationship Id="rId20854" Type="http://schemas.openxmlformats.org/officeDocument/2006/relationships/hyperlink" Target="https://twitter.com/rebelagenda" TargetMode="External"/><Relationship Id="rId1595" Type="http://schemas.openxmlformats.org/officeDocument/2006/relationships/hyperlink" Target="https://twitter.com/beuc" TargetMode="External"/><Relationship Id="rId11189" Type="http://schemas.openxmlformats.org/officeDocument/2006/relationships/hyperlink" Target="https://pbs.twimg.com/profile_images/705780107844067328/e7O4UBNb_normal.jpg" TargetMode="External"/><Relationship Id="rId16111" Type="http://schemas.openxmlformats.org/officeDocument/2006/relationships/hyperlink" Target="https://twitter.com/DubLuvTuning/status/723648439469400064" TargetMode="External"/><Relationship Id="rId20507" Type="http://schemas.openxmlformats.org/officeDocument/2006/relationships/hyperlink" Target="https://pbs.twimg.com/profile_images/596082788459257856/4JBjLpzQ_normal.jpg" TargetMode="External"/><Relationship Id="rId1248" Type="http://schemas.openxmlformats.org/officeDocument/2006/relationships/hyperlink" Target="https://twitter.com/Stefmaster5/status/723027764115333120" TargetMode="External"/><Relationship Id="rId19681" Type="http://schemas.openxmlformats.org/officeDocument/2006/relationships/hyperlink" Target="https://twitter.com/AL_DOMS" TargetMode="External"/><Relationship Id="rId7291" Type="http://schemas.openxmlformats.org/officeDocument/2006/relationships/hyperlink" Target="https://twitter.com/donaukurier" TargetMode="External"/><Relationship Id="rId9740" Type="http://schemas.openxmlformats.org/officeDocument/2006/relationships/hyperlink" Target="https://pbs.twimg.com/profile_images/532459673710915584/uhjS6JEV_normal.jpeg" TargetMode="External"/><Relationship Id="rId12721" Type="http://schemas.openxmlformats.org/officeDocument/2006/relationships/hyperlink" Target="https://twitter.com/OpenMarketingTV/status/723525767704002560" TargetMode="External"/><Relationship Id="rId19334" Type="http://schemas.openxmlformats.org/officeDocument/2006/relationships/hyperlink" Target="https://twitter.com/Just_Dr0z/status/723927092438560768" TargetMode="External"/><Relationship Id="rId10272" Type="http://schemas.openxmlformats.org/officeDocument/2006/relationships/hyperlink" Target="https://twitter.com/beetlebug1938/status/723467483403935744" TargetMode="External"/><Relationship Id="rId15944" Type="http://schemas.openxmlformats.org/officeDocument/2006/relationships/hyperlink" Target="https://twitter.com/FuscaWorld/status/723638611988627456" TargetMode="External"/><Relationship Id="rId13495" Type="http://schemas.openxmlformats.org/officeDocument/2006/relationships/hyperlink" Target="https://pbs.twimg.com/profile_images/378800000054545648/93408d3300a292cb429205c81cb9206a_normal.png" TargetMode="External"/><Relationship Id="rId22813" Type="http://schemas.openxmlformats.org/officeDocument/2006/relationships/hyperlink" Target="https://twitter.com/keithtdarcy" TargetMode="External"/><Relationship Id="rId3554" Type="http://schemas.openxmlformats.org/officeDocument/2006/relationships/hyperlink" Target="https://twitter.com/nacchomoreno/status/723163681941557248" TargetMode="External"/><Relationship Id="rId13148" Type="http://schemas.openxmlformats.org/officeDocument/2006/relationships/hyperlink" Target="https://pbs.twimg.com/profile_images/530071272881803264/a_jcCmPZ_normal.png" TargetMode="External"/><Relationship Id="rId20364" Type="http://schemas.openxmlformats.org/officeDocument/2006/relationships/hyperlink" Target="https://pbs.twimg.com/profile_images/614154681250656256/TUEyUHnG_normal.jpg" TargetMode="External"/><Relationship Id="rId3207" Type="http://schemas.openxmlformats.org/officeDocument/2006/relationships/hyperlink" Target="https://pbs.twimg.com/profile_images/703044094143160320/3TabT6hG_normal.jpg" TargetMode="External"/><Relationship Id="rId6777" Type="http://schemas.openxmlformats.org/officeDocument/2006/relationships/hyperlink" Target="https://pbs.twimg.com/profile_images/630922619211153408/c5xcGub6_normal.jpg" TargetMode="External"/><Relationship Id="rId19191" Type="http://schemas.openxmlformats.org/officeDocument/2006/relationships/hyperlink" Target="https://pbs.twimg.com/profile_images/541516773234061312/2vokEsnJ_normal.jpeg" TargetMode="External"/><Relationship Id="rId20017" Type="http://schemas.openxmlformats.org/officeDocument/2006/relationships/hyperlink" Target="https://twitter.com/_GOLD4MONEY/status/723969157482594304" TargetMode="External"/><Relationship Id="rId23587" Type="http://schemas.openxmlformats.org/officeDocument/2006/relationships/hyperlink" Target="https://twitter.com/mamulavaca/status/724298122633977856" TargetMode="External"/><Relationship Id="rId9250" Type="http://schemas.openxmlformats.org/officeDocument/2006/relationships/hyperlink" Target="https://twitter.com/Klimaatcombi/status/723428534144798724" TargetMode="External"/><Relationship Id="rId12231" Type="http://schemas.openxmlformats.org/officeDocument/2006/relationships/hyperlink" Target="https://pbs.twimg.com/profile_images/722835603255992321/BBAQvavV_normal.jpg" TargetMode="External"/><Relationship Id="rId17903" Type="http://schemas.openxmlformats.org/officeDocument/2006/relationships/hyperlink" Target="https://twitter.com/mycomfor" TargetMode="External"/><Relationship Id="rId5860" Type="http://schemas.openxmlformats.org/officeDocument/2006/relationships/hyperlink" Target="http://dlvr.it/" TargetMode="External"/><Relationship Id="rId15454" Type="http://schemas.openxmlformats.org/officeDocument/2006/relationships/hyperlink" Target="https://pbs.twimg.com/profile_images/627949001179037696/skEBkS05_normal.jpg" TargetMode="External"/><Relationship Id="rId22670" Type="http://schemas.openxmlformats.org/officeDocument/2006/relationships/hyperlink" Target="https://twitter.com/beetlebug1938/status/724238895186083841" TargetMode="External"/><Relationship Id="rId3064" Type="http://schemas.openxmlformats.org/officeDocument/2006/relationships/hyperlink" Target="https://twitter.com/HPtechnik" TargetMode="External"/><Relationship Id="rId5513" Type="http://schemas.openxmlformats.org/officeDocument/2006/relationships/hyperlink" Target="https://pbs.twimg.com/profile_images/577966282550677505/oTGuudXO_normal.jpeg" TargetMode="External"/><Relationship Id="rId15107" Type="http://schemas.openxmlformats.org/officeDocument/2006/relationships/hyperlink" Target="https://pbs.twimg.com/profile_images/686110235245719552/ey8VjbBh_normal.jpg" TargetMode="External"/><Relationship Id="rId18677" Type="http://schemas.openxmlformats.org/officeDocument/2006/relationships/hyperlink" Target="https://twitter.com/BLONDIE24699" TargetMode="External"/><Relationship Id="rId22323" Type="http://schemas.openxmlformats.org/officeDocument/2006/relationships/hyperlink" Target="https://pbs.twimg.com/profile_images/718937486722932736/Id4XiFFI_normal.jpg" TargetMode="External"/><Relationship Id="rId8736" Type="http://schemas.openxmlformats.org/officeDocument/2006/relationships/hyperlink" Target="https://twitter.com/handelsblatt/status/723404017200586753" TargetMode="External"/><Relationship Id="rId11717" Type="http://schemas.openxmlformats.org/officeDocument/2006/relationships/hyperlink" Target="https://twitter.com/George_Rey4/status/723505853240741889" TargetMode="External"/><Relationship Id="rId25546" Type="http://schemas.openxmlformats.org/officeDocument/2006/relationships/hyperlink" Target="https://pbs.twimg.com/profile_images/674866085213130752/qAlZEGhV_normal.jpg" TargetMode="External"/><Relationship Id="rId6287" Type="http://schemas.openxmlformats.org/officeDocument/2006/relationships/hyperlink" Target="https://twitter.com/C_Rohde_F21" TargetMode="External"/><Relationship Id="rId23097" Type="http://schemas.openxmlformats.org/officeDocument/2006/relationships/hyperlink" Target="https://twitter.com/abcollar/status/724268696961601537" TargetMode="External"/><Relationship Id="rId2897" Type="http://schemas.openxmlformats.org/officeDocument/2006/relationships/hyperlink" Target="https://pbs.twimg.com/profile_images/1616567344/VRwatch2_normal.jpg" TargetMode="External"/><Relationship Id="rId17760" Type="http://schemas.openxmlformats.org/officeDocument/2006/relationships/hyperlink" Target="https://pbs.twimg.com/profile_images/672878354127839232/M7OYc-zx_normal.jpg" TargetMode="External"/><Relationship Id="rId869" Type="http://schemas.openxmlformats.org/officeDocument/2006/relationships/hyperlink" Target="https://twitter.com/VWCamperSales/status/722995688192114688" TargetMode="External"/><Relationship Id="rId5370" Type="http://schemas.openxmlformats.org/officeDocument/2006/relationships/hyperlink" Target="https://pbs.twimg.com/profile_images/718820712757215233/LXXndPTS_normal.jpg" TargetMode="External"/><Relationship Id="rId10800" Type="http://schemas.openxmlformats.org/officeDocument/2006/relationships/hyperlink" Target="https://twitter.com/le_quotidien_lu/status/723485505204158465" TargetMode="External"/><Relationship Id="rId17413" Type="http://schemas.openxmlformats.org/officeDocument/2006/relationships/hyperlink" Target="https://twitter.com/Dieren01" TargetMode="External"/><Relationship Id="rId21809" Type="http://schemas.openxmlformats.org/officeDocument/2006/relationships/hyperlink" Target="https://twitter.com/VWCamperSales" TargetMode="External"/><Relationship Id="rId22180" Type="http://schemas.openxmlformats.org/officeDocument/2006/relationships/hyperlink" Target="https://pbs.twimg.com/profile_images/698254457998544896/9GCc4Vj1_normal.jpg" TargetMode="External"/><Relationship Id="rId5023" Type="http://schemas.openxmlformats.org/officeDocument/2006/relationships/hyperlink" Target="https://pbs.twimg.com/profile_images/534255639426781184/ql2Dh_Jn_normal.jpeg" TargetMode="External"/><Relationship Id="rId1980" Type="http://schemas.openxmlformats.org/officeDocument/2006/relationships/hyperlink" Target="https://twitter.com/BeterLeefmilieu" TargetMode="External"/><Relationship Id="rId8246" Type="http://schemas.openxmlformats.org/officeDocument/2006/relationships/hyperlink" Target="https://pbs.twimg.com/profile_images/420917107438915584/gJTup5FM_normal.jpeg" TargetMode="External"/><Relationship Id="rId8593" Type="http://schemas.openxmlformats.org/officeDocument/2006/relationships/hyperlink" Target="https://pbs.twimg.com/profile_images/461118397548212226/84PnzODQ_normal.png" TargetMode="External"/><Relationship Id="rId11574" Type="http://schemas.openxmlformats.org/officeDocument/2006/relationships/hyperlink" Target="https://pbs.twimg.com/profile_images/723427380052684801/kyiUrlPW_normal.jpg" TargetMode="External"/><Relationship Id="rId18187" Type="http://schemas.openxmlformats.org/officeDocument/2006/relationships/hyperlink" Target="https://twitter.com/CARS_MMcLay" TargetMode="External"/><Relationship Id="rId1633" Type="http://schemas.openxmlformats.org/officeDocument/2006/relationships/hyperlink" Target="https://pbs.twimg.com/profile_images/378800000145293528/2e1ca65f88bf272a2c3cbd223ffb91bc_normal.jpeg" TargetMode="External"/><Relationship Id="rId11227" Type="http://schemas.openxmlformats.org/officeDocument/2006/relationships/hyperlink" Target="https://twitter.com/padmakarvikas" TargetMode="External"/><Relationship Id="rId14797" Type="http://schemas.openxmlformats.org/officeDocument/2006/relationships/hyperlink" Target="https://twitter.com/KatsDekker" TargetMode="External"/><Relationship Id="rId25056" Type="http://schemas.openxmlformats.org/officeDocument/2006/relationships/hyperlink" Target="https://twitter.com/TriplePundit/status/724414849418178560" TargetMode="External"/><Relationship Id="rId4856" Type="http://schemas.openxmlformats.org/officeDocument/2006/relationships/hyperlink" Target="https://twitter.com/breellveslife/status/723189169992900608" TargetMode="External"/><Relationship Id="rId17270" Type="http://schemas.openxmlformats.org/officeDocument/2006/relationships/hyperlink" Target="https://twitter.com/Mphilpot1/status/723786779103350784" TargetMode="External"/><Relationship Id="rId21666" Type="http://schemas.openxmlformats.org/officeDocument/2006/relationships/hyperlink" Target="https://pbs.twimg.com/profile_images/530071272881803264/a_jcCmPZ_normal.png" TargetMode="External"/><Relationship Id="rId4509" Type="http://schemas.openxmlformats.org/officeDocument/2006/relationships/hyperlink" Target="https://twitter.com/drivingsales" TargetMode="External"/><Relationship Id="rId10310" Type="http://schemas.openxmlformats.org/officeDocument/2006/relationships/hyperlink" Target="https://twitter.com/KelvHathSpoken" TargetMode="External"/><Relationship Id="rId21319" Type="http://schemas.openxmlformats.org/officeDocument/2006/relationships/hyperlink" Target="https://pbs.twimg.com/profile_images/722418263242645505/iDE6b42H_normal.jpg" TargetMode="External"/><Relationship Id="rId379" Type="http://schemas.openxmlformats.org/officeDocument/2006/relationships/hyperlink" Target="https://pbs.twimg.com/profile_images/714551884053356545/2ZgetQ5e_normal.jpg" TargetMode="External"/><Relationship Id="rId13880" Type="http://schemas.openxmlformats.org/officeDocument/2006/relationships/hyperlink" Target="https://pbs.twimg.com/profile_images/657853466384191488/J6vAnfZr_normal.jpg" TargetMode="External"/><Relationship Id="rId24889" Type="http://schemas.openxmlformats.org/officeDocument/2006/relationships/hyperlink" Target="https://twitter.com/MalibuMoms/status/724397576095571968" TargetMode="External"/><Relationship Id="rId1490" Type="http://schemas.openxmlformats.org/officeDocument/2006/relationships/hyperlink" Target="https://pbs.twimg.com/profile_images/471996983930912768/ADy9Kodu_normal.png" TargetMode="External"/><Relationship Id="rId11084" Type="http://schemas.openxmlformats.org/officeDocument/2006/relationships/hyperlink" Target="https://twitter.com/buran63/status/723496759167692800" TargetMode="External"/><Relationship Id="rId13533" Type="http://schemas.openxmlformats.org/officeDocument/2006/relationships/hyperlink" Target="https://twitter.com/BS_Verkehr" TargetMode="External"/><Relationship Id="rId1143" Type="http://schemas.openxmlformats.org/officeDocument/2006/relationships/hyperlink" Target="https://twitter.com/ebaycampervans" TargetMode="External"/><Relationship Id="rId16756" Type="http://schemas.openxmlformats.org/officeDocument/2006/relationships/hyperlink" Target="https://pbs.twimg.com/profile_images/519804667849486336/BNnWeW7h_normal.jpeg" TargetMode="External"/><Relationship Id="rId20402" Type="http://schemas.openxmlformats.org/officeDocument/2006/relationships/hyperlink" Target="https://twitter.com/ParkwayVW/status/723996125842165761" TargetMode="External"/><Relationship Id="rId23972" Type="http://schemas.openxmlformats.org/officeDocument/2006/relationships/hyperlink" Target="https://pbs.twimg.com/profile_images/702710715556229121/I8xXaX4Q_normal.jpg" TargetMode="External"/><Relationship Id="rId6815" Type="http://schemas.openxmlformats.org/officeDocument/2006/relationships/hyperlink" Target="https://pbs.twimg.com/profile_images/378800000572104796/1de43e1cf23efb3f4101c02afad0d3b6_normal.png" TargetMode="External"/><Relationship Id="rId16409" Type="http://schemas.openxmlformats.org/officeDocument/2006/relationships/hyperlink" Target="https://twitter.com/ChiruzzaCerveza/status/723680153465921536" TargetMode="External"/><Relationship Id="rId19979" Type="http://schemas.openxmlformats.org/officeDocument/2006/relationships/hyperlink" Target="https://twitter.com/BenMallie/status/723966889995677696" TargetMode="External"/><Relationship Id="rId23625" Type="http://schemas.openxmlformats.org/officeDocument/2006/relationships/hyperlink" Target="https://pbs.twimg.com/profile_images/703294545195307008/qeCvrX86_normal.jpg" TargetMode="External"/><Relationship Id="rId4366" Type="http://schemas.openxmlformats.org/officeDocument/2006/relationships/hyperlink" Target="https://twitter.com/Stony_BS" TargetMode="External"/><Relationship Id="rId21176" Type="http://schemas.openxmlformats.org/officeDocument/2006/relationships/hyperlink" Target="https://pbs.twimg.com/profile_images/718835727027580928/1ssyQ67y_normal.jpg" TargetMode="External"/><Relationship Id="rId4019" Type="http://schemas.openxmlformats.org/officeDocument/2006/relationships/hyperlink" Target="https://pbs.twimg.com/profile_images/703294545195307008/qeCvrX86_normal.jpg" TargetMode="External"/><Relationship Id="rId7589" Type="http://schemas.openxmlformats.org/officeDocument/2006/relationships/hyperlink" Target="https://twitter.com/KMurphyIndep" TargetMode="External"/><Relationship Id="rId13390" Type="http://schemas.openxmlformats.org/officeDocument/2006/relationships/hyperlink" Target="https://pbs.twimg.com/profile_images/686568020286648320/u_Il9e0m_normal.jpg" TargetMode="External"/><Relationship Id="rId24399" Type="http://schemas.openxmlformats.org/officeDocument/2006/relationships/hyperlink" Target="https://pbs.twimg.com/profile_images/682653672208207872/9g6PB7Bf_normal.jpg" TargetMode="External"/><Relationship Id="rId13043" Type="http://schemas.openxmlformats.org/officeDocument/2006/relationships/hyperlink" Target="https://twitter.com/neuegrenzen/status/723534210510819329" TargetMode="External"/><Relationship Id="rId3102" Type="http://schemas.openxmlformats.org/officeDocument/2006/relationships/hyperlink" Target="https://pbs.twimg.com/profile_images/378800000553614858/a0b1bede0abb0d25abffa0307f37509b_normal.png" TargetMode="External"/><Relationship Id="rId18715" Type="http://schemas.openxmlformats.org/officeDocument/2006/relationships/hyperlink" Target="https://twitter.com/swanswaygroup" TargetMode="External"/><Relationship Id="rId6325" Type="http://schemas.openxmlformats.org/officeDocument/2006/relationships/hyperlink" Target="https://pbs.twimg.com/profile_images/723232954084921345/hBQs_w8x_normal.jpg" TargetMode="External"/><Relationship Id="rId6672" Type="http://schemas.openxmlformats.org/officeDocument/2006/relationships/hyperlink" Target="https://twitter.com/GACCColorado/status/723251970191011843" TargetMode="External"/><Relationship Id="rId16266" Type="http://schemas.openxmlformats.org/officeDocument/2006/relationships/hyperlink" Target="https://twitter.com/beetlebug1938" TargetMode="External"/><Relationship Id="rId23482" Type="http://schemas.openxmlformats.org/officeDocument/2006/relationships/hyperlink" Target="https://twitter.com/ThomasEngst" TargetMode="External"/><Relationship Id="rId9895" Type="http://schemas.openxmlformats.org/officeDocument/2006/relationships/hyperlink" Target="https://twitter.com/Drey_VH/status/723453585397321728" TargetMode="External"/><Relationship Id="rId12876" Type="http://schemas.openxmlformats.org/officeDocument/2006/relationships/hyperlink" Target="https://twitter.com/Fotobiene" TargetMode="External"/><Relationship Id="rId19489" Type="http://schemas.openxmlformats.org/officeDocument/2006/relationships/hyperlink" Target="https://twitter.com/dddddyang" TargetMode="External"/><Relationship Id="rId23135" Type="http://schemas.openxmlformats.org/officeDocument/2006/relationships/hyperlink" Target="https://pbs.twimg.com/profile_images/718835727027580928/1ssyQ67y_normal.jpg" TargetMode="External"/><Relationship Id="rId2935" Type="http://schemas.openxmlformats.org/officeDocument/2006/relationships/hyperlink" Target="https://twitter.com/flpmontanheiro/status/723126571268235264" TargetMode="External"/><Relationship Id="rId9548" Type="http://schemas.openxmlformats.org/officeDocument/2006/relationships/hyperlink" Target="https://twitter.com/WCBD" TargetMode="External"/><Relationship Id="rId12529" Type="http://schemas.openxmlformats.org/officeDocument/2006/relationships/hyperlink" Target="https://twitter.com/patriarchator" TargetMode="External"/><Relationship Id="rId907" Type="http://schemas.openxmlformats.org/officeDocument/2006/relationships/hyperlink" Target="https://pbs.twimg.com/profile_images/673634327683469312/ClE0FhT1_normal.jpg" TargetMode="External"/><Relationship Id="rId7099" Type="http://schemas.openxmlformats.org/officeDocument/2006/relationships/hyperlink" Target="https://twitter.com/deliyakiseleva1/status/723278417517514752" TargetMode="External"/><Relationship Id="rId15002" Type="http://schemas.openxmlformats.org/officeDocument/2006/relationships/hyperlink" Target="https://twitter.com/FlowKoR/status/723589724372406276" TargetMode="External"/><Relationship Id="rId18572" Type="http://schemas.openxmlformats.org/officeDocument/2006/relationships/hyperlink" Target="https://twitter.com/caryelluk/status/723880383717101573" TargetMode="External"/><Relationship Id="rId8631" Type="http://schemas.openxmlformats.org/officeDocument/2006/relationships/hyperlink" Target="https://twitter.com/ebaycampervans/status/723399501956808704" TargetMode="External"/><Relationship Id="rId18225" Type="http://schemas.openxmlformats.org/officeDocument/2006/relationships/hyperlink" Target="https://pbs.twimg.com/profile_images/552044021774700544/M3FC3arM_normal.jpeg" TargetMode="External"/><Relationship Id="rId22968" Type="http://schemas.openxmlformats.org/officeDocument/2006/relationships/hyperlink" Target="https://twitter.com/VWBeetleSales" TargetMode="External"/><Relationship Id="rId25441" Type="http://schemas.openxmlformats.org/officeDocument/2006/relationships/hyperlink" Target="https://twitter.com/ari_budiman307" TargetMode="External"/><Relationship Id="rId6182" Type="http://schemas.openxmlformats.org/officeDocument/2006/relationships/hyperlink" Target="https://pbs.twimg.com/profile_images/718810417439477760/u4onDM3I_normal.jpg" TargetMode="External"/><Relationship Id="rId11612" Type="http://schemas.openxmlformats.org/officeDocument/2006/relationships/hyperlink" Target="https://twitter.com/cotillo1" TargetMode="External"/><Relationship Id="rId14835" Type="http://schemas.openxmlformats.org/officeDocument/2006/relationships/hyperlink" Target="https://twitter.com/CastleCoastCamp/status/723584617731776512" TargetMode="External"/><Relationship Id="rId2792" Type="http://schemas.openxmlformats.org/officeDocument/2006/relationships/hyperlink" Target="https://pbs.twimg.com/profile_images/604398644410777600/M9wZ3s4s_normal.png" TargetMode="External"/><Relationship Id="rId9058" Type="http://schemas.openxmlformats.org/officeDocument/2006/relationships/hyperlink" Target="https://twitter.com/r_kreisel" TargetMode="External"/><Relationship Id="rId12386" Type="http://schemas.openxmlformats.org/officeDocument/2006/relationships/hyperlink" Target="https://pbs.twimg.com/profile_images/512821568980803584/Q94LVvjN_normal.jpeg" TargetMode="External"/><Relationship Id="rId21704" Type="http://schemas.openxmlformats.org/officeDocument/2006/relationships/hyperlink" Target="https://twitter.com/TobiMuelhauser" TargetMode="External"/><Relationship Id="rId764" Type="http://schemas.openxmlformats.org/officeDocument/2006/relationships/hyperlink" Target="https://twitter.com/beetlebug1938" TargetMode="External"/><Relationship Id="rId2445" Type="http://schemas.openxmlformats.org/officeDocument/2006/relationships/hyperlink" Target="https://pbs.twimg.com/profile_images/477029152441110528/11WmXfGi_normal.jpeg" TargetMode="External"/><Relationship Id="rId12039" Type="http://schemas.openxmlformats.org/officeDocument/2006/relationships/hyperlink" Target="https://pbs.twimg.com/profile_images/378800000739119738/7c3e727f748488617099bdd8a2191320_normal.jpeg" TargetMode="External"/><Relationship Id="rId24927" Type="http://schemas.openxmlformats.org/officeDocument/2006/relationships/hyperlink" Target="https://pbs.twimg.com/profile_images/2269087994/755ehw3lcmgqvtspt5js_normal.jpeg" TargetMode="External"/><Relationship Id="rId417" Type="http://schemas.openxmlformats.org/officeDocument/2006/relationships/hyperlink" Target="https://twitter.com/VAGFanArg/status/722957129955450880" TargetMode="External"/><Relationship Id="rId5668" Type="http://schemas.openxmlformats.org/officeDocument/2006/relationships/hyperlink" Target="https://abs.twimg.com/sticky/default_profile_images/default_profile_0_normal.png" TargetMode="External"/><Relationship Id="rId18082" Type="http://schemas.openxmlformats.org/officeDocument/2006/relationships/hyperlink" Target="https://pbs.twimg.com/profile_images/492989753374281728/8UiYOUo7_normal.jpeg" TargetMode="External"/><Relationship Id="rId22478" Type="http://schemas.openxmlformats.org/officeDocument/2006/relationships/hyperlink" Target="https://pbs.twimg.com/profile_images/721399752613466114/PygDotOX_normal.jpg" TargetMode="External"/><Relationship Id="rId8141" Type="http://schemas.openxmlformats.org/officeDocument/2006/relationships/hyperlink" Target="https://twitter.com/deutch_az/status/723371851339026435" TargetMode="External"/><Relationship Id="rId11122" Type="http://schemas.openxmlformats.org/officeDocument/2006/relationships/hyperlink" Target="https://pbs.twimg.com/profile_images/718820712757215233/LXXndPTS_normal.jpg" TargetMode="External"/><Relationship Id="rId14692" Type="http://schemas.openxmlformats.org/officeDocument/2006/relationships/hyperlink" Target="https://twitter.com/Colson_Hicks" TargetMode="External"/><Relationship Id="rId4751" Type="http://schemas.openxmlformats.org/officeDocument/2006/relationships/hyperlink" Target="https://twitter.com/KristynHyland/status/723186686914531328" TargetMode="External"/><Relationship Id="rId14345" Type="http://schemas.openxmlformats.org/officeDocument/2006/relationships/hyperlink" Target="https://twitter.com/DaianaPaez4" TargetMode="External"/><Relationship Id="rId21561" Type="http://schemas.openxmlformats.org/officeDocument/2006/relationships/hyperlink" Target="https://pbs.twimg.com/profile_images/658684970106507264/fAjFcyfX_normal.jpg" TargetMode="External"/><Relationship Id="rId274" Type="http://schemas.openxmlformats.org/officeDocument/2006/relationships/hyperlink" Target="https://twitter.com/VolkswagenPost" TargetMode="External"/><Relationship Id="rId4404" Type="http://schemas.openxmlformats.org/officeDocument/2006/relationships/hyperlink" Target="https://pbs.twimg.com/profile_images/706784695795769345/XGXgdjww_normal.jpg" TargetMode="External"/><Relationship Id="rId7974" Type="http://schemas.openxmlformats.org/officeDocument/2006/relationships/hyperlink" Target="https://pbs.twimg.com/profile_images/605013931736854528/dpTK8kMw_normal.jpg" TargetMode="External"/><Relationship Id="rId10955" Type="http://schemas.openxmlformats.org/officeDocument/2006/relationships/hyperlink" Target="https://pbs.twimg.com/profile_images/683943927808917505/ufIVpnBm_normal.png" TargetMode="External"/><Relationship Id="rId17568" Type="http://schemas.openxmlformats.org/officeDocument/2006/relationships/hyperlink" Target="https://twitter.com/OlafHeinrich73" TargetMode="External"/><Relationship Id="rId21214" Type="http://schemas.openxmlformats.org/officeDocument/2006/relationships/hyperlink" Target="https://twitter.com/hashtagvanlife" TargetMode="External"/><Relationship Id="rId24784" Type="http://schemas.openxmlformats.org/officeDocument/2006/relationships/hyperlink" Target="https://twitter.com/FuscaWorld/status/724387805535866880" TargetMode="External"/><Relationship Id="rId7627" Type="http://schemas.openxmlformats.org/officeDocument/2006/relationships/hyperlink" Target="https://pbs.twimg.com/profile_images/687375732939460608/7I7vTJsq_normal.jpg" TargetMode="External"/><Relationship Id="rId10608" Type="http://schemas.openxmlformats.org/officeDocument/2006/relationships/hyperlink" Target="https://twitter.com/dw_business" TargetMode="External"/><Relationship Id="rId24437" Type="http://schemas.openxmlformats.org/officeDocument/2006/relationships/hyperlink" Target="https://pbs.twimg.com/profile_images/672878354127839232/M7OYc-zx_normal.jpg" TargetMode="External"/><Relationship Id="rId5178" Type="http://schemas.openxmlformats.org/officeDocument/2006/relationships/hyperlink" Target="https://twitter.com/Fumblkrusch" TargetMode="External"/><Relationship Id="rId16651" Type="http://schemas.openxmlformats.org/officeDocument/2006/relationships/hyperlink" Target="https://pbs.twimg.com/profile_images/1137193741/porsche-twitter_normal.jpg" TargetMode="External"/><Relationship Id="rId1788" Type="http://schemas.openxmlformats.org/officeDocument/2006/relationships/hyperlink" Target="http://ctrlq.org/maps/address/" TargetMode="External"/><Relationship Id="rId6710" Type="http://schemas.openxmlformats.org/officeDocument/2006/relationships/hyperlink" Target="https://pbs.twimg.com/profile_images/566302017447297026/WU8Aw0sB_normal.jpeg" TargetMode="External"/><Relationship Id="rId16304" Type="http://schemas.openxmlformats.org/officeDocument/2006/relationships/hyperlink" Target="https://twitter.com/rico_moreno/status/723666090794983425" TargetMode="External"/><Relationship Id="rId23520" Type="http://schemas.openxmlformats.org/officeDocument/2006/relationships/hyperlink" Target="https://pbs.twimg.com/profile_images/627949001179037696/skEBkS05_normal.jpg" TargetMode="External"/><Relationship Id="rId4261" Type="http://schemas.openxmlformats.org/officeDocument/2006/relationships/hyperlink" Target="https://pbs.twimg.com/profile_images/515673279718105088/xInjQ-S0_normal.jpeg" TargetMode="External"/><Relationship Id="rId19874" Type="http://schemas.openxmlformats.org/officeDocument/2006/relationships/hyperlink" Target="https://twitter.com/RallyCuenca/status/723962328186818560" TargetMode="External"/><Relationship Id="rId21071" Type="http://schemas.openxmlformats.org/officeDocument/2006/relationships/hyperlink" Target="https://twitter.com/Scirocco_Tuning/status/724092955313713152" TargetMode="External"/><Relationship Id="rId7484" Type="http://schemas.openxmlformats.org/officeDocument/2006/relationships/hyperlink" Target="https://twitter.com/LL2pilesPl" TargetMode="External"/><Relationship Id="rId9933" Type="http://schemas.openxmlformats.org/officeDocument/2006/relationships/hyperlink" Target="https://pbs.twimg.com/profile_images/703294545195307008/qeCvrX86_normal.jpg" TargetMode="External"/><Relationship Id="rId12914" Type="http://schemas.openxmlformats.org/officeDocument/2006/relationships/hyperlink" Target="https://pbs.twimg.com/profile_images/2394044965/16gzbk08pknwhxh8sakl_normal.jpeg" TargetMode="External"/><Relationship Id="rId17078" Type="http://schemas.openxmlformats.org/officeDocument/2006/relationships/hyperlink" Target="https://twitter.com/hashtagvanlife/status/723768851545071616" TargetMode="External"/><Relationship Id="rId19527" Type="http://schemas.openxmlformats.org/officeDocument/2006/relationships/hyperlink" Target="http://dlvr.it/" TargetMode="External"/><Relationship Id="rId24294" Type="http://schemas.openxmlformats.org/officeDocument/2006/relationships/hyperlink" Target="https://pbs.twimg.com/profile_images/531363470009057281/FJGMIqtq_normal.jpeg" TargetMode="External"/><Relationship Id="rId7137" Type="http://schemas.openxmlformats.org/officeDocument/2006/relationships/hyperlink" Target="https://twitter.com/DannyFreshVici" TargetMode="External"/><Relationship Id="rId10465" Type="http://schemas.openxmlformats.org/officeDocument/2006/relationships/hyperlink" Target="https://twitter.com/SantaPodRaceway" TargetMode="External"/><Relationship Id="rId10118" Type="http://schemas.openxmlformats.org/officeDocument/2006/relationships/hyperlink" Target="http://swat.io/" TargetMode="External"/><Relationship Id="rId13688" Type="http://schemas.openxmlformats.org/officeDocument/2006/relationships/hyperlink" Target="http://dlvr.it/" TargetMode="External"/><Relationship Id="rId18610" Type="http://schemas.openxmlformats.org/officeDocument/2006/relationships/hyperlink" Target="https://pbs.twimg.com/profile_images/703294545195307008/qeCvrX86_normal.jpg" TargetMode="External"/><Relationship Id="rId3747" Type="http://schemas.openxmlformats.org/officeDocument/2006/relationships/hyperlink" Target="https://twitter.com/rpo_wirtschaft/status/723168664866967552" TargetMode="External"/><Relationship Id="rId16161" Type="http://schemas.openxmlformats.org/officeDocument/2006/relationships/hyperlink" Target="https://twitter.com/JoserRP" TargetMode="External"/><Relationship Id="rId20557" Type="http://schemas.openxmlformats.org/officeDocument/2006/relationships/hyperlink" Target="https://pbs.twimg.com/profile_images/613659038253981696/IOmiUWdn_normal.jpg" TargetMode="External"/><Relationship Id="rId1298" Type="http://schemas.openxmlformats.org/officeDocument/2006/relationships/hyperlink" Target="https://twitter.com/handelsblatt/status/723033068148260864" TargetMode="External"/><Relationship Id="rId6220" Type="http://schemas.openxmlformats.org/officeDocument/2006/relationships/hyperlink" Target="https://twitter.com/SubaruImpreza_/status/723235224465842177" TargetMode="External"/><Relationship Id="rId9790" Type="http://schemas.openxmlformats.org/officeDocument/2006/relationships/hyperlink" Target="https://twitter.com/TepelmannMentor" TargetMode="External"/><Relationship Id="rId19384" Type="http://schemas.openxmlformats.org/officeDocument/2006/relationships/hyperlink" Target="https://twitter.com/FuscaWorld/status/723929192283381760" TargetMode="External"/><Relationship Id="rId23030" Type="http://schemas.openxmlformats.org/officeDocument/2006/relationships/hyperlink" Target="https://twitter.com/hddoger" TargetMode="External"/><Relationship Id="rId9443" Type="http://schemas.openxmlformats.org/officeDocument/2006/relationships/hyperlink" Target="https://twitter.com/1815_online/status/723435156049039362" TargetMode="External"/><Relationship Id="rId12771" Type="http://schemas.openxmlformats.org/officeDocument/2006/relationships/hyperlink" Target="https://pbs.twimg.com/profile_images/2754194923/5cb21cec531f4267a70e38e4d675cb79_normal.png" TargetMode="External"/><Relationship Id="rId19037" Type="http://schemas.openxmlformats.org/officeDocument/2006/relationships/hyperlink" Target="https://twitter.com/belluxprod/status/723915060188352512" TargetMode="External"/><Relationship Id="rId2830" Type="http://schemas.openxmlformats.org/officeDocument/2006/relationships/hyperlink" Target="https://twitter.com/DubLuvTuning/status/723121565408342020" TargetMode="External"/><Relationship Id="rId12424" Type="http://schemas.openxmlformats.org/officeDocument/2006/relationships/hyperlink" Target="https://twitter.com/RippedFlower" TargetMode="External"/><Relationship Id="rId15994" Type="http://schemas.openxmlformats.org/officeDocument/2006/relationships/hyperlink" Target="https://pbs.twimg.com/profile_images/650616939325325312/UqCRtRr__normal.png" TargetMode="External"/><Relationship Id="rId802" Type="http://schemas.openxmlformats.org/officeDocument/2006/relationships/hyperlink" Target="https://twitter.com/VanagonNews/status/722985629634560001" TargetMode="External"/><Relationship Id="rId15647" Type="http://schemas.openxmlformats.org/officeDocument/2006/relationships/hyperlink" Target="https://twitter.com/luchitodf/status/723618352632045568" TargetMode="External"/><Relationship Id="rId22863" Type="http://schemas.openxmlformats.org/officeDocument/2006/relationships/hyperlink" Target="https://twitter.com/victoria118/status/724252951448047621" TargetMode="External"/><Relationship Id="rId5706" Type="http://schemas.openxmlformats.org/officeDocument/2006/relationships/hyperlink" Target="https://twitter.com/swanswaygroup/status/723213970383994881" TargetMode="External"/><Relationship Id="rId13198" Type="http://schemas.openxmlformats.org/officeDocument/2006/relationships/hyperlink" Target="https://twitter.com/Schwartz_Daniel/status/723538711439388677" TargetMode="External"/><Relationship Id="rId18120" Type="http://schemas.openxmlformats.org/officeDocument/2006/relationships/hyperlink" Target="https://twitter.com/FuscaWorld" TargetMode="External"/><Relationship Id="rId22516" Type="http://schemas.openxmlformats.org/officeDocument/2006/relationships/hyperlink" Target="https://pbs.twimg.com/profile_images/717329980175335424/rLkhccu9_normal.jpg" TargetMode="External"/><Relationship Id="rId3257" Type="http://schemas.openxmlformats.org/officeDocument/2006/relationships/hyperlink" Target="https://twitter.com/AshFeky" TargetMode="External"/><Relationship Id="rId8929" Type="http://schemas.openxmlformats.org/officeDocument/2006/relationships/hyperlink" Target="https://pbs.twimg.com/profile_images/1694915873/MT_Icon_normal.jpg" TargetMode="External"/><Relationship Id="rId14730" Type="http://schemas.openxmlformats.org/officeDocument/2006/relationships/hyperlink" Target="https://pbs.twimg.com/profile_images/552037189328982016/r65JRGTS_normal.jpeg" TargetMode="External"/><Relationship Id="rId20067" Type="http://schemas.openxmlformats.org/officeDocument/2006/relationships/hyperlink" Target="https://pbs.twimg.com/profile_images/707336599898554368/C8k--jj7_normal.jpg" TargetMode="External"/><Relationship Id="rId25739" Type="http://schemas.openxmlformats.org/officeDocument/2006/relationships/hyperlink" Target="https://pbs.twimg.com/profile_images/720865866548514817/5u1sM5YS_normal.jpg" TargetMode="External"/><Relationship Id="rId12281" Type="http://schemas.openxmlformats.org/officeDocument/2006/relationships/hyperlink" Target="https://twitter.com/DUBusSchool/status/723516614038196224" TargetMode="External"/><Relationship Id="rId2340" Type="http://schemas.openxmlformats.org/officeDocument/2006/relationships/hyperlink" Target="https://twitter.com/DoMarMac" TargetMode="External"/><Relationship Id="rId17953" Type="http://schemas.openxmlformats.org/officeDocument/2006/relationships/hyperlink" Target="https://twitter.com/VWCamperSales" TargetMode="External"/><Relationship Id="rId312" Type="http://schemas.openxmlformats.org/officeDocument/2006/relationships/hyperlink" Target="https://pbs.twimg.com/profile_images/530071272881803264/a_jcCmPZ_normal.png" TargetMode="External"/><Relationship Id="rId5563" Type="http://schemas.openxmlformats.org/officeDocument/2006/relationships/hyperlink" Target="https://twitter.com/SalihiShejzije" TargetMode="External"/><Relationship Id="rId15157" Type="http://schemas.openxmlformats.org/officeDocument/2006/relationships/hyperlink" Target="https://twitter.com/VWBeetleSales/status/723596026951557120" TargetMode="External"/><Relationship Id="rId17606" Type="http://schemas.openxmlformats.org/officeDocument/2006/relationships/hyperlink" Target="https://twitter.com/verticalwise/status/723809745694515200" TargetMode="External"/><Relationship Id="rId22373" Type="http://schemas.openxmlformats.org/officeDocument/2006/relationships/hyperlink" Target="https://pbs.twimg.com/profile_images/534741942119051264/SmovSGTN_normal.png" TargetMode="External"/><Relationship Id="rId24822" Type="http://schemas.openxmlformats.org/officeDocument/2006/relationships/hyperlink" Target="https://pbs.twimg.com/profile_images/541572416309592064/Itsc2-DW_normal.jpeg" TargetMode="External"/><Relationship Id="rId5216" Type="http://schemas.openxmlformats.org/officeDocument/2006/relationships/hyperlink" Target="https://twitter.com/CarsUKListings/status/723197580830715904" TargetMode="External"/><Relationship Id="rId22026" Type="http://schemas.openxmlformats.org/officeDocument/2006/relationships/hyperlink" Target="https://twitter.com/ThaiQashqaiClub" TargetMode="External"/><Relationship Id="rId8786" Type="http://schemas.openxmlformats.org/officeDocument/2006/relationships/hyperlink" Target="https://twitter.com/JoachimHeck" TargetMode="External"/><Relationship Id="rId11767" Type="http://schemas.openxmlformats.org/officeDocument/2006/relationships/hyperlink" Target="https://pbs.twimg.com/profile_images/588735564154806272/d8_8cgTC_normal.jpg" TargetMode="External"/><Relationship Id="rId25596" Type="http://schemas.openxmlformats.org/officeDocument/2006/relationships/hyperlink" Target="https://twitter.com/FrankfurtFinanz/status/724450509030064128" TargetMode="External"/><Relationship Id="rId1826" Type="http://schemas.openxmlformats.org/officeDocument/2006/relationships/hyperlink" Target="https://twitter.com/boeser_Klaus/status/723061142550007808" TargetMode="External"/><Relationship Id="rId8439" Type="http://schemas.openxmlformats.org/officeDocument/2006/relationships/hyperlink" Target="https://pbs.twimg.com/profile_images/716386262387527680/iXBQikmn_normal.jpg" TargetMode="External"/><Relationship Id="rId14240" Type="http://schemas.openxmlformats.org/officeDocument/2006/relationships/hyperlink" Target="https://twitter.com/LuliSilva0/status/723570717288194048" TargetMode="External"/><Relationship Id="rId25249" Type="http://schemas.openxmlformats.org/officeDocument/2006/relationships/hyperlink" Target="https://twitter.com/machminer" TargetMode="External"/><Relationship Id="rId17463" Type="http://schemas.openxmlformats.org/officeDocument/2006/relationships/hyperlink" Target="https://pbs.twimg.com/profile_images/639281846556069892/c78Gg9SX_normal.jpg" TargetMode="External"/><Relationship Id="rId19912" Type="http://schemas.openxmlformats.org/officeDocument/2006/relationships/hyperlink" Target="https://twitter.com/RALLY_PRIMERA" TargetMode="External"/><Relationship Id="rId21859" Type="http://schemas.openxmlformats.org/officeDocument/2006/relationships/hyperlink" Target="https://pbs.twimg.com/profile_images/3095501276/bc194b51f40d2f45f4e7dd85af657918_normal.jpeg" TargetMode="External"/><Relationship Id="rId7522" Type="http://schemas.openxmlformats.org/officeDocument/2006/relationships/hyperlink" Target="https://twitter.com/RV_Listings/status/723308056952639490" TargetMode="External"/><Relationship Id="rId10850" Type="http://schemas.openxmlformats.org/officeDocument/2006/relationships/hyperlink" Target="https://pbs.twimg.com/profile_images/2811019625/854e59145fe44a1333afd6f8facf095d_normal.jpeg" TargetMode="External"/><Relationship Id="rId17116" Type="http://schemas.openxmlformats.org/officeDocument/2006/relationships/hyperlink" Target="https://pbs.twimg.com/profile_images/569498266786877440/eYP0jdWw_normal.jpeg" TargetMode="External"/><Relationship Id="rId24332" Type="http://schemas.openxmlformats.org/officeDocument/2006/relationships/hyperlink" Target="https://twitter.com/wohsracrepus" TargetMode="External"/><Relationship Id="rId5073" Type="http://schemas.openxmlformats.org/officeDocument/2006/relationships/hyperlink" Target="https://twitter.com/PaddySteen" TargetMode="External"/><Relationship Id="rId10503" Type="http://schemas.openxmlformats.org/officeDocument/2006/relationships/hyperlink" Target="https://twitter.com/ratemycamper" TargetMode="External"/><Relationship Id="rId8296" Type="http://schemas.openxmlformats.org/officeDocument/2006/relationships/hyperlink" Target="https://twitter.com/Srevilo/status/723381576768180224" TargetMode="External"/><Relationship Id="rId13726" Type="http://schemas.openxmlformats.org/officeDocument/2006/relationships/hyperlink" Target="https://twitter.com/Mica_Turchi" TargetMode="External"/><Relationship Id="rId20942" Type="http://schemas.openxmlformats.org/officeDocument/2006/relationships/hyperlink" Target="https://twitter.com/paintedmanican" TargetMode="External"/><Relationship Id="rId1683" Type="http://schemas.openxmlformats.org/officeDocument/2006/relationships/hyperlink" Target="https://twitter.com/antivokou/status/723052966131863552" TargetMode="External"/><Relationship Id="rId11277" Type="http://schemas.openxmlformats.org/officeDocument/2006/relationships/hyperlink" Target="https://twitter.com/Kristina_Hof/status/723500194856316928" TargetMode="External"/><Relationship Id="rId16949" Type="http://schemas.openxmlformats.org/officeDocument/2006/relationships/hyperlink" Target="https://twitter.com/jonkustom/status/723755194631225344" TargetMode="External"/><Relationship Id="rId1336" Type="http://schemas.openxmlformats.org/officeDocument/2006/relationships/hyperlink" Target="https://twitter.com/bradshaw_sw" TargetMode="External"/><Relationship Id="rId19422" Type="http://schemas.openxmlformats.org/officeDocument/2006/relationships/hyperlink" Target="https://pbs.twimg.com/profile_images/633806302960054272/PKtob7Ja_normal.jpg" TargetMode="External"/><Relationship Id="rId23818" Type="http://schemas.openxmlformats.org/officeDocument/2006/relationships/hyperlink" Target="https://pbs.twimg.com/profile_images/703294545195307008/qeCvrX86_normal.jpg" TargetMode="External"/><Relationship Id="rId42" Type="http://schemas.openxmlformats.org/officeDocument/2006/relationships/hyperlink" Target="https://pbs.twimg.com/profile_images/718820712757215233/LXXndPTS_normal.jpg" TargetMode="External"/><Relationship Id="rId4559" Type="http://schemas.openxmlformats.org/officeDocument/2006/relationships/hyperlink" Target="https://pbs.twimg.com/profile_images/722256787009859584/vkuTNBGF_normal.jpg" TargetMode="External"/><Relationship Id="rId10360" Type="http://schemas.openxmlformats.org/officeDocument/2006/relationships/hyperlink" Target="https://twitter.com/SYirmi/status/723470410122203136" TargetMode="External"/><Relationship Id="rId21369" Type="http://schemas.openxmlformats.org/officeDocument/2006/relationships/hyperlink" Target="https://twitter.com/sax_odyssey/status/724144182223343616" TargetMode="External"/><Relationship Id="rId7032" Type="http://schemas.openxmlformats.org/officeDocument/2006/relationships/hyperlink" Target="https://pbs.twimg.com/profile_images/672878354127839232/M7OYc-zx_normal.jpg" TargetMode="External"/><Relationship Id="rId10013" Type="http://schemas.openxmlformats.org/officeDocument/2006/relationships/hyperlink" Target="https://twitter.com/handelsblatt/status/723458126532493312" TargetMode="External"/><Relationship Id="rId13583" Type="http://schemas.openxmlformats.org/officeDocument/2006/relationships/hyperlink" Target="https://pbs.twimg.com/profile_images/716549773822726144/9Kt0EgoH_normal.jpg" TargetMode="External"/><Relationship Id="rId3642" Type="http://schemas.openxmlformats.org/officeDocument/2006/relationships/hyperlink" Target="https://twitter.com/doern/status/723166432683548673" TargetMode="External"/><Relationship Id="rId13236" Type="http://schemas.openxmlformats.org/officeDocument/2006/relationships/hyperlink" Target="https://twitter.com/imfree81" TargetMode="External"/><Relationship Id="rId20452" Type="http://schemas.openxmlformats.org/officeDocument/2006/relationships/hyperlink" Target="https://pbs.twimg.com/profile_images/627949001179037696/skEBkS05_normal.jpg" TargetMode="External"/><Relationship Id="rId22901" Type="http://schemas.openxmlformats.org/officeDocument/2006/relationships/hyperlink" Target="https://twitter.com/Mphilpot1" TargetMode="External"/><Relationship Id="rId1193" Type="http://schemas.openxmlformats.org/officeDocument/2006/relationships/hyperlink" Target="https://twitter.com/DeezaSunglasses" TargetMode="External"/><Relationship Id="rId18908" Type="http://schemas.openxmlformats.org/officeDocument/2006/relationships/hyperlink" Target="http://ctrlq.org/maps/address/" TargetMode="External"/><Relationship Id="rId20105" Type="http://schemas.openxmlformats.org/officeDocument/2006/relationships/hyperlink" Target="https://pbs.twimg.com/profile_images/705279619977469952/983oprAu_normal.jpg" TargetMode="External"/><Relationship Id="rId6865" Type="http://schemas.openxmlformats.org/officeDocument/2006/relationships/hyperlink" Target="https://twitter.com/beetlebug1938/status/723264983656751105" TargetMode="External"/><Relationship Id="rId16459" Type="http://schemas.openxmlformats.org/officeDocument/2006/relationships/hyperlink" Target="https://pbs.twimg.com/profile_images/1610421423/Image2_normal.jpg" TargetMode="External"/><Relationship Id="rId23675" Type="http://schemas.openxmlformats.org/officeDocument/2006/relationships/hyperlink" Target="http://triplepundit.com/" TargetMode="External"/><Relationship Id="rId4069" Type="http://schemas.openxmlformats.org/officeDocument/2006/relationships/hyperlink" Target="https://twitter.com/MarkCSchneider" TargetMode="External"/><Relationship Id="rId6518" Type="http://schemas.openxmlformats.org/officeDocument/2006/relationships/hyperlink" Target="https://pbs.twimg.com/profile_images/422164778639839234/LVnS1q1c_normal.jpeg" TargetMode="External"/><Relationship Id="rId23328" Type="http://schemas.openxmlformats.org/officeDocument/2006/relationships/hyperlink" Target="https://pbs.twimg.com/profile_images/1610421423/Image2_normal.jpg" TargetMode="External"/><Relationship Id="rId15542" Type="http://schemas.openxmlformats.org/officeDocument/2006/relationships/hyperlink" Target="https://twitter.com/Marktzyniker/status/723612432774602752" TargetMode="External"/><Relationship Id="rId5601" Type="http://schemas.openxmlformats.org/officeDocument/2006/relationships/hyperlink" Target="https://pbs.twimg.com/profile_images/1169387207/uhu_normal.jpg" TargetMode="External"/><Relationship Id="rId13093" Type="http://schemas.openxmlformats.org/officeDocument/2006/relationships/hyperlink" Target="https://pbs.twimg.com/profile_images/631839981611388932/vD22OUWu_normal.png" TargetMode="External"/><Relationship Id="rId22411" Type="http://schemas.openxmlformats.org/officeDocument/2006/relationships/hyperlink" Target="https://twitter.com/VWBeetleSales" TargetMode="External"/><Relationship Id="rId3152" Type="http://schemas.openxmlformats.org/officeDocument/2006/relationships/hyperlink" Target="https://twitter.com/Insta_VWT" TargetMode="External"/><Relationship Id="rId8824" Type="http://schemas.openxmlformats.org/officeDocument/2006/relationships/hyperlink" Target="https://pbs.twimg.com/profile_images/622695888826273792/OVfZM4BZ_normal.png" TargetMode="External"/><Relationship Id="rId18765" Type="http://schemas.openxmlformats.org/officeDocument/2006/relationships/hyperlink" Target="https://pbs.twimg.com/profile_images/710382978891964420/bDtudOu8_normal.jpg" TargetMode="External"/><Relationship Id="rId6375" Type="http://schemas.openxmlformats.org/officeDocument/2006/relationships/hyperlink" Target="http://dlvr.it/" TargetMode="External"/><Relationship Id="rId11805" Type="http://schemas.openxmlformats.org/officeDocument/2006/relationships/hyperlink" Target="https://twitter.com/TobyEmanuel" TargetMode="External"/><Relationship Id="rId18418" Type="http://schemas.openxmlformats.org/officeDocument/2006/relationships/hyperlink" Target="https://twitter.com/VWCamperSales/status/723867820132442113" TargetMode="External"/><Relationship Id="rId23185" Type="http://schemas.openxmlformats.org/officeDocument/2006/relationships/hyperlink" Target="https://twitter.com/WonSicily" TargetMode="External"/><Relationship Id="rId25634" Type="http://schemas.openxmlformats.org/officeDocument/2006/relationships/hyperlink" Target="https://pbs.twimg.com/profile_images/378800000572104796/1de43e1cf23efb3f4101c02afad0d3b6_normal.png" TargetMode="External"/><Relationship Id="rId6028" Type="http://schemas.openxmlformats.org/officeDocument/2006/relationships/hyperlink" Target="https://twitter.com/ChristophNoack/status/723228038541021186" TargetMode="External"/><Relationship Id="rId9598" Type="http://schemas.openxmlformats.org/officeDocument/2006/relationships/hyperlink" Target="https://twitter.com/Insta_VWT/status/723442132594229248" TargetMode="External"/><Relationship Id="rId2985" Type="http://schemas.openxmlformats.org/officeDocument/2006/relationships/hyperlink" Target="https://twitter.com/pedpsychdoc" TargetMode="External"/><Relationship Id="rId12579" Type="http://schemas.openxmlformats.org/officeDocument/2006/relationships/hyperlink" Target="https://twitter.com/CryptoMinerUK" TargetMode="External"/><Relationship Id="rId17501" Type="http://schemas.openxmlformats.org/officeDocument/2006/relationships/hyperlink" Target="https://twitter.com/ChrisJBCarroll/status/723803505505513472" TargetMode="External"/><Relationship Id="rId957" Type="http://schemas.openxmlformats.org/officeDocument/2006/relationships/hyperlink" Target="https://twitter.com/TM909/status/723006557483487232" TargetMode="External"/><Relationship Id="rId2638" Type="http://schemas.openxmlformats.org/officeDocument/2006/relationships/hyperlink" Target="https://twitter.com/StefkaWiese/status/723111411677712384" TargetMode="External"/><Relationship Id="rId15052" Type="http://schemas.openxmlformats.org/officeDocument/2006/relationships/hyperlink" Target="https://abs.twimg.com/sticky/default_profile_images/default_profile_1_normal.png" TargetMode="External"/><Relationship Id="rId5111" Type="http://schemas.openxmlformats.org/officeDocument/2006/relationships/hyperlink" Target="https://pbs.twimg.com/profile_images/507567438519877632/csbN7hbm_normal.jpeg" TargetMode="External"/><Relationship Id="rId8681" Type="http://schemas.openxmlformats.org/officeDocument/2006/relationships/hyperlink" Target="https://twitter.com/VWBeetleSales" TargetMode="External"/><Relationship Id="rId11662" Type="http://schemas.openxmlformats.org/officeDocument/2006/relationships/hyperlink" Target="https://twitter.com/Geoffreytsmith/status/723505171989446656" TargetMode="External"/><Relationship Id="rId18275" Type="http://schemas.openxmlformats.org/officeDocument/2006/relationships/hyperlink" Target="https://twitter.com/DanpolLodz/status/723859173306408960" TargetMode="External"/><Relationship Id="rId25491" Type="http://schemas.openxmlformats.org/officeDocument/2006/relationships/hyperlink" Target="https://pbs.twimg.com/profile_images/679892976064139264/V141zEM-_normal.jpg" TargetMode="External"/><Relationship Id="rId1721" Type="http://schemas.openxmlformats.org/officeDocument/2006/relationships/hyperlink" Target="https://pbs.twimg.com/profile_images/717389494362759170/HA2F1UKk_normal.jpg" TargetMode="External"/><Relationship Id="rId8334" Type="http://schemas.openxmlformats.org/officeDocument/2006/relationships/hyperlink" Target="https://pbs.twimg.com/profile_images/3704737815/c83da87d5dbea893be21848f6ac584e0_normal.jpeg" TargetMode="External"/><Relationship Id="rId11315" Type="http://schemas.openxmlformats.org/officeDocument/2006/relationships/hyperlink" Target="https://pbs.twimg.com/profile_images/707292424280928256/v5Ubw9Eg_normal.jpg" TargetMode="External"/><Relationship Id="rId25144" Type="http://schemas.openxmlformats.org/officeDocument/2006/relationships/hyperlink" Target="https://twitter.com/Floppii_Chiara" TargetMode="External"/><Relationship Id="rId14885" Type="http://schemas.openxmlformats.org/officeDocument/2006/relationships/hyperlink" Target="http://ctrlq.org/maps/address/" TargetMode="External"/><Relationship Id="rId2495" Type="http://schemas.openxmlformats.org/officeDocument/2006/relationships/hyperlink" Target="https://pbs.twimg.com/profile_images/644482436257185792/immN1agH_normal.jpg" TargetMode="External"/><Relationship Id="rId4944" Type="http://schemas.openxmlformats.org/officeDocument/2006/relationships/hyperlink" Target="https://twitter.com/Cati_Economia/status/723190833269358592" TargetMode="External"/><Relationship Id="rId12089" Type="http://schemas.openxmlformats.org/officeDocument/2006/relationships/hyperlink" Target="https://twitter.com/beetlebug1938/status/723512748940898306" TargetMode="External"/><Relationship Id="rId14538" Type="http://schemas.openxmlformats.org/officeDocument/2006/relationships/hyperlink" Target="https://pbs.twimg.com/profile_images/714388994763669504/Xw-x8bz-_normal.jpg" TargetMode="External"/><Relationship Id="rId21754" Type="http://schemas.openxmlformats.org/officeDocument/2006/relationships/hyperlink" Target="https://twitter.com/Die_Primel" TargetMode="External"/><Relationship Id="rId467" Type="http://schemas.openxmlformats.org/officeDocument/2006/relationships/hyperlink" Target="https://twitter.com/OnlineCarReview" TargetMode="External"/><Relationship Id="rId2148" Type="http://schemas.openxmlformats.org/officeDocument/2006/relationships/hyperlink" Target="https://pbs.twimg.com/profile_images/652871584131092480/QA_B6SBO_normal.jpg" TargetMode="External"/><Relationship Id="rId17011" Type="http://schemas.openxmlformats.org/officeDocument/2006/relationships/hyperlink" Target="https://twitter.com/SDittl" TargetMode="External"/><Relationship Id="rId21407" Type="http://schemas.openxmlformats.org/officeDocument/2006/relationships/hyperlink" Target="https://twitter.com/CareumCH" TargetMode="External"/><Relationship Id="rId24977" Type="http://schemas.openxmlformats.org/officeDocument/2006/relationships/hyperlink" Target="https://twitter.com/OhKeviinG/status/724407688025792513" TargetMode="External"/><Relationship Id="rId13621" Type="http://schemas.openxmlformats.org/officeDocument/2006/relationships/hyperlink" Target="https://twitter.com/ChristophNoack" TargetMode="External"/><Relationship Id="rId8191" Type="http://schemas.openxmlformats.org/officeDocument/2006/relationships/hyperlink" Target="https://twitter.com/Wolke_4/status/723375357097693184" TargetMode="External"/><Relationship Id="rId11172" Type="http://schemas.openxmlformats.org/officeDocument/2006/relationships/hyperlink" Target="https://twitter.com/vwpress_en" TargetMode="External"/><Relationship Id="rId1231" Type="http://schemas.openxmlformats.org/officeDocument/2006/relationships/hyperlink" Target="https://pbs.twimg.com/profile_images/491952742551015426/Jwy076--_normal.jpeg" TargetMode="External"/><Relationship Id="rId14395" Type="http://schemas.openxmlformats.org/officeDocument/2006/relationships/hyperlink" Target="https://twitter.com/KarinaS47327470/status/723573189427646464" TargetMode="External"/><Relationship Id="rId16844" Type="http://schemas.openxmlformats.org/officeDocument/2006/relationships/hyperlink" Target="https://abs.twimg.com/sticky/default_profile_images/default_profile_0_normal.png" TargetMode="External"/><Relationship Id="rId4454" Type="http://schemas.openxmlformats.org/officeDocument/2006/relationships/hyperlink" Target="https://pbs.twimg.com/profile_images/652871584131092480/QA_B6SBO_normal.jpg" TargetMode="External"/><Relationship Id="rId6903" Type="http://schemas.openxmlformats.org/officeDocument/2006/relationships/hyperlink" Target="https://twitter.com/jonwellesley" TargetMode="External"/><Relationship Id="rId14048" Type="http://schemas.openxmlformats.org/officeDocument/2006/relationships/hyperlink" Target="https://pbs.twimg.com/profile_images/534269647982723072/r_RQChtZ_normal.jpeg" TargetMode="External"/><Relationship Id="rId21264" Type="http://schemas.openxmlformats.org/officeDocument/2006/relationships/hyperlink" Target="https://twitter.com/dubbusses/status/724133658102214656" TargetMode="External"/><Relationship Id="rId23713" Type="http://schemas.openxmlformats.org/officeDocument/2006/relationships/hyperlink" Target="https://pbs.twimg.com/profile_images/718835727027580928/1ssyQ67y_normal.jpg" TargetMode="External"/><Relationship Id="rId4107" Type="http://schemas.openxmlformats.org/officeDocument/2006/relationships/hyperlink" Target="https://pbs.twimg.com/profile_images/722217523651842048/Ry3gzzZD_normal.jpg" TargetMode="External"/><Relationship Id="rId7677" Type="http://schemas.openxmlformats.org/officeDocument/2006/relationships/hyperlink" Target="https://pbs.twimg.com/profile_images/378800000614625899/b17a3de211b0605a5d97d03f66ce6cd4_normal.png" TargetMode="External"/><Relationship Id="rId10658" Type="http://schemas.openxmlformats.org/officeDocument/2006/relationships/hyperlink" Target="https://twitter.com/KathrinCalabro" TargetMode="External"/><Relationship Id="rId24487" Type="http://schemas.openxmlformats.org/officeDocument/2006/relationships/hyperlink" Target="https://twitter.com/TheFashionPoet" TargetMode="External"/><Relationship Id="rId13131" Type="http://schemas.openxmlformats.org/officeDocument/2006/relationships/hyperlink" Target="https://twitter.com/FridayNomad/status/723535887259295749" TargetMode="External"/><Relationship Id="rId18803" Type="http://schemas.openxmlformats.org/officeDocument/2006/relationships/hyperlink" Target="https://twitter.com/brandywineap" TargetMode="External"/><Relationship Id="rId6760" Type="http://schemas.openxmlformats.org/officeDocument/2006/relationships/hyperlink" Target="https://twitter.com/goingprorogue" TargetMode="External"/><Relationship Id="rId16354" Type="http://schemas.openxmlformats.org/officeDocument/2006/relationships/hyperlink" Target="https://twitter.com/Wracktonne" TargetMode="External"/><Relationship Id="rId20000" Type="http://schemas.openxmlformats.org/officeDocument/2006/relationships/hyperlink" Target="https://twitter.com/NanoSilveiraOK" TargetMode="External"/><Relationship Id="rId23570" Type="http://schemas.openxmlformats.org/officeDocument/2006/relationships/hyperlink" Target="https://pbs.twimg.com/profile_images/627949001179037696/skEBkS05_normal.jpg" TargetMode="External"/><Relationship Id="rId6413" Type="http://schemas.openxmlformats.org/officeDocument/2006/relationships/hyperlink" Target="https://pbs.twimg.com/profile_images/424893967197433858/iQ86NktX_normal.jpeg" TargetMode="External"/><Relationship Id="rId9983" Type="http://schemas.openxmlformats.org/officeDocument/2006/relationships/hyperlink" Target="https://twitter.com/CampervanGift/status/723456982003388416" TargetMode="External"/><Relationship Id="rId16007" Type="http://schemas.openxmlformats.org/officeDocument/2006/relationships/hyperlink" Target="https://twitter.com/Tomiimz" TargetMode="External"/><Relationship Id="rId19577" Type="http://schemas.openxmlformats.org/officeDocument/2006/relationships/hyperlink" Target="https://twitter.com/ldnsecuritysynd" TargetMode="External"/><Relationship Id="rId23223" Type="http://schemas.openxmlformats.org/officeDocument/2006/relationships/hyperlink" Target="http://ctrlq.org/maps/address/" TargetMode="External"/><Relationship Id="rId9636" Type="http://schemas.openxmlformats.org/officeDocument/2006/relationships/hyperlink" Target="https://twitter.com/doern" TargetMode="External"/><Relationship Id="rId12964" Type="http://schemas.openxmlformats.org/officeDocument/2006/relationships/hyperlink" Target="https://twitter.com/AchillePrick/status/723532291146809344" TargetMode="External"/><Relationship Id="rId7187" Type="http://schemas.openxmlformats.org/officeDocument/2006/relationships/hyperlink" Target="https://twitter.com/ThreeCountyVW/status/723283932368637952" TargetMode="External"/><Relationship Id="rId10168" Type="http://schemas.openxmlformats.org/officeDocument/2006/relationships/hyperlink" Target="https://twitter.com/dw_business" TargetMode="External"/><Relationship Id="rId12617" Type="http://schemas.openxmlformats.org/officeDocument/2006/relationships/hyperlink" Target="https://twitter.com/kreisnagel" TargetMode="External"/><Relationship Id="rId18660" Type="http://schemas.openxmlformats.org/officeDocument/2006/relationships/hyperlink" Target="https://twitter.com/VWCamperSales" TargetMode="External"/><Relationship Id="rId3797" Type="http://schemas.openxmlformats.org/officeDocument/2006/relationships/hyperlink" Target="https://twitter.com/priyank3089" TargetMode="External"/><Relationship Id="rId11700" Type="http://schemas.openxmlformats.org/officeDocument/2006/relationships/hyperlink" Target="https://pbs.twimg.com/profile_images/715830673622319104/NMQLAoID_normal.jpg" TargetMode="External"/><Relationship Id="rId18313" Type="http://schemas.openxmlformats.org/officeDocument/2006/relationships/hyperlink" Target="https://twitter.com/boaz_tal" TargetMode="External"/><Relationship Id="rId22709" Type="http://schemas.openxmlformats.org/officeDocument/2006/relationships/hyperlink" Target="https://twitter.com/JanelleRBlu" TargetMode="External"/><Relationship Id="rId6270" Type="http://schemas.openxmlformats.org/officeDocument/2006/relationships/hyperlink" Target="https://twitter.com/cosmorion/status/723236946512871424" TargetMode="External"/><Relationship Id="rId23080" Type="http://schemas.openxmlformats.org/officeDocument/2006/relationships/hyperlink" Target="https://twitter.com/Scirocco_Tuning/status/724268180336680963" TargetMode="External"/><Relationship Id="rId2880" Type="http://schemas.openxmlformats.org/officeDocument/2006/relationships/hyperlink" Target="https://twitter.com/crewevw" TargetMode="External"/><Relationship Id="rId9493" Type="http://schemas.openxmlformats.org/officeDocument/2006/relationships/hyperlink" Target="https://twitter.com/Roterhai" TargetMode="External"/><Relationship Id="rId12474" Type="http://schemas.openxmlformats.org/officeDocument/2006/relationships/hyperlink" Target="https://pbs.twimg.com/profile_images/378800000609525841/bf683b759226dba86e05743861714a83_normal.jpeg" TargetMode="External"/><Relationship Id="rId14923" Type="http://schemas.openxmlformats.org/officeDocument/2006/relationships/hyperlink" Target="https://twitter.com/sine_injuria/status/723587033604718593" TargetMode="External"/><Relationship Id="rId19087" Type="http://schemas.openxmlformats.org/officeDocument/2006/relationships/hyperlink" Target="https://twitter.com/tywcc" TargetMode="External"/><Relationship Id="rId852" Type="http://schemas.openxmlformats.org/officeDocument/2006/relationships/hyperlink" Target="https://pbs.twimg.com/profile_images/718275890933809156/npH4oxJP_normal.jpg" TargetMode="External"/><Relationship Id="rId2533" Type="http://schemas.openxmlformats.org/officeDocument/2006/relationships/hyperlink" Target="http://dlvr.it/" TargetMode="External"/><Relationship Id="rId9146" Type="http://schemas.openxmlformats.org/officeDocument/2006/relationships/hyperlink" Target="https://pbs.twimg.com/profile_images/2373311233/logo_VW_CONCESSIONARIO_normal.jpg" TargetMode="External"/><Relationship Id="rId12127" Type="http://schemas.openxmlformats.org/officeDocument/2006/relationships/hyperlink" Target="https://twitter.com/MarkCSchneider/status/723513481308344320" TargetMode="External"/><Relationship Id="rId505" Type="http://schemas.openxmlformats.org/officeDocument/2006/relationships/hyperlink" Target="https://twitter.com/Technolizer/status/722962660111843328" TargetMode="External"/><Relationship Id="rId15697" Type="http://schemas.openxmlformats.org/officeDocument/2006/relationships/hyperlink" Target="https://twitter.com/urotuning/status/723620853318062080" TargetMode="External"/><Relationship Id="rId18170" Type="http://schemas.openxmlformats.org/officeDocument/2006/relationships/hyperlink" Target="https://twitter.com/mark_tipp/status/723848371413372929" TargetMode="External"/><Relationship Id="rId5409" Type="http://schemas.openxmlformats.org/officeDocument/2006/relationships/hyperlink" Target="https://pbs.twimg.com/profile_images/687948490878660608/zfU_KaT9_normal.jpg" TargetMode="External"/><Relationship Id="rId5756" Type="http://schemas.openxmlformats.org/officeDocument/2006/relationships/hyperlink" Target="https://twitter.com/VolkswagenPost" TargetMode="External"/><Relationship Id="rId22566" Type="http://schemas.openxmlformats.org/officeDocument/2006/relationships/hyperlink" Target="https://twitter.com/aavecj/status/724231164454670336" TargetMode="External"/><Relationship Id="rId8979" Type="http://schemas.openxmlformats.org/officeDocument/2006/relationships/hyperlink" Target="https://twitter.com/beetlebug1938/status/723414518706016258" TargetMode="External"/><Relationship Id="rId11210" Type="http://schemas.openxmlformats.org/officeDocument/2006/relationships/hyperlink" Target="https://twitter.com/Banane0711/status/723499318481694721" TargetMode="External"/><Relationship Id="rId14780" Type="http://schemas.openxmlformats.org/officeDocument/2006/relationships/hyperlink" Target="https://twitter.com/gabiravanelli/status/723582248243597316" TargetMode="External"/><Relationship Id="rId22219" Type="http://schemas.openxmlformats.org/officeDocument/2006/relationships/hyperlink" Target="https://twitter.com/VWCamperSales/status/724209327184080896" TargetMode="External"/><Relationship Id="rId14433" Type="http://schemas.openxmlformats.org/officeDocument/2006/relationships/hyperlink" Target="https://twitter.com/AlexWitzleben" TargetMode="External"/><Relationship Id="rId2390" Type="http://schemas.openxmlformats.org/officeDocument/2006/relationships/hyperlink" Target="https://pbs.twimg.com/profile_images/701453556604342272/TFaLiPvq_normal.jpg" TargetMode="External"/><Relationship Id="rId17656" Type="http://schemas.openxmlformats.org/officeDocument/2006/relationships/hyperlink" Target="https://twitter.com/hashtagvanlife/status/723813918313975808" TargetMode="External"/><Relationship Id="rId21302" Type="http://schemas.openxmlformats.org/officeDocument/2006/relationships/hyperlink" Target="https://twitter.com/MhvonS" TargetMode="External"/><Relationship Id="rId24872" Type="http://schemas.openxmlformats.org/officeDocument/2006/relationships/hyperlink" Target="https://twitter.com/EulalioMRomero" TargetMode="External"/><Relationship Id="rId362" Type="http://schemas.openxmlformats.org/officeDocument/2006/relationships/hyperlink" Target="https://twitter.com/beetlebug1938" TargetMode="External"/><Relationship Id="rId2043" Type="http://schemas.openxmlformats.org/officeDocument/2006/relationships/hyperlink" Target="http://tagesschau.de/" TargetMode="External"/><Relationship Id="rId7715" Type="http://schemas.openxmlformats.org/officeDocument/2006/relationships/hyperlink" Target="https://twitter.com/NicoCirujaa" TargetMode="External"/><Relationship Id="rId17309" Type="http://schemas.openxmlformats.org/officeDocument/2006/relationships/hyperlink" Target="https://twitter.com/CastleCoastCamp/status/723789162197954560" TargetMode="External"/><Relationship Id="rId24525" Type="http://schemas.openxmlformats.org/officeDocument/2006/relationships/hyperlink" Target="https://twitter.com/dubbusses" TargetMode="External"/><Relationship Id="rId5266" Type="http://schemas.openxmlformats.org/officeDocument/2006/relationships/hyperlink" Target="https://twitter.com/Scirocco_Tuning/status/723199119569891328" TargetMode="External"/><Relationship Id="rId22076" Type="http://schemas.openxmlformats.org/officeDocument/2006/relationships/hyperlink" Target="https://twitter.com/vintagosity/status/724198610108174337" TargetMode="External"/><Relationship Id="rId8489" Type="http://schemas.openxmlformats.org/officeDocument/2006/relationships/hyperlink" Target="https://pbs.twimg.com/profile_images/685910752184676352/VduIvbN-_normal.jpg" TargetMode="External"/><Relationship Id="rId13919" Type="http://schemas.openxmlformats.org/officeDocument/2006/relationships/hyperlink" Target="https://pbs.twimg.com/profile_images/562563461171798017/AkHF4keI_normal.png" TargetMode="External"/><Relationship Id="rId25299" Type="http://schemas.openxmlformats.org/officeDocument/2006/relationships/hyperlink" Target="https://twitter.com/vwpress_en/status/724429823263825921" TargetMode="External"/><Relationship Id="rId1876" Type="http://schemas.openxmlformats.org/officeDocument/2006/relationships/hyperlink" Target="https://twitter.com/TodoLoVerde" TargetMode="External"/><Relationship Id="rId14290" Type="http://schemas.openxmlformats.org/officeDocument/2006/relationships/hyperlink" Target="https://twitter.com/techie_paul" TargetMode="External"/><Relationship Id="rId19962" Type="http://schemas.openxmlformats.org/officeDocument/2006/relationships/hyperlink" Target="https://pbs.twimg.com/profile_images/661266283556655104/HKDE-JBV_normal.jpg" TargetMode="External"/><Relationship Id="rId1529" Type="http://schemas.openxmlformats.org/officeDocument/2006/relationships/hyperlink" Target="https://twitter.com/irishjulian" TargetMode="External"/><Relationship Id="rId19615" Type="http://schemas.openxmlformats.org/officeDocument/2006/relationships/hyperlink" Target="https://pbs.twimg.com/profile_images/3247035045/9844e9d67157e05905c827333dbfa0ee_normal.jpeg" TargetMode="External"/><Relationship Id="rId4002" Type="http://schemas.openxmlformats.org/officeDocument/2006/relationships/hyperlink" Target="https://pbs.twimg.com/profile_images/630263245421461504/UKhfOxLe_normal.jpg" TargetMode="External"/><Relationship Id="rId7572" Type="http://schemas.openxmlformats.org/officeDocument/2006/relationships/hyperlink" Target="https://twitter.com/amsalwajih" TargetMode="External"/><Relationship Id="rId10553" Type="http://schemas.openxmlformats.org/officeDocument/2006/relationships/hyperlink" Target="https://pbs.twimg.com/profile_images/588324718677254145/-y5BbeY4_normal.png" TargetMode="External"/><Relationship Id="rId17166" Type="http://schemas.openxmlformats.org/officeDocument/2006/relationships/hyperlink" Target="https://pbs.twimg.com/profile_images/709373395771723776/EGbN9UvT_normal.jpg" TargetMode="External"/><Relationship Id="rId24382" Type="http://schemas.openxmlformats.org/officeDocument/2006/relationships/hyperlink" Target="https://pbs.twimg.com/profile_images/718835727027580928/1ssyQ67y_normal.jpg" TargetMode="External"/><Relationship Id="rId7225" Type="http://schemas.openxmlformats.org/officeDocument/2006/relationships/hyperlink" Target="https://pbs.twimg.com/profile_images/647826405695221760/RrFcDh1m_normal.jpg" TargetMode="External"/><Relationship Id="rId10206" Type="http://schemas.openxmlformats.org/officeDocument/2006/relationships/hyperlink" Target="https://pbs.twimg.com/profile_images/581501350254628864/JkFslCBb_normal.jpg" TargetMode="External"/><Relationship Id="rId24035" Type="http://schemas.openxmlformats.org/officeDocument/2006/relationships/hyperlink" Target="https://twitter.com/VWCamperSales/status/724328196972273664" TargetMode="External"/><Relationship Id="rId13776" Type="http://schemas.openxmlformats.org/officeDocument/2006/relationships/hyperlink" Target="https://pbs.twimg.com/profile_images/378800000862202585/_gB50a0y_normal.jpeg" TargetMode="External"/><Relationship Id="rId20992" Type="http://schemas.openxmlformats.org/officeDocument/2006/relationships/hyperlink" Target="https://twitter.com/MannyGhinga" TargetMode="External"/><Relationship Id="rId1386" Type="http://schemas.openxmlformats.org/officeDocument/2006/relationships/hyperlink" Target="https://twitter.com/EnergieDevlpmt/status/723038834951221249" TargetMode="External"/><Relationship Id="rId3835" Type="http://schemas.openxmlformats.org/officeDocument/2006/relationships/hyperlink" Target="https://pbs.twimg.com/profile_images/460353506525057024/0mVmjBcX_normal.jpeg" TargetMode="External"/><Relationship Id="rId13429" Type="http://schemas.openxmlformats.org/officeDocument/2006/relationships/hyperlink" Target="https://twitter.com/piepser/status/723547036788875264" TargetMode="External"/><Relationship Id="rId16999" Type="http://schemas.openxmlformats.org/officeDocument/2006/relationships/hyperlink" Target="https://twitter.com/MoniShantiRani" TargetMode="External"/><Relationship Id="rId20645" Type="http://schemas.openxmlformats.org/officeDocument/2006/relationships/hyperlink" Target="https://twitter.com/retodiariomx" TargetMode="External"/><Relationship Id="rId1039" Type="http://schemas.openxmlformats.org/officeDocument/2006/relationships/hyperlink" Target="https://twitter.com/handelsblatt/status/723014713664262144" TargetMode="External"/><Relationship Id="rId19472" Type="http://schemas.openxmlformats.org/officeDocument/2006/relationships/hyperlink" Target="https://twitter.com/vwpress_de/status/723935752061607936" TargetMode="External"/><Relationship Id="rId23868" Type="http://schemas.openxmlformats.org/officeDocument/2006/relationships/hyperlink" Target="https://twitter.com/Scirocco_Tuning" TargetMode="External"/><Relationship Id="rId92" Type="http://schemas.openxmlformats.org/officeDocument/2006/relationships/hyperlink" Target="https://twitter.com/VWBeetleSales" TargetMode="External"/><Relationship Id="rId7082" Type="http://schemas.openxmlformats.org/officeDocument/2006/relationships/hyperlink" Target="https://pbs.twimg.com/profile_images/605053791889686528/XT0dbCZN_normal.jpg" TargetMode="External"/><Relationship Id="rId9531" Type="http://schemas.openxmlformats.org/officeDocument/2006/relationships/hyperlink" Target="https://pbs.twimg.com/profile_images/688782306794950656/FOlrxypw_normal.jpg" TargetMode="External"/><Relationship Id="rId12512" Type="http://schemas.openxmlformats.org/officeDocument/2006/relationships/hyperlink" Target="https://twitter.com/Umwelthilfe/status/723521573597138944" TargetMode="External"/><Relationship Id="rId19125" Type="http://schemas.openxmlformats.org/officeDocument/2006/relationships/hyperlink" Target="https://twitter.com/iuukeCampbell" TargetMode="External"/><Relationship Id="rId10063" Type="http://schemas.openxmlformats.org/officeDocument/2006/relationships/hyperlink" Target="https://twitter.com/Logistique01" TargetMode="External"/><Relationship Id="rId15735" Type="http://schemas.openxmlformats.org/officeDocument/2006/relationships/hyperlink" Target="https://twitter.com/CAVolgan" TargetMode="External"/><Relationship Id="rId22951" Type="http://schemas.openxmlformats.org/officeDocument/2006/relationships/hyperlink" Target="https://twitter.com/jaysmitty17" TargetMode="External"/><Relationship Id="rId3692" Type="http://schemas.openxmlformats.org/officeDocument/2006/relationships/hyperlink" Target="https://pbs.twimg.com/profile_images/742861504/KG_normal.jpg" TargetMode="External"/><Relationship Id="rId13286" Type="http://schemas.openxmlformats.org/officeDocument/2006/relationships/hyperlink" Target="https://twitter.com/chapmanphilly" TargetMode="External"/><Relationship Id="rId22604" Type="http://schemas.openxmlformats.org/officeDocument/2006/relationships/hyperlink" Target="https://pbs.twimg.com/profile_images/666952430177935362/T46eVne2_normal.png" TargetMode="External"/><Relationship Id="rId3345" Type="http://schemas.openxmlformats.org/officeDocument/2006/relationships/hyperlink" Target="https://pbs.twimg.com/profile_images/682117656502222848/Ge7YeAF3_normal.png" TargetMode="External"/><Relationship Id="rId18958" Type="http://schemas.openxmlformats.org/officeDocument/2006/relationships/hyperlink" Target="https://twitter.com/marcus_philipp1/status/723909441335103488" TargetMode="External"/><Relationship Id="rId20155" Type="http://schemas.openxmlformats.org/officeDocument/2006/relationships/hyperlink" Target="https://twitter.com/VWCamperSales/status/723977274060496896" TargetMode="External"/><Relationship Id="rId6568" Type="http://schemas.openxmlformats.org/officeDocument/2006/relationships/hyperlink" Target="https://pbs.twimg.com/profile_images/717861806505533440/RNUw53eg_normal.jpg" TargetMode="External"/><Relationship Id="rId23378" Type="http://schemas.openxmlformats.org/officeDocument/2006/relationships/hyperlink" Target="http://dlvr.it/" TargetMode="External"/><Relationship Id="rId9041" Type="http://schemas.openxmlformats.org/officeDocument/2006/relationships/hyperlink" Target="https://pbs.twimg.com/profile_images/2908590566/828967841f09b515ee36e3dfccea4d28_normal.png" TargetMode="External"/><Relationship Id="rId12022" Type="http://schemas.openxmlformats.org/officeDocument/2006/relationships/hyperlink" Target="https://twitter.com/gmlj40" TargetMode="External"/><Relationship Id="rId15592" Type="http://schemas.openxmlformats.org/officeDocument/2006/relationships/hyperlink" Target="https://twitter.com/ShaunAmor" TargetMode="External"/><Relationship Id="rId24910" Type="http://schemas.openxmlformats.org/officeDocument/2006/relationships/hyperlink" Target="https://twitter.com/Scirocco_Tuning/status/724399589642645505" TargetMode="External"/><Relationship Id="rId400" Type="http://schemas.openxmlformats.org/officeDocument/2006/relationships/hyperlink" Target="https://pbs.twimg.com/profile_images/2188709653/420231_385567048140178_106973562666196_1378230_25473722_n_normal.jpg" TargetMode="External"/><Relationship Id="rId5651" Type="http://schemas.openxmlformats.org/officeDocument/2006/relationships/hyperlink" Target="https://twitter.com/VeeDubMk1_" TargetMode="External"/><Relationship Id="rId15245" Type="http://schemas.openxmlformats.org/officeDocument/2006/relationships/hyperlink" Target="https://pbs.twimg.com/profile_images/1063894323/madmark31_normal.jpg" TargetMode="External"/><Relationship Id="rId22461" Type="http://schemas.openxmlformats.org/officeDocument/2006/relationships/hyperlink" Target="https://twitter.com/LacleGreg/status/724224303181389824" TargetMode="External"/><Relationship Id="rId5304" Type="http://schemas.openxmlformats.org/officeDocument/2006/relationships/hyperlink" Target="https://twitter.com/Histrius" TargetMode="External"/><Relationship Id="rId8874" Type="http://schemas.openxmlformats.org/officeDocument/2006/relationships/hyperlink" Target="https://twitter.com/Theothebald/status/723409912823320576" TargetMode="External"/><Relationship Id="rId18468" Type="http://schemas.openxmlformats.org/officeDocument/2006/relationships/hyperlink" Target="https://twitter.com/BurkhardRi/status/723870789674635265" TargetMode="External"/><Relationship Id="rId22114" Type="http://schemas.openxmlformats.org/officeDocument/2006/relationships/hyperlink" Target="https://pbs.twimg.com/profile_images/703294545195307008/qeCvrX86_normal.jpg" TargetMode="External"/><Relationship Id="rId25684" Type="http://schemas.openxmlformats.org/officeDocument/2006/relationships/hyperlink" Target="https://twitter.com/OnlineCarReview/status/724460623258505216" TargetMode="External"/><Relationship Id="rId8527" Type="http://schemas.openxmlformats.org/officeDocument/2006/relationships/hyperlink" Target="https://twitter.com/089stadt" TargetMode="External"/><Relationship Id="rId11855" Type="http://schemas.openxmlformats.org/officeDocument/2006/relationships/hyperlink" Target="https://twitter.com/therealbiostate" TargetMode="External"/><Relationship Id="rId25337" Type="http://schemas.openxmlformats.org/officeDocument/2006/relationships/hyperlink" Target="https://twitter.com/Carscoop" TargetMode="External"/><Relationship Id="rId1914" Type="http://schemas.openxmlformats.org/officeDocument/2006/relationships/hyperlink" Target="https://pbs.twimg.com/profile_images/691571532208959488/iOvDHSKU_normal.jpg" TargetMode="External"/><Relationship Id="rId6078" Type="http://schemas.openxmlformats.org/officeDocument/2006/relationships/hyperlink" Target="https://pbs.twimg.com/profile_images/422164778639839234/LVnS1q1c_normal.jpeg" TargetMode="External"/><Relationship Id="rId11508" Type="http://schemas.openxmlformats.org/officeDocument/2006/relationships/hyperlink" Target="https://pbs.twimg.com/profile_images/271556884/RVingTimes-0906_normal.gif" TargetMode="External"/><Relationship Id="rId17551" Type="http://schemas.openxmlformats.org/officeDocument/2006/relationships/hyperlink" Target="https://twitter.com/Eliott_Law/status/723806142015614976" TargetMode="External"/><Relationship Id="rId21947" Type="http://schemas.openxmlformats.org/officeDocument/2006/relationships/hyperlink" Target="https://twitter.com/BALLtexter" TargetMode="External"/><Relationship Id="rId2688" Type="http://schemas.openxmlformats.org/officeDocument/2006/relationships/hyperlink" Target="https://twitter.com/matzke40" TargetMode="External"/><Relationship Id="rId5161" Type="http://schemas.openxmlformats.org/officeDocument/2006/relationships/hyperlink" Target="https://twitter.com/DieMone37/status/723195804677099520" TargetMode="External"/><Relationship Id="rId7610" Type="http://schemas.openxmlformats.org/officeDocument/2006/relationships/hyperlink" Target="https://twitter.com/dannyL7055" TargetMode="External"/><Relationship Id="rId17204" Type="http://schemas.openxmlformats.org/officeDocument/2006/relationships/hyperlink" Target="https://twitter.com/triolix251" TargetMode="External"/><Relationship Id="rId24420" Type="http://schemas.openxmlformats.org/officeDocument/2006/relationships/hyperlink" Target="https://twitter.com/VWCamperSales/status/724356756223057921" TargetMode="External"/><Relationship Id="rId13814" Type="http://schemas.openxmlformats.org/officeDocument/2006/relationships/hyperlink" Target="https://pbs.twimg.com/profile_images/684707767962177536/jT-s_avc_normal.jpg" TargetMode="External"/><Relationship Id="rId1771" Type="http://schemas.openxmlformats.org/officeDocument/2006/relationships/hyperlink" Target="https://twitter.com/damugo1974/status/723055899124752384" TargetMode="External"/><Relationship Id="rId8384" Type="http://schemas.openxmlformats.org/officeDocument/2006/relationships/hyperlink" Target="https://twitter.com/Moneycab/status/723385733659009024" TargetMode="External"/><Relationship Id="rId11365" Type="http://schemas.openxmlformats.org/officeDocument/2006/relationships/hyperlink" Target="https://twitter.com/x3m_f" TargetMode="External"/><Relationship Id="rId25194" Type="http://schemas.openxmlformats.org/officeDocument/2006/relationships/hyperlink" Target="https://twitter.com/1Feedom/status/724425901711208449" TargetMode="External"/><Relationship Id="rId1424" Type="http://schemas.openxmlformats.org/officeDocument/2006/relationships/hyperlink" Target="https://twitter.com/beetlebug1938" TargetMode="External"/><Relationship Id="rId4994" Type="http://schemas.openxmlformats.org/officeDocument/2006/relationships/hyperlink" Target="https://twitter.com/VaticDJ" TargetMode="External"/><Relationship Id="rId8037" Type="http://schemas.openxmlformats.org/officeDocument/2006/relationships/hyperlink" Target="https://pbs.twimg.com/profile_images/718820712757215233/LXXndPTS_normal.jpg" TargetMode="External"/><Relationship Id="rId11018" Type="http://schemas.openxmlformats.org/officeDocument/2006/relationships/hyperlink" Target="https://twitter.com/VWCV_Hatfield/status/723494926412034048" TargetMode="External"/><Relationship Id="rId14588" Type="http://schemas.openxmlformats.org/officeDocument/2006/relationships/hyperlink" Target="https://pbs.twimg.com/profile_images/714914680997806082/geggEhGo_normal.jpg" TargetMode="External"/><Relationship Id="rId4647" Type="http://schemas.openxmlformats.org/officeDocument/2006/relationships/hyperlink" Target="https://pbs.twimg.com/profile_images/434295813154816000/Zl69okbD_normal.jpeg" TargetMode="External"/><Relationship Id="rId17061" Type="http://schemas.openxmlformats.org/officeDocument/2006/relationships/hyperlink" Target="https://pbs.twimg.com/profile_images/703294545195307008/qeCvrX86_normal.jpg" TargetMode="External"/><Relationship Id="rId19510" Type="http://schemas.openxmlformats.org/officeDocument/2006/relationships/hyperlink" Target="https://twitter.com/Liese_Mueller" TargetMode="External"/><Relationship Id="rId21457" Type="http://schemas.openxmlformats.org/officeDocument/2006/relationships/hyperlink" Target="https://pbs.twimg.com/profile_images/526657704433967104/Qpjvnhkn_normal.png" TargetMode="External"/><Relationship Id="rId23906" Type="http://schemas.openxmlformats.org/officeDocument/2006/relationships/hyperlink" Target="https://twitter.com/FennellMarcus" TargetMode="External"/><Relationship Id="rId2198" Type="http://schemas.openxmlformats.org/officeDocument/2006/relationships/hyperlink" Target="https://twitter.com/OneStepBayond/status/723087854121832448" TargetMode="External"/><Relationship Id="rId7120" Type="http://schemas.openxmlformats.org/officeDocument/2006/relationships/hyperlink" Target="https://twitter.com/simarg31/status/723280202755776513" TargetMode="External"/><Relationship Id="rId10101" Type="http://schemas.openxmlformats.org/officeDocument/2006/relationships/hyperlink" Target="https://twitter.com/stekauf/status/723462657093840896" TargetMode="External"/><Relationship Id="rId13671" Type="http://schemas.openxmlformats.org/officeDocument/2006/relationships/hyperlink" Target="https://pbs.twimg.com/profile_images/661248829682024449/IlOGOPEg_normal.jpg" TargetMode="External"/><Relationship Id="rId3730" Type="http://schemas.openxmlformats.org/officeDocument/2006/relationships/hyperlink" Target="https://pbs.twimg.com/profile_images/378800000673633859/9729e4c280465095c6f835c9f6b36378_normal.jpeg" TargetMode="External"/><Relationship Id="rId13324" Type="http://schemas.openxmlformats.org/officeDocument/2006/relationships/hyperlink" Target="https://pbs.twimg.com/profile_images/434295813154816000/Zl69okbD_normal.jpeg" TargetMode="External"/><Relationship Id="rId16894" Type="http://schemas.openxmlformats.org/officeDocument/2006/relationships/hyperlink" Target="https://twitter.com/carina_thewald" TargetMode="External"/><Relationship Id="rId20540" Type="http://schemas.openxmlformats.org/officeDocument/2006/relationships/hyperlink" Target="https://twitter.com/TinoVinoli" TargetMode="External"/><Relationship Id="rId1281" Type="http://schemas.openxmlformats.org/officeDocument/2006/relationships/hyperlink" Target="https://pbs.twimg.com/profile_images/718049797077352448/j32g6Rzn_normal.jpg" TargetMode="External"/><Relationship Id="rId6953" Type="http://schemas.openxmlformats.org/officeDocument/2006/relationships/hyperlink" Target="https://twitter.com/StohlmanAuto" TargetMode="External"/><Relationship Id="rId16547" Type="http://schemas.openxmlformats.org/officeDocument/2006/relationships/hyperlink" Target="https://twitter.com/beetlebug1938/status/723695390504157184" TargetMode="External"/><Relationship Id="rId23763" Type="http://schemas.openxmlformats.org/officeDocument/2006/relationships/hyperlink" Target="https://twitter.com/suprmotoronline/status/724309464598368256" TargetMode="External"/><Relationship Id="rId6606" Type="http://schemas.openxmlformats.org/officeDocument/2006/relationships/hyperlink" Target="https://twitter.com/SazzCharles" TargetMode="External"/><Relationship Id="rId14098" Type="http://schemas.openxmlformats.org/officeDocument/2006/relationships/hyperlink" Target="https://twitter.com/rgruhn/status/723564169539276800" TargetMode="External"/><Relationship Id="rId19020" Type="http://schemas.openxmlformats.org/officeDocument/2006/relationships/hyperlink" Target="https://pbs.twimg.com/profile_images/712069686192549889/bykYsdPj_normal.jpg" TargetMode="External"/><Relationship Id="rId23416" Type="http://schemas.openxmlformats.org/officeDocument/2006/relationships/hyperlink" Target="https://twitter.com/VWCamperSales" TargetMode="External"/><Relationship Id="rId4157" Type="http://schemas.openxmlformats.org/officeDocument/2006/relationships/hyperlink" Target="https://twitter.com/MDRaktuell" TargetMode="External"/><Relationship Id="rId9829" Type="http://schemas.openxmlformats.org/officeDocument/2006/relationships/hyperlink" Target="https://twitter.com/NDRreporter/status/723450969648844800" TargetMode="External"/><Relationship Id="rId15630" Type="http://schemas.openxmlformats.org/officeDocument/2006/relationships/hyperlink" Target="https://pbs.twimg.com/profile_images/711506516294041600/1fr0IryT_normal.jpg" TargetMode="External"/><Relationship Id="rId3240" Type="http://schemas.openxmlformats.org/officeDocument/2006/relationships/hyperlink" Target="https://twitter.com/Clari_2011R/status/723145931550543872" TargetMode="External"/><Relationship Id="rId13181" Type="http://schemas.openxmlformats.org/officeDocument/2006/relationships/hyperlink" Target="https://pbs.twimg.com/profile_images/703294545195307008/qeCvrX86_normal.jpg" TargetMode="External"/><Relationship Id="rId18853" Type="http://schemas.openxmlformats.org/officeDocument/2006/relationships/hyperlink" Target="https://twitter.com/Citlali_Gaitan" TargetMode="External"/><Relationship Id="rId8912" Type="http://schemas.openxmlformats.org/officeDocument/2006/relationships/hyperlink" Target="https://twitter.com/nomorequangos" TargetMode="External"/><Relationship Id="rId18506" Type="http://schemas.openxmlformats.org/officeDocument/2006/relationships/hyperlink" Target="https://pbs.twimg.com/profile_images/378800000085640419/5a1f5f1175065b21acf37ad3ded72eaa_normal.png" TargetMode="External"/><Relationship Id="rId20050" Type="http://schemas.openxmlformats.org/officeDocument/2006/relationships/hyperlink" Target="https://twitter.com/Insta_VWT" TargetMode="External"/><Relationship Id="rId25722" Type="http://schemas.openxmlformats.org/officeDocument/2006/relationships/hyperlink" Target="https://twitter.com/ATHOSMONT" TargetMode="External"/><Relationship Id="rId6463" Type="http://schemas.openxmlformats.org/officeDocument/2006/relationships/hyperlink" Target="https://pbs.twimg.com/profile_images/378800000124732686/07af48b9969d743cf2642901c5f8cccc_normal.jpeg" TargetMode="External"/><Relationship Id="rId16057" Type="http://schemas.openxmlformats.org/officeDocument/2006/relationships/hyperlink" Target="https://pbs.twimg.com/profile_images/721922098914930688/9X4b7rh2_normal.jpg" TargetMode="External"/><Relationship Id="rId23273" Type="http://schemas.openxmlformats.org/officeDocument/2006/relationships/hyperlink" Target="https://pbs.twimg.com/profile_images/378800000801365829/e9f28f8996ff7f098d9b8a1840e76f50_normal.png" TargetMode="External"/><Relationship Id="rId6116" Type="http://schemas.openxmlformats.org/officeDocument/2006/relationships/hyperlink" Target="https://pbs.twimg.com/profile_images/671891352/pgeorgol_normal.jpg" TargetMode="External"/><Relationship Id="rId9686" Type="http://schemas.openxmlformats.org/officeDocument/2006/relationships/hyperlink" Target="https://twitter.com/BGKSR/status/723445209082662913" TargetMode="External"/><Relationship Id="rId12667" Type="http://schemas.openxmlformats.org/officeDocument/2006/relationships/hyperlink" Target="https://pbs.twimg.com/profile_images/376745218/100-0061_Rising_normal.jpg" TargetMode="External"/><Relationship Id="rId2726" Type="http://schemas.openxmlformats.org/officeDocument/2006/relationships/hyperlink" Target="https://twitter.com/Mphilpot1" TargetMode="External"/><Relationship Id="rId9339" Type="http://schemas.openxmlformats.org/officeDocument/2006/relationships/hyperlink" Target="https://twitter.com/vwgroup_en" TargetMode="External"/><Relationship Id="rId15140" Type="http://schemas.openxmlformats.org/officeDocument/2006/relationships/hyperlink" Target="https://twitter.com/EitelStefan" TargetMode="External"/><Relationship Id="rId5949" Type="http://schemas.openxmlformats.org/officeDocument/2006/relationships/hyperlink" Target="https://pbs.twimg.com/profile_images/723123207612555264/BzKOZZOy_normal.jpg" TargetMode="External"/><Relationship Id="rId11750" Type="http://schemas.openxmlformats.org/officeDocument/2006/relationships/hyperlink" Target="https://twitter.com/bodo1962" TargetMode="External"/><Relationship Id="rId18363" Type="http://schemas.openxmlformats.org/officeDocument/2006/relationships/hyperlink" Target="https://twitter.com/VolkswagenPost/status/723865728244453376" TargetMode="External"/><Relationship Id="rId22759" Type="http://schemas.openxmlformats.org/officeDocument/2006/relationships/hyperlink" Target="https://twitter.com/sayurioyamada" TargetMode="External"/><Relationship Id="rId8422" Type="http://schemas.openxmlformats.org/officeDocument/2006/relationships/hyperlink" Target="https://twitter.com/lecho" TargetMode="External"/><Relationship Id="rId11403" Type="http://schemas.openxmlformats.org/officeDocument/2006/relationships/hyperlink" Target="https://pbs.twimg.com/profile_images/689411033224478720/kbqGJ8wA_normal.jpg" TargetMode="External"/><Relationship Id="rId14973" Type="http://schemas.openxmlformats.org/officeDocument/2006/relationships/hyperlink" Target="https://twitter.com/DubLuvTuning/status/723588357314482177" TargetMode="External"/><Relationship Id="rId18016" Type="http://schemas.openxmlformats.org/officeDocument/2006/relationships/hyperlink" Target="https://twitter.com/fys_yukio" TargetMode="External"/><Relationship Id="rId25232" Type="http://schemas.openxmlformats.org/officeDocument/2006/relationships/hyperlink" Target="https://twitter.com/dubbusses/status/724428032245637121" TargetMode="External"/><Relationship Id="rId14626" Type="http://schemas.openxmlformats.org/officeDocument/2006/relationships/hyperlink" Target="https://twitter.com/agtomlinson_uk/status/723577664100028416" TargetMode="External"/><Relationship Id="rId21842" Type="http://schemas.openxmlformats.org/officeDocument/2006/relationships/hyperlink" Target="https://pbs.twimg.com/profile_images/652871584131092480/QA_B6SBO_normal.jpg" TargetMode="External"/><Relationship Id="rId2583" Type="http://schemas.openxmlformats.org/officeDocument/2006/relationships/hyperlink" Target="https://twitter.com/ArcticPreserve/status/723107059626074112" TargetMode="External"/><Relationship Id="rId9196" Type="http://schemas.openxmlformats.org/officeDocument/2006/relationships/hyperlink" Target="https://twitter.com/VeeDubMk1_/status/723424782859956225" TargetMode="External"/><Relationship Id="rId12177" Type="http://schemas.openxmlformats.org/officeDocument/2006/relationships/hyperlink" Target="https://pbs.twimg.com/profile_images/686473748044754944/NshgOzit_normal.jpg" TargetMode="External"/><Relationship Id="rId555" Type="http://schemas.openxmlformats.org/officeDocument/2006/relationships/hyperlink" Target="https://twitter.com/BeeB4_a" TargetMode="External"/><Relationship Id="rId2236" Type="http://schemas.openxmlformats.org/officeDocument/2006/relationships/hyperlink" Target="https://twitter.com/Charms1Mulder/status/723090287887785984" TargetMode="External"/><Relationship Id="rId7908" Type="http://schemas.openxmlformats.org/officeDocument/2006/relationships/hyperlink" Target="https://twitter.com/carlos_prm176/status/723340275683344384" TargetMode="External"/><Relationship Id="rId17849" Type="http://schemas.openxmlformats.org/officeDocument/2006/relationships/hyperlink" Target="https://twitter.com/DeeCzee/status/723828669676937217" TargetMode="External"/><Relationship Id="rId208" Type="http://schemas.openxmlformats.org/officeDocument/2006/relationships/hyperlink" Target="https://twitter.com/TimDalrymple" TargetMode="External"/><Relationship Id="rId5459" Type="http://schemas.openxmlformats.org/officeDocument/2006/relationships/hyperlink" Target="https://twitter.com/bouillcoud/status/723204053040287744" TargetMode="External"/><Relationship Id="rId22269" Type="http://schemas.openxmlformats.org/officeDocument/2006/relationships/hyperlink" Target="https://twitter.com/St0psch1ld" TargetMode="External"/><Relationship Id="rId24718" Type="http://schemas.openxmlformats.org/officeDocument/2006/relationships/hyperlink" Target="https://pbs.twimg.com/profile_images/705780107844067328/e7O4UBNb_normal.jpg" TargetMode="External"/><Relationship Id="rId11260" Type="http://schemas.openxmlformats.org/officeDocument/2006/relationships/hyperlink" Target="https://pbs.twimg.com/profile_images/465803701647446016/jAlkirAe_normal.jpeg" TargetMode="External"/><Relationship Id="rId16932" Type="http://schemas.openxmlformats.org/officeDocument/2006/relationships/hyperlink" Target="https://pbs.twimg.com/profile_images/1610421423/Image2_normal.jpg" TargetMode="External"/><Relationship Id="rId14483" Type="http://schemas.openxmlformats.org/officeDocument/2006/relationships/hyperlink" Target="https://pbs.twimg.com/profile_images/554314641560846337/PQhLQK44_normal.jpeg" TargetMode="External"/><Relationship Id="rId23801" Type="http://schemas.openxmlformats.org/officeDocument/2006/relationships/hyperlink" Target="https://twitter.com/Curious_Ewe" TargetMode="External"/><Relationship Id="rId2093" Type="http://schemas.openxmlformats.org/officeDocument/2006/relationships/hyperlink" Target="https://twitter.com/VeeDubMk1_/status/723081245299740672" TargetMode="External"/><Relationship Id="rId4542" Type="http://schemas.openxmlformats.org/officeDocument/2006/relationships/hyperlink" Target="https://twitter.com/Tonelli22" TargetMode="External"/><Relationship Id="rId14136" Type="http://schemas.openxmlformats.org/officeDocument/2006/relationships/hyperlink" Target="https://pbs.twimg.com/profile_images/716842555372146688/WSYrZx4f_normal.jpg" TargetMode="External"/><Relationship Id="rId19808" Type="http://schemas.openxmlformats.org/officeDocument/2006/relationships/hyperlink" Target="https://twitter.com/hashtagvanlife" TargetMode="External"/><Relationship Id="rId21352" Type="http://schemas.openxmlformats.org/officeDocument/2006/relationships/hyperlink" Target="https://pbs.twimg.com/profile_images/378800000572104796/1de43e1cf23efb3f4101c02afad0d3b6_normal.png" TargetMode="External"/><Relationship Id="rId7765" Type="http://schemas.openxmlformats.org/officeDocument/2006/relationships/hyperlink" Target="https://pbs.twimg.com/profile_images/704750929061392384/3AmSErJg_normal.jpg" TargetMode="External"/><Relationship Id="rId10746" Type="http://schemas.openxmlformats.org/officeDocument/2006/relationships/hyperlink" Target="https://twitter.com/beetlebug1938/status/723482688036999168" TargetMode="External"/><Relationship Id="rId17359" Type="http://schemas.openxmlformats.org/officeDocument/2006/relationships/hyperlink" Target="https://twitter.com/frenja/status/723793454753538048" TargetMode="External"/><Relationship Id="rId21005" Type="http://schemas.openxmlformats.org/officeDocument/2006/relationships/hyperlink" Target="https://twitter.com/LybertusBarker/status/724080753550594048" TargetMode="External"/><Relationship Id="rId24575" Type="http://schemas.openxmlformats.org/officeDocument/2006/relationships/hyperlink" Target="https://pbs.twimg.com/profile_images/465845159607824386/C2TZw1k6_normal.jpeg" TargetMode="External"/><Relationship Id="rId7418" Type="http://schemas.openxmlformats.org/officeDocument/2006/relationships/hyperlink" Target="https://twitter.com/MotorphiliacsTv" TargetMode="External"/><Relationship Id="rId24228" Type="http://schemas.openxmlformats.org/officeDocument/2006/relationships/hyperlink" Target="https://twitter.com/mickjohan" TargetMode="External"/><Relationship Id="rId13969" Type="http://schemas.openxmlformats.org/officeDocument/2006/relationships/hyperlink" Target="http://m.e.l.o.dy/" TargetMode="External"/><Relationship Id="rId1579" Type="http://schemas.openxmlformats.org/officeDocument/2006/relationships/hyperlink" Target="https://pbs.twimg.com/profile_images/708599144546492416/bXlQViDS_normal.jpg" TargetMode="External"/><Relationship Id="rId16442" Type="http://schemas.openxmlformats.org/officeDocument/2006/relationships/hyperlink" Target="https://twitter.com/CollectHW/status/723684525583286272" TargetMode="External"/><Relationship Id="rId20838" Type="http://schemas.openxmlformats.org/officeDocument/2006/relationships/hyperlink" Target="https://pbs.twimg.com/profile_images/723355752065175552/lZOfik9L_normal.jpg" TargetMode="External"/><Relationship Id="rId4052" Type="http://schemas.openxmlformats.org/officeDocument/2006/relationships/hyperlink" Target="https://twitter.com/NochexLtd/status/723175340214874112" TargetMode="External"/><Relationship Id="rId6501" Type="http://schemas.openxmlformats.org/officeDocument/2006/relationships/hyperlink" Target="http://ctrlq.org/maps/address/" TargetMode="External"/><Relationship Id="rId19665" Type="http://schemas.openxmlformats.org/officeDocument/2006/relationships/hyperlink" Target="https://pbs.twimg.com/profile_images/722272615197446144/dz1hIDzD_normal.jpg" TargetMode="External"/><Relationship Id="rId23311" Type="http://schemas.openxmlformats.org/officeDocument/2006/relationships/hyperlink" Target="https://twitter.com/VeeDubMk1_" TargetMode="External"/><Relationship Id="rId9724" Type="http://schemas.openxmlformats.org/officeDocument/2006/relationships/hyperlink" Target="https://twitter.com/halt_design/status/723447176454512640" TargetMode="External"/><Relationship Id="rId12705" Type="http://schemas.openxmlformats.org/officeDocument/2006/relationships/hyperlink" Target="https://twitter.com/RaulRadon/status/723525601756340224" TargetMode="External"/><Relationship Id="rId19318" Type="http://schemas.openxmlformats.org/officeDocument/2006/relationships/hyperlink" Target="https://twitter.com/VeeDubMk1_" TargetMode="External"/><Relationship Id="rId7275" Type="http://schemas.openxmlformats.org/officeDocument/2006/relationships/hyperlink" Target="https://twitter.com/MikeMalloy9" TargetMode="External"/><Relationship Id="rId10256" Type="http://schemas.openxmlformats.org/officeDocument/2006/relationships/hyperlink" Target="https://twitter.com/beetlebug1938" TargetMode="External"/><Relationship Id="rId24085" Type="http://schemas.openxmlformats.org/officeDocument/2006/relationships/hyperlink" Target="https://twitter.com/McDonaldWorley" TargetMode="External"/><Relationship Id="rId3885" Type="http://schemas.openxmlformats.org/officeDocument/2006/relationships/hyperlink" Target="https://twitter.com/Fotobiene" TargetMode="External"/><Relationship Id="rId13479" Type="http://schemas.openxmlformats.org/officeDocument/2006/relationships/hyperlink" Target="https://twitter.com/VolkerVotsmeier/status/723548593806802946" TargetMode="External"/><Relationship Id="rId15928" Type="http://schemas.openxmlformats.org/officeDocument/2006/relationships/hyperlink" Target="https://twitter.com/oldcar_photo" TargetMode="External"/><Relationship Id="rId18401" Type="http://schemas.openxmlformats.org/officeDocument/2006/relationships/hyperlink" Target="https://pbs.twimg.com/profile_images/715860076217630721/S35iH7qg_normal.jpg" TargetMode="External"/><Relationship Id="rId20695" Type="http://schemas.openxmlformats.org/officeDocument/2006/relationships/hyperlink" Target="https://twitter.com/VillagraFranco5" TargetMode="External"/><Relationship Id="rId3538" Type="http://schemas.openxmlformats.org/officeDocument/2006/relationships/hyperlink" Target="https://twitter.com/JosefaTT1/status/723162907400278016" TargetMode="External"/><Relationship Id="rId20348" Type="http://schemas.openxmlformats.org/officeDocument/2006/relationships/hyperlink" Target="https://pbs.twimg.com/profile_images/533518254497890305/leQoSDPL_normal.jpeg" TargetMode="External"/><Relationship Id="rId1089" Type="http://schemas.openxmlformats.org/officeDocument/2006/relationships/hyperlink" Target="https://pbs.twimg.com/profile_images/585985662311989249/JuiH7935_normal.jpg" TargetMode="External"/><Relationship Id="rId6011" Type="http://schemas.openxmlformats.org/officeDocument/2006/relationships/hyperlink" Target="http://dlvr.it/" TargetMode="External"/><Relationship Id="rId9581" Type="http://schemas.openxmlformats.org/officeDocument/2006/relationships/hyperlink" Target="https://twitter.com/VWCamperSales" TargetMode="External"/><Relationship Id="rId19175" Type="http://schemas.openxmlformats.org/officeDocument/2006/relationships/hyperlink" Target="https://pbs.twimg.com/profile_images/1610421423/Image2_normal.jpg" TargetMode="External"/><Relationship Id="rId9234" Type="http://schemas.openxmlformats.org/officeDocument/2006/relationships/hyperlink" Target="https://twitter.com/NDRinfo" TargetMode="External"/><Relationship Id="rId12562" Type="http://schemas.openxmlformats.org/officeDocument/2006/relationships/hyperlink" Target="https://pbs.twimg.com/profile_images/474185502388518912/sROk9L0u_normal.png" TargetMode="External"/><Relationship Id="rId940" Type="http://schemas.openxmlformats.org/officeDocument/2006/relationships/hyperlink" Target="https://pbs.twimg.com/profile_images/649188305096019968/QRO2H696_normal.jpg" TargetMode="External"/><Relationship Id="rId2621" Type="http://schemas.openxmlformats.org/officeDocument/2006/relationships/hyperlink" Target="https://pbs.twimg.com/profile_images/711506811044630528/iPmEbHu-_normal.jpg" TargetMode="External"/><Relationship Id="rId12215" Type="http://schemas.openxmlformats.org/officeDocument/2006/relationships/hyperlink" Target="https://twitter.com/WFeulner/status/723515088704028672" TargetMode="External"/><Relationship Id="rId15785" Type="http://schemas.openxmlformats.org/officeDocument/2006/relationships/hyperlink" Target="https://twitter.com/RCVolkswagen" TargetMode="External"/><Relationship Id="rId5844" Type="http://schemas.openxmlformats.org/officeDocument/2006/relationships/hyperlink" Target="https://pbs.twimg.com/profile_images/662841091641573377/4qXuW9LX_normal.jpg" TargetMode="External"/><Relationship Id="rId15438" Type="http://schemas.openxmlformats.org/officeDocument/2006/relationships/hyperlink" Target="https://pbs.twimg.com/profile_images/478129573243011072/IFObbHde_normal.jpeg" TargetMode="External"/><Relationship Id="rId22654" Type="http://schemas.openxmlformats.org/officeDocument/2006/relationships/hyperlink" Target="https://twitter.com/Imtweetingtoo" TargetMode="External"/><Relationship Id="rId3395" Type="http://schemas.openxmlformats.org/officeDocument/2006/relationships/hyperlink" Target="https://twitter.com/matiascorrea250" TargetMode="External"/><Relationship Id="rId22307" Type="http://schemas.openxmlformats.org/officeDocument/2006/relationships/hyperlink" Target="https://twitter.com/VCT_Tweets/status/724213933553410048" TargetMode="External"/><Relationship Id="rId3048" Type="http://schemas.openxmlformats.org/officeDocument/2006/relationships/hyperlink" Target="https://pbs.twimg.com/profile_images/708996674396549120/_NTeAG51_normal.jpg" TargetMode="External"/><Relationship Id="rId9091" Type="http://schemas.openxmlformats.org/officeDocument/2006/relationships/hyperlink" Target="https://twitter.com/annalenaboehm" TargetMode="External"/><Relationship Id="rId12072" Type="http://schemas.openxmlformats.org/officeDocument/2006/relationships/hyperlink" Target="https://pbs.twimg.com/profile_images/713725682384310274/AzH78DuW_normal.jpg" TargetMode="External"/><Relationship Id="rId14521" Type="http://schemas.openxmlformats.org/officeDocument/2006/relationships/hyperlink" Target="https://twitter.com/iForia/status/723575084347215872" TargetMode="External"/><Relationship Id="rId450" Type="http://schemas.openxmlformats.org/officeDocument/2006/relationships/hyperlink" Target="https://twitter.com/Scirocco_Tuning/status/722960015838044161" TargetMode="External"/><Relationship Id="rId2131" Type="http://schemas.openxmlformats.org/officeDocument/2006/relationships/hyperlink" Target="https://twitter.com/ForgeMotorsport" TargetMode="External"/><Relationship Id="rId17744" Type="http://schemas.openxmlformats.org/officeDocument/2006/relationships/hyperlink" Target="https://twitter.com/Tokyogame/status/723820947766054912" TargetMode="External"/><Relationship Id="rId24960" Type="http://schemas.openxmlformats.org/officeDocument/2006/relationships/hyperlink" Target="https://twitter.com/TommyWolff" TargetMode="External"/><Relationship Id="rId103" Type="http://schemas.openxmlformats.org/officeDocument/2006/relationships/hyperlink" Target="https://twitter.com/ThreeCountyVW/status/722927329693990913" TargetMode="External"/><Relationship Id="rId7803" Type="http://schemas.openxmlformats.org/officeDocument/2006/relationships/hyperlink" Target="https://twitter.com/Luchoosoto1" TargetMode="External"/><Relationship Id="rId15295" Type="http://schemas.openxmlformats.org/officeDocument/2006/relationships/hyperlink" Target="https://twitter.com/alfievwweddings" TargetMode="External"/><Relationship Id="rId24613" Type="http://schemas.openxmlformats.org/officeDocument/2006/relationships/hyperlink" Target="https://twitter.com/israel_artismo/status/724377153018728448" TargetMode="External"/><Relationship Id="rId5354" Type="http://schemas.openxmlformats.org/officeDocument/2006/relationships/hyperlink" Target="https://twitter.com/DiscountBomb" TargetMode="External"/><Relationship Id="rId22164" Type="http://schemas.openxmlformats.org/officeDocument/2006/relationships/hyperlink" Target="https://twitter.com/motorhappy/status/724206204612911104" TargetMode="External"/><Relationship Id="rId1964" Type="http://schemas.openxmlformats.org/officeDocument/2006/relationships/hyperlink" Target="https://pbs.twimg.com/profile_images/378800000406287118/af6d14603e7f0e059e0878a766289154_normal.png" TargetMode="External"/><Relationship Id="rId5007" Type="http://schemas.openxmlformats.org/officeDocument/2006/relationships/hyperlink" Target="https://twitter.com/heutejournal/status/723191999810134016" TargetMode="External"/><Relationship Id="rId8577" Type="http://schemas.openxmlformats.org/officeDocument/2006/relationships/hyperlink" Target="https://twitter.com/LegoDustCaps/status/723395734154829824" TargetMode="External"/><Relationship Id="rId11558" Type="http://schemas.openxmlformats.org/officeDocument/2006/relationships/hyperlink" Target="https://twitter.com/Adventure_Ost/status/723503489658294272" TargetMode="External"/><Relationship Id="rId25387" Type="http://schemas.openxmlformats.org/officeDocument/2006/relationships/hyperlink" Target="https://twitter.com/adhishalawani/status/724434103848685568" TargetMode="External"/><Relationship Id="rId1617" Type="http://schemas.openxmlformats.org/officeDocument/2006/relationships/hyperlink" Target="https://twitter.com/E_Analytics/status/723049471421087744" TargetMode="External"/><Relationship Id="rId14031" Type="http://schemas.openxmlformats.org/officeDocument/2006/relationships/hyperlink" Target="https://twitter.com/ebaycampervans/status/723562043765182464" TargetMode="External"/><Relationship Id="rId7660" Type="http://schemas.openxmlformats.org/officeDocument/2006/relationships/hyperlink" Target="https://twitter.com/HERNANSALDANAC/status/723322103278243840" TargetMode="External"/><Relationship Id="rId17254" Type="http://schemas.openxmlformats.org/officeDocument/2006/relationships/hyperlink" Target="https://twitter.com/MhvonS/status/723783662257491969" TargetMode="External"/><Relationship Id="rId19703" Type="http://schemas.openxmlformats.org/officeDocument/2006/relationships/hyperlink" Target="https://twitter.com/dapper013/status/723949546716422144" TargetMode="External"/><Relationship Id="rId21997" Type="http://schemas.openxmlformats.org/officeDocument/2006/relationships/hyperlink" Target="https://pbs.twimg.com/profile_images/627949001179037696/skEBkS05_normal.jpg" TargetMode="External"/><Relationship Id="rId24470" Type="http://schemas.openxmlformats.org/officeDocument/2006/relationships/hyperlink" Target="https://twitter.com/TetsuoHojo/status/724362299985653760" TargetMode="External"/><Relationship Id="rId7313" Type="http://schemas.openxmlformats.org/officeDocument/2006/relationships/hyperlink" Target="https://pbs.twimg.com/profile_images/378800000007494586/bc21150f81e7498750e162e25845cdd3_normal.jpeg" TargetMode="External"/><Relationship Id="rId10641" Type="http://schemas.openxmlformats.org/officeDocument/2006/relationships/hyperlink" Target="https://twitter.com/irenesconcierge/status/723479562806538240" TargetMode="External"/><Relationship Id="rId24123" Type="http://schemas.openxmlformats.org/officeDocument/2006/relationships/hyperlink" Target="https://pbs.twimg.com/profile_images/627949001179037696/skEBkS05_normal.jpg" TargetMode="External"/><Relationship Id="rId13864" Type="http://schemas.openxmlformats.org/officeDocument/2006/relationships/hyperlink" Target="https://pbs.twimg.com/profile_images/716659837736775681/K6_4A_3q_normal.jpg" TargetMode="External"/><Relationship Id="rId3923" Type="http://schemas.openxmlformats.org/officeDocument/2006/relationships/hyperlink" Target="https://pbs.twimg.com/profile_images/710116856074522624/Z39UW3uF_normal.jpg" TargetMode="External"/><Relationship Id="rId8087" Type="http://schemas.openxmlformats.org/officeDocument/2006/relationships/hyperlink" Target="https://twitter.com/rponline" TargetMode="External"/><Relationship Id="rId13517" Type="http://schemas.openxmlformats.org/officeDocument/2006/relationships/hyperlink" Target="https://twitter.com/Scirocco_Tuning" TargetMode="External"/><Relationship Id="rId20733" Type="http://schemas.openxmlformats.org/officeDocument/2006/relationships/hyperlink" Target="https://twitter.com/VCT_Tweets/status/724032750139875329" TargetMode="External"/><Relationship Id="rId1474" Type="http://schemas.openxmlformats.org/officeDocument/2006/relationships/hyperlink" Target="https://twitter.com/JClaesz/status/723042362218270722" TargetMode="External"/><Relationship Id="rId11068" Type="http://schemas.openxmlformats.org/officeDocument/2006/relationships/hyperlink" Target="https://twitter.com/HansTheGerman" TargetMode="External"/><Relationship Id="rId19560" Type="http://schemas.openxmlformats.org/officeDocument/2006/relationships/hyperlink" Target="https://twitter.com/DomestcPlatypus/status/723940328282177537" TargetMode="External"/><Relationship Id="rId23956" Type="http://schemas.openxmlformats.org/officeDocument/2006/relationships/hyperlink" Target="https://twitter.com/Mphilpot1/status/724323198645342209" TargetMode="External"/><Relationship Id="rId1127" Type="http://schemas.openxmlformats.org/officeDocument/2006/relationships/hyperlink" Target="https://pbs.twimg.com/profile_images/506526749669093376/KljjxBrL_normal.jpeg" TargetMode="External"/><Relationship Id="rId4697" Type="http://schemas.openxmlformats.org/officeDocument/2006/relationships/hyperlink" Target="https://pbs.twimg.com/profile_images/673462865/wonky_twitter_normal.jpg" TargetMode="External"/><Relationship Id="rId19213" Type="http://schemas.openxmlformats.org/officeDocument/2006/relationships/hyperlink" Target="https://twitter.com/RlCO_DA_MAC/status/723922425650511873" TargetMode="External"/><Relationship Id="rId23609" Type="http://schemas.openxmlformats.org/officeDocument/2006/relationships/hyperlink" Target="https://pbs.twimg.com/profile_images/412598299099529217/EVA-sZ93_normal.jpeg" TargetMode="External"/><Relationship Id="rId7170" Type="http://schemas.openxmlformats.org/officeDocument/2006/relationships/hyperlink" Target="https://twitter.com/VWCamperSales/status/723282558205620228" TargetMode="External"/><Relationship Id="rId10151" Type="http://schemas.openxmlformats.org/officeDocument/2006/relationships/hyperlink" Target="https://twitter.com/FOCUS_MONEY/status/723464762181443584" TargetMode="External"/><Relationship Id="rId12600" Type="http://schemas.openxmlformats.org/officeDocument/2006/relationships/hyperlink" Target="https://twitter.com/frank_volk/status/723523109018570753" TargetMode="External"/><Relationship Id="rId15823" Type="http://schemas.openxmlformats.org/officeDocument/2006/relationships/hyperlink" Target="https://pbs.twimg.com/profile_images/639842759977869312/s5MnDIfQ_normal.jpg" TargetMode="External"/><Relationship Id="rId3780" Type="http://schemas.openxmlformats.org/officeDocument/2006/relationships/hyperlink" Target="https://twitter.com/KURIERat/status/723169388443000832" TargetMode="External"/><Relationship Id="rId13374" Type="http://schemas.openxmlformats.org/officeDocument/2006/relationships/hyperlink" Target="https://twitter.com/swanswaygroup/status/723544901351137280" TargetMode="External"/><Relationship Id="rId20590" Type="http://schemas.openxmlformats.org/officeDocument/2006/relationships/hyperlink" Target="https://twitter.com/dubbusses" TargetMode="External"/><Relationship Id="rId3433" Type="http://schemas.openxmlformats.org/officeDocument/2006/relationships/hyperlink" Target="https://twitter.com/Florcitaa38/status/723158411722907649" TargetMode="External"/><Relationship Id="rId13027" Type="http://schemas.openxmlformats.org/officeDocument/2006/relationships/hyperlink" Target="https://pbs.twimg.com/profile_images/666032959875518465/txxlY-N2_normal.png" TargetMode="External"/><Relationship Id="rId16597" Type="http://schemas.openxmlformats.org/officeDocument/2006/relationships/hyperlink" Target="https://twitter.com/CamyyRc" TargetMode="External"/><Relationship Id="rId20243" Type="http://schemas.openxmlformats.org/officeDocument/2006/relationships/hyperlink" Target="https://twitter.com/m_mediouni/status/723983878935994369" TargetMode="External"/><Relationship Id="rId6656" Type="http://schemas.openxmlformats.org/officeDocument/2006/relationships/hyperlink" Target="https://twitter.com/SummersandClark" TargetMode="External"/><Relationship Id="rId19070" Type="http://schemas.openxmlformats.org/officeDocument/2006/relationships/hyperlink" Target="http://dlvr.it/" TargetMode="External"/><Relationship Id="rId23466" Type="http://schemas.openxmlformats.org/officeDocument/2006/relationships/hyperlink" Target="https://twitter.com/coccicab71" TargetMode="External"/><Relationship Id="rId6309" Type="http://schemas.openxmlformats.org/officeDocument/2006/relationships/hyperlink" Target="https://twitter.com/Josefs_Beitrag/status/723238840811532288" TargetMode="External"/><Relationship Id="rId9879" Type="http://schemas.openxmlformats.org/officeDocument/2006/relationships/hyperlink" Target="https://twitter.com/VW_OC" TargetMode="External"/><Relationship Id="rId12110" Type="http://schemas.openxmlformats.org/officeDocument/2006/relationships/hyperlink" Target="https://twitter.com/ChristophNoack" TargetMode="External"/><Relationship Id="rId23119" Type="http://schemas.openxmlformats.org/officeDocument/2006/relationships/hyperlink" Target="https://twitter.com/dubbusses/status/724269617477226496" TargetMode="External"/><Relationship Id="rId15333" Type="http://schemas.openxmlformats.org/officeDocument/2006/relationships/hyperlink" Target="https://twitter.com/Gosthtot/status/723603902348845056" TargetMode="External"/><Relationship Id="rId15680" Type="http://schemas.openxmlformats.org/officeDocument/2006/relationships/hyperlink" Target="https://pbs.twimg.com/profile_images/3308614129/d7fb2a9044c368b51a4c947a770419a2_normal.jpeg" TargetMode="External"/><Relationship Id="rId2919" Type="http://schemas.openxmlformats.org/officeDocument/2006/relationships/hyperlink" Target="https://twitter.com/hyoutanntugi" TargetMode="External"/><Relationship Id="rId3290" Type="http://schemas.openxmlformats.org/officeDocument/2006/relationships/hyperlink" Target="https://twitter.com/VWCamperSales" TargetMode="External"/><Relationship Id="rId22202" Type="http://schemas.openxmlformats.org/officeDocument/2006/relationships/hyperlink" Target="https://twitter.com/beetlebug1938" TargetMode="External"/><Relationship Id="rId8962" Type="http://schemas.openxmlformats.org/officeDocument/2006/relationships/hyperlink" Target="https://pbs.twimg.com/profile_images/2158844577/prudentia-047-11-200x300_normal.jpg" TargetMode="External"/><Relationship Id="rId11943" Type="http://schemas.openxmlformats.org/officeDocument/2006/relationships/hyperlink" Target="https://twitter.com/Karlomart/status/723510735003881472" TargetMode="External"/><Relationship Id="rId18556" Type="http://schemas.openxmlformats.org/officeDocument/2006/relationships/hyperlink" Target="https://twitter.com/StephanKrull" TargetMode="External"/><Relationship Id="rId6166" Type="http://schemas.openxmlformats.org/officeDocument/2006/relationships/hyperlink" Target="http://dlvr.it/" TargetMode="External"/><Relationship Id="rId8615" Type="http://schemas.openxmlformats.org/officeDocument/2006/relationships/hyperlink" Target="https://twitter.com/grobilixx1" TargetMode="External"/><Relationship Id="rId18209" Type="http://schemas.openxmlformats.org/officeDocument/2006/relationships/hyperlink" Target="https://twitter.com/VolkswagenPost/status/723851366611881984" TargetMode="External"/><Relationship Id="rId25425" Type="http://schemas.openxmlformats.org/officeDocument/2006/relationships/hyperlink" Target="https://pbs.twimg.com/profile_images/613134211919187968/P_pW7EHj_normal.jpg" TargetMode="External"/><Relationship Id="rId14819" Type="http://schemas.openxmlformats.org/officeDocument/2006/relationships/hyperlink" Target="https://twitter.com/bessermobil" TargetMode="External"/><Relationship Id="rId2776" Type="http://schemas.openxmlformats.org/officeDocument/2006/relationships/hyperlink" Target="https://pbs.twimg.com/profile_images/710208767569354752/1AWaTjuP_normal.jpg" TargetMode="External"/><Relationship Id="rId9389" Type="http://schemas.openxmlformats.org/officeDocument/2006/relationships/hyperlink" Target="https://twitter.com/joe_rundle/status/723433211087331328" TargetMode="External"/><Relationship Id="rId15190" Type="http://schemas.openxmlformats.org/officeDocument/2006/relationships/hyperlink" Target="https://twitter.com/KINGDONALDTRUM1/status/723598229967917057" TargetMode="External"/><Relationship Id="rId748" Type="http://schemas.openxmlformats.org/officeDocument/2006/relationships/hyperlink" Target="https://pbs.twimg.com/profile_images/1610421423/Image2_normal.jpg" TargetMode="External"/><Relationship Id="rId2429" Type="http://schemas.openxmlformats.org/officeDocument/2006/relationships/hyperlink" Target="https://pbs.twimg.com/profile_images/719482832477794305/ANIK9yYM_normal.jpg" TargetMode="External"/><Relationship Id="rId5999" Type="http://schemas.openxmlformats.org/officeDocument/2006/relationships/hyperlink" Target="https://pbs.twimg.com/profile_images/378800000798213408/aca7f23a66f75c7c5589bdb72e636b1b_normal.png" TargetMode="External"/><Relationship Id="rId8472" Type="http://schemas.openxmlformats.org/officeDocument/2006/relationships/hyperlink" Target="https://twitter.com/2112greg/status/723390465492455424" TargetMode="External"/><Relationship Id="rId13902" Type="http://schemas.openxmlformats.org/officeDocument/2006/relationships/hyperlink" Target="https://twitter.com/Lapse_of_Reason" TargetMode="External"/><Relationship Id="rId18066" Type="http://schemas.openxmlformats.org/officeDocument/2006/relationships/hyperlink" Target="https://twitter.com/eoguzbey1/status/723844066820005888" TargetMode="External"/><Relationship Id="rId25282" Type="http://schemas.openxmlformats.org/officeDocument/2006/relationships/hyperlink" Target="https://twitter.com/feedeb94" TargetMode="External"/><Relationship Id="rId8125" Type="http://schemas.openxmlformats.org/officeDocument/2006/relationships/hyperlink" Target="https://twitter.com/Ober_Franke" TargetMode="External"/><Relationship Id="rId11453" Type="http://schemas.openxmlformats.org/officeDocument/2006/relationships/hyperlink" Target="https://twitter.com/StocksTycoon/status/723502319787233281" TargetMode="External"/><Relationship Id="rId1512" Type="http://schemas.openxmlformats.org/officeDocument/2006/relationships/hyperlink" Target="https://twitter.com/BILD_Reporter" TargetMode="External"/><Relationship Id="rId11106" Type="http://schemas.openxmlformats.org/officeDocument/2006/relationships/hyperlink" Target="https://twitter.com/ruv24_de/status/723497705381736448" TargetMode="External"/><Relationship Id="rId14676" Type="http://schemas.openxmlformats.org/officeDocument/2006/relationships/hyperlink" Target="https://twitter.com/theoneliner_" TargetMode="External"/><Relationship Id="rId21892" Type="http://schemas.openxmlformats.org/officeDocument/2006/relationships/hyperlink" Target="https://twitter.com/TetsuoHojo" TargetMode="External"/><Relationship Id="rId4735" Type="http://schemas.openxmlformats.org/officeDocument/2006/relationships/hyperlink" Target="https://twitter.com/PowersOlga/status/723186298958274560" TargetMode="External"/><Relationship Id="rId14329" Type="http://schemas.openxmlformats.org/officeDocument/2006/relationships/hyperlink" Target="https://pbs.twimg.com/profile_images/531918857976299520/PZ5mIbP3_normal.jpeg" TargetMode="External"/><Relationship Id="rId17899" Type="http://schemas.openxmlformats.org/officeDocument/2006/relationships/hyperlink" Target="https://pbs.twimg.com/profile_images/627949001179037696/skEBkS05_normal.jpg" TargetMode="External"/><Relationship Id="rId21545" Type="http://schemas.openxmlformats.org/officeDocument/2006/relationships/hyperlink" Target="https://twitter.com/Tobias_aus_L/status/724157816886419456" TargetMode="External"/><Relationship Id="rId2286" Type="http://schemas.openxmlformats.org/officeDocument/2006/relationships/hyperlink" Target="https://twitter.com/GlobalEthicist" TargetMode="External"/><Relationship Id="rId7958" Type="http://schemas.openxmlformats.org/officeDocument/2006/relationships/hyperlink" Target="http://dlvr.it/" TargetMode="External"/><Relationship Id="rId24768" Type="http://schemas.openxmlformats.org/officeDocument/2006/relationships/hyperlink" Target="https://twitter.com/vamp_kris2102" TargetMode="External"/><Relationship Id="rId258" Type="http://schemas.openxmlformats.org/officeDocument/2006/relationships/hyperlink" Target="https://pbs.twimg.com/profile_images/378800000572104796/1de43e1cf23efb3f4101c02afad0d3b6_normal.png" TargetMode="External"/><Relationship Id="rId10939" Type="http://schemas.openxmlformats.org/officeDocument/2006/relationships/hyperlink" Target="https://twitter.com/aon_imports/status/723491115886850049" TargetMode="External"/><Relationship Id="rId13412" Type="http://schemas.openxmlformats.org/officeDocument/2006/relationships/hyperlink" Target="https://pbs.twimg.com/profile_images/711643745175769088/1Lqijnw5_normal.jpg" TargetMode="External"/><Relationship Id="rId16982" Type="http://schemas.openxmlformats.org/officeDocument/2006/relationships/hyperlink" Target="https://twitter.com/mmuenzl/status/723760632005275648" TargetMode="External"/><Relationship Id="rId1022" Type="http://schemas.openxmlformats.org/officeDocument/2006/relationships/hyperlink" Target="https://pbs.twimg.com/profile_images/719408466880651264/85vqYWsM_normal.jpg" TargetMode="External"/><Relationship Id="rId4592" Type="http://schemas.openxmlformats.org/officeDocument/2006/relationships/hyperlink" Target="https://twitter.com/1JulianMartinez/status/723183297577254912" TargetMode="External"/><Relationship Id="rId14186" Type="http://schemas.openxmlformats.org/officeDocument/2006/relationships/hyperlink" Target="https://twitter.com/JavierGustavo74/status/723567765991350273" TargetMode="External"/><Relationship Id="rId16635" Type="http://schemas.openxmlformats.org/officeDocument/2006/relationships/hyperlink" Target="https://twitter.com/57BDR/status/723704782221881344" TargetMode="External"/><Relationship Id="rId23851" Type="http://schemas.openxmlformats.org/officeDocument/2006/relationships/hyperlink" Target="https://pbs.twimg.com/profile_images/703294545195307008/qeCvrX86_normal.jpg" TargetMode="External"/><Relationship Id="rId4245" Type="http://schemas.openxmlformats.org/officeDocument/2006/relationships/hyperlink" Target="https://twitter.com/FabledMP/status/723178362206711809" TargetMode="External"/><Relationship Id="rId19858" Type="http://schemas.openxmlformats.org/officeDocument/2006/relationships/hyperlink" Target="https://twitter.com/RallyLatam/status/723961627972870149" TargetMode="External"/><Relationship Id="rId21055" Type="http://schemas.openxmlformats.org/officeDocument/2006/relationships/hyperlink" Target="https://twitter.com/iglesiafede1" TargetMode="External"/><Relationship Id="rId23504" Type="http://schemas.openxmlformats.org/officeDocument/2006/relationships/hyperlink" Target="https://twitter.com/VWBeetleSales" TargetMode="External"/><Relationship Id="rId9917" Type="http://schemas.openxmlformats.org/officeDocument/2006/relationships/hyperlink" Target="https://pbs.twimg.com/profile_images/672477508709785600/wUZ5ijze_normal.jpg" TargetMode="External"/><Relationship Id="rId10796" Type="http://schemas.openxmlformats.org/officeDocument/2006/relationships/hyperlink" Target="https://twitter.com/updatestrends" TargetMode="External"/><Relationship Id="rId7468" Type="http://schemas.openxmlformats.org/officeDocument/2006/relationships/hyperlink" Target="https://pbs.twimg.com/profile_images/723153526159876097/zXnwCgyx_normal.jpg" TargetMode="External"/><Relationship Id="rId10449" Type="http://schemas.openxmlformats.org/officeDocument/2006/relationships/hyperlink" Target="https://pbs.twimg.com/profile_images/422397328868122625/tPN-y7Au_normal.jpeg" TargetMode="External"/><Relationship Id="rId24278" Type="http://schemas.openxmlformats.org/officeDocument/2006/relationships/hyperlink" Target="https://pbs.twimg.com/profile_images/703294545195307008/qeCvrX86_normal.jpg" TargetMode="External"/><Relationship Id="rId16492" Type="http://schemas.openxmlformats.org/officeDocument/2006/relationships/hyperlink" Target="https://twitter.com/drjosefaria/status/723688840385445889" TargetMode="External"/><Relationship Id="rId18941" Type="http://schemas.openxmlformats.org/officeDocument/2006/relationships/hyperlink" Target="https://twitter.com/VWBeetleSales" TargetMode="External"/><Relationship Id="rId20888" Type="http://schemas.openxmlformats.org/officeDocument/2006/relationships/hyperlink" Target="https://twitter.com/Daisho_414/status/724056725180043264" TargetMode="External"/><Relationship Id="rId6551" Type="http://schemas.openxmlformats.org/officeDocument/2006/relationships/hyperlink" Target="https://twitter.com/carsdotcom/status/723245631981142016" TargetMode="External"/><Relationship Id="rId16145" Type="http://schemas.openxmlformats.org/officeDocument/2006/relationships/hyperlink" Target="https://pbs.twimg.com/profile_images/722699840338137088/gZIMZuy8_normal.jpg" TargetMode="External"/><Relationship Id="rId23361" Type="http://schemas.openxmlformats.org/officeDocument/2006/relationships/hyperlink" Target="https://twitter.com/RainerLoveiam/status/724283362668646400" TargetMode="External"/><Relationship Id="rId6204" Type="http://schemas.openxmlformats.org/officeDocument/2006/relationships/hyperlink" Target="https://pbs.twimg.com/profile_images/592687726245367808/Q5Lg2WSe_normal.jpg" TargetMode="External"/><Relationship Id="rId23014" Type="http://schemas.openxmlformats.org/officeDocument/2006/relationships/hyperlink" Target="https://pbs.twimg.com/profile_images/706919896832204800/XldtjPLx_normal.jpg" TargetMode="External"/><Relationship Id="rId9774" Type="http://schemas.openxmlformats.org/officeDocument/2006/relationships/hyperlink" Target="https://twitter.com/Edgarruedamotor/status/723448540865826816" TargetMode="External"/><Relationship Id="rId12755" Type="http://schemas.openxmlformats.org/officeDocument/2006/relationships/hyperlink" Target="https://twitter.com/Alchemy_weeH/status/723527338894336000" TargetMode="External"/><Relationship Id="rId19368" Type="http://schemas.openxmlformats.org/officeDocument/2006/relationships/hyperlink" Target="https://twitter.com/LottowinFlorida/status/723927623408205824" TargetMode="External"/><Relationship Id="rId2814" Type="http://schemas.openxmlformats.org/officeDocument/2006/relationships/hyperlink" Target="https://twitter.com/bvdvliet" TargetMode="External"/><Relationship Id="rId9427" Type="http://schemas.openxmlformats.org/officeDocument/2006/relationships/hyperlink" Target="https://pbs.twimg.com/profile_images/570022305553887232/uyEn4tET_normal.jpeg" TargetMode="External"/><Relationship Id="rId12408" Type="http://schemas.openxmlformats.org/officeDocument/2006/relationships/hyperlink" Target="https://pbs.twimg.com/profile_images/656603059733319680/7--uR5Pv_normal.jpg" TargetMode="External"/><Relationship Id="rId15978" Type="http://schemas.openxmlformats.org/officeDocument/2006/relationships/hyperlink" Target="https://pbs.twimg.com/profile_images/713569707492843521/tnA8VGeA_normal.jpg" TargetMode="External"/><Relationship Id="rId18451" Type="http://schemas.openxmlformats.org/officeDocument/2006/relationships/hyperlink" Target="https://pbs.twimg.com/profile_images/701389151199866880/TaZ_Jfoo_normal.png" TargetMode="External"/><Relationship Id="rId22847" Type="http://schemas.openxmlformats.org/officeDocument/2006/relationships/hyperlink" Target="https://twitter.com/njerynganga/status/724251976150704128" TargetMode="External"/><Relationship Id="rId3588" Type="http://schemas.openxmlformats.org/officeDocument/2006/relationships/hyperlink" Target="https://twitter.com/VolkswagenPost" TargetMode="External"/><Relationship Id="rId8510" Type="http://schemas.openxmlformats.org/officeDocument/2006/relationships/hyperlink" Target="https://pbs.twimg.com/profile_images/503024530361962496/n-EQlw93_normal.jpeg" TargetMode="External"/><Relationship Id="rId18104" Type="http://schemas.openxmlformats.org/officeDocument/2006/relationships/hyperlink" Target="https://pbs.twimg.com/profile_images/524531569906565120/Noxq66xP_normal.jpeg" TargetMode="External"/><Relationship Id="rId20398" Type="http://schemas.openxmlformats.org/officeDocument/2006/relationships/hyperlink" Target="https://twitter.com/SocialMAXorg" TargetMode="External"/><Relationship Id="rId25320" Type="http://schemas.openxmlformats.org/officeDocument/2006/relationships/hyperlink" Target="https://twitter.com/DeeZeeX/status/724430841108013058" TargetMode="External"/><Relationship Id="rId6061" Type="http://schemas.openxmlformats.org/officeDocument/2006/relationships/hyperlink" Target="https://twitter.com/1976talc/status/723228878945304576" TargetMode="External"/><Relationship Id="rId990" Type="http://schemas.openxmlformats.org/officeDocument/2006/relationships/hyperlink" Target="https://twitter.com/beetlebug1938" TargetMode="External"/><Relationship Id="rId2671" Type="http://schemas.openxmlformats.org/officeDocument/2006/relationships/hyperlink" Target="https://pbs.twimg.com/profile_images/3696725466/16c199ed66ba708d4680c34e9e960d1d_normal.png" TargetMode="External"/><Relationship Id="rId9284" Type="http://schemas.openxmlformats.org/officeDocument/2006/relationships/hyperlink" Target="https://pbs.twimg.com/profile_images/1096071870/Jerry_close_up_normal.jpg" TargetMode="External"/><Relationship Id="rId14714" Type="http://schemas.openxmlformats.org/officeDocument/2006/relationships/hyperlink" Target="http://dlvr.it/" TargetMode="External"/><Relationship Id="rId21930" Type="http://schemas.openxmlformats.org/officeDocument/2006/relationships/hyperlink" Target="https://pbs.twimg.com/profile_images/3632088082/ad9e738c415a8058ecbd1f77676fd198_normal.jpeg" TargetMode="External"/><Relationship Id="rId643" Type="http://schemas.openxmlformats.org/officeDocument/2006/relationships/hyperlink" Target="https://twitter.com/LarlsaLewis/status/722967576997847041" TargetMode="External"/><Relationship Id="rId2324" Type="http://schemas.openxmlformats.org/officeDocument/2006/relationships/hyperlink" Target="https://pbs.twimg.com/profile_images/707176643509538817/-s_VKgK4_normal.jpg" TargetMode="External"/><Relationship Id="rId12265" Type="http://schemas.openxmlformats.org/officeDocument/2006/relationships/hyperlink" Target="https://twitter.com/Sternenkind" TargetMode="External"/><Relationship Id="rId17937" Type="http://schemas.openxmlformats.org/officeDocument/2006/relationships/hyperlink" Target="https://twitter.com/arnopaulus" TargetMode="External"/><Relationship Id="rId5894" Type="http://schemas.openxmlformats.org/officeDocument/2006/relationships/hyperlink" Target="https://twitter.com/VWBeetleSales" TargetMode="External"/><Relationship Id="rId15488" Type="http://schemas.openxmlformats.org/officeDocument/2006/relationships/hyperlink" Target="https://pbs.twimg.com/profile_images/715481159937830913/K_ygMlAM_normal.jpg" TargetMode="External"/><Relationship Id="rId24806" Type="http://schemas.openxmlformats.org/officeDocument/2006/relationships/hyperlink" Target="https://twitter.com/Ailan_wm/status/724388698498977792" TargetMode="External"/><Relationship Id="rId3098" Type="http://schemas.openxmlformats.org/officeDocument/2006/relationships/hyperlink" Target="https://twitter.com/IAQforMN/status/723140758451134464" TargetMode="External"/><Relationship Id="rId5547" Type="http://schemas.openxmlformats.org/officeDocument/2006/relationships/hyperlink" Target="https://pbs.twimg.com/profile_images/546742188311195649/s46SZ2zw_normal.png" TargetMode="External"/><Relationship Id="rId22357" Type="http://schemas.openxmlformats.org/officeDocument/2006/relationships/hyperlink" Target="https://pbs.twimg.com/profile_images/724176400018755584/lZYHpzyJ_normal.jpg" TargetMode="External"/><Relationship Id="rId8020" Type="http://schemas.openxmlformats.org/officeDocument/2006/relationships/hyperlink" Target="https://twitter.com/MiloTheSaint" TargetMode="External"/><Relationship Id="rId11001" Type="http://schemas.openxmlformats.org/officeDocument/2006/relationships/hyperlink" Target="https://pbs.twimg.com/profile_images/456005128927981568/fQxjYrLU_normal.jpeg" TargetMode="External"/><Relationship Id="rId14571" Type="http://schemas.openxmlformats.org/officeDocument/2006/relationships/hyperlink" Target="https://pbs.twimg.com/profile_images/547471830659776512/hoBj9PzX_normal.jpeg" TargetMode="External"/><Relationship Id="rId4630" Type="http://schemas.openxmlformats.org/officeDocument/2006/relationships/hyperlink" Target="https://twitter.com/dejbanlaw/status/723183955537600512" TargetMode="External"/><Relationship Id="rId14224" Type="http://schemas.openxmlformats.org/officeDocument/2006/relationships/hyperlink" Target="https://pbs.twimg.com/profile_images/707557136646217729/FI2cHfks_normal.jpg" TargetMode="External"/><Relationship Id="rId21440" Type="http://schemas.openxmlformats.org/officeDocument/2006/relationships/hyperlink" Target="https://twitter.com/dubbusses" TargetMode="External"/><Relationship Id="rId2181" Type="http://schemas.openxmlformats.org/officeDocument/2006/relationships/hyperlink" Target="https://pbs.twimg.com/profile_images/633399603744759809/ufe5sYIT_normal.png" TargetMode="External"/><Relationship Id="rId17794" Type="http://schemas.openxmlformats.org/officeDocument/2006/relationships/hyperlink" Target="https://pbs.twimg.com/profile_images/696888675548983296/8JSr1_Bb_normal.jpg" TargetMode="External"/><Relationship Id="rId153" Type="http://schemas.openxmlformats.org/officeDocument/2006/relationships/hyperlink" Target="https://twitter.com/jyarmis" TargetMode="External"/><Relationship Id="rId7853" Type="http://schemas.openxmlformats.org/officeDocument/2006/relationships/hyperlink" Target="https://twitter.com/twizler557/status/723335022367797249" TargetMode="External"/><Relationship Id="rId10834" Type="http://schemas.openxmlformats.org/officeDocument/2006/relationships/hyperlink" Target="https://pbs.twimg.com/profile_images/565209973353771008/JyTl73gv_normal.png" TargetMode="External"/><Relationship Id="rId17447" Type="http://schemas.openxmlformats.org/officeDocument/2006/relationships/hyperlink" Target="https://twitter.com/pets4cats/status/723799517359910912" TargetMode="External"/><Relationship Id="rId24663" Type="http://schemas.openxmlformats.org/officeDocument/2006/relationships/hyperlink" Target="https://pbs.twimg.com/profile_images/718820712757215233/LXXndPTS_normal.jpg" TargetMode="External"/><Relationship Id="rId5057" Type="http://schemas.openxmlformats.org/officeDocument/2006/relationships/hyperlink" Target="https://pbs.twimg.com/profile_images/722117972672663552/zJjDQ-lz_normal.png" TargetMode="External"/><Relationship Id="rId7506" Type="http://schemas.openxmlformats.org/officeDocument/2006/relationships/hyperlink" Target="https://twitter.com/LoDijoTito" TargetMode="External"/><Relationship Id="rId24316" Type="http://schemas.openxmlformats.org/officeDocument/2006/relationships/hyperlink" Target="https://twitter.com/Vagowners/status/724347064952467456" TargetMode="External"/><Relationship Id="rId16530" Type="http://schemas.openxmlformats.org/officeDocument/2006/relationships/hyperlink" Target="https://twitter.com/GrupoAlden" TargetMode="External"/><Relationship Id="rId20926" Type="http://schemas.openxmlformats.org/officeDocument/2006/relationships/hyperlink" Target="https://pbs.twimg.com/profile_images/699868269918949376/Cc62FYNS_normal.jpg" TargetMode="External"/><Relationship Id="rId1667" Type="http://schemas.openxmlformats.org/officeDocument/2006/relationships/hyperlink" Target="https://twitter.com/Sufiy" TargetMode="External"/><Relationship Id="rId14081" Type="http://schemas.openxmlformats.org/officeDocument/2006/relationships/hyperlink" Target="https://pbs.twimg.com/profile_images/555368772446351360/eo5CBua5_normal.jpeg" TargetMode="External"/><Relationship Id="rId19753" Type="http://schemas.openxmlformats.org/officeDocument/2006/relationships/hyperlink" Target="https://twitter.com/pagiduk/status/723954129513664513" TargetMode="External"/><Relationship Id="rId4140" Type="http://schemas.openxmlformats.org/officeDocument/2006/relationships/hyperlink" Target="https://pbs.twimg.com/profile_images/378800000838147699/1b1d5a634aedb62ab272ba7fa17a9902_normal.jpeg" TargetMode="External"/><Relationship Id="rId9812" Type="http://schemas.openxmlformats.org/officeDocument/2006/relationships/hyperlink" Target="https://pbs.twimg.com/profile_images/486450295204241409/ADvbh2Wm_normal.jpeg" TargetMode="External"/><Relationship Id="rId19406" Type="http://schemas.openxmlformats.org/officeDocument/2006/relationships/hyperlink" Target="https://twitter.com/cardealsdirect/status/723929369652158466" TargetMode="External"/><Relationship Id="rId26" Type="http://schemas.openxmlformats.org/officeDocument/2006/relationships/hyperlink" Target="https://twitter.com/ice_it_down/status/722919856744620032" TargetMode="External"/><Relationship Id="rId7363" Type="http://schemas.openxmlformats.org/officeDocument/2006/relationships/hyperlink" Target="https://pbs.twimg.com/profile_images/703294545195307008/qeCvrX86_normal.jpg" TargetMode="External"/><Relationship Id="rId10691" Type="http://schemas.openxmlformats.org/officeDocument/2006/relationships/hyperlink" Target="https://twitter.com/Echo_Online" TargetMode="External"/><Relationship Id="rId24173" Type="http://schemas.openxmlformats.org/officeDocument/2006/relationships/hyperlink" Target="https://twitter.com/beetlebug1938" TargetMode="External"/><Relationship Id="rId7016" Type="http://schemas.openxmlformats.org/officeDocument/2006/relationships/hyperlink" Target="https://twitter.com/oldcar_photo/status/723274894012747776" TargetMode="External"/><Relationship Id="rId10344" Type="http://schemas.openxmlformats.org/officeDocument/2006/relationships/hyperlink" Target="https://twitter.com/_Alex_Berlin" TargetMode="External"/><Relationship Id="rId3973" Type="http://schemas.openxmlformats.org/officeDocument/2006/relationships/hyperlink" Target="http://diepresse.com/" TargetMode="External"/><Relationship Id="rId13567" Type="http://schemas.openxmlformats.org/officeDocument/2006/relationships/hyperlink" Target="https://twitter.com/BWResearch/status/723550689415315456" TargetMode="External"/><Relationship Id="rId20783" Type="http://schemas.openxmlformats.org/officeDocument/2006/relationships/hyperlink" Target="https://pbs.twimg.com/profile_images/599357023407464449/BL9Bpo6T_normal.jpg" TargetMode="External"/><Relationship Id="rId1177" Type="http://schemas.openxmlformats.org/officeDocument/2006/relationships/hyperlink" Target="https://twitter.com/yildirimege01" TargetMode="External"/><Relationship Id="rId3626" Type="http://schemas.openxmlformats.org/officeDocument/2006/relationships/hyperlink" Target="https://twitter.com/beetlebug1938" TargetMode="External"/><Relationship Id="rId16040" Type="http://schemas.openxmlformats.org/officeDocument/2006/relationships/hyperlink" Target="https://twitter.com/EricArnoldPhoto" TargetMode="External"/><Relationship Id="rId20436" Type="http://schemas.openxmlformats.org/officeDocument/2006/relationships/hyperlink" Target="https://pbs.twimg.com/profile_images/721573146306830337/ZW0NIcS2_normal.jpg" TargetMode="External"/><Relationship Id="rId6849" Type="http://schemas.openxmlformats.org/officeDocument/2006/relationships/hyperlink" Target="https://twitter.com/ralmicro/status/723264731415478273" TargetMode="External"/><Relationship Id="rId12650" Type="http://schemas.openxmlformats.org/officeDocument/2006/relationships/hyperlink" Target="https://twitter.com/fontain_eric" TargetMode="External"/><Relationship Id="rId19263" Type="http://schemas.openxmlformats.org/officeDocument/2006/relationships/hyperlink" Target="https://twitter.com/VWCamperSales" TargetMode="External"/><Relationship Id="rId23659" Type="http://schemas.openxmlformats.org/officeDocument/2006/relationships/hyperlink" Target="https://pbs.twimg.com/profile_images/708157436872380416/k7nkGBH6_normal.jpg" TargetMode="External"/><Relationship Id="rId9322" Type="http://schemas.openxmlformats.org/officeDocument/2006/relationships/hyperlink" Target="https://twitter.com/techhippie/status/723430366602612737" TargetMode="External"/><Relationship Id="rId12303" Type="http://schemas.openxmlformats.org/officeDocument/2006/relationships/hyperlink" Target="https://pbs.twimg.com/profile_images/658222913217277952/EQZeSiK5_normal.jpg" TargetMode="External"/><Relationship Id="rId15873" Type="http://schemas.openxmlformats.org/officeDocument/2006/relationships/hyperlink" Target="https://pbs.twimg.com/profile_images/609932605056786432/wJUOqKgs_normal.jpg" TargetMode="External"/><Relationship Id="rId3483" Type="http://schemas.openxmlformats.org/officeDocument/2006/relationships/hyperlink" Target="https://twitter.com/camiii_zalazar" TargetMode="External"/><Relationship Id="rId5932" Type="http://schemas.openxmlformats.org/officeDocument/2006/relationships/hyperlink" Target="https://twitter.com/kngeuro" TargetMode="External"/><Relationship Id="rId13077" Type="http://schemas.openxmlformats.org/officeDocument/2006/relationships/hyperlink" Target="https://twitter.com/gfiwg/status/723534772811636736" TargetMode="External"/><Relationship Id="rId15526" Type="http://schemas.openxmlformats.org/officeDocument/2006/relationships/hyperlink" Target="https://twitter.com/bryanRis/status/723611234826915840" TargetMode="External"/><Relationship Id="rId20293" Type="http://schemas.openxmlformats.org/officeDocument/2006/relationships/hyperlink" Target="https://pbs.twimg.com/profile_images/3108571378/b62343724ccc97a242a7314747278689_normal.png" TargetMode="External"/><Relationship Id="rId22742" Type="http://schemas.openxmlformats.org/officeDocument/2006/relationships/hyperlink" Target="https://twitter.com/VeeDubMk1_/status/724243630215565312" TargetMode="External"/><Relationship Id="rId3136" Type="http://schemas.openxmlformats.org/officeDocument/2006/relationships/hyperlink" Target="http://faz.net/" TargetMode="External"/><Relationship Id="rId18749" Type="http://schemas.openxmlformats.org/officeDocument/2006/relationships/hyperlink" Target="https://twitter.com/Insta_VWT/status/723892807115640833" TargetMode="External"/><Relationship Id="rId8808" Type="http://schemas.openxmlformats.org/officeDocument/2006/relationships/hyperlink" Target="https://twitter.com/sagaron62/status/723408081950937092" TargetMode="External"/><Relationship Id="rId25618" Type="http://schemas.openxmlformats.org/officeDocument/2006/relationships/hyperlink" Target="http://dlvr.it/" TargetMode="External"/><Relationship Id="rId6359" Type="http://schemas.openxmlformats.org/officeDocument/2006/relationships/hyperlink" Target="https://twitter.com/CStichternath/status/723240543065636865" TargetMode="External"/><Relationship Id="rId12160" Type="http://schemas.openxmlformats.org/officeDocument/2006/relationships/hyperlink" Target="https://twitter.com/Marmeladenheinz" TargetMode="External"/><Relationship Id="rId17832" Type="http://schemas.openxmlformats.org/officeDocument/2006/relationships/hyperlink" Target="https://twitter.com/WWidiwici" TargetMode="External"/><Relationship Id="rId23169" Type="http://schemas.openxmlformats.org/officeDocument/2006/relationships/hyperlink" Target="https://pbs.twimg.com/profile_images/680659598722871296/zzw1jD1__normal.jpg" TargetMode="External"/><Relationship Id="rId2969" Type="http://schemas.openxmlformats.org/officeDocument/2006/relationships/hyperlink" Target="https://pbs.twimg.com/profile_images/541706340779831296/i3McDBwN_normal.png" TargetMode="External"/><Relationship Id="rId15383" Type="http://schemas.openxmlformats.org/officeDocument/2006/relationships/hyperlink" Target="http://dlvr.it/" TargetMode="External"/><Relationship Id="rId24701" Type="http://schemas.openxmlformats.org/officeDocument/2006/relationships/hyperlink" Target="https://twitter.com/FuscaWorld" TargetMode="External"/><Relationship Id="rId5442" Type="http://schemas.openxmlformats.org/officeDocument/2006/relationships/hyperlink" Target="https://pbs.twimg.com/profile_images/474178130312044544/-U2TP65D_normal.png" TargetMode="External"/><Relationship Id="rId15036" Type="http://schemas.openxmlformats.org/officeDocument/2006/relationships/hyperlink" Target="https://twitter.com/CeasarorRome/status/723590771908206593" TargetMode="External"/><Relationship Id="rId22252" Type="http://schemas.openxmlformats.org/officeDocument/2006/relationships/hyperlink" Target="https://pbs.twimg.com/profile_images/605109420893347841/kYw1rfwB_normal.jpg" TargetMode="External"/><Relationship Id="rId8665" Type="http://schemas.openxmlformats.org/officeDocument/2006/relationships/hyperlink" Target="https://pbs.twimg.com/profile_images/1229956769/Ufomedia-Avatar_normal.jpg" TargetMode="External"/><Relationship Id="rId11993" Type="http://schemas.openxmlformats.org/officeDocument/2006/relationships/hyperlink" Target="https://twitter.com/lisduarte/status/723511668685344768" TargetMode="External"/><Relationship Id="rId18259" Type="http://schemas.openxmlformats.org/officeDocument/2006/relationships/hyperlink" Target="https://twitter.com/VWCamperSales/status/723858751422255105" TargetMode="External"/><Relationship Id="rId25475" Type="http://schemas.openxmlformats.org/officeDocument/2006/relationships/hyperlink" Target="https://twitter.com/DubLuvTuning/status/724442629346304001" TargetMode="External"/><Relationship Id="rId8318" Type="http://schemas.openxmlformats.org/officeDocument/2006/relationships/hyperlink" Target="https://pbs.twimg.com/profile_images/710612811127238657/FCUJolCM_normal.jpg" TargetMode="External"/><Relationship Id="rId11646" Type="http://schemas.openxmlformats.org/officeDocument/2006/relationships/hyperlink" Target="https://twitter.com/updayDE/status/723504925620232192" TargetMode="External"/><Relationship Id="rId25128" Type="http://schemas.openxmlformats.org/officeDocument/2006/relationships/hyperlink" Target="https://pbs.twimg.com/profile_images/378800000534775382/4bec857571a11a945880576a81c8720e_normal.jpeg" TargetMode="External"/><Relationship Id="rId1705" Type="http://schemas.openxmlformats.org/officeDocument/2006/relationships/hyperlink" Target="https://twitter.com/AFECTADOGRUPOVW/status/723054093216837633" TargetMode="External"/><Relationship Id="rId14869" Type="http://schemas.openxmlformats.org/officeDocument/2006/relationships/hyperlink" Target="https://twitter.com/VWCamperSales/status/723585689342734336" TargetMode="External"/><Relationship Id="rId4928" Type="http://schemas.openxmlformats.org/officeDocument/2006/relationships/hyperlink" Target="https://twitter.com/ClarkWDerry" TargetMode="External"/><Relationship Id="rId17342" Type="http://schemas.openxmlformats.org/officeDocument/2006/relationships/hyperlink" Target="https://twitter.com/AC_translates" TargetMode="External"/><Relationship Id="rId21738" Type="http://schemas.openxmlformats.org/officeDocument/2006/relationships/hyperlink" Target="https://pbs.twimg.com/profile_images/703294545195307008/qeCvrX86_normal.jpg" TargetMode="External"/><Relationship Id="rId798" Type="http://schemas.openxmlformats.org/officeDocument/2006/relationships/hyperlink" Target="https://twitter.com/Co_Virgini" TargetMode="External"/><Relationship Id="rId2479" Type="http://schemas.openxmlformats.org/officeDocument/2006/relationships/hyperlink" Target="https://twitter.com/businessanglr" TargetMode="External"/><Relationship Id="rId7401" Type="http://schemas.openxmlformats.org/officeDocument/2006/relationships/hyperlink" Target="https://twitter.com/MarinHybrid/status/723300346857177088" TargetMode="External"/><Relationship Id="rId24211" Type="http://schemas.openxmlformats.org/officeDocument/2006/relationships/hyperlink" Target="https://twitter.com/phindo_N/status/724338280939044866" TargetMode="External"/><Relationship Id="rId13952" Type="http://schemas.openxmlformats.org/officeDocument/2006/relationships/hyperlink" Target="https://pbs.twimg.com/profile_images/3667160779/b989f7160a0a02a82c53acdaefcb707a_normal.png" TargetMode="External"/><Relationship Id="rId1562" Type="http://schemas.openxmlformats.org/officeDocument/2006/relationships/hyperlink" Target="https://twitter.com/boerseARD" TargetMode="External"/><Relationship Id="rId8175" Type="http://schemas.openxmlformats.org/officeDocument/2006/relationships/hyperlink" Target="https://twitter.com/barbosa0622" TargetMode="External"/><Relationship Id="rId11156" Type="http://schemas.openxmlformats.org/officeDocument/2006/relationships/hyperlink" Target="https://pbs.twimg.com/profile_images/431047003091398657/VwNnWrzp_normal.jpeg" TargetMode="External"/><Relationship Id="rId13605" Type="http://schemas.openxmlformats.org/officeDocument/2006/relationships/hyperlink" Target="https://twitter.com/techhippie" TargetMode="External"/><Relationship Id="rId20821" Type="http://schemas.openxmlformats.org/officeDocument/2006/relationships/hyperlink" Target="https://twitter.com/AylenANM" TargetMode="External"/><Relationship Id="rId1215" Type="http://schemas.openxmlformats.org/officeDocument/2006/relationships/hyperlink" Target="https://twitter.com/LievenDeswaef/status/723025806616854529" TargetMode="External"/><Relationship Id="rId16828" Type="http://schemas.openxmlformats.org/officeDocument/2006/relationships/hyperlink" Target="https://twitter.com/Mysterons/status/723738663339872257" TargetMode="External"/><Relationship Id="rId4785" Type="http://schemas.openxmlformats.org/officeDocument/2006/relationships/hyperlink" Target="https://pbs.twimg.com/profile_images/600222158296457216/iI4rlpHZ_normal.jpg" TargetMode="External"/><Relationship Id="rId14379" Type="http://schemas.openxmlformats.org/officeDocument/2006/relationships/hyperlink" Target="https://twitter.com/beetlebug1938" TargetMode="External"/><Relationship Id="rId19301" Type="http://schemas.openxmlformats.org/officeDocument/2006/relationships/hyperlink" Target="https://twitter.com/SolchuCarretero/status/723926419403845632" TargetMode="External"/><Relationship Id="rId21595" Type="http://schemas.openxmlformats.org/officeDocument/2006/relationships/hyperlink" Target="https://twitter.com/nurahzz" TargetMode="External"/><Relationship Id="rId4438" Type="http://schemas.openxmlformats.org/officeDocument/2006/relationships/hyperlink" Target="https://pbs.twimg.com/profile_images/2471426330/Twitter_normal.jpg" TargetMode="External"/><Relationship Id="rId10989" Type="http://schemas.openxmlformats.org/officeDocument/2006/relationships/hyperlink" Target="https://pbs.twimg.com/profile_images/484672720420884481/dyX9G6tX_normal.jpeg" TargetMode="External"/><Relationship Id="rId15911" Type="http://schemas.openxmlformats.org/officeDocument/2006/relationships/hyperlink" Target="https://twitter.com/oliva_naza" TargetMode="External"/><Relationship Id="rId21248" Type="http://schemas.openxmlformats.org/officeDocument/2006/relationships/hyperlink" Target="https://twitter.com/GutesAltern" TargetMode="External"/><Relationship Id="rId13462" Type="http://schemas.openxmlformats.org/officeDocument/2006/relationships/hyperlink" Target="https://twitter.com/OnlineCarReview" TargetMode="External"/><Relationship Id="rId3521" Type="http://schemas.openxmlformats.org/officeDocument/2006/relationships/hyperlink" Target="https://pbs.twimg.com/profile_images/722619235722072064/saRJAyAw_normal.jpg" TargetMode="External"/><Relationship Id="rId13115" Type="http://schemas.openxmlformats.org/officeDocument/2006/relationships/hyperlink" Target="https://twitter.com/TaniaDamian/status/723535587651657729" TargetMode="External"/><Relationship Id="rId16685" Type="http://schemas.openxmlformats.org/officeDocument/2006/relationships/hyperlink" Target="https://twitter.com/Tweets4Yoga" TargetMode="External"/><Relationship Id="rId20331" Type="http://schemas.openxmlformats.org/officeDocument/2006/relationships/hyperlink" Target="https://twitter.com/LaurenH51219678/status/723991996122206210" TargetMode="External"/><Relationship Id="rId1072" Type="http://schemas.openxmlformats.org/officeDocument/2006/relationships/hyperlink" Target="https://twitter.com/GamemomManuela/status/723016268723425280" TargetMode="External"/><Relationship Id="rId6744" Type="http://schemas.openxmlformats.org/officeDocument/2006/relationships/hyperlink" Target="https://pbs.twimg.com/profile_images/583404090685796353/SFQb1Pc9_normal.jpg" TargetMode="External"/><Relationship Id="rId16338" Type="http://schemas.openxmlformats.org/officeDocument/2006/relationships/hyperlink" Target="https://pbs.twimg.com/profile_images/459064818557661184/91o9tza1_normal.jpeg" TargetMode="External"/><Relationship Id="rId23554" Type="http://schemas.openxmlformats.org/officeDocument/2006/relationships/hyperlink" Target="http://dlvr.it/" TargetMode="External"/><Relationship Id="rId4295" Type="http://schemas.openxmlformats.org/officeDocument/2006/relationships/hyperlink" Target="https://pbs.twimg.com/profile_images/530281935289851905/gYVTeJZK_normal.jpeg" TargetMode="External"/><Relationship Id="rId23207" Type="http://schemas.openxmlformats.org/officeDocument/2006/relationships/hyperlink" Target="https://pbs.twimg.com/profile_images/649590259324465152/5USqchYh_normal.jpg" TargetMode="External"/><Relationship Id="rId9967" Type="http://schemas.openxmlformats.org/officeDocument/2006/relationships/hyperlink" Target="https://twitter.com/VWCamperSales/status/723456084988448769" TargetMode="External"/><Relationship Id="rId12948" Type="http://schemas.openxmlformats.org/officeDocument/2006/relationships/hyperlink" Target="https://twitter.com/MorSvinka_83" TargetMode="External"/><Relationship Id="rId10499" Type="http://schemas.openxmlformats.org/officeDocument/2006/relationships/hyperlink" Target="https://pbs.twimg.com/profile_images/627949001179037696/skEBkS05_normal.jpg" TargetMode="External"/><Relationship Id="rId15421" Type="http://schemas.openxmlformats.org/officeDocument/2006/relationships/hyperlink" Target="https://twitter.com/Marktzyniker" TargetMode="External"/><Relationship Id="rId18991" Type="http://schemas.openxmlformats.org/officeDocument/2006/relationships/hyperlink" Target="https://twitter.com/Insta_VWT" TargetMode="External"/><Relationship Id="rId18644" Type="http://schemas.openxmlformats.org/officeDocument/2006/relationships/hyperlink" Target="https://pbs.twimg.com/profile_images/719093309738770432/-ot7iGIC_normal.jpg" TargetMode="External"/><Relationship Id="rId3031" Type="http://schemas.openxmlformats.org/officeDocument/2006/relationships/hyperlink" Target="https://twitter.com/contactTodd/status/723133288940892160" TargetMode="External"/><Relationship Id="rId8703" Type="http://schemas.openxmlformats.org/officeDocument/2006/relationships/hyperlink" Target="https://twitter.com/FelixLo525" TargetMode="External"/><Relationship Id="rId16195" Type="http://schemas.openxmlformats.org/officeDocument/2006/relationships/hyperlink" Target="https://twitter.com/VWCamperSales/status/723655658524925952" TargetMode="External"/><Relationship Id="rId25513" Type="http://schemas.openxmlformats.org/officeDocument/2006/relationships/hyperlink" Target="https://twitter.com/nomkhita12" TargetMode="External"/><Relationship Id="rId6254" Type="http://schemas.openxmlformats.org/officeDocument/2006/relationships/hyperlink" Target="https://pbs.twimg.com/profile_images/378800000534775382/4bec857571a11a945880576a81c8720e_normal.jpeg" TargetMode="External"/><Relationship Id="rId23064" Type="http://schemas.openxmlformats.org/officeDocument/2006/relationships/hyperlink" Target="http://dlvr.it/" TargetMode="External"/><Relationship Id="rId9477" Type="http://schemas.openxmlformats.org/officeDocument/2006/relationships/hyperlink" Target="https://twitter.com/berendes59" TargetMode="External"/><Relationship Id="rId14907" Type="http://schemas.openxmlformats.org/officeDocument/2006/relationships/hyperlink" Target="https://twitter.com/JJRepairchip" TargetMode="External"/><Relationship Id="rId2864" Type="http://schemas.openxmlformats.org/officeDocument/2006/relationships/hyperlink" Target="https://twitter.com/VWCamperSales" TargetMode="External"/><Relationship Id="rId12458" Type="http://schemas.openxmlformats.org/officeDocument/2006/relationships/hyperlink" Target="https://twitter.com/mokomokai/status/723519873381339138" TargetMode="External"/><Relationship Id="rId836" Type="http://schemas.openxmlformats.org/officeDocument/2006/relationships/hyperlink" Target="https://pbs.twimg.com/profile_images/530071272881803264/a_jcCmPZ_normal.png" TargetMode="External"/><Relationship Id="rId2517" Type="http://schemas.openxmlformats.org/officeDocument/2006/relationships/hyperlink" Target="https://twitter.com/fruitloopsXO/status/723103885875929088" TargetMode="External"/><Relationship Id="rId22897" Type="http://schemas.openxmlformats.org/officeDocument/2006/relationships/hyperlink" Target="https://pbs.twimg.com/profile_images/718835727027580928/1ssyQ67y_normal.jpg" TargetMode="External"/><Relationship Id="rId8560" Type="http://schemas.openxmlformats.org/officeDocument/2006/relationships/hyperlink" Target="https://pbs.twimg.com/profile_images/3359623860/c18ce51d5c09fb6c80a7cfc89e8df5bb_normal.jpeg" TargetMode="External"/><Relationship Id="rId11541" Type="http://schemas.openxmlformats.org/officeDocument/2006/relationships/hyperlink" Target="https://pbs.twimg.com/profile_images/657853466384191488/J6vAnfZr_normal.jpg" TargetMode="External"/><Relationship Id="rId18154" Type="http://schemas.openxmlformats.org/officeDocument/2006/relationships/hyperlink" Target="https://twitter.com/imtheweatherguy/status/723847554069356545" TargetMode="External"/><Relationship Id="rId25370" Type="http://schemas.openxmlformats.org/officeDocument/2006/relationships/hyperlink" Target="https://pbs.twimg.com/profile_images/569800899141177344/nVFLMSdb_normal.png" TargetMode="External"/><Relationship Id="rId1600" Type="http://schemas.openxmlformats.org/officeDocument/2006/relationships/hyperlink" Target="https://pbs.twimg.com/profile_images/670347577980751872/zCb6hc7V_normal.jpg" TargetMode="External"/><Relationship Id="rId8213" Type="http://schemas.openxmlformats.org/officeDocument/2006/relationships/hyperlink" Target="https://pbs.twimg.com/profile_images/553062410508972032/Rte2llUr_normal.jpeg" TargetMode="External"/><Relationship Id="rId25023" Type="http://schemas.openxmlformats.org/officeDocument/2006/relationships/hyperlink" Target="https://pbs.twimg.com/profile_images/653621507772387328/4qVOe7Hn_normal.jpg" TargetMode="External"/><Relationship Id="rId4823" Type="http://schemas.openxmlformats.org/officeDocument/2006/relationships/hyperlink" Target="https://twitter.com/angei_samson/status/723188487617425408" TargetMode="External"/><Relationship Id="rId14417" Type="http://schemas.openxmlformats.org/officeDocument/2006/relationships/hyperlink" Target="https://twitter.com/VWCamperSales" TargetMode="External"/><Relationship Id="rId14764" Type="http://schemas.openxmlformats.org/officeDocument/2006/relationships/hyperlink" Target="https://twitter.com/xDriversAlertx" TargetMode="External"/><Relationship Id="rId21633" Type="http://schemas.openxmlformats.org/officeDocument/2006/relationships/hyperlink" Target="https://twitter.com/autofashion_imp/status/724164090168508416" TargetMode="External"/><Relationship Id="rId21980" Type="http://schemas.openxmlformats.org/officeDocument/2006/relationships/hyperlink" Target="https://pbs.twimg.com/profile_images/682117656502222848/Ge7YeAF3_normal.png" TargetMode="External"/><Relationship Id="rId693" Type="http://schemas.openxmlformats.org/officeDocument/2006/relationships/hyperlink" Target="https://twitter.com/BarboobraB" TargetMode="External"/><Relationship Id="rId2374" Type="http://schemas.openxmlformats.org/officeDocument/2006/relationships/hyperlink" Target="http://ctrlq.org/maps/address/" TargetMode="External"/><Relationship Id="rId17987" Type="http://schemas.openxmlformats.org/officeDocument/2006/relationships/hyperlink" Target="https://twitter.com/Scirocco_Tuning/status/723839793470255104" TargetMode="External"/><Relationship Id="rId346" Type="http://schemas.openxmlformats.org/officeDocument/2006/relationships/hyperlink" Target="https://pbs.twimg.com/profile_images/723075772450107392/K9chUj8b_normal.jpg" TargetMode="External"/><Relationship Id="rId2027" Type="http://schemas.openxmlformats.org/officeDocument/2006/relationships/hyperlink" Target="https://pbs.twimg.com/profile_images/676294042716676096/x9M2eIQ-_normal.jpg" TargetMode="External"/><Relationship Id="rId5597" Type="http://schemas.openxmlformats.org/officeDocument/2006/relationships/hyperlink" Target="http://dlvr.it/" TargetMode="External"/><Relationship Id="rId24856" Type="http://schemas.openxmlformats.org/officeDocument/2006/relationships/hyperlink" Target="https://pbs.twimg.com/profile_images/690068229562241028/dtAFj2bm_normal.jpg" TargetMode="External"/><Relationship Id="rId8070" Type="http://schemas.openxmlformats.org/officeDocument/2006/relationships/hyperlink" Target="https://twitter.com/TotheFlixs/status/723362653893066753" TargetMode="External"/><Relationship Id="rId13500" Type="http://schemas.openxmlformats.org/officeDocument/2006/relationships/hyperlink" Target="https://twitter.com/joergbode/status/723548939283226625" TargetMode="External"/><Relationship Id="rId24509" Type="http://schemas.openxmlformats.org/officeDocument/2006/relationships/hyperlink" Target="https://pbs.twimg.com/profile_images/718820712757215233/LXXndPTS_normal.jpg" TargetMode="External"/><Relationship Id="rId11051" Type="http://schemas.openxmlformats.org/officeDocument/2006/relationships/hyperlink" Target="https://twitter.com/BundCBerlin/status/723495476029476864" TargetMode="External"/><Relationship Id="rId16723" Type="http://schemas.openxmlformats.org/officeDocument/2006/relationships/hyperlink" Target="https://twitter.com/breedveldusa" TargetMode="External"/><Relationship Id="rId1110" Type="http://schemas.openxmlformats.org/officeDocument/2006/relationships/hyperlink" Target="https://twitter.com/oldcar_photo/status/723020250015502336" TargetMode="External"/><Relationship Id="rId4680" Type="http://schemas.openxmlformats.org/officeDocument/2006/relationships/hyperlink" Target="https://twitter.com/CAnative89" TargetMode="External"/><Relationship Id="rId14274" Type="http://schemas.openxmlformats.org/officeDocument/2006/relationships/hyperlink" Target="https://pbs.twimg.com/profile_images/679552623641509888/_vPw9IS2_normal.png" TargetMode="External"/><Relationship Id="rId21490" Type="http://schemas.openxmlformats.org/officeDocument/2006/relationships/hyperlink" Target="https://twitter.com/Svratiti/status/724152417420451840" TargetMode="External"/><Relationship Id="rId4333" Type="http://schemas.openxmlformats.org/officeDocument/2006/relationships/hyperlink" Target="https://pbs.twimg.com/profile_images/588633732694859776/83iKcl2y_normal.jpg" TargetMode="External"/><Relationship Id="rId17497" Type="http://schemas.openxmlformats.org/officeDocument/2006/relationships/hyperlink" Target="https://twitter.com/MaxCainam" TargetMode="External"/><Relationship Id="rId19946" Type="http://schemas.openxmlformats.org/officeDocument/2006/relationships/hyperlink" Target="https://twitter.com/bneilbel/status/723964773487005696" TargetMode="External"/><Relationship Id="rId21143" Type="http://schemas.openxmlformats.org/officeDocument/2006/relationships/hyperlink" Target="https://twitter.com/Scirocco_Tuning" TargetMode="External"/><Relationship Id="rId7556" Type="http://schemas.openxmlformats.org/officeDocument/2006/relationships/hyperlink" Target="https://pbs.twimg.com/profile_images/540332176014069760/Vgc8EoEh_normal.jpeg" TargetMode="External"/><Relationship Id="rId10884" Type="http://schemas.openxmlformats.org/officeDocument/2006/relationships/hyperlink" Target="https://twitter.com/nzzwirtschaft" TargetMode="External"/><Relationship Id="rId24366" Type="http://schemas.openxmlformats.org/officeDocument/2006/relationships/hyperlink" Target="https://twitter.com/Ramzilla/status/724351538379022336" TargetMode="External"/><Relationship Id="rId7209" Type="http://schemas.openxmlformats.org/officeDocument/2006/relationships/hyperlink" Target="https://pbs.twimg.com/profile_images/667876096088653825/FOW14Ke4_normal.jpg" TargetMode="External"/><Relationship Id="rId10537" Type="http://schemas.openxmlformats.org/officeDocument/2006/relationships/hyperlink" Target="https://pbs.twimg.com/profile_images/675417445977444353/_MXUy9sP_normal.jpg" TargetMode="External"/><Relationship Id="rId24019" Type="http://schemas.openxmlformats.org/officeDocument/2006/relationships/hyperlink" Target="https://twitter.com/SaantiagoCorbal" TargetMode="External"/><Relationship Id="rId13010" Type="http://schemas.openxmlformats.org/officeDocument/2006/relationships/hyperlink" Target="https://twitter.com/helder13pach" TargetMode="External"/><Relationship Id="rId16580" Type="http://schemas.openxmlformats.org/officeDocument/2006/relationships/hyperlink" Target="https://twitter.com/rollidriver/status/723696457073745921" TargetMode="External"/><Relationship Id="rId20976" Type="http://schemas.openxmlformats.org/officeDocument/2006/relationships/hyperlink" Target="https://pbs.twimg.com/profile_images/530071272881803264/a_jcCmPZ_normal.png" TargetMode="External"/><Relationship Id="rId3819" Type="http://schemas.openxmlformats.org/officeDocument/2006/relationships/hyperlink" Target="https://twitter.com/aktionaer/status/723170103764766720" TargetMode="External"/><Relationship Id="rId16233" Type="http://schemas.openxmlformats.org/officeDocument/2006/relationships/hyperlink" Target="https://twitter.com/MDBlanchfield/status/723659905945636865" TargetMode="External"/><Relationship Id="rId20629" Type="http://schemas.openxmlformats.org/officeDocument/2006/relationships/hyperlink" Target="https://twitter.com/ash_echo7" TargetMode="External"/><Relationship Id="rId4190" Type="http://schemas.openxmlformats.org/officeDocument/2006/relationships/hyperlink" Target="https://pbs.twimg.com/profile_images/705915659411177472/uwwzgqKD_normal.jpg" TargetMode="External"/><Relationship Id="rId9862" Type="http://schemas.openxmlformats.org/officeDocument/2006/relationships/hyperlink" Target="https://twitter.com/heinripe/status/723452214136598528" TargetMode="External"/><Relationship Id="rId19456" Type="http://schemas.openxmlformats.org/officeDocument/2006/relationships/hyperlink" Target="https://twitter.com/TaxiPSMPSOE/status/723933916437032960" TargetMode="External"/><Relationship Id="rId23102" Type="http://schemas.openxmlformats.org/officeDocument/2006/relationships/hyperlink" Target="https://twitter.com/beetlebug1938" TargetMode="External"/><Relationship Id="rId76" Type="http://schemas.openxmlformats.org/officeDocument/2006/relationships/hyperlink" Target="https://twitter.com/ummanamoonji" TargetMode="External"/><Relationship Id="rId2902" Type="http://schemas.openxmlformats.org/officeDocument/2006/relationships/hyperlink" Target="https://twitter.com/shamereflect/status/723123760664965120" TargetMode="External"/><Relationship Id="rId9515" Type="http://schemas.openxmlformats.org/officeDocument/2006/relationships/hyperlink" Target="https://twitter.com/beetlebug1938/status/723437549692162053" TargetMode="External"/><Relationship Id="rId10394" Type="http://schemas.openxmlformats.org/officeDocument/2006/relationships/hyperlink" Target="https://pbs.twimg.com/profile_images/703695315862474752/uIAlAH9e_normal.jpg" TargetMode="External"/><Relationship Id="rId12843" Type="http://schemas.openxmlformats.org/officeDocument/2006/relationships/hyperlink" Target="https://twitter.com/1zonk1/status/723529187781427201" TargetMode="External"/><Relationship Id="rId19109" Type="http://schemas.openxmlformats.org/officeDocument/2006/relationships/hyperlink" Target="https://pbs.twimg.com/profile_images/594567984447787008/EsQtwO2b_normal.jpg" TargetMode="External"/><Relationship Id="rId7066" Type="http://schemas.openxmlformats.org/officeDocument/2006/relationships/hyperlink" Target="https://pbs.twimg.com/profile_images/688094450761871360/Me8IBJ6G_normal.jpg" TargetMode="External"/><Relationship Id="rId10047" Type="http://schemas.openxmlformats.org/officeDocument/2006/relationships/hyperlink" Target="https://pbs.twimg.com/profile_images/3689150960/92d347a9fd891b206f2d6df9f8d9b52e_normal.jpeg" TargetMode="External"/><Relationship Id="rId3676" Type="http://schemas.openxmlformats.org/officeDocument/2006/relationships/hyperlink" Target="https://twitter.com/hrinfo/status/723167247045259265" TargetMode="External"/><Relationship Id="rId15719" Type="http://schemas.openxmlformats.org/officeDocument/2006/relationships/hyperlink" Target="https://pbs.twimg.com/profile_images/462316696083369984/ZRV4WLSf_normal.jpeg" TargetMode="External"/><Relationship Id="rId16090" Type="http://schemas.openxmlformats.org/officeDocument/2006/relationships/hyperlink" Target="https://twitter.com/C_Pohlmann/status/723647962354737152" TargetMode="External"/><Relationship Id="rId22935" Type="http://schemas.openxmlformats.org/officeDocument/2006/relationships/hyperlink" Target="https://twitter.com/Shinra1st/status/724258626714644481" TargetMode="External"/><Relationship Id="rId3329" Type="http://schemas.openxmlformats.org/officeDocument/2006/relationships/hyperlink" Target="https://twitter.com/hashtagvanlife/status/723152025756798976" TargetMode="External"/><Relationship Id="rId20139" Type="http://schemas.openxmlformats.org/officeDocument/2006/relationships/hyperlink" Target="https://twitter.com/manchester_app" TargetMode="External"/><Relationship Id="rId20486" Type="http://schemas.openxmlformats.org/officeDocument/2006/relationships/hyperlink" Target="https://pbs.twimg.com/profile_images/1269473946/image_normal.jpg" TargetMode="External"/><Relationship Id="rId6899" Type="http://schemas.openxmlformats.org/officeDocument/2006/relationships/hyperlink" Target="https://pbs.twimg.com/profile_images/1610421423/Image2_normal.jpg" TargetMode="External"/><Relationship Id="rId14802" Type="http://schemas.openxmlformats.org/officeDocument/2006/relationships/hyperlink" Target="https://pbs.twimg.com/profile_images/722894845199691776/EIYEavtK_normal.jpg" TargetMode="External"/><Relationship Id="rId9372" Type="http://schemas.openxmlformats.org/officeDocument/2006/relationships/hyperlink" Target="https://pbs.twimg.com/profile_images/717435966605168641/hHL9WubH_normal.jpg" TargetMode="External"/><Relationship Id="rId12353" Type="http://schemas.openxmlformats.org/officeDocument/2006/relationships/hyperlink" Target="https://twitter.com/Cougs2001" TargetMode="External"/><Relationship Id="rId731" Type="http://schemas.openxmlformats.org/officeDocument/2006/relationships/hyperlink" Target="https://twitter.com/VWCamperSales/status/722975683572420609" TargetMode="External"/><Relationship Id="rId2412" Type="http://schemas.openxmlformats.org/officeDocument/2006/relationships/hyperlink" Target="https://twitter.com/VWCamperSales/status/723100255999299584" TargetMode="External"/><Relationship Id="rId5982" Type="http://schemas.openxmlformats.org/officeDocument/2006/relationships/hyperlink" Target="https://twitter.com/19TaTi92" TargetMode="External"/><Relationship Id="rId9025" Type="http://schemas.openxmlformats.org/officeDocument/2006/relationships/hyperlink" Target="https://pbs.twimg.com/profile_images/652191269934993408/5bZKOI8y_normal.jpg" TargetMode="External"/><Relationship Id="rId12006" Type="http://schemas.openxmlformats.org/officeDocument/2006/relationships/hyperlink" Target="https://pbs.twimg.com/profile_images/721964084569235456/OppvBv8m_normal.jpg" TargetMode="External"/><Relationship Id="rId15576" Type="http://schemas.openxmlformats.org/officeDocument/2006/relationships/hyperlink" Target="https://pbs.twimg.com/profile_images/550741947388686336/kltgfz2w_normal.jpeg" TargetMode="External"/><Relationship Id="rId22792" Type="http://schemas.openxmlformats.org/officeDocument/2006/relationships/hyperlink" Target="https://pbs.twimg.com/profile_images/718756731644428288/wy5uodN3_normal.jpg" TargetMode="External"/><Relationship Id="rId5635" Type="http://schemas.openxmlformats.org/officeDocument/2006/relationships/hyperlink" Target="https://pbs.twimg.com/profile_images/615493650785660928/XHUh6HOk_normal.jpg" TargetMode="External"/><Relationship Id="rId15229" Type="http://schemas.openxmlformats.org/officeDocument/2006/relationships/hyperlink" Target="https://twitter.com/RecorderTweets/status/723599713791037440" TargetMode="External"/><Relationship Id="rId22445" Type="http://schemas.openxmlformats.org/officeDocument/2006/relationships/hyperlink" Target="https://twitter.com/vwgroup_en" TargetMode="External"/><Relationship Id="rId3186" Type="http://schemas.openxmlformats.org/officeDocument/2006/relationships/hyperlink" Target="https://twitter.com/ExCEO_" TargetMode="External"/><Relationship Id="rId18799" Type="http://schemas.openxmlformats.org/officeDocument/2006/relationships/hyperlink" Target="https://pbs.twimg.com/profile_images/1442070195/ClownCar_normal.png" TargetMode="External"/><Relationship Id="rId8858" Type="http://schemas.openxmlformats.org/officeDocument/2006/relationships/hyperlink" Target="https://twitter.com/Autohaasgroep" TargetMode="External"/><Relationship Id="rId11839" Type="http://schemas.openxmlformats.org/officeDocument/2006/relationships/hyperlink" Target="https://twitter.com/bvdvliet" TargetMode="External"/><Relationship Id="rId25668" Type="http://schemas.openxmlformats.org/officeDocument/2006/relationships/hyperlink" Target="https://twitter.com/saskretweeter" TargetMode="External"/><Relationship Id="rId14312" Type="http://schemas.openxmlformats.org/officeDocument/2006/relationships/hyperlink" Target="https://twitter.com/FlorMusante_" TargetMode="External"/><Relationship Id="rId17882" Type="http://schemas.openxmlformats.org/officeDocument/2006/relationships/hyperlink" Target="https://twitter.com/VolkswagenPost/status/723830292356685824" TargetMode="External"/><Relationship Id="rId241" Type="http://schemas.openxmlformats.org/officeDocument/2006/relationships/hyperlink" Target="https://twitter.com/Tkarera" TargetMode="External"/><Relationship Id="rId7941" Type="http://schemas.openxmlformats.org/officeDocument/2006/relationships/hyperlink" Target="https://twitter.com/wikatu/status/723343445796900864" TargetMode="External"/><Relationship Id="rId17535" Type="http://schemas.openxmlformats.org/officeDocument/2006/relationships/hyperlink" Target="https://twitter.com/Eliott_Law/status/723805960809119744" TargetMode="External"/><Relationship Id="rId24751" Type="http://schemas.openxmlformats.org/officeDocument/2006/relationships/hyperlink" Target="https://twitter.com/lbrahim_has" TargetMode="External"/><Relationship Id="rId5492" Type="http://schemas.openxmlformats.org/officeDocument/2006/relationships/hyperlink" Target="https://twitter.com/revelation_book/status/723204636639797248" TargetMode="External"/><Relationship Id="rId10922" Type="http://schemas.openxmlformats.org/officeDocument/2006/relationships/hyperlink" Target="https://pbs.twimg.com/profile_images/720952664310341632/IAQabY5W_normal.jpg" TargetMode="External"/><Relationship Id="rId15086" Type="http://schemas.openxmlformats.org/officeDocument/2006/relationships/hyperlink" Target="https://twitter.com/MicaaSaleh" TargetMode="External"/><Relationship Id="rId24404" Type="http://schemas.openxmlformats.org/officeDocument/2006/relationships/hyperlink" Target="https://twitter.com/pjl1015/status/724354018940715008" TargetMode="External"/><Relationship Id="rId5145" Type="http://schemas.openxmlformats.org/officeDocument/2006/relationships/hyperlink" Target="https://twitter.com/UdoMaass" TargetMode="External"/><Relationship Id="rId1755" Type="http://schemas.openxmlformats.org/officeDocument/2006/relationships/hyperlink" Target="https://twitter.com/AndrzejNowak" TargetMode="External"/><Relationship Id="rId8368" Type="http://schemas.openxmlformats.org/officeDocument/2006/relationships/hyperlink" Target="https://twitter.com/VWsightings" TargetMode="External"/><Relationship Id="rId11349" Type="http://schemas.openxmlformats.org/officeDocument/2006/relationships/hyperlink" Target="https://pbs.twimg.com/profile_images/378800000473607074/5483f3ffc9d1f7f60302565a73c4eed6_normal.jpeg" TargetMode="External"/><Relationship Id="rId11696" Type="http://schemas.openxmlformats.org/officeDocument/2006/relationships/hyperlink" Target="https://twitter.com/cdu_tweets/status/723505619441991680" TargetMode="External"/><Relationship Id="rId25178" Type="http://schemas.openxmlformats.org/officeDocument/2006/relationships/hyperlink" Target="https://twitter.com/DeeZeeX/status/724425476828090368" TargetMode="External"/><Relationship Id="rId1408" Type="http://schemas.openxmlformats.org/officeDocument/2006/relationships/hyperlink" Target="https://pbs.twimg.com/profile_images/596082788459257856/4JBjLpzQ_normal.jpg" TargetMode="External"/><Relationship Id="rId19841" Type="http://schemas.openxmlformats.org/officeDocument/2006/relationships/hyperlink" Target="https://pbs.twimg.com/profile_images/659418025528029184/qxDTeU_Q_normal.jpg" TargetMode="External"/><Relationship Id="rId4978" Type="http://schemas.openxmlformats.org/officeDocument/2006/relationships/hyperlink" Target="https://pbs.twimg.com/profile_images/578542636140781568/2T_ukEU0_normal.jpeg" TargetMode="External"/><Relationship Id="rId9900" Type="http://schemas.openxmlformats.org/officeDocument/2006/relationships/hyperlink" Target="https://twitter.com/norbertruecker" TargetMode="External"/><Relationship Id="rId17392" Type="http://schemas.openxmlformats.org/officeDocument/2006/relationships/hyperlink" Target="https://twitter.com/MarcelSigner" TargetMode="External"/><Relationship Id="rId21788" Type="http://schemas.openxmlformats.org/officeDocument/2006/relationships/hyperlink" Target="https://twitter.com/dubbusses/status/724179021014138880" TargetMode="External"/><Relationship Id="rId7451" Type="http://schemas.openxmlformats.org/officeDocument/2006/relationships/hyperlink" Target="https://twitter.com/Hoytiboit" TargetMode="External"/><Relationship Id="rId10432" Type="http://schemas.openxmlformats.org/officeDocument/2006/relationships/hyperlink" Target="https://twitter.com/KramerFerdinand/status/723472619370991616" TargetMode="External"/><Relationship Id="rId17045" Type="http://schemas.openxmlformats.org/officeDocument/2006/relationships/hyperlink" Target="https://pbs.twimg.com/profile_images/578500949288824832/VFFH0A8N_normal.jpeg" TargetMode="External"/><Relationship Id="rId24261" Type="http://schemas.openxmlformats.org/officeDocument/2006/relationships/hyperlink" Target="https://pbs.twimg.com/profile_images/714088281739276288/gp__i-eN_normal.jpg" TargetMode="External"/><Relationship Id="rId7104" Type="http://schemas.openxmlformats.org/officeDocument/2006/relationships/hyperlink" Target="https://twitter.com/Blerrk" TargetMode="External"/><Relationship Id="rId13655" Type="http://schemas.openxmlformats.org/officeDocument/2006/relationships/hyperlink" Target="https://twitter.com/alsopi1/status/723552387693195265" TargetMode="External"/><Relationship Id="rId20871" Type="http://schemas.openxmlformats.org/officeDocument/2006/relationships/hyperlink" Target="https://pbs.twimg.com/profile_images/641421640748933120/XNuL6wLX_normal.jpg" TargetMode="External"/><Relationship Id="rId3714" Type="http://schemas.openxmlformats.org/officeDocument/2006/relationships/hyperlink" Target="https://twitter.com/MarkCSchneider/status/723168257461653505" TargetMode="External"/><Relationship Id="rId13308" Type="http://schemas.openxmlformats.org/officeDocument/2006/relationships/hyperlink" Target="https://twitter.com/beetlebug1938/status/723543130579034112" TargetMode="External"/><Relationship Id="rId20524" Type="http://schemas.openxmlformats.org/officeDocument/2006/relationships/hyperlink" Target="https://pbs.twimg.com/profile_images/506450977411440641/ABCV3PnH_normal.png" TargetMode="External"/><Relationship Id="rId1265" Type="http://schemas.openxmlformats.org/officeDocument/2006/relationships/hyperlink" Target="https://twitter.com/wiwo" TargetMode="External"/><Relationship Id="rId16878" Type="http://schemas.openxmlformats.org/officeDocument/2006/relationships/hyperlink" Target="https://twitter.com/VWBeetleSales" TargetMode="External"/><Relationship Id="rId4488" Type="http://schemas.openxmlformats.org/officeDocument/2006/relationships/hyperlink" Target="https://twitter.com/CTLawTribune" TargetMode="External"/><Relationship Id="rId6937" Type="http://schemas.openxmlformats.org/officeDocument/2006/relationships/hyperlink" Target="https://twitter.com/ttsls" TargetMode="External"/><Relationship Id="rId9410" Type="http://schemas.openxmlformats.org/officeDocument/2006/relationships/hyperlink" Target="https://twitter.com/creator_mack_/status/723434091626942464" TargetMode="External"/><Relationship Id="rId19004" Type="http://schemas.openxmlformats.org/officeDocument/2006/relationships/hyperlink" Target="https://pbs.twimg.com/profile_images/687235732889546752/wBZdkiLY_normal.jpg" TargetMode="External"/><Relationship Id="rId19351" Type="http://schemas.openxmlformats.org/officeDocument/2006/relationships/hyperlink" Target="https://twitter.com/VWBeetleSales" TargetMode="External"/><Relationship Id="rId21298" Type="http://schemas.openxmlformats.org/officeDocument/2006/relationships/hyperlink" Target="https://pbs.twimg.com/profile_images/720573378889814016/NgpA-9lN_normal.jpg" TargetMode="External"/><Relationship Id="rId23747" Type="http://schemas.openxmlformats.org/officeDocument/2006/relationships/hyperlink" Target="https://twitter.com/suplitas" TargetMode="External"/><Relationship Id="rId15961" Type="http://schemas.openxmlformats.org/officeDocument/2006/relationships/hyperlink" Target="https://twitter.com/AgustinArias0" TargetMode="External"/><Relationship Id="rId15614" Type="http://schemas.openxmlformats.org/officeDocument/2006/relationships/hyperlink" Target="https://pbs.twimg.com/profile_images/378800000673633859/9729e4c280465095c6f835c9f6b36378_normal.jpeg" TargetMode="External"/><Relationship Id="rId22830" Type="http://schemas.openxmlformats.org/officeDocument/2006/relationships/hyperlink" Target="https://pbs.twimg.com/profile_images/703561992246788097/LHkSvlz-_normal.jpg" TargetMode="External"/><Relationship Id="rId3571" Type="http://schemas.openxmlformats.org/officeDocument/2006/relationships/hyperlink" Target="https://pbs.twimg.com/profile_images/703294545195307008/qeCvrX86_normal.jpg" TargetMode="External"/><Relationship Id="rId13165" Type="http://schemas.openxmlformats.org/officeDocument/2006/relationships/hyperlink" Target="https://twitter.com/davideghilotti" TargetMode="External"/><Relationship Id="rId18837" Type="http://schemas.openxmlformats.org/officeDocument/2006/relationships/hyperlink" Target="https://pbs.twimg.com/profile_images/378800000830360955/5fb295e74c438beb9dd7777a56295953_normal.jpeg" TargetMode="External"/><Relationship Id="rId20381" Type="http://schemas.openxmlformats.org/officeDocument/2006/relationships/hyperlink" Target="https://twitter.com/Omar_hola/status/723994929953910785" TargetMode="External"/><Relationship Id="rId3224" Type="http://schemas.openxmlformats.org/officeDocument/2006/relationships/hyperlink" Target="https://twitter.com/Saantiiiaag/status/723145576099909632" TargetMode="External"/><Relationship Id="rId6794" Type="http://schemas.openxmlformats.org/officeDocument/2006/relationships/hyperlink" Target="https://twitter.com/VWCamperSales" TargetMode="External"/><Relationship Id="rId16388" Type="http://schemas.openxmlformats.org/officeDocument/2006/relationships/hyperlink" Target="https://twitter.com/Rigoler/status/723677234691735553" TargetMode="External"/><Relationship Id="rId20034" Type="http://schemas.openxmlformats.org/officeDocument/2006/relationships/hyperlink" Target="https://pbs.twimg.com/profile_images/3378184537/c20ae9a7a410821b4f189c34a63380f7_normal.png" TargetMode="External"/><Relationship Id="rId25706" Type="http://schemas.openxmlformats.org/officeDocument/2006/relationships/hyperlink" Target="https://pbs.twimg.com/profile_images/1254660487/P2243919_normal.jpg" TargetMode="External"/><Relationship Id="rId6447" Type="http://schemas.openxmlformats.org/officeDocument/2006/relationships/hyperlink" Target="http://dlvr.it/" TargetMode="External"/><Relationship Id="rId23257" Type="http://schemas.openxmlformats.org/officeDocument/2006/relationships/hyperlink" Target="https://pbs.twimg.com/profile_images/604245029486489601/bZRfHsq9_normal.jpg" TargetMode="External"/><Relationship Id="rId12998" Type="http://schemas.openxmlformats.org/officeDocument/2006/relationships/hyperlink" Target="https://twitter.com/PEREVERE/status/723532980015255554" TargetMode="External"/><Relationship Id="rId17920" Type="http://schemas.openxmlformats.org/officeDocument/2006/relationships/hyperlink" Target="https://pbs.twimg.com/profile_images/1326803950/DSC_00680001_normal.JPG" TargetMode="External"/><Relationship Id="rId15471" Type="http://schemas.openxmlformats.org/officeDocument/2006/relationships/hyperlink" Target="https://twitter.com/Scirocco_Tuning" TargetMode="External"/><Relationship Id="rId3081" Type="http://schemas.openxmlformats.org/officeDocument/2006/relationships/hyperlink" Target="http://dlvr.it/" TargetMode="External"/><Relationship Id="rId5530" Type="http://schemas.openxmlformats.org/officeDocument/2006/relationships/hyperlink" Target="https://twitter.com/carshionshow" TargetMode="External"/><Relationship Id="rId15124" Type="http://schemas.openxmlformats.org/officeDocument/2006/relationships/hyperlink" Target="https://twitter.com/VolkswagenCasey" TargetMode="External"/><Relationship Id="rId18694" Type="http://schemas.openxmlformats.org/officeDocument/2006/relationships/hyperlink" Target="https://twitter.com/Volkswagen_T25/status/723889436052885504" TargetMode="External"/><Relationship Id="rId22340" Type="http://schemas.openxmlformats.org/officeDocument/2006/relationships/hyperlink" Target="https://twitter.com/OnlineCarReview" TargetMode="External"/><Relationship Id="rId8753" Type="http://schemas.openxmlformats.org/officeDocument/2006/relationships/hyperlink" Target="https://twitter.com/pixilla" TargetMode="External"/><Relationship Id="rId11734" Type="http://schemas.openxmlformats.org/officeDocument/2006/relationships/hyperlink" Target="https://pbs.twimg.com/profile_images/631084316802482176/y_wtMQWR_normal.png" TargetMode="External"/><Relationship Id="rId18347" Type="http://schemas.openxmlformats.org/officeDocument/2006/relationships/hyperlink" Target="https://twitter.com/vwdepo" TargetMode="External"/><Relationship Id="rId25563" Type="http://schemas.openxmlformats.org/officeDocument/2006/relationships/hyperlink" Target="https://twitter.com/VolkswagenPost/status/724448315706732545" TargetMode="External"/><Relationship Id="rId8406" Type="http://schemas.openxmlformats.org/officeDocument/2006/relationships/hyperlink" Target="https://pbs.twimg.com/profile_images/556834076418527235/Y36uC3QC_normal.png" TargetMode="External"/><Relationship Id="rId25216" Type="http://schemas.openxmlformats.org/officeDocument/2006/relationships/hyperlink" Target="https://twitter.com/randyskilz/status/724427150678331392" TargetMode="External"/><Relationship Id="rId14957" Type="http://schemas.openxmlformats.org/officeDocument/2006/relationships/hyperlink" Target="https://twitter.com/EzeeHerman" TargetMode="External"/><Relationship Id="rId886" Type="http://schemas.openxmlformats.org/officeDocument/2006/relationships/hyperlink" Target="https://pbs.twimg.com/profile_images/702511217793863680/lty8h9vE_normal.jpg" TargetMode="External"/><Relationship Id="rId2567" Type="http://schemas.openxmlformats.org/officeDocument/2006/relationships/hyperlink" Target="https://twitter.com/snn_aslan" TargetMode="External"/><Relationship Id="rId17430" Type="http://schemas.openxmlformats.org/officeDocument/2006/relationships/hyperlink" Target="https://pbs.twimg.com/profile_images/530071272881803264/a_jcCmPZ_normal.png" TargetMode="External"/><Relationship Id="rId21826" Type="http://schemas.openxmlformats.org/officeDocument/2006/relationships/hyperlink" Target="https://twitter.com/CustomYourShoe/status/724182437572546560" TargetMode="External"/><Relationship Id="rId539" Type="http://schemas.openxmlformats.org/officeDocument/2006/relationships/hyperlink" Target="https://pbs.twimg.com/profile_images/540385969191792640/5UuttPGD_normal.jpeg" TargetMode="External"/><Relationship Id="rId5040" Type="http://schemas.openxmlformats.org/officeDocument/2006/relationships/hyperlink" Target="https://twitter.com/balleyreesee" TargetMode="External"/><Relationship Id="rId8263" Type="http://schemas.openxmlformats.org/officeDocument/2006/relationships/hyperlink" Target="https://twitter.com/caatimichelle/status/723379662215204864" TargetMode="External"/><Relationship Id="rId11591" Type="http://schemas.openxmlformats.org/officeDocument/2006/relationships/hyperlink" Target="https://twitter.com/JonathanEley/status/723504040915640320" TargetMode="External"/><Relationship Id="rId1650" Type="http://schemas.openxmlformats.org/officeDocument/2006/relationships/hyperlink" Target="https://twitter.com/RadoVon/status/723050854513668096" TargetMode="External"/><Relationship Id="rId11244" Type="http://schemas.openxmlformats.org/officeDocument/2006/relationships/hyperlink" Target="https://twitter.com/DirkHaehnel/status/723499631842308096" TargetMode="External"/><Relationship Id="rId16916" Type="http://schemas.openxmlformats.org/officeDocument/2006/relationships/hyperlink" Target="https://twitter.com/equatormotorsuk/status/723748499125362688" TargetMode="External"/><Relationship Id="rId25073" Type="http://schemas.openxmlformats.org/officeDocument/2006/relationships/hyperlink" Target="https://twitter.com/oldcar_photo" TargetMode="External"/><Relationship Id="rId1303" Type="http://schemas.openxmlformats.org/officeDocument/2006/relationships/hyperlink" Target="https://twitter.com/raulubian" TargetMode="External"/><Relationship Id="rId4873" Type="http://schemas.openxmlformats.org/officeDocument/2006/relationships/hyperlink" Target="https://pbs.twimg.com/profile_images/627949001179037696/skEBkS05_normal.jpg" TargetMode="External"/><Relationship Id="rId14467" Type="http://schemas.openxmlformats.org/officeDocument/2006/relationships/hyperlink" Target="https://twitter.com/MoveRally/status/723574418375598081" TargetMode="External"/><Relationship Id="rId21683" Type="http://schemas.openxmlformats.org/officeDocument/2006/relationships/hyperlink" Target="https://twitter.com/Insta_VWT/status/724168092260151297" TargetMode="External"/><Relationship Id="rId4526" Type="http://schemas.openxmlformats.org/officeDocument/2006/relationships/hyperlink" Target="https://pbs.twimg.com/profile_images/722256787009859584/vkuTNBGF_normal.jpg" TargetMode="External"/><Relationship Id="rId21336" Type="http://schemas.openxmlformats.org/officeDocument/2006/relationships/hyperlink" Target="https://twitter.com/Volkstyp2/status/724142309860868096" TargetMode="External"/><Relationship Id="rId396" Type="http://schemas.openxmlformats.org/officeDocument/2006/relationships/hyperlink" Target="https://twitter.com/srujanshinde27/status/722953219178172417" TargetMode="External"/><Relationship Id="rId2077" Type="http://schemas.openxmlformats.org/officeDocument/2006/relationships/hyperlink" Target="https://twitter.com/VWCamperSales/status/723080107628191746" TargetMode="External"/><Relationship Id="rId7749" Type="http://schemas.openxmlformats.org/officeDocument/2006/relationships/hyperlink" Target="https://twitter.com/MattyAlvez/status/723330023277600768" TargetMode="External"/><Relationship Id="rId24559" Type="http://schemas.openxmlformats.org/officeDocument/2006/relationships/hyperlink" Target="https://twitter.com/KathrynDowling/status/724372015797420034" TargetMode="External"/><Relationship Id="rId13550" Type="http://schemas.openxmlformats.org/officeDocument/2006/relationships/hyperlink" Target="https://pbs.twimg.com/profile_images/510170113257914368/O9xXZ4lT_normal.jpeg" TargetMode="External"/><Relationship Id="rId1160" Type="http://schemas.openxmlformats.org/officeDocument/2006/relationships/hyperlink" Target="https://pbs.twimg.com/profile_images/593454474041102336/YZAKB69P_normal.jpg" TargetMode="External"/><Relationship Id="rId13203" Type="http://schemas.openxmlformats.org/officeDocument/2006/relationships/hyperlink" Target="https://twitter.com/andrejfnovak" TargetMode="External"/><Relationship Id="rId16773" Type="http://schemas.openxmlformats.org/officeDocument/2006/relationships/hyperlink" Target="https://twitter.com/VWBeetleSales/status/723728364830216193" TargetMode="External"/><Relationship Id="rId6832" Type="http://schemas.openxmlformats.org/officeDocument/2006/relationships/hyperlink" Target="https://pbs.twimg.com/profile_images/378800000758734512/a6899a93597efed308f155bd05c32bbc_normal.jpeg" TargetMode="External"/><Relationship Id="rId16426" Type="http://schemas.openxmlformats.org/officeDocument/2006/relationships/hyperlink" Target="https://twitter.com/oldcar_photo" TargetMode="External"/><Relationship Id="rId19996" Type="http://schemas.openxmlformats.org/officeDocument/2006/relationships/hyperlink" Target="https://pbs.twimg.com/profile_images/714764624529383424/0Tbthz18_normal.jpg" TargetMode="External"/><Relationship Id="rId23642" Type="http://schemas.openxmlformats.org/officeDocument/2006/relationships/hyperlink" Target="https://twitter.com/clubVAGVzla" TargetMode="External"/><Relationship Id="rId4383" Type="http://schemas.openxmlformats.org/officeDocument/2006/relationships/hyperlink" Target="https://pbs.twimg.com/profile_images/2346135175/qykofyyqb1o1mchiek3d_normal.jpeg" TargetMode="External"/><Relationship Id="rId19649" Type="http://schemas.openxmlformats.org/officeDocument/2006/relationships/hyperlink" Target="https://twitter.com/hashtagvanlife/status/723945096828321792" TargetMode="External"/><Relationship Id="rId21193" Type="http://schemas.openxmlformats.org/officeDocument/2006/relationships/hyperlink" Target="https://twitter.com/Fabiola_LagosM" TargetMode="External"/><Relationship Id="rId4036" Type="http://schemas.openxmlformats.org/officeDocument/2006/relationships/hyperlink" Target="https://twitter.com/DonohooAuto" TargetMode="External"/><Relationship Id="rId9708" Type="http://schemas.openxmlformats.org/officeDocument/2006/relationships/hyperlink" Target="https://twitter.com/TelanganaPress/status/723446236121018368" TargetMode="External"/><Relationship Id="rId10587" Type="http://schemas.openxmlformats.org/officeDocument/2006/relationships/hyperlink" Target="https://twitter.com/JenniPii" TargetMode="External"/><Relationship Id="rId7259" Type="http://schemas.openxmlformats.org/officeDocument/2006/relationships/hyperlink" Target="https://pbs.twimg.com/profile_images/716020780899807232/fnaRfVpE_normal.jpg" TargetMode="External"/><Relationship Id="rId13060" Type="http://schemas.openxmlformats.org/officeDocument/2006/relationships/hyperlink" Target="https://twitter.com/stefanjoens" TargetMode="External"/><Relationship Id="rId24069" Type="http://schemas.openxmlformats.org/officeDocument/2006/relationships/hyperlink" Target="https://twitter.com/VWCamperSales" TargetMode="External"/><Relationship Id="rId18732" Type="http://schemas.openxmlformats.org/officeDocument/2006/relationships/hyperlink" Target="https://twitter.com/jeremyjudkins/status/723891532026273792" TargetMode="External"/><Relationship Id="rId3869" Type="http://schemas.openxmlformats.org/officeDocument/2006/relationships/hyperlink" Target="https://pbs.twimg.com/profile_images/662021761534332932/p5J2iws__normal.jpg" TargetMode="External"/><Relationship Id="rId6342" Type="http://schemas.openxmlformats.org/officeDocument/2006/relationships/hyperlink" Target="https://pbs.twimg.com/profile_images/973957381/libertarian_minilogo_normal.jpg" TargetMode="External"/><Relationship Id="rId16283" Type="http://schemas.openxmlformats.org/officeDocument/2006/relationships/hyperlink" Target="https://twitter.com/angelmartinber/status/723664790401503232" TargetMode="External"/><Relationship Id="rId20679" Type="http://schemas.openxmlformats.org/officeDocument/2006/relationships/hyperlink" Target="https://twitter.com/OnlineCarReview" TargetMode="External"/><Relationship Id="rId25601" Type="http://schemas.openxmlformats.org/officeDocument/2006/relationships/hyperlink" Target="https://twitter.com/DubLuvTuning" TargetMode="External"/><Relationship Id="rId12893" Type="http://schemas.openxmlformats.org/officeDocument/2006/relationships/hyperlink" Target="https://twitter.com/DL1EEC" TargetMode="External"/><Relationship Id="rId23152" Type="http://schemas.openxmlformats.org/officeDocument/2006/relationships/hyperlink" Target="https://twitter.com/VWCamperSales/status/724270823570186240" TargetMode="External"/><Relationship Id="rId2952" Type="http://schemas.openxmlformats.org/officeDocument/2006/relationships/hyperlink" Target="https://twitter.com/billingspg" TargetMode="External"/><Relationship Id="rId9565" Type="http://schemas.openxmlformats.org/officeDocument/2006/relationships/hyperlink" Target="https://pbs.twimg.com/profile_images/688326480217141248/2BTGhJ-b_normal.jpg" TargetMode="External"/><Relationship Id="rId12546" Type="http://schemas.openxmlformats.org/officeDocument/2006/relationships/hyperlink" Target="https://twitter.com/ManuelaKC/status/723522330908102656" TargetMode="External"/><Relationship Id="rId19159" Type="http://schemas.openxmlformats.org/officeDocument/2006/relationships/hyperlink" Target="http://ctrlq.org/maps/address/" TargetMode="External"/><Relationship Id="rId924" Type="http://schemas.openxmlformats.org/officeDocument/2006/relationships/hyperlink" Target="https://twitter.com/1i0k0z8s/status/723002392808038401" TargetMode="External"/><Relationship Id="rId2605" Type="http://schemas.openxmlformats.org/officeDocument/2006/relationships/hyperlink" Target="http://dlvr.it/" TargetMode="External"/><Relationship Id="rId9218" Type="http://schemas.openxmlformats.org/officeDocument/2006/relationships/hyperlink" Target="https://pbs.twimg.com/profile_images/1575602647/369px-Treasure-Island-map_normal.jpg" TargetMode="External"/><Relationship Id="rId10097" Type="http://schemas.openxmlformats.org/officeDocument/2006/relationships/hyperlink" Target="https://twitter.com/supreuss" TargetMode="External"/><Relationship Id="rId15769" Type="http://schemas.openxmlformats.org/officeDocument/2006/relationships/hyperlink" Target="https://twitter.com/VWCamperSales" TargetMode="External"/><Relationship Id="rId22985" Type="http://schemas.openxmlformats.org/officeDocument/2006/relationships/hyperlink" Target="https://twitter.com/arasmusKTVU" TargetMode="External"/><Relationship Id="rId5828" Type="http://schemas.openxmlformats.org/officeDocument/2006/relationships/hyperlink" Target="http://dlvr.it/" TargetMode="External"/><Relationship Id="rId18242" Type="http://schemas.openxmlformats.org/officeDocument/2006/relationships/hyperlink" Target="https://twitter.com/KinsaleOnline" TargetMode="External"/><Relationship Id="rId22638" Type="http://schemas.openxmlformats.org/officeDocument/2006/relationships/hyperlink" Target="https://pbs.twimg.com/profile_images/574616214644920322/_F1UYMq8_normal.jpeg" TargetMode="External"/><Relationship Id="rId3379" Type="http://schemas.openxmlformats.org/officeDocument/2006/relationships/hyperlink" Target="https://pbs.twimg.com/profile_images/434295813154816000/Zl69okbD_normal.jpeg" TargetMode="External"/><Relationship Id="rId8301" Type="http://schemas.openxmlformats.org/officeDocument/2006/relationships/hyperlink" Target="https://twitter.com/ivankoznar" TargetMode="External"/><Relationship Id="rId20189" Type="http://schemas.openxmlformats.org/officeDocument/2006/relationships/hyperlink" Target="https://twitter.com/4x4tirol/status/723980356370739200" TargetMode="External"/><Relationship Id="rId25111" Type="http://schemas.openxmlformats.org/officeDocument/2006/relationships/hyperlink" Target="https://twitter.com/SaryAliLasheen" TargetMode="External"/><Relationship Id="rId14852" Type="http://schemas.openxmlformats.org/officeDocument/2006/relationships/hyperlink" Target="https://pbs.twimg.com/profile_images/703294545195307008/qeCvrX86_normal.jpg" TargetMode="External"/><Relationship Id="rId4911" Type="http://schemas.openxmlformats.org/officeDocument/2006/relationships/hyperlink" Target="https://twitter.com/AlexanderPiOne" TargetMode="External"/><Relationship Id="rId9075" Type="http://schemas.openxmlformats.org/officeDocument/2006/relationships/hyperlink" Target="https://pbs.twimg.com/profile_images/588750621353717760/15I04Sdg_normal.png" TargetMode="External"/><Relationship Id="rId14505" Type="http://schemas.openxmlformats.org/officeDocument/2006/relationships/hyperlink" Target="https://twitter.com/TodayBEToday" TargetMode="External"/><Relationship Id="rId21721" Type="http://schemas.openxmlformats.org/officeDocument/2006/relationships/hyperlink" Target="https://twitter.com/JenstheGTIfreak/status/724172164040142849" TargetMode="External"/><Relationship Id="rId781" Type="http://schemas.openxmlformats.org/officeDocument/2006/relationships/hyperlink" Target="https://pbs.twimg.com/profile_images/378800000559239980/e181a9907e282c6bcd790198e5f4161d_normal.jpeg" TargetMode="External"/><Relationship Id="rId2462" Type="http://schemas.openxmlformats.org/officeDocument/2006/relationships/hyperlink" Target="https://twitter.com/treibholzfilm" TargetMode="External"/><Relationship Id="rId12056" Type="http://schemas.openxmlformats.org/officeDocument/2006/relationships/hyperlink" Target="https://pbs.twimg.com/profile_images/477440204932796419/Ubdok5z2_normal.jpeg" TargetMode="External"/><Relationship Id="rId17728" Type="http://schemas.openxmlformats.org/officeDocument/2006/relationships/hyperlink" Target="https://twitter.com/AnthonyIsCool21/status/723820583897710594" TargetMode="External"/><Relationship Id="rId24944" Type="http://schemas.openxmlformats.org/officeDocument/2006/relationships/hyperlink" Target="https://pbs.twimg.com/profile_images/1843235822/Bryan_Armstrong_normal.jpg" TargetMode="External"/><Relationship Id="rId434" Type="http://schemas.openxmlformats.org/officeDocument/2006/relationships/hyperlink" Target="https://twitter.com/Jeff_Molek16v" TargetMode="External"/><Relationship Id="rId2115" Type="http://schemas.openxmlformats.org/officeDocument/2006/relationships/hyperlink" Target="https://pbs.twimg.com/profile_images/2598553252/qoojuj09m53kdh24r09y_normal.jpeg" TargetMode="External"/><Relationship Id="rId5685" Type="http://schemas.openxmlformats.org/officeDocument/2006/relationships/hyperlink" Target="https://pbs.twimg.com/profile_images/651035728739237888/U4Rzpmz2_normal.jpg" TargetMode="External"/><Relationship Id="rId15279" Type="http://schemas.openxmlformats.org/officeDocument/2006/relationships/hyperlink" Target="https://pbs.twimg.com/profile_images/587206946069078016/kSwKZont_normal.jpg" TargetMode="External"/><Relationship Id="rId22495" Type="http://schemas.openxmlformats.org/officeDocument/2006/relationships/hyperlink" Target="https://twitter.com/cherubimu" TargetMode="External"/><Relationship Id="rId5338" Type="http://schemas.openxmlformats.org/officeDocument/2006/relationships/hyperlink" Target="https://twitter.com/WowbaggerXX7/status/723200162311471104" TargetMode="External"/><Relationship Id="rId22148" Type="http://schemas.openxmlformats.org/officeDocument/2006/relationships/hyperlink" Target="https://twitter.com/RamyKhodeir" TargetMode="External"/><Relationship Id="rId11889" Type="http://schemas.openxmlformats.org/officeDocument/2006/relationships/hyperlink" Target="https://twitter.com/RickStrickler" TargetMode="External"/><Relationship Id="rId16811" Type="http://schemas.openxmlformats.org/officeDocument/2006/relationships/hyperlink" Target="https://pbs.twimg.com/profile_images/684230516967538688/aj8IoHKQ_normal.jpg" TargetMode="External"/><Relationship Id="rId1948" Type="http://schemas.openxmlformats.org/officeDocument/2006/relationships/hyperlink" Target="http://faz.net/" TargetMode="External"/><Relationship Id="rId4421" Type="http://schemas.openxmlformats.org/officeDocument/2006/relationships/hyperlink" Target="https://twitter.com/VWSouthtowne" TargetMode="External"/><Relationship Id="rId14362" Type="http://schemas.openxmlformats.org/officeDocument/2006/relationships/hyperlink" Target="https://twitter.com/beetlebug1938/status/723573109085876224" TargetMode="External"/><Relationship Id="rId291" Type="http://schemas.openxmlformats.org/officeDocument/2006/relationships/hyperlink" Target="https://pbs.twimg.com/profile_images/695836169418899456/Z9ohOFD9_normal.jpg" TargetMode="External"/><Relationship Id="rId7991" Type="http://schemas.openxmlformats.org/officeDocument/2006/relationships/hyperlink" Target="https://twitter.com/AdgmanA/status/723347584757194752" TargetMode="External"/><Relationship Id="rId10972" Type="http://schemas.openxmlformats.org/officeDocument/2006/relationships/hyperlink" Target="https://twitter.com/UmaSharandon/status/723492151590576128" TargetMode="External"/><Relationship Id="rId14015" Type="http://schemas.openxmlformats.org/officeDocument/2006/relationships/hyperlink" Target="https://twitter.com/Eepi9" TargetMode="External"/><Relationship Id="rId17585" Type="http://schemas.openxmlformats.org/officeDocument/2006/relationships/hyperlink" Target="https://twitter.com/cas_2050001283/status/723808356582985728" TargetMode="External"/><Relationship Id="rId21231" Type="http://schemas.openxmlformats.org/officeDocument/2006/relationships/hyperlink" Target="https://twitter.com/FrankBauHa/status/724130094025969665" TargetMode="External"/><Relationship Id="rId5195" Type="http://schemas.openxmlformats.org/officeDocument/2006/relationships/hyperlink" Target="https://pbs.twimg.com/profile_images/1286474667/q95g5y1P_normal" TargetMode="External"/><Relationship Id="rId7644" Type="http://schemas.openxmlformats.org/officeDocument/2006/relationships/hyperlink" Target="https://twitter.com/MoveRally" TargetMode="External"/><Relationship Id="rId10625" Type="http://schemas.openxmlformats.org/officeDocument/2006/relationships/hyperlink" Target="https://twitter.com/AbbeyLeasing/status/723478995891830786" TargetMode="External"/><Relationship Id="rId17238" Type="http://schemas.openxmlformats.org/officeDocument/2006/relationships/hyperlink" Target="https://twitter.com/canwater/status/723782364212658176" TargetMode="External"/><Relationship Id="rId24454" Type="http://schemas.openxmlformats.org/officeDocument/2006/relationships/hyperlink" Target="https://twitter.com/Zayhrasg/status/724360909246730240" TargetMode="External"/><Relationship Id="rId13848" Type="http://schemas.openxmlformats.org/officeDocument/2006/relationships/hyperlink" Target="https://twitter.com/DePieriSrl" TargetMode="External"/><Relationship Id="rId24107" Type="http://schemas.openxmlformats.org/officeDocument/2006/relationships/hyperlink" Target="https://pbs.twimg.com/profile_images/552512883746037760/_KeSTf9E_normal.png" TargetMode="External"/><Relationship Id="rId3907" Type="http://schemas.openxmlformats.org/officeDocument/2006/relationships/hyperlink" Target="https://twitter.com/JosephAzam/status/723171845252493312" TargetMode="External"/><Relationship Id="rId11399" Type="http://schemas.openxmlformats.org/officeDocument/2006/relationships/hyperlink" Target="https://twitter.com/katjalosch/status/723501823261331456" TargetMode="External"/><Relationship Id="rId16321" Type="http://schemas.openxmlformats.org/officeDocument/2006/relationships/hyperlink" Target="https://twitter.com/cosasdeautos" TargetMode="External"/><Relationship Id="rId20717" Type="http://schemas.openxmlformats.org/officeDocument/2006/relationships/hyperlink" Target="https://twitter.com/Insta_VWT" TargetMode="External"/><Relationship Id="rId1458" Type="http://schemas.openxmlformats.org/officeDocument/2006/relationships/hyperlink" Target="https://twitter.com/bot_car25/status/723041623379161089" TargetMode="External"/><Relationship Id="rId19891" Type="http://schemas.openxmlformats.org/officeDocument/2006/relationships/hyperlink" Target="https://twitter.com/esoto2605" TargetMode="External"/><Relationship Id="rId9950" Type="http://schemas.openxmlformats.org/officeDocument/2006/relationships/hyperlink" Target="https://pbs.twimg.com/profile_images/690294370784808960/v_JX4JJS_normal.jpg" TargetMode="External"/><Relationship Id="rId12931" Type="http://schemas.openxmlformats.org/officeDocument/2006/relationships/hyperlink" Target="https://twitter.com/DirkOHeckmann/status/723531907015806976" TargetMode="External"/><Relationship Id="rId17095" Type="http://schemas.openxmlformats.org/officeDocument/2006/relationships/hyperlink" Target="https://pbs.twimg.com/profile_images/707425852322091011/s0V50WcC_normal.jpg" TargetMode="External"/><Relationship Id="rId19544" Type="http://schemas.openxmlformats.org/officeDocument/2006/relationships/hyperlink" Target="https://twitter.com/VWsightings" TargetMode="External"/><Relationship Id="rId7154" Type="http://schemas.openxmlformats.org/officeDocument/2006/relationships/hyperlink" Target="https://twitter.com/SexenioMX/status/723281680543272961" TargetMode="External"/><Relationship Id="rId9603" Type="http://schemas.openxmlformats.org/officeDocument/2006/relationships/hyperlink" Target="https://twitter.com/vwpress_en" TargetMode="External"/><Relationship Id="rId10482" Type="http://schemas.openxmlformats.org/officeDocument/2006/relationships/hyperlink" Target="https://twitter.com/StvnsFrnk/status/723474556246093824" TargetMode="External"/><Relationship Id="rId10135" Type="http://schemas.openxmlformats.org/officeDocument/2006/relationships/hyperlink" Target="http://federalna.ba/" TargetMode="External"/><Relationship Id="rId15807" Type="http://schemas.openxmlformats.org/officeDocument/2006/relationships/hyperlink" Target="https://twitter.com/OnlineCarReview/status/723628233023873024" TargetMode="External"/><Relationship Id="rId3764" Type="http://schemas.openxmlformats.org/officeDocument/2006/relationships/hyperlink" Target="https://twitter.com/emilyrusch" TargetMode="External"/><Relationship Id="rId13358" Type="http://schemas.openxmlformats.org/officeDocument/2006/relationships/hyperlink" Target="https://twitter.com/wildernesse" TargetMode="External"/><Relationship Id="rId20574" Type="http://schemas.openxmlformats.org/officeDocument/2006/relationships/hyperlink" Target="https://twitter.com/CStrategists/status/724011917845618689" TargetMode="External"/><Relationship Id="rId3417" Type="http://schemas.openxmlformats.org/officeDocument/2006/relationships/hyperlink" Target="https://twitter.com/nizoo1213/status/723157573130543104" TargetMode="External"/><Relationship Id="rId6987" Type="http://schemas.openxmlformats.org/officeDocument/2006/relationships/hyperlink" Target="https://twitter.com/UniversityVW" TargetMode="External"/><Relationship Id="rId20227" Type="http://schemas.openxmlformats.org/officeDocument/2006/relationships/hyperlink" Target="https://twitter.com/tomdrechsler" TargetMode="External"/><Relationship Id="rId23797" Type="http://schemas.openxmlformats.org/officeDocument/2006/relationships/hyperlink" Target="https://pbs.twimg.com/profile_images/718839998531903489/eXyeGppJ_normal.jpg" TargetMode="External"/><Relationship Id="rId9460" Type="http://schemas.openxmlformats.org/officeDocument/2006/relationships/hyperlink" Target="https://twitter.com/swanswaygroup" TargetMode="External"/><Relationship Id="rId19054" Type="http://schemas.openxmlformats.org/officeDocument/2006/relationships/hyperlink" Target="https://pbs.twimg.com/profile_images/1646905092/Frau_Women_normal.jpg" TargetMode="External"/><Relationship Id="rId2500" Type="http://schemas.openxmlformats.org/officeDocument/2006/relationships/hyperlink" Target="https://twitter.com/shergar777" TargetMode="External"/><Relationship Id="rId9113" Type="http://schemas.openxmlformats.org/officeDocument/2006/relationships/hyperlink" Target="https://twitter.com/NegroAutomobili" TargetMode="External"/><Relationship Id="rId12441" Type="http://schemas.openxmlformats.org/officeDocument/2006/relationships/hyperlink" Target="https://pbs.twimg.com/profile_images/668091779313500160/ZepxnJcI_normal.jpg" TargetMode="External"/><Relationship Id="rId15664" Type="http://schemas.openxmlformats.org/officeDocument/2006/relationships/hyperlink" Target="https://pbs.twimg.com/profile_images/2946887682/19415956db81d4b6a9925e617813e680_normal.jpeg" TargetMode="External"/><Relationship Id="rId22880" Type="http://schemas.openxmlformats.org/officeDocument/2006/relationships/hyperlink" Target="https://twitter.com/beetlebug1938" TargetMode="External"/><Relationship Id="rId3274" Type="http://schemas.openxmlformats.org/officeDocument/2006/relationships/hyperlink" Target="https://pbs.twimg.com/profile_images/663003309138055169/BpIBwSQM_normal.jpg" TargetMode="External"/><Relationship Id="rId5723" Type="http://schemas.openxmlformats.org/officeDocument/2006/relationships/hyperlink" Target="https://twitter.com/VolkswagenPost" TargetMode="External"/><Relationship Id="rId15317" Type="http://schemas.openxmlformats.org/officeDocument/2006/relationships/hyperlink" Target="https://twitter.com/NorthWestDubs" TargetMode="External"/><Relationship Id="rId18887" Type="http://schemas.openxmlformats.org/officeDocument/2006/relationships/hyperlink" Target="https://twitter.com/vagmenhq" TargetMode="External"/><Relationship Id="rId22533" Type="http://schemas.openxmlformats.org/officeDocument/2006/relationships/hyperlink" Target="https://twitter.com/Rodrigocana/status/724227854737641473" TargetMode="External"/><Relationship Id="rId8946" Type="http://schemas.openxmlformats.org/officeDocument/2006/relationships/hyperlink" Target="https://twitter.com/wergshy/status/723412451107049478" TargetMode="External"/><Relationship Id="rId11927" Type="http://schemas.openxmlformats.org/officeDocument/2006/relationships/hyperlink" Target="https://twitter.com/elianapeletay1" TargetMode="External"/><Relationship Id="rId20084" Type="http://schemas.openxmlformats.org/officeDocument/2006/relationships/hyperlink" Target="https://twitter.com/dirroed" TargetMode="External"/><Relationship Id="rId25756" Type="http://schemas.openxmlformats.org/officeDocument/2006/relationships/hyperlink" Target="https://twitter.com/vwpress_de/status/724470249345716224" TargetMode="External"/><Relationship Id="rId6497" Type="http://schemas.openxmlformats.org/officeDocument/2006/relationships/hyperlink" Target="https://pbs.twimg.com/profile_images/3329322186/9e6d2c6f651f6cc272a78a5224602202_normal.jpeg" TargetMode="External"/><Relationship Id="rId14400" Type="http://schemas.openxmlformats.org/officeDocument/2006/relationships/hyperlink" Target="http://ctrlq.org/maps/address/" TargetMode="External"/><Relationship Id="rId25409" Type="http://schemas.openxmlformats.org/officeDocument/2006/relationships/hyperlink" Target="https://twitter.com/Alanadrieel/status/724436736374411264" TargetMode="External"/><Relationship Id="rId17970" Type="http://schemas.openxmlformats.org/officeDocument/2006/relationships/hyperlink" Target="https://twitter.com/krazykayjun" TargetMode="External"/><Relationship Id="rId2010" Type="http://schemas.openxmlformats.org/officeDocument/2006/relationships/hyperlink" Target="https://twitter.com/mj_palin" TargetMode="External"/><Relationship Id="rId5580" Type="http://schemas.openxmlformats.org/officeDocument/2006/relationships/hyperlink" Target="https://pbs.twimg.com/profile_images/684439034580570112/xeZrDF8k_normal.jpg" TargetMode="External"/><Relationship Id="rId15174" Type="http://schemas.openxmlformats.org/officeDocument/2006/relationships/hyperlink" Target="https://pbs.twimg.com/profile_images/1232882741/image_normal.jpg" TargetMode="External"/><Relationship Id="rId17623" Type="http://schemas.openxmlformats.org/officeDocument/2006/relationships/hyperlink" Target="https://twitter.com/KramerFerdinand" TargetMode="External"/><Relationship Id="rId22390" Type="http://schemas.openxmlformats.org/officeDocument/2006/relationships/hyperlink" Target="https://twitter.com/marytheluckyone" TargetMode="External"/><Relationship Id="rId5233" Type="http://schemas.openxmlformats.org/officeDocument/2006/relationships/hyperlink" Target="https://pbs.twimg.com/profile_images/652871584131092480/QA_B6SBO_normal.jpg" TargetMode="External"/><Relationship Id="rId22043" Type="http://schemas.openxmlformats.org/officeDocument/2006/relationships/hyperlink" Target="https://twitter.com/itsallplums/status/724197235802673153" TargetMode="External"/><Relationship Id="rId11784" Type="http://schemas.openxmlformats.org/officeDocument/2006/relationships/hyperlink" Target="https://twitter.com/MarkCSchneider/status/723507506291597312" TargetMode="External"/><Relationship Id="rId18397" Type="http://schemas.openxmlformats.org/officeDocument/2006/relationships/hyperlink" Target="https://twitter.com/VCT_Tweets/status/723866906155950081" TargetMode="External"/><Relationship Id="rId1843" Type="http://schemas.openxmlformats.org/officeDocument/2006/relationships/hyperlink" Target="https://twitter.com/intellicar/status/723062017884598272" TargetMode="External"/><Relationship Id="rId8456" Type="http://schemas.openxmlformats.org/officeDocument/2006/relationships/hyperlink" Target="https://twitter.com/brosefstalin53" TargetMode="External"/><Relationship Id="rId11437" Type="http://schemas.openxmlformats.org/officeDocument/2006/relationships/hyperlink" Target="https://twitter.com/PParzival/status/723502069689290753" TargetMode="External"/><Relationship Id="rId25266" Type="http://schemas.openxmlformats.org/officeDocument/2006/relationships/hyperlink" Target="https://pbs.twimg.com/profile_images/720623345029423104/TUxoNGEM_normal.jpg" TargetMode="External"/><Relationship Id="rId8109" Type="http://schemas.openxmlformats.org/officeDocument/2006/relationships/hyperlink" Target="https://twitter.com/TinchoP18/status/723370452375076864" TargetMode="External"/><Relationship Id="rId17480" Type="http://schemas.openxmlformats.org/officeDocument/2006/relationships/hyperlink" Target="https://twitter.com/PriskaHinz/status/723801206905249792" TargetMode="External"/><Relationship Id="rId21876" Type="http://schemas.openxmlformats.org/officeDocument/2006/relationships/hyperlink" Target="https://twitter.com/VWCamperSales" TargetMode="External"/><Relationship Id="rId4719" Type="http://schemas.openxmlformats.org/officeDocument/2006/relationships/hyperlink" Target="https://twitter.com/techhippie" TargetMode="External"/><Relationship Id="rId17133" Type="http://schemas.openxmlformats.org/officeDocument/2006/relationships/hyperlink" Target="https://twitter.com/VWCamperSales" TargetMode="External"/><Relationship Id="rId21529" Type="http://schemas.openxmlformats.org/officeDocument/2006/relationships/hyperlink" Target="https://twitter.com/DeKonzument" TargetMode="External"/><Relationship Id="rId589" Type="http://schemas.openxmlformats.org/officeDocument/2006/relationships/hyperlink" Target="https://twitter.com/scottnewell/status/722966986917969923" TargetMode="External"/><Relationship Id="rId5090" Type="http://schemas.openxmlformats.org/officeDocument/2006/relationships/hyperlink" Target="https://pbs.twimg.com/profile_images/722924621301956608/WYrNe6po_normal.jpg" TargetMode="External"/><Relationship Id="rId10520" Type="http://schemas.openxmlformats.org/officeDocument/2006/relationships/hyperlink" Target="https://twitter.com/Joseph_Bennell/status/723475522785828868" TargetMode="External"/><Relationship Id="rId24002" Type="http://schemas.openxmlformats.org/officeDocument/2006/relationships/hyperlink" Target="https://pbs.twimg.com/profile_images/672878354127839232/M7OYc-zx_normal.jpg" TargetMode="External"/><Relationship Id="rId13743" Type="http://schemas.openxmlformats.org/officeDocument/2006/relationships/hyperlink" Target="https://pbs.twimg.com/profile_images/695289503687188481/_RuLRC_P_normal.jpg" TargetMode="External"/><Relationship Id="rId3802" Type="http://schemas.openxmlformats.org/officeDocument/2006/relationships/hyperlink" Target="https://pbs.twimg.com/profile_images/3228351590/aadb36f2b020cc27adac139aac4a5663_normal.jpeg" TargetMode="External"/><Relationship Id="rId11294" Type="http://schemas.openxmlformats.org/officeDocument/2006/relationships/hyperlink" Target="https://pbs.twimg.com/profile_images/693518966317301761/2cHFP3q4_normal.jpg" TargetMode="External"/><Relationship Id="rId16966" Type="http://schemas.openxmlformats.org/officeDocument/2006/relationships/hyperlink" Target="https://twitter.com/katrinhilger" TargetMode="External"/><Relationship Id="rId20612" Type="http://schemas.openxmlformats.org/officeDocument/2006/relationships/hyperlink" Target="https://twitter.com/d_ariel/status/724015039963926528" TargetMode="External"/><Relationship Id="rId1006" Type="http://schemas.openxmlformats.org/officeDocument/2006/relationships/hyperlink" Target="http://webaraba.com/" TargetMode="External"/><Relationship Id="rId1353" Type="http://schemas.openxmlformats.org/officeDocument/2006/relationships/hyperlink" Target="https://twitter.com/Mphilpot1/status/723037676820041728" TargetMode="External"/><Relationship Id="rId16619" Type="http://schemas.openxmlformats.org/officeDocument/2006/relationships/hyperlink" Target="https://twitter.com/vikfer77/status/723702393070825472" TargetMode="External"/><Relationship Id="rId23835" Type="http://schemas.openxmlformats.org/officeDocument/2006/relationships/hyperlink" Target="https://twitter.com/Insta_VWT" TargetMode="External"/><Relationship Id="rId4576" Type="http://schemas.openxmlformats.org/officeDocument/2006/relationships/hyperlink" Target="https://twitter.com/Tonelli22/status/723182866348269568" TargetMode="External"/><Relationship Id="rId21386" Type="http://schemas.openxmlformats.org/officeDocument/2006/relationships/hyperlink" Target="https://twitter.com/RSTOKAR" TargetMode="External"/><Relationship Id="rId4229" Type="http://schemas.openxmlformats.org/officeDocument/2006/relationships/hyperlink" Target="https://twitter.com/VeeDubMk1_" TargetMode="External"/><Relationship Id="rId7799" Type="http://schemas.openxmlformats.org/officeDocument/2006/relationships/hyperlink" Target="https://pbs.twimg.com/profile_images/583322292995772418/_hSKZ3NN_normal.jpg" TargetMode="External"/><Relationship Id="rId10030" Type="http://schemas.openxmlformats.org/officeDocument/2006/relationships/hyperlink" Target="https://twitter.com/DeLausert" TargetMode="External"/><Relationship Id="rId21039" Type="http://schemas.openxmlformats.org/officeDocument/2006/relationships/hyperlink" Target="https://pbs.twimg.com/profile_images/718820712757215233/LXXndPTS_normal.jpg" TargetMode="External"/><Relationship Id="rId13253" Type="http://schemas.openxmlformats.org/officeDocument/2006/relationships/hyperlink" Target="https://twitter.com/karicio/status/723541127475937280" TargetMode="External"/><Relationship Id="rId15702" Type="http://schemas.openxmlformats.org/officeDocument/2006/relationships/hyperlink" Target="https://twitter.com/dom_pallett" TargetMode="External"/><Relationship Id="rId3312" Type="http://schemas.openxmlformats.org/officeDocument/2006/relationships/hyperlink" Target="http://ctrlq.org/maps/address/" TargetMode="External"/><Relationship Id="rId18925" Type="http://schemas.openxmlformats.org/officeDocument/2006/relationships/hyperlink" Target="https://twitter.com/alex32stepanov" TargetMode="External"/><Relationship Id="rId20122" Type="http://schemas.openxmlformats.org/officeDocument/2006/relationships/hyperlink" Target="https://twitter.com/CastrolArg/status/723976106399948800" TargetMode="External"/><Relationship Id="rId6882" Type="http://schemas.openxmlformats.org/officeDocument/2006/relationships/hyperlink" Target="https://twitter.com/achtuning" TargetMode="External"/><Relationship Id="rId16476" Type="http://schemas.openxmlformats.org/officeDocument/2006/relationships/hyperlink" Target="https://twitter.com/MicaiasUriel" TargetMode="External"/><Relationship Id="rId23692" Type="http://schemas.openxmlformats.org/officeDocument/2006/relationships/hyperlink" Target="https://pbs.twimg.com/profile_images/704280881679241216/gww9ZJUj_normal.jpg" TargetMode="External"/><Relationship Id="rId4086" Type="http://schemas.openxmlformats.org/officeDocument/2006/relationships/hyperlink" Target="https://pbs.twimg.com/profile_images/680251329592344576/lnXUGVBa_normal.jpg" TargetMode="External"/><Relationship Id="rId6535" Type="http://schemas.openxmlformats.org/officeDocument/2006/relationships/hyperlink" Target="https://twitter.com/KNordlichtW/status/723245359724670976" TargetMode="External"/><Relationship Id="rId16129" Type="http://schemas.openxmlformats.org/officeDocument/2006/relationships/hyperlink" Target="https://twitter.com/clubVAGVzla/status/723649513760632832" TargetMode="External"/><Relationship Id="rId19699" Type="http://schemas.openxmlformats.org/officeDocument/2006/relationships/hyperlink" Target="https://twitter.com/dapper013" TargetMode="External"/><Relationship Id="rId23345" Type="http://schemas.openxmlformats.org/officeDocument/2006/relationships/hyperlink" Target="https://twitter.com/PaulbrooksAMG" TargetMode="External"/><Relationship Id="rId9758" Type="http://schemas.openxmlformats.org/officeDocument/2006/relationships/hyperlink" Target="https://twitter.com/foerdesparkasse" TargetMode="External"/><Relationship Id="rId12739" Type="http://schemas.openxmlformats.org/officeDocument/2006/relationships/hyperlink" Target="https://twitter.com/BerHerg/status/723526813486555137" TargetMode="External"/><Relationship Id="rId15212" Type="http://schemas.openxmlformats.org/officeDocument/2006/relationships/hyperlink" Target="https://pbs.twimg.com/profile_images/633033646891372544/JCCEg4t2_normal.jpg" TargetMode="External"/><Relationship Id="rId8841" Type="http://schemas.openxmlformats.org/officeDocument/2006/relationships/hyperlink" Target="https://twitter.com/GregorKuhn_IG/status/723408903963189248" TargetMode="External"/><Relationship Id="rId18435" Type="http://schemas.openxmlformats.org/officeDocument/2006/relationships/hyperlink" Target="http://dlvr.it/" TargetMode="External"/><Relationship Id="rId18782" Type="http://schemas.openxmlformats.org/officeDocument/2006/relationships/hyperlink" Target="https://twitter.com/VolkswagenPost" TargetMode="External"/><Relationship Id="rId6392" Type="http://schemas.openxmlformats.org/officeDocument/2006/relationships/hyperlink" Target="https://pbs.twimg.com/profile_images/575692572691070976/MRKUj9hX_normal.png" TargetMode="External"/><Relationship Id="rId11822" Type="http://schemas.openxmlformats.org/officeDocument/2006/relationships/hyperlink" Target="https://twitter.com/dwnews/status/723508405743325184" TargetMode="External"/><Relationship Id="rId25304" Type="http://schemas.openxmlformats.org/officeDocument/2006/relationships/hyperlink" Target="https://twitter.com/jforcadilla61" TargetMode="External"/><Relationship Id="rId25651" Type="http://schemas.openxmlformats.org/officeDocument/2006/relationships/hyperlink" Target="https://twitter.com/alanakuhn/status/724456117938475008" TargetMode="External"/><Relationship Id="rId6045" Type="http://schemas.openxmlformats.org/officeDocument/2006/relationships/hyperlink" Target="https://twitter.com/VWCamperSales/status/723228107285499904" TargetMode="External"/><Relationship Id="rId9268" Type="http://schemas.openxmlformats.org/officeDocument/2006/relationships/hyperlink" Target="https://twitter.com/VWBeetleSales/status/723429658998403072" TargetMode="External"/><Relationship Id="rId12596" Type="http://schemas.openxmlformats.org/officeDocument/2006/relationships/hyperlink" Target="https://twitter.com/NDRreporter" TargetMode="External"/><Relationship Id="rId21914" Type="http://schemas.openxmlformats.org/officeDocument/2006/relationships/hyperlink" Target="https://twitter.com/halt_design/status/724188255617318912" TargetMode="External"/><Relationship Id="rId974" Type="http://schemas.openxmlformats.org/officeDocument/2006/relationships/hyperlink" Target="https://twitter.com/VWsightings" TargetMode="External"/><Relationship Id="rId2655" Type="http://schemas.openxmlformats.org/officeDocument/2006/relationships/hyperlink" Target="https://pbs.twimg.com/profile_images/424893967197433858/iQ86NktX_normal.jpeg" TargetMode="External"/><Relationship Id="rId12249" Type="http://schemas.openxmlformats.org/officeDocument/2006/relationships/hyperlink" Target="https://twitter.com/IrreRepublik" TargetMode="External"/><Relationship Id="rId627" Type="http://schemas.openxmlformats.org/officeDocument/2006/relationships/hyperlink" Target="https://twitter.com/libertyjemima19" TargetMode="External"/><Relationship Id="rId2308" Type="http://schemas.openxmlformats.org/officeDocument/2006/relationships/hyperlink" Target="https://pbs.twimg.com/profile_images/699684634448302084/VyH2kl34_normal.jpg" TargetMode="External"/><Relationship Id="rId5878" Type="http://schemas.openxmlformats.org/officeDocument/2006/relationships/hyperlink" Target="https://twitter.com/lazyrevs" TargetMode="External"/><Relationship Id="rId18292" Type="http://schemas.openxmlformats.org/officeDocument/2006/relationships/hyperlink" Target="https://twitter.com/vwpress_en" TargetMode="External"/><Relationship Id="rId22688" Type="http://schemas.openxmlformats.org/officeDocument/2006/relationships/hyperlink" Target="https://twitter.com/walkabilityasia" TargetMode="External"/><Relationship Id="rId8351" Type="http://schemas.openxmlformats.org/officeDocument/2006/relationships/hyperlink" Target="https://twitter.com/beetlebug1938/status/723384328814661638" TargetMode="External"/><Relationship Id="rId11332" Type="http://schemas.openxmlformats.org/officeDocument/2006/relationships/hyperlink" Target="https://twitter.com/moinmoinsager" TargetMode="External"/><Relationship Id="rId25161" Type="http://schemas.openxmlformats.org/officeDocument/2006/relationships/hyperlink" Target="https://pbs.twimg.com/profile_images/720623345029423104/TUxoNGEM_normal.jpg" TargetMode="External"/><Relationship Id="rId8004" Type="http://schemas.openxmlformats.org/officeDocument/2006/relationships/hyperlink" Target="https://pbs.twimg.com/profile_images/646720231566544896/G7OXCUOB_normal.jpg" TargetMode="External"/><Relationship Id="rId4961" Type="http://schemas.openxmlformats.org/officeDocument/2006/relationships/hyperlink" Target="https://twitter.com/MiManske" TargetMode="External"/><Relationship Id="rId14555" Type="http://schemas.openxmlformats.org/officeDocument/2006/relationships/hyperlink" Target="https://twitter.com/GFSchulze/status/723575350911991808" TargetMode="External"/><Relationship Id="rId21771" Type="http://schemas.openxmlformats.org/officeDocument/2006/relationships/hyperlink" Target="https://pbs.twimg.com/profile_images/718820712757215233/LXXndPTS_normal.jpg" TargetMode="External"/><Relationship Id="rId484" Type="http://schemas.openxmlformats.org/officeDocument/2006/relationships/hyperlink" Target="https://pbs.twimg.com/profile_images/3730120577/38f3cdb921ec1540a2ef0a4898d05a43_normal.jpeg" TargetMode="External"/><Relationship Id="rId2165" Type="http://schemas.openxmlformats.org/officeDocument/2006/relationships/hyperlink" Target="https://twitter.com/AutomaticEarth/status/723085016436084736" TargetMode="External"/><Relationship Id="rId4614" Type="http://schemas.openxmlformats.org/officeDocument/2006/relationships/hyperlink" Target="https://twitter.com/ldavidmarquet/status/723183700746203137" TargetMode="External"/><Relationship Id="rId14208" Type="http://schemas.openxmlformats.org/officeDocument/2006/relationships/hyperlink" Target="https://twitter.com/TipsParaNinos/status/723569176472739840" TargetMode="External"/><Relationship Id="rId17778" Type="http://schemas.openxmlformats.org/officeDocument/2006/relationships/hyperlink" Target="https://twitter.com/carlsten_leif/status/723822190152585216" TargetMode="External"/><Relationship Id="rId21424" Type="http://schemas.openxmlformats.org/officeDocument/2006/relationships/hyperlink" Target="https://pbs.twimg.com/profile_images/718820712757215233/LXXndPTS_normal.jpg" TargetMode="External"/><Relationship Id="rId24994" Type="http://schemas.openxmlformats.org/officeDocument/2006/relationships/hyperlink" Target="https://twitter.com/SuranClub" TargetMode="External"/><Relationship Id="rId137" Type="http://schemas.openxmlformats.org/officeDocument/2006/relationships/hyperlink" Target="https://pbs.twimg.com/profile_images/652871584131092480/QA_B6SBO_normal.jpg" TargetMode="External"/><Relationship Id="rId7837" Type="http://schemas.openxmlformats.org/officeDocument/2006/relationships/hyperlink" Target="https://twitter.com/wikatu" TargetMode="External"/><Relationship Id="rId10818" Type="http://schemas.openxmlformats.org/officeDocument/2006/relationships/hyperlink" Target="https://twitter.com/christophnebgen/status/723486125071982593" TargetMode="External"/><Relationship Id="rId24647" Type="http://schemas.openxmlformats.org/officeDocument/2006/relationships/hyperlink" Target="https://twitter.com/SimonJMale/status/724382374105100289" TargetMode="External"/><Relationship Id="rId5388" Type="http://schemas.openxmlformats.org/officeDocument/2006/relationships/hyperlink" Target="https://pbs.twimg.com/profile_images/3783845470/cb33c7debb71738617c005e666ba5db4_normal.jpeg" TargetMode="External"/><Relationship Id="rId22198" Type="http://schemas.openxmlformats.org/officeDocument/2006/relationships/hyperlink" Target="https://pbs.twimg.com/profile_images/718820712757215233/LXXndPTS_normal.jpg" TargetMode="External"/><Relationship Id="rId1998" Type="http://schemas.openxmlformats.org/officeDocument/2006/relationships/hyperlink" Target="https://twitter.com/NifsaLsilll" TargetMode="External"/><Relationship Id="rId6920" Type="http://schemas.openxmlformats.org/officeDocument/2006/relationships/hyperlink" Target="https://pbs.twimg.com/profile_images/2779427075/266bf88edcc996d5ddfd8be780964ca9_normal.png" TargetMode="External"/><Relationship Id="rId16861" Type="http://schemas.openxmlformats.org/officeDocument/2006/relationships/hyperlink" Target="https://twitter.com/alletun/status/723743335786094592" TargetMode="External"/><Relationship Id="rId4471" Type="http://schemas.openxmlformats.org/officeDocument/2006/relationships/hyperlink" Target="https://twitter.com/andrewsduncan1/status/723181679448305664" TargetMode="External"/><Relationship Id="rId14065" Type="http://schemas.openxmlformats.org/officeDocument/2006/relationships/hyperlink" Target="https://twitter.com/VeeDubMk1_/status/723563094102949888" TargetMode="External"/><Relationship Id="rId16514" Type="http://schemas.openxmlformats.org/officeDocument/2006/relationships/hyperlink" Target="https://pbs.twimg.com/profile_images/635977445691166720/6q2xnCIa_normal.jpg" TargetMode="External"/><Relationship Id="rId21281" Type="http://schemas.openxmlformats.org/officeDocument/2006/relationships/hyperlink" Target="https://twitter.com/OnlineCarReview" TargetMode="External"/><Relationship Id="rId23730" Type="http://schemas.openxmlformats.org/officeDocument/2006/relationships/hyperlink" Target="https://twitter.com/VWBeetleSales/status/724306935386791936" TargetMode="External"/><Relationship Id="rId4124" Type="http://schemas.openxmlformats.org/officeDocument/2006/relationships/hyperlink" Target="https://twitter.com/MilitaryAutoSrc/status/723177040720048128" TargetMode="External"/><Relationship Id="rId7694" Type="http://schemas.openxmlformats.org/officeDocument/2006/relationships/hyperlink" Target="https://twitter.com/beetlebug1938" TargetMode="External"/><Relationship Id="rId19737" Type="http://schemas.openxmlformats.org/officeDocument/2006/relationships/hyperlink" Target="https://twitter.com/dubbusses" TargetMode="External"/><Relationship Id="rId7347" Type="http://schemas.openxmlformats.org/officeDocument/2006/relationships/hyperlink" Target="https://twitter.com/Gregory_Brine" TargetMode="External"/><Relationship Id="rId10675" Type="http://schemas.openxmlformats.org/officeDocument/2006/relationships/hyperlink" Target="https://pbs.twimg.com/profile_images/679552623641509888/_vPw9IS2_normal.png" TargetMode="External"/><Relationship Id="rId17288" Type="http://schemas.openxmlformats.org/officeDocument/2006/relationships/hyperlink" Target="https://twitter.com/shinemyrideuk/status/723787329266192384" TargetMode="External"/><Relationship Id="rId24157" Type="http://schemas.openxmlformats.org/officeDocument/2006/relationships/hyperlink" Target="https://pbs.twimg.com/profile_images/699707841108643840/BOjan7o1_normal.jpg" TargetMode="External"/><Relationship Id="rId10328" Type="http://schemas.openxmlformats.org/officeDocument/2006/relationships/hyperlink" Target="https://twitter.com/MoSchaefer66" TargetMode="External"/><Relationship Id="rId13898" Type="http://schemas.openxmlformats.org/officeDocument/2006/relationships/hyperlink" Target="https://pbs.twimg.com/profile_images/718820712757215233/LXXndPTS_normal.jpg" TargetMode="External"/><Relationship Id="rId18820" Type="http://schemas.openxmlformats.org/officeDocument/2006/relationships/hyperlink" Target="https://twitter.com/bundes_car/status/723898552607473665" TargetMode="External"/><Relationship Id="rId3957" Type="http://schemas.openxmlformats.org/officeDocument/2006/relationships/hyperlink" Target="https://twitter.com/transporter_ne" TargetMode="External"/><Relationship Id="rId16371" Type="http://schemas.openxmlformats.org/officeDocument/2006/relationships/hyperlink" Target="https://pbs.twimg.com/profile_images/637462942779318272/u2z-u7RM_normal.jpg" TargetMode="External"/><Relationship Id="rId20767" Type="http://schemas.openxmlformats.org/officeDocument/2006/relationships/hyperlink" Target="https://pbs.twimg.com/profile_images/715343902392324096/2O9aLmb1_normal.jpg" TargetMode="External"/><Relationship Id="rId6430" Type="http://schemas.openxmlformats.org/officeDocument/2006/relationships/hyperlink" Target="https://twitter.com/Insta_VWT" TargetMode="External"/><Relationship Id="rId16024" Type="http://schemas.openxmlformats.org/officeDocument/2006/relationships/hyperlink" Target="https://pbs.twimg.com/profile_images/530071272881803264/a_jcCmPZ_normal.png" TargetMode="External"/><Relationship Id="rId19594" Type="http://schemas.openxmlformats.org/officeDocument/2006/relationships/hyperlink" Target="https://pbs.twimg.com/profile_images/424893967197433858/iQ86NktX_normal.jpeg" TargetMode="External"/><Relationship Id="rId23240" Type="http://schemas.openxmlformats.org/officeDocument/2006/relationships/hyperlink" Target="https://twitter.com/ZzaPina" TargetMode="External"/><Relationship Id="rId9653" Type="http://schemas.openxmlformats.org/officeDocument/2006/relationships/hyperlink" Target="https://twitter.com/VWCamperSales/status/723444529622196225" TargetMode="External"/><Relationship Id="rId12981" Type="http://schemas.openxmlformats.org/officeDocument/2006/relationships/hyperlink" Target="https://twitter.com/amsonline" TargetMode="External"/><Relationship Id="rId19247" Type="http://schemas.openxmlformats.org/officeDocument/2006/relationships/hyperlink" Target="https://pbs.twimg.com/profile_images/721895506729922561/MzfGOzG8_normal.jpg" TargetMode="External"/><Relationship Id="rId9306" Type="http://schemas.openxmlformats.org/officeDocument/2006/relationships/hyperlink" Target="https://twitter.com/magnetic_cement" TargetMode="External"/><Relationship Id="rId10185" Type="http://schemas.openxmlformats.org/officeDocument/2006/relationships/hyperlink" Target="https://pbs.twimg.com/profile_images/494941834117124096/NS5KR51W_normal.jpeg" TargetMode="External"/><Relationship Id="rId12634" Type="http://schemas.openxmlformats.org/officeDocument/2006/relationships/hyperlink" Target="https://pbs.twimg.com/profile_images/3758867067/49a4437fcabe0ae7ffe37145ac7aa56f_normal.jpeg" TargetMode="External"/><Relationship Id="rId15857" Type="http://schemas.openxmlformats.org/officeDocument/2006/relationships/hyperlink" Target="https://twitter.com/VWBeetleSales" TargetMode="External"/><Relationship Id="rId5916" Type="http://schemas.openxmlformats.org/officeDocument/2006/relationships/hyperlink" Target="https://pbs.twimg.com/profile_images/441845173711273984/IFBsAi5G_normal.jpeg" TargetMode="External"/><Relationship Id="rId18330" Type="http://schemas.openxmlformats.org/officeDocument/2006/relationships/hyperlink" Target="https://abs.twimg.com/sticky/default_profile_images/default_profile_1_normal.png" TargetMode="External"/><Relationship Id="rId22726" Type="http://schemas.openxmlformats.org/officeDocument/2006/relationships/hyperlink" Target="https://twitter.com/VDubkollective" TargetMode="External"/><Relationship Id="rId3467" Type="http://schemas.openxmlformats.org/officeDocument/2006/relationships/hyperlink" Target="https://pbs.twimg.com/profile_images/1622195010/TEBNYC062011_normal.jpg" TargetMode="External"/><Relationship Id="rId20277" Type="http://schemas.openxmlformats.org/officeDocument/2006/relationships/hyperlink" Target="https://pbs.twimg.com/profile_images/704162153696239616/Ke0WtIWj_normal.jpg" TargetMode="External"/><Relationship Id="rId12491" Type="http://schemas.openxmlformats.org/officeDocument/2006/relationships/hyperlink" Target="https://twitter.com/Lindsay_VW/status/723520681351237634" TargetMode="External"/><Relationship Id="rId14940" Type="http://schemas.openxmlformats.org/officeDocument/2006/relationships/hyperlink" Target="https://twitter.com/kngeuro/status/723587373594869760" TargetMode="External"/><Relationship Id="rId2550" Type="http://schemas.openxmlformats.org/officeDocument/2006/relationships/hyperlink" Target="https://twitter.com/VCDeV/status/723105101586391040" TargetMode="External"/><Relationship Id="rId9163" Type="http://schemas.openxmlformats.org/officeDocument/2006/relationships/hyperlink" Target="https://twitter.com/cmsGOMEX/status/723422545710456832" TargetMode="External"/><Relationship Id="rId12144" Type="http://schemas.openxmlformats.org/officeDocument/2006/relationships/hyperlink" Target="https://twitter.com/RGtzl" TargetMode="External"/><Relationship Id="rId522" Type="http://schemas.openxmlformats.org/officeDocument/2006/relationships/hyperlink" Target="https://twitter.com/CandlcePerth" TargetMode="External"/><Relationship Id="rId2203" Type="http://schemas.openxmlformats.org/officeDocument/2006/relationships/hyperlink" Target="https://pbs.twimg.com/profile_images/703294545195307008/qeCvrX86_normal.jpg" TargetMode="External"/><Relationship Id="rId5773" Type="http://schemas.openxmlformats.org/officeDocument/2006/relationships/hyperlink" Target="https://pbs.twimg.com/profile_images/785585375/marvin-the-paranoid-android_normal.jpg" TargetMode="External"/><Relationship Id="rId17816" Type="http://schemas.openxmlformats.org/officeDocument/2006/relationships/hyperlink" Target="https://twitter.com/russmini" TargetMode="External"/><Relationship Id="rId5426" Type="http://schemas.openxmlformats.org/officeDocument/2006/relationships/hyperlink" Target="https://twitter.com/gonzalobrian/status/723202819541622786" TargetMode="External"/><Relationship Id="rId15367" Type="http://schemas.openxmlformats.org/officeDocument/2006/relationships/hyperlink" Target="https://twitter.com/rzy808/status/723605063483199488" TargetMode="External"/><Relationship Id="rId22583" Type="http://schemas.openxmlformats.org/officeDocument/2006/relationships/hyperlink" Target="https://twitter.com/ducachris" TargetMode="External"/><Relationship Id="rId8996" Type="http://schemas.openxmlformats.org/officeDocument/2006/relationships/hyperlink" Target="https://twitter.com/adhddoyle" TargetMode="External"/><Relationship Id="rId11977" Type="http://schemas.openxmlformats.org/officeDocument/2006/relationships/hyperlink" Target="https://twitter.com/ohne_Se" TargetMode="External"/><Relationship Id="rId22236" Type="http://schemas.openxmlformats.org/officeDocument/2006/relationships/hyperlink" Target="https://pbs.twimg.com/profile_images/378800000392900576/498f2cc9b5c02349ba506e52930454cf_normal.jpeg" TargetMode="External"/><Relationship Id="rId8649" Type="http://schemas.openxmlformats.org/officeDocument/2006/relationships/hyperlink" Target="https://twitter.com/ibotrampe/status/723400494719213569" TargetMode="External"/><Relationship Id="rId14450" Type="http://schemas.openxmlformats.org/officeDocument/2006/relationships/hyperlink" Target="https://pbs.twimg.com/profile_images/953096495/ISchnee_web_normal.jpg" TargetMode="External"/><Relationship Id="rId25459" Type="http://schemas.openxmlformats.org/officeDocument/2006/relationships/hyperlink" Target="https://twitter.com/TheHippieVanMan" TargetMode="External"/><Relationship Id="rId14103" Type="http://schemas.openxmlformats.org/officeDocument/2006/relationships/hyperlink" Target="https://twitter.com/RainerRogge" TargetMode="External"/><Relationship Id="rId17673" Type="http://schemas.openxmlformats.org/officeDocument/2006/relationships/hyperlink" Target="https://twitter.com/smithwicks8888" TargetMode="External"/><Relationship Id="rId2060" Type="http://schemas.openxmlformats.org/officeDocument/2006/relationships/hyperlink" Target="https://twitter.com/ErnstNordholt" TargetMode="External"/><Relationship Id="rId7732" Type="http://schemas.openxmlformats.org/officeDocument/2006/relationships/hyperlink" Target="https://pbs.twimg.com/profile_images/708466589696262144/0z2VO5-J_normal.jpg" TargetMode="External"/><Relationship Id="rId17326" Type="http://schemas.openxmlformats.org/officeDocument/2006/relationships/hyperlink" Target="https://twitter.com/Insta_VWT" TargetMode="External"/><Relationship Id="rId24542" Type="http://schemas.openxmlformats.org/officeDocument/2006/relationships/hyperlink" Target="https://pbs.twimg.com/profile_images/446414147329073152/EeQNRdY4_normal.png" TargetMode="External"/><Relationship Id="rId5283" Type="http://schemas.openxmlformats.org/officeDocument/2006/relationships/hyperlink" Target="https://twitter.com/frimuellerfri" TargetMode="External"/><Relationship Id="rId10713" Type="http://schemas.openxmlformats.org/officeDocument/2006/relationships/hyperlink" Target="https://twitter.com/sfchronicle/status/723481603058495489" TargetMode="External"/><Relationship Id="rId22093" Type="http://schemas.openxmlformats.org/officeDocument/2006/relationships/hyperlink" Target="https://pbs.twimg.com/profile_images/3728536184/f8618f162b51e72519303cccedbec92b_normal.jpeg" TargetMode="External"/><Relationship Id="rId13936" Type="http://schemas.openxmlformats.org/officeDocument/2006/relationships/hyperlink" Target="https://twitter.com/schoenbornmc/status/723559268889272320" TargetMode="External"/><Relationship Id="rId1893" Type="http://schemas.openxmlformats.org/officeDocument/2006/relationships/hyperlink" Target="https://pbs.twimg.com/profile_images/534739727736639488/Un6t22Yz_normal.jpeg" TargetMode="External"/><Relationship Id="rId8159" Type="http://schemas.openxmlformats.org/officeDocument/2006/relationships/hyperlink" Target="https://twitter.com/MarkusStrenzl/status/723373383220494336" TargetMode="External"/><Relationship Id="rId11487" Type="http://schemas.openxmlformats.org/officeDocument/2006/relationships/hyperlink" Target="https://pbs.twimg.com/profile_images/507897198911053824/7OqYAonJ_normal.jpeg" TargetMode="External"/><Relationship Id="rId20805" Type="http://schemas.openxmlformats.org/officeDocument/2006/relationships/hyperlink" Target="http://ctrlq.org/maps/address/" TargetMode="External"/><Relationship Id="rId1546" Type="http://schemas.openxmlformats.org/officeDocument/2006/relationships/hyperlink" Target="https://pbs.twimg.com/profile_images/720907345778384896/wmdPKToi_normal.jpg" TargetMode="External"/><Relationship Id="rId19632" Type="http://schemas.openxmlformats.org/officeDocument/2006/relationships/hyperlink" Target="http://ctrlq.org/maps/address/" TargetMode="External"/><Relationship Id="rId4769" Type="http://schemas.openxmlformats.org/officeDocument/2006/relationships/hyperlink" Target="https://twitter.com/chrispillennews/status/723187314776743936" TargetMode="External"/><Relationship Id="rId10570" Type="http://schemas.openxmlformats.org/officeDocument/2006/relationships/hyperlink" Target="https://twitter.com/hydronavitas1/status/723477186368397312" TargetMode="External"/><Relationship Id="rId17183" Type="http://schemas.openxmlformats.org/officeDocument/2006/relationships/hyperlink" Target="https://twitter.com/C_Barraud/status/723777153238745088" TargetMode="External"/><Relationship Id="rId21579" Type="http://schemas.openxmlformats.org/officeDocument/2006/relationships/hyperlink" Target="https://twitter.com/VWCamperSales/status/724161510172332032" TargetMode="External"/><Relationship Id="rId7242" Type="http://schemas.openxmlformats.org/officeDocument/2006/relationships/hyperlink" Target="https://twitter.com/SteveHancke/status/723289279523381248" TargetMode="External"/><Relationship Id="rId10223" Type="http://schemas.openxmlformats.org/officeDocument/2006/relationships/hyperlink" Target="https://twitter.com/AFECTADOGRUPOVW" TargetMode="External"/><Relationship Id="rId24052" Type="http://schemas.openxmlformats.org/officeDocument/2006/relationships/hyperlink" Target="https://pbs.twimg.com/profile_images/430814909316988928/ISRaptjz_normal.jpeg" TargetMode="External"/><Relationship Id="rId3852" Type="http://schemas.openxmlformats.org/officeDocument/2006/relationships/hyperlink" Target="https://twitter.com/SloggettRyan" TargetMode="External"/><Relationship Id="rId13793" Type="http://schemas.openxmlformats.org/officeDocument/2006/relationships/hyperlink" Target="https://twitter.com/VWCamperSales" TargetMode="External"/><Relationship Id="rId3505" Type="http://schemas.openxmlformats.org/officeDocument/2006/relationships/hyperlink" Target="https://twitter.com/juliiimuoz1/status/723161344665653248" TargetMode="External"/><Relationship Id="rId13446" Type="http://schemas.openxmlformats.org/officeDocument/2006/relationships/hyperlink" Target="https://pbs.twimg.com/profile_images/424893967197433858/iQ86NktX_normal.jpeg" TargetMode="External"/><Relationship Id="rId20662" Type="http://schemas.openxmlformats.org/officeDocument/2006/relationships/hyperlink" Target="https://pbs.twimg.com/profile_images/690760579259101184/QpxeCQnU_normal.jpg" TargetMode="External"/><Relationship Id="rId1056" Type="http://schemas.openxmlformats.org/officeDocument/2006/relationships/hyperlink" Target="https://twitter.com/matt_fowler79" TargetMode="External"/><Relationship Id="rId16669" Type="http://schemas.openxmlformats.org/officeDocument/2006/relationships/hyperlink" Target="https://pbs.twimg.com/profile_images/638327600486719488/Z-1qM3qs_normal.jpg" TargetMode="External"/><Relationship Id="rId20315" Type="http://schemas.openxmlformats.org/officeDocument/2006/relationships/hyperlink" Target="https://twitter.com/kelllsohara" TargetMode="External"/><Relationship Id="rId23885" Type="http://schemas.openxmlformats.org/officeDocument/2006/relationships/hyperlink" Target="https://twitter.com/OnlineCarReview/status/724318667157069825" TargetMode="External"/><Relationship Id="rId4279" Type="http://schemas.openxmlformats.org/officeDocument/2006/relationships/hyperlink" Target="https://pbs.twimg.com/profile_images/565605558581878784/6hvy8vZH_normal.jpeg" TargetMode="External"/><Relationship Id="rId6728" Type="http://schemas.openxmlformats.org/officeDocument/2006/relationships/hyperlink" Target="https://twitter.com/DirkEllisVW/status/723255275008983040" TargetMode="External"/><Relationship Id="rId19142" Type="http://schemas.openxmlformats.org/officeDocument/2006/relationships/hyperlink" Target="https://twitter.com/aiqaserjeddah" TargetMode="External"/><Relationship Id="rId23538" Type="http://schemas.openxmlformats.org/officeDocument/2006/relationships/hyperlink" Target="https://twitter.com/EvvoNewBeetles/status/724296393532268544" TargetMode="External"/><Relationship Id="rId9201" Type="http://schemas.openxmlformats.org/officeDocument/2006/relationships/hyperlink" Target="https://twitter.com/shinemyrideuk" TargetMode="External"/><Relationship Id="rId10080" Type="http://schemas.openxmlformats.org/officeDocument/2006/relationships/hyperlink" Target="https://pbs.twimg.com/profile_images/522305770503696384/J6guKsKV_normal.jpeg" TargetMode="External"/><Relationship Id="rId15752" Type="http://schemas.openxmlformats.org/officeDocument/2006/relationships/hyperlink" Target="https://twitter.com/VeeDubMk1_/status/723623096289251329" TargetMode="External"/><Relationship Id="rId21089" Type="http://schemas.openxmlformats.org/officeDocument/2006/relationships/hyperlink" Target="https://twitter.com/DubLuvTuning" TargetMode="External"/><Relationship Id="rId5811" Type="http://schemas.openxmlformats.org/officeDocument/2006/relationships/hyperlink" Target="https://twitter.com/VintageGermanPt" TargetMode="External"/><Relationship Id="rId15405" Type="http://schemas.openxmlformats.org/officeDocument/2006/relationships/hyperlink" Target="https://pbs.twimg.com/profile_images/679088182655328257/UaXXNlpR_normal.jpg" TargetMode="External"/><Relationship Id="rId22621" Type="http://schemas.openxmlformats.org/officeDocument/2006/relationships/hyperlink" Target="https://twitter.com/EHcars/status/724235040780115969" TargetMode="External"/><Relationship Id="rId3362" Type="http://schemas.openxmlformats.org/officeDocument/2006/relationships/hyperlink" Target="https://twitter.com/UT_TEXAS_PROMO" TargetMode="External"/><Relationship Id="rId18975" Type="http://schemas.openxmlformats.org/officeDocument/2006/relationships/hyperlink" Target="https://twitter.com/AndyRArmstrong" TargetMode="External"/><Relationship Id="rId20172" Type="http://schemas.openxmlformats.org/officeDocument/2006/relationships/hyperlink" Target="https://pbs.twimg.com/profile_images/530071272881803264/a_jcCmPZ_normal.png" TargetMode="External"/><Relationship Id="rId3015" Type="http://schemas.openxmlformats.org/officeDocument/2006/relationships/hyperlink" Target="https://twitter.com/VolkswagenPost" TargetMode="External"/><Relationship Id="rId6585" Type="http://schemas.openxmlformats.org/officeDocument/2006/relationships/hyperlink" Target="https://twitter.com/SexenioCDMX/status/723247191356116994" TargetMode="External"/><Relationship Id="rId16179" Type="http://schemas.openxmlformats.org/officeDocument/2006/relationships/hyperlink" Target="https://twitter.com/chronsucks" TargetMode="External"/><Relationship Id="rId18628" Type="http://schemas.openxmlformats.org/officeDocument/2006/relationships/hyperlink" Target="https://twitter.com/Mrhemicuda360/status/723885718985183232" TargetMode="External"/><Relationship Id="rId23395" Type="http://schemas.openxmlformats.org/officeDocument/2006/relationships/hyperlink" Target="https://twitter.com/leofloreste/status/724285567081435137" TargetMode="External"/><Relationship Id="rId6238" Type="http://schemas.openxmlformats.org/officeDocument/2006/relationships/hyperlink" Target="https://twitter.com/AlvaghCronin/status/723236166066163713" TargetMode="External"/><Relationship Id="rId23048" Type="http://schemas.openxmlformats.org/officeDocument/2006/relationships/hyperlink" Target="https://pbs.twimg.com/profile_images/684439034580570112/xeZrDF8k_normal.jpg" TargetMode="External"/><Relationship Id="rId12789" Type="http://schemas.openxmlformats.org/officeDocument/2006/relationships/hyperlink" Target="https://pbs.twimg.com/profile_images/552919983752491008/q5ofDizB_normal.jpeg" TargetMode="External"/><Relationship Id="rId17711" Type="http://schemas.openxmlformats.org/officeDocument/2006/relationships/hyperlink" Target="https://pbs.twimg.com/profile_images/615392221093736448/ih2ahLZ2_normal.jpg" TargetMode="External"/><Relationship Id="rId2848" Type="http://schemas.openxmlformats.org/officeDocument/2006/relationships/hyperlink" Target="https://twitter.com/NorthWestDubs/status/723122014874132480" TargetMode="External"/><Relationship Id="rId15262" Type="http://schemas.openxmlformats.org/officeDocument/2006/relationships/hyperlink" Target="https://twitter.com/espasa" TargetMode="External"/><Relationship Id="rId5321" Type="http://schemas.openxmlformats.org/officeDocument/2006/relationships/hyperlink" Target="https://pbs.twimg.com/profile_images/719991250435371008/Hk0t_LL7_normal.jpg" TargetMode="External"/><Relationship Id="rId8891" Type="http://schemas.openxmlformats.org/officeDocument/2006/relationships/hyperlink" Target="https://twitter.com/coccicab71" TargetMode="External"/><Relationship Id="rId18485" Type="http://schemas.openxmlformats.org/officeDocument/2006/relationships/hyperlink" Target="https://pbs.twimg.com/profile_images/2586380116/image_normal.jpg" TargetMode="External"/><Relationship Id="rId22131" Type="http://schemas.openxmlformats.org/officeDocument/2006/relationships/hyperlink" Target="https://twitter.com/techhippie/status/724201988733448198" TargetMode="External"/><Relationship Id="rId8544" Type="http://schemas.openxmlformats.org/officeDocument/2006/relationships/hyperlink" Target="https://pbs.twimg.com/profile_images/688029802230579202/dcVlYVcm_normal.jpg" TargetMode="External"/><Relationship Id="rId11872" Type="http://schemas.openxmlformats.org/officeDocument/2006/relationships/hyperlink" Target="https://pbs.twimg.com/profile_images/706784695795769345/XGXgdjww_normal.jpg" TargetMode="External"/><Relationship Id="rId18138" Type="http://schemas.openxmlformats.org/officeDocument/2006/relationships/hyperlink" Target="https://twitter.com/Dandii" TargetMode="External"/><Relationship Id="rId25354" Type="http://schemas.openxmlformats.org/officeDocument/2006/relationships/hyperlink" Target="https://twitter.com/Insta_VWT/status/724432359819481088" TargetMode="External"/><Relationship Id="rId1931" Type="http://schemas.openxmlformats.org/officeDocument/2006/relationships/hyperlink" Target="https://twitter.com/Armored_Horse" TargetMode="External"/><Relationship Id="rId6095" Type="http://schemas.openxmlformats.org/officeDocument/2006/relationships/hyperlink" Target="https://pbs.twimg.com/profile_images/652871584131092480/QA_B6SBO_normal.jpg" TargetMode="External"/><Relationship Id="rId11525" Type="http://schemas.openxmlformats.org/officeDocument/2006/relationships/hyperlink" Target="https://twitter.com/ozaed/status/723503203082473472" TargetMode="External"/><Relationship Id="rId25007" Type="http://schemas.openxmlformats.org/officeDocument/2006/relationships/hyperlink" Target="https://twitter.com/wagonation616/status/724409099677499393" TargetMode="External"/><Relationship Id="rId14748" Type="http://schemas.openxmlformats.org/officeDocument/2006/relationships/hyperlink" Target="https://pbs.twimg.com/profile_images/722584639395729409/6xOQLAoP_normal.jpg" TargetMode="External"/><Relationship Id="rId21964" Type="http://schemas.openxmlformats.org/officeDocument/2006/relationships/hyperlink" Target="https://pbs.twimg.com/profile_images/2743738513/354ed035acf2e52b7b04a5143acec144_normal.png" TargetMode="External"/><Relationship Id="rId677" Type="http://schemas.openxmlformats.org/officeDocument/2006/relationships/hyperlink" Target="https://pbs.twimg.com/profile_images/541534403026255872/hdzM4epT_normal.jpeg" TargetMode="External"/><Relationship Id="rId2358" Type="http://schemas.openxmlformats.org/officeDocument/2006/relationships/hyperlink" Target="https://pbs.twimg.com/profile_images/644482436257185792/immN1agH_normal.jpg" TargetMode="External"/><Relationship Id="rId4807" Type="http://schemas.openxmlformats.org/officeDocument/2006/relationships/hyperlink" Target="https://twitter.com/VolkswagenPost" TargetMode="External"/><Relationship Id="rId12299" Type="http://schemas.openxmlformats.org/officeDocument/2006/relationships/hyperlink" Target="https://twitter.com/gehmichwech/status/723516798126186496" TargetMode="External"/><Relationship Id="rId17221" Type="http://schemas.openxmlformats.org/officeDocument/2006/relationships/hyperlink" Target="https://pbs.twimg.com/profile_images/541963483617558529/0KSfmRVY_normal.jpeg" TargetMode="External"/><Relationship Id="rId21617" Type="http://schemas.openxmlformats.org/officeDocument/2006/relationships/hyperlink" Target="https://twitter.com/dubbusses" TargetMode="External"/><Relationship Id="rId13831" Type="http://schemas.openxmlformats.org/officeDocument/2006/relationships/hyperlink" Target="https://twitter.com/MBTwebsite/status/723557144273018881" TargetMode="External"/><Relationship Id="rId11382" Type="http://schemas.openxmlformats.org/officeDocument/2006/relationships/hyperlink" Target="https://pbs.twimg.com/profile_images/718450176856363008/EZ8X-_ZG_normal.jpg" TargetMode="External"/><Relationship Id="rId20700" Type="http://schemas.openxmlformats.org/officeDocument/2006/relationships/hyperlink" Target="https://pbs.twimg.com/profile_images/568149263889096704/BO2L4CN5_normal.jpeg" TargetMode="External"/><Relationship Id="rId1441" Type="http://schemas.openxmlformats.org/officeDocument/2006/relationships/hyperlink" Target="https://pbs.twimg.com/profile_images/706404867372408832/mwUZrmr6_normal.jpg" TargetMode="External"/><Relationship Id="rId8054" Type="http://schemas.openxmlformats.org/officeDocument/2006/relationships/hyperlink" Target="https://twitter.com/Rodrigocana" TargetMode="External"/><Relationship Id="rId11035" Type="http://schemas.openxmlformats.org/officeDocument/2006/relationships/hyperlink" Target="https://twitter.com/LenaHR2" TargetMode="External"/><Relationship Id="rId4664" Type="http://schemas.openxmlformats.org/officeDocument/2006/relationships/hyperlink" Target="https://twitter.com/FollowLANews/status/723184563413905408" TargetMode="External"/><Relationship Id="rId14258" Type="http://schemas.openxmlformats.org/officeDocument/2006/relationships/hyperlink" Target="https://twitter.com/DaniiUriarte/status/723571036277608449" TargetMode="External"/><Relationship Id="rId16707" Type="http://schemas.openxmlformats.org/officeDocument/2006/relationships/hyperlink" Target="https://twitter.com/bjsommerville" TargetMode="External"/><Relationship Id="rId21474" Type="http://schemas.openxmlformats.org/officeDocument/2006/relationships/hyperlink" Target="https://twitter.com/JohanVugt/status/724151463413469184" TargetMode="External"/><Relationship Id="rId23923" Type="http://schemas.openxmlformats.org/officeDocument/2006/relationships/hyperlink" Target="https://pbs.twimg.com/profile_images/718820712757215233/LXXndPTS_normal.jpg" TargetMode="External"/><Relationship Id="rId4317" Type="http://schemas.openxmlformats.org/officeDocument/2006/relationships/hyperlink" Target="https://pbs.twimg.com/profile_images/1610421423/Image2_normal.jpg" TargetMode="External"/><Relationship Id="rId21127" Type="http://schemas.openxmlformats.org/officeDocument/2006/relationships/hyperlink" Target="https://pbs.twimg.com/profile_images/652871584131092480/QA_B6SBO_normal.jpg" TargetMode="External"/><Relationship Id="rId187" Type="http://schemas.openxmlformats.org/officeDocument/2006/relationships/hyperlink" Target="https://twitter.com/SCGsoflo" TargetMode="External"/><Relationship Id="rId7887" Type="http://schemas.openxmlformats.org/officeDocument/2006/relationships/hyperlink" Target="https://twitter.com/enano_81/status/723337747876847616" TargetMode="External"/><Relationship Id="rId10868" Type="http://schemas.openxmlformats.org/officeDocument/2006/relationships/hyperlink" Target="https://pbs.twimg.com/profile_images/684716541322072065/eXpLts42_normal.jpg" TargetMode="External"/><Relationship Id="rId24697" Type="http://schemas.openxmlformats.org/officeDocument/2006/relationships/hyperlink" Target="https://pbs.twimg.com/profile_images/703294545195307008/qeCvrX86_normal.jpg" TargetMode="External"/><Relationship Id="rId13341" Type="http://schemas.openxmlformats.org/officeDocument/2006/relationships/hyperlink" Target="https://twitter.com/TheRealBrauni/status/723543912829186049" TargetMode="External"/><Relationship Id="rId3400" Type="http://schemas.openxmlformats.org/officeDocument/2006/relationships/hyperlink" Target="https://pbs.twimg.com/profile_images/446781974452371456/rqBZF-KN_normal.jpeg" TargetMode="External"/><Relationship Id="rId6970" Type="http://schemas.openxmlformats.org/officeDocument/2006/relationships/hyperlink" Target="http://dlvr.it/" TargetMode="External"/><Relationship Id="rId16564" Type="http://schemas.openxmlformats.org/officeDocument/2006/relationships/hyperlink" Target="https://twitter.com/beetlebug1938" TargetMode="External"/><Relationship Id="rId20210" Type="http://schemas.openxmlformats.org/officeDocument/2006/relationships/hyperlink" Target="https://twitter.com/dosummitgood/status/723981708001959936" TargetMode="External"/><Relationship Id="rId23780" Type="http://schemas.openxmlformats.org/officeDocument/2006/relationships/hyperlink" Target="https://twitter.com/VeeDubMk1_" TargetMode="External"/><Relationship Id="rId6623" Type="http://schemas.openxmlformats.org/officeDocument/2006/relationships/hyperlink" Target="https://twitter.com/VWCamperSales/status/723248470534938624" TargetMode="External"/><Relationship Id="rId16217" Type="http://schemas.openxmlformats.org/officeDocument/2006/relationships/hyperlink" Target="https://pbs.twimg.com/profile_images/442914198830329856/CPRlK2Ur_normal.jpeg" TargetMode="External"/><Relationship Id="rId23433" Type="http://schemas.openxmlformats.org/officeDocument/2006/relationships/hyperlink" Target="https://twitter.com/shannonspraytan/status/724288478402371588" TargetMode="External"/><Relationship Id="rId4174" Type="http://schemas.openxmlformats.org/officeDocument/2006/relationships/hyperlink" Target="https://pbs.twimg.com/profile_images/565535762720894976/d0L_JvdB_normal.png" TargetMode="External"/><Relationship Id="rId9846" Type="http://schemas.openxmlformats.org/officeDocument/2006/relationships/hyperlink" Target="https://twitter.com/RSTOKAR" TargetMode="External"/><Relationship Id="rId19787" Type="http://schemas.openxmlformats.org/officeDocument/2006/relationships/hyperlink" Target="https://twitter.com/eastgodjelani/status/723956963885867008" TargetMode="External"/><Relationship Id="rId7397" Type="http://schemas.openxmlformats.org/officeDocument/2006/relationships/hyperlink" Target="https://twitter.com/BaldwinsGerman" TargetMode="External"/><Relationship Id="rId12827" Type="http://schemas.openxmlformats.org/officeDocument/2006/relationships/hyperlink" Target="https://twitter.com/Stony_BS/status/723528644509990912" TargetMode="External"/><Relationship Id="rId10378" Type="http://schemas.openxmlformats.org/officeDocument/2006/relationships/hyperlink" Target="https://twitter.com/CordwallisGroup/status/723470984473415681" TargetMode="External"/><Relationship Id="rId15300" Type="http://schemas.openxmlformats.org/officeDocument/2006/relationships/hyperlink" Target="https://pbs.twimg.com/profile_images/718820712757215233/LXXndPTS_normal.jpg" TargetMode="External"/><Relationship Id="rId18870" Type="http://schemas.openxmlformats.org/officeDocument/2006/relationships/hyperlink" Target="https://pbs.twimg.com/profile_images/723565619958943744/jqjaD8Kn_normal.jpg" TargetMode="External"/><Relationship Id="rId11910" Type="http://schemas.openxmlformats.org/officeDocument/2006/relationships/hyperlink" Target="https://twitter.com/lupus12_bb/status/723509790996045824" TargetMode="External"/><Relationship Id="rId18523" Type="http://schemas.openxmlformats.org/officeDocument/2006/relationships/hyperlink" Target="https://twitter.com/JosBosboom_" TargetMode="External"/><Relationship Id="rId22919" Type="http://schemas.openxmlformats.org/officeDocument/2006/relationships/hyperlink" Target="https://pbs.twimg.com/profile_images/714205045705871361/tVpb5bGw_normal.jpg" TargetMode="External"/><Relationship Id="rId6480" Type="http://schemas.openxmlformats.org/officeDocument/2006/relationships/hyperlink" Target="http://faz.net/" TargetMode="External"/><Relationship Id="rId16074" Type="http://schemas.openxmlformats.org/officeDocument/2006/relationships/hyperlink" Target="https://twitter.com/ViniciusWilli15/status/723647245774557184" TargetMode="External"/><Relationship Id="rId23290" Type="http://schemas.openxmlformats.org/officeDocument/2006/relationships/hyperlink" Target="https://twitter.com/_C4productions_" TargetMode="External"/><Relationship Id="rId6133" Type="http://schemas.openxmlformats.org/officeDocument/2006/relationships/hyperlink" Target="https://twitter.com/muzaffarkola" TargetMode="External"/><Relationship Id="rId12684" Type="http://schemas.openxmlformats.org/officeDocument/2006/relationships/hyperlink" Target="https://twitter.com/ponquegala/status/723525079578058754" TargetMode="External"/><Relationship Id="rId19297" Type="http://schemas.openxmlformats.org/officeDocument/2006/relationships/hyperlink" Target="https://twitter.com/oldcar_photo" TargetMode="External"/><Relationship Id="rId2743" Type="http://schemas.openxmlformats.org/officeDocument/2006/relationships/hyperlink" Target="https://twitter.com/yog2uk/status/723116923152519172" TargetMode="External"/><Relationship Id="rId9356" Type="http://schemas.openxmlformats.org/officeDocument/2006/relationships/hyperlink" Target="https://pbs.twimg.com/profile_images/2275736241/0wxdwpqqkero82c7tj5z_normal.jpeg" TargetMode="External"/><Relationship Id="rId12337" Type="http://schemas.openxmlformats.org/officeDocument/2006/relationships/hyperlink" Target="https://pbs.twimg.com/profile_images/687314255507513346/a83L5Opq_normal.jpg" TargetMode="External"/><Relationship Id="rId715" Type="http://schemas.openxmlformats.org/officeDocument/2006/relationships/hyperlink" Target="https://twitter.com/BeginTry" TargetMode="External"/><Relationship Id="rId9009" Type="http://schemas.openxmlformats.org/officeDocument/2006/relationships/hyperlink" Target="https://twitter.com/airjibeer/status/723416498899800067" TargetMode="External"/><Relationship Id="rId5966" Type="http://schemas.openxmlformats.org/officeDocument/2006/relationships/hyperlink" Target="https://twitter.com/ABC7Suiters" TargetMode="External"/><Relationship Id="rId18380" Type="http://schemas.openxmlformats.org/officeDocument/2006/relationships/hyperlink" Target="https://twitter.com/Insta_VWT" TargetMode="External"/><Relationship Id="rId22776" Type="http://schemas.openxmlformats.org/officeDocument/2006/relationships/hyperlink" Target="https://twitter.com/VWBeetleSales/status/724245546244825089" TargetMode="External"/><Relationship Id="rId5619" Type="http://schemas.openxmlformats.org/officeDocument/2006/relationships/hyperlink" Target="https://pbs.twimg.com/profile_images/695773573919543296/Q1mS960c_normal.jpg" TargetMode="External"/><Relationship Id="rId11420" Type="http://schemas.openxmlformats.org/officeDocument/2006/relationships/hyperlink" Target="https://twitter.com/doern/status/723501966542909440" TargetMode="External"/><Relationship Id="rId14990" Type="http://schemas.openxmlformats.org/officeDocument/2006/relationships/hyperlink" Target="https://pbs.twimg.com/profile_images/520889978763497472/D5_00R6w_normal.jpeg" TargetMode="External"/><Relationship Id="rId18033" Type="http://schemas.openxmlformats.org/officeDocument/2006/relationships/hyperlink" Target="https://twitter.com/CalumWebster/status/723843144035475457" TargetMode="External"/><Relationship Id="rId22429" Type="http://schemas.openxmlformats.org/officeDocument/2006/relationships/hyperlink" Target="https://pbs.twimg.com/profile_images/3314186245/f45276fa4db865a49c10f61c9208d980_normal.jpeg" TargetMode="External"/><Relationship Id="rId14643" Type="http://schemas.openxmlformats.org/officeDocument/2006/relationships/hyperlink" Target="https://twitter.com/Legende2015" TargetMode="External"/><Relationship Id="rId4702" Type="http://schemas.openxmlformats.org/officeDocument/2006/relationships/hyperlink" Target="https://twitter.com/WrexhamVW/status/723185784077996033" TargetMode="External"/><Relationship Id="rId12194" Type="http://schemas.openxmlformats.org/officeDocument/2006/relationships/hyperlink" Target="https://twitter.com/ndr2/status/723514770603823104" TargetMode="External"/><Relationship Id="rId21512" Type="http://schemas.openxmlformats.org/officeDocument/2006/relationships/hyperlink" Target="https://twitter.com/hannover_messe/status/724154285093695488" TargetMode="External"/><Relationship Id="rId572" Type="http://schemas.openxmlformats.org/officeDocument/2006/relationships/hyperlink" Target="https://pbs.twimg.com/profile_images/710856857213145088/7Ub_HbSX_normal.jpg" TargetMode="External"/><Relationship Id="rId2253" Type="http://schemas.openxmlformats.org/officeDocument/2006/relationships/hyperlink" Target="https://twitter.com/vwpress_de" TargetMode="External"/><Relationship Id="rId7925" Type="http://schemas.openxmlformats.org/officeDocument/2006/relationships/hyperlink" Target="https://twitter.com/Babsi58089" TargetMode="External"/><Relationship Id="rId17519" Type="http://schemas.openxmlformats.org/officeDocument/2006/relationships/hyperlink" Target="https://twitter.com/vwdepo" TargetMode="External"/><Relationship Id="rId17866" Type="http://schemas.openxmlformats.org/officeDocument/2006/relationships/hyperlink" Target="https://twitter.com/crewevw" TargetMode="External"/><Relationship Id="rId225" Type="http://schemas.openxmlformats.org/officeDocument/2006/relationships/hyperlink" Target="https://pbs.twimg.com/profile_images/662690618221555712/8SCotH6T_normal.jpg" TargetMode="External"/><Relationship Id="rId5476" Type="http://schemas.openxmlformats.org/officeDocument/2006/relationships/hyperlink" Target="https://twitter.com/SexenioMX/status/723204417680363520" TargetMode="External"/><Relationship Id="rId10906" Type="http://schemas.openxmlformats.org/officeDocument/2006/relationships/hyperlink" Target="https://twitter.com/noz_de/status/723490079965061120" TargetMode="External"/><Relationship Id="rId22286" Type="http://schemas.openxmlformats.org/officeDocument/2006/relationships/hyperlink" Target="https://twitter.com/oldcar_photo/status/724213332593500162" TargetMode="External"/><Relationship Id="rId24735" Type="http://schemas.openxmlformats.org/officeDocument/2006/relationships/hyperlink" Target="https://twitter.com/VWBeetleSales/status/724386333691506688" TargetMode="External"/><Relationship Id="rId5129" Type="http://schemas.openxmlformats.org/officeDocument/2006/relationships/hyperlink" Target="https://pbs.twimg.com/profile_images/512907008442241024/HPk5J0Ju_normal.jpeg" TargetMode="External"/><Relationship Id="rId8699" Type="http://schemas.openxmlformats.org/officeDocument/2006/relationships/hyperlink" Target="https://pbs.twimg.com/profile_images/1719664041/tw_spon_normal.jpg" TargetMode="External"/><Relationship Id="rId16602" Type="http://schemas.openxmlformats.org/officeDocument/2006/relationships/hyperlink" Target="https://pbs.twimg.com/profile_images/646163342848073729/Eg-8aCHE_normal.jpg" TargetMode="External"/><Relationship Id="rId1739" Type="http://schemas.openxmlformats.org/officeDocument/2006/relationships/hyperlink" Target="https://pbs.twimg.com/profile_images/378800000811296054/a3acc5391fa9d6a7b27ffcf3dcd7a89e_normal.jpeg" TargetMode="External"/><Relationship Id="rId14153" Type="http://schemas.openxmlformats.org/officeDocument/2006/relationships/hyperlink" Target="https://pbs.twimg.com/profile_images/3012106875/596e712c99a38ec69b925b7f7ab71986_normal.jpeg" TargetMode="External"/><Relationship Id="rId19825" Type="http://schemas.openxmlformats.org/officeDocument/2006/relationships/hyperlink" Target="https://twitter.com/ThaiQashqaiClub/status/723960878077480961" TargetMode="External"/><Relationship Id="rId4212" Type="http://schemas.openxmlformats.org/officeDocument/2006/relationships/hyperlink" Target="https://pbs.twimg.com/profile_images/690447053588152320/wUHIbKgi_normal.jpg" TargetMode="External"/><Relationship Id="rId7782" Type="http://schemas.openxmlformats.org/officeDocument/2006/relationships/hyperlink" Target="https://twitter.com/BraianNiseggi" TargetMode="External"/><Relationship Id="rId10763" Type="http://schemas.openxmlformats.org/officeDocument/2006/relationships/hyperlink" Target="https://twitter.com/OnlineCarReview" TargetMode="External"/><Relationship Id="rId17376" Type="http://schemas.openxmlformats.org/officeDocument/2006/relationships/hyperlink" Target="https://abs.twimg.com/sticky/default_profile_images/default_profile_0_normal.png" TargetMode="External"/><Relationship Id="rId21022" Type="http://schemas.openxmlformats.org/officeDocument/2006/relationships/hyperlink" Target="https://twitter.com/SuranClub" TargetMode="External"/><Relationship Id="rId24592" Type="http://schemas.openxmlformats.org/officeDocument/2006/relationships/hyperlink" Target="https://twitter.com/ohioantique/status/724374348077903872" TargetMode="External"/><Relationship Id="rId7435" Type="http://schemas.openxmlformats.org/officeDocument/2006/relationships/hyperlink" Target="https://pbs.twimg.com/profile_images/476894592051056640/bqGCxWkq_normal.jpeg" TargetMode="External"/><Relationship Id="rId10416" Type="http://schemas.openxmlformats.org/officeDocument/2006/relationships/hyperlink" Target="https://twitter.com/insel_design" TargetMode="External"/><Relationship Id="rId17029" Type="http://schemas.openxmlformats.org/officeDocument/2006/relationships/hyperlink" Target="https://twitter.com/KESS_" TargetMode="External"/><Relationship Id="rId24245" Type="http://schemas.openxmlformats.org/officeDocument/2006/relationships/hyperlink" Target="https://pbs.twimg.com/profile_images/720880019296296960/f-rN3NZq_normal.jpg" TargetMode="External"/><Relationship Id="rId13986" Type="http://schemas.openxmlformats.org/officeDocument/2006/relationships/hyperlink" Target="https://twitter.com/LeKWiNK/status/723560672533958657" TargetMode="External"/><Relationship Id="rId1596" Type="http://schemas.openxmlformats.org/officeDocument/2006/relationships/hyperlink" Target="https://twitter.com/beuc/status/723048652026056704" TargetMode="External"/><Relationship Id="rId13639" Type="http://schemas.openxmlformats.org/officeDocument/2006/relationships/hyperlink" Target="https://twitter.com/Oppa_mit_Hut" TargetMode="External"/><Relationship Id="rId20855" Type="http://schemas.openxmlformats.org/officeDocument/2006/relationships/hyperlink" Target="https://twitter.com/rebelagenda/status/724049277383647232" TargetMode="External"/><Relationship Id="rId1249" Type="http://schemas.openxmlformats.org/officeDocument/2006/relationships/hyperlink" Target="https://pbs.twimg.com/profile_images/703271910138896384/3J2VGGFX_normal.jpg" TargetMode="External"/><Relationship Id="rId16112" Type="http://schemas.openxmlformats.org/officeDocument/2006/relationships/hyperlink" Target="https://pbs.twimg.com/profile_images/378800000572104796/1de43e1cf23efb3f4101c02afad0d3b6_normal.png" TargetMode="External"/><Relationship Id="rId19682" Type="http://schemas.openxmlformats.org/officeDocument/2006/relationships/hyperlink" Target="https://twitter.com/AL_DOMS/status/723947207783792640" TargetMode="External"/><Relationship Id="rId20508" Type="http://schemas.openxmlformats.org/officeDocument/2006/relationships/hyperlink" Target="https://twitter.com/HansTheGerman" TargetMode="External"/><Relationship Id="rId9741" Type="http://schemas.openxmlformats.org/officeDocument/2006/relationships/hyperlink" Target="https://twitter.com/Ken_CityIndex" TargetMode="External"/><Relationship Id="rId12722" Type="http://schemas.openxmlformats.org/officeDocument/2006/relationships/hyperlink" Target="https://pbs.twimg.com/profile_images/2416217270/6vmtlo7m644v6jwaux83_normal.jpeg" TargetMode="External"/><Relationship Id="rId19335" Type="http://schemas.openxmlformats.org/officeDocument/2006/relationships/hyperlink" Target="https://pbs.twimg.com/profile_images/594571313521430529/BKEe1qRC_normal.jpg" TargetMode="External"/><Relationship Id="rId7292" Type="http://schemas.openxmlformats.org/officeDocument/2006/relationships/hyperlink" Target="http://donaukurier.de/" TargetMode="External"/><Relationship Id="rId10273" Type="http://schemas.openxmlformats.org/officeDocument/2006/relationships/hyperlink" Target="https://pbs.twimg.com/profile_images/718820712757215233/LXXndPTS_normal.jpg" TargetMode="External"/><Relationship Id="rId13496" Type="http://schemas.openxmlformats.org/officeDocument/2006/relationships/hyperlink" Target="https://twitter.com/ILCtsxv" TargetMode="External"/><Relationship Id="rId15945" Type="http://schemas.openxmlformats.org/officeDocument/2006/relationships/hyperlink" Target="https://pbs.twimg.com/profile_images/705780107844067328/e7O4UBNb_normal.jpg" TargetMode="External"/><Relationship Id="rId3555" Type="http://schemas.openxmlformats.org/officeDocument/2006/relationships/hyperlink" Target="https://pbs.twimg.com/profile_images/713980481411350528/O76wUBck_normal.jpg" TargetMode="External"/><Relationship Id="rId13149" Type="http://schemas.openxmlformats.org/officeDocument/2006/relationships/hyperlink" Target="https://twitter.com/vwbusman72" TargetMode="External"/><Relationship Id="rId20365" Type="http://schemas.openxmlformats.org/officeDocument/2006/relationships/hyperlink" Target="https://twitter.com/KKast0rff" TargetMode="External"/><Relationship Id="rId22814" Type="http://schemas.openxmlformats.org/officeDocument/2006/relationships/hyperlink" Target="https://twitter.com/keithtdarcy/status/724247774615748608" TargetMode="External"/><Relationship Id="rId3208" Type="http://schemas.openxmlformats.org/officeDocument/2006/relationships/hyperlink" Target="https://twitter.com/VCT_Tweets" TargetMode="External"/><Relationship Id="rId6778" Type="http://schemas.openxmlformats.org/officeDocument/2006/relationships/hyperlink" Target="https://twitter.com/mar3e11" TargetMode="External"/><Relationship Id="rId19192" Type="http://schemas.openxmlformats.org/officeDocument/2006/relationships/hyperlink" Target="https://twitter.com/OnlyCarrera" TargetMode="External"/><Relationship Id="rId20018" Type="http://schemas.openxmlformats.org/officeDocument/2006/relationships/hyperlink" Target="https://pbs.twimg.com/profile_images/1704921969/avatar_3824_normal.gif" TargetMode="External"/><Relationship Id="rId9251" Type="http://schemas.openxmlformats.org/officeDocument/2006/relationships/hyperlink" Target="https://pbs.twimg.com/profile_images/525996707830435840/HCZkBfU9_normal.jpeg" TargetMode="External"/><Relationship Id="rId23588" Type="http://schemas.openxmlformats.org/officeDocument/2006/relationships/hyperlink" Target="https://pbs.twimg.com/profile_images/710122631236681728/ii4WJ1om_normal.jpg" TargetMode="External"/><Relationship Id="rId12232" Type="http://schemas.openxmlformats.org/officeDocument/2006/relationships/hyperlink" Target="http://ctrlq.org/maps/address/" TargetMode="External"/><Relationship Id="rId17904" Type="http://schemas.openxmlformats.org/officeDocument/2006/relationships/hyperlink" Target="https://twitter.com/mycomfor/status/723831994145202176" TargetMode="External"/><Relationship Id="rId610" Type="http://schemas.openxmlformats.org/officeDocument/2006/relationships/hyperlink" Target="https://twitter.com/phoebejane41/status/722967275909840896" TargetMode="External"/><Relationship Id="rId5861" Type="http://schemas.openxmlformats.org/officeDocument/2006/relationships/hyperlink" Target="https://pbs.twimg.com/profile_images/3467646682/12ab268d21c9059078b140e9157a8b26_normal.jpeg" TargetMode="External"/><Relationship Id="rId15455" Type="http://schemas.openxmlformats.org/officeDocument/2006/relationships/hyperlink" Target="https://twitter.com/VWCamperSales" TargetMode="External"/><Relationship Id="rId22671" Type="http://schemas.openxmlformats.org/officeDocument/2006/relationships/hyperlink" Target="https://pbs.twimg.com/profile_images/718820712757215233/LXXndPTS_normal.jpg" TargetMode="External"/><Relationship Id="rId5514" Type="http://schemas.openxmlformats.org/officeDocument/2006/relationships/hyperlink" Target="https://twitter.com/SALYGO" TargetMode="External"/><Relationship Id="rId15108" Type="http://schemas.openxmlformats.org/officeDocument/2006/relationships/hyperlink" Target="https://twitter.com/VWBeetleSales" TargetMode="External"/><Relationship Id="rId18678" Type="http://schemas.openxmlformats.org/officeDocument/2006/relationships/hyperlink" Target="https://twitter.com/BLONDIE24699/status/723888783616278528" TargetMode="External"/><Relationship Id="rId22324" Type="http://schemas.openxmlformats.org/officeDocument/2006/relationships/hyperlink" Target="https://twitter.com/anjelicasjogren" TargetMode="External"/><Relationship Id="rId3065" Type="http://schemas.openxmlformats.org/officeDocument/2006/relationships/hyperlink" Target="https://twitter.com/HPtechnik/status/723137662559899648" TargetMode="External"/><Relationship Id="rId8737" Type="http://schemas.openxmlformats.org/officeDocument/2006/relationships/hyperlink" Target="https://pbs.twimg.com/profile_images/562563461171798017/AkHF4keI_normal.png" TargetMode="External"/><Relationship Id="rId25547" Type="http://schemas.openxmlformats.org/officeDocument/2006/relationships/hyperlink" Target="https://twitter.com/TheTequilaWorms" TargetMode="External"/><Relationship Id="rId6288" Type="http://schemas.openxmlformats.org/officeDocument/2006/relationships/hyperlink" Target="https://twitter.com/C_Rohde_F21/status/723237878956957699" TargetMode="External"/><Relationship Id="rId11718" Type="http://schemas.openxmlformats.org/officeDocument/2006/relationships/hyperlink" Target="https://pbs.twimg.com/profile_images/716495110725246976/aZNUJl0F_normal.jpg" TargetMode="External"/><Relationship Id="rId23098" Type="http://schemas.openxmlformats.org/officeDocument/2006/relationships/hyperlink" Target="https://pbs.twimg.com/profile_images/1261120279/Abcollar-Logo-small_normal.jpg" TargetMode="External"/><Relationship Id="rId17761" Type="http://schemas.openxmlformats.org/officeDocument/2006/relationships/hyperlink" Target="https://twitter.com/FuscaWorld" TargetMode="External"/><Relationship Id="rId120" Type="http://schemas.openxmlformats.org/officeDocument/2006/relationships/hyperlink" Target="https://twitter.com/incanus77" TargetMode="External"/><Relationship Id="rId2898" Type="http://schemas.openxmlformats.org/officeDocument/2006/relationships/hyperlink" Target="https://twitter.com/shamereflect" TargetMode="External"/><Relationship Id="rId7820" Type="http://schemas.openxmlformats.org/officeDocument/2006/relationships/hyperlink" Target="http://dlvr.it/" TargetMode="External"/><Relationship Id="rId10801" Type="http://schemas.openxmlformats.org/officeDocument/2006/relationships/hyperlink" Target="https://pbs.twimg.com/profile_images/671717924802023425/RXgRF9p-_normal.jpg" TargetMode="External"/><Relationship Id="rId17414" Type="http://schemas.openxmlformats.org/officeDocument/2006/relationships/hyperlink" Target="https://twitter.com/Dieren01/status/723797568912797697" TargetMode="External"/><Relationship Id="rId24630" Type="http://schemas.openxmlformats.org/officeDocument/2006/relationships/hyperlink" Target="https://pbs.twimg.com/profile_images/724335174008320001/vc3eG6JX_normal.jpg" TargetMode="External"/><Relationship Id="rId5024" Type="http://schemas.openxmlformats.org/officeDocument/2006/relationships/hyperlink" Target="https://twitter.com/bjdake" TargetMode="External"/><Relationship Id="rId5371" Type="http://schemas.openxmlformats.org/officeDocument/2006/relationships/hyperlink" Target="https://twitter.com/roansub" TargetMode="External"/><Relationship Id="rId22181" Type="http://schemas.openxmlformats.org/officeDocument/2006/relationships/hyperlink" Target="https://twitter.com/SocialEvents2" TargetMode="External"/><Relationship Id="rId1981" Type="http://schemas.openxmlformats.org/officeDocument/2006/relationships/hyperlink" Target="https://twitter.com/BeterLeefmilieu/status/723072474703863808" TargetMode="External"/><Relationship Id="rId8594" Type="http://schemas.openxmlformats.org/officeDocument/2006/relationships/hyperlink" Target="https://twitter.com/NordicInvestor" TargetMode="External"/><Relationship Id="rId11575" Type="http://schemas.openxmlformats.org/officeDocument/2006/relationships/hyperlink" Target="https://twitter.com/dw_business" TargetMode="External"/><Relationship Id="rId18188" Type="http://schemas.openxmlformats.org/officeDocument/2006/relationships/hyperlink" Target="https://twitter.com/CARS_MMcLay/status/723850190751412224" TargetMode="External"/><Relationship Id="rId1634" Type="http://schemas.openxmlformats.org/officeDocument/2006/relationships/hyperlink" Target="https://twitter.com/Rauwald" TargetMode="External"/><Relationship Id="rId8247" Type="http://schemas.openxmlformats.org/officeDocument/2006/relationships/hyperlink" Target="https://twitter.com/Djexenmon" TargetMode="External"/><Relationship Id="rId11228" Type="http://schemas.openxmlformats.org/officeDocument/2006/relationships/hyperlink" Target="https://twitter.com/padmakarvikas/status/723499482667732992" TargetMode="External"/><Relationship Id="rId25057" Type="http://schemas.openxmlformats.org/officeDocument/2006/relationships/hyperlink" Target="https://pbs.twimg.com/profile_images/465609811220889600/F7o-Mot7_normal.png" TargetMode="External"/><Relationship Id="rId4857" Type="http://schemas.openxmlformats.org/officeDocument/2006/relationships/hyperlink" Target="https://pbs.twimg.com/profile_images/540337694245916672/kkUJghTm_normal.jpeg" TargetMode="External"/><Relationship Id="rId14798" Type="http://schemas.openxmlformats.org/officeDocument/2006/relationships/hyperlink" Target="https://twitter.com/KatsDekker/status/723583462469414912" TargetMode="External"/><Relationship Id="rId17271" Type="http://schemas.openxmlformats.org/officeDocument/2006/relationships/hyperlink" Target="https://pbs.twimg.com/profile_images/422164778639839234/LVnS1q1c_normal.jpeg" TargetMode="External"/><Relationship Id="rId19720" Type="http://schemas.openxmlformats.org/officeDocument/2006/relationships/hyperlink" Target="https://pbs.twimg.com/profile_images/653637535545995264/gHuXQ5Bt_normal.jpg" TargetMode="External"/><Relationship Id="rId7330" Type="http://schemas.openxmlformats.org/officeDocument/2006/relationships/hyperlink" Target="https://twitter.com/rhysiepoo/status/723296332312653824" TargetMode="External"/><Relationship Id="rId21667" Type="http://schemas.openxmlformats.org/officeDocument/2006/relationships/hyperlink" Target="https://twitter.com/SanRMaadhwa" TargetMode="External"/><Relationship Id="rId24140" Type="http://schemas.openxmlformats.org/officeDocument/2006/relationships/hyperlink" Target="https://twitter.com/ProjectCarsUK/status/724334660646518784" TargetMode="External"/><Relationship Id="rId10311" Type="http://schemas.openxmlformats.org/officeDocument/2006/relationships/hyperlink" Target="https://twitter.com/KelvHathSpoken/status/723469098336706560" TargetMode="External"/><Relationship Id="rId13881" Type="http://schemas.openxmlformats.org/officeDocument/2006/relationships/hyperlink" Target="https://twitter.com/AxeelCabj10" TargetMode="External"/><Relationship Id="rId3940" Type="http://schemas.openxmlformats.org/officeDocument/2006/relationships/hyperlink" Target="https://twitter.com/franz_rother/status/723172550998646784" TargetMode="External"/><Relationship Id="rId13534" Type="http://schemas.openxmlformats.org/officeDocument/2006/relationships/hyperlink" Target="https://twitter.com/BS_Verkehr/status/723549792752807936" TargetMode="External"/><Relationship Id="rId20750" Type="http://schemas.openxmlformats.org/officeDocument/2006/relationships/hyperlink" Target="https://twitter.com/vwpalmspringspr" TargetMode="External"/><Relationship Id="rId1491" Type="http://schemas.openxmlformats.org/officeDocument/2006/relationships/hyperlink" Target="https://twitter.com/VWHeritage" TargetMode="External"/><Relationship Id="rId11085" Type="http://schemas.openxmlformats.org/officeDocument/2006/relationships/hyperlink" Target="https://pbs.twimg.com/profile_images/645328399834181632/rWu1bHrC_normal.jpg" TargetMode="External"/><Relationship Id="rId16757" Type="http://schemas.openxmlformats.org/officeDocument/2006/relationships/hyperlink" Target="https://twitter.com/FakeDispatchBot" TargetMode="External"/><Relationship Id="rId20403" Type="http://schemas.openxmlformats.org/officeDocument/2006/relationships/hyperlink" Target="https://pbs.twimg.com/profile_images/2635317758/7c2c4ad3f1a9ec07740a743a22591d59_normal.png" TargetMode="External"/><Relationship Id="rId23973" Type="http://schemas.openxmlformats.org/officeDocument/2006/relationships/hyperlink" Target="https://twitter.com/CARLOSATOLOSA" TargetMode="External"/><Relationship Id="rId1144" Type="http://schemas.openxmlformats.org/officeDocument/2006/relationships/hyperlink" Target="https://twitter.com/ebaycampervans/status/723021877577285634" TargetMode="External"/><Relationship Id="rId6816" Type="http://schemas.openxmlformats.org/officeDocument/2006/relationships/hyperlink" Target="https://twitter.com/VWCamperSales" TargetMode="External"/><Relationship Id="rId19230" Type="http://schemas.openxmlformats.org/officeDocument/2006/relationships/hyperlink" Target="https://twitter.com/carbrosusedcars" TargetMode="External"/><Relationship Id="rId23626" Type="http://schemas.openxmlformats.org/officeDocument/2006/relationships/hyperlink" Target="https://twitter.com/VWCamperSales" TargetMode="External"/><Relationship Id="rId4367" Type="http://schemas.openxmlformats.org/officeDocument/2006/relationships/hyperlink" Target="https://twitter.com/Stony_BS/status/723179635878420484" TargetMode="External"/><Relationship Id="rId21177" Type="http://schemas.openxmlformats.org/officeDocument/2006/relationships/hyperlink" Target="https://twitter.com/VWBeetleSales" TargetMode="External"/><Relationship Id="rId15840" Type="http://schemas.openxmlformats.org/officeDocument/2006/relationships/hyperlink" Target="https://twitter.com/hdBerretz/status/723632795424313347" TargetMode="External"/><Relationship Id="rId13391" Type="http://schemas.openxmlformats.org/officeDocument/2006/relationships/hyperlink" Target="https://twitter.com/dejbanlaw" TargetMode="External"/><Relationship Id="rId3450" Type="http://schemas.openxmlformats.org/officeDocument/2006/relationships/hyperlink" Target="https://twitter.com/WRC_App" TargetMode="External"/><Relationship Id="rId13044" Type="http://schemas.openxmlformats.org/officeDocument/2006/relationships/hyperlink" Target="https://pbs.twimg.com/profile_images/693770459733757952/5dw4PK2Q_normal.jpg" TargetMode="External"/><Relationship Id="rId18716" Type="http://schemas.openxmlformats.org/officeDocument/2006/relationships/hyperlink" Target="https://twitter.com/swanswaygroup/status/723890678854377473" TargetMode="External"/><Relationship Id="rId20260" Type="http://schemas.openxmlformats.org/officeDocument/2006/relationships/hyperlink" Target="https://twitter.com/XimeeCatalan" TargetMode="External"/><Relationship Id="rId3103" Type="http://schemas.openxmlformats.org/officeDocument/2006/relationships/hyperlink" Target="https://twitter.com/mrtimochee" TargetMode="External"/><Relationship Id="rId6673" Type="http://schemas.openxmlformats.org/officeDocument/2006/relationships/hyperlink" Target="https://pbs.twimg.com/profile_images/434425163216474112/KtOuHIkV_normal.jpeg" TargetMode="External"/><Relationship Id="rId16267" Type="http://schemas.openxmlformats.org/officeDocument/2006/relationships/hyperlink" Target="https://twitter.com/beetlebug1938/status/723663436413034496" TargetMode="External"/><Relationship Id="rId23483" Type="http://schemas.openxmlformats.org/officeDocument/2006/relationships/hyperlink" Target="https://twitter.com/ThomasEngst/status/724292033343590401" TargetMode="External"/><Relationship Id="rId6326" Type="http://schemas.openxmlformats.org/officeDocument/2006/relationships/hyperlink" Target="https://twitter.com/thomaslyoung" TargetMode="External"/><Relationship Id="rId9896" Type="http://schemas.openxmlformats.org/officeDocument/2006/relationships/hyperlink" Target="https://pbs.twimg.com/profile_images/688412401667035136/gvoxnxoc_normal.jpg" TargetMode="External"/><Relationship Id="rId23136" Type="http://schemas.openxmlformats.org/officeDocument/2006/relationships/hyperlink" Target="https://twitter.com/tomacell" TargetMode="External"/><Relationship Id="rId2936" Type="http://schemas.openxmlformats.org/officeDocument/2006/relationships/hyperlink" Target="https://pbs.twimg.com/profile_images/665334663288877056/qFW2jCdT_normal.jpg" TargetMode="External"/><Relationship Id="rId9549" Type="http://schemas.openxmlformats.org/officeDocument/2006/relationships/hyperlink" Target="https://twitter.com/WCBD/status/723439937240981504" TargetMode="External"/><Relationship Id="rId12877" Type="http://schemas.openxmlformats.org/officeDocument/2006/relationships/hyperlink" Target="https://twitter.com/Fotobiene/status/723530166849417216" TargetMode="External"/><Relationship Id="rId15350" Type="http://schemas.openxmlformats.org/officeDocument/2006/relationships/hyperlink" Target="https://pbs.twimg.com/profile_images/530071272881803264/a_jcCmPZ_normal.png" TargetMode="External"/><Relationship Id="rId908" Type="http://schemas.openxmlformats.org/officeDocument/2006/relationships/hyperlink" Target="https://twitter.com/Slothrop677" TargetMode="External"/><Relationship Id="rId15003" Type="http://schemas.openxmlformats.org/officeDocument/2006/relationships/hyperlink" Target="https://pbs.twimg.com/profile_images/541184768092946432/7MQsdDpQ_normal.jpeg" TargetMode="External"/><Relationship Id="rId11960" Type="http://schemas.openxmlformats.org/officeDocument/2006/relationships/hyperlink" Target="https://pbs.twimg.com/profile_images/474185502388518912/sROk9L0u_normal.png" TargetMode="External"/><Relationship Id="rId18573" Type="http://schemas.openxmlformats.org/officeDocument/2006/relationships/hyperlink" Target="https://pbs.twimg.com/profile_images/715332329019994114/CunHJsKm_normal.jpg" TargetMode="External"/><Relationship Id="rId22969" Type="http://schemas.openxmlformats.org/officeDocument/2006/relationships/hyperlink" Target="https://twitter.com/VWBeetleSales/status/724260644837453825" TargetMode="External"/><Relationship Id="rId6183" Type="http://schemas.openxmlformats.org/officeDocument/2006/relationships/hyperlink" Target="https://twitter.com/Rhythmic_Spirit" TargetMode="External"/><Relationship Id="rId8632" Type="http://schemas.openxmlformats.org/officeDocument/2006/relationships/hyperlink" Target="https://pbs.twimg.com/profile_images/599357023407464449/BL9Bpo6T_normal.jpg" TargetMode="External"/><Relationship Id="rId11613" Type="http://schemas.openxmlformats.org/officeDocument/2006/relationships/hyperlink" Target="https://twitter.com/cotillo1/status/723504312773693440" TargetMode="External"/><Relationship Id="rId18226" Type="http://schemas.openxmlformats.org/officeDocument/2006/relationships/hyperlink" Target="https://twitter.com/VWCamperSales" TargetMode="External"/><Relationship Id="rId25442" Type="http://schemas.openxmlformats.org/officeDocument/2006/relationships/hyperlink" Target="https://twitter.com/ari_budiman307/status/724438793483243521" TargetMode="External"/><Relationship Id="rId14836" Type="http://schemas.openxmlformats.org/officeDocument/2006/relationships/hyperlink" Target="https://pbs.twimg.com/profile_images/610401931501137920/c0qYTPr__normal.jpg" TargetMode="External"/><Relationship Id="rId2793" Type="http://schemas.openxmlformats.org/officeDocument/2006/relationships/hyperlink" Target="https://twitter.com/vagmenhq" TargetMode="External"/><Relationship Id="rId12387" Type="http://schemas.openxmlformats.org/officeDocument/2006/relationships/hyperlink" Target="https://twitter.com/089stadt" TargetMode="External"/><Relationship Id="rId21705" Type="http://schemas.openxmlformats.org/officeDocument/2006/relationships/hyperlink" Target="https://twitter.com/TobiMuelhauser/status/724171580385988609" TargetMode="External"/><Relationship Id="rId765" Type="http://schemas.openxmlformats.org/officeDocument/2006/relationships/hyperlink" Target="https://twitter.com/beetlebug1938/status/722980510226604032" TargetMode="External"/><Relationship Id="rId2446" Type="http://schemas.openxmlformats.org/officeDocument/2006/relationships/hyperlink" Target="https://twitter.com/beetlebug1938" TargetMode="External"/><Relationship Id="rId9059" Type="http://schemas.openxmlformats.org/officeDocument/2006/relationships/hyperlink" Target="https://twitter.com/r_kreisel/status/723420453952327681" TargetMode="External"/><Relationship Id="rId418" Type="http://schemas.openxmlformats.org/officeDocument/2006/relationships/hyperlink" Target="https://pbs.twimg.com/profile_images/667876096088653825/FOW14Ke4_normal.jpg" TargetMode="External"/><Relationship Id="rId5669" Type="http://schemas.openxmlformats.org/officeDocument/2006/relationships/hyperlink" Target="https://twitter.com/CarterVW" TargetMode="External"/><Relationship Id="rId18083" Type="http://schemas.openxmlformats.org/officeDocument/2006/relationships/hyperlink" Target="http://ctrlq.org/maps/address/" TargetMode="External"/><Relationship Id="rId22479" Type="http://schemas.openxmlformats.org/officeDocument/2006/relationships/hyperlink" Target="https://twitter.com/kan2121" TargetMode="External"/><Relationship Id="rId24928" Type="http://schemas.openxmlformats.org/officeDocument/2006/relationships/hyperlink" Target="https://twitter.com/VCT_Tweets" TargetMode="External"/><Relationship Id="rId8142" Type="http://schemas.openxmlformats.org/officeDocument/2006/relationships/hyperlink" Target="https://pbs.twimg.com/profile_images/659295730222280705/W1FqHCVo_normal.jpg" TargetMode="External"/><Relationship Id="rId11470" Type="http://schemas.openxmlformats.org/officeDocument/2006/relationships/hyperlink" Target="https://twitter.com/Dr_JAH" TargetMode="External"/><Relationship Id="rId11123" Type="http://schemas.openxmlformats.org/officeDocument/2006/relationships/hyperlink" Target="https://twitter.com/NDRreporter" TargetMode="External"/><Relationship Id="rId14693" Type="http://schemas.openxmlformats.org/officeDocument/2006/relationships/hyperlink" Target="https://twitter.com/Colson_Hicks/status/723580008766144512" TargetMode="External"/><Relationship Id="rId4752" Type="http://schemas.openxmlformats.org/officeDocument/2006/relationships/hyperlink" Target="https://pbs.twimg.com/profile_images/525288454620336128/_cz57Vaw_normal.jpeg" TargetMode="External"/><Relationship Id="rId14346" Type="http://schemas.openxmlformats.org/officeDocument/2006/relationships/hyperlink" Target="https://twitter.com/DaianaPaez4/status/723572830122704896" TargetMode="External"/><Relationship Id="rId21562" Type="http://schemas.openxmlformats.org/officeDocument/2006/relationships/hyperlink" Target="https://twitter.com/Vagowners" TargetMode="External"/><Relationship Id="rId4405" Type="http://schemas.openxmlformats.org/officeDocument/2006/relationships/hyperlink" Target="https://twitter.com/Autourtiti" TargetMode="External"/><Relationship Id="rId7975" Type="http://schemas.openxmlformats.org/officeDocument/2006/relationships/hyperlink" Target="https://twitter.com/borusse08" TargetMode="External"/><Relationship Id="rId17569" Type="http://schemas.openxmlformats.org/officeDocument/2006/relationships/hyperlink" Target="https://twitter.com/OlafHeinrich73/status/723807018809724928" TargetMode="External"/><Relationship Id="rId21215" Type="http://schemas.openxmlformats.org/officeDocument/2006/relationships/hyperlink" Target="https://twitter.com/hashtagvanlife/status/724123775005024256" TargetMode="External"/><Relationship Id="rId24785" Type="http://schemas.openxmlformats.org/officeDocument/2006/relationships/hyperlink" Target="https://pbs.twimg.com/profile_images/705780107844067328/e7O4UBNb_normal.jpg" TargetMode="External"/><Relationship Id="rId275" Type="http://schemas.openxmlformats.org/officeDocument/2006/relationships/hyperlink" Target="https://twitter.com/VolkswagenPost/status/722942883096064000" TargetMode="External"/><Relationship Id="rId7628" Type="http://schemas.openxmlformats.org/officeDocument/2006/relationships/hyperlink" Target="https://twitter.com/enviromedia" TargetMode="External"/><Relationship Id="rId10956" Type="http://schemas.openxmlformats.org/officeDocument/2006/relationships/hyperlink" Target="https://twitter.com/chrispillennews" TargetMode="External"/><Relationship Id="rId24438" Type="http://schemas.openxmlformats.org/officeDocument/2006/relationships/hyperlink" Target="https://twitter.com/FuscaWorld" TargetMode="External"/><Relationship Id="rId5179" Type="http://schemas.openxmlformats.org/officeDocument/2006/relationships/hyperlink" Target="https://twitter.com/Fumblkrusch/status/723196770298126337" TargetMode="External"/><Relationship Id="rId10609" Type="http://schemas.openxmlformats.org/officeDocument/2006/relationships/hyperlink" Target="https://twitter.com/dw_business/status/723478185262895104" TargetMode="External"/><Relationship Id="rId16652" Type="http://schemas.openxmlformats.org/officeDocument/2006/relationships/hyperlink" Target="https://twitter.com/Valennaraya" TargetMode="External"/><Relationship Id="rId1789" Type="http://schemas.openxmlformats.org/officeDocument/2006/relationships/hyperlink" Target="https://twitter.com/NDRreporter" TargetMode="External"/><Relationship Id="rId4262" Type="http://schemas.openxmlformats.org/officeDocument/2006/relationships/hyperlink" Target="https://twitter.com/dw_wirtschaft" TargetMode="External"/><Relationship Id="rId6711" Type="http://schemas.openxmlformats.org/officeDocument/2006/relationships/hyperlink" Target="https://twitter.com/AirdFlavelle" TargetMode="External"/><Relationship Id="rId16305" Type="http://schemas.openxmlformats.org/officeDocument/2006/relationships/hyperlink" Target="https://pbs.twimg.com/profile_images/473241395436986368/mFhroiNf_normal.jpeg" TargetMode="External"/><Relationship Id="rId19875" Type="http://schemas.openxmlformats.org/officeDocument/2006/relationships/hyperlink" Target="https://pbs.twimg.com/profile_images/711042006823387137/YnqVfTfq_normal.jpg" TargetMode="External"/><Relationship Id="rId21072" Type="http://schemas.openxmlformats.org/officeDocument/2006/relationships/hyperlink" Target="https://pbs.twimg.com/profile_images/1610421423/Image2_normal.jpg" TargetMode="External"/><Relationship Id="rId23521" Type="http://schemas.openxmlformats.org/officeDocument/2006/relationships/hyperlink" Target="https://twitter.com/mascoche" TargetMode="External"/><Relationship Id="rId9934" Type="http://schemas.openxmlformats.org/officeDocument/2006/relationships/hyperlink" Target="https://twitter.com/VWBeetleSales" TargetMode="External"/><Relationship Id="rId12915" Type="http://schemas.openxmlformats.org/officeDocument/2006/relationships/hyperlink" Target="https://twitter.com/Theothebald" TargetMode="External"/><Relationship Id="rId19528" Type="http://schemas.openxmlformats.org/officeDocument/2006/relationships/hyperlink" Target="https://pbs.twimg.com/profile_images/627949001179037696/skEBkS05_normal.jpg" TargetMode="External"/><Relationship Id="rId7485" Type="http://schemas.openxmlformats.org/officeDocument/2006/relationships/hyperlink" Target="https://twitter.com/LL2pilesPl/status/723306320590475265" TargetMode="External"/><Relationship Id="rId10466" Type="http://schemas.openxmlformats.org/officeDocument/2006/relationships/hyperlink" Target="https://twitter.com/SantaPodRaceway/status/723474005919969280" TargetMode="External"/><Relationship Id="rId17079" Type="http://schemas.openxmlformats.org/officeDocument/2006/relationships/hyperlink" Target="https://pbs.twimg.com/profile_images/653637535545995264/gHuXQ5Bt_normal.jpg" TargetMode="External"/><Relationship Id="rId24295" Type="http://schemas.openxmlformats.org/officeDocument/2006/relationships/hyperlink" Target="https://twitter.com/dronodromo" TargetMode="External"/><Relationship Id="rId7138" Type="http://schemas.openxmlformats.org/officeDocument/2006/relationships/hyperlink" Target="https://twitter.com/DannyFreshVici/status/723281017658839040" TargetMode="External"/><Relationship Id="rId10119" Type="http://schemas.openxmlformats.org/officeDocument/2006/relationships/hyperlink" Target="https://pbs.twimg.com/profile_images/378800000190598515/0ec3ca5a29efb0275fcedc5ecc178493_normal.png" TargetMode="External"/><Relationship Id="rId13689" Type="http://schemas.openxmlformats.org/officeDocument/2006/relationships/hyperlink" Target="https://pbs.twimg.com/profile_images/627949001179037696/skEBkS05_normal.jpg" TargetMode="External"/><Relationship Id="rId3748" Type="http://schemas.openxmlformats.org/officeDocument/2006/relationships/hyperlink" Target="https://pbs.twimg.com/profile_images/62751185/logo_rp_normal.gif" TargetMode="External"/><Relationship Id="rId16162" Type="http://schemas.openxmlformats.org/officeDocument/2006/relationships/hyperlink" Target="https://twitter.com/JoserRP/status/723652843962392576" TargetMode="External"/><Relationship Id="rId18611" Type="http://schemas.openxmlformats.org/officeDocument/2006/relationships/hyperlink" Target="https://twitter.com/manumuncki" TargetMode="External"/><Relationship Id="rId20558" Type="http://schemas.openxmlformats.org/officeDocument/2006/relationships/hyperlink" Target="https://twitter.com/fzerfass" TargetMode="External"/><Relationship Id="rId1299" Type="http://schemas.openxmlformats.org/officeDocument/2006/relationships/hyperlink" Target="https://pbs.twimg.com/profile_images/562563461171798017/AkHF4keI_normal.png" TargetMode="External"/><Relationship Id="rId6221" Type="http://schemas.openxmlformats.org/officeDocument/2006/relationships/hyperlink" Target="https://pbs.twimg.com/profile_images/678160412500733952/aC2rcP7X_normal.png" TargetMode="External"/><Relationship Id="rId23031" Type="http://schemas.openxmlformats.org/officeDocument/2006/relationships/hyperlink" Target="https://twitter.com/hddoger/status/724265828670136321" TargetMode="External"/><Relationship Id="rId9444" Type="http://schemas.openxmlformats.org/officeDocument/2006/relationships/hyperlink" Target="https://pbs.twimg.com/profile_images/1665847531/twitter_normal.png" TargetMode="External"/><Relationship Id="rId9791" Type="http://schemas.openxmlformats.org/officeDocument/2006/relationships/hyperlink" Target="https://twitter.com/TepelmannMentor/status/723449524174225409" TargetMode="External"/><Relationship Id="rId12772" Type="http://schemas.openxmlformats.org/officeDocument/2006/relationships/hyperlink" Target="http://ctrlq.org/maps/address/" TargetMode="External"/><Relationship Id="rId19385" Type="http://schemas.openxmlformats.org/officeDocument/2006/relationships/hyperlink" Target="https://pbs.twimg.com/profile_images/705780107844067328/e7O4UBNb_normal.jpg" TargetMode="External"/><Relationship Id="rId2831" Type="http://schemas.openxmlformats.org/officeDocument/2006/relationships/hyperlink" Target="https://pbs.twimg.com/profile_images/378800000572104796/1de43e1cf23efb3f4101c02afad0d3b6_normal.png" TargetMode="External"/><Relationship Id="rId12425" Type="http://schemas.openxmlformats.org/officeDocument/2006/relationships/hyperlink" Target="https://twitter.com/RippedFlower/status/723519429552668672" TargetMode="External"/><Relationship Id="rId15995" Type="http://schemas.openxmlformats.org/officeDocument/2006/relationships/hyperlink" Target="https://twitter.com/davidmilner73" TargetMode="External"/><Relationship Id="rId19038" Type="http://schemas.openxmlformats.org/officeDocument/2006/relationships/hyperlink" Target="https://pbs.twimg.com/profile_images/2920846445/e34a37ddab890f16b88086d930e5a566_normal.jpeg" TargetMode="External"/><Relationship Id="rId803" Type="http://schemas.openxmlformats.org/officeDocument/2006/relationships/hyperlink" Target="https://pbs.twimg.com/profile_images/439107942877376514/dsUl4fwt_normal.jpeg" TargetMode="External"/><Relationship Id="rId15648" Type="http://schemas.openxmlformats.org/officeDocument/2006/relationships/hyperlink" Target="https://pbs.twimg.com/profile_images/706696262016503809/DKOWP6rq_normal.jpg" TargetMode="External"/><Relationship Id="rId22864" Type="http://schemas.openxmlformats.org/officeDocument/2006/relationships/hyperlink" Target="https://pbs.twimg.com/profile_images/691243542904184832/ynvpDVtb_normal.jpg" TargetMode="External"/><Relationship Id="rId5707" Type="http://schemas.openxmlformats.org/officeDocument/2006/relationships/hyperlink" Target="https://pbs.twimg.com/profile_images/552037189328982016/r65JRGTS_normal.jpeg" TargetMode="External"/><Relationship Id="rId13199" Type="http://schemas.openxmlformats.org/officeDocument/2006/relationships/hyperlink" Target="https://pbs.twimg.com/profile_images/594905123916091392/wrn-hZFg_normal.jpg" TargetMode="External"/><Relationship Id="rId18121" Type="http://schemas.openxmlformats.org/officeDocument/2006/relationships/hyperlink" Target="https://twitter.com/FuscaWorld/status/723846139817132033" TargetMode="External"/><Relationship Id="rId22517" Type="http://schemas.openxmlformats.org/officeDocument/2006/relationships/hyperlink" Target="https://twitter.com/sergiomarijr" TargetMode="External"/><Relationship Id="rId3258" Type="http://schemas.openxmlformats.org/officeDocument/2006/relationships/hyperlink" Target="https://twitter.com/AshFeky/status/723148047803359232" TargetMode="External"/><Relationship Id="rId20068" Type="http://schemas.openxmlformats.org/officeDocument/2006/relationships/hyperlink" Target="http://ctrlq.org/maps/address/" TargetMode="External"/><Relationship Id="rId12282" Type="http://schemas.openxmlformats.org/officeDocument/2006/relationships/hyperlink" Target="https://pbs.twimg.com/profile_images/684402258092621824/ctTUwOXj_normal.jpg" TargetMode="External"/><Relationship Id="rId14731" Type="http://schemas.openxmlformats.org/officeDocument/2006/relationships/hyperlink" Target="https://twitter.com/MotoringPodcast" TargetMode="External"/><Relationship Id="rId660" Type="http://schemas.openxmlformats.org/officeDocument/2006/relationships/hyperlink" Target="https://twitter.com/Heipmestagram" TargetMode="External"/><Relationship Id="rId2341" Type="http://schemas.openxmlformats.org/officeDocument/2006/relationships/hyperlink" Target="https://twitter.com/DoMarMac/status/723096483365416960" TargetMode="External"/><Relationship Id="rId17954" Type="http://schemas.openxmlformats.org/officeDocument/2006/relationships/hyperlink" Target="https://twitter.com/VWCamperSales/status/723836366153388032" TargetMode="External"/><Relationship Id="rId21600" Type="http://schemas.openxmlformats.org/officeDocument/2006/relationships/hyperlink" Target="https://pbs.twimg.com/profile_images/718820712757215233/LXXndPTS_normal.jpg" TargetMode="External"/><Relationship Id="rId313" Type="http://schemas.openxmlformats.org/officeDocument/2006/relationships/hyperlink" Target="https://twitter.com/VolkswagenPost" TargetMode="External"/><Relationship Id="rId17607" Type="http://schemas.openxmlformats.org/officeDocument/2006/relationships/hyperlink" Target="https://pbs.twimg.com/profile_images/615133737794146304/tm_E3lwi_normal.png" TargetMode="External"/><Relationship Id="rId24823" Type="http://schemas.openxmlformats.org/officeDocument/2006/relationships/hyperlink" Target="https://twitter.com/dan_stange" TargetMode="External"/><Relationship Id="rId5564" Type="http://schemas.openxmlformats.org/officeDocument/2006/relationships/hyperlink" Target="https://twitter.com/SalihiShejzije/status/723208851626037248" TargetMode="External"/><Relationship Id="rId15158" Type="http://schemas.openxmlformats.org/officeDocument/2006/relationships/hyperlink" Target="http://dlvr.it/" TargetMode="External"/><Relationship Id="rId22374" Type="http://schemas.openxmlformats.org/officeDocument/2006/relationships/hyperlink" Target="https://twitter.com/Oscar_Patillo" TargetMode="External"/><Relationship Id="rId5217" Type="http://schemas.openxmlformats.org/officeDocument/2006/relationships/hyperlink" Target="https://pbs.twimg.com/profile_images/575050086574510081/bzY4-hT8_normal.jpeg" TargetMode="External"/><Relationship Id="rId8787" Type="http://schemas.openxmlformats.org/officeDocument/2006/relationships/hyperlink" Target="https://twitter.com/JoachimHeck/status/723406868245155840" TargetMode="External"/><Relationship Id="rId11768" Type="http://schemas.openxmlformats.org/officeDocument/2006/relationships/hyperlink" Target="https://twitter.com/tom_hille" TargetMode="External"/><Relationship Id="rId22027" Type="http://schemas.openxmlformats.org/officeDocument/2006/relationships/hyperlink" Target="https://twitter.com/ThaiQashqaiClub/status/724194917602463744" TargetMode="External"/><Relationship Id="rId25597" Type="http://schemas.openxmlformats.org/officeDocument/2006/relationships/hyperlink" Target="https://pbs.twimg.com/profile_images/439793745223892992/B7ZjnRlV_normal.jpeg" TargetMode="External"/><Relationship Id="rId1827" Type="http://schemas.openxmlformats.org/officeDocument/2006/relationships/hyperlink" Target="https://pbs.twimg.com/profile_images/3668786744/579a077df8e8a1808ea48107bc6d84fd_normal.jpeg" TargetMode="External"/><Relationship Id="rId14241" Type="http://schemas.openxmlformats.org/officeDocument/2006/relationships/hyperlink" Target="https://pbs.twimg.com/profile_images/722690189647290369/RX421T-r_normal.jpg" TargetMode="External"/><Relationship Id="rId4300" Type="http://schemas.openxmlformats.org/officeDocument/2006/relationships/hyperlink" Target="https://twitter.com/vzbv/status/723179037946875904" TargetMode="External"/><Relationship Id="rId19913" Type="http://schemas.openxmlformats.org/officeDocument/2006/relationships/hyperlink" Target="https://twitter.com/RALLY_PRIMERA/status/723963285490556928" TargetMode="External"/><Relationship Id="rId21110" Type="http://schemas.openxmlformats.org/officeDocument/2006/relationships/hyperlink" Target="https://twitter.com/beetlebug1938" TargetMode="External"/><Relationship Id="rId170" Type="http://schemas.openxmlformats.org/officeDocument/2006/relationships/hyperlink" Target="https://pbs.twimg.com/profile_images/569800899141177344/nVFLMSdb_normal.png" TargetMode="External"/><Relationship Id="rId7523" Type="http://schemas.openxmlformats.org/officeDocument/2006/relationships/hyperlink" Target="https://pbs.twimg.com/profile_images/696505748969230336/W2SaMvVz_normal.jpg" TargetMode="External"/><Relationship Id="rId7870" Type="http://schemas.openxmlformats.org/officeDocument/2006/relationships/hyperlink" Target="https://twitter.com/1stInSEO" TargetMode="External"/><Relationship Id="rId10851" Type="http://schemas.openxmlformats.org/officeDocument/2006/relationships/hyperlink" Target="https://twitter.com/martin_speer" TargetMode="External"/><Relationship Id="rId17464" Type="http://schemas.openxmlformats.org/officeDocument/2006/relationships/hyperlink" Target="https://twitter.com/_AKHH_" TargetMode="External"/><Relationship Id="rId24680" Type="http://schemas.openxmlformats.org/officeDocument/2006/relationships/hyperlink" Target="https://twitter.com/llvmariejones/status/724383260965482497" TargetMode="External"/><Relationship Id="rId5074" Type="http://schemas.openxmlformats.org/officeDocument/2006/relationships/hyperlink" Target="https://twitter.com/PaddySteen/status/723193664659283970" TargetMode="External"/><Relationship Id="rId10504" Type="http://schemas.openxmlformats.org/officeDocument/2006/relationships/hyperlink" Target="https://twitter.com/ratemycamper/status/723474951651627008" TargetMode="External"/><Relationship Id="rId17117" Type="http://schemas.openxmlformats.org/officeDocument/2006/relationships/hyperlink" Target="https://twitter.com/Gachie_" TargetMode="External"/><Relationship Id="rId24333" Type="http://schemas.openxmlformats.org/officeDocument/2006/relationships/hyperlink" Target="https://twitter.com/wohsracrepus/status/724348250749329412" TargetMode="External"/><Relationship Id="rId8297" Type="http://schemas.openxmlformats.org/officeDocument/2006/relationships/hyperlink" Target="https://pbs.twimg.com/profile_images/661572660976054272/AiFRl7gO_normal.jpg" TargetMode="External"/><Relationship Id="rId13727" Type="http://schemas.openxmlformats.org/officeDocument/2006/relationships/hyperlink" Target="https://twitter.com/Mica_Turchi/status/723554245589499905" TargetMode="External"/><Relationship Id="rId20943" Type="http://schemas.openxmlformats.org/officeDocument/2006/relationships/hyperlink" Target="https://twitter.com/paintedmanican/status/724070605981671424" TargetMode="External"/><Relationship Id="rId1684" Type="http://schemas.openxmlformats.org/officeDocument/2006/relationships/hyperlink" Target="https://pbs.twimg.com/profile_images/684756833207205888/gmAhxSB9_normal.jpg" TargetMode="External"/><Relationship Id="rId11278" Type="http://schemas.openxmlformats.org/officeDocument/2006/relationships/hyperlink" Target="https://pbs.twimg.com/profile_images/704302570739785729/M4HWJt6p_normal.jpg" TargetMode="External"/><Relationship Id="rId16200" Type="http://schemas.openxmlformats.org/officeDocument/2006/relationships/hyperlink" Target="https://pbs.twimg.com/profile_images/718800395997294592/7kwRAhRd_normal.jpg" TargetMode="External"/><Relationship Id="rId19770" Type="http://schemas.openxmlformats.org/officeDocument/2006/relationships/hyperlink" Target="https://pbs.twimg.com/profile_images/424893967197433858/iQ86NktX_normal.jpeg" TargetMode="External"/><Relationship Id="rId1337" Type="http://schemas.openxmlformats.org/officeDocument/2006/relationships/hyperlink" Target="https://twitter.com/bradshaw_sw/status/723036272797880320" TargetMode="External"/><Relationship Id="rId19423" Type="http://schemas.openxmlformats.org/officeDocument/2006/relationships/hyperlink" Target="https://twitter.com/commutador" TargetMode="External"/><Relationship Id="rId23819" Type="http://schemas.openxmlformats.org/officeDocument/2006/relationships/hyperlink" Target="https://twitter.com/Chuurraaa" TargetMode="External"/><Relationship Id="rId43" Type="http://schemas.openxmlformats.org/officeDocument/2006/relationships/hyperlink" Target="https://twitter.com/beetlebug1938" TargetMode="External"/><Relationship Id="rId7380" Type="http://schemas.openxmlformats.org/officeDocument/2006/relationships/hyperlink" Target="https://twitter.com/hameles/status/723298668816785408" TargetMode="External"/><Relationship Id="rId10361" Type="http://schemas.openxmlformats.org/officeDocument/2006/relationships/hyperlink" Target="https://pbs.twimg.com/profile_images/509071000122982400/X7VfGKLE_normal.jpeg" TargetMode="External"/><Relationship Id="rId12810" Type="http://schemas.openxmlformats.org/officeDocument/2006/relationships/hyperlink" Target="https://pbs.twimg.com/profile_images/718820712757215233/LXXndPTS_normal.jpg" TargetMode="External"/><Relationship Id="rId24190" Type="http://schemas.openxmlformats.org/officeDocument/2006/relationships/hyperlink" Target="https://twitter.com/dubbusses/status/724337214927298560" TargetMode="External"/><Relationship Id="rId7033" Type="http://schemas.openxmlformats.org/officeDocument/2006/relationships/hyperlink" Target="https://twitter.com/noz_de" TargetMode="External"/><Relationship Id="rId10014" Type="http://schemas.openxmlformats.org/officeDocument/2006/relationships/hyperlink" Target="https://pbs.twimg.com/profile_images/562563461171798017/AkHF4keI_normal.png" TargetMode="External"/><Relationship Id="rId3990" Type="http://schemas.openxmlformats.org/officeDocument/2006/relationships/hyperlink" Target="https://pbs.twimg.com/profile_images/393094957/td_normal.jpg" TargetMode="External"/><Relationship Id="rId13584" Type="http://schemas.openxmlformats.org/officeDocument/2006/relationships/hyperlink" Target="https://twitter.com/Klaus_Mueller" TargetMode="External"/><Relationship Id="rId22902" Type="http://schemas.openxmlformats.org/officeDocument/2006/relationships/hyperlink" Target="https://twitter.com/Mphilpot1/status/724254535267422209" TargetMode="External"/><Relationship Id="rId1194" Type="http://schemas.openxmlformats.org/officeDocument/2006/relationships/hyperlink" Target="https://twitter.com/DeezaSunglasses/status/723024838013661184" TargetMode="External"/><Relationship Id="rId3643" Type="http://schemas.openxmlformats.org/officeDocument/2006/relationships/hyperlink" Target="https://pbs.twimg.com/profile_images/657853466384191488/J6vAnfZr_normal.jpg" TargetMode="External"/><Relationship Id="rId13237" Type="http://schemas.openxmlformats.org/officeDocument/2006/relationships/hyperlink" Target="https://twitter.com/imfree81/status/723540179970068481" TargetMode="External"/><Relationship Id="rId18909" Type="http://schemas.openxmlformats.org/officeDocument/2006/relationships/hyperlink" Target="https://twitter.com/Benk109" TargetMode="External"/><Relationship Id="rId20453" Type="http://schemas.openxmlformats.org/officeDocument/2006/relationships/hyperlink" Target="https://twitter.com/DosOz42" TargetMode="External"/><Relationship Id="rId6866" Type="http://schemas.openxmlformats.org/officeDocument/2006/relationships/hyperlink" Target="https://pbs.twimg.com/profile_images/718820712757215233/LXXndPTS_normal.jpg" TargetMode="External"/><Relationship Id="rId19280" Type="http://schemas.openxmlformats.org/officeDocument/2006/relationships/hyperlink" Target="https://twitter.com/beetle_pics/status/723925912647962624" TargetMode="External"/><Relationship Id="rId20106" Type="http://schemas.openxmlformats.org/officeDocument/2006/relationships/hyperlink" Target="https://twitter.com/momma_rocker" TargetMode="External"/><Relationship Id="rId23676" Type="http://schemas.openxmlformats.org/officeDocument/2006/relationships/hyperlink" Target="https://twitter.com/TriplePundit/status/724305683064213504" TargetMode="External"/><Relationship Id="rId6519" Type="http://schemas.openxmlformats.org/officeDocument/2006/relationships/hyperlink" Target="https://twitter.com/Mphilpot1" TargetMode="External"/><Relationship Id="rId12320" Type="http://schemas.openxmlformats.org/officeDocument/2006/relationships/hyperlink" Target="https://twitter.com/hannah_mowat" TargetMode="External"/><Relationship Id="rId23329" Type="http://schemas.openxmlformats.org/officeDocument/2006/relationships/hyperlink" Target="https://twitter.com/OnlineCarReview" TargetMode="External"/><Relationship Id="rId15890" Type="http://schemas.openxmlformats.org/officeDocument/2006/relationships/hyperlink" Target="https://twitter.com/harwich2gether/status/723635893567893504" TargetMode="External"/><Relationship Id="rId13094" Type="http://schemas.openxmlformats.org/officeDocument/2006/relationships/hyperlink" Target="https://twitter.com/WSJRisk" TargetMode="External"/><Relationship Id="rId15543" Type="http://schemas.openxmlformats.org/officeDocument/2006/relationships/hyperlink" Target="https://pbs.twimg.com/profile_images/1169387207/uhu_normal.jpg" TargetMode="External"/><Relationship Id="rId3153" Type="http://schemas.openxmlformats.org/officeDocument/2006/relationships/hyperlink" Target="https://twitter.com/Insta_VWT/status/723144274678812672" TargetMode="External"/><Relationship Id="rId5602" Type="http://schemas.openxmlformats.org/officeDocument/2006/relationships/hyperlink" Target="https://twitter.com/salam_khubi" TargetMode="External"/><Relationship Id="rId18766" Type="http://schemas.openxmlformats.org/officeDocument/2006/relationships/hyperlink" Target="https://twitter.com/Scirocco_Tuning" TargetMode="External"/><Relationship Id="rId22412" Type="http://schemas.openxmlformats.org/officeDocument/2006/relationships/hyperlink" Target="https://twitter.com/VWBeetleSales/status/724222998287245314" TargetMode="External"/><Relationship Id="rId8825" Type="http://schemas.openxmlformats.org/officeDocument/2006/relationships/hyperlink" Target="https://twitter.com/bvdvliet" TargetMode="External"/><Relationship Id="rId11806" Type="http://schemas.openxmlformats.org/officeDocument/2006/relationships/hyperlink" Target="https://twitter.com/TobyEmanuel/status/723507863537246208" TargetMode="External"/><Relationship Id="rId18419" Type="http://schemas.openxmlformats.org/officeDocument/2006/relationships/hyperlink" Target="http://dlvr.it/" TargetMode="External"/><Relationship Id="rId25635" Type="http://schemas.openxmlformats.org/officeDocument/2006/relationships/hyperlink" Target="https://twitter.com/VolkswagenPost" TargetMode="External"/><Relationship Id="rId6029" Type="http://schemas.openxmlformats.org/officeDocument/2006/relationships/hyperlink" Target="https://pbs.twimg.com/profile_images/614230691044265984/Wocs5ZQz_normal.jpg" TargetMode="External"/><Relationship Id="rId6376" Type="http://schemas.openxmlformats.org/officeDocument/2006/relationships/hyperlink" Target="https://pbs.twimg.com/profile_images/703294545195307008/qeCvrX86_normal.jpg" TargetMode="External"/><Relationship Id="rId23186" Type="http://schemas.openxmlformats.org/officeDocument/2006/relationships/hyperlink" Target="https://twitter.com/WonSicily/status/724272699069980673" TargetMode="External"/><Relationship Id="rId2986" Type="http://schemas.openxmlformats.org/officeDocument/2006/relationships/hyperlink" Target="https://twitter.com/pedpsychdoc/status/723130294836953088" TargetMode="External"/><Relationship Id="rId9599" Type="http://schemas.openxmlformats.org/officeDocument/2006/relationships/hyperlink" Target="https://pbs.twimg.com/profile_images/424893967197433858/iQ86NktX_normal.jpeg" TargetMode="External"/><Relationship Id="rId17502" Type="http://schemas.openxmlformats.org/officeDocument/2006/relationships/hyperlink" Target="https://pbs.twimg.com/profile_images/378800000461582138/dea3b11d48a7b41fa52ff65a08ce5a0c_normal.jpeg" TargetMode="External"/><Relationship Id="rId958" Type="http://schemas.openxmlformats.org/officeDocument/2006/relationships/hyperlink" Target="https://pbs.twimg.com/profile_images/717947360848969732/BRmBoCSo_normal.jpg" TargetMode="External"/><Relationship Id="rId2639" Type="http://schemas.openxmlformats.org/officeDocument/2006/relationships/hyperlink" Target="https://pbs.twimg.com/profile_images/580855319364018176/SQZHsdYj_normal.jpg" TargetMode="External"/><Relationship Id="rId15053" Type="http://schemas.openxmlformats.org/officeDocument/2006/relationships/hyperlink" Target="https://twitter.com/acvwpassion" TargetMode="External"/><Relationship Id="rId5112" Type="http://schemas.openxmlformats.org/officeDocument/2006/relationships/hyperlink" Target="https://twitter.com/autosuperbr" TargetMode="External"/><Relationship Id="rId8682" Type="http://schemas.openxmlformats.org/officeDocument/2006/relationships/hyperlink" Target="https://twitter.com/VWBeetleSales/status/723401979033063424" TargetMode="External"/><Relationship Id="rId18276" Type="http://schemas.openxmlformats.org/officeDocument/2006/relationships/hyperlink" Target="https://pbs.twimg.com/profile_images/496641357113331712/epbi56D0_normal.jpeg" TargetMode="External"/><Relationship Id="rId25492" Type="http://schemas.openxmlformats.org/officeDocument/2006/relationships/hyperlink" Target="https://twitter.com/Tarq66262692" TargetMode="External"/><Relationship Id="rId8335" Type="http://schemas.openxmlformats.org/officeDocument/2006/relationships/hyperlink" Target="https://twitter.com/Ryan911T" TargetMode="External"/><Relationship Id="rId11663" Type="http://schemas.openxmlformats.org/officeDocument/2006/relationships/hyperlink" Target="https://pbs.twimg.com/profile_images/428946684312170496/JhiJB2NG_normal.jpeg" TargetMode="External"/><Relationship Id="rId25145" Type="http://schemas.openxmlformats.org/officeDocument/2006/relationships/hyperlink" Target="https://twitter.com/Floppii_Chiara/status/724423579488641025" TargetMode="External"/><Relationship Id="rId1722" Type="http://schemas.openxmlformats.org/officeDocument/2006/relationships/hyperlink" Target="https://twitter.com/AFECTADOGRUPOVW" TargetMode="External"/><Relationship Id="rId11316" Type="http://schemas.openxmlformats.org/officeDocument/2006/relationships/hyperlink" Target="https://twitter.com/COURAGE_COMM" TargetMode="External"/><Relationship Id="rId14886" Type="http://schemas.openxmlformats.org/officeDocument/2006/relationships/hyperlink" Target="https://twitter.com/tim_jarz" TargetMode="External"/><Relationship Id="rId4945" Type="http://schemas.openxmlformats.org/officeDocument/2006/relationships/hyperlink" Target="https://pbs.twimg.com/profile_images/536852811401555968/jGIByPyp_normal.png" TargetMode="External"/><Relationship Id="rId14539" Type="http://schemas.openxmlformats.org/officeDocument/2006/relationships/hyperlink" Target="https://twitter.com/weald_tech" TargetMode="External"/><Relationship Id="rId21755" Type="http://schemas.openxmlformats.org/officeDocument/2006/relationships/hyperlink" Target="https://twitter.com/Die_Primel/status/724177587552018433" TargetMode="External"/><Relationship Id="rId2496" Type="http://schemas.openxmlformats.org/officeDocument/2006/relationships/hyperlink" Target="http://ctrlq.org/maps/address/" TargetMode="External"/><Relationship Id="rId17012" Type="http://schemas.openxmlformats.org/officeDocument/2006/relationships/hyperlink" Target="https://twitter.com/SDittl/status/723762672483835904" TargetMode="External"/><Relationship Id="rId21408" Type="http://schemas.openxmlformats.org/officeDocument/2006/relationships/hyperlink" Target="https://twitter.com/CareumCH/status/724147617815470081" TargetMode="External"/><Relationship Id="rId24978" Type="http://schemas.openxmlformats.org/officeDocument/2006/relationships/hyperlink" Target="https://pbs.twimg.com/profile_images/555636866926399488/a_mPemOU_normal.jpeg" TargetMode="External"/><Relationship Id="rId468" Type="http://schemas.openxmlformats.org/officeDocument/2006/relationships/hyperlink" Target="https://twitter.com/OnlineCarReview/status/722960447154982912" TargetMode="External"/><Relationship Id="rId2149" Type="http://schemas.openxmlformats.org/officeDocument/2006/relationships/hyperlink" Target="https://twitter.com/OnlineCarReview" TargetMode="External"/><Relationship Id="rId8192" Type="http://schemas.openxmlformats.org/officeDocument/2006/relationships/hyperlink" Target="https://pbs.twimg.com/profile_images/693091554194526209/_Hz25tig_normal.jpg" TargetMode="External"/><Relationship Id="rId11173" Type="http://schemas.openxmlformats.org/officeDocument/2006/relationships/hyperlink" Target="https://twitter.com/vwpress_en/status/723498709359665152" TargetMode="External"/><Relationship Id="rId13622" Type="http://schemas.openxmlformats.org/officeDocument/2006/relationships/hyperlink" Target="https://twitter.com/ChristophNoack/status/723551799236562944" TargetMode="External"/><Relationship Id="rId1232" Type="http://schemas.openxmlformats.org/officeDocument/2006/relationships/hyperlink" Target="https://twitter.com/alletun" TargetMode="External"/><Relationship Id="rId16845" Type="http://schemas.openxmlformats.org/officeDocument/2006/relationships/hyperlink" Target="https://twitter.com/mondedelauto" TargetMode="External"/><Relationship Id="rId6904" Type="http://schemas.openxmlformats.org/officeDocument/2006/relationships/hyperlink" Target="https://twitter.com/jonwellesley/status/723267938044772352" TargetMode="External"/><Relationship Id="rId14396" Type="http://schemas.openxmlformats.org/officeDocument/2006/relationships/hyperlink" Target="https://pbs.twimg.com/profile_images/722941853394337794/_dhXFLas_normal.jpg" TargetMode="External"/><Relationship Id="rId23714" Type="http://schemas.openxmlformats.org/officeDocument/2006/relationships/hyperlink" Target="https://twitter.com/dubbusses" TargetMode="External"/><Relationship Id="rId4108" Type="http://schemas.openxmlformats.org/officeDocument/2006/relationships/hyperlink" Target="https://twitter.com/970wfla" TargetMode="External"/><Relationship Id="rId4455" Type="http://schemas.openxmlformats.org/officeDocument/2006/relationships/hyperlink" Target="https://twitter.com/OnlineCarReview" TargetMode="External"/><Relationship Id="rId14049" Type="http://schemas.openxmlformats.org/officeDocument/2006/relationships/hyperlink" Target="https://twitter.com/buran63" TargetMode="External"/><Relationship Id="rId21265" Type="http://schemas.openxmlformats.org/officeDocument/2006/relationships/hyperlink" Target="https://pbs.twimg.com/profile_images/718835727027580928/1ssyQ67y_normal.jpg" TargetMode="External"/><Relationship Id="rId7678" Type="http://schemas.openxmlformats.org/officeDocument/2006/relationships/hyperlink" Target="https://twitter.com/VolkswagenPost" TargetMode="External"/><Relationship Id="rId10659" Type="http://schemas.openxmlformats.org/officeDocument/2006/relationships/hyperlink" Target="https://twitter.com/KathrinCalabro/status/723479969310097408" TargetMode="External"/><Relationship Id="rId24488" Type="http://schemas.openxmlformats.org/officeDocument/2006/relationships/hyperlink" Target="https://twitter.com/TheFashionPoet/status/724365181875314689" TargetMode="External"/><Relationship Id="rId13132" Type="http://schemas.openxmlformats.org/officeDocument/2006/relationships/hyperlink" Target="https://pbs.twimg.com/profile_images/721290611211575296/-bGGmXpE_normal.jpg" TargetMode="External"/><Relationship Id="rId6761" Type="http://schemas.openxmlformats.org/officeDocument/2006/relationships/hyperlink" Target="https://twitter.com/goingprorogue/status/723258726178799617" TargetMode="External"/><Relationship Id="rId16355" Type="http://schemas.openxmlformats.org/officeDocument/2006/relationships/hyperlink" Target="https://twitter.com/Wracktonne/status/723671739281100800" TargetMode="External"/><Relationship Id="rId18804" Type="http://schemas.openxmlformats.org/officeDocument/2006/relationships/hyperlink" Target="https://twitter.com/brandywineap/status/723897800421834752" TargetMode="External"/><Relationship Id="rId20001" Type="http://schemas.openxmlformats.org/officeDocument/2006/relationships/hyperlink" Target="https://twitter.com/NanoSilveiraOK/status/723968240641282049" TargetMode="External"/><Relationship Id="rId23571" Type="http://schemas.openxmlformats.org/officeDocument/2006/relationships/hyperlink" Target="https://twitter.com/techhippie" TargetMode="External"/><Relationship Id="rId6414" Type="http://schemas.openxmlformats.org/officeDocument/2006/relationships/hyperlink" Target="https://twitter.com/Troposfera" TargetMode="External"/><Relationship Id="rId16008" Type="http://schemas.openxmlformats.org/officeDocument/2006/relationships/hyperlink" Target="https://twitter.com/Tomiimz/status/723642603359600644" TargetMode="External"/><Relationship Id="rId23224" Type="http://schemas.openxmlformats.org/officeDocument/2006/relationships/hyperlink" Target="https://twitter.com/LifeAtWarpSpeed" TargetMode="External"/><Relationship Id="rId9984" Type="http://schemas.openxmlformats.org/officeDocument/2006/relationships/hyperlink" Target="https://pbs.twimg.com/profile_images/684011521010221056/m0qyKLZH_normal.jpg" TargetMode="External"/><Relationship Id="rId12965" Type="http://schemas.openxmlformats.org/officeDocument/2006/relationships/hyperlink" Target="https://pbs.twimg.com/profile_images/630378503/AchilleNos_normal.jpg" TargetMode="External"/><Relationship Id="rId19578" Type="http://schemas.openxmlformats.org/officeDocument/2006/relationships/hyperlink" Target="https://twitter.com/ldnsecuritysynd/status/723941107126689792" TargetMode="External"/><Relationship Id="rId7188" Type="http://schemas.openxmlformats.org/officeDocument/2006/relationships/hyperlink" Target="https://pbs.twimg.com/profile_images/510134807351672832/NEa_-oCU_normal.jpeg" TargetMode="External"/><Relationship Id="rId9637" Type="http://schemas.openxmlformats.org/officeDocument/2006/relationships/hyperlink" Target="https://twitter.com/doern/status/723443670347706369" TargetMode="External"/><Relationship Id="rId12618" Type="http://schemas.openxmlformats.org/officeDocument/2006/relationships/hyperlink" Target="https://twitter.com/kreisnagel/status/723523975188459524" TargetMode="External"/><Relationship Id="rId10169" Type="http://schemas.openxmlformats.org/officeDocument/2006/relationships/hyperlink" Target="https://twitter.com/dw_business/status/723465111709585408" TargetMode="External"/><Relationship Id="rId18661" Type="http://schemas.openxmlformats.org/officeDocument/2006/relationships/hyperlink" Target="https://twitter.com/VWCamperSales/status/723888051630428160" TargetMode="External"/><Relationship Id="rId3798" Type="http://schemas.openxmlformats.org/officeDocument/2006/relationships/hyperlink" Target="https://twitter.com/priyank3089/status/723169767746592769" TargetMode="External"/><Relationship Id="rId8720" Type="http://schemas.openxmlformats.org/officeDocument/2006/relationships/hyperlink" Target="https://pbs.twimg.com/profile_images/2999836477/4d9c72a43686f65998c0622a06942dd8_normal.jpeg" TargetMode="External"/><Relationship Id="rId18314" Type="http://schemas.openxmlformats.org/officeDocument/2006/relationships/hyperlink" Target="https://twitter.com/boaz_tal/status/723860793561899008" TargetMode="External"/><Relationship Id="rId25530" Type="http://schemas.openxmlformats.org/officeDocument/2006/relationships/hyperlink" Target="https://pbs.twimg.com/profile_images/459250339607105536/MuRs5avU_normal.jpeg" TargetMode="External"/><Relationship Id="rId6271" Type="http://schemas.openxmlformats.org/officeDocument/2006/relationships/hyperlink" Target="https://pbs.twimg.com/profile_images/1124344760/voyous_normal.jpg" TargetMode="External"/><Relationship Id="rId11701" Type="http://schemas.openxmlformats.org/officeDocument/2006/relationships/hyperlink" Target="https://twitter.com/dw_wirtschaft" TargetMode="External"/><Relationship Id="rId23081" Type="http://schemas.openxmlformats.org/officeDocument/2006/relationships/hyperlink" Target="https://pbs.twimg.com/profile_images/1610421423/Image2_normal.jpg" TargetMode="External"/><Relationship Id="rId9494" Type="http://schemas.openxmlformats.org/officeDocument/2006/relationships/hyperlink" Target="https://twitter.com/Roterhai/status/723437352081719297" TargetMode="External"/><Relationship Id="rId14924" Type="http://schemas.openxmlformats.org/officeDocument/2006/relationships/hyperlink" Target="https://pbs.twimg.com/profile_images/642021337809076225/YhbHP0MU_normal.jpg" TargetMode="External"/><Relationship Id="rId19088" Type="http://schemas.openxmlformats.org/officeDocument/2006/relationships/hyperlink" Target="https://twitter.com/tywcc/status/723919412261167104" TargetMode="External"/><Relationship Id="rId2881" Type="http://schemas.openxmlformats.org/officeDocument/2006/relationships/hyperlink" Target="https://twitter.com/crewevw/status/723122617889095682" TargetMode="External"/><Relationship Id="rId9147" Type="http://schemas.openxmlformats.org/officeDocument/2006/relationships/hyperlink" Target="https://twitter.com/NegroAutomobili" TargetMode="External"/><Relationship Id="rId12475" Type="http://schemas.openxmlformats.org/officeDocument/2006/relationships/hyperlink" Target="https://twitter.com/mokomokai" TargetMode="External"/><Relationship Id="rId506" Type="http://schemas.openxmlformats.org/officeDocument/2006/relationships/hyperlink" Target="https://pbs.twimg.com/profile_images/521406794015313920/-veccN5n_normal.jpeg" TargetMode="External"/><Relationship Id="rId853" Type="http://schemas.openxmlformats.org/officeDocument/2006/relationships/hyperlink" Target="https://twitter.com/VWShawty" TargetMode="External"/><Relationship Id="rId2534" Type="http://schemas.openxmlformats.org/officeDocument/2006/relationships/hyperlink" Target="https://pbs.twimg.com/profile_images/703294545195307008/qeCvrX86_normal.jpg" TargetMode="External"/><Relationship Id="rId12128" Type="http://schemas.openxmlformats.org/officeDocument/2006/relationships/hyperlink" Target="https://pbs.twimg.com/profile_images/706784695795769345/XGXgdjww_normal.jpg" TargetMode="External"/><Relationship Id="rId15698" Type="http://schemas.openxmlformats.org/officeDocument/2006/relationships/hyperlink" Target="https://pbs.twimg.com/profile_images/652593086124527616/onf0J8iL_normal.png" TargetMode="External"/><Relationship Id="rId5757" Type="http://schemas.openxmlformats.org/officeDocument/2006/relationships/hyperlink" Target="https://twitter.com/VolkswagenPost/status/723216460156379136" TargetMode="External"/><Relationship Id="rId18171" Type="http://schemas.openxmlformats.org/officeDocument/2006/relationships/hyperlink" Target="https://pbs.twimg.com/profile_images/1794026974/Image0298_normal.jpg" TargetMode="External"/><Relationship Id="rId22567" Type="http://schemas.openxmlformats.org/officeDocument/2006/relationships/hyperlink" Target="https://pbs.twimg.com/profile_images/378800000048088338/cda7871d412e8d3fa4c08876abfe3478_normal.jpeg" TargetMode="External"/><Relationship Id="rId8230" Type="http://schemas.openxmlformats.org/officeDocument/2006/relationships/hyperlink" Target="https://twitter.com/DLF/status/723378375327272961" TargetMode="External"/><Relationship Id="rId11211" Type="http://schemas.openxmlformats.org/officeDocument/2006/relationships/hyperlink" Target="https://pbs.twimg.com/profile_images/1488674331/schofer4_normal.jpg" TargetMode="External"/><Relationship Id="rId14781" Type="http://schemas.openxmlformats.org/officeDocument/2006/relationships/hyperlink" Target="https://abs.twimg.com/sticky/default_profile_images/default_profile_0_normal.png" TargetMode="External"/><Relationship Id="rId25040" Type="http://schemas.openxmlformats.org/officeDocument/2006/relationships/hyperlink" Target="https://twitter.com/bertinosr/status/724413008919842816" TargetMode="External"/><Relationship Id="rId4840" Type="http://schemas.openxmlformats.org/officeDocument/2006/relationships/hyperlink" Target="https://twitter.com/MuratTebatebai" TargetMode="External"/><Relationship Id="rId14434" Type="http://schemas.openxmlformats.org/officeDocument/2006/relationships/hyperlink" Target="https://twitter.com/AlexWitzleben/status/723573810658705409" TargetMode="External"/><Relationship Id="rId21650" Type="http://schemas.openxmlformats.org/officeDocument/2006/relationships/hyperlink" Target="https://twitter.com/swanswaygroup/status/724165515900375040" TargetMode="External"/><Relationship Id="rId2391" Type="http://schemas.openxmlformats.org/officeDocument/2006/relationships/hyperlink" Target="https://twitter.com/treibholzfilm" TargetMode="External"/><Relationship Id="rId21303" Type="http://schemas.openxmlformats.org/officeDocument/2006/relationships/hyperlink" Target="https://twitter.com/MhvonS/status/724139274040446976" TargetMode="External"/><Relationship Id="rId363" Type="http://schemas.openxmlformats.org/officeDocument/2006/relationships/hyperlink" Target="https://twitter.com/beetlebug1938/status/722950224734490624" TargetMode="External"/><Relationship Id="rId2044" Type="http://schemas.openxmlformats.org/officeDocument/2006/relationships/hyperlink" Target="https://pbs.twimg.com/profile_images/531688614640365568/U84uXoIT_normal.png" TargetMode="External"/><Relationship Id="rId17657" Type="http://schemas.openxmlformats.org/officeDocument/2006/relationships/hyperlink" Target="https://pbs.twimg.com/profile_images/653637535545995264/gHuXQ5Bt_normal.jpg" TargetMode="External"/><Relationship Id="rId24873" Type="http://schemas.openxmlformats.org/officeDocument/2006/relationships/hyperlink" Target="https://twitter.com/EulalioMRomero/status/724395749077823490" TargetMode="External"/><Relationship Id="rId5267" Type="http://schemas.openxmlformats.org/officeDocument/2006/relationships/hyperlink" Target="https://pbs.twimg.com/profile_images/1610421423/Image2_normal.jpg" TargetMode="External"/><Relationship Id="rId7716" Type="http://schemas.openxmlformats.org/officeDocument/2006/relationships/hyperlink" Target="https://twitter.com/NicoCirujaa/status/723325812548747264" TargetMode="External"/><Relationship Id="rId22077" Type="http://schemas.openxmlformats.org/officeDocument/2006/relationships/hyperlink" Target="http://wordpress.com/" TargetMode="External"/><Relationship Id="rId24526" Type="http://schemas.openxmlformats.org/officeDocument/2006/relationships/hyperlink" Target="https://twitter.com/dubbusses/status/724367935591075841" TargetMode="External"/><Relationship Id="rId16740" Type="http://schemas.openxmlformats.org/officeDocument/2006/relationships/hyperlink" Target="https://twitter.com/FlorShirado/status/723721844776407040" TargetMode="External"/><Relationship Id="rId1877" Type="http://schemas.openxmlformats.org/officeDocument/2006/relationships/hyperlink" Target="https://twitter.com/TodoLoVerde/status/723065188505784320" TargetMode="External"/><Relationship Id="rId14291" Type="http://schemas.openxmlformats.org/officeDocument/2006/relationships/hyperlink" Target="https://twitter.com/techie_paul/status/723571627112452098" TargetMode="External"/><Relationship Id="rId4350" Type="http://schemas.openxmlformats.org/officeDocument/2006/relationships/hyperlink" Target="https://pbs.twimg.com/profile_images/674737771588685824/QJjqWVJf_normal.jpg" TargetMode="External"/><Relationship Id="rId19963" Type="http://schemas.openxmlformats.org/officeDocument/2006/relationships/hyperlink" Target="https://twitter.com/PanchoName" TargetMode="External"/><Relationship Id="rId21160" Type="http://schemas.openxmlformats.org/officeDocument/2006/relationships/hyperlink" Target="https://pbs.twimg.com/profile_images/712783822279032832/E8Ejivyg_normal.jpg" TargetMode="External"/><Relationship Id="rId4003" Type="http://schemas.openxmlformats.org/officeDocument/2006/relationships/hyperlink" Target="https://twitter.com/hans_obermeier" TargetMode="External"/><Relationship Id="rId7573" Type="http://schemas.openxmlformats.org/officeDocument/2006/relationships/hyperlink" Target="https://twitter.com/amsalwajih/status/723314838055845892" TargetMode="External"/><Relationship Id="rId17167" Type="http://schemas.openxmlformats.org/officeDocument/2006/relationships/hyperlink" Target="https://twitter.com/Insta_VWT" TargetMode="External"/><Relationship Id="rId19616" Type="http://schemas.openxmlformats.org/officeDocument/2006/relationships/hyperlink" Target="https://twitter.com/CalixtoVallejos" TargetMode="External"/><Relationship Id="rId24383" Type="http://schemas.openxmlformats.org/officeDocument/2006/relationships/hyperlink" Target="https://twitter.com/dubbusses" TargetMode="External"/><Relationship Id="rId7226" Type="http://schemas.openxmlformats.org/officeDocument/2006/relationships/hyperlink" Target="https://twitter.com/EnlaceMexicoMX" TargetMode="External"/><Relationship Id="rId10554" Type="http://schemas.openxmlformats.org/officeDocument/2006/relationships/hyperlink" Target="https://twitter.com/mcmlxxii8" TargetMode="External"/><Relationship Id="rId24036" Type="http://schemas.openxmlformats.org/officeDocument/2006/relationships/hyperlink" Target="http://dlvr.it/" TargetMode="External"/><Relationship Id="rId10207" Type="http://schemas.openxmlformats.org/officeDocument/2006/relationships/hyperlink" Target="https://twitter.com/KGFClassicCars" TargetMode="External"/><Relationship Id="rId13777" Type="http://schemas.openxmlformats.org/officeDocument/2006/relationships/hyperlink" Target="https://twitter.com/mateo_silva8" TargetMode="External"/><Relationship Id="rId20993" Type="http://schemas.openxmlformats.org/officeDocument/2006/relationships/hyperlink" Target="https://twitter.com/MannyGhinga/status/724077785136828416" TargetMode="External"/><Relationship Id="rId3836" Type="http://schemas.openxmlformats.org/officeDocument/2006/relationships/hyperlink" Target="https://twitter.com/TammoBeishuizen" TargetMode="External"/><Relationship Id="rId16250" Type="http://schemas.openxmlformats.org/officeDocument/2006/relationships/hyperlink" Target="https://twitter.com/805CameraBus" TargetMode="External"/><Relationship Id="rId20646" Type="http://schemas.openxmlformats.org/officeDocument/2006/relationships/hyperlink" Target="https://twitter.com/retodiariomx/status/724018895548342272" TargetMode="External"/><Relationship Id="rId1387" Type="http://schemas.openxmlformats.org/officeDocument/2006/relationships/hyperlink" Target="https://pbs.twimg.com/profile_images/671802073848090624/NQemr0iG_normal.png" TargetMode="External"/><Relationship Id="rId12860" Type="http://schemas.openxmlformats.org/officeDocument/2006/relationships/hyperlink" Target="https://twitter.com/OZlive" TargetMode="External"/><Relationship Id="rId19473" Type="http://schemas.openxmlformats.org/officeDocument/2006/relationships/hyperlink" Target="https://pbs.twimg.com/profile_images/682117656502222848/Ge7YeAF3_normal.png" TargetMode="External"/><Relationship Id="rId23869" Type="http://schemas.openxmlformats.org/officeDocument/2006/relationships/hyperlink" Target="https://twitter.com/Scirocco_Tuning/status/724316392078618624" TargetMode="External"/><Relationship Id="rId93" Type="http://schemas.openxmlformats.org/officeDocument/2006/relationships/hyperlink" Target="https://twitter.com/VWBeetleSales/status/722925463681703937" TargetMode="External"/><Relationship Id="rId9532" Type="http://schemas.openxmlformats.org/officeDocument/2006/relationships/hyperlink" Target="https://twitter.com/FuscaWorld" TargetMode="External"/><Relationship Id="rId12513" Type="http://schemas.openxmlformats.org/officeDocument/2006/relationships/hyperlink" Target="https://pbs.twimg.com/profile_images/77910862/DUHLOG_nurKugel_3_normal.png" TargetMode="External"/><Relationship Id="rId19126" Type="http://schemas.openxmlformats.org/officeDocument/2006/relationships/hyperlink" Target="https://twitter.com/iuukeCampbell/status/723920969019101184" TargetMode="External"/><Relationship Id="rId7083" Type="http://schemas.openxmlformats.org/officeDocument/2006/relationships/hyperlink" Target="https://twitter.com/storefixcreate" TargetMode="External"/><Relationship Id="rId10064" Type="http://schemas.openxmlformats.org/officeDocument/2006/relationships/hyperlink" Target="https://twitter.com/Logistique01/status/723460574433038336" TargetMode="External"/><Relationship Id="rId3693" Type="http://schemas.openxmlformats.org/officeDocument/2006/relationships/hyperlink" Target="https://twitter.com/Theothebald" TargetMode="External"/><Relationship Id="rId13287" Type="http://schemas.openxmlformats.org/officeDocument/2006/relationships/hyperlink" Target="https://twitter.com/chapmanphilly/status/723542655137886209" TargetMode="External"/><Relationship Id="rId15736" Type="http://schemas.openxmlformats.org/officeDocument/2006/relationships/hyperlink" Target="https://twitter.com/CAVolgan/status/723622466124419072" TargetMode="External"/><Relationship Id="rId22952" Type="http://schemas.openxmlformats.org/officeDocument/2006/relationships/hyperlink" Target="https://twitter.com/jaysmitty17/status/724259579891077121" TargetMode="External"/><Relationship Id="rId3346" Type="http://schemas.openxmlformats.org/officeDocument/2006/relationships/hyperlink" Target="https://twitter.com/SaschaSmid" TargetMode="External"/><Relationship Id="rId18959" Type="http://schemas.openxmlformats.org/officeDocument/2006/relationships/hyperlink" Target="https://pbs.twimg.com/profile_images/715030110844362754/PC9gDSCU_normal.jpg" TargetMode="External"/><Relationship Id="rId20156" Type="http://schemas.openxmlformats.org/officeDocument/2006/relationships/hyperlink" Target="http://dlvr.it/" TargetMode="External"/><Relationship Id="rId22605" Type="http://schemas.openxmlformats.org/officeDocument/2006/relationships/hyperlink" Target="https://twitter.com/vwgroup_de" TargetMode="External"/><Relationship Id="rId6569" Type="http://schemas.openxmlformats.org/officeDocument/2006/relationships/hyperlink" Target="https://twitter.com/VWSouthCoast" TargetMode="External"/><Relationship Id="rId12370" Type="http://schemas.openxmlformats.org/officeDocument/2006/relationships/hyperlink" Target="https://pbs.twimg.com/profile_images/721572226600943616/rLXy7VpS_normal.jpg" TargetMode="External"/><Relationship Id="rId23379" Type="http://schemas.openxmlformats.org/officeDocument/2006/relationships/hyperlink" Target="https://pbs.twimg.com/profile_images/703294545195307008/qeCvrX86_normal.jpg" TargetMode="External"/><Relationship Id="rId9042" Type="http://schemas.openxmlformats.org/officeDocument/2006/relationships/hyperlink" Target="https://twitter.com/RovanZon" TargetMode="External"/><Relationship Id="rId12023" Type="http://schemas.openxmlformats.org/officeDocument/2006/relationships/hyperlink" Target="https://twitter.com/gmlj40/status/723512248451383296" TargetMode="External"/><Relationship Id="rId15593" Type="http://schemas.openxmlformats.org/officeDocument/2006/relationships/hyperlink" Target="https://twitter.com/ShaunAmor/status/723615574568361984" TargetMode="External"/><Relationship Id="rId401" Type="http://schemas.openxmlformats.org/officeDocument/2006/relationships/hyperlink" Target="https://twitter.com/FuscaWorld" TargetMode="External"/><Relationship Id="rId5652" Type="http://schemas.openxmlformats.org/officeDocument/2006/relationships/hyperlink" Target="https://twitter.com/VeeDubMk1_/status/723211637059125249" TargetMode="External"/><Relationship Id="rId15246" Type="http://schemas.openxmlformats.org/officeDocument/2006/relationships/hyperlink" Target="https://twitter.com/dubengeldu" TargetMode="External"/><Relationship Id="rId22462" Type="http://schemas.openxmlformats.org/officeDocument/2006/relationships/hyperlink" Target="https://pbs.twimg.com/profile_images/691814425100161026/Jz7LqTSj_normal.jpg" TargetMode="External"/><Relationship Id="rId24911" Type="http://schemas.openxmlformats.org/officeDocument/2006/relationships/hyperlink" Target="https://pbs.twimg.com/profile_images/1610421423/Image2_normal.jpg" TargetMode="External"/><Relationship Id="rId5305" Type="http://schemas.openxmlformats.org/officeDocument/2006/relationships/hyperlink" Target="https://twitter.com/Histrius/status/723199642318548992" TargetMode="External"/><Relationship Id="rId22115" Type="http://schemas.openxmlformats.org/officeDocument/2006/relationships/hyperlink" Target="https://twitter.com/autofreshnews" TargetMode="External"/><Relationship Id="rId8528" Type="http://schemas.openxmlformats.org/officeDocument/2006/relationships/hyperlink" Target="https://twitter.com/089stadt/status/723393266587033600" TargetMode="External"/><Relationship Id="rId8875" Type="http://schemas.openxmlformats.org/officeDocument/2006/relationships/hyperlink" Target="https://pbs.twimg.com/profile_images/2592181176/udsjv0fy0o3b2krnx52h_normal.jpeg" TargetMode="External"/><Relationship Id="rId11856" Type="http://schemas.openxmlformats.org/officeDocument/2006/relationships/hyperlink" Target="https://twitter.com/therealbiostate/status/723508980966809600" TargetMode="External"/><Relationship Id="rId18469" Type="http://schemas.openxmlformats.org/officeDocument/2006/relationships/hyperlink" Target="https://pbs.twimg.com/profile_images/628914317052743680/zpzonaaQ_normal.jpg" TargetMode="External"/><Relationship Id="rId25685" Type="http://schemas.openxmlformats.org/officeDocument/2006/relationships/hyperlink" Target="https://pbs.twimg.com/profile_images/652871584131092480/QA_B6SBO_normal.jpg" TargetMode="External"/><Relationship Id="rId1915" Type="http://schemas.openxmlformats.org/officeDocument/2006/relationships/hyperlink" Target="https://twitter.com/Federalnaba" TargetMode="External"/><Relationship Id="rId6079" Type="http://schemas.openxmlformats.org/officeDocument/2006/relationships/hyperlink" Target="https://twitter.com/Mphilpot1" TargetMode="External"/><Relationship Id="rId11509" Type="http://schemas.openxmlformats.org/officeDocument/2006/relationships/hyperlink" Target="https://twitter.com/RVingTweets" TargetMode="External"/><Relationship Id="rId25338" Type="http://schemas.openxmlformats.org/officeDocument/2006/relationships/hyperlink" Target="https://twitter.com/Carscoop/status/724432059628834817" TargetMode="External"/><Relationship Id="rId17552" Type="http://schemas.openxmlformats.org/officeDocument/2006/relationships/hyperlink" Target="https://pbs.twimg.com/profile_images/689530457378181120/hebb5eT3_normal.jpg" TargetMode="External"/><Relationship Id="rId21948" Type="http://schemas.openxmlformats.org/officeDocument/2006/relationships/hyperlink" Target="https://twitter.com/BALLtexter/status/724191117307207680" TargetMode="External"/><Relationship Id="rId2689" Type="http://schemas.openxmlformats.org/officeDocument/2006/relationships/hyperlink" Target="https://twitter.com/matzke40/status/723113605659529216" TargetMode="External"/><Relationship Id="rId7611" Type="http://schemas.openxmlformats.org/officeDocument/2006/relationships/hyperlink" Target="https://twitter.com/dannyL7055/status/723316824046211072" TargetMode="External"/><Relationship Id="rId17205" Type="http://schemas.openxmlformats.org/officeDocument/2006/relationships/hyperlink" Target="https://twitter.com/triolix251/status/723780277793873920" TargetMode="External"/><Relationship Id="rId24421" Type="http://schemas.openxmlformats.org/officeDocument/2006/relationships/hyperlink" Target="http://dlvr.it/" TargetMode="External"/><Relationship Id="rId5162" Type="http://schemas.openxmlformats.org/officeDocument/2006/relationships/hyperlink" Target="https://pbs.twimg.com/profile_images/3612471149/16833a41458c8ffd22d99bc873c949b8_normal.jpeg" TargetMode="External"/><Relationship Id="rId1772" Type="http://schemas.openxmlformats.org/officeDocument/2006/relationships/hyperlink" Target="https://pbs.twimg.com/profile_images/588293168321335296/51B8hEpE_normal.png" TargetMode="External"/><Relationship Id="rId8385" Type="http://schemas.openxmlformats.org/officeDocument/2006/relationships/hyperlink" Target="https://pbs.twimg.com/profile_images/471359944961175552/OQR9czUo_normal.png" TargetMode="External"/><Relationship Id="rId11366" Type="http://schemas.openxmlformats.org/officeDocument/2006/relationships/hyperlink" Target="https://twitter.com/x3m_f/status/723501539264991232" TargetMode="External"/><Relationship Id="rId13815" Type="http://schemas.openxmlformats.org/officeDocument/2006/relationships/hyperlink" Target="https://twitter.com/VolkswagenPost" TargetMode="External"/><Relationship Id="rId25195" Type="http://schemas.openxmlformats.org/officeDocument/2006/relationships/hyperlink" Target="https://pbs.twimg.com/profile_images/603357236874850304/6etULKc2_normal.jpg" TargetMode="External"/><Relationship Id="rId1425" Type="http://schemas.openxmlformats.org/officeDocument/2006/relationships/hyperlink" Target="https://twitter.com/beetlebug1938/status/723040769641201664" TargetMode="External"/><Relationship Id="rId8038" Type="http://schemas.openxmlformats.org/officeDocument/2006/relationships/hyperlink" Target="https://twitter.com/deejay_1993" TargetMode="External"/><Relationship Id="rId11019" Type="http://schemas.openxmlformats.org/officeDocument/2006/relationships/hyperlink" Target="https://pbs.twimg.com/profile_images/1572448713/vw_vans_hatfield_normal.jpg" TargetMode="External"/><Relationship Id="rId4995" Type="http://schemas.openxmlformats.org/officeDocument/2006/relationships/hyperlink" Target="https://twitter.com/VaticDJ/status/723191868654256128" TargetMode="External"/><Relationship Id="rId14589" Type="http://schemas.openxmlformats.org/officeDocument/2006/relationships/hyperlink" Target="https://twitter.com/MiiqaaNu" TargetMode="External"/><Relationship Id="rId19511" Type="http://schemas.openxmlformats.org/officeDocument/2006/relationships/hyperlink" Target="https://twitter.com/Liese_Mueller/status/723937701968379904" TargetMode="External"/><Relationship Id="rId23907" Type="http://schemas.openxmlformats.org/officeDocument/2006/relationships/hyperlink" Target="https://twitter.com/FennellMarcus/status/724320767048056833" TargetMode="External"/><Relationship Id="rId2199" Type="http://schemas.openxmlformats.org/officeDocument/2006/relationships/hyperlink" Target="https://pbs.twimg.com/profile_images/685102900184485888/rhqb81-h_normal.jpg" TargetMode="External"/><Relationship Id="rId4648" Type="http://schemas.openxmlformats.org/officeDocument/2006/relationships/hyperlink" Target="https://twitter.com/vwpartsonline" TargetMode="External"/><Relationship Id="rId17062" Type="http://schemas.openxmlformats.org/officeDocument/2006/relationships/hyperlink" Target="https://twitter.com/GarionCoyote" TargetMode="External"/><Relationship Id="rId21458" Type="http://schemas.openxmlformats.org/officeDocument/2006/relationships/hyperlink" Target="https://twitter.com/hjmart" TargetMode="External"/><Relationship Id="rId7121" Type="http://schemas.openxmlformats.org/officeDocument/2006/relationships/hyperlink" Target="https://pbs.twimg.com/profile_images/574031975654105088/ydWscSRE_normal.jpeg" TargetMode="External"/><Relationship Id="rId10102" Type="http://schemas.openxmlformats.org/officeDocument/2006/relationships/hyperlink" Target="https://pbs.twimg.com/profile_images/607750884/Kaufmann_neu_normal.jpg" TargetMode="External"/><Relationship Id="rId13672" Type="http://schemas.openxmlformats.org/officeDocument/2006/relationships/hyperlink" Target="https://twitter.com/VWBeetleSales" TargetMode="External"/><Relationship Id="rId3731" Type="http://schemas.openxmlformats.org/officeDocument/2006/relationships/hyperlink" Target="https://twitter.com/emshapro" TargetMode="External"/><Relationship Id="rId13325" Type="http://schemas.openxmlformats.org/officeDocument/2006/relationships/hyperlink" Target="https://twitter.com/Stefan_Schwark" TargetMode="External"/><Relationship Id="rId20541" Type="http://schemas.openxmlformats.org/officeDocument/2006/relationships/hyperlink" Target="https://twitter.com/TinoVinoli/status/724007809033990144" TargetMode="External"/><Relationship Id="rId1282" Type="http://schemas.openxmlformats.org/officeDocument/2006/relationships/hyperlink" Target="https://twitter.com/AchillePrick" TargetMode="External"/><Relationship Id="rId16895" Type="http://schemas.openxmlformats.org/officeDocument/2006/relationships/hyperlink" Target="https://twitter.com/carina_thewald/status/723745896341581824" TargetMode="External"/><Relationship Id="rId6607" Type="http://schemas.openxmlformats.org/officeDocument/2006/relationships/hyperlink" Target="https://twitter.com/SazzCharles/status/723247726574612480" TargetMode="External"/><Relationship Id="rId6954" Type="http://schemas.openxmlformats.org/officeDocument/2006/relationships/hyperlink" Target="https://twitter.com/StohlmanAuto/status/723271407048753152" TargetMode="External"/><Relationship Id="rId14099" Type="http://schemas.openxmlformats.org/officeDocument/2006/relationships/hyperlink" Target="https://pbs.twimg.com/profile_images/478423735326609408/4rP7zQSO_normal.jpeg" TargetMode="External"/><Relationship Id="rId16548" Type="http://schemas.openxmlformats.org/officeDocument/2006/relationships/hyperlink" Target="https://pbs.twimg.com/profile_images/718820712757215233/LXXndPTS_normal.jpg" TargetMode="External"/><Relationship Id="rId19021" Type="http://schemas.openxmlformats.org/officeDocument/2006/relationships/hyperlink" Target="https://twitter.com/Lunatique11" TargetMode="External"/><Relationship Id="rId23764" Type="http://schemas.openxmlformats.org/officeDocument/2006/relationships/hyperlink" Target="https://pbs.twimg.com/profile_images/684370452295237636/Uvq9YXez_normal.jpg" TargetMode="External"/><Relationship Id="rId4158" Type="http://schemas.openxmlformats.org/officeDocument/2006/relationships/hyperlink" Target="https://twitter.com/MDRaktuell/status/723177417758498816" TargetMode="External"/><Relationship Id="rId23417" Type="http://schemas.openxmlformats.org/officeDocument/2006/relationships/hyperlink" Target="https://twitter.com/VWCamperSales/status/724287818889977857" TargetMode="External"/><Relationship Id="rId15631" Type="http://schemas.openxmlformats.org/officeDocument/2006/relationships/hyperlink" Target="https://twitter.com/lestermarshall3" TargetMode="External"/><Relationship Id="rId13182" Type="http://schemas.openxmlformats.org/officeDocument/2006/relationships/hyperlink" Target="https://twitter.com/michalakperrine" TargetMode="External"/><Relationship Id="rId18854" Type="http://schemas.openxmlformats.org/officeDocument/2006/relationships/hyperlink" Target="https://twitter.com/Citlali_Gaitan/status/723901414162968576" TargetMode="External"/><Relationship Id="rId22500" Type="http://schemas.openxmlformats.org/officeDocument/2006/relationships/hyperlink" Target="https://twitter.com/Volkswagen_T25/status/724226111211745280" TargetMode="External"/><Relationship Id="rId3241" Type="http://schemas.openxmlformats.org/officeDocument/2006/relationships/hyperlink" Target="https://pbs.twimg.com/profile_images/721153651134345217/09aHTCSW_normal.jpg" TargetMode="External"/><Relationship Id="rId8913" Type="http://schemas.openxmlformats.org/officeDocument/2006/relationships/hyperlink" Target="https://twitter.com/nomorequangos/status/723411204488613889" TargetMode="External"/><Relationship Id="rId18507" Type="http://schemas.openxmlformats.org/officeDocument/2006/relationships/hyperlink" Target="https://twitter.com/whats_live" TargetMode="External"/><Relationship Id="rId20051" Type="http://schemas.openxmlformats.org/officeDocument/2006/relationships/hyperlink" Target="https://twitter.com/Insta_VWT/status/723971903506006016" TargetMode="External"/><Relationship Id="rId25723" Type="http://schemas.openxmlformats.org/officeDocument/2006/relationships/hyperlink" Target="https://twitter.com/ATHOSMONT/status/724467892230574081" TargetMode="External"/><Relationship Id="rId6464" Type="http://schemas.openxmlformats.org/officeDocument/2006/relationships/hyperlink" Target="https://twitter.com/Lazyfist" TargetMode="External"/><Relationship Id="rId16058" Type="http://schemas.openxmlformats.org/officeDocument/2006/relationships/hyperlink" Target="https://twitter.com/DubLuvTuning" TargetMode="External"/><Relationship Id="rId23274" Type="http://schemas.openxmlformats.org/officeDocument/2006/relationships/hyperlink" Target="https://twitter.com/saimisim_pasta" TargetMode="External"/><Relationship Id="rId6117" Type="http://schemas.openxmlformats.org/officeDocument/2006/relationships/hyperlink" Target="https://twitter.com/MarkosSkellas" TargetMode="External"/><Relationship Id="rId9687" Type="http://schemas.openxmlformats.org/officeDocument/2006/relationships/hyperlink" Target="https://pbs.twimg.com/profile_images/721954107779588096/PAgGOjNi_normal.jpg" TargetMode="External"/><Relationship Id="rId12668" Type="http://schemas.openxmlformats.org/officeDocument/2006/relationships/hyperlink" Target="https://twitter.com/ClicksandTips" TargetMode="External"/><Relationship Id="rId2727" Type="http://schemas.openxmlformats.org/officeDocument/2006/relationships/hyperlink" Target="https://twitter.com/Mphilpot1/status/723115443607588864" TargetMode="External"/><Relationship Id="rId15141" Type="http://schemas.openxmlformats.org/officeDocument/2006/relationships/hyperlink" Target="https://twitter.com/EitelStefan/status/723595623426039809" TargetMode="External"/><Relationship Id="rId5200" Type="http://schemas.openxmlformats.org/officeDocument/2006/relationships/hyperlink" Target="https://twitter.com/KarinLampart/status/723197395513671680" TargetMode="External"/><Relationship Id="rId8770" Type="http://schemas.openxmlformats.org/officeDocument/2006/relationships/hyperlink" Target="https://pbs.twimg.com/profile_images/723380553832001536/OPuQOBXS_normal.jpg" TargetMode="External"/><Relationship Id="rId11751" Type="http://schemas.openxmlformats.org/officeDocument/2006/relationships/hyperlink" Target="https://twitter.com/bodo1962/status/723506942493233153" TargetMode="External"/><Relationship Id="rId18364" Type="http://schemas.openxmlformats.org/officeDocument/2006/relationships/hyperlink" Target="https://pbs.twimg.com/profile_images/530071272881803264/a_jcCmPZ_normal.png" TargetMode="External"/><Relationship Id="rId22010" Type="http://schemas.openxmlformats.org/officeDocument/2006/relationships/hyperlink" Target="https://twitter.com/dubbusses" TargetMode="External"/><Relationship Id="rId25580" Type="http://schemas.openxmlformats.org/officeDocument/2006/relationships/hyperlink" Target="https://twitter.com/Duambyth" TargetMode="External"/><Relationship Id="rId1810" Type="http://schemas.openxmlformats.org/officeDocument/2006/relationships/hyperlink" Target="https://twitter.com/BWResearch" TargetMode="External"/><Relationship Id="rId8423" Type="http://schemas.openxmlformats.org/officeDocument/2006/relationships/hyperlink" Target="https://twitter.com/lecho/status/723387577932210177" TargetMode="External"/><Relationship Id="rId11404" Type="http://schemas.openxmlformats.org/officeDocument/2006/relationships/hyperlink" Target="https://twitter.com/DasIgno" TargetMode="External"/><Relationship Id="rId18017" Type="http://schemas.openxmlformats.org/officeDocument/2006/relationships/hyperlink" Target="https://twitter.com/fys_yukio/status/723841727161737216" TargetMode="External"/><Relationship Id="rId25233" Type="http://schemas.openxmlformats.org/officeDocument/2006/relationships/hyperlink" Target="https://pbs.twimg.com/profile_images/718835727027580928/1ssyQ67y_normal.jpg" TargetMode="External"/><Relationship Id="rId14974" Type="http://schemas.openxmlformats.org/officeDocument/2006/relationships/hyperlink" Target="https://pbs.twimg.com/profile_images/378800000572104796/1de43e1cf23efb3f4101c02afad0d3b6_normal.png" TargetMode="External"/><Relationship Id="rId2584" Type="http://schemas.openxmlformats.org/officeDocument/2006/relationships/hyperlink" Target="https://pbs.twimg.com/profile_images/3398986760/169ef7953adf953270106ccfa5b90065_normal.jpeg" TargetMode="External"/><Relationship Id="rId9197" Type="http://schemas.openxmlformats.org/officeDocument/2006/relationships/hyperlink" Target="https://pbs.twimg.com/profile_images/672878354127839232/M7OYc-zx_normal.jpg" TargetMode="External"/><Relationship Id="rId12178" Type="http://schemas.openxmlformats.org/officeDocument/2006/relationships/hyperlink" Target="https://twitter.com/_motte_" TargetMode="External"/><Relationship Id="rId14627" Type="http://schemas.openxmlformats.org/officeDocument/2006/relationships/hyperlink" Target="https://pbs.twimg.com/profile_images/553653312067624960/CIAl_X3g_normal.jpeg" TargetMode="External"/><Relationship Id="rId17100" Type="http://schemas.openxmlformats.org/officeDocument/2006/relationships/hyperlink" Target="https://twitter.com/heikolossie/status/723769783049682944" TargetMode="External"/><Relationship Id="rId21843" Type="http://schemas.openxmlformats.org/officeDocument/2006/relationships/hyperlink" Target="https://twitter.com/OnlineCarReview" TargetMode="External"/><Relationship Id="rId556" Type="http://schemas.openxmlformats.org/officeDocument/2006/relationships/hyperlink" Target="https://twitter.com/BeeB4_a/status/722964582646554624" TargetMode="External"/><Relationship Id="rId2237" Type="http://schemas.openxmlformats.org/officeDocument/2006/relationships/hyperlink" Target="https://pbs.twimg.com/profile_images/714167209438887936/-TI6fNjX_normal.jpg" TargetMode="External"/><Relationship Id="rId209" Type="http://schemas.openxmlformats.org/officeDocument/2006/relationships/hyperlink" Target="https://twitter.com/TimDalrymple/status/722937740946374658" TargetMode="External"/><Relationship Id="rId7909" Type="http://schemas.openxmlformats.org/officeDocument/2006/relationships/hyperlink" Target="https://pbs.twimg.com/profile_images/713838307327799297/1ykah0tW_normal.jpg" TargetMode="External"/><Relationship Id="rId8280" Type="http://schemas.openxmlformats.org/officeDocument/2006/relationships/hyperlink" Target="https://twitter.com/ralphmkk61" TargetMode="External"/><Relationship Id="rId13710" Type="http://schemas.openxmlformats.org/officeDocument/2006/relationships/hyperlink" Target="https://pbs.twimg.com/profile_images/541560183722618880/9el1XwNl_normal.jpeg" TargetMode="External"/><Relationship Id="rId24719" Type="http://schemas.openxmlformats.org/officeDocument/2006/relationships/hyperlink" Target="https://twitter.com/alklssyaz" TargetMode="External"/><Relationship Id="rId25090" Type="http://schemas.openxmlformats.org/officeDocument/2006/relationships/hyperlink" Target="https://pbs.twimg.com/profile_images/724280031296524288/JddOCRxB_normal.jpg" TargetMode="External"/><Relationship Id="rId11261" Type="http://schemas.openxmlformats.org/officeDocument/2006/relationships/hyperlink" Target="https://twitter.com/GeyersipOficial" TargetMode="External"/><Relationship Id="rId16933" Type="http://schemas.openxmlformats.org/officeDocument/2006/relationships/hyperlink" Target="https://twitter.com/MikerHerrera" TargetMode="External"/><Relationship Id="rId1320" Type="http://schemas.openxmlformats.org/officeDocument/2006/relationships/hyperlink" Target="https://twitter.com/raulubian/status/723035460205981696" TargetMode="External"/><Relationship Id="rId4890" Type="http://schemas.openxmlformats.org/officeDocument/2006/relationships/hyperlink" Target="https://twitter.com/Lebeaucarnews" TargetMode="External"/><Relationship Id="rId14484" Type="http://schemas.openxmlformats.org/officeDocument/2006/relationships/hyperlink" Target="https://twitter.com/todaysjobsfinde" TargetMode="External"/><Relationship Id="rId23802" Type="http://schemas.openxmlformats.org/officeDocument/2006/relationships/hyperlink" Target="https://twitter.com/Curious_Ewe/status/724313046710124545" TargetMode="External"/><Relationship Id="rId4543" Type="http://schemas.openxmlformats.org/officeDocument/2006/relationships/hyperlink" Target="https://twitter.com/Tonelli22/status/723182226075213825" TargetMode="External"/><Relationship Id="rId14137" Type="http://schemas.openxmlformats.org/officeDocument/2006/relationships/hyperlink" Target="https://twitter.com/DuisburgAndreas" TargetMode="External"/><Relationship Id="rId21353" Type="http://schemas.openxmlformats.org/officeDocument/2006/relationships/hyperlink" Target="https://twitter.com/DubLuvTuning" TargetMode="External"/><Relationship Id="rId2094" Type="http://schemas.openxmlformats.org/officeDocument/2006/relationships/hyperlink" Target="https://pbs.twimg.com/profile_images/672878354127839232/M7OYc-zx_normal.jpg" TargetMode="External"/><Relationship Id="rId7766" Type="http://schemas.openxmlformats.org/officeDocument/2006/relationships/hyperlink" Target="http://ctrlq.org/maps/address/" TargetMode="External"/><Relationship Id="rId19809" Type="http://schemas.openxmlformats.org/officeDocument/2006/relationships/hyperlink" Target="https://twitter.com/hashtagvanlife/status/723959627671580672" TargetMode="External"/><Relationship Id="rId21006" Type="http://schemas.openxmlformats.org/officeDocument/2006/relationships/hyperlink" Target="https://pbs.twimg.com/profile_images/569169141001498624/RzUbfsWR_normal.jpeg" TargetMode="External"/><Relationship Id="rId24576" Type="http://schemas.openxmlformats.org/officeDocument/2006/relationships/hyperlink" Target="https://twitter.com/VCT_Tweets" TargetMode="External"/><Relationship Id="rId7419" Type="http://schemas.openxmlformats.org/officeDocument/2006/relationships/hyperlink" Target="https://twitter.com/MotorphiliacsTv/status/723301969339633664" TargetMode="External"/><Relationship Id="rId10747" Type="http://schemas.openxmlformats.org/officeDocument/2006/relationships/hyperlink" Target="https://pbs.twimg.com/profile_images/718820712757215233/LXXndPTS_normal.jpg" TargetMode="External"/><Relationship Id="rId24229" Type="http://schemas.openxmlformats.org/officeDocument/2006/relationships/hyperlink" Target="https://twitter.com/mickjohan/status/724339476101771264" TargetMode="External"/><Relationship Id="rId13220" Type="http://schemas.openxmlformats.org/officeDocument/2006/relationships/hyperlink" Target="https://pbs.twimg.com/profile_images/704935236069670912/sAr0lhJJ_normal.jpg" TargetMode="External"/><Relationship Id="rId16790" Type="http://schemas.openxmlformats.org/officeDocument/2006/relationships/hyperlink" Target="https://pbs.twimg.com/profile_images/524247355084636160/OzYcsa1O_normal.jpeg" TargetMode="External"/><Relationship Id="rId16443" Type="http://schemas.openxmlformats.org/officeDocument/2006/relationships/hyperlink" Target="https://pbs.twimg.com/profile_images/522469771573350400/e5WjUwRr_normal.png" TargetMode="External"/><Relationship Id="rId20839" Type="http://schemas.openxmlformats.org/officeDocument/2006/relationships/hyperlink" Target="https://twitter.com/Ros4ri0Central" TargetMode="External"/><Relationship Id="rId6502" Type="http://schemas.openxmlformats.org/officeDocument/2006/relationships/hyperlink" Target="https://twitter.com/g_jacobsohn" TargetMode="External"/><Relationship Id="rId19666" Type="http://schemas.openxmlformats.org/officeDocument/2006/relationships/hyperlink" Target="https://twitter.com/wob_zwoelfter" TargetMode="External"/><Relationship Id="rId23312" Type="http://schemas.openxmlformats.org/officeDocument/2006/relationships/hyperlink" Target="https://twitter.com/VeeDubMk1_/status/724279111062020096" TargetMode="External"/><Relationship Id="rId4053" Type="http://schemas.openxmlformats.org/officeDocument/2006/relationships/hyperlink" Target="https://pbs.twimg.com/profile_images/552038030886723585/cVw-1hQ6_normal.jpeg" TargetMode="External"/><Relationship Id="rId9725" Type="http://schemas.openxmlformats.org/officeDocument/2006/relationships/hyperlink" Target="https://pbs.twimg.com/profile_images/716208660876144645/X7VuzobY_normal.jpg" TargetMode="External"/><Relationship Id="rId19319" Type="http://schemas.openxmlformats.org/officeDocument/2006/relationships/hyperlink" Target="https://twitter.com/VeeDubMk1_/status/723926599482093568" TargetMode="External"/><Relationship Id="rId7276" Type="http://schemas.openxmlformats.org/officeDocument/2006/relationships/hyperlink" Target="https://twitter.com/MikeMalloy9/status/723291860744036352" TargetMode="External"/><Relationship Id="rId10257" Type="http://schemas.openxmlformats.org/officeDocument/2006/relationships/hyperlink" Target="https://twitter.com/beetlebug1938/status/723467446687019008" TargetMode="External"/><Relationship Id="rId12706" Type="http://schemas.openxmlformats.org/officeDocument/2006/relationships/hyperlink" Target="https://pbs.twimg.com/profile_images/662140929361518592/fOJv2d0Z_normal.jpg" TargetMode="External"/><Relationship Id="rId24086" Type="http://schemas.openxmlformats.org/officeDocument/2006/relationships/hyperlink" Target="http://mcdonaldworley.com/" TargetMode="External"/><Relationship Id="rId15929" Type="http://schemas.openxmlformats.org/officeDocument/2006/relationships/hyperlink" Target="https://twitter.com/oldcar_photo/status/723637986148098048" TargetMode="External"/><Relationship Id="rId3886" Type="http://schemas.openxmlformats.org/officeDocument/2006/relationships/hyperlink" Target="https://twitter.com/Fotobiene/status/723171356926423040" TargetMode="External"/><Relationship Id="rId18402" Type="http://schemas.openxmlformats.org/officeDocument/2006/relationships/hyperlink" Target="https://twitter.com/vwgroup_de" TargetMode="External"/><Relationship Id="rId20696" Type="http://schemas.openxmlformats.org/officeDocument/2006/relationships/hyperlink" Target="https://twitter.com/VillagraFranco5/status/724028329427390464" TargetMode="External"/><Relationship Id="rId3539" Type="http://schemas.openxmlformats.org/officeDocument/2006/relationships/hyperlink" Target="https://abs.twimg.com/sticky/default_profile_images/default_profile_4_normal.png" TargetMode="External"/><Relationship Id="rId6012" Type="http://schemas.openxmlformats.org/officeDocument/2006/relationships/hyperlink" Target="https://pbs.twimg.com/profile_images/703294545195307008/qeCvrX86_normal.jpg" TargetMode="External"/><Relationship Id="rId20349" Type="http://schemas.openxmlformats.org/officeDocument/2006/relationships/hyperlink" Target="https://twitter.com/purplehalr_xo" TargetMode="External"/><Relationship Id="rId9582" Type="http://schemas.openxmlformats.org/officeDocument/2006/relationships/hyperlink" Target="https://twitter.com/VWCamperSales/status/723441129249632256" TargetMode="External"/><Relationship Id="rId12563" Type="http://schemas.openxmlformats.org/officeDocument/2006/relationships/hyperlink" Target="https://twitter.com/HuebschenH" TargetMode="External"/><Relationship Id="rId19176" Type="http://schemas.openxmlformats.org/officeDocument/2006/relationships/hyperlink" Target="https://twitter.com/_sea_fox_" TargetMode="External"/><Relationship Id="rId941" Type="http://schemas.openxmlformats.org/officeDocument/2006/relationships/hyperlink" Target="https://twitter.com/dreamgolfjob" TargetMode="External"/><Relationship Id="rId2622" Type="http://schemas.openxmlformats.org/officeDocument/2006/relationships/hyperlink" Target="https://twitter.com/lovemyclassic" TargetMode="External"/><Relationship Id="rId9235" Type="http://schemas.openxmlformats.org/officeDocument/2006/relationships/hyperlink" Target="https://twitter.com/NDRinfo/status/723427746131517440" TargetMode="External"/><Relationship Id="rId12216" Type="http://schemas.openxmlformats.org/officeDocument/2006/relationships/hyperlink" Target="https://pbs.twimg.com/profile_images/697482063885291520/3hWmRXkL_normal.jpg" TargetMode="External"/><Relationship Id="rId15786" Type="http://schemas.openxmlformats.org/officeDocument/2006/relationships/hyperlink" Target="https://twitter.com/RCVolkswagen/status/723625453320343552" TargetMode="External"/><Relationship Id="rId5845" Type="http://schemas.openxmlformats.org/officeDocument/2006/relationships/hyperlink" Target="https://twitter.com/ahmedhaltas" TargetMode="External"/><Relationship Id="rId15439" Type="http://schemas.openxmlformats.org/officeDocument/2006/relationships/hyperlink" Target="https://twitter.com/Marktzyniker" TargetMode="External"/><Relationship Id="rId22655" Type="http://schemas.openxmlformats.org/officeDocument/2006/relationships/hyperlink" Target="https://twitter.com/Imtweetingtoo/status/724237509631332352" TargetMode="External"/><Relationship Id="rId3396" Type="http://schemas.openxmlformats.org/officeDocument/2006/relationships/hyperlink" Target="https://twitter.com/matiascorrea250/status/723155236651712516" TargetMode="External"/><Relationship Id="rId22308" Type="http://schemas.openxmlformats.org/officeDocument/2006/relationships/hyperlink" Target="https://pbs.twimg.com/profile_images/569800899141177344/nVFLMSdb_normal.png" TargetMode="External"/><Relationship Id="rId3049" Type="http://schemas.openxmlformats.org/officeDocument/2006/relationships/hyperlink" Target="https://twitter.com/dapper013" TargetMode="External"/><Relationship Id="rId9092" Type="http://schemas.openxmlformats.org/officeDocument/2006/relationships/hyperlink" Target="https://twitter.com/annalenaboehm/status/723421395883986944" TargetMode="External"/><Relationship Id="rId14522" Type="http://schemas.openxmlformats.org/officeDocument/2006/relationships/hyperlink" Target="https://pbs.twimg.com/profile_images/1662133533/Augen-T_reasonably_small_normal.jpg" TargetMode="External"/><Relationship Id="rId12073" Type="http://schemas.openxmlformats.org/officeDocument/2006/relationships/hyperlink" Target="https://twitter.com/LupusLotarius" TargetMode="External"/><Relationship Id="rId17745" Type="http://schemas.openxmlformats.org/officeDocument/2006/relationships/hyperlink" Target="https://pbs.twimg.com/profile_images/608500317831856128/_Iku0GwR_normal.jpg" TargetMode="External"/><Relationship Id="rId24961" Type="http://schemas.openxmlformats.org/officeDocument/2006/relationships/hyperlink" Target="https://twitter.com/TommyWolff/status/724406456859009024" TargetMode="External"/><Relationship Id="rId451" Type="http://schemas.openxmlformats.org/officeDocument/2006/relationships/hyperlink" Target="https://pbs.twimg.com/profile_images/1610421423/Image2_normal.jpg" TargetMode="External"/><Relationship Id="rId2132" Type="http://schemas.openxmlformats.org/officeDocument/2006/relationships/hyperlink" Target="https://twitter.com/ForgeMotorsport/status/723084304688025600" TargetMode="External"/><Relationship Id="rId7804" Type="http://schemas.openxmlformats.org/officeDocument/2006/relationships/hyperlink" Target="https://twitter.com/Luchoosoto1/status/723331539904372737" TargetMode="External"/><Relationship Id="rId15296" Type="http://schemas.openxmlformats.org/officeDocument/2006/relationships/hyperlink" Target="https://twitter.com/alfievwweddings/status/723602958194229248" TargetMode="External"/><Relationship Id="rId24614" Type="http://schemas.openxmlformats.org/officeDocument/2006/relationships/hyperlink" Target="https://pbs.twimg.com/profile_images/691326144151425024/VVpJBz_v_normal.jpg" TargetMode="External"/><Relationship Id="rId104" Type="http://schemas.openxmlformats.org/officeDocument/2006/relationships/hyperlink" Target="https://pbs.twimg.com/profile_images/510134807351672832/NEa_-oCU_normal.jpeg" TargetMode="External"/><Relationship Id="rId5355" Type="http://schemas.openxmlformats.org/officeDocument/2006/relationships/hyperlink" Target="http://discountbomb.com/" TargetMode="External"/><Relationship Id="rId22165" Type="http://schemas.openxmlformats.org/officeDocument/2006/relationships/hyperlink" Target="https://pbs.twimg.com/profile_images/552042888666705921/TxWAPB36_normal.png" TargetMode="External"/><Relationship Id="rId5008" Type="http://schemas.openxmlformats.org/officeDocument/2006/relationships/hyperlink" Target="https://pbs.twimg.com/profile_images/477091436634988544/4TdZMAIm_normal.png" TargetMode="External"/><Relationship Id="rId8578" Type="http://schemas.openxmlformats.org/officeDocument/2006/relationships/hyperlink" Target="https://pbs.twimg.com/profile_images/681545807292690432/Z1DHG5ug_normal.jpg" TargetMode="External"/><Relationship Id="rId25388" Type="http://schemas.openxmlformats.org/officeDocument/2006/relationships/hyperlink" Target="https://pbs.twimg.com/profile_images/657931694347976704/I421d4nC_normal.jpg" TargetMode="External"/><Relationship Id="rId1965" Type="http://schemas.openxmlformats.org/officeDocument/2006/relationships/hyperlink" Target="https://twitter.com/deutch_az" TargetMode="External"/><Relationship Id="rId11559" Type="http://schemas.openxmlformats.org/officeDocument/2006/relationships/hyperlink" Target="https://pbs.twimg.com/profile_images/532998370718019584/w0EXTdQ2_normal.jpeg" TargetMode="External"/><Relationship Id="rId14032" Type="http://schemas.openxmlformats.org/officeDocument/2006/relationships/hyperlink" Target="https://pbs.twimg.com/profile_images/599357023407464449/BL9Bpo6T_normal.jpg" TargetMode="External"/><Relationship Id="rId1618" Type="http://schemas.openxmlformats.org/officeDocument/2006/relationships/hyperlink" Target="https://pbs.twimg.com/profile_images/3208156993/90e308e22dcfd4f3fdd3c6a20cae68f9_normal.png" TargetMode="External"/><Relationship Id="rId19704" Type="http://schemas.openxmlformats.org/officeDocument/2006/relationships/hyperlink" Target="https://pbs.twimg.com/profile_images/704424786777280513/YQVkJF57_normal.jpg" TargetMode="External"/><Relationship Id="rId21998" Type="http://schemas.openxmlformats.org/officeDocument/2006/relationships/hyperlink" Target="https://twitter.com/beetlebug1938" TargetMode="External"/><Relationship Id="rId7661" Type="http://schemas.openxmlformats.org/officeDocument/2006/relationships/hyperlink" Target="https://abs.twimg.com/sticky/default_profile_images/default_profile_5_normal.png" TargetMode="External"/><Relationship Id="rId10642" Type="http://schemas.openxmlformats.org/officeDocument/2006/relationships/hyperlink" Target="https://pbs.twimg.com/profile_images/722312123116888064/DwxBRfoE_normal.jpg" TargetMode="External"/><Relationship Id="rId17255" Type="http://schemas.openxmlformats.org/officeDocument/2006/relationships/hyperlink" Target="https://pbs.twimg.com/profile_images/723492895874002945/vvHAsCQf_normal.jpg" TargetMode="External"/><Relationship Id="rId24471" Type="http://schemas.openxmlformats.org/officeDocument/2006/relationships/hyperlink" Target="https://pbs.twimg.com/profile_images/2646835465/aa5823578b01b04b7e91d58e8ca88691_normal.jpeg" TargetMode="External"/><Relationship Id="rId7314" Type="http://schemas.openxmlformats.org/officeDocument/2006/relationships/hyperlink" Target="https://twitter.com/HighGearMedia" TargetMode="External"/><Relationship Id="rId13865" Type="http://schemas.openxmlformats.org/officeDocument/2006/relationships/hyperlink" Target="https://twitter.com/kev_g1" TargetMode="External"/><Relationship Id="rId24124" Type="http://schemas.openxmlformats.org/officeDocument/2006/relationships/hyperlink" Target="https://twitter.com/nomadartdesign" TargetMode="External"/><Relationship Id="rId3924" Type="http://schemas.openxmlformats.org/officeDocument/2006/relationships/hyperlink" Target="https://twitter.com/Frontal21" TargetMode="External"/><Relationship Id="rId13518" Type="http://schemas.openxmlformats.org/officeDocument/2006/relationships/hyperlink" Target="https://twitter.com/Scirocco_Tuning/status/723549388036038656" TargetMode="External"/><Relationship Id="rId20734" Type="http://schemas.openxmlformats.org/officeDocument/2006/relationships/hyperlink" Target="https://pbs.twimg.com/profile_images/569800899141177344/nVFLMSdb_normal.png" TargetMode="External"/><Relationship Id="rId1475" Type="http://schemas.openxmlformats.org/officeDocument/2006/relationships/hyperlink" Target="https://pbs.twimg.com/profile_images/695000806655811584/7lC1MdUr_normal.png" TargetMode="External"/><Relationship Id="rId8088" Type="http://schemas.openxmlformats.org/officeDocument/2006/relationships/hyperlink" Target="https://twitter.com/rponline/status/723364563933007872" TargetMode="External"/><Relationship Id="rId11069" Type="http://schemas.openxmlformats.org/officeDocument/2006/relationships/hyperlink" Target="https://twitter.com/HansTheGerman/status/723496418527330304" TargetMode="External"/><Relationship Id="rId1128" Type="http://schemas.openxmlformats.org/officeDocument/2006/relationships/hyperlink" Target="https://twitter.com/ThorstenRamus" TargetMode="External"/><Relationship Id="rId4698" Type="http://schemas.openxmlformats.org/officeDocument/2006/relationships/hyperlink" Target="https://twitter.com/autosmartleics" TargetMode="External"/><Relationship Id="rId19561" Type="http://schemas.openxmlformats.org/officeDocument/2006/relationships/hyperlink" Target="https://pbs.twimg.com/profile_images/1474461181/platypus2_normal.jpg" TargetMode="External"/><Relationship Id="rId23957" Type="http://schemas.openxmlformats.org/officeDocument/2006/relationships/hyperlink" Target="https://pbs.twimg.com/profile_images/422164778639839234/LVnS1q1c_normal.jpeg" TargetMode="External"/><Relationship Id="rId7171" Type="http://schemas.openxmlformats.org/officeDocument/2006/relationships/hyperlink" Target="http://dlvr.it/" TargetMode="External"/><Relationship Id="rId9620" Type="http://schemas.openxmlformats.org/officeDocument/2006/relationships/hyperlink" Target="https://pbs.twimg.com/profile_images/496890872990953473/XPDr3fmF_normal.jpeg" TargetMode="External"/><Relationship Id="rId12601" Type="http://schemas.openxmlformats.org/officeDocument/2006/relationships/hyperlink" Target="https://pbs.twimg.com/profile_images/667782416749240324/YPeXdS-L_normal.jpg" TargetMode="External"/><Relationship Id="rId19214" Type="http://schemas.openxmlformats.org/officeDocument/2006/relationships/hyperlink" Target="https://pbs.twimg.com/profile_images/534282231364071424/_PjPLYMo_normal.jpeg" TargetMode="External"/><Relationship Id="rId10152" Type="http://schemas.openxmlformats.org/officeDocument/2006/relationships/hyperlink" Target="https://pbs.twimg.com/profile_images/1221827704/Focus-MONEY-logo_normal.jpg" TargetMode="External"/><Relationship Id="rId15824" Type="http://schemas.openxmlformats.org/officeDocument/2006/relationships/hyperlink" Target="https://twitter.com/Ivaneze3" TargetMode="External"/><Relationship Id="rId3781" Type="http://schemas.openxmlformats.org/officeDocument/2006/relationships/hyperlink" Target="https://pbs.twimg.com/profile_images/646648362381516800/cNhozYEx_normal.png" TargetMode="External"/><Relationship Id="rId13375" Type="http://schemas.openxmlformats.org/officeDocument/2006/relationships/hyperlink" Target="https://pbs.twimg.com/profile_images/552037189328982016/r65JRGTS_normal.jpeg" TargetMode="External"/><Relationship Id="rId20591" Type="http://schemas.openxmlformats.org/officeDocument/2006/relationships/hyperlink" Target="https://twitter.com/dubbusses/status/724012730659815424" TargetMode="External"/><Relationship Id="rId3434" Type="http://schemas.openxmlformats.org/officeDocument/2006/relationships/hyperlink" Target="https://pbs.twimg.com/profile_images/709379964542590976/9PSr9HgL_normal.jpg" TargetMode="External"/><Relationship Id="rId13028" Type="http://schemas.openxmlformats.org/officeDocument/2006/relationships/hyperlink" Target="http://ctrlq.org/maps/address/" TargetMode="External"/><Relationship Id="rId16598" Type="http://schemas.openxmlformats.org/officeDocument/2006/relationships/hyperlink" Target="https://twitter.com/CamyyRc/status/723697679310688256" TargetMode="External"/><Relationship Id="rId20244" Type="http://schemas.openxmlformats.org/officeDocument/2006/relationships/hyperlink" Target="https://pbs.twimg.com/profile_images/589811211778293760/J2sTcb44_normal.jpg" TargetMode="External"/><Relationship Id="rId6657" Type="http://schemas.openxmlformats.org/officeDocument/2006/relationships/hyperlink" Target="https://twitter.com/SummersandClark/status/723250498430767105" TargetMode="External"/><Relationship Id="rId19071" Type="http://schemas.openxmlformats.org/officeDocument/2006/relationships/hyperlink" Target="https://pbs.twimg.com/profile_images/627949001179037696/skEBkS05_normal.jpg" TargetMode="External"/><Relationship Id="rId23467" Type="http://schemas.openxmlformats.org/officeDocument/2006/relationships/hyperlink" Target="https://twitter.com/coccicab71/status/724291056322400256" TargetMode="External"/><Relationship Id="rId9130" Type="http://schemas.openxmlformats.org/officeDocument/2006/relationships/hyperlink" Target="https://pbs.twimg.com/profile_images/614723809590018048/IWZnUTnV_normal.jpg" TargetMode="External"/><Relationship Id="rId12111" Type="http://schemas.openxmlformats.org/officeDocument/2006/relationships/hyperlink" Target="https://twitter.com/ChristophNoack/status/723513271542796289" TargetMode="External"/><Relationship Id="rId15681" Type="http://schemas.openxmlformats.org/officeDocument/2006/relationships/hyperlink" Target="https://twitter.com/orafolwraps" TargetMode="External"/><Relationship Id="rId3291" Type="http://schemas.openxmlformats.org/officeDocument/2006/relationships/hyperlink" Target="https://twitter.com/VWCamperSales/status/723149508972961799" TargetMode="External"/><Relationship Id="rId5740" Type="http://schemas.openxmlformats.org/officeDocument/2006/relationships/hyperlink" Target="https://pbs.twimg.com/profile_images/536852811401555968/jGIByPyp_normal.png" TargetMode="External"/><Relationship Id="rId15334" Type="http://schemas.openxmlformats.org/officeDocument/2006/relationships/hyperlink" Target="https://pbs.twimg.com/profile_images/556251546715820033/l5Ixj297_normal.jpeg" TargetMode="External"/><Relationship Id="rId22550" Type="http://schemas.openxmlformats.org/officeDocument/2006/relationships/hyperlink" Target="https://twitter.com/VWDRC" TargetMode="External"/><Relationship Id="rId8963" Type="http://schemas.openxmlformats.org/officeDocument/2006/relationships/hyperlink" Target="https://twitter.com/MiManske" TargetMode="External"/><Relationship Id="rId11944" Type="http://schemas.openxmlformats.org/officeDocument/2006/relationships/hyperlink" Target="https://pbs.twimg.com/profile_images/441017002224660480/wMS_0yBK_normal.jpeg" TargetMode="External"/><Relationship Id="rId18557" Type="http://schemas.openxmlformats.org/officeDocument/2006/relationships/hyperlink" Target="https://twitter.com/StephanKrull/status/723878960078159872" TargetMode="External"/><Relationship Id="rId22203" Type="http://schemas.openxmlformats.org/officeDocument/2006/relationships/hyperlink" Target="https://twitter.com/beetlebug1938/status/724208662139510784" TargetMode="External"/><Relationship Id="rId8616" Type="http://schemas.openxmlformats.org/officeDocument/2006/relationships/hyperlink" Target="https://twitter.com/grobilixx1/status/723398546628599809" TargetMode="External"/><Relationship Id="rId25426" Type="http://schemas.openxmlformats.org/officeDocument/2006/relationships/hyperlink" Target="https://twitter.com/vickymotorserv1" TargetMode="External"/><Relationship Id="rId6167" Type="http://schemas.openxmlformats.org/officeDocument/2006/relationships/hyperlink" Target="https://pbs.twimg.com/profile_images/627949001179037696/skEBkS05_normal.jpg" TargetMode="External"/><Relationship Id="rId2777" Type="http://schemas.openxmlformats.org/officeDocument/2006/relationships/hyperlink" Target="https://twitter.com/zdmak" TargetMode="External"/><Relationship Id="rId15191" Type="http://schemas.openxmlformats.org/officeDocument/2006/relationships/hyperlink" Target="https://pbs.twimg.com/profile_images/714263929535537152/lJndNWrv_normal.jpg" TargetMode="External"/><Relationship Id="rId17640" Type="http://schemas.openxmlformats.org/officeDocument/2006/relationships/hyperlink" Target="https://twitter.com/lutonphoto" TargetMode="External"/><Relationship Id="rId749" Type="http://schemas.openxmlformats.org/officeDocument/2006/relationships/hyperlink" Target="https://twitter.com/OrlandoYurie" TargetMode="External"/><Relationship Id="rId5250" Type="http://schemas.openxmlformats.org/officeDocument/2006/relationships/hyperlink" Target="https://twitter.com/TomsBrinkis" TargetMode="External"/><Relationship Id="rId22060" Type="http://schemas.openxmlformats.org/officeDocument/2006/relationships/hyperlink" Target="https://twitter.com/VeeDubMk1_" TargetMode="External"/><Relationship Id="rId13903" Type="http://schemas.openxmlformats.org/officeDocument/2006/relationships/hyperlink" Target="https://twitter.com/Lapse_of_Reason/status/723558403398750208" TargetMode="External"/><Relationship Id="rId1860" Type="http://schemas.openxmlformats.org/officeDocument/2006/relationships/hyperlink" Target="https://twitter.com/instock_de" TargetMode="External"/><Relationship Id="rId8473" Type="http://schemas.openxmlformats.org/officeDocument/2006/relationships/hyperlink" Target="https://pbs.twimg.com/profile_images/503024530361962496/n-EQlw93_normal.jpeg" TargetMode="External"/><Relationship Id="rId11454" Type="http://schemas.openxmlformats.org/officeDocument/2006/relationships/hyperlink" Target="https://pbs.twimg.com/profile_images/717261818410962945/f-fudmqm_normal.jpg" TargetMode="External"/><Relationship Id="rId18067" Type="http://schemas.openxmlformats.org/officeDocument/2006/relationships/hyperlink" Target="https://pbs.twimg.com/profile_images/715931676803731456/Xc8P_p5g_normal.jpg" TargetMode="External"/><Relationship Id="rId25283" Type="http://schemas.openxmlformats.org/officeDocument/2006/relationships/hyperlink" Target="https://twitter.com/feedeb94/status/724429606019862528" TargetMode="External"/><Relationship Id="rId1513" Type="http://schemas.openxmlformats.org/officeDocument/2006/relationships/hyperlink" Target="https://twitter.com/BILD_Reporter/status/723044192402976768" TargetMode="External"/><Relationship Id="rId8126" Type="http://schemas.openxmlformats.org/officeDocument/2006/relationships/hyperlink" Target="https://twitter.com/Ober_Franke/status/723371147895545858" TargetMode="External"/><Relationship Id="rId11107" Type="http://schemas.openxmlformats.org/officeDocument/2006/relationships/hyperlink" Target="https://pbs.twimg.com/profile_images/461143330147954688/HZO45eNS_normal.jpeg" TargetMode="External"/><Relationship Id="rId14677" Type="http://schemas.openxmlformats.org/officeDocument/2006/relationships/hyperlink" Target="https://twitter.com/theoneliner_/status/723579784807211008" TargetMode="External"/><Relationship Id="rId21893" Type="http://schemas.openxmlformats.org/officeDocument/2006/relationships/hyperlink" Target="https://twitter.com/TetsuoHojo/status/724187241547862016" TargetMode="External"/><Relationship Id="rId4736" Type="http://schemas.openxmlformats.org/officeDocument/2006/relationships/hyperlink" Target="https://pbs.twimg.com/profile_images/712389505358045185/XrTyxa27_normal.jpg" TargetMode="External"/><Relationship Id="rId17150" Type="http://schemas.openxmlformats.org/officeDocument/2006/relationships/hyperlink" Target="https://twitter.com/Scirocco_Tuning/status/723773534812684288" TargetMode="External"/><Relationship Id="rId21546" Type="http://schemas.openxmlformats.org/officeDocument/2006/relationships/hyperlink" Target="https://pbs.twimg.com/profile_images/565947130196799488/RCyKnmYI_normal.jpeg" TargetMode="External"/><Relationship Id="rId2287" Type="http://schemas.openxmlformats.org/officeDocument/2006/relationships/hyperlink" Target="https://twitter.com/GlobalEthicist/status/723093743683805184" TargetMode="External"/><Relationship Id="rId7959" Type="http://schemas.openxmlformats.org/officeDocument/2006/relationships/hyperlink" Target="https://pbs.twimg.com/profile_images/703294545195307008/qeCvrX86_normal.jpg" TargetMode="External"/><Relationship Id="rId259" Type="http://schemas.openxmlformats.org/officeDocument/2006/relationships/hyperlink" Target="https://twitter.com/VanagonNews" TargetMode="External"/><Relationship Id="rId13760" Type="http://schemas.openxmlformats.org/officeDocument/2006/relationships/hyperlink" Target="https://twitter.com/UniversityVWM/status/723554933048483841" TargetMode="External"/><Relationship Id="rId24769" Type="http://schemas.openxmlformats.org/officeDocument/2006/relationships/hyperlink" Target="https://twitter.com/vamp_kris2102/status/724386893635424258" TargetMode="External"/><Relationship Id="rId1370" Type="http://schemas.openxmlformats.org/officeDocument/2006/relationships/hyperlink" Target="https://twitter.com/VolkswagenPost" TargetMode="External"/><Relationship Id="rId13413" Type="http://schemas.openxmlformats.org/officeDocument/2006/relationships/hyperlink" Target="https://twitter.com/VWnews" TargetMode="External"/><Relationship Id="rId16983" Type="http://schemas.openxmlformats.org/officeDocument/2006/relationships/hyperlink" Target="https://pbs.twimg.com/profile_images/558958452001615872/I1ef-mQ7_normal.jpeg" TargetMode="External"/><Relationship Id="rId1023" Type="http://schemas.openxmlformats.org/officeDocument/2006/relationships/hyperlink" Target="https://twitter.com/MarkCSchneider" TargetMode="External"/><Relationship Id="rId16636" Type="http://schemas.openxmlformats.org/officeDocument/2006/relationships/hyperlink" Target="https://pbs.twimg.com/profile_images/709086812719947776/vXWinlfZ_normal.jpg" TargetMode="External"/><Relationship Id="rId23852" Type="http://schemas.openxmlformats.org/officeDocument/2006/relationships/hyperlink" Target="https://twitter.com/VWCamperSales" TargetMode="External"/><Relationship Id="rId4593" Type="http://schemas.openxmlformats.org/officeDocument/2006/relationships/hyperlink" Target="https://pbs.twimg.com/profile_images/722462618556960768/JE-_sTXq_normal.jpg" TargetMode="External"/><Relationship Id="rId14187" Type="http://schemas.openxmlformats.org/officeDocument/2006/relationships/hyperlink" Target="https://pbs.twimg.com/profile_images/710287996298371072/gggJOkGI_normal.jpg" TargetMode="External"/><Relationship Id="rId19859" Type="http://schemas.openxmlformats.org/officeDocument/2006/relationships/hyperlink" Target="https://pbs.twimg.com/profile_images/582604276679249920/tYpGG9aP_normal.jpg" TargetMode="External"/><Relationship Id="rId23505" Type="http://schemas.openxmlformats.org/officeDocument/2006/relationships/hyperlink" Target="https://twitter.com/VWBeetleSales/status/724294099633725440" TargetMode="External"/><Relationship Id="rId4246" Type="http://schemas.openxmlformats.org/officeDocument/2006/relationships/hyperlink" Target="https://pbs.twimg.com/profile_images/610657709398999040/UV5cwarn_normal.png" TargetMode="External"/><Relationship Id="rId9918" Type="http://schemas.openxmlformats.org/officeDocument/2006/relationships/hyperlink" Target="https://twitter.com/raschnzz" TargetMode="External"/><Relationship Id="rId10797" Type="http://schemas.openxmlformats.org/officeDocument/2006/relationships/hyperlink" Target="https://twitter.com/updatestrends/status/723485366158647296" TargetMode="External"/><Relationship Id="rId21056" Type="http://schemas.openxmlformats.org/officeDocument/2006/relationships/hyperlink" Target="https://twitter.com/iglesiafede1/status/724089463798898688" TargetMode="External"/><Relationship Id="rId7469" Type="http://schemas.openxmlformats.org/officeDocument/2006/relationships/hyperlink" Target="https://twitter.com/RHPolyxo8U" TargetMode="External"/><Relationship Id="rId13270" Type="http://schemas.openxmlformats.org/officeDocument/2006/relationships/hyperlink" Target="https://twitter.com/CeciDiBernardo" TargetMode="External"/><Relationship Id="rId24279" Type="http://schemas.openxmlformats.org/officeDocument/2006/relationships/hyperlink" Target="https://twitter.com/Cheungy86" TargetMode="External"/><Relationship Id="rId18942" Type="http://schemas.openxmlformats.org/officeDocument/2006/relationships/hyperlink" Target="https://twitter.com/VWBeetleSales/status/723907423451238400" TargetMode="External"/><Relationship Id="rId16493" Type="http://schemas.openxmlformats.org/officeDocument/2006/relationships/hyperlink" Target="https://pbs.twimg.com/profile_images/711755394599800833/q1IK7Rn9_normal.jpg" TargetMode="External"/><Relationship Id="rId20889" Type="http://schemas.openxmlformats.org/officeDocument/2006/relationships/hyperlink" Target="https://pbs.twimg.com/profile_images/538865940159406080/3b3cMwVn_normal.jpeg" TargetMode="External"/><Relationship Id="rId6552" Type="http://schemas.openxmlformats.org/officeDocument/2006/relationships/hyperlink" Target="https://pbs.twimg.com/profile_images/463796487604805632/lj-6WNq0_normal.png" TargetMode="External"/><Relationship Id="rId16146" Type="http://schemas.openxmlformats.org/officeDocument/2006/relationships/hyperlink" Target="https://twitter.com/Audi_App" TargetMode="External"/><Relationship Id="rId23362" Type="http://schemas.openxmlformats.org/officeDocument/2006/relationships/hyperlink" Target="https://pbs.twimg.com/profile_images/663496534898667520/iU7N9Oso_normal.jpg" TargetMode="External"/><Relationship Id="rId6205" Type="http://schemas.openxmlformats.org/officeDocument/2006/relationships/hyperlink" Target="https://twitter.com/vintagevwdita" TargetMode="External"/><Relationship Id="rId9775" Type="http://schemas.openxmlformats.org/officeDocument/2006/relationships/hyperlink" Target="https://pbs.twimg.com/profile_images/723095120959180800/uiP41uvb_normal.jpg" TargetMode="External"/><Relationship Id="rId12756" Type="http://schemas.openxmlformats.org/officeDocument/2006/relationships/hyperlink" Target="https://pbs.twimg.com/profile_images/626062417886183424/m4YZf29c_normal.jpg" TargetMode="External"/><Relationship Id="rId19369" Type="http://schemas.openxmlformats.org/officeDocument/2006/relationships/hyperlink" Target="https://pbs.twimg.com/profile_images/1646905092/Frau_Women_normal.jpg" TargetMode="External"/><Relationship Id="rId23015" Type="http://schemas.openxmlformats.org/officeDocument/2006/relationships/hyperlink" Target="https://twitter.com/snoopedselby" TargetMode="External"/><Relationship Id="rId2815" Type="http://schemas.openxmlformats.org/officeDocument/2006/relationships/hyperlink" Target="https://twitter.com/bvdvliet/status/723120492996079616" TargetMode="External"/><Relationship Id="rId9428" Type="http://schemas.openxmlformats.org/officeDocument/2006/relationships/hyperlink" Target="https://twitter.com/janduesseldorff" TargetMode="External"/><Relationship Id="rId12409" Type="http://schemas.openxmlformats.org/officeDocument/2006/relationships/hyperlink" Target="https://twitter.com/fr" TargetMode="External"/><Relationship Id="rId15979" Type="http://schemas.openxmlformats.org/officeDocument/2006/relationships/hyperlink" Target="https://twitter.com/VWBeetleSales" TargetMode="External"/><Relationship Id="rId18452" Type="http://schemas.openxmlformats.org/officeDocument/2006/relationships/hyperlink" Target="https://twitter.com/Geilowicz23" TargetMode="External"/><Relationship Id="rId3589" Type="http://schemas.openxmlformats.org/officeDocument/2006/relationships/hyperlink" Target="https://twitter.com/VolkswagenPost/status/723165110538137600" TargetMode="External"/><Relationship Id="rId8511" Type="http://schemas.openxmlformats.org/officeDocument/2006/relationships/hyperlink" Target="https://twitter.com/Maikfer001" TargetMode="External"/><Relationship Id="rId18105" Type="http://schemas.openxmlformats.org/officeDocument/2006/relationships/hyperlink" Target="https://twitter.com/Shereen_Shabnam" TargetMode="External"/><Relationship Id="rId20399" Type="http://schemas.openxmlformats.org/officeDocument/2006/relationships/hyperlink" Target="https://twitter.com/SocialMAXorg/status/723996003729285120" TargetMode="External"/><Relationship Id="rId22848" Type="http://schemas.openxmlformats.org/officeDocument/2006/relationships/hyperlink" Target="https://pbs.twimg.com/profile_images/715942097308659712/v1p0GZU1_normal.jpg" TargetMode="External"/><Relationship Id="rId25321" Type="http://schemas.openxmlformats.org/officeDocument/2006/relationships/hyperlink" Target="https://pbs.twimg.com/profile_images/720623345029423104/TUxoNGEM_normal.jpg" TargetMode="External"/><Relationship Id="rId6062" Type="http://schemas.openxmlformats.org/officeDocument/2006/relationships/hyperlink" Target="https://pbs.twimg.com/profile_images/606942872491945984/7sjxuqH4_normal.jpg" TargetMode="External"/><Relationship Id="rId9285" Type="http://schemas.openxmlformats.org/officeDocument/2006/relationships/hyperlink" Target="https://twitter.com/porsche__dp" TargetMode="External"/><Relationship Id="rId14715" Type="http://schemas.openxmlformats.org/officeDocument/2006/relationships/hyperlink" Target="https://pbs.twimg.com/profile_images/703294545195307008/qeCvrX86_normal.jpg" TargetMode="External"/><Relationship Id="rId21931" Type="http://schemas.openxmlformats.org/officeDocument/2006/relationships/hyperlink" Target="https://twitter.com/GRENZECHOnet" TargetMode="External"/><Relationship Id="rId991" Type="http://schemas.openxmlformats.org/officeDocument/2006/relationships/hyperlink" Target="https://twitter.com/beetlebug1938/status/723010758280359936" TargetMode="External"/><Relationship Id="rId2672" Type="http://schemas.openxmlformats.org/officeDocument/2006/relationships/hyperlink" Target="https://twitter.com/VeeDubMk1_" TargetMode="External"/><Relationship Id="rId12266" Type="http://schemas.openxmlformats.org/officeDocument/2006/relationships/hyperlink" Target="https://twitter.com/Sternenkind/status/723516374224670720" TargetMode="External"/><Relationship Id="rId17938" Type="http://schemas.openxmlformats.org/officeDocument/2006/relationships/hyperlink" Target="https://twitter.com/arnopaulus/status/723835954595794944" TargetMode="External"/><Relationship Id="rId644" Type="http://schemas.openxmlformats.org/officeDocument/2006/relationships/hyperlink" Target="https://pbs.twimg.com/profile_images/541552311894429696/3viUU7gh_normal.jpeg" TargetMode="External"/><Relationship Id="rId2325" Type="http://schemas.openxmlformats.org/officeDocument/2006/relationships/hyperlink" Target="https://twitter.com/krishuzey" TargetMode="External"/><Relationship Id="rId5895" Type="http://schemas.openxmlformats.org/officeDocument/2006/relationships/hyperlink" Target="https://twitter.com/VWBeetleSales/status/723222545265102848" TargetMode="External"/><Relationship Id="rId15489" Type="http://schemas.openxmlformats.org/officeDocument/2006/relationships/hyperlink" Target="https://twitter.com/GerdaTrapp" TargetMode="External"/><Relationship Id="rId24807" Type="http://schemas.openxmlformats.org/officeDocument/2006/relationships/hyperlink" Target="https://pbs.twimg.com/profile_images/539622088207007744/dwzlui_A_normal.jpeg" TargetMode="External"/><Relationship Id="rId5548" Type="http://schemas.openxmlformats.org/officeDocument/2006/relationships/hyperlink" Target="https://twitter.com/BeCarChic" TargetMode="External"/><Relationship Id="rId22358" Type="http://schemas.openxmlformats.org/officeDocument/2006/relationships/hyperlink" Target="https://twitter.com/yhoalex132103" TargetMode="External"/><Relationship Id="rId3099" Type="http://schemas.openxmlformats.org/officeDocument/2006/relationships/hyperlink" Target="https://pbs.twimg.com/profile_images/2218224860/small_logo_normal.jpg" TargetMode="External"/><Relationship Id="rId8021" Type="http://schemas.openxmlformats.org/officeDocument/2006/relationships/hyperlink" Target="https://twitter.com/MiloTheSaint/status/723353183792291844" TargetMode="External"/><Relationship Id="rId11002" Type="http://schemas.openxmlformats.org/officeDocument/2006/relationships/hyperlink" Target="https://twitter.com/SinclairVW" TargetMode="External"/><Relationship Id="rId14572" Type="http://schemas.openxmlformats.org/officeDocument/2006/relationships/hyperlink" Target="https://twitter.com/Luishii23" TargetMode="External"/><Relationship Id="rId2182" Type="http://schemas.openxmlformats.org/officeDocument/2006/relationships/hyperlink" Target="https://twitter.com/tagesthemen" TargetMode="External"/><Relationship Id="rId4631" Type="http://schemas.openxmlformats.org/officeDocument/2006/relationships/hyperlink" Target="https://pbs.twimg.com/profile_images/676465930424082432/zT-RyXf4_normal.jpg" TargetMode="External"/><Relationship Id="rId14225" Type="http://schemas.openxmlformats.org/officeDocument/2006/relationships/hyperlink" Target="https://twitter.com/VWBeetleSales" TargetMode="External"/><Relationship Id="rId17795" Type="http://schemas.openxmlformats.org/officeDocument/2006/relationships/hyperlink" Target="https://twitter.com/Tweet_auto_com" TargetMode="External"/><Relationship Id="rId21441" Type="http://schemas.openxmlformats.org/officeDocument/2006/relationships/hyperlink" Target="https://twitter.com/dubbusses/status/724148720636407808" TargetMode="External"/><Relationship Id="rId154" Type="http://schemas.openxmlformats.org/officeDocument/2006/relationships/hyperlink" Target="https://twitter.com/jyarmis/status/722930887638126593" TargetMode="External"/><Relationship Id="rId7854" Type="http://schemas.openxmlformats.org/officeDocument/2006/relationships/hyperlink" Target="https://pbs.twimg.com/profile_images/630477470240604160/cWOnCrEZ_normal.jpg" TargetMode="External"/><Relationship Id="rId10835" Type="http://schemas.openxmlformats.org/officeDocument/2006/relationships/hyperlink" Target="https://twitter.com/angulosiete" TargetMode="External"/><Relationship Id="rId17448" Type="http://schemas.openxmlformats.org/officeDocument/2006/relationships/hyperlink" Target="https://pbs.twimg.com/profile_images/721053973499801602/wTgVJ6EE_normal.jpg" TargetMode="External"/><Relationship Id="rId24664" Type="http://schemas.openxmlformats.org/officeDocument/2006/relationships/hyperlink" Target="https://twitter.com/beetlebug1938" TargetMode="External"/><Relationship Id="rId7507" Type="http://schemas.openxmlformats.org/officeDocument/2006/relationships/hyperlink" Target="https://twitter.com/LoDijoTito/status/723307218121154561" TargetMode="External"/><Relationship Id="rId24317" Type="http://schemas.openxmlformats.org/officeDocument/2006/relationships/hyperlink" Target="https://pbs.twimg.com/profile_images/718839998531903489/eXyeGppJ_normal.jpg" TargetMode="External"/><Relationship Id="rId5058" Type="http://schemas.openxmlformats.org/officeDocument/2006/relationships/hyperlink" Target="https://twitter.com/Dannl_Beltrami" TargetMode="External"/><Relationship Id="rId16531" Type="http://schemas.openxmlformats.org/officeDocument/2006/relationships/hyperlink" Target="https://twitter.com/GrupoAlden/status/723694195458887680" TargetMode="External"/><Relationship Id="rId1668" Type="http://schemas.openxmlformats.org/officeDocument/2006/relationships/hyperlink" Target="https://twitter.com/Sufiy/status/723052346343870464" TargetMode="External"/><Relationship Id="rId14082" Type="http://schemas.openxmlformats.org/officeDocument/2006/relationships/hyperlink" Target="https://twitter.com/twogulneapigs" TargetMode="External"/><Relationship Id="rId20927" Type="http://schemas.openxmlformats.org/officeDocument/2006/relationships/hyperlink" Target="http://ctrlq.org/maps/address/" TargetMode="External"/><Relationship Id="rId23400" Type="http://schemas.openxmlformats.org/officeDocument/2006/relationships/hyperlink" Target="https://twitter.com/Hard_Stance" TargetMode="External"/><Relationship Id="rId4141" Type="http://schemas.openxmlformats.org/officeDocument/2006/relationships/hyperlink" Target="https://twitter.com/ItoParedes" TargetMode="External"/><Relationship Id="rId19754" Type="http://schemas.openxmlformats.org/officeDocument/2006/relationships/hyperlink" Target="https://pbs.twimg.com/profile_images/540185455459696640/aWvVXgOD_normal.jpeg" TargetMode="External"/><Relationship Id="rId7364" Type="http://schemas.openxmlformats.org/officeDocument/2006/relationships/hyperlink" Target="https://twitter.com/DJAdverb" TargetMode="External"/><Relationship Id="rId9813" Type="http://schemas.openxmlformats.org/officeDocument/2006/relationships/hyperlink" Target="https://twitter.com/bestautos_" TargetMode="External"/><Relationship Id="rId10692" Type="http://schemas.openxmlformats.org/officeDocument/2006/relationships/hyperlink" Target="https://twitter.com/Echo_Online/status/723481184911679488" TargetMode="External"/><Relationship Id="rId19407" Type="http://schemas.openxmlformats.org/officeDocument/2006/relationships/hyperlink" Target="https://pbs.twimg.com/profile_images/704704242603433985/0feQZB2N_normal.jpg" TargetMode="External"/><Relationship Id="rId24174" Type="http://schemas.openxmlformats.org/officeDocument/2006/relationships/hyperlink" Target="https://twitter.com/beetlebug1938/status/724336517985013762" TargetMode="External"/><Relationship Id="rId27" Type="http://schemas.openxmlformats.org/officeDocument/2006/relationships/hyperlink" Target="https://pbs.twimg.com/profile_images/715697896910417920/JwcxwNfT_normal.jpg" TargetMode="External"/><Relationship Id="rId7017" Type="http://schemas.openxmlformats.org/officeDocument/2006/relationships/hyperlink" Target="https://pbs.twimg.com/profile_images/615493650785660928/XHUh6HOk_normal.jpg" TargetMode="External"/><Relationship Id="rId10345" Type="http://schemas.openxmlformats.org/officeDocument/2006/relationships/hyperlink" Target="https://twitter.com/_Alex_Berlin/status/723470228575887362" TargetMode="External"/><Relationship Id="rId3974" Type="http://schemas.openxmlformats.org/officeDocument/2006/relationships/hyperlink" Target="https://twitter.com/DiePressecom/status/723173430892195841" TargetMode="External"/><Relationship Id="rId13568" Type="http://schemas.openxmlformats.org/officeDocument/2006/relationships/hyperlink" Target="https://pbs.twimg.com/profile_images/1454103259/logo_normal.gif" TargetMode="External"/><Relationship Id="rId20784" Type="http://schemas.openxmlformats.org/officeDocument/2006/relationships/hyperlink" Target="https://twitter.com/FredHagerman" TargetMode="External"/><Relationship Id="rId3627" Type="http://schemas.openxmlformats.org/officeDocument/2006/relationships/hyperlink" Target="https://twitter.com/beetlebug1938/status/723166087886561280" TargetMode="External"/><Relationship Id="rId16041" Type="http://schemas.openxmlformats.org/officeDocument/2006/relationships/hyperlink" Target="https://twitter.com/EricArnoldPhoto/status/723645409768267776" TargetMode="External"/><Relationship Id="rId20437" Type="http://schemas.openxmlformats.org/officeDocument/2006/relationships/hyperlink" Target="https://twitter.com/chezaily" TargetMode="External"/><Relationship Id="rId1178" Type="http://schemas.openxmlformats.org/officeDocument/2006/relationships/hyperlink" Target="https://twitter.com/yildirimege01/status/723024324232372225" TargetMode="External"/><Relationship Id="rId6100" Type="http://schemas.openxmlformats.org/officeDocument/2006/relationships/hyperlink" Target="https://twitter.com/bjohnson1092/status/723229805089579008" TargetMode="External"/><Relationship Id="rId9670" Type="http://schemas.openxmlformats.org/officeDocument/2006/relationships/hyperlink" Target="https://twitter.com/ExCEO_" TargetMode="External"/><Relationship Id="rId19264" Type="http://schemas.openxmlformats.org/officeDocument/2006/relationships/hyperlink" Target="https://twitter.com/VWCamperSales/status/723925049028141056" TargetMode="External"/><Relationship Id="rId9323" Type="http://schemas.openxmlformats.org/officeDocument/2006/relationships/hyperlink" Target="https://pbs.twimg.com/profile_images/702511217793863680/lty8h9vE_normal.jpg" TargetMode="External"/><Relationship Id="rId12651" Type="http://schemas.openxmlformats.org/officeDocument/2006/relationships/hyperlink" Target="https://twitter.com/fontain_eric/status/723524518938025984" TargetMode="External"/><Relationship Id="rId2710" Type="http://schemas.openxmlformats.org/officeDocument/2006/relationships/hyperlink" Target="https://pbs.twimg.com/profile_images/3049506048/e1f3fdb530b5ad7c7a945508782e6f8f_normal.jpeg" TargetMode="External"/><Relationship Id="rId12304" Type="http://schemas.openxmlformats.org/officeDocument/2006/relationships/hyperlink" Target="https://twitter.com/turronzitoo" TargetMode="External"/><Relationship Id="rId15874" Type="http://schemas.openxmlformats.org/officeDocument/2006/relationships/hyperlink" Target="https://twitter.com/KitManWong8" TargetMode="External"/><Relationship Id="rId5933" Type="http://schemas.openxmlformats.org/officeDocument/2006/relationships/hyperlink" Target="https://twitter.com/kngeuro/status/723224869157003264" TargetMode="External"/><Relationship Id="rId15527" Type="http://schemas.openxmlformats.org/officeDocument/2006/relationships/hyperlink" Target="https://pbs.twimg.com/profile_images/378800000333683495/1b735d7df89d5667eeeb3eaa48617f9d_normal.jpeg" TargetMode="External"/><Relationship Id="rId22743" Type="http://schemas.openxmlformats.org/officeDocument/2006/relationships/hyperlink" Target="https://pbs.twimg.com/profile_images/672878354127839232/M7OYc-zx_normal.jpg" TargetMode="External"/><Relationship Id="rId3484" Type="http://schemas.openxmlformats.org/officeDocument/2006/relationships/hyperlink" Target="https://twitter.com/camiii_zalazar/status/723160401089822720" TargetMode="External"/><Relationship Id="rId13078" Type="http://schemas.openxmlformats.org/officeDocument/2006/relationships/hyperlink" Target="https://pbs.twimg.com/profile_images/631762766697623553/3FrSg6t7_normal.jpg" TargetMode="External"/><Relationship Id="rId18000" Type="http://schemas.openxmlformats.org/officeDocument/2006/relationships/hyperlink" Target="https://pbs.twimg.com/profile_images/540367961584709632/flFdoN-4_normal.jpeg" TargetMode="External"/><Relationship Id="rId20294" Type="http://schemas.openxmlformats.org/officeDocument/2006/relationships/hyperlink" Target="https://twitter.com/sinanyuz" TargetMode="External"/><Relationship Id="rId3137" Type="http://schemas.openxmlformats.org/officeDocument/2006/relationships/hyperlink" Target="https://twitter.com/faznet/status/723144020227059712" TargetMode="External"/><Relationship Id="rId8809" Type="http://schemas.openxmlformats.org/officeDocument/2006/relationships/hyperlink" Target="https://pbs.twimg.com/profile_images/722770349134372864/uH_DeX25_normal.jpg" TargetMode="External"/><Relationship Id="rId14610" Type="http://schemas.openxmlformats.org/officeDocument/2006/relationships/hyperlink" Target="https://twitter.com/tinteschreiber" TargetMode="External"/><Relationship Id="rId25619" Type="http://schemas.openxmlformats.org/officeDocument/2006/relationships/hyperlink" Target="https://pbs.twimg.com/profile_images/627949001179037696/skEBkS05_normal.jpg" TargetMode="External"/><Relationship Id="rId9180" Type="http://schemas.openxmlformats.org/officeDocument/2006/relationships/hyperlink" Target="https://twitter.com/frisch_fish" TargetMode="External"/><Relationship Id="rId12161" Type="http://schemas.openxmlformats.org/officeDocument/2006/relationships/hyperlink" Target="https://twitter.com/Marmeladenheinz/status/723514077167890432" TargetMode="External"/><Relationship Id="rId2220" Type="http://schemas.openxmlformats.org/officeDocument/2006/relationships/hyperlink" Target="https://twitter.com/camillebob0/status/723089400683462656" TargetMode="External"/><Relationship Id="rId5790" Type="http://schemas.openxmlformats.org/officeDocument/2006/relationships/hyperlink" Target="https://twitter.com/SteveGrant67" TargetMode="External"/><Relationship Id="rId15384" Type="http://schemas.openxmlformats.org/officeDocument/2006/relationships/hyperlink" Target="https://pbs.twimg.com/profile_images/703294545195307008/qeCvrX86_normal.jpg" TargetMode="External"/><Relationship Id="rId17833" Type="http://schemas.openxmlformats.org/officeDocument/2006/relationships/hyperlink" Target="https://twitter.com/WWidiwici/status/723826425908879360" TargetMode="External"/><Relationship Id="rId5443" Type="http://schemas.openxmlformats.org/officeDocument/2006/relationships/hyperlink" Target="https://twitter.com/golfturkiye" TargetMode="External"/><Relationship Id="rId15037" Type="http://schemas.openxmlformats.org/officeDocument/2006/relationships/hyperlink" Target="https://pbs.twimg.com/profile_images/378800000289761493/de650efb105fddd7be2b73feb9cbe610_normal.png" TargetMode="External"/><Relationship Id="rId22253" Type="http://schemas.openxmlformats.org/officeDocument/2006/relationships/hyperlink" Target="http://ctrlq.org/maps/address/" TargetMode="External"/><Relationship Id="rId24702" Type="http://schemas.openxmlformats.org/officeDocument/2006/relationships/hyperlink" Target="https://twitter.com/FuscaWorld/status/724385076327383040" TargetMode="External"/><Relationship Id="rId11994" Type="http://schemas.openxmlformats.org/officeDocument/2006/relationships/hyperlink" Target="https://pbs.twimg.com/profile_images/1713182174/P_GIF2_normal.jpg" TargetMode="External"/><Relationship Id="rId8666" Type="http://schemas.openxmlformats.org/officeDocument/2006/relationships/hyperlink" Target="https://twitter.com/techhippie" TargetMode="External"/><Relationship Id="rId11647" Type="http://schemas.openxmlformats.org/officeDocument/2006/relationships/hyperlink" Target="https://pbs.twimg.com/profile_images/699880935366488064/uot0hGbb_normal.png" TargetMode="External"/><Relationship Id="rId25476" Type="http://schemas.openxmlformats.org/officeDocument/2006/relationships/hyperlink" Target="https://pbs.twimg.com/profile_images/378800000572104796/1de43e1cf23efb3f4101c02afad0d3b6_normal.png" TargetMode="External"/><Relationship Id="rId1706" Type="http://schemas.openxmlformats.org/officeDocument/2006/relationships/hyperlink" Target="https://pbs.twimg.com/profile_images/649519091892531200/gFXmbSPM_normal.jpg" TargetMode="External"/><Relationship Id="rId8319" Type="http://schemas.openxmlformats.org/officeDocument/2006/relationships/hyperlink" Target="https://twitter.com/VWCamperSales" TargetMode="External"/><Relationship Id="rId14120" Type="http://schemas.openxmlformats.org/officeDocument/2006/relationships/hyperlink" Target="https://pbs.twimg.com/profile_images/530071272881803264/a_jcCmPZ_normal.png" TargetMode="External"/><Relationship Id="rId17690" Type="http://schemas.openxmlformats.org/officeDocument/2006/relationships/hyperlink" Target="https://pbs.twimg.com/profile_images/695836169418899456/Z9ohOFD9_normal.jpg" TargetMode="External"/><Relationship Id="rId25129" Type="http://schemas.openxmlformats.org/officeDocument/2006/relationships/hyperlink" Target="https://twitter.com/fowwow" TargetMode="External"/><Relationship Id="rId4929" Type="http://schemas.openxmlformats.org/officeDocument/2006/relationships/hyperlink" Target="https://twitter.com/ClarkWDerry/status/723190711986724864" TargetMode="External"/><Relationship Id="rId17343" Type="http://schemas.openxmlformats.org/officeDocument/2006/relationships/hyperlink" Target="https://twitter.com/AC_translates/status/723792386678206468" TargetMode="External"/><Relationship Id="rId21739" Type="http://schemas.openxmlformats.org/officeDocument/2006/relationships/hyperlink" Target="https://twitter.com/BlackbootsWim" TargetMode="External"/><Relationship Id="rId799" Type="http://schemas.openxmlformats.org/officeDocument/2006/relationships/hyperlink" Target="https://twitter.com/Co_Virgini/status/722985172426219522" TargetMode="External"/><Relationship Id="rId7402" Type="http://schemas.openxmlformats.org/officeDocument/2006/relationships/hyperlink" Target="https://pbs.twimg.com/profile_images/482602151948980225/wgMAKSQc_normal.jpeg" TargetMode="External"/><Relationship Id="rId10730" Type="http://schemas.openxmlformats.org/officeDocument/2006/relationships/hyperlink" Target="https://twitter.com/ThaboRamzy" TargetMode="External"/><Relationship Id="rId24212" Type="http://schemas.openxmlformats.org/officeDocument/2006/relationships/hyperlink" Target="https://pbs.twimg.com/profile_images/708972808471187456/v1Wlagi4_normal.jpg" TargetMode="External"/><Relationship Id="rId13953" Type="http://schemas.openxmlformats.org/officeDocument/2006/relationships/hyperlink" Target="https://twitter.com/buran63" TargetMode="External"/><Relationship Id="rId8176" Type="http://schemas.openxmlformats.org/officeDocument/2006/relationships/hyperlink" Target="https://twitter.com/barbosa0622/status/723374297255809025" TargetMode="External"/><Relationship Id="rId13606" Type="http://schemas.openxmlformats.org/officeDocument/2006/relationships/hyperlink" Target="https://twitter.com/techhippie/status/723551630067642369" TargetMode="External"/><Relationship Id="rId20822" Type="http://schemas.openxmlformats.org/officeDocument/2006/relationships/hyperlink" Target="https://twitter.com/AylenANM/status/724047608579239936" TargetMode="External"/><Relationship Id="rId1563" Type="http://schemas.openxmlformats.org/officeDocument/2006/relationships/hyperlink" Target="https://twitter.com/boerseARD/status/723046800085512192" TargetMode="External"/><Relationship Id="rId11157" Type="http://schemas.openxmlformats.org/officeDocument/2006/relationships/hyperlink" Target="https://twitter.com/franzsch2" TargetMode="External"/><Relationship Id="rId16829" Type="http://schemas.openxmlformats.org/officeDocument/2006/relationships/hyperlink" Target="https://pbs.twimg.com/profile_images/1259854880/manga_1_normal.jpg" TargetMode="External"/><Relationship Id="rId1216" Type="http://schemas.openxmlformats.org/officeDocument/2006/relationships/hyperlink" Target="https://pbs.twimg.com/profile_images/1685667191/Foto_1_normal.jpg" TargetMode="External"/><Relationship Id="rId4786" Type="http://schemas.openxmlformats.org/officeDocument/2006/relationships/hyperlink" Target="https://twitter.com/GabrielSaizOk" TargetMode="External"/><Relationship Id="rId19302" Type="http://schemas.openxmlformats.org/officeDocument/2006/relationships/hyperlink" Target="https://pbs.twimg.com/profile_images/723338322098196480/TDOAiazl_normal.jpg" TargetMode="External"/><Relationship Id="rId21596" Type="http://schemas.openxmlformats.org/officeDocument/2006/relationships/hyperlink" Target="https://twitter.com/nurahzz/status/724162841658449920" TargetMode="External"/><Relationship Id="rId4439" Type="http://schemas.openxmlformats.org/officeDocument/2006/relationships/hyperlink" Target="https://twitter.com/VWCamperSales" TargetMode="External"/><Relationship Id="rId10240" Type="http://schemas.openxmlformats.org/officeDocument/2006/relationships/hyperlink" Target="https://pbs.twimg.com/profile_images/616373784749191170/eVFL0L13_normal.jpg" TargetMode="External"/><Relationship Id="rId21249" Type="http://schemas.openxmlformats.org/officeDocument/2006/relationships/hyperlink" Target="https://twitter.com/GutesAltern/status/724132667164340224" TargetMode="External"/><Relationship Id="rId15912" Type="http://schemas.openxmlformats.org/officeDocument/2006/relationships/hyperlink" Target="https://twitter.com/oliva_naza/status/723636693987807232" TargetMode="External"/><Relationship Id="rId3522" Type="http://schemas.openxmlformats.org/officeDocument/2006/relationships/hyperlink" Target="https://twitter.com/pcbritz" TargetMode="External"/><Relationship Id="rId13116" Type="http://schemas.openxmlformats.org/officeDocument/2006/relationships/hyperlink" Target="https://pbs.twimg.com/profile_images/3651426922/f79a231eb643e1aaedcb85cb07749185_normal.jpeg" TargetMode="External"/><Relationship Id="rId13463" Type="http://schemas.openxmlformats.org/officeDocument/2006/relationships/hyperlink" Target="https://twitter.com/OnlineCarReview/status/723548385806946305" TargetMode="External"/><Relationship Id="rId20332" Type="http://schemas.openxmlformats.org/officeDocument/2006/relationships/hyperlink" Target="https://pbs.twimg.com/profile_images/718771637177491456/sQ3Aguzt_normal.jpg" TargetMode="External"/><Relationship Id="rId1073" Type="http://schemas.openxmlformats.org/officeDocument/2006/relationships/hyperlink" Target="https://pbs.twimg.com/profile_images/678207078725492736/74zDNMK2_normal.jpg" TargetMode="External"/><Relationship Id="rId16686" Type="http://schemas.openxmlformats.org/officeDocument/2006/relationships/hyperlink" Target="https://twitter.com/Tweets4Yoga/status/723710568151048193" TargetMode="External"/><Relationship Id="rId4296" Type="http://schemas.openxmlformats.org/officeDocument/2006/relationships/hyperlink" Target="https://twitter.com/BILD_Reporter" TargetMode="External"/><Relationship Id="rId6745" Type="http://schemas.openxmlformats.org/officeDocument/2006/relationships/hyperlink" Target="https://twitter.com/amantomatimou" TargetMode="External"/><Relationship Id="rId16339" Type="http://schemas.openxmlformats.org/officeDocument/2006/relationships/hyperlink" Target="https://twitter.com/CollectHW" TargetMode="External"/><Relationship Id="rId23555" Type="http://schemas.openxmlformats.org/officeDocument/2006/relationships/hyperlink" Target="https://pbs.twimg.com/profile_images/703294545195307008/qeCvrX86_normal.jpg" TargetMode="External"/><Relationship Id="rId9968" Type="http://schemas.openxmlformats.org/officeDocument/2006/relationships/hyperlink" Target="http://dlvr.it/" TargetMode="External"/><Relationship Id="rId12949" Type="http://schemas.openxmlformats.org/officeDocument/2006/relationships/hyperlink" Target="https://twitter.com/MorSvinka_83/status/723532168530649088" TargetMode="External"/><Relationship Id="rId23208" Type="http://schemas.openxmlformats.org/officeDocument/2006/relationships/hyperlink" Target="https://twitter.com/LangeNase" TargetMode="External"/><Relationship Id="rId15422" Type="http://schemas.openxmlformats.org/officeDocument/2006/relationships/hyperlink" Target="https://twitter.com/Marktzyniker/status/723607190985146368" TargetMode="External"/><Relationship Id="rId18992" Type="http://schemas.openxmlformats.org/officeDocument/2006/relationships/hyperlink" Target="https://twitter.com/Insta_VWT/status/723911699812720641" TargetMode="External"/><Relationship Id="rId3032" Type="http://schemas.openxmlformats.org/officeDocument/2006/relationships/hyperlink" Target="https://pbs.twimg.com/profile_images/512530551446589442/4-aW6c2w_normal.jpeg" TargetMode="External"/><Relationship Id="rId16196" Type="http://schemas.openxmlformats.org/officeDocument/2006/relationships/hyperlink" Target="http://dlvr.it/" TargetMode="External"/><Relationship Id="rId18645" Type="http://schemas.openxmlformats.org/officeDocument/2006/relationships/hyperlink" Target="https://twitter.com/Danny5140" TargetMode="External"/><Relationship Id="rId6255" Type="http://schemas.openxmlformats.org/officeDocument/2006/relationships/hyperlink" Target="https://twitter.com/AutoExpress" TargetMode="External"/><Relationship Id="rId8704" Type="http://schemas.openxmlformats.org/officeDocument/2006/relationships/hyperlink" Target="https://twitter.com/FelixLo525/status/723402855873269760" TargetMode="External"/><Relationship Id="rId23065" Type="http://schemas.openxmlformats.org/officeDocument/2006/relationships/hyperlink" Target="https://pbs.twimg.com/profile_images/703294545195307008/qeCvrX86_normal.jpg" TargetMode="External"/><Relationship Id="rId25514" Type="http://schemas.openxmlformats.org/officeDocument/2006/relationships/hyperlink" Target="https://twitter.com/nomkhita12/status/724445175792152576" TargetMode="External"/><Relationship Id="rId14908" Type="http://schemas.openxmlformats.org/officeDocument/2006/relationships/hyperlink" Target="https://twitter.com/JJRepairchip/status/723586650866126849" TargetMode="External"/><Relationship Id="rId2865" Type="http://schemas.openxmlformats.org/officeDocument/2006/relationships/hyperlink" Target="https://twitter.com/VWCamperSales/status/723122251470503936" TargetMode="External"/><Relationship Id="rId9478" Type="http://schemas.openxmlformats.org/officeDocument/2006/relationships/hyperlink" Target="https://twitter.com/berendes59/status/723436602882584578" TargetMode="External"/><Relationship Id="rId12459" Type="http://schemas.openxmlformats.org/officeDocument/2006/relationships/hyperlink" Target="https://pbs.twimg.com/profile_images/1289359150/Xenon07.2_normal.jpg" TargetMode="External"/><Relationship Id="rId837" Type="http://schemas.openxmlformats.org/officeDocument/2006/relationships/hyperlink" Target="https://twitter.com/PanchaliH" TargetMode="External"/><Relationship Id="rId2518" Type="http://schemas.openxmlformats.org/officeDocument/2006/relationships/hyperlink" Target="https://pbs.twimg.com/profile_images/600712402657800195/trVzvctT_normal.jpg" TargetMode="External"/><Relationship Id="rId22898" Type="http://schemas.openxmlformats.org/officeDocument/2006/relationships/hyperlink" Target="https://twitter.com/dubbusses" TargetMode="External"/><Relationship Id="rId8561" Type="http://schemas.openxmlformats.org/officeDocument/2006/relationships/hyperlink" Target="https://twitter.com/Beukennon" TargetMode="External"/><Relationship Id="rId18155" Type="http://schemas.openxmlformats.org/officeDocument/2006/relationships/hyperlink" Target="https://pbs.twimg.com/profile_images/592053404303826944/dFGzjd4i_normal.jpg" TargetMode="External"/><Relationship Id="rId25371" Type="http://schemas.openxmlformats.org/officeDocument/2006/relationships/hyperlink" Target="https://twitter.com/VCT_Tweets" TargetMode="External"/><Relationship Id="rId1601" Type="http://schemas.openxmlformats.org/officeDocument/2006/relationships/hyperlink" Target="https://twitter.com/JulieTestAchats" TargetMode="External"/><Relationship Id="rId8214" Type="http://schemas.openxmlformats.org/officeDocument/2006/relationships/hyperlink" Target="https://twitter.com/Fuhrparkverband" TargetMode="External"/><Relationship Id="rId11542" Type="http://schemas.openxmlformats.org/officeDocument/2006/relationships/hyperlink" Target="https://twitter.com/ZDFinfo" TargetMode="External"/><Relationship Id="rId25024" Type="http://schemas.openxmlformats.org/officeDocument/2006/relationships/hyperlink" Target="https://twitter.com/Lil_Lorii" TargetMode="External"/><Relationship Id="rId14765" Type="http://schemas.openxmlformats.org/officeDocument/2006/relationships/hyperlink" Target="https://twitter.com/xDriversAlertx/status/723581711108419584" TargetMode="External"/><Relationship Id="rId21981" Type="http://schemas.openxmlformats.org/officeDocument/2006/relationships/hyperlink" Target="https://twitter.com/Globosus" TargetMode="External"/><Relationship Id="rId694" Type="http://schemas.openxmlformats.org/officeDocument/2006/relationships/hyperlink" Target="https://twitter.com/BarboobraB/status/722968187852210176" TargetMode="External"/><Relationship Id="rId2375" Type="http://schemas.openxmlformats.org/officeDocument/2006/relationships/hyperlink" Target="https://twitter.com/felix_wiedemann" TargetMode="External"/><Relationship Id="rId4824" Type="http://schemas.openxmlformats.org/officeDocument/2006/relationships/hyperlink" Target="https://pbs.twimg.com/profile_images/541534187707465729/9Nsiu4TX_normal.jpeg" TargetMode="External"/><Relationship Id="rId14418" Type="http://schemas.openxmlformats.org/officeDocument/2006/relationships/hyperlink" Target="https://twitter.com/VWCamperSales/status/723573612125388800" TargetMode="External"/><Relationship Id="rId17988" Type="http://schemas.openxmlformats.org/officeDocument/2006/relationships/hyperlink" Target="https://pbs.twimg.com/profile_images/1610421423/Image2_normal.jpg" TargetMode="External"/><Relationship Id="rId21634" Type="http://schemas.openxmlformats.org/officeDocument/2006/relationships/hyperlink" Target="https://pbs.twimg.com/profile_images/696540811/logo2_normal.jpg" TargetMode="External"/><Relationship Id="rId347" Type="http://schemas.openxmlformats.org/officeDocument/2006/relationships/hyperlink" Target="https://twitter.com/panicswitch777" TargetMode="External"/><Relationship Id="rId2028" Type="http://schemas.openxmlformats.org/officeDocument/2006/relationships/hyperlink" Target="https://twitter.com/JasonAdelaCruz" TargetMode="External"/><Relationship Id="rId24857" Type="http://schemas.openxmlformats.org/officeDocument/2006/relationships/hyperlink" Target="https://twitter.com/moteking25" TargetMode="External"/><Relationship Id="rId5598" Type="http://schemas.openxmlformats.org/officeDocument/2006/relationships/hyperlink" Target="https://pbs.twimg.com/profile_images/703294545195307008/qeCvrX86_normal.jpg" TargetMode="External"/><Relationship Id="rId13501" Type="http://schemas.openxmlformats.org/officeDocument/2006/relationships/hyperlink" Target="https://pbs.twimg.com/profile_images/687825654/Portrait_J_rg_Bode_weniger_Pixel_2_normal.jpg" TargetMode="External"/><Relationship Id="rId8071" Type="http://schemas.openxmlformats.org/officeDocument/2006/relationships/hyperlink" Target="https://pbs.twimg.com/profile_images/679536989100613632/4R0dhO0Y_normal.jpg" TargetMode="External"/><Relationship Id="rId11052" Type="http://schemas.openxmlformats.org/officeDocument/2006/relationships/hyperlink" Target="https://pbs.twimg.com/profile_images/3099062565/8d84b865e96ee00b606c7ac2088221bf_normal.jpeg" TargetMode="External"/><Relationship Id="rId1111" Type="http://schemas.openxmlformats.org/officeDocument/2006/relationships/hyperlink" Target="https://pbs.twimg.com/profile_images/615493650785660928/XHUh6HOk_normal.jpg" TargetMode="External"/><Relationship Id="rId4681" Type="http://schemas.openxmlformats.org/officeDocument/2006/relationships/hyperlink" Target="https://twitter.com/CAnative89/status/723185468225941504" TargetMode="External"/><Relationship Id="rId14275" Type="http://schemas.openxmlformats.org/officeDocument/2006/relationships/hyperlink" Target="https://twitter.com/LucasSampieri" TargetMode="External"/><Relationship Id="rId16724" Type="http://schemas.openxmlformats.org/officeDocument/2006/relationships/hyperlink" Target="https://twitter.com/breedveldusa/status/723717695905107972" TargetMode="External"/><Relationship Id="rId21491" Type="http://schemas.openxmlformats.org/officeDocument/2006/relationships/hyperlink" Target="https://pbs.twimg.com/profile_images/718720041194233856/q2RfyvDp_normal.jpg" TargetMode="External"/><Relationship Id="rId23940" Type="http://schemas.openxmlformats.org/officeDocument/2006/relationships/hyperlink" Target="https://twitter.com/dubbusses/status/724321662750085121" TargetMode="External"/><Relationship Id="rId4334" Type="http://schemas.openxmlformats.org/officeDocument/2006/relationships/hyperlink" Target="https://twitter.com/srfnews" TargetMode="External"/><Relationship Id="rId19947" Type="http://schemas.openxmlformats.org/officeDocument/2006/relationships/hyperlink" Target="https://pbs.twimg.com/profile_images/391720090/Copy_of_Put-in-BAy_004_normal.jpg" TargetMode="External"/><Relationship Id="rId21144" Type="http://schemas.openxmlformats.org/officeDocument/2006/relationships/hyperlink" Target="https://twitter.com/Scirocco_Tuning/status/724109463796518912" TargetMode="External"/><Relationship Id="rId10885" Type="http://schemas.openxmlformats.org/officeDocument/2006/relationships/hyperlink" Target="https://twitter.com/nzzwirtschaft/status/723489254442164228" TargetMode="External"/><Relationship Id="rId17498" Type="http://schemas.openxmlformats.org/officeDocument/2006/relationships/hyperlink" Target="https://twitter.com/MaxCainam/status/723803226412335104" TargetMode="External"/><Relationship Id="rId7557" Type="http://schemas.openxmlformats.org/officeDocument/2006/relationships/hyperlink" Target="https://twitter.com/NoSeaEstupldo" TargetMode="External"/><Relationship Id="rId10538" Type="http://schemas.openxmlformats.org/officeDocument/2006/relationships/hyperlink" Target="https://twitter.com/AniQ0624" TargetMode="External"/><Relationship Id="rId24367" Type="http://schemas.openxmlformats.org/officeDocument/2006/relationships/hyperlink" Target="https://pbs.twimg.com/profile_images/707672823209271298/m9ChKBzC_normal.jpg" TargetMode="External"/><Relationship Id="rId13011" Type="http://schemas.openxmlformats.org/officeDocument/2006/relationships/hyperlink" Target="https://twitter.com/helder13pach/status/723533198651756546" TargetMode="External"/><Relationship Id="rId16581" Type="http://schemas.openxmlformats.org/officeDocument/2006/relationships/hyperlink" Target="https://pbs.twimg.com/profile_images/760272898/DSC00033_normal.JPG" TargetMode="External"/><Relationship Id="rId20977" Type="http://schemas.openxmlformats.org/officeDocument/2006/relationships/hyperlink" Target="https://twitter.com/VolkswagenPost" TargetMode="External"/><Relationship Id="rId6640" Type="http://schemas.openxmlformats.org/officeDocument/2006/relationships/hyperlink" Target="https://pbs.twimg.com/profile_images/671465231680462848/nzWxxzZJ_normal.jpg" TargetMode="External"/><Relationship Id="rId16234" Type="http://schemas.openxmlformats.org/officeDocument/2006/relationships/hyperlink" Target="https://pbs.twimg.com/profile_images/717361645454905344/eSYXksup_normal.jpg" TargetMode="External"/><Relationship Id="rId23450" Type="http://schemas.openxmlformats.org/officeDocument/2006/relationships/hyperlink" Target="https://twitter.com/dapper013" TargetMode="External"/><Relationship Id="rId4191" Type="http://schemas.openxmlformats.org/officeDocument/2006/relationships/hyperlink" Target="https://twitter.com/lgbeutin" TargetMode="External"/><Relationship Id="rId9863" Type="http://schemas.openxmlformats.org/officeDocument/2006/relationships/hyperlink" Target="https://abs.twimg.com/sticky/default_profile_images/default_profile_6_normal.png" TargetMode="External"/><Relationship Id="rId19457" Type="http://schemas.openxmlformats.org/officeDocument/2006/relationships/hyperlink" Target="https://pbs.twimg.com/profile_images/457447746375409664/XSHXPCNa_normal.png" TargetMode="External"/><Relationship Id="rId23103" Type="http://schemas.openxmlformats.org/officeDocument/2006/relationships/hyperlink" Target="https://twitter.com/beetlebug1938/status/724269061014736897" TargetMode="External"/><Relationship Id="rId77" Type="http://schemas.openxmlformats.org/officeDocument/2006/relationships/hyperlink" Target="https://twitter.com/ummanamoonji/status/722923122328883200" TargetMode="External"/><Relationship Id="rId9516" Type="http://schemas.openxmlformats.org/officeDocument/2006/relationships/hyperlink" Target="https://pbs.twimg.com/profile_images/718820712757215233/LXXndPTS_normal.jpg" TargetMode="External"/><Relationship Id="rId12844" Type="http://schemas.openxmlformats.org/officeDocument/2006/relationships/hyperlink" Target="https://pbs.twimg.com/profile_images/684687725883207681/BVIdi6X1_normal.jpg" TargetMode="External"/><Relationship Id="rId2903" Type="http://schemas.openxmlformats.org/officeDocument/2006/relationships/hyperlink" Target="https://pbs.twimg.com/profile_images/598485163241267200/wFl-W3I2_normal.jpg" TargetMode="External"/><Relationship Id="rId7067" Type="http://schemas.openxmlformats.org/officeDocument/2006/relationships/hyperlink" Target="https://twitter.com/kathconnaugh" TargetMode="External"/><Relationship Id="rId10048" Type="http://schemas.openxmlformats.org/officeDocument/2006/relationships/hyperlink" Target="https://twitter.com/de_Tocqueville" TargetMode="External"/><Relationship Id="rId10395" Type="http://schemas.openxmlformats.org/officeDocument/2006/relationships/hyperlink" Target="https://twitter.com/jennu_sahadev" TargetMode="External"/><Relationship Id="rId18540" Type="http://schemas.openxmlformats.org/officeDocument/2006/relationships/hyperlink" Target="https://pbs.twimg.com/profile_images/707565238611271682/vuZJROIH_normal.jpg" TargetMode="External"/><Relationship Id="rId22936" Type="http://schemas.openxmlformats.org/officeDocument/2006/relationships/hyperlink" Target="https://pbs.twimg.com/profile_images/667364942685872128/mralhzrn_normal.jpg" TargetMode="External"/><Relationship Id="rId3677" Type="http://schemas.openxmlformats.org/officeDocument/2006/relationships/hyperlink" Target="https://pbs.twimg.com/profile_images/531837173612285952/71rzDAAY_normal.jpeg" TargetMode="External"/><Relationship Id="rId16091" Type="http://schemas.openxmlformats.org/officeDocument/2006/relationships/hyperlink" Target="https://pbs.twimg.com/profile_images/668919224744738820/O3s5k-n9_normal.jpg" TargetMode="External"/><Relationship Id="rId20487" Type="http://schemas.openxmlformats.org/officeDocument/2006/relationships/hyperlink" Target="http://ctrlq.org/maps/address/" TargetMode="External"/><Relationship Id="rId6150" Type="http://schemas.openxmlformats.org/officeDocument/2006/relationships/hyperlink" Target="https://twitter.com/VolkswagenCasey/status/723232653462384640" TargetMode="External"/><Relationship Id="rId2760" Type="http://schemas.openxmlformats.org/officeDocument/2006/relationships/hyperlink" Target="https://pbs.twimg.com/profile_images/524307961380749314/55lMOIX2_normal.jpeg" TargetMode="External"/><Relationship Id="rId9373" Type="http://schemas.openxmlformats.org/officeDocument/2006/relationships/hyperlink" Target="https://twitter.com/Jaravuy01" TargetMode="External"/><Relationship Id="rId12354" Type="http://schemas.openxmlformats.org/officeDocument/2006/relationships/hyperlink" Target="https://twitter.com/Cougs2001/status/723517953472401409" TargetMode="External"/><Relationship Id="rId14803" Type="http://schemas.openxmlformats.org/officeDocument/2006/relationships/hyperlink" Target="https://twitter.com/LucasBarra22" TargetMode="External"/><Relationship Id="rId732" Type="http://schemas.openxmlformats.org/officeDocument/2006/relationships/hyperlink" Target="http://dlvr.it/" TargetMode="External"/><Relationship Id="rId2413" Type="http://schemas.openxmlformats.org/officeDocument/2006/relationships/hyperlink" Target="http://dlvr.it/" TargetMode="External"/><Relationship Id="rId9026" Type="http://schemas.openxmlformats.org/officeDocument/2006/relationships/hyperlink" Target="https://twitter.com/VWBeetleSales" TargetMode="External"/><Relationship Id="rId12007" Type="http://schemas.openxmlformats.org/officeDocument/2006/relationships/hyperlink" Target="https://twitter.com/LISCHIMAN" TargetMode="External"/><Relationship Id="rId5983" Type="http://schemas.openxmlformats.org/officeDocument/2006/relationships/hyperlink" Target="https://twitter.com/19TaTi92/status/723226107676397568" TargetMode="External"/><Relationship Id="rId15577" Type="http://schemas.openxmlformats.org/officeDocument/2006/relationships/hyperlink" Target="https://twitter.com/bvdvliet" TargetMode="External"/><Relationship Id="rId22793" Type="http://schemas.openxmlformats.org/officeDocument/2006/relationships/hyperlink" Target="https://twitter.com/techhippie" TargetMode="External"/><Relationship Id="rId3187" Type="http://schemas.openxmlformats.org/officeDocument/2006/relationships/hyperlink" Target="https://twitter.com/ExCEO_/status/723144753798217730" TargetMode="External"/><Relationship Id="rId5636" Type="http://schemas.openxmlformats.org/officeDocument/2006/relationships/hyperlink" Target="https://twitter.com/Heinzel69" TargetMode="External"/><Relationship Id="rId18050" Type="http://schemas.openxmlformats.org/officeDocument/2006/relationships/hyperlink" Target="https://twitter.com/voosvoos" TargetMode="External"/><Relationship Id="rId22446" Type="http://schemas.openxmlformats.org/officeDocument/2006/relationships/hyperlink" Target="https://twitter.com/vwgroup_en/status/724224177159450625" TargetMode="External"/><Relationship Id="rId8859" Type="http://schemas.openxmlformats.org/officeDocument/2006/relationships/hyperlink" Target="https://twitter.com/Autohaasgroep/status/723409544823472130" TargetMode="External"/><Relationship Id="rId14660" Type="http://schemas.openxmlformats.org/officeDocument/2006/relationships/hyperlink" Target="https://pbs.twimg.com/profile_images/1364292067/Mann_mit_Fl_stert_te_normal.JPG" TargetMode="External"/><Relationship Id="rId25669" Type="http://schemas.openxmlformats.org/officeDocument/2006/relationships/hyperlink" Target="https://twitter.com/saskretweeter/status/724457535462342656" TargetMode="External"/><Relationship Id="rId14313" Type="http://schemas.openxmlformats.org/officeDocument/2006/relationships/hyperlink" Target="https://twitter.com/FlorMusante_/status/723572236473520128" TargetMode="External"/><Relationship Id="rId17883" Type="http://schemas.openxmlformats.org/officeDocument/2006/relationships/hyperlink" Target="https://pbs.twimg.com/profile_images/530071272881803264/a_jcCmPZ_normal.png" TargetMode="External"/><Relationship Id="rId2270" Type="http://schemas.openxmlformats.org/officeDocument/2006/relationships/hyperlink" Target="https://twitter.com/sophiastrelli" TargetMode="External"/><Relationship Id="rId7942" Type="http://schemas.openxmlformats.org/officeDocument/2006/relationships/hyperlink" Target="https://pbs.twimg.com/profile_images/1844337440/test_normal.gif" TargetMode="External"/><Relationship Id="rId17536" Type="http://schemas.openxmlformats.org/officeDocument/2006/relationships/hyperlink" Target="https://pbs.twimg.com/profile_images/689530457378181120/hebb5eT3_normal.jpg" TargetMode="External"/><Relationship Id="rId24752" Type="http://schemas.openxmlformats.org/officeDocument/2006/relationships/hyperlink" Target="https://twitter.com/lbrahim_has/status/724386593654607873" TargetMode="External"/><Relationship Id="rId242" Type="http://schemas.openxmlformats.org/officeDocument/2006/relationships/hyperlink" Target="https://twitter.com/Tkarera/status/722939635479883776" TargetMode="External"/><Relationship Id="rId5493" Type="http://schemas.openxmlformats.org/officeDocument/2006/relationships/hyperlink" Target="https://pbs.twimg.com/profile_images/490524598396403712/-Z8VMrA5_normal.jpeg" TargetMode="External"/><Relationship Id="rId10923" Type="http://schemas.openxmlformats.org/officeDocument/2006/relationships/hyperlink" Target="https://twitter.com/TAOnline" TargetMode="External"/><Relationship Id="rId15087" Type="http://schemas.openxmlformats.org/officeDocument/2006/relationships/hyperlink" Target="https://twitter.com/MicaaSaleh/status/723592717876498433" TargetMode="External"/><Relationship Id="rId24405" Type="http://schemas.openxmlformats.org/officeDocument/2006/relationships/hyperlink" Target="https://pbs.twimg.com/profile_images/1505035884/SYF2_normal.jpg" TargetMode="External"/><Relationship Id="rId5146" Type="http://schemas.openxmlformats.org/officeDocument/2006/relationships/hyperlink" Target="https://twitter.com/UdoMaass/status/723195285225267201" TargetMode="External"/><Relationship Id="rId8369" Type="http://schemas.openxmlformats.org/officeDocument/2006/relationships/hyperlink" Target="https://twitter.com/VWsightings/status/723385208175648770" TargetMode="External"/><Relationship Id="rId11697" Type="http://schemas.openxmlformats.org/officeDocument/2006/relationships/hyperlink" Target="https://pbs.twimg.com/profile_images/3282192073/90016f14272ad33eeaf3a7ec12844cc2_normal.jpeg" TargetMode="External"/><Relationship Id="rId25179" Type="http://schemas.openxmlformats.org/officeDocument/2006/relationships/hyperlink" Target="https://pbs.twimg.com/profile_images/720623345029423104/TUxoNGEM_normal.jpg" TargetMode="External"/><Relationship Id="rId1756" Type="http://schemas.openxmlformats.org/officeDocument/2006/relationships/hyperlink" Target="https://twitter.com/AndrzejNowak/status/723055567929905152" TargetMode="External"/><Relationship Id="rId14170" Type="http://schemas.openxmlformats.org/officeDocument/2006/relationships/hyperlink" Target="https://twitter.com/Scirocco_Tuning/status/723566987759239168" TargetMode="External"/><Relationship Id="rId19842" Type="http://schemas.openxmlformats.org/officeDocument/2006/relationships/hyperlink" Target="https://twitter.com/BerniWan" TargetMode="External"/><Relationship Id="rId1409" Type="http://schemas.openxmlformats.org/officeDocument/2006/relationships/hyperlink" Target="https://twitter.com/BerndZiesemer" TargetMode="External"/><Relationship Id="rId4979" Type="http://schemas.openxmlformats.org/officeDocument/2006/relationships/hyperlink" Target="https://twitter.com/nealboudette" TargetMode="External"/><Relationship Id="rId9901" Type="http://schemas.openxmlformats.org/officeDocument/2006/relationships/hyperlink" Target="https://twitter.com/norbertruecker/status/723453694981734400" TargetMode="External"/><Relationship Id="rId10780" Type="http://schemas.openxmlformats.org/officeDocument/2006/relationships/hyperlink" Target="https://pbs.twimg.com/profile_images/694200752730959872/s5I5Qqus_normal.jpg" TargetMode="External"/><Relationship Id="rId17393" Type="http://schemas.openxmlformats.org/officeDocument/2006/relationships/hyperlink" Target="https://twitter.com/MarcelSigner/status/723796270163304448" TargetMode="External"/><Relationship Id="rId21789" Type="http://schemas.openxmlformats.org/officeDocument/2006/relationships/hyperlink" Target="https://pbs.twimg.com/profile_images/718835727027580928/1ssyQ67y_normal.jpg" TargetMode="External"/><Relationship Id="rId7452" Type="http://schemas.openxmlformats.org/officeDocument/2006/relationships/hyperlink" Target="https://twitter.com/Hoytiboit/status/723304621821812741" TargetMode="External"/><Relationship Id="rId10433" Type="http://schemas.openxmlformats.org/officeDocument/2006/relationships/hyperlink" Target="https://pbs.twimg.com/profile_images/692263572710252545/oFwlaEUn_normal.jpg" TargetMode="External"/><Relationship Id="rId17046" Type="http://schemas.openxmlformats.org/officeDocument/2006/relationships/hyperlink" Target="https://twitter.com/roansub" TargetMode="External"/><Relationship Id="rId24262" Type="http://schemas.openxmlformats.org/officeDocument/2006/relationships/hyperlink" Target="https://twitter.com/VWBeetleSales" TargetMode="External"/><Relationship Id="rId7105" Type="http://schemas.openxmlformats.org/officeDocument/2006/relationships/hyperlink" Target="https://twitter.com/Blerrk/status/723278590670974976" TargetMode="External"/><Relationship Id="rId13656" Type="http://schemas.openxmlformats.org/officeDocument/2006/relationships/hyperlink" Target="https://pbs.twimg.com/profile_images/722939606061158402/0mK_jA0z_normal.jpg" TargetMode="External"/><Relationship Id="rId20872" Type="http://schemas.openxmlformats.org/officeDocument/2006/relationships/hyperlink" Target="https://twitter.com/giulianoctf" TargetMode="External"/><Relationship Id="rId1266" Type="http://schemas.openxmlformats.org/officeDocument/2006/relationships/hyperlink" Target="https://twitter.com/wiwo/status/723029421100163073" TargetMode="External"/><Relationship Id="rId3715" Type="http://schemas.openxmlformats.org/officeDocument/2006/relationships/hyperlink" Target="https://pbs.twimg.com/profile_images/706784695795769345/XGXgdjww_normal.jpg" TargetMode="External"/><Relationship Id="rId13309" Type="http://schemas.openxmlformats.org/officeDocument/2006/relationships/hyperlink" Target="https://pbs.twimg.com/profile_images/718820712757215233/LXXndPTS_normal.jpg" TargetMode="External"/><Relationship Id="rId16879" Type="http://schemas.openxmlformats.org/officeDocument/2006/relationships/hyperlink" Target="https://twitter.com/VWBeetleSales/status/723743983797575683" TargetMode="External"/><Relationship Id="rId20525" Type="http://schemas.openxmlformats.org/officeDocument/2006/relationships/hyperlink" Target="https://twitter.com/uaslansoy" TargetMode="External"/><Relationship Id="rId6938" Type="http://schemas.openxmlformats.org/officeDocument/2006/relationships/hyperlink" Target="https://twitter.com/ttsls/status/723270583442661379" TargetMode="External"/><Relationship Id="rId19352" Type="http://schemas.openxmlformats.org/officeDocument/2006/relationships/hyperlink" Target="https://twitter.com/VWBeetleSales/status/723927307325296640" TargetMode="External"/><Relationship Id="rId23748" Type="http://schemas.openxmlformats.org/officeDocument/2006/relationships/hyperlink" Target="https://twitter.com/suplitas/status/724308347294486528" TargetMode="External"/><Relationship Id="rId4489" Type="http://schemas.openxmlformats.org/officeDocument/2006/relationships/hyperlink" Target="https://twitter.com/CTLawTribune/status/723181804727996417" TargetMode="External"/><Relationship Id="rId9411" Type="http://schemas.openxmlformats.org/officeDocument/2006/relationships/hyperlink" Target="https://pbs.twimg.com/profile_images/673840837118177280/Fb0hOqos_normal.jpg" TargetMode="External"/><Relationship Id="rId10290" Type="http://schemas.openxmlformats.org/officeDocument/2006/relationships/hyperlink" Target="https://twitter.com/VolkswagenPost/status/723468616360816641" TargetMode="External"/><Relationship Id="rId15962" Type="http://schemas.openxmlformats.org/officeDocument/2006/relationships/hyperlink" Target="https://twitter.com/AgustinArias0/status/723639673881550851" TargetMode="External"/><Relationship Id="rId19005" Type="http://schemas.openxmlformats.org/officeDocument/2006/relationships/hyperlink" Target="https://twitter.com/CastleCoastCamp" TargetMode="External"/><Relationship Id="rId21299" Type="http://schemas.openxmlformats.org/officeDocument/2006/relationships/hyperlink" Target="https://twitter.com/cultuurgeek" TargetMode="External"/><Relationship Id="rId15615" Type="http://schemas.openxmlformats.org/officeDocument/2006/relationships/hyperlink" Target="https://twitter.com/NeedTechs" TargetMode="External"/><Relationship Id="rId22831" Type="http://schemas.openxmlformats.org/officeDocument/2006/relationships/hyperlink" Target="https://twitter.com/weare_van" TargetMode="External"/><Relationship Id="rId3572" Type="http://schemas.openxmlformats.org/officeDocument/2006/relationships/hyperlink" Target="https://twitter.com/VWBeetleSales" TargetMode="External"/><Relationship Id="rId13166" Type="http://schemas.openxmlformats.org/officeDocument/2006/relationships/hyperlink" Target="https://twitter.com/davideghilotti/status/723537274894430209" TargetMode="External"/><Relationship Id="rId20382" Type="http://schemas.openxmlformats.org/officeDocument/2006/relationships/hyperlink" Target="https://pbs.twimg.com/profile_images/564679346342723585/ssVaGFed_normal.jpeg" TargetMode="External"/><Relationship Id="rId3225" Type="http://schemas.openxmlformats.org/officeDocument/2006/relationships/hyperlink" Target="https://pbs.twimg.com/profile_images/717909170180263939/Srf5v8iP_normal.jpg" TargetMode="External"/><Relationship Id="rId6795" Type="http://schemas.openxmlformats.org/officeDocument/2006/relationships/hyperlink" Target="https://twitter.com/VWCamperSales/status/723260806696042496" TargetMode="External"/><Relationship Id="rId16389" Type="http://schemas.openxmlformats.org/officeDocument/2006/relationships/hyperlink" Target="https://pbs.twimg.com/profile_images/711179363203452929/T5u2PPJQ_normal.jpg" TargetMode="External"/><Relationship Id="rId18838" Type="http://schemas.openxmlformats.org/officeDocument/2006/relationships/hyperlink" Target="https://twitter.com/johnmac17" TargetMode="External"/><Relationship Id="rId20035" Type="http://schemas.openxmlformats.org/officeDocument/2006/relationships/hyperlink" Target="https://twitter.com/Metalingus_RS" TargetMode="External"/><Relationship Id="rId6448" Type="http://schemas.openxmlformats.org/officeDocument/2006/relationships/hyperlink" Target="https://pbs.twimg.com/profile_images/703294545195307008/qeCvrX86_normal.jpg" TargetMode="External"/><Relationship Id="rId23258" Type="http://schemas.openxmlformats.org/officeDocument/2006/relationships/hyperlink" Target="http://ctrlq.org/maps/address/" TargetMode="External"/><Relationship Id="rId25707" Type="http://schemas.openxmlformats.org/officeDocument/2006/relationships/hyperlink" Target="https://twitter.com/hashtagvanlife" TargetMode="External"/><Relationship Id="rId12999" Type="http://schemas.openxmlformats.org/officeDocument/2006/relationships/hyperlink" Target="https://pbs.twimg.com/profile_images/643587696468824064/xYzX8GUg_normal.jpg" TargetMode="External"/><Relationship Id="rId17921" Type="http://schemas.openxmlformats.org/officeDocument/2006/relationships/hyperlink" Target="https://twitter.com/VWBeetleSales" TargetMode="External"/><Relationship Id="rId15472" Type="http://schemas.openxmlformats.org/officeDocument/2006/relationships/hyperlink" Target="https://twitter.com/Scirocco_Tuning/status/723608436819238912" TargetMode="External"/><Relationship Id="rId5531" Type="http://schemas.openxmlformats.org/officeDocument/2006/relationships/hyperlink" Target="https://twitter.com/carshionshow/status/723206932648067072" TargetMode="External"/><Relationship Id="rId15125" Type="http://schemas.openxmlformats.org/officeDocument/2006/relationships/hyperlink" Target="https://twitter.com/VolkswagenCasey/status/723594947346219008" TargetMode="External"/><Relationship Id="rId18695" Type="http://schemas.openxmlformats.org/officeDocument/2006/relationships/hyperlink" Target="https://pbs.twimg.com/profile_images/522805756736057344/m7B0nHpz_normal.jpeg" TargetMode="External"/><Relationship Id="rId22341" Type="http://schemas.openxmlformats.org/officeDocument/2006/relationships/hyperlink" Target="https://twitter.com/OnlineCarReview/status/724217240380276736" TargetMode="External"/><Relationship Id="rId3082" Type="http://schemas.openxmlformats.org/officeDocument/2006/relationships/hyperlink" Target="https://pbs.twimg.com/profile_images/627949001179037696/skEBkS05_normal.jpg" TargetMode="External"/><Relationship Id="rId8754" Type="http://schemas.openxmlformats.org/officeDocument/2006/relationships/hyperlink" Target="https://twitter.com/pixilla/status/723404705146097666" TargetMode="External"/><Relationship Id="rId18348" Type="http://schemas.openxmlformats.org/officeDocument/2006/relationships/hyperlink" Target="https://twitter.com/vwdepo/status/723864988226596864" TargetMode="External"/><Relationship Id="rId25564" Type="http://schemas.openxmlformats.org/officeDocument/2006/relationships/hyperlink" Target="https://pbs.twimg.com/profile_images/530071272881803264/a_jcCmPZ_normal.png" TargetMode="External"/><Relationship Id="rId8407" Type="http://schemas.openxmlformats.org/officeDocument/2006/relationships/hyperlink" Target="https://twitter.com/VWsightings" TargetMode="External"/><Relationship Id="rId11735" Type="http://schemas.openxmlformats.org/officeDocument/2006/relationships/hyperlink" Target="https://twitter.com/ihoelt" TargetMode="External"/><Relationship Id="rId25217" Type="http://schemas.openxmlformats.org/officeDocument/2006/relationships/hyperlink" Target="https://pbs.twimg.com/profile_images/1308524846/IMG_0316_normal.PNG" TargetMode="External"/><Relationship Id="rId14958" Type="http://schemas.openxmlformats.org/officeDocument/2006/relationships/hyperlink" Target="https://twitter.com/EzeeHerman/status/723587947727966208" TargetMode="External"/><Relationship Id="rId17431" Type="http://schemas.openxmlformats.org/officeDocument/2006/relationships/hyperlink" Target="https://twitter.com/Viro_31" TargetMode="External"/><Relationship Id="rId21827" Type="http://schemas.openxmlformats.org/officeDocument/2006/relationships/hyperlink" Target="https://pbs.twimg.com/profile_images/468794367109378048/Rq9VlgQw_normal.png" TargetMode="External"/><Relationship Id="rId887" Type="http://schemas.openxmlformats.org/officeDocument/2006/relationships/hyperlink" Target="https://twitter.com/_SJIII" TargetMode="External"/><Relationship Id="rId2568" Type="http://schemas.openxmlformats.org/officeDocument/2006/relationships/hyperlink" Target="https://twitter.com/snn_aslan/status/723105843747651584" TargetMode="External"/><Relationship Id="rId5041" Type="http://schemas.openxmlformats.org/officeDocument/2006/relationships/hyperlink" Target="https://twitter.com/balleyreesee/status/723192817623945216" TargetMode="External"/><Relationship Id="rId24300" Type="http://schemas.openxmlformats.org/officeDocument/2006/relationships/hyperlink" Target="https://twitter.com/VistaVW/status/724346048181768192" TargetMode="External"/><Relationship Id="rId11592" Type="http://schemas.openxmlformats.org/officeDocument/2006/relationships/hyperlink" Target="https://pbs.twimg.com/profile_images/529226389971427328/R4qUNsga_normal.jpeg" TargetMode="External"/><Relationship Id="rId20910" Type="http://schemas.openxmlformats.org/officeDocument/2006/relationships/hyperlink" Target="https://twitter.com/oldcar_photo/status/724062402032095232" TargetMode="External"/><Relationship Id="rId1651" Type="http://schemas.openxmlformats.org/officeDocument/2006/relationships/hyperlink" Target="https://pbs.twimg.com/profile_images/678698246538047488/E18o9a3f_normal.jpg" TargetMode="External"/><Relationship Id="rId8264" Type="http://schemas.openxmlformats.org/officeDocument/2006/relationships/hyperlink" Target="https://pbs.twimg.com/profile_images/712503747390357505/ahoLZWEu_normal.jpg" TargetMode="External"/><Relationship Id="rId11245" Type="http://schemas.openxmlformats.org/officeDocument/2006/relationships/hyperlink" Target="https://pbs.twimg.com/profile_images/638234913771290624/QK4MVvJS_normal.jpg" TargetMode="External"/><Relationship Id="rId25074" Type="http://schemas.openxmlformats.org/officeDocument/2006/relationships/hyperlink" Target="https://twitter.com/oldcar_photo/status/724417243711438848" TargetMode="External"/><Relationship Id="rId1304" Type="http://schemas.openxmlformats.org/officeDocument/2006/relationships/hyperlink" Target="https://twitter.com/raulubian/status/723033365302091776" TargetMode="External"/><Relationship Id="rId4874" Type="http://schemas.openxmlformats.org/officeDocument/2006/relationships/hyperlink" Target="https://twitter.com/abeeson20" TargetMode="External"/><Relationship Id="rId14468" Type="http://schemas.openxmlformats.org/officeDocument/2006/relationships/hyperlink" Target="https://pbs.twimg.com/profile_images/2261219336/portada_normal.jpg" TargetMode="External"/><Relationship Id="rId16917" Type="http://schemas.openxmlformats.org/officeDocument/2006/relationships/hyperlink" Target="https://pbs.twimg.com/profile_images/723158848173912064/b1FMMt6k_normal.jpg" TargetMode="External"/><Relationship Id="rId21684" Type="http://schemas.openxmlformats.org/officeDocument/2006/relationships/hyperlink" Target="https://pbs.twimg.com/profile_images/424893967197433858/iQ86NktX_normal.jpeg" TargetMode="External"/><Relationship Id="rId4527" Type="http://schemas.openxmlformats.org/officeDocument/2006/relationships/hyperlink" Target="https://twitter.com/Tonelli22" TargetMode="External"/><Relationship Id="rId21337" Type="http://schemas.openxmlformats.org/officeDocument/2006/relationships/hyperlink" Target="https://pbs.twimg.com/profile_images/430364935202164736/BE53SBuw_normal.jpeg" TargetMode="External"/><Relationship Id="rId10" Type="http://schemas.openxmlformats.org/officeDocument/2006/relationships/hyperlink" Target="https://twitter.com/mk1GolfForSale" TargetMode="External"/><Relationship Id="rId397" Type="http://schemas.openxmlformats.org/officeDocument/2006/relationships/hyperlink" Target="https://pbs.twimg.com/profile_images/720319573199704064/ZSlLVbVZ_normal.jpg" TargetMode="External"/><Relationship Id="rId2078" Type="http://schemas.openxmlformats.org/officeDocument/2006/relationships/hyperlink" Target="http://dlvr.it/" TargetMode="External"/><Relationship Id="rId7000" Type="http://schemas.openxmlformats.org/officeDocument/2006/relationships/hyperlink" Target="https://twitter.com/FredChristian10" TargetMode="External"/><Relationship Id="rId13551" Type="http://schemas.openxmlformats.org/officeDocument/2006/relationships/hyperlink" Target="https://twitter.com/gutbranson" TargetMode="External"/><Relationship Id="rId3610" Type="http://schemas.openxmlformats.org/officeDocument/2006/relationships/hyperlink" Target="http://ctrlq.org/maps/address/" TargetMode="External"/><Relationship Id="rId13204" Type="http://schemas.openxmlformats.org/officeDocument/2006/relationships/hyperlink" Target="https://twitter.com/andrejfnovak/status/723539001701982208" TargetMode="External"/><Relationship Id="rId16774" Type="http://schemas.openxmlformats.org/officeDocument/2006/relationships/hyperlink" Target="http://dlvr.it/" TargetMode="External"/><Relationship Id="rId20420" Type="http://schemas.openxmlformats.org/officeDocument/2006/relationships/hyperlink" Target="https://twitter.com/dubbusses/status/723997766159065088" TargetMode="External"/><Relationship Id="rId23990" Type="http://schemas.openxmlformats.org/officeDocument/2006/relationships/hyperlink" Target="https://pbs.twimg.com/profile_images/599357023407464449/BL9Bpo6T_normal.jpg" TargetMode="External"/><Relationship Id="rId1161" Type="http://schemas.openxmlformats.org/officeDocument/2006/relationships/hyperlink" Target="https://twitter.com/westfalenblatt" TargetMode="External"/><Relationship Id="rId6833" Type="http://schemas.openxmlformats.org/officeDocument/2006/relationships/hyperlink" Target="https://twitter.com/PremiersoundsAV" TargetMode="External"/><Relationship Id="rId16427" Type="http://schemas.openxmlformats.org/officeDocument/2006/relationships/hyperlink" Target="https://twitter.com/oldcar_photo/status/723683180134412288" TargetMode="External"/><Relationship Id="rId23643" Type="http://schemas.openxmlformats.org/officeDocument/2006/relationships/hyperlink" Target="https://twitter.com/clubVAGVzla/status/724302701555798020" TargetMode="External"/><Relationship Id="rId4384" Type="http://schemas.openxmlformats.org/officeDocument/2006/relationships/hyperlink" Target="https://twitter.com/selmissary" TargetMode="External"/><Relationship Id="rId19997" Type="http://schemas.openxmlformats.org/officeDocument/2006/relationships/hyperlink" Target="https://twitter.com/nachofermanelli" TargetMode="External"/><Relationship Id="rId21194" Type="http://schemas.openxmlformats.org/officeDocument/2006/relationships/hyperlink" Target="https://twitter.com/Fabiola_LagosM/status/724121431701917696" TargetMode="External"/><Relationship Id="rId4037" Type="http://schemas.openxmlformats.org/officeDocument/2006/relationships/hyperlink" Target="https://twitter.com/DonohooAuto/status/723175080574898177" TargetMode="External"/><Relationship Id="rId9709" Type="http://schemas.openxmlformats.org/officeDocument/2006/relationships/hyperlink" Target="https://pbs.twimg.com/profile_images/596178888184582144/fgYrc3ld_normal.jpg" TargetMode="External"/><Relationship Id="rId10588" Type="http://schemas.openxmlformats.org/officeDocument/2006/relationships/hyperlink" Target="https://twitter.com/JenniPii/status/723477710484439041" TargetMode="External"/><Relationship Id="rId15510" Type="http://schemas.openxmlformats.org/officeDocument/2006/relationships/hyperlink" Target="https://twitter.com/konni1068" TargetMode="External"/><Relationship Id="rId3120" Type="http://schemas.openxmlformats.org/officeDocument/2006/relationships/hyperlink" Target="https://twitter.com/dhenneton" TargetMode="External"/><Relationship Id="rId13061" Type="http://schemas.openxmlformats.org/officeDocument/2006/relationships/hyperlink" Target="https://twitter.com/stefanjoens/status/723534467206385665" TargetMode="External"/><Relationship Id="rId18733" Type="http://schemas.openxmlformats.org/officeDocument/2006/relationships/hyperlink" Target="https://pbs.twimg.com/profile_images/703731714225512448/L6xzIxC6_normal.jpg" TargetMode="External"/><Relationship Id="rId6690" Type="http://schemas.openxmlformats.org/officeDocument/2006/relationships/hyperlink" Target="https://twitter.com/olb_b/status/723252777774923777" TargetMode="External"/><Relationship Id="rId16284" Type="http://schemas.openxmlformats.org/officeDocument/2006/relationships/hyperlink" Target="https://pbs.twimg.com/profile_images/653969613936533504/Yb9hq4mK_normal.jpg" TargetMode="External"/><Relationship Id="rId25602" Type="http://schemas.openxmlformats.org/officeDocument/2006/relationships/hyperlink" Target="https://twitter.com/DubLuvTuning/status/724451032042995712" TargetMode="External"/><Relationship Id="rId6343" Type="http://schemas.openxmlformats.org/officeDocument/2006/relationships/hyperlink" Target="https://twitter.com/MCV1811" TargetMode="External"/><Relationship Id="rId23153" Type="http://schemas.openxmlformats.org/officeDocument/2006/relationships/hyperlink" Target="http://dlvr.it/" TargetMode="External"/><Relationship Id="rId2953" Type="http://schemas.openxmlformats.org/officeDocument/2006/relationships/hyperlink" Target="https://twitter.com/billingspg/status/723128145004642304" TargetMode="External"/><Relationship Id="rId9566" Type="http://schemas.openxmlformats.org/officeDocument/2006/relationships/hyperlink" Target="https://twitter.com/VolkswagenPost" TargetMode="External"/><Relationship Id="rId12547" Type="http://schemas.openxmlformats.org/officeDocument/2006/relationships/hyperlink" Target="https://pbs.twimg.com/profile_images/3272805912/cc8e643d4da4f63d27bc817e690d7d74_normal.jpeg" TargetMode="External"/><Relationship Id="rId12894" Type="http://schemas.openxmlformats.org/officeDocument/2006/relationships/hyperlink" Target="https://twitter.com/DL1EEC/status/723530810410840064" TargetMode="External"/><Relationship Id="rId925" Type="http://schemas.openxmlformats.org/officeDocument/2006/relationships/hyperlink" Target="https://pbs.twimg.com/profile_images/722783750057164801/9lN6tKFA_normal.jpg" TargetMode="External"/><Relationship Id="rId2606" Type="http://schemas.openxmlformats.org/officeDocument/2006/relationships/hyperlink" Target="https://pbs.twimg.com/profile_images/627949001179037696/skEBkS05_normal.jpg" TargetMode="External"/><Relationship Id="rId9219" Type="http://schemas.openxmlformats.org/officeDocument/2006/relationships/hyperlink" Target="https://twitter.com/woutervh1987" TargetMode="External"/><Relationship Id="rId10098" Type="http://schemas.openxmlformats.org/officeDocument/2006/relationships/hyperlink" Target="https://twitter.com/supreuss/status/723462445495365633" TargetMode="External"/><Relationship Id="rId15020" Type="http://schemas.openxmlformats.org/officeDocument/2006/relationships/hyperlink" Target="https://twitter.com/VWBeetleSales/status/723590209535795200" TargetMode="External"/><Relationship Id="rId18590" Type="http://schemas.openxmlformats.org/officeDocument/2006/relationships/hyperlink" Target="https://twitter.com/OnlineCarReview/status/723882199070580738" TargetMode="External"/><Relationship Id="rId22986" Type="http://schemas.openxmlformats.org/officeDocument/2006/relationships/hyperlink" Target="https://twitter.com/arasmusKTVU/status/724262922411593728" TargetMode="External"/><Relationship Id="rId5829" Type="http://schemas.openxmlformats.org/officeDocument/2006/relationships/hyperlink" Target="https://pbs.twimg.com/profile_images/627949001179037696/skEBkS05_normal.jpg" TargetMode="External"/><Relationship Id="rId11630" Type="http://schemas.openxmlformats.org/officeDocument/2006/relationships/hyperlink" Target="https://twitter.com/BBoason" TargetMode="External"/><Relationship Id="rId18243" Type="http://schemas.openxmlformats.org/officeDocument/2006/relationships/hyperlink" Target="https://twitter.com/KinsaleOnline/status/723854292822687745" TargetMode="External"/><Relationship Id="rId22639" Type="http://schemas.openxmlformats.org/officeDocument/2006/relationships/hyperlink" Target="https://twitter.com/napletonvolksu1" TargetMode="External"/><Relationship Id="rId8302" Type="http://schemas.openxmlformats.org/officeDocument/2006/relationships/hyperlink" Target="https://twitter.com/ivankoznar/status/723381801746464768" TargetMode="External"/><Relationship Id="rId14853" Type="http://schemas.openxmlformats.org/officeDocument/2006/relationships/hyperlink" Target="https://twitter.com/Way_Cool_" TargetMode="External"/><Relationship Id="rId25112" Type="http://schemas.openxmlformats.org/officeDocument/2006/relationships/hyperlink" Target="https://twitter.com/SaryAliLasheen/status/724420550131630080" TargetMode="External"/><Relationship Id="rId4912" Type="http://schemas.openxmlformats.org/officeDocument/2006/relationships/hyperlink" Target="https://twitter.com/AlexanderPiOne/status/723190196674674688" TargetMode="External"/><Relationship Id="rId14506" Type="http://schemas.openxmlformats.org/officeDocument/2006/relationships/hyperlink" Target="https://twitter.com/TodayBEToday/status/723575015522873344" TargetMode="External"/><Relationship Id="rId21722" Type="http://schemas.openxmlformats.org/officeDocument/2006/relationships/hyperlink" Target="https://pbs.twimg.com/profile_images/684090508617060353/pbrpCt9J_normal.jpg" TargetMode="External"/><Relationship Id="rId782" Type="http://schemas.openxmlformats.org/officeDocument/2006/relationships/hyperlink" Target="https://twitter.com/Rene03R" TargetMode="External"/><Relationship Id="rId2463" Type="http://schemas.openxmlformats.org/officeDocument/2006/relationships/hyperlink" Target="https://twitter.com/treibholzfilm/status/723102453890191360" TargetMode="External"/><Relationship Id="rId9076" Type="http://schemas.openxmlformats.org/officeDocument/2006/relationships/hyperlink" Target="https://twitter.com/ruv24_de" TargetMode="External"/><Relationship Id="rId12057" Type="http://schemas.openxmlformats.org/officeDocument/2006/relationships/hyperlink" Target="https://twitter.com/FAZ_NET" TargetMode="External"/><Relationship Id="rId435" Type="http://schemas.openxmlformats.org/officeDocument/2006/relationships/hyperlink" Target="https://twitter.com/Jeff_Molek16v/status/722958427274633216" TargetMode="External"/><Relationship Id="rId2116" Type="http://schemas.openxmlformats.org/officeDocument/2006/relationships/hyperlink" Target="https://twitter.com/laoluakanni" TargetMode="External"/><Relationship Id="rId5686" Type="http://schemas.openxmlformats.org/officeDocument/2006/relationships/hyperlink" Target="https://twitter.com/VWCamperSales" TargetMode="External"/><Relationship Id="rId17729" Type="http://schemas.openxmlformats.org/officeDocument/2006/relationships/hyperlink" Target="https://pbs.twimg.com/profile_images/708628572718686208/RDKaoPTR_normal.jpg" TargetMode="External"/><Relationship Id="rId22496" Type="http://schemas.openxmlformats.org/officeDocument/2006/relationships/hyperlink" Target="https://twitter.com/cherubimu/status/724226066869530624" TargetMode="External"/><Relationship Id="rId24945" Type="http://schemas.openxmlformats.org/officeDocument/2006/relationships/hyperlink" Target="https://twitter.com/smartaura" TargetMode="External"/><Relationship Id="rId5339" Type="http://schemas.openxmlformats.org/officeDocument/2006/relationships/hyperlink" Target="https://pbs.twimg.com/profile_images/543163066599219200/dUy-AYOX_normal.jpeg" TargetMode="External"/><Relationship Id="rId22149" Type="http://schemas.openxmlformats.org/officeDocument/2006/relationships/hyperlink" Target="https://twitter.com/RamyKhodeir/status/724204804969488385" TargetMode="External"/><Relationship Id="rId11140" Type="http://schemas.openxmlformats.org/officeDocument/2006/relationships/hyperlink" Target="https://pbs.twimg.com/profile_images/722036542416556034/a5ulwDIW_normal.jpg" TargetMode="External"/><Relationship Id="rId16812" Type="http://schemas.openxmlformats.org/officeDocument/2006/relationships/hyperlink" Target="https://twitter.com/webaraba" TargetMode="External"/><Relationship Id="rId1949" Type="http://schemas.openxmlformats.org/officeDocument/2006/relationships/hyperlink" Target="https://pbs.twimg.com/profile_images/477439590232358913/xbZaJ1Ms_normal.jpeg" TargetMode="External"/><Relationship Id="rId14363" Type="http://schemas.openxmlformats.org/officeDocument/2006/relationships/hyperlink" Target="https://pbs.twimg.com/profile_images/718820712757215233/LXXndPTS_normal.jpg" TargetMode="External"/><Relationship Id="rId292" Type="http://schemas.openxmlformats.org/officeDocument/2006/relationships/hyperlink" Target="https://twitter.com/sunpech" TargetMode="External"/><Relationship Id="rId4422" Type="http://schemas.openxmlformats.org/officeDocument/2006/relationships/hyperlink" Target="https://twitter.com/VWSouthtowne/status/723180649260015616" TargetMode="External"/><Relationship Id="rId7992" Type="http://schemas.openxmlformats.org/officeDocument/2006/relationships/hyperlink" Target="https://pbs.twimg.com/profile_images/717472604702052357/yTPUaVAZ_normal.jpg" TargetMode="External"/><Relationship Id="rId14016" Type="http://schemas.openxmlformats.org/officeDocument/2006/relationships/hyperlink" Target="https://twitter.com/Eepi9/status/723561637848985601" TargetMode="External"/><Relationship Id="rId17586" Type="http://schemas.openxmlformats.org/officeDocument/2006/relationships/hyperlink" Target="https://abs.twimg.com/sticky/default_profile_images/default_profile_1_normal.png" TargetMode="External"/><Relationship Id="rId21232" Type="http://schemas.openxmlformats.org/officeDocument/2006/relationships/hyperlink" Target="https://pbs.twimg.com/profile_images/573395717953224705/aSHONgO9_normal.jpeg" TargetMode="External"/><Relationship Id="rId7645" Type="http://schemas.openxmlformats.org/officeDocument/2006/relationships/hyperlink" Target="https://twitter.com/MoveRally/status/723321360538329088" TargetMode="External"/><Relationship Id="rId10973" Type="http://schemas.openxmlformats.org/officeDocument/2006/relationships/hyperlink" Target="https://pbs.twimg.com/profile_images/953096495/ISchnee_web_normal.jpg" TargetMode="External"/><Relationship Id="rId17239" Type="http://schemas.openxmlformats.org/officeDocument/2006/relationships/hyperlink" Target="https://pbs.twimg.com/profile_images/713830236673191948/umVQMit8_normal.jpg" TargetMode="External"/><Relationship Id="rId24455" Type="http://schemas.openxmlformats.org/officeDocument/2006/relationships/hyperlink" Target="https://pbs.twimg.com/profile_images/657419934218088448/ZjlPsCDs_normal.jpg" TargetMode="External"/><Relationship Id="rId5196" Type="http://schemas.openxmlformats.org/officeDocument/2006/relationships/hyperlink" Target="https://twitter.com/AilenNicolep" TargetMode="External"/><Relationship Id="rId10626" Type="http://schemas.openxmlformats.org/officeDocument/2006/relationships/hyperlink" Target="https://pbs.twimg.com/profile_images/647052084446150656/1FTvGXVr_normal.png" TargetMode="External"/><Relationship Id="rId24108" Type="http://schemas.openxmlformats.org/officeDocument/2006/relationships/hyperlink" Target="https://twitter.com/Amylovell11" TargetMode="External"/><Relationship Id="rId13849" Type="http://schemas.openxmlformats.org/officeDocument/2006/relationships/hyperlink" Target="https://twitter.com/DePieriSrl/status/723557503594823680" TargetMode="External"/><Relationship Id="rId1459" Type="http://schemas.openxmlformats.org/officeDocument/2006/relationships/hyperlink" Target="https://pbs.twimg.com/profile_images/717066737406124032/4zBNh17M_normal.jpg" TargetMode="External"/><Relationship Id="rId3908" Type="http://schemas.openxmlformats.org/officeDocument/2006/relationships/hyperlink" Target="https://pbs.twimg.com/profile_images/614472629311926272/COQFQX5q_normal.jpg" TargetMode="External"/><Relationship Id="rId16322" Type="http://schemas.openxmlformats.org/officeDocument/2006/relationships/hyperlink" Target="https://twitter.com/cosasdeautos/status/723669042775638017" TargetMode="External"/><Relationship Id="rId19892" Type="http://schemas.openxmlformats.org/officeDocument/2006/relationships/hyperlink" Target="https://twitter.com/esoto2605/status/723962855364632576" TargetMode="External"/><Relationship Id="rId20718" Type="http://schemas.openxmlformats.org/officeDocument/2006/relationships/hyperlink" Target="https://twitter.com/Insta_VWT/status/724032261780172800" TargetMode="External"/><Relationship Id="rId9951" Type="http://schemas.openxmlformats.org/officeDocument/2006/relationships/hyperlink" Target="https://twitter.com/MotorphiliacsTv" TargetMode="External"/><Relationship Id="rId12932" Type="http://schemas.openxmlformats.org/officeDocument/2006/relationships/hyperlink" Target="https://pbs.twimg.com/profile_images/705451161550245889/70Usq_cg_normal.jpg" TargetMode="External"/><Relationship Id="rId19545" Type="http://schemas.openxmlformats.org/officeDocument/2006/relationships/hyperlink" Target="https://twitter.com/VWsightings/status/723939476804919296" TargetMode="External"/><Relationship Id="rId9604" Type="http://schemas.openxmlformats.org/officeDocument/2006/relationships/hyperlink" Target="https://twitter.com/vwpress_en/status/723442536941932544" TargetMode="External"/><Relationship Id="rId10483" Type="http://schemas.openxmlformats.org/officeDocument/2006/relationships/hyperlink" Target="https://pbs.twimg.com/profile_images/447281889578323968/hqCNxI9e_normal.jpeg" TargetMode="External"/><Relationship Id="rId17096" Type="http://schemas.openxmlformats.org/officeDocument/2006/relationships/hyperlink" Target="https://twitter.com/lesrouescarrees" TargetMode="External"/><Relationship Id="rId7155" Type="http://schemas.openxmlformats.org/officeDocument/2006/relationships/hyperlink" Target="https://pbs.twimg.com/profile_images/700415860230397952/tCGmCj6M_normal.jpg" TargetMode="External"/><Relationship Id="rId10136" Type="http://schemas.openxmlformats.org/officeDocument/2006/relationships/hyperlink" Target="https://twitter.com/Federalnaba/status/723463821189361664" TargetMode="External"/><Relationship Id="rId3765" Type="http://schemas.openxmlformats.org/officeDocument/2006/relationships/hyperlink" Target="https://twitter.com/emilyrusch/status/723168915983986688" TargetMode="External"/><Relationship Id="rId13359" Type="http://schemas.openxmlformats.org/officeDocument/2006/relationships/hyperlink" Target="https://twitter.com/wildernesse/status/723544775161323520" TargetMode="External"/><Relationship Id="rId15808" Type="http://schemas.openxmlformats.org/officeDocument/2006/relationships/hyperlink" Target="https://pbs.twimg.com/profile_images/652871584131092480/QA_B6SBO_normal.jpg" TargetMode="External"/><Relationship Id="rId20575" Type="http://schemas.openxmlformats.org/officeDocument/2006/relationships/hyperlink" Target="https://pbs.twimg.com/profile_images/378800000589384483/5e524f341ec994421f4233f16f91bc6b_normal.jpeg" TargetMode="External"/><Relationship Id="rId3418" Type="http://schemas.openxmlformats.org/officeDocument/2006/relationships/hyperlink" Target="https://pbs.twimg.com/profile_images/690974305321005056/zlb2R_Vb_normal.jpg" TargetMode="External"/><Relationship Id="rId20228" Type="http://schemas.openxmlformats.org/officeDocument/2006/relationships/hyperlink" Target="https://twitter.com/tomdrechsler/status/723982778476421120" TargetMode="External"/><Relationship Id="rId6988" Type="http://schemas.openxmlformats.org/officeDocument/2006/relationships/hyperlink" Target="https://twitter.com/UniversityVW/status/723273919654973442" TargetMode="External"/><Relationship Id="rId9461" Type="http://schemas.openxmlformats.org/officeDocument/2006/relationships/hyperlink" Target="https://twitter.com/swanswaygroup/status/723436184123244544" TargetMode="External"/><Relationship Id="rId19055" Type="http://schemas.openxmlformats.org/officeDocument/2006/relationships/hyperlink" Target="https://twitter.com/j0edraper_" TargetMode="External"/><Relationship Id="rId23798" Type="http://schemas.openxmlformats.org/officeDocument/2006/relationships/hyperlink" Target="https://twitter.com/Vagowners" TargetMode="External"/><Relationship Id="rId9114" Type="http://schemas.openxmlformats.org/officeDocument/2006/relationships/hyperlink" Target="https://twitter.com/NegroAutomobili/status/723422105077862401" TargetMode="External"/><Relationship Id="rId12442" Type="http://schemas.openxmlformats.org/officeDocument/2006/relationships/hyperlink" Target="https://twitter.com/mokomokai" TargetMode="External"/><Relationship Id="rId820" Type="http://schemas.openxmlformats.org/officeDocument/2006/relationships/hyperlink" Target="https://twitter.com/StevenWeisbrot/status/722988054592557056" TargetMode="External"/><Relationship Id="rId2501" Type="http://schemas.openxmlformats.org/officeDocument/2006/relationships/hyperlink" Target="https://twitter.com/shergar777/status/723103316469755904" TargetMode="External"/><Relationship Id="rId15665" Type="http://schemas.openxmlformats.org/officeDocument/2006/relationships/hyperlink" Target="https://twitter.com/veselinarogova" TargetMode="External"/><Relationship Id="rId22881" Type="http://schemas.openxmlformats.org/officeDocument/2006/relationships/hyperlink" Target="https://twitter.com/beetlebug1938/status/724253979023138816" TargetMode="External"/><Relationship Id="rId5724" Type="http://schemas.openxmlformats.org/officeDocument/2006/relationships/hyperlink" Target="https://twitter.com/VolkswagenPost/status/723214209039749120" TargetMode="External"/><Relationship Id="rId15318" Type="http://schemas.openxmlformats.org/officeDocument/2006/relationships/hyperlink" Target="https://twitter.com/NorthWestDubs/status/723603411028054016" TargetMode="External"/><Relationship Id="rId18888" Type="http://schemas.openxmlformats.org/officeDocument/2006/relationships/hyperlink" Target="https://twitter.com/vagmenhq/status/723903727602675712" TargetMode="External"/><Relationship Id="rId22534" Type="http://schemas.openxmlformats.org/officeDocument/2006/relationships/hyperlink" Target="https://pbs.twimg.com/profile_images/3747860790/99e931940b0cf7de296cc59871742be6_normal.jpeg" TargetMode="External"/><Relationship Id="rId3275" Type="http://schemas.openxmlformats.org/officeDocument/2006/relationships/hyperlink" Target="https://twitter.com/VolkswagenPost" TargetMode="External"/><Relationship Id="rId8947" Type="http://schemas.openxmlformats.org/officeDocument/2006/relationships/hyperlink" Target="https://pbs.twimg.com/profile_images/1687848767/pete_050_normal.JPG" TargetMode="External"/><Relationship Id="rId20085" Type="http://schemas.openxmlformats.org/officeDocument/2006/relationships/hyperlink" Target="https://twitter.com/dirroed/status/723974859592732672" TargetMode="External"/><Relationship Id="rId25757" Type="http://schemas.openxmlformats.org/officeDocument/2006/relationships/hyperlink" Target="https://pbs.twimg.com/profile_images/682117656502222848/Ge7YeAF3_normal.png" TargetMode="External"/><Relationship Id="rId6498" Type="http://schemas.openxmlformats.org/officeDocument/2006/relationships/hyperlink" Target="https://twitter.com/TrouwbusTilburg" TargetMode="External"/><Relationship Id="rId11928" Type="http://schemas.openxmlformats.org/officeDocument/2006/relationships/hyperlink" Target="https://twitter.com/elianapeletay1/status/723510387874865152" TargetMode="External"/><Relationship Id="rId14401" Type="http://schemas.openxmlformats.org/officeDocument/2006/relationships/hyperlink" Target="https://twitter.com/craigm1001" TargetMode="External"/><Relationship Id="rId17971" Type="http://schemas.openxmlformats.org/officeDocument/2006/relationships/hyperlink" Target="https://twitter.com/krazykayjun/status/723838673867837440" TargetMode="External"/><Relationship Id="rId330" Type="http://schemas.openxmlformats.org/officeDocument/2006/relationships/hyperlink" Target="https://pbs.twimg.com/profile_images/667362007910252545/H-hDAB9b_normal.jpg" TargetMode="External"/><Relationship Id="rId2011" Type="http://schemas.openxmlformats.org/officeDocument/2006/relationships/hyperlink" Target="https://twitter.com/mj_palin/status/723075829312315393" TargetMode="External"/><Relationship Id="rId17624" Type="http://schemas.openxmlformats.org/officeDocument/2006/relationships/hyperlink" Target="https://twitter.com/KramerFerdinand/status/723811200727830529" TargetMode="External"/><Relationship Id="rId24840" Type="http://schemas.openxmlformats.org/officeDocument/2006/relationships/hyperlink" Target="https://pbs.twimg.com/profile_images/541525777461039104/tObHjndd_normal.jpeg" TargetMode="External"/><Relationship Id="rId5581" Type="http://schemas.openxmlformats.org/officeDocument/2006/relationships/hyperlink" Target="https://twitter.com/MansellMotoSPT" TargetMode="External"/><Relationship Id="rId15175" Type="http://schemas.openxmlformats.org/officeDocument/2006/relationships/hyperlink" Target="https://twitter.com/Philippe_Leviez" TargetMode="External"/><Relationship Id="rId22391" Type="http://schemas.openxmlformats.org/officeDocument/2006/relationships/hyperlink" Target="https://twitter.com/marytheluckyone/status/724221538275328000" TargetMode="External"/><Relationship Id="rId5234" Type="http://schemas.openxmlformats.org/officeDocument/2006/relationships/hyperlink" Target="https://twitter.com/OrchidBeautySp1" TargetMode="External"/><Relationship Id="rId11785" Type="http://schemas.openxmlformats.org/officeDocument/2006/relationships/hyperlink" Target="https://pbs.twimg.com/profile_images/706784695795769345/XGXgdjww_normal.jpg" TargetMode="External"/><Relationship Id="rId18398" Type="http://schemas.openxmlformats.org/officeDocument/2006/relationships/hyperlink" Target="https://pbs.twimg.com/profile_images/569800899141177344/nVFLMSdb_normal.png" TargetMode="External"/><Relationship Id="rId22044" Type="http://schemas.openxmlformats.org/officeDocument/2006/relationships/hyperlink" Target="https://pbs.twimg.com/profile_images/709288144391311361/vBXpPw30_normal.jpg" TargetMode="External"/><Relationship Id="rId1844" Type="http://schemas.openxmlformats.org/officeDocument/2006/relationships/hyperlink" Target="https://pbs.twimg.com/profile_images/507083916704899072/zhnuNlCn_normal.jpeg" TargetMode="External"/><Relationship Id="rId8457" Type="http://schemas.openxmlformats.org/officeDocument/2006/relationships/hyperlink" Target="https://twitter.com/brosefstalin53/status/723389369524977665" TargetMode="External"/><Relationship Id="rId11438" Type="http://schemas.openxmlformats.org/officeDocument/2006/relationships/hyperlink" Target="https://pbs.twimg.com/profile_images/714175065244434432/wbro3GNX_normal.jpg" TargetMode="External"/><Relationship Id="rId25267" Type="http://schemas.openxmlformats.org/officeDocument/2006/relationships/hyperlink" Target="https://twitter.com/VAGMotorsportSA" TargetMode="External"/><Relationship Id="rId19930" Type="http://schemas.openxmlformats.org/officeDocument/2006/relationships/hyperlink" Target="https://twitter.com/DanielKalan" TargetMode="External"/><Relationship Id="rId3669" Type="http://schemas.openxmlformats.org/officeDocument/2006/relationships/hyperlink" Target="https://twitter.com/hb_investigativ" TargetMode="External"/><Relationship Id="rId7540" Type="http://schemas.openxmlformats.org/officeDocument/2006/relationships/hyperlink" Target="https://twitter.com/WideAwakeMomma/status/723309512921255936" TargetMode="External"/><Relationship Id="rId16083" Type="http://schemas.openxmlformats.org/officeDocument/2006/relationships/hyperlink" Target="https://twitter.com/BaliBarber/status/723647821006647296" TargetMode="External"/><Relationship Id="rId17134" Type="http://schemas.openxmlformats.org/officeDocument/2006/relationships/hyperlink" Target="https://twitter.com/VWCamperSales/status/723771854968627200" TargetMode="External"/><Relationship Id="rId17481" Type="http://schemas.openxmlformats.org/officeDocument/2006/relationships/hyperlink" Target="https://pbs.twimg.com/profile_images/378800000159615863/10adc536d0a5bb77e166eb36bea24764_normal.jpeg" TargetMode="External"/><Relationship Id="rId18532" Type="http://schemas.openxmlformats.org/officeDocument/2006/relationships/hyperlink" Target="https://twitter.com/krazykayjun/status/723876056801792000" TargetMode="External"/><Relationship Id="rId20479" Type="http://schemas.openxmlformats.org/officeDocument/2006/relationships/hyperlink" Target="https://twitter.com/VeeDubMk1_/status/724002090436202496" TargetMode="External"/><Relationship Id="rId21877" Type="http://schemas.openxmlformats.org/officeDocument/2006/relationships/hyperlink" Target="https://twitter.com/VWCamperSales/status/724187057233387520" TargetMode="External"/><Relationship Id="rId22928" Type="http://schemas.openxmlformats.org/officeDocument/2006/relationships/hyperlink" Target="https://twitter.com/robb757/status/724258186006552576" TargetMode="External"/><Relationship Id="rId5091" Type="http://schemas.openxmlformats.org/officeDocument/2006/relationships/hyperlink" Target="https://twitter.com/chefreporterNRW" TargetMode="External"/><Relationship Id="rId6142" Type="http://schemas.openxmlformats.org/officeDocument/2006/relationships/hyperlink" Target="https://pbs.twimg.com/profile_images/378800000087091724/246a4ef41533208df0e5360519a477b9_normal.png" TargetMode="External"/><Relationship Id="rId10521" Type="http://schemas.openxmlformats.org/officeDocument/2006/relationships/hyperlink" Target="https://pbs.twimg.com/profile_images/597426402607128578/uzKBr6iQ_normal.jpg" TargetMode="External"/><Relationship Id="rId24003" Type="http://schemas.openxmlformats.org/officeDocument/2006/relationships/hyperlink" Target="https://twitter.com/VeeDubMk1_" TargetMode="External"/><Relationship Id="rId24350" Type="http://schemas.openxmlformats.org/officeDocument/2006/relationships/hyperlink" Target="https://twitter.com/FDP_Bottrop" TargetMode="External"/><Relationship Id="rId25401" Type="http://schemas.openxmlformats.org/officeDocument/2006/relationships/hyperlink" Target="https://twitter.com/nuestrotransito" TargetMode="External"/><Relationship Id="rId12693" Type="http://schemas.openxmlformats.org/officeDocument/2006/relationships/hyperlink" Target="https://twitter.com/carstech42160/status/723525330649100288" TargetMode="External"/><Relationship Id="rId13744" Type="http://schemas.openxmlformats.org/officeDocument/2006/relationships/hyperlink" Target="https://twitter.com/kevinjamaica111" TargetMode="External"/><Relationship Id="rId20960" Type="http://schemas.openxmlformats.org/officeDocument/2006/relationships/hyperlink" Target="https://twitter.com/dubbusses" TargetMode="External"/><Relationship Id="rId2752" Type="http://schemas.openxmlformats.org/officeDocument/2006/relationships/hyperlink" Target="https://twitter.com/phoenix_kom" TargetMode="External"/><Relationship Id="rId3803" Type="http://schemas.openxmlformats.org/officeDocument/2006/relationships/hyperlink" Target="https://twitter.com/Samusart" TargetMode="External"/><Relationship Id="rId9365" Type="http://schemas.openxmlformats.org/officeDocument/2006/relationships/hyperlink" Target="https://twitter.com/Kabam1Petra/status/723432307797856257" TargetMode="External"/><Relationship Id="rId11295" Type="http://schemas.openxmlformats.org/officeDocument/2006/relationships/hyperlink" Target="https://twitter.com/VWofLaurel" TargetMode="External"/><Relationship Id="rId12346" Type="http://schemas.openxmlformats.org/officeDocument/2006/relationships/hyperlink" Target="https://pbs.twimg.com/profile_images/378800000572104796/1de43e1cf23efb3f4101c02afad0d3b6_normal.png" TargetMode="External"/><Relationship Id="rId16967" Type="http://schemas.openxmlformats.org/officeDocument/2006/relationships/hyperlink" Target="https://twitter.com/katrinhilger/status/723759658972909569" TargetMode="External"/><Relationship Id="rId20613" Type="http://schemas.openxmlformats.org/officeDocument/2006/relationships/hyperlink" Target="https://pbs.twimg.com/profile_images/2876381310/bf84fa6dd2da0ef35fb35b74bbf797ce_normal.jpeg" TargetMode="External"/><Relationship Id="rId724" Type="http://schemas.openxmlformats.org/officeDocument/2006/relationships/hyperlink" Target="https://twitter.com/DJdsnapz" TargetMode="External"/><Relationship Id="rId1354" Type="http://schemas.openxmlformats.org/officeDocument/2006/relationships/hyperlink" Target="https://pbs.twimg.com/profile_images/422164778639839234/LVnS1q1c_normal.jpeg" TargetMode="External"/><Relationship Id="rId2405" Type="http://schemas.openxmlformats.org/officeDocument/2006/relationships/hyperlink" Target="https://twitter.com/VWBeetleSales/status/723099742683590656" TargetMode="External"/><Relationship Id="rId5975" Type="http://schemas.openxmlformats.org/officeDocument/2006/relationships/hyperlink" Target="https://twitter.com/VWBeetleSales" TargetMode="External"/><Relationship Id="rId9018" Type="http://schemas.openxmlformats.org/officeDocument/2006/relationships/hyperlink" Target="https://twitter.com/Hostyourparty/status/723417064321376256" TargetMode="External"/><Relationship Id="rId15569" Type="http://schemas.openxmlformats.org/officeDocument/2006/relationships/hyperlink" Target="https://twitter.com/herrenloserHund/status/723614099683348483" TargetMode="External"/><Relationship Id="rId19440" Type="http://schemas.openxmlformats.org/officeDocument/2006/relationships/hyperlink" Target="https://twitter.com/BrightonVW" TargetMode="External"/><Relationship Id="rId22785" Type="http://schemas.openxmlformats.org/officeDocument/2006/relationships/hyperlink" Target="http://dlvr.it/" TargetMode="External"/><Relationship Id="rId23836" Type="http://schemas.openxmlformats.org/officeDocument/2006/relationships/hyperlink" Target="https://twitter.com/Insta_VWT/status/724314639916523520" TargetMode="External"/><Relationship Id="rId60" Type="http://schemas.openxmlformats.org/officeDocument/2006/relationships/hyperlink" Target="https://pbs.twimg.com/profile_images/702146561287917568/9enKzseK_normal.jpg" TargetMode="External"/><Relationship Id="rId1007" Type="http://schemas.openxmlformats.org/officeDocument/2006/relationships/hyperlink" Target="https://twitter.com/webaraba/status/723012019314630656" TargetMode="External"/><Relationship Id="rId4577" Type="http://schemas.openxmlformats.org/officeDocument/2006/relationships/hyperlink" Target="https://pbs.twimg.com/profile_images/722256787009859584/vkuTNBGF_normal.jpg" TargetMode="External"/><Relationship Id="rId5628" Type="http://schemas.openxmlformats.org/officeDocument/2006/relationships/hyperlink" Target="http://dlvr.it/" TargetMode="External"/><Relationship Id="rId18042" Type="http://schemas.openxmlformats.org/officeDocument/2006/relationships/hyperlink" Target="https://twitter.com/FuscaWorld/status/723843387892338689" TargetMode="External"/><Relationship Id="rId21387" Type="http://schemas.openxmlformats.org/officeDocument/2006/relationships/hyperlink" Target="https://twitter.com/RSTOKAR/status/724146325655289856" TargetMode="External"/><Relationship Id="rId22438" Type="http://schemas.openxmlformats.org/officeDocument/2006/relationships/hyperlink" Target="https://pbs.twimg.com/profile_images/718820712757215233/LXXndPTS_normal.jpg" TargetMode="External"/><Relationship Id="rId3179" Type="http://schemas.openxmlformats.org/officeDocument/2006/relationships/hyperlink" Target="https://twitter.com/FAZ_Wirtschaft" TargetMode="External"/><Relationship Id="rId7050" Type="http://schemas.openxmlformats.org/officeDocument/2006/relationships/hyperlink" Target="https://pbs.twimg.com/profile_images/1625824638/1dfsf2_normal.jpg" TargetMode="External"/><Relationship Id="rId8101" Type="http://schemas.openxmlformats.org/officeDocument/2006/relationships/hyperlink" Target="https://pbs.twimg.com/profile_images/702663641217118208/j32ju3np_normal.jpg" TargetMode="External"/><Relationship Id="rId10031" Type="http://schemas.openxmlformats.org/officeDocument/2006/relationships/hyperlink" Target="https://twitter.com/DeLausert/status/723458773495472128" TargetMode="External"/><Relationship Id="rId14652" Type="http://schemas.openxmlformats.org/officeDocument/2006/relationships/hyperlink" Target="https://twitter.com/suzzie20202020" TargetMode="External"/><Relationship Id="rId15703" Type="http://schemas.openxmlformats.org/officeDocument/2006/relationships/hyperlink" Target="https://twitter.com/dom_pallett/status/723621132260225026" TargetMode="External"/><Relationship Id="rId581" Type="http://schemas.openxmlformats.org/officeDocument/2006/relationships/hyperlink" Target="https://pbs.twimg.com/profile_images/318679564/ghcj-logo-lg_normal.png" TargetMode="External"/><Relationship Id="rId2262" Type="http://schemas.openxmlformats.org/officeDocument/2006/relationships/hyperlink" Target="https://pbs.twimg.com/profile_images/636822179775148032/1WKFZxO8_normal.png" TargetMode="External"/><Relationship Id="rId3660" Type="http://schemas.openxmlformats.org/officeDocument/2006/relationships/hyperlink" Target="https://twitter.com/ratemycamper" TargetMode="External"/><Relationship Id="rId4711" Type="http://schemas.openxmlformats.org/officeDocument/2006/relationships/hyperlink" Target="https://twitter.com/ArtistOfKouroo/status/723186016899702784" TargetMode="External"/><Relationship Id="rId13254" Type="http://schemas.openxmlformats.org/officeDocument/2006/relationships/hyperlink" Target="https://pbs.twimg.com/profile_images/685173983575207936/F1JJO_rx_normal.jpg" TargetMode="External"/><Relationship Id="rId14305" Type="http://schemas.openxmlformats.org/officeDocument/2006/relationships/hyperlink" Target="https://pbs.twimg.com/profile_images/615906809816023040/r5wXkKcl_normal.jpg" TargetMode="External"/><Relationship Id="rId17875" Type="http://schemas.openxmlformats.org/officeDocument/2006/relationships/hyperlink" Target="https://twitter.com/AutoExpress" TargetMode="External"/><Relationship Id="rId18926" Type="http://schemas.openxmlformats.org/officeDocument/2006/relationships/hyperlink" Target="https://twitter.com/alex32stepanov/status/723906231966916608" TargetMode="External"/><Relationship Id="rId20470" Type="http://schemas.openxmlformats.org/officeDocument/2006/relationships/hyperlink" Target="https://twitter.com/Karlomart/status/724001917140111361" TargetMode="External"/><Relationship Id="rId21521" Type="http://schemas.openxmlformats.org/officeDocument/2006/relationships/hyperlink" Target="https://twitter.com/pizzapickupltd/status/724155007419953153" TargetMode="External"/><Relationship Id="rId234" Type="http://schemas.openxmlformats.org/officeDocument/2006/relationships/hyperlink" Target="https://pbs.twimg.com/profile_images/512597028388339712/HtMtLn2o_normal.jpeg" TargetMode="External"/><Relationship Id="rId3313" Type="http://schemas.openxmlformats.org/officeDocument/2006/relationships/hyperlink" Target="https://twitter.com/Antopinero_" TargetMode="External"/><Relationship Id="rId6883" Type="http://schemas.openxmlformats.org/officeDocument/2006/relationships/hyperlink" Target="https://twitter.com/achtuning/status/723265865119064064" TargetMode="External"/><Relationship Id="rId7934" Type="http://schemas.openxmlformats.org/officeDocument/2006/relationships/hyperlink" Target="https://twitter.com/sfchronicle" TargetMode="External"/><Relationship Id="rId16477" Type="http://schemas.openxmlformats.org/officeDocument/2006/relationships/hyperlink" Target="https://twitter.com/MicaiasUriel/status/723686482037362688" TargetMode="External"/><Relationship Id="rId17528" Type="http://schemas.openxmlformats.org/officeDocument/2006/relationships/hyperlink" Target="https://twitter.com/Im_BrownDash" TargetMode="External"/><Relationship Id="rId20123" Type="http://schemas.openxmlformats.org/officeDocument/2006/relationships/hyperlink" Target="https://pbs.twimg.com/profile_images/558308052848238592/7sNWS5Zp_normal.png" TargetMode="External"/><Relationship Id="rId23693" Type="http://schemas.openxmlformats.org/officeDocument/2006/relationships/hyperlink" Target="https://twitter.com/beetlebug1938" TargetMode="External"/><Relationship Id="rId24744" Type="http://schemas.openxmlformats.org/officeDocument/2006/relationships/hyperlink" Target="https://pbs.twimg.com/profile_images/502826615660085248/9nrGwV7O_normal.jpeg" TargetMode="External"/><Relationship Id="rId5485" Type="http://schemas.openxmlformats.org/officeDocument/2006/relationships/hyperlink" Target="https://twitter.com/yorkvolkswagen" TargetMode="External"/><Relationship Id="rId6536" Type="http://schemas.openxmlformats.org/officeDocument/2006/relationships/hyperlink" Target="https://pbs.twimg.com/profile_images/712334466585333760/rN4Fnyef_normal.jpg" TargetMode="External"/><Relationship Id="rId10915" Type="http://schemas.openxmlformats.org/officeDocument/2006/relationships/hyperlink" Target="https://twitter.com/believebecca/status/723490312149151745" TargetMode="External"/><Relationship Id="rId15079" Type="http://schemas.openxmlformats.org/officeDocument/2006/relationships/hyperlink" Target="https://pbs.twimg.com/profile_images/719921608509558786/VuRcYsKy_normal.jpg" TargetMode="External"/><Relationship Id="rId22295" Type="http://schemas.openxmlformats.org/officeDocument/2006/relationships/hyperlink" Target="https://twitter.com/FuscaWorld/status/724213442534584320" TargetMode="External"/><Relationship Id="rId23346" Type="http://schemas.openxmlformats.org/officeDocument/2006/relationships/hyperlink" Target="https://twitter.com/PaulbrooksAMG/status/724282089361780736" TargetMode="External"/><Relationship Id="rId4087" Type="http://schemas.openxmlformats.org/officeDocument/2006/relationships/hyperlink" Target="https://twitter.com/Geoffreytsmith" TargetMode="External"/><Relationship Id="rId5138" Type="http://schemas.openxmlformats.org/officeDocument/2006/relationships/hyperlink" Target="https://pbs.twimg.com/profile_images/628660521844240384/X6OKBdyU_normal.jpg" TargetMode="External"/><Relationship Id="rId9759" Type="http://schemas.openxmlformats.org/officeDocument/2006/relationships/hyperlink" Target="https://twitter.com/foerdesparkasse/status/723447972663431168" TargetMode="External"/><Relationship Id="rId1748" Type="http://schemas.openxmlformats.org/officeDocument/2006/relationships/hyperlink" Target="https://abs.twimg.com/sticky/default_profile_images/default_profile_5_normal.png" TargetMode="External"/><Relationship Id="rId11689" Type="http://schemas.openxmlformats.org/officeDocument/2006/relationships/hyperlink" Target="https://twitter.com/DarmaAru" TargetMode="External"/><Relationship Id="rId14162" Type="http://schemas.openxmlformats.org/officeDocument/2006/relationships/hyperlink" Target="https://pbs.twimg.com/profile_images/1442028160/IMG00053-20101022-1549_normal.jpg" TargetMode="External"/><Relationship Id="rId15560" Type="http://schemas.openxmlformats.org/officeDocument/2006/relationships/hyperlink" Target="https://twitter.com/kngeuro/status/723612906969919488" TargetMode="External"/><Relationship Id="rId16611" Type="http://schemas.openxmlformats.org/officeDocument/2006/relationships/hyperlink" Target="https://pbs.twimg.com/profile_images/3423460058/ed8c9e3582adb96e1f516be360165840_normal.jpeg" TargetMode="External"/><Relationship Id="rId3170" Type="http://schemas.openxmlformats.org/officeDocument/2006/relationships/hyperlink" Target="https://twitter.com/EcoImQuadrat" TargetMode="External"/><Relationship Id="rId4221" Type="http://schemas.openxmlformats.org/officeDocument/2006/relationships/hyperlink" Target="https://twitter.com/Tarela/status/723178101014847492" TargetMode="External"/><Relationship Id="rId15213" Type="http://schemas.openxmlformats.org/officeDocument/2006/relationships/hyperlink" Target="https://twitter.com/LeventResul" TargetMode="External"/><Relationship Id="rId18783" Type="http://schemas.openxmlformats.org/officeDocument/2006/relationships/hyperlink" Target="https://twitter.com/VolkswagenPost/status/723896352862801921" TargetMode="External"/><Relationship Id="rId19834" Type="http://schemas.openxmlformats.org/officeDocument/2006/relationships/hyperlink" Target="https://twitter.com/LeoDesimone6/status/723961086999969792" TargetMode="External"/><Relationship Id="rId21031" Type="http://schemas.openxmlformats.org/officeDocument/2006/relationships/hyperlink" Target="https://twitter.com/BSeanie" TargetMode="External"/><Relationship Id="rId6393" Type="http://schemas.openxmlformats.org/officeDocument/2006/relationships/hyperlink" Target="https://twitter.com/DanaFlavelle" TargetMode="External"/><Relationship Id="rId7791" Type="http://schemas.openxmlformats.org/officeDocument/2006/relationships/hyperlink" Target="https://twitter.com/SantiCarp2001" TargetMode="External"/><Relationship Id="rId8842" Type="http://schemas.openxmlformats.org/officeDocument/2006/relationships/hyperlink" Target="https://pbs.twimg.com/profile_images/443800157289590784/WmUhfykz_normal.jpeg" TargetMode="External"/><Relationship Id="rId10772" Type="http://schemas.openxmlformats.org/officeDocument/2006/relationships/hyperlink" Target="https://twitter.com/networkimages" TargetMode="External"/><Relationship Id="rId11823" Type="http://schemas.openxmlformats.org/officeDocument/2006/relationships/hyperlink" Target="https://pbs.twimg.com/profile_images/608213167496417280/QSxgcLn__normal.png" TargetMode="External"/><Relationship Id="rId17385" Type="http://schemas.openxmlformats.org/officeDocument/2006/relationships/hyperlink" Target="https://pbs.twimg.com/profile_images/689135486544293889/vPAeUEzo_normal.jpg" TargetMode="External"/><Relationship Id="rId18436" Type="http://schemas.openxmlformats.org/officeDocument/2006/relationships/hyperlink" Target="https://pbs.twimg.com/profile_images/703294545195307008/qeCvrX86_normal.jpg" TargetMode="External"/><Relationship Id="rId25652" Type="http://schemas.openxmlformats.org/officeDocument/2006/relationships/hyperlink" Target="https://pbs.twimg.com/profile_images/724455779646869505/S7sln-95_normal.jpg" TargetMode="External"/><Relationship Id="rId6046" Type="http://schemas.openxmlformats.org/officeDocument/2006/relationships/hyperlink" Target="http://dlvr.it/" TargetMode="External"/><Relationship Id="rId7444" Type="http://schemas.openxmlformats.org/officeDocument/2006/relationships/hyperlink" Target="https://pbs.twimg.com/profile_images/676465930424082432/zT-RyXf4_normal.jpg" TargetMode="External"/><Relationship Id="rId10425" Type="http://schemas.openxmlformats.org/officeDocument/2006/relationships/hyperlink" Target="https://twitter.com/rajauzikhan" TargetMode="External"/><Relationship Id="rId13995" Type="http://schemas.openxmlformats.org/officeDocument/2006/relationships/hyperlink" Target="https://twitter.com/acvwpassion/status/723560796391899136" TargetMode="External"/><Relationship Id="rId17038" Type="http://schemas.openxmlformats.org/officeDocument/2006/relationships/hyperlink" Target="https://pbs.twimg.com/profile_images/617967865413525504/y9t3axe3_normal.jpg" TargetMode="External"/><Relationship Id="rId24254" Type="http://schemas.openxmlformats.org/officeDocument/2006/relationships/hyperlink" Target="https://twitter.com/Supa_cdq_dj/status/724340701744508928" TargetMode="External"/><Relationship Id="rId25305" Type="http://schemas.openxmlformats.org/officeDocument/2006/relationships/hyperlink" Target="https://twitter.com/jforcadilla61/status/724430398587985920" TargetMode="External"/><Relationship Id="rId12597" Type="http://schemas.openxmlformats.org/officeDocument/2006/relationships/hyperlink" Target="https://twitter.com/NDRreporter/status/723523047228096512" TargetMode="External"/><Relationship Id="rId13648" Type="http://schemas.openxmlformats.org/officeDocument/2006/relationships/hyperlink" Target="https://twitter.com/BILD_Nuernberg" TargetMode="External"/><Relationship Id="rId20864" Type="http://schemas.openxmlformats.org/officeDocument/2006/relationships/hyperlink" Target="https://twitter.com/gimena_barela/status/724050209735626752" TargetMode="External"/><Relationship Id="rId21915" Type="http://schemas.openxmlformats.org/officeDocument/2006/relationships/hyperlink" Target="https://pbs.twimg.com/profile_images/716208660876144645/X7VuzobY_normal.jpg" TargetMode="External"/><Relationship Id="rId975" Type="http://schemas.openxmlformats.org/officeDocument/2006/relationships/hyperlink" Target="https://twitter.com/VWsightings/status/723010047140306944" TargetMode="External"/><Relationship Id="rId2656" Type="http://schemas.openxmlformats.org/officeDocument/2006/relationships/hyperlink" Target="https://twitter.com/yukoh27472" TargetMode="External"/><Relationship Id="rId3707" Type="http://schemas.openxmlformats.org/officeDocument/2006/relationships/hyperlink" Target="https://twitter.com/Fat4y/status/723168066264260612" TargetMode="External"/><Relationship Id="rId9269" Type="http://schemas.openxmlformats.org/officeDocument/2006/relationships/hyperlink" Target="http://dlvr.it/" TargetMode="External"/><Relationship Id="rId11199" Type="http://schemas.openxmlformats.org/officeDocument/2006/relationships/hyperlink" Target="https://twitter.com/VWBeetleSales" TargetMode="External"/><Relationship Id="rId15070" Type="http://schemas.openxmlformats.org/officeDocument/2006/relationships/hyperlink" Target="https://pbs.twimg.com/profile_images/722036543905468419/9HvI0UM4_normal.jpg" TargetMode="External"/><Relationship Id="rId16121" Type="http://schemas.openxmlformats.org/officeDocument/2006/relationships/hyperlink" Target="https://pbs.twimg.com/profile_images/378800000656452228/fca6692010a822f776917f40c9102341_normal.jpeg" TargetMode="External"/><Relationship Id="rId20517" Type="http://schemas.openxmlformats.org/officeDocument/2006/relationships/hyperlink" Target="https://twitter.com/VWCamperSales" TargetMode="External"/><Relationship Id="rId628" Type="http://schemas.openxmlformats.org/officeDocument/2006/relationships/hyperlink" Target="https://twitter.com/libertyjemima19/status/722967493887799297" TargetMode="External"/><Relationship Id="rId1258" Type="http://schemas.openxmlformats.org/officeDocument/2006/relationships/hyperlink" Target="https://pbs.twimg.com/profile_images/659295730222280705/W1FqHCVo_normal.jpg" TargetMode="External"/><Relationship Id="rId2309" Type="http://schemas.openxmlformats.org/officeDocument/2006/relationships/hyperlink" Target="https://twitter.com/VWBeetleSales" TargetMode="External"/><Relationship Id="rId5879" Type="http://schemas.openxmlformats.org/officeDocument/2006/relationships/hyperlink" Target="https://twitter.com/lazyrevs/status/723220969406509056" TargetMode="External"/><Relationship Id="rId9750" Type="http://schemas.openxmlformats.org/officeDocument/2006/relationships/hyperlink" Target="https://pbs.twimg.com/profile_images/562563461171798017/AkHF4keI_normal.png" TargetMode="External"/><Relationship Id="rId18293" Type="http://schemas.openxmlformats.org/officeDocument/2006/relationships/hyperlink" Target="https://twitter.com/vwpress_en/status/723859630733045760" TargetMode="External"/><Relationship Id="rId19344" Type="http://schemas.openxmlformats.org/officeDocument/2006/relationships/hyperlink" Target="https://pbs.twimg.com/profile_images/540358356645736450/Ap5Rcr8O_normal.jpeg" TargetMode="External"/><Relationship Id="rId19691" Type="http://schemas.openxmlformats.org/officeDocument/2006/relationships/hyperlink" Target="https://twitter.com/TheHippieVanMan/status/723948641682112512" TargetMode="External"/><Relationship Id="rId22689" Type="http://schemas.openxmlformats.org/officeDocument/2006/relationships/hyperlink" Target="https://twitter.com/walkabilityasia/status/724239251743735808" TargetMode="External"/><Relationship Id="rId8352" Type="http://schemas.openxmlformats.org/officeDocument/2006/relationships/hyperlink" Target="https://pbs.twimg.com/profile_images/718820712757215233/LXXndPTS_normal.jpg" TargetMode="External"/><Relationship Id="rId9403" Type="http://schemas.openxmlformats.org/officeDocument/2006/relationships/hyperlink" Target="https://twitter.com/MxKyouR" TargetMode="External"/><Relationship Id="rId11680" Type="http://schemas.openxmlformats.org/officeDocument/2006/relationships/hyperlink" Target="https://twitter.com/doern" TargetMode="External"/><Relationship Id="rId12731" Type="http://schemas.openxmlformats.org/officeDocument/2006/relationships/hyperlink" Target="https://pbs.twimg.com/profile_images/721449536795840512/vY3zlT7W_normal.jpg" TargetMode="External"/><Relationship Id="rId25162" Type="http://schemas.openxmlformats.org/officeDocument/2006/relationships/hyperlink" Target="https://twitter.com/Nanno2033" TargetMode="External"/><Relationship Id="rId8005" Type="http://schemas.openxmlformats.org/officeDocument/2006/relationships/hyperlink" Target="https://twitter.com/E_roar_ah" TargetMode="External"/><Relationship Id="rId10282" Type="http://schemas.openxmlformats.org/officeDocument/2006/relationships/hyperlink" Target="https://pbs.twimg.com/profile_images/680045211888791552/JyuMRSSW_normal.jpg" TargetMode="External"/><Relationship Id="rId11333" Type="http://schemas.openxmlformats.org/officeDocument/2006/relationships/hyperlink" Target="https://twitter.com/moinmoinsager/status/723500976779452416" TargetMode="External"/><Relationship Id="rId15954" Type="http://schemas.openxmlformats.org/officeDocument/2006/relationships/hyperlink" Target="https://pbs.twimg.com/profile_images/1480402733/image_normal.jpg" TargetMode="External"/><Relationship Id="rId4962" Type="http://schemas.openxmlformats.org/officeDocument/2006/relationships/hyperlink" Target="https://twitter.com/MiManske/status/723191059006803968" TargetMode="External"/><Relationship Id="rId14556" Type="http://schemas.openxmlformats.org/officeDocument/2006/relationships/hyperlink" Target="https://pbs.twimg.com/profile_images/541550464311902208/JxUT1EJM_normal.jpeg" TargetMode="External"/><Relationship Id="rId15607" Type="http://schemas.openxmlformats.org/officeDocument/2006/relationships/hyperlink" Target="https://pbs.twimg.com/profile_images/652625040089985024/NVgJWEdE_normal.jpg" TargetMode="External"/><Relationship Id="rId21772" Type="http://schemas.openxmlformats.org/officeDocument/2006/relationships/hyperlink" Target="https://twitter.com/beetlebug1938" TargetMode="External"/><Relationship Id="rId22823" Type="http://schemas.openxmlformats.org/officeDocument/2006/relationships/hyperlink" Target="https://twitter.com/OnlineCarReview/status/724249415855144960" TargetMode="External"/><Relationship Id="rId3564" Type="http://schemas.openxmlformats.org/officeDocument/2006/relationships/hyperlink" Target="https://pbs.twimg.com/profile_images/661119826530709506/sRaMAZJk_normal.png" TargetMode="External"/><Relationship Id="rId4615" Type="http://schemas.openxmlformats.org/officeDocument/2006/relationships/hyperlink" Target="https://pbs.twimg.com/profile_images/525651227585941504/1DFb50tl_normal.jpeg" TargetMode="External"/><Relationship Id="rId13158" Type="http://schemas.openxmlformats.org/officeDocument/2006/relationships/hyperlink" Target="https://twitter.com/techhippie" TargetMode="External"/><Relationship Id="rId14209" Type="http://schemas.openxmlformats.org/officeDocument/2006/relationships/hyperlink" Target="https://pbs.twimg.com/profile_images/626906935716024320/ONSQFvUj_normal.png" TargetMode="External"/><Relationship Id="rId17779" Type="http://schemas.openxmlformats.org/officeDocument/2006/relationships/hyperlink" Target="https://pbs.twimg.com/profile_images/723649839221891072/b9ZWtdVv_normal.jpg" TargetMode="External"/><Relationship Id="rId20374" Type="http://schemas.openxmlformats.org/officeDocument/2006/relationships/hyperlink" Target="https://twitter.com/johnmac17" TargetMode="External"/><Relationship Id="rId21425" Type="http://schemas.openxmlformats.org/officeDocument/2006/relationships/hyperlink" Target="https://twitter.com/beetlebug1938" TargetMode="External"/><Relationship Id="rId24995" Type="http://schemas.openxmlformats.org/officeDocument/2006/relationships/hyperlink" Target="https://twitter.com/SuranClub/status/724408558947819521" TargetMode="External"/><Relationship Id="rId485" Type="http://schemas.openxmlformats.org/officeDocument/2006/relationships/hyperlink" Target="https://twitter.com/ColinOsborn" TargetMode="External"/><Relationship Id="rId2166" Type="http://schemas.openxmlformats.org/officeDocument/2006/relationships/hyperlink" Target="https://pbs.twimg.com/profile_images/2174193757/OB-SS055_042412_H_20120424135809_normal.jpg" TargetMode="External"/><Relationship Id="rId3217" Type="http://schemas.openxmlformats.org/officeDocument/2006/relationships/hyperlink" Target="https://twitter.com/krynauwx" TargetMode="External"/><Relationship Id="rId6787" Type="http://schemas.openxmlformats.org/officeDocument/2006/relationships/hyperlink" Target="https://twitter.com/VolkswagenPost" TargetMode="External"/><Relationship Id="rId7838" Type="http://schemas.openxmlformats.org/officeDocument/2006/relationships/hyperlink" Target="https://twitter.com/wikatu/status/723333841390170112" TargetMode="External"/><Relationship Id="rId20027" Type="http://schemas.openxmlformats.org/officeDocument/2006/relationships/hyperlink" Target="https://pbs.twimg.com/profile_images/699058627341066240/rAzVbwCe_normal.jpg" TargetMode="External"/><Relationship Id="rId23597" Type="http://schemas.openxmlformats.org/officeDocument/2006/relationships/hyperlink" Target="https://pbs.twimg.com/profile_images/710122631236681728/ii4WJ1om_normal.jpg" TargetMode="External"/><Relationship Id="rId24648" Type="http://schemas.openxmlformats.org/officeDocument/2006/relationships/hyperlink" Target="https://pbs.twimg.com/profile_images/460936755387310080/wMC9yHRR_normal.jpeg" TargetMode="External"/><Relationship Id="rId138" Type="http://schemas.openxmlformats.org/officeDocument/2006/relationships/hyperlink" Target="https://twitter.com/OnlineCarReview" TargetMode="External"/><Relationship Id="rId5389" Type="http://schemas.openxmlformats.org/officeDocument/2006/relationships/hyperlink" Target="https://twitter.com/HGrezlakTLI" TargetMode="External"/><Relationship Id="rId9260" Type="http://schemas.openxmlformats.org/officeDocument/2006/relationships/hyperlink" Target="https://pbs.twimg.com/profile_images/665590151817596932/NTDY624i_normal.png" TargetMode="External"/><Relationship Id="rId10819" Type="http://schemas.openxmlformats.org/officeDocument/2006/relationships/hyperlink" Target="https://pbs.twimg.com/profile_images/684732765040979968/9XRwAo0N_normal.jpg" TargetMode="External"/><Relationship Id="rId11190" Type="http://schemas.openxmlformats.org/officeDocument/2006/relationships/hyperlink" Target="https://twitter.com/helmi" TargetMode="External"/><Relationship Id="rId12241" Type="http://schemas.openxmlformats.org/officeDocument/2006/relationships/hyperlink" Target="https://pbs.twimg.com/profile_images/701759474198036480/d3ldpfv0_normal.png" TargetMode="External"/><Relationship Id="rId22199" Type="http://schemas.openxmlformats.org/officeDocument/2006/relationships/hyperlink" Target="https://twitter.com/beetlebug1938" TargetMode="External"/><Relationship Id="rId2300" Type="http://schemas.openxmlformats.org/officeDocument/2006/relationships/hyperlink" Target="https://twitter.com/NicolasTetrault/status/723094212217024512" TargetMode="External"/><Relationship Id="rId16862" Type="http://schemas.openxmlformats.org/officeDocument/2006/relationships/hyperlink" Target="https://pbs.twimg.com/profile_images/558535484582793216/1YKaWa1i_normal.jpeg" TargetMode="External"/><Relationship Id="rId17913" Type="http://schemas.openxmlformats.org/officeDocument/2006/relationships/hyperlink" Target="https://twitter.com/VolkswagenPost/status/723832450368065536" TargetMode="External"/><Relationship Id="rId1999" Type="http://schemas.openxmlformats.org/officeDocument/2006/relationships/hyperlink" Target="https://twitter.com/NifsaLsilll/status/723074632861896705" TargetMode="External"/><Relationship Id="rId4472" Type="http://schemas.openxmlformats.org/officeDocument/2006/relationships/hyperlink" Target="https://pbs.twimg.com/profile_images/663730127906463744/l017r0-__normal.jpg" TargetMode="External"/><Relationship Id="rId5870" Type="http://schemas.openxmlformats.org/officeDocument/2006/relationships/hyperlink" Target="https://pbs.twimg.com/profile_images/718091471211991040/yQ7D0n5u_normal.jpg" TargetMode="External"/><Relationship Id="rId6921" Type="http://schemas.openxmlformats.org/officeDocument/2006/relationships/hyperlink" Target="https://twitter.com/FAZ_Finance" TargetMode="External"/><Relationship Id="rId15464" Type="http://schemas.openxmlformats.org/officeDocument/2006/relationships/hyperlink" Target="https://pbs.twimg.com/profile_images/688140202565476352/EvprkhJd_normal.jpg" TargetMode="External"/><Relationship Id="rId16515" Type="http://schemas.openxmlformats.org/officeDocument/2006/relationships/hyperlink" Target="https://twitter.com/sgpragency" TargetMode="External"/><Relationship Id="rId22680" Type="http://schemas.openxmlformats.org/officeDocument/2006/relationships/hyperlink" Target="https://pbs.twimg.com/profile_images/623965518270038016/EUAbTsHF_normal.jpg" TargetMode="External"/><Relationship Id="rId23731" Type="http://schemas.openxmlformats.org/officeDocument/2006/relationships/hyperlink" Target="http://dlvr.it/" TargetMode="External"/><Relationship Id="rId3074" Type="http://schemas.openxmlformats.org/officeDocument/2006/relationships/hyperlink" Target="https://twitter.com/TheMutti/status/723138499310813186" TargetMode="External"/><Relationship Id="rId4125" Type="http://schemas.openxmlformats.org/officeDocument/2006/relationships/hyperlink" Target="https://pbs.twimg.com/profile_images/378800000157798316/ea887fcc259d5aa4fc4698ceccfca899_normal.jpeg" TargetMode="External"/><Relationship Id="rId5523" Type="http://schemas.openxmlformats.org/officeDocument/2006/relationships/hyperlink" Target="https://pbs.twimg.com/profile_images/599709666017435648/r0vhT_9C_normal.png" TargetMode="External"/><Relationship Id="rId14066" Type="http://schemas.openxmlformats.org/officeDocument/2006/relationships/hyperlink" Target="https://pbs.twimg.com/profile_images/672878354127839232/M7OYc-zx_normal.jpg" TargetMode="External"/><Relationship Id="rId15117" Type="http://schemas.openxmlformats.org/officeDocument/2006/relationships/hyperlink" Target="https://pbs.twimg.com/profile_images/637593303836422144/JiLq2Ins_normal.png" TargetMode="External"/><Relationship Id="rId18687" Type="http://schemas.openxmlformats.org/officeDocument/2006/relationships/hyperlink" Target="https://twitter.com/CarterVW/status/723889198231486464" TargetMode="External"/><Relationship Id="rId19738" Type="http://schemas.openxmlformats.org/officeDocument/2006/relationships/hyperlink" Target="https://twitter.com/dubbusses/status/723952429600006144" TargetMode="External"/><Relationship Id="rId21282" Type="http://schemas.openxmlformats.org/officeDocument/2006/relationships/hyperlink" Target="https://twitter.com/OnlineCarReview/status/724137177479671808" TargetMode="External"/><Relationship Id="rId22333" Type="http://schemas.openxmlformats.org/officeDocument/2006/relationships/hyperlink" Target="https://pbs.twimg.com/profile_images/627949001179037696/skEBkS05_normal.jpg" TargetMode="External"/><Relationship Id="rId7695" Type="http://schemas.openxmlformats.org/officeDocument/2006/relationships/hyperlink" Target="https://twitter.com/beetlebug1938/status/723324019026628609" TargetMode="External"/><Relationship Id="rId8746" Type="http://schemas.openxmlformats.org/officeDocument/2006/relationships/hyperlink" Target="https://pbs.twimg.com/profile_images/378800000695047180/29e744def32e796e78ace7f04ccadc69_normal.jpeg" TargetMode="External"/><Relationship Id="rId10676" Type="http://schemas.openxmlformats.org/officeDocument/2006/relationships/hyperlink" Target="https://twitter.com/schulze_ute" TargetMode="External"/><Relationship Id="rId11727" Type="http://schemas.openxmlformats.org/officeDocument/2006/relationships/hyperlink" Target="https://twitter.com/KURIERat/status/723506044912164864" TargetMode="External"/><Relationship Id="rId17289" Type="http://schemas.openxmlformats.org/officeDocument/2006/relationships/hyperlink" Target="https://pbs.twimg.com/profile_images/673219952988413952/RwM7EX2v_normal.png" TargetMode="External"/><Relationship Id="rId25556" Type="http://schemas.openxmlformats.org/officeDocument/2006/relationships/hyperlink" Target="https://twitter.com/almaleal" TargetMode="External"/><Relationship Id="rId6297" Type="http://schemas.openxmlformats.org/officeDocument/2006/relationships/hyperlink" Target="https://twitter.com/Klickvieh/status/723238528663035905" TargetMode="External"/><Relationship Id="rId7348" Type="http://schemas.openxmlformats.org/officeDocument/2006/relationships/hyperlink" Target="https://twitter.com/Gregory_Brine/status/723297360751648768" TargetMode="External"/><Relationship Id="rId10329" Type="http://schemas.openxmlformats.org/officeDocument/2006/relationships/hyperlink" Target="https://twitter.com/MoSchaefer66/status/723469438633304064" TargetMode="External"/><Relationship Id="rId13899" Type="http://schemas.openxmlformats.org/officeDocument/2006/relationships/hyperlink" Target="https://twitter.com/beetlebug1938" TargetMode="External"/><Relationship Id="rId14200" Type="http://schemas.openxmlformats.org/officeDocument/2006/relationships/hyperlink" Target="https://pbs.twimg.com/profile_images/715323139794685952/4mFMcWMR_normal.jpg" TargetMode="External"/><Relationship Id="rId24158" Type="http://schemas.openxmlformats.org/officeDocument/2006/relationships/hyperlink" Target="https://twitter.com/emado3d" TargetMode="External"/><Relationship Id="rId25209" Type="http://schemas.openxmlformats.org/officeDocument/2006/relationships/hyperlink" Target="https://twitter.com/VWCamperSales/status/724426350950408192" TargetMode="External"/><Relationship Id="rId3958" Type="http://schemas.openxmlformats.org/officeDocument/2006/relationships/hyperlink" Target="https://twitter.com/transporter_ne/status/723173038871732224" TargetMode="External"/><Relationship Id="rId16372" Type="http://schemas.openxmlformats.org/officeDocument/2006/relationships/hyperlink" Target="https://twitter.com/kustomfest" TargetMode="External"/><Relationship Id="rId17423" Type="http://schemas.openxmlformats.org/officeDocument/2006/relationships/hyperlink" Target="https://twitter.com/BavariaWatch/status/723798179200815104" TargetMode="External"/><Relationship Id="rId17770" Type="http://schemas.openxmlformats.org/officeDocument/2006/relationships/hyperlink" Target="https://pbs.twimg.com/profile_images/626150798590902273/qUbM1D-g_normal.jpg" TargetMode="External"/><Relationship Id="rId18821" Type="http://schemas.openxmlformats.org/officeDocument/2006/relationships/hyperlink" Target="https://pbs.twimg.com/profile_images/707127715581849600/zPs3f0nI_normal.jpg" TargetMode="External"/><Relationship Id="rId20768" Type="http://schemas.openxmlformats.org/officeDocument/2006/relationships/hyperlink" Target="http://ctrlq.org/maps/address/" TargetMode="External"/><Relationship Id="rId879" Type="http://schemas.openxmlformats.org/officeDocument/2006/relationships/hyperlink" Target="https://twitter.com/sarahkaiserrr/status/722996236685467649" TargetMode="External"/><Relationship Id="rId5380" Type="http://schemas.openxmlformats.org/officeDocument/2006/relationships/hyperlink" Target="https://twitter.com/roansub" TargetMode="External"/><Relationship Id="rId6431" Type="http://schemas.openxmlformats.org/officeDocument/2006/relationships/hyperlink" Target="https://twitter.com/Insta_VWT/status/723242946934521856" TargetMode="External"/><Relationship Id="rId10810" Type="http://schemas.openxmlformats.org/officeDocument/2006/relationships/hyperlink" Target="https://pbs.twimg.com/profile_images/659295730222280705/W1FqHCVo_normal.jpg" TargetMode="External"/><Relationship Id="rId16025" Type="http://schemas.openxmlformats.org/officeDocument/2006/relationships/hyperlink" Target="https://twitter.com/bmwblog" TargetMode="External"/><Relationship Id="rId21819" Type="http://schemas.openxmlformats.org/officeDocument/2006/relationships/hyperlink" Target="https://twitter.com/www4zylinder" TargetMode="External"/><Relationship Id="rId22190" Type="http://schemas.openxmlformats.org/officeDocument/2006/relationships/hyperlink" Target="https://twitter.com/beetlebug1938" TargetMode="External"/><Relationship Id="rId23241" Type="http://schemas.openxmlformats.org/officeDocument/2006/relationships/hyperlink" Target="https://twitter.com/ZzaPina/status/724274996546248704" TargetMode="External"/><Relationship Id="rId5033" Type="http://schemas.openxmlformats.org/officeDocument/2006/relationships/hyperlink" Target="https://pbs.twimg.com/profile_images/691097936181215232/Ocy36TIb_normal.jpg" TargetMode="External"/><Relationship Id="rId12982" Type="http://schemas.openxmlformats.org/officeDocument/2006/relationships/hyperlink" Target="https://twitter.com/amsonline/status/723532630617104385" TargetMode="External"/><Relationship Id="rId19595" Type="http://schemas.openxmlformats.org/officeDocument/2006/relationships/hyperlink" Target="https://twitter.com/oldcar_photo" TargetMode="External"/><Relationship Id="rId1990" Type="http://schemas.openxmlformats.org/officeDocument/2006/relationships/hyperlink" Target="https://twitter.com/Emission_Claims/status/723074003926134784" TargetMode="External"/><Relationship Id="rId8256" Type="http://schemas.openxmlformats.org/officeDocument/2006/relationships/hyperlink" Target="https://twitter.com/agustiina_karen" TargetMode="External"/><Relationship Id="rId9654" Type="http://schemas.openxmlformats.org/officeDocument/2006/relationships/hyperlink" Target="http://dlvr.it/" TargetMode="External"/><Relationship Id="rId11584" Type="http://schemas.openxmlformats.org/officeDocument/2006/relationships/hyperlink" Target="https://twitter.com/Team_BKR_" TargetMode="External"/><Relationship Id="rId12635" Type="http://schemas.openxmlformats.org/officeDocument/2006/relationships/hyperlink" Target="https://twitter.com/GDhring" TargetMode="External"/><Relationship Id="rId18197" Type="http://schemas.openxmlformats.org/officeDocument/2006/relationships/hyperlink" Target="https://twitter.com/nbjustin/status/723850797948219392" TargetMode="External"/><Relationship Id="rId19248" Type="http://schemas.openxmlformats.org/officeDocument/2006/relationships/hyperlink" Target="https://twitter.com/amln_aboharb" TargetMode="External"/><Relationship Id="rId20902" Type="http://schemas.openxmlformats.org/officeDocument/2006/relationships/hyperlink" Target="http://ctrlq.org/maps/address/" TargetMode="External"/><Relationship Id="rId25066" Type="http://schemas.openxmlformats.org/officeDocument/2006/relationships/hyperlink" Target="https://pbs.twimg.com/profile_images/705780107844067328/e7O4UBNb_normal.jpg" TargetMode="External"/><Relationship Id="rId1643" Type="http://schemas.openxmlformats.org/officeDocument/2006/relationships/hyperlink" Target="https://twitter.com/Insta_VWT" TargetMode="External"/><Relationship Id="rId9307" Type="http://schemas.openxmlformats.org/officeDocument/2006/relationships/hyperlink" Target="https://twitter.com/magnetic_cement/status/723430259832410112" TargetMode="External"/><Relationship Id="rId10186" Type="http://schemas.openxmlformats.org/officeDocument/2006/relationships/hyperlink" Target="https://twitter.com/sadiqgajimi" TargetMode="External"/><Relationship Id="rId11237" Type="http://schemas.openxmlformats.org/officeDocument/2006/relationships/hyperlink" Target="https://twitter.com/bvoelkl" TargetMode="External"/><Relationship Id="rId15858" Type="http://schemas.openxmlformats.org/officeDocument/2006/relationships/hyperlink" Target="https://twitter.com/VWBeetleSales/status/723634004310683652" TargetMode="External"/><Relationship Id="rId16909" Type="http://schemas.openxmlformats.org/officeDocument/2006/relationships/hyperlink" Target="https://twitter.com/LStahlecker" TargetMode="External"/><Relationship Id="rId4866" Type="http://schemas.openxmlformats.org/officeDocument/2006/relationships/hyperlink" Target="https://pbs.twimg.com/profile_images/539836380839280641/QejEKdZT_normal.jpeg" TargetMode="External"/><Relationship Id="rId5917" Type="http://schemas.openxmlformats.org/officeDocument/2006/relationships/hyperlink" Target="https://twitter.com/baynesa" TargetMode="External"/><Relationship Id="rId17280" Type="http://schemas.openxmlformats.org/officeDocument/2006/relationships/hyperlink" Target="https://pbs.twimg.com/profile_images/292857657/GreenGrowth_normal.jpg" TargetMode="External"/><Relationship Id="rId18331" Type="http://schemas.openxmlformats.org/officeDocument/2006/relationships/hyperlink" Target="https://twitter.com/VolkswagenPost" TargetMode="External"/><Relationship Id="rId21676" Type="http://schemas.openxmlformats.org/officeDocument/2006/relationships/hyperlink" Target="https://twitter.com/ErnstNordholt" TargetMode="External"/><Relationship Id="rId22727" Type="http://schemas.openxmlformats.org/officeDocument/2006/relationships/hyperlink" Target="https://twitter.com/VDubkollective/status/724242511741349892" TargetMode="External"/><Relationship Id="rId3468" Type="http://schemas.openxmlformats.org/officeDocument/2006/relationships/hyperlink" Target="https://twitter.com/StarkLS1" TargetMode="External"/><Relationship Id="rId4519" Type="http://schemas.openxmlformats.org/officeDocument/2006/relationships/hyperlink" Target="https://twitter.com/daniel_st_unam/status/723182083149983745" TargetMode="External"/><Relationship Id="rId10320" Type="http://schemas.openxmlformats.org/officeDocument/2006/relationships/hyperlink" Target="https://twitter.com/lars_scho/status/723469347495268352" TargetMode="External"/><Relationship Id="rId20278" Type="http://schemas.openxmlformats.org/officeDocument/2006/relationships/hyperlink" Target="http://ctrlq.org/maps/address/" TargetMode="External"/><Relationship Id="rId21329" Type="http://schemas.openxmlformats.org/officeDocument/2006/relationships/hyperlink" Target="https://twitter.com/michell73094462" TargetMode="External"/><Relationship Id="rId24899" Type="http://schemas.openxmlformats.org/officeDocument/2006/relationships/hyperlink" Target="https://pbs.twimg.com/profile_images/717031050162147328/4QJQUgaE_normal.jpg" TargetMode="External"/><Relationship Id="rId25200" Type="http://schemas.openxmlformats.org/officeDocument/2006/relationships/hyperlink" Target="https://twitter.com/DeeZeeX/status/724426157009952768" TargetMode="External"/><Relationship Id="rId389" Type="http://schemas.openxmlformats.org/officeDocument/2006/relationships/hyperlink" Target="https://twitter.com/Manolo_Breton" TargetMode="External"/><Relationship Id="rId13890" Type="http://schemas.openxmlformats.org/officeDocument/2006/relationships/hyperlink" Target="https://twitter.com/29DavidDs" TargetMode="External"/><Relationship Id="rId14941" Type="http://schemas.openxmlformats.org/officeDocument/2006/relationships/hyperlink" Target="https://pbs.twimg.com/profile_images/570375988065935360/ooT_Nq7x_normal.jpeg" TargetMode="External"/><Relationship Id="rId870" Type="http://schemas.openxmlformats.org/officeDocument/2006/relationships/hyperlink" Target="http://dlvr.it/" TargetMode="External"/><Relationship Id="rId2551" Type="http://schemas.openxmlformats.org/officeDocument/2006/relationships/hyperlink" Target="https://pbs.twimg.com/profile_images/448813982271291392/3ey9jQV0_normal.jpeg" TargetMode="External"/><Relationship Id="rId9164" Type="http://schemas.openxmlformats.org/officeDocument/2006/relationships/hyperlink" Target="https://pbs.twimg.com/profile_images/472298206483607552/UogAMiRI_normal.png" TargetMode="External"/><Relationship Id="rId11094" Type="http://schemas.openxmlformats.org/officeDocument/2006/relationships/hyperlink" Target="https://twitter.com/doern/status/723497171241316353" TargetMode="External"/><Relationship Id="rId12492" Type="http://schemas.openxmlformats.org/officeDocument/2006/relationships/hyperlink" Target="https://pbs.twimg.com/profile_images/716020780899807232/fnaRfVpE_normal.jpg" TargetMode="External"/><Relationship Id="rId13543" Type="http://schemas.openxmlformats.org/officeDocument/2006/relationships/hyperlink" Target="https://twitter.com/alexserrano720/status/723550054435414016" TargetMode="External"/><Relationship Id="rId21810" Type="http://schemas.openxmlformats.org/officeDocument/2006/relationships/hyperlink" Target="https://twitter.com/VWCamperSales/status/724180366236344321" TargetMode="External"/><Relationship Id="rId523" Type="http://schemas.openxmlformats.org/officeDocument/2006/relationships/hyperlink" Target="https://twitter.com/CandlcePerth/status/722964436768690176" TargetMode="External"/><Relationship Id="rId1153" Type="http://schemas.openxmlformats.org/officeDocument/2006/relationships/hyperlink" Target="https://twitter.com/Stahlhammer/status/723023067681828864" TargetMode="External"/><Relationship Id="rId2204" Type="http://schemas.openxmlformats.org/officeDocument/2006/relationships/hyperlink" Target="https://twitter.com/panicswitch777" TargetMode="External"/><Relationship Id="rId3602" Type="http://schemas.openxmlformats.org/officeDocument/2006/relationships/hyperlink" Target="http://dlvr.it/" TargetMode="External"/><Relationship Id="rId12145" Type="http://schemas.openxmlformats.org/officeDocument/2006/relationships/hyperlink" Target="https://twitter.com/RGtzl/status/723513691522641920" TargetMode="External"/><Relationship Id="rId16766" Type="http://schemas.openxmlformats.org/officeDocument/2006/relationships/hyperlink" Target="https://twitter.com/hayles_143" TargetMode="External"/><Relationship Id="rId17817" Type="http://schemas.openxmlformats.org/officeDocument/2006/relationships/hyperlink" Target="https://twitter.com/russmini/status/723824714712506368" TargetMode="External"/><Relationship Id="rId20412" Type="http://schemas.openxmlformats.org/officeDocument/2006/relationships/hyperlink" Target="https://pbs.twimg.com/profile_images/541516912371707904/H-NvkAOD_normal.jpeg" TargetMode="External"/><Relationship Id="rId23982" Type="http://schemas.openxmlformats.org/officeDocument/2006/relationships/hyperlink" Target="http://dlvr.it/" TargetMode="External"/><Relationship Id="rId5774" Type="http://schemas.openxmlformats.org/officeDocument/2006/relationships/hyperlink" Target="https://twitter.com/ben_gt" TargetMode="External"/><Relationship Id="rId6825" Type="http://schemas.openxmlformats.org/officeDocument/2006/relationships/hyperlink" Target="http://dlvr.it/" TargetMode="External"/><Relationship Id="rId15368" Type="http://schemas.openxmlformats.org/officeDocument/2006/relationships/hyperlink" Target="https://pbs.twimg.com/profile_images/538827287664553986/hK6PVXn2_normal.jpeg" TargetMode="External"/><Relationship Id="rId16419" Type="http://schemas.openxmlformats.org/officeDocument/2006/relationships/hyperlink" Target="https://pbs.twimg.com/profile_images/1623055213/download_normal.jpg" TargetMode="External"/><Relationship Id="rId19989" Type="http://schemas.openxmlformats.org/officeDocument/2006/relationships/hyperlink" Target="https://twitter.com/dubbusses/status/723967579707064321" TargetMode="External"/><Relationship Id="rId22584" Type="http://schemas.openxmlformats.org/officeDocument/2006/relationships/hyperlink" Target="https://twitter.com/ducachris/status/724232004707975168" TargetMode="External"/><Relationship Id="rId23635" Type="http://schemas.openxmlformats.org/officeDocument/2006/relationships/hyperlink" Target="https://pbs.twimg.com/profile_images/699715384635686912/YiGLmuR9_normal.jpg" TargetMode="External"/><Relationship Id="rId4376" Type="http://schemas.openxmlformats.org/officeDocument/2006/relationships/hyperlink" Target="https://twitter.com/ARD_BaB/status/723179669919420416" TargetMode="External"/><Relationship Id="rId5427" Type="http://schemas.openxmlformats.org/officeDocument/2006/relationships/hyperlink" Target="https://pbs.twimg.com/profile_images/682960133966696448/FVI70kSw_normal.png" TargetMode="External"/><Relationship Id="rId8997" Type="http://schemas.openxmlformats.org/officeDocument/2006/relationships/hyperlink" Target="https://twitter.com/adhddoyle/status/723415280630681600" TargetMode="External"/><Relationship Id="rId21186" Type="http://schemas.openxmlformats.org/officeDocument/2006/relationships/hyperlink" Target="https://pbs.twimg.com/profile_images/721557347945066496/35TI-Y5q_normal.jpg" TargetMode="External"/><Relationship Id="rId22237" Type="http://schemas.openxmlformats.org/officeDocument/2006/relationships/hyperlink" Target="https://twitter.com/VWBeetleSales" TargetMode="External"/><Relationship Id="rId4029" Type="http://schemas.openxmlformats.org/officeDocument/2006/relationships/hyperlink" Target="https://pbs.twimg.com/profile_images/378800000509009557/b8bb8758941de339f73190d8e0bc936e_normal.jpeg" TargetMode="External"/><Relationship Id="rId7599" Type="http://schemas.openxmlformats.org/officeDocument/2006/relationships/hyperlink" Target="https://twitter.com/ENLACEPUEBLA/status/723316649294614532" TargetMode="External"/><Relationship Id="rId11978" Type="http://schemas.openxmlformats.org/officeDocument/2006/relationships/hyperlink" Target="https://twitter.com/ohne_Se/status/723511335703724032" TargetMode="External"/><Relationship Id="rId14451" Type="http://schemas.openxmlformats.org/officeDocument/2006/relationships/hyperlink" Target="https://twitter.com/NorthWestDubs" TargetMode="External"/><Relationship Id="rId16900" Type="http://schemas.openxmlformats.org/officeDocument/2006/relationships/hyperlink" Target="https://twitter.com/KESIGAN10" TargetMode="External"/><Relationship Id="rId4510" Type="http://schemas.openxmlformats.org/officeDocument/2006/relationships/hyperlink" Target="https://twitter.com/drivingsales/status/723182004464922624" TargetMode="External"/><Relationship Id="rId13053" Type="http://schemas.openxmlformats.org/officeDocument/2006/relationships/hyperlink" Target="https://pbs.twimg.com/profile_images/522496119750676480/vvFPQyfo_normal.jpeg" TargetMode="External"/><Relationship Id="rId14104" Type="http://schemas.openxmlformats.org/officeDocument/2006/relationships/hyperlink" Target="https://twitter.com/RainerRogge/status/723564263877541888" TargetMode="External"/><Relationship Id="rId15502" Type="http://schemas.openxmlformats.org/officeDocument/2006/relationships/hyperlink" Target="https://twitter.com/sophiastrelli/status/723609875532623872" TargetMode="External"/><Relationship Id="rId21320" Type="http://schemas.openxmlformats.org/officeDocument/2006/relationships/hyperlink" Target="https://twitter.com/LisaHenri2" TargetMode="External"/><Relationship Id="rId380" Type="http://schemas.openxmlformats.org/officeDocument/2006/relationships/hyperlink" Target="https://twitter.com/SocialMAXorg" TargetMode="External"/><Relationship Id="rId2061" Type="http://schemas.openxmlformats.org/officeDocument/2006/relationships/hyperlink" Target="https://twitter.com/ErnstNordholt/status/723079426422898688" TargetMode="External"/><Relationship Id="rId3112" Type="http://schemas.openxmlformats.org/officeDocument/2006/relationships/hyperlink" Target="http://dlvr.it/" TargetMode="External"/><Relationship Id="rId6682" Type="http://schemas.openxmlformats.org/officeDocument/2006/relationships/hyperlink" Target="https://twitter.com/Puretruth678" TargetMode="External"/><Relationship Id="rId17674" Type="http://schemas.openxmlformats.org/officeDocument/2006/relationships/hyperlink" Target="https://twitter.com/smithwicks8888/status/723815285048918017" TargetMode="External"/><Relationship Id="rId18725" Type="http://schemas.openxmlformats.org/officeDocument/2006/relationships/hyperlink" Target="https://twitter.com/joergeickhoff/status/723890740590419969" TargetMode="External"/><Relationship Id="rId24890" Type="http://schemas.openxmlformats.org/officeDocument/2006/relationships/hyperlink" Target="https://pbs.twimg.com/profile_images/632371610276622336/i9dfhe5Q_normal.jpg" TargetMode="External"/><Relationship Id="rId5284" Type="http://schemas.openxmlformats.org/officeDocument/2006/relationships/hyperlink" Target="https://twitter.com/frimuellerfri/status/723199420741853184" TargetMode="External"/><Relationship Id="rId6335" Type="http://schemas.openxmlformats.org/officeDocument/2006/relationships/hyperlink" Target="https://pbs.twimg.com/profile_images/627949001179037696/skEBkS05_normal.jpg" TargetMode="External"/><Relationship Id="rId7733" Type="http://schemas.openxmlformats.org/officeDocument/2006/relationships/hyperlink" Target="https://twitter.com/MDBlanchfield" TargetMode="External"/><Relationship Id="rId10714" Type="http://schemas.openxmlformats.org/officeDocument/2006/relationships/hyperlink" Target="https://pbs.twimg.com/profile_images/695773573919543296/Q1mS960c_normal.jpg" TargetMode="External"/><Relationship Id="rId16276" Type="http://schemas.openxmlformats.org/officeDocument/2006/relationships/hyperlink" Target="https://twitter.com/mark_germain" TargetMode="External"/><Relationship Id="rId17327" Type="http://schemas.openxmlformats.org/officeDocument/2006/relationships/hyperlink" Target="https://twitter.com/Insta_VWT/status/723790935830728704" TargetMode="External"/><Relationship Id="rId22094" Type="http://schemas.openxmlformats.org/officeDocument/2006/relationships/hyperlink" Target="https://twitter.com/VWBeetleSales" TargetMode="External"/><Relationship Id="rId23492" Type="http://schemas.openxmlformats.org/officeDocument/2006/relationships/hyperlink" Target="https://twitter.com/VWCamperSales/status/724292344845991936" TargetMode="External"/><Relationship Id="rId24543" Type="http://schemas.openxmlformats.org/officeDocument/2006/relationships/hyperlink" Target="https://twitter.com/FuscaWorld" TargetMode="External"/><Relationship Id="rId12886" Type="http://schemas.openxmlformats.org/officeDocument/2006/relationships/hyperlink" Target="https://twitter.com/VWBeetleSales" TargetMode="External"/><Relationship Id="rId13937" Type="http://schemas.openxmlformats.org/officeDocument/2006/relationships/hyperlink" Target="https://pbs.twimg.com/profile_images/705812199885967360/9ddZJ66P_normal.jpg" TargetMode="External"/><Relationship Id="rId19499" Type="http://schemas.openxmlformats.org/officeDocument/2006/relationships/hyperlink" Target="https://twitter.com/dubbusses/status/723937357225988096" TargetMode="External"/><Relationship Id="rId23145" Type="http://schemas.openxmlformats.org/officeDocument/2006/relationships/hyperlink" Target="https://twitter.com/copeyphoto" TargetMode="External"/><Relationship Id="rId1894" Type="http://schemas.openxmlformats.org/officeDocument/2006/relationships/hyperlink" Target="https://twitter.com/chellebows1" TargetMode="External"/><Relationship Id="rId2945" Type="http://schemas.openxmlformats.org/officeDocument/2006/relationships/hyperlink" Target="https://pbs.twimg.com/profile_images/530071272881803264/a_jcCmPZ_normal.png" TargetMode="External"/><Relationship Id="rId9558" Type="http://schemas.openxmlformats.org/officeDocument/2006/relationships/hyperlink" Target="https://twitter.com/Newell_Palmer/status/723440167525064704" TargetMode="External"/><Relationship Id="rId11488" Type="http://schemas.openxmlformats.org/officeDocument/2006/relationships/hyperlink" Target="https://twitter.com/reifmd" TargetMode="External"/><Relationship Id="rId12539" Type="http://schemas.openxmlformats.org/officeDocument/2006/relationships/hyperlink" Target="https://twitter.com/handelsblatt" TargetMode="External"/><Relationship Id="rId16410" Type="http://schemas.openxmlformats.org/officeDocument/2006/relationships/hyperlink" Target="https://pbs.twimg.com/profile_images/482693553739427840/7SfjXxqi_normal.png" TargetMode="External"/><Relationship Id="rId20806" Type="http://schemas.openxmlformats.org/officeDocument/2006/relationships/hyperlink" Target="https://twitter.com/PicadasArg" TargetMode="External"/><Relationship Id="rId917" Type="http://schemas.openxmlformats.org/officeDocument/2006/relationships/hyperlink" Target="https://twitter.com/SuranClub" TargetMode="External"/><Relationship Id="rId1547" Type="http://schemas.openxmlformats.org/officeDocument/2006/relationships/hyperlink" Target="https://twitter.com/foresight_lab" TargetMode="External"/><Relationship Id="rId15012" Type="http://schemas.openxmlformats.org/officeDocument/2006/relationships/hyperlink" Target="https://pbs.twimg.com/profile_images/644097845818068992/PHIi32Pe_normal.png" TargetMode="External"/><Relationship Id="rId18582" Type="http://schemas.openxmlformats.org/officeDocument/2006/relationships/hyperlink" Target="https://pbs.twimg.com/profile_images/664794741444317184/MDYXkgPB_normal.jpg" TargetMode="External"/><Relationship Id="rId19633" Type="http://schemas.openxmlformats.org/officeDocument/2006/relationships/hyperlink" Target="https://twitter.com/hashtagvanlife" TargetMode="External"/><Relationship Id="rId19980" Type="http://schemas.openxmlformats.org/officeDocument/2006/relationships/hyperlink" Target="https://pbs.twimg.com/profile_images/645945724052500480/Uz2cVEbI_normal.jpg" TargetMode="External"/><Relationship Id="rId22978" Type="http://schemas.openxmlformats.org/officeDocument/2006/relationships/hyperlink" Target="https://twitter.com/SocialAutos" TargetMode="External"/><Relationship Id="rId4020" Type="http://schemas.openxmlformats.org/officeDocument/2006/relationships/hyperlink" Target="https://twitter.com/KWsays" TargetMode="External"/><Relationship Id="rId7590" Type="http://schemas.openxmlformats.org/officeDocument/2006/relationships/hyperlink" Target="https://twitter.com/KMurphyIndep/status/723315943431090176" TargetMode="External"/><Relationship Id="rId8641" Type="http://schemas.openxmlformats.org/officeDocument/2006/relationships/hyperlink" Target="https://pbs.twimg.com/profile_images/2611891825/076eb352-56d5-466d-b640-e643006f4748_normal.png" TargetMode="External"/><Relationship Id="rId17184" Type="http://schemas.openxmlformats.org/officeDocument/2006/relationships/hyperlink" Target="https://pbs.twimg.com/profile_images/529914410903425024/I-mwj11H_normal.png" TargetMode="External"/><Relationship Id="rId18235" Type="http://schemas.openxmlformats.org/officeDocument/2006/relationships/hyperlink" Target="https://pbs.twimg.com/profile_images/521400664019050497/hWGhy89F_normal.jpeg" TargetMode="External"/><Relationship Id="rId25451" Type="http://schemas.openxmlformats.org/officeDocument/2006/relationships/hyperlink" Target="https://twitter.com/TheHippieVanMan/status/724439769934127104" TargetMode="External"/><Relationship Id="rId6192" Type="http://schemas.openxmlformats.org/officeDocument/2006/relationships/hyperlink" Target="https://pbs.twimg.com/profile_images/413720367057104896/NJBjejNz_normal.jpeg" TargetMode="External"/><Relationship Id="rId7243" Type="http://schemas.openxmlformats.org/officeDocument/2006/relationships/hyperlink" Target="https://pbs.twimg.com/profile_images/2770347874/15a72fbead709b772a6a2f4b3e23cced_normal.jpeg" TargetMode="External"/><Relationship Id="rId10571" Type="http://schemas.openxmlformats.org/officeDocument/2006/relationships/hyperlink" Target="https://pbs.twimg.com/profile_images/482299890509578240/8vKC9fS-_normal.jpeg" TargetMode="External"/><Relationship Id="rId11622" Type="http://schemas.openxmlformats.org/officeDocument/2006/relationships/hyperlink" Target="https://twitter.com/ILCtsxv/status/723504355031285760" TargetMode="External"/><Relationship Id="rId24053" Type="http://schemas.openxmlformats.org/officeDocument/2006/relationships/hyperlink" Target="https://twitter.com/federic93054929" TargetMode="External"/><Relationship Id="rId25104" Type="http://schemas.openxmlformats.org/officeDocument/2006/relationships/hyperlink" Target="https://twitter.com/psipika" TargetMode="External"/><Relationship Id="rId10224" Type="http://schemas.openxmlformats.org/officeDocument/2006/relationships/hyperlink" Target="https://twitter.com/AFECTADOGRUPOVW/status/723466250974826497" TargetMode="External"/><Relationship Id="rId13794" Type="http://schemas.openxmlformats.org/officeDocument/2006/relationships/hyperlink" Target="https://twitter.com/VWCamperSales/status/723556367651344384" TargetMode="External"/><Relationship Id="rId14845" Type="http://schemas.openxmlformats.org/officeDocument/2006/relationships/hyperlink" Target="https://pbs.twimg.com/profile_images/607945158869549056/NV8RBT1d_normal.jpg" TargetMode="External"/><Relationship Id="rId3853" Type="http://schemas.openxmlformats.org/officeDocument/2006/relationships/hyperlink" Target="https://twitter.com/SloggettRyan/status/723170725507543040" TargetMode="External"/><Relationship Id="rId4904" Type="http://schemas.openxmlformats.org/officeDocument/2006/relationships/hyperlink" Target="https://pbs.twimg.com/profile_images/504228370566381569/llQRuM9S_normal.jpeg" TargetMode="External"/><Relationship Id="rId9068" Type="http://schemas.openxmlformats.org/officeDocument/2006/relationships/hyperlink" Target="https://twitter.com/roansub/status/723420856395784192" TargetMode="External"/><Relationship Id="rId12396" Type="http://schemas.openxmlformats.org/officeDocument/2006/relationships/hyperlink" Target="https://twitter.com/VWBeetleSales" TargetMode="External"/><Relationship Id="rId13447" Type="http://schemas.openxmlformats.org/officeDocument/2006/relationships/hyperlink" Target="https://twitter.com/VeeDubMk1_" TargetMode="External"/><Relationship Id="rId20663" Type="http://schemas.openxmlformats.org/officeDocument/2006/relationships/hyperlink" Target="https://twitter.com/Bionicfog" TargetMode="External"/><Relationship Id="rId21714" Type="http://schemas.openxmlformats.org/officeDocument/2006/relationships/hyperlink" Target="https://twitter.com/VWBeetleSales/status/724171931289669632" TargetMode="External"/><Relationship Id="rId774" Type="http://schemas.openxmlformats.org/officeDocument/2006/relationships/hyperlink" Target="https://twitter.com/mellin_walter/status/722980720633737216" TargetMode="External"/><Relationship Id="rId1057" Type="http://schemas.openxmlformats.org/officeDocument/2006/relationships/hyperlink" Target="https://twitter.com/matt_fowler79/status/723015838719074305" TargetMode="External"/><Relationship Id="rId2455" Type="http://schemas.openxmlformats.org/officeDocument/2006/relationships/hyperlink" Target="https://twitter.com/anadin325" TargetMode="External"/><Relationship Id="rId3506" Type="http://schemas.openxmlformats.org/officeDocument/2006/relationships/hyperlink" Target="https://pbs.twimg.com/profile_images/723344673968906241/aJhqxNhP_normal.jpg" TargetMode="External"/><Relationship Id="rId12049" Type="http://schemas.openxmlformats.org/officeDocument/2006/relationships/hyperlink" Target="https://twitter.com/FAZ_Top" TargetMode="External"/><Relationship Id="rId19490" Type="http://schemas.openxmlformats.org/officeDocument/2006/relationships/hyperlink" Target="https://twitter.com/dddddyang/status/723937018049232897" TargetMode="External"/><Relationship Id="rId20316" Type="http://schemas.openxmlformats.org/officeDocument/2006/relationships/hyperlink" Target="https://twitter.com/kelllsohara/status/723990309881843712" TargetMode="External"/><Relationship Id="rId23886" Type="http://schemas.openxmlformats.org/officeDocument/2006/relationships/hyperlink" Target="https://pbs.twimg.com/profile_images/652871584131092480/QA_B6SBO_normal.jpg" TargetMode="External"/><Relationship Id="rId24937" Type="http://schemas.openxmlformats.org/officeDocument/2006/relationships/hyperlink" Target="http://dlvr.it/" TargetMode="External"/><Relationship Id="rId427" Type="http://schemas.openxmlformats.org/officeDocument/2006/relationships/hyperlink" Target="https://pbs.twimg.com/profile_images/667876096088653825/FOW14Ke4_normal.jpg" TargetMode="External"/><Relationship Id="rId2108" Type="http://schemas.openxmlformats.org/officeDocument/2006/relationships/hyperlink" Target="https://twitter.com/VCT_Tweets/status/723082544661540864" TargetMode="External"/><Relationship Id="rId5678" Type="http://schemas.openxmlformats.org/officeDocument/2006/relationships/hyperlink" Target="http://dlvr.it/" TargetMode="External"/><Relationship Id="rId6729" Type="http://schemas.openxmlformats.org/officeDocument/2006/relationships/hyperlink" Target="https://pbs.twimg.com/profile_images/677140771783450624/9_7T_mk7_normal.jpg" TargetMode="External"/><Relationship Id="rId12530" Type="http://schemas.openxmlformats.org/officeDocument/2006/relationships/hyperlink" Target="https://twitter.com/patriarchator/status/723521885313572864" TargetMode="External"/><Relationship Id="rId18092" Type="http://schemas.openxmlformats.org/officeDocument/2006/relationships/hyperlink" Target="https://pbs.twimg.com/profile_images/378800000572104796/1de43e1cf23efb3f4101c02afad0d3b6_normal.png" TargetMode="External"/><Relationship Id="rId19143" Type="http://schemas.openxmlformats.org/officeDocument/2006/relationships/hyperlink" Target="https://twitter.com/aiqaserjeddah/status/723921430547709953" TargetMode="External"/><Relationship Id="rId22488" Type="http://schemas.openxmlformats.org/officeDocument/2006/relationships/hyperlink" Target="https://twitter.com/andreascseh" TargetMode="External"/><Relationship Id="rId23539" Type="http://schemas.openxmlformats.org/officeDocument/2006/relationships/hyperlink" Target="https://pbs.twimg.com/profile_images/633346486823190529/bN4Fxs99_normal.jpg" TargetMode="External"/><Relationship Id="rId8151" Type="http://schemas.openxmlformats.org/officeDocument/2006/relationships/hyperlink" Target="https://pbs.twimg.com/profile_images/652871584131092480/QA_B6SBO_normal.jpg" TargetMode="External"/><Relationship Id="rId9202" Type="http://schemas.openxmlformats.org/officeDocument/2006/relationships/hyperlink" Target="https://twitter.com/shinemyrideuk/status/723424947444412416" TargetMode="External"/><Relationship Id="rId10081" Type="http://schemas.openxmlformats.org/officeDocument/2006/relationships/hyperlink" Target="https://twitter.com/AFECTADOGRUPOVW" TargetMode="External"/><Relationship Id="rId11132" Type="http://schemas.openxmlformats.org/officeDocument/2006/relationships/hyperlink" Target="https://twitter.com/beetlebug1938" TargetMode="External"/><Relationship Id="rId4761" Type="http://schemas.openxmlformats.org/officeDocument/2006/relationships/hyperlink" Target="https://pbs.twimg.com/profile_images/494223149756456961/0wvIFrE4_normal.jpeg" TargetMode="External"/><Relationship Id="rId15753" Type="http://schemas.openxmlformats.org/officeDocument/2006/relationships/hyperlink" Target="https://pbs.twimg.com/profile_images/672878354127839232/M7OYc-zx_normal.jpg" TargetMode="External"/><Relationship Id="rId16804" Type="http://schemas.openxmlformats.org/officeDocument/2006/relationships/hyperlink" Target="https://twitter.com/bodo1962/status/723735165063847936" TargetMode="External"/><Relationship Id="rId3363" Type="http://schemas.openxmlformats.org/officeDocument/2006/relationships/hyperlink" Target="https://twitter.com/UT_TEXAS_PROMO/status/723153808092590081" TargetMode="External"/><Relationship Id="rId4414" Type="http://schemas.openxmlformats.org/officeDocument/2006/relationships/hyperlink" Target="https://pbs.twimg.com/profile_images/474185502388518912/sROk9L0u_normal.png" TargetMode="External"/><Relationship Id="rId5812" Type="http://schemas.openxmlformats.org/officeDocument/2006/relationships/hyperlink" Target="https://twitter.com/VintageGermanPt/status/723218533048549376" TargetMode="External"/><Relationship Id="rId14008" Type="http://schemas.openxmlformats.org/officeDocument/2006/relationships/hyperlink" Target="https://pbs.twimg.com/profile_images/639226902847336449/weajyr2s_normal.jpg" TargetMode="External"/><Relationship Id="rId14355" Type="http://schemas.openxmlformats.org/officeDocument/2006/relationships/hyperlink" Target="https://twitter.com/beetlebug1938/status/723573102752440320" TargetMode="External"/><Relationship Id="rId15406" Type="http://schemas.openxmlformats.org/officeDocument/2006/relationships/hyperlink" Target="https://twitter.com/Konradinform" TargetMode="External"/><Relationship Id="rId18976" Type="http://schemas.openxmlformats.org/officeDocument/2006/relationships/hyperlink" Target="https://twitter.com/AndyRArmstrong/status/723910691036372992" TargetMode="External"/><Relationship Id="rId20173" Type="http://schemas.openxmlformats.org/officeDocument/2006/relationships/hyperlink" Target="https://twitter.com/ALBADERTSCHER" TargetMode="External"/><Relationship Id="rId21571" Type="http://schemas.openxmlformats.org/officeDocument/2006/relationships/hyperlink" Target="https://twitter.com/TatiiVenegaa" TargetMode="External"/><Relationship Id="rId22622" Type="http://schemas.openxmlformats.org/officeDocument/2006/relationships/hyperlink" Target="https://pbs.twimg.com/profile_images/619590752906149888/gOJBR12k_normal.jpg" TargetMode="External"/><Relationship Id="rId284" Type="http://schemas.openxmlformats.org/officeDocument/2006/relationships/hyperlink" Target="https://twitter.com/businessanglr/status/722942936883838976" TargetMode="External"/><Relationship Id="rId3016" Type="http://schemas.openxmlformats.org/officeDocument/2006/relationships/hyperlink" Target="https://twitter.com/VolkswagenPost/status/723132675477766147" TargetMode="External"/><Relationship Id="rId7984" Type="http://schemas.openxmlformats.org/officeDocument/2006/relationships/hyperlink" Target="https://twitter.com/AdgmanA" TargetMode="External"/><Relationship Id="rId10965" Type="http://schemas.openxmlformats.org/officeDocument/2006/relationships/hyperlink" Target="https://twitter.com/ojt_1" TargetMode="External"/><Relationship Id="rId17578" Type="http://schemas.openxmlformats.org/officeDocument/2006/relationships/hyperlink" Target="https://twitter.com/vagmenhq" TargetMode="External"/><Relationship Id="rId18629" Type="http://schemas.openxmlformats.org/officeDocument/2006/relationships/hyperlink" Target="https://pbs.twimg.com/profile_images/723628966578393088/A7-vmc68_normal.jpg" TargetMode="External"/><Relationship Id="rId21224" Type="http://schemas.openxmlformats.org/officeDocument/2006/relationships/hyperlink" Target="https://twitter.com/er__in/status/724127927667806213" TargetMode="External"/><Relationship Id="rId24794" Type="http://schemas.openxmlformats.org/officeDocument/2006/relationships/hyperlink" Target="http://dlvr.it/" TargetMode="External"/><Relationship Id="rId5188" Type="http://schemas.openxmlformats.org/officeDocument/2006/relationships/hyperlink" Target="https://twitter.com/cmbautomotive/status/723196935725809665" TargetMode="External"/><Relationship Id="rId6586" Type="http://schemas.openxmlformats.org/officeDocument/2006/relationships/hyperlink" Target="https://pbs.twimg.com/profile_images/693156293842894848/THX8L389_normal.jpg" TargetMode="External"/><Relationship Id="rId7637" Type="http://schemas.openxmlformats.org/officeDocument/2006/relationships/hyperlink" Target="https://pbs.twimg.com/profile_images/722218502476705793/urTvDvSr_normal.jpg" TargetMode="External"/><Relationship Id="rId10618" Type="http://schemas.openxmlformats.org/officeDocument/2006/relationships/hyperlink" Target="https://twitter.com/Funny1963/status/723478924349583360" TargetMode="External"/><Relationship Id="rId23396" Type="http://schemas.openxmlformats.org/officeDocument/2006/relationships/hyperlink" Target="https://pbs.twimg.com/profile_images/524019859764822018/Vd7XM8iP_normal.jpeg" TargetMode="External"/><Relationship Id="rId24447" Type="http://schemas.openxmlformats.org/officeDocument/2006/relationships/hyperlink" Target="https://twitter.com/Vintage_Cars" TargetMode="External"/><Relationship Id="rId6239" Type="http://schemas.openxmlformats.org/officeDocument/2006/relationships/hyperlink" Target="https://pbs.twimg.com/profile_images/710553759043219462/arY55pu1_normal.jpg" TargetMode="External"/><Relationship Id="rId12040" Type="http://schemas.openxmlformats.org/officeDocument/2006/relationships/hyperlink" Target="https://twitter.com/FAZ_Eil" TargetMode="External"/><Relationship Id="rId16661" Type="http://schemas.openxmlformats.org/officeDocument/2006/relationships/hyperlink" Target="https://twitter.com/beetlebug1938" TargetMode="External"/><Relationship Id="rId23049" Type="http://schemas.openxmlformats.org/officeDocument/2006/relationships/hyperlink" Target="https://twitter.com/RVSalesJC" TargetMode="External"/><Relationship Id="rId1798" Type="http://schemas.openxmlformats.org/officeDocument/2006/relationships/hyperlink" Target="https://twitter.com/techhippie" TargetMode="External"/><Relationship Id="rId2849" Type="http://schemas.openxmlformats.org/officeDocument/2006/relationships/hyperlink" Target="https://pbs.twimg.com/profile_images/3325520037/cf2027069deae5dc44e82172d33a6683_normal.jpeg" TargetMode="External"/><Relationship Id="rId6720" Type="http://schemas.openxmlformats.org/officeDocument/2006/relationships/hyperlink" Target="https://twitter.com/adatherton" TargetMode="External"/><Relationship Id="rId15263" Type="http://schemas.openxmlformats.org/officeDocument/2006/relationships/hyperlink" Target="https://twitter.com/espasa/status/723601675991298049" TargetMode="External"/><Relationship Id="rId16314" Type="http://schemas.openxmlformats.org/officeDocument/2006/relationships/hyperlink" Target="https://pbs.twimg.com/profile_images/1610421423/Image2_normal.jpg" TargetMode="External"/><Relationship Id="rId17712" Type="http://schemas.openxmlformats.org/officeDocument/2006/relationships/hyperlink" Target="https://twitter.com/Scirocco_Tuning" TargetMode="External"/><Relationship Id="rId23530" Type="http://schemas.openxmlformats.org/officeDocument/2006/relationships/hyperlink" Target="https://pbs.twimg.com/profile_images/721584519963418624/ibxhV96N_normal.jpg" TargetMode="External"/><Relationship Id="rId4271" Type="http://schemas.openxmlformats.org/officeDocument/2006/relationships/hyperlink" Target="https://twitter.com/FuscaWorld" TargetMode="External"/><Relationship Id="rId5322" Type="http://schemas.openxmlformats.org/officeDocument/2006/relationships/hyperlink" Target="https://twitter.com/SocialMAXorg" TargetMode="External"/><Relationship Id="rId8892" Type="http://schemas.openxmlformats.org/officeDocument/2006/relationships/hyperlink" Target="https://twitter.com/coccicab71/status/723410373223669760" TargetMode="External"/><Relationship Id="rId19884" Type="http://schemas.openxmlformats.org/officeDocument/2006/relationships/hyperlink" Target="https://pbs.twimg.com/profile_images/499178356295094272/IWQKuDTS_normal.jpeg" TargetMode="External"/><Relationship Id="rId21081" Type="http://schemas.openxmlformats.org/officeDocument/2006/relationships/hyperlink" Target="https://pbs.twimg.com/profile_images/530071272881803264/a_jcCmPZ_normal.png" TargetMode="External"/><Relationship Id="rId22132" Type="http://schemas.openxmlformats.org/officeDocument/2006/relationships/hyperlink" Target="https://pbs.twimg.com/profile_images/702511217793863680/lty8h9vE_normal.jpg" TargetMode="External"/><Relationship Id="rId7494" Type="http://schemas.openxmlformats.org/officeDocument/2006/relationships/hyperlink" Target="https://twitter.com/following_jobs" TargetMode="External"/><Relationship Id="rId8545" Type="http://schemas.openxmlformats.org/officeDocument/2006/relationships/hyperlink" Target="https://twitter.com/doestrei" TargetMode="External"/><Relationship Id="rId9943" Type="http://schemas.openxmlformats.org/officeDocument/2006/relationships/hyperlink" Target="https://twitter.com/MarkCSchneider/status/723454723160956928" TargetMode="External"/><Relationship Id="rId11873" Type="http://schemas.openxmlformats.org/officeDocument/2006/relationships/hyperlink" Target="https://twitter.com/Beukennon" TargetMode="External"/><Relationship Id="rId12924" Type="http://schemas.openxmlformats.org/officeDocument/2006/relationships/hyperlink" Target="https://twitter.com/whosaidwhat_bot" TargetMode="External"/><Relationship Id="rId17088" Type="http://schemas.openxmlformats.org/officeDocument/2006/relationships/hyperlink" Target="https://pbs.twimg.com/profile_images/531108045451837442/KHuLHxmU_normal.jpeg" TargetMode="External"/><Relationship Id="rId18139" Type="http://schemas.openxmlformats.org/officeDocument/2006/relationships/hyperlink" Target="https://twitter.com/Dandii/status/723846668744056833" TargetMode="External"/><Relationship Id="rId18486" Type="http://schemas.openxmlformats.org/officeDocument/2006/relationships/hyperlink" Target="https://twitter.com/alfabiszetta" TargetMode="External"/><Relationship Id="rId19537" Type="http://schemas.openxmlformats.org/officeDocument/2006/relationships/hyperlink" Target="https://pbs.twimg.com/profile_images/378800000854855954/0d555726054b01e3c9d6b5241432dc4a_normal.jpeg" TargetMode="External"/><Relationship Id="rId25355" Type="http://schemas.openxmlformats.org/officeDocument/2006/relationships/hyperlink" Target="https://pbs.twimg.com/profile_images/424893967197433858/iQ86NktX_normal.jpeg" TargetMode="External"/><Relationship Id="rId1932" Type="http://schemas.openxmlformats.org/officeDocument/2006/relationships/hyperlink" Target="https://twitter.com/Armored_Horse/status/723068862472830976" TargetMode="External"/><Relationship Id="rId6096" Type="http://schemas.openxmlformats.org/officeDocument/2006/relationships/hyperlink" Target="https://twitter.com/porkpiefrank" TargetMode="External"/><Relationship Id="rId7147" Type="http://schemas.openxmlformats.org/officeDocument/2006/relationships/hyperlink" Target="https://twitter.com/m_yury" TargetMode="External"/><Relationship Id="rId10475" Type="http://schemas.openxmlformats.org/officeDocument/2006/relationships/hyperlink" Target="https://twitter.com/lnlMartinl" TargetMode="External"/><Relationship Id="rId11526" Type="http://schemas.openxmlformats.org/officeDocument/2006/relationships/hyperlink" Target="https://pbs.twimg.com/profile_images/1453053624/me_normal.jpg" TargetMode="External"/><Relationship Id="rId25008" Type="http://schemas.openxmlformats.org/officeDocument/2006/relationships/hyperlink" Target="https://pbs.twimg.com/profile_images/477500940014989312/nriL3nwv_normal.png" TargetMode="External"/><Relationship Id="rId10128" Type="http://schemas.openxmlformats.org/officeDocument/2006/relationships/hyperlink" Target="https://twitter.com/oe1journale/status/723463690247393280" TargetMode="External"/><Relationship Id="rId13698" Type="http://schemas.openxmlformats.org/officeDocument/2006/relationships/hyperlink" Target="https://pbs.twimg.com/profile_images/446781974452371456/rqBZF-KN_normal.jpeg" TargetMode="External"/><Relationship Id="rId14749" Type="http://schemas.openxmlformats.org/officeDocument/2006/relationships/hyperlink" Target="https://twitter.com/techhippie" TargetMode="External"/><Relationship Id="rId18620" Type="http://schemas.openxmlformats.org/officeDocument/2006/relationships/hyperlink" Target="https://twitter.com/danny_macaskill" TargetMode="External"/><Relationship Id="rId21965" Type="http://schemas.openxmlformats.org/officeDocument/2006/relationships/hyperlink" Target="https://twitter.com/kuka434" TargetMode="External"/><Relationship Id="rId3757" Type="http://schemas.openxmlformats.org/officeDocument/2006/relationships/hyperlink" Target="https://pbs.twimg.com/profile_images/499178356295094272/IWQKuDTS_normal.jpeg" TargetMode="External"/><Relationship Id="rId4808" Type="http://schemas.openxmlformats.org/officeDocument/2006/relationships/hyperlink" Target="https://twitter.com/VolkswagenPost/status/723188380591370240" TargetMode="External"/><Relationship Id="rId16171" Type="http://schemas.openxmlformats.org/officeDocument/2006/relationships/hyperlink" Target="https://twitter.com/VeeDubMk1_/status/723653054915051520" TargetMode="External"/><Relationship Id="rId17222" Type="http://schemas.openxmlformats.org/officeDocument/2006/relationships/hyperlink" Target="https://twitter.com/darrenshirley" TargetMode="External"/><Relationship Id="rId20567" Type="http://schemas.openxmlformats.org/officeDocument/2006/relationships/hyperlink" Target="https://twitter.com/JustKampers" TargetMode="External"/><Relationship Id="rId21618" Type="http://schemas.openxmlformats.org/officeDocument/2006/relationships/hyperlink" Target="https://twitter.com/dubbusses/status/724163819916931073" TargetMode="External"/><Relationship Id="rId678" Type="http://schemas.openxmlformats.org/officeDocument/2006/relationships/hyperlink" Target="https://twitter.com/jas0nrbakker" TargetMode="External"/><Relationship Id="rId2359" Type="http://schemas.openxmlformats.org/officeDocument/2006/relationships/hyperlink" Target="http://ctrlq.org/maps/address/" TargetMode="External"/><Relationship Id="rId6230" Type="http://schemas.openxmlformats.org/officeDocument/2006/relationships/hyperlink" Target="https://pbs.twimg.com/profile_images/718275890933809156/npH4oxJP_normal.jpg" TargetMode="External"/><Relationship Id="rId19394" Type="http://schemas.openxmlformats.org/officeDocument/2006/relationships/hyperlink" Target="https://pbs.twimg.com/profile_images/683743044038868992/YVOYW93l_normal.png" TargetMode="External"/><Relationship Id="rId23040" Type="http://schemas.openxmlformats.org/officeDocument/2006/relationships/hyperlink" Target="https://twitter.com/Fernspieler" TargetMode="External"/><Relationship Id="rId9453" Type="http://schemas.openxmlformats.org/officeDocument/2006/relationships/hyperlink" Target="https://pbs.twimg.com/profile_images/652191269934993408/5bZKOI8y_normal.jpg" TargetMode="External"/><Relationship Id="rId11383" Type="http://schemas.openxmlformats.org/officeDocument/2006/relationships/hyperlink" Target="https://twitter.com/f_zenklusen" TargetMode="External"/><Relationship Id="rId12781" Type="http://schemas.openxmlformats.org/officeDocument/2006/relationships/hyperlink" Target="https://pbs.twimg.com/profile_images/2754194923/5cb21cec531f4267a70e38e4d675cb79_normal.png" TargetMode="External"/><Relationship Id="rId13832" Type="http://schemas.openxmlformats.org/officeDocument/2006/relationships/hyperlink" Target="https://pbs.twimg.com/profile_images/555079143658754048/kkWBVbbF_normal.jpeg" TargetMode="External"/><Relationship Id="rId19047" Type="http://schemas.openxmlformats.org/officeDocument/2006/relationships/hyperlink" Target="https://twitter.com/VotelTravels/status/723916011158798337" TargetMode="External"/><Relationship Id="rId812" Type="http://schemas.openxmlformats.org/officeDocument/2006/relationships/hyperlink" Target="https://pbs.twimg.com/profile_images/693447250224087040/au64Cdjo_normal.jpg" TargetMode="External"/><Relationship Id="rId1442" Type="http://schemas.openxmlformats.org/officeDocument/2006/relationships/hyperlink" Target="https://twitter.com/damienmcguin" TargetMode="External"/><Relationship Id="rId2840" Type="http://schemas.openxmlformats.org/officeDocument/2006/relationships/hyperlink" Target="https://pbs.twimg.com/profile_images/2342275131/7y3aojour1wv5eptfttj_normal.png" TargetMode="External"/><Relationship Id="rId8055" Type="http://schemas.openxmlformats.org/officeDocument/2006/relationships/hyperlink" Target="https://twitter.com/Rodrigocana/status/723356990156591106" TargetMode="External"/><Relationship Id="rId9106" Type="http://schemas.openxmlformats.org/officeDocument/2006/relationships/hyperlink" Target="https://twitter.com/E15news" TargetMode="External"/><Relationship Id="rId11036" Type="http://schemas.openxmlformats.org/officeDocument/2006/relationships/hyperlink" Target="https://twitter.com/LenaHR2/status/723495115600351234" TargetMode="External"/><Relationship Id="rId12434" Type="http://schemas.openxmlformats.org/officeDocument/2006/relationships/hyperlink" Target="https://twitter.com/selmissary/status/723519547828015106" TargetMode="External"/><Relationship Id="rId20701" Type="http://schemas.openxmlformats.org/officeDocument/2006/relationships/hyperlink" Target="http://ctrlq.org/maps/address/" TargetMode="External"/><Relationship Id="rId15657" Type="http://schemas.openxmlformats.org/officeDocument/2006/relationships/hyperlink" Target="https://twitter.com/beetlebug1938/status/723618471897096192" TargetMode="External"/><Relationship Id="rId16708" Type="http://schemas.openxmlformats.org/officeDocument/2006/relationships/hyperlink" Target="https://twitter.com/bjsommerville/status/723712892843892736" TargetMode="External"/><Relationship Id="rId22873" Type="http://schemas.openxmlformats.org/officeDocument/2006/relationships/hyperlink" Target="https://pbs.twimg.com/profile_images/455487722975526912/Pmh2rIfj_normal.jpeg" TargetMode="External"/><Relationship Id="rId23924" Type="http://schemas.openxmlformats.org/officeDocument/2006/relationships/hyperlink" Target="https://twitter.com/beetlebug1938" TargetMode="External"/><Relationship Id="rId3267" Type="http://schemas.openxmlformats.org/officeDocument/2006/relationships/hyperlink" Target="https://twitter.com/BtoBolz/status/723148337331859456" TargetMode="External"/><Relationship Id="rId4665" Type="http://schemas.openxmlformats.org/officeDocument/2006/relationships/hyperlink" Target="http://dlvr.it/" TargetMode="External"/><Relationship Id="rId5716" Type="http://schemas.openxmlformats.org/officeDocument/2006/relationships/hyperlink" Target="https://pbs.twimg.com/profile_images/530071272881803264/a_jcCmPZ_normal.png" TargetMode="External"/><Relationship Id="rId14259" Type="http://schemas.openxmlformats.org/officeDocument/2006/relationships/hyperlink" Target="https://pbs.twimg.com/profile_images/700422463398813699/45Mt73Ga_normal.jpg" TargetMode="External"/><Relationship Id="rId18130" Type="http://schemas.openxmlformats.org/officeDocument/2006/relationships/hyperlink" Target="https://twitter.com/FuscaWorld/status/723846147350122496" TargetMode="External"/><Relationship Id="rId21475" Type="http://schemas.openxmlformats.org/officeDocument/2006/relationships/hyperlink" Target="https://pbs.twimg.com/profile_images/662371572334899201/pEgOGO4U_normal.jpg" TargetMode="External"/><Relationship Id="rId22526" Type="http://schemas.openxmlformats.org/officeDocument/2006/relationships/hyperlink" Target="http://dlvr.it/" TargetMode="External"/><Relationship Id="rId188" Type="http://schemas.openxmlformats.org/officeDocument/2006/relationships/hyperlink" Target="https://twitter.com/SCGsoflo/status/722933093267419136" TargetMode="External"/><Relationship Id="rId4318" Type="http://schemas.openxmlformats.org/officeDocument/2006/relationships/hyperlink" Target="https://twitter.com/instock_de" TargetMode="External"/><Relationship Id="rId7888" Type="http://schemas.openxmlformats.org/officeDocument/2006/relationships/hyperlink" Target="https://pbs.twimg.com/profile_images/689509767400820737/RMJYtaTw_normal.jpg" TargetMode="External"/><Relationship Id="rId8939" Type="http://schemas.openxmlformats.org/officeDocument/2006/relationships/hyperlink" Target="https://twitter.com/autogazette" TargetMode="External"/><Relationship Id="rId10869" Type="http://schemas.openxmlformats.org/officeDocument/2006/relationships/hyperlink" Target="https://twitter.com/erikvindedzis" TargetMode="External"/><Relationship Id="rId14740" Type="http://schemas.openxmlformats.org/officeDocument/2006/relationships/hyperlink" Target="https://twitter.com/OseaesO" TargetMode="External"/><Relationship Id="rId20077" Type="http://schemas.openxmlformats.org/officeDocument/2006/relationships/hyperlink" Target="https://pbs.twimg.com/profile_images/615682819499626496/4VXS8ESF_normal.jpg" TargetMode="External"/><Relationship Id="rId21128" Type="http://schemas.openxmlformats.org/officeDocument/2006/relationships/hyperlink" Target="https://twitter.com/pinoywilson" TargetMode="External"/><Relationship Id="rId24698" Type="http://schemas.openxmlformats.org/officeDocument/2006/relationships/hyperlink" Target="https://twitter.com/SrtaSaiaburu" TargetMode="External"/><Relationship Id="rId25749" Type="http://schemas.openxmlformats.org/officeDocument/2006/relationships/hyperlink" Target="https://twitter.com/mannyWHU" TargetMode="External"/><Relationship Id="rId12291" Type="http://schemas.openxmlformats.org/officeDocument/2006/relationships/hyperlink" Target="https://pbs.twimg.com/profile_images/719417054240108544/teV1mM6A_normal.jpg" TargetMode="External"/><Relationship Id="rId13342" Type="http://schemas.openxmlformats.org/officeDocument/2006/relationships/hyperlink" Target="https://pbs.twimg.com/profile_images/683994900644401153/XiE_zUVV_normal.jpg" TargetMode="External"/><Relationship Id="rId2350" Type="http://schemas.openxmlformats.org/officeDocument/2006/relationships/hyperlink" Target="https://twitter.com/DoMarMac/status/723096801755144192" TargetMode="External"/><Relationship Id="rId3401" Type="http://schemas.openxmlformats.org/officeDocument/2006/relationships/hyperlink" Target="https://twitter.com/321usw" TargetMode="External"/><Relationship Id="rId6971" Type="http://schemas.openxmlformats.org/officeDocument/2006/relationships/hyperlink" Target="https://pbs.twimg.com/profile_images/627949001179037696/skEBkS05_normal.jpg" TargetMode="External"/><Relationship Id="rId17963" Type="http://schemas.openxmlformats.org/officeDocument/2006/relationships/hyperlink" Target="https://twitter.com/NetzwerkggS21" TargetMode="External"/><Relationship Id="rId20211" Type="http://schemas.openxmlformats.org/officeDocument/2006/relationships/hyperlink" Target="https://pbs.twimg.com/profile_images/378800000674642483/4bcb1ac988f8e83031fc49c885ea124f_normal.jpeg" TargetMode="External"/><Relationship Id="rId322" Type="http://schemas.openxmlformats.org/officeDocument/2006/relationships/hyperlink" Target="https://twitter.com/VolkswagenPost" TargetMode="External"/><Relationship Id="rId2003" Type="http://schemas.openxmlformats.org/officeDocument/2006/relationships/hyperlink" Target="https://pbs.twimg.com/profile_images/601746963160240128/I5CRQlMA_normal.jpg" TargetMode="External"/><Relationship Id="rId5573" Type="http://schemas.openxmlformats.org/officeDocument/2006/relationships/hyperlink" Target="https://twitter.com/WowbaggerXX7/status/723209321530585088" TargetMode="External"/><Relationship Id="rId6624" Type="http://schemas.openxmlformats.org/officeDocument/2006/relationships/hyperlink" Target="http://dlvr.it/" TargetMode="External"/><Relationship Id="rId15167" Type="http://schemas.openxmlformats.org/officeDocument/2006/relationships/hyperlink" Target="https://twitter.com/VolkswagenPost/status/723596367134883840" TargetMode="External"/><Relationship Id="rId16218" Type="http://schemas.openxmlformats.org/officeDocument/2006/relationships/hyperlink" Target="https://twitter.com/VWBeetleSales" TargetMode="External"/><Relationship Id="rId16565" Type="http://schemas.openxmlformats.org/officeDocument/2006/relationships/hyperlink" Target="https://twitter.com/beetlebug1938/status/723695436133994496" TargetMode="External"/><Relationship Id="rId17616" Type="http://schemas.openxmlformats.org/officeDocument/2006/relationships/hyperlink" Target="https://pbs.twimg.com/profile_images/2551906812/65tp83amf7my90jmtv4t_normal.jpeg" TargetMode="External"/><Relationship Id="rId22383" Type="http://schemas.openxmlformats.org/officeDocument/2006/relationships/hyperlink" Target="https://twitter.com/VWBeetleSales" TargetMode="External"/><Relationship Id="rId23781" Type="http://schemas.openxmlformats.org/officeDocument/2006/relationships/hyperlink" Target="https://twitter.com/VeeDubMk1_/status/724311127530807296" TargetMode="External"/><Relationship Id="rId24832" Type="http://schemas.openxmlformats.org/officeDocument/2006/relationships/hyperlink" Target="https://twitter.com/dan_stange" TargetMode="External"/><Relationship Id="rId4175" Type="http://schemas.openxmlformats.org/officeDocument/2006/relationships/hyperlink" Target="https://twitter.com/MDRINFO" TargetMode="External"/><Relationship Id="rId5226" Type="http://schemas.openxmlformats.org/officeDocument/2006/relationships/hyperlink" Target="https://twitter.com/OnlineCarReview/status/723197997492764672" TargetMode="External"/><Relationship Id="rId19788" Type="http://schemas.openxmlformats.org/officeDocument/2006/relationships/hyperlink" Target="https://pbs.twimg.com/profile_images/717246812072099840/c74lY1eg_normal.jpg" TargetMode="External"/><Relationship Id="rId22036" Type="http://schemas.openxmlformats.org/officeDocument/2006/relationships/hyperlink" Target="https://twitter.com/GreenGreenwich" TargetMode="External"/><Relationship Id="rId23434" Type="http://schemas.openxmlformats.org/officeDocument/2006/relationships/hyperlink" Target="https://pbs.twimg.com/profile_images/714524596377092096/PkKj4kV9_normal.jpg" TargetMode="External"/><Relationship Id="rId7398" Type="http://schemas.openxmlformats.org/officeDocument/2006/relationships/hyperlink" Target="https://twitter.com/BaldwinsGerman/status/723300345636634625" TargetMode="External"/><Relationship Id="rId8796" Type="http://schemas.openxmlformats.org/officeDocument/2006/relationships/hyperlink" Target="https://twitter.com/Lennetaler/status/723407372039802881" TargetMode="External"/><Relationship Id="rId9847" Type="http://schemas.openxmlformats.org/officeDocument/2006/relationships/hyperlink" Target="https://twitter.com/RSTOKAR/status/723451389020610560" TargetMode="External"/><Relationship Id="rId11777" Type="http://schemas.openxmlformats.org/officeDocument/2006/relationships/hyperlink" Target="https://twitter.com/ibikus31" TargetMode="External"/><Relationship Id="rId12828" Type="http://schemas.openxmlformats.org/officeDocument/2006/relationships/hyperlink" Target="https://pbs.twimg.com/profile_images/668091779313500160/ZepxnJcI_normal.jpg" TargetMode="External"/><Relationship Id="rId1836" Type="http://schemas.openxmlformats.org/officeDocument/2006/relationships/hyperlink" Target="https://pbs.twimg.com/profile_images/489747056584445953/3tvslEko_normal.jpeg" TargetMode="External"/><Relationship Id="rId8449" Type="http://schemas.openxmlformats.org/officeDocument/2006/relationships/hyperlink" Target="https://pbs.twimg.com/profile_images/687419637429080064/YhD1MggI_normal.jpg" TargetMode="External"/><Relationship Id="rId10379" Type="http://schemas.openxmlformats.org/officeDocument/2006/relationships/hyperlink" Target="https://pbs.twimg.com/profile_images/2342275131/7y3aojour1wv5eptfttj_normal.png" TargetMode="External"/><Relationship Id="rId14250" Type="http://schemas.openxmlformats.org/officeDocument/2006/relationships/hyperlink" Target="https://pbs.twimg.com/profile_images/722251999287357441/OII4XCi9_normal.jpg" TargetMode="External"/><Relationship Id="rId15301" Type="http://schemas.openxmlformats.org/officeDocument/2006/relationships/hyperlink" Target="https://twitter.com/Solitairystorm" TargetMode="External"/><Relationship Id="rId18871" Type="http://schemas.openxmlformats.org/officeDocument/2006/relationships/hyperlink" Target="https://twitter.com/_Logistra_" TargetMode="External"/><Relationship Id="rId19922" Type="http://schemas.openxmlformats.org/officeDocument/2006/relationships/hyperlink" Target="https://twitter.com/SamuuNieto22/status/723963719437418497" TargetMode="External"/><Relationship Id="rId25259" Type="http://schemas.openxmlformats.org/officeDocument/2006/relationships/hyperlink" Target="https://twitter.com/perks_tre/status/724428756861870080" TargetMode="External"/><Relationship Id="rId8930" Type="http://schemas.openxmlformats.org/officeDocument/2006/relationships/hyperlink" Target="https://twitter.com/oekomobil" TargetMode="External"/><Relationship Id="rId17473" Type="http://schemas.openxmlformats.org/officeDocument/2006/relationships/hyperlink" Target="https://twitter.com/AlHaddadComm" TargetMode="External"/><Relationship Id="rId18524" Type="http://schemas.openxmlformats.org/officeDocument/2006/relationships/hyperlink" Target="https://twitter.com/JosBosboom_/status/723874601076289542" TargetMode="External"/><Relationship Id="rId21869" Type="http://schemas.openxmlformats.org/officeDocument/2006/relationships/hyperlink" Target="https://twitter.com/techhippie" TargetMode="External"/><Relationship Id="rId25740" Type="http://schemas.openxmlformats.org/officeDocument/2006/relationships/hyperlink" Target="https://twitter.com/GO_ShengExhaust" TargetMode="External"/><Relationship Id="rId6481" Type="http://schemas.openxmlformats.org/officeDocument/2006/relationships/hyperlink" Target="https://twitter.com/faznet/status/723244446356111360" TargetMode="External"/><Relationship Id="rId7532" Type="http://schemas.openxmlformats.org/officeDocument/2006/relationships/hyperlink" Target="https://pbs.twimg.com/profile_images/722105874236502017/_UHxBLQ-_normal.jpg" TargetMode="External"/><Relationship Id="rId10860" Type="http://schemas.openxmlformats.org/officeDocument/2006/relationships/hyperlink" Target="https://twitter.com/edubtrips" TargetMode="External"/><Relationship Id="rId11911" Type="http://schemas.openxmlformats.org/officeDocument/2006/relationships/hyperlink" Target="https://pbs.twimg.com/profile_images/720285529049141248/5BpRUnP3_normal.jpg" TargetMode="External"/><Relationship Id="rId16075" Type="http://schemas.openxmlformats.org/officeDocument/2006/relationships/hyperlink" Target="https://pbs.twimg.com/profile_images/690529057927249920/ei1xRfhk_normal.jpg" TargetMode="External"/><Relationship Id="rId17126" Type="http://schemas.openxmlformats.org/officeDocument/2006/relationships/hyperlink" Target="https://twitter.com/BioFares" TargetMode="External"/><Relationship Id="rId23291" Type="http://schemas.openxmlformats.org/officeDocument/2006/relationships/hyperlink" Target="https://twitter.com/_C4productions_/status/724278372591800321" TargetMode="External"/><Relationship Id="rId24342" Type="http://schemas.openxmlformats.org/officeDocument/2006/relationships/hyperlink" Target="https://twitter.com/klassikautos/status/724348988359585797" TargetMode="External"/><Relationship Id="rId5083" Type="http://schemas.openxmlformats.org/officeDocument/2006/relationships/hyperlink" Target="https://twitter.com/Titoo_Castro/status/723193877025443840" TargetMode="External"/><Relationship Id="rId6134" Type="http://schemas.openxmlformats.org/officeDocument/2006/relationships/hyperlink" Target="https://twitter.com/muzaffarkola/status/723232030427738112" TargetMode="External"/><Relationship Id="rId10513" Type="http://schemas.openxmlformats.org/officeDocument/2006/relationships/hyperlink" Target="https://twitter.com/TristanVeith" TargetMode="External"/><Relationship Id="rId19298" Type="http://schemas.openxmlformats.org/officeDocument/2006/relationships/hyperlink" Target="https://twitter.com/oldcar_photo/status/723926413804470272" TargetMode="External"/><Relationship Id="rId9357" Type="http://schemas.openxmlformats.org/officeDocument/2006/relationships/hyperlink" Target="https://twitter.com/VWBeetleSales" TargetMode="External"/><Relationship Id="rId12685" Type="http://schemas.openxmlformats.org/officeDocument/2006/relationships/hyperlink" Target="https://pbs.twimg.com/profile_images/378800000335923270/28b93167d820ba328841ae78f0a9c5d4_normal.jpeg" TargetMode="External"/><Relationship Id="rId13736" Type="http://schemas.openxmlformats.org/officeDocument/2006/relationships/hyperlink" Target="https://twitter.com/beluluna61/status/723554356986019840" TargetMode="External"/><Relationship Id="rId20952" Type="http://schemas.openxmlformats.org/officeDocument/2006/relationships/hyperlink" Target="https://twitter.com/privilegimports/status/724072405929496578" TargetMode="External"/><Relationship Id="rId1346" Type="http://schemas.openxmlformats.org/officeDocument/2006/relationships/hyperlink" Target="https://twitter.com/tgc_bs/status/723037063193473024" TargetMode="External"/><Relationship Id="rId1693" Type="http://schemas.openxmlformats.org/officeDocument/2006/relationships/hyperlink" Target="https://pbs.twimg.com/profile_images/2560671855/5poluh8q6tmr8x6ruq28_normal.jpeg" TargetMode="External"/><Relationship Id="rId2744" Type="http://schemas.openxmlformats.org/officeDocument/2006/relationships/hyperlink" Target="https://pbs.twimg.com/profile_images/702752945155264512/xL5DpDRh_normal.jpg" TargetMode="External"/><Relationship Id="rId11287" Type="http://schemas.openxmlformats.org/officeDocument/2006/relationships/hyperlink" Target="https://pbs.twimg.com/profile_images/393094957/td_normal.jpg" TargetMode="External"/><Relationship Id="rId12338" Type="http://schemas.openxmlformats.org/officeDocument/2006/relationships/hyperlink" Target="https://twitter.com/INCDOTPRINT" TargetMode="External"/><Relationship Id="rId16959" Type="http://schemas.openxmlformats.org/officeDocument/2006/relationships/hyperlink" Target="https://pbs.twimg.com/profile_images/574978715077083137/wSivJhc8_normal.png" TargetMode="External"/><Relationship Id="rId20605" Type="http://schemas.openxmlformats.org/officeDocument/2006/relationships/hyperlink" Target="https://twitter.com/VolkswagenPost" TargetMode="External"/><Relationship Id="rId716" Type="http://schemas.openxmlformats.org/officeDocument/2006/relationships/hyperlink" Target="https://twitter.com/BeginTry/status/722969276349435908" TargetMode="External"/><Relationship Id="rId5967" Type="http://schemas.openxmlformats.org/officeDocument/2006/relationships/hyperlink" Target="https://twitter.com/ABC7Suiters/status/723225580615950337" TargetMode="External"/><Relationship Id="rId18381" Type="http://schemas.openxmlformats.org/officeDocument/2006/relationships/hyperlink" Target="https://twitter.com/Insta_VWT/status/723866366860746754" TargetMode="External"/><Relationship Id="rId19432" Type="http://schemas.openxmlformats.org/officeDocument/2006/relationships/hyperlink" Target="https://twitter.com/Htee28" TargetMode="External"/><Relationship Id="rId22777" Type="http://schemas.openxmlformats.org/officeDocument/2006/relationships/hyperlink" Target="http://dlvr.it/" TargetMode="External"/><Relationship Id="rId23828" Type="http://schemas.openxmlformats.org/officeDocument/2006/relationships/hyperlink" Target="https://pbs.twimg.com/profile_images/653637535545995264/gHuXQ5Bt_normal.jpg" TargetMode="External"/><Relationship Id="rId52" Type="http://schemas.openxmlformats.org/officeDocument/2006/relationships/hyperlink" Target="https://twitter.com/louiscroberts" TargetMode="External"/><Relationship Id="rId4569" Type="http://schemas.openxmlformats.org/officeDocument/2006/relationships/hyperlink" Target="https://twitter.com/Its_All_Dave" TargetMode="External"/><Relationship Id="rId8440" Type="http://schemas.openxmlformats.org/officeDocument/2006/relationships/hyperlink" Target="http://ctrlq.org/maps/address/" TargetMode="External"/><Relationship Id="rId10370" Type="http://schemas.openxmlformats.org/officeDocument/2006/relationships/hyperlink" Target="https://pbs.twimg.com/profile_images/717784740649181184/OkgUAsi9_normal.jpg" TargetMode="External"/><Relationship Id="rId11421" Type="http://schemas.openxmlformats.org/officeDocument/2006/relationships/hyperlink" Target="https://pbs.twimg.com/profile_images/657853466384191488/J6vAnfZr_normal.jpg" TargetMode="External"/><Relationship Id="rId18034" Type="http://schemas.openxmlformats.org/officeDocument/2006/relationships/hyperlink" Target="https://pbs.twimg.com/profile_images/1244194437/DSC00094__Medium__normal.JPG" TargetMode="External"/><Relationship Id="rId21379" Type="http://schemas.openxmlformats.org/officeDocument/2006/relationships/hyperlink" Target="https://pbs.twimg.com/profile_images/654492505421942784/mJOspSI3_normal.jpg" TargetMode="External"/><Relationship Id="rId25250" Type="http://schemas.openxmlformats.org/officeDocument/2006/relationships/hyperlink" Target="https://twitter.com/machminer/status/724428592524996608" TargetMode="External"/><Relationship Id="rId7042" Type="http://schemas.openxmlformats.org/officeDocument/2006/relationships/hyperlink" Target="https://twitter.com/tatymontespr" TargetMode="External"/><Relationship Id="rId10023" Type="http://schemas.openxmlformats.org/officeDocument/2006/relationships/hyperlink" Target="https://pbs.twimg.com/profile_images/445545482572410880/pVcl7UPf_normal.jpeg" TargetMode="External"/><Relationship Id="rId13593" Type="http://schemas.openxmlformats.org/officeDocument/2006/relationships/hyperlink" Target="https://twitter.com/techhippie" TargetMode="External"/><Relationship Id="rId14991" Type="http://schemas.openxmlformats.org/officeDocument/2006/relationships/hyperlink" Target="https://twitter.com/VWCamperSales" TargetMode="External"/><Relationship Id="rId3652" Type="http://schemas.openxmlformats.org/officeDocument/2006/relationships/hyperlink" Target="https://twitter.com/NiicoleBeleen/status/723166742403530752" TargetMode="External"/><Relationship Id="rId4703" Type="http://schemas.openxmlformats.org/officeDocument/2006/relationships/hyperlink" Target="https://pbs.twimg.com/profile_images/488719995401027584/VzWWQNs__normal.jpeg" TargetMode="External"/><Relationship Id="rId12195" Type="http://schemas.openxmlformats.org/officeDocument/2006/relationships/hyperlink" Target="https://pbs.twimg.com/profile_images/588550162932436992/xhIjB0sA_normal.jpg" TargetMode="External"/><Relationship Id="rId13246" Type="http://schemas.openxmlformats.org/officeDocument/2006/relationships/hyperlink" Target="https://twitter.com/UlrikeLuehe" TargetMode="External"/><Relationship Id="rId14644" Type="http://schemas.openxmlformats.org/officeDocument/2006/relationships/hyperlink" Target="https://twitter.com/Legende2015/status/723578363626020865" TargetMode="External"/><Relationship Id="rId20462" Type="http://schemas.openxmlformats.org/officeDocument/2006/relationships/hyperlink" Target="https://twitter.com/saki12161114" TargetMode="External"/><Relationship Id="rId21860" Type="http://schemas.openxmlformats.org/officeDocument/2006/relationships/hyperlink" Target="https://twitter.com/jmponteville" TargetMode="External"/><Relationship Id="rId22911" Type="http://schemas.openxmlformats.org/officeDocument/2006/relationships/hyperlink" Target="https://twitter.com/johnwhalvin" TargetMode="External"/><Relationship Id="rId573" Type="http://schemas.openxmlformats.org/officeDocument/2006/relationships/hyperlink" Target="https://twitter.com/eimshiba" TargetMode="External"/><Relationship Id="rId2254" Type="http://schemas.openxmlformats.org/officeDocument/2006/relationships/hyperlink" Target="https://twitter.com/vwpress_de/status/723091311977443328" TargetMode="External"/><Relationship Id="rId3305" Type="http://schemas.openxmlformats.org/officeDocument/2006/relationships/hyperlink" Target="https://pbs.twimg.com/profile_images/722609828598792193/dMWp5Tag_normal.jpg" TargetMode="External"/><Relationship Id="rId17867" Type="http://schemas.openxmlformats.org/officeDocument/2006/relationships/hyperlink" Target="https://twitter.com/crewevw/status/723829271194570752" TargetMode="External"/><Relationship Id="rId18918" Type="http://schemas.openxmlformats.org/officeDocument/2006/relationships/hyperlink" Target="https://twitter.com/stasikasper" TargetMode="External"/><Relationship Id="rId20115" Type="http://schemas.openxmlformats.org/officeDocument/2006/relationships/hyperlink" Target="https://twitter.com/damian_fanelli" TargetMode="External"/><Relationship Id="rId21513" Type="http://schemas.openxmlformats.org/officeDocument/2006/relationships/hyperlink" Target="https://pbs.twimg.com/profile_images/685255985/Bild_2_normal.png" TargetMode="External"/><Relationship Id="rId226" Type="http://schemas.openxmlformats.org/officeDocument/2006/relationships/hyperlink" Target="https://twitter.com/chrispillennews" TargetMode="External"/><Relationship Id="rId5477" Type="http://schemas.openxmlformats.org/officeDocument/2006/relationships/hyperlink" Target="https://pbs.twimg.com/profile_images/700415860230397952/tCGmCj6M_normal.jpg" TargetMode="External"/><Relationship Id="rId6875" Type="http://schemas.openxmlformats.org/officeDocument/2006/relationships/hyperlink" Target="https://pbs.twimg.com/profile_images/1161196526/JOEA-hs6691-6x9_normal.jpg" TargetMode="External"/><Relationship Id="rId7926" Type="http://schemas.openxmlformats.org/officeDocument/2006/relationships/hyperlink" Target="https://twitter.com/Babsi58089/status/723342625496043520" TargetMode="External"/><Relationship Id="rId10907" Type="http://schemas.openxmlformats.org/officeDocument/2006/relationships/hyperlink" Target="https://pbs.twimg.com/profile_images/632074137289277440/vJykSc8L_normal.png" TargetMode="External"/><Relationship Id="rId16469" Type="http://schemas.openxmlformats.org/officeDocument/2006/relationships/hyperlink" Target="https://twitter.com/GastonVanini" TargetMode="External"/><Relationship Id="rId23685" Type="http://schemas.openxmlformats.org/officeDocument/2006/relationships/hyperlink" Target="https://twitter.com/Fernandez_Diego/status/724306128897753088" TargetMode="External"/><Relationship Id="rId24736" Type="http://schemas.openxmlformats.org/officeDocument/2006/relationships/hyperlink" Target="http://dlvr.it/" TargetMode="External"/><Relationship Id="rId4079" Type="http://schemas.openxmlformats.org/officeDocument/2006/relationships/hyperlink" Target="https://twitter.com/x3m_f/status/723175818931896320" TargetMode="External"/><Relationship Id="rId6528" Type="http://schemas.openxmlformats.org/officeDocument/2006/relationships/hyperlink" Target="https://twitter.com/fckleft" TargetMode="External"/><Relationship Id="rId9001" Type="http://schemas.openxmlformats.org/officeDocument/2006/relationships/hyperlink" Target="https://pbs.twimg.com/profile_images/628233882014457856/o87vMXlL_normal.jpg" TargetMode="External"/><Relationship Id="rId16950" Type="http://schemas.openxmlformats.org/officeDocument/2006/relationships/hyperlink" Target="https://pbs.twimg.com/profile_images/717626444621414401/KVtqVZeY_normal.jpg" TargetMode="External"/><Relationship Id="rId22287" Type="http://schemas.openxmlformats.org/officeDocument/2006/relationships/hyperlink" Target="https://pbs.twimg.com/profile_images/615493650785660928/XHUh6HOk_normal.jpg" TargetMode="External"/><Relationship Id="rId23338" Type="http://schemas.openxmlformats.org/officeDocument/2006/relationships/hyperlink" Target="https://pbs.twimg.com/profile_images/378800000528765970/3ab9f2a00010e9cac08d5ca1638926e9_normal.png" TargetMode="External"/><Relationship Id="rId15552" Type="http://schemas.openxmlformats.org/officeDocument/2006/relationships/hyperlink" Target="https://pbs.twimg.com/profile_images/723537497293238273/q5pBqVBg_normal.jpg" TargetMode="External"/><Relationship Id="rId16603" Type="http://schemas.openxmlformats.org/officeDocument/2006/relationships/hyperlink" Target="https://twitter.com/Insta_VWT" TargetMode="External"/><Relationship Id="rId4560" Type="http://schemas.openxmlformats.org/officeDocument/2006/relationships/hyperlink" Target="https://twitter.com/xpeten" TargetMode="External"/><Relationship Id="rId5611" Type="http://schemas.openxmlformats.org/officeDocument/2006/relationships/hyperlink" Target="https://twitter.com/stasikasper" TargetMode="External"/><Relationship Id="rId14154" Type="http://schemas.openxmlformats.org/officeDocument/2006/relationships/hyperlink" Target="https://twitter.com/J1Lord" TargetMode="External"/><Relationship Id="rId15205" Type="http://schemas.openxmlformats.org/officeDocument/2006/relationships/hyperlink" Target="https://twitter.com/CatsandCars007/status/723598854797455360" TargetMode="External"/><Relationship Id="rId21370" Type="http://schemas.openxmlformats.org/officeDocument/2006/relationships/hyperlink" Target="https://pbs.twimg.com/profile_images/716819659706777600/Z945kYnb_normal.jpg" TargetMode="External"/><Relationship Id="rId22421" Type="http://schemas.openxmlformats.org/officeDocument/2006/relationships/hyperlink" Target="https://twitter.com/seannosoul" TargetMode="External"/><Relationship Id="rId3162" Type="http://schemas.openxmlformats.org/officeDocument/2006/relationships/hyperlink" Target="https://twitter.com/Insta_VWT/status/723144309193760769" TargetMode="External"/><Relationship Id="rId4213" Type="http://schemas.openxmlformats.org/officeDocument/2006/relationships/hyperlink" Target="https://twitter.com/tagesschau" TargetMode="External"/><Relationship Id="rId7783" Type="http://schemas.openxmlformats.org/officeDocument/2006/relationships/hyperlink" Target="https://twitter.com/BraianNiseggi/status/723331009433985024" TargetMode="External"/><Relationship Id="rId8834" Type="http://schemas.openxmlformats.org/officeDocument/2006/relationships/hyperlink" Target="https://twitter.com/b_riexinger" TargetMode="External"/><Relationship Id="rId17377" Type="http://schemas.openxmlformats.org/officeDocument/2006/relationships/hyperlink" Target="https://twitter.com/Balefir3" TargetMode="External"/><Relationship Id="rId18428" Type="http://schemas.openxmlformats.org/officeDocument/2006/relationships/hyperlink" Target="https://twitter.com/eRplusP/status/723867935081697280" TargetMode="External"/><Relationship Id="rId18775" Type="http://schemas.openxmlformats.org/officeDocument/2006/relationships/hyperlink" Target="https://pbs.twimg.com/profile_images/703294545195307008/qeCvrX86_normal.jpg" TargetMode="External"/><Relationship Id="rId19826" Type="http://schemas.openxmlformats.org/officeDocument/2006/relationships/hyperlink" Target="https://pbs.twimg.com/profile_images/414218985224142848/lFUdEAne_normal.jpeg" TargetMode="External"/><Relationship Id="rId21023" Type="http://schemas.openxmlformats.org/officeDocument/2006/relationships/hyperlink" Target="https://twitter.com/SuranClub/status/724081900667715584" TargetMode="External"/><Relationship Id="rId24593" Type="http://schemas.openxmlformats.org/officeDocument/2006/relationships/hyperlink" Target="https://pbs.twimg.com/profile_images/1771451657/il_570xN.291650220_normal.jpg" TargetMode="External"/><Relationship Id="rId25644" Type="http://schemas.openxmlformats.org/officeDocument/2006/relationships/hyperlink" Target="https://twitter.com/camiilarommero" TargetMode="External"/><Relationship Id="rId6385" Type="http://schemas.openxmlformats.org/officeDocument/2006/relationships/hyperlink" Target="https://twitter.com/RETROPOT/status/723241537921015809" TargetMode="External"/><Relationship Id="rId7436" Type="http://schemas.openxmlformats.org/officeDocument/2006/relationships/hyperlink" Target="https://twitter.com/ChinaIFC" TargetMode="External"/><Relationship Id="rId10764" Type="http://schemas.openxmlformats.org/officeDocument/2006/relationships/hyperlink" Target="https://twitter.com/OnlineCarReview/status/723483967140175872" TargetMode="External"/><Relationship Id="rId11815" Type="http://schemas.openxmlformats.org/officeDocument/2006/relationships/hyperlink" Target="https://twitter.com/Fotobiene" TargetMode="External"/><Relationship Id="rId23195" Type="http://schemas.openxmlformats.org/officeDocument/2006/relationships/hyperlink" Target="https://twitter.com/VWCamperSales" TargetMode="External"/><Relationship Id="rId24246" Type="http://schemas.openxmlformats.org/officeDocument/2006/relationships/hyperlink" Target="https://twitter.com/I_Am_Golden07" TargetMode="External"/><Relationship Id="rId6038" Type="http://schemas.openxmlformats.org/officeDocument/2006/relationships/hyperlink" Target="http://dlvr.it/" TargetMode="External"/><Relationship Id="rId10417" Type="http://schemas.openxmlformats.org/officeDocument/2006/relationships/hyperlink" Target="https://twitter.com/insel_design/status/723472220358623232" TargetMode="External"/><Relationship Id="rId13987" Type="http://schemas.openxmlformats.org/officeDocument/2006/relationships/hyperlink" Target="https://pbs.twimg.com/profile_images/477065465605287936/rI61cGTI_normal.jpeg" TargetMode="External"/><Relationship Id="rId2995" Type="http://schemas.openxmlformats.org/officeDocument/2006/relationships/hyperlink" Target="https://twitter.com/motorionline" TargetMode="External"/><Relationship Id="rId12589" Type="http://schemas.openxmlformats.org/officeDocument/2006/relationships/hyperlink" Target="https://twitter.com/cartalk" TargetMode="External"/><Relationship Id="rId16460" Type="http://schemas.openxmlformats.org/officeDocument/2006/relationships/hyperlink" Target="https://twitter.com/FuscaWorld" TargetMode="External"/><Relationship Id="rId17511" Type="http://schemas.openxmlformats.org/officeDocument/2006/relationships/hyperlink" Target="https://pbs.twimg.com/profile_images/610401931501137920/c0qYTPr__normal.jpg" TargetMode="External"/><Relationship Id="rId20856" Type="http://schemas.openxmlformats.org/officeDocument/2006/relationships/hyperlink" Target="https://pbs.twimg.com/profile_images/716106066673537025/2-Q6N4oh_normal.jpg" TargetMode="External"/><Relationship Id="rId21907" Type="http://schemas.openxmlformats.org/officeDocument/2006/relationships/hyperlink" Target="https://twitter.com/nurahzz" TargetMode="External"/><Relationship Id="rId967" Type="http://schemas.openxmlformats.org/officeDocument/2006/relationships/hyperlink" Target="https://pbs.twimg.com/profile_images/1150290421/IMG00011-20101017-1453_normal.jpg" TargetMode="External"/><Relationship Id="rId1597" Type="http://schemas.openxmlformats.org/officeDocument/2006/relationships/hyperlink" Target="https://pbs.twimg.com/profile_images/1749790667/twitter_normal.jpg" TargetMode="External"/><Relationship Id="rId2648" Type="http://schemas.openxmlformats.org/officeDocument/2006/relationships/hyperlink" Target="http://www.infooffensive.de/" TargetMode="External"/><Relationship Id="rId15062" Type="http://schemas.openxmlformats.org/officeDocument/2006/relationships/hyperlink" Target="https://twitter.com/Gosthtot" TargetMode="External"/><Relationship Id="rId16113" Type="http://schemas.openxmlformats.org/officeDocument/2006/relationships/hyperlink" Target="https://twitter.com/sofiaAAAJ" TargetMode="External"/><Relationship Id="rId19683" Type="http://schemas.openxmlformats.org/officeDocument/2006/relationships/hyperlink" Target="https://pbs.twimg.com/profile_images/710803755902607360/IGxD4V0u_normal.jpg" TargetMode="External"/><Relationship Id="rId20509" Type="http://schemas.openxmlformats.org/officeDocument/2006/relationships/hyperlink" Target="https://twitter.com/HansTheGerman/status/724004215903932419" TargetMode="External"/><Relationship Id="rId4070" Type="http://schemas.openxmlformats.org/officeDocument/2006/relationships/hyperlink" Target="https://twitter.com/MarkCSchneider/status/723175721510674435" TargetMode="External"/><Relationship Id="rId5121" Type="http://schemas.openxmlformats.org/officeDocument/2006/relationships/hyperlink" Target="https://twitter.com/kngeuro" TargetMode="External"/><Relationship Id="rId8691" Type="http://schemas.openxmlformats.org/officeDocument/2006/relationships/hyperlink" Target="https://twitter.com/VivaRedd" TargetMode="External"/><Relationship Id="rId9742" Type="http://schemas.openxmlformats.org/officeDocument/2006/relationships/hyperlink" Target="https://twitter.com/Ken_CityIndex/status/723447527501119488" TargetMode="External"/><Relationship Id="rId11672" Type="http://schemas.openxmlformats.org/officeDocument/2006/relationships/hyperlink" Target="http://www.infooffensive.de/" TargetMode="External"/><Relationship Id="rId18285" Type="http://schemas.openxmlformats.org/officeDocument/2006/relationships/hyperlink" Target="https://pbs.twimg.com/profile_images/624941492038201344/p1XivIQQ_normal.png" TargetMode="External"/><Relationship Id="rId19336" Type="http://schemas.openxmlformats.org/officeDocument/2006/relationships/hyperlink" Target="https://twitter.com/VCT_Tweets" TargetMode="External"/><Relationship Id="rId1731" Type="http://schemas.openxmlformats.org/officeDocument/2006/relationships/hyperlink" Target="https://twitter.com/AFECTADOGRUPOVW" TargetMode="External"/><Relationship Id="rId7293" Type="http://schemas.openxmlformats.org/officeDocument/2006/relationships/hyperlink" Target="https://twitter.com/donaukurier/status/723292978287153152" TargetMode="External"/><Relationship Id="rId8344" Type="http://schemas.openxmlformats.org/officeDocument/2006/relationships/hyperlink" Target="https://twitter.com/habo11" TargetMode="External"/><Relationship Id="rId10274" Type="http://schemas.openxmlformats.org/officeDocument/2006/relationships/hyperlink" Target="https://twitter.com/serversnake" TargetMode="External"/><Relationship Id="rId11325" Type="http://schemas.openxmlformats.org/officeDocument/2006/relationships/hyperlink" Target="https://pbs.twimg.com/profile_images/627949001179037696/skEBkS05_normal.jpg" TargetMode="External"/><Relationship Id="rId12723" Type="http://schemas.openxmlformats.org/officeDocument/2006/relationships/hyperlink" Target="https://twitter.com/vwbusman72" TargetMode="External"/><Relationship Id="rId25154" Type="http://schemas.openxmlformats.org/officeDocument/2006/relationships/hyperlink" Target="https://twitter.com/DeeZeeX/status/724424092225433600" TargetMode="External"/><Relationship Id="rId14895" Type="http://schemas.openxmlformats.org/officeDocument/2006/relationships/hyperlink" Target="https://twitter.com/Luchyokk" TargetMode="External"/><Relationship Id="rId15946" Type="http://schemas.openxmlformats.org/officeDocument/2006/relationships/hyperlink" Target="https://twitter.com/FuscaWorld" TargetMode="External"/><Relationship Id="rId3556" Type="http://schemas.openxmlformats.org/officeDocument/2006/relationships/hyperlink" Target="https://twitter.com/ClarkWDerry" TargetMode="External"/><Relationship Id="rId4954" Type="http://schemas.openxmlformats.org/officeDocument/2006/relationships/hyperlink" Target="https://pbs.twimg.com/profile_images/640598784163061761/S-0diasw_normal.jpg" TargetMode="External"/><Relationship Id="rId12099" Type="http://schemas.openxmlformats.org/officeDocument/2006/relationships/hyperlink" Target="https://pbs.twimg.com/profile_images/719429808501891072/KxQat7so_normal.jpg" TargetMode="External"/><Relationship Id="rId13497" Type="http://schemas.openxmlformats.org/officeDocument/2006/relationships/hyperlink" Target="https://twitter.com/ILCtsxv/status/723548915530866688" TargetMode="External"/><Relationship Id="rId14548" Type="http://schemas.openxmlformats.org/officeDocument/2006/relationships/hyperlink" Target="https://twitter.com/kinoptika" TargetMode="External"/><Relationship Id="rId21764" Type="http://schemas.openxmlformats.org/officeDocument/2006/relationships/hyperlink" Target="https://twitter.com/VascoASG/status/724178046106755072" TargetMode="External"/><Relationship Id="rId22815" Type="http://schemas.openxmlformats.org/officeDocument/2006/relationships/hyperlink" Target="https://abs.twimg.com/sticky/default_profile_images/default_profile_6_normal.png" TargetMode="External"/><Relationship Id="rId477" Type="http://schemas.openxmlformats.org/officeDocument/2006/relationships/hyperlink" Target="https://twitter.com/richmhales/status/722960947405557761" TargetMode="External"/><Relationship Id="rId2158" Type="http://schemas.openxmlformats.org/officeDocument/2006/relationships/hyperlink" Target="https://twitter.com/ErnstNordholt" TargetMode="External"/><Relationship Id="rId3209" Type="http://schemas.openxmlformats.org/officeDocument/2006/relationships/hyperlink" Target="https://twitter.com/VCT_Tweets/status/723145365894115328" TargetMode="External"/><Relationship Id="rId4607" Type="http://schemas.openxmlformats.org/officeDocument/2006/relationships/hyperlink" Target="https://twitter.com/apronline" TargetMode="External"/><Relationship Id="rId17021" Type="http://schemas.openxmlformats.org/officeDocument/2006/relationships/hyperlink" Target="https://twitter.com/rheto/status/723763642282479616" TargetMode="External"/><Relationship Id="rId20019" Type="http://schemas.openxmlformats.org/officeDocument/2006/relationships/hyperlink" Target="https://twitter.com/grannicho" TargetMode="External"/><Relationship Id="rId20366" Type="http://schemas.openxmlformats.org/officeDocument/2006/relationships/hyperlink" Target="https://twitter.com/KKast0rff/status/723994342105317377" TargetMode="External"/><Relationship Id="rId21417" Type="http://schemas.openxmlformats.org/officeDocument/2006/relationships/hyperlink" Target="https://twitter.com/Ingridodl/status/724147951422058496" TargetMode="External"/><Relationship Id="rId24987" Type="http://schemas.openxmlformats.org/officeDocument/2006/relationships/hyperlink" Target="https://pbs.twimg.com/profile_images/634021831364747264/5vPrL2JH_normal.jpg" TargetMode="External"/><Relationship Id="rId6779" Type="http://schemas.openxmlformats.org/officeDocument/2006/relationships/hyperlink" Target="https://twitter.com/mar3e11/status/723260592148996097" TargetMode="External"/><Relationship Id="rId12580" Type="http://schemas.openxmlformats.org/officeDocument/2006/relationships/hyperlink" Target="https://twitter.com/CryptoMinerUK/status/723522811814391808" TargetMode="External"/><Relationship Id="rId13631" Type="http://schemas.openxmlformats.org/officeDocument/2006/relationships/hyperlink" Target="https://twitter.com/3LTalonjay_59/status/723552009308262400" TargetMode="External"/><Relationship Id="rId19193" Type="http://schemas.openxmlformats.org/officeDocument/2006/relationships/hyperlink" Target="https://twitter.com/OnlyCarrera/status/723922136763645952" TargetMode="External"/><Relationship Id="rId23589" Type="http://schemas.openxmlformats.org/officeDocument/2006/relationships/hyperlink" Target="https://twitter.com/sandysola34" TargetMode="External"/><Relationship Id="rId9252" Type="http://schemas.openxmlformats.org/officeDocument/2006/relationships/hyperlink" Target="https://twitter.com/BWResearch" TargetMode="External"/><Relationship Id="rId11182" Type="http://schemas.openxmlformats.org/officeDocument/2006/relationships/hyperlink" Target="https://twitter.com/Banane0711/status/723499046518792193" TargetMode="External"/><Relationship Id="rId12233" Type="http://schemas.openxmlformats.org/officeDocument/2006/relationships/hyperlink" Target="https://twitter.com/SteveJobs2016" TargetMode="External"/><Relationship Id="rId20500" Type="http://schemas.openxmlformats.org/officeDocument/2006/relationships/hyperlink" Target="https://pbs.twimg.com/profile_images/705780107844067328/e7O4UBNb_normal.jpg" TargetMode="External"/><Relationship Id="rId611" Type="http://schemas.openxmlformats.org/officeDocument/2006/relationships/hyperlink" Target="https://pbs.twimg.com/profile_images/540346259656421376/_11gzx3X_normal.jpeg" TargetMode="External"/><Relationship Id="rId1241" Type="http://schemas.openxmlformats.org/officeDocument/2006/relationships/hyperlink" Target="https://twitter.com/techhippie" TargetMode="External"/><Relationship Id="rId5862" Type="http://schemas.openxmlformats.org/officeDocument/2006/relationships/hyperlink" Target="https://twitter.com/glenmavis" TargetMode="External"/><Relationship Id="rId6913" Type="http://schemas.openxmlformats.org/officeDocument/2006/relationships/hyperlink" Target="https://twitter.com/MaikBurghardt/status/723269031994777601" TargetMode="External"/><Relationship Id="rId15456" Type="http://schemas.openxmlformats.org/officeDocument/2006/relationships/hyperlink" Target="https://twitter.com/VWCamperSales/status/723607995469299713" TargetMode="External"/><Relationship Id="rId16507" Type="http://schemas.openxmlformats.org/officeDocument/2006/relationships/hyperlink" Target="https://twitter.com/moteking25/status/723690518085963777" TargetMode="External"/><Relationship Id="rId16854" Type="http://schemas.openxmlformats.org/officeDocument/2006/relationships/hyperlink" Target="https://twitter.com/dsgforever" TargetMode="External"/><Relationship Id="rId17905" Type="http://schemas.openxmlformats.org/officeDocument/2006/relationships/hyperlink" Target="https://pbs.twimg.com/profile_images/1254132835/3com_normal.jpg" TargetMode="External"/><Relationship Id="rId22672" Type="http://schemas.openxmlformats.org/officeDocument/2006/relationships/hyperlink" Target="https://twitter.com/beetlebug1938" TargetMode="External"/><Relationship Id="rId4464" Type="http://schemas.openxmlformats.org/officeDocument/2006/relationships/hyperlink" Target="https://twitter.com/RH_Way" TargetMode="External"/><Relationship Id="rId5515" Type="http://schemas.openxmlformats.org/officeDocument/2006/relationships/hyperlink" Target="https://twitter.com/SALYGO/status/723206325736361985" TargetMode="External"/><Relationship Id="rId14058" Type="http://schemas.openxmlformats.org/officeDocument/2006/relationships/hyperlink" Target="https://twitter.com/kurtlnd" TargetMode="External"/><Relationship Id="rId15109" Type="http://schemas.openxmlformats.org/officeDocument/2006/relationships/hyperlink" Target="https://twitter.com/VWBeetleSales/status/723594103749902336" TargetMode="External"/><Relationship Id="rId21274" Type="http://schemas.openxmlformats.org/officeDocument/2006/relationships/hyperlink" Target="https://pbs.twimg.com/profile_images/718835727027580928/1ssyQ67y_normal.jpg" TargetMode="External"/><Relationship Id="rId22325" Type="http://schemas.openxmlformats.org/officeDocument/2006/relationships/hyperlink" Target="https://twitter.com/anjelicasjogren/status/724214491353886720" TargetMode="External"/><Relationship Id="rId23723" Type="http://schemas.openxmlformats.org/officeDocument/2006/relationships/hyperlink" Target="https://twitter.com/dubbusses" TargetMode="External"/><Relationship Id="rId3066" Type="http://schemas.openxmlformats.org/officeDocument/2006/relationships/hyperlink" Target="https://pbs.twimg.com/profile_images/684689030848581632/5zR21Hk9_normal.jpg" TargetMode="External"/><Relationship Id="rId4117" Type="http://schemas.openxmlformats.org/officeDocument/2006/relationships/hyperlink" Target="https://twitter.com/zoekeenzzper" TargetMode="External"/><Relationship Id="rId7687" Type="http://schemas.openxmlformats.org/officeDocument/2006/relationships/hyperlink" Target="https://twitter.com/VWBeetleSales" TargetMode="External"/><Relationship Id="rId18679" Type="http://schemas.openxmlformats.org/officeDocument/2006/relationships/hyperlink" Target="https://pbs.twimg.com/profile_images/707712324312961024/oIuosl6x_normal.jpg" TargetMode="External"/><Relationship Id="rId6289" Type="http://schemas.openxmlformats.org/officeDocument/2006/relationships/hyperlink" Target="https://pbs.twimg.com/profile_images/2856879378/9d0897db09a7b471b4a5ff4b036c9922_normal.png" TargetMode="External"/><Relationship Id="rId8738" Type="http://schemas.openxmlformats.org/officeDocument/2006/relationships/hyperlink" Target="https://twitter.com/Insta_Lego" TargetMode="External"/><Relationship Id="rId10668" Type="http://schemas.openxmlformats.org/officeDocument/2006/relationships/hyperlink" Target="https://twitter.com/heiseautos/status/723480508391391233" TargetMode="External"/><Relationship Id="rId11719" Type="http://schemas.openxmlformats.org/officeDocument/2006/relationships/hyperlink" Target="https://twitter.com/conkers3" TargetMode="External"/><Relationship Id="rId23099" Type="http://schemas.openxmlformats.org/officeDocument/2006/relationships/hyperlink" Target="https://twitter.com/beetlebug1938" TargetMode="External"/><Relationship Id="rId24497" Type="http://schemas.openxmlformats.org/officeDocument/2006/relationships/hyperlink" Target="https://pbs.twimg.com/profile_images/652871584131092480/QA_B6SBO_normal.jpg" TargetMode="External"/><Relationship Id="rId25548" Type="http://schemas.openxmlformats.org/officeDocument/2006/relationships/hyperlink" Target="https://twitter.com/TheTequilaWorms/status/724446806319370242" TargetMode="External"/><Relationship Id="rId12090" Type="http://schemas.openxmlformats.org/officeDocument/2006/relationships/hyperlink" Target="https://pbs.twimg.com/profile_images/718820712757215233/LXXndPTS_normal.jpg" TargetMode="External"/><Relationship Id="rId13141" Type="http://schemas.openxmlformats.org/officeDocument/2006/relationships/hyperlink" Target="http://linkis.com/" TargetMode="External"/><Relationship Id="rId17762" Type="http://schemas.openxmlformats.org/officeDocument/2006/relationships/hyperlink" Target="https://twitter.com/FuscaWorld/status/723821325404504064" TargetMode="External"/><Relationship Id="rId18813" Type="http://schemas.openxmlformats.org/officeDocument/2006/relationships/hyperlink" Target="https://twitter.com/VWCamperSales/status/723898261614944256" TargetMode="External"/><Relationship Id="rId2899" Type="http://schemas.openxmlformats.org/officeDocument/2006/relationships/hyperlink" Target="https://twitter.com/shamereflect/status/723123564262477824" TargetMode="External"/><Relationship Id="rId3200" Type="http://schemas.openxmlformats.org/officeDocument/2006/relationships/hyperlink" Target="https://pbs.twimg.com/profile_images/651826175686348800/Ayt2FVOc_normal.jpg" TargetMode="External"/><Relationship Id="rId6770" Type="http://schemas.openxmlformats.org/officeDocument/2006/relationships/hyperlink" Target="https://twitter.com/ohioantique/status/723259861643960322" TargetMode="External"/><Relationship Id="rId7821" Type="http://schemas.openxmlformats.org/officeDocument/2006/relationships/hyperlink" Target="https://pbs.twimg.com/profile_images/627949001179037696/skEBkS05_normal.jpg" TargetMode="External"/><Relationship Id="rId16364" Type="http://schemas.openxmlformats.org/officeDocument/2006/relationships/hyperlink" Target="https://twitter.com/EUROPAvsEBOLA/status/723674591743369216" TargetMode="External"/><Relationship Id="rId17415" Type="http://schemas.openxmlformats.org/officeDocument/2006/relationships/hyperlink" Target="https://pbs.twimg.com/profile_images/468753206395146240/UNroIAFG_normal.jpeg" TargetMode="External"/><Relationship Id="rId20010" Type="http://schemas.openxmlformats.org/officeDocument/2006/relationships/hyperlink" Target="https://twitter.com/Loeb_Seb1" TargetMode="External"/><Relationship Id="rId23580" Type="http://schemas.openxmlformats.org/officeDocument/2006/relationships/hyperlink" Target="https://twitter.com/mamulavaca" TargetMode="External"/><Relationship Id="rId24631" Type="http://schemas.openxmlformats.org/officeDocument/2006/relationships/hyperlink" Target="https://twitter.com/dejbanlaw" TargetMode="External"/><Relationship Id="rId121" Type="http://schemas.openxmlformats.org/officeDocument/2006/relationships/hyperlink" Target="https://twitter.com/incanus77/status/722929012159356928" TargetMode="External"/><Relationship Id="rId5372" Type="http://schemas.openxmlformats.org/officeDocument/2006/relationships/hyperlink" Target="https://twitter.com/roansub/status/723200709253042177" TargetMode="External"/><Relationship Id="rId6423" Type="http://schemas.openxmlformats.org/officeDocument/2006/relationships/hyperlink" Target="https://pbs.twimg.com/profile_images/424893967197433858/iQ86NktX_normal.jpeg" TargetMode="External"/><Relationship Id="rId9993" Type="http://schemas.openxmlformats.org/officeDocument/2006/relationships/hyperlink" Target="https://pbs.twimg.com/profile_images/707148186822053888/adrr4gqg_normal.jpg" TargetMode="External"/><Relationship Id="rId10802" Type="http://schemas.openxmlformats.org/officeDocument/2006/relationships/hyperlink" Target="https://twitter.com/apronline" TargetMode="External"/><Relationship Id="rId16017" Type="http://schemas.openxmlformats.org/officeDocument/2006/relationships/hyperlink" Target="https://twitter.com/guidopeternell/status/723643057237811201" TargetMode="External"/><Relationship Id="rId19587" Type="http://schemas.openxmlformats.org/officeDocument/2006/relationships/hyperlink" Target="https://twitter.com/VolkswagenPost/status/723941247661051904" TargetMode="External"/><Relationship Id="rId22182" Type="http://schemas.openxmlformats.org/officeDocument/2006/relationships/hyperlink" Target="https://twitter.com/SocialEvents2/status/724208161595527168" TargetMode="External"/><Relationship Id="rId23233" Type="http://schemas.openxmlformats.org/officeDocument/2006/relationships/hyperlink" Target="https://pbs.twimg.com/profile_images/627949001179037696/skEBkS05_normal.jpg" TargetMode="External"/><Relationship Id="rId5025" Type="http://schemas.openxmlformats.org/officeDocument/2006/relationships/hyperlink" Target="https://twitter.com/bjdake/status/723192685838753793" TargetMode="External"/><Relationship Id="rId8595" Type="http://schemas.openxmlformats.org/officeDocument/2006/relationships/hyperlink" Target="https://twitter.com/NordicInvestor/status/723396699289325571" TargetMode="External"/><Relationship Id="rId9646" Type="http://schemas.openxmlformats.org/officeDocument/2006/relationships/hyperlink" Target="https://twitter.com/Jo_Huyghe/status/723444066785103872" TargetMode="External"/><Relationship Id="rId12974" Type="http://schemas.openxmlformats.org/officeDocument/2006/relationships/hyperlink" Target="https://pbs.twimg.com/profile_images/608480950586974208/EDoKsKQD_normal.jpg" TargetMode="External"/><Relationship Id="rId18189" Type="http://schemas.openxmlformats.org/officeDocument/2006/relationships/hyperlink" Target="https://pbs.twimg.com/profile_images/603944903572267008/opS_TgdQ_normal.png" TargetMode="External"/><Relationship Id="rId1635" Type="http://schemas.openxmlformats.org/officeDocument/2006/relationships/hyperlink" Target="https://twitter.com/Rauwald/status/723050294821683200" TargetMode="External"/><Relationship Id="rId1982" Type="http://schemas.openxmlformats.org/officeDocument/2006/relationships/hyperlink" Target="https://pbs.twimg.com/profile_images/659687955565441025/MDqjnVHe_normal.jpg" TargetMode="External"/><Relationship Id="rId7197" Type="http://schemas.openxmlformats.org/officeDocument/2006/relationships/hyperlink" Target="https://pbs.twimg.com/profile_images/570375988065935360/ooT_Nq7x_normal.jpeg" TargetMode="External"/><Relationship Id="rId8248" Type="http://schemas.openxmlformats.org/officeDocument/2006/relationships/hyperlink" Target="https://twitter.com/Djexenmon/status/723378902379294721" TargetMode="External"/><Relationship Id="rId10178" Type="http://schemas.openxmlformats.org/officeDocument/2006/relationships/hyperlink" Target="https://twitter.com/sadiqgajimi/status/723465242865459201" TargetMode="External"/><Relationship Id="rId11576" Type="http://schemas.openxmlformats.org/officeDocument/2006/relationships/hyperlink" Target="https://twitter.com/dw_business/status/723503835096993793" TargetMode="External"/><Relationship Id="rId12627" Type="http://schemas.openxmlformats.org/officeDocument/2006/relationships/hyperlink" Target="https://twitter.com/tagesschau/status/723524075474300928" TargetMode="External"/><Relationship Id="rId25058" Type="http://schemas.openxmlformats.org/officeDocument/2006/relationships/hyperlink" Target="https://twitter.com/skakurega" TargetMode="External"/><Relationship Id="rId11229" Type="http://schemas.openxmlformats.org/officeDocument/2006/relationships/hyperlink" Target="https://pbs.twimg.com/profile_images/660186918299156480/IumQQzna_normal.jpg" TargetMode="External"/><Relationship Id="rId14799" Type="http://schemas.openxmlformats.org/officeDocument/2006/relationships/hyperlink" Target="https://pbs.twimg.com/profile_images/709009177004384256/vUOvUx74_normal.jpg" TargetMode="External"/><Relationship Id="rId15100" Type="http://schemas.openxmlformats.org/officeDocument/2006/relationships/hyperlink" Target="http://dlvr.it/" TargetMode="External"/><Relationship Id="rId18670" Type="http://schemas.openxmlformats.org/officeDocument/2006/relationships/hyperlink" Target="https://twitter.com/MorSvinka_83" TargetMode="External"/><Relationship Id="rId19721" Type="http://schemas.openxmlformats.org/officeDocument/2006/relationships/hyperlink" Target="https://twitter.com/CatherineE1973" TargetMode="External"/><Relationship Id="rId4858" Type="http://schemas.openxmlformats.org/officeDocument/2006/relationships/hyperlink" Target="https://twitter.com/euleminerva" TargetMode="External"/><Relationship Id="rId5909" Type="http://schemas.openxmlformats.org/officeDocument/2006/relationships/hyperlink" Target="https://twitter.com/dparv/status/723223231239434241" TargetMode="External"/><Relationship Id="rId11710" Type="http://schemas.openxmlformats.org/officeDocument/2006/relationships/hyperlink" Target="https://twitter.com/ophuels" TargetMode="External"/><Relationship Id="rId17272" Type="http://schemas.openxmlformats.org/officeDocument/2006/relationships/hyperlink" Target="https://twitter.com/Sufiy" TargetMode="External"/><Relationship Id="rId18323" Type="http://schemas.openxmlformats.org/officeDocument/2006/relationships/hyperlink" Target="https://twitter.com/yann_drareg/status/723861122579869696" TargetMode="External"/><Relationship Id="rId21668" Type="http://schemas.openxmlformats.org/officeDocument/2006/relationships/hyperlink" Target="https://twitter.com/SanRMaadhwa/status/724167508303994880" TargetMode="External"/><Relationship Id="rId22719" Type="http://schemas.openxmlformats.org/officeDocument/2006/relationships/hyperlink" Target="http://ctrlq.org/maps/address/" TargetMode="External"/><Relationship Id="rId6280" Type="http://schemas.openxmlformats.org/officeDocument/2006/relationships/hyperlink" Target="https://pbs.twimg.com/profile_images/599357023407464449/BL9Bpo6T_normal.jpg" TargetMode="External"/><Relationship Id="rId7331" Type="http://schemas.openxmlformats.org/officeDocument/2006/relationships/hyperlink" Target="https://pbs.twimg.com/profile_images/664470199219851264/H7WwsRM6_normal.jpg" TargetMode="External"/><Relationship Id="rId10312" Type="http://schemas.openxmlformats.org/officeDocument/2006/relationships/hyperlink" Target="https://pbs.twimg.com/profile_images/447326412865683458/nv9e-YYU_normal.jpeg" TargetMode="External"/><Relationship Id="rId13882" Type="http://schemas.openxmlformats.org/officeDocument/2006/relationships/hyperlink" Target="https://twitter.com/AxeelCabj10/status/723557949575192580" TargetMode="External"/><Relationship Id="rId23090" Type="http://schemas.openxmlformats.org/officeDocument/2006/relationships/hyperlink" Target="https://pbs.twimg.com/profile_images/722863508832985088/NKyewnNu_normal.jpg" TargetMode="External"/><Relationship Id="rId24141" Type="http://schemas.openxmlformats.org/officeDocument/2006/relationships/hyperlink" Target="https://pbs.twimg.com/profile_images/706833390725681152/IaXMLicB_normal.jpg" TargetMode="External"/><Relationship Id="rId2890" Type="http://schemas.openxmlformats.org/officeDocument/2006/relationships/hyperlink" Target="https://twitter.com/SloughSwapmeet/status/723123067619147779" TargetMode="External"/><Relationship Id="rId3941" Type="http://schemas.openxmlformats.org/officeDocument/2006/relationships/hyperlink" Target="https://pbs.twimg.com/profile_images/3228351590/aadb36f2b020cc27adac139aac4a5663_normal.jpeg" TargetMode="External"/><Relationship Id="rId12484" Type="http://schemas.openxmlformats.org/officeDocument/2006/relationships/hyperlink" Target="https://twitter.com/juliocnunez11" TargetMode="External"/><Relationship Id="rId13535" Type="http://schemas.openxmlformats.org/officeDocument/2006/relationships/hyperlink" Target="https://pbs.twimg.com/profile_images/522759312028884992/6n24auYw_normal.png" TargetMode="External"/><Relationship Id="rId14933" Type="http://schemas.openxmlformats.org/officeDocument/2006/relationships/hyperlink" Target="https://twitter.com/LondonPicks" TargetMode="External"/><Relationship Id="rId19097" Type="http://schemas.openxmlformats.org/officeDocument/2006/relationships/hyperlink" Target="https://twitter.com/VWCamperSales" TargetMode="External"/><Relationship Id="rId20751" Type="http://schemas.openxmlformats.org/officeDocument/2006/relationships/hyperlink" Target="https://twitter.com/vwpalmspringspr/status/724038527697195008" TargetMode="External"/><Relationship Id="rId862" Type="http://schemas.openxmlformats.org/officeDocument/2006/relationships/hyperlink" Target="https://twitter.com/JosueeOliveros" TargetMode="External"/><Relationship Id="rId1492" Type="http://schemas.openxmlformats.org/officeDocument/2006/relationships/hyperlink" Target="https://twitter.com/VWHeritage/status/723043862961356800" TargetMode="External"/><Relationship Id="rId2543" Type="http://schemas.openxmlformats.org/officeDocument/2006/relationships/hyperlink" Target="https://twitter.com/vwpress_de" TargetMode="External"/><Relationship Id="rId9156" Type="http://schemas.openxmlformats.org/officeDocument/2006/relationships/hyperlink" Target="https://twitter.com/johnjoechad" TargetMode="External"/><Relationship Id="rId11086" Type="http://schemas.openxmlformats.org/officeDocument/2006/relationships/hyperlink" Target="https://twitter.com/urotuning" TargetMode="External"/><Relationship Id="rId12137" Type="http://schemas.openxmlformats.org/officeDocument/2006/relationships/hyperlink" Target="https://pbs.twimg.com/profile_images/719417054240108544/teV1mM6A_normal.jpg" TargetMode="External"/><Relationship Id="rId20404" Type="http://schemas.openxmlformats.org/officeDocument/2006/relationships/hyperlink" Target="https://twitter.com/k__h3nd" TargetMode="External"/><Relationship Id="rId21802" Type="http://schemas.openxmlformats.org/officeDocument/2006/relationships/hyperlink" Target="https://twitter.com/BatesJenny" TargetMode="External"/><Relationship Id="rId515" Type="http://schemas.openxmlformats.org/officeDocument/2006/relationships/hyperlink" Target="https://pbs.twimg.com/profile_images/498644079387754496/5cUzlSkH_normal.jpeg" TargetMode="External"/><Relationship Id="rId1145" Type="http://schemas.openxmlformats.org/officeDocument/2006/relationships/hyperlink" Target="https://pbs.twimg.com/profile_images/599357023407464449/BL9Bpo6T_normal.jpg" TargetMode="External"/><Relationship Id="rId5766" Type="http://schemas.openxmlformats.org/officeDocument/2006/relationships/hyperlink" Target="https://twitter.com/ndaktuell/status/723216499637362688" TargetMode="External"/><Relationship Id="rId16758" Type="http://schemas.openxmlformats.org/officeDocument/2006/relationships/hyperlink" Target="https://twitter.com/FakeDispatchBot/status/723723271586209792" TargetMode="External"/><Relationship Id="rId17809" Type="http://schemas.openxmlformats.org/officeDocument/2006/relationships/hyperlink" Target="https://pbs.twimg.com/profile_images/378800000333683495/1b735d7df89d5667eeeb3eaa48617f9d_normal.jpeg" TargetMode="External"/><Relationship Id="rId18180" Type="http://schemas.openxmlformats.org/officeDocument/2006/relationships/hyperlink" Target="https://pbs.twimg.com/profile_images/466231140588605440/LpEqV7bj_normal.jpeg" TargetMode="External"/><Relationship Id="rId23974" Type="http://schemas.openxmlformats.org/officeDocument/2006/relationships/hyperlink" Target="https://twitter.com/CARLOSATOLOSA/status/724324705965084674" TargetMode="External"/><Relationship Id="rId4368" Type="http://schemas.openxmlformats.org/officeDocument/2006/relationships/hyperlink" Target="https://pbs.twimg.com/profile_images/668091779313500160/ZepxnJcI_normal.jpg" TargetMode="External"/><Relationship Id="rId5419" Type="http://schemas.openxmlformats.org/officeDocument/2006/relationships/hyperlink" Target="https://twitter.com/VWCamperSales/status/723202669104394243" TargetMode="External"/><Relationship Id="rId6817" Type="http://schemas.openxmlformats.org/officeDocument/2006/relationships/hyperlink" Target="https://twitter.com/VWCamperSales/status/723262587685588992" TargetMode="External"/><Relationship Id="rId19231" Type="http://schemas.openxmlformats.org/officeDocument/2006/relationships/hyperlink" Target="https://twitter.com/carbrosusedcars/status/723923237256704001" TargetMode="External"/><Relationship Id="rId21178" Type="http://schemas.openxmlformats.org/officeDocument/2006/relationships/hyperlink" Target="https://twitter.com/VWBeetleSales/status/724119446416019458" TargetMode="External"/><Relationship Id="rId22229" Type="http://schemas.openxmlformats.org/officeDocument/2006/relationships/hyperlink" Target="https://twitter.com/dapper013/status/724210533172436992" TargetMode="External"/><Relationship Id="rId22576" Type="http://schemas.openxmlformats.org/officeDocument/2006/relationships/hyperlink" Target="https://twitter.com/VWBeetleSales" TargetMode="External"/><Relationship Id="rId23627" Type="http://schemas.openxmlformats.org/officeDocument/2006/relationships/hyperlink" Target="https://twitter.com/VWCamperSales/status/724300673815187456" TargetMode="External"/><Relationship Id="rId8989" Type="http://schemas.openxmlformats.org/officeDocument/2006/relationships/hyperlink" Target="https://pbs.twimg.com/profile_images/718820712757215233/LXXndPTS_normal.jpg" TargetMode="External"/><Relationship Id="rId11220" Type="http://schemas.openxmlformats.org/officeDocument/2006/relationships/hyperlink" Target="https://pbs.twimg.com/profile_images/562563461171798017/AkHF4keI_normal.png" TargetMode="External"/><Relationship Id="rId14790" Type="http://schemas.openxmlformats.org/officeDocument/2006/relationships/hyperlink" Target="https://pbs.twimg.com/profile_images/721156068357849089/usr8UmjU_normal.jpg" TargetMode="External"/><Relationship Id="rId15841" Type="http://schemas.openxmlformats.org/officeDocument/2006/relationships/hyperlink" Target="https://pbs.twimg.com/profile_images/548874200102879234/jOo5AkMZ_normal.png" TargetMode="External"/><Relationship Id="rId5900" Type="http://schemas.openxmlformats.org/officeDocument/2006/relationships/hyperlink" Target="https://pbs.twimg.com/profile_images/1821908673/20110605102147_merriemarie_IKU9HY4PB0NL81SMXJ7WE6A3RDQT5C2FVOZG_normal.jpg" TargetMode="External"/><Relationship Id="rId13392" Type="http://schemas.openxmlformats.org/officeDocument/2006/relationships/hyperlink" Target="https://twitter.com/dejbanlaw/status/723545621878034432" TargetMode="External"/><Relationship Id="rId14443" Type="http://schemas.openxmlformats.org/officeDocument/2006/relationships/hyperlink" Target="https://twitter.com/UniversityVW/status/723573899124940802" TargetMode="External"/><Relationship Id="rId22710" Type="http://schemas.openxmlformats.org/officeDocument/2006/relationships/hyperlink" Target="https://twitter.com/JanelleRBlu/status/724240817074896896" TargetMode="External"/><Relationship Id="rId3451" Type="http://schemas.openxmlformats.org/officeDocument/2006/relationships/hyperlink" Target="https://twitter.com/WRC_App/status/723159165766643716" TargetMode="External"/><Relationship Id="rId4502" Type="http://schemas.openxmlformats.org/officeDocument/2006/relationships/hyperlink" Target="https://pbs.twimg.com/profile_images/601443139006566400/jVD8Xyb1_normal.png" TargetMode="External"/><Relationship Id="rId13045" Type="http://schemas.openxmlformats.org/officeDocument/2006/relationships/hyperlink" Target="https://twitter.com/fraschloenj" TargetMode="External"/><Relationship Id="rId17666" Type="http://schemas.openxmlformats.org/officeDocument/2006/relationships/hyperlink" Target="https://pbs.twimg.com/profile_images/478812007160741888/0bki6zj9_normal.png" TargetMode="External"/><Relationship Id="rId18717" Type="http://schemas.openxmlformats.org/officeDocument/2006/relationships/hyperlink" Target="https://pbs.twimg.com/profile_images/552037189328982016/r65JRGTS_normal.jpeg" TargetMode="External"/><Relationship Id="rId20261" Type="http://schemas.openxmlformats.org/officeDocument/2006/relationships/hyperlink" Target="https://twitter.com/XimeeCatalan/status/723986422026371072" TargetMode="External"/><Relationship Id="rId21312" Type="http://schemas.openxmlformats.org/officeDocument/2006/relationships/hyperlink" Target="https://twitter.com/KMennerFineArt/status/724139659714949120" TargetMode="External"/><Relationship Id="rId24882" Type="http://schemas.openxmlformats.org/officeDocument/2006/relationships/hyperlink" Target="https://twitter.com/VWUKNews" TargetMode="External"/><Relationship Id="rId372" Type="http://schemas.openxmlformats.org/officeDocument/2006/relationships/hyperlink" Target="https://twitter.com/bakagi/status/722951391472279553" TargetMode="External"/><Relationship Id="rId2053" Type="http://schemas.openxmlformats.org/officeDocument/2006/relationships/hyperlink" Target="https://pbs.twimg.com/profile_images/1783388331/IMG_4820_normal.JPG" TargetMode="External"/><Relationship Id="rId3104" Type="http://schemas.openxmlformats.org/officeDocument/2006/relationships/hyperlink" Target="https://twitter.com/mrtimochee/status/723141970386915328" TargetMode="External"/><Relationship Id="rId6674" Type="http://schemas.openxmlformats.org/officeDocument/2006/relationships/hyperlink" Target="https://twitter.com/VWCamperSales" TargetMode="External"/><Relationship Id="rId7725" Type="http://schemas.openxmlformats.org/officeDocument/2006/relationships/hyperlink" Target="https://twitter.com/W1spin/status/723329103810551808" TargetMode="External"/><Relationship Id="rId16268" Type="http://schemas.openxmlformats.org/officeDocument/2006/relationships/hyperlink" Target="https://pbs.twimg.com/profile_images/718820712757215233/LXXndPTS_normal.jpg" TargetMode="External"/><Relationship Id="rId17319" Type="http://schemas.openxmlformats.org/officeDocument/2006/relationships/hyperlink" Target="https://pbs.twimg.com/profile_images/610401931501137920/c0qYTPr__normal.jpg" TargetMode="External"/><Relationship Id="rId23484" Type="http://schemas.openxmlformats.org/officeDocument/2006/relationships/hyperlink" Target="https://pbs.twimg.com/profile_images/694190122397474816/NBlk8fLo_normal.jpg" TargetMode="External"/><Relationship Id="rId24535" Type="http://schemas.openxmlformats.org/officeDocument/2006/relationships/hyperlink" Target="https://twitter.com/LaneRussellVW/status/724368191045115904" TargetMode="External"/><Relationship Id="rId5276" Type="http://schemas.openxmlformats.org/officeDocument/2006/relationships/hyperlink" Target="https://pbs.twimg.com/profile_images/717676080719597568/5TdCDJzb_normal.jpg" TargetMode="External"/><Relationship Id="rId6327" Type="http://schemas.openxmlformats.org/officeDocument/2006/relationships/hyperlink" Target="https://twitter.com/thomaslyoung/status/723239927295709189" TargetMode="External"/><Relationship Id="rId9897" Type="http://schemas.openxmlformats.org/officeDocument/2006/relationships/hyperlink" Target="https://twitter.com/CincoDiascom" TargetMode="External"/><Relationship Id="rId10706" Type="http://schemas.openxmlformats.org/officeDocument/2006/relationships/hyperlink" Target="https://twitter.com/doern" TargetMode="External"/><Relationship Id="rId22086" Type="http://schemas.openxmlformats.org/officeDocument/2006/relationships/hyperlink" Target="https://twitter.com/JClaesz/status/724199072165421056" TargetMode="External"/><Relationship Id="rId23137" Type="http://schemas.openxmlformats.org/officeDocument/2006/relationships/hyperlink" Target="https://twitter.com/tomacell/status/724269919085449216" TargetMode="External"/><Relationship Id="rId8499" Type="http://schemas.openxmlformats.org/officeDocument/2006/relationships/hyperlink" Target="https://twitter.com/moinmoinsager" TargetMode="External"/><Relationship Id="rId12878" Type="http://schemas.openxmlformats.org/officeDocument/2006/relationships/hyperlink" Target="https://pbs.twimg.com/profile_images/476894592051056640/bqGCxWkq_normal.jpeg" TargetMode="External"/><Relationship Id="rId13929" Type="http://schemas.openxmlformats.org/officeDocument/2006/relationships/hyperlink" Target="https://twitter.com/beluluna61" TargetMode="External"/><Relationship Id="rId17800" Type="http://schemas.openxmlformats.org/officeDocument/2006/relationships/hyperlink" Target="https://pbs.twimg.com/profile_images/429750966/mausf_normal.jpg" TargetMode="External"/><Relationship Id="rId1886" Type="http://schemas.openxmlformats.org/officeDocument/2006/relationships/hyperlink" Target="https://twitter.com/Matthijs85/status/723065294734774272" TargetMode="External"/><Relationship Id="rId2937" Type="http://schemas.openxmlformats.org/officeDocument/2006/relationships/hyperlink" Target="https://twitter.com/FSHDaily" TargetMode="External"/><Relationship Id="rId15351" Type="http://schemas.openxmlformats.org/officeDocument/2006/relationships/hyperlink" Target="https://twitter.com/Taipanos" TargetMode="External"/><Relationship Id="rId16402" Type="http://schemas.openxmlformats.org/officeDocument/2006/relationships/hyperlink" Target="https://twitter.com/HomeMckee" TargetMode="External"/><Relationship Id="rId19972" Type="http://schemas.openxmlformats.org/officeDocument/2006/relationships/hyperlink" Target="https://twitter.com/fedealcaraz14" TargetMode="External"/><Relationship Id="rId909" Type="http://schemas.openxmlformats.org/officeDocument/2006/relationships/hyperlink" Target="https://twitter.com/Slothrop677/status/723000422127046656" TargetMode="External"/><Relationship Id="rId1539" Type="http://schemas.openxmlformats.org/officeDocument/2006/relationships/hyperlink" Target="https://twitter.com/barbcore/status/723045359220604928" TargetMode="External"/><Relationship Id="rId5410" Type="http://schemas.openxmlformats.org/officeDocument/2006/relationships/hyperlink" Target="https://twitter.com/miniatuurauto" TargetMode="External"/><Relationship Id="rId8980" Type="http://schemas.openxmlformats.org/officeDocument/2006/relationships/hyperlink" Target="https://pbs.twimg.com/profile_images/718820712757215233/LXXndPTS_normal.jpg" TargetMode="External"/><Relationship Id="rId11961" Type="http://schemas.openxmlformats.org/officeDocument/2006/relationships/hyperlink" Target="https://twitter.com/tagesspiegel" TargetMode="External"/><Relationship Id="rId15004" Type="http://schemas.openxmlformats.org/officeDocument/2006/relationships/hyperlink" Target="https://twitter.com/marksvaleting" TargetMode="External"/><Relationship Id="rId18574" Type="http://schemas.openxmlformats.org/officeDocument/2006/relationships/hyperlink" Target="https://twitter.com/CriistiaanBj" TargetMode="External"/><Relationship Id="rId19625" Type="http://schemas.openxmlformats.org/officeDocument/2006/relationships/hyperlink" Target="https://pbs.twimg.com/profile_images/3247035045/9844e9d67157e05905c827333dbfa0ee_normal.jpeg" TargetMode="External"/><Relationship Id="rId22220" Type="http://schemas.openxmlformats.org/officeDocument/2006/relationships/hyperlink" Target="http://dlvr.it/" TargetMode="External"/><Relationship Id="rId4012" Type="http://schemas.openxmlformats.org/officeDocument/2006/relationships/hyperlink" Target="https://twitter.com/VWBeetleSales" TargetMode="External"/><Relationship Id="rId7582" Type="http://schemas.openxmlformats.org/officeDocument/2006/relationships/hyperlink" Target="https://twitter.com/DhakaTribune" TargetMode="External"/><Relationship Id="rId8633" Type="http://schemas.openxmlformats.org/officeDocument/2006/relationships/hyperlink" Target="https://twitter.com/derFunk" TargetMode="External"/><Relationship Id="rId10563" Type="http://schemas.openxmlformats.org/officeDocument/2006/relationships/hyperlink" Target="https://twitter.com/Scirocco_Tuning" TargetMode="External"/><Relationship Id="rId11614" Type="http://schemas.openxmlformats.org/officeDocument/2006/relationships/hyperlink" Target="https://pbs.twimg.com/profile_images/471156603769466880/81WpPgNR_normal.jpeg" TargetMode="External"/><Relationship Id="rId17176" Type="http://schemas.openxmlformats.org/officeDocument/2006/relationships/hyperlink" Target="https://twitter.com/Insta_VWT" TargetMode="External"/><Relationship Id="rId18227" Type="http://schemas.openxmlformats.org/officeDocument/2006/relationships/hyperlink" Target="https://twitter.com/VWCamperSales/status/723852311525658624" TargetMode="External"/><Relationship Id="rId24392" Type="http://schemas.openxmlformats.org/officeDocument/2006/relationships/hyperlink" Target="https://pbs.twimg.com/profile_images/627949001179037696/skEBkS05_normal.jpg" TargetMode="External"/><Relationship Id="rId25443" Type="http://schemas.openxmlformats.org/officeDocument/2006/relationships/hyperlink" Target="https://pbs.twimg.com/profile_images/540469645304557568/uSe3ub5V_normal.jpeg" TargetMode="External"/><Relationship Id="rId6184" Type="http://schemas.openxmlformats.org/officeDocument/2006/relationships/hyperlink" Target="https://twitter.com/Rhythmic_Spirit/status/723233752055472129" TargetMode="External"/><Relationship Id="rId7235" Type="http://schemas.openxmlformats.org/officeDocument/2006/relationships/hyperlink" Target="https://twitter.com/bradkellyfilms" TargetMode="External"/><Relationship Id="rId10216" Type="http://schemas.openxmlformats.org/officeDocument/2006/relationships/hyperlink" Target="https://twitter.com/irenesconcierge" TargetMode="External"/><Relationship Id="rId24045" Type="http://schemas.openxmlformats.org/officeDocument/2006/relationships/hyperlink" Target="https://pbs.twimg.com/profile_images/627949001179037696/skEBkS05_normal.jpg" TargetMode="External"/><Relationship Id="rId2794" Type="http://schemas.openxmlformats.org/officeDocument/2006/relationships/hyperlink" Target="https://twitter.com/vagmenhq/status/723119337557602305" TargetMode="External"/><Relationship Id="rId3845" Type="http://schemas.openxmlformats.org/officeDocument/2006/relationships/hyperlink" Target="https://twitter.com/ZDFheute" TargetMode="External"/><Relationship Id="rId12388" Type="http://schemas.openxmlformats.org/officeDocument/2006/relationships/hyperlink" Target="https://twitter.com/089stadt/status/723518663651930113" TargetMode="External"/><Relationship Id="rId13786" Type="http://schemas.openxmlformats.org/officeDocument/2006/relationships/hyperlink" Target="https://twitter.com/Stefan_Birkner" TargetMode="External"/><Relationship Id="rId14837" Type="http://schemas.openxmlformats.org/officeDocument/2006/relationships/hyperlink" Target="https://twitter.com/jungewelt" TargetMode="External"/><Relationship Id="rId766" Type="http://schemas.openxmlformats.org/officeDocument/2006/relationships/hyperlink" Target="https://pbs.twimg.com/profile_images/718820712757215233/LXXndPTS_normal.jpg" TargetMode="External"/><Relationship Id="rId1396" Type="http://schemas.openxmlformats.org/officeDocument/2006/relationships/hyperlink" Target="https://pbs.twimg.com/profile_images/489747056584445953/3tvslEko_normal.jpeg" TargetMode="External"/><Relationship Id="rId2447" Type="http://schemas.openxmlformats.org/officeDocument/2006/relationships/hyperlink" Target="https://twitter.com/beetlebug1938/status/723101903412965376" TargetMode="External"/><Relationship Id="rId13439" Type="http://schemas.openxmlformats.org/officeDocument/2006/relationships/hyperlink" Target="https://twitter.com/Only9built/status/723547627682430978" TargetMode="External"/><Relationship Id="rId17310" Type="http://schemas.openxmlformats.org/officeDocument/2006/relationships/hyperlink" Target="https://pbs.twimg.com/profile_images/610401931501137920/c0qYTPr__normal.jpg" TargetMode="External"/><Relationship Id="rId20655" Type="http://schemas.openxmlformats.org/officeDocument/2006/relationships/hyperlink" Target="https://twitter.com/surliergirl/status/724020370660052992" TargetMode="External"/><Relationship Id="rId21706" Type="http://schemas.openxmlformats.org/officeDocument/2006/relationships/hyperlink" Target="https://pbs.twimg.com/profile_images/637574744427102208/5hvsHkS-_normal.jpg" TargetMode="External"/><Relationship Id="rId419" Type="http://schemas.openxmlformats.org/officeDocument/2006/relationships/hyperlink" Target="https://twitter.com/gie_fer19" TargetMode="External"/><Relationship Id="rId1049" Type="http://schemas.openxmlformats.org/officeDocument/2006/relationships/hyperlink" Target="https://pbs.twimg.com/profile_images/567750100772855808/YTBbVSSU_normal.jpeg" TargetMode="External"/><Relationship Id="rId13920" Type="http://schemas.openxmlformats.org/officeDocument/2006/relationships/hyperlink" Target="https://twitter.com/uschaefer" TargetMode="External"/><Relationship Id="rId19482" Type="http://schemas.openxmlformats.org/officeDocument/2006/relationships/hyperlink" Target="https://twitter.com/SAHotwheels" TargetMode="External"/><Relationship Id="rId20308" Type="http://schemas.openxmlformats.org/officeDocument/2006/relationships/hyperlink" Target="https://pbs.twimg.com/profile_images/1171075230/heres_looking_at_you_normal.jpg" TargetMode="External"/><Relationship Id="rId23878" Type="http://schemas.openxmlformats.org/officeDocument/2006/relationships/hyperlink" Target="https://twitter.com/Jazzybam/status/724317870625284096" TargetMode="External"/><Relationship Id="rId24929" Type="http://schemas.openxmlformats.org/officeDocument/2006/relationships/hyperlink" Target="https://twitter.com/VCT_Tweets/status/724402943064182784" TargetMode="External"/><Relationship Id="rId7092" Type="http://schemas.openxmlformats.org/officeDocument/2006/relationships/hyperlink" Target="https://twitter.com/S1mon76" TargetMode="External"/><Relationship Id="rId8143" Type="http://schemas.openxmlformats.org/officeDocument/2006/relationships/hyperlink" Target="https://twitter.com/OnlineCarReview" TargetMode="External"/><Relationship Id="rId8490" Type="http://schemas.openxmlformats.org/officeDocument/2006/relationships/hyperlink" Target="https://twitter.com/fabianrothco" TargetMode="External"/><Relationship Id="rId9541" Type="http://schemas.openxmlformats.org/officeDocument/2006/relationships/hyperlink" Target="https://twitter.com/MiKaTa_de" TargetMode="External"/><Relationship Id="rId11471" Type="http://schemas.openxmlformats.org/officeDocument/2006/relationships/hyperlink" Target="https://twitter.com/Dr_JAH/status/723502752354164738" TargetMode="External"/><Relationship Id="rId12522" Type="http://schemas.openxmlformats.org/officeDocument/2006/relationships/hyperlink" Target="https://pbs.twimg.com/profile_images/378800000418575802/4990a46bd29dcada9f2cccf9e58c242d_normal.jpeg" TargetMode="External"/><Relationship Id="rId18084" Type="http://schemas.openxmlformats.org/officeDocument/2006/relationships/hyperlink" Target="https://twitter.com/voosvoos" TargetMode="External"/><Relationship Id="rId19135" Type="http://schemas.openxmlformats.org/officeDocument/2006/relationships/hyperlink" Target="https://twitter.com/pathgirl888" TargetMode="External"/><Relationship Id="rId900" Type="http://schemas.openxmlformats.org/officeDocument/2006/relationships/hyperlink" Target="https://twitter.com/Kittypunk16/status/723000185010458624" TargetMode="External"/><Relationship Id="rId1530" Type="http://schemas.openxmlformats.org/officeDocument/2006/relationships/hyperlink" Target="https://twitter.com/irishjulian/status/723044849868484608" TargetMode="External"/><Relationship Id="rId10073" Type="http://schemas.openxmlformats.org/officeDocument/2006/relationships/hyperlink" Target="https://twitter.com/techhippie/status/723460903811821570" TargetMode="External"/><Relationship Id="rId11124" Type="http://schemas.openxmlformats.org/officeDocument/2006/relationships/hyperlink" Target="https://twitter.com/NDRreporter/status/723497933941825537" TargetMode="External"/><Relationship Id="rId14694" Type="http://schemas.openxmlformats.org/officeDocument/2006/relationships/hyperlink" Target="https://pbs.twimg.com/profile_images/2460141036/sjyibdigjv1d2c6e1sb0_normal.jpeg" TargetMode="External"/><Relationship Id="rId15745" Type="http://schemas.openxmlformats.org/officeDocument/2006/relationships/hyperlink" Target="https://twitter.com/_A_A_C_/status/723622824645001216" TargetMode="External"/><Relationship Id="rId22961" Type="http://schemas.openxmlformats.org/officeDocument/2006/relationships/hyperlink" Target="https://twitter.com/VWCamperSales/status/724260634762731524" TargetMode="External"/><Relationship Id="rId4753" Type="http://schemas.openxmlformats.org/officeDocument/2006/relationships/hyperlink" Target="https://twitter.com/alloracomm" TargetMode="External"/><Relationship Id="rId5804" Type="http://schemas.openxmlformats.org/officeDocument/2006/relationships/hyperlink" Target="https://pbs.twimg.com/profile_images/684030452013731840/tYCK6LbY_normal.jpg" TargetMode="External"/><Relationship Id="rId13296" Type="http://schemas.openxmlformats.org/officeDocument/2006/relationships/hyperlink" Target="https://twitter.com/zervaspepper/status/723542968045465601" TargetMode="External"/><Relationship Id="rId14347" Type="http://schemas.openxmlformats.org/officeDocument/2006/relationships/hyperlink" Target="https://pbs.twimg.com/profile_images/722914450739740672/UDev3RR5_normal.jpg" TargetMode="External"/><Relationship Id="rId21563" Type="http://schemas.openxmlformats.org/officeDocument/2006/relationships/hyperlink" Target="https://twitter.com/Vagowners/status/724161130243993600" TargetMode="External"/><Relationship Id="rId22614" Type="http://schemas.openxmlformats.org/officeDocument/2006/relationships/hyperlink" Target="https://twitter.com/tayf10" TargetMode="External"/><Relationship Id="rId3355" Type="http://schemas.openxmlformats.org/officeDocument/2006/relationships/hyperlink" Target="https://twitter.com/VWCamperSales" TargetMode="External"/><Relationship Id="rId4406" Type="http://schemas.openxmlformats.org/officeDocument/2006/relationships/hyperlink" Target="https://twitter.com/Autourtiti/status/723180274406834176" TargetMode="External"/><Relationship Id="rId7976" Type="http://schemas.openxmlformats.org/officeDocument/2006/relationships/hyperlink" Target="https://twitter.com/borusse08/status/723346386360651776" TargetMode="External"/><Relationship Id="rId18968" Type="http://schemas.openxmlformats.org/officeDocument/2006/relationships/hyperlink" Target="https://pbs.twimg.com/profile_images/606430797743157249/nFnSTZud_normal.jpg" TargetMode="External"/><Relationship Id="rId20165" Type="http://schemas.openxmlformats.org/officeDocument/2006/relationships/hyperlink" Target="https://twitter.com/VolkswagenPost/status/723978988335427585" TargetMode="External"/><Relationship Id="rId21216" Type="http://schemas.openxmlformats.org/officeDocument/2006/relationships/hyperlink" Target="https://pbs.twimg.com/profile_images/653637535545995264/gHuXQ5Bt_normal.jpg" TargetMode="External"/><Relationship Id="rId276" Type="http://schemas.openxmlformats.org/officeDocument/2006/relationships/hyperlink" Target="https://pbs.twimg.com/profile_images/530071272881803264/a_jcCmPZ_normal.png" TargetMode="External"/><Relationship Id="rId3008" Type="http://schemas.openxmlformats.org/officeDocument/2006/relationships/hyperlink" Target="https://pbs.twimg.com/profile_images/703294545195307008/qeCvrX86_normal.jpg" TargetMode="External"/><Relationship Id="rId6578" Type="http://schemas.openxmlformats.org/officeDocument/2006/relationships/hyperlink" Target="https://twitter.com/cesaringg" TargetMode="External"/><Relationship Id="rId7629" Type="http://schemas.openxmlformats.org/officeDocument/2006/relationships/hyperlink" Target="https://twitter.com/enviromedia/status/723317603188400128" TargetMode="External"/><Relationship Id="rId10957" Type="http://schemas.openxmlformats.org/officeDocument/2006/relationships/hyperlink" Target="https://twitter.com/chrispillennews/status/723491701734682624" TargetMode="External"/><Relationship Id="rId23388" Type="http://schemas.openxmlformats.org/officeDocument/2006/relationships/hyperlink" Target="https://twitter.com/JanaHeykDesign" TargetMode="External"/><Relationship Id="rId24439" Type="http://schemas.openxmlformats.org/officeDocument/2006/relationships/hyperlink" Target="https://twitter.com/FuscaWorld/status/724357509532803075" TargetMode="External"/><Relationship Id="rId24786" Type="http://schemas.openxmlformats.org/officeDocument/2006/relationships/hyperlink" Target="https://twitter.com/FuscaWorld" TargetMode="External"/><Relationship Id="rId9051" Type="http://schemas.openxmlformats.org/officeDocument/2006/relationships/hyperlink" Target="https://pbs.twimg.com/profile_images/1200648485/instock_normal.jpg" TargetMode="External"/><Relationship Id="rId13430" Type="http://schemas.openxmlformats.org/officeDocument/2006/relationships/hyperlink" Target="https://pbs.twimg.com/profile_images/712576497370972160/XgXe6vFi_normal.jpg" TargetMode="External"/><Relationship Id="rId1040" Type="http://schemas.openxmlformats.org/officeDocument/2006/relationships/hyperlink" Target="https://pbs.twimg.com/profile_images/562563461171798017/AkHF4keI_normal.png" TargetMode="External"/><Relationship Id="rId12032" Type="http://schemas.openxmlformats.org/officeDocument/2006/relationships/hyperlink" Target="https://twitter.com/TNR_Gold/status/723512395054854145" TargetMode="External"/><Relationship Id="rId16653" Type="http://schemas.openxmlformats.org/officeDocument/2006/relationships/hyperlink" Target="https://twitter.com/Valennaraya/status/723708799765348352" TargetMode="External"/><Relationship Id="rId17704" Type="http://schemas.openxmlformats.org/officeDocument/2006/relationships/hyperlink" Target="https://twitter.com/TomBergen/status/723817690645827584" TargetMode="External"/><Relationship Id="rId24920" Type="http://schemas.openxmlformats.org/officeDocument/2006/relationships/hyperlink" Target="https://pbs.twimg.com/profile_images/521790805837901824/LRCzW4Fj_normal.jpeg" TargetMode="External"/><Relationship Id="rId410" Type="http://schemas.openxmlformats.org/officeDocument/2006/relationships/hyperlink" Target="https://twitter.com/junior1980rodr" TargetMode="External"/><Relationship Id="rId5661" Type="http://schemas.openxmlformats.org/officeDocument/2006/relationships/hyperlink" Target="https://twitter.com/SexenioCDMX/status/723211989909000192" TargetMode="External"/><Relationship Id="rId6712" Type="http://schemas.openxmlformats.org/officeDocument/2006/relationships/hyperlink" Target="https://twitter.com/AirdFlavelle/status/723254287548084225" TargetMode="External"/><Relationship Id="rId15255" Type="http://schemas.openxmlformats.org/officeDocument/2006/relationships/hyperlink" Target="https://twitter.com/VWCamperSales" TargetMode="External"/><Relationship Id="rId16306" Type="http://schemas.openxmlformats.org/officeDocument/2006/relationships/hyperlink" Target="https://twitter.com/SnowAngel0724" TargetMode="External"/><Relationship Id="rId19876" Type="http://schemas.openxmlformats.org/officeDocument/2006/relationships/hyperlink" Target="https://twitter.com/Marilynnavas1" TargetMode="External"/><Relationship Id="rId22471" Type="http://schemas.openxmlformats.org/officeDocument/2006/relationships/hyperlink" Target="http://dlvr.it/" TargetMode="External"/><Relationship Id="rId23522" Type="http://schemas.openxmlformats.org/officeDocument/2006/relationships/hyperlink" Target="http://mascoche.net/" TargetMode="External"/><Relationship Id="rId4263" Type="http://schemas.openxmlformats.org/officeDocument/2006/relationships/hyperlink" Target="https://twitter.com/dw_wirtschaft/status/723178508264984576" TargetMode="External"/><Relationship Id="rId5314" Type="http://schemas.openxmlformats.org/officeDocument/2006/relationships/hyperlink" Target="https://twitter.com/SocialMAXorg/status/723199812191952896" TargetMode="External"/><Relationship Id="rId8884" Type="http://schemas.openxmlformats.org/officeDocument/2006/relationships/hyperlink" Target="https://pbs.twimg.com/profile_images/544873707072917504/jLvcqmB__normal.jpeg" TargetMode="External"/><Relationship Id="rId9935" Type="http://schemas.openxmlformats.org/officeDocument/2006/relationships/hyperlink" Target="https://twitter.com/VWBeetleSales/status/723454439537827840" TargetMode="External"/><Relationship Id="rId18478" Type="http://schemas.openxmlformats.org/officeDocument/2006/relationships/hyperlink" Target="https://twitter.com/rudy_rubber/status/723871719484583937" TargetMode="External"/><Relationship Id="rId19529" Type="http://schemas.openxmlformats.org/officeDocument/2006/relationships/hyperlink" Target="https://twitter.com/VWsightings" TargetMode="External"/><Relationship Id="rId21073" Type="http://schemas.openxmlformats.org/officeDocument/2006/relationships/hyperlink" Target="https://twitter.com/breedveldusa" TargetMode="External"/><Relationship Id="rId22124" Type="http://schemas.openxmlformats.org/officeDocument/2006/relationships/hyperlink" Target="https://twitter.com/techhippie" TargetMode="External"/><Relationship Id="rId25694" Type="http://schemas.openxmlformats.org/officeDocument/2006/relationships/hyperlink" Target="https://pbs.twimg.com/profile_images/527543470005964800/j2iA1fA8_normal.jpeg" TargetMode="External"/><Relationship Id="rId1924" Type="http://schemas.openxmlformats.org/officeDocument/2006/relationships/hyperlink" Target="https://pbs.twimg.com/profile_images/530071272881803264/a_jcCmPZ_normal.png" TargetMode="External"/><Relationship Id="rId7486" Type="http://schemas.openxmlformats.org/officeDocument/2006/relationships/hyperlink" Target="https://pbs.twimg.com/profile_images/575834336924053504/MUu7P3Wg_normal.jpeg" TargetMode="External"/><Relationship Id="rId8537" Type="http://schemas.openxmlformats.org/officeDocument/2006/relationships/hyperlink" Target="https://twitter.com/ssalerno2/status/723393502202089476" TargetMode="External"/><Relationship Id="rId10467" Type="http://schemas.openxmlformats.org/officeDocument/2006/relationships/hyperlink" Target="https://pbs.twimg.com/profile_images/378800000801365829/e9f28f8996ff7f098d9b8a1840e76f50_normal.png" TargetMode="External"/><Relationship Id="rId11865" Type="http://schemas.openxmlformats.org/officeDocument/2006/relationships/hyperlink" Target="https://twitter.com/bravinhos/status/723509025631920128" TargetMode="External"/><Relationship Id="rId12916" Type="http://schemas.openxmlformats.org/officeDocument/2006/relationships/hyperlink" Target="https://twitter.com/Theothebald/status/723531411853053952" TargetMode="External"/><Relationship Id="rId24296" Type="http://schemas.openxmlformats.org/officeDocument/2006/relationships/hyperlink" Target="http://dronodromo.com/" TargetMode="External"/><Relationship Id="rId25347" Type="http://schemas.openxmlformats.org/officeDocument/2006/relationships/hyperlink" Target="https://twitter.com/RobertoGarciaV_" TargetMode="External"/><Relationship Id="rId6088" Type="http://schemas.openxmlformats.org/officeDocument/2006/relationships/hyperlink" Target="https://pbs.twimg.com/profile_images/627949001179037696/skEBkS05_normal.jpg" TargetMode="External"/><Relationship Id="rId7139" Type="http://schemas.openxmlformats.org/officeDocument/2006/relationships/hyperlink" Target="https://pbs.twimg.com/profile_images/600512237535637504/UjVoSZSR_normal.jpg" TargetMode="External"/><Relationship Id="rId11518" Type="http://schemas.openxmlformats.org/officeDocument/2006/relationships/hyperlink" Target="https://twitter.com/BREAKING_EIL" TargetMode="External"/><Relationship Id="rId2698" Type="http://schemas.openxmlformats.org/officeDocument/2006/relationships/hyperlink" Target="https://twitter.com/5BIEG_PL" TargetMode="External"/><Relationship Id="rId17561" Type="http://schemas.openxmlformats.org/officeDocument/2006/relationships/hyperlink" Target="https://pbs.twimg.com/profile_images/699671285903847425/5M5nDF6k_normal.jpg" TargetMode="External"/><Relationship Id="rId18612" Type="http://schemas.openxmlformats.org/officeDocument/2006/relationships/hyperlink" Target="https://twitter.com/manumuncki/status/723884346592092161" TargetMode="External"/><Relationship Id="rId21957" Type="http://schemas.openxmlformats.org/officeDocument/2006/relationships/hyperlink" Target="https://twitter.com/mondedelauto/status/724191270101508096" TargetMode="External"/><Relationship Id="rId3749" Type="http://schemas.openxmlformats.org/officeDocument/2006/relationships/hyperlink" Target="https://twitter.com/CV_OT" TargetMode="External"/><Relationship Id="rId5171" Type="http://schemas.openxmlformats.org/officeDocument/2006/relationships/hyperlink" Target="https://pbs.twimg.com/profile_images/366739006/bewerbungsbild_detail_flyer_13_normal.png" TargetMode="External"/><Relationship Id="rId6222" Type="http://schemas.openxmlformats.org/officeDocument/2006/relationships/hyperlink" Target="https://twitter.com/VWShawty" TargetMode="External"/><Relationship Id="rId7620" Type="http://schemas.openxmlformats.org/officeDocument/2006/relationships/hyperlink" Target="https://twitter.com/ReynaldiLucas/status/723316958725345280" TargetMode="External"/><Relationship Id="rId10601" Type="http://schemas.openxmlformats.org/officeDocument/2006/relationships/hyperlink" Target="https://pbs.twimg.com/profile_images/378800000511154163/c20f2fe8ec84a2711f24b92162bbe1ec_normal.png" TargetMode="External"/><Relationship Id="rId16163" Type="http://schemas.openxmlformats.org/officeDocument/2006/relationships/hyperlink" Target="https://pbs.twimg.com/profile_images/716653254524805124/SlK9E5Pd_normal.jpg" TargetMode="External"/><Relationship Id="rId17214" Type="http://schemas.openxmlformats.org/officeDocument/2006/relationships/hyperlink" Target="https://twitter.com/WhichNews/status/723780970202189824" TargetMode="External"/><Relationship Id="rId20559" Type="http://schemas.openxmlformats.org/officeDocument/2006/relationships/hyperlink" Target="https://twitter.com/fzerfass/status/724008677242507264" TargetMode="External"/><Relationship Id="rId24430" Type="http://schemas.openxmlformats.org/officeDocument/2006/relationships/hyperlink" Target="https://twitter.com/VeeDubMk1_/status/724357457930280961" TargetMode="External"/><Relationship Id="rId9792" Type="http://schemas.openxmlformats.org/officeDocument/2006/relationships/hyperlink" Target="https://pbs.twimg.com/profile_images/703995356049252353/5FP6lekY_normal.jpg" TargetMode="External"/><Relationship Id="rId12773" Type="http://schemas.openxmlformats.org/officeDocument/2006/relationships/hyperlink" Target="https://twitter.com/myCarbe" TargetMode="External"/><Relationship Id="rId13824" Type="http://schemas.openxmlformats.org/officeDocument/2006/relationships/hyperlink" Target="https://twitter.com/BillJacobsVW" TargetMode="External"/><Relationship Id="rId19386" Type="http://schemas.openxmlformats.org/officeDocument/2006/relationships/hyperlink" Target="https://twitter.com/FuscaWorld" TargetMode="External"/><Relationship Id="rId23032" Type="http://schemas.openxmlformats.org/officeDocument/2006/relationships/hyperlink" Target="https://pbs.twimg.com/profile_images/3296258792/7852b77f95bc153cf32db2ba07fb879c_normal.jpeg" TargetMode="External"/><Relationship Id="rId1781" Type="http://schemas.openxmlformats.org/officeDocument/2006/relationships/hyperlink" Target="https://pbs.twimg.com/profile_images/534347903415091200/7vSjzA4l_normal.jpeg" TargetMode="External"/><Relationship Id="rId2832" Type="http://schemas.openxmlformats.org/officeDocument/2006/relationships/hyperlink" Target="https://twitter.com/DubLuvTuning" TargetMode="External"/><Relationship Id="rId8394" Type="http://schemas.openxmlformats.org/officeDocument/2006/relationships/hyperlink" Target="https://pbs.twimg.com/profile_images/3387431882/bc1a365cc44a6c605d8074e81a5df0d8_normal.jpeg" TargetMode="External"/><Relationship Id="rId9445" Type="http://schemas.openxmlformats.org/officeDocument/2006/relationships/hyperlink" Target="https://twitter.com/Woogpirat" TargetMode="External"/><Relationship Id="rId11375" Type="http://schemas.openxmlformats.org/officeDocument/2006/relationships/hyperlink" Target="https://twitter.com/srfnews/status/723501644168597505" TargetMode="External"/><Relationship Id="rId12426" Type="http://schemas.openxmlformats.org/officeDocument/2006/relationships/hyperlink" Target="https://pbs.twimg.com/profile_images/505852375911780352/2-ZN7ue2_normal.jpeg" TargetMode="External"/><Relationship Id="rId19039" Type="http://schemas.openxmlformats.org/officeDocument/2006/relationships/hyperlink" Target="https://twitter.com/yogafitter" TargetMode="External"/><Relationship Id="rId804" Type="http://schemas.openxmlformats.org/officeDocument/2006/relationships/hyperlink" Target="https://twitter.com/stefanmeierfkw" TargetMode="External"/><Relationship Id="rId1434" Type="http://schemas.openxmlformats.org/officeDocument/2006/relationships/hyperlink" Target="https://twitter.com/beetlebug1938/status/723040802499362816" TargetMode="External"/><Relationship Id="rId8047" Type="http://schemas.openxmlformats.org/officeDocument/2006/relationships/hyperlink" Target="https://pbs.twimg.com/profile_images/686541430689497089/GPansWFu_normal.jpg" TargetMode="External"/><Relationship Id="rId11028" Type="http://schemas.openxmlformats.org/officeDocument/2006/relationships/hyperlink" Target="https://pbs.twimg.com/profile_images/704475085868965888/geCqCysj_normal.jpg" TargetMode="External"/><Relationship Id="rId14598" Type="http://schemas.openxmlformats.org/officeDocument/2006/relationships/hyperlink" Target="https://twitter.com/ratemycamper" TargetMode="External"/><Relationship Id="rId15996" Type="http://schemas.openxmlformats.org/officeDocument/2006/relationships/hyperlink" Target="https://twitter.com/davidmilner73/status/723641371769319424" TargetMode="External"/><Relationship Id="rId4657" Type="http://schemas.openxmlformats.org/officeDocument/2006/relationships/hyperlink" Target="https://twitter.com/ExCEO_" TargetMode="External"/><Relationship Id="rId5708" Type="http://schemas.openxmlformats.org/officeDocument/2006/relationships/hyperlink" Target="https://twitter.com/Mphilpot1" TargetMode="External"/><Relationship Id="rId15649" Type="http://schemas.openxmlformats.org/officeDocument/2006/relationships/hyperlink" Target="https://twitter.com/dillonmj" TargetMode="External"/><Relationship Id="rId17071" Type="http://schemas.openxmlformats.org/officeDocument/2006/relationships/hyperlink" Target="https://twitter.com/AdvisorAbbate" TargetMode="External"/><Relationship Id="rId18122" Type="http://schemas.openxmlformats.org/officeDocument/2006/relationships/hyperlink" Target="https://pbs.twimg.com/profile_images/705780107844067328/e7O4UBNb_normal.jpg" TargetMode="External"/><Relationship Id="rId19520" Type="http://schemas.openxmlformats.org/officeDocument/2006/relationships/hyperlink" Target="https://twitter.com/DubLuvTuning/status/723938508608540674" TargetMode="External"/><Relationship Id="rId21467" Type="http://schemas.openxmlformats.org/officeDocument/2006/relationships/hyperlink" Target="https://twitter.com/plastic_lettuce" TargetMode="External"/><Relationship Id="rId22518" Type="http://schemas.openxmlformats.org/officeDocument/2006/relationships/hyperlink" Target="https://twitter.com/sergiomarijr/status/724227412209336321" TargetMode="External"/><Relationship Id="rId22865" Type="http://schemas.openxmlformats.org/officeDocument/2006/relationships/hyperlink" Target="https://twitter.com/PorscheOfficApp" TargetMode="External"/><Relationship Id="rId23916" Type="http://schemas.openxmlformats.org/officeDocument/2006/relationships/hyperlink" Target="https://twitter.com/beetlebug1938/status/724321380657946624" TargetMode="External"/><Relationship Id="rId3259" Type="http://schemas.openxmlformats.org/officeDocument/2006/relationships/hyperlink" Target="https://pbs.twimg.com/profile_images/577875328866992128/5rfOkUgb_normal.jpg" TargetMode="External"/><Relationship Id="rId7130" Type="http://schemas.openxmlformats.org/officeDocument/2006/relationships/hyperlink" Target="https://pbs.twimg.com/profile_images/378800000572104796/1de43e1cf23efb3f4101c02afad0d3b6_normal.png" TargetMode="External"/><Relationship Id="rId20069" Type="http://schemas.openxmlformats.org/officeDocument/2006/relationships/hyperlink" Target="https://twitter.com/McBassler" TargetMode="External"/><Relationship Id="rId10111" Type="http://schemas.openxmlformats.org/officeDocument/2006/relationships/hyperlink" Target="https://twitter.com/greenandbrown1/status/723463153691049985" TargetMode="External"/><Relationship Id="rId13681" Type="http://schemas.openxmlformats.org/officeDocument/2006/relationships/hyperlink" Target="https://pbs.twimg.com/profile_images/483366819907244032/GJ12JiEa_normal.jpeg" TargetMode="External"/><Relationship Id="rId14732" Type="http://schemas.openxmlformats.org/officeDocument/2006/relationships/hyperlink" Target="https://twitter.com/MotoringPodcast/status/723580887850463232" TargetMode="External"/><Relationship Id="rId3740" Type="http://schemas.openxmlformats.org/officeDocument/2006/relationships/hyperlink" Target="https://twitter.com/BungerKCBS" TargetMode="External"/><Relationship Id="rId12283" Type="http://schemas.openxmlformats.org/officeDocument/2006/relationships/hyperlink" Target="https://twitter.com/kirillklip" TargetMode="External"/><Relationship Id="rId13334" Type="http://schemas.openxmlformats.org/officeDocument/2006/relationships/hyperlink" Target="https://twitter.com/helichristine" TargetMode="External"/><Relationship Id="rId17955" Type="http://schemas.openxmlformats.org/officeDocument/2006/relationships/hyperlink" Target="http://dlvr.it/" TargetMode="External"/><Relationship Id="rId20550" Type="http://schemas.openxmlformats.org/officeDocument/2006/relationships/hyperlink" Target="https://twitter.com/w_Ame7_NEWs/status/724008022012366848" TargetMode="External"/><Relationship Id="rId21601" Type="http://schemas.openxmlformats.org/officeDocument/2006/relationships/hyperlink" Target="https://twitter.com/beetlebug1938" TargetMode="External"/><Relationship Id="rId661" Type="http://schemas.openxmlformats.org/officeDocument/2006/relationships/hyperlink" Target="https://twitter.com/Heipmestagram/status/722967883882618880" TargetMode="External"/><Relationship Id="rId1291" Type="http://schemas.openxmlformats.org/officeDocument/2006/relationships/hyperlink" Target="https://twitter.com/Speak_EV" TargetMode="External"/><Relationship Id="rId2342" Type="http://schemas.openxmlformats.org/officeDocument/2006/relationships/hyperlink" Target="https://pbs.twimg.com/profile_images/1833245422/twitter_yo_normal.jpg" TargetMode="External"/><Relationship Id="rId6963" Type="http://schemas.openxmlformats.org/officeDocument/2006/relationships/hyperlink" Target="https://twitter.com/mpitzke/status/723272156298264577" TargetMode="External"/><Relationship Id="rId16557" Type="http://schemas.openxmlformats.org/officeDocument/2006/relationships/hyperlink" Target="https://pbs.twimg.com/profile_images/718820712757215233/LXXndPTS_normal.jpg" TargetMode="External"/><Relationship Id="rId17608" Type="http://schemas.openxmlformats.org/officeDocument/2006/relationships/hyperlink" Target="https://twitter.com/Racing_Aces" TargetMode="External"/><Relationship Id="rId20203" Type="http://schemas.openxmlformats.org/officeDocument/2006/relationships/hyperlink" Target="https://twitter.com/Eduardo_MejiaV" TargetMode="External"/><Relationship Id="rId23773" Type="http://schemas.openxmlformats.org/officeDocument/2006/relationships/hyperlink" Target="https://pbs.twimg.com/profile_images/424893967197433858/iQ86NktX_normal.jpeg" TargetMode="External"/><Relationship Id="rId24824" Type="http://schemas.openxmlformats.org/officeDocument/2006/relationships/hyperlink" Target="https://twitter.com/dan_stange/status/724390502179737600" TargetMode="External"/><Relationship Id="rId314" Type="http://schemas.openxmlformats.org/officeDocument/2006/relationships/hyperlink" Target="https://twitter.com/VolkswagenPost/status/722945778688208898" TargetMode="External"/><Relationship Id="rId5565" Type="http://schemas.openxmlformats.org/officeDocument/2006/relationships/hyperlink" Target="https://pbs.twimg.com/profile_images/704001047216447488/5a1ozl-l_normal.jpg" TargetMode="External"/><Relationship Id="rId6616" Type="http://schemas.openxmlformats.org/officeDocument/2006/relationships/hyperlink" Target="https://twitter.com/christianwilp/status/723247924302491648" TargetMode="External"/><Relationship Id="rId15159" Type="http://schemas.openxmlformats.org/officeDocument/2006/relationships/hyperlink" Target="https://pbs.twimg.com/profile_images/703294545195307008/qeCvrX86_normal.jpg" TargetMode="External"/><Relationship Id="rId19030" Type="http://schemas.openxmlformats.org/officeDocument/2006/relationships/hyperlink" Target="https://twitter.com/dejbanlaw" TargetMode="External"/><Relationship Id="rId22375" Type="http://schemas.openxmlformats.org/officeDocument/2006/relationships/hyperlink" Target="https://twitter.com/Oscar_Patillo/status/724220191794667520" TargetMode="External"/><Relationship Id="rId23426" Type="http://schemas.openxmlformats.org/officeDocument/2006/relationships/hyperlink" Target="https://twitter.com/Mister_Ka" TargetMode="External"/><Relationship Id="rId4167" Type="http://schemas.openxmlformats.org/officeDocument/2006/relationships/hyperlink" Target="https://twitter.com/MedAgness/status/723177577779736576" TargetMode="External"/><Relationship Id="rId5218" Type="http://schemas.openxmlformats.org/officeDocument/2006/relationships/hyperlink" Target="https://twitter.com/jofrov" TargetMode="External"/><Relationship Id="rId8788" Type="http://schemas.openxmlformats.org/officeDocument/2006/relationships/hyperlink" Target="https://pbs.twimg.com/profile_images/378800000566378572/084cb3103fd97db6ea2fcb90b2ea5dc7_normal.jpeg" TargetMode="External"/><Relationship Id="rId9839" Type="http://schemas.openxmlformats.org/officeDocument/2006/relationships/hyperlink" Target="https://pbs.twimg.com/profile_images/702423578608852994/zVbR9TA1_normal.jpg" TargetMode="External"/><Relationship Id="rId22028" Type="http://schemas.openxmlformats.org/officeDocument/2006/relationships/hyperlink" Target="https://pbs.twimg.com/profile_images/414218985224142848/lFUdEAne_normal.jpeg" TargetMode="External"/><Relationship Id="rId25598" Type="http://schemas.openxmlformats.org/officeDocument/2006/relationships/hyperlink" Target="https://twitter.com/breedveldusa" TargetMode="External"/><Relationship Id="rId11769" Type="http://schemas.openxmlformats.org/officeDocument/2006/relationships/hyperlink" Target="https://twitter.com/tom_hille/status/723507163994427392" TargetMode="External"/><Relationship Id="rId13191" Type="http://schemas.openxmlformats.org/officeDocument/2006/relationships/hyperlink" Target="https://twitter.com/RichardRead" TargetMode="External"/><Relationship Id="rId15640" Type="http://schemas.openxmlformats.org/officeDocument/2006/relationships/hyperlink" Target="https://twitter.com/DubLuvTuning" TargetMode="External"/><Relationship Id="rId1828" Type="http://schemas.openxmlformats.org/officeDocument/2006/relationships/hyperlink" Target="https://twitter.com/shinemyrideuk" TargetMode="External"/><Relationship Id="rId3250" Type="http://schemas.openxmlformats.org/officeDocument/2006/relationships/hyperlink" Target="https://pbs.twimg.com/profile_images/660409900472868864/CP1M066D_normal.png" TargetMode="External"/><Relationship Id="rId14242" Type="http://schemas.openxmlformats.org/officeDocument/2006/relationships/hyperlink" Target="https://twitter.com/CoopsNeil" TargetMode="External"/><Relationship Id="rId18863" Type="http://schemas.openxmlformats.org/officeDocument/2006/relationships/hyperlink" Target="https://twitter.com/Danielberryman_/status/723901688550182912" TargetMode="External"/><Relationship Id="rId19914" Type="http://schemas.openxmlformats.org/officeDocument/2006/relationships/hyperlink" Target="https://pbs.twimg.com/profile_images/714507195304517639/UIfr3nS-_normal.jpg" TargetMode="External"/><Relationship Id="rId20060" Type="http://schemas.openxmlformats.org/officeDocument/2006/relationships/hyperlink" Target="https://twitter.com/MSM_Marion/status/723972870779621376" TargetMode="External"/><Relationship Id="rId171" Type="http://schemas.openxmlformats.org/officeDocument/2006/relationships/hyperlink" Target="https://twitter.com/VCT_Tweets" TargetMode="External"/><Relationship Id="rId4301" Type="http://schemas.openxmlformats.org/officeDocument/2006/relationships/hyperlink" Target="https://pbs.twimg.com/profile_images/617979796744568832/YHw6Izem_normal.jpg" TargetMode="External"/><Relationship Id="rId7871" Type="http://schemas.openxmlformats.org/officeDocument/2006/relationships/hyperlink" Target="https://twitter.com/1stInSEO/status/723336151969353728" TargetMode="External"/><Relationship Id="rId8922" Type="http://schemas.openxmlformats.org/officeDocument/2006/relationships/hyperlink" Target="https://twitter.com/RollHardd/status/723411746195537921" TargetMode="External"/><Relationship Id="rId10852" Type="http://schemas.openxmlformats.org/officeDocument/2006/relationships/hyperlink" Target="https://twitter.com/martin_speer/status/723487937229414400" TargetMode="External"/><Relationship Id="rId11903" Type="http://schemas.openxmlformats.org/officeDocument/2006/relationships/hyperlink" Target="https://twitter.com/JockBuster" TargetMode="External"/><Relationship Id="rId17465" Type="http://schemas.openxmlformats.org/officeDocument/2006/relationships/hyperlink" Target="https://twitter.com/_AKHH_/status/723800090213781504" TargetMode="External"/><Relationship Id="rId18516" Type="http://schemas.openxmlformats.org/officeDocument/2006/relationships/hyperlink" Target="https://twitter.com/PheonixJane" TargetMode="External"/><Relationship Id="rId21111" Type="http://schemas.openxmlformats.org/officeDocument/2006/relationships/hyperlink" Target="https://twitter.com/beetlebug1938/status/724103029910282241" TargetMode="External"/><Relationship Id="rId24681" Type="http://schemas.openxmlformats.org/officeDocument/2006/relationships/hyperlink" Target="https://pbs.twimg.com/profile_images/541554892754935808/tLOssIdg_normal.jpeg" TargetMode="External"/><Relationship Id="rId25732" Type="http://schemas.openxmlformats.org/officeDocument/2006/relationships/hyperlink" Target="https://twitter.com/BriardSebastien/status/724469016761405442" TargetMode="External"/><Relationship Id="rId6473" Type="http://schemas.openxmlformats.org/officeDocument/2006/relationships/hyperlink" Target="https://twitter.com/EnthusiastView" TargetMode="External"/><Relationship Id="rId7524" Type="http://schemas.openxmlformats.org/officeDocument/2006/relationships/hyperlink" Target="https://twitter.com/gastongomez6173" TargetMode="External"/><Relationship Id="rId10505" Type="http://schemas.openxmlformats.org/officeDocument/2006/relationships/hyperlink" Target="https://pbs.twimg.com/profile_images/710929065939755009/-Rgs_z20_normal.jpg" TargetMode="External"/><Relationship Id="rId16067" Type="http://schemas.openxmlformats.org/officeDocument/2006/relationships/hyperlink" Target="https://twitter.com/_kuball_" TargetMode="External"/><Relationship Id="rId17118" Type="http://schemas.openxmlformats.org/officeDocument/2006/relationships/hyperlink" Target="https://twitter.com/Gachie_/status/723771165257424896" TargetMode="External"/><Relationship Id="rId23283" Type="http://schemas.openxmlformats.org/officeDocument/2006/relationships/hyperlink" Target="https://pbs.twimg.com/profile_images/3495443611/f8d62116cc5175519399d65e25f834e2_normal.jpeg" TargetMode="External"/><Relationship Id="rId24334" Type="http://schemas.openxmlformats.org/officeDocument/2006/relationships/hyperlink" Target="https://pbs.twimg.com/profile_images/711681874674974720/4UyhprOo_normal.jpg" TargetMode="External"/><Relationship Id="rId5075" Type="http://schemas.openxmlformats.org/officeDocument/2006/relationships/hyperlink" Target="https://pbs.twimg.com/profile_images/708003242857340928/cAaQH8tl_normal.jpg" TargetMode="External"/><Relationship Id="rId6126" Type="http://schemas.openxmlformats.org/officeDocument/2006/relationships/hyperlink" Target="https://pbs.twimg.com/profile_images/712334466585333760/rN4Fnyef_normal.jpg" TargetMode="External"/><Relationship Id="rId9696" Type="http://schemas.openxmlformats.org/officeDocument/2006/relationships/hyperlink" Target="https://pbs.twimg.com/profile_images/618480038120423424/5KWa6rCE_normal.jpg" TargetMode="External"/><Relationship Id="rId12677" Type="http://schemas.openxmlformats.org/officeDocument/2006/relationships/hyperlink" Target="https://twitter.com/NDRreporter" TargetMode="External"/><Relationship Id="rId1685" Type="http://schemas.openxmlformats.org/officeDocument/2006/relationships/hyperlink" Target="https://twitter.com/ywakrahS" TargetMode="External"/><Relationship Id="rId2736" Type="http://schemas.openxmlformats.org/officeDocument/2006/relationships/hyperlink" Target="https://twitter.com/AceNewsServices/status/723116211110694914" TargetMode="External"/><Relationship Id="rId8298" Type="http://schemas.openxmlformats.org/officeDocument/2006/relationships/hyperlink" Target="https://twitter.com/sjprost" TargetMode="External"/><Relationship Id="rId9349" Type="http://schemas.openxmlformats.org/officeDocument/2006/relationships/hyperlink" Target="https://twitter.com/Artemka86/status/723431015096578048" TargetMode="External"/><Relationship Id="rId11279" Type="http://schemas.openxmlformats.org/officeDocument/2006/relationships/hyperlink" Target="https://twitter.com/doern" TargetMode="External"/><Relationship Id="rId13728" Type="http://schemas.openxmlformats.org/officeDocument/2006/relationships/hyperlink" Target="https://pbs.twimg.com/profile_images/721915123863052288/NwGajXYr_normal.jpg" TargetMode="External"/><Relationship Id="rId15150" Type="http://schemas.openxmlformats.org/officeDocument/2006/relationships/hyperlink" Target="https://twitter.com/CraigBennett3/status/723595929144705024" TargetMode="External"/><Relationship Id="rId16201" Type="http://schemas.openxmlformats.org/officeDocument/2006/relationships/hyperlink" Target="https://twitter.com/VWBeetleSales" TargetMode="External"/><Relationship Id="rId20944" Type="http://schemas.openxmlformats.org/officeDocument/2006/relationships/hyperlink" Target="https://pbs.twimg.com/profile_images/554845466257805312/7eZldUOH_normal.jpeg" TargetMode="External"/><Relationship Id="rId708" Type="http://schemas.openxmlformats.org/officeDocument/2006/relationships/hyperlink" Target="http://ctrlq.org/maps/address/" TargetMode="External"/><Relationship Id="rId1338" Type="http://schemas.openxmlformats.org/officeDocument/2006/relationships/hyperlink" Target="https://pbs.twimg.com/profile_images/643481656960155648/NZK8ZbDk_normal.jpg" TargetMode="External"/><Relationship Id="rId19771" Type="http://schemas.openxmlformats.org/officeDocument/2006/relationships/hyperlink" Target="https://twitter.com/Insta_VWT" TargetMode="External"/><Relationship Id="rId5959" Type="http://schemas.openxmlformats.org/officeDocument/2006/relationships/hyperlink" Target="https://pbs.twimg.com/profile_images/710243539695763456/UeBsM3MU_normal.jpg" TargetMode="External"/><Relationship Id="rId7381" Type="http://schemas.openxmlformats.org/officeDocument/2006/relationships/hyperlink" Target="https://pbs.twimg.com/profile_images/720884007152394240/OWYVobwN_normal.jpg" TargetMode="External"/><Relationship Id="rId8432" Type="http://schemas.openxmlformats.org/officeDocument/2006/relationships/hyperlink" Target="https://twitter.com/E_Benji/status/723388200262062080" TargetMode="External"/><Relationship Id="rId9830" Type="http://schemas.openxmlformats.org/officeDocument/2006/relationships/hyperlink" Target="https://pbs.twimg.com/profile_images/466908605317279744/I5a712BQ_normal.jpeg" TargetMode="External"/><Relationship Id="rId11760" Type="http://schemas.openxmlformats.org/officeDocument/2006/relationships/hyperlink" Target="https://twitter.com/MattFux/status/723507069362556930" TargetMode="External"/><Relationship Id="rId12811" Type="http://schemas.openxmlformats.org/officeDocument/2006/relationships/hyperlink" Target="https://twitter.com/beetlebug1938" TargetMode="External"/><Relationship Id="rId18373" Type="http://schemas.openxmlformats.org/officeDocument/2006/relationships/hyperlink" Target="https://pbs.twimg.com/profile_images/682117656502222848/Ge7YeAF3_normal.png" TargetMode="External"/><Relationship Id="rId19424" Type="http://schemas.openxmlformats.org/officeDocument/2006/relationships/hyperlink" Target="https://twitter.com/commutador/status/723931182765903872" TargetMode="External"/><Relationship Id="rId22769" Type="http://schemas.openxmlformats.org/officeDocument/2006/relationships/hyperlink" Target="https://twitter.com/fly2wales" TargetMode="External"/><Relationship Id="rId24191" Type="http://schemas.openxmlformats.org/officeDocument/2006/relationships/hyperlink" Target="https://pbs.twimg.com/profile_images/718835727027580928/1ssyQ67y_normal.jpg" TargetMode="External"/><Relationship Id="rId44" Type="http://schemas.openxmlformats.org/officeDocument/2006/relationships/hyperlink" Target="https://twitter.com/beetlebug1938/status/722920679306371072" TargetMode="External"/><Relationship Id="rId7034" Type="http://schemas.openxmlformats.org/officeDocument/2006/relationships/hyperlink" Target="https://twitter.com/noz_de/status/723275517894512643" TargetMode="External"/><Relationship Id="rId10362" Type="http://schemas.openxmlformats.org/officeDocument/2006/relationships/hyperlink" Target="https://twitter.com/golfnovels" TargetMode="External"/><Relationship Id="rId11413" Type="http://schemas.openxmlformats.org/officeDocument/2006/relationships/hyperlink" Target="https://twitter.com/GoldenAgerDe" TargetMode="External"/><Relationship Id="rId14983" Type="http://schemas.openxmlformats.org/officeDocument/2006/relationships/hyperlink" Target="https://twitter.com/StohlmanAuto/status/723588510029103105" TargetMode="External"/><Relationship Id="rId18026" Type="http://schemas.openxmlformats.org/officeDocument/2006/relationships/hyperlink" Target="https://twitter.com/voosvoos" TargetMode="External"/><Relationship Id="rId25242" Type="http://schemas.openxmlformats.org/officeDocument/2006/relationships/hyperlink" Target="https://pbs.twimg.com/profile_images/720623345029423104/TUxoNGEM_normal.jpg" TargetMode="External"/><Relationship Id="rId3991" Type="http://schemas.openxmlformats.org/officeDocument/2006/relationships/hyperlink" Target="https://twitter.com/updayDE" TargetMode="External"/><Relationship Id="rId10015" Type="http://schemas.openxmlformats.org/officeDocument/2006/relationships/hyperlink" Target="https://twitter.com/zdmak" TargetMode="External"/><Relationship Id="rId13585" Type="http://schemas.openxmlformats.org/officeDocument/2006/relationships/hyperlink" Target="https://twitter.com/Klaus_Mueller/status/723551214642839552" TargetMode="External"/><Relationship Id="rId14636" Type="http://schemas.openxmlformats.org/officeDocument/2006/relationships/hyperlink" Target="https://pbs.twimg.com/profile_images/699312392279351296/xLH7EdkY_normal.jpg" TargetMode="External"/><Relationship Id="rId21852" Type="http://schemas.openxmlformats.org/officeDocument/2006/relationships/hyperlink" Target="https://twitter.com/franke_media/status/724185226755342336" TargetMode="External"/><Relationship Id="rId22903" Type="http://schemas.openxmlformats.org/officeDocument/2006/relationships/hyperlink" Target="https://pbs.twimg.com/profile_images/422164778639839234/LVnS1q1c_normal.jpeg" TargetMode="External"/><Relationship Id="rId2593" Type="http://schemas.openxmlformats.org/officeDocument/2006/relationships/hyperlink" Target="https://pbs.twimg.com/profile_images/459716655581364224/L2RGYkk5_normal.jpeg" TargetMode="External"/><Relationship Id="rId3644" Type="http://schemas.openxmlformats.org/officeDocument/2006/relationships/hyperlink" Target="https://twitter.com/VWBeetleSales" TargetMode="External"/><Relationship Id="rId12187" Type="http://schemas.openxmlformats.org/officeDocument/2006/relationships/hyperlink" Target="https://twitter.com/MaurySline" TargetMode="External"/><Relationship Id="rId13238" Type="http://schemas.openxmlformats.org/officeDocument/2006/relationships/hyperlink" Target="https://pbs.twimg.com/profile_images/1859860496/image_normal.jpg" TargetMode="External"/><Relationship Id="rId17859" Type="http://schemas.openxmlformats.org/officeDocument/2006/relationships/hyperlink" Target="https://pbs.twimg.com/profile_images/689102170717839360/y5b-XDuX_normal.jpg" TargetMode="External"/><Relationship Id="rId20454" Type="http://schemas.openxmlformats.org/officeDocument/2006/relationships/hyperlink" Target="https://twitter.com/DosOz42/status/723999195418509315" TargetMode="External"/><Relationship Id="rId21505" Type="http://schemas.openxmlformats.org/officeDocument/2006/relationships/hyperlink" Target="https://twitter.com/FilippoGiov" TargetMode="External"/><Relationship Id="rId565" Type="http://schemas.openxmlformats.org/officeDocument/2006/relationships/hyperlink" Target="https://twitter.com/VaienzuelaBecky/status/722964609871806464" TargetMode="External"/><Relationship Id="rId1195" Type="http://schemas.openxmlformats.org/officeDocument/2006/relationships/hyperlink" Target="https://pbs.twimg.com/profile_images/681930519152619524/O4FX8h-k_normal.jpg" TargetMode="External"/><Relationship Id="rId2246" Type="http://schemas.openxmlformats.org/officeDocument/2006/relationships/hyperlink" Target="https://pbs.twimg.com/profile_images/522705009558192129/L8WvMlLX_normal.jpeg" TargetMode="External"/><Relationship Id="rId6867" Type="http://schemas.openxmlformats.org/officeDocument/2006/relationships/hyperlink" Target="https://twitter.com/beetlebug1938" TargetMode="External"/><Relationship Id="rId7918" Type="http://schemas.openxmlformats.org/officeDocument/2006/relationships/hyperlink" Target="https://pbs.twimg.com/profile_images/712814617156853760/o3LMG44n_normal.jpg" TargetMode="External"/><Relationship Id="rId19281" Type="http://schemas.openxmlformats.org/officeDocument/2006/relationships/hyperlink" Target="https://pbs.twimg.com/profile_images/441621274356240384/b9pRyHTU_normal.jpeg" TargetMode="External"/><Relationship Id="rId20107" Type="http://schemas.openxmlformats.org/officeDocument/2006/relationships/hyperlink" Target="https://twitter.com/momma_rocker/status/723975882608644096" TargetMode="External"/><Relationship Id="rId23677" Type="http://schemas.openxmlformats.org/officeDocument/2006/relationships/hyperlink" Target="https://pbs.twimg.com/profile_images/465609811220889600/F7o-Mot7_normal.png" TargetMode="External"/><Relationship Id="rId24728" Type="http://schemas.openxmlformats.org/officeDocument/2006/relationships/hyperlink" Target="https://twitter.com/rellxmanl" TargetMode="External"/><Relationship Id="rId218" Type="http://schemas.openxmlformats.org/officeDocument/2006/relationships/hyperlink" Target="https://twitter.com/techhippie/status/722937850573012992" TargetMode="External"/><Relationship Id="rId5469" Type="http://schemas.openxmlformats.org/officeDocument/2006/relationships/hyperlink" Target="https://twitter.com/trafficsafety4u" TargetMode="External"/><Relationship Id="rId9340" Type="http://schemas.openxmlformats.org/officeDocument/2006/relationships/hyperlink" Target="https://twitter.com/vwgroup_en/status/723430854622470145" TargetMode="External"/><Relationship Id="rId11270" Type="http://schemas.openxmlformats.org/officeDocument/2006/relationships/hyperlink" Target="https://twitter.com/Madushanpriyas2" TargetMode="External"/><Relationship Id="rId22279" Type="http://schemas.openxmlformats.org/officeDocument/2006/relationships/hyperlink" Target="https://twitter.com/checo621" TargetMode="External"/><Relationship Id="rId12321" Type="http://schemas.openxmlformats.org/officeDocument/2006/relationships/hyperlink" Target="https://twitter.com/hannah_mowat/status/723517160283353088" TargetMode="External"/><Relationship Id="rId15891" Type="http://schemas.openxmlformats.org/officeDocument/2006/relationships/hyperlink" Target="https://pbs.twimg.com/profile_images/652167146110341120/ntq8HXiU_normal.jpg" TargetMode="External"/><Relationship Id="rId16942" Type="http://schemas.openxmlformats.org/officeDocument/2006/relationships/hyperlink" Target="https://twitter.com/hashtagvanlife" TargetMode="External"/><Relationship Id="rId5950" Type="http://schemas.openxmlformats.org/officeDocument/2006/relationships/hyperlink" Target="https://twitter.com/DjKarlittoosXD" TargetMode="External"/><Relationship Id="rId14493" Type="http://schemas.openxmlformats.org/officeDocument/2006/relationships/hyperlink" Target="https://twitter.com/FuscaWorld" TargetMode="External"/><Relationship Id="rId15544" Type="http://schemas.openxmlformats.org/officeDocument/2006/relationships/hyperlink" Target="https://twitter.com/TRJhonny" TargetMode="External"/><Relationship Id="rId22760" Type="http://schemas.openxmlformats.org/officeDocument/2006/relationships/hyperlink" Target="https://twitter.com/sayurioyamada/status/724245044392136704" TargetMode="External"/><Relationship Id="rId23811" Type="http://schemas.openxmlformats.org/officeDocument/2006/relationships/hyperlink" Target="https://twitter.com/VWCamperSales" TargetMode="External"/><Relationship Id="rId4552" Type="http://schemas.openxmlformats.org/officeDocument/2006/relationships/hyperlink" Target="https://twitter.com/inkalex/status/723182380694024192" TargetMode="External"/><Relationship Id="rId5603" Type="http://schemas.openxmlformats.org/officeDocument/2006/relationships/hyperlink" Target="https://twitter.com/salam_khubi/status/723210561262067712" TargetMode="External"/><Relationship Id="rId13095" Type="http://schemas.openxmlformats.org/officeDocument/2006/relationships/hyperlink" Target="https://twitter.com/WSJRisk/status/723535376627847168" TargetMode="External"/><Relationship Id="rId14146" Type="http://schemas.openxmlformats.org/officeDocument/2006/relationships/hyperlink" Target="https://pbs.twimg.com/profile_images/714113254826631168/ZH-Q0eEM_normal.jpg" TargetMode="External"/><Relationship Id="rId18767" Type="http://schemas.openxmlformats.org/officeDocument/2006/relationships/hyperlink" Target="https://twitter.com/Scirocco_Tuning/status/723894714349568001" TargetMode="External"/><Relationship Id="rId19818" Type="http://schemas.openxmlformats.org/officeDocument/2006/relationships/hyperlink" Target="http://ha-ber.com/" TargetMode="External"/><Relationship Id="rId21362" Type="http://schemas.openxmlformats.org/officeDocument/2006/relationships/hyperlink" Target="https://twitter.com/LisaHenri2" TargetMode="External"/><Relationship Id="rId22413" Type="http://schemas.openxmlformats.org/officeDocument/2006/relationships/hyperlink" Target="http://dlvr.it/" TargetMode="External"/><Relationship Id="rId3154" Type="http://schemas.openxmlformats.org/officeDocument/2006/relationships/hyperlink" Target="https://pbs.twimg.com/profile_images/424893967197433858/iQ86NktX_normal.jpeg" TargetMode="External"/><Relationship Id="rId4205" Type="http://schemas.openxmlformats.org/officeDocument/2006/relationships/hyperlink" Target="https://twitter.com/reeve_anthony/status/723178032110788608" TargetMode="External"/><Relationship Id="rId7775" Type="http://schemas.openxmlformats.org/officeDocument/2006/relationships/hyperlink" Target="https://pbs.twimg.com/profile_images/704750424616730624/am4ft9ck_normal.jpg" TargetMode="External"/><Relationship Id="rId8826" Type="http://schemas.openxmlformats.org/officeDocument/2006/relationships/hyperlink" Target="https://twitter.com/bvdvliet/status/723408570788646912" TargetMode="External"/><Relationship Id="rId10756" Type="http://schemas.openxmlformats.org/officeDocument/2006/relationships/hyperlink" Target="https://pbs.twimg.com/profile_images/572145639056625664/wMUT3DKT_normal.jpeg" TargetMode="External"/><Relationship Id="rId17369" Type="http://schemas.openxmlformats.org/officeDocument/2006/relationships/hyperlink" Target="http://www.infooffensive.de/" TargetMode="External"/><Relationship Id="rId21015" Type="http://schemas.openxmlformats.org/officeDocument/2006/relationships/hyperlink" Target="https://pbs.twimg.com/profile_images/634021831364747264/5vPrL2JH_normal.jpg" TargetMode="External"/><Relationship Id="rId24585" Type="http://schemas.openxmlformats.org/officeDocument/2006/relationships/hyperlink" Target="https://twitter.com/FuscaWorld" TargetMode="External"/><Relationship Id="rId25636" Type="http://schemas.openxmlformats.org/officeDocument/2006/relationships/hyperlink" Target="https://twitter.com/VolkswagenPost/status/724453327027712000" TargetMode="External"/><Relationship Id="rId6377" Type="http://schemas.openxmlformats.org/officeDocument/2006/relationships/hyperlink" Target="https://twitter.com/Jbattey716" TargetMode="External"/><Relationship Id="rId7428" Type="http://schemas.openxmlformats.org/officeDocument/2006/relationships/hyperlink" Target="https://twitter.com/Lars9596/status/723302238836391937" TargetMode="External"/><Relationship Id="rId10409" Type="http://schemas.openxmlformats.org/officeDocument/2006/relationships/hyperlink" Target="https://pbs.twimg.com/profile_images/543163066599219200/dUy-AYOX_normal.jpeg" TargetMode="External"/><Relationship Id="rId11807" Type="http://schemas.openxmlformats.org/officeDocument/2006/relationships/hyperlink" Target="https://pbs.twimg.com/profile_images/619581922545639424/P8_L8opU_normal.jpg" TargetMode="External"/><Relationship Id="rId23187" Type="http://schemas.openxmlformats.org/officeDocument/2006/relationships/hyperlink" Target="https://pbs.twimg.com/profile_images/513341022080741376/Z3RBKtcd_normal.jpeg" TargetMode="External"/><Relationship Id="rId24238" Type="http://schemas.openxmlformats.org/officeDocument/2006/relationships/hyperlink" Target="https://twitter.com/DrDCameron/status/724339796177502208" TargetMode="External"/><Relationship Id="rId2987" Type="http://schemas.openxmlformats.org/officeDocument/2006/relationships/hyperlink" Target="https://pbs.twimg.com/profile_images/930095687/childdoc-210-Me_normal.jpg" TargetMode="External"/><Relationship Id="rId13979" Type="http://schemas.openxmlformats.org/officeDocument/2006/relationships/hyperlink" Target="https://twitter.com/golfturkiye" TargetMode="External"/><Relationship Id="rId17850" Type="http://schemas.openxmlformats.org/officeDocument/2006/relationships/hyperlink" Target="https://pbs.twimg.com/profile_images/676002361320587264/lm_t9gJo_normal.jpg" TargetMode="External"/><Relationship Id="rId18901" Type="http://schemas.openxmlformats.org/officeDocument/2006/relationships/hyperlink" Target="https://pbs.twimg.com/profile_images/545688359964651520/SF3sJ7lv_normal.jpeg" TargetMode="External"/><Relationship Id="rId959" Type="http://schemas.openxmlformats.org/officeDocument/2006/relationships/hyperlink" Target="https://twitter.com/BasuAshis" TargetMode="External"/><Relationship Id="rId1589" Type="http://schemas.openxmlformats.org/officeDocument/2006/relationships/hyperlink" Target="https://twitter.com/cleantechken" TargetMode="External"/><Relationship Id="rId5460" Type="http://schemas.openxmlformats.org/officeDocument/2006/relationships/hyperlink" Target="https://pbs.twimg.com/profile_images/703972057806184449/iYn2_pnG_normal.jpg" TargetMode="External"/><Relationship Id="rId6511" Type="http://schemas.openxmlformats.org/officeDocument/2006/relationships/hyperlink" Target="https://twitter.com/Todo_VWT3/status/723245024423624705" TargetMode="External"/><Relationship Id="rId15054" Type="http://schemas.openxmlformats.org/officeDocument/2006/relationships/hyperlink" Target="https://twitter.com/acvwpassion/status/723591012589903872" TargetMode="External"/><Relationship Id="rId16452" Type="http://schemas.openxmlformats.org/officeDocument/2006/relationships/hyperlink" Target="https://twitter.com/AutoenAccion/status/723685033878282241" TargetMode="External"/><Relationship Id="rId17503" Type="http://schemas.openxmlformats.org/officeDocument/2006/relationships/hyperlink" Target="https://twitter.com/BTMotorsport" TargetMode="External"/><Relationship Id="rId20848" Type="http://schemas.openxmlformats.org/officeDocument/2006/relationships/hyperlink" Target="https://twitter.com/1alanking" TargetMode="External"/><Relationship Id="rId22270" Type="http://schemas.openxmlformats.org/officeDocument/2006/relationships/hyperlink" Target="https://twitter.com/St0psch1ld/status/724212312140292096" TargetMode="External"/><Relationship Id="rId4062" Type="http://schemas.openxmlformats.org/officeDocument/2006/relationships/hyperlink" Target="https://pbs.twimg.com/profile_images/3758029083/652cc2eb54b11c504c059b3495e2c5c0_normal.png" TargetMode="External"/><Relationship Id="rId5113" Type="http://schemas.openxmlformats.org/officeDocument/2006/relationships/hyperlink" Target="https://twitter.com/autosuperbr/status/723194596570763264" TargetMode="External"/><Relationship Id="rId16105" Type="http://schemas.openxmlformats.org/officeDocument/2006/relationships/hyperlink" Target="https://twitter.com/beetlebug1938/status/723648368505937920" TargetMode="External"/><Relationship Id="rId19675" Type="http://schemas.openxmlformats.org/officeDocument/2006/relationships/hyperlink" Target="https://twitter.com/VWsightings" TargetMode="External"/><Relationship Id="rId23321" Type="http://schemas.openxmlformats.org/officeDocument/2006/relationships/hyperlink" Target="https://twitter.com/DoodleGmail/status/724279912648065024" TargetMode="External"/><Relationship Id="rId8683" Type="http://schemas.openxmlformats.org/officeDocument/2006/relationships/hyperlink" Target="http://dlvr.it/" TargetMode="External"/><Relationship Id="rId9734" Type="http://schemas.openxmlformats.org/officeDocument/2006/relationships/hyperlink" Target="https://pbs.twimg.com/profile_images/562563461171798017/AkHF4keI_normal.png" TargetMode="External"/><Relationship Id="rId11664" Type="http://schemas.openxmlformats.org/officeDocument/2006/relationships/hyperlink" Target="https://twitter.com/kirstein_sandra" TargetMode="External"/><Relationship Id="rId12715" Type="http://schemas.openxmlformats.org/officeDocument/2006/relationships/hyperlink" Target="http://dlvr.it/" TargetMode="External"/><Relationship Id="rId18277" Type="http://schemas.openxmlformats.org/officeDocument/2006/relationships/hyperlink" Target="https://twitter.com/GolfitIt" TargetMode="External"/><Relationship Id="rId19328" Type="http://schemas.openxmlformats.org/officeDocument/2006/relationships/hyperlink" Target="https://twitter.com/4kathaksbreaks/status/723926763764617216" TargetMode="External"/><Relationship Id="rId25493" Type="http://schemas.openxmlformats.org/officeDocument/2006/relationships/hyperlink" Target="https://twitter.com/Tarq66262692/status/724444428400734208" TargetMode="External"/><Relationship Id="rId1723" Type="http://schemas.openxmlformats.org/officeDocument/2006/relationships/hyperlink" Target="https://twitter.com/AFECTADOGRUPOVW/status/723054357726425090" TargetMode="External"/><Relationship Id="rId7285" Type="http://schemas.openxmlformats.org/officeDocument/2006/relationships/hyperlink" Target="https://twitter.com/Karlomart/status/723292390237310978" TargetMode="External"/><Relationship Id="rId8336" Type="http://schemas.openxmlformats.org/officeDocument/2006/relationships/hyperlink" Target="https://twitter.com/Ryan911T/status/723383465949843457" TargetMode="External"/><Relationship Id="rId10266" Type="http://schemas.openxmlformats.org/officeDocument/2006/relationships/hyperlink" Target="https://twitter.com/beetlebug1938/status/723467463510335488" TargetMode="External"/><Relationship Id="rId11317" Type="http://schemas.openxmlformats.org/officeDocument/2006/relationships/hyperlink" Target="https://twitter.com/COURAGE_COMM/status/723500907984461824" TargetMode="External"/><Relationship Id="rId14887" Type="http://schemas.openxmlformats.org/officeDocument/2006/relationships/hyperlink" Target="https://twitter.com/tim_jarz/status/723586254701391872" TargetMode="External"/><Relationship Id="rId24095" Type="http://schemas.openxmlformats.org/officeDocument/2006/relationships/hyperlink" Target="https://twitter.com/VWBeetleSales" TargetMode="External"/><Relationship Id="rId25146" Type="http://schemas.openxmlformats.org/officeDocument/2006/relationships/hyperlink" Target="https://pbs.twimg.com/profile_images/721334921982296065/-8sj1MgA_normal.jpg" TargetMode="External"/><Relationship Id="rId3895" Type="http://schemas.openxmlformats.org/officeDocument/2006/relationships/hyperlink" Target="https://twitter.com/LDBGruppe/status/723171419438227456" TargetMode="External"/><Relationship Id="rId4946" Type="http://schemas.openxmlformats.org/officeDocument/2006/relationships/hyperlink" Target="https://twitter.com/Modhi60" TargetMode="External"/><Relationship Id="rId13489" Type="http://schemas.openxmlformats.org/officeDocument/2006/relationships/hyperlink" Target="https://pbs.twimg.com/profile_images/721344097773076480/S5lRbqXI_normal.jpg" TargetMode="External"/><Relationship Id="rId15938" Type="http://schemas.openxmlformats.org/officeDocument/2006/relationships/hyperlink" Target="https://twitter.com/Scirocco_Tuning/status/723638318160838661" TargetMode="External"/><Relationship Id="rId17360" Type="http://schemas.openxmlformats.org/officeDocument/2006/relationships/hyperlink" Target="https://pbs.twimg.com/profile_images/2809466914/4e4fb7a41dc491c36d2931c84e1769ca_normal.jpeg" TargetMode="External"/><Relationship Id="rId18411" Type="http://schemas.openxmlformats.org/officeDocument/2006/relationships/hyperlink" Target="https://twitter.com/henryrobben" TargetMode="External"/><Relationship Id="rId21756" Type="http://schemas.openxmlformats.org/officeDocument/2006/relationships/hyperlink" Target="https://pbs.twimg.com/profile_images/567365044917137408/57e5M0m2_normal.jpeg" TargetMode="External"/><Relationship Id="rId22807" Type="http://schemas.openxmlformats.org/officeDocument/2006/relationships/hyperlink" Target="https://twitter.com/DogLimo/status/724247399665823744" TargetMode="External"/><Relationship Id="rId2497" Type="http://schemas.openxmlformats.org/officeDocument/2006/relationships/hyperlink" Target="https://twitter.com/drubald" TargetMode="External"/><Relationship Id="rId3548" Type="http://schemas.openxmlformats.org/officeDocument/2006/relationships/hyperlink" Target="https://twitter.com/bigbobblehats/status/723163022424985601" TargetMode="External"/><Relationship Id="rId17013" Type="http://schemas.openxmlformats.org/officeDocument/2006/relationships/hyperlink" Target="https://pbs.twimg.com/profile_images/616224512359665665/tPf2TtTI_normal.jpg" TargetMode="External"/><Relationship Id="rId20358" Type="http://schemas.openxmlformats.org/officeDocument/2006/relationships/hyperlink" Target="https://twitter.com/VWCamperSales" TargetMode="External"/><Relationship Id="rId21409" Type="http://schemas.openxmlformats.org/officeDocument/2006/relationships/hyperlink" Target="https://pbs.twimg.com/profile_images/3538117851/f1dd4558c9a12d1e9da8b0a4c93cb0e0_normal.jpeg" TargetMode="External"/><Relationship Id="rId469" Type="http://schemas.openxmlformats.org/officeDocument/2006/relationships/hyperlink" Target="https://pbs.twimg.com/profile_images/652871584131092480/QA_B6SBO_normal.jpg" TargetMode="External"/><Relationship Id="rId1099" Type="http://schemas.openxmlformats.org/officeDocument/2006/relationships/hyperlink" Target="https://pbs.twimg.com/profile_images/689312198766804992/wcPsXoZ4_normal.jpg" TargetMode="External"/><Relationship Id="rId6021" Type="http://schemas.openxmlformats.org/officeDocument/2006/relationships/hyperlink" Target="https://twitter.com/PapiAngel11" TargetMode="External"/><Relationship Id="rId9591" Type="http://schemas.openxmlformats.org/officeDocument/2006/relationships/hyperlink" Target="https://twitter.com/Insta_VWT" TargetMode="External"/><Relationship Id="rId10400" Type="http://schemas.openxmlformats.org/officeDocument/2006/relationships/hyperlink" Target="https://pbs.twimg.com/profile_images/716708028775473152/riWFTS73_normal.jpg" TargetMode="External"/><Relationship Id="rId13970" Type="http://schemas.openxmlformats.org/officeDocument/2006/relationships/hyperlink" Target="https://twitter.com/MELODyINTL/status/723560010781958144" TargetMode="External"/><Relationship Id="rId19185" Type="http://schemas.openxmlformats.org/officeDocument/2006/relationships/hyperlink" Target="https://pbs.twimg.com/profile_images/509071000122982400/X7VfGKLE_normal.jpeg" TargetMode="External"/><Relationship Id="rId24979" Type="http://schemas.openxmlformats.org/officeDocument/2006/relationships/hyperlink" Target="https://twitter.com/VAGFanArg" TargetMode="External"/><Relationship Id="rId8193" Type="http://schemas.openxmlformats.org/officeDocument/2006/relationships/hyperlink" Target="https://twitter.com/nizoo1213" TargetMode="External"/><Relationship Id="rId9244" Type="http://schemas.openxmlformats.org/officeDocument/2006/relationships/hyperlink" Target="https://twitter.com/dapper013/status/723428057525035008" TargetMode="External"/><Relationship Id="rId12572" Type="http://schemas.openxmlformats.org/officeDocument/2006/relationships/hyperlink" Target="https://pbs.twimg.com/profile_images/627949001179037696/skEBkS05_normal.jpg" TargetMode="External"/><Relationship Id="rId13623" Type="http://schemas.openxmlformats.org/officeDocument/2006/relationships/hyperlink" Target="https://pbs.twimg.com/profile_images/614230691044265984/Wocs5ZQz_normal.jpg" TargetMode="External"/><Relationship Id="rId950" Type="http://schemas.openxmlformats.org/officeDocument/2006/relationships/hyperlink" Target="https://twitter.com/VWsightings" TargetMode="External"/><Relationship Id="rId1580" Type="http://schemas.openxmlformats.org/officeDocument/2006/relationships/hyperlink" Target="https://twitter.com/BBoason" TargetMode="External"/><Relationship Id="rId2631" Type="http://schemas.openxmlformats.org/officeDocument/2006/relationships/hyperlink" Target="https://twitter.com/KNordlichtW" TargetMode="External"/><Relationship Id="rId11174" Type="http://schemas.openxmlformats.org/officeDocument/2006/relationships/hyperlink" Target="https://pbs.twimg.com/profile_images/682117963349135360/IUfZQy35_normal.png" TargetMode="External"/><Relationship Id="rId12225" Type="http://schemas.openxmlformats.org/officeDocument/2006/relationships/hyperlink" Target="https://pbs.twimg.com/profile_images/557489425559482369/aKukb5lm_normal.png" TargetMode="External"/><Relationship Id="rId15795" Type="http://schemas.openxmlformats.org/officeDocument/2006/relationships/hyperlink" Target="https://twitter.com/JetTech33/status/723627516116652032" TargetMode="External"/><Relationship Id="rId16846" Type="http://schemas.openxmlformats.org/officeDocument/2006/relationships/hyperlink" Target="https://twitter.com/mondedelauto/status/723742016392335360" TargetMode="External"/><Relationship Id="rId603" Type="http://schemas.openxmlformats.org/officeDocument/2006/relationships/hyperlink" Target="https://twitter.com/techhippie" TargetMode="External"/><Relationship Id="rId1233" Type="http://schemas.openxmlformats.org/officeDocument/2006/relationships/hyperlink" Target="https://twitter.com/alletun/status/723026856492945409" TargetMode="External"/><Relationship Id="rId5854" Type="http://schemas.openxmlformats.org/officeDocument/2006/relationships/hyperlink" Target="https://pbs.twimg.com/profile_images/707391785316651008/zI7PqPTQ_normal.jpg" TargetMode="External"/><Relationship Id="rId6905" Type="http://schemas.openxmlformats.org/officeDocument/2006/relationships/hyperlink" Target="https://pbs.twimg.com/profile_images/684725487134982144/Q-idopkh_normal.jpg" TargetMode="External"/><Relationship Id="rId14397" Type="http://schemas.openxmlformats.org/officeDocument/2006/relationships/hyperlink" Target="https://twitter.com/ktos90" TargetMode="External"/><Relationship Id="rId15448" Type="http://schemas.openxmlformats.org/officeDocument/2006/relationships/hyperlink" Target="https://twitter.com/NanoSilveiraOK" TargetMode="External"/><Relationship Id="rId22664" Type="http://schemas.openxmlformats.org/officeDocument/2006/relationships/hyperlink" Target="https://twitter.com/Scirocco_Tuning/status/724238643670450177" TargetMode="External"/><Relationship Id="rId23715" Type="http://schemas.openxmlformats.org/officeDocument/2006/relationships/hyperlink" Target="https://twitter.com/dubbusses/status/724306828763488258" TargetMode="External"/><Relationship Id="rId4456" Type="http://schemas.openxmlformats.org/officeDocument/2006/relationships/hyperlink" Target="https://twitter.com/OnlineCarReview/status/723181292406218754" TargetMode="External"/><Relationship Id="rId5507" Type="http://schemas.openxmlformats.org/officeDocument/2006/relationships/hyperlink" Target="https://twitter.com/startmakkelijk" TargetMode="External"/><Relationship Id="rId21266" Type="http://schemas.openxmlformats.org/officeDocument/2006/relationships/hyperlink" Target="https://twitter.com/dubbusses" TargetMode="External"/><Relationship Id="rId22317" Type="http://schemas.openxmlformats.org/officeDocument/2006/relationships/hyperlink" Target="https://pbs.twimg.com/profile_images/639825675428478976/lYkKqb5E_normal.jpg" TargetMode="External"/><Relationship Id="rId3058" Type="http://schemas.openxmlformats.org/officeDocument/2006/relationships/hyperlink" Target="https://twitter.com/henrrycarpenter" TargetMode="External"/><Relationship Id="rId4109" Type="http://schemas.openxmlformats.org/officeDocument/2006/relationships/hyperlink" Target="https://twitter.com/970wfla/status/723176564784005120" TargetMode="External"/><Relationship Id="rId7679" Type="http://schemas.openxmlformats.org/officeDocument/2006/relationships/hyperlink" Target="https://twitter.com/VolkswagenPost/status/723323395631419392" TargetMode="External"/><Relationship Id="rId13480" Type="http://schemas.openxmlformats.org/officeDocument/2006/relationships/hyperlink" Target="https://pbs.twimg.com/profile_images/507897198911053824/7OqYAonJ_normal.jpeg" TargetMode="External"/><Relationship Id="rId24489" Type="http://schemas.openxmlformats.org/officeDocument/2006/relationships/hyperlink" Target="https://pbs.twimg.com/profile_images/709719402346717184/TEYAKQfg_normal.jpg" TargetMode="External"/><Relationship Id="rId12082" Type="http://schemas.openxmlformats.org/officeDocument/2006/relationships/hyperlink" Target="https://twitter.com/WirtschaftDE/status/723512722860572674" TargetMode="External"/><Relationship Id="rId13133" Type="http://schemas.openxmlformats.org/officeDocument/2006/relationships/hyperlink" Target="https://twitter.com/eckldorna" TargetMode="External"/><Relationship Id="rId14531" Type="http://schemas.openxmlformats.org/officeDocument/2006/relationships/hyperlink" Target="https://pbs.twimg.com/profile_images/714481016879099904/ePsz83mr_normal.jpg" TargetMode="External"/><Relationship Id="rId460" Type="http://schemas.openxmlformats.org/officeDocument/2006/relationships/hyperlink" Target="https://pbs.twimg.com/profile_images/502847546432049152/cWdf-yyG_normal.png" TargetMode="External"/><Relationship Id="rId1090" Type="http://schemas.openxmlformats.org/officeDocument/2006/relationships/hyperlink" Target="https://twitter.com/godmodetrader" TargetMode="External"/><Relationship Id="rId2141" Type="http://schemas.openxmlformats.org/officeDocument/2006/relationships/hyperlink" Target="https://twitter.com/VolkswagenPost/status/723084412913491968" TargetMode="External"/><Relationship Id="rId17754" Type="http://schemas.openxmlformats.org/officeDocument/2006/relationships/hyperlink" Target="https://pbs.twimg.com/profile_images/424893967197433858/iQ86NktX_normal.jpeg" TargetMode="External"/><Relationship Id="rId18805" Type="http://schemas.openxmlformats.org/officeDocument/2006/relationships/hyperlink" Target="https://pbs.twimg.com/profile_images/524970986840412160/t0GfzRDD_normal.jpeg" TargetMode="External"/><Relationship Id="rId20002" Type="http://schemas.openxmlformats.org/officeDocument/2006/relationships/hyperlink" Target="https://pbs.twimg.com/profile_images/678664972382130176/rmyLdGBk_normal.jpg" TargetMode="External"/><Relationship Id="rId21400" Type="http://schemas.openxmlformats.org/officeDocument/2006/relationships/hyperlink" Target="https://pbs.twimg.com/profile_images/473925322987954176/k8264FtZ_normal.png" TargetMode="External"/><Relationship Id="rId24970" Type="http://schemas.openxmlformats.org/officeDocument/2006/relationships/hyperlink" Target="https://twitter.com/ajtdesign" TargetMode="External"/><Relationship Id="rId113" Type="http://schemas.openxmlformats.org/officeDocument/2006/relationships/hyperlink" Target="https://pbs.twimg.com/profile_images/700355164734156800/1k4mmfUm_normal.png" TargetMode="External"/><Relationship Id="rId6762" Type="http://schemas.openxmlformats.org/officeDocument/2006/relationships/hyperlink" Target="https://pbs.twimg.com/profile_images/650048145137758208/cExFfEPT_normal.jpg" TargetMode="External"/><Relationship Id="rId7813" Type="http://schemas.openxmlformats.org/officeDocument/2006/relationships/hyperlink" Target="https://twitter.com/ffamilymedicine/status/723332232258064384" TargetMode="External"/><Relationship Id="rId16356" Type="http://schemas.openxmlformats.org/officeDocument/2006/relationships/hyperlink" Target="https://pbs.twimg.com/profile_images/716001984168521730/VNYAvB9v_normal.jpg" TargetMode="External"/><Relationship Id="rId17407" Type="http://schemas.openxmlformats.org/officeDocument/2006/relationships/hyperlink" Target="https://twitter.com/agenturi" TargetMode="External"/><Relationship Id="rId23572" Type="http://schemas.openxmlformats.org/officeDocument/2006/relationships/hyperlink" Target="https://twitter.com/techhippie/status/724297357228158976" TargetMode="External"/><Relationship Id="rId24623" Type="http://schemas.openxmlformats.org/officeDocument/2006/relationships/hyperlink" Target="https://twitter.com/moteking25/status/724378470646579202" TargetMode="External"/><Relationship Id="rId5017" Type="http://schemas.openxmlformats.org/officeDocument/2006/relationships/hyperlink" Target="https://pbs.twimg.com/profile_images/722324463975600129/qFvYOGhr_normal.jpg" TargetMode="External"/><Relationship Id="rId5364" Type="http://schemas.openxmlformats.org/officeDocument/2006/relationships/hyperlink" Target="https://pbs.twimg.com/profile_images/1913087124/AvW_website_normal.jpg" TargetMode="External"/><Relationship Id="rId6415" Type="http://schemas.openxmlformats.org/officeDocument/2006/relationships/hyperlink" Target="http://troposfera.org/" TargetMode="External"/><Relationship Id="rId9985" Type="http://schemas.openxmlformats.org/officeDocument/2006/relationships/hyperlink" Target="https://twitter.com/TillSchriller" TargetMode="External"/><Relationship Id="rId12966" Type="http://schemas.openxmlformats.org/officeDocument/2006/relationships/hyperlink" Target="https://twitter.com/pueempresarial" TargetMode="External"/><Relationship Id="rId16009" Type="http://schemas.openxmlformats.org/officeDocument/2006/relationships/hyperlink" Target="https://pbs.twimg.com/profile_images/687489461798760448/S-GbVRV6_normal.jpg" TargetMode="External"/><Relationship Id="rId19579" Type="http://schemas.openxmlformats.org/officeDocument/2006/relationships/hyperlink" Target="https://pbs.twimg.com/profile_images/593454474041102336/YZAKB69P_normal.jpg" TargetMode="External"/><Relationship Id="rId22174" Type="http://schemas.openxmlformats.org/officeDocument/2006/relationships/hyperlink" Target="https://pbs.twimg.com/profile_images/685174846762971136/lzmUZmM9_normal.jpg" TargetMode="External"/><Relationship Id="rId23225" Type="http://schemas.openxmlformats.org/officeDocument/2006/relationships/hyperlink" Target="https://twitter.com/LifeAtWarpSpeed/status/724274033794138112" TargetMode="External"/><Relationship Id="rId1974" Type="http://schemas.openxmlformats.org/officeDocument/2006/relationships/hyperlink" Target="https://twitter.com/CarNewsBit" TargetMode="External"/><Relationship Id="rId8587" Type="http://schemas.openxmlformats.org/officeDocument/2006/relationships/hyperlink" Target="https://pbs.twimg.com/profile_images/3661898161/672be788ab3351c98b1532f27f46ce77_normal.png" TargetMode="External"/><Relationship Id="rId9638" Type="http://schemas.openxmlformats.org/officeDocument/2006/relationships/hyperlink" Target="https://pbs.twimg.com/profile_images/657853466384191488/J6vAnfZr_normal.jpg" TargetMode="External"/><Relationship Id="rId11568" Type="http://schemas.openxmlformats.org/officeDocument/2006/relationships/hyperlink" Target="https://pbs.twimg.com/profile_images/717651142327607296/1uRZ3jg3_normal.jpg" TargetMode="External"/><Relationship Id="rId12619" Type="http://schemas.openxmlformats.org/officeDocument/2006/relationships/hyperlink" Target="https://pbs.twimg.com/profile_images/555790567519432704/kJr7YaAm_normal.jpeg" TargetMode="External"/><Relationship Id="rId25397" Type="http://schemas.openxmlformats.org/officeDocument/2006/relationships/hyperlink" Target="https://pbs.twimg.com/profile_images/719154753108725760/jrVMRlZp_normal.jpg" TargetMode="External"/><Relationship Id="rId1627" Type="http://schemas.openxmlformats.org/officeDocument/2006/relationships/hyperlink" Target="https://pbs.twimg.com/profile_images/378800000532695479/bc3f9d473554281643b5e76aa3306944_normal.jpeg" TargetMode="External"/><Relationship Id="rId7189" Type="http://schemas.openxmlformats.org/officeDocument/2006/relationships/hyperlink" Target="https://twitter.com/Colorful_Jamie" TargetMode="External"/><Relationship Id="rId14041" Type="http://schemas.openxmlformats.org/officeDocument/2006/relationships/hyperlink" Target="https://pbs.twimg.com/profile_images/611618781086003200/lKgEEwjj_normal.jpg" TargetMode="External"/><Relationship Id="rId3799" Type="http://schemas.openxmlformats.org/officeDocument/2006/relationships/hyperlink" Target="https://pbs.twimg.com/profile_images/712272430815952896/G1maMxM5_normal.jpg" TargetMode="External"/><Relationship Id="rId4100" Type="http://schemas.openxmlformats.org/officeDocument/2006/relationships/hyperlink" Target="https://twitter.com/RayPanneton/status/723176344570355712" TargetMode="External"/><Relationship Id="rId7670" Type="http://schemas.openxmlformats.org/officeDocument/2006/relationships/hyperlink" Target="https://twitter.com/DLFNachrichten/status/723322990155436033" TargetMode="External"/><Relationship Id="rId8721" Type="http://schemas.openxmlformats.org/officeDocument/2006/relationships/hyperlink" Target="https://twitter.com/cmsGOMEX" TargetMode="External"/><Relationship Id="rId17264" Type="http://schemas.openxmlformats.org/officeDocument/2006/relationships/hyperlink" Target="https://twitter.com/chaseybr/status/723785786894782465" TargetMode="External"/><Relationship Id="rId18662" Type="http://schemas.openxmlformats.org/officeDocument/2006/relationships/hyperlink" Target="http://dlvr.it/" TargetMode="External"/><Relationship Id="rId19713" Type="http://schemas.openxmlformats.org/officeDocument/2006/relationships/hyperlink" Target="https://twitter.com/dendryad/status/723949750463160321" TargetMode="External"/><Relationship Id="rId24480" Type="http://schemas.openxmlformats.org/officeDocument/2006/relationships/hyperlink" Target="https://pbs.twimg.com/profile_images/653310353653297153/bYVyhn8J_normal.jpg" TargetMode="External"/><Relationship Id="rId6272" Type="http://schemas.openxmlformats.org/officeDocument/2006/relationships/hyperlink" Target="https://twitter.com/vintagevwdita" TargetMode="External"/><Relationship Id="rId7323" Type="http://schemas.openxmlformats.org/officeDocument/2006/relationships/hyperlink" Target="https://twitter.com/VidalJimena1" TargetMode="External"/><Relationship Id="rId10651" Type="http://schemas.openxmlformats.org/officeDocument/2006/relationships/hyperlink" Target="https://pbs.twimg.com/profile_images/709353547398303744/t3Y8Osnt_normal.jpg" TargetMode="External"/><Relationship Id="rId11702" Type="http://schemas.openxmlformats.org/officeDocument/2006/relationships/hyperlink" Target="https://twitter.com/dw_wirtschaft/status/723505752825057280" TargetMode="External"/><Relationship Id="rId18315" Type="http://schemas.openxmlformats.org/officeDocument/2006/relationships/hyperlink" Target="https://pbs.twimg.com/profile_images/459621743728939009/6xf57Blw_normal.jpeg" TargetMode="External"/><Relationship Id="rId23082" Type="http://schemas.openxmlformats.org/officeDocument/2006/relationships/hyperlink" Target="https://twitter.com/chintanmajithia" TargetMode="External"/><Relationship Id="rId24133" Type="http://schemas.openxmlformats.org/officeDocument/2006/relationships/hyperlink" Target="https://twitter.com/Allluvdub" TargetMode="External"/><Relationship Id="rId25531" Type="http://schemas.openxmlformats.org/officeDocument/2006/relationships/hyperlink" Target="https://twitter.com/axelneuhaus" TargetMode="External"/><Relationship Id="rId9495" Type="http://schemas.openxmlformats.org/officeDocument/2006/relationships/hyperlink" Target="https://pbs.twimg.com/profile_images/524173985303785473/QMd16DWm_normal.jpeg" TargetMode="External"/><Relationship Id="rId10304" Type="http://schemas.openxmlformats.org/officeDocument/2006/relationships/hyperlink" Target="https://twitter.com/dwnews" TargetMode="External"/><Relationship Id="rId13874" Type="http://schemas.openxmlformats.org/officeDocument/2006/relationships/hyperlink" Target="https://pbs.twimg.com/profile_images/703294545195307008/qeCvrX86_normal.jpg" TargetMode="External"/><Relationship Id="rId14925" Type="http://schemas.openxmlformats.org/officeDocument/2006/relationships/hyperlink" Target="https://twitter.com/VWCamperSales" TargetMode="External"/><Relationship Id="rId2882" Type="http://schemas.openxmlformats.org/officeDocument/2006/relationships/hyperlink" Target="https://pbs.twimg.com/profile_images/488678354338324481/_qtBruR6_normal.jpeg" TargetMode="External"/><Relationship Id="rId3933" Type="http://schemas.openxmlformats.org/officeDocument/2006/relationships/hyperlink" Target="https://twitter.com/kayabendroth" TargetMode="External"/><Relationship Id="rId8097" Type="http://schemas.openxmlformats.org/officeDocument/2006/relationships/hyperlink" Target="https://twitter.com/rmn102003/status/723367541557469184" TargetMode="External"/><Relationship Id="rId9148" Type="http://schemas.openxmlformats.org/officeDocument/2006/relationships/hyperlink" Target="https://twitter.com/NegroAutomobili/status/723422149109673984" TargetMode="External"/><Relationship Id="rId12476" Type="http://schemas.openxmlformats.org/officeDocument/2006/relationships/hyperlink" Target="https://twitter.com/mokomokai/status/723519967501512704" TargetMode="External"/><Relationship Id="rId13527" Type="http://schemas.openxmlformats.org/officeDocument/2006/relationships/hyperlink" Target="https://twitter.com/tazgezwitscher" TargetMode="External"/><Relationship Id="rId19089" Type="http://schemas.openxmlformats.org/officeDocument/2006/relationships/hyperlink" Target="https://pbs.twimg.com/profile_images/702271663644286976/bOsxJtiK_normal.png" TargetMode="External"/><Relationship Id="rId20743" Type="http://schemas.openxmlformats.org/officeDocument/2006/relationships/hyperlink" Target="https://pbs.twimg.com/profile_images/665318136405696512/fauAUINl_normal.jpg" TargetMode="External"/><Relationship Id="rId854" Type="http://schemas.openxmlformats.org/officeDocument/2006/relationships/hyperlink" Target="https://twitter.com/VWShawty/status/722992017672945664" TargetMode="External"/><Relationship Id="rId1484" Type="http://schemas.openxmlformats.org/officeDocument/2006/relationships/hyperlink" Target="https://pbs.twimg.com/profile_images/663678308467388417/lVEbHUdH_normal.jpg" TargetMode="External"/><Relationship Id="rId2535" Type="http://schemas.openxmlformats.org/officeDocument/2006/relationships/hyperlink" Target="https://twitter.com/VWBeetleSales" TargetMode="External"/><Relationship Id="rId11078" Type="http://schemas.openxmlformats.org/officeDocument/2006/relationships/hyperlink" Target="https://twitter.com/Scirocco_Tuning/status/723496712086630401" TargetMode="External"/><Relationship Id="rId12129" Type="http://schemas.openxmlformats.org/officeDocument/2006/relationships/hyperlink" Target="https://twitter.com/NDRreporter" TargetMode="External"/><Relationship Id="rId15699" Type="http://schemas.openxmlformats.org/officeDocument/2006/relationships/hyperlink" Target="https://twitter.com/wahnsinnman" TargetMode="External"/><Relationship Id="rId16000" Type="http://schemas.openxmlformats.org/officeDocument/2006/relationships/hyperlink" Target="https://pbs.twimg.com/profile_images/717549799772463104/RpCTRcl7_normal.jpg" TargetMode="External"/><Relationship Id="rId19570" Type="http://schemas.openxmlformats.org/officeDocument/2006/relationships/hyperlink" Target="https://pbs.twimg.com/profile_images/593454474041102336/YZAKB69P_normal.jpg" TargetMode="External"/><Relationship Id="rId23966" Type="http://schemas.openxmlformats.org/officeDocument/2006/relationships/hyperlink" Target="https://pbs.twimg.com/profile_images/696469407200059395/ymFpE9mj_normal.jpg" TargetMode="External"/><Relationship Id="rId507" Type="http://schemas.openxmlformats.org/officeDocument/2006/relationships/hyperlink" Target="https://twitter.com/CollectHW" TargetMode="External"/><Relationship Id="rId1137" Type="http://schemas.openxmlformats.org/officeDocument/2006/relationships/hyperlink" Target="https://twitter.com/OnlineCarReview" TargetMode="External"/><Relationship Id="rId5758" Type="http://schemas.openxmlformats.org/officeDocument/2006/relationships/hyperlink" Target="https://pbs.twimg.com/profile_images/530071272881803264/a_jcCmPZ_normal.png" TargetMode="External"/><Relationship Id="rId6809" Type="http://schemas.openxmlformats.org/officeDocument/2006/relationships/hyperlink" Target="https://pbs.twimg.com/profile_images/1616567344/VRwatch2_normal.jpg" TargetMode="External"/><Relationship Id="rId18172" Type="http://schemas.openxmlformats.org/officeDocument/2006/relationships/hyperlink" Target="https://twitter.com/Twitchin888" TargetMode="External"/><Relationship Id="rId19223" Type="http://schemas.openxmlformats.org/officeDocument/2006/relationships/hyperlink" Target="https://pbs.twimg.com/profile_images/594579852851712001/6ZsYN6xx_normal.jpg" TargetMode="External"/><Relationship Id="rId22568" Type="http://schemas.openxmlformats.org/officeDocument/2006/relationships/hyperlink" Target="https://twitter.com/VWBeetleSales" TargetMode="External"/><Relationship Id="rId23619" Type="http://schemas.openxmlformats.org/officeDocument/2006/relationships/hyperlink" Target="https://twitter.com/briancitoo25" TargetMode="External"/><Relationship Id="rId7180" Type="http://schemas.openxmlformats.org/officeDocument/2006/relationships/hyperlink" Target="https://twitter.com/KnowAhhhh" TargetMode="External"/><Relationship Id="rId8231" Type="http://schemas.openxmlformats.org/officeDocument/2006/relationships/hyperlink" Target="https://pbs.twimg.com/profile_images/667101948429123584/pzpPHONX_normal.jpg" TargetMode="External"/><Relationship Id="rId10161" Type="http://schemas.openxmlformats.org/officeDocument/2006/relationships/hyperlink" Target="https://pbs.twimg.com/profile_images/680375152236982273/xNdXI6IP_normal.jpg" TargetMode="External"/><Relationship Id="rId11212" Type="http://schemas.openxmlformats.org/officeDocument/2006/relationships/hyperlink" Target="https://twitter.com/aktionaer" TargetMode="External"/><Relationship Id="rId12610" Type="http://schemas.openxmlformats.org/officeDocument/2006/relationships/hyperlink" Target="https://pbs.twimg.com/profile_images/639676736498745344/4aW2pDT8_normal.jpg" TargetMode="External"/><Relationship Id="rId25041" Type="http://schemas.openxmlformats.org/officeDocument/2006/relationships/hyperlink" Target="https://pbs.twimg.com/profile_images/666453014614446080/7wESjl0P_normal.jpg" TargetMode="External"/><Relationship Id="rId14782" Type="http://schemas.openxmlformats.org/officeDocument/2006/relationships/hyperlink" Target="https://twitter.com/VWPuyallup" TargetMode="External"/><Relationship Id="rId15833" Type="http://schemas.openxmlformats.org/officeDocument/2006/relationships/hyperlink" Target="https://twitter.com/garravw" TargetMode="External"/><Relationship Id="rId2392" Type="http://schemas.openxmlformats.org/officeDocument/2006/relationships/hyperlink" Target="https://twitter.com/treibholzfilm/status/723097804609077248" TargetMode="External"/><Relationship Id="rId3790" Type="http://schemas.openxmlformats.org/officeDocument/2006/relationships/hyperlink" Target="https://pbs.twimg.com/profile_images/532583024743837696/nWwsp4Vd_normal.jpeg" TargetMode="External"/><Relationship Id="rId4841" Type="http://schemas.openxmlformats.org/officeDocument/2006/relationships/hyperlink" Target="https://twitter.com/MuratTebatebai/status/723188807584108544" TargetMode="External"/><Relationship Id="rId13384" Type="http://schemas.openxmlformats.org/officeDocument/2006/relationships/hyperlink" Target="https://pbs.twimg.com/profile_images/703057562162372610/0wPuYNU9_normal.jpg" TargetMode="External"/><Relationship Id="rId14435" Type="http://schemas.openxmlformats.org/officeDocument/2006/relationships/hyperlink" Target="https://pbs.twimg.com/profile_images/1913087124/AvW_website_normal.jpg" TargetMode="External"/><Relationship Id="rId21651" Type="http://schemas.openxmlformats.org/officeDocument/2006/relationships/hyperlink" Target="https://pbs.twimg.com/profile_images/552037189328982016/r65JRGTS_normal.jpeg" TargetMode="External"/><Relationship Id="rId22702" Type="http://schemas.openxmlformats.org/officeDocument/2006/relationships/hyperlink" Target="https://pbs.twimg.com/profile_images/717472604702052357/yTPUaVAZ_normal.jpg" TargetMode="External"/><Relationship Id="rId364" Type="http://schemas.openxmlformats.org/officeDocument/2006/relationships/hyperlink" Target="https://pbs.twimg.com/profile_images/718820712757215233/LXXndPTS_normal.jpg" TargetMode="External"/><Relationship Id="rId2045" Type="http://schemas.openxmlformats.org/officeDocument/2006/relationships/hyperlink" Target="https://twitter.com/NDRreporter" TargetMode="External"/><Relationship Id="rId3443" Type="http://schemas.openxmlformats.org/officeDocument/2006/relationships/hyperlink" Target="https://pbs.twimg.com/profile_images/378800000231238477/e933a4aebe026c34c17e298372b17935_normal.png" TargetMode="External"/><Relationship Id="rId13037" Type="http://schemas.openxmlformats.org/officeDocument/2006/relationships/hyperlink" Target="https://twitter.com/Stony_BS/status/723534053941608449" TargetMode="External"/><Relationship Id="rId17658" Type="http://schemas.openxmlformats.org/officeDocument/2006/relationships/hyperlink" Target="https://twitter.com/dw_business" TargetMode="External"/><Relationship Id="rId18709" Type="http://schemas.openxmlformats.org/officeDocument/2006/relationships/hyperlink" Target="https://twitter.com/JoJagiello" TargetMode="External"/><Relationship Id="rId20253" Type="http://schemas.openxmlformats.org/officeDocument/2006/relationships/hyperlink" Target="https://pbs.twimg.com/profile_images/3378184537/c20ae9a7a410821b4f189c34a63380f7_normal.png" TargetMode="External"/><Relationship Id="rId21304" Type="http://schemas.openxmlformats.org/officeDocument/2006/relationships/hyperlink" Target="https://pbs.twimg.com/profile_images/723492895874002945/vvHAsCQf_normal.jpg" TargetMode="External"/><Relationship Id="rId24874" Type="http://schemas.openxmlformats.org/officeDocument/2006/relationships/hyperlink" Target="https://abs.twimg.com/sticky/default_profile_images/default_profile_3_normal.png" TargetMode="External"/><Relationship Id="rId6666" Type="http://schemas.openxmlformats.org/officeDocument/2006/relationships/hyperlink" Target="https://twitter.com/jo32168/status/723251449233334273" TargetMode="External"/><Relationship Id="rId7717" Type="http://schemas.openxmlformats.org/officeDocument/2006/relationships/hyperlink" Target="https://pbs.twimg.com/profile_images/683507510821699584/Ty4XUEO-_normal.jpg" TargetMode="External"/><Relationship Id="rId19080" Type="http://schemas.openxmlformats.org/officeDocument/2006/relationships/hyperlink" Target="https://pbs.twimg.com/profile_images/575760063651934208/JWKGrBNI_normal.jpeg" TargetMode="External"/><Relationship Id="rId23476" Type="http://schemas.openxmlformats.org/officeDocument/2006/relationships/hyperlink" Target="https://twitter.com/luchiGarello/status/724291717344702467" TargetMode="External"/><Relationship Id="rId24527" Type="http://schemas.openxmlformats.org/officeDocument/2006/relationships/hyperlink" Target="https://pbs.twimg.com/profile_images/718835727027580928/1ssyQ67y_normal.jpg" TargetMode="External"/><Relationship Id="rId5268" Type="http://schemas.openxmlformats.org/officeDocument/2006/relationships/hyperlink" Target="https://twitter.com/BobCockerham" TargetMode="External"/><Relationship Id="rId6319" Type="http://schemas.openxmlformats.org/officeDocument/2006/relationships/hyperlink" Target="https://pbs.twimg.com/profile_images/1610421423/Image2_normal.jpg" TargetMode="External"/><Relationship Id="rId9889" Type="http://schemas.openxmlformats.org/officeDocument/2006/relationships/hyperlink" Target="https://twitter.com/TIMECODEX/status/723453139098042368" TargetMode="External"/><Relationship Id="rId12120" Type="http://schemas.openxmlformats.org/officeDocument/2006/relationships/hyperlink" Target="https://twitter.com/gauer99/status/723513451977564167" TargetMode="External"/><Relationship Id="rId15690" Type="http://schemas.openxmlformats.org/officeDocument/2006/relationships/hyperlink" Target="https://twitter.com/jitenmistrydj" TargetMode="External"/><Relationship Id="rId22078" Type="http://schemas.openxmlformats.org/officeDocument/2006/relationships/hyperlink" Target="https://pbs.twimg.com/profile_images/521789044422758400/q_I2IKmj_normal.png" TargetMode="External"/><Relationship Id="rId23129" Type="http://schemas.openxmlformats.org/officeDocument/2006/relationships/hyperlink" Target="https://pbs.twimg.com/profile_images/718835727027580928/1ssyQ67y_normal.jpg" TargetMode="External"/><Relationship Id="rId1878" Type="http://schemas.openxmlformats.org/officeDocument/2006/relationships/hyperlink" Target="https://pbs.twimg.com/profile_images/568043809972305921/7jtD5JLU_normal.jpeg" TargetMode="External"/><Relationship Id="rId2929" Type="http://schemas.openxmlformats.org/officeDocument/2006/relationships/hyperlink" Target="https://twitter.com/hameles/status/723126367441850368" TargetMode="External"/><Relationship Id="rId14292" Type="http://schemas.openxmlformats.org/officeDocument/2006/relationships/hyperlink" Target="https://pbs.twimg.com/profile_images/608531162340990976/-d_HSOP1_normal.jpg" TargetMode="External"/><Relationship Id="rId15343" Type="http://schemas.openxmlformats.org/officeDocument/2006/relationships/hyperlink" Target="http://dlvr.it/" TargetMode="External"/><Relationship Id="rId16741" Type="http://schemas.openxmlformats.org/officeDocument/2006/relationships/hyperlink" Target="https://pbs.twimg.com/profile_images/722115747934302210/aV4zL8et_normal.jpg" TargetMode="External"/><Relationship Id="rId4351" Type="http://schemas.openxmlformats.org/officeDocument/2006/relationships/hyperlink" Target="https://twitter.com/Produktion_de" TargetMode="External"/><Relationship Id="rId5402" Type="http://schemas.openxmlformats.org/officeDocument/2006/relationships/hyperlink" Target="https://twitter.com/VolkswagenPost/status/723202595456704512" TargetMode="External"/><Relationship Id="rId6800" Type="http://schemas.openxmlformats.org/officeDocument/2006/relationships/hyperlink" Target="https://pbs.twimg.com/profile_images/709041112724475905/3DGqE5cJ_normal.jpg" TargetMode="External"/><Relationship Id="rId19964" Type="http://schemas.openxmlformats.org/officeDocument/2006/relationships/hyperlink" Target="https://twitter.com/PanchoName/status/723965368050454528" TargetMode="External"/><Relationship Id="rId21161" Type="http://schemas.openxmlformats.org/officeDocument/2006/relationships/hyperlink" Target="https://twitter.com/FacuRusso46vr" TargetMode="External"/><Relationship Id="rId22212" Type="http://schemas.openxmlformats.org/officeDocument/2006/relationships/hyperlink" Target="https://twitter.com/dubbusses/status/724209104403742721" TargetMode="External"/><Relationship Id="rId23610" Type="http://schemas.openxmlformats.org/officeDocument/2006/relationships/hyperlink" Target="https://twitter.com/calhounhampton" TargetMode="External"/><Relationship Id="rId4004" Type="http://schemas.openxmlformats.org/officeDocument/2006/relationships/hyperlink" Target="https://twitter.com/hans_obermeier/status/723174423629574144" TargetMode="External"/><Relationship Id="rId8972" Type="http://schemas.openxmlformats.org/officeDocument/2006/relationships/hyperlink" Target="https://twitter.com/boerseARD" TargetMode="External"/><Relationship Id="rId11953" Type="http://schemas.openxmlformats.org/officeDocument/2006/relationships/hyperlink" Target="http://dlvr.it/" TargetMode="External"/><Relationship Id="rId18566" Type="http://schemas.openxmlformats.org/officeDocument/2006/relationships/hyperlink" Target="https://twitter.com/ClassActionsLaw/status/723879347682156544" TargetMode="External"/><Relationship Id="rId19617" Type="http://schemas.openxmlformats.org/officeDocument/2006/relationships/hyperlink" Target="https://twitter.com/CalixtoVallejos/status/723943376853282817" TargetMode="External"/><Relationship Id="rId6176" Type="http://schemas.openxmlformats.org/officeDocument/2006/relationships/hyperlink" Target="https://twitter.com/VWCamperSales" TargetMode="External"/><Relationship Id="rId7227" Type="http://schemas.openxmlformats.org/officeDocument/2006/relationships/hyperlink" Target="https://twitter.com/EnlaceMexicoMX/status/723288022557421568" TargetMode="External"/><Relationship Id="rId7574" Type="http://schemas.openxmlformats.org/officeDocument/2006/relationships/hyperlink" Target="https://pbs.twimg.com/profile_images/576412362711773184/jZSbDGM2_normal.jpeg" TargetMode="External"/><Relationship Id="rId8625" Type="http://schemas.openxmlformats.org/officeDocument/2006/relationships/hyperlink" Target="https://twitter.com/Treysse/status/723398873968840708" TargetMode="External"/><Relationship Id="rId10555" Type="http://schemas.openxmlformats.org/officeDocument/2006/relationships/hyperlink" Target="https://twitter.com/mcmlxxii8/status/723476800832180225" TargetMode="External"/><Relationship Id="rId11606" Type="http://schemas.openxmlformats.org/officeDocument/2006/relationships/hyperlink" Target="https://twitter.com/cikuwa1" TargetMode="External"/><Relationship Id="rId17168" Type="http://schemas.openxmlformats.org/officeDocument/2006/relationships/hyperlink" Target="https://twitter.com/Insta_VWT/status/723775747362545664" TargetMode="External"/><Relationship Id="rId18219" Type="http://schemas.openxmlformats.org/officeDocument/2006/relationships/hyperlink" Target="https://pbs.twimg.com/profile_images/552042888666705921/TxWAPB36_normal.png" TargetMode="External"/><Relationship Id="rId24384" Type="http://schemas.openxmlformats.org/officeDocument/2006/relationships/hyperlink" Target="https://twitter.com/dubbusses/status/724353006532210689" TargetMode="External"/><Relationship Id="rId25435" Type="http://schemas.openxmlformats.org/officeDocument/2006/relationships/hyperlink" Target="https://twitter.com/vickymotorserv1" TargetMode="External"/><Relationship Id="rId10208" Type="http://schemas.openxmlformats.org/officeDocument/2006/relationships/hyperlink" Target="https://twitter.com/KGFClassicCars/status/723465840306348032" TargetMode="External"/><Relationship Id="rId13778" Type="http://schemas.openxmlformats.org/officeDocument/2006/relationships/hyperlink" Target="https://twitter.com/mateo_silva8/status/723555876481720320" TargetMode="External"/><Relationship Id="rId14829" Type="http://schemas.openxmlformats.org/officeDocument/2006/relationships/hyperlink" Target="https://twitter.com/gutierrez_gime/status/723584406854750208" TargetMode="External"/><Relationship Id="rId18700" Type="http://schemas.openxmlformats.org/officeDocument/2006/relationships/hyperlink" Target="https://twitter.com/VWCamperSales/status/723889702495883265" TargetMode="External"/><Relationship Id="rId20994" Type="http://schemas.openxmlformats.org/officeDocument/2006/relationships/hyperlink" Target="https://pbs.twimg.com/profile_images/724050446306832385/9TuOc48j_normal.jpg" TargetMode="External"/><Relationship Id="rId24037" Type="http://schemas.openxmlformats.org/officeDocument/2006/relationships/hyperlink" Target="https://pbs.twimg.com/profile_images/627949001179037696/skEBkS05_normal.jpg" TargetMode="External"/><Relationship Id="rId2786" Type="http://schemas.openxmlformats.org/officeDocument/2006/relationships/hyperlink" Target="https://twitter.com/kngeuro" TargetMode="External"/><Relationship Id="rId3837" Type="http://schemas.openxmlformats.org/officeDocument/2006/relationships/hyperlink" Target="https://twitter.com/TammoBeishuizen/status/723170445650989056" TargetMode="External"/><Relationship Id="rId9399" Type="http://schemas.openxmlformats.org/officeDocument/2006/relationships/hyperlink" Target="https://pbs.twimg.com/profile_images/416938050842034176/mrsQgnd8_normal.jpeg" TargetMode="External"/><Relationship Id="rId16251" Type="http://schemas.openxmlformats.org/officeDocument/2006/relationships/hyperlink" Target="https://twitter.com/805CameraBus/status/723662069740904448" TargetMode="External"/><Relationship Id="rId17302" Type="http://schemas.openxmlformats.org/officeDocument/2006/relationships/hyperlink" Target="https://twitter.com/Tschonka" TargetMode="External"/><Relationship Id="rId20647" Type="http://schemas.openxmlformats.org/officeDocument/2006/relationships/hyperlink" Target="https://pbs.twimg.com/profile_images/665618632802615297/ejRWRQP7_normal.jpg" TargetMode="External"/><Relationship Id="rId758" Type="http://schemas.openxmlformats.org/officeDocument/2006/relationships/hyperlink" Target="https://twitter.com/beetlebug1938" TargetMode="External"/><Relationship Id="rId1388" Type="http://schemas.openxmlformats.org/officeDocument/2006/relationships/hyperlink" Target="https://twitter.com/emiliamuthoni" TargetMode="External"/><Relationship Id="rId2439" Type="http://schemas.openxmlformats.org/officeDocument/2006/relationships/hyperlink" Target="https://pbs.twimg.com/profile_images/2201085737/twitter_business_normal.png" TargetMode="External"/><Relationship Id="rId6310" Type="http://schemas.openxmlformats.org/officeDocument/2006/relationships/hyperlink" Target="https://pbs.twimg.com/profile_images/490812099908497408/pf-nrnHK_normal.jpeg" TargetMode="External"/><Relationship Id="rId9880" Type="http://schemas.openxmlformats.org/officeDocument/2006/relationships/hyperlink" Target="https://twitter.com/VW_OC/status/723452793160368128" TargetMode="External"/><Relationship Id="rId19474" Type="http://schemas.openxmlformats.org/officeDocument/2006/relationships/hyperlink" Target="https://twitter.com/VWCamperSales" TargetMode="External"/><Relationship Id="rId23120" Type="http://schemas.openxmlformats.org/officeDocument/2006/relationships/hyperlink" Target="https://pbs.twimg.com/profile_images/718835727027580928/1ssyQ67y_normal.jpg" TargetMode="External"/><Relationship Id="rId94" Type="http://schemas.openxmlformats.org/officeDocument/2006/relationships/hyperlink" Target="http://dlvr.it/" TargetMode="External"/><Relationship Id="rId8482" Type="http://schemas.openxmlformats.org/officeDocument/2006/relationships/hyperlink" Target="https://twitter.com/RSTOKAR/status/723390770821001216" TargetMode="External"/><Relationship Id="rId9533" Type="http://schemas.openxmlformats.org/officeDocument/2006/relationships/hyperlink" Target="https://twitter.com/FuscaWorld/status/723438223024746497" TargetMode="External"/><Relationship Id="rId12861" Type="http://schemas.openxmlformats.org/officeDocument/2006/relationships/hyperlink" Target="https://twitter.com/OZlive/status/723529570280976384" TargetMode="External"/><Relationship Id="rId13912" Type="http://schemas.openxmlformats.org/officeDocument/2006/relationships/hyperlink" Target="https://twitter.com/MorrisseyEnda/status/723558693372067840" TargetMode="External"/><Relationship Id="rId18076" Type="http://schemas.openxmlformats.org/officeDocument/2006/relationships/hyperlink" Target="https://pbs.twimg.com/profile_images/717791489737232385/xRQsxjNT_normal.jpg" TargetMode="External"/><Relationship Id="rId19127" Type="http://schemas.openxmlformats.org/officeDocument/2006/relationships/hyperlink" Target="https://pbs.twimg.com/profile_images/534268534876954625/CEX5LuWX_normal.jpeg" TargetMode="External"/><Relationship Id="rId25292" Type="http://schemas.openxmlformats.org/officeDocument/2006/relationships/hyperlink" Target="https://twitter.com/OnlineCarReview" TargetMode="External"/><Relationship Id="rId2920" Type="http://schemas.openxmlformats.org/officeDocument/2006/relationships/hyperlink" Target="https://twitter.com/hyoutanntugi/status/723125669459189761" TargetMode="External"/><Relationship Id="rId7084" Type="http://schemas.openxmlformats.org/officeDocument/2006/relationships/hyperlink" Target="https://twitter.com/storefixcreate/status/723277689495412737" TargetMode="External"/><Relationship Id="rId8135" Type="http://schemas.openxmlformats.org/officeDocument/2006/relationships/hyperlink" Target="https://twitter.com/bordreporter/status/723371419527073792" TargetMode="External"/><Relationship Id="rId10065" Type="http://schemas.openxmlformats.org/officeDocument/2006/relationships/hyperlink" Target="https://pbs.twimg.com/profile_images/3497903431/ae95594a00a0817e860e73da8fef6dca_normal.png" TargetMode="External"/><Relationship Id="rId11463" Type="http://schemas.openxmlformats.org/officeDocument/2006/relationships/hyperlink" Target="https://pbs.twimg.com/profile_images/660843741750530049/ycQdQy-N_normal.jpg" TargetMode="External"/><Relationship Id="rId12514" Type="http://schemas.openxmlformats.org/officeDocument/2006/relationships/hyperlink" Target="https://twitter.com/doern" TargetMode="External"/><Relationship Id="rId1522" Type="http://schemas.openxmlformats.org/officeDocument/2006/relationships/hyperlink" Target="https://pbs.twimg.com/profile_images/627949001179037696/skEBkS05_normal.jpg" TargetMode="External"/><Relationship Id="rId11116" Type="http://schemas.openxmlformats.org/officeDocument/2006/relationships/hyperlink" Target="https://pbs.twimg.com/profile_images/645328399834181632/rWu1bHrC_normal.jpg" TargetMode="External"/><Relationship Id="rId14686" Type="http://schemas.openxmlformats.org/officeDocument/2006/relationships/hyperlink" Target="https://twitter.com/Stony_BS" TargetMode="External"/><Relationship Id="rId15737" Type="http://schemas.openxmlformats.org/officeDocument/2006/relationships/hyperlink" Target="https://pbs.twimg.com/profile_images/656489000627228672/C6CwhzL6_normal.jpg" TargetMode="External"/><Relationship Id="rId22953" Type="http://schemas.openxmlformats.org/officeDocument/2006/relationships/hyperlink" Target="https://pbs.twimg.com/profile_images/699154032271749120/uW3i74ul_normal.jpg" TargetMode="External"/><Relationship Id="rId3694" Type="http://schemas.openxmlformats.org/officeDocument/2006/relationships/hyperlink" Target="https://twitter.com/Theothebald/status/723167953374568448" TargetMode="External"/><Relationship Id="rId4745" Type="http://schemas.openxmlformats.org/officeDocument/2006/relationships/hyperlink" Target="https://twitter.com/MiManske/status/723186596430942208" TargetMode="External"/><Relationship Id="rId13288" Type="http://schemas.openxmlformats.org/officeDocument/2006/relationships/hyperlink" Target="https://pbs.twimg.com/profile_images/378800000600543486/069e6d3a14dfc922c29d7cecf5dd463a_normal.jpeg" TargetMode="External"/><Relationship Id="rId14339" Type="http://schemas.openxmlformats.org/officeDocument/2006/relationships/hyperlink" Target="https://twitter.com/steve_schmidt75" TargetMode="External"/><Relationship Id="rId18210" Type="http://schemas.openxmlformats.org/officeDocument/2006/relationships/hyperlink" Target="https://pbs.twimg.com/profile_images/530071272881803264/a_jcCmPZ_normal.png" TargetMode="External"/><Relationship Id="rId21555" Type="http://schemas.openxmlformats.org/officeDocument/2006/relationships/hyperlink" Target="https://pbs.twimg.com/profile_images/3012106875/596e712c99a38ec69b925b7f7ab71986_normal.jpeg" TargetMode="External"/><Relationship Id="rId22606" Type="http://schemas.openxmlformats.org/officeDocument/2006/relationships/hyperlink" Target="https://twitter.com/vwgroup_de/status/724234600462077953" TargetMode="External"/><Relationship Id="rId2296" Type="http://schemas.openxmlformats.org/officeDocument/2006/relationships/hyperlink" Target="https://twitter.com/drheinzhafner" TargetMode="External"/><Relationship Id="rId3347" Type="http://schemas.openxmlformats.org/officeDocument/2006/relationships/hyperlink" Target="https://twitter.com/SaschaSmid/status/723152825853693953" TargetMode="External"/><Relationship Id="rId7968" Type="http://schemas.openxmlformats.org/officeDocument/2006/relationships/hyperlink" Target="https://pbs.twimg.com/profile_images/1403349824/tt_normal.jpg" TargetMode="External"/><Relationship Id="rId20157" Type="http://schemas.openxmlformats.org/officeDocument/2006/relationships/hyperlink" Target="https://pbs.twimg.com/profile_images/627949001179037696/skEBkS05_normal.jpg" TargetMode="External"/><Relationship Id="rId21208" Type="http://schemas.openxmlformats.org/officeDocument/2006/relationships/hyperlink" Target="https://twitter.com/PheonixJane" TargetMode="External"/><Relationship Id="rId24778" Type="http://schemas.openxmlformats.org/officeDocument/2006/relationships/hyperlink" Target="https://twitter.com/oldcar_photo/status/724387194148937728" TargetMode="External"/><Relationship Id="rId268" Type="http://schemas.openxmlformats.org/officeDocument/2006/relationships/hyperlink" Target="https://twitter.com/ReevesVW" TargetMode="External"/><Relationship Id="rId9390" Type="http://schemas.openxmlformats.org/officeDocument/2006/relationships/hyperlink" Target="https://pbs.twimg.com/profile_images/2647587230/d4dc2dcff2317bc6a8f2ff61406f81f1_normal.jpeg" TargetMode="External"/><Relationship Id="rId10949" Type="http://schemas.openxmlformats.org/officeDocument/2006/relationships/hyperlink" Target="https://pbs.twimg.com/profile_images/452789313554907137/h-Q_0Rw0_normal.jpeg" TargetMode="External"/><Relationship Id="rId12371" Type="http://schemas.openxmlformats.org/officeDocument/2006/relationships/hyperlink" Target="https://twitter.com/aNyWaytwit" TargetMode="External"/><Relationship Id="rId13422" Type="http://schemas.openxmlformats.org/officeDocument/2006/relationships/hyperlink" Target="https://twitter.com/charlibarca10" TargetMode="External"/><Relationship Id="rId14820" Type="http://schemas.openxmlformats.org/officeDocument/2006/relationships/hyperlink" Target="https://twitter.com/bessermobil/status/723584168404373504" TargetMode="External"/><Relationship Id="rId2430" Type="http://schemas.openxmlformats.org/officeDocument/2006/relationships/hyperlink" Target="https://twitter.com/VWBeetleSales" TargetMode="External"/><Relationship Id="rId9043" Type="http://schemas.openxmlformats.org/officeDocument/2006/relationships/hyperlink" Target="https://twitter.com/RovanZon/status/723418851812081664" TargetMode="External"/><Relationship Id="rId12024" Type="http://schemas.openxmlformats.org/officeDocument/2006/relationships/hyperlink" Target="https://pbs.twimg.com/profile_images/1895339818/image_normal.jpg" TargetMode="External"/><Relationship Id="rId16992" Type="http://schemas.openxmlformats.org/officeDocument/2006/relationships/hyperlink" Target="https://pbs.twimg.com/profile_images/665098638327173121/1qwb7YxR_normal.jpg" TargetMode="External"/><Relationship Id="rId402" Type="http://schemas.openxmlformats.org/officeDocument/2006/relationships/hyperlink" Target="https://twitter.com/FuscaWorld/status/722954285256957952" TargetMode="External"/><Relationship Id="rId1032" Type="http://schemas.openxmlformats.org/officeDocument/2006/relationships/hyperlink" Target="https://twitter.com/PanchoChavez_" TargetMode="External"/><Relationship Id="rId14196" Type="http://schemas.openxmlformats.org/officeDocument/2006/relationships/hyperlink" Target="https://twitter.com/theautowriter/status/723568131709480960" TargetMode="External"/><Relationship Id="rId15594" Type="http://schemas.openxmlformats.org/officeDocument/2006/relationships/hyperlink" Target="https://pbs.twimg.com/profile_images/672894264095961089/v57NFl6w_normal.jpg" TargetMode="External"/><Relationship Id="rId16645" Type="http://schemas.openxmlformats.org/officeDocument/2006/relationships/hyperlink" Target="https://pbs.twimg.com/profile_images/496025508098760704/eyHTamUw_normal.jpeg" TargetMode="External"/><Relationship Id="rId23861" Type="http://schemas.openxmlformats.org/officeDocument/2006/relationships/hyperlink" Target="https://pbs.twimg.com/profile_images/545688359964651520/SF3sJ7lv_normal.jpeg" TargetMode="External"/><Relationship Id="rId24912" Type="http://schemas.openxmlformats.org/officeDocument/2006/relationships/hyperlink" Target="https://twitter.com/VolkswagenPost" TargetMode="External"/><Relationship Id="rId4255" Type="http://schemas.openxmlformats.org/officeDocument/2006/relationships/hyperlink" Target="https://pbs.twimg.com/profile_images/690715851897503744/i2pU0xKw_normal.jpg" TargetMode="External"/><Relationship Id="rId5306" Type="http://schemas.openxmlformats.org/officeDocument/2006/relationships/hyperlink" Target="https://pbs.twimg.com/profile_images/378800000567040197/ebbaf357a1ef7aec1e1ad1ad0e246683_normal.jpeg" TargetMode="External"/><Relationship Id="rId5653" Type="http://schemas.openxmlformats.org/officeDocument/2006/relationships/hyperlink" Target="https://pbs.twimg.com/profile_images/672878354127839232/M7OYc-zx_normal.jpg" TargetMode="External"/><Relationship Id="rId6704" Type="http://schemas.openxmlformats.org/officeDocument/2006/relationships/hyperlink" Target="https://twitter.com/VWCamperSales" TargetMode="External"/><Relationship Id="rId15247" Type="http://schemas.openxmlformats.org/officeDocument/2006/relationships/hyperlink" Target="https://twitter.com/dubengeldu/status/723600574516715520" TargetMode="External"/><Relationship Id="rId19868" Type="http://schemas.openxmlformats.org/officeDocument/2006/relationships/hyperlink" Target="http://dlvr.it/" TargetMode="External"/><Relationship Id="rId21065" Type="http://schemas.openxmlformats.org/officeDocument/2006/relationships/hyperlink" Target="https://twitter.com/VolkswagenPost/status/724091896147009537" TargetMode="External"/><Relationship Id="rId22463" Type="http://schemas.openxmlformats.org/officeDocument/2006/relationships/hyperlink" Target="https://twitter.com/TandyLi5" TargetMode="External"/><Relationship Id="rId23514" Type="http://schemas.openxmlformats.org/officeDocument/2006/relationships/hyperlink" Target="https://twitter.com/bigbobblehats" TargetMode="External"/><Relationship Id="rId8876" Type="http://schemas.openxmlformats.org/officeDocument/2006/relationships/hyperlink" Target="https://twitter.com/VRwatchingU" TargetMode="External"/><Relationship Id="rId9927" Type="http://schemas.openxmlformats.org/officeDocument/2006/relationships/hyperlink" Target="https://twitter.com/muhanna00923593" TargetMode="External"/><Relationship Id="rId11857" Type="http://schemas.openxmlformats.org/officeDocument/2006/relationships/hyperlink" Target="https://pbs.twimg.com/profile_images/856920508/freshshoots_deadtree_normal.jpg" TargetMode="External"/><Relationship Id="rId12908" Type="http://schemas.openxmlformats.org/officeDocument/2006/relationships/hyperlink" Target="https://pbs.twimg.com/profile_images/723247339616518144/JSPwIycM_normal.jpg" TargetMode="External"/><Relationship Id="rId22116" Type="http://schemas.openxmlformats.org/officeDocument/2006/relationships/hyperlink" Target="https://twitter.com/autofreshnews/status/724201287579885568" TargetMode="External"/><Relationship Id="rId25686" Type="http://schemas.openxmlformats.org/officeDocument/2006/relationships/hyperlink" Target="https://twitter.com/KeithDMcMurdo" TargetMode="External"/><Relationship Id="rId1916" Type="http://schemas.openxmlformats.org/officeDocument/2006/relationships/hyperlink" Target="http://federalna.ba/" TargetMode="External"/><Relationship Id="rId7478" Type="http://schemas.openxmlformats.org/officeDocument/2006/relationships/hyperlink" Target="https://twitter.com/_Izzy_Stewart_" TargetMode="External"/><Relationship Id="rId8529" Type="http://schemas.openxmlformats.org/officeDocument/2006/relationships/hyperlink" Target="https://pbs.twimg.com/profile_images/1785128505/munich_normal.png" TargetMode="External"/><Relationship Id="rId10459" Type="http://schemas.openxmlformats.org/officeDocument/2006/relationships/hyperlink" Target="https://twitter.com/pcbritz" TargetMode="External"/><Relationship Id="rId14330" Type="http://schemas.openxmlformats.org/officeDocument/2006/relationships/hyperlink" Target="https://twitter.com/volcombug" TargetMode="External"/><Relationship Id="rId24288" Type="http://schemas.openxmlformats.org/officeDocument/2006/relationships/hyperlink" Target="https://pbs.twimg.com/profile_images/654794006421856256/WvLcZ_Wx_normal.png" TargetMode="External"/><Relationship Id="rId25339" Type="http://schemas.openxmlformats.org/officeDocument/2006/relationships/hyperlink" Target="http://dlvr.it/" TargetMode="External"/><Relationship Id="rId17553" Type="http://schemas.openxmlformats.org/officeDocument/2006/relationships/hyperlink" Target="https://twitter.com/ProjectCarsUK" TargetMode="External"/><Relationship Id="rId18951" Type="http://schemas.openxmlformats.org/officeDocument/2006/relationships/hyperlink" Target="https://twitter.com/GeorgAlbrecht1" TargetMode="External"/><Relationship Id="rId20898" Type="http://schemas.openxmlformats.org/officeDocument/2006/relationships/hyperlink" Target="https://pbs.twimg.com/profile_images/1373744332/VermontMapleCookieLogoSMALL_normal.jpg" TargetMode="External"/><Relationship Id="rId6561" Type="http://schemas.openxmlformats.org/officeDocument/2006/relationships/hyperlink" Target="https://twitter.com/KNordlichtW/status/723246001683849217" TargetMode="External"/><Relationship Id="rId7612" Type="http://schemas.openxmlformats.org/officeDocument/2006/relationships/hyperlink" Target="https://pbs.twimg.com/profile_images/540350415838384130/Pj4x26MI_normal.jpeg" TargetMode="External"/><Relationship Id="rId10940" Type="http://schemas.openxmlformats.org/officeDocument/2006/relationships/hyperlink" Target="https://pbs.twimg.com/profile_images/694910064419823621/88ki-B3e_normal.jpg" TargetMode="External"/><Relationship Id="rId16155" Type="http://schemas.openxmlformats.org/officeDocument/2006/relationships/hyperlink" Target="https://twitter.com/Aldow_CR" TargetMode="External"/><Relationship Id="rId17206" Type="http://schemas.openxmlformats.org/officeDocument/2006/relationships/hyperlink" Target="https://pbs.twimg.com/profile_images/714791251485331456/Zg_jCfjL_normal.jpg" TargetMode="External"/><Relationship Id="rId18604" Type="http://schemas.openxmlformats.org/officeDocument/2006/relationships/hyperlink" Target="https://twitter.com/ebaycampervans" TargetMode="External"/><Relationship Id="rId21949" Type="http://schemas.openxmlformats.org/officeDocument/2006/relationships/hyperlink" Target="https://pbs.twimg.com/profile_images/709136799931764737/kljk8XnM_normal.jpg" TargetMode="External"/><Relationship Id="rId23371" Type="http://schemas.openxmlformats.org/officeDocument/2006/relationships/hyperlink" Target="https://pbs.twimg.com/profile_images/720884007152394240/OWYVobwN_normal.jpg" TargetMode="External"/><Relationship Id="rId24422" Type="http://schemas.openxmlformats.org/officeDocument/2006/relationships/hyperlink" Target="https://pbs.twimg.com/profile_images/627949001179037696/skEBkS05_normal.jpg" TargetMode="External"/><Relationship Id="rId5163" Type="http://schemas.openxmlformats.org/officeDocument/2006/relationships/hyperlink" Target="https://twitter.com/TokanP" TargetMode="External"/><Relationship Id="rId6214" Type="http://schemas.openxmlformats.org/officeDocument/2006/relationships/hyperlink" Target="https://pbs.twimg.com/profile_images/627949001179037696/skEBkS05_normal.jpg" TargetMode="External"/><Relationship Id="rId9784" Type="http://schemas.openxmlformats.org/officeDocument/2006/relationships/hyperlink" Target="http://ndr.de/" TargetMode="External"/><Relationship Id="rId23024" Type="http://schemas.openxmlformats.org/officeDocument/2006/relationships/hyperlink" Target="https://twitter.com/fredcheto" TargetMode="External"/><Relationship Id="rId8386" Type="http://schemas.openxmlformats.org/officeDocument/2006/relationships/hyperlink" Target="https://twitter.com/VWsightings" TargetMode="External"/><Relationship Id="rId9437" Type="http://schemas.openxmlformats.org/officeDocument/2006/relationships/hyperlink" Target="https://twitter.com/VWBeetleSales" TargetMode="External"/><Relationship Id="rId12765" Type="http://schemas.openxmlformats.org/officeDocument/2006/relationships/hyperlink" Target="https://twitter.com/myCarbe/status/723527589491560449" TargetMode="External"/><Relationship Id="rId13816" Type="http://schemas.openxmlformats.org/officeDocument/2006/relationships/hyperlink" Target="https://twitter.com/VolkswagenPost/status/723556819680038912" TargetMode="External"/><Relationship Id="rId19378" Type="http://schemas.openxmlformats.org/officeDocument/2006/relationships/hyperlink" Target="http://dlvr.it/" TargetMode="External"/><Relationship Id="rId25196" Type="http://schemas.openxmlformats.org/officeDocument/2006/relationships/hyperlink" Target="https://twitter.com/dougyfresh_79" TargetMode="External"/><Relationship Id="rId1773" Type="http://schemas.openxmlformats.org/officeDocument/2006/relationships/hyperlink" Target="https://twitter.com/handelsblatt" TargetMode="External"/><Relationship Id="rId2824" Type="http://schemas.openxmlformats.org/officeDocument/2006/relationships/hyperlink" Target="https://twitter.com/aktionaer/status/723121135575916545" TargetMode="External"/><Relationship Id="rId8039" Type="http://schemas.openxmlformats.org/officeDocument/2006/relationships/hyperlink" Target="https://twitter.com/deejay_1993/status/723354224222965760" TargetMode="External"/><Relationship Id="rId11367" Type="http://schemas.openxmlformats.org/officeDocument/2006/relationships/hyperlink" Target="https://pbs.twimg.com/profile_images/680251329592344576/lnXUGVBa_normal.jpg" TargetMode="External"/><Relationship Id="rId12418" Type="http://schemas.openxmlformats.org/officeDocument/2006/relationships/hyperlink" Target="https://twitter.com/Automobilwoche" TargetMode="External"/><Relationship Id="rId15988" Type="http://schemas.openxmlformats.org/officeDocument/2006/relationships/hyperlink" Target="https://pbs.twimg.com/profile_images/712345439333384192/wv176eiK_normal.jpg" TargetMode="External"/><Relationship Id="rId1426" Type="http://schemas.openxmlformats.org/officeDocument/2006/relationships/hyperlink" Target="https://pbs.twimg.com/profile_images/718820712757215233/LXXndPTS_normal.jpg" TargetMode="External"/><Relationship Id="rId4996" Type="http://schemas.openxmlformats.org/officeDocument/2006/relationships/hyperlink" Target="https://pbs.twimg.com/profile_images/709854680122261504/6ctg6v1O_normal.jpg" TargetMode="External"/><Relationship Id="rId18461" Type="http://schemas.openxmlformats.org/officeDocument/2006/relationships/hyperlink" Target="https://twitter.com/salzburg_com" TargetMode="External"/><Relationship Id="rId19512" Type="http://schemas.openxmlformats.org/officeDocument/2006/relationships/hyperlink" Target="https://pbs.twimg.com/profile_images/704411171059867649/GDcERPLT_normal.jpg" TargetMode="External"/><Relationship Id="rId22857" Type="http://schemas.openxmlformats.org/officeDocument/2006/relationships/hyperlink" Target="https://twitter.com/melo_57/status/724252431115276288" TargetMode="External"/><Relationship Id="rId23908" Type="http://schemas.openxmlformats.org/officeDocument/2006/relationships/hyperlink" Target="https://pbs.twimg.com/profile_images/689135486544293889/vPAeUEzo_normal.jpg" TargetMode="External"/><Relationship Id="rId3598" Type="http://schemas.openxmlformats.org/officeDocument/2006/relationships/hyperlink" Target="https://twitter.com/Kop_of_Parisii/status/723165656519196672" TargetMode="External"/><Relationship Id="rId4649" Type="http://schemas.openxmlformats.org/officeDocument/2006/relationships/hyperlink" Target="https://twitter.com/vwpartsonline/status/723184192100556800" TargetMode="External"/><Relationship Id="rId8520" Type="http://schemas.openxmlformats.org/officeDocument/2006/relationships/hyperlink" Target="https://pbs.twimg.com/profile_images/666163579700277248/vIv69HhR_normal.jpg" TargetMode="External"/><Relationship Id="rId10450" Type="http://schemas.openxmlformats.org/officeDocument/2006/relationships/hyperlink" Target="https://twitter.com/doern" TargetMode="External"/><Relationship Id="rId11501" Type="http://schemas.openxmlformats.org/officeDocument/2006/relationships/hyperlink" Target="https://twitter.com/marco2080/status/723503061465993216" TargetMode="External"/><Relationship Id="rId17063" Type="http://schemas.openxmlformats.org/officeDocument/2006/relationships/hyperlink" Target="https://twitter.com/GarionCoyote/status/723768100060012544" TargetMode="External"/><Relationship Id="rId18114" Type="http://schemas.openxmlformats.org/officeDocument/2006/relationships/hyperlink" Target="https://twitter.com/FuscaWorld" TargetMode="External"/><Relationship Id="rId21459" Type="http://schemas.openxmlformats.org/officeDocument/2006/relationships/hyperlink" Target="https://twitter.com/hjmart/status/724150230665428992" TargetMode="External"/><Relationship Id="rId25330" Type="http://schemas.openxmlformats.org/officeDocument/2006/relationships/hyperlink" Target="https://pbs.twimg.com/profile_images/682117963349135360/IUfZQy35_normal.png" TargetMode="External"/><Relationship Id="rId6071" Type="http://schemas.openxmlformats.org/officeDocument/2006/relationships/hyperlink" Target="http://dlvr.it/" TargetMode="External"/><Relationship Id="rId7122" Type="http://schemas.openxmlformats.org/officeDocument/2006/relationships/hyperlink" Target="https://twitter.com/DannyFreshVici" TargetMode="External"/><Relationship Id="rId10103" Type="http://schemas.openxmlformats.org/officeDocument/2006/relationships/hyperlink" Target="https://twitter.com/SammiLeopold08" TargetMode="External"/><Relationship Id="rId2681" Type="http://schemas.openxmlformats.org/officeDocument/2006/relationships/hyperlink" Target="https://pbs.twimg.com/profile_images/2678224876/e0d50fddebcbb0ae56734edce9d553a0_normal.jpeg" TargetMode="External"/><Relationship Id="rId9294" Type="http://schemas.openxmlformats.org/officeDocument/2006/relationships/hyperlink" Target="https://twitter.com/theDrivenUKshow" TargetMode="External"/><Relationship Id="rId12275" Type="http://schemas.openxmlformats.org/officeDocument/2006/relationships/hyperlink" Target="https://twitter.com/Taipanos/status/723516537865420801" TargetMode="External"/><Relationship Id="rId13673" Type="http://schemas.openxmlformats.org/officeDocument/2006/relationships/hyperlink" Target="https://twitter.com/VWBeetleSales/status/723552979840716801" TargetMode="External"/><Relationship Id="rId14724" Type="http://schemas.openxmlformats.org/officeDocument/2006/relationships/hyperlink" Target="https://pbs.twimg.com/profile_images/722409786629885952/DJ7FnCpI_normal.jpg" TargetMode="External"/><Relationship Id="rId21940" Type="http://schemas.openxmlformats.org/officeDocument/2006/relationships/hyperlink" Target="https://pbs.twimg.com/profile_images/484251912003272704/NSiCJrfj_normal.jpeg" TargetMode="External"/><Relationship Id="rId653" Type="http://schemas.openxmlformats.org/officeDocument/2006/relationships/hyperlink" Target="https://pbs.twimg.com/profile_images/534282352097497088/deVA6mCF_normal.jpeg" TargetMode="External"/><Relationship Id="rId1283" Type="http://schemas.openxmlformats.org/officeDocument/2006/relationships/hyperlink" Target="https://twitter.com/AchillePrick/status/723031498505351168" TargetMode="External"/><Relationship Id="rId2334" Type="http://schemas.openxmlformats.org/officeDocument/2006/relationships/hyperlink" Target="https://twitter.com/DoMarMac" TargetMode="External"/><Relationship Id="rId3732" Type="http://schemas.openxmlformats.org/officeDocument/2006/relationships/hyperlink" Target="https://twitter.com/emshapro/status/723168497270939648" TargetMode="External"/><Relationship Id="rId13326" Type="http://schemas.openxmlformats.org/officeDocument/2006/relationships/hyperlink" Target="https://twitter.com/Stefan_Schwark/status/723543325035364352" TargetMode="External"/><Relationship Id="rId16896" Type="http://schemas.openxmlformats.org/officeDocument/2006/relationships/hyperlink" Target="https://pbs.twimg.com/profile_images/674854011586088961/eoe_WIK0_normal.jpg" TargetMode="External"/><Relationship Id="rId17947" Type="http://schemas.openxmlformats.org/officeDocument/2006/relationships/hyperlink" Target="https://twitter.com/VeeDubMk1_/status/723836219055046656" TargetMode="External"/><Relationship Id="rId20542" Type="http://schemas.openxmlformats.org/officeDocument/2006/relationships/hyperlink" Target="https://pbs.twimg.com/profile_images/653512901634887680/_04pOChq_normal.jpg" TargetMode="External"/><Relationship Id="rId306" Type="http://schemas.openxmlformats.org/officeDocument/2006/relationships/hyperlink" Target="https://pbs.twimg.com/profile_images/652871584131092480/QA_B6SBO_normal.jpg" TargetMode="External"/><Relationship Id="rId6955" Type="http://schemas.openxmlformats.org/officeDocument/2006/relationships/hyperlink" Target="https://pbs.twimg.com/profile_images/2301932893/ofy8sgl94m45zgiq2my3_normal.jpeg" TargetMode="External"/><Relationship Id="rId15498" Type="http://schemas.openxmlformats.org/officeDocument/2006/relationships/hyperlink" Target="https://twitter.com/sozialromantik" TargetMode="External"/><Relationship Id="rId16549" Type="http://schemas.openxmlformats.org/officeDocument/2006/relationships/hyperlink" Target="https://twitter.com/beetlebug1938" TargetMode="External"/><Relationship Id="rId23765" Type="http://schemas.openxmlformats.org/officeDocument/2006/relationships/hyperlink" Target="https://twitter.com/caryelluk" TargetMode="External"/><Relationship Id="rId24816" Type="http://schemas.openxmlformats.org/officeDocument/2006/relationships/hyperlink" Target="https://pbs.twimg.com/profile_images/541550824435232770/Ie5CUPar_normal.jpeg" TargetMode="External"/><Relationship Id="rId4159" Type="http://schemas.openxmlformats.org/officeDocument/2006/relationships/hyperlink" Target="https://pbs.twimg.com/profile_images/459281313409667072/7lylhzVW_normal.png" TargetMode="External"/><Relationship Id="rId5557" Type="http://schemas.openxmlformats.org/officeDocument/2006/relationships/hyperlink" Target="https://twitter.com/DerbyshireGreen" TargetMode="External"/><Relationship Id="rId6608" Type="http://schemas.openxmlformats.org/officeDocument/2006/relationships/hyperlink" Target="https://pbs.twimg.com/profile_images/579990425966104576/Kah77WJ4_normal.jpg" TargetMode="External"/><Relationship Id="rId19022" Type="http://schemas.openxmlformats.org/officeDocument/2006/relationships/hyperlink" Target="https://twitter.com/Lunatique11/status/723913857882710016" TargetMode="External"/><Relationship Id="rId22367" Type="http://schemas.openxmlformats.org/officeDocument/2006/relationships/hyperlink" Target="https://pbs.twimg.com/profile_images/703294545195307008/qeCvrX86_normal.jpg" TargetMode="External"/><Relationship Id="rId23418" Type="http://schemas.openxmlformats.org/officeDocument/2006/relationships/hyperlink" Target="http://dlvr.it/" TargetMode="External"/><Relationship Id="rId8030" Type="http://schemas.openxmlformats.org/officeDocument/2006/relationships/hyperlink" Target="https://twitter.com/beetlebug1938/status/723354087152963584" TargetMode="External"/><Relationship Id="rId11011" Type="http://schemas.openxmlformats.org/officeDocument/2006/relationships/hyperlink" Target="https://twitter.com/LenaHR2" TargetMode="External"/><Relationship Id="rId14581" Type="http://schemas.openxmlformats.org/officeDocument/2006/relationships/hyperlink" Target="https://pbs.twimg.com/profile_images/999306142/Unbenannt-4_normal.jpg" TargetMode="External"/><Relationship Id="rId15632" Type="http://schemas.openxmlformats.org/officeDocument/2006/relationships/hyperlink" Target="https://twitter.com/lestermarshall3/status/723618071131246592" TargetMode="External"/><Relationship Id="rId4640" Type="http://schemas.openxmlformats.org/officeDocument/2006/relationships/hyperlink" Target="https://pbs.twimg.com/profile_images/722885128339505152/Sc06KH1L_normal.jpg" TargetMode="External"/><Relationship Id="rId13183" Type="http://schemas.openxmlformats.org/officeDocument/2006/relationships/hyperlink" Target="https://twitter.com/michalakperrine/status/723537888525312000" TargetMode="External"/><Relationship Id="rId14234" Type="http://schemas.openxmlformats.org/officeDocument/2006/relationships/hyperlink" Target="https://twitter.com/CarterVW/status/723570571867361281" TargetMode="External"/><Relationship Id="rId21450" Type="http://schemas.openxmlformats.org/officeDocument/2006/relationships/hyperlink" Target="https://twitter.com/dubbusses/status/724148785392291841" TargetMode="External"/><Relationship Id="rId22501" Type="http://schemas.openxmlformats.org/officeDocument/2006/relationships/hyperlink" Target="https://pbs.twimg.com/profile_images/522805756736057344/m7B0nHpz_normal.jpeg" TargetMode="External"/><Relationship Id="rId2191" Type="http://schemas.openxmlformats.org/officeDocument/2006/relationships/hyperlink" Target="https://twitter.com/marin_fj" TargetMode="External"/><Relationship Id="rId3242" Type="http://schemas.openxmlformats.org/officeDocument/2006/relationships/hyperlink" Target="https://twitter.com/YokohamaRides" TargetMode="External"/><Relationship Id="rId18855" Type="http://schemas.openxmlformats.org/officeDocument/2006/relationships/hyperlink" Target="https://abs.twimg.com/sticky/default_profile_images/default_profile_0_normal.png" TargetMode="External"/><Relationship Id="rId19906" Type="http://schemas.openxmlformats.org/officeDocument/2006/relationships/hyperlink" Target="https://twitter.com/daniel19makau" TargetMode="External"/><Relationship Id="rId20052" Type="http://schemas.openxmlformats.org/officeDocument/2006/relationships/hyperlink" Target="https://pbs.twimg.com/profile_images/424893967197433858/iQ86NktX_normal.jpeg" TargetMode="External"/><Relationship Id="rId21103" Type="http://schemas.openxmlformats.org/officeDocument/2006/relationships/hyperlink" Target="https://pbs.twimg.com/profile_images/707306482639966208/fV1YNOO0_normal.jpg" TargetMode="External"/><Relationship Id="rId163" Type="http://schemas.openxmlformats.org/officeDocument/2006/relationships/hyperlink" Target="https://twitter.com/VCT_Tweets/status/722931652150837248" TargetMode="External"/><Relationship Id="rId6465" Type="http://schemas.openxmlformats.org/officeDocument/2006/relationships/hyperlink" Target="https://twitter.com/Lazyfist/status/723244168693321730" TargetMode="External"/><Relationship Id="rId7516" Type="http://schemas.openxmlformats.org/officeDocument/2006/relationships/hyperlink" Target="https://twitter.com/Paddyboy1875/status/723307621365760000" TargetMode="External"/><Relationship Id="rId7863" Type="http://schemas.openxmlformats.org/officeDocument/2006/relationships/hyperlink" Target="https://pbs.twimg.com/profile_images/709242043340607489/GTvkQ0v0_normal.jpg" TargetMode="External"/><Relationship Id="rId8914" Type="http://schemas.openxmlformats.org/officeDocument/2006/relationships/hyperlink" Target="https://pbs.twimg.com/profile_images/515837051506544641/lBNA81-j_normal.jpeg" TargetMode="External"/><Relationship Id="rId10844" Type="http://schemas.openxmlformats.org/officeDocument/2006/relationships/hyperlink" Target="https://pbs.twimg.com/profile_images/703294545195307008/qeCvrX86_normal.jpg" TargetMode="External"/><Relationship Id="rId16059" Type="http://schemas.openxmlformats.org/officeDocument/2006/relationships/hyperlink" Target="https://twitter.com/DubLuvTuning/status/723646362240294912" TargetMode="External"/><Relationship Id="rId17457" Type="http://schemas.openxmlformats.org/officeDocument/2006/relationships/hyperlink" Target="https://pbs.twimg.com/profile_images/519422947010678784/mnCSODh0_normal.jpeg" TargetMode="External"/><Relationship Id="rId18508" Type="http://schemas.openxmlformats.org/officeDocument/2006/relationships/hyperlink" Target="https://twitter.com/whats_live/status/723874285429903364" TargetMode="External"/><Relationship Id="rId23275" Type="http://schemas.openxmlformats.org/officeDocument/2006/relationships/hyperlink" Target="https://twitter.com/saimisim_pasta/status/724277478215176192" TargetMode="External"/><Relationship Id="rId24673" Type="http://schemas.openxmlformats.org/officeDocument/2006/relationships/hyperlink" Target="https://twitter.com/mskellycool" TargetMode="External"/><Relationship Id="rId25724" Type="http://schemas.openxmlformats.org/officeDocument/2006/relationships/hyperlink" Target="https://pbs.twimg.com/profile_images/640063278882799616/UlUr00Sr_normal.jpg" TargetMode="External"/><Relationship Id="rId5067" Type="http://schemas.openxmlformats.org/officeDocument/2006/relationships/hyperlink" Target="https://twitter.com/Catinformacio" TargetMode="External"/><Relationship Id="rId6118" Type="http://schemas.openxmlformats.org/officeDocument/2006/relationships/hyperlink" Target="https://twitter.com/MarkosSkellas/status/723231361725784065" TargetMode="External"/><Relationship Id="rId24326" Type="http://schemas.openxmlformats.org/officeDocument/2006/relationships/hyperlink" Target="https://twitter.com/VWBeetleSales/status/724347962990551041" TargetMode="External"/><Relationship Id="rId9688" Type="http://schemas.openxmlformats.org/officeDocument/2006/relationships/hyperlink" Target="https://twitter.com/ACE_Autoclub" TargetMode="External"/><Relationship Id="rId12669" Type="http://schemas.openxmlformats.org/officeDocument/2006/relationships/hyperlink" Target="https://twitter.com/ClicksandTips/status/723524848572588032" TargetMode="External"/><Relationship Id="rId16540" Type="http://schemas.openxmlformats.org/officeDocument/2006/relationships/hyperlink" Target="https://twitter.com/dannyriendeau" TargetMode="External"/><Relationship Id="rId20936" Type="http://schemas.openxmlformats.org/officeDocument/2006/relationships/hyperlink" Target="https://twitter.com/mana__mana/status/724068381872279552" TargetMode="External"/><Relationship Id="rId1677" Type="http://schemas.openxmlformats.org/officeDocument/2006/relationships/hyperlink" Target="https://twitter.com/dapper013/status/723052729103470592" TargetMode="External"/><Relationship Id="rId2728" Type="http://schemas.openxmlformats.org/officeDocument/2006/relationships/hyperlink" Target="https://pbs.twimg.com/profile_images/422164778639839234/LVnS1q1c_normal.jpeg" TargetMode="External"/><Relationship Id="rId14091" Type="http://schemas.openxmlformats.org/officeDocument/2006/relationships/hyperlink" Target="https://twitter.com/techislet" TargetMode="External"/><Relationship Id="rId15142" Type="http://schemas.openxmlformats.org/officeDocument/2006/relationships/hyperlink" Target="https://pbs.twimg.com/profile_images/637593303836422144/JiLq2Ins_normal.png" TargetMode="External"/><Relationship Id="rId19763" Type="http://schemas.openxmlformats.org/officeDocument/2006/relationships/hyperlink" Target="https://pbs.twimg.com/profile_images/537978095392022528/6T9M1UwY_normal.jpeg" TargetMode="External"/><Relationship Id="rId4150" Type="http://schemas.openxmlformats.org/officeDocument/2006/relationships/hyperlink" Target="https://twitter.com/VWCamperSales" TargetMode="External"/><Relationship Id="rId5201" Type="http://schemas.openxmlformats.org/officeDocument/2006/relationships/hyperlink" Target="https://pbs.twimg.com/profile_images/549208594885779456/Vrpr1vWp_normal.jpeg" TargetMode="External"/><Relationship Id="rId8771" Type="http://schemas.openxmlformats.org/officeDocument/2006/relationships/hyperlink" Target="https://twitter.com/VanstoreUK" TargetMode="External"/><Relationship Id="rId9822" Type="http://schemas.openxmlformats.org/officeDocument/2006/relationships/hyperlink" Target="https://twitter.com/PatrickGensing" TargetMode="External"/><Relationship Id="rId18365" Type="http://schemas.openxmlformats.org/officeDocument/2006/relationships/hyperlink" Target="https://twitter.com/MKIMAYER" TargetMode="External"/><Relationship Id="rId19416" Type="http://schemas.openxmlformats.org/officeDocument/2006/relationships/hyperlink" Target="https://pbs.twimg.com/profile_images/716020780899807232/fnaRfVpE_normal.jpg" TargetMode="External"/><Relationship Id="rId22011" Type="http://schemas.openxmlformats.org/officeDocument/2006/relationships/hyperlink" Target="https://twitter.com/dubbusses/status/724193963633172480" TargetMode="External"/><Relationship Id="rId25581" Type="http://schemas.openxmlformats.org/officeDocument/2006/relationships/hyperlink" Target="https://twitter.com/Duambyth/status/724449580629299202" TargetMode="External"/><Relationship Id="rId36" Type="http://schemas.openxmlformats.org/officeDocument/2006/relationships/hyperlink" Target="https://pbs.twimg.com/profile_images/718820712757215233/LXXndPTS_normal.jpg" TargetMode="External"/><Relationship Id="rId7373" Type="http://schemas.openxmlformats.org/officeDocument/2006/relationships/hyperlink" Target="https://twitter.com/DLF" TargetMode="External"/><Relationship Id="rId8424" Type="http://schemas.openxmlformats.org/officeDocument/2006/relationships/hyperlink" Target="https://pbs.twimg.com/profile_images/720231879601991680/PQLrJZsH_normal.jpg" TargetMode="External"/><Relationship Id="rId10354" Type="http://schemas.openxmlformats.org/officeDocument/2006/relationships/hyperlink" Target="https://twitter.com/thevolksmusik/status/723470320707973122" TargetMode="External"/><Relationship Id="rId11752" Type="http://schemas.openxmlformats.org/officeDocument/2006/relationships/hyperlink" Target="https://pbs.twimg.com/profile_images/439706141728051201/GQgdrA5p_normal.jpeg" TargetMode="External"/><Relationship Id="rId12803" Type="http://schemas.openxmlformats.org/officeDocument/2006/relationships/hyperlink" Target="https://twitter.com/beetlebug1938/status/723528012902313985" TargetMode="External"/><Relationship Id="rId18018" Type="http://schemas.openxmlformats.org/officeDocument/2006/relationships/hyperlink" Target="https://pbs.twimg.com/profile_images/568149263889096704/BO2L4CN5_normal.jpeg" TargetMode="External"/><Relationship Id="rId24183" Type="http://schemas.openxmlformats.org/officeDocument/2006/relationships/hyperlink" Target="https://twitter.com/dubbusses" TargetMode="External"/><Relationship Id="rId25234" Type="http://schemas.openxmlformats.org/officeDocument/2006/relationships/hyperlink" Target="https://twitter.com/_grajeda" TargetMode="External"/><Relationship Id="rId1811" Type="http://schemas.openxmlformats.org/officeDocument/2006/relationships/hyperlink" Target="https://twitter.com/BWResearch/status/723059664192188416" TargetMode="External"/><Relationship Id="rId7026" Type="http://schemas.openxmlformats.org/officeDocument/2006/relationships/hyperlink" Target="https://pbs.twimg.com/profile_images/717361645454905344/eSYXksup_normal.jpg" TargetMode="External"/><Relationship Id="rId10007" Type="http://schemas.openxmlformats.org/officeDocument/2006/relationships/hyperlink" Target="https://twitter.com/bayl/status/723457953932709889" TargetMode="External"/><Relationship Id="rId11405" Type="http://schemas.openxmlformats.org/officeDocument/2006/relationships/hyperlink" Target="https://twitter.com/DasIgno/status/723501861974757377" TargetMode="External"/><Relationship Id="rId14975" Type="http://schemas.openxmlformats.org/officeDocument/2006/relationships/hyperlink" Target="https://twitter.com/VWBeetleSales" TargetMode="External"/><Relationship Id="rId3983" Type="http://schemas.openxmlformats.org/officeDocument/2006/relationships/hyperlink" Target="https://twitter.com/Geoffreytsmith/status/723173501251801088" TargetMode="External"/><Relationship Id="rId9198" Type="http://schemas.openxmlformats.org/officeDocument/2006/relationships/hyperlink" Target="https://twitter.com/gerd_lutz" TargetMode="External"/><Relationship Id="rId13577" Type="http://schemas.openxmlformats.org/officeDocument/2006/relationships/hyperlink" Target="https://pbs.twimg.com/profile_images/530071272881803264/a_jcCmPZ_normal.png" TargetMode="External"/><Relationship Id="rId14628" Type="http://schemas.openxmlformats.org/officeDocument/2006/relationships/hyperlink" Target="https://twitter.com/Insta_VWT" TargetMode="External"/><Relationship Id="rId20793" Type="http://schemas.openxmlformats.org/officeDocument/2006/relationships/hyperlink" Target="https://twitter.com/BethMasck" TargetMode="External"/><Relationship Id="rId21844" Type="http://schemas.openxmlformats.org/officeDocument/2006/relationships/hyperlink" Target="https://twitter.com/OnlineCarReview/status/724184956109344768" TargetMode="External"/><Relationship Id="rId1187" Type="http://schemas.openxmlformats.org/officeDocument/2006/relationships/hyperlink" Target="https://twitter.com/Mlitze01" TargetMode="External"/><Relationship Id="rId2585" Type="http://schemas.openxmlformats.org/officeDocument/2006/relationships/hyperlink" Target="https://twitter.com/vzbv" TargetMode="External"/><Relationship Id="rId3636" Type="http://schemas.openxmlformats.org/officeDocument/2006/relationships/hyperlink" Target="https://twitter.com/bayl/status/723166334226321408" TargetMode="External"/><Relationship Id="rId12179" Type="http://schemas.openxmlformats.org/officeDocument/2006/relationships/hyperlink" Target="https://twitter.com/_motte_/status/723514544031686656" TargetMode="External"/><Relationship Id="rId16050" Type="http://schemas.openxmlformats.org/officeDocument/2006/relationships/hyperlink" Target="https://twitter.com/emerald_Max/status/723646228941156352" TargetMode="External"/><Relationship Id="rId17101" Type="http://schemas.openxmlformats.org/officeDocument/2006/relationships/hyperlink" Target="https://pbs.twimg.com/profile_images/2586380116/image_normal.jpg" TargetMode="External"/><Relationship Id="rId20446" Type="http://schemas.openxmlformats.org/officeDocument/2006/relationships/hyperlink" Target="https://twitter.com/PodeNaoRecife" TargetMode="External"/><Relationship Id="rId557" Type="http://schemas.openxmlformats.org/officeDocument/2006/relationships/hyperlink" Target="https://pbs.twimg.com/profile_images/539558295070330880/coHy_qCB_normal.jpeg" TargetMode="External"/><Relationship Id="rId2238" Type="http://schemas.openxmlformats.org/officeDocument/2006/relationships/hyperlink" Target="https://twitter.com/Ballverteiler" TargetMode="External"/><Relationship Id="rId6859" Type="http://schemas.openxmlformats.org/officeDocument/2006/relationships/hyperlink" Target="http://dlvr.it/" TargetMode="External"/><Relationship Id="rId12660" Type="http://schemas.openxmlformats.org/officeDocument/2006/relationships/hyperlink" Target="https://twitter.com/shortymatic/status/723524748186116096" TargetMode="External"/><Relationship Id="rId13711" Type="http://schemas.openxmlformats.org/officeDocument/2006/relationships/hyperlink" Target="https://twitter.com/FierroosAlPiso" TargetMode="External"/><Relationship Id="rId19273" Type="http://schemas.openxmlformats.org/officeDocument/2006/relationships/hyperlink" Target="https://twitter.com/GuyMahomlie" TargetMode="External"/><Relationship Id="rId23669" Type="http://schemas.openxmlformats.org/officeDocument/2006/relationships/hyperlink" Target="https://twitter.com/bird_liam/status/724305312904294403" TargetMode="External"/><Relationship Id="rId8281" Type="http://schemas.openxmlformats.org/officeDocument/2006/relationships/hyperlink" Target="https://twitter.com/ralphmkk61/status/723380999095115777" TargetMode="External"/><Relationship Id="rId9332" Type="http://schemas.openxmlformats.org/officeDocument/2006/relationships/hyperlink" Target="https://pbs.twimg.com/profile_images/723155111011209216/AQ99ZkG0_normal.jpg" TargetMode="External"/><Relationship Id="rId11262" Type="http://schemas.openxmlformats.org/officeDocument/2006/relationships/hyperlink" Target="https://twitter.com/GeyersipOficial/status/723500074865586177" TargetMode="External"/><Relationship Id="rId12313" Type="http://schemas.openxmlformats.org/officeDocument/2006/relationships/hyperlink" Target="https://pbs.twimg.com/profile_images/3121139630/cf49c4a28b490fc2d785123b06e6ae84_normal.jpeg" TargetMode="External"/><Relationship Id="rId25091" Type="http://schemas.openxmlformats.org/officeDocument/2006/relationships/hyperlink" Target="https://twitter.com/GrupoAlden" TargetMode="External"/><Relationship Id="rId1321" Type="http://schemas.openxmlformats.org/officeDocument/2006/relationships/hyperlink" Target="https://pbs.twimg.com/profile_images/1756710768/image_normal.jpg" TargetMode="External"/><Relationship Id="rId4891" Type="http://schemas.openxmlformats.org/officeDocument/2006/relationships/hyperlink" Target="https://twitter.com/Lebeaucarnews/status/723189604233310209" TargetMode="External"/><Relationship Id="rId14485" Type="http://schemas.openxmlformats.org/officeDocument/2006/relationships/hyperlink" Target="https://twitter.com/todaysjobsfinde/status/723574720994529285" TargetMode="External"/><Relationship Id="rId15883" Type="http://schemas.openxmlformats.org/officeDocument/2006/relationships/hyperlink" Target="https://twitter.com/LuliiDonatucci" TargetMode="External"/><Relationship Id="rId16934" Type="http://schemas.openxmlformats.org/officeDocument/2006/relationships/hyperlink" Target="https://twitter.com/MikerHerrera/status/723751704026468353" TargetMode="External"/><Relationship Id="rId3493" Type="http://schemas.openxmlformats.org/officeDocument/2006/relationships/hyperlink" Target="https://twitter.com/HuguinVargas/status/723160552487424001" TargetMode="External"/><Relationship Id="rId4544" Type="http://schemas.openxmlformats.org/officeDocument/2006/relationships/hyperlink" Target="https://pbs.twimg.com/profile_images/722256787009859584/vkuTNBGF_normal.jpg" TargetMode="External"/><Relationship Id="rId5942" Type="http://schemas.openxmlformats.org/officeDocument/2006/relationships/hyperlink" Target="https://twitter.com/stroisila/status/723225030784651264" TargetMode="External"/><Relationship Id="rId13087" Type="http://schemas.openxmlformats.org/officeDocument/2006/relationships/hyperlink" Target="https://pbs.twimg.com/profile_images/702994065034452993/NLSWGLL1_normal.jpg" TargetMode="External"/><Relationship Id="rId14138" Type="http://schemas.openxmlformats.org/officeDocument/2006/relationships/hyperlink" Target="https://twitter.com/DuisburgAndreas/status/723564996576313344" TargetMode="External"/><Relationship Id="rId15536" Type="http://schemas.openxmlformats.org/officeDocument/2006/relationships/hyperlink" Target="https://twitter.com/OnlineCarReview/status/723611755612540929" TargetMode="External"/><Relationship Id="rId21354" Type="http://schemas.openxmlformats.org/officeDocument/2006/relationships/hyperlink" Target="https://twitter.com/DubLuvTuning/status/724143192904482816" TargetMode="External"/><Relationship Id="rId22752" Type="http://schemas.openxmlformats.org/officeDocument/2006/relationships/hyperlink" Target="https://pbs.twimg.com/profile_images/569800899141177344/nVFLMSdb_normal.png" TargetMode="External"/><Relationship Id="rId23803" Type="http://schemas.openxmlformats.org/officeDocument/2006/relationships/hyperlink" Target="https://pbs.twimg.com/profile_images/1082918340/logo_-_square_normal.PNG" TargetMode="External"/><Relationship Id="rId2095" Type="http://schemas.openxmlformats.org/officeDocument/2006/relationships/hyperlink" Target="https://twitter.com/aktionaer" TargetMode="External"/><Relationship Id="rId3146" Type="http://schemas.openxmlformats.org/officeDocument/2006/relationships/hyperlink" Target="https://twitter.com/oldcar_photo" TargetMode="External"/><Relationship Id="rId18759" Type="http://schemas.openxmlformats.org/officeDocument/2006/relationships/hyperlink" Target="https://pbs.twimg.com/profile_images/486130541037494272/gLuQGrk0_normal.jpeg" TargetMode="External"/><Relationship Id="rId21007" Type="http://schemas.openxmlformats.org/officeDocument/2006/relationships/hyperlink" Target="https://twitter.com/LybertusBarker" TargetMode="External"/><Relationship Id="rId22405" Type="http://schemas.openxmlformats.org/officeDocument/2006/relationships/hyperlink" Target="https://twitter.com/EHcars" TargetMode="External"/><Relationship Id="rId6369" Type="http://schemas.openxmlformats.org/officeDocument/2006/relationships/hyperlink" Target="https://pbs.twimg.com/profile_images/675630394323116032/It1YLK41_normal.jpg" TargetMode="External"/><Relationship Id="rId7767" Type="http://schemas.openxmlformats.org/officeDocument/2006/relationships/hyperlink" Target="https://twitter.com/octaviojacquet" TargetMode="External"/><Relationship Id="rId8818" Type="http://schemas.openxmlformats.org/officeDocument/2006/relationships/hyperlink" Target="https://pbs.twimg.com/profile_images/698793430357557248/N9l-eHCj_normal.jpg" TargetMode="External"/><Relationship Id="rId10748" Type="http://schemas.openxmlformats.org/officeDocument/2006/relationships/hyperlink" Target="https://twitter.com/beetlebug1938" TargetMode="External"/><Relationship Id="rId24577" Type="http://schemas.openxmlformats.org/officeDocument/2006/relationships/hyperlink" Target="https://twitter.com/VCT_Tweets/status/724373020756860928" TargetMode="External"/><Relationship Id="rId25628" Type="http://schemas.openxmlformats.org/officeDocument/2006/relationships/hyperlink" Target="https://pbs.twimg.com/profile_images/1398251675/picks-logo-huntingtonbeach_normal.png" TargetMode="External"/><Relationship Id="rId12170" Type="http://schemas.openxmlformats.org/officeDocument/2006/relationships/hyperlink" Target="https://twitter.com/iMarcuso/status/723514428067581952" TargetMode="External"/><Relationship Id="rId13221" Type="http://schemas.openxmlformats.org/officeDocument/2006/relationships/hyperlink" Target="https://twitter.com/MaryVahey" TargetMode="External"/><Relationship Id="rId16791" Type="http://schemas.openxmlformats.org/officeDocument/2006/relationships/hyperlink" Target="https://twitter.com/beto_rh6" TargetMode="External"/><Relationship Id="rId17842" Type="http://schemas.openxmlformats.org/officeDocument/2006/relationships/hyperlink" Target="https://twitter.com/VWCamperSales/status/723827788289986561" TargetMode="External"/><Relationship Id="rId23179" Type="http://schemas.openxmlformats.org/officeDocument/2006/relationships/hyperlink" Target="https://twitter.com/refineddetails" TargetMode="External"/><Relationship Id="rId2979" Type="http://schemas.openxmlformats.org/officeDocument/2006/relationships/hyperlink" Target="https://twitter.com/romboke" TargetMode="External"/><Relationship Id="rId6850" Type="http://schemas.openxmlformats.org/officeDocument/2006/relationships/hyperlink" Target="https://pbs.twimg.com/profile_images/3335310525/93b5f9ca89c3b7590d5d27f05177b496_normal.jpeg" TargetMode="External"/><Relationship Id="rId7901" Type="http://schemas.openxmlformats.org/officeDocument/2006/relationships/hyperlink" Target="https://twitter.com/VolkswagenPost" TargetMode="External"/><Relationship Id="rId15393" Type="http://schemas.openxmlformats.org/officeDocument/2006/relationships/hyperlink" Target="https://pbs.twimg.com/profile_images/3568153380/ec6619b2af81970e1f5c05c8948ac893_normal.png" TargetMode="External"/><Relationship Id="rId16444" Type="http://schemas.openxmlformats.org/officeDocument/2006/relationships/hyperlink" Target="https://twitter.com/ShinyCordoba" TargetMode="External"/><Relationship Id="rId23660" Type="http://schemas.openxmlformats.org/officeDocument/2006/relationships/hyperlink" Target="https://twitter.com/VWBeetleSales" TargetMode="External"/><Relationship Id="rId24711" Type="http://schemas.openxmlformats.org/officeDocument/2006/relationships/hyperlink" Target="https://twitter.com/FuscaWorld/status/724385082404929536" TargetMode="External"/><Relationship Id="rId201" Type="http://schemas.openxmlformats.org/officeDocument/2006/relationships/hyperlink" Target="https://pbs.twimg.com/profile_images/1610421423/Image2_normal.jpg" TargetMode="External"/><Relationship Id="rId5452" Type="http://schemas.openxmlformats.org/officeDocument/2006/relationships/hyperlink" Target="https://twitter.com/akfullerton" TargetMode="External"/><Relationship Id="rId6503" Type="http://schemas.openxmlformats.org/officeDocument/2006/relationships/hyperlink" Target="https://twitter.com/g_jacobsohn/status/723244958581415936" TargetMode="External"/><Relationship Id="rId15046" Type="http://schemas.openxmlformats.org/officeDocument/2006/relationships/hyperlink" Target="https://pbs.twimg.com/profile_images/608059787474018305/JaYlRabK_normal.jpg" TargetMode="External"/><Relationship Id="rId22262" Type="http://schemas.openxmlformats.org/officeDocument/2006/relationships/hyperlink" Target="https://pbs.twimg.com/profile_images/1610421423/Image2_normal.jpg" TargetMode="External"/><Relationship Id="rId23313" Type="http://schemas.openxmlformats.org/officeDocument/2006/relationships/hyperlink" Target="https://pbs.twimg.com/profile_images/672878354127839232/M7OYc-zx_normal.jpg" TargetMode="External"/><Relationship Id="rId4054" Type="http://schemas.openxmlformats.org/officeDocument/2006/relationships/hyperlink" Target="https://twitter.com/KPRC2" TargetMode="External"/><Relationship Id="rId5105" Type="http://schemas.openxmlformats.org/officeDocument/2006/relationships/hyperlink" Target="https://pbs.twimg.com/profile_images/572482317193474048/RjdWJzV5_normal.png" TargetMode="External"/><Relationship Id="rId8675" Type="http://schemas.openxmlformats.org/officeDocument/2006/relationships/hyperlink" Target="https://twitter.com/MarkCSchneider" TargetMode="External"/><Relationship Id="rId9726" Type="http://schemas.openxmlformats.org/officeDocument/2006/relationships/hyperlink" Target="https://twitter.com/nextmarkets_de" TargetMode="External"/><Relationship Id="rId18269" Type="http://schemas.openxmlformats.org/officeDocument/2006/relationships/hyperlink" Target="https://twitter.com/crewevw/status/723858976253849600" TargetMode="External"/><Relationship Id="rId19667" Type="http://schemas.openxmlformats.org/officeDocument/2006/relationships/hyperlink" Target="https://twitter.com/wob_zwoelfter/status/723946294767706112" TargetMode="External"/><Relationship Id="rId25485" Type="http://schemas.openxmlformats.org/officeDocument/2006/relationships/hyperlink" Target="https://pbs.twimg.com/profile_images/684898279880929280/ygGjNMH2_normal.jpg" TargetMode="External"/><Relationship Id="rId7277" Type="http://schemas.openxmlformats.org/officeDocument/2006/relationships/hyperlink" Target="https://pbs.twimg.com/profile_images/708375664320188417/o-lrGfEy_normal.jpg" TargetMode="External"/><Relationship Id="rId8328" Type="http://schemas.openxmlformats.org/officeDocument/2006/relationships/hyperlink" Target="https://abs.twimg.com/sticky/default_profile_images/default_profile_0_normal.png" TargetMode="External"/><Relationship Id="rId11656" Type="http://schemas.openxmlformats.org/officeDocument/2006/relationships/hyperlink" Target="https://twitter.com/JAdeJong12/status/723505123897544705" TargetMode="External"/><Relationship Id="rId12707" Type="http://schemas.openxmlformats.org/officeDocument/2006/relationships/hyperlink" Target="https://twitter.com/VroomInfos" TargetMode="External"/><Relationship Id="rId24087" Type="http://schemas.openxmlformats.org/officeDocument/2006/relationships/hyperlink" Target="https://twitter.com/McDonaldWorley/status/724331585084903424" TargetMode="External"/><Relationship Id="rId25138" Type="http://schemas.openxmlformats.org/officeDocument/2006/relationships/hyperlink" Target="https://twitter.com/cmsGOMEX" TargetMode="External"/><Relationship Id="rId1715" Type="http://schemas.openxmlformats.org/officeDocument/2006/relationships/hyperlink" Target="https://pbs.twimg.com/profile_images/649519091892531200/gFXmbSPM_normal.jpg" TargetMode="External"/><Relationship Id="rId10258" Type="http://schemas.openxmlformats.org/officeDocument/2006/relationships/hyperlink" Target="https://pbs.twimg.com/profile_images/718820712757215233/LXXndPTS_normal.jpg" TargetMode="External"/><Relationship Id="rId11309" Type="http://schemas.openxmlformats.org/officeDocument/2006/relationships/hyperlink" Target="https://pbs.twimg.com/profile_images/622908582086987779/PlpMXHEK_normal.jpg" TargetMode="External"/><Relationship Id="rId14879" Type="http://schemas.openxmlformats.org/officeDocument/2006/relationships/hyperlink" Target="http://driving-tests.ca/" TargetMode="External"/><Relationship Id="rId18750" Type="http://schemas.openxmlformats.org/officeDocument/2006/relationships/hyperlink" Target="https://pbs.twimg.com/profile_images/424893967197433858/iQ86NktX_normal.jpeg" TargetMode="External"/><Relationship Id="rId19801" Type="http://schemas.openxmlformats.org/officeDocument/2006/relationships/hyperlink" Target="https://twitter.com/VWCamperSales" TargetMode="External"/><Relationship Id="rId3887" Type="http://schemas.openxmlformats.org/officeDocument/2006/relationships/hyperlink" Target="https://pbs.twimg.com/profile_images/476894592051056640/bqGCxWkq_normal.jpeg" TargetMode="External"/><Relationship Id="rId4938" Type="http://schemas.openxmlformats.org/officeDocument/2006/relationships/hyperlink" Target="https://twitter.com/Cati_Economia/status/723190801908568064" TargetMode="External"/><Relationship Id="rId17352" Type="http://schemas.openxmlformats.org/officeDocument/2006/relationships/hyperlink" Target="https://twitter.com/Braulio_Urresti" TargetMode="External"/><Relationship Id="rId18403" Type="http://schemas.openxmlformats.org/officeDocument/2006/relationships/hyperlink" Target="https://twitter.com/vwgroup_de/status/723867103741222920" TargetMode="External"/><Relationship Id="rId20697" Type="http://schemas.openxmlformats.org/officeDocument/2006/relationships/hyperlink" Target="https://pbs.twimg.com/profile_images/723014771990224896/-68FTkKq_normal.jpg" TargetMode="External"/><Relationship Id="rId21748" Type="http://schemas.openxmlformats.org/officeDocument/2006/relationships/hyperlink" Target="https://twitter.com/derPaddy" TargetMode="External"/><Relationship Id="rId2489" Type="http://schemas.openxmlformats.org/officeDocument/2006/relationships/hyperlink" Target="https://twitter.com/treibholzfilm" TargetMode="External"/><Relationship Id="rId6360" Type="http://schemas.openxmlformats.org/officeDocument/2006/relationships/hyperlink" Target="https://pbs.twimg.com/profile_images/476661008811847680/VZBVGPU4_normal.jpeg" TargetMode="External"/><Relationship Id="rId7411" Type="http://schemas.openxmlformats.org/officeDocument/2006/relationships/hyperlink" Target="https://pbs.twimg.com/profile_images/653637535545995264/gHuXQ5Bt_normal.jpg" TargetMode="External"/><Relationship Id="rId17005" Type="http://schemas.openxmlformats.org/officeDocument/2006/relationships/hyperlink" Target="https://twitter.com/Ruchser" TargetMode="External"/><Relationship Id="rId23170" Type="http://schemas.openxmlformats.org/officeDocument/2006/relationships/hyperlink" Target="https://twitter.com/What_Danni_Did" TargetMode="External"/><Relationship Id="rId24221" Type="http://schemas.openxmlformats.org/officeDocument/2006/relationships/hyperlink" Target="https://pbs.twimg.com/profile_images/480741315341459456/dzsCO_A6_normal.jpeg" TargetMode="External"/><Relationship Id="rId2970" Type="http://schemas.openxmlformats.org/officeDocument/2006/relationships/hyperlink" Target="https://twitter.com/MaxDecker67" TargetMode="External"/><Relationship Id="rId6013" Type="http://schemas.openxmlformats.org/officeDocument/2006/relationships/hyperlink" Target="https://twitter.com/VWBeetleSales" TargetMode="External"/><Relationship Id="rId9583" Type="http://schemas.openxmlformats.org/officeDocument/2006/relationships/hyperlink" Target="http://dlvr.it/" TargetMode="External"/><Relationship Id="rId12564" Type="http://schemas.openxmlformats.org/officeDocument/2006/relationships/hyperlink" Target="https://twitter.com/HuebschenH/status/723522594914349056" TargetMode="External"/><Relationship Id="rId13962" Type="http://schemas.openxmlformats.org/officeDocument/2006/relationships/hyperlink" Target="https://twitter.com/Sufiy" TargetMode="External"/><Relationship Id="rId19177" Type="http://schemas.openxmlformats.org/officeDocument/2006/relationships/hyperlink" Target="https://twitter.com/_sea_fox_/status/723921982174171137" TargetMode="External"/><Relationship Id="rId942" Type="http://schemas.openxmlformats.org/officeDocument/2006/relationships/hyperlink" Target="https://twitter.com/dreamgolfjob/status/723005349607968768" TargetMode="External"/><Relationship Id="rId1572" Type="http://schemas.openxmlformats.org/officeDocument/2006/relationships/hyperlink" Target="https://twitter.com/NDRinfo/status/723047371077234688" TargetMode="External"/><Relationship Id="rId2623" Type="http://schemas.openxmlformats.org/officeDocument/2006/relationships/hyperlink" Target="https://twitter.com/lovemyclassic/status/723109683884527616" TargetMode="External"/><Relationship Id="rId8185" Type="http://schemas.openxmlformats.org/officeDocument/2006/relationships/hyperlink" Target="https://twitter.com/RFN19/status/723375057330835456" TargetMode="External"/><Relationship Id="rId9236" Type="http://schemas.openxmlformats.org/officeDocument/2006/relationships/hyperlink" Target="https://pbs.twimg.com/profile_images/694104559229243392/gP-hYBim_normal.png" TargetMode="External"/><Relationship Id="rId11166" Type="http://schemas.openxmlformats.org/officeDocument/2006/relationships/hyperlink" Target="https://twitter.com/vwpress_de" TargetMode="External"/><Relationship Id="rId12217" Type="http://schemas.openxmlformats.org/officeDocument/2006/relationships/hyperlink" Target="https://twitter.com/TimoEssner" TargetMode="External"/><Relationship Id="rId13615" Type="http://schemas.openxmlformats.org/officeDocument/2006/relationships/hyperlink" Target="https://twitter.com/BWResearch/status/723551695804993536" TargetMode="External"/><Relationship Id="rId20831" Type="http://schemas.openxmlformats.org/officeDocument/2006/relationships/hyperlink" Target="https://twitter.com/PicadasArg/status/724048587416567808" TargetMode="External"/><Relationship Id="rId1225" Type="http://schemas.openxmlformats.org/officeDocument/2006/relationships/hyperlink" Target="https://pbs.twimg.com/profile_images/573472540397584384/QBM3YPvp_normal.jpeg" TargetMode="External"/><Relationship Id="rId15787" Type="http://schemas.openxmlformats.org/officeDocument/2006/relationships/hyperlink" Target="https://pbs.twimg.com/profile_images/464510596256264192/jlJphn9d_normal.jpeg" TargetMode="External"/><Relationship Id="rId16838" Type="http://schemas.openxmlformats.org/officeDocument/2006/relationships/hyperlink" Target="https://pbs.twimg.com/profile_images/466206973327716354/B-Lh-ibm_normal.png" TargetMode="External"/><Relationship Id="rId3397" Type="http://schemas.openxmlformats.org/officeDocument/2006/relationships/hyperlink" Target="https://pbs.twimg.com/profile_images/714185931406852096/-RUhTa30_normal.jpg" TargetMode="External"/><Relationship Id="rId4795" Type="http://schemas.openxmlformats.org/officeDocument/2006/relationships/hyperlink" Target="https://twitter.com/ramona2382" TargetMode="External"/><Relationship Id="rId5846" Type="http://schemas.openxmlformats.org/officeDocument/2006/relationships/hyperlink" Target="https://twitter.com/ahmedhaltas/status/723219845580464128" TargetMode="External"/><Relationship Id="rId14389" Type="http://schemas.openxmlformats.org/officeDocument/2006/relationships/hyperlink" Target="https://twitter.com/beetlebug1938/status/723573154791206912" TargetMode="External"/><Relationship Id="rId18260" Type="http://schemas.openxmlformats.org/officeDocument/2006/relationships/hyperlink" Target="http://dlvr.it/" TargetMode="External"/><Relationship Id="rId19311" Type="http://schemas.openxmlformats.org/officeDocument/2006/relationships/hyperlink" Target="https://pbs.twimg.com/profile_images/615493650785660928/XHUh6HOk_normal.jpg" TargetMode="External"/><Relationship Id="rId22656" Type="http://schemas.openxmlformats.org/officeDocument/2006/relationships/hyperlink" Target="https://pbs.twimg.com/profile_images/1566466190/socialmedia07_100_normal.jpg" TargetMode="External"/><Relationship Id="rId23707" Type="http://schemas.openxmlformats.org/officeDocument/2006/relationships/hyperlink" Target="https://pbs.twimg.com/profile_images/718820712757215233/LXXndPTS_normal.jpg" TargetMode="External"/><Relationship Id="rId4448" Type="http://schemas.openxmlformats.org/officeDocument/2006/relationships/hyperlink" Target="https://pbs.twimg.com/profile_images/3728372457/d25cb856aa9642e9a22278b90fefb04a_normal.jpeg" TargetMode="External"/><Relationship Id="rId10999" Type="http://schemas.openxmlformats.org/officeDocument/2006/relationships/hyperlink" Target="https://twitter.com/LGT_Group" TargetMode="External"/><Relationship Id="rId11300" Type="http://schemas.openxmlformats.org/officeDocument/2006/relationships/hyperlink" Target="https://pbs.twimg.com/profile_images/720591880484995072/AvRSABLv_normal.jpg" TargetMode="External"/><Relationship Id="rId14870" Type="http://schemas.openxmlformats.org/officeDocument/2006/relationships/hyperlink" Target="http://dlvr.it/" TargetMode="External"/><Relationship Id="rId15921" Type="http://schemas.openxmlformats.org/officeDocument/2006/relationships/hyperlink" Target="http://ctrlq.org/maps/address/" TargetMode="External"/><Relationship Id="rId21258" Type="http://schemas.openxmlformats.org/officeDocument/2006/relationships/hyperlink" Target="https://twitter.com/beetlebug1938/status/724133138486702080" TargetMode="External"/><Relationship Id="rId22309" Type="http://schemas.openxmlformats.org/officeDocument/2006/relationships/hyperlink" Target="https://twitter.com/VCT_Tweets" TargetMode="External"/><Relationship Id="rId13472" Type="http://schemas.openxmlformats.org/officeDocument/2006/relationships/hyperlink" Target="https://twitter.com/VolkswagenPost" TargetMode="External"/><Relationship Id="rId14523" Type="http://schemas.openxmlformats.org/officeDocument/2006/relationships/hyperlink" Target="https://twitter.com/DubLuvTuning" TargetMode="External"/><Relationship Id="rId2480" Type="http://schemas.openxmlformats.org/officeDocument/2006/relationships/hyperlink" Target="https://twitter.com/businessanglr/status/723102737479700480" TargetMode="External"/><Relationship Id="rId3531" Type="http://schemas.openxmlformats.org/officeDocument/2006/relationships/hyperlink" Target="https://twitter.com/franz_rother" TargetMode="External"/><Relationship Id="rId9093" Type="http://schemas.openxmlformats.org/officeDocument/2006/relationships/hyperlink" Target="https://pbs.twimg.com/profile_images/721039070735024129/Tv1GGMI0_normal.jpg" TargetMode="External"/><Relationship Id="rId12074" Type="http://schemas.openxmlformats.org/officeDocument/2006/relationships/hyperlink" Target="https://twitter.com/LupusLotarius/status/723512719727415297" TargetMode="External"/><Relationship Id="rId13125" Type="http://schemas.openxmlformats.org/officeDocument/2006/relationships/hyperlink" Target="https://pbs.twimg.com/profile_images/708329750637449216/uR4EbyqZ_normal.jpg" TargetMode="External"/><Relationship Id="rId16695" Type="http://schemas.openxmlformats.org/officeDocument/2006/relationships/hyperlink" Target="https://twitter.com/beetlebug1938/status/723710586723405828" TargetMode="External"/><Relationship Id="rId20341" Type="http://schemas.openxmlformats.org/officeDocument/2006/relationships/hyperlink" Target="http://dlvr.it/" TargetMode="External"/><Relationship Id="rId452" Type="http://schemas.openxmlformats.org/officeDocument/2006/relationships/hyperlink" Target="https://twitter.com/MarcosOmr" TargetMode="External"/><Relationship Id="rId1082" Type="http://schemas.openxmlformats.org/officeDocument/2006/relationships/hyperlink" Target="https://pbs.twimg.com/profile_images/581304253232222209/xA9FxzU4_normal.jpg" TargetMode="External"/><Relationship Id="rId2133" Type="http://schemas.openxmlformats.org/officeDocument/2006/relationships/hyperlink" Target="https://pbs.twimg.com/profile_images/1878103165/forge_logo_normal.jpg" TargetMode="External"/><Relationship Id="rId6754" Type="http://schemas.openxmlformats.org/officeDocument/2006/relationships/hyperlink" Target="https://twitter.com/drivingsales" TargetMode="External"/><Relationship Id="rId7805" Type="http://schemas.openxmlformats.org/officeDocument/2006/relationships/hyperlink" Target="https://pbs.twimg.com/profile_images/704174029339492352/-KjmsJXJ_normal.jpg" TargetMode="External"/><Relationship Id="rId15297" Type="http://schemas.openxmlformats.org/officeDocument/2006/relationships/hyperlink" Target="https://pbs.twimg.com/profile_images/500280765914312705/sN4HDIN-_normal.jpeg" TargetMode="External"/><Relationship Id="rId16348" Type="http://schemas.openxmlformats.org/officeDocument/2006/relationships/hyperlink" Target="https://twitter.com/Omaruberto" TargetMode="External"/><Relationship Id="rId17746" Type="http://schemas.openxmlformats.org/officeDocument/2006/relationships/hyperlink" Target="https://twitter.com/tytanic727" TargetMode="External"/><Relationship Id="rId23564" Type="http://schemas.openxmlformats.org/officeDocument/2006/relationships/hyperlink" Target="https://twitter.com/VWCamperSales/status/724297274772185090" TargetMode="External"/><Relationship Id="rId24962" Type="http://schemas.openxmlformats.org/officeDocument/2006/relationships/hyperlink" Target="https://pbs.twimg.com/profile_images/714624729546637312/sXuLHNCU_normal.jpg" TargetMode="External"/><Relationship Id="rId105" Type="http://schemas.openxmlformats.org/officeDocument/2006/relationships/hyperlink" Target="https://twitter.com/chriscostner" TargetMode="External"/><Relationship Id="rId5356" Type="http://schemas.openxmlformats.org/officeDocument/2006/relationships/hyperlink" Target="https://twitter.com/DiscountBomb/status/723200502209470464" TargetMode="External"/><Relationship Id="rId6407" Type="http://schemas.openxmlformats.org/officeDocument/2006/relationships/hyperlink" Target="https://pbs.twimg.com/profile_images/713406103959248896/_ekHpmrP_normal.jpg" TargetMode="External"/><Relationship Id="rId22166" Type="http://schemas.openxmlformats.org/officeDocument/2006/relationships/hyperlink" Target="https://twitter.com/Auto2day_gr" TargetMode="External"/><Relationship Id="rId23217" Type="http://schemas.openxmlformats.org/officeDocument/2006/relationships/hyperlink" Target="https://twitter.com/BAW_Fluglaerm" TargetMode="External"/><Relationship Id="rId24615" Type="http://schemas.openxmlformats.org/officeDocument/2006/relationships/hyperlink" Target="http://ctrlq.org/maps/address/" TargetMode="External"/><Relationship Id="rId5009" Type="http://schemas.openxmlformats.org/officeDocument/2006/relationships/hyperlink" Target="https://twitter.com/BFSCR" TargetMode="External"/><Relationship Id="rId8579" Type="http://schemas.openxmlformats.org/officeDocument/2006/relationships/hyperlink" Target="https://twitter.com/BettinaMayer626" TargetMode="External"/><Relationship Id="rId9977" Type="http://schemas.openxmlformats.org/officeDocument/2006/relationships/hyperlink" Target="https://twitter.com/SophiaOtto/status/723456713349836800" TargetMode="External"/><Relationship Id="rId12958" Type="http://schemas.openxmlformats.org/officeDocument/2006/relationships/hyperlink" Target="https://twitter.com/OnlineCarReview/status/723532264357797888" TargetMode="External"/><Relationship Id="rId1966" Type="http://schemas.openxmlformats.org/officeDocument/2006/relationships/hyperlink" Target="https://twitter.com/deutch_az/status/723070445252005888" TargetMode="External"/><Relationship Id="rId14380" Type="http://schemas.openxmlformats.org/officeDocument/2006/relationships/hyperlink" Target="https://twitter.com/beetlebug1938/status/723573127037464576" TargetMode="External"/><Relationship Id="rId15431" Type="http://schemas.openxmlformats.org/officeDocument/2006/relationships/hyperlink" Target="https://twitter.com/CybermikeK/status/723607678250061829" TargetMode="External"/><Relationship Id="rId25389" Type="http://schemas.openxmlformats.org/officeDocument/2006/relationships/hyperlink" Target="https://twitter.com/FuscaWorld" TargetMode="External"/><Relationship Id="rId1619" Type="http://schemas.openxmlformats.org/officeDocument/2006/relationships/hyperlink" Target="https://twitter.com/Drey_VH" TargetMode="External"/><Relationship Id="rId14033" Type="http://schemas.openxmlformats.org/officeDocument/2006/relationships/hyperlink" Target="https://twitter.com/topnews_ru_ru" TargetMode="External"/><Relationship Id="rId18654" Type="http://schemas.openxmlformats.org/officeDocument/2006/relationships/hyperlink" Target="https://twitter.com/KK_aus_K" TargetMode="External"/><Relationship Id="rId19705" Type="http://schemas.openxmlformats.org/officeDocument/2006/relationships/hyperlink" Target="https://twitter.com/beakersblog" TargetMode="External"/><Relationship Id="rId21999" Type="http://schemas.openxmlformats.org/officeDocument/2006/relationships/hyperlink" Target="https://twitter.com/beetlebug1938/status/724193488770859012" TargetMode="External"/><Relationship Id="rId22300" Type="http://schemas.openxmlformats.org/officeDocument/2006/relationships/hyperlink" Target="https://twitter.com/VeeDubMk1_" TargetMode="External"/><Relationship Id="rId3041" Type="http://schemas.openxmlformats.org/officeDocument/2006/relationships/hyperlink" Target="https://twitter.com/VWOlympia/status/723134351991541760" TargetMode="External"/><Relationship Id="rId7662" Type="http://schemas.openxmlformats.org/officeDocument/2006/relationships/hyperlink" Target="https://twitter.com/jordan_cowdery" TargetMode="External"/><Relationship Id="rId8713" Type="http://schemas.openxmlformats.org/officeDocument/2006/relationships/hyperlink" Target="https://twitter.com/VolkerVotsmeier/status/723403051780837376" TargetMode="External"/><Relationship Id="rId10643" Type="http://schemas.openxmlformats.org/officeDocument/2006/relationships/hyperlink" Target="https://twitter.com/BasraSatvinder" TargetMode="External"/><Relationship Id="rId10990" Type="http://schemas.openxmlformats.org/officeDocument/2006/relationships/hyperlink" Target="https://twitter.com/driversside" TargetMode="External"/><Relationship Id="rId17256" Type="http://schemas.openxmlformats.org/officeDocument/2006/relationships/hyperlink" Target="https://twitter.com/VWBeetleSales" TargetMode="External"/><Relationship Id="rId18307" Type="http://schemas.openxmlformats.org/officeDocument/2006/relationships/hyperlink" Target="https://twitter.com/lafeecrochete" TargetMode="External"/><Relationship Id="rId24472" Type="http://schemas.openxmlformats.org/officeDocument/2006/relationships/hyperlink" Target="https://twitter.com/TetsuoHojo" TargetMode="External"/><Relationship Id="rId25523" Type="http://schemas.openxmlformats.org/officeDocument/2006/relationships/hyperlink" Target="https://twitter.com/OnlineCarReview/status/724445301738610688" TargetMode="External"/><Relationship Id="rId6264" Type="http://schemas.openxmlformats.org/officeDocument/2006/relationships/hyperlink" Target="https://pbs.twimg.com/profile_images/627949001179037696/skEBkS05_normal.jpg" TargetMode="External"/><Relationship Id="rId7315" Type="http://schemas.openxmlformats.org/officeDocument/2006/relationships/hyperlink" Target="https://twitter.com/HighGearMedia/status/723294767841308672" TargetMode="External"/><Relationship Id="rId23074" Type="http://schemas.openxmlformats.org/officeDocument/2006/relationships/hyperlink" Target="https://twitter.com/TobiMuelhauser/status/724267775234052096" TargetMode="External"/><Relationship Id="rId24125" Type="http://schemas.openxmlformats.org/officeDocument/2006/relationships/hyperlink" Target="https://twitter.com/nomadartdesign/status/724333670979514368" TargetMode="External"/><Relationship Id="rId9487" Type="http://schemas.openxmlformats.org/officeDocument/2006/relationships/hyperlink" Target="https://twitter.com/ratingwissen" TargetMode="External"/><Relationship Id="rId13866" Type="http://schemas.openxmlformats.org/officeDocument/2006/relationships/hyperlink" Target="https://twitter.com/kev_g1/status/723557745572630528" TargetMode="External"/><Relationship Id="rId14917" Type="http://schemas.openxmlformats.org/officeDocument/2006/relationships/hyperlink" Target="https://twitter.com/SvOstrow/status/723586905032523776" TargetMode="External"/><Relationship Id="rId1476" Type="http://schemas.openxmlformats.org/officeDocument/2006/relationships/hyperlink" Target="https://twitter.com/handelsblatt" TargetMode="External"/><Relationship Id="rId2874" Type="http://schemas.openxmlformats.org/officeDocument/2006/relationships/hyperlink" Target="https://twitter.com/ae_cuellar" TargetMode="External"/><Relationship Id="rId3925" Type="http://schemas.openxmlformats.org/officeDocument/2006/relationships/hyperlink" Target="https://twitter.com/Frontal21/status/723172290247036929" TargetMode="External"/><Relationship Id="rId8089" Type="http://schemas.openxmlformats.org/officeDocument/2006/relationships/hyperlink" Target="https://pbs.twimg.com/profile_images/691967023258210304/J22K4Bad_normal.png" TargetMode="External"/><Relationship Id="rId12468" Type="http://schemas.openxmlformats.org/officeDocument/2006/relationships/hyperlink" Target="https://pbs.twimg.com/profile_images/1289359150/Xenon07.2_normal.jpg" TargetMode="External"/><Relationship Id="rId13519" Type="http://schemas.openxmlformats.org/officeDocument/2006/relationships/hyperlink" Target="https://pbs.twimg.com/profile_images/1610421423/Image2_normal.jpg" TargetMode="External"/><Relationship Id="rId20735" Type="http://schemas.openxmlformats.org/officeDocument/2006/relationships/hyperlink" Target="https://twitter.com/dani_acosta98" TargetMode="External"/><Relationship Id="rId846" Type="http://schemas.openxmlformats.org/officeDocument/2006/relationships/hyperlink" Target="https://pbs.twimg.com/profile_images/666601160581582849/wFEqPn6Y_normal.jpg" TargetMode="External"/><Relationship Id="rId1129" Type="http://schemas.openxmlformats.org/officeDocument/2006/relationships/hyperlink" Target="https://twitter.com/ThorstenRamus/status/723021187064958976" TargetMode="External"/><Relationship Id="rId2527" Type="http://schemas.openxmlformats.org/officeDocument/2006/relationships/hyperlink" Target="https://pbs.twimg.com/profile_images/3678787525/68f7625c0ddc0805d5f8b7ed0f9db98f_normal.jpeg" TargetMode="External"/><Relationship Id="rId5000" Type="http://schemas.openxmlformats.org/officeDocument/2006/relationships/hyperlink" Target="https://twitter.com/Passion_4" TargetMode="External"/><Relationship Id="rId19562" Type="http://schemas.openxmlformats.org/officeDocument/2006/relationships/hyperlink" Target="https://twitter.com/BEVENUTO" TargetMode="External"/><Relationship Id="rId23958" Type="http://schemas.openxmlformats.org/officeDocument/2006/relationships/hyperlink" Target="https://twitter.com/Mphilpot1" TargetMode="External"/><Relationship Id="rId4699" Type="http://schemas.openxmlformats.org/officeDocument/2006/relationships/hyperlink" Target="https://twitter.com/autosmartleics/status/723185646966308864" TargetMode="External"/><Relationship Id="rId8570" Type="http://schemas.openxmlformats.org/officeDocument/2006/relationships/hyperlink" Target="https://twitter.com/hedilamnna" TargetMode="External"/><Relationship Id="rId9621" Type="http://schemas.openxmlformats.org/officeDocument/2006/relationships/hyperlink" Target="https://twitter.com/CharmedJohanna" TargetMode="External"/><Relationship Id="rId11551" Type="http://schemas.openxmlformats.org/officeDocument/2006/relationships/hyperlink" Target="https://twitter.com/har155" TargetMode="External"/><Relationship Id="rId12602" Type="http://schemas.openxmlformats.org/officeDocument/2006/relationships/hyperlink" Target="https://twitter.com/w_todts" TargetMode="External"/><Relationship Id="rId18164" Type="http://schemas.openxmlformats.org/officeDocument/2006/relationships/hyperlink" Target="https://pbs.twimg.com/profile_images/723248256629788673/K_ud_lgL_normal.jpg" TargetMode="External"/><Relationship Id="rId19215" Type="http://schemas.openxmlformats.org/officeDocument/2006/relationships/hyperlink" Target="https://twitter.com/_sea_fox_" TargetMode="External"/><Relationship Id="rId25380" Type="http://schemas.openxmlformats.org/officeDocument/2006/relationships/hyperlink" Target="https://twitter.com/Fernandez_Diego" TargetMode="External"/><Relationship Id="rId1610" Type="http://schemas.openxmlformats.org/officeDocument/2006/relationships/hyperlink" Target="https://twitter.com/SNovember_TA" TargetMode="External"/><Relationship Id="rId7172" Type="http://schemas.openxmlformats.org/officeDocument/2006/relationships/hyperlink" Target="https://pbs.twimg.com/profile_images/627949001179037696/skEBkS05_normal.jpg" TargetMode="External"/><Relationship Id="rId8223" Type="http://schemas.openxmlformats.org/officeDocument/2006/relationships/hyperlink" Target="https://twitter.com/DLFNachrichten" TargetMode="External"/><Relationship Id="rId10153" Type="http://schemas.openxmlformats.org/officeDocument/2006/relationships/hyperlink" Target="https://twitter.com/AFECTADOGRUPOVW" TargetMode="External"/><Relationship Id="rId11204" Type="http://schemas.openxmlformats.org/officeDocument/2006/relationships/hyperlink" Target="https://twitter.com/AutoFacilBrasil/status/723499282578415616" TargetMode="External"/><Relationship Id="rId14774" Type="http://schemas.openxmlformats.org/officeDocument/2006/relationships/hyperlink" Target="https://twitter.com/thewonkydonkey/status/723582002809700353" TargetMode="External"/><Relationship Id="rId21990" Type="http://schemas.openxmlformats.org/officeDocument/2006/relationships/hyperlink" Target="https://twitter.com/VWCamperSales" TargetMode="External"/><Relationship Id="rId25033" Type="http://schemas.openxmlformats.org/officeDocument/2006/relationships/hyperlink" Target="https://twitter.com/dubbusses" TargetMode="External"/><Relationship Id="rId3782" Type="http://schemas.openxmlformats.org/officeDocument/2006/relationships/hyperlink" Target="https://twitter.com/ricetex" TargetMode="External"/><Relationship Id="rId4833" Type="http://schemas.openxmlformats.org/officeDocument/2006/relationships/hyperlink" Target="https://pbs.twimg.com/profile_images/532009681158295552/ubGun8Mr_normal.jpeg" TargetMode="External"/><Relationship Id="rId13376" Type="http://schemas.openxmlformats.org/officeDocument/2006/relationships/hyperlink" Target="https://twitter.com/crewevw" TargetMode="External"/><Relationship Id="rId14427" Type="http://schemas.openxmlformats.org/officeDocument/2006/relationships/hyperlink" Target="https://twitter.com/SvenMFGN" TargetMode="External"/><Relationship Id="rId15825" Type="http://schemas.openxmlformats.org/officeDocument/2006/relationships/hyperlink" Target="https://twitter.com/Ivaneze3/status/723630104165920768" TargetMode="External"/><Relationship Id="rId20592" Type="http://schemas.openxmlformats.org/officeDocument/2006/relationships/hyperlink" Target="https://pbs.twimg.com/profile_images/718835727027580928/1ssyQ67y_normal.jpg" TargetMode="External"/><Relationship Id="rId21643" Type="http://schemas.openxmlformats.org/officeDocument/2006/relationships/hyperlink" Target="https://twitter.com/BurggrabenH" TargetMode="External"/><Relationship Id="rId2384" Type="http://schemas.openxmlformats.org/officeDocument/2006/relationships/hyperlink" Target="https://twitter.com/treibholzfilm" TargetMode="External"/><Relationship Id="rId3435" Type="http://schemas.openxmlformats.org/officeDocument/2006/relationships/hyperlink" Target="https://twitter.com/9_KISHAN_9" TargetMode="External"/><Relationship Id="rId13029" Type="http://schemas.openxmlformats.org/officeDocument/2006/relationships/hyperlink" Target="https://twitter.com/Nieuwvliet" TargetMode="External"/><Relationship Id="rId17997" Type="http://schemas.openxmlformats.org/officeDocument/2006/relationships/hyperlink" Target="https://pbs.twimg.com/profile_images/718895725715787777/qYqpsLvX_normal.jpg" TargetMode="External"/><Relationship Id="rId20245" Type="http://schemas.openxmlformats.org/officeDocument/2006/relationships/hyperlink" Target="https://twitter.com/Yellow_Car_Shop" TargetMode="External"/><Relationship Id="rId356" Type="http://schemas.openxmlformats.org/officeDocument/2006/relationships/hyperlink" Target="https://twitter.com/beetlebug1938" TargetMode="External"/><Relationship Id="rId2037" Type="http://schemas.openxmlformats.org/officeDocument/2006/relationships/hyperlink" Target="https://pbs.twimg.com/profile_images/703294545195307008/qeCvrX86_normal.jpg" TargetMode="External"/><Relationship Id="rId6658" Type="http://schemas.openxmlformats.org/officeDocument/2006/relationships/hyperlink" Target="https://pbs.twimg.com/profile_images/3283121959/b5c820a7a4b0a9ae6910b041a8979cb9_normal.jpeg" TargetMode="External"/><Relationship Id="rId16599" Type="http://schemas.openxmlformats.org/officeDocument/2006/relationships/hyperlink" Target="https://pbs.twimg.com/profile_images/721822581955891200/hEjNAXrW_normal.jpg" TargetMode="External"/><Relationship Id="rId19072" Type="http://schemas.openxmlformats.org/officeDocument/2006/relationships/hyperlink" Target="https://twitter.com/brankocovic" TargetMode="External"/><Relationship Id="rId24866" Type="http://schemas.openxmlformats.org/officeDocument/2006/relationships/hyperlink" Target="https://twitter.com/steve_ath" TargetMode="External"/><Relationship Id="rId7709" Type="http://schemas.openxmlformats.org/officeDocument/2006/relationships/hyperlink" Target="https://twitter.com/Ryan_Rudolph" TargetMode="External"/><Relationship Id="rId8080" Type="http://schemas.openxmlformats.org/officeDocument/2006/relationships/hyperlink" Target="https://pbs.twimg.com/profile_images/378800000572104796/1de43e1cf23efb3f4101c02afad0d3b6_normal.png" TargetMode="External"/><Relationship Id="rId9131" Type="http://schemas.openxmlformats.org/officeDocument/2006/relationships/hyperlink" Target="https://twitter.com/NegroAutomobili" TargetMode="External"/><Relationship Id="rId13510" Type="http://schemas.openxmlformats.org/officeDocument/2006/relationships/hyperlink" Target="https://pbs.twimg.com/profile_images/667072958024843264/7NnQtwt9_normal.jpg" TargetMode="External"/><Relationship Id="rId23468" Type="http://schemas.openxmlformats.org/officeDocument/2006/relationships/hyperlink" Target="https://pbs.twimg.com/profile_images/3728536184/f8618f162b51e72519303cccedbec92b_normal.jpeg" TargetMode="External"/><Relationship Id="rId24519" Type="http://schemas.openxmlformats.org/officeDocument/2006/relationships/hyperlink" Target="https://twitter.com/beetlebug1938" TargetMode="External"/><Relationship Id="rId11061" Type="http://schemas.openxmlformats.org/officeDocument/2006/relationships/hyperlink" Target="https://pbs.twimg.com/profile_images/510566795435311104/qsgDiZKO_normal.jpeg" TargetMode="External"/><Relationship Id="rId12112" Type="http://schemas.openxmlformats.org/officeDocument/2006/relationships/hyperlink" Target="https://pbs.twimg.com/profile_images/614230691044265984/Wocs5ZQz_normal.jpg" TargetMode="External"/><Relationship Id="rId15682" Type="http://schemas.openxmlformats.org/officeDocument/2006/relationships/hyperlink" Target="https://twitter.com/orafolwraps/status/723620199220580352" TargetMode="External"/><Relationship Id="rId16733" Type="http://schemas.openxmlformats.org/officeDocument/2006/relationships/hyperlink" Target="https://twitter.com/DubLuvTuning" TargetMode="External"/><Relationship Id="rId1120" Type="http://schemas.openxmlformats.org/officeDocument/2006/relationships/hyperlink" Target="https://twitter.com/Ryan911T/status/723021104588165120" TargetMode="External"/><Relationship Id="rId4690" Type="http://schemas.openxmlformats.org/officeDocument/2006/relationships/hyperlink" Target="https://twitter.com/OntarioCanuck/status/723185509065846784" TargetMode="External"/><Relationship Id="rId5741" Type="http://schemas.openxmlformats.org/officeDocument/2006/relationships/hyperlink" Target="https://twitter.com/bvdvliet" TargetMode="External"/><Relationship Id="rId14284" Type="http://schemas.openxmlformats.org/officeDocument/2006/relationships/hyperlink" Target="https://twitter.com/VolkswagenPost" TargetMode="External"/><Relationship Id="rId15335" Type="http://schemas.openxmlformats.org/officeDocument/2006/relationships/hyperlink" Target="https://twitter.com/GraLacey" TargetMode="External"/><Relationship Id="rId22551" Type="http://schemas.openxmlformats.org/officeDocument/2006/relationships/hyperlink" Target="https://twitter.com/VWDRC/status/724229229508853760" TargetMode="External"/><Relationship Id="rId23602" Type="http://schemas.openxmlformats.org/officeDocument/2006/relationships/hyperlink" Target="https://twitter.com/mamulavaca/status/724298588067483648" TargetMode="External"/><Relationship Id="rId3292" Type="http://schemas.openxmlformats.org/officeDocument/2006/relationships/hyperlink" Target="http://dlvr.it/" TargetMode="External"/><Relationship Id="rId4343" Type="http://schemas.openxmlformats.org/officeDocument/2006/relationships/hyperlink" Target="http://dlvr.it/" TargetMode="External"/><Relationship Id="rId8964" Type="http://schemas.openxmlformats.org/officeDocument/2006/relationships/hyperlink" Target="https://twitter.com/MiManske/status/723413195877023744" TargetMode="External"/><Relationship Id="rId18558" Type="http://schemas.openxmlformats.org/officeDocument/2006/relationships/hyperlink" Target="https://pbs.twimg.com/profile_images/561650835038298112/jX4E_neH_normal.jpeg" TargetMode="External"/><Relationship Id="rId19956" Type="http://schemas.openxmlformats.org/officeDocument/2006/relationships/hyperlink" Target="https://pbs.twimg.com/profile_images/692558623059415041/wLucfN4M_normal.jpg" TargetMode="External"/><Relationship Id="rId21153" Type="http://schemas.openxmlformats.org/officeDocument/2006/relationships/hyperlink" Target="https://twitter.com/weare_van/status/724114873622401024" TargetMode="External"/><Relationship Id="rId22204" Type="http://schemas.openxmlformats.org/officeDocument/2006/relationships/hyperlink" Target="https://pbs.twimg.com/profile_images/718820712757215233/LXXndPTS_normal.jpg" TargetMode="External"/><Relationship Id="rId7566" Type="http://schemas.openxmlformats.org/officeDocument/2006/relationships/hyperlink" Target="https://twitter.com/rigogereon" TargetMode="External"/><Relationship Id="rId8617" Type="http://schemas.openxmlformats.org/officeDocument/2006/relationships/hyperlink" Target="https://pbs.twimg.com/profile_images/706519560221036546/fcl3hDQu_normal.jpg" TargetMode="External"/><Relationship Id="rId10894" Type="http://schemas.openxmlformats.org/officeDocument/2006/relationships/hyperlink" Target="https://twitter.com/EditorDavePerry/status/723489438316163073" TargetMode="External"/><Relationship Id="rId11945" Type="http://schemas.openxmlformats.org/officeDocument/2006/relationships/hyperlink" Target="https://twitter.com/nicolasosfantom" TargetMode="External"/><Relationship Id="rId19609" Type="http://schemas.openxmlformats.org/officeDocument/2006/relationships/hyperlink" Target="https://pbs.twimg.com/profile_images/722201032479088641/gDpR-6wN_normal.jpg" TargetMode="External"/><Relationship Id="rId24376" Type="http://schemas.openxmlformats.org/officeDocument/2006/relationships/hyperlink" Target="https://pbs.twimg.com/profile_images/718835727027580928/1ssyQ67y_normal.jpg" TargetMode="External"/><Relationship Id="rId25427" Type="http://schemas.openxmlformats.org/officeDocument/2006/relationships/hyperlink" Target="https://twitter.com/vickymotorserv1/status/724438237305950208" TargetMode="External"/><Relationship Id="rId6168" Type="http://schemas.openxmlformats.org/officeDocument/2006/relationships/hyperlink" Target="https://twitter.com/VWCamperSales" TargetMode="External"/><Relationship Id="rId7219" Type="http://schemas.openxmlformats.org/officeDocument/2006/relationships/hyperlink" Target="https://twitter.com/VWBeetleSales" TargetMode="External"/><Relationship Id="rId10547" Type="http://schemas.openxmlformats.org/officeDocument/2006/relationships/hyperlink" Target="https://pbs.twimg.com/profile_images/716592983580106752/gTYFLolH_normal.jpg" TargetMode="External"/><Relationship Id="rId13020" Type="http://schemas.openxmlformats.org/officeDocument/2006/relationships/hyperlink" Target="https://twitter.com/angulosiete/status/723533505087430656" TargetMode="External"/><Relationship Id="rId24029" Type="http://schemas.openxmlformats.org/officeDocument/2006/relationships/hyperlink" Target="https://twitter.com/marcus_philipp1/status/724327386825678848" TargetMode="External"/><Relationship Id="rId16590" Type="http://schemas.openxmlformats.org/officeDocument/2006/relationships/hyperlink" Target="https://pbs.twimg.com/profile_images/2646835465/aa5823578b01b04b7e91d58e8ca88691_normal.jpeg" TargetMode="External"/><Relationship Id="rId17641" Type="http://schemas.openxmlformats.org/officeDocument/2006/relationships/hyperlink" Target="https://twitter.com/lutonphoto/status/723812583673753600" TargetMode="External"/><Relationship Id="rId20986" Type="http://schemas.openxmlformats.org/officeDocument/2006/relationships/hyperlink" Target="https://twitter.com/oldcar_photo" TargetMode="External"/><Relationship Id="rId2778" Type="http://schemas.openxmlformats.org/officeDocument/2006/relationships/hyperlink" Target="https://twitter.com/zdmak/status/723118654649327616" TargetMode="External"/><Relationship Id="rId3829" Type="http://schemas.openxmlformats.org/officeDocument/2006/relationships/hyperlink" Target="https://pbs.twimg.com/profile_images/3228351590/aadb36f2b020cc27adac139aac4a5663_normal.jpeg" TargetMode="External"/><Relationship Id="rId7700" Type="http://schemas.openxmlformats.org/officeDocument/2006/relationships/hyperlink" Target="https://twitter.com/Sandy_Tang_Ge" TargetMode="External"/><Relationship Id="rId15192" Type="http://schemas.openxmlformats.org/officeDocument/2006/relationships/hyperlink" Target="https://twitter.com/KINGDONALDTRUM1" TargetMode="External"/><Relationship Id="rId16243" Type="http://schemas.openxmlformats.org/officeDocument/2006/relationships/hyperlink" Target="https://pbs.twimg.com/profile_images/700934646029279232/ZBynIyxT_normal.jpg" TargetMode="External"/><Relationship Id="rId20639" Type="http://schemas.openxmlformats.org/officeDocument/2006/relationships/hyperlink" Target="https://twitter.com/CarterVW/status/724018018590711808" TargetMode="External"/><Relationship Id="rId24510" Type="http://schemas.openxmlformats.org/officeDocument/2006/relationships/hyperlink" Target="https://twitter.com/beetlebug1938" TargetMode="External"/><Relationship Id="rId5251" Type="http://schemas.openxmlformats.org/officeDocument/2006/relationships/hyperlink" Target="https://twitter.com/TomsBrinkis/status/723198574398451712" TargetMode="External"/><Relationship Id="rId6302" Type="http://schemas.openxmlformats.org/officeDocument/2006/relationships/hyperlink" Target="https://twitter.com/UrsulaZerilli" TargetMode="External"/><Relationship Id="rId9872" Type="http://schemas.openxmlformats.org/officeDocument/2006/relationships/hyperlink" Target="https://pbs.twimg.com/profile_images/680251329592344576/lnXUGVBa_normal.jpg" TargetMode="External"/><Relationship Id="rId12853" Type="http://schemas.openxmlformats.org/officeDocument/2006/relationships/hyperlink" Target="https://pbs.twimg.com/profile_images/3130668484/8256e38de6a2fd23e31d002a5338ce8c_normal.png" TargetMode="External"/><Relationship Id="rId19466" Type="http://schemas.openxmlformats.org/officeDocument/2006/relationships/hyperlink" Target="https://pbs.twimg.com/profile_images/475726558120775680/ogymSgLG_normal.jpeg" TargetMode="External"/><Relationship Id="rId22061" Type="http://schemas.openxmlformats.org/officeDocument/2006/relationships/hyperlink" Target="https://twitter.com/VeeDubMk1_/status/724198339005263872" TargetMode="External"/><Relationship Id="rId23112" Type="http://schemas.openxmlformats.org/officeDocument/2006/relationships/hyperlink" Target="https://twitter.com/beetlebug1938/status/724269083265523712" TargetMode="External"/><Relationship Id="rId86" Type="http://schemas.openxmlformats.org/officeDocument/2006/relationships/hyperlink" Target="https://twitter.com/andrewsduncan1/status/722923775516405760" TargetMode="External"/><Relationship Id="rId1861" Type="http://schemas.openxmlformats.org/officeDocument/2006/relationships/hyperlink" Target="http://instock.de/" TargetMode="External"/><Relationship Id="rId2912" Type="http://schemas.openxmlformats.org/officeDocument/2006/relationships/hyperlink" Target="https://pbs.twimg.com/profile_images/669116837360246784/ej1M5xaG_normal.jpg" TargetMode="External"/><Relationship Id="rId8474" Type="http://schemas.openxmlformats.org/officeDocument/2006/relationships/hyperlink" Target="https://twitter.com/RodionMarx" TargetMode="External"/><Relationship Id="rId9525" Type="http://schemas.openxmlformats.org/officeDocument/2006/relationships/hyperlink" Target="https://pbs.twimg.com/profile_images/698905236400795648/bYJ_fyQI_normal.jpg" TargetMode="External"/><Relationship Id="rId11455" Type="http://schemas.openxmlformats.org/officeDocument/2006/relationships/hyperlink" Target="https://twitter.com/johannesh__" TargetMode="External"/><Relationship Id="rId12506" Type="http://schemas.openxmlformats.org/officeDocument/2006/relationships/hyperlink" Target="https://twitter.com/Frauimspiegel/status/723521161515139072" TargetMode="External"/><Relationship Id="rId13904" Type="http://schemas.openxmlformats.org/officeDocument/2006/relationships/hyperlink" Target="https://pbs.twimg.com/profile_images/473868164984365056/f4BwccpT_normal.jpeg" TargetMode="External"/><Relationship Id="rId18068" Type="http://schemas.openxmlformats.org/officeDocument/2006/relationships/hyperlink" Target="https://twitter.com/indianautos" TargetMode="External"/><Relationship Id="rId19119" Type="http://schemas.openxmlformats.org/officeDocument/2006/relationships/hyperlink" Target="https://twitter.com/Mayerllssernac" TargetMode="External"/><Relationship Id="rId25284" Type="http://schemas.openxmlformats.org/officeDocument/2006/relationships/hyperlink" Target="https://pbs.twimg.com/profile_images/694394292006195201/Qa7B-MvI_normal.jpg" TargetMode="External"/><Relationship Id="rId1514" Type="http://schemas.openxmlformats.org/officeDocument/2006/relationships/hyperlink" Target="https://pbs.twimg.com/profile_images/578542636140781568/2T_ukEU0_normal.jpeg" TargetMode="External"/><Relationship Id="rId7076" Type="http://schemas.openxmlformats.org/officeDocument/2006/relationships/hyperlink" Target="https://pbs.twimg.com/profile_images/717057136212189184/GpQ7mjTO_normal.jpg" TargetMode="External"/><Relationship Id="rId8127" Type="http://schemas.openxmlformats.org/officeDocument/2006/relationships/hyperlink" Target="https://pbs.twimg.com/profile_images/2969328811/b210d69cd72364cd0399bc65061d5815_normal.jpeg" TargetMode="External"/><Relationship Id="rId10057" Type="http://schemas.openxmlformats.org/officeDocument/2006/relationships/hyperlink" Target="https://twitter.com/CafeRacerGear" TargetMode="External"/><Relationship Id="rId11108" Type="http://schemas.openxmlformats.org/officeDocument/2006/relationships/hyperlink" Target="https://twitter.com/Madushanpriyas2" TargetMode="External"/><Relationship Id="rId3686" Type="http://schemas.openxmlformats.org/officeDocument/2006/relationships/hyperlink" Target="https://pbs.twimg.com/profile_images/679552623641509888/_vPw9IS2_normal.png" TargetMode="External"/><Relationship Id="rId14678" Type="http://schemas.openxmlformats.org/officeDocument/2006/relationships/hyperlink" Target="https://pbs.twimg.com/profile_images/626096492722393088/4PV3tOXU_normal.jpg" TargetMode="External"/><Relationship Id="rId15729" Type="http://schemas.openxmlformats.org/officeDocument/2006/relationships/hyperlink" Target="https://twitter.com/Ferrari_Jadore" TargetMode="External"/><Relationship Id="rId17151" Type="http://schemas.openxmlformats.org/officeDocument/2006/relationships/hyperlink" Target="https://pbs.twimg.com/profile_images/1610421423/Image2_normal.jpg" TargetMode="External"/><Relationship Id="rId19600" Type="http://schemas.openxmlformats.org/officeDocument/2006/relationships/hyperlink" Target="https://pbs.twimg.com/profile_images/672878354127839232/M7OYc-zx_normal.jpg" TargetMode="External"/><Relationship Id="rId20496" Type="http://schemas.openxmlformats.org/officeDocument/2006/relationships/hyperlink" Target="http://dlvr.it/" TargetMode="External"/><Relationship Id="rId21894" Type="http://schemas.openxmlformats.org/officeDocument/2006/relationships/hyperlink" Target="https://pbs.twimg.com/profile_images/2646835465/aa5823578b01b04b7e91d58e8ca88691_normal.jpeg" TargetMode="External"/><Relationship Id="rId22945" Type="http://schemas.openxmlformats.org/officeDocument/2006/relationships/hyperlink" Target="https://twitter.com/VeeDubMk1_/status/724258930201907200" TargetMode="External"/><Relationship Id="rId2288" Type="http://schemas.openxmlformats.org/officeDocument/2006/relationships/hyperlink" Target="https://pbs.twimg.com/profile_images/521406560179085312/6RyXKIat_normal.jpeg" TargetMode="External"/><Relationship Id="rId3339" Type="http://schemas.openxmlformats.org/officeDocument/2006/relationships/hyperlink" Target="https://pbs.twimg.com/profile_images/653637535545995264/gHuXQ5Bt_normal.jpg" TargetMode="External"/><Relationship Id="rId4737" Type="http://schemas.openxmlformats.org/officeDocument/2006/relationships/hyperlink" Target="https://twitter.com/VWCamperSales" TargetMode="External"/><Relationship Id="rId7210" Type="http://schemas.openxmlformats.org/officeDocument/2006/relationships/hyperlink" Target="https://twitter.com/lionleon99" TargetMode="External"/><Relationship Id="rId18202" Type="http://schemas.openxmlformats.org/officeDocument/2006/relationships/hyperlink" Target="https://twitter.com/stephen08293226" TargetMode="External"/><Relationship Id="rId20149" Type="http://schemas.openxmlformats.org/officeDocument/2006/relationships/hyperlink" Target="https://twitter.com/tamara_dumas/status/723976991104503808" TargetMode="External"/><Relationship Id="rId21547" Type="http://schemas.openxmlformats.org/officeDocument/2006/relationships/hyperlink" Target="https://twitter.com/BliouxKirkby" TargetMode="External"/><Relationship Id="rId24020" Type="http://schemas.openxmlformats.org/officeDocument/2006/relationships/hyperlink" Target="https://twitter.com/SaantiagoCorbal/status/724327323575701507" TargetMode="External"/><Relationship Id="rId13761" Type="http://schemas.openxmlformats.org/officeDocument/2006/relationships/hyperlink" Target="https://pbs.twimg.com/profile_images/564191903151702016/OXB2zx4u_normal.jpeg" TargetMode="External"/><Relationship Id="rId14812" Type="http://schemas.openxmlformats.org/officeDocument/2006/relationships/hyperlink" Target="https://pbs.twimg.com/profile_images/649095362045706240/qqU0BpOO_normal.jpg" TargetMode="External"/><Relationship Id="rId3820" Type="http://schemas.openxmlformats.org/officeDocument/2006/relationships/hyperlink" Target="https://pbs.twimg.com/profile_images/679552623641509888/_vPw9IS2_normal.png" TargetMode="External"/><Relationship Id="rId9382" Type="http://schemas.openxmlformats.org/officeDocument/2006/relationships/hyperlink" Target="https://twitter.com/SalihiShejzije" TargetMode="External"/><Relationship Id="rId12363" Type="http://schemas.openxmlformats.org/officeDocument/2006/relationships/hyperlink" Target="https://twitter.com/_Alex_Berlin/status/723518272738570241" TargetMode="External"/><Relationship Id="rId13414" Type="http://schemas.openxmlformats.org/officeDocument/2006/relationships/hyperlink" Target="https://twitter.com/VWnews/status/723546142642941952" TargetMode="External"/><Relationship Id="rId16984" Type="http://schemas.openxmlformats.org/officeDocument/2006/relationships/hyperlink" Target="https://twitter.com/oldcar_photo" TargetMode="External"/><Relationship Id="rId20630" Type="http://schemas.openxmlformats.org/officeDocument/2006/relationships/hyperlink" Target="https://twitter.com/ash_echo7/status/724017174285848577" TargetMode="External"/><Relationship Id="rId741" Type="http://schemas.openxmlformats.org/officeDocument/2006/relationships/hyperlink" Target="https://twitter.com/ghcj/status/722976788972867584" TargetMode="External"/><Relationship Id="rId1371" Type="http://schemas.openxmlformats.org/officeDocument/2006/relationships/hyperlink" Target="https://twitter.com/VolkswagenPost/status/723038138814189569" TargetMode="External"/><Relationship Id="rId2422" Type="http://schemas.openxmlformats.org/officeDocument/2006/relationships/hyperlink" Target="https://twitter.com/willclarkeinoz/status/723100734758088704" TargetMode="External"/><Relationship Id="rId5992" Type="http://schemas.openxmlformats.org/officeDocument/2006/relationships/hyperlink" Target="https://twitter.com/mrsmacscot/status/723226393056829440" TargetMode="External"/><Relationship Id="rId9035" Type="http://schemas.openxmlformats.org/officeDocument/2006/relationships/hyperlink" Target="https://pbs.twimg.com/profile_images/2214646082/Bild6_normal.jpg" TargetMode="External"/><Relationship Id="rId12016" Type="http://schemas.openxmlformats.org/officeDocument/2006/relationships/hyperlink" Target="https://twitter.com/WowbaggerXX7" TargetMode="External"/><Relationship Id="rId15586" Type="http://schemas.openxmlformats.org/officeDocument/2006/relationships/hyperlink" Target="https://twitter.com/TRJhonny" TargetMode="External"/><Relationship Id="rId16637" Type="http://schemas.openxmlformats.org/officeDocument/2006/relationships/hyperlink" Target="https://twitter.com/poandpo" TargetMode="External"/><Relationship Id="rId23853" Type="http://schemas.openxmlformats.org/officeDocument/2006/relationships/hyperlink" Target="https://twitter.com/VWCamperSales/status/724315113277149184" TargetMode="External"/><Relationship Id="rId1024" Type="http://schemas.openxmlformats.org/officeDocument/2006/relationships/hyperlink" Target="https://twitter.com/MarkCSchneider/status/723013985591799808" TargetMode="External"/><Relationship Id="rId4594" Type="http://schemas.openxmlformats.org/officeDocument/2006/relationships/hyperlink" Target="https://twitter.com/VWBeetleSales" TargetMode="External"/><Relationship Id="rId5645" Type="http://schemas.openxmlformats.org/officeDocument/2006/relationships/hyperlink" Target="https://twitter.com/WeeklyNevada" TargetMode="External"/><Relationship Id="rId14188" Type="http://schemas.openxmlformats.org/officeDocument/2006/relationships/hyperlink" Target="https://twitter.com/Sesionesdjvip" TargetMode="External"/><Relationship Id="rId15239" Type="http://schemas.openxmlformats.org/officeDocument/2006/relationships/hyperlink" Target="https://pbs.twimg.com/profile_images/685540223493615616/UVdJ_S7d_normal.jpg" TargetMode="External"/><Relationship Id="rId19110" Type="http://schemas.openxmlformats.org/officeDocument/2006/relationships/hyperlink" Target="https://twitter.com/CamperSpotting" TargetMode="External"/><Relationship Id="rId22455" Type="http://schemas.openxmlformats.org/officeDocument/2006/relationships/hyperlink" Target="https://twitter.com/dubbusses/status/724224264719749120" TargetMode="External"/><Relationship Id="rId23506" Type="http://schemas.openxmlformats.org/officeDocument/2006/relationships/hyperlink" Target="http://dlvr.it/" TargetMode="External"/><Relationship Id="rId24904" Type="http://schemas.openxmlformats.org/officeDocument/2006/relationships/hyperlink" Target="https://twitter.com/dubbusses/status/724397821428948994" TargetMode="External"/><Relationship Id="rId3196" Type="http://schemas.openxmlformats.org/officeDocument/2006/relationships/hyperlink" Target="https://twitter.com/DubLuvTuning/status/723145060783656960" TargetMode="External"/><Relationship Id="rId4247" Type="http://schemas.openxmlformats.org/officeDocument/2006/relationships/hyperlink" Target="https://twitter.com/bradleebone" TargetMode="External"/><Relationship Id="rId8868" Type="http://schemas.openxmlformats.org/officeDocument/2006/relationships/hyperlink" Target="https://twitter.com/boersenblogger/status/723409840828084224" TargetMode="External"/><Relationship Id="rId21057" Type="http://schemas.openxmlformats.org/officeDocument/2006/relationships/hyperlink" Target="https://pbs.twimg.com/profile_images/716621162718044160/kJvjZ5Km_normal.jpg" TargetMode="External"/><Relationship Id="rId22108" Type="http://schemas.openxmlformats.org/officeDocument/2006/relationships/hyperlink" Target="https://twitter.com/VWBeetleSales/status/724201237499928577" TargetMode="External"/><Relationship Id="rId9919" Type="http://schemas.openxmlformats.org/officeDocument/2006/relationships/hyperlink" Target="https://twitter.com/raschnzz/status/723454112541609984" TargetMode="External"/><Relationship Id="rId10798" Type="http://schemas.openxmlformats.org/officeDocument/2006/relationships/hyperlink" Target="https://pbs.twimg.com/profile_images/538948772424728576/h1kppaOP_normal.jpeg" TargetMode="External"/><Relationship Id="rId11849" Type="http://schemas.openxmlformats.org/officeDocument/2006/relationships/hyperlink" Target="https://twitter.com/TCSCOOPERSBURG/status/723508890650972161" TargetMode="External"/><Relationship Id="rId15720" Type="http://schemas.openxmlformats.org/officeDocument/2006/relationships/hyperlink" Target="https://twitter.com/Tkarera" TargetMode="External"/><Relationship Id="rId25678" Type="http://schemas.openxmlformats.org/officeDocument/2006/relationships/hyperlink" Target="https://twitter.com/OnlineCarReview/status/724460621685645313" TargetMode="External"/><Relationship Id="rId1908" Type="http://schemas.openxmlformats.org/officeDocument/2006/relationships/hyperlink" Target="https://pbs.twimg.com/profile_images/717650351445385217/YaaLk3FA_normal.jpg" TargetMode="External"/><Relationship Id="rId13271" Type="http://schemas.openxmlformats.org/officeDocument/2006/relationships/hyperlink" Target="https://twitter.com/CeciDiBernardo/status/723542220851138560" TargetMode="External"/><Relationship Id="rId14322" Type="http://schemas.openxmlformats.org/officeDocument/2006/relationships/hyperlink" Target="https://twitter.com/AlexWitzleben/status/723572542242480128" TargetMode="External"/><Relationship Id="rId17892" Type="http://schemas.openxmlformats.org/officeDocument/2006/relationships/hyperlink" Target="https://pbs.twimg.com/profile_images/701348099290218496/iXTmp1jH_normal.jpg" TargetMode="External"/><Relationship Id="rId18943" Type="http://schemas.openxmlformats.org/officeDocument/2006/relationships/hyperlink" Target="http://dlvr.it/" TargetMode="External"/><Relationship Id="rId251" Type="http://schemas.openxmlformats.org/officeDocument/2006/relationships/hyperlink" Target="https://twitter.com/LifeBlab/status/722940069187858432" TargetMode="External"/><Relationship Id="rId3330" Type="http://schemas.openxmlformats.org/officeDocument/2006/relationships/hyperlink" Target="https://pbs.twimg.com/profile_images/653637535545995264/gHuXQ5Bt_normal.jpg" TargetMode="External"/><Relationship Id="rId7951" Type="http://schemas.openxmlformats.org/officeDocument/2006/relationships/hyperlink" Target="https://abs.twimg.com/sticky/default_profile_images/default_profile_0_normal.png" TargetMode="External"/><Relationship Id="rId10932" Type="http://schemas.openxmlformats.org/officeDocument/2006/relationships/hyperlink" Target="https://twitter.com/Vagowners" TargetMode="External"/><Relationship Id="rId16494" Type="http://schemas.openxmlformats.org/officeDocument/2006/relationships/hyperlink" Target="https://twitter.com/LeoZettel" TargetMode="External"/><Relationship Id="rId17545" Type="http://schemas.openxmlformats.org/officeDocument/2006/relationships/hyperlink" Target="https://twitter.com/GDBF_S204/status/723806072159375360" TargetMode="External"/><Relationship Id="rId20140" Type="http://schemas.openxmlformats.org/officeDocument/2006/relationships/hyperlink" Target="https://twitter.com/manchester_app/status/723976680218472448" TargetMode="External"/><Relationship Id="rId24761" Type="http://schemas.openxmlformats.org/officeDocument/2006/relationships/hyperlink" Target="https://twitter.com/VWCamperSales" TargetMode="External"/><Relationship Id="rId6553" Type="http://schemas.openxmlformats.org/officeDocument/2006/relationships/hyperlink" Target="https://twitter.com/auto_hobby" TargetMode="External"/><Relationship Id="rId7604" Type="http://schemas.openxmlformats.org/officeDocument/2006/relationships/hyperlink" Target="https://twitter.com/DubLuvTuning" TargetMode="External"/><Relationship Id="rId15096" Type="http://schemas.openxmlformats.org/officeDocument/2006/relationships/hyperlink" Target="https://twitter.com/MiningAssets/status/723593498222563328" TargetMode="External"/><Relationship Id="rId16147" Type="http://schemas.openxmlformats.org/officeDocument/2006/relationships/hyperlink" Target="https://twitter.com/Audi_App/status/723651342162649088" TargetMode="External"/><Relationship Id="rId23363" Type="http://schemas.openxmlformats.org/officeDocument/2006/relationships/hyperlink" Target="https://twitter.com/LoDijoTito" TargetMode="External"/><Relationship Id="rId24414" Type="http://schemas.openxmlformats.org/officeDocument/2006/relationships/hyperlink" Target="https://pbs.twimg.com/profile_images/698987523918295040/M7NDbszi_normal.jpg" TargetMode="External"/><Relationship Id="rId5155" Type="http://schemas.openxmlformats.org/officeDocument/2006/relationships/hyperlink" Target="https://twitter.com/decay23/status/723195726784794628" TargetMode="External"/><Relationship Id="rId6206" Type="http://schemas.openxmlformats.org/officeDocument/2006/relationships/hyperlink" Target="https://twitter.com/vintagevwdita/status/723235017476939776" TargetMode="External"/><Relationship Id="rId9776" Type="http://schemas.openxmlformats.org/officeDocument/2006/relationships/hyperlink" Target="https://twitter.com/FlatOutWR_JP" TargetMode="External"/><Relationship Id="rId23016" Type="http://schemas.openxmlformats.org/officeDocument/2006/relationships/hyperlink" Target="https://twitter.com/snoopedselby/status/724264647055020033" TargetMode="External"/><Relationship Id="rId1765" Type="http://schemas.openxmlformats.org/officeDocument/2006/relationships/hyperlink" Target="https://twitter.com/Sufiy/status/723055811690397696" TargetMode="External"/><Relationship Id="rId8378" Type="http://schemas.openxmlformats.org/officeDocument/2006/relationships/hyperlink" Target="https://twitter.com/VWsightings/status/723385683562254336" TargetMode="External"/><Relationship Id="rId9429" Type="http://schemas.openxmlformats.org/officeDocument/2006/relationships/hyperlink" Target="https://twitter.com/janduesseldorff/status/723434724304117760" TargetMode="External"/><Relationship Id="rId11359" Type="http://schemas.openxmlformats.org/officeDocument/2006/relationships/hyperlink" Target="https://twitter.com/mendezgaa" TargetMode="External"/><Relationship Id="rId12757" Type="http://schemas.openxmlformats.org/officeDocument/2006/relationships/hyperlink" Target="https://twitter.com/VolkswagenPost" TargetMode="External"/><Relationship Id="rId13808" Type="http://schemas.openxmlformats.org/officeDocument/2006/relationships/hyperlink" Target="https://pbs.twimg.com/profile_images/474178130312044544/-U2TP65D_normal.png" TargetMode="External"/><Relationship Id="rId15230" Type="http://schemas.openxmlformats.org/officeDocument/2006/relationships/hyperlink" Target="https://pbs.twimg.com/profile_images/572482317193474048/RjdWJzV5_normal.png" TargetMode="External"/><Relationship Id="rId25188" Type="http://schemas.openxmlformats.org/officeDocument/2006/relationships/hyperlink" Target="https://pbs.twimg.com/profile_images/592727746888998913/J4Qy4a3J_normal.png" TargetMode="External"/><Relationship Id="rId1418" Type="http://schemas.openxmlformats.org/officeDocument/2006/relationships/hyperlink" Target="https://twitter.com/JClaesz" TargetMode="External"/><Relationship Id="rId2816" Type="http://schemas.openxmlformats.org/officeDocument/2006/relationships/hyperlink" Target="https://pbs.twimg.com/profile_images/378800000747750946/394d9f0f5e6dde5137683d9c98c5c8a9_normal.jpeg" TargetMode="External"/><Relationship Id="rId19851" Type="http://schemas.openxmlformats.org/officeDocument/2006/relationships/hyperlink" Target="https://twitter.com/retodiariomx" TargetMode="External"/><Relationship Id="rId4988" Type="http://schemas.openxmlformats.org/officeDocument/2006/relationships/hyperlink" Target="https://twitter.com/iconcustoms" TargetMode="External"/><Relationship Id="rId9910" Type="http://schemas.openxmlformats.org/officeDocument/2006/relationships/hyperlink" Target="https://twitter.com/wdr5/status/723453839676833792" TargetMode="External"/><Relationship Id="rId11840" Type="http://schemas.openxmlformats.org/officeDocument/2006/relationships/hyperlink" Target="https://twitter.com/bvdvliet/status/723508708911767552" TargetMode="External"/><Relationship Id="rId18453" Type="http://schemas.openxmlformats.org/officeDocument/2006/relationships/hyperlink" Target="https://twitter.com/Geilowicz23/status/723869650447142913" TargetMode="External"/><Relationship Id="rId19504" Type="http://schemas.openxmlformats.org/officeDocument/2006/relationships/hyperlink" Target="https://twitter.com/2stew22" TargetMode="External"/><Relationship Id="rId21798" Type="http://schemas.openxmlformats.org/officeDocument/2006/relationships/hyperlink" Target="https://pbs.twimg.com/profile_images/718835727027580928/1ssyQ67y_normal.jpg" TargetMode="External"/><Relationship Id="rId22849" Type="http://schemas.openxmlformats.org/officeDocument/2006/relationships/hyperlink" Target="https://twitter.com/benzeetme" TargetMode="External"/><Relationship Id="rId6063" Type="http://schemas.openxmlformats.org/officeDocument/2006/relationships/hyperlink" Target="https://twitter.com/optimistinse" TargetMode="External"/><Relationship Id="rId7461" Type="http://schemas.openxmlformats.org/officeDocument/2006/relationships/hyperlink" Target="https://twitter.com/POLITJAH/status/723305091395149824" TargetMode="External"/><Relationship Id="rId8512" Type="http://schemas.openxmlformats.org/officeDocument/2006/relationships/hyperlink" Target="https://twitter.com/Maikfer001/status/723392388736016385" TargetMode="External"/><Relationship Id="rId10442" Type="http://schemas.openxmlformats.org/officeDocument/2006/relationships/hyperlink" Target="https://twitter.com/selmissary/status/723472883956219905" TargetMode="External"/><Relationship Id="rId17055" Type="http://schemas.openxmlformats.org/officeDocument/2006/relationships/hyperlink" Target="https://twitter.com/richgoodingcom" TargetMode="External"/><Relationship Id="rId18106" Type="http://schemas.openxmlformats.org/officeDocument/2006/relationships/hyperlink" Target="https://twitter.com/Shereen_Shabnam/status/723844905462800384" TargetMode="External"/><Relationship Id="rId24271" Type="http://schemas.openxmlformats.org/officeDocument/2006/relationships/hyperlink" Target="https://pbs.twimg.com/profile_images/675534584336007169/U_CrS130_normal.jpg" TargetMode="External"/><Relationship Id="rId25322" Type="http://schemas.openxmlformats.org/officeDocument/2006/relationships/hyperlink" Target="https://twitter.com/Eric_SFAR" TargetMode="External"/><Relationship Id="rId7114" Type="http://schemas.openxmlformats.org/officeDocument/2006/relationships/hyperlink" Target="https://twitter.com/cas_2050000659/status/723279754250461184" TargetMode="External"/><Relationship Id="rId13665" Type="http://schemas.openxmlformats.org/officeDocument/2006/relationships/hyperlink" Target="https://pbs.twimg.com/profile_images/3012106875/596e712c99a38ec69b925b7f7ab71986_normal.jpeg" TargetMode="External"/><Relationship Id="rId14716" Type="http://schemas.openxmlformats.org/officeDocument/2006/relationships/hyperlink" Target="https://twitter.com/GlobalEthicist" TargetMode="External"/><Relationship Id="rId20881" Type="http://schemas.openxmlformats.org/officeDocument/2006/relationships/hyperlink" Target="https://twitter.com/NickiLetts" TargetMode="External"/><Relationship Id="rId21932" Type="http://schemas.openxmlformats.org/officeDocument/2006/relationships/hyperlink" Target="http://grenzecho.net/" TargetMode="External"/><Relationship Id="rId992" Type="http://schemas.openxmlformats.org/officeDocument/2006/relationships/hyperlink" Target="https://pbs.twimg.com/profile_images/718820712757215233/LXXndPTS_normal.jpg" TargetMode="External"/><Relationship Id="rId2673" Type="http://schemas.openxmlformats.org/officeDocument/2006/relationships/hyperlink" Target="https://twitter.com/VeeDubMk1_/status/723112550716583936" TargetMode="External"/><Relationship Id="rId3724" Type="http://schemas.openxmlformats.org/officeDocument/2006/relationships/hyperlink" Target="https://pbs.twimg.com/profile_images/720406265957101568/m_NCBs1d_normal.jpg" TargetMode="External"/><Relationship Id="rId9286" Type="http://schemas.openxmlformats.org/officeDocument/2006/relationships/hyperlink" Target="https://twitter.com/porsche__dp/status/723429754393624576" TargetMode="External"/><Relationship Id="rId12267" Type="http://schemas.openxmlformats.org/officeDocument/2006/relationships/hyperlink" Target="https://pbs.twimg.com/profile_images/718947317412442112/GdF_9l4b_normal.jpg" TargetMode="External"/><Relationship Id="rId13318" Type="http://schemas.openxmlformats.org/officeDocument/2006/relationships/hyperlink" Target="https://pbs.twimg.com/profile_images/695303050580385793/wXS47Pgy_normal.jpg" TargetMode="External"/><Relationship Id="rId20534" Type="http://schemas.openxmlformats.org/officeDocument/2006/relationships/hyperlink" Target="https://twitter.com/Speak_EV" TargetMode="External"/><Relationship Id="rId645" Type="http://schemas.openxmlformats.org/officeDocument/2006/relationships/hyperlink" Target="https://twitter.com/thenoosavolce" TargetMode="External"/><Relationship Id="rId1275" Type="http://schemas.openxmlformats.org/officeDocument/2006/relationships/hyperlink" Target="https://pbs.twimg.com/profile_images/703294545195307008/qeCvrX86_normal.jpg" TargetMode="External"/><Relationship Id="rId2326" Type="http://schemas.openxmlformats.org/officeDocument/2006/relationships/hyperlink" Target="https://twitter.com/krishuzey/status/723096017902641152" TargetMode="External"/><Relationship Id="rId5896" Type="http://schemas.openxmlformats.org/officeDocument/2006/relationships/hyperlink" Target="http://dlvr.it/" TargetMode="External"/><Relationship Id="rId6947" Type="http://schemas.openxmlformats.org/officeDocument/2006/relationships/hyperlink" Target="https://twitter.com/HenslerHarry/status/723271280703733760" TargetMode="External"/><Relationship Id="rId16888" Type="http://schemas.openxmlformats.org/officeDocument/2006/relationships/hyperlink" Target="https://twitter.com/begkimchi" TargetMode="External"/><Relationship Id="rId17939" Type="http://schemas.openxmlformats.org/officeDocument/2006/relationships/hyperlink" Target="https://pbs.twimg.com/profile_images/456327738928791552/jgHfF8lW_normal.png" TargetMode="External"/><Relationship Id="rId19361" Type="http://schemas.openxmlformats.org/officeDocument/2006/relationships/hyperlink" Target="https://twitter.com/brandonmkeller" TargetMode="External"/><Relationship Id="rId4498" Type="http://schemas.openxmlformats.org/officeDocument/2006/relationships/hyperlink" Target="https://twitter.com/Tonelli22/status/723181826538348544" TargetMode="External"/><Relationship Id="rId5549" Type="http://schemas.openxmlformats.org/officeDocument/2006/relationships/hyperlink" Target="https://twitter.com/BeCarChic/status/723207901591011328" TargetMode="External"/><Relationship Id="rId9420" Type="http://schemas.openxmlformats.org/officeDocument/2006/relationships/hyperlink" Target="https://pbs.twimg.com/profile_images/687419637429080064/YhD1MggI_normal.jpg" TargetMode="External"/><Relationship Id="rId19014" Type="http://schemas.openxmlformats.org/officeDocument/2006/relationships/hyperlink" Target="https://twitter.com/FerMan076" TargetMode="External"/><Relationship Id="rId22359" Type="http://schemas.openxmlformats.org/officeDocument/2006/relationships/hyperlink" Target="https://twitter.com/yhoalex132103/status/724219582345433089" TargetMode="External"/><Relationship Id="rId23757" Type="http://schemas.openxmlformats.org/officeDocument/2006/relationships/hyperlink" Target="https://twitter.com/MeMyselfAndGeek/status/724308764090728448" TargetMode="External"/><Relationship Id="rId24808" Type="http://schemas.openxmlformats.org/officeDocument/2006/relationships/hyperlink" Target="https://twitter.com/its_tressx8" TargetMode="External"/><Relationship Id="rId8022" Type="http://schemas.openxmlformats.org/officeDocument/2006/relationships/hyperlink" Target="https://pbs.twimg.com/profile_images/720059584266821633/NhVXHw2i_normal.jpg" TargetMode="External"/><Relationship Id="rId11350" Type="http://schemas.openxmlformats.org/officeDocument/2006/relationships/hyperlink" Target="https://twitter.com/FPetRarca" TargetMode="External"/><Relationship Id="rId12401" Type="http://schemas.openxmlformats.org/officeDocument/2006/relationships/hyperlink" Target="https://twitter.com/MarkCSchneider/status/723519045723643904" TargetMode="External"/><Relationship Id="rId15971" Type="http://schemas.openxmlformats.org/officeDocument/2006/relationships/hyperlink" Target="https://twitter.com/PaulMIllerVW/status/723640276653211649" TargetMode="External"/><Relationship Id="rId11003" Type="http://schemas.openxmlformats.org/officeDocument/2006/relationships/hyperlink" Target="https://twitter.com/SinclairVW/status/723494316564353024" TargetMode="External"/><Relationship Id="rId14573" Type="http://schemas.openxmlformats.org/officeDocument/2006/relationships/hyperlink" Target="https://twitter.com/Luishii23/status/723575780542976001" TargetMode="External"/><Relationship Id="rId15624" Type="http://schemas.openxmlformats.org/officeDocument/2006/relationships/hyperlink" Target="https://twitter.com/VWCamperSales" TargetMode="External"/><Relationship Id="rId22840" Type="http://schemas.openxmlformats.org/officeDocument/2006/relationships/hyperlink" Target="https://twitter.com/TracyVolkswagen" TargetMode="External"/><Relationship Id="rId3581" Type="http://schemas.openxmlformats.org/officeDocument/2006/relationships/hyperlink" Target="https://pbs.twimg.com/profile_images/301633481/fishers_isabella_0709_normal.jpg" TargetMode="External"/><Relationship Id="rId4632" Type="http://schemas.openxmlformats.org/officeDocument/2006/relationships/hyperlink" Target="https://twitter.com/1ChicagoCarGuy" TargetMode="External"/><Relationship Id="rId13175" Type="http://schemas.openxmlformats.org/officeDocument/2006/relationships/hyperlink" Target="https://twitter.com/HansTheGerman" TargetMode="External"/><Relationship Id="rId14226" Type="http://schemas.openxmlformats.org/officeDocument/2006/relationships/hyperlink" Target="https://twitter.com/VWBeetleSales/status/723570088008241153" TargetMode="External"/><Relationship Id="rId17796" Type="http://schemas.openxmlformats.org/officeDocument/2006/relationships/hyperlink" Target="https://twitter.com/Tweet_auto_com/status/723822968942546944" TargetMode="External"/><Relationship Id="rId18847" Type="http://schemas.openxmlformats.org/officeDocument/2006/relationships/hyperlink" Target="https://twitter.com/JRehwald" TargetMode="External"/><Relationship Id="rId20391" Type="http://schemas.openxmlformats.org/officeDocument/2006/relationships/hyperlink" Target="https://pbs.twimg.com/profile_images/705780107844067328/e7O4UBNb_normal.jpg" TargetMode="External"/><Relationship Id="rId21442" Type="http://schemas.openxmlformats.org/officeDocument/2006/relationships/hyperlink" Target="https://pbs.twimg.com/profile_images/718835727027580928/1ssyQ67y_normal.jpg" TargetMode="External"/><Relationship Id="rId2183" Type="http://schemas.openxmlformats.org/officeDocument/2006/relationships/hyperlink" Target="https://twitter.com/tagesthemen/status/723087363665235968" TargetMode="External"/><Relationship Id="rId3234" Type="http://schemas.openxmlformats.org/officeDocument/2006/relationships/hyperlink" Target="https://twitter.com/SanhuezaGonza99/status/723145664410972160" TargetMode="External"/><Relationship Id="rId7855" Type="http://schemas.openxmlformats.org/officeDocument/2006/relationships/hyperlink" Target="https://twitter.com/Cyn_Gerffau" TargetMode="External"/><Relationship Id="rId8906" Type="http://schemas.openxmlformats.org/officeDocument/2006/relationships/hyperlink" Target="https://twitter.com/golfturkiye" TargetMode="External"/><Relationship Id="rId16398" Type="http://schemas.openxmlformats.org/officeDocument/2006/relationships/hyperlink" Target="https://pbs.twimg.com/profile_images/708144941898321920/yFsT-WEB_normal.jpg" TargetMode="External"/><Relationship Id="rId17449" Type="http://schemas.openxmlformats.org/officeDocument/2006/relationships/hyperlink" Target="https://twitter.com/Brainvibes" TargetMode="External"/><Relationship Id="rId20044" Type="http://schemas.openxmlformats.org/officeDocument/2006/relationships/hyperlink" Target="https://twitter.com/NollyPrott" TargetMode="External"/><Relationship Id="rId24665" Type="http://schemas.openxmlformats.org/officeDocument/2006/relationships/hyperlink" Target="https://twitter.com/beetlebug1938/status/724382959055286272" TargetMode="External"/><Relationship Id="rId25716" Type="http://schemas.openxmlformats.org/officeDocument/2006/relationships/hyperlink" Target="https://twitter.com/Fulch87" TargetMode="External"/><Relationship Id="rId155" Type="http://schemas.openxmlformats.org/officeDocument/2006/relationships/hyperlink" Target="https://pbs.twimg.com/profile_images/2701034445/64fd9e6e414510aa09faefbaa5ac8e7d_normal.jpeg" TargetMode="External"/><Relationship Id="rId6457" Type="http://schemas.openxmlformats.org/officeDocument/2006/relationships/hyperlink" Target="https://pbs.twimg.com/profile_images/1194211154/6aeda2fd57088c3c85aa1d4f7042025a_normal.jpg" TargetMode="External"/><Relationship Id="rId7508" Type="http://schemas.openxmlformats.org/officeDocument/2006/relationships/hyperlink" Target="https://pbs.twimg.com/profile_images/378800000080536808/27d73bf18de691ed686410d5b0d71bac_normal.jpeg" TargetMode="External"/><Relationship Id="rId10836" Type="http://schemas.openxmlformats.org/officeDocument/2006/relationships/hyperlink" Target="https://twitter.com/angulosiete/status/723486595714809856" TargetMode="External"/><Relationship Id="rId23267" Type="http://schemas.openxmlformats.org/officeDocument/2006/relationships/hyperlink" Target="https://pbs.twimg.com/profile_images/724205141289754624/w_OmdCHD_normal.jpg" TargetMode="External"/><Relationship Id="rId24318" Type="http://schemas.openxmlformats.org/officeDocument/2006/relationships/hyperlink" Target="https://twitter.com/dedecasanti" TargetMode="External"/><Relationship Id="rId5059" Type="http://schemas.openxmlformats.org/officeDocument/2006/relationships/hyperlink" Target="https://twitter.com/Dannl_Beltrami/status/723193180594798593" TargetMode="External"/><Relationship Id="rId17930" Type="http://schemas.openxmlformats.org/officeDocument/2006/relationships/hyperlink" Target="https://pbs.twimg.com/profile_images/527434322018828289/g65cRkt5_normal.jpeg" TargetMode="External"/><Relationship Id="rId14083" Type="http://schemas.openxmlformats.org/officeDocument/2006/relationships/hyperlink" Target="https://twitter.com/twogulneapigs/status/723563418419077121" TargetMode="External"/><Relationship Id="rId15481" Type="http://schemas.openxmlformats.org/officeDocument/2006/relationships/hyperlink" Target="https://twitter.com/VCT_Tweets/status/723608573406765057" TargetMode="External"/><Relationship Id="rId16532" Type="http://schemas.openxmlformats.org/officeDocument/2006/relationships/hyperlink" Target="http://www.facebook.com/GrupoAlden" TargetMode="External"/><Relationship Id="rId20928" Type="http://schemas.openxmlformats.org/officeDocument/2006/relationships/hyperlink" Target="https://twitter.com/AMDAMORELOS" TargetMode="External"/><Relationship Id="rId1669" Type="http://schemas.openxmlformats.org/officeDocument/2006/relationships/hyperlink" Target="https://pbs.twimg.com/profile_images/292857657/GreenGrowth_normal.jpg" TargetMode="External"/><Relationship Id="rId3091" Type="http://schemas.openxmlformats.org/officeDocument/2006/relationships/hyperlink" Target="http://dlvr.it/" TargetMode="External"/><Relationship Id="rId4142" Type="http://schemas.openxmlformats.org/officeDocument/2006/relationships/hyperlink" Target="https://twitter.com/ItoParedes/status/723177227379179520" TargetMode="External"/><Relationship Id="rId5540" Type="http://schemas.openxmlformats.org/officeDocument/2006/relationships/hyperlink" Target="https://twitter.com/lamontto/status/723207668312072192" TargetMode="External"/><Relationship Id="rId15134" Type="http://schemas.openxmlformats.org/officeDocument/2006/relationships/hyperlink" Target="https://twitter.com/EEPublishing/status/723595458220797952" TargetMode="External"/><Relationship Id="rId19755" Type="http://schemas.openxmlformats.org/officeDocument/2006/relationships/hyperlink" Target="https://twitter.com/Harry_Hammer84" TargetMode="External"/><Relationship Id="rId22350" Type="http://schemas.openxmlformats.org/officeDocument/2006/relationships/hyperlink" Target="https://twitter.com/SouthVW/status/724217671319846912" TargetMode="External"/><Relationship Id="rId23401" Type="http://schemas.openxmlformats.org/officeDocument/2006/relationships/hyperlink" Target="https://twitter.com/Hard_Stance/status/724286870570565632" TargetMode="External"/><Relationship Id="rId8763" Type="http://schemas.openxmlformats.org/officeDocument/2006/relationships/hyperlink" Target="https://twitter.com/DLF/status/723405310212198400" TargetMode="External"/><Relationship Id="rId9814" Type="http://schemas.openxmlformats.org/officeDocument/2006/relationships/hyperlink" Target="https://twitter.com/bestautos_/status/723450245133164544" TargetMode="External"/><Relationship Id="rId10693" Type="http://schemas.openxmlformats.org/officeDocument/2006/relationships/hyperlink" Target="https://pbs.twimg.com/profile_images/463708805474160640/5MzYTbEb_normal.png" TargetMode="External"/><Relationship Id="rId11744" Type="http://schemas.openxmlformats.org/officeDocument/2006/relationships/hyperlink" Target="https://twitter.com/CBSLA" TargetMode="External"/><Relationship Id="rId18357" Type="http://schemas.openxmlformats.org/officeDocument/2006/relationships/hyperlink" Target="https://twitter.com/polodrivercom/status/723865700729786369" TargetMode="External"/><Relationship Id="rId19408" Type="http://schemas.openxmlformats.org/officeDocument/2006/relationships/hyperlink" Target="https://twitter.com/Decocalcos" TargetMode="External"/><Relationship Id="rId22003" Type="http://schemas.openxmlformats.org/officeDocument/2006/relationships/hyperlink" Target="https://pbs.twimg.com/profile_images/718820712757215233/LXXndPTS_normal.jpg" TargetMode="External"/><Relationship Id="rId25573" Type="http://schemas.openxmlformats.org/officeDocument/2006/relationships/hyperlink" Target="https://pbs.twimg.com/profile_images/1610421423/Image2_normal.jpg" TargetMode="External"/><Relationship Id="rId28" Type="http://schemas.openxmlformats.org/officeDocument/2006/relationships/hyperlink" Target="https://twitter.com/TedFlitton" TargetMode="External"/><Relationship Id="rId1803" Type="http://schemas.openxmlformats.org/officeDocument/2006/relationships/hyperlink" Target="https://pbs.twimg.com/profile_images/378800000471630648/a95691815bc486025cede45197e62b24_normal.jpeg" TargetMode="External"/><Relationship Id="rId7365" Type="http://schemas.openxmlformats.org/officeDocument/2006/relationships/hyperlink" Target="https://twitter.com/DJAdverb/status/723298166532136960" TargetMode="External"/><Relationship Id="rId8416" Type="http://schemas.openxmlformats.org/officeDocument/2006/relationships/hyperlink" Target="https://twitter.com/EditeursLEcho" TargetMode="External"/><Relationship Id="rId10346" Type="http://schemas.openxmlformats.org/officeDocument/2006/relationships/hyperlink" Target="https://pbs.twimg.com/profile_images/1397629173/kaas_elias_3670b_800pxl_web72dpi_normal.jpg" TargetMode="External"/><Relationship Id="rId24175" Type="http://schemas.openxmlformats.org/officeDocument/2006/relationships/hyperlink" Target="https://pbs.twimg.com/profile_images/718820712757215233/LXXndPTS_normal.jpg" TargetMode="External"/><Relationship Id="rId25226" Type="http://schemas.openxmlformats.org/officeDocument/2006/relationships/hyperlink" Target="https://pbs.twimg.com/profile_images/687586264434884608/SvvnYdWR_normal.jpg" TargetMode="External"/><Relationship Id="rId3975" Type="http://schemas.openxmlformats.org/officeDocument/2006/relationships/hyperlink" Target="https://pbs.twimg.com/profile_images/695271772820787200/a3KEfinY_normal.png" TargetMode="External"/><Relationship Id="rId7018" Type="http://schemas.openxmlformats.org/officeDocument/2006/relationships/hyperlink" Target="https://twitter.com/fastlanedaily" TargetMode="External"/><Relationship Id="rId13569" Type="http://schemas.openxmlformats.org/officeDocument/2006/relationships/hyperlink" Target="https://twitter.com/trevorbolton15" TargetMode="External"/><Relationship Id="rId14967" Type="http://schemas.openxmlformats.org/officeDocument/2006/relationships/hyperlink" Target="https://twitter.com/VolkswagenPost/status/723588168851795968" TargetMode="External"/><Relationship Id="rId17440" Type="http://schemas.openxmlformats.org/officeDocument/2006/relationships/hyperlink" Target="https://twitter.com/pleasecallmemac" TargetMode="External"/><Relationship Id="rId20785" Type="http://schemas.openxmlformats.org/officeDocument/2006/relationships/hyperlink" Target="https://twitter.com/FredHagerman/status/724044460120805376" TargetMode="External"/><Relationship Id="rId896" Type="http://schemas.openxmlformats.org/officeDocument/2006/relationships/hyperlink" Target="https://twitter.com/EricSWalz" TargetMode="External"/><Relationship Id="rId2577" Type="http://schemas.openxmlformats.org/officeDocument/2006/relationships/hyperlink" Target="https://twitter.com/instagramcc/status/723106035238592512" TargetMode="External"/><Relationship Id="rId3628" Type="http://schemas.openxmlformats.org/officeDocument/2006/relationships/hyperlink" Target="https://pbs.twimg.com/profile_images/718820712757215233/LXXndPTS_normal.jpg" TargetMode="External"/><Relationship Id="rId16042" Type="http://schemas.openxmlformats.org/officeDocument/2006/relationships/hyperlink" Target="https://pbs.twimg.com/profile_images/651616124824477697/MPmni4uW_normal.jpg" TargetMode="External"/><Relationship Id="rId20438" Type="http://schemas.openxmlformats.org/officeDocument/2006/relationships/hyperlink" Target="https://twitter.com/chezaily/status/723998952438247424" TargetMode="External"/><Relationship Id="rId21836" Type="http://schemas.openxmlformats.org/officeDocument/2006/relationships/hyperlink" Target="https://pbs.twimg.com/profile_images/709259696356642816/sGu61ifo_normal.jpg" TargetMode="External"/><Relationship Id="rId549" Type="http://schemas.openxmlformats.org/officeDocument/2006/relationships/hyperlink" Target="https://twitter.com/7clemsonfan" TargetMode="External"/><Relationship Id="rId1179" Type="http://schemas.openxmlformats.org/officeDocument/2006/relationships/hyperlink" Target="https://pbs.twimg.com/profile_images/697513772756398080/CEVTXuTq_normal.jpg" TargetMode="External"/><Relationship Id="rId5050" Type="http://schemas.openxmlformats.org/officeDocument/2006/relationships/hyperlink" Target="https://twitter.com/larskllnt/status/723192985177997313" TargetMode="External"/><Relationship Id="rId6101" Type="http://schemas.openxmlformats.org/officeDocument/2006/relationships/hyperlink" Target="https://pbs.twimg.com/profile_images/3275192375/c2b433f27f8cccc276d85949d42fff8e_normal.jpeg" TargetMode="External"/><Relationship Id="rId8273" Type="http://schemas.openxmlformats.org/officeDocument/2006/relationships/hyperlink" Target="https://pbs.twimg.com/profile_images/684448437102886913/G0zZDkgO_normal.jpg" TargetMode="External"/><Relationship Id="rId9671" Type="http://schemas.openxmlformats.org/officeDocument/2006/relationships/hyperlink" Target="https://twitter.com/ExCEO_/status/723444825819742208" TargetMode="External"/><Relationship Id="rId12652" Type="http://schemas.openxmlformats.org/officeDocument/2006/relationships/hyperlink" Target="https://abs.twimg.com/sticky/default_profile_images/default_profile_4_normal.png" TargetMode="External"/><Relationship Id="rId13703" Type="http://schemas.openxmlformats.org/officeDocument/2006/relationships/hyperlink" Target="https://twitter.com/Michael_Vasanth/status/723553628984872963" TargetMode="External"/><Relationship Id="rId19265" Type="http://schemas.openxmlformats.org/officeDocument/2006/relationships/hyperlink" Target="http://dlvr.it/" TargetMode="External"/><Relationship Id="rId25083" Type="http://schemas.openxmlformats.org/officeDocument/2006/relationships/hyperlink" Target="https://twitter.com/cmsGOMEX/status/724418291058499584" TargetMode="External"/><Relationship Id="rId1660" Type="http://schemas.openxmlformats.org/officeDocument/2006/relationships/hyperlink" Target="https://pbs.twimg.com/profile_images/3535830182/df7c9e30fd671a70310e341eb33e0190_normal.jpeg" TargetMode="External"/><Relationship Id="rId2711" Type="http://schemas.openxmlformats.org/officeDocument/2006/relationships/hyperlink" Target="https://twitter.com/ME262P" TargetMode="External"/><Relationship Id="rId9324" Type="http://schemas.openxmlformats.org/officeDocument/2006/relationships/hyperlink" Target="https://twitter.com/ZoomStocks" TargetMode="External"/><Relationship Id="rId11254" Type="http://schemas.openxmlformats.org/officeDocument/2006/relationships/hyperlink" Target="https://pbs.twimg.com/profile_images/495094466777071616/LRAOBOo1_normal.jpeg" TargetMode="External"/><Relationship Id="rId12305" Type="http://schemas.openxmlformats.org/officeDocument/2006/relationships/hyperlink" Target="https://twitter.com/turronzitoo/status/723516891764023296" TargetMode="External"/><Relationship Id="rId15875" Type="http://schemas.openxmlformats.org/officeDocument/2006/relationships/hyperlink" Target="https://twitter.com/KitManWong8/status/723635095421214720" TargetMode="External"/><Relationship Id="rId16926" Type="http://schemas.openxmlformats.org/officeDocument/2006/relationships/hyperlink" Target="https://pbs.twimg.com/profile_images/708667618836803588/Qpm0WLaI_normal.jpg" TargetMode="External"/><Relationship Id="rId1313" Type="http://schemas.openxmlformats.org/officeDocument/2006/relationships/hyperlink" Target="https://twitter.com/CreditChemist" TargetMode="External"/><Relationship Id="rId4883" Type="http://schemas.openxmlformats.org/officeDocument/2006/relationships/hyperlink" Target="https://twitter.com/tagesschau" TargetMode="External"/><Relationship Id="rId5934" Type="http://schemas.openxmlformats.org/officeDocument/2006/relationships/hyperlink" Target="https://pbs.twimg.com/profile_images/570375988065935360/ooT_Nq7x_normal.jpeg" TargetMode="External"/><Relationship Id="rId14477" Type="http://schemas.openxmlformats.org/officeDocument/2006/relationships/hyperlink" Target="https://pbs.twimg.com/profile_images/471360227137163264/w2Gvricp_normal.png" TargetMode="External"/><Relationship Id="rId15528" Type="http://schemas.openxmlformats.org/officeDocument/2006/relationships/hyperlink" Target="https://twitter.com/VWCamperSales" TargetMode="External"/><Relationship Id="rId21693" Type="http://schemas.openxmlformats.org/officeDocument/2006/relationships/hyperlink" Target="https://pbs.twimg.com/profile_images/635928163755823104/1oTH8iM2_normal.png" TargetMode="External"/><Relationship Id="rId22744" Type="http://schemas.openxmlformats.org/officeDocument/2006/relationships/hyperlink" Target="https://twitter.com/Insta_VWT" TargetMode="External"/><Relationship Id="rId3485" Type="http://schemas.openxmlformats.org/officeDocument/2006/relationships/hyperlink" Target="https://pbs.twimg.com/profile_images/720834831408443392/brx71tjG_normal.jpg" TargetMode="External"/><Relationship Id="rId4536" Type="http://schemas.openxmlformats.org/officeDocument/2006/relationships/hyperlink" Target="https://twitter.com/EinsteinLaw" TargetMode="External"/><Relationship Id="rId13079" Type="http://schemas.openxmlformats.org/officeDocument/2006/relationships/hyperlink" Target="https://twitter.com/hesselmann" TargetMode="External"/><Relationship Id="rId18001" Type="http://schemas.openxmlformats.org/officeDocument/2006/relationships/hyperlink" Target="https://twitter.com/Tipperaryphotos" TargetMode="External"/><Relationship Id="rId20295" Type="http://schemas.openxmlformats.org/officeDocument/2006/relationships/hyperlink" Target="https://twitter.com/sinanyuz/status/723988892249165824" TargetMode="External"/><Relationship Id="rId21346" Type="http://schemas.openxmlformats.org/officeDocument/2006/relationships/hyperlink" Target="https://pbs.twimg.com/profile_images/682117963349135360/IUfZQy35_normal.png" TargetMode="External"/><Relationship Id="rId2087" Type="http://schemas.openxmlformats.org/officeDocument/2006/relationships/hyperlink" Target="https://twitter.com/michellelove13/status/723081059294941185" TargetMode="External"/><Relationship Id="rId3138" Type="http://schemas.openxmlformats.org/officeDocument/2006/relationships/hyperlink" Target="https://pbs.twimg.com/profile_images/477438671151304705/8XlAQ509_normal.jpeg" TargetMode="External"/><Relationship Id="rId7759" Type="http://schemas.openxmlformats.org/officeDocument/2006/relationships/hyperlink" Target="https://pbs.twimg.com/profile_images/704320206710153216/KzmLzfVa_normal.jpg" TargetMode="External"/><Relationship Id="rId24569" Type="http://schemas.openxmlformats.org/officeDocument/2006/relationships/hyperlink" Target="https://pbs.twimg.com/profile_images/672878354127839232/M7OYc-zx_normal.jpg" TargetMode="External"/><Relationship Id="rId9181" Type="http://schemas.openxmlformats.org/officeDocument/2006/relationships/hyperlink" Target="https://twitter.com/frisch_fish/status/723424122353512448" TargetMode="External"/><Relationship Id="rId13560" Type="http://schemas.openxmlformats.org/officeDocument/2006/relationships/hyperlink" Target="https://twitter.com/estrout" TargetMode="External"/><Relationship Id="rId14611" Type="http://schemas.openxmlformats.org/officeDocument/2006/relationships/hyperlink" Target="https://twitter.com/tinteschreiber/status/723576959704375296" TargetMode="External"/><Relationship Id="rId540" Type="http://schemas.openxmlformats.org/officeDocument/2006/relationships/hyperlink" Target="https://twitter.com/jlynx2" TargetMode="External"/><Relationship Id="rId1170" Type="http://schemas.openxmlformats.org/officeDocument/2006/relationships/hyperlink" Target="https://pbs.twimg.com/profile_images/703294545195307008/qeCvrX86_normal.jpg" TargetMode="External"/><Relationship Id="rId2221" Type="http://schemas.openxmlformats.org/officeDocument/2006/relationships/hyperlink" Target="https://pbs.twimg.com/profile_images/650667637186396160/y7N_BL6R_normal.jpg" TargetMode="External"/><Relationship Id="rId12162" Type="http://schemas.openxmlformats.org/officeDocument/2006/relationships/hyperlink" Target="https://pbs.twimg.com/profile_images/688077323258753024/f8eMIOHU_normal.jpg" TargetMode="External"/><Relationship Id="rId13213" Type="http://schemas.openxmlformats.org/officeDocument/2006/relationships/hyperlink" Target="https://twitter.com/FreeAverageJoe/status/723539368481296384" TargetMode="External"/><Relationship Id="rId16783" Type="http://schemas.openxmlformats.org/officeDocument/2006/relationships/hyperlink" Target="https://twitter.com/ENLACEPUEBLA/status/723730914375659520" TargetMode="External"/><Relationship Id="rId17834" Type="http://schemas.openxmlformats.org/officeDocument/2006/relationships/hyperlink" Target="https://pbs.twimg.com/profile_images/455038456746352640/Yx84ud5Z_normal.jpeg" TargetMode="External"/><Relationship Id="rId5791" Type="http://schemas.openxmlformats.org/officeDocument/2006/relationships/hyperlink" Target="https://twitter.com/SteveGrant67/status/723217730791440384" TargetMode="External"/><Relationship Id="rId6842" Type="http://schemas.openxmlformats.org/officeDocument/2006/relationships/hyperlink" Target="https://twitter.com/HassanValji" TargetMode="External"/><Relationship Id="rId15385" Type="http://schemas.openxmlformats.org/officeDocument/2006/relationships/hyperlink" Target="https://twitter.com/Marktzyniker" TargetMode="External"/><Relationship Id="rId16436" Type="http://schemas.openxmlformats.org/officeDocument/2006/relationships/hyperlink" Target="https://twitter.com/hillbillylawns/status/723684022342291456" TargetMode="External"/><Relationship Id="rId23652" Type="http://schemas.openxmlformats.org/officeDocument/2006/relationships/hyperlink" Target="https://pbs.twimg.com/profile_images/627949001179037696/skEBkS05_normal.jpg" TargetMode="External"/><Relationship Id="rId24703" Type="http://schemas.openxmlformats.org/officeDocument/2006/relationships/hyperlink" Target="https://pbs.twimg.com/profile_images/705780107844067328/e7O4UBNb_normal.jpg" TargetMode="External"/><Relationship Id="rId4393" Type="http://schemas.openxmlformats.org/officeDocument/2006/relationships/hyperlink" Target="https://twitter.com/berlin_ny" TargetMode="External"/><Relationship Id="rId5444" Type="http://schemas.openxmlformats.org/officeDocument/2006/relationships/hyperlink" Target="https://twitter.com/golfturkiye/status/723203416764325888" TargetMode="External"/><Relationship Id="rId11995" Type="http://schemas.openxmlformats.org/officeDocument/2006/relationships/hyperlink" Target="https://twitter.com/dw_deutsch" TargetMode="External"/><Relationship Id="rId15038" Type="http://schemas.openxmlformats.org/officeDocument/2006/relationships/hyperlink" Target="https://twitter.com/Scirocco_Tuning" TargetMode="External"/><Relationship Id="rId19659" Type="http://schemas.openxmlformats.org/officeDocument/2006/relationships/hyperlink" Target="https://pbs.twimg.com/profile_images/702076247141122048/w-ws0Q67_normal.jpg" TargetMode="External"/><Relationship Id="rId22254" Type="http://schemas.openxmlformats.org/officeDocument/2006/relationships/hyperlink" Target="https://twitter.com/TheNestJR" TargetMode="External"/><Relationship Id="rId23305" Type="http://schemas.openxmlformats.org/officeDocument/2006/relationships/hyperlink" Target="https://twitter.com/joannemariol" TargetMode="External"/><Relationship Id="rId4046" Type="http://schemas.openxmlformats.org/officeDocument/2006/relationships/hyperlink" Target="https://twitter.com/EveeNaveyraa/status/723175193816997888" TargetMode="External"/><Relationship Id="rId8667" Type="http://schemas.openxmlformats.org/officeDocument/2006/relationships/hyperlink" Target="https://twitter.com/techhippie/status/723401370418585601" TargetMode="External"/><Relationship Id="rId9718" Type="http://schemas.openxmlformats.org/officeDocument/2006/relationships/hyperlink" Target="https://twitter.com/Ken_CityIndex/status/723446290491801601" TargetMode="External"/><Relationship Id="rId10597" Type="http://schemas.openxmlformats.org/officeDocument/2006/relationships/hyperlink" Target="https://twitter.com/581eGliese/status/723477833344012288" TargetMode="External"/><Relationship Id="rId11648" Type="http://schemas.openxmlformats.org/officeDocument/2006/relationships/hyperlink" Target="https://twitter.com/instock_de" TargetMode="External"/><Relationship Id="rId25477" Type="http://schemas.openxmlformats.org/officeDocument/2006/relationships/hyperlink" Target="https://twitter.com/DubLuvTuning" TargetMode="External"/><Relationship Id="rId1707" Type="http://schemas.openxmlformats.org/officeDocument/2006/relationships/hyperlink" Target="https://twitter.com/bot_innovation" TargetMode="External"/><Relationship Id="rId7269" Type="http://schemas.openxmlformats.org/officeDocument/2006/relationships/hyperlink" Target="https://twitter.com/ebaycampervans" TargetMode="External"/><Relationship Id="rId13070" Type="http://schemas.openxmlformats.org/officeDocument/2006/relationships/hyperlink" Target="https://twitter.com/Stony_BS" TargetMode="External"/><Relationship Id="rId14121" Type="http://schemas.openxmlformats.org/officeDocument/2006/relationships/hyperlink" Target="https://twitter.com/VolkswagenPost" TargetMode="External"/><Relationship Id="rId24079" Type="http://schemas.openxmlformats.org/officeDocument/2006/relationships/hyperlink" Target="https://twitter.com/cosasdeautos" TargetMode="External"/><Relationship Id="rId16293" Type="http://schemas.openxmlformats.org/officeDocument/2006/relationships/hyperlink" Target="https://pbs.twimg.com/profile_images/477178494099550208/fDwtt_6w_normal.jpeg" TargetMode="External"/><Relationship Id="rId17691" Type="http://schemas.openxmlformats.org/officeDocument/2006/relationships/hyperlink" Target="https://twitter.com/mmkassem" TargetMode="External"/><Relationship Id="rId18742" Type="http://schemas.openxmlformats.org/officeDocument/2006/relationships/hyperlink" Target="https://twitter.com/SD2MUC" TargetMode="External"/><Relationship Id="rId3879" Type="http://schemas.openxmlformats.org/officeDocument/2006/relationships/hyperlink" Target="https://twitter.com/DLFNachrichten" TargetMode="External"/><Relationship Id="rId6352" Type="http://schemas.openxmlformats.org/officeDocument/2006/relationships/hyperlink" Target="https://twitter.com/__FMR__" TargetMode="External"/><Relationship Id="rId7750" Type="http://schemas.openxmlformats.org/officeDocument/2006/relationships/hyperlink" Target="https://pbs.twimg.com/profile_images/717832026422910976/l1EK50bT_normal.jpg" TargetMode="External"/><Relationship Id="rId8801" Type="http://schemas.openxmlformats.org/officeDocument/2006/relationships/hyperlink" Target="https://twitter.com/alphazeichen" TargetMode="External"/><Relationship Id="rId10731" Type="http://schemas.openxmlformats.org/officeDocument/2006/relationships/hyperlink" Target="https://twitter.com/ThaboRamzy/status/723482371815792640" TargetMode="External"/><Relationship Id="rId17344" Type="http://schemas.openxmlformats.org/officeDocument/2006/relationships/hyperlink" Target="https://pbs.twimg.com/profile_images/554933957155115008/ExxqV_Hp_normal.jpeg" TargetMode="External"/><Relationship Id="rId20689" Type="http://schemas.openxmlformats.org/officeDocument/2006/relationships/hyperlink" Target="https://twitter.com/dubbusses/status/724027994700959744" TargetMode="External"/><Relationship Id="rId23162" Type="http://schemas.openxmlformats.org/officeDocument/2006/relationships/hyperlink" Target="https://twitter.com/FuscaWorld/status/724271583376891904" TargetMode="External"/><Relationship Id="rId24560" Type="http://schemas.openxmlformats.org/officeDocument/2006/relationships/hyperlink" Target="https://pbs.twimg.com/profile_images/1659423025/kat2_normal.jpg" TargetMode="External"/><Relationship Id="rId25611" Type="http://schemas.openxmlformats.org/officeDocument/2006/relationships/hyperlink" Target="https://twitter.com/nikoparedes4/status/724451689751805953" TargetMode="External"/><Relationship Id="rId6005" Type="http://schemas.openxmlformats.org/officeDocument/2006/relationships/hyperlink" Target="https://pbs.twimg.com/profile_images/560638556482191360/JRsHpE7o_normal.jpeg" TargetMode="External"/><Relationship Id="rId7403" Type="http://schemas.openxmlformats.org/officeDocument/2006/relationships/hyperlink" Target="https://twitter.com/MalibuMoms" TargetMode="External"/><Relationship Id="rId13954" Type="http://schemas.openxmlformats.org/officeDocument/2006/relationships/hyperlink" Target="https://twitter.com/buran63/status/723559797384204288" TargetMode="External"/><Relationship Id="rId24213" Type="http://schemas.openxmlformats.org/officeDocument/2006/relationships/hyperlink" Target="https://twitter.com/VinniesVVV" TargetMode="External"/><Relationship Id="rId2962" Type="http://schemas.openxmlformats.org/officeDocument/2006/relationships/hyperlink" Target="https://twitter.com/johnvoelcker/status/723128620953149440" TargetMode="External"/><Relationship Id="rId9575" Type="http://schemas.openxmlformats.org/officeDocument/2006/relationships/hyperlink" Target="https://twitter.com/FreeEzidis" TargetMode="External"/><Relationship Id="rId12556" Type="http://schemas.openxmlformats.org/officeDocument/2006/relationships/hyperlink" Target="https://pbs.twimg.com/profile_images/691178485/ActuautoS_normal.jpg" TargetMode="External"/><Relationship Id="rId13607" Type="http://schemas.openxmlformats.org/officeDocument/2006/relationships/hyperlink" Target="https://pbs.twimg.com/profile_images/702511217793863680/lty8h9vE_normal.jpg" TargetMode="External"/><Relationship Id="rId19169" Type="http://schemas.openxmlformats.org/officeDocument/2006/relationships/hyperlink" Target="https://pbs.twimg.com/profile_images/539607518365089793/9nksGDzp_normal.jpeg" TargetMode="External"/><Relationship Id="rId20823" Type="http://schemas.openxmlformats.org/officeDocument/2006/relationships/hyperlink" Target="https://pbs.twimg.com/profile_images/723348530883092480/kbMpoaKc_normal.jpg" TargetMode="External"/><Relationship Id="rId934" Type="http://schemas.openxmlformats.org/officeDocument/2006/relationships/hyperlink" Target="https://pbs.twimg.com/profile_images/689108532717682688/x9P6ch7c_normal.jpg" TargetMode="External"/><Relationship Id="rId1564" Type="http://schemas.openxmlformats.org/officeDocument/2006/relationships/hyperlink" Target="https://pbs.twimg.com/profile_images/666163579700277248/vIv69HhR_normal.jpg" TargetMode="External"/><Relationship Id="rId2615" Type="http://schemas.openxmlformats.org/officeDocument/2006/relationships/hyperlink" Target="https://pbs.twimg.com/profile_images/633346486823190529/bN4Fxs99_normal.jpg" TargetMode="External"/><Relationship Id="rId8177" Type="http://schemas.openxmlformats.org/officeDocument/2006/relationships/hyperlink" Target="https://pbs.twimg.com/profile_images/679749235395440641/h0ufWmoR_normal.jpg" TargetMode="External"/><Relationship Id="rId9228" Type="http://schemas.openxmlformats.org/officeDocument/2006/relationships/hyperlink" Target="https://twitter.com/t00lkit" TargetMode="External"/><Relationship Id="rId11158" Type="http://schemas.openxmlformats.org/officeDocument/2006/relationships/hyperlink" Target="https://twitter.com/franzsch2/status/723498542199889920" TargetMode="External"/><Relationship Id="rId12209" Type="http://schemas.openxmlformats.org/officeDocument/2006/relationships/hyperlink" Target="https://twitter.com/Kons1982/status/723515029551755265" TargetMode="External"/><Relationship Id="rId15779" Type="http://schemas.openxmlformats.org/officeDocument/2006/relationships/hyperlink" Target="https://twitter.com/PaluelduPlessix" TargetMode="External"/><Relationship Id="rId19650" Type="http://schemas.openxmlformats.org/officeDocument/2006/relationships/hyperlink" Target="https://pbs.twimg.com/profile_images/653637535545995264/gHuXQ5Bt_normal.jpg" TargetMode="External"/><Relationship Id="rId22995" Type="http://schemas.openxmlformats.org/officeDocument/2006/relationships/hyperlink" Target="https://twitter.com/ebaycampervans/status/724263969158897666" TargetMode="External"/><Relationship Id="rId1217" Type="http://schemas.openxmlformats.org/officeDocument/2006/relationships/hyperlink" Target="https://twitter.com/Scirocco_Tuning" TargetMode="External"/><Relationship Id="rId4787" Type="http://schemas.openxmlformats.org/officeDocument/2006/relationships/hyperlink" Target="https://twitter.com/GabrielSaizOk/status/723187791232946176" TargetMode="External"/><Relationship Id="rId5838" Type="http://schemas.openxmlformats.org/officeDocument/2006/relationships/hyperlink" Target="https://pbs.twimg.com/profile_images/699913841388449792/Bz17p4to_normal.jpg" TargetMode="External"/><Relationship Id="rId18252" Type="http://schemas.openxmlformats.org/officeDocument/2006/relationships/hyperlink" Target="https://twitter.com/Jh0nX/status/723858732988375040" TargetMode="External"/><Relationship Id="rId19303" Type="http://schemas.openxmlformats.org/officeDocument/2006/relationships/hyperlink" Target="https://twitter.com/DigitalFuehrung" TargetMode="External"/><Relationship Id="rId21597" Type="http://schemas.openxmlformats.org/officeDocument/2006/relationships/hyperlink" Target="https://pbs.twimg.com/profile_images/720582436304908288/SqAQ3rKG_normal.jpg" TargetMode="External"/><Relationship Id="rId22648" Type="http://schemas.openxmlformats.org/officeDocument/2006/relationships/hyperlink" Target="https://twitter.com/daichidayo27" TargetMode="External"/><Relationship Id="rId3389" Type="http://schemas.openxmlformats.org/officeDocument/2006/relationships/hyperlink" Target="https://twitter.com/Fotobiene" TargetMode="External"/><Relationship Id="rId7260" Type="http://schemas.openxmlformats.org/officeDocument/2006/relationships/hyperlink" Target="https://twitter.com/FlorMusante_" TargetMode="External"/><Relationship Id="rId8311" Type="http://schemas.openxmlformats.org/officeDocument/2006/relationships/hyperlink" Target="https://twitter.com/avtogid_kg/status/723382578816815104" TargetMode="External"/><Relationship Id="rId20199" Type="http://schemas.openxmlformats.org/officeDocument/2006/relationships/hyperlink" Target="https://pbs.twimg.com/profile_images/446781974452371456/rqBZF-KN_normal.jpeg" TargetMode="External"/><Relationship Id="rId24070" Type="http://schemas.openxmlformats.org/officeDocument/2006/relationships/hyperlink" Target="https://twitter.com/VWCamperSales/status/724330125932683264" TargetMode="External"/><Relationship Id="rId25121" Type="http://schemas.openxmlformats.org/officeDocument/2006/relationships/hyperlink" Target="https://twitter.com/cmsGOMEX/status/724421212001173504" TargetMode="External"/><Relationship Id="rId10241" Type="http://schemas.openxmlformats.org/officeDocument/2006/relationships/hyperlink" Target="https://twitter.com/Power_Cars" TargetMode="External"/><Relationship Id="rId14862" Type="http://schemas.openxmlformats.org/officeDocument/2006/relationships/hyperlink" Target="https://twitter.com/chefwickler" TargetMode="External"/><Relationship Id="rId15913" Type="http://schemas.openxmlformats.org/officeDocument/2006/relationships/hyperlink" Target="https://pbs.twimg.com/profile_images/681258719137644544/shq1eo4o_normal.jpg" TargetMode="External"/><Relationship Id="rId3870" Type="http://schemas.openxmlformats.org/officeDocument/2006/relationships/hyperlink" Target="https://twitter.com/matthiasgott" TargetMode="External"/><Relationship Id="rId4921" Type="http://schemas.openxmlformats.org/officeDocument/2006/relationships/hyperlink" Target="http://webaraba.com/" TargetMode="External"/><Relationship Id="rId9085" Type="http://schemas.openxmlformats.org/officeDocument/2006/relationships/hyperlink" Target="https://twitter.com/Bellitum" TargetMode="External"/><Relationship Id="rId13464" Type="http://schemas.openxmlformats.org/officeDocument/2006/relationships/hyperlink" Target="https://pbs.twimg.com/profile_images/652871584131092480/QA_B6SBO_normal.jpg" TargetMode="External"/><Relationship Id="rId14515" Type="http://schemas.openxmlformats.org/officeDocument/2006/relationships/hyperlink" Target="https://twitter.com/Creeperagent/status/723575073475538947" TargetMode="External"/><Relationship Id="rId20680" Type="http://schemas.openxmlformats.org/officeDocument/2006/relationships/hyperlink" Target="https://twitter.com/OnlineCarReview/status/724025627020390401" TargetMode="External"/><Relationship Id="rId21731" Type="http://schemas.openxmlformats.org/officeDocument/2006/relationships/hyperlink" Target="https://pbs.twimg.com/profile_images/690068229562241028/dtAFj2bm_normal.jpg" TargetMode="External"/><Relationship Id="rId791" Type="http://schemas.openxmlformats.org/officeDocument/2006/relationships/hyperlink" Target="https://pbs.twimg.com/profile_images/627949001179037696/skEBkS05_normal.jpg" TargetMode="External"/><Relationship Id="rId1074" Type="http://schemas.openxmlformats.org/officeDocument/2006/relationships/hyperlink" Target="https://twitter.com/Imtweetingtoo" TargetMode="External"/><Relationship Id="rId2472" Type="http://schemas.openxmlformats.org/officeDocument/2006/relationships/hyperlink" Target="https://twitter.com/treibholzfilm" TargetMode="External"/><Relationship Id="rId3523" Type="http://schemas.openxmlformats.org/officeDocument/2006/relationships/hyperlink" Target="https://twitter.com/pcbritz/status/723161805992919040" TargetMode="External"/><Relationship Id="rId12066" Type="http://schemas.openxmlformats.org/officeDocument/2006/relationships/hyperlink" Target="https://pbs.twimg.com/profile_images/557479172256194561/6F1rsS4X_normal.jpeg" TargetMode="External"/><Relationship Id="rId13117" Type="http://schemas.openxmlformats.org/officeDocument/2006/relationships/hyperlink" Target="https://twitter.com/franka_kuehn" TargetMode="External"/><Relationship Id="rId16687" Type="http://schemas.openxmlformats.org/officeDocument/2006/relationships/hyperlink" Target="https://pbs.twimg.com/profile_images/638327600486719488/Z-1qM3qs_normal.jpg" TargetMode="External"/><Relationship Id="rId17738" Type="http://schemas.openxmlformats.org/officeDocument/2006/relationships/hyperlink" Target="https://pbs.twimg.com/profile_images/526171583657041920/7uIzdVbX_normal.jpeg" TargetMode="External"/><Relationship Id="rId20333" Type="http://schemas.openxmlformats.org/officeDocument/2006/relationships/hyperlink" Target="https://twitter.com/LaurenH51219678" TargetMode="External"/><Relationship Id="rId24954" Type="http://schemas.openxmlformats.org/officeDocument/2006/relationships/hyperlink" Target="https://twitter.com/fabian_messner" TargetMode="External"/><Relationship Id="rId444" Type="http://schemas.openxmlformats.org/officeDocument/2006/relationships/hyperlink" Target="https://twitter.com/nealboudette/status/722959705077866496" TargetMode="External"/><Relationship Id="rId2125" Type="http://schemas.openxmlformats.org/officeDocument/2006/relationships/hyperlink" Target="https://twitter.com/Scirocco_Tuning" TargetMode="External"/><Relationship Id="rId5695" Type="http://schemas.openxmlformats.org/officeDocument/2006/relationships/hyperlink" Target="https://pbs.twimg.com/profile_images/653000489265565697/b89Iw5Yy_normal.jpg" TargetMode="External"/><Relationship Id="rId6746" Type="http://schemas.openxmlformats.org/officeDocument/2006/relationships/hyperlink" Target="https://twitter.com/amantomatimou/status/723256866315337729" TargetMode="External"/><Relationship Id="rId15289" Type="http://schemas.openxmlformats.org/officeDocument/2006/relationships/hyperlink" Target="https://twitter.com/coolspringsvw" TargetMode="External"/><Relationship Id="rId19160" Type="http://schemas.openxmlformats.org/officeDocument/2006/relationships/hyperlink" Target="https://twitter.com/mobiliteit_BIZ" TargetMode="External"/><Relationship Id="rId23556" Type="http://schemas.openxmlformats.org/officeDocument/2006/relationships/hyperlink" Target="https://twitter.com/VWBeetleSales" TargetMode="External"/><Relationship Id="rId24607" Type="http://schemas.openxmlformats.org/officeDocument/2006/relationships/hyperlink" Target="https://twitter.com/acvwpassion/status/724376164500922368" TargetMode="External"/><Relationship Id="rId4297" Type="http://schemas.openxmlformats.org/officeDocument/2006/relationships/hyperlink" Target="https://twitter.com/BILD_Reporter/status/723179002140233728" TargetMode="External"/><Relationship Id="rId5348" Type="http://schemas.openxmlformats.org/officeDocument/2006/relationships/hyperlink" Target="https://twitter.com/DiscountBomb/status/723200415530000384" TargetMode="External"/><Relationship Id="rId9969" Type="http://schemas.openxmlformats.org/officeDocument/2006/relationships/hyperlink" Target="https://pbs.twimg.com/profile_images/627949001179037696/skEBkS05_normal.jpg" TargetMode="External"/><Relationship Id="rId12200" Type="http://schemas.openxmlformats.org/officeDocument/2006/relationships/hyperlink" Target="https://twitter.com/unioner23/status/723514866233913344" TargetMode="External"/><Relationship Id="rId22158" Type="http://schemas.openxmlformats.org/officeDocument/2006/relationships/hyperlink" Target="https://twitter.com/Goebel_Michelle/status/724205729184407552" TargetMode="External"/><Relationship Id="rId23209" Type="http://schemas.openxmlformats.org/officeDocument/2006/relationships/hyperlink" Target="https://twitter.com/LangeNase/status/724273296477421569" TargetMode="External"/><Relationship Id="rId11899" Type="http://schemas.openxmlformats.org/officeDocument/2006/relationships/hyperlink" Target="https://pbs.twimg.com/profile_images/570893108095639552/IiOlHTmM_normal.jpeg" TargetMode="External"/><Relationship Id="rId14372" Type="http://schemas.openxmlformats.org/officeDocument/2006/relationships/hyperlink" Target="https://twitter.com/beetlebug1938" TargetMode="External"/><Relationship Id="rId15770" Type="http://schemas.openxmlformats.org/officeDocument/2006/relationships/hyperlink" Target="https://twitter.com/VWCamperSales/status/723623899561250816" TargetMode="External"/><Relationship Id="rId16821" Type="http://schemas.openxmlformats.org/officeDocument/2006/relationships/hyperlink" Target="https://twitter.com/enzodaviid/status/723738229799837696" TargetMode="External"/><Relationship Id="rId1958" Type="http://schemas.openxmlformats.org/officeDocument/2006/relationships/hyperlink" Target="https://pbs.twimg.com/profile_images/659295730222280705/W1FqHCVo_normal.jpg" TargetMode="External"/><Relationship Id="rId3380" Type="http://schemas.openxmlformats.org/officeDocument/2006/relationships/hyperlink" Target="https://twitter.com/Enigma424" TargetMode="External"/><Relationship Id="rId4431" Type="http://schemas.openxmlformats.org/officeDocument/2006/relationships/hyperlink" Target="https://twitter.com/ABC_Driver/status/723180975581192192" TargetMode="External"/><Relationship Id="rId14025" Type="http://schemas.openxmlformats.org/officeDocument/2006/relationships/hyperlink" Target="https://twitter.com/dianapop/status/723561930561085441" TargetMode="External"/><Relationship Id="rId15423" Type="http://schemas.openxmlformats.org/officeDocument/2006/relationships/hyperlink" Target="https://pbs.twimg.com/profile_images/1169387207/uhu_normal.jpg" TargetMode="External"/><Relationship Id="rId18993" Type="http://schemas.openxmlformats.org/officeDocument/2006/relationships/hyperlink" Target="https://pbs.twimg.com/profile_images/424893967197433858/iQ86NktX_normal.jpeg" TargetMode="External"/><Relationship Id="rId20190" Type="http://schemas.openxmlformats.org/officeDocument/2006/relationships/hyperlink" Target="https://pbs.twimg.com/profile_images/378800000330646969/343958b5e040bb86446ac20869b5ed1a_normal.jpeg" TargetMode="External"/><Relationship Id="rId21241" Type="http://schemas.openxmlformats.org/officeDocument/2006/relationships/hyperlink" Target="https://pbs.twimg.com/profile_images/789711681/s2_normal.bmp" TargetMode="External"/><Relationship Id="rId3033" Type="http://schemas.openxmlformats.org/officeDocument/2006/relationships/hyperlink" Target="https://twitter.com/beetlebug1938" TargetMode="External"/><Relationship Id="rId10982" Type="http://schemas.openxmlformats.org/officeDocument/2006/relationships/hyperlink" Target="https://pbs.twimg.com/profile_images/595486519890210816/oFzeEgOj_normal.jpg" TargetMode="External"/><Relationship Id="rId17595" Type="http://schemas.openxmlformats.org/officeDocument/2006/relationships/hyperlink" Target="https://pbs.twimg.com/profile_images/722314860021854208/21bQNWO6_normal.jpg" TargetMode="External"/><Relationship Id="rId18646" Type="http://schemas.openxmlformats.org/officeDocument/2006/relationships/hyperlink" Target="https://twitter.com/Danny5140/status/723887480953536513" TargetMode="External"/><Relationship Id="rId7654" Type="http://schemas.openxmlformats.org/officeDocument/2006/relationships/hyperlink" Target="https://twitter.com/ModzGarage/status/723321693515603968" TargetMode="External"/><Relationship Id="rId8705" Type="http://schemas.openxmlformats.org/officeDocument/2006/relationships/hyperlink" Target="https://pbs.twimg.com/profile_images/699878662313746432/BuMJ4YhB_normal.jpg" TargetMode="External"/><Relationship Id="rId10635" Type="http://schemas.openxmlformats.org/officeDocument/2006/relationships/hyperlink" Target="http://dlvr.it/" TargetMode="External"/><Relationship Id="rId16197" Type="http://schemas.openxmlformats.org/officeDocument/2006/relationships/hyperlink" Target="https://pbs.twimg.com/profile_images/627949001179037696/skEBkS05_normal.jpg" TargetMode="External"/><Relationship Id="rId17248" Type="http://schemas.openxmlformats.org/officeDocument/2006/relationships/hyperlink" Target="https://twitter.com/theroguegents/status/723783196383522817" TargetMode="External"/><Relationship Id="rId24464" Type="http://schemas.openxmlformats.org/officeDocument/2006/relationships/hyperlink" Target="http://dlvr.it/" TargetMode="External"/><Relationship Id="rId25515" Type="http://schemas.openxmlformats.org/officeDocument/2006/relationships/hyperlink" Target="https://pbs.twimg.com/profile_images/378800000341166778/f53681e83985bbd49e5ff4ae1267bf66_normal.jpeg" TargetMode="External"/><Relationship Id="rId6256" Type="http://schemas.openxmlformats.org/officeDocument/2006/relationships/hyperlink" Target="https://twitter.com/AutoExpress/status/723236644111847426" TargetMode="External"/><Relationship Id="rId7307" Type="http://schemas.openxmlformats.org/officeDocument/2006/relationships/hyperlink" Target="https://pbs.twimg.com/profile_images/703294545195307008/qeCvrX86_normal.jpg" TargetMode="External"/><Relationship Id="rId13858" Type="http://schemas.openxmlformats.org/officeDocument/2006/relationships/hyperlink" Target="https://pbs.twimg.com/profile_images/666708094274174976/lKR_DgZw_normal.jpg" TargetMode="External"/><Relationship Id="rId23066" Type="http://schemas.openxmlformats.org/officeDocument/2006/relationships/hyperlink" Target="https://twitter.com/VWCamperSales" TargetMode="External"/><Relationship Id="rId24117" Type="http://schemas.openxmlformats.org/officeDocument/2006/relationships/hyperlink" Target="https://twitter.com/TonyLemale" TargetMode="External"/><Relationship Id="rId2866" Type="http://schemas.openxmlformats.org/officeDocument/2006/relationships/hyperlink" Target="http://dlvr.it/" TargetMode="External"/><Relationship Id="rId3917" Type="http://schemas.openxmlformats.org/officeDocument/2006/relationships/hyperlink" Target="https://pbs.twimg.com/profile_images/573248726212325376/60EMO_jJ_normal.jpeg" TargetMode="External"/><Relationship Id="rId9479" Type="http://schemas.openxmlformats.org/officeDocument/2006/relationships/hyperlink" Target="https://pbs.twimg.com/profile_images/712241480937644032/oD5uEdC4_normal.jpg" TargetMode="External"/><Relationship Id="rId14909" Type="http://schemas.openxmlformats.org/officeDocument/2006/relationships/hyperlink" Target="https://pbs.twimg.com/profile_images/698395851199287297/02pwFeVG_normal.jpg" TargetMode="External"/><Relationship Id="rId15280" Type="http://schemas.openxmlformats.org/officeDocument/2006/relationships/hyperlink" Target="https://twitter.com/UniversityVW" TargetMode="External"/><Relationship Id="rId16331" Type="http://schemas.openxmlformats.org/officeDocument/2006/relationships/hyperlink" Target="https://twitter.com/FuscaWorld/status/723669189513338880" TargetMode="External"/><Relationship Id="rId20727" Type="http://schemas.openxmlformats.org/officeDocument/2006/relationships/hyperlink" Target="https://twitter.com/canc27/status/724032438968659968" TargetMode="External"/><Relationship Id="rId838" Type="http://schemas.openxmlformats.org/officeDocument/2006/relationships/hyperlink" Target="https://twitter.com/PanchaliH/status/722990442082648064" TargetMode="External"/><Relationship Id="rId1468" Type="http://schemas.openxmlformats.org/officeDocument/2006/relationships/hyperlink" Target="https://twitter.com/11271101K/status/723042178197426177" TargetMode="External"/><Relationship Id="rId2519" Type="http://schemas.openxmlformats.org/officeDocument/2006/relationships/hyperlink" Target="https://twitter.com/FuscaWorld" TargetMode="External"/><Relationship Id="rId23200" Type="http://schemas.openxmlformats.org/officeDocument/2006/relationships/hyperlink" Target="https://twitter.com/Mainman777/status/724272961230872576" TargetMode="External"/><Relationship Id="rId8562" Type="http://schemas.openxmlformats.org/officeDocument/2006/relationships/hyperlink" Target="https://twitter.com/Beukennon/status/723394286398533632" TargetMode="External"/><Relationship Id="rId9960" Type="http://schemas.openxmlformats.org/officeDocument/2006/relationships/hyperlink" Target="https://twitter.com/wolf_Sti" TargetMode="External"/><Relationship Id="rId11890" Type="http://schemas.openxmlformats.org/officeDocument/2006/relationships/hyperlink" Target="https://twitter.com/RickStrickler/status/723509540113793024" TargetMode="External"/><Relationship Id="rId12941" Type="http://schemas.openxmlformats.org/officeDocument/2006/relationships/hyperlink" Target="https://pbs.twimg.com/profile_images/669541061711261696/eOfP0YD8_normal.png" TargetMode="External"/><Relationship Id="rId18156" Type="http://schemas.openxmlformats.org/officeDocument/2006/relationships/hyperlink" Target="https://twitter.com/shochi_hh" TargetMode="External"/><Relationship Id="rId19554" Type="http://schemas.openxmlformats.org/officeDocument/2006/relationships/hyperlink" Target="https://twitter.com/re_keogh/status/723940218928291840" TargetMode="External"/><Relationship Id="rId22899" Type="http://schemas.openxmlformats.org/officeDocument/2006/relationships/hyperlink" Target="https://twitter.com/dubbusses/status/724254439259906048" TargetMode="External"/><Relationship Id="rId25372" Type="http://schemas.openxmlformats.org/officeDocument/2006/relationships/hyperlink" Target="https://twitter.com/VCT_Tweets/status/724433168468684800" TargetMode="External"/><Relationship Id="rId7164" Type="http://schemas.openxmlformats.org/officeDocument/2006/relationships/hyperlink" Target="https://pbs.twimg.com/profile_images/658739197503754240/o31MV5mf_normal.jpg" TargetMode="External"/><Relationship Id="rId8215" Type="http://schemas.openxmlformats.org/officeDocument/2006/relationships/hyperlink" Target="https://twitter.com/Fuhrparkverband/status/723377861965443072" TargetMode="External"/><Relationship Id="rId9613" Type="http://schemas.openxmlformats.org/officeDocument/2006/relationships/hyperlink" Target="https://twitter.com/VolkswagenPost/status/723442654713802753" TargetMode="External"/><Relationship Id="rId10492" Type="http://schemas.openxmlformats.org/officeDocument/2006/relationships/hyperlink" Target="https://pbs.twimg.com/profile_images/621273517477265409/8-53PStR_normal.jpg" TargetMode="External"/><Relationship Id="rId11543" Type="http://schemas.openxmlformats.org/officeDocument/2006/relationships/hyperlink" Target="https://twitter.com/ZDFinfo/status/723503270401048576" TargetMode="External"/><Relationship Id="rId19207" Type="http://schemas.openxmlformats.org/officeDocument/2006/relationships/hyperlink" Target="https://pbs.twimg.com/profile_images/682538822219923456/2__NXhqj_normal.png" TargetMode="External"/><Relationship Id="rId25025" Type="http://schemas.openxmlformats.org/officeDocument/2006/relationships/hyperlink" Target="https://twitter.com/Lil_Lorii/status/724412302355619841" TargetMode="External"/><Relationship Id="rId1602" Type="http://schemas.openxmlformats.org/officeDocument/2006/relationships/hyperlink" Target="https://twitter.com/JulieTestAchats/status/723048782515081216" TargetMode="External"/><Relationship Id="rId10145" Type="http://schemas.openxmlformats.org/officeDocument/2006/relationships/hyperlink" Target="https://twitter.com/MaxNLamping/status/723464276736921600" TargetMode="External"/><Relationship Id="rId14766" Type="http://schemas.openxmlformats.org/officeDocument/2006/relationships/hyperlink" Target="https://pbs.twimg.com/profile_images/474199090587107328/U8lZx9ej_normal.png" TargetMode="External"/><Relationship Id="rId15817" Type="http://schemas.openxmlformats.org/officeDocument/2006/relationships/hyperlink" Target="https://pbs.twimg.com/profile_images/718998805060927488/ds5qOEpX_normal.jpg" TargetMode="External"/><Relationship Id="rId21982" Type="http://schemas.openxmlformats.org/officeDocument/2006/relationships/hyperlink" Target="https://twitter.com/Globosus/status/724192523883843585" TargetMode="External"/><Relationship Id="rId3774" Type="http://schemas.openxmlformats.org/officeDocument/2006/relationships/hyperlink" Target="https://twitter.com/HAZ/status/723169276106936321" TargetMode="External"/><Relationship Id="rId4825" Type="http://schemas.openxmlformats.org/officeDocument/2006/relationships/hyperlink" Target="https://twitter.com/lozvaal" TargetMode="External"/><Relationship Id="rId13368" Type="http://schemas.openxmlformats.org/officeDocument/2006/relationships/hyperlink" Target="https://twitter.com/Gatocca/status/723544837761449984" TargetMode="External"/><Relationship Id="rId14419" Type="http://schemas.openxmlformats.org/officeDocument/2006/relationships/hyperlink" Target="http://dlvr.it/" TargetMode="External"/><Relationship Id="rId17989" Type="http://schemas.openxmlformats.org/officeDocument/2006/relationships/hyperlink" Target="https://twitter.com/04Francene" TargetMode="External"/><Relationship Id="rId20584" Type="http://schemas.openxmlformats.org/officeDocument/2006/relationships/hyperlink" Target="https://twitter.com/suhailrahmed" TargetMode="External"/><Relationship Id="rId21635" Type="http://schemas.openxmlformats.org/officeDocument/2006/relationships/hyperlink" Target="http://ctrlq.org/maps/address/" TargetMode="External"/><Relationship Id="rId695" Type="http://schemas.openxmlformats.org/officeDocument/2006/relationships/hyperlink" Target="https://pbs.twimg.com/profile_images/568180812365824000/UV_KgHoo_normal.jpeg" TargetMode="External"/><Relationship Id="rId2376" Type="http://schemas.openxmlformats.org/officeDocument/2006/relationships/hyperlink" Target="https://twitter.com/felix_wiedemann/status/723097447338110976" TargetMode="External"/><Relationship Id="rId3427" Type="http://schemas.openxmlformats.org/officeDocument/2006/relationships/hyperlink" Target="https://pbs.twimg.com/profile_images/635800022383259648/c4Dg1dfx_normal.jpg" TargetMode="External"/><Relationship Id="rId6997" Type="http://schemas.openxmlformats.org/officeDocument/2006/relationships/hyperlink" Target="https://twitter.com/littleredblog" TargetMode="External"/><Relationship Id="rId20237" Type="http://schemas.openxmlformats.org/officeDocument/2006/relationships/hyperlink" Target="https://twitter.com/MuppetRider/status/723983569459265537" TargetMode="External"/><Relationship Id="rId24858" Type="http://schemas.openxmlformats.org/officeDocument/2006/relationships/hyperlink" Target="https://twitter.com/moteking25/status/724393603036893184" TargetMode="External"/><Relationship Id="rId348" Type="http://schemas.openxmlformats.org/officeDocument/2006/relationships/hyperlink" Target="https://twitter.com/panicswitch777/status/722949791458529281" TargetMode="External"/><Relationship Id="rId2029" Type="http://schemas.openxmlformats.org/officeDocument/2006/relationships/hyperlink" Target="https://twitter.com/JasonAdelaCruz/status/723078135856672768" TargetMode="External"/><Relationship Id="rId5599" Type="http://schemas.openxmlformats.org/officeDocument/2006/relationships/hyperlink" Target="https://twitter.com/Marktzyniker" TargetMode="External"/><Relationship Id="rId9470" Type="http://schemas.openxmlformats.org/officeDocument/2006/relationships/hyperlink" Target="https://twitter.com/peredaNacho2" TargetMode="External"/><Relationship Id="rId14900" Type="http://schemas.openxmlformats.org/officeDocument/2006/relationships/hyperlink" Target="https://pbs.twimg.com/profile_images/643472118177525760/w0sM5P_N_normal.jpg" TargetMode="External"/><Relationship Id="rId19064" Type="http://schemas.openxmlformats.org/officeDocument/2006/relationships/hyperlink" Target="https://pbs.twimg.com/profile_images/650778349535633410/5nUr5aU0_normal.jpg" TargetMode="External"/><Relationship Id="rId2510" Type="http://schemas.openxmlformats.org/officeDocument/2006/relationships/hyperlink" Target="https://twitter.com/nickhughesfood" TargetMode="External"/><Relationship Id="rId8072" Type="http://schemas.openxmlformats.org/officeDocument/2006/relationships/hyperlink" Target="https://twitter.com/oldcar_photo" TargetMode="External"/><Relationship Id="rId9123" Type="http://schemas.openxmlformats.org/officeDocument/2006/relationships/hyperlink" Target="http://ctrlq.org/maps/address/" TargetMode="External"/><Relationship Id="rId11053" Type="http://schemas.openxmlformats.org/officeDocument/2006/relationships/hyperlink" Target="https://twitter.com/LindsayLithgow" TargetMode="External"/><Relationship Id="rId12104" Type="http://schemas.openxmlformats.org/officeDocument/2006/relationships/hyperlink" Target="https://twitter.com/likedeeler3" TargetMode="External"/><Relationship Id="rId12451" Type="http://schemas.openxmlformats.org/officeDocument/2006/relationships/hyperlink" Target="https://twitter.com/mokomokai" TargetMode="External"/><Relationship Id="rId13502" Type="http://schemas.openxmlformats.org/officeDocument/2006/relationships/hyperlink" Target="https://twitter.com/economia_feed_0" TargetMode="External"/><Relationship Id="rId1112" Type="http://schemas.openxmlformats.org/officeDocument/2006/relationships/hyperlink" Target="https://twitter.com/DMBRICH" TargetMode="External"/><Relationship Id="rId15674" Type="http://schemas.openxmlformats.org/officeDocument/2006/relationships/hyperlink" Target="https://pbs.twimg.com/profile_images/544061403317796864/-1uYRPtD_normal.jpeg" TargetMode="External"/><Relationship Id="rId16725" Type="http://schemas.openxmlformats.org/officeDocument/2006/relationships/hyperlink" Target="https://pbs.twimg.com/profile_images/674866085213130752/qAlZEGhV_normal.jpg" TargetMode="External"/><Relationship Id="rId22890" Type="http://schemas.openxmlformats.org/officeDocument/2006/relationships/hyperlink" Target="https://twitter.com/dubbusses/status/724254370431418368" TargetMode="External"/><Relationship Id="rId23941" Type="http://schemas.openxmlformats.org/officeDocument/2006/relationships/hyperlink" Target="https://pbs.twimg.com/profile_images/718835727027580928/1ssyQ67y_normal.jpg" TargetMode="External"/><Relationship Id="rId3284" Type="http://schemas.openxmlformats.org/officeDocument/2006/relationships/hyperlink" Target="https://twitter.com/lhmvolkswagenaz" TargetMode="External"/><Relationship Id="rId4682" Type="http://schemas.openxmlformats.org/officeDocument/2006/relationships/hyperlink" Target="https://pbs.twimg.com/profile_images/713527836900986880/BWxJ03rj_normal.jpg" TargetMode="External"/><Relationship Id="rId5733" Type="http://schemas.openxmlformats.org/officeDocument/2006/relationships/hyperlink" Target="https://twitter.com/RiveGaucheWestU/status/723214952291409921" TargetMode="External"/><Relationship Id="rId14276" Type="http://schemas.openxmlformats.org/officeDocument/2006/relationships/hyperlink" Target="https://twitter.com/LucasSampieri/status/723571292021133312" TargetMode="External"/><Relationship Id="rId15327" Type="http://schemas.openxmlformats.org/officeDocument/2006/relationships/hyperlink" Target="https://twitter.com/AdamBartram/status/723603693397008384" TargetMode="External"/><Relationship Id="rId18897" Type="http://schemas.openxmlformats.org/officeDocument/2006/relationships/hyperlink" Target="https://twitter.com/LookersVW/status/723904293137354752" TargetMode="External"/><Relationship Id="rId19948" Type="http://schemas.openxmlformats.org/officeDocument/2006/relationships/hyperlink" Target="https://twitter.com/acvwpassion" TargetMode="External"/><Relationship Id="rId20094" Type="http://schemas.openxmlformats.org/officeDocument/2006/relationships/hyperlink" Target="https://twitter.com/From_Apexhunter/status/723975386976104450" TargetMode="External"/><Relationship Id="rId21492" Type="http://schemas.openxmlformats.org/officeDocument/2006/relationships/hyperlink" Target="https://twitter.com/VWBeetleSales" TargetMode="External"/><Relationship Id="rId22543" Type="http://schemas.openxmlformats.org/officeDocument/2006/relationships/hyperlink" Target="https://pbs.twimg.com/profile_images/672878354127839232/M7OYc-zx_normal.jpg" TargetMode="External"/><Relationship Id="rId4335" Type="http://schemas.openxmlformats.org/officeDocument/2006/relationships/hyperlink" Target="https://twitter.com/srfnews/status/723179471344427008" TargetMode="External"/><Relationship Id="rId8956" Type="http://schemas.openxmlformats.org/officeDocument/2006/relationships/hyperlink" Target="https://pbs.twimg.com/profile_images/3754568961/ecb09e66d77e82599a123fb12680eed5_normal.png" TargetMode="External"/><Relationship Id="rId10886" Type="http://schemas.openxmlformats.org/officeDocument/2006/relationships/hyperlink" Target="https://pbs.twimg.com/profile_images/378800000442162946/ebfcb0ee4c3c48b161f46ed046b9f28a_normal.jpeg" TargetMode="External"/><Relationship Id="rId11937" Type="http://schemas.openxmlformats.org/officeDocument/2006/relationships/hyperlink" Target="https://twitter.com/lisapaus/status/723510598114394113" TargetMode="External"/><Relationship Id="rId17499" Type="http://schemas.openxmlformats.org/officeDocument/2006/relationships/hyperlink" Target="https://pbs.twimg.com/profile_images/723551574753181696/dgFYSYhf_normal.jpg" TargetMode="External"/><Relationship Id="rId21145" Type="http://schemas.openxmlformats.org/officeDocument/2006/relationships/hyperlink" Target="https://pbs.twimg.com/profile_images/1610421423/Image2_normal.jpg" TargetMode="External"/><Relationship Id="rId7558" Type="http://schemas.openxmlformats.org/officeDocument/2006/relationships/hyperlink" Target="https://twitter.com/NoSeaEstupldo/status/723312790111412224" TargetMode="External"/><Relationship Id="rId8609" Type="http://schemas.openxmlformats.org/officeDocument/2006/relationships/hyperlink" Target="https://twitter.com/Scirocco_Tuning" TargetMode="External"/><Relationship Id="rId10539" Type="http://schemas.openxmlformats.org/officeDocument/2006/relationships/hyperlink" Target="https://twitter.com/AniQ0624/status/723476112895029248" TargetMode="External"/><Relationship Id="rId14410" Type="http://schemas.openxmlformats.org/officeDocument/2006/relationships/hyperlink" Target="https://pbs.twimg.com/profile_images/623907147819155456/6Cl14LSJ_normal.jpg" TargetMode="External"/><Relationship Id="rId24368" Type="http://schemas.openxmlformats.org/officeDocument/2006/relationships/hyperlink" Target="https://twitter.com/jorgej98" TargetMode="External"/><Relationship Id="rId25419" Type="http://schemas.openxmlformats.org/officeDocument/2006/relationships/hyperlink" Target="https://pbs.twimg.com/profile_images/613134211919187968/P_pW7EHj_normal.jpg" TargetMode="External"/><Relationship Id="rId13012" Type="http://schemas.openxmlformats.org/officeDocument/2006/relationships/hyperlink" Target="https://pbs.twimg.com/profile_images/694670422856564737/F95Ol6fY_normal.jpg" TargetMode="External"/><Relationship Id="rId16582" Type="http://schemas.openxmlformats.org/officeDocument/2006/relationships/hyperlink" Target="https://twitter.com/SuperCub1981" TargetMode="External"/><Relationship Id="rId17980" Type="http://schemas.openxmlformats.org/officeDocument/2006/relationships/hyperlink" Target="https://twitter.com/dosummitgood/status/723839598485491712" TargetMode="External"/><Relationship Id="rId2020" Type="http://schemas.openxmlformats.org/officeDocument/2006/relationships/hyperlink" Target="https://twitter.com/PiratenNH/status/723076746980003840" TargetMode="External"/><Relationship Id="rId5590" Type="http://schemas.openxmlformats.org/officeDocument/2006/relationships/hyperlink" Target="https://pbs.twimg.com/profile_images/714639959932739586/MRnWA85b_normal.jpg" TargetMode="External"/><Relationship Id="rId6641" Type="http://schemas.openxmlformats.org/officeDocument/2006/relationships/hyperlink" Target="https://twitter.com/Juanmaadiez" TargetMode="External"/><Relationship Id="rId15184" Type="http://schemas.openxmlformats.org/officeDocument/2006/relationships/hyperlink" Target="https://pbs.twimg.com/profile_images/703294545195307008/qeCvrX86_normal.jpg" TargetMode="External"/><Relationship Id="rId16235" Type="http://schemas.openxmlformats.org/officeDocument/2006/relationships/hyperlink" Target="https://twitter.com/jess_gq" TargetMode="External"/><Relationship Id="rId17633" Type="http://schemas.openxmlformats.org/officeDocument/2006/relationships/hyperlink" Target="https://twitter.com/tradecar_ie" TargetMode="External"/><Relationship Id="rId20978" Type="http://schemas.openxmlformats.org/officeDocument/2006/relationships/hyperlink" Target="https://twitter.com/VolkswagenPost/status/724075572595314688" TargetMode="External"/><Relationship Id="rId23451" Type="http://schemas.openxmlformats.org/officeDocument/2006/relationships/hyperlink" Target="https://twitter.com/dapper013/status/724289917623390209" TargetMode="External"/><Relationship Id="rId4192" Type="http://schemas.openxmlformats.org/officeDocument/2006/relationships/hyperlink" Target="https://twitter.com/lgbeutin/status/723177830587215872" TargetMode="External"/><Relationship Id="rId5243" Type="http://schemas.openxmlformats.org/officeDocument/2006/relationships/hyperlink" Target="https://pbs.twimg.com/profile_images/378800000528765970/3ab9f2a00010e9cac08d5ca1638926e9_normal.png" TargetMode="External"/><Relationship Id="rId22053" Type="http://schemas.openxmlformats.org/officeDocument/2006/relationships/hyperlink" Target="https://pbs.twimg.com/profile_images/424893967197433858/iQ86NktX_normal.jpeg" TargetMode="External"/><Relationship Id="rId23104" Type="http://schemas.openxmlformats.org/officeDocument/2006/relationships/hyperlink" Target="https://pbs.twimg.com/profile_images/718820712757215233/LXXndPTS_normal.jpg" TargetMode="External"/><Relationship Id="rId24502" Type="http://schemas.openxmlformats.org/officeDocument/2006/relationships/hyperlink" Target="https://twitter.com/RebeccaChast_16/status/724367025385168897" TargetMode="External"/><Relationship Id="rId9864" Type="http://schemas.openxmlformats.org/officeDocument/2006/relationships/hyperlink" Target="https://twitter.com/beetlebug1938" TargetMode="External"/><Relationship Id="rId11794" Type="http://schemas.openxmlformats.org/officeDocument/2006/relationships/hyperlink" Target="http://dlvr.it/" TargetMode="External"/><Relationship Id="rId12845" Type="http://schemas.openxmlformats.org/officeDocument/2006/relationships/hyperlink" Target="https://twitter.com/ChrisJBCarroll" TargetMode="External"/><Relationship Id="rId19458" Type="http://schemas.openxmlformats.org/officeDocument/2006/relationships/hyperlink" Target="https://twitter.com/ronymc_" TargetMode="External"/><Relationship Id="rId78" Type="http://schemas.openxmlformats.org/officeDocument/2006/relationships/hyperlink" Target="https://pbs.twimg.com/profile_images/705568005053247489/wOXUSBP9_normal.jpg" TargetMode="External"/><Relationship Id="rId1853" Type="http://schemas.openxmlformats.org/officeDocument/2006/relationships/hyperlink" Target="https://pbs.twimg.com/profile_images/677140771783450624/9_7T_mk7_normal.jpg" TargetMode="External"/><Relationship Id="rId2904" Type="http://schemas.openxmlformats.org/officeDocument/2006/relationships/hyperlink" Target="https://twitter.com/deutch_az" TargetMode="External"/><Relationship Id="rId7068" Type="http://schemas.openxmlformats.org/officeDocument/2006/relationships/hyperlink" Target="https://twitter.com/kathconnaugh/status/723276808653836288" TargetMode="External"/><Relationship Id="rId8119" Type="http://schemas.openxmlformats.org/officeDocument/2006/relationships/hyperlink" Target="http://dlvr.it/" TargetMode="External"/><Relationship Id="rId8466" Type="http://schemas.openxmlformats.org/officeDocument/2006/relationships/hyperlink" Target="https://twitter.com/ChrisBrey1/status/723389777488142336" TargetMode="External"/><Relationship Id="rId9517" Type="http://schemas.openxmlformats.org/officeDocument/2006/relationships/hyperlink" Target="https://twitter.com/beetlebug1938" TargetMode="External"/><Relationship Id="rId10396" Type="http://schemas.openxmlformats.org/officeDocument/2006/relationships/hyperlink" Target="https://twitter.com/jennu_sahadev/status/723471682346733568" TargetMode="External"/><Relationship Id="rId11447" Type="http://schemas.openxmlformats.org/officeDocument/2006/relationships/hyperlink" Target="https://twitter.com/SuncoastVW/status/723502162743939072" TargetMode="External"/><Relationship Id="rId25276" Type="http://schemas.openxmlformats.org/officeDocument/2006/relationships/hyperlink" Target="https://twitter.com/GiererIleana" TargetMode="External"/><Relationship Id="rId1506" Type="http://schemas.openxmlformats.org/officeDocument/2006/relationships/hyperlink" Target="https://twitter.com/imfree81" TargetMode="External"/><Relationship Id="rId10049" Type="http://schemas.openxmlformats.org/officeDocument/2006/relationships/hyperlink" Target="https://twitter.com/de_Tocqueville/status/723459785090314240" TargetMode="External"/><Relationship Id="rId17490" Type="http://schemas.openxmlformats.org/officeDocument/2006/relationships/hyperlink" Target="https://pbs.twimg.com/profile_images/481714929464918017/DHSrKWur_normal.jpeg" TargetMode="External"/><Relationship Id="rId18541" Type="http://schemas.openxmlformats.org/officeDocument/2006/relationships/hyperlink" Target="https://twitter.com/WhichUK" TargetMode="External"/><Relationship Id="rId21886" Type="http://schemas.openxmlformats.org/officeDocument/2006/relationships/hyperlink" Target="https://twitter.com/TetsuoHojo" TargetMode="External"/><Relationship Id="rId22937" Type="http://schemas.openxmlformats.org/officeDocument/2006/relationships/hyperlink" Target="https://twitter.com/TattooHeroine" TargetMode="External"/><Relationship Id="rId3678" Type="http://schemas.openxmlformats.org/officeDocument/2006/relationships/hyperlink" Target="https://twitter.com/dpa" TargetMode="External"/><Relationship Id="rId4729" Type="http://schemas.openxmlformats.org/officeDocument/2006/relationships/hyperlink" Target="https://twitter.com/DubLuvTuning/status/723186283347103744" TargetMode="External"/><Relationship Id="rId8600" Type="http://schemas.openxmlformats.org/officeDocument/2006/relationships/hyperlink" Target="https://twitter.com/mediendaten" TargetMode="External"/><Relationship Id="rId16092" Type="http://schemas.openxmlformats.org/officeDocument/2006/relationships/hyperlink" Target="https://twitter.com/OnlyFerrariPics" TargetMode="External"/><Relationship Id="rId17143" Type="http://schemas.openxmlformats.org/officeDocument/2006/relationships/hyperlink" Target="https://twitter.com/PamelaCCcorona" TargetMode="External"/><Relationship Id="rId20488" Type="http://schemas.openxmlformats.org/officeDocument/2006/relationships/hyperlink" Target="https://twitter.com/bumpers_4bernie" TargetMode="External"/><Relationship Id="rId21539" Type="http://schemas.openxmlformats.org/officeDocument/2006/relationships/hyperlink" Target="https://twitter.com/Impalfa/status/724157023365918722" TargetMode="External"/><Relationship Id="rId25410" Type="http://schemas.openxmlformats.org/officeDocument/2006/relationships/hyperlink" Target="https://pbs.twimg.com/profile_images/722329162137145344/HC1Y1jgh_normal.jpg" TargetMode="External"/><Relationship Id="rId599" Type="http://schemas.openxmlformats.org/officeDocument/2006/relationships/hyperlink" Target="https://pbs.twimg.com/profile_images/702511217793863680/lty8h9vE_normal.jpg" TargetMode="External"/><Relationship Id="rId6151" Type="http://schemas.openxmlformats.org/officeDocument/2006/relationships/hyperlink" Target="https://pbs.twimg.com/profile_images/451387717742379008/x8L5Ms1G_normal.jpeg" TargetMode="External"/><Relationship Id="rId7202" Type="http://schemas.openxmlformats.org/officeDocument/2006/relationships/hyperlink" Target="https://twitter.com/DubLuvTuning/status/723285409858523137" TargetMode="External"/><Relationship Id="rId10530" Type="http://schemas.openxmlformats.org/officeDocument/2006/relationships/hyperlink" Target="https://twitter.com/golfturkiye/status/723475846233772034" TargetMode="External"/><Relationship Id="rId24012" Type="http://schemas.openxmlformats.org/officeDocument/2006/relationships/hyperlink" Target="https://pbs.twimg.com/profile_images/684698231989776386/GlZdMxZ__normal.jpg" TargetMode="External"/><Relationship Id="rId9374" Type="http://schemas.openxmlformats.org/officeDocument/2006/relationships/hyperlink" Target="https://twitter.com/Jaravuy01/status/723432739794374657" TargetMode="External"/><Relationship Id="rId13753" Type="http://schemas.openxmlformats.org/officeDocument/2006/relationships/hyperlink" Target="https://twitter.com/har155" TargetMode="External"/><Relationship Id="rId14804" Type="http://schemas.openxmlformats.org/officeDocument/2006/relationships/hyperlink" Target="https://twitter.com/LucasBarra22/status/723583509202391040" TargetMode="External"/><Relationship Id="rId1363" Type="http://schemas.openxmlformats.org/officeDocument/2006/relationships/hyperlink" Target="https://pbs.twimg.com/profile_images/378800000135015772/87ac890c0f60047e05c0609f790388a7_normal.jpeg" TargetMode="External"/><Relationship Id="rId2761" Type="http://schemas.openxmlformats.org/officeDocument/2006/relationships/hyperlink" Target="https://twitter.com/VWBeetleSales" TargetMode="External"/><Relationship Id="rId3812" Type="http://schemas.openxmlformats.org/officeDocument/2006/relationships/hyperlink" Target="https://twitter.com/VolkerVotsmeier" TargetMode="External"/><Relationship Id="rId9027" Type="http://schemas.openxmlformats.org/officeDocument/2006/relationships/hyperlink" Target="https://twitter.com/VWBeetleSales/status/723418087224004609" TargetMode="External"/><Relationship Id="rId12355" Type="http://schemas.openxmlformats.org/officeDocument/2006/relationships/hyperlink" Target="https://abs.twimg.com/sticky/default_profile_images/default_profile_2_normal.png" TargetMode="External"/><Relationship Id="rId13406" Type="http://schemas.openxmlformats.org/officeDocument/2006/relationships/hyperlink" Target="https://pbs.twimg.com/profile_images/710629331001851904/b3UNgZb6_normal.jpg" TargetMode="External"/><Relationship Id="rId16976" Type="http://schemas.openxmlformats.org/officeDocument/2006/relationships/hyperlink" Target="https://twitter.com/Logistique01/status/723760496839524352" TargetMode="External"/><Relationship Id="rId20622" Type="http://schemas.openxmlformats.org/officeDocument/2006/relationships/hyperlink" Target="https://pbs.twimg.com/profile_images/654357215520755713/17J9j-LU_normal.jpg" TargetMode="External"/><Relationship Id="rId733" Type="http://schemas.openxmlformats.org/officeDocument/2006/relationships/hyperlink" Target="https://pbs.twimg.com/profile_images/627949001179037696/skEBkS05_normal.jpg" TargetMode="External"/><Relationship Id="rId1016" Type="http://schemas.openxmlformats.org/officeDocument/2006/relationships/hyperlink" Target="https://pbs.twimg.com/profile_images/661977126980222976/MIICdbPJ_normal.jpg" TargetMode="External"/><Relationship Id="rId2414" Type="http://schemas.openxmlformats.org/officeDocument/2006/relationships/hyperlink" Target="https://pbs.twimg.com/profile_images/627949001179037696/skEBkS05_normal.jpg" TargetMode="External"/><Relationship Id="rId5984" Type="http://schemas.openxmlformats.org/officeDocument/2006/relationships/hyperlink" Target="https://pbs.twimg.com/profile_images/622398818949177344/yubPFjZg_normal.jpg" TargetMode="External"/><Relationship Id="rId12008" Type="http://schemas.openxmlformats.org/officeDocument/2006/relationships/hyperlink" Target="https://twitter.com/LISCHIMAN/status/723511905869021186" TargetMode="External"/><Relationship Id="rId15578" Type="http://schemas.openxmlformats.org/officeDocument/2006/relationships/hyperlink" Target="https://twitter.com/bvdvliet/status/723614570485526528" TargetMode="External"/><Relationship Id="rId16629" Type="http://schemas.openxmlformats.org/officeDocument/2006/relationships/hyperlink" Target="https://twitter.com/DanielTottenham/status/723704636700516352" TargetMode="External"/><Relationship Id="rId22794" Type="http://schemas.openxmlformats.org/officeDocument/2006/relationships/hyperlink" Target="https://twitter.com/techhippie/status/724247258552754177" TargetMode="External"/><Relationship Id="rId23845" Type="http://schemas.openxmlformats.org/officeDocument/2006/relationships/hyperlink" Target="https://twitter.com/VWCamperSales/status/724315109900738560" TargetMode="External"/><Relationship Id="rId4586" Type="http://schemas.openxmlformats.org/officeDocument/2006/relationships/hyperlink" Target="https://pbs.twimg.com/profile_images/461785939711258624/FzsPRmqR_normal.jpeg" TargetMode="External"/><Relationship Id="rId5637" Type="http://schemas.openxmlformats.org/officeDocument/2006/relationships/hyperlink" Target="https://twitter.com/Heinzel69/status/723211522806300672" TargetMode="External"/><Relationship Id="rId18051" Type="http://schemas.openxmlformats.org/officeDocument/2006/relationships/hyperlink" Target="https://twitter.com/voosvoos/status/723843625562562560" TargetMode="External"/><Relationship Id="rId19102" Type="http://schemas.openxmlformats.org/officeDocument/2006/relationships/hyperlink" Target="https://twitter.com/tywcc/status/723920057856856064" TargetMode="External"/><Relationship Id="rId21396" Type="http://schemas.openxmlformats.org/officeDocument/2006/relationships/hyperlink" Target="https://twitter.com/McDonald_69/status/724146853592354816" TargetMode="External"/><Relationship Id="rId22447" Type="http://schemas.openxmlformats.org/officeDocument/2006/relationships/hyperlink" Target="https://pbs.twimg.com/profile_images/666952430177935362/T46eVne2_normal.png" TargetMode="External"/><Relationship Id="rId3188" Type="http://schemas.openxmlformats.org/officeDocument/2006/relationships/hyperlink" Target="https://pbs.twimg.com/profile_images/3346543471/c7c79480b7b405ee902a5fcb600153a0_normal.jpeg" TargetMode="External"/><Relationship Id="rId4239" Type="http://schemas.openxmlformats.org/officeDocument/2006/relationships/hyperlink" Target="https://twitter.com/Scheinriesig/status/723178254543257600" TargetMode="External"/><Relationship Id="rId8110" Type="http://schemas.openxmlformats.org/officeDocument/2006/relationships/hyperlink" Target="https://pbs.twimg.com/profile_images/721897166868975616/QiBq6Fws_normal.jpg" TargetMode="External"/><Relationship Id="rId10040" Type="http://schemas.openxmlformats.org/officeDocument/2006/relationships/hyperlink" Target="https://twitter.com/JoHammonia/status/723459324316667904" TargetMode="External"/><Relationship Id="rId14661" Type="http://schemas.openxmlformats.org/officeDocument/2006/relationships/hyperlink" Target="https://twitter.com/a911girlie" TargetMode="External"/><Relationship Id="rId21049" Type="http://schemas.openxmlformats.org/officeDocument/2006/relationships/hyperlink" Target="https://twitter.com/FuscaWorld" TargetMode="External"/><Relationship Id="rId4720" Type="http://schemas.openxmlformats.org/officeDocument/2006/relationships/hyperlink" Target="https://twitter.com/techhippie/status/723186158025494528" TargetMode="External"/><Relationship Id="rId13263" Type="http://schemas.openxmlformats.org/officeDocument/2006/relationships/hyperlink" Target="https://pbs.twimg.com/profile_images/703826596663136256/QIIRK33q_normal.jpg" TargetMode="External"/><Relationship Id="rId14314" Type="http://schemas.openxmlformats.org/officeDocument/2006/relationships/hyperlink" Target="https://pbs.twimg.com/profile_images/721724710174601216/B0T6CY6B_normal.jpg" TargetMode="External"/><Relationship Id="rId15712" Type="http://schemas.openxmlformats.org/officeDocument/2006/relationships/hyperlink" Target="https://twitter.com/Saltytrees/status/723621608141787138" TargetMode="External"/><Relationship Id="rId21530" Type="http://schemas.openxmlformats.org/officeDocument/2006/relationships/hyperlink" Target="https://twitter.com/DeKonzument/status/724155444697153536" TargetMode="External"/><Relationship Id="rId590" Type="http://schemas.openxmlformats.org/officeDocument/2006/relationships/hyperlink" Target="https://pbs.twimg.com/profile_images/647823655095762944/mgzxBFUI_normal.jpg" TargetMode="External"/><Relationship Id="rId2271" Type="http://schemas.openxmlformats.org/officeDocument/2006/relationships/hyperlink" Target="https://twitter.com/sophiastrelli/status/723092259797905408" TargetMode="External"/><Relationship Id="rId3322" Type="http://schemas.openxmlformats.org/officeDocument/2006/relationships/hyperlink" Target="https://twitter.com/economia_feed_1" TargetMode="External"/><Relationship Id="rId17884" Type="http://schemas.openxmlformats.org/officeDocument/2006/relationships/hyperlink" Target="https://twitter.com/swanswaygroup" TargetMode="External"/><Relationship Id="rId18935" Type="http://schemas.openxmlformats.org/officeDocument/2006/relationships/hyperlink" Target="https://twitter.com/MorSvinka_83" TargetMode="External"/><Relationship Id="rId20132" Type="http://schemas.openxmlformats.org/officeDocument/2006/relationships/hyperlink" Target="https://pbs.twimg.com/profile_images/705219521892712451/bEsxgzn3_normal.jpg" TargetMode="External"/><Relationship Id="rId243" Type="http://schemas.openxmlformats.org/officeDocument/2006/relationships/hyperlink" Target="https://pbs.twimg.com/profile_images/2678224876/e0d50fddebcbb0ae56734edce9d553a0_normal.jpeg" TargetMode="External"/><Relationship Id="rId5494" Type="http://schemas.openxmlformats.org/officeDocument/2006/relationships/hyperlink" Target="https://twitter.com/tonygilham34" TargetMode="External"/><Relationship Id="rId6892" Type="http://schemas.openxmlformats.org/officeDocument/2006/relationships/hyperlink" Target="https://twitter.com/FuscaWorld/status/723266422428807168" TargetMode="External"/><Relationship Id="rId7943" Type="http://schemas.openxmlformats.org/officeDocument/2006/relationships/hyperlink" Target="https://twitter.com/ArcticPreserve" TargetMode="External"/><Relationship Id="rId10924" Type="http://schemas.openxmlformats.org/officeDocument/2006/relationships/hyperlink" Target="https://twitter.com/TAOnline/status/723490836206497792" TargetMode="External"/><Relationship Id="rId15088" Type="http://schemas.openxmlformats.org/officeDocument/2006/relationships/hyperlink" Target="https://pbs.twimg.com/profile_images/663740018029150208/MlJVcCwz_normal.jpg" TargetMode="External"/><Relationship Id="rId16486" Type="http://schemas.openxmlformats.org/officeDocument/2006/relationships/hyperlink" Target="https://twitter.com/LuchiAbiuso/status/723688432594235393" TargetMode="External"/><Relationship Id="rId17537" Type="http://schemas.openxmlformats.org/officeDocument/2006/relationships/hyperlink" Target="https://twitter.com/hubberme" TargetMode="External"/><Relationship Id="rId24753" Type="http://schemas.openxmlformats.org/officeDocument/2006/relationships/hyperlink" Target="https://pbs.twimg.com/profile_images/539569267461861376/PKZ9WOlz_normal.jpeg" TargetMode="External"/><Relationship Id="rId4096" Type="http://schemas.openxmlformats.org/officeDocument/2006/relationships/hyperlink" Target="https://twitter.com/Duped" TargetMode="External"/><Relationship Id="rId5147" Type="http://schemas.openxmlformats.org/officeDocument/2006/relationships/hyperlink" Target="https://pbs.twimg.com/profile_images/708416378647277568/VruvHzM8_normal.jpg" TargetMode="External"/><Relationship Id="rId6545" Type="http://schemas.openxmlformats.org/officeDocument/2006/relationships/hyperlink" Target="https://pbs.twimg.com/profile_images/652871584131092480/QA_B6SBO_normal.jpg" TargetMode="External"/><Relationship Id="rId16139" Type="http://schemas.openxmlformats.org/officeDocument/2006/relationships/hyperlink" Target="https://pbs.twimg.com/profile_images/697845167844364288/K-thuxL0_normal.jpg" TargetMode="External"/><Relationship Id="rId23355" Type="http://schemas.openxmlformats.org/officeDocument/2006/relationships/hyperlink" Target="https://twitter.com/skellydesign/status/724282739273261056" TargetMode="External"/><Relationship Id="rId24406" Type="http://schemas.openxmlformats.org/officeDocument/2006/relationships/hyperlink" Target="https://twitter.com/N1Visual" TargetMode="External"/><Relationship Id="rId9768" Type="http://schemas.openxmlformats.org/officeDocument/2006/relationships/hyperlink" Target="https://twitter.com/NDRnds/status/723448196471508994" TargetMode="External"/><Relationship Id="rId11698" Type="http://schemas.openxmlformats.org/officeDocument/2006/relationships/hyperlink" Target="https://twitter.com/GbemiEreku" TargetMode="External"/><Relationship Id="rId12749" Type="http://schemas.openxmlformats.org/officeDocument/2006/relationships/hyperlink" Target="https://pbs.twimg.com/profile_images/663496534898667520/iU7N9Oso_normal.jpg" TargetMode="External"/><Relationship Id="rId16620" Type="http://schemas.openxmlformats.org/officeDocument/2006/relationships/hyperlink" Target="https://pbs.twimg.com/profile_images/714233510760939520/Kuqup19-_normal.jpg" TargetMode="External"/><Relationship Id="rId23008" Type="http://schemas.openxmlformats.org/officeDocument/2006/relationships/hyperlink" Target="https://pbs.twimg.com/profile_images/1372304064/DSC04986_normal.JPG" TargetMode="External"/><Relationship Id="rId1757" Type="http://schemas.openxmlformats.org/officeDocument/2006/relationships/hyperlink" Target="https://pbs.twimg.com/profile_images/667281645/Pa083935_normal.jpg" TargetMode="External"/><Relationship Id="rId2808" Type="http://schemas.openxmlformats.org/officeDocument/2006/relationships/hyperlink" Target="https://twitter.com/paulrobertsrcz" TargetMode="External"/><Relationship Id="rId14171" Type="http://schemas.openxmlformats.org/officeDocument/2006/relationships/hyperlink" Target="https://pbs.twimg.com/profile_images/1610421423/Image2_normal.jpg" TargetMode="External"/><Relationship Id="rId15222" Type="http://schemas.openxmlformats.org/officeDocument/2006/relationships/hyperlink" Target="https://twitter.com/GraLacey" TargetMode="External"/><Relationship Id="rId18792" Type="http://schemas.openxmlformats.org/officeDocument/2006/relationships/hyperlink" Target="https://twitter.com/a_majid99/status/723896800319512576" TargetMode="External"/><Relationship Id="rId4230" Type="http://schemas.openxmlformats.org/officeDocument/2006/relationships/hyperlink" Target="https://twitter.com/VeeDubMk1_/status/723178205813825536" TargetMode="External"/><Relationship Id="rId8851" Type="http://schemas.openxmlformats.org/officeDocument/2006/relationships/hyperlink" Target="https://pbs.twimg.com/profile_images/3601856046/89deb5d36c9951092d953fa6050d5fbc_normal.jpeg" TargetMode="External"/><Relationship Id="rId17394" Type="http://schemas.openxmlformats.org/officeDocument/2006/relationships/hyperlink" Target="https://pbs.twimg.com/profile_images/618543469875740672/9UTnmeyy_normal.png" TargetMode="External"/><Relationship Id="rId18445" Type="http://schemas.openxmlformats.org/officeDocument/2006/relationships/hyperlink" Target="https://pbs.twimg.com/profile_images/423514424658231296/nyUIYVc2_normal.jpeg" TargetMode="External"/><Relationship Id="rId19843" Type="http://schemas.openxmlformats.org/officeDocument/2006/relationships/hyperlink" Target="https://twitter.com/BerniWan/status/723961217174351872" TargetMode="External"/><Relationship Id="rId21040" Type="http://schemas.openxmlformats.org/officeDocument/2006/relationships/hyperlink" Target="https://twitter.com/beetlebug1938" TargetMode="External"/><Relationship Id="rId25661" Type="http://schemas.openxmlformats.org/officeDocument/2006/relationships/hyperlink" Target="https://pbs.twimg.com/profile_images/700437504231604224/W4It-QsY_normal.jpg" TargetMode="External"/><Relationship Id="rId7453" Type="http://schemas.openxmlformats.org/officeDocument/2006/relationships/hyperlink" Target="https://pbs.twimg.com/profile_images/716622069761384451/wldRctde_normal.jpg" TargetMode="External"/><Relationship Id="rId8504" Type="http://schemas.openxmlformats.org/officeDocument/2006/relationships/hyperlink" Target="https://pbs.twimg.com/profile_images/484785478751645697/vNfNMa-n_normal.jpeg" TargetMode="External"/><Relationship Id="rId9902" Type="http://schemas.openxmlformats.org/officeDocument/2006/relationships/hyperlink" Target="https://pbs.twimg.com/profile_images/378800000234075876/b010cff1cb792e4f4bd8b4c6ea59098b_normal.jpeg" TargetMode="External"/><Relationship Id="rId10781" Type="http://schemas.openxmlformats.org/officeDocument/2006/relationships/hyperlink" Target="https://twitter.com/MercedesOffApp" TargetMode="External"/><Relationship Id="rId11832" Type="http://schemas.openxmlformats.org/officeDocument/2006/relationships/hyperlink" Target="https://pbs.twimg.com/profile_images/2271606272/xu4wfzxq45452xnceq08_normal.jpeg" TargetMode="External"/><Relationship Id="rId17047" Type="http://schemas.openxmlformats.org/officeDocument/2006/relationships/hyperlink" Target="https://twitter.com/roansub/status/723766221116706816" TargetMode="External"/><Relationship Id="rId24263" Type="http://schemas.openxmlformats.org/officeDocument/2006/relationships/hyperlink" Target="https://twitter.com/VWBeetleSales/status/724341783975448577" TargetMode="External"/><Relationship Id="rId25314" Type="http://schemas.openxmlformats.org/officeDocument/2006/relationships/hyperlink" Target="https://twitter.com/SUPERFMELECTRO/status/724430681460359168" TargetMode="External"/><Relationship Id="rId6055" Type="http://schemas.openxmlformats.org/officeDocument/2006/relationships/hyperlink" Target="https://twitter.com/Roellchen2011/status/723228372168531968" TargetMode="External"/><Relationship Id="rId7106" Type="http://schemas.openxmlformats.org/officeDocument/2006/relationships/hyperlink" Target="https://pbs.twimg.com/profile_images/696466709419417601/6yoE0NPV_normal.jpg" TargetMode="External"/><Relationship Id="rId10434" Type="http://schemas.openxmlformats.org/officeDocument/2006/relationships/hyperlink" Target="https://twitter.com/VWBeetleSales" TargetMode="External"/><Relationship Id="rId9278" Type="http://schemas.openxmlformats.org/officeDocument/2006/relationships/hyperlink" Target="https://pbs.twimg.com/profile_images/703294545195307008/qeCvrX86_normal.jpg" TargetMode="External"/><Relationship Id="rId13657" Type="http://schemas.openxmlformats.org/officeDocument/2006/relationships/hyperlink" Target="https://twitter.com/ENMosaik" TargetMode="External"/><Relationship Id="rId14708" Type="http://schemas.openxmlformats.org/officeDocument/2006/relationships/hyperlink" Target="https://twitter.com/VWBeetleSales" TargetMode="External"/><Relationship Id="rId20873" Type="http://schemas.openxmlformats.org/officeDocument/2006/relationships/hyperlink" Target="https://twitter.com/giulianoctf/status/724051775129567233" TargetMode="External"/><Relationship Id="rId21924" Type="http://schemas.openxmlformats.org/officeDocument/2006/relationships/hyperlink" Target="https://pbs.twimg.com/profile_images/629014974644547584/vfnZRwpH_normal.png" TargetMode="External"/><Relationship Id="rId984" Type="http://schemas.openxmlformats.org/officeDocument/2006/relationships/hyperlink" Target="https://twitter.com/beetlebug1938" TargetMode="External"/><Relationship Id="rId2665" Type="http://schemas.openxmlformats.org/officeDocument/2006/relationships/hyperlink" Target="https://pbs.twimg.com/profile_images/499353630844411904/wvzkvaU5_normal.jpeg" TargetMode="External"/><Relationship Id="rId3716" Type="http://schemas.openxmlformats.org/officeDocument/2006/relationships/hyperlink" Target="https://twitter.com/dfmboy" TargetMode="External"/><Relationship Id="rId12259" Type="http://schemas.openxmlformats.org/officeDocument/2006/relationships/hyperlink" Target="https://twitter.com/NetzwerkggS21/status/723516287142469632" TargetMode="External"/><Relationship Id="rId16130" Type="http://schemas.openxmlformats.org/officeDocument/2006/relationships/hyperlink" Target="https://pbs.twimg.com/profile_images/621145253261770756/SJdc3xVG_normal.jpg" TargetMode="External"/><Relationship Id="rId20526" Type="http://schemas.openxmlformats.org/officeDocument/2006/relationships/hyperlink" Target="https://twitter.com/uaslansoy/status/724006711816785921" TargetMode="External"/><Relationship Id="rId637" Type="http://schemas.openxmlformats.org/officeDocument/2006/relationships/hyperlink" Target="https://twitter.com/pllyylunaa/status/722967550494150656" TargetMode="External"/><Relationship Id="rId1267" Type="http://schemas.openxmlformats.org/officeDocument/2006/relationships/hyperlink" Target="https://pbs.twimg.com/profile_images/596378323128836096/23C3DVmy_normal.jpg" TargetMode="External"/><Relationship Id="rId2318" Type="http://schemas.openxmlformats.org/officeDocument/2006/relationships/hyperlink" Target="https://pbs.twimg.com/profile_images/586495538566074368/DtFkSLuI_normal.jpg" TargetMode="External"/><Relationship Id="rId5888" Type="http://schemas.openxmlformats.org/officeDocument/2006/relationships/hyperlink" Target="https://twitter.com/stand__sure/status/723221873476141056" TargetMode="External"/><Relationship Id="rId6939" Type="http://schemas.openxmlformats.org/officeDocument/2006/relationships/hyperlink" Target="https://pbs.twimg.com/profile_images/713756971422392320/1b8SVqWg_normal.jpg" TargetMode="External"/><Relationship Id="rId19353" Type="http://schemas.openxmlformats.org/officeDocument/2006/relationships/hyperlink" Target="http://dlvr.it/" TargetMode="External"/><Relationship Id="rId22698" Type="http://schemas.openxmlformats.org/officeDocument/2006/relationships/hyperlink" Target="https://twitter.com/ReturnBuyer_CA/status/724239435781431296" TargetMode="External"/><Relationship Id="rId23749" Type="http://schemas.openxmlformats.org/officeDocument/2006/relationships/hyperlink" Target="https://pbs.twimg.com/profile_images/1059691456/twitter_normal.png" TargetMode="External"/><Relationship Id="rId8361" Type="http://schemas.openxmlformats.org/officeDocument/2006/relationships/hyperlink" Target="https://pbs.twimg.com/profile_images/707425852322091011/s0V50WcC_normal.jpg" TargetMode="External"/><Relationship Id="rId9412" Type="http://schemas.openxmlformats.org/officeDocument/2006/relationships/hyperlink" Target="https://twitter.com/weare_van" TargetMode="External"/><Relationship Id="rId10291" Type="http://schemas.openxmlformats.org/officeDocument/2006/relationships/hyperlink" Target="https://pbs.twimg.com/profile_images/530071272881803264/a_jcCmPZ_normal.png" TargetMode="External"/><Relationship Id="rId11342" Type="http://schemas.openxmlformats.org/officeDocument/2006/relationships/hyperlink" Target="https://twitter.com/christiansoeder/status/723501128265158656" TargetMode="External"/><Relationship Id="rId12740" Type="http://schemas.openxmlformats.org/officeDocument/2006/relationships/hyperlink" Target="https://pbs.twimg.com/profile_images/1648827386/image_normal.jpg" TargetMode="External"/><Relationship Id="rId19006" Type="http://schemas.openxmlformats.org/officeDocument/2006/relationships/hyperlink" Target="https://twitter.com/CastleCoastCamp/status/723912545686433792" TargetMode="External"/><Relationship Id="rId25171" Type="http://schemas.openxmlformats.org/officeDocument/2006/relationships/hyperlink" Target="https://twitter.com/DeeZeeX" TargetMode="External"/><Relationship Id="rId1401" Type="http://schemas.openxmlformats.org/officeDocument/2006/relationships/hyperlink" Target="https://twitter.com/EineZeitung/status/723040029296058370" TargetMode="External"/><Relationship Id="rId8014" Type="http://schemas.openxmlformats.org/officeDocument/2006/relationships/hyperlink" Target="https://twitter.com/vagcafe" TargetMode="External"/><Relationship Id="rId15963" Type="http://schemas.openxmlformats.org/officeDocument/2006/relationships/hyperlink" Target="https://pbs.twimg.com/profile_images/719875850238345216/YRSs9IeA_normal.jpg" TargetMode="External"/><Relationship Id="rId3573" Type="http://schemas.openxmlformats.org/officeDocument/2006/relationships/hyperlink" Target="https://twitter.com/VWBeetleSales/status/723164421086826498" TargetMode="External"/><Relationship Id="rId4971" Type="http://schemas.openxmlformats.org/officeDocument/2006/relationships/hyperlink" Target="https://twitter.com/lessismoremike/status/723191454781288448" TargetMode="External"/><Relationship Id="rId13167" Type="http://schemas.openxmlformats.org/officeDocument/2006/relationships/hyperlink" Target="https://pbs.twimg.com/profile_images/1752056407/100_5197_resized_normal.jpg" TargetMode="External"/><Relationship Id="rId14565" Type="http://schemas.openxmlformats.org/officeDocument/2006/relationships/hyperlink" Target="https://pbs.twimg.com/profile_images/1168508926/holm_manga_avatar_mini_normal.jpg" TargetMode="External"/><Relationship Id="rId15616" Type="http://schemas.openxmlformats.org/officeDocument/2006/relationships/hyperlink" Target="https://twitter.com/NeedTechs/status/723617422310170624" TargetMode="External"/><Relationship Id="rId21781" Type="http://schemas.openxmlformats.org/officeDocument/2006/relationships/hyperlink" Target="https://twitter.com/dubbusses" TargetMode="External"/><Relationship Id="rId22832" Type="http://schemas.openxmlformats.org/officeDocument/2006/relationships/hyperlink" Target="https://twitter.com/weare_van/status/724250777368272896" TargetMode="External"/><Relationship Id="rId494" Type="http://schemas.openxmlformats.org/officeDocument/2006/relationships/hyperlink" Target="https://twitter.com/katepolivannaya" TargetMode="External"/><Relationship Id="rId2175" Type="http://schemas.openxmlformats.org/officeDocument/2006/relationships/hyperlink" Target="https://pbs.twimg.com/profile_images/1764479590/Towle_Pix_normal" TargetMode="External"/><Relationship Id="rId3226" Type="http://schemas.openxmlformats.org/officeDocument/2006/relationships/hyperlink" Target="https://twitter.com/lucas_medel" TargetMode="External"/><Relationship Id="rId4624" Type="http://schemas.openxmlformats.org/officeDocument/2006/relationships/hyperlink" Target="https://twitter.com/nomkhita12/status/723183835932954624" TargetMode="External"/><Relationship Id="rId14218" Type="http://schemas.openxmlformats.org/officeDocument/2006/relationships/hyperlink" Target="https://pbs.twimg.com/profile_images/3682887849/74962b41d1f818323ea8ef74bf1e834e_normal.png" TargetMode="External"/><Relationship Id="rId17788" Type="http://schemas.openxmlformats.org/officeDocument/2006/relationships/hyperlink" Target="https://pbs.twimg.com/profile_images/717738032267395072/SEHS-S39_normal.jpg" TargetMode="External"/><Relationship Id="rId18839" Type="http://schemas.openxmlformats.org/officeDocument/2006/relationships/hyperlink" Target="https://twitter.com/johnmac17/status/723899725481709568" TargetMode="External"/><Relationship Id="rId20036" Type="http://schemas.openxmlformats.org/officeDocument/2006/relationships/hyperlink" Target="https://twitter.com/Metalingus_RS/status/723970595071889408" TargetMode="External"/><Relationship Id="rId20383" Type="http://schemas.openxmlformats.org/officeDocument/2006/relationships/hyperlink" Target="https://twitter.com/robertodesachy" TargetMode="External"/><Relationship Id="rId21434" Type="http://schemas.openxmlformats.org/officeDocument/2006/relationships/hyperlink" Target="https://twitter.com/dubbusses" TargetMode="External"/><Relationship Id="rId147" Type="http://schemas.openxmlformats.org/officeDocument/2006/relationships/hyperlink" Target="https://twitter.com/VeeDubMk1_" TargetMode="External"/><Relationship Id="rId6796" Type="http://schemas.openxmlformats.org/officeDocument/2006/relationships/hyperlink" Target="http://dlvr.it/" TargetMode="External"/><Relationship Id="rId7847" Type="http://schemas.openxmlformats.org/officeDocument/2006/relationships/hyperlink" Target="https://twitter.com/clevelandwest/status/723334114108125186" TargetMode="External"/><Relationship Id="rId10828" Type="http://schemas.openxmlformats.org/officeDocument/2006/relationships/hyperlink" Target="https://pbs.twimg.com/profile_images/711081571940507648/Ly_okc0__normal.jpg" TargetMode="External"/><Relationship Id="rId24657" Type="http://schemas.openxmlformats.org/officeDocument/2006/relationships/hyperlink" Target="https://pbs.twimg.com/profile_images/718820712757215233/LXXndPTS_normal.jpg" TargetMode="External"/><Relationship Id="rId25708" Type="http://schemas.openxmlformats.org/officeDocument/2006/relationships/hyperlink" Target="https://twitter.com/hashtagvanlife/status/724465370099257344" TargetMode="External"/><Relationship Id="rId5398" Type="http://schemas.openxmlformats.org/officeDocument/2006/relationships/hyperlink" Target="https://twitter.com/three50six" TargetMode="External"/><Relationship Id="rId6449" Type="http://schemas.openxmlformats.org/officeDocument/2006/relationships/hyperlink" Target="https://twitter.com/VeeDubMk1_" TargetMode="External"/><Relationship Id="rId12250" Type="http://schemas.openxmlformats.org/officeDocument/2006/relationships/hyperlink" Target="https://twitter.com/IrreRepublik/status/723516090295443457" TargetMode="External"/><Relationship Id="rId13301" Type="http://schemas.openxmlformats.org/officeDocument/2006/relationships/hyperlink" Target="https://twitter.com/StaffsVW" TargetMode="External"/><Relationship Id="rId16871" Type="http://schemas.openxmlformats.org/officeDocument/2006/relationships/hyperlink" Target="https://pbs.twimg.com/profile_images/711267290851835904/BMGyNOSC_normal.jpg" TargetMode="External"/><Relationship Id="rId23259" Type="http://schemas.openxmlformats.org/officeDocument/2006/relationships/hyperlink" Target="https://twitter.com/Its_Master_Q" TargetMode="External"/><Relationship Id="rId6930" Type="http://schemas.openxmlformats.org/officeDocument/2006/relationships/hyperlink" Target="https://twitter.com/FAZ_NET" TargetMode="External"/><Relationship Id="rId15473" Type="http://schemas.openxmlformats.org/officeDocument/2006/relationships/hyperlink" Target="https://pbs.twimg.com/profile_images/1610421423/Image2_normal.jpg" TargetMode="External"/><Relationship Id="rId16524" Type="http://schemas.openxmlformats.org/officeDocument/2006/relationships/hyperlink" Target="https://twitter.com/OnlineCarReview" TargetMode="External"/><Relationship Id="rId17922" Type="http://schemas.openxmlformats.org/officeDocument/2006/relationships/hyperlink" Target="https://twitter.com/VWBeetleSales/status/723834073584521220" TargetMode="External"/><Relationship Id="rId23740" Type="http://schemas.openxmlformats.org/officeDocument/2006/relationships/hyperlink" Target="https://pbs.twimg.com/profile_images/627949001179037696/skEBkS05_normal.jpg" TargetMode="External"/><Relationship Id="rId4481" Type="http://schemas.openxmlformats.org/officeDocument/2006/relationships/hyperlink" Target="https://pbs.twimg.com/profile_images/700415860230397952/tCGmCj6M_normal.jpg" TargetMode="External"/><Relationship Id="rId5532" Type="http://schemas.openxmlformats.org/officeDocument/2006/relationships/hyperlink" Target="https://pbs.twimg.com/profile_images/707706885416361988/CSeBjVbk_normal.jpg" TargetMode="External"/><Relationship Id="rId14075" Type="http://schemas.openxmlformats.org/officeDocument/2006/relationships/hyperlink" Target="https://pbs.twimg.com/profile_images/2301932893/ofy8sgl94m45zgiq2my3_normal.jpeg" TargetMode="External"/><Relationship Id="rId15126" Type="http://schemas.openxmlformats.org/officeDocument/2006/relationships/hyperlink" Target="https://pbs.twimg.com/profile_images/451387717742379008/x8L5Ms1G_normal.jpeg" TargetMode="External"/><Relationship Id="rId21291" Type="http://schemas.openxmlformats.org/officeDocument/2006/relationships/hyperlink" Target="https://twitter.com/TranixConf/status/724138105012367361" TargetMode="External"/><Relationship Id="rId22342" Type="http://schemas.openxmlformats.org/officeDocument/2006/relationships/hyperlink" Target="https://pbs.twimg.com/profile_images/652871584131092480/QA_B6SBO_normal.jpg" TargetMode="External"/><Relationship Id="rId3083" Type="http://schemas.openxmlformats.org/officeDocument/2006/relationships/hyperlink" Target="https://twitter.com/jenkers_en" TargetMode="External"/><Relationship Id="rId4134" Type="http://schemas.openxmlformats.org/officeDocument/2006/relationships/hyperlink" Target="https://pbs.twimg.com/profile_images/608213167496417280/QSxgcLn__normal.png" TargetMode="External"/><Relationship Id="rId17298" Type="http://schemas.openxmlformats.org/officeDocument/2006/relationships/hyperlink" Target="https://pbs.twimg.com/profile_images/610401931501137920/c0qYTPr__normal.jpg" TargetMode="External"/><Relationship Id="rId18696" Type="http://schemas.openxmlformats.org/officeDocument/2006/relationships/hyperlink" Target="https://twitter.com/daniel1820815" TargetMode="External"/><Relationship Id="rId19747" Type="http://schemas.openxmlformats.org/officeDocument/2006/relationships/hyperlink" Target="https://twitter.com/swanswaygroup/status/723953592319647745" TargetMode="External"/><Relationship Id="rId7357" Type="http://schemas.openxmlformats.org/officeDocument/2006/relationships/hyperlink" Target="https://twitter.com/elmostrador" TargetMode="External"/><Relationship Id="rId8408" Type="http://schemas.openxmlformats.org/officeDocument/2006/relationships/hyperlink" Target="https://twitter.com/VWsightings/status/723386651829882881" TargetMode="External"/><Relationship Id="rId8755" Type="http://schemas.openxmlformats.org/officeDocument/2006/relationships/hyperlink" Target="https://pbs.twimg.com/profile_images/488051398383521792/O2sEmC2L_normal.jpeg" TargetMode="External"/><Relationship Id="rId9806" Type="http://schemas.openxmlformats.org/officeDocument/2006/relationships/hyperlink" Target="https://pbs.twimg.com/profile_images/1584371772/islamic_written_13_normal.gif" TargetMode="External"/><Relationship Id="rId10685" Type="http://schemas.openxmlformats.org/officeDocument/2006/relationships/hyperlink" Target="https://twitter.com/amakanista" TargetMode="External"/><Relationship Id="rId11736" Type="http://schemas.openxmlformats.org/officeDocument/2006/relationships/hyperlink" Target="https://twitter.com/ihoelt/status/723506468733988866" TargetMode="External"/><Relationship Id="rId18349" Type="http://schemas.openxmlformats.org/officeDocument/2006/relationships/hyperlink" Target="https://pbs.twimg.com/profile_images/3378184537/c20ae9a7a410821b4f189c34a63380f7_normal.png" TargetMode="External"/><Relationship Id="rId24167" Type="http://schemas.openxmlformats.org/officeDocument/2006/relationships/hyperlink" Target="https://twitter.com/beetlebug1938" TargetMode="External"/><Relationship Id="rId25565" Type="http://schemas.openxmlformats.org/officeDocument/2006/relationships/hyperlink" Target="https://twitter.com/DubLuvTuning" TargetMode="External"/><Relationship Id="rId10338" Type="http://schemas.openxmlformats.org/officeDocument/2006/relationships/hyperlink" Target="https://twitter.com/tagesschau/status/723469754032332800" TargetMode="External"/><Relationship Id="rId14959" Type="http://schemas.openxmlformats.org/officeDocument/2006/relationships/hyperlink" Target="https://pbs.twimg.com/profile_images/695285455147896833/chTGAG7C_normal.jpg" TargetMode="External"/><Relationship Id="rId18830" Type="http://schemas.openxmlformats.org/officeDocument/2006/relationships/hyperlink" Target="https://pbs.twimg.com/profile_images/721334921982296065/-8sj1MgA_normal.jpg" TargetMode="External"/><Relationship Id="rId25218" Type="http://schemas.openxmlformats.org/officeDocument/2006/relationships/hyperlink" Target="https://twitter.com/DeeZeeX" TargetMode="External"/><Relationship Id="rId3967" Type="http://schemas.openxmlformats.org/officeDocument/2006/relationships/hyperlink" Target="https://twitter.com/kirstein_sandra/status/723173227736997892" TargetMode="External"/><Relationship Id="rId16381" Type="http://schemas.openxmlformats.org/officeDocument/2006/relationships/hyperlink" Target="https://twitter.com/VolkswagenPost" TargetMode="External"/><Relationship Id="rId17432" Type="http://schemas.openxmlformats.org/officeDocument/2006/relationships/hyperlink" Target="https://twitter.com/Viro_31/status/723798519883173888" TargetMode="External"/><Relationship Id="rId20777" Type="http://schemas.openxmlformats.org/officeDocument/2006/relationships/hyperlink" Target="https://pbs.twimg.com/profile_images/1105833928/di1_normal.jpg" TargetMode="External"/><Relationship Id="rId21828" Type="http://schemas.openxmlformats.org/officeDocument/2006/relationships/hyperlink" Target="https://twitter.com/VeeDubMk1_" TargetMode="External"/><Relationship Id="rId4" Type="http://schemas.openxmlformats.org/officeDocument/2006/relationships/hyperlink" Target="https://twitter.com/Incognino_" TargetMode="External"/><Relationship Id="rId888" Type="http://schemas.openxmlformats.org/officeDocument/2006/relationships/hyperlink" Target="https://twitter.com/_SJIII/status/722997344644390912" TargetMode="External"/><Relationship Id="rId2569" Type="http://schemas.openxmlformats.org/officeDocument/2006/relationships/hyperlink" Target="https://pbs.twimg.com/profile_images/442904929033003008/3NrMgCyx_normal.jpeg" TargetMode="External"/><Relationship Id="rId6440" Type="http://schemas.openxmlformats.org/officeDocument/2006/relationships/hyperlink" Target="https://twitter.com/Insta_VWT/status/723242986654601216" TargetMode="External"/><Relationship Id="rId16034" Type="http://schemas.openxmlformats.org/officeDocument/2006/relationships/hyperlink" Target="https://twitter.com/TadeAvalos" TargetMode="External"/><Relationship Id="rId23250" Type="http://schemas.openxmlformats.org/officeDocument/2006/relationships/hyperlink" Target="https://twitter.com/cmsGOMEX/status/724275665520959488" TargetMode="External"/><Relationship Id="rId24301" Type="http://schemas.openxmlformats.org/officeDocument/2006/relationships/hyperlink" Target="https://pbs.twimg.com/profile_images/657564593817059328/VJEmun5T_normal.jpg" TargetMode="External"/><Relationship Id="rId5042" Type="http://schemas.openxmlformats.org/officeDocument/2006/relationships/hyperlink" Target="https://pbs.twimg.com/profile_images/534249310582358016/9Op3LOiJ_normal.jpeg" TargetMode="External"/><Relationship Id="rId9663" Type="http://schemas.openxmlformats.org/officeDocument/2006/relationships/hyperlink" Target="http://ctrlq.org/maps/address/" TargetMode="External"/><Relationship Id="rId12991" Type="http://schemas.openxmlformats.org/officeDocument/2006/relationships/hyperlink" Target="https://twitter.com/VeeDubMk1_/status/723532766445445120" TargetMode="External"/><Relationship Id="rId19257" Type="http://schemas.openxmlformats.org/officeDocument/2006/relationships/hyperlink" Target="https://twitter.com/Hoeferle" TargetMode="External"/><Relationship Id="rId1652" Type="http://schemas.openxmlformats.org/officeDocument/2006/relationships/hyperlink" Target="https://twitter.com/BintaBalinda" TargetMode="External"/><Relationship Id="rId8265" Type="http://schemas.openxmlformats.org/officeDocument/2006/relationships/hyperlink" Target="https://twitter.com/MarkusStrenzl" TargetMode="External"/><Relationship Id="rId9316" Type="http://schemas.openxmlformats.org/officeDocument/2006/relationships/hyperlink" Target="https://twitter.com/techhippie/status/723430343311691776" TargetMode="External"/><Relationship Id="rId10195" Type="http://schemas.openxmlformats.org/officeDocument/2006/relationships/hyperlink" Target="https://twitter.com/herrenloserHund" TargetMode="External"/><Relationship Id="rId11246" Type="http://schemas.openxmlformats.org/officeDocument/2006/relationships/hyperlink" Target="https://twitter.com/Theothebald" TargetMode="External"/><Relationship Id="rId11593" Type="http://schemas.openxmlformats.org/officeDocument/2006/relationships/hyperlink" Target="https://twitter.com/Maciel_Ariel" TargetMode="External"/><Relationship Id="rId12644" Type="http://schemas.openxmlformats.org/officeDocument/2006/relationships/hyperlink" Target="https://twitter.com/habo11" TargetMode="External"/><Relationship Id="rId20911" Type="http://schemas.openxmlformats.org/officeDocument/2006/relationships/hyperlink" Target="https://pbs.twimg.com/profile_images/615493650785660928/XHUh6HOk_normal.jpg" TargetMode="External"/><Relationship Id="rId25075" Type="http://schemas.openxmlformats.org/officeDocument/2006/relationships/hyperlink" Target="https://pbs.twimg.com/profile_images/615493650785660928/XHUh6HOk_normal.jpg" TargetMode="External"/><Relationship Id="rId1305" Type="http://schemas.openxmlformats.org/officeDocument/2006/relationships/hyperlink" Target="https://pbs.twimg.com/profile_images/1756710768/image_normal.jpg" TargetMode="External"/><Relationship Id="rId2703" Type="http://schemas.openxmlformats.org/officeDocument/2006/relationships/hyperlink" Target="https://twitter.com/marinasegura23/status/723114371350589440" TargetMode="External"/><Relationship Id="rId15867" Type="http://schemas.openxmlformats.org/officeDocument/2006/relationships/hyperlink" Target="https://pbs.twimg.com/profile_images/652792655156543488/KijatVs6_normal.jpg" TargetMode="External"/><Relationship Id="rId16918" Type="http://schemas.openxmlformats.org/officeDocument/2006/relationships/hyperlink" Target="https://twitter.com/bsterix" TargetMode="External"/><Relationship Id="rId4875" Type="http://schemas.openxmlformats.org/officeDocument/2006/relationships/hyperlink" Target="https://twitter.com/abeeson20/status/723189342043136001" TargetMode="External"/><Relationship Id="rId5926" Type="http://schemas.openxmlformats.org/officeDocument/2006/relationships/hyperlink" Target="https://twitter.com/ZonaBinaria" TargetMode="External"/><Relationship Id="rId14469" Type="http://schemas.openxmlformats.org/officeDocument/2006/relationships/hyperlink" Target="https://twitter.com/sperrenohneball" TargetMode="External"/><Relationship Id="rId18340" Type="http://schemas.openxmlformats.org/officeDocument/2006/relationships/hyperlink" Target="https://twitter.com/VWCamperSales" TargetMode="External"/><Relationship Id="rId21685" Type="http://schemas.openxmlformats.org/officeDocument/2006/relationships/hyperlink" Target="https://twitter.com/VeeDubMk1_" TargetMode="External"/><Relationship Id="rId22736" Type="http://schemas.openxmlformats.org/officeDocument/2006/relationships/hyperlink" Target="https://twitter.com/chrisrealeg7/status/724243419279822848" TargetMode="External"/><Relationship Id="rId11" Type="http://schemas.openxmlformats.org/officeDocument/2006/relationships/hyperlink" Target="https://twitter.com/mk1GolfForSale/status/722919020224061441" TargetMode="External"/><Relationship Id="rId398" Type="http://schemas.openxmlformats.org/officeDocument/2006/relationships/hyperlink" Target="https://twitter.com/vwmaniacs" TargetMode="External"/><Relationship Id="rId2079" Type="http://schemas.openxmlformats.org/officeDocument/2006/relationships/hyperlink" Target="https://pbs.twimg.com/profile_images/627949001179037696/skEBkS05_normal.jpg" TargetMode="External"/><Relationship Id="rId3477" Type="http://schemas.openxmlformats.org/officeDocument/2006/relationships/hyperlink" Target="https://twitter.com/vwoutaouais" TargetMode="External"/><Relationship Id="rId4528" Type="http://schemas.openxmlformats.org/officeDocument/2006/relationships/hyperlink" Target="https://twitter.com/Tonelli22/status/723182124753408000" TargetMode="External"/><Relationship Id="rId20287" Type="http://schemas.openxmlformats.org/officeDocument/2006/relationships/hyperlink" Target="https://pbs.twimg.com/profile_images/561027762144542720/QH4eCkSR_normal.jpeg" TargetMode="External"/><Relationship Id="rId21338" Type="http://schemas.openxmlformats.org/officeDocument/2006/relationships/hyperlink" Target="https://twitter.com/VolkswagenPost" TargetMode="External"/><Relationship Id="rId7001" Type="http://schemas.openxmlformats.org/officeDocument/2006/relationships/hyperlink" Target="https://twitter.com/FredChristian10/status/723274419154653184" TargetMode="External"/><Relationship Id="rId13552" Type="http://schemas.openxmlformats.org/officeDocument/2006/relationships/hyperlink" Target="https://twitter.com/gutbranson/status/723550260895866881" TargetMode="External"/><Relationship Id="rId14603" Type="http://schemas.openxmlformats.org/officeDocument/2006/relationships/hyperlink" Target="https://pbs.twimg.com/profile_images/711512516833185792/d0lfppeu_normal.jpg" TargetMode="External"/><Relationship Id="rId14950" Type="http://schemas.openxmlformats.org/officeDocument/2006/relationships/hyperlink" Target="https://pbs.twimg.com/profile_images/715520899764641793/OwuBxAa9_normal.jpg" TargetMode="External"/><Relationship Id="rId2560" Type="http://schemas.openxmlformats.org/officeDocument/2006/relationships/hyperlink" Target="https://pbs.twimg.com/profile_images/650264967120318464/tVAdbNhW_normal.jpg" TargetMode="External"/><Relationship Id="rId3611" Type="http://schemas.openxmlformats.org/officeDocument/2006/relationships/hyperlink" Target="https://twitter.com/beetlebug1938" TargetMode="External"/><Relationship Id="rId9173" Type="http://schemas.openxmlformats.org/officeDocument/2006/relationships/hyperlink" Target="https://pbs.twimg.com/profile_images/617979796744568832/YHw6Izem_normal.jpg" TargetMode="External"/><Relationship Id="rId12154" Type="http://schemas.openxmlformats.org/officeDocument/2006/relationships/hyperlink" Target="https://twitter.com/studdershock/status/723513911165767684" TargetMode="External"/><Relationship Id="rId13205" Type="http://schemas.openxmlformats.org/officeDocument/2006/relationships/hyperlink" Target="https://pbs.twimg.com/profile_images/1756903499/2011_small_normal.jpg" TargetMode="External"/><Relationship Id="rId20421" Type="http://schemas.openxmlformats.org/officeDocument/2006/relationships/hyperlink" Target="https://pbs.twimg.com/profile_images/718835727027580928/1ssyQ67y_normal.jpg" TargetMode="External"/><Relationship Id="rId532" Type="http://schemas.openxmlformats.org/officeDocument/2006/relationships/hyperlink" Target="https://twitter.com/brlsbakehouse/status/722964450878345216" TargetMode="External"/><Relationship Id="rId1162" Type="http://schemas.openxmlformats.org/officeDocument/2006/relationships/hyperlink" Target="https://twitter.com/westfalenblatt/status/723023304001343488" TargetMode="External"/><Relationship Id="rId2213" Type="http://schemas.openxmlformats.org/officeDocument/2006/relationships/hyperlink" Target="https://twitter.com/MarkCSchneider" TargetMode="External"/><Relationship Id="rId5783" Type="http://schemas.openxmlformats.org/officeDocument/2006/relationships/hyperlink" Target="https://pbs.twimg.com/profile_images/462350572058718209/eX2lBmw3_normal.png" TargetMode="External"/><Relationship Id="rId15377" Type="http://schemas.openxmlformats.org/officeDocument/2006/relationships/hyperlink" Target="https://pbs.twimg.com/profile_images/535972937346863104/azd9tVvN_normal.jpeg" TargetMode="External"/><Relationship Id="rId16775" Type="http://schemas.openxmlformats.org/officeDocument/2006/relationships/hyperlink" Target="https://pbs.twimg.com/profile_images/703294545195307008/qeCvrX86_normal.jpg" TargetMode="External"/><Relationship Id="rId17826" Type="http://schemas.openxmlformats.org/officeDocument/2006/relationships/hyperlink" Target="https://twitter.com/JClaesz/status/723826213446406144" TargetMode="External"/><Relationship Id="rId22593" Type="http://schemas.openxmlformats.org/officeDocument/2006/relationships/hyperlink" Target="https://twitter.com/VWCamperSales/status/724232470783094784" TargetMode="External"/><Relationship Id="rId23991" Type="http://schemas.openxmlformats.org/officeDocument/2006/relationships/hyperlink" Target="https://twitter.com/CameronGruntman" TargetMode="External"/><Relationship Id="rId4385" Type="http://schemas.openxmlformats.org/officeDocument/2006/relationships/hyperlink" Target="https://twitter.com/selmissary/status/723179837591031808" TargetMode="External"/><Relationship Id="rId5436" Type="http://schemas.openxmlformats.org/officeDocument/2006/relationships/hyperlink" Target="https://pbs.twimg.com/profile_images/723134553339080704/cEQMvOW3_normal.jpg" TargetMode="External"/><Relationship Id="rId6834" Type="http://schemas.openxmlformats.org/officeDocument/2006/relationships/hyperlink" Target="https://twitter.com/PremiersoundsAV/status/723263367637524480" TargetMode="External"/><Relationship Id="rId16428" Type="http://schemas.openxmlformats.org/officeDocument/2006/relationships/hyperlink" Target="https://pbs.twimg.com/profile_images/615493650785660928/XHUh6HOk_normal.jpg" TargetMode="External"/><Relationship Id="rId19998" Type="http://schemas.openxmlformats.org/officeDocument/2006/relationships/hyperlink" Target="https://twitter.com/nachofermanelli/status/723968217279004673" TargetMode="External"/><Relationship Id="rId21195" Type="http://schemas.openxmlformats.org/officeDocument/2006/relationships/hyperlink" Target="https://abs.twimg.com/sticky/default_profile_images/default_profile_5_normal.png" TargetMode="External"/><Relationship Id="rId22246" Type="http://schemas.openxmlformats.org/officeDocument/2006/relationships/hyperlink" Target="https://pbs.twimg.com/profile_images/441878356892475392/gyegJ20H_normal.png" TargetMode="External"/><Relationship Id="rId23644" Type="http://schemas.openxmlformats.org/officeDocument/2006/relationships/hyperlink" Target="https://pbs.twimg.com/profile_images/621145253261770756/SJdc3xVG_normal.jpg" TargetMode="External"/><Relationship Id="rId4038" Type="http://schemas.openxmlformats.org/officeDocument/2006/relationships/hyperlink" Target="https://pbs.twimg.com/profile_images/467006648448348161/LeC0f2D8_normal.jpeg" TargetMode="External"/><Relationship Id="rId11987" Type="http://schemas.openxmlformats.org/officeDocument/2006/relationships/hyperlink" Target="https://twitter.com/euro_thread/status/723511493929500675" TargetMode="External"/><Relationship Id="rId8659" Type="http://schemas.openxmlformats.org/officeDocument/2006/relationships/hyperlink" Target="https://pbs.twimg.com/profile_images/595353521379254272/73N-1R9W_normal.jpg" TargetMode="External"/><Relationship Id="rId10589" Type="http://schemas.openxmlformats.org/officeDocument/2006/relationships/hyperlink" Target="https://pbs.twimg.com/profile_images/722101790431260672/0vYDkuAk_normal.jpg" TargetMode="External"/><Relationship Id="rId14460" Type="http://schemas.openxmlformats.org/officeDocument/2006/relationships/hyperlink" Target="https://twitter.com/dwnews" TargetMode="External"/><Relationship Id="rId15511" Type="http://schemas.openxmlformats.org/officeDocument/2006/relationships/hyperlink" Target="https://twitter.com/konni1068/status/723610283801976832" TargetMode="External"/><Relationship Id="rId25469" Type="http://schemas.openxmlformats.org/officeDocument/2006/relationships/hyperlink" Target="https://twitter.com/ausrutherford/status/724441905325551616" TargetMode="External"/><Relationship Id="rId13062" Type="http://schemas.openxmlformats.org/officeDocument/2006/relationships/hyperlink" Target="https://pbs.twimg.com/profile_images/2942776182/a7fc38ab76da1facf9569455f0e5cb85_normal.jpeg" TargetMode="External"/><Relationship Id="rId14113" Type="http://schemas.openxmlformats.org/officeDocument/2006/relationships/hyperlink" Target="https://twitter.com/OnlineCarReview/status/723564358303780864" TargetMode="External"/><Relationship Id="rId17683" Type="http://schemas.openxmlformats.org/officeDocument/2006/relationships/hyperlink" Target="https://twitter.com/FensomesUK/status/723816259138260992" TargetMode="External"/><Relationship Id="rId18734" Type="http://schemas.openxmlformats.org/officeDocument/2006/relationships/hyperlink" Target="http://ctrlq.org/maps/address/" TargetMode="External"/><Relationship Id="rId2070" Type="http://schemas.openxmlformats.org/officeDocument/2006/relationships/hyperlink" Target="https://twitter.com/jamesak47/status/723079811397222400" TargetMode="External"/><Relationship Id="rId3121" Type="http://schemas.openxmlformats.org/officeDocument/2006/relationships/hyperlink" Target="https://twitter.com/dhenneton/status/723143119684833280" TargetMode="External"/><Relationship Id="rId6691" Type="http://schemas.openxmlformats.org/officeDocument/2006/relationships/hyperlink" Target="https://pbs.twimg.com/profile_images/682942592208760832/P8c4WXDf_normal.jpg" TargetMode="External"/><Relationship Id="rId7742" Type="http://schemas.openxmlformats.org/officeDocument/2006/relationships/hyperlink" Target="https://twitter.com/CinalliNicolas" TargetMode="External"/><Relationship Id="rId16285" Type="http://schemas.openxmlformats.org/officeDocument/2006/relationships/hyperlink" Target="https://twitter.com/LifeBlab" TargetMode="External"/><Relationship Id="rId17336" Type="http://schemas.openxmlformats.org/officeDocument/2006/relationships/hyperlink" Target="https://twitter.com/VWCamperSales/status/723792247385251840" TargetMode="External"/><Relationship Id="rId24552" Type="http://schemas.openxmlformats.org/officeDocument/2006/relationships/hyperlink" Target="https://twitter.com/I_Am_Golden07" TargetMode="External"/><Relationship Id="rId25603" Type="http://schemas.openxmlformats.org/officeDocument/2006/relationships/hyperlink" Target="https://pbs.twimg.com/profile_images/378800000572104796/1de43e1cf23efb3f4101c02afad0d3b6_normal.png" TargetMode="External"/><Relationship Id="rId5293" Type="http://schemas.openxmlformats.org/officeDocument/2006/relationships/hyperlink" Target="https://twitter.com/sparzhick/status/723199484193165317" TargetMode="External"/><Relationship Id="rId6344" Type="http://schemas.openxmlformats.org/officeDocument/2006/relationships/hyperlink" Target="https://twitter.com/MCV1811/status/723240191603945472" TargetMode="External"/><Relationship Id="rId10723" Type="http://schemas.openxmlformats.org/officeDocument/2006/relationships/hyperlink" Target="https://pbs.twimg.com/profile_images/458901987019333632/7FGKPDVB_normal.png" TargetMode="External"/><Relationship Id="rId23154" Type="http://schemas.openxmlformats.org/officeDocument/2006/relationships/hyperlink" Target="https://pbs.twimg.com/profile_images/627949001179037696/skEBkS05_normal.jpg" TargetMode="External"/><Relationship Id="rId24205" Type="http://schemas.openxmlformats.org/officeDocument/2006/relationships/hyperlink" Target="https://twitter.com/FuscaWorld/status/724338164622626817" TargetMode="External"/><Relationship Id="rId9567" Type="http://schemas.openxmlformats.org/officeDocument/2006/relationships/hyperlink" Target="https://twitter.com/VolkswagenPost/status/723440562448306176" TargetMode="External"/><Relationship Id="rId12895" Type="http://schemas.openxmlformats.org/officeDocument/2006/relationships/hyperlink" Target="https://pbs.twimg.com/profile_images/3003801226/4d9ec35024d9767aea0cb92a8609ca75_normal.jpeg" TargetMode="External"/><Relationship Id="rId13946" Type="http://schemas.openxmlformats.org/officeDocument/2006/relationships/hyperlink" Target="https://pbs.twimg.com/profile_images/648833734649741312/2dpzinZ3_normal.png" TargetMode="External"/><Relationship Id="rId2954" Type="http://schemas.openxmlformats.org/officeDocument/2006/relationships/hyperlink" Target="https://pbs.twimg.com/profile_images/722739206779486208/kLEwa01b_normal.jpg" TargetMode="External"/><Relationship Id="rId8169" Type="http://schemas.openxmlformats.org/officeDocument/2006/relationships/hyperlink" Target="https://twitter.com/hrinfo" TargetMode="External"/><Relationship Id="rId11497" Type="http://schemas.openxmlformats.org/officeDocument/2006/relationships/hyperlink" Target="https://twitter.com/Colchester1891" TargetMode="External"/><Relationship Id="rId12548" Type="http://schemas.openxmlformats.org/officeDocument/2006/relationships/hyperlink" Target="https://twitter.com/HansTheGerman" TargetMode="External"/><Relationship Id="rId20815" Type="http://schemas.openxmlformats.org/officeDocument/2006/relationships/hyperlink" Target="https://twitter.com/VazquezSool" TargetMode="External"/><Relationship Id="rId926" Type="http://schemas.openxmlformats.org/officeDocument/2006/relationships/hyperlink" Target="https://twitter.com/KimQuistAnderse" TargetMode="External"/><Relationship Id="rId1556" Type="http://schemas.openxmlformats.org/officeDocument/2006/relationships/hyperlink" Target="https://twitter.com/newsonhunt" TargetMode="External"/><Relationship Id="rId2607" Type="http://schemas.openxmlformats.org/officeDocument/2006/relationships/hyperlink" Target="https://twitter.com/EvvoNewBeetles" TargetMode="External"/><Relationship Id="rId10099" Type="http://schemas.openxmlformats.org/officeDocument/2006/relationships/hyperlink" Target="https://pbs.twimg.com/profile_images/378800000811699856/2d9d28a16a6d19d62c1a42ee438b8b41_normal.jpeg" TargetMode="External"/><Relationship Id="rId15021" Type="http://schemas.openxmlformats.org/officeDocument/2006/relationships/hyperlink" Target="http://dlvr.it/" TargetMode="External"/><Relationship Id="rId18591" Type="http://schemas.openxmlformats.org/officeDocument/2006/relationships/hyperlink" Target="https://pbs.twimg.com/profile_images/652871584131092480/QA_B6SBO_normal.jpg" TargetMode="External"/><Relationship Id="rId19642" Type="http://schemas.openxmlformats.org/officeDocument/2006/relationships/hyperlink" Target="https://twitter.com/TheHippieVanMan" TargetMode="External"/><Relationship Id="rId22987" Type="http://schemas.openxmlformats.org/officeDocument/2006/relationships/hyperlink" Target="https://pbs.twimg.com/profile_images/630760607495491584/aI1UDD2r_normal.jpg" TargetMode="External"/><Relationship Id="rId1209" Type="http://schemas.openxmlformats.org/officeDocument/2006/relationships/hyperlink" Target="https://twitter.com/WynfordE/status/723025678308913152" TargetMode="External"/><Relationship Id="rId4779" Type="http://schemas.openxmlformats.org/officeDocument/2006/relationships/hyperlink" Target="https://pbs.twimg.com/profile_images/378800000600543486/069e6d3a14dfc922c29d7cecf5dd463a_normal.jpeg" TargetMode="External"/><Relationship Id="rId8650" Type="http://schemas.openxmlformats.org/officeDocument/2006/relationships/hyperlink" Target="https://pbs.twimg.com/profile_images/718350313720324097/N0vIwr6s_normal.jpg" TargetMode="External"/><Relationship Id="rId9701" Type="http://schemas.openxmlformats.org/officeDocument/2006/relationships/hyperlink" Target="https://twitter.com/bkuchti" TargetMode="External"/><Relationship Id="rId10580" Type="http://schemas.openxmlformats.org/officeDocument/2006/relationships/hyperlink" Target="https://pbs.twimg.com/profile_images/378800000136827482/59b710cdb7e23283a3520e9867359b74_normal.jpeg" TargetMode="External"/><Relationship Id="rId11631" Type="http://schemas.openxmlformats.org/officeDocument/2006/relationships/hyperlink" Target="https://twitter.com/BBoason/status/723504437801680896" TargetMode="External"/><Relationship Id="rId17193" Type="http://schemas.openxmlformats.org/officeDocument/2006/relationships/hyperlink" Target="http://dlvr.it/" TargetMode="External"/><Relationship Id="rId18244" Type="http://schemas.openxmlformats.org/officeDocument/2006/relationships/hyperlink" Target="https://pbs.twimg.com/profile_images/718804114780655616/RVH524-G_normal.jpg" TargetMode="External"/><Relationship Id="rId21589" Type="http://schemas.openxmlformats.org/officeDocument/2006/relationships/hyperlink" Target="https://twitter.com/ellie_sheppard" TargetMode="External"/><Relationship Id="rId25460" Type="http://schemas.openxmlformats.org/officeDocument/2006/relationships/hyperlink" Target="https://twitter.com/TheHippieVanMan/status/724440669050253312" TargetMode="External"/><Relationship Id="rId7252" Type="http://schemas.openxmlformats.org/officeDocument/2006/relationships/hyperlink" Target="http://dlvr.it/" TargetMode="External"/><Relationship Id="rId8303" Type="http://schemas.openxmlformats.org/officeDocument/2006/relationships/hyperlink" Target="https://abs.twimg.com/sticky/default_profile_images/default_profile_0_normal.png" TargetMode="External"/><Relationship Id="rId10233" Type="http://schemas.openxmlformats.org/officeDocument/2006/relationships/hyperlink" Target="https://twitter.com/ZDFhannover/status/723466399105060864" TargetMode="External"/><Relationship Id="rId24062" Type="http://schemas.openxmlformats.org/officeDocument/2006/relationships/hyperlink" Target="https://twitter.com/NervTobbe" TargetMode="External"/><Relationship Id="rId25113" Type="http://schemas.openxmlformats.org/officeDocument/2006/relationships/hyperlink" Target="https://pbs.twimg.com/profile_images/670100002354700288/alUCl1Z-_normal.jpg" TargetMode="External"/><Relationship Id="rId3862" Type="http://schemas.openxmlformats.org/officeDocument/2006/relationships/hyperlink" Target="https://twitter.com/franz_rother/status/723170847758946304" TargetMode="External"/><Relationship Id="rId13456" Type="http://schemas.openxmlformats.org/officeDocument/2006/relationships/hyperlink" Target="https://twitter.com/PalleHorn" TargetMode="External"/><Relationship Id="rId14854" Type="http://schemas.openxmlformats.org/officeDocument/2006/relationships/hyperlink" Target="https://twitter.com/Way_Cool_/status/723585243459010560" TargetMode="External"/><Relationship Id="rId15905" Type="http://schemas.openxmlformats.org/officeDocument/2006/relationships/hyperlink" Target="https://twitter.com/Owners4Owners" TargetMode="External"/><Relationship Id="rId783" Type="http://schemas.openxmlformats.org/officeDocument/2006/relationships/hyperlink" Target="https://twitter.com/Rene03R/status/722983465952657408" TargetMode="External"/><Relationship Id="rId2464" Type="http://schemas.openxmlformats.org/officeDocument/2006/relationships/hyperlink" Target="https://pbs.twimg.com/profile_images/644482436257185792/immN1agH_normal.jpg" TargetMode="External"/><Relationship Id="rId3515" Type="http://schemas.openxmlformats.org/officeDocument/2006/relationships/hyperlink" Target="https://pbs.twimg.com/profile_images/451111072607387648/1yuX8rHy_normal.png" TargetMode="External"/><Relationship Id="rId4913" Type="http://schemas.openxmlformats.org/officeDocument/2006/relationships/hyperlink" Target="https://pbs.twimg.com/profile_images/706421741950738432/AjuMmSTT_normal.jpg" TargetMode="External"/><Relationship Id="rId9077" Type="http://schemas.openxmlformats.org/officeDocument/2006/relationships/hyperlink" Target="https://twitter.com/ruv24_de/status/723421170393997318" TargetMode="External"/><Relationship Id="rId12058" Type="http://schemas.openxmlformats.org/officeDocument/2006/relationships/hyperlink" Target="https://twitter.com/FAZ_NET/status/723512532602884096" TargetMode="External"/><Relationship Id="rId13109" Type="http://schemas.openxmlformats.org/officeDocument/2006/relationships/hyperlink" Target="https://twitter.com/ElizaRules/status/723535504818487296" TargetMode="External"/><Relationship Id="rId14507" Type="http://schemas.openxmlformats.org/officeDocument/2006/relationships/hyperlink" Target="https://pbs.twimg.com/profile_images/492723540802932736/jwdWTjbv_normal.jpeg" TargetMode="External"/><Relationship Id="rId20325" Type="http://schemas.openxmlformats.org/officeDocument/2006/relationships/hyperlink" Target="https://twitter.com/PTPTM0/status/723991323410231296" TargetMode="External"/><Relationship Id="rId20672" Type="http://schemas.openxmlformats.org/officeDocument/2006/relationships/hyperlink" Target="https://twitter.com/LcMonoblock" TargetMode="External"/><Relationship Id="rId21723" Type="http://schemas.openxmlformats.org/officeDocument/2006/relationships/hyperlink" Target="https://twitter.com/Fat4y" TargetMode="External"/><Relationship Id="rId436" Type="http://schemas.openxmlformats.org/officeDocument/2006/relationships/hyperlink" Target="https://pbs.twimg.com/profile_images/697477577301233664/WcI9GrNZ_normal.jpg" TargetMode="External"/><Relationship Id="rId1066" Type="http://schemas.openxmlformats.org/officeDocument/2006/relationships/hyperlink" Target="https://twitter.com/enCARtorTanay/status/723016042939703296" TargetMode="External"/><Relationship Id="rId2117" Type="http://schemas.openxmlformats.org/officeDocument/2006/relationships/hyperlink" Target="https://twitter.com/laoluakanni/status/723083382209556480" TargetMode="External"/><Relationship Id="rId16679" Type="http://schemas.openxmlformats.org/officeDocument/2006/relationships/hyperlink" Target="https://twitter.com/beetlebug1938" TargetMode="External"/><Relationship Id="rId23895" Type="http://schemas.openxmlformats.org/officeDocument/2006/relationships/hyperlink" Target="http://dlvr.it/" TargetMode="External"/><Relationship Id="rId24946" Type="http://schemas.openxmlformats.org/officeDocument/2006/relationships/hyperlink" Target="https://twitter.com/smartaura/status/724404975216947200" TargetMode="External"/><Relationship Id="rId4289" Type="http://schemas.openxmlformats.org/officeDocument/2006/relationships/hyperlink" Target="https://pbs.twimg.com/profile_images/624398233352171520/3uTWdNE4_normal.jpg" TargetMode="External"/><Relationship Id="rId5687" Type="http://schemas.openxmlformats.org/officeDocument/2006/relationships/hyperlink" Target="https://twitter.com/VWCamperSales/status/723212743591882752" TargetMode="External"/><Relationship Id="rId6738" Type="http://schemas.openxmlformats.org/officeDocument/2006/relationships/hyperlink" Target="https://pbs.twimg.com/profile_images/417377998799527937/SgsK9PXP_normal.jpeg" TargetMode="External"/><Relationship Id="rId8160" Type="http://schemas.openxmlformats.org/officeDocument/2006/relationships/hyperlink" Target="https://pbs.twimg.com/profile_images/778573929/_MG_2143_normal.jpg" TargetMode="External"/><Relationship Id="rId19152" Type="http://schemas.openxmlformats.org/officeDocument/2006/relationships/hyperlink" Target="https://twitter.com/VWCamperSales" TargetMode="External"/><Relationship Id="rId21099" Type="http://schemas.openxmlformats.org/officeDocument/2006/relationships/hyperlink" Target="https://twitter.com/Joakyla4/status/724098230150111236" TargetMode="External"/><Relationship Id="rId22497" Type="http://schemas.openxmlformats.org/officeDocument/2006/relationships/hyperlink" Target="https://pbs.twimg.com/profile_images/630675955007270912/iceoiWn7_normal.jpg" TargetMode="External"/><Relationship Id="rId23548" Type="http://schemas.openxmlformats.org/officeDocument/2006/relationships/hyperlink" Target="https://pbs.twimg.com/profile_images/1798965425/FacebookHomescreenImage_normal.jpg" TargetMode="External"/><Relationship Id="rId9211" Type="http://schemas.openxmlformats.org/officeDocument/2006/relationships/hyperlink" Target="https://twitter.com/PorscheOfficApp/status/723425381244493825" TargetMode="External"/><Relationship Id="rId10090" Type="http://schemas.openxmlformats.org/officeDocument/2006/relationships/hyperlink" Target="http://ctrlq.org/maps/address/" TargetMode="External"/><Relationship Id="rId11141" Type="http://schemas.openxmlformats.org/officeDocument/2006/relationships/hyperlink" Target="https://twitter.com/TepelmannMentor" TargetMode="External"/><Relationship Id="rId15762" Type="http://schemas.openxmlformats.org/officeDocument/2006/relationships/hyperlink" Target="https://pbs.twimg.com/profile_images/3537672406/190f79c88052bd5078e91796fd0fffe1_normal.jpeg" TargetMode="External"/><Relationship Id="rId16813" Type="http://schemas.openxmlformats.org/officeDocument/2006/relationships/hyperlink" Target="http://webaraba.com/" TargetMode="External"/><Relationship Id="rId1200" Type="http://schemas.openxmlformats.org/officeDocument/2006/relationships/hyperlink" Target="https://twitter.com/rpo_wirtschaft/status/723025224082554880" TargetMode="External"/><Relationship Id="rId4770" Type="http://schemas.openxmlformats.org/officeDocument/2006/relationships/hyperlink" Target="https://pbs.twimg.com/profile_images/589041144027357185/LMeiK-X6_normal.jpg" TargetMode="External"/><Relationship Id="rId5821" Type="http://schemas.openxmlformats.org/officeDocument/2006/relationships/hyperlink" Target="https://twitter.com/essing_h/status/723218913912336385" TargetMode="External"/><Relationship Id="rId14364" Type="http://schemas.openxmlformats.org/officeDocument/2006/relationships/hyperlink" Target="https://twitter.com/LombardaMotori" TargetMode="External"/><Relationship Id="rId15415" Type="http://schemas.openxmlformats.org/officeDocument/2006/relationships/hyperlink" Target="https://twitter.com/DarkGermany" TargetMode="External"/><Relationship Id="rId21580" Type="http://schemas.openxmlformats.org/officeDocument/2006/relationships/hyperlink" Target="http://dlvr.it/" TargetMode="External"/><Relationship Id="rId22631" Type="http://schemas.openxmlformats.org/officeDocument/2006/relationships/hyperlink" Target="http://dlvr.it/" TargetMode="External"/><Relationship Id="rId3372" Type="http://schemas.openxmlformats.org/officeDocument/2006/relationships/hyperlink" Target="https://twitter.com/seunthorpe/status/723154091061436416" TargetMode="External"/><Relationship Id="rId4423" Type="http://schemas.openxmlformats.org/officeDocument/2006/relationships/hyperlink" Target="https://pbs.twimg.com/profile_images/478629247192272896/W8LDSRdj_normal.jpeg" TargetMode="External"/><Relationship Id="rId7993" Type="http://schemas.openxmlformats.org/officeDocument/2006/relationships/hyperlink" Target="https://twitter.com/AdgmanA" TargetMode="External"/><Relationship Id="rId14017" Type="http://schemas.openxmlformats.org/officeDocument/2006/relationships/hyperlink" Target="https://pbs.twimg.com/profile_images/448931484188295169/hYLs47Ot_normal.jpeg" TargetMode="External"/><Relationship Id="rId17587" Type="http://schemas.openxmlformats.org/officeDocument/2006/relationships/hyperlink" Target="https://twitter.com/vagmenhq" TargetMode="External"/><Relationship Id="rId18985" Type="http://schemas.openxmlformats.org/officeDocument/2006/relationships/hyperlink" Target="https://twitter.com/VeeDubMk1_" TargetMode="External"/><Relationship Id="rId20182" Type="http://schemas.openxmlformats.org/officeDocument/2006/relationships/hyperlink" Target="https://twitter.com/NWFollowers" TargetMode="External"/><Relationship Id="rId21233" Type="http://schemas.openxmlformats.org/officeDocument/2006/relationships/hyperlink" Target="https://twitter.com/Scirocco_Tuning" TargetMode="External"/><Relationship Id="rId293" Type="http://schemas.openxmlformats.org/officeDocument/2006/relationships/hyperlink" Target="https://twitter.com/sunpech/status/722945177749336065" TargetMode="External"/><Relationship Id="rId3025" Type="http://schemas.openxmlformats.org/officeDocument/2006/relationships/hyperlink" Target="https://twitter.com/Stony_BS/status/723132794096885760" TargetMode="External"/><Relationship Id="rId6595" Type="http://schemas.openxmlformats.org/officeDocument/2006/relationships/hyperlink" Target="https://twitter.com/GiroGisela/status/723247491152502784" TargetMode="External"/><Relationship Id="rId7646" Type="http://schemas.openxmlformats.org/officeDocument/2006/relationships/hyperlink" Target="https://pbs.twimg.com/profile_images/2261219336/portada_normal.jpg" TargetMode="External"/><Relationship Id="rId10974" Type="http://schemas.openxmlformats.org/officeDocument/2006/relationships/hyperlink" Target="https://twitter.com/feralf" TargetMode="External"/><Relationship Id="rId16189" Type="http://schemas.openxmlformats.org/officeDocument/2006/relationships/hyperlink" Target="https://twitter.com/MDRINFO/status/723654950019076096" TargetMode="External"/><Relationship Id="rId18638" Type="http://schemas.openxmlformats.org/officeDocument/2006/relationships/hyperlink" Target="https://pbs.twimg.com/profile_images/436538745232568320/WdIrwRnz_normal.jpeg" TargetMode="External"/><Relationship Id="rId24456" Type="http://schemas.openxmlformats.org/officeDocument/2006/relationships/hyperlink" Target="https://twitter.com/academ_foto" TargetMode="External"/><Relationship Id="rId5197" Type="http://schemas.openxmlformats.org/officeDocument/2006/relationships/hyperlink" Target="https://twitter.com/AilenNicolep/status/723197374399700992" TargetMode="External"/><Relationship Id="rId6248" Type="http://schemas.openxmlformats.org/officeDocument/2006/relationships/hyperlink" Target="https://pbs.twimg.com/profile_images/530071272881803264/a_jcCmPZ_normal.png" TargetMode="External"/><Relationship Id="rId10627" Type="http://schemas.openxmlformats.org/officeDocument/2006/relationships/hyperlink" Target="https://twitter.com/TEXTCOM" TargetMode="External"/><Relationship Id="rId23058" Type="http://schemas.openxmlformats.org/officeDocument/2006/relationships/hyperlink" Target="https://pbs.twimg.com/profile_images/578974562836054016/ma2syHxK_normal.jpeg" TargetMode="External"/><Relationship Id="rId24109" Type="http://schemas.openxmlformats.org/officeDocument/2006/relationships/hyperlink" Target="https://twitter.com/Amylovell11/status/724332540232908800" TargetMode="External"/><Relationship Id="rId25507" Type="http://schemas.openxmlformats.org/officeDocument/2006/relationships/hyperlink" Target="https://twitter.com/nomkhita12" TargetMode="External"/><Relationship Id="rId12799" Type="http://schemas.openxmlformats.org/officeDocument/2006/relationships/hyperlink" Target="https://twitter.com/beetlebug1938" TargetMode="External"/><Relationship Id="rId13100" Type="http://schemas.openxmlformats.org/officeDocument/2006/relationships/hyperlink" Target="https://pbs.twimg.com/profile_images/677036395882553344/hTxwna3u_normal.jpg" TargetMode="External"/><Relationship Id="rId16670" Type="http://schemas.openxmlformats.org/officeDocument/2006/relationships/hyperlink" Target="https://twitter.com/beetlebug1938" TargetMode="External"/><Relationship Id="rId17721" Type="http://schemas.openxmlformats.org/officeDocument/2006/relationships/hyperlink" Target="https://twitter.com/DubLuvTuning" TargetMode="External"/><Relationship Id="rId2858" Type="http://schemas.openxmlformats.org/officeDocument/2006/relationships/hyperlink" Target="http://dlvr.it/" TargetMode="External"/><Relationship Id="rId3909" Type="http://schemas.openxmlformats.org/officeDocument/2006/relationships/hyperlink" Target="https://twitter.com/zapher134" TargetMode="External"/><Relationship Id="rId15272" Type="http://schemas.openxmlformats.org/officeDocument/2006/relationships/hyperlink" Target="https://twitter.com/Ernst1953Do/status/723602030691016704" TargetMode="External"/><Relationship Id="rId16323" Type="http://schemas.openxmlformats.org/officeDocument/2006/relationships/hyperlink" Target="https://pbs.twimg.com/profile_images/474019501403406336/_4Ns_zdP_normal.jpeg" TargetMode="External"/><Relationship Id="rId19893" Type="http://schemas.openxmlformats.org/officeDocument/2006/relationships/hyperlink" Target="https://pbs.twimg.com/profile_images/681129306446258176/SCn8_tXF_normal.jpg" TargetMode="External"/><Relationship Id="rId20719" Type="http://schemas.openxmlformats.org/officeDocument/2006/relationships/hyperlink" Target="https://pbs.twimg.com/profile_images/424893967197433858/iQ86NktX_normal.jpeg" TargetMode="External"/><Relationship Id="rId4280" Type="http://schemas.openxmlformats.org/officeDocument/2006/relationships/hyperlink" Target="https://twitter.com/Cluhch" TargetMode="External"/><Relationship Id="rId5331" Type="http://schemas.openxmlformats.org/officeDocument/2006/relationships/hyperlink" Target="https://twitter.com/MelaniePattyn" TargetMode="External"/><Relationship Id="rId9952" Type="http://schemas.openxmlformats.org/officeDocument/2006/relationships/hyperlink" Target="https://twitter.com/MotorphiliacsTv/status/723455474864001024" TargetMode="External"/><Relationship Id="rId18495" Type="http://schemas.openxmlformats.org/officeDocument/2006/relationships/hyperlink" Target="https://twitter.com/vwvanspreston" TargetMode="External"/><Relationship Id="rId19546" Type="http://schemas.openxmlformats.org/officeDocument/2006/relationships/hyperlink" Target="https://pbs.twimg.com/profile_images/378800000854855954/0d555726054b01e3c9d6b5241432dc4a_normal.jpeg" TargetMode="External"/><Relationship Id="rId21090" Type="http://schemas.openxmlformats.org/officeDocument/2006/relationships/hyperlink" Target="https://twitter.com/DubLuvTuning/status/724097718491205634" TargetMode="External"/><Relationship Id="rId22141" Type="http://schemas.openxmlformats.org/officeDocument/2006/relationships/hyperlink" Target="https://pbs.twimg.com/profile_images/569767365538496512/aBsh6xPR_normal.jpeg" TargetMode="External"/><Relationship Id="rId1941" Type="http://schemas.openxmlformats.org/officeDocument/2006/relationships/hyperlink" Target="https://pbs.twimg.com/profile_images/477443424241463296/bKWNQp65_normal.jpeg" TargetMode="External"/><Relationship Id="rId8554" Type="http://schemas.openxmlformats.org/officeDocument/2006/relationships/hyperlink" Target="https://twitter.com/MerlinaAlmendra" TargetMode="External"/><Relationship Id="rId9605" Type="http://schemas.openxmlformats.org/officeDocument/2006/relationships/hyperlink" Target="https://pbs.twimg.com/profile_images/682117963349135360/IUfZQy35_normal.png" TargetMode="External"/><Relationship Id="rId10484" Type="http://schemas.openxmlformats.org/officeDocument/2006/relationships/hyperlink" Target="https://twitter.com/Elitet5" TargetMode="External"/><Relationship Id="rId11535" Type="http://schemas.openxmlformats.org/officeDocument/2006/relationships/hyperlink" Target="https://pbs.twimg.com/profile_images/587542294913556480/VN9ydDdE_normal.jpg" TargetMode="External"/><Relationship Id="rId11882" Type="http://schemas.openxmlformats.org/officeDocument/2006/relationships/hyperlink" Target="https://twitter.com/VWBeetleSales" TargetMode="External"/><Relationship Id="rId12933" Type="http://schemas.openxmlformats.org/officeDocument/2006/relationships/hyperlink" Target="https://twitter.com/angulosiete" TargetMode="External"/><Relationship Id="rId17097" Type="http://schemas.openxmlformats.org/officeDocument/2006/relationships/hyperlink" Target="https://twitter.com/lesrouescarrees/status/723769769896345600" TargetMode="External"/><Relationship Id="rId18148" Type="http://schemas.openxmlformats.org/officeDocument/2006/relationships/hyperlink" Target="https://twitter.com/Marina_Ilona/status/723847378499964928" TargetMode="External"/><Relationship Id="rId25364" Type="http://schemas.openxmlformats.org/officeDocument/2006/relationships/hyperlink" Target="https://pbs.twimg.com/profile_images/530071272881803264/a_jcCmPZ_normal.png" TargetMode="External"/><Relationship Id="rId7156" Type="http://schemas.openxmlformats.org/officeDocument/2006/relationships/hyperlink" Target="https://twitter.com/techhippie" TargetMode="External"/><Relationship Id="rId8207" Type="http://schemas.openxmlformats.org/officeDocument/2006/relationships/hyperlink" Target="https://twitter.com/tagesschau/status/723377273986895873" TargetMode="External"/><Relationship Id="rId10137" Type="http://schemas.openxmlformats.org/officeDocument/2006/relationships/hyperlink" Target="https://pbs.twimg.com/profile_images/578163971032674304/5-_WwSf__normal.jpeg" TargetMode="External"/><Relationship Id="rId25017" Type="http://schemas.openxmlformats.org/officeDocument/2006/relationships/hyperlink" Target="https://pbs.twimg.com/profile_images/666453014614446080/7wESjl0P_normal.jpg" TargetMode="External"/><Relationship Id="rId14758" Type="http://schemas.openxmlformats.org/officeDocument/2006/relationships/hyperlink" Target="https://twitter.com/Zusehrverkuerzt" TargetMode="External"/><Relationship Id="rId15809" Type="http://schemas.openxmlformats.org/officeDocument/2006/relationships/hyperlink" Target="https://twitter.com/OnlineCarReview" TargetMode="External"/><Relationship Id="rId21974" Type="http://schemas.openxmlformats.org/officeDocument/2006/relationships/hyperlink" Target="https://pbs.twimg.com/profile_images/698254457998544896/9GCc4Vj1_normal.jpg" TargetMode="External"/><Relationship Id="rId687" Type="http://schemas.openxmlformats.org/officeDocument/2006/relationships/hyperlink" Target="https://twitter.com/iMeme_74" TargetMode="External"/><Relationship Id="rId2368" Type="http://schemas.openxmlformats.org/officeDocument/2006/relationships/hyperlink" Target="https://twitter.com/treibholzfilm/status/723097365662580736" TargetMode="External"/><Relationship Id="rId3766" Type="http://schemas.openxmlformats.org/officeDocument/2006/relationships/hyperlink" Target="https://pbs.twimg.com/profile_images/649282853226745858/VsTbEl77_normal.jpg" TargetMode="External"/><Relationship Id="rId4817" Type="http://schemas.openxmlformats.org/officeDocument/2006/relationships/hyperlink" Target="https://twitter.com/zeitonline/status/723188449793216512" TargetMode="External"/><Relationship Id="rId16180" Type="http://schemas.openxmlformats.org/officeDocument/2006/relationships/hyperlink" Target="https://twitter.com/chronsucks/status/723654473785171969" TargetMode="External"/><Relationship Id="rId17231" Type="http://schemas.openxmlformats.org/officeDocument/2006/relationships/hyperlink" Target="https://twitter.com/NDRnds" TargetMode="External"/><Relationship Id="rId20576" Type="http://schemas.openxmlformats.org/officeDocument/2006/relationships/hyperlink" Target="https://twitter.com/motorgiga" TargetMode="External"/><Relationship Id="rId21627" Type="http://schemas.openxmlformats.org/officeDocument/2006/relationships/hyperlink" Target="https://twitter.com/dubbusses/status/724163857372073984" TargetMode="External"/><Relationship Id="rId3419" Type="http://schemas.openxmlformats.org/officeDocument/2006/relationships/hyperlink" Target="https://twitter.com/Alexeinatan" TargetMode="External"/><Relationship Id="rId6989" Type="http://schemas.openxmlformats.org/officeDocument/2006/relationships/hyperlink" Target="https://pbs.twimg.com/profile_images/702601670186790912/ZdaqJSKf_normal.jpg" TargetMode="External"/><Relationship Id="rId12790" Type="http://schemas.openxmlformats.org/officeDocument/2006/relationships/hyperlink" Target="https://twitter.com/parthaabosu" TargetMode="External"/><Relationship Id="rId13841" Type="http://schemas.openxmlformats.org/officeDocument/2006/relationships/hyperlink" Target="https://pbs.twimg.com/profile_images/661248829682024449/IlOGOPEg_normal.jpg" TargetMode="External"/><Relationship Id="rId20229" Type="http://schemas.openxmlformats.org/officeDocument/2006/relationships/hyperlink" Target="https://pbs.twimg.com/profile_images/618371711705198592/KWmZG0g7_normal.jpg" TargetMode="External"/><Relationship Id="rId23799" Type="http://schemas.openxmlformats.org/officeDocument/2006/relationships/hyperlink" Target="https://twitter.com/Vagowners/status/724312461680193537" TargetMode="External"/><Relationship Id="rId24100" Type="http://schemas.openxmlformats.org/officeDocument/2006/relationships/hyperlink" Target="https://twitter.com/jennyalban63/status/724331978502344705" TargetMode="External"/><Relationship Id="rId3900" Type="http://schemas.openxmlformats.org/officeDocument/2006/relationships/hyperlink" Target="https://twitter.com/franz_rother" TargetMode="External"/><Relationship Id="rId9462" Type="http://schemas.openxmlformats.org/officeDocument/2006/relationships/hyperlink" Target="https://pbs.twimg.com/profile_images/552037189328982016/r65JRGTS_normal.jpeg" TargetMode="External"/><Relationship Id="rId11392" Type="http://schemas.openxmlformats.org/officeDocument/2006/relationships/hyperlink" Target="https://twitter.com/pgeorgol" TargetMode="External"/><Relationship Id="rId12443" Type="http://schemas.openxmlformats.org/officeDocument/2006/relationships/hyperlink" Target="https://twitter.com/mokomokai/status/723519687330402306" TargetMode="External"/><Relationship Id="rId19056" Type="http://schemas.openxmlformats.org/officeDocument/2006/relationships/hyperlink" Target="https://twitter.com/j0edraper_/status/723917104240578561" TargetMode="External"/><Relationship Id="rId20710" Type="http://schemas.openxmlformats.org/officeDocument/2006/relationships/hyperlink" Target="https://pbs.twimg.com/profile_images/628713032957431808/iIoDMTx0_normal.jpg" TargetMode="External"/><Relationship Id="rId821" Type="http://schemas.openxmlformats.org/officeDocument/2006/relationships/hyperlink" Target="https://pbs.twimg.com/profile_images/1444180180/StevenWeisbrot_normal.jpg" TargetMode="External"/><Relationship Id="rId1451" Type="http://schemas.openxmlformats.org/officeDocument/2006/relationships/hyperlink" Target="https://twitter.com/LesleeTT" TargetMode="External"/><Relationship Id="rId2502" Type="http://schemas.openxmlformats.org/officeDocument/2006/relationships/hyperlink" Target="https://pbs.twimg.com/profile_images/615837760490983424/48U9iiHd_normal.jpg" TargetMode="External"/><Relationship Id="rId8064" Type="http://schemas.openxmlformats.org/officeDocument/2006/relationships/hyperlink" Target="https://twitter.com/Rodrigocana/status/723358230588481537" TargetMode="External"/><Relationship Id="rId9115" Type="http://schemas.openxmlformats.org/officeDocument/2006/relationships/hyperlink" Target="https://pbs.twimg.com/profile_images/2373311233/logo_VW_CONCESSIONARIO_normal.jpg" TargetMode="External"/><Relationship Id="rId11045" Type="http://schemas.openxmlformats.org/officeDocument/2006/relationships/hyperlink" Target="https://twitter.com/FrVision/status/723495240045355008" TargetMode="External"/><Relationship Id="rId15666" Type="http://schemas.openxmlformats.org/officeDocument/2006/relationships/hyperlink" Target="https://twitter.com/veselinarogova/status/723618764051374080" TargetMode="External"/><Relationship Id="rId22882" Type="http://schemas.openxmlformats.org/officeDocument/2006/relationships/hyperlink" Target="https://pbs.twimg.com/profile_images/718820712757215233/LXXndPTS_normal.jpg" TargetMode="External"/><Relationship Id="rId1104" Type="http://schemas.openxmlformats.org/officeDocument/2006/relationships/hyperlink" Target="https://twitter.com/Fumblkrusch/status/723019355697500160" TargetMode="External"/><Relationship Id="rId4674" Type="http://schemas.openxmlformats.org/officeDocument/2006/relationships/hyperlink" Target="https://twitter.com/GrahameLucas/status/723185125933088769" TargetMode="External"/><Relationship Id="rId5725" Type="http://schemas.openxmlformats.org/officeDocument/2006/relationships/hyperlink" Target="https://pbs.twimg.com/profile_images/530071272881803264/a_jcCmPZ_normal.png" TargetMode="External"/><Relationship Id="rId14268" Type="http://schemas.openxmlformats.org/officeDocument/2006/relationships/hyperlink" Target="https://pbs.twimg.com/profile_images/717405433221222401/qDdd387Z_normal.jpg" TargetMode="External"/><Relationship Id="rId15319" Type="http://schemas.openxmlformats.org/officeDocument/2006/relationships/hyperlink" Target="https://pbs.twimg.com/profile_images/3325520037/cf2027069deae5dc44e82172d33a6683_normal.jpeg" TargetMode="External"/><Relationship Id="rId16717" Type="http://schemas.openxmlformats.org/officeDocument/2006/relationships/hyperlink" Target="https://twitter.com/dcmotoring/status/723715092785799168" TargetMode="External"/><Relationship Id="rId21484" Type="http://schemas.openxmlformats.org/officeDocument/2006/relationships/hyperlink" Target="https://pbs.twimg.com/profile_images/1610421423/Image2_normal.jpg" TargetMode="External"/><Relationship Id="rId22535" Type="http://schemas.openxmlformats.org/officeDocument/2006/relationships/hyperlink" Target="https://twitter.com/CoryBarrios" TargetMode="External"/><Relationship Id="rId23933" Type="http://schemas.openxmlformats.org/officeDocument/2006/relationships/hyperlink" Target="https://twitter.com/dubbusses" TargetMode="External"/><Relationship Id="rId3276" Type="http://schemas.openxmlformats.org/officeDocument/2006/relationships/hyperlink" Target="https://twitter.com/VolkswagenPost/status/723148935808700416" TargetMode="External"/><Relationship Id="rId4327" Type="http://schemas.openxmlformats.org/officeDocument/2006/relationships/hyperlink" Target="https://pbs.twimg.com/profile_images/565535762720894976/d0L_JvdB_normal.png" TargetMode="External"/><Relationship Id="rId18889" Type="http://schemas.openxmlformats.org/officeDocument/2006/relationships/hyperlink" Target="https://pbs.twimg.com/profile_images/446781974452371456/rqBZF-KN_normal.jpeg" TargetMode="External"/><Relationship Id="rId20086" Type="http://schemas.openxmlformats.org/officeDocument/2006/relationships/hyperlink" Target="https://pbs.twimg.com/profile_images/637035800966885376/qmtOSgmX_normal.jpg" TargetMode="External"/><Relationship Id="rId21137" Type="http://schemas.openxmlformats.org/officeDocument/2006/relationships/hyperlink" Target="https://twitter.com/paintdodgers" TargetMode="External"/><Relationship Id="rId197" Type="http://schemas.openxmlformats.org/officeDocument/2006/relationships/hyperlink" Target="https://twitter.com/Ersoy_50/status/722935367767298048" TargetMode="External"/><Relationship Id="rId6499" Type="http://schemas.openxmlformats.org/officeDocument/2006/relationships/hyperlink" Target="https://twitter.com/TrouwbusTilburg/status/723244858589233152" TargetMode="External"/><Relationship Id="rId7897" Type="http://schemas.openxmlformats.org/officeDocument/2006/relationships/hyperlink" Target="https://pbs.twimg.com/profile_images/3518634490/a7db4179a4b0e8afcae487f17f254681_normal.jpeg" TargetMode="External"/><Relationship Id="rId8948" Type="http://schemas.openxmlformats.org/officeDocument/2006/relationships/hyperlink" Target="https://twitter.com/LouisPosern" TargetMode="External"/><Relationship Id="rId10878" Type="http://schemas.openxmlformats.org/officeDocument/2006/relationships/hyperlink" Target="https://twitter.com/manliomannozzi" TargetMode="External"/><Relationship Id="rId11929" Type="http://schemas.openxmlformats.org/officeDocument/2006/relationships/hyperlink" Target="https://abs.twimg.com/sticky/default_profile_images/default_profile_2_normal.png" TargetMode="External"/><Relationship Id="rId15800" Type="http://schemas.openxmlformats.org/officeDocument/2006/relationships/hyperlink" Target="https://twitter.com/ingridHH" TargetMode="External"/><Relationship Id="rId25758" Type="http://schemas.openxmlformats.org/officeDocument/2006/relationships/hyperlink" Target="https://twitter.com/BriardSebastien" TargetMode="External"/><Relationship Id="rId13351" Type="http://schemas.openxmlformats.org/officeDocument/2006/relationships/hyperlink" Target="https://pbs.twimg.com/profile_images/488939589520740353/HVTIWICi_normal.jpeg" TargetMode="External"/><Relationship Id="rId14402" Type="http://schemas.openxmlformats.org/officeDocument/2006/relationships/hyperlink" Target="https://twitter.com/craigm1001/status/723573326162079744" TargetMode="External"/><Relationship Id="rId17972" Type="http://schemas.openxmlformats.org/officeDocument/2006/relationships/hyperlink" Target="https://pbs.twimg.com/profile_images/475463102277091328/MvEJwQyx_normal.jpeg" TargetMode="External"/><Relationship Id="rId3410" Type="http://schemas.openxmlformats.org/officeDocument/2006/relationships/hyperlink" Target="https://twitter.com/periodismomotor" TargetMode="External"/><Relationship Id="rId6980" Type="http://schemas.openxmlformats.org/officeDocument/2006/relationships/hyperlink" Target="https://pbs.twimg.com/profile_images/722993583255597056/E_JWLEvM_normal.jpg" TargetMode="External"/><Relationship Id="rId13004" Type="http://schemas.openxmlformats.org/officeDocument/2006/relationships/hyperlink" Target="https://twitter.com/_graciosa" TargetMode="External"/><Relationship Id="rId16574" Type="http://schemas.openxmlformats.org/officeDocument/2006/relationships/hyperlink" Target="https://twitter.com/TetsuoHojo/status/723695767471321090" TargetMode="External"/><Relationship Id="rId17625" Type="http://schemas.openxmlformats.org/officeDocument/2006/relationships/hyperlink" Target="https://pbs.twimg.com/profile_images/692263572710252545/oFwlaEUn_normal.jpg" TargetMode="External"/><Relationship Id="rId20220" Type="http://schemas.openxmlformats.org/officeDocument/2006/relationships/hyperlink" Target="https://pbs.twimg.com/profile_images/711738875463520256/MTfCTGD-_normal.jpg" TargetMode="External"/><Relationship Id="rId23790" Type="http://schemas.openxmlformats.org/officeDocument/2006/relationships/hyperlink" Target="https://twitter.com/Gina_Festa/status/724311458801045505" TargetMode="External"/><Relationship Id="rId24841" Type="http://schemas.openxmlformats.org/officeDocument/2006/relationships/hyperlink" Target="https://twitter.com/VWBeetleSales" TargetMode="External"/><Relationship Id="rId331" Type="http://schemas.openxmlformats.org/officeDocument/2006/relationships/hyperlink" Target="https://twitter.com/VWCamperSales" TargetMode="External"/><Relationship Id="rId2012" Type="http://schemas.openxmlformats.org/officeDocument/2006/relationships/hyperlink" Target="https://abs.twimg.com/sticky/default_profile_images/default_profile_6_normal.png" TargetMode="External"/><Relationship Id="rId5582" Type="http://schemas.openxmlformats.org/officeDocument/2006/relationships/hyperlink" Target="https://twitter.com/MansellMotoSPT/status/723209996389982208" TargetMode="External"/><Relationship Id="rId6633" Type="http://schemas.openxmlformats.org/officeDocument/2006/relationships/hyperlink" Target="https://twitter.com/yeahjackdaniels/status/723248867249164288" TargetMode="External"/><Relationship Id="rId15176" Type="http://schemas.openxmlformats.org/officeDocument/2006/relationships/hyperlink" Target="https://twitter.com/Philippe_Leviez/status/723597236135952384" TargetMode="External"/><Relationship Id="rId16227" Type="http://schemas.openxmlformats.org/officeDocument/2006/relationships/hyperlink" Target="https://twitter.com/feerquiroga710/status/723659463647977472" TargetMode="External"/><Relationship Id="rId19797" Type="http://schemas.openxmlformats.org/officeDocument/2006/relationships/hyperlink" Target="https://pbs.twimg.com/profile_images/378800000673633859/9729e4c280465095c6f835c9f6b36378_normal.jpeg" TargetMode="External"/><Relationship Id="rId22392" Type="http://schemas.openxmlformats.org/officeDocument/2006/relationships/hyperlink" Target="https://pbs.twimg.com/profile_images/378800000303960070/4a5ba62938f3b770f0c5eb9a78252397_normal.jpeg" TargetMode="External"/><Relationship Id="rId23443" Type="http://schemas.openxmlformats.org/officeDocument/2006/relationships/hyperlink" Target="https://pbs.twimg.com/profile_images/665794155369668608/801u7DY1_normal.png" TargetMode="External"/><Relationship Id="rId4184" Type="http://schemas.openxmlformats.org/officeDocument/2006/relationships/hyperlink" Target="https://pbs.twimg.com/profile_images/199472915/stan_twitter_normal.jpg" TargetMode="External"/><Relationship Id="rId5235" Type="http://schemas.openxmlformats.org/officeDocument/2006/relationships/hyperlink" Target="https://twitter.com/OrchidBeautySp1/status/723198082133925888" TargetMode="External"/><Relationship Id="rId9856" Type="http://schemas.openxmlformats.org/officeDocument/2006/relationships/hyperlink" Target="https://twitter.com/Stahlhammer/status/723451755720114176" TargetMode="External"/><Relationship Id="rId18399" Type="http://schemas.openxmlformats.org/officeDocument/2006/relationships/hyperlink" Target="https://twitter.com/MOSLIM10003" TargetMode="External"/><Relationship Id="rId22045" Type="http://schemas.openxmlformats.org/officeDocument/2006/relationships/hyperlink" Target="https://twitter.com/JClaesz" TargetMode="External"/><Relationship Id="rId8458" Type="http://schemas.openxmlformats.org/officeDocument/2006/relationships/hyperlink" Target="https://pbs.twimg.com/profile_images/714459923313213440/hqlB0K0j_normal.jpg" TargetMode="External"/><Relationship Id="rId9509" Type="http://schemas.openxmlformats.org/officeDocument/2006/relationships/hyperlink" Target="https://twitter.com/uk_barn_finds/status/723437513528905729" TargetMode="External"/><Relationship Id="rId11786" Type="http://schemas.openxmlformats.org/officeDocument/2006/relationships/hyperlink" Target="https://twitter.com/holger_sd" TargetMode="External"/><Relationship Id="rId12837" Type="http://schemas.openxmlformats.org/officeDocument/2006/relationships/hyperlink" Target="https://twitter.com/elitaw/status/723529026518827009" TargetMode="External"/><Relationship Id="rId25268" Type="http://schemas.openxmlformats.org/officeDocument/2006/relationships/hyperlink" Target="https://twitter.com/VAGMotorsportSA/status/724429000169381888" TargetMode="External"/><Relationship Id="rId1845" Type="http://schemas.openxmlformats.org/officeDocument/2006/relationships/hyperlink" Target="https://twitter.com/1000dinge" TargetMode="External"/><Relationship Id="rId10388" Type="http://schemas.openxmlformats.org/officeDocument/2006/relationships/hyperlink" Target="https://pbs.twimg.com/profile_images/524294614946045952/UDyQTUuk_normal.jpeg" TargetMode="External"/><Relationship Id="rId11439" Type="http://schemas.openxmlformats.org/officeDocument/2006/relationships/hyperlink" Target="https://twitter.com/BestAgerDe" TargetMode="External"/><Relationship Id="rId15310" Type="http://schemas.openxmlformats.org/officeDocument/2006/relationships/hyperlink" Target="https://pbs.twimg.com/profile_images/627949001179037696/skEBkS05_normal.jpg" TargetMode="External"/><Relationship Id="rId18880" Type="http://schemas.openxmlformats.org/officeDocument/2006/relationships/hyperlink" Target="https://twitter.com/fraenkySG" TargetMode="External"/><Relationship Id="rId19931" Type="http://schemas.openxmlformats.org/officeDocument/2006/relationships/hyperlink" Target="https://twitter.com/DanielKalan/status/723964161840058368" TargetMode="External"/><Relationship Id="rId11920" Type="http://schemas.openxmlformats.org/officeDocument/2006/relationships/hyperlink" Target="https://pbs.twimg.com/profile_images/378800000670973939/056dc4c5e94ab826a6e2030e2dae3626_normal.jpeg" TargetMode="External"/><Relationship Id="rId17482" Type="http://schemas.openxmlformats.org/officeDocument/2006/relationships/hyperlink" Target="https://twitter.com/KleinerAktivist" TargetMode="External"/><Relationship Id="rId18533" Type="http://schemas.openxmlformats.org/officeDocument/2006/relationships/hyperlink" Target="https://pbs.twimg.com/profile_images/475463102277091328/MvEJwQyx_normal.jpeg" TargetMode="External"/><Relationship Id="rId21878" Type="http://schemas.openxmlformats.org/officeDocument/2006/relationships/hyperlink" Target="http://dlvr.it/" TargetMode="External"/><Relationship Id="rId22929" Type="http://schemas.openxmlformats.org/officeDocument/2006/relationships/hyperlink" Target="https://pbs.twimg.com/profile_images/720014913909956608/PVJqKwk1_normal.jpg" TargetMode="External"/><Relationship Id="rId5092" Type="http://schemas.openxmlformats.org/officeDocument/2006/relationships/hyperlink" Target="https://twitter.com/chefreporterNRW/status/723194065249034240" TargetMode="External"/><Relationship Id="rId6490" Type="http://schemas.openxmlformats.org/officeDocument/2006/relationships/hyperlink" Target="https://twitter.com/AutoVerdict/status/723244565889703940" TargetMode="External"/><Relationship Id="rId7541" Type="http://schemas.openxmlformats.org/officeDocument/2006/relationships/hyperlink" Target="https://pbs.twimg.com/profile_images/713007702721474561/QMRhKzxd_normal.jpg" TargetMode="External"/><Relationship Id="rId10522" Type="http://schemas.openxmlformats.org/officeDocument/2006/relationships/hyperlink" Target="http://ctrlq.org/maps/address/" TargetMode="External"/><Relationship Id="rId16084" Type="http://schemas.openxmlformats.org/officeDocument/2006/relationships/hyperlink" Target="https://pbs.twimg.com/profile_images/579577377413431296/g3sV31AL_normal.jpg" TargetMode="External"/><Relationship Id="rId17135" Type="http://schemas.openxmlformats.org/officeDocument/2006/relationships/hyperlink" Target="http://dlvr.it/" TargetMode="External"/><Relationship Id="rId24351" Type="http://schemas.openxmlformats.org/officeDocument/2006/relationships/hyperlink" Target="https://twitter.com/FDP_Bottrop/status/724349521359187968" TargetMode="External"/><Relationship Id="rId25402" Type="http://schemas.openxmlformats.org/officeDocument/2006/relationships/hyperlink" Target="https://twitter.com/nuestrotransito/status/724435638473232384" TargetMode="External"/><Relationship Id="rId6143" Type="http://schemas.openxmlformats.org/officeDocument/2006/relationships/hyperlink" Target="https://twitter.com/Pinkerton" TargetMode="External"/><Relationship Id="rId12694" Type="http://schemas.openxmlformats.org/officeDocument/2006/relationships/hyperlink" Target="https://pbs.twimg.com/profile_images/709727688462831616/KG2oHK_4_normal.jpg" TargetMode="External"/><Relationship Id="rId13745" Type="http://schemas.openxmlformats.org/officeDocument/2006/relationships/hyperlink" Target="https://twitter.com/kevinjamaica111/status/723554419997028355" TargetMode="External"/><Relationship Id="rId24004" Type="http://schemas.openxmlformats.org/officeDocument/2006/relationships/hyperlink" Target="https://twitter.com/VeeDubMk1_/status/724326225116815360" TargetMode="External"/><Relationship Id="rId2753" Type="http://schemas.openxmlformats.org/officeDocument/2006/relationships/hyperlink" Target="https://twitter.com/phoenix_kom/status/723117088064212992" TargetMode="External"/><Relationship Id="rId3804" Type="http://schemas.openxmlformats.org/officeDocument/2006/relationships/hyperlink" Target="https://twitter.com/Samusart/status/723169894863241216" TargetMode="External"/><Relationship Id="rId9366" Type="http://schemas.openxmlformats.org/officeDocument/2006/relationships/hyperlink" Target="https://pbs.twimg.com/profile_images/704021939631886337/eCYRucM2_normal.jpg" TargetMode="External"/><Relationship Id="rId11296" Type="http://schemas.openxmlformats.org/officeDocument/2006/relationships/hyperlink" Target="https://twitter.com/VWofLaurel/status/723500440206356480" TargetMode="External"/><Relationship Id="rId12347" Type="http://schemas.openxmlformats.org/officeDocument/2006/relationships/hyperlink" Target="https://twitter.com/louisa_faux" TargetMode="External"/><Relationship Id="rId20614" Type="http://schemas.openxmlformats.org/officeDocument/2006/relationships/hyperlink" Target="https://twitter.com/thatcurtis619" TargetMode="External"/><Relationship Id="rId20961" Type="http://schemas.openxmlformats.org/officeDocument/2006/relationships/hyperlink" Target="https://twitter.com/dubbusses/status/724073088460197888" TargetMode="External"/><Relationship Id="rId725" Type="http://schemas.openxmlformats.org/officeDocument/2006/relationships/hyperlink" Target="https://twitter.com/DJdsnapz/status/722971262151213056" TargetMode="External"/><Relationship Id="rId1355" Type="http://schemas.openxmlformats.org/officeDocument/2006/relationships/hyperlink" Target="https://twitter.com/deanomsport" TargetMode="External"/><Relationship Id="rId2406" Type="http://schemas.openxmlformats.org/officeDocument/2006/relationships/hyperlink" Target="http://dlvr.it/" TargetMode="External"/><Relationship Id="rId9019" Type="http://schemas.openxmlformats.org/officeDocument/2006/relationships/hyperlink" Target="https://pbs.twimg.com/profile_images/659430911537205248/ofXAfeUV_normal.jpg" TargetMode="External"/><Relationship Id="rId16968" Type="http://schemas.openxmlformats.org/officeDocument/2006/relationships/hyperlink" Target="https://pbs.twimg.com/profile_images/665098638327173121/1qwb7YxR_normal.jpg" TargetMode="External"/><Relationship Id="rId1008" Type="http://schemas.openxmlformats.org/officeDocument/2006/relationships/hyperlink" Target="http://webaraba.com/" TargetMode="External"/><Relationship Id="rId4578" Type="http://schemas.openxmlformats.org/officeDocument/2006/relationships/hyperlink" Target="https://twitter.com/evka_tweets" TargetMode="External"/><Relationship Id="rId5976" Type="http://schemas.openxmlformats.org/officeDocument/2006/relationships/hyperlink" Target="https://twitter.com/VWBeetleSales/status/723225678619938816" TargetMode="External"/><Relationship Id="rId18043" Type="http://schemas.openxmlformats.org/officeDocument/2006/relationships/hyperlink" Target="https://pbs.twimg.com/profile_images/705780107844067328/e7O4UBNb_normal.jpg" TargetMode="External"/><Relationship Id="rId18390" Type="http://schemas.openxmlformats.org/officeDocument/2006/relationships/hyperlink" Target="https://twitter.com/dft/status/723866685032288256" TargetMode="External"/><Relationship Id="rId19441" Type="http://schemas.openxmlformats.org/officeDocument/2006/relationships/hyperlink" Target="https://twitter.com/BrightonVW/status/723932511030661120" TargetMode="External"/><Relationship Id="rId21388" Type="http://schemas.openxmlformats.org/officeDocument/2006/relationships/hyperlink" Target="https://pbs.twimg.com/profile_images/3282181310/09912193e3b2ecc229b9028eb0f19def_normal.jpeg" TargetMode="External"/><Relationship Id="rId22786" Type="http://schemas.openxmlformats.org/officeDocument/2006/relationships/hyperlink" Target="https://pbs.twimg.com/profile_images/627949001179037696/skEBkS05_normal.jpg" TargetMode="External"/><Relationship Id="rId23837" Type="http://schemas.openxmlformats.org/officeDocument/2006/relationships/hyperlink" Target="https://pbs.twimg.com/profile_images/424893967197433858/iQ86NktX_normal.jpeg" TargetMode="External"/><Relationship Id="rId61" Type="http://schemas.openxmlformats.org/officeDocument/2006/relationships/hyperlink" Target="https://twitter.com/jeffyboy56" TargetMode="External"/><Relationship Id="rId5629" Type="http://schemas.openxmlformats.org/officeDocument/2006/relationships/hyperlink" Target="https://pbs.twimg.com/profile_images/627949001179037696/skEBkS05_normal.jpg" TargetMode="External"/><Relationship Id="rId7051" Type="http://schemas.openxmlformats.org/officeDocument/2006/relationships/hyperlink" Target="https://twitter.com/chris_mccan" TargetMode="External"/><Relationship Id="rId8102" Type="http://schemas.openxmlformats.org/officeDocument/2006/relationships/hyperlink" Target="https://twitter.com/charlesrssll" TargetMode="External"/><Relationship Id="rId9500" Type="http://schemas.openxmlformats.org/officeDocument/2006/relationships/hyperlink" Target="https://twitter.com/beetlebug1938/status/723437452107485184" TargetMode="External"/><Relationship Id="rId11430" Type="http://schemas.openxmlformats.org/officeDocument/2006/relationships/hyperlink" Target="https://twitter.com/BoersenDE/status/723502034842841090" TargetMode="External"/><Relationship Id="rId22439" Type="http://schemas.openxmlformats.org/officeDocument/2006/relationships/hyperlink" Target="https://twitter.com/beetlebug1938" TargetMode="External"/><Relationship Id="rId10032" Type="http://schemas.openxmlformats.org/officeDocument/2006/relationships/hyperlink" Target="https://pbs.twimg.com/profile_images/672181739301822465/2EHqX_W1_normal.jpg" TargetMode="External"/><Relationship Id="rId14653" Type="http://schemas.openxmlformats.org/officeDocument/2006/relationships/hyperlink" Target="https://twitter.com/suzzie20202020/status/723578775464644608" TargetMode="External"/><Relationship Id="rId15704" Type="http://schemas.openxmlformats.org/officeDocument/2006/relationships/hyperlink" Target="https://pbs.twimg.com/profile_images/696384420123701253/hivrece1_normal.jpg" TargetMode="External"/><Relationship Id="rId22920" Type="http://schemas.openxmlformats.org/officeDocument/2006/relationships/hyperlink" Target="https://twitter.com/jd_clementsgk" TargetMode="External"/><Relationship Id="rId3661" Type="http://schemas.openxmlformats.org/officeDocument/2006/relationships/hyperlink" Target="https://twitter.com/ratemycamper/status/723167047547539456" TargetMode="External"/><Relationship Id="rId4712" Type="http://schemas.openxmlformats.org/officeDocument/2006/relationships/hyperlink" Target="https://pbs.twimg.com/profile_images/378800000841317070/600109a82bb41562000ddc52550aa968_normal.jpeg" TargetMode="External"/><Relationship Id="rId13255" Type="http://schemas.openxmlformats.org/officeDocument/2006/relationships/hyperlink" Target="https://twitter.com/TommyMontoya" TargetMode="External"/><Relationship Id="rId14306" Type="http://schemas.openxmlformats.org/officeDocument/2006/relationships/hyperlink" Target="https://twitter.com/AlexWitzleben" TargetMode="External"/><Relationship Id="rId17876" Type="http://schemas.openxmlformats.org/officeDocument/2006/relationships/hyperlink" Target="https://twitter.com/AutoExpress/status/723829782031421440" TargetMode="External"/><Relationship Id="rId20471" Type="http://schemas.openxmlformats.org/officeDocument/2006/relationships/hyperlink" Target="https://pbs.twimg.com/profile_images/441017002224660480/wMS_0yBK_normal.jpeg" TargetMode="External"/><Relationship Id="rId21522" Type="http://schemas.openxmlformats.org/officeDocument/2006/relationships/hyperlink" Target="https://pbs.twimg.com/profile_images/703666975021654018/wFXXPWaE_normal.jpg" TargetMode="External"/><Relationship Id="rId582" Type="http://schemas.openxmlformats.org/officeDocument/2006/relationships/hyperlink" Target="https://twitter.com/UJwowhowfunoD" TargetMode="External"/><Relationship Id="rId2263" Type="http://schemas.openxmlformats.org/officeDocument/2006/relationships/hyperlink" Target="https://twitter.com/GianMarcoSolas" TargetMode="External"/><Relationship Id="rId3314" Type="http://schemas.openxmlformats.org/officeDocument/2006/relationships/hyperlink" Target="https://twitter.com/Antopinero_/status/723150781734621184" TargetMode="External"/><Relationship Id="rId6884" Type="http://schemas.openxmlformats.org/officeDocument/2006/relationships/hyperlink" Target="https://pbs.twimg.com/profile_images/649999148620517377/KLt9GQZz_normal.png" TargetMode="External"/><Relationship Id="rId7935" Type="http://schemas.openxmlformats.org/officeDocument/2006/relationships/hyperlink" Target="https://twitter.com/sfchronicle/status/723343090921017345" TargetMode="External"/><Relationship Id="rId16478" Type="http://schemas.openxmlformats.org/officeDocument/2006/relationships/hyperlink" Target="https://pbs.twimg.com/profile_images/716896035671580672/EmIuVgoK_normal.jpg" TargetMode="External"/><Relationship Id="rId17529" Type="http://schemas.openxmlformats.org/officeDocument/2006/relationships/hyperlink" Target="https://twitter.com/Im_BrownDash/status/723805103401119744" TargetMode="External"/><Relationship Id="rId18927" Type="http://schemas.openxmlformats.org/officeDocument/2006/relationships/hyperlink" Target="https://pbs.twimg.com/profile_images/1351796085/59140e_normal.jpg" TargetMode="External"/><Relationship Id="rId20124" Type="http://schemas.openxmlformats.org/officeDocument/2006/relationships/hyperlink" Target="https://twitter.com/jukij" TargetMode="External"/><Relationship Id="rId23694" Type="http://schemas.openxmlformats.org/officeDocument/2006/relationships/hyperlink" Target="https://twitter.com/beetlebug1938/status/724306722165272576" TargetMode="External"/><Relationship Id="rId24745" Type="http://schemas.openxmlformats.org/officeDocument/2006/relationships/hyperlink" Target="https://twitter.com/alexxaannddrrla" TargetMode="External"/><Relationship Id="rId235" Type="http://schemas.openxmlformats.org/officeDocument/2006/relationships/hyperlink" Target="https://twitter.com/RobShiveley" TargetMode="External"/><Relationship Id="rId5486" Type="http://schemas.openxmlformats.org/officeDocument/2006/relationships/hyperlink" Target="https://twitter.com/yorkvolkswagen/status/723204491432988673" TargetMode="External"/><Relationship Id="rId6537" Type="http://schemas.openxmlformats.org/officeDocument/2006/relationships/hyperlink" Target="https://twitter.com/PowersOlga" TargetMode="External"/><Relationship Id="rId10916" Type="http://schemas.openxmlformats.org/officeDocument/2006/relationships/hyperlink" Target="https://pbs.twimg.com/profile_images/719076366004695040/rp6qAei9_normal.jpg" TargetMode="External"/><Relationship Id="rId22296" Type="http://schemas.openxmlformats.org/officeDocument/2006/relationships/hyperlink" Target="https://pbs.twimg.com/profile_images/705780107844067328/e7O4UBNb_normal.jpg" TargetMode="External"/><Relationship Id="rId23347" Type="http://schemas.openxmlformats.org/officeDocument/2006/relationships/hyperlink" Target="https://pbs.twimg.com/profile_images/622455357219176448/1ysvnVP5_normal.jpg" TargetMode="External"/><Relationship Id="rId4088" Type="http://schemas.openxmlformats.org/officeDocument/2006/relationships/hyperlink" Target="https://twitter.com/Geoffreytsmith/status/723175939874656256" TargetMode="External"/><Relationship Id="rId5139" Type="http://schemas.openxmlformats.org/officeDocument/2006/relationships/hyperlink" Target="https://twitter.com/Snoopy92" TargetMode="External"/><Relationship Id="rId9010" Type="http://schemas.openxmlformats.org/officeDocument/2006/relationships/hyperlink" Target="https://pbs.twimg.com/profile_images/548232144980426752/uigzjjCu_normal.jpeg" TargetMode="External"/><Relationship Id="rId15561" Type="http://schemas.openxmlformats.org/officeDocument/2006/relationships/hyperlink" Target="https://pbs.twimg.com/profile_images/570375988065935360/ooT_Nq7x_normal.jpeg" TargetMode="External"/><Relationship Id="rId16612" Type="http://schemas.openxmlformats.org/officeDocument/2006/relationships/hyperlink" Target="https://twitter.com/varysykusej" TargetMode="External"/><Relationship Id="rId1749" Type="http://schemas.openxmlformats.org/officeDocument/2006/relationships/hyperlink" Target="https://twitter.com/AFECTADOGRUPOVW" TargetMode="External"/><Relationship Id="rId3171" Type="http://schemas.openxmlformats.org/officeDocument/2006/relationships/hyperlink" Target="https://twitter.com/EcoImQuadrat/status/723144458510823424" TargetMode="External"/><Relationship Id="rId5620" Type="http://schemas.openxmlformats.org/officeDocument/2006/relationships/hyperlink" Target="https://twitter.com/Decocalcos" TargetMode="External"/><Relationship Id="rId14163" Type="http://schemas.openxmlformats.org/officeDocument/2006/relationships/hyperlink" Target="https://twitter.com/CPitas" TargetMode="External"/><Relationship Id="rId15214" Type="http://schemas.openxmlformats.org/officeDocument/2006/relationships/hyperlink" Target="https://twitter.com/LeventResul/status/723599096930508801" TargetMode="External"/><Relationship Id="rId18784" Type="http://schemas.openxmlformats.org/officeDocument/2006/relationships/hyperlink" Target="https://pbs.twimg.com/profile_images/530071272881803264/a_jcCmPZ_normal.png" TargetMode="External"/><Relationship Id="rId19835" Type="http://schemas.openxmlformats.org/officeDocument/2006/relationships/hyperlink" Target="https://pbs.twimg.com/profile_images/506640892044656640/9hLA6C7l_normal.jpeg" TargetMode="External"/><Relationship Id="rId22430" Type="http://schemas.openxmlformats.org/officeDocument/2006/relationships/hyperlink" Target="https://twitter.com/OliverJMMueller" TargetMode="External"/><Relationship Id="rId4222" Type="http://schemas.openxmlformats.org/officeDocument/2006/relationships/hyperlink" Target="https://pbs.twimg.com/profile_images/599924836933234690/uCLP2NR5_normal.jpg" TargetMode="External"/><Relationship Id="rId7792" Type="http://schemas.openxmlformats.org/officeDocument/2006/relationships/hyperlink" Target="https://twitter.com/SantiCarp2001/status/723331093043249152" TargetMode="External"/><Relationship Id="rId8843" Type="http://schemas.openxmlformats.org/officeDocument/2006/relationships/hyperlink" Target="https://twitter.com/MedAgness" TargetMode="External"/><Relationship Id="rId10773" Type="http://schemas.openxmlformats.org/officeDocument/2006/relationships/hyperlink" Target="https://twitter.com/networkimages/status/723484226537041920" TargetMode="External"/><Relationship Id="rId11824" Type="http://schemas.openxmlformats.org/officeDocument/2006/relationships/hyperlink" Target="https://twitter.com/WaqasBukhari15" TargetMode="External"/><Relationship Id="rId17386" Type="http://schemas.openxmlformats.org/officeDocument/2006/relationships/hyperlink" Target="https://twitter.com/AlexWitzleben" TargetMode="External"/><Relationship Id="rId18437" Type="http://schemas.openxmlformats.org/officeDocument/2006/relationships/hyperlink" Target="https://twitter.com/Markus_Hoess" TargetMode="External"/><Relationship Id="rId21032" Type="http://schemas.openxmlformats.org/officeDocument/2006/relationships/hyperlink" Target="https://twitter.com/BSeanie/status/724084488666419201" TargetMode="External"/><Relationship Id="rId25653" Type="http://schemas.openxmlformats.org/officeDocument/2006/relationships/hyperlink" Target="https://twitter.com/_NicoOlmedo_" TargetMode="External"/><Relationship Id="rId6394" Type="http://schemas.openxmlformats.org/officeDocument/2006/relationships/hyperlink" Target="https://twitter.com/DanaFlavelle/status/723241703067553792" TargetMode="External"/><Relationship Id="rId7445" Type="http://schemas.openxmlformats.org/officeDocument/2006/relationships/hyperlink" Target="https://twitter.com/wingston" TargetMode="External"/><Relationship Id="rId10426" Type="http://schemas.openxmlformats.org/officeDocument/2006/relationships/hyperlink" Target="https://twitter.com/rajauzikhan/status/723472389330206720" TargetMode="External"/><Relationship Id="rId17039" Type="http://schemas.openxmlformats.org/officeDocument/2006/relationships/hyperlink" Target="http://ctrlq.org/maps/address/" TargetMode="External"/><Relationship Id="rId24255" Type="http://schemas.openxmlformats.org/officeDocument/2006/relationships/hyperlink" Target="https://pbs.twimg.com/profile_images/723212795840479232/6xUJeaP1_normal.jpg" TargetMode="External"/><Relationship Id="rId25306" Type="http://schemas.openxmlformats.org/officeDocument/2006/relationships/hyperlink" Target="https://pbs.twimg.com/profile_images/684583266519625729/imvZo5au_normal.jpg" TargetMode="External"/><Relationship Id="rId6047" Type="http://schemas.openxmlformats.org/officeDocument/2006/relationships/hyperlink" Target="https://pbs.twimg.com/profile_images/627949001179037696/skEBkS05_normal.jpg" TargetMode="External"/><Relationship Id="rId13996" Type="http://schemas.openxmlformats.org/officeDocument/2006/relationships/hyperlink" Target="https://pbs.twimg.com/profile_images/545688359964651520/SF3sJ7lv_normal.jpeg" TargetMode="External"/><Relationship Id="rId976" Type="http://schemas.openxmlformats.org/officeDocument/2006/relationships/hyperlink" Target="https://pbs.twimg.com/profile_images/378800000854855954/0d555726054b01e3c9d6b5241432dc4a_normal.jpeg" TargetMode="External"/><Relationship Id="rId2657" Type="http://schemas.openxmlformats.org/officeDocument/2006/relationships/hyperlink" Target="https://twitter.com/yukoh27472/status/723112042974978051" TargetMode="External"/><Relationship Id="rId12598" Type="http://schemas.openxmlformats.org/officeDocument/2006/relationships/hyperlink" Target="https://pbs.twimg.com/profile_images/466908605317279744/I5a712BQ_normal.jpeg" TargetMode="External"/><Relationship Id="rId13649" Type="http://schemas.openxmlformats.org/officeDocument/2006/relationships/hyperlink" Target="https://twitter.com/BILD_Nuernberg/status/723552250224881665" TargetMode="External"/><Relationship Id="rId15071" Type="http://schemas.openxmlformats.org/officeDocument/2006/relationships/hyperlink" Target="https://twitter.com/BodySoulAutoW" TargetMode="External"/><Relationship Id="rId17520" Type="http://schemas.openxmlformats.org/officeDocument/2006/relationships/hyperlink" Target="https://twitter.com/vwdepo/status/723804526852083712" TargetMode="External"/><Relationship Id="rId20865" Type="http://schemas.openxmlformats.org/officeDocument/2006/relationships/hyperlink" Target="https://pbs.twimg.com/profile_images/723352962685345792/A1iPVpyc_normal.jpg" TargetMode="External"/><Relationship Id="rId21916" Type="http://schemas.openxmlformats.org/officeDocument/2006/relationships/hyperlink" Target="https://twitter.com/rajesh877" TargetMode="External"/><Relationship Id="rId629" Type="http://schemas.openxmlformats.org/officeDocument/2006/relationships/hyperlink" Target="https://pbs.twimg.com/profile_images/541561976821137408/poMKmbeF_normal.jpeg" TargetMode="External"/><Relationship Id="rId1259" Type="http://schemas.openxmlformats.org/officeDocument/2006/relationships/hyperlink" Target="https://twitter.com/ragsforex" TargetMode="External"/><Relationship Id="rId3708" Type="http://schemas.openxmlformats.org/officeDocument/2006/relationships/hyperlink" Target="https://pbs.twimg.com/profile_images/701348099290218496/iXTmp1jH_normal.jpg" TargetMode="External"/><Relationship Id="rId5130" Type="http://schemas.openxmlformats.org/officeDocument/2006/relationships/hyperlink" Target="https://twitter.com/irmischphoto" TargetMode="External"/><Relationship Id="rId16122" Type="http://schemas.openxmlformats.org/officeDocument/2006/relationships/hyperlink" Target="https://twitter.com/TokanP" TargetMode="External"/><Relationship Id="rId19692" Type="http://schemas.openxmlformats.org/officeDocument/2006/relationships/hyperlink" Target="https://pbs.twimg.com/profile_images/3247035045/9844e9d67157e05905c827333dbfa0ee_normal.jpeg" TargetMode="External"/><Relationship Id="rId20518" Type="http://schemas.openxmlformats.org/officeDocument/2006/relationships/hyperlink" Target="https://twitter.com/VWCamperSales/status/724005593380352000" TargetMode="External"/><Relationship Id="rId9751" Type="http://schemas.openxmlformats.org/officeDocument/2006/relationships/hyperlink" Target="https://twitter.com/BGKSR" TargetMode="External"/><Relationship Id="rId11681" Type="http://schemas.openxmlformats.org/officeDocument/2006/relationships/hyperlink" Target="https://twitter.com/doern/status/723505366651265026" TargetMode="External"/><Relationship Id="rId12732" Type="http://schemas.openxmlformats.org/officeDocument/2006/relationships/hyperlink" Target="https://twitter.com/TEbhardt" TargetMode="External"/><Relationship Id="rId18294" Type="http://schemas.openxmlformats.org/officeDocument/2006/relationships/hyperlink" Target="https://pbs.twimg.com/profile_images/682117963349135360/IUfZQy35_normal.png" TargetMode="External"/><Relationship Id="rId19345" Type="http://schemas.openxmlformats.org/officeDocument/2006/relationships/hyperlink" Target="https://twitter.com/NalfOsal" TargetMode="External"/><Relationship Id="rId1740" Type="http://schemas.openxmlformats.org/officeDocument/2006/relationships/hyperlink" Target="https://twitter.com/Sufiy" TargetMode="External"/><Relationship Id="rId8353" Type="http://schemas.openxmlformats.org/officeDocument/2006/relationships/hyperlink" Target="https://twitter.com/beetlebug1938" TargetMode="External"/><Relationship Id="rId9404" Type="http://schemas.openxmlformats.org/officeDocument/2006/relationships/hyperlink" Target="https://twitter.com/MxKyouR/status/723434024341921792" TargetMode="External"/><Relationship Id="rId10283" Type="http://schemas.openxmlformats.org/officeDocument/2006/relationships/hyperlink" Target="https://twitter.com/bayl" TargetMode="External"/><Relationship Id="rId11334" Type="http://schemas.openxmlformats.org/officeDocument/2006/relationships/hyperlink" Target="https://pbs.twimg.com/profile_images/717944874469863425/i7wKlrn-_normal.jpg" TargetMode="External"/><Relationship Id="rId15955" Type="http://schemas.openxmlformats.org/officeDocument/2006/relationships/hyperlink" Target="https://twitter.com/facubustosT" TargetMode="External"/><Relationship Id="rId25163" Type="http://schemas.openxmlformats.org/officeDocument/2006/relationships/hyperlink" Target="https://twitter.com/Nanno2033/status/724424606292021248" TargetMode="External"/><Relationship Id="rId4963" Type="http://schemas.openxmlformats.org/officeDocument/2006/relationships/hyperlink" Target="https://pbs.twimg.com/profile_images/652191269934993408/5bZKOI8y_normal.jpg" TargetMode="External"/><Relationship Id="rId8006" Type="http://schemas.openxmlformats.org/officeDocument/2006/relationships/hyperlink" Target="https://twitter.com/E_roar_ah/status/723350290133598208" TargetMode="External"/><Relationship Id="rId14557" Type="http://schemas.openxmlformats.org/officeDocument/2006/relationships/hyperlink" Target="https://twitter.com/Michael_Vasanth" TargetMode="External"/><Relationship Id="rId15608" Type="http://schemas.openxmlformats.org/officeDocument/2006/relationships/hyperlink" Target="https://twitter.com/Highlander2512" TargetMode="External"/><Relationship Id="rId21773" Type="http://schemas.openxmlformats.org/officeDocument/2006/relationships/hyperlink" Target="https://twitter.com/beetlebug1938/status/724178432431689728" TargetMode="External"/><Relationship Id="rId22824" Type="http://schemas.openxmlformats.org/officeDocument/2006/relationships/hyperlink" Target="https://pbs.twimg.com/profile_images/652871584131092480/QA_B6SBO_normal.jpg" TargetMode="External"/><Relationship Id="rId3565" Type="http://schemas.openxmlformats.org/officeDocument/2006/relationships/hyperlink" Target="https://twitter.com/phoenix_de" TargetMode="External"/><Relationship Id="rId4616" Type="http://schemas.openxmlformats.org/officeDocument/2006/relationships/hyperlink" Target="https://twitter.com/Hans__Larsson" TargetMode="External"/><Relationship Id="rId13159" Type="http://schemas.openxmlformats.org/officeDocument/2006/relationships/hyperlink" Target="https://twitter.com/techhippie/status/723536468182970369" TargetMode="External"/><Relationship Id="rId17030" Type="http://schemas.openxmlformats.org/officeDocument/2006/relationships/hyperlink" Target="https://twitter.com/KESS_/status/723764862510358528" TargetMode="External"/><Relationship Id="rId20375" Type="http://schemas.openxmlformats.org/officeDocument/2006/relationships/hyperlink" Target="https://twitter.com/johnmac17/status/723994650953048064" TargetMode="External"/><Relationship Id="rId21426" Type="http://schemas.openxmlformats.org/officeDocument/2006/relationships/hyperlink" Target="https://twitter.com/beetlebug1938/status/724148218607579136" TargetMode="External"/><Relationship Id="rId486" Type="http://schemas.openxmlformats.org/officeDocument/2006/relationships/hyperlink" Target="https://twitter.com/ColinOsborn/status/722961139944951809" TargetMode="External"/><Relationship Id="rId2167" Type="http://schemas.openxmlformats.org/officeDocument/2006/relationships/hyperlink" Target="https://twitter.com/AutoExpress" TargetMode="External"/><Relationship Id="rId3218" Type="http://schemas.openxmlformats.org/officeDocument/2006/relationships/hyperlink" Target="https://twitter.com/krynauwx/status/723145498111123456" TargetMode="External"/><Relationship Id="rId6788" Type="http://schemas.openxmlformats.org/officeDocument/2006/relationships/hyperlink" Target="https://twitter.com/VolkswagenPost/status/723260726337392640" TargetMode="External"/><Relationship Id="rId20028" Type="http://schemas.openxmlformats.org/officeDocument/2006/relationships/hyperlink" Target="http://ctrlq.org/maps/address/" TargetMode="External"/><Relationship Id="rId23598" Type="http://schemas.openxmlformats.org/officeDocument/2006/relationships/hyperlink" Target="https://twitter.com/mamulavaca" TargetMode="External"/><Relationship Id="rId24996" Type="http://schemas.openxmlformats.org/officeDocument/2006/relationships/hyperlink" Target="https://pbs.twimg.com/profile_images/634021831364747264/5vPrL2JH_normal.jpg" TargetMode="External"/><Relationship Id="rId139" Type="http://schemas.openxmlformats.org/officeDocument/2006/relationships/hyperlink" Target="https://twitter.com/OnlineCarReview/status/722929994427604992" TargetMode="External"/><Relationship Id="rId7839" Type="http://schemas.openxmlformats.org/officeDocument/2006/relationships/hyperlink" Target="https://pbs.twimg.com/profile_images/1844337440/test_normal.gif" TargetMode="External"/><Relationship Id="rId9261" Type="http://schemas.openxmlformats.org/officeDocument/2006/relationships/hyperlink" Target="https://twitter.com/hashtagvanlife" TargetMode="External"/><Relationship Id="rId13640" Type="http://schemas.openxmlformats.org/officeDocument/2006/relationships/hyperlink" Target="https://twitter.com/Oppa_mit_Hut/status/723552140132814848" TargetMode="External"/><Relationship Id="rId24649" Type="http://schemas.openxmlformats.org/officeDocument/2006/relationships/hyperlink" Target="https://twitter.com/willkinton247" TargetMode="External"/><Relationship Id="rId11191" Type="http://schemas.openxmlformats.org/officeDocument/2006/relationships/hyperlink" Target="https://twitter.com/helmi/status/723499077296656384" TargetMode="External"/><Relationship Id="rId12242" Type="http://schemas.openxmlformats.org/officeDocument/2006/relationships/hyperlink" Target="https://twitter.com/badluk07" TargetMode="External"/><Relationship Id="rId16863" Type="http://schemas.openxmlformats.org/officeDocument/2006/relationships/hyperlink" Target="https://twitter.com/roansub" TargetMode="External"/><Relationship Id="rId17914" Type="http://schemas.openxmlformats.org/officeDocument/2006/relationships/hyperlink" Target="https://pbs.twimg.com/profile_images/530071272881803264/a_jcCmPZ_normal.png" TargetMode="External"/><Relationship Id="rId620" Type="http://schemas.openxmlformats.org/officeDocument/2006/relationships/hyperlink" Target="https://pbs.twimg.com/profile_images/541536694131240960/G0sIh0GK_normal.jpeg" TargetMode="External"/><Relationship Id="rId1250" Type="http://schemas.openxmlformats.org/officeDocument/2006/relationships/hyperlink" Target="https://twitter.com/gaddap" TargetMode="External"/><Relationship Id="rId2301" Type="http://schemas.openxmlformats.org/officeDocument/2006/relationships/hyperlink" Target="http://linkis.com/" TargetMode="External"/><Relationship Id="rId5871" Type="http://schemas.openxmlformats.org/officeDocument/2006/relationships/hyperlink" Target="https://twitter.com/BaxterVW_Omaha" TargetMode="External"/><Relationship Id="rId6922" Type="http://schemas.openxmlformats.org/officeDocument/2006/relationships/hyperlink" Target="http://fazfinance.net/" TargetMode="External"/><Relationship Id="rId15465" Type="http://schemas.openxmlformats.org/officeDocument/2006/relationships/hyperlink" Target="https://twitter.com/brizna68" TargetMode="External"/><Relationship Id="rId16516" Type="http://schemas.openxmlformats.org/officeDocument/2006/relationships/hyperlink" Target="https://twitter.com/sgpragency/status/723692127847239680" TargetMode="External"/><Relationship Id="rId22681" Type="http://schemas.openxmlformats.org/officeDocument/2006/relationships/hyperlink" Target="http://ctrlq.org/maps/address/" TargetMode="External"/><Relationship Id="rId23732" Type="http://schemas.openxmlformats.org/officeDocument/2006/relationships/hyperlink" Target="https://pbs.twimg.com/profile_images/703294545195307008/qeCvrX86_normal.jpg" TargetMode="External"/><Relationship Id="rId4473" Type="http://schemas.openxmlformats.org/officeDocument/2006/relationships/hyperlink" Target="https://twitter.com/pcbritz" TargetMode="External"/><Relationship Id="rId5524" Type="http://schemas.openxmlformats.org/officeDocument/2006/relationships/hyperlink" Target="https://twitter.com/dankogaion" TargetMode="External"/><Relationship Id="rId14067" Type="http://schemas.openxmlformats.org/officeDocument/2006/relationships/hyperlink" Target="https://twitter.com/VWofStreetsboro" TargetMode="External"/><Relationship Id="rId15118" Type="http://schemas.openxmlformats.org/officeDocument/2006/relationships/hyperlink" Target="https://twitter.com/eric_morehead" TargetMode="External"/><Relationship Id="rId18688" Type="http://schemas.openxmlformats.org/officeDocument/2006/relationships/hyperlink" Target="https://pbs.twimg.com/profile_images/693260133237809152/JUVeKYdq_normal.jpg" TargetMode="External"/><Relationship Id="rId19739" Type="http://schemas.openxmlformats.org/officeDocument/2006/relationships/hyperlink" Target="https://pbs.twimg.com/profile_images/718835727027580928/1ssyQ67y_normal.jpg" TargetMode="External"/><Relationship Id="rId21283" Type="http://schemas.openxmlformats.org/officeDocument/2006/relationships/hyperlink" Target="https://pbs.twimg.com/profile_images/652871584131092480/QA_B6SBO_normal.jpg" TargetMode="External"/><Relationship Id="rId22334" Type="http://schemas.openxmlformats.org/officeDocument/2006/relationships/hyperlink" Target="https://twitter.com/moujkash" TargetMode="External"/><Relationship Id="rId3075" Type="http://schemas.openxmlformats.org/officeDocument/2006/relationships/hyperlink" Target="https://pbs.twimg.com/profile_images/687612388103819269/iXaQbnrH_normal.png" TargetMode="External"/><Relationship Id="rId4126" Type="http://schemas.openxmlformats.org/officeDocument/2006/relationships/hyperlink" Target="https://twitter.com/Militarycars" TargetMode="External"/><Relationship Id="rId7696" Type="http://schemas.openxmlformats.org/officeDocument/2006/relationships/hyperlink" Target="https://pbs.twimg.com/profile_images/718820712757215233/LXXndPTS_normal.jpg" TargetMode="External"/><Relationship Id="rId8747" Type="http://schemas.openxmlformats.org/officeDocument/2006/relationships/hyperlink" Target="https://twitter.com/aktienboersen" TargetMode="External"/><Relationship Id="rId25557" Type="http://schemas.openxmlformats.org/officeDocument/2006/relationships/hyperlink" Target="https://twitter.com/almaleal/status/724448103567372288" TargetMode="External"/><Relationship Id="rId6298" Type="http://schemas.openxmlformats.org/officeDocument/2006/relationships/hyperlink" Target="https://pbs.twimg.com/profile_images/662585803168591872/XeVEK9Mh_normal.jpg" TargetMode="External"/><Relationship Id="rId7349" Type="http://schemas.openxmlformats.org/officeDocument/2006/relationships/hyperlink" Target="https://pbs.twimg.com/profile_images/608795718833176576/Lu6WzWKX_normal.jpg" TargetMode="External"/><Relationship Id="rId10677" Type="http://schemas.openxmlformats.org/officeDocument/2006/relationships/hyperlink" Target="https://twitter.com/schulze_ute/status/723480670174060545" TargetMode="External"/><Relationship Id="rId11728" Type="http://schemas.openxmlformats.org/officeDocument/2006/relationships/hyperlink" Target="https://pbs.twimg.com/profile_images/646648362381516800/cNhozYEx_normal.png" TargetMode="External"/><Relationship Id="rId13150" Type="http://schemas.openxmlformats.org/officeDocument/2006/relationships/hyperlink" Target="https://twitter.com/vwbusman72/status/723536340231557120" TargetMode="External"/><Relationship Id="rId24159" Type="http://schemas.openxmlformats.org/officeDocument/2006/relationships/hyperlink" Target="https://twitter.com/emado3d/status/724336355627700226" TargetMode="External"/><Relationship Id="rId14201" Type="http://schemas.openxmlformats.org/officeDocument/2006/relationships/hyperlink" Target="https://twitter.com/paullivellano" TargetMode="External"/><Relationship Id="rId17771" Type="http://schemas.openxmlformats.org/officeDocument/2006/relationships/hyperlink" Target="https://twitter.com/LuxuryLivng" TargetMode="External"/><Relationship Id="rId18822" Type="http://schemas.openxmlformats.org/officeDocument/2006/relationships/hyperlink" Target="https://twitter.com/Joh_Amarok" TargetMode="External"/><Relationship Id="rId130" Type="http://schemas.openxmlformats.org/officeDocument/2006/relationships/hyperlink" Target="https://twitter.com/thenewautonews/status/722929847844995074" TargetMode="External"/><Relationship Id="rId3959" Type="http://schemas.openxmlformats.org/officeDocument/2006/relationships/hyperlink" Target="https://pbs.twimg.com/profile_images/612380730828570625/ueTZGetC_normal.jpg" TargetMode="External"/><Relationship Id="rId5381" Type="http://schemas.openxmlformats.org/officeDocument/2006/relationships/hyperlink" Target="https://twitter.com/roansub/status/723201127714557952" TargetMode="External"/><Relationship Id="rId7830" Type="http://schemas.openxmlformats.org/officeDocument/2006/relationships/hyperlink" Target="https://pbs.twimg.com/profile_images/615493650785660928/XHUh6HOk_normal.jpg" TargetMode="External"/><Relationship Id="rId10811" Type="http://schemas.openxmlformats.org/officeDocument/2006/relationships/hyperlink" Target="https://twitter.com/GecoGordon" TargetMode="External"/><Relationship Id="rId16373" Type="http://schemas.openxmlformats.org/officeDocument/2006/relationships/hyperlink" Target="https://twitter.com/kustomfest/status/723675662561775617" TargetMode="External"/><Relationship Id="rId17424" Type="http://schemas.openxmlformats.org/officeDocument/2006/relationships/hyperlink" Target="https://pbs.twimg.com/profile_images/718466703341010945/x9i3UOOr_normal.jpg" TargetMode="External"/><Relationship Id="rId20769" Type="http://schemas.openxmlformats.org/officeDocument/2006/relationships/hyperlink" Target="https://twitter.com/VotelTravels" TargetMode="External"/><Relationship Id="rId24640" Type="http://schemas.openxmlformats.org/officeDocument/2006/relationships/hyperlink" Target="https://twitter.com/JackShayier" TargetMode="External"/><Relationship Id="rId5034" Type="http://schemas.openxmlformats.org/officeDocument/2006/relationships/hyperlink" Target="https://twitter.com/alvaromaxlma" TargetMode="External"/><Relationship Id="rId6432" Type="http://schemas.openxmlformats.org/officeDocument/2006/relationships/hyperlink" Target="https://pbs.twimg.com/profile_images/424893967197433858/iQ86NktX_normal.jpeg" TargetMode="External"/><Relationship Id="rId12983" Type="http://schemas.openxmlformats.org/officeDocument/2006/relationships/hyperlink" Target="https://pbs.twimg.com/profile_images/458901987019333632/7FGKPDVB_normal.png" TargetMode="External"/><Relationship Id="rId16026" Type="http://schemas.openxmlformats.org/officeDocument/2006/relationships/hyperlink" Target="https://twitter.com/bmwblog/status/723644430079692800" TargetMode="External"/><Relationship Id="rId19596" Type="http://schemas.openxmlformats.org/officeDocument/2006/relationships/hyperlink" Target="https://twitter.com/oldcar_photo/status/723941666252558336" TargetMode="External"/><Relationship Id="rId22191" Type="http://schemas.openxmlformats.org/officeDocument/2006/relationships/hyperlink" Target="https://twitter.com/beetlebug1938/status/724208618799792128" TargetMode="External"/><Relationship Id="rId23242" Type="http://schemas.openxmlformats.org/officeDocument/2006/relationships/hyperlink" Target="https://pbs.twimg.com/profile_images/723151513737154560/LHEcz2RO_normal.jpg" TargetMode="External"/><Relationship Id="rId1991" Type="http://schemas.openxmlformats.org/officeDocument/2006/relationships/hyperlink" Target="https://pbs.twimg.com/profile_images/652482665900285952/jeA6rKOi_normal.jpg" TargetMode="External"/><Relationship Id="rId9655" Type="http://schemas.openxmlformats.org/officeDocument/2006/relationships/hyperlink" Target="https://pbs.twimg.com/profile_images/627949001179037696/skEBkS05_normal.jpg" TargetMode="External"/><Relationship Id="rId11585" Type="http://schemas.openxmlformats.org/officeDocument/2006/relationships/hyperlink" Target="https://twitter.com/Team_BKR_/status/723503952977862656" TargetMode="External"/><Relationship Id="rId12636" Type="http://schemas.openxmlformats.org/officeDocument/2006/relationships/hyperlink" Target="https://twitter.com/GDhring/status/723524212237979650" TargetMode="External"/><Relationship Id="rId18198" Type="http://schemas.openxmlformats.org/officeDocument/2006/relationships/hyperlink" Target="https://pbs.twimg.com/profile_images/649588042655748096/kSJoPtyb_normal.jpg" TargetMode="External"/><Relationship Id="rId19249" Type="http://schemas.openxmlformats.org/officeDocument/2006/relationships/hyperlink" Target="https://twitter.com/amln_aboharb/status/723924257080770560" TargetMode="External"/><Relationship Id="rId20903" Type="http://schemas.openxmlformats.org/officeDocument/2006/relationships/hyperlink" Target="https://twitter.com/surendergowtham" TargetMode="External"/><Relationship Id="rId1644" Type="http://schemas.openxmlformats.org/officeDocument/2006/relationships/hyperlink" Target="https://twitter.com/Insta_VWT/status/723050636724592641" TargetMode="External"/><Relationship Id="rId8257" Type="http://schemas.openxmlformats.org/officeDocument/2006/relationships/hyperlink" Target="https://twitter.com/agustiina_karen/status/723379561551945728" TargetMode="External"/><Relationship Id="rId9308" Type="http://schemas.openxmlformats.org/officeDocument/2006/relationships/hyperlink" Target="https://pbs.twimg.com/profile_images/658647201581834240/dxUc3YHk_normal.png" TargetMode="External"/><Relationship Id="rId10187" Type="http://schemas.openxmlformats.org/officeDocument/2006/relationships/hyperlink" Target="https://twitter.com/sadiqgajimi/status/723465300407140352" TargetMode="External"/><Relationship Id="rId11238" Type="http://schemas.openxmlformats.org/officeDocument/2006/relationships/hyperlink" Target="https://twitter.com/bvoelkl/status/723499574434910208" TargetMode="External"/><Relationship Id="rId25067" Type="http://schemas.openxmlformats.org/officeDocument/2006/relationships/hyperlink" Target="https://twitter.com/xiimv" TargetMode="External"/><Relationship Id="rId4867" Type="http://schemas.openxmlformats.org/officeDocument/2006/relationships/hyperlink" Target="https://twitter.com/aktuelle_stunde" TargetMode="External"/><Relationship Id="rId15859" Type="http://schemas.openxmlformats.org/officeDocument/2006/relationships/hyperlink" Target="http://dlvr.it/" TargetMode="External"/><Relationship Id="rId17281" Type="http://schemas.openxmlformats.org/officeDocument/2006/relationships/hyperlink" Target="https://twitter.com/EurJRR" TargetMode="External"/><Relationship Id="rId18332" Type="http://schemas.openxmlformats.org/officeDocument/2006/relationships/hyperlink" Target="https://twitter.com/VolkswagenPost/status/723862772711362560" TargetMode="External"/><Relationship Id="rId19730" Type="http://schemas.openxmlformats.org/officeDocument/2006/relationships/hyperlink" Target="https://pbs.twimg.com/profile_images/703294545195307008/qeCvrX86_normal.jpg" TargetMode="External"/><Relationship Id="rId21677" Type="http://schemas.openxmlformats.org/officeDocument/2006/relationships/hyperlink" Target="https://twitter.com/ErnstNordholt/status/724168024316600320" TargetMode="External"/><Relationship Id="rId3469" Type="http://schemas.openxmlformats.org/officeDocument/2006/relationships/hyperlink" Target="https://twitter.com/StarkLS1/status/723159884217229313" TargetMode="External"/><Relationship Id="rId5918" Type="http://schemas.openxmlformats.org/officeDocument/2006/relationships/hyperlink" Target="https://twitter.com/baynesa/status/723223564858580992" TargetMode="External"/><Relationship Id="rId7340" Type="http://schemas.openxmlformats.org/officeDocument/2006/relationships/hyperlink" Target="https://pbs.twimg.com/profile_images/696005498236178432/HP5XLjmu_normal.jpg" TargetMode="External"/><Relationship Id="rId20279" Type="http://schemas.openxmlformats.org/officeDocument/2006/relationships/hyperlink" Target="https://twitter.com/Losttime_Comics" TargetMode="External"/><Relationship Id="rId22728" Type="http://schemas.openxmlformats.org/officeDocument/2006/relationships/hyperlink" Target="https://pbs.twimg.com/profile_images/685828508128555008/VZgbemtZ_normal.jpg" TargetMode="External"/><Relationship Id="rId24150" Type="http://schemas.openxmlformats.org/officeDocument/2006/relationships/hyperlink" Target="http://dlvr.it/" TargetMode="External"/><Relationship Id="rId25201" Type="http://schemas.openxmlformats.org/officeDocument/2006/relationships/hyperlink" Target="https://pbs.twimg.com/profile_images/720623345029423104/TUxoNGEM_normal.jpg" TargetMode="External"/><Relationship Id="rId10321" Type="http://schemas.openxmlformats.org/officeDocument/2006/relationships/hyperlink" Target="https://pbs.twimg.com/profile_images/721996706657779713/1ngKuolF_normal.jpg" TargetMode="External"/><Relationship Id="rId13891" Type="http://schemas.openxmlformats.org/officeDocument/2006/relationships/hyperlink" Target="https://twitter.com/29DavidDs/status/723558116885946368" TargetMode="External"/><Relationship Id="rId14942" Type="http://schemas.openxmlformats.org/officeDocument/2006/relationships/hyperlink" Target="https://twitter.com/frisch_fish" TargetMode="External"/><Relationship Id="rId3950" Type="http://schemas.openxmlformats.org/officeDocument/2006/relationships/hyperlink" Target="https://pbs.twimg.com/profile_images/637188461481431040/v18IsDwJ_normal.png" TargetMode="External"/><Relationship Id="rId9165" Type="http://schemas.openxmlformats.org/officeDocument/2006/relationships/hyperlink" Target="https://twitter.com/aktionaer" TargetMode="External"/><Relationship Id="rId12493" Type="http://schemas.openxmlformats.org/officeDocument/2006/relationships/hyperlink" Target="https://twitter.com/wehrs18" TargetMode="External"/><Relationship Id="rId13544" Type="http://schemas.openxmlformats.org/officeDocument/2006/relationships/hyperlink" Target="https://pbs.twimg.com/profile_images/723195413587722240/6cW_kMZR_normal.jpg" TargetMode="External"/><Relationship Id="rId20760" Type="http://schemas.openxmlformats.org/officeDocument/2006/relationships/hyperlink" Target="https://twitter.com/FletcherJonesVW/status/724040349090484225" TargetMode="External"/><Relationship Id="rId21811" Type="http://schemas.openxmlformats.org/officeDocument/2006/relationships/hyperlink" Target="http://dlvr.it/" TargetMode="External"/><Relationship Id="rId871" Type="http://schemas.openxmlformats.org/officeDocument/2006/relationships/hyperlink" Target="https://pbs.twimg.com/profile_images/627949001179037696/skEBkS05_normal.jpg" TargetMode="External"/><Relationship Id="rId2552" Type="http://schemas.openxmlformats.org/officeDocument/2006/relationships/hyperlink" Target="https://twitter.com/kurmava" TargetMode="External"/><Relationship Id="rId3603" Type="http://schemas.openxmlformats.org/officeDocument/2006/relationships/hyperlink" Target="https://pbs.twimg.com/profile_images/599709666017435648/r0vhT_9C_normal.png" TargetMode="External"/><Relationship Id="rId11095" Type="http://schemas.openxmlformats.org/officeDocument/2006/relationships/hyperlink" Target="https://pbs.twimg.com/profile_images/657853466384191488/J6vAnfZr_normal.jpg" TargetMode="External"/><Relationship Id="rId12146" Type="http://schemas.openxmlformats.org/officeDocument/2006/relationships/hyperlink" Target="https://pbs.twimg.com/profile_images/2610471396/image_normal.jpg" TargetMode="External"/><Relationship Id="rId16767" Type="http://schemas.openxmlformats.org/officeDocument/2006/relationships/hyperlink" Target="https://twitter.com/hayles_143/status/723726174195589120" TargetMode="External"/><Relationship Id="rId17818" Type="http://schemas.openxmlformats.org/officeDocument/2006/relationships/hyperlink" Target="https://pbs.twimg.com/profile_images/647146919098232832/0SPoyMyg_normal.jpg" TargetMode="External"/><Relationship Id="rId20413" Type="http://schemas.openxmlformats.org/officeDocument/2006/relationships/hyperlink" Target="https://twitter.com/Maricofre2" TargetMode="External"/><Relationship Id="rId23983" Type="http://schemas.openxmlformats.org/officeDocument/2006/relationships/hyperlink" Target="https://pbs.twimg.com/profile_images/703294545195307008/qeCvrX86_normal.jpg" TargetMode="External"/><Relationship Id="rId524" Type="http://schemas.openxmlformats.org/officeDocument/2006/relationships/hyperlink" Target="https://pbs.twimg.com/profile_images/540345085599440897/7mWcf4cg_normal.jpeg" TargetMode="External"/><Relationship Id="rId1154" Type="http://schemas.openxmlformats.org/officeDocument/2006/relationships/hyperlink" Target="https://pbs.twimg.com/profile_images/603480066887127041/ZqzOY80Q_normal.jpg" TargetMode="External"/><Relationship Id="rId2205" Type="http://schemas.openxmlformats.org/officeDocument/2006/relationships/hyperlink" Target="https://twitter.com/panicswitch777/status/723088098989465601" TargetMode="External"/><Relationship Id="rId5775" Type="http://schemas.openxmlformats.org/officeDocument/2006/relationships/hyperlink" Target="https://twitter.com/ben_gt/status/723216944363495425" TargetMode="External"/><Relationship Id="rId6826" Type="http://schemas.openxmlformats.org/officeDocument/2006/relationships/hyperlink" Target="https://pbs.twimg.com/profile_images/627949001179037696/skEBkS05_normal.jpg" TargetMode="External"/><Relationship Id="rId15369" Type="http://schemas.openxmlformats.org/officeDocument/2006/relationships/hyperlink" Target="https://twitter.com/Marktzyniker" TargetMode="External"/><Relationship Id="rId19240" Type="http://schemas.openxmlformats.org/officeDocument/2006/relationships/hyperlink" Target="https://twitter.com/autoboomer/status/723923547966447616" TargetMode="External"/><Relationship Id="rId22585" Type="http://schemas.openxmlformats.org/officeDocument/2006/relationships/hyperlink" Target="https://pbs.twimg.com/profile_images/695998335979806721/Qc2z46Px_normal.jpg" TargetMode="External"/><Relationship Id="rId23636" Type="http://schemas.openxmlformats.org/officeDocument/2006/relationships/hyperlink" Target="https://twitter.com/brettmcneil" TargetMode="External"/><Relationship Id="rId4377" Type="http://schemas.openxmlformats.org/officeDocument/2006/relationships/hyperlink" Target="https://pbs.twimg.com/profile_images/474912768143802368/eg4eVSBM_normal.jpeg" TargetMode="External"/><Relationship Id="rId5428" Type="http://schemas.openxmlformats.org/officeDocument/2006/relationships/hyperlink" Target="https://twitter.com/ChuckLane1" TargetMode="External"/><Relationship Id="rId8998" Type="http://schemas.openxmlformats.org/officeDocument/2006/relationships/hyperlink" Target="https://pbs.twimg.com/profile_images/2549923530/7li4rLCm_normal" TargetMode="External"/><Relationship Id="rId21187" Type="http://schemas.openxmlformats.org/officeDocument/2006/relationships/hyperlink" Target="https://twitter.com/OnlineCarReview" TargetMode="External"/><Relationship Id="rId22238" Type="http://schemas.openxmlformats.org/officeDocument/2006/relationships/hyperlink" Target="https://twitter.com/VWBeetleSales/status/724210818347212802" TargetMode="External"/><Relationship Id="rId11979" Type="http://schemas.openxmlformats.org/officeDocument/2006/relationships/hyperlink" Target="https://pbs.twimg.com/profile_images/671607384817721344/nY4ofASc_normal.jpg" TargetMode="External"/><Relationship Id="rId15850" Type="http://schemas.openxmlformats.org/officeDocument/2006/relationships/hyperlink" Target="https://pbs.twimg.com/profile_images/718820712757215233/LXXndPTS_normal.jpg" TargetMode="External"/><Relationship Id="rId16901" Type="http://schemas.openxmlformats.org/officeDocument/2006/relationships/hyperlink" Target="https://twitter.com/KESIGAN10/status/723747058008625153" TargetMode="External"/><Relationship Id="rId3460" Type="http://schemas.openxmlformats.org/officeDocument/2006/relationships/hyperlink" Target="https://twitter.com/Pedego101/status/723159444012421121" TargetMode="External"/><Relationship Id="rId14452" Type="http://schemas.openxmlformats.org/officeDocument/2006/relationships/hyperlink" Target="https://twitter.com/NorthWestDubs/status/723574195800674304" TargetMode="External"/><Relationship Id="rId15503" Type="http://schemas.openxmlformats.org/officeDocument/2006/relationships/hyperlink" Target="https://pbs.twimg.com/profile_images/610791642908364802/6HpxS-0Y_normal.jpg" TargetMode="External"/><Relationship Id="rId381" Type="http://schemas.openxmlformats.org/officeDocument/2006/relationships/hyperlink" Target="https://twitter.com/SocialMAXorg/status/722952147952766977" TargetMode="External"/><Relationship Id="rId2062" Type="http://schemas.openxmlformats.org/officeDocument/2006/relationships/hyperlink" Target="https://pbs.twimg.com/profile_images/698509815870578688/S6oEQDwn_normal.jpg" TargetMode="External"/><Relationship Id="rId3113" Type="http://schemas.openxmlformats.org/officeDocument/2006/relationships/hyperlink" Target="https://pbs.twimg.com/profile_images/627949001179037696/skEBkS05_normal.jpg" TargetMode="External"/><Relationship Id="rId4511" Type="http://schemas.openxmlformats.org/officeDocument/2006/relationships/hyperlink" Target="https://pbs.twimg.com/profile_images/654794006421856256/WvLcZ_Wx_normal.png" TargetMode="External"/><Relationship Id="rId13054" Type="http://schemas.openxmlformats.org/officeDocument/2006/relationships/hyperlink" Target="https://twitter.com/DeMotores" TargetMode="External"/><Relationship Id="rId14105" Type="http://schemas.openxmlformats.org/officeDocument/2006/relationships/hyperlink" Target="https://pbs.twimg.com/profile_images/592417094983102464/xowRMPEE_normal.jpg" TargetMode="External"/><Relationship Id="rId17675" Type="http://schemas.openxmlformats.org/officeDocument/2006/relationships/hyperlink" Target="https://pbs.twimg.com/profile_images/662727196667019264/7euxutpC_normal.jpg" TargetMode="External"/><Relationship Id="rId18726" Type="http://schemas.openxmlformats.org/officeDocument/2006/relationships/hyperlink" Target="https://pbs.twimg.com/profile_images/512117524813467648/G656Oqmx_normal.jpeg" TargetMode="External"/><Relationship Id="rId20270" Type="http://schemas.openxmlformats.org/officeDocument/2006/relationships/hyperlink" Target="https://twitter.com/Censored0/status/723987033316712449" TargetMode="External"/><Relationship Id="rId21321" Type="http://schemas.openxmlformats.org/officeDocument/2006/relationships/hyperlink" Target="https://twitter.com/LisaHenri2/status/724141388468748288" TargetMode="External"/><Relationship Id="rId24891" Type="http://schemas.openxmlformats.org/officeDocument/2006/relationships/hyperlink" Target="https://twitter.com/beetlebug1938" TargetMode="External"/><Relationship Id="rId6683" Type="http://schemas.openxmlformats.org/officeDocument/2006/relationships/hyperlink" Target="https://twitter.com/Puretruth678/status/723252207722860545" TargetMode="External"/><Relationship Id="rId7734" Type="http://schemas.openxmlformats.org/officeDocument/2006/relationships/hyperlink" Target="https://twitter.com/MDBlanchfield/status/723329403208536064" TargetMode="External"/><Relationship Id="rId10715" Type="http://schemas.openxmlformats.org/officeDocument/2006/relationships/hyperlink" Target="https://twitter.com/rgoverstreet" TargetMode="External"/><Relationship Id="rId16277" Type="http://schemas.openxmlformats.org/officeDocument/2006/relationships/hyperlink" Target="https://twitter.com/mark_germain/status/723664691449438210" TargetMode="External"/><Relationship Id="rId17328" Type="http://schemas.openxmlformats.org/officeDocument/2006/relationships/hyperlink" Target="https://pbs.twimg.com/profile_images/424893967197433858/iQ86NktX_normal.jpeg" TargetMode="External"/><Relationship Id="rId23493" Type="http://schemas.openxmlformats.org/officeDocument/2006/relationships/hyperlink" Target="http://dlvr.it/" TargetMode="External"/><Relationship Id="rId24544" Type="http://schemas.openxmlformats.org/officeDocument/2006/relationships/hyperlink" Target="https://twitter.com/FuscaWorld/status/724368547904933889" TargetMode="External"/><Relationship Id="rId5285" Type="http://schemas.openxmlformats.org/officeDocument/2006/relationships/hyperlink" Target="https://abs.twimg.com/sticky/default_profile_images/default_profile_3_normal.png" TargetMode="External"/><Relationship Id="rId6336" Type="http://schemas.openxmlformats.org/officeDocument/2006/relationships/hyperlink" Target="https://twitter.com/VWCamperSales" TargetMode="External"/><Relationship Id="rId22095" Type="http://schemas.openxmlformats.org/officeDocument/2006/relationships/hyperlink" Target="https://twitter.com/VWBeetleSales/status/724199734664028160" TargetMode="External"/><Relationship Id="rId23146" Type="http://schemas.openxmlformats.org/officeDocument/2006/relationships/hyperlink" Target="https://twitter.com/copeyphoto/status/724270549283692544" TargetMode="External"/><Relationship Id="rId1895" Type="http://schemas.openxmlformats.org/officeDocument/2006/relationships/hyperlink" Target="https://twitter.com/chellebows1/status/723067782263410688" TargetMode="External"/><Relationship Id="rId2946" Type="http://schemas.openxmlformats.org/officeDocument/2006/relationships/hyperlink" Target="https://twitter.com/VolkswagenPost" TargetMode="External"/><Relationship Id="rId9559" Type="http://schemas.openxmlformats.org/officeDocument/2006/relationships/hyperlink" Target="https://pbs.twimg.com/profile_images/649889698266152960/zg2lLiEI_normal.jpg" TargetMode="External"/><Relationship Id="rId11489" Type="http://schemas.openxmlformats.org/officeDocument/2006/relationships/hyperlink" Target="https://twitter.com/reifmd/status/723502976279699456" TargetMode="External"/><Relationship Id="rId12887" Type="http://schemas.openxmlformats.org/officeDocument/2006/relationships/hyperlink" Target="https://twitter.com/VWBeetleSales/status/723530588750123009" TargetMode="External"/><Relationship Id="rId13938" Type="http://schemas.openxmlformats.org/officeDocument/2006/relationships/hyperlink" Target="https://twitter.com/VolkswagenPost" TargetMode="External"/><Relationship Id="rId15360" Type="http://schemas.openxmlformats.org/officeDocument/2006/relationships/hyperlink" Target="https://twitter.com/SuranClub" TargetMode="External"/><Relationship Id="rId918" Type="http://schemas.openxmlformats.org/officeDocument/2006/relationships/hyperlink" Target="https://twitter.com/SuranClub/status/723001291438477312" TargetMode="External"/><Relationship Id="rId1548" Type="http://schemas.openxmlformats.org/officeDocument/2006/relationships/hyperlink" Target="https://twitter.com/foresight_lab/status/723046028274880512" TargetMode="External"/><Relationship Id="rId15013" Type="http://schemas.openxmlformats.org/officeDocument/2006/relationships/hyperlink" Target="https://twitter.com/WhatsUpMattDiaz" TargetMode="External"/><Relationship Id="rId16411" Type="http://schemas.openxmlformats.org/officeDocument/2006/relationships/hyperlink" Target="https://twitter.com/KostasTourlakis" TargetMode="External"/><Relationship Id="rId19981" Type="http://schemas.openxmlformats.org/officeDocument/2006/relationships/hyperlink" Target="https://twitter.com/VWBeetleSales" TargetMode="External"/><Relationship Id="rId20807" Type="http://schemas.openxmlformats.org/officeDocument/2006/relationships/hyperlink" Target="https://twitter.com/PicadasArg/status/724047316102074368" TargetMode="External"/><Relationship Id="rId4021" Type="http://schemas.openxmlformats.org/officeDocument/2006/relationships/hyperlink" Target="https://twitter.com/KWsays/status/723174735681441796" TargetMode="External"/><Relationship Id="rId7591" Type="http://schemas.openxmlformats.org/officeDocument/2006/relationships/hyperlink" Target="https://pbs.twimg.com/profile_images/696325675398070272/06sWqs3H_normal.jpg" TargetMode="External"/><Relationship Id="rId11970" Type="http://schemas.openxmlformats.org/officeDocument/2006/relationships/hyperlink" Target="https://pbs.twimg.com/profile_images/641193251567980545/W_qa0-uu_normal.png" TargetMode="External"/><Relationship Id="rId18583" Type="http://schemas.openxmlformats.org/officeDocument/2006/relationships/hyperlink" Target="https://twitter.com/Insta_VWT" TargetMode="External"/><Relationship Id="rId19634" Type="http://schemas.openxmlformats.org/officeDocument/2006/relationships/hyperlink" Target="https://twitter.com/hashtagvanlife/status/723944437626339328" TargetMode="External"/><Relationship Id="rId22979" Type="http://schemas.openxmlformats.org/officeDocument/2006/relationships/hyperlink" Target="https://twitter.com/SocialAutos/status/724262002521153536" TargetMode="External"/><Relationship Id="rId6193" Type="http://schemas.openxmlformats.org/officeDocument/2006/relationships/hyperlink" Target="https://twitter.com/TheBeetles_co" TargetMode="External"/><Relationship Id="rId7244" Type="http://schemas.openxmlformats.org/officeDocument/2006/relationships/hyperlink" Target="https://twitter.com/colwagen" TargetMode="External"/><Relationship Id="rId8642" Type="http://schemas.openxmlformats.org/officeDocument/2006/relationships/hyperlink" Target="https://twitter.com/Cardboard_VR" TargetMode="External"/><Relationship Id="rId10572" Type="http://schemas.openxmlformats.org/officeDocument/2006/relationships/hyperlink" Target="https://twitter.com/JoachimHeck" TargetMode="External"/><Relationship Id="rId11623" Type="http://schemas.openxmlformats.org/officeDocument/2006/relationships/hyperlink" Target="https://pbs.twimg.com/profile_images/1738815421/li_normal.JPG" TargetMode="External"/><Relationship Id="rId17185" Type="http://schemas.openxmlformats.org/officeDocument/2006/relationships/hyperlink" Target="https://twitter.com/goldi6919" TargetMode="External"/><Relationship Id="rId18236" Type="http://schemas.openxmlformats.org/officeDocument/2006/relationships/hyperlink" Target="https://twitter.com/BootsBrothers" TargetMode="External"/><Relationship Id="rId24054" Type="http://schemas.openxmlformats.org/officeDocument/2006/relationships/hyperlink" Target="https://twitter.com/federic93054929/status/724328661567049729" TargetMode="External"/><Relationship Id="rId25452" Type="http://schemas.openxmlformats.org/officeDocument/2006/relationships/hyperlink" Target="https://pbs.twimg.com/profile_images/3247035045/9844e9d67157e05905c827333dbfa0ee_normal.jpeg" TargetMode="External"/><Relationship Id="rId10225" Type="http://schemas.openxmlformats.org/officeDocument/2006/relationships/hyperlink" Target="https://pbs.twimg.com/profile_images/649519091892531200/gFXmbSPM_normal.jpg" TargetMode="External"/><Relationship Id="rId13795" Type="http://schemas.openxmlformats.org/officeDocument/2006/relationships/hyperlink" Target="http://dlvr.it/" TargetMode="External"/><Relationship Id="rId14846" Type="http://schemas.openxmlformats.org/officeDocument/2006/relationships/hyperlink" Target="https://twitter.com/lessismoremike" TargetMode="External"/><Relationship Id="rId25105" Type="http://schemas.openxmlformats.org/officeDocument/2006/relationships/hyperlink" Target="https://twitter.com/psipika/status/724420103345938432" TargetMode="External"/><Relationship Id="rId3854" Type="http://schemas.openxmlformats.org/officeDocument/2006/relationships/hyperlink" Target="https://pbs.twimg.com/profile_images/716449848669708288/IgQJwanL_normal.jpg" TargetMode="External"/><Relationship Id="rId4905" Type="http://schemas.openxmlformats.org/officeDocument/2006/relationships/hyperlink" Target="https://twitter.com/sickgaming1" TargetMode="External"/><Relationship Id="rId12397" Type="http://schemas.openxmlformats.org/officeDocument/2006/relationships/hyperlink" Target="https://twitter.com/VWBeetleSales/status/723518998642450432" TargetMode="External"/><Relationship Id="rId13448" Type="http://schemas.openxmlformats.org/officeDocument/2006/relationships/hyperlink" Target="https://twitter.com/VeeDubMk1_/status/723547969488838656" TargetMode="External"/><Relationship Id="rId20664" Type="http://schemas.openxmlformats.org/officeDocument/2006/relationships/hyperlink" Target="https://twitter.com/Bionicfog/status/724023025478328320" TargetMode="External"/><Relationship Id="rId21715" Type="http://schemas.openxmlformats.org/officeDocument/2006/relationships/hyperlink" Target="http://dlvr.it/" TargetMode="External"/><Relationship Id="rId775" Type="http://schemas.openxmlformats.org/officeDocument/2006/relationships/hyperlink" Target="https://pbs.twimg.com/profile_images/720687356303400960/kGE26Ez3_normal.jpg" TargetMode="External"/><Relationship Id="rId2456" Type="http://schemas.openxmlformats.org/officeDocument/2006/relationships/hyperlink" Target="https://twitter.com/anadin325/status/723102246905348097" TargetMode="External"/><Relationship Id="rId3507" Type="http://schemas.openxmlformats.org/officeDocument/2006/relationships/hyperlink" Target="https://twitter.com/Scirocco_Tuning" TargetMode="External"/><Relationship Id="rId9069" Type="http://schemas.openxmlformats.org/officeDocument/2006/relationships/hyperlink" Target="https://pbs.twimg.com/profile_images/638973360169463808/YEbGEWne_normal.jpg" TargetMode="External"/><Relationship Id="rId19491" Type="http://schemas.openxmlformats.org/officeDocument/2006/relationships/hyperlink" Target="https://pbs.twimg.com/profile_images/700729790219685888/GtA-rM1j_normal.jpg" TargetMode="External"/><Relationship Id="rId20317" Type="http://schemas.openxmlformats.org/officeDocument/2006/relationships/hyperlink" Target="https://pbs.twimg.com/profile_images/594598794114695169/21t2blj3_normal.jpg" TargetMode="External"/><Relationship Id="rId23887" Type="http://schemas.openxmlformats.org/officeDocument/2006/relationships/hyperlink" Target="https://twitter.com/minornews" TargetMode="External"/><Relationship Id="rId428" Type="http://schemas.openxmlformats.org/officeDocument/2006/relationships/hyperlink" Target="https://twitter.com/tw_teria" TargetMode="External"/><Relationship Id="rId1058" Type="http://schemas.openxmlformats.org/officeDocument/2006/relationships/hyperlink" Target="https://pbs.twimg.com/profile_images/1622881609/image_normal.jpg" TargetMode="External"/><Relationship Id="rId2109" Type="http://schemas.openxmlformats.org/officeDocument/2006/relationships/hyperlink" Target="https://pbs.twimg.com/profile_images/569800899141177344/nVFLMSdb_normal.png" TargetMode="External"/><Relationship Id="rId5679" Type="http://schemas.openxmlformats.org/officeDocument/2006/relationships/hyperlink" Target="https://pbs.twimg.com/profile_images/703294545195307008/qeCvrX86_normal.jpg" TargetMode="External"/><Relationship Id="rId9550" Type="http://schemas.openxmlformats.org/officeDocument/2006/relationships/hyperlink" Target="https://pbs.twimg.com/profile_images/653516886228008960/tqf_uZMf_normal.jpg" TargetMode="External"/><Relationship Id="rId18093" Type="http://schemas.openxmlformats.org/officeDocument/2006/relationships/hyperlink" Target="https://twitter.com/Exvtra_uk" TargetMode="External"/><Relationship Id="rId19144" Type="http://schemas.openxmlformats.org/officeDocument/2006/relationships/hyperlink" Target="https://pbs.twimg.com/profile_images/539548703082967040/_s9lInnH_normal.jpeg" TargetMode="External"/><Relationship Id="rId22489" Type="http://schemas.openxmlformats.org/officeDocument/2006/relationships/hyperlink" Target="https://twitter.com/andreascseh/status/724225715181252608" TargetMode="External"/><Relationship Id="rId24938" Type="http://schemas.openxmlformats.org/officeDocument/2006/relationships/hyperlink" Target="https://pbs.twimg.com/profile_images/627949001179037696/skEBkS05_normal.jpg" TargetMode="External"/><Relationship Id="rId8152" Type="http://schemas.openxmlformats.org/officeDocument/2006/relationships/hyperlink" Target="https://twitter.com/VolkswagenPost" TargetMode="External"/><Relationship Id="rId9203" Type="http://schemas.openxmlformats.org/officeDocument/2006/relationships/hyperlink" Target="https://pbs.twimg.com/profile_images/673219952988413952/RwM7EX2v_normal.png" TargetMode="External"/><Relationship Id="rId10082" Type="http://schemas.openxmlformats.org/officeDocument/2006/relationships/hyperlink" Target="https://twitter.com/AFECTADOGRUPOVW/status/723461146133585920" TargetMode="External"/><Relationship Id="rId11480" Type="http://schemas.openxmlformats.org/officeDocument/2006/relationships/hyperlink" Target="https://twitter.com/TumerLider/status/723502799158431749" TargetMode="External"/><Relationship Id="rId12531" Type="http://schemas.openxmlformats.org/officeDocument/2006/relationships/hyperlink" Target="https://pbs.twimg.com/profile_images/702919440787230720/9VN-nh33_normal.jpg" TargetMode="External"/><Relationship Id="rId11133" Type="http://schemas.openxmlformats.org/officeDocument/2006/relationships/hyperlink" Target="https://twitter.com/beetlebug1938/status/723497944008278017" TargetMode="External"/><Relationship Id="rId15754" Type="http://schemas.openxmlformats.org/officeDocument/2006/relationships/hyperlink" Target="https://twitter.com/VeeDubMk1_" TargetMode="External"/><Relationship Id="rId16805" Type="http://schemas.openxmlformats.org/officeDocument/2006/relationships/hyperlink" Target="https://pbs.twimg.com/profile_images/439706141728051201/GQgdrA5p_normal.jpeg" TargetMode="External"/><Relationship Id="rId22970" Type="http://schemas.openxmlformats.org/officeDocument/2006/relationships/hyperlink" Target="http://dlvr.it/" TargetMode="External"/><Relationship Id="rId4762" Type="http://schemas.openxmlformats.org/officeDocument/2006/relationships/hyperlink" Target="https://twitter.com/sine_injuria" TargetMode="External"/><Relationship Id="rId5813" Type="http://schemas.openxmlformats.org/officeDocument/2006/relationships/hyperlink" Target="https://pbs.twimg.com/profile_images/710240802551635969/4XYQFs8c_normal.jpg" TargetMode="External"/><Relationship Id="rId14356" Type="http://schemas.openxmlformats.org/officeDocument/2006/relationships/hyperlink" Target="https://pbs.twimg.com/profile_images/718820712757215233/LXXndPTS_normal.jpg" TargetMode="External"/><Relationship Id="rId15407" Type="http://schemas.openxmlformats.org/officeDocument/2006/relationships/hyperlink" Target="https://twitter.com/Konradinform/status/723606776508223490" TargetMode="External"/><Relationship Id="rId18977" Type="http://schemas.openxmlformats.org/officeDocument/2006/relationships/hyperlink" Target="http://t.co/G31WgkBIDj" TargetMode="External"/><Relationship Id="rId21572" Type="http://schemas.openxmlformats.org/officeDocument/2006/relationships/hyperlink" Target="https://twitter.com/TatiiVenegaa/status/724161437875208192" TargetMode="External"/><Relationship Id="rId22623" Type="http://schemas.openxmlformats.org/officeDocument/2006/relationships/hyperlink" Target="https://twitter.com/EHcars" TargetMode="External"/><Relationship Id="rId285" Type="http://schemas.openxmlformats.org/officeDocument/2006/relationships/hyperlink" Target="https://pbs.twimg.com/profile_images/677530351833608192/lMRcVg2M_normal.png" TargetMode="External"/><Relationship Id="rId3364" Type="http://schemas.openxmlformats.org/officeDocument/2006/relationships/hyperlink" Target="https://pbs.twimg.com/profile_images/562056883729473536/M4lVp6Fb_normal.jpeg" TargetMode="External"/><Relationship Id="rId4415" Type="http://schemas.openxmlformats.org/officeDocument/2006/relationships/hyperlink" Target="https://twitter.com/Lake13Simon" TargetMode="External"/><Relationship Id="rId7985" Type="http://schemas.openxmlformats.org/officeDocument/2006/relationships/hyperlink" Target="https://twitter.com/AdgmanA/status/723347570223919104" TargetMode="External"/><Relationship Id="rId14009" Type="http://schemas.openxmlformats.org/officeDocument/2006/relationships/hyperlink" Target="https://twitter.com/dwnews" TargetMode="External"/><Relationship Id="rId17579" Type="http://schemas.openxmlformats.org/officeDocument/2006/relationships/hyperlink" Target="https://twitter.com/vagmenhq/status/723808265726005248" TargetMode="External"/><Relationship Id="rId20174" Type="http://schemas.openxmlformats.org/officeDocument/2006/relationships/hyperlink" Target="https://twitter.com/ALBADERTSCHER/status/723979065598840833" TargetMode="External"/><Relationship Id="rId21225" Type="http://schemas.openxmlformats.org/officeDocument/2006/relationships/hyperlink" Target="https://pbs.twimg.com/profile_images/723593582448246784/jGSJCamQ_normal.jpg" TargetMode="External"/><Relationship Id="rId24795" Type="http://schemas.openxmlformats.org/officeDocument/2006/relationships/hyperlink" Target="https://pbs.twimg.com/profile_images/703294545195307008/qeCvrX86_normal.jpg" TargetMode="External"/><Relationship Id="rId3017" Type="http://schemas.openxmlformats.org/officeDocument/2006/relationships/hyperlink" Target="https://pbs.twimg.com/profile_images/530071272881803264/a_jcCmPZ_normal.png" TargetMode="External"/><Relationship Id="rId6587" Type="http://schemas.openxmlformats.org/officeDocument/2006/relationships/hyperlink" Target="https://twitter.com/VWCamperSales" TargetMode="External"/><Relationship Id="rId7638" Type="http://schemas.openxmlformats.org/officeDocument/2006/relationships/hyperlink" Target="https://twitter.com/arancibia_rob" TargetMode="External"/><Relationship Id="rId10619" Type="http://schemas.openxmlformats.org/officeDocument/2006/relationships/hyperlink" Target="https://pbs.twimg.com/profile_images/378800000005686243/d22cadfc7d41252b5c97a7350c90153d_normal.jpeg" TargetMode="External"/><Relationship Id="rId10966" Type="http://schemas.openxmlformats.org/officeDocument/2006/relationships/hyperlink" Target="https://twitter.com/ojt_1/status/723491805191397377" TargetMode="External"/><Relationship Id="rId23397" Type="http://schemas.openxmlformats.org/officeDocument/2006/relationships/hyperlink" Target="https://twitter.com/LulubelleLimoVW" TargetMode="External"/><Relationship Id="rId24448" Type="http://schemas.openxmlformats.org/officeDocument/2006/relationships/hyperlink" Target="https://twitter.com/Vintage_Cars/status/724359499524505602" TargetMode="External"/><Relationship Id="rId5189" Type="http://schemas.openxmlformats.org/officeDocument/2006/relationships/hyperlink" Target="https://pbs.twimg.com/profile_images/611551355707240448/Nv7_c41P_normal.jpg" TargetMode="External"/><Relationship Id="rId9060" Type="http://schemas.openxmlformats.org/officeDocument/2006/relationships/hyperlink" Target="https://pbs.twimg.com/profile_images/527052537992470529/T_xUcDO1_normal.jpeg" TargetMode="External"/><Relationship Id="rId12041" Type="http://schemas.openxmlformats.org/officeDocument/2006/relationships/hyperlink" Target="https://twitter.com/FAZ_Eil/status/723512528563769344" TargetMode="External"/><Relationship Id="rId1799" Type="http://schemas.openxmlformats.org/officeDocument/2006/relationships/hyperlink" Target="https://twitter.com/techhippie/status/723057756689805312" TargetMode="External"/><Relationship Id="rId2100" Type="http://schemas.openxmlformats.org/officeDocument/2006/relationships/hyperlink" Target="https://pbs.twimg.com/profile_images/644256129166540800/UJ6W_YLI_normal.jpg" TargetMode="External"/><Relationship Id="rId5670" Type="http://schemas.openxmlformats.org/officeDocument/2006/relationships/hyperlink" Target="https://twitter.com/CarterVW/status/723212209837379585" TargetMode="External"/><Relationship Id="rId16662" Type="http://schemas.openxmlformats.org/officeDocument/2006/relationships/hyperlink" Target="https://twitter.com/beetlebug1938/status/723710491504336896" TargetMode="External"/><Relationship Id="rId17713" Type="http://schemas.openxmlformats.org/officeDocument/2006/relationships/hyperlink" Target="https://twitter.com/Scirocco_Tuning/status/723818864023375872" TargetMode="External"/><Relationship Id="rId4272" Type="http://schemas.openxmlformats.org/officeDocument/2006/relationships/hyperlink" Target="https://twitter.com/FuscaWorld/status/723178648770105344" TargetMode="External"/><Relationship Id="rId5323" Type="http://schemas.openxmlformats.org/officeDocument/2006/relationships/hyperlink" Target="https://twitter.com/SocialMAXorg/status/723199902927351808" TargetMode="External"/><Relationship Id="rId6721" Type="http://schemas.openxmlformats.org/officeDocument/2006/relationships/hyperlink" Target="https://twitter.com/adatherton/status/723254943940009984" TargetMode="External"/><Relationship Id="rId15264" Type="http://schemas.openxmlformats.org/officeDocument/2006/relationships/hyperlink" Target="https://pbs.twimg.com/profile_images/709395606993768449/jPD2x7BG_normal.jpg" TargetMode="External"/><Relationship Id="rId16315" Type="http://schemas.openxmlformats.org/officeDocument/2006/relationships/hyperlink" Target="https://twitter.com/oldcar_photo" TargetMode="External"/><Relationship Id="rId19885" Type="http://schemas.openxmlformats.org/officeDocument/2006/relationships/hyperlink" Target="https://twitter.com/choyo_aguero" TargetMode="External"/><Relationship Id="rId21082" Type="http://schemas.openxmlformats.org/officeDocument/2006/relationships/hyperlink" Target="https://twitter.com/VWBeetleSales" TargetMode="External"/><Relationship Id="rId22480" Type="http://schemas.openxmlformats.org/officeDocument/2006/relationships/hyperlink" Target="https://twitter.com/kan2121/status/724224975008190464" TargetMode="External"/><Relationship Id="rId23531" Type="http://schemas.openxmlformats.org/officeDocument/2006/relationships/hyperlink" Target="https://twitter.com/Scirocco_Tuning" TargetMode="External"/><Relationship Id="rId8893" Type="http://schemas.openxmlformats.org/officeDocument/2006/relationships/hyperlink" Target="https://pbs.twimg.com/profile_images/3728536184/f8618f162b51e72519303cccedbec92b_normal.jpeg" TargetMode="External"/><Relationship Id="rId9944" Type="http://schemas.openxmlformats.org/officeDocument/2006/relationships/hyperlink" Target="https://pbs.twimg.com/profile_images/706784695795769345/XGXgdjww_normal.jpg" TargetMode="External"/><Relationship Id="rId11874" Type="http://schemas.openxmlformats.org/officeDocument/2006/relationships/hyperlink" Target="https://twitter.com/Beukennon/status/723509310391767043" TargetMode="External"/><Relationship Id="rId12925" Type="http://schemas.openxmlformats.org/officeDocument/2006/relationships/hyperlink" Target="https://twitter.com/whosaidwhat_bot/status/723531824434188289" TargetMode="External"/><Relationship Id="rId18487" Type="http://schemas.openxmlformats.org/officeDocument/2006/relationships/hyperlink" Target="https://twitter.com/alfabiszetta/status/723872658585165824" TargetMode="External"/><Relationship Id="rId19538" Type="http://schemas.openxmlformats.org/officeDocument/2006/relationships/hyperlink" Target="https://twitter.com/VWsightings" TargetMode="External"/><Relationship Id="rId22133" Type="http://schemas.openxmlformats.org/officeDocument/2006/relationships/hyperlink" Target="https://twitter.com/BenjaminBeutler" TargetMode="External"/><Relationship Id="rId1933" Type="http://schemas.openxmlformats.org/officeDocument/2006/relationships/hyperlink" Target="https://pbs.twimg.com/profile_images/587513473216729088/GvZsEJNL_normal.jpg" TargetMode="External"/><Relationship Id="rId6097" Type="http://schemas.openxmlformats.org/officeDocument/2006/relationships/hyperlink" Target="https://twitter.com/porkpiefrank/status/723229785825091584" TargetMode="External"/><Relationship Id="rId7495" Type="http://schemas.openxmlformats.org/officeDocument/2006/relationships/hyperlink" Target="https://twitter.com/following_jobs/status/723306690964119553" TargetMode="External"/><Relationship Id="rId8546" Type="http://schemas.openxmlformats.org/officeDocument/2006/relationships/hyperlink" Target="https://twitter.com/doestrei/status/723393755638681601" TargetMode="External"/><Relationship Id="rId10476" Type="http://schemas.openxmlformats.org/officeDocument/2006/relationships/hyperlink" Target="https://twitter.com/lnlMartinl/status/723474287009665024" TargetMode="External"/><Relationship Id="rId11527" Type="http://schemas.openxmlformats.org/officeDocument/2006/relationships/hyperlink" Target="https://twitter.com/Kvwbabel" TargetMode="External"/><Relationship Id="rId17089" Type="http://schemas.openxmlformats.org/officeDocument/2006/relationships/hyperlink" Target="https://twitter.com/GvrcnOsman" TargetMode="External"/><Relationship Id="rId25356" Type="http://schemas.openxmlformats.org/officeDocument/2006/relationships/hyperlink" Target="https://twitter.com/VeeDubMk1_" TargetMode="External"/><Relationship Id="rId7148" Type="http://schemas.openxmlformats.org/officeDocument/2006/relationships/hyperlink" Target="https://twitter.com/m_yury/status/723281474070433795" TargetMode="External"/><Relationship Id="rId10129" Type="http://schemas.openxmlformats.org/officeDocument/2006/relationships/hyperlink" Target="http://swat.io/" TargetMode="External"/><Relationship Id="rId13699" Type="http://schemas.openxmlformats.org/officeDocument/2006/relationships/hyperlink" Target="https://twitter.com/kirillklip" TargetMode="External"/><Relationship Id="rId14000" Type="http://schemas.openxmlformats.org/officeDocument/2006/relationships/hyperlink" Target="https://twitter.com/AnikoMerten" TargetMode="External"/><Relationship Id="rId17570" Type="http://schemas.openxmlformats.org/officeDocument/2006/relationships/hyperlink" Target="https://pbs.twimg.com/profile_images/689448231919431680/41fa1Iis_normal.png" TargetMode="External"/><Relationship Id="rId18621" Type="http://schemas.openxmlformats.org/officeDocument/2006/relationships/hyperlink" Target="https://twitter.com/danny_macaskill/status/723885040191430658" TargetMode="External"/><Relationship Id="rId21966" Type="http://schemas.openxmlformats.org/officeDocument/2006/relationships/hyperlink" Target="https://twitter.com/kuka434/status/724191936559636484" TargetMode="External"/><Relationship Id="rId25009" Type="http://schemas.openxmlformats.org/officeDocument/2006/relationships/hyperlink" Target="https://twitter.com/SuranClub" TargetMode="External"/><Relationship Id="rId3758" Type="http://schemas.openxmlformats.org/officeDocument/2006/relationships/hyperlink" Target="https://twitter.com/emilyrusch" TargetMode="External"/><Relationship Id="rId4809" Type="http://schemas.openxmlformats.org/officeDocument/2006/relationships/hyperlink" Target="https://pbs.twimg.com/profile_images/530071272881803264/a_jcCmPZ_normal.png" TargetMode="External"/><Relationship Id="rId16172" Type="http://schemas.openxmlformats.org/officeDocument/2006/relationships/hyperlink" Target="https://pbs.twimg.com/profile_images/672878354127839232/M7OYc-zx_normal.jpg" TargetMode="External"/><Relationship Id="rId17223" Type="http://schemas.openxmlformats.org/officeDocument/2006/relationships/hyperlink" Target="https://twitter.com/darrenshirley/status/723781239698821121" TargetMode="External"/><Relationship Id="rId20568" Type="http://schemas.openxmlformats.org/officeDocument/2006/relationships/hyperlink" Target="https://twitter.com/JustKampers/status/724010698527920129" TargetMode="External"/><Relationship Id="rId21619" Type="http://schemas.openxmlformats.org/officeDocument/2006/relationships/hyperlink" Target="https://pbs.twimg.com/profile_images/718835727027580928/1ssyQ67y_normal.jpg" TargetMode="External"/><Relationship Id="rId679" Type="http://schemas.openxmlformats.org/officeDocument/2006/relationships/hyperlink" Target="https://twitter.com/jas0nrbakker/status/722968049326907392" TargetMode="External"/><Relationship Id="rId5180" Type="http://schemas.openxmlformats.org/officeDocument/2006/relationships/hyperlink" Target="https://pbs.twimg.com/profile_images/581493900763893760/mHgaLoR5_normal.jpg" TargetMode="External"/><Relationship Id="rId6231" Type="http://schemas.openxmlformats.org/officeDocument/2006/relationships/hyperlink" Target="https://twitter.com/VWShawty" TargetMode="External"/><Relationship Id="rId10610" Type="http://schemas.openxmlformats.org/officeDocument/2006/relationships/hyperlink" Target="https://pbs.twimg.com/profile_images/474178130312044544/-U2TP65D_normal.png" TargetMode="External"/><Relationship Id="rId23041" Type="http://schemas.openxmlformats.org/officeDocument/2006/relationships/hyperlink" Target="https://twitter.com/Fernspieler/status/724266473531805697" TargetMode="External"/><Relationship Id="rId9454" Type="http://schemas.openxmlformats.org/officeDocument/2006/relationships/hyperlink" Target="https://twitter.com/5StarChickMeem" TargetMode="External"/><Relationship Id="rId12782" Type="http://schemas.openxmlformats.org/officeDocument/2006/relationships/hyperlink" Target="http://ctrlq.org/maps/address/" TargetMode="External"/><Relationship Id="rId13833" Type="http://schemas.openxmlformats.org/officeDocument/2006/relationships/hyperlink" Target="https://twitter.com/kngeuro" TargetMode="External"/><Relationship Id="rId19048" Type="http://schemas.openxmlformats.org/officeDocument/2006/relationships/hyperlink" Target="https://pbs.twimg.com/profile_images/653912667745333248/8Bvff339_normal.jpg" TargetMode="External"/><Relationship Id="rId19395" Type="http://schemas.openxmlformats.org/officeDocument/2006/relationships/hyperlink" Target="https://twitter.com/FuscaWorld" TargetMode="External"/><Relationship Id="rId1790" Type="http://schemas.openxmlformats.org/officeDocument/2006/relationships/hyperlink" Target="https://twitter.com/NDRreporter/status/723056965568450560" TargetMode="External"/><Relationship Id="rId2841" Type="http://schemas.openxmlformats.org/officeDocument/2006/relationships/hyperlink" Target="https://twitter.com/pochotcom" TargetMode="External"/><Relationship Id="rId8056" Type="http://schemas.openxmlformats.org/officeDocument/2006/relationships/hyperlink" Target="https://pbs.twimg.com/profile_images/3747860790/99e931940b0cf7de296cc59871742be6_normal.jpeg" TargetMode="External"/><Relationship Id="rId9107" Type="http://schemas.openxmlformats.org/officeDocument/2006/relationships/hyperlink" Target="http://e15.cz/" TargetMode="External"/><Relationship Id="rId11384" Type="http://schemas.openxmlformats.org/officeDocument/2006/relationships/hyperlink" Target="https://twitter.com/f_zenklusen/status/723501752377593856" TargetMode="External"/><Relationship Id="rId12435" Type="http://schemas.openxmlformats.org/officeDocument/2006/relationships/hyperlink" Target="https://pbs.twimg.com/profile_images/3023094301/7299b75257d79082c0ff884278e113cd_normal.png" TargetMode="External"/><Relationship Id="rId20702" Type="http://schemas.openxmlformats.org/officeDocument/2006/relationships/hyperlink" Target="https://twitter.com/sugru" TargetMode="External"/><Relationship Id="rId813" Type="http://schemas.openxmlformats.org/officeDocument/2006/relationships/hyperlink" Target="https://twitter.com/darrenmorin" TargetMode="External"/><Relationship Id="rId1443" Type="http://schemas.openxmlformats.org/officeDocument/2006/relationships/hyperlink" Target="https://twitter.com/damienmcguin/status/723041063062007808" TargetMode="External"/><Relationship Id="rId11037" Type="http://schemas.openxmlformats.org/officeDocument/2006/relationships/hyperlink" Target="https://pbs.twimg.com/profile_images/510566795435311104/qsgDiZKO_normal.jpeg" TargetMode="External"/><Relationship Id="rId15658" Type="http://schemas.openxmlformats.org/officeDocument/2006/relationships/hyperlink" Target="https://pbs.twimg.com/profile_images/718820712757215233/LXXndPTS_normal.jpg" TargetMode="External"/><Relationship Id="rId16709" Type="http://schemas.openxmlformats.org/officeDocument/2006/relationships/hyperlink" Target="https://pbs.twimg.com/profile_images/3725967723/1cb19fcb397118623a9866ecb7fd9b52_normal.jpeg" TargetMode="External"/><Relationship Id="rId22874" Type="http://schemas.openxmlformats.org/officeDocument/2006/relationships/hyperlink" Target="https://twitter.com/TheCarCentre" TargetMode="External"/><Relationship Id="rId23925" Type="http://schemas.openxmlformats.org/officeDocument/2006/relationships/hyperlink" Target="https://twitter.com/beetlebug1938/status/724321409875480578" TargetMode="External"/><Relationship Id="rId4666" Type="http://schemas.openxmlformats.org/officeDocument/2006/relationships/hyperlink" Target="https://pbs.twimg.com/profile_images/482151151433834496/OemTzI3a_normal.jpeg" TargetMode="External"/><Relationship Id="rId5717" Type="http://schemas.openxmlformats.org/officeDocument/2006/relationships/hyperlink" Target="https://twitter.com/VolkswagenPost" TargetMode="External"/><Relationship Id="rId17080" Type="http://schemas.openxmlformats.org/officeDocument/2006/relationships/hyperlink" Target="https://twitter.com/theDrivenUKshow" TargetMode="External"/><Relationship Id="rId18131" Type="http://schemas.openxmlformats.org/officeDocument/2006/relationships/hyperlink" Target="https://pbs.twimg.com/profile_images/705780107844067328/e7O4UBNb_normal.jpg" TargetMode="External"/><Relationship Id="rId21476" Type="http://schemas.openxmlformats.org/officeDocument/2006/relationships/hyperlink" Target="https://twitter.com/ebaycampervans" TargetMode="External"/><Relationship Id="rId22527" Type="http://schemas.openxmlformats.org/officeDocument/2006/relationships/hyperlink" Target="https://pbs.twimg.com/profile_images/703294545195307008/qeCvrX86_normal.jpg" TargetMode="External"/><Relationship Id="rId3268" Type="http://schemas.openxmlformats.org/officeDocument/2006/relationships/hyperlink" Target="https://pbs.twimg.com/profile_images/436341664961929216/qLfn4wH6_normal.jpeg" TargetMode="External"/><Relationship Id="rId4319" Type="http://schemas.openxmlformats.org/officeDocument/2006/relationships/hyperlink" Target="http://instock.de/" TargetMode="External"/><Relationship Id="rId7889" Type="http://schemas.openxmlformats.org/officeDocument/2006/relationships/hyperlink" Target="https://twitter.com/jancerato" TargetMode="External"/><Relationship Id="rId10120" Type="http://schemas.openxmlformats.org/officeDocument/2006/relationships/hyperlink" Target="https://twitter.com/AFECTADOGRUPOVW" TargetMode="External"/><Relationship Id="rId20078" Type="http://schemas.openxmlformats.org/officeDocument/2006/relationships/hyperlink" Target="https://twitter.com/KziaSabino" TargetMode="External"/><Relationship Id="rId21129" Type="http://schemas.openxmlformats.org/officeDocument/2006/relationships/hyperlink" Target="https://twitter.com/pinoywilson/status/724105045428543488" TargetMode="External"/><Relationship Id="rId24699" Type="http://schemas.openxmlformats.org/officeDocument/2006/relationships/hyperlink" Target="https://twitter.com/SrtaSaiaburu/status/724384852259299328" TargetMode="External"/><Relationship Id="rId25000" Type="http://schemas.openxmlformats.org/officeDocument/2006/relationships/hyperlink" Target="https://twitter.com/SuranClub" TargetMode="External"/><Relationship Id="rId189" Type="http://schemas.openxmlformats.org/officeDocument/2006/relationships/hyperlink" Target="https://pbs.twimg.com/profile_images/717892743075340288/Xxt7RaLM_normal.jpg" TargetMode="External"/><Relationship Id="rId12292" Type="http://schemas.openxmlformats.org/officeDocument/2006/relationships/hyperlink" Target="https://twitter.com/Koelsch_blood" TargetMode="External"/><Relationship Id="rId13690" Type="http://schemas.openxmlformats.org/officeDocument/2006/relationships/hyperlink" Target="https://twitter.com/katharina2401" TargetMode="External"/><Relationship Id="rId14741" Type="http://schemas.openxmlformats.org/officeDocument/2006/relationships/hyperlink" Target="https://twitter.com/OseaesO/status/723581322673958913" TargetMode="External"/><Relationship Id="rId670" Type="http://schemas.openxmlformats.org/officeDocument/2006/relationships/hyperlink" Target="https://twitter.com/LarryStrlpperss/status/722968000664592384" TargetMode="External"/><Relationship Id="rId2351" Type="http://schemas.openxmlformats.org/officeDocument/2006/relationships/hyperlink" Target="https://pbs.twimg.com/profile_images/1833245422/twitter_yo_normal.jpg" TargetMode="External"/><Relationship Id="rId3402" Type="http://schemas.openxmlformats.org/officeDocument/2006/relationships/hyperlink" Target="https://twitter.com/321usw/status/723156496360583168" TargetMode="External"/><Relationship Id="rId4800" Type="http://schemas.openxmlformats.org/officeDocument/2006/relationships/hyperlink" Target="https://pbs.twimg.com/profile_images/689020315003916288/Q3gO6sdj_normal.png" TargetMode="External"/><Relationship Id="rId13343" Type="http://schemas.openxmlformats.org/officeDocument/2006/relationships/hyperlink" Target="https://twitter.com/kking67" TargetMode="External"/><Relationship Id="rId17964" Type="http://schemas.openxmlformats.org/officeDocument/2006/relationships/hyperlink" Target="https://twitter.com/NetzwerkggS21/status/723838228126679040" TargetMode="External"/><Relationship Id="rId21610" Type="http://schemas.openxmlformats.org/officeDocument/2006/relationships/hyperlink" Target="https://pbs.twimg.com/profile_images/703294545195307008/qeCvrX86_normal.jpg" TargetMode="External"/><Relationship Id="rId323" Type="http://schemas.openxmlformats.org/officeDocument/2006/relationships/hyperlink" Target="https://twitter.com/VolkswagenPost/status/722945781628440578" TargetMode="External"/><Relationship Id="rId2004" Type="http://schemas.openxmlformats.org/officeDocument/2006/relationships/hyperlink" Target="https://twitter.com/ebaycampervans" TargetMode="External"/><Relationship Id="rId6972" Type="http://schemas.openxmlformats.org/officeDocument/2006/relationships/hyperlink" Target="https://twitter.com/eliy_enano" TargetMode="External"/><Relationship Id="rId16566" Type="http://schemas.openxmlformats.org/officeDocument/2006/relationships/hyperlink" Target="https://pbs.twimg.com/profile_images/718820712757215233/LXXndPTS_normal.jpg" TargetMode="External"/><Relationship Id="rId17617" Type="http://schemas.openxmlformats.org/officeDocument/2006/relationships/hyperlink" Target="https://twitter.com/pixeljunkie" TargetMode="External"/><Relationship Id="rId20212" Type="http://schemas.openxmlformats.org/officeDocument/2006/relationships/hyperlink" Target="https://twitter.com/tatymontespr" TargetMode="External"/><Relationship Id="rId23782" Type="http://schemas.openxmlformats.org/officeDocument/2006/relationships/hyperlink" Target="https://pbs.twimg.com/profile_images/672878354127839232/M7OYc-zx_normal.jpg" TargetMode="External"/><Relationship Id="rId24833" Type="http://schemas.openxmlformats.org/officeDocument/2006/relationships/hyperlink" Target="https://twitter.com/dan_stange/status/724390729733300224" TargetMode="External"/><Relationship Id="rId4176" Type="http://schemas.openxmlformats.org/officeDocument/2006/relationships/hyperlink" Target="https://twitter.com/MDRINFO/status/723177633190690816" TargetMode="External"/><Relationship Id="rId5574" Type="http://schemas.openxmlformats.org/officeDocument/2006/relationships/hyperlink" Target="https://pbs.twimg.com/profile_images/543163066599219200/dUy-AYOX_normal.jpeg" TargetMode="External"/><Relationship Id="rId6625" Type="http://schemas.openxmlformats.org/officeDocument/2006/relationships/hyperlink" Target="https://pbs.twimg.com/profile_images/627949001179037696/skEBkS05_normal.jpg" TargetMode="External"/><Relationship Id="rId15168" Type="http://schemas.openxmlformats.org/officeDocument/2006/relationships/hyperlink" Target="https://pbs.twimg.com/profile_images/530071272881803264/a_jcCmPZ_normal.png" TargetMode="External"/><Relationship Id="rId16219" Type="http://schemas.openxmlformats.org/officeDocument/2006/relationships/hyperlink" Target="https://twitter.com/VWBeetleSales/status/723658917381730305" TargetMode="External"/><Relationship Id="rId19789" Type="http://schemas.openxmlformats.org/officeDocument/2006/relationships/hyperlink" Target="https://twitter.com/nectechkey" TargetMode="External"/><Relationship Id="rId22384" Type="http://schemas.openxmlformats.org/officeDocument/2006/relationships/hyperlink" Target="https://twitter.com/VWBeetleSales/status/724221134200180737" TargetMode="External"/><Relationship Id="rId23435" Type="http://schemas.openxmlformats.org/officeDocument/2006/relationships/hyperlink" Target="https://twitter.com/Campervan_Andy" TargetMode="External"/><Relationship Id="rId5227" Type="http://schemas.openxmlformats.org/officeDocument/2006/relationships/hyperlink" Target="https://pbs.twimg.com/profile_images/652871584131092480/QA_B6SBO_normal.jpg" TargetMode="External"/><Relationship Id="rId8797" Type="http://schemas.openxmlformats.org/officeDocument/2006/relationships/hyperlink" Target="https://pbs.twimg.com/profile_images/577231841125515264/jZ2QV5wr_normal.jpeg" TargetMode="External"/><Relationship Id="rId9848" Type="http://schemas.openxmlformats.org/officeDocument/2006/relationships/hyperlink" Target="https://pbs.twimg.com/profile_images/3282181310/09912193e3b2ecc229b9028eb0f19def_normal.jpeg" TargetMode="External"/><Relationship Id="rId11778" Type="http://schemas.openxmlformats.org/officeDocument/2006/relationships/hyperlink" Target="https://twitter.com/ibikus31/status/723507383675289600" TargetMode="External"/><Relationship Id="rId12829" Type="http://schemas.openxmlformats.org/officeDocument/2006/relationships/hyperlink" Target="https://twitter.com/chasNchargeAUS" TargetMode="External"/><Relationship Id="rId22037" Type="http://schemas.openxmlformats.org/officeDocument/2006/relationships/hyperlink" Target="https://twitter.com/GreenGreenwich/status/724196599795167233" TargetMode="External"/><Relationship Id="rId1837" Type="http://schemas.openxmlformats.org/officeDocument/2006/relationships/hyperlink" Target="https://twitter.com/VWBeetleSales" TargetMode="External"/><Relationship Id="rId7399" Type="http://schemas.openxmlformats.org/officeDocument/2006/relationships/hyperlink" Target="https://pbs.twimg.com/profile_images/3375442722/bae39da62af2095c6c5af63fbc56d27c_normal.jpeg" TargetMode="External"/><Relationship Id="rId14251" Type="http://schemas.openxmlformats.org/officeDocument/2006/relationships/hyperlink" Target="https://twitter.com/JuanMolin4" TargetMode="External"/><Relationship Id="rId15302" Type="http://schemas.openxmlformats.org/officeDocument/2006/relationships/hyperlink" Target="https://twitter.com/Solitairystorm/status/723603075504607232" TargetMode="External"/><Relationship Id="rId16700" Type="http://schemas.openxmlformats.org/officeDocument/2006/relationships/hyperlink" Target="https://twitter.com/VWBeetleSales" TargetMode="External"/><Relationship Id="rId4310" Type="http://schemas.openxmlformats.org/officeDocument/2006/relationships/hyperlink" Target="http://dlvr.it/" TargetMode="External"/><Relationship Id="rId7880" Type="http://schemas.openxmlformats.org/officeDocument/2006/relationships/hyperlink" Target="https://twitter.com/LucasCote86/status/723337068307468288" TargetMode="External"/><Relationship Id="rId18872" Type="http://schemas.openxmlformats.org/officeDocument/2006/relationships/hyperlink" Target="https://twitter.com/_Logistra_/status/723902769854328833" TargetMode="External"/><Relationship Id="rId19923" Type="http://schemas.openxmlformats.org/officeDocument/2006/relationships/hyperlink" Target="https://pbs.twimg.com/profile_images/706945389505744896/JCIK9T_N_normal.jpg" TargetMode="External"/><Relationship Id="rId21120" Type="http://schemas.openxmlformats.org/officeDocument/2006/relationships/hyperlink" Target="https://twitter.com/TetsuoHojo/status/724104312914202625" TargetMode="External"/><Relationship Id="rId180" Type="http://schemas.openxmlformats.org/officeDocument/2006/relationships/hyperlink" Target="https://twitter.com/VWCamperSales" TargetMode="External"/><Relationship Id="rId6482" Type="http://schemas.openxmlformats.org/officeDocument/2006/relationships/hyperlink" Target="https://pbs.twimg.com/profile_images/477438671151304705/8XlAQ509_normal.jpeg" TargetMode="External"/><Relationship Id="rId7533" Type="http://schemas.openxmlformats.org/officeDocument/2006/relationships/hyperlink" Target="https://twitter.com/RepoRide" TargetMode="External"/><Relationship Id="rId8931" Type="http://schemas.openxmlformats.org/officeDocument/2006/relationships/hyperlink" Target="https://twitter.com/oekomobil/status/723412060516687872" TargetMode="External"/><Relationship Id="rId10861" Type="http://schemas.openxmlformats.org/officeDocument/2006/relationships/hyperlink" Target="https://twitter.com/edubtrips/status/723488295515246593" TargetMode="External"/><Relationship Id="rId11912" Type="http://schemas.openxmlformats.org/officeDocument/2006/relationships/hyperlink" Target="https://twitter.com/zeitonline" TargetMode="External"/><Relationship Id="rId16076" Type="http://schemas.openxmlformats.org/officeDocument/2006/relationships/hyperlink" Target="https://twitter.com/BizAurora" TargetMode="External"/><Relationship Id="rId17127" Type="http://schemas.openxmlformats.org/officeDocument/2006/relationships/hyperlink" Target="https://twitter.com/BioFares/status/723771576735424512" TargetMode="External"/><Relationship Id="rId17474" Type="http://schemas.openxmlformats.org/officeDocument/2006/relationships/hyperlink" Target="https://twitter.com/AlHaddadComm/status/723800937651920896" TargetMode="External"/><Relationship Id="rId18525" Type="http://schemas.openxmlformats.org/officeDocument/2006/relationships/hyperlink" Target="http://dlvr.it/" TargetMode="External"/><Relationship Id="rId23292" Type="http://schemas.openxmlformats.org/officeDocument/2006/relationships/hyperlink" Target="https://pbs.twimg.com/profile_images/722863508832985088/NKyewnNu_normal.jpg" TargetMode="External"/><Relationship Id="rId24343" Type="http://schemas.openxmlformats.org/officeDocument/2006/relationships/hyperlink" Target="https://pbs.twimg.com/profile_images/531363470009057281/FJGMIqtq_normal.jpeg" TargetMode="External"/><Relationship Id="rId24690" Type="http://schemas.openxmlformats.org/officeDocument/2006/relationships/hyperlink" Target="https://pbs.twimg.com/profile_images/594593983973720064/WZGmwh2y_normal.jpg" TargetMode="External"/><Relationship Id="rId25741" Type="http://schemas.openxmlformats.org/officeDocument/2006/relationships/hyperlink" Target="https://twitter.com/GO_ShengExhaust/status/724469646112387073" TargetMode="External"/><Relationship Id="rId5084" Type="http://schemas.openxmlformats.org/officeDocument/2006/relationships/hyperlink" Target="https://pbs.twimg.com/profile_images/711008838921687040/3msFrTd__normal.jpg" TargetMode="External"/><Relationship Id="rId6135" Type="http://schemas.openxmlformats.org/officeDocument/2006/relationships/hyperlink" Target="https://pbs.twimg.com/profile_images/693420509824970752/fWzJMBxJ_normal.jpg" TargetMode="External"/><Relationship Id="rId10514" Type="http://schemas.openxmlformats.org/officeDocument/2006/relationships/hyperlink" Target="https://twitter.com/TristanVeith/status/723475193486659584" TargetMode="External"/><Relationship Id="rId12686" Type="http://schemas.openxmlformats.org/officeDocument/2006/relationships/hyperlink" Target="https://twitter.com/JenniPii" TargetMode="External"/><Relationship Id="rId13737" Type="http://schemas.openxmlformats.org/officeDocument/2006/relationships/hyperlink" Target="https://pbs.twimg.com/profile_images/603925200019845120/Li9wf9hL_normal.jpg" TargetMode="External"/><Relationship Id="rId19299" Type="http://schemas.openxmlformats.org/officeDocument/2006/relationships/hyperlink" Target="https://pbs.twimg.com/profile_images/615493650785660928/XHUh6HOk_normal.jpg" TargetMode="External"/><Relationship Id="rId20953" Type="http://schemas.openxmlformats.org/officeDocument/2006/relationships/hyperlink" Target="https://pbs.twimg.com/profile_images/713551988022181888/VnV9z_vA_normal.jpg" TargetMode="External"/><Relationship Id="rId1694" Type="http://schemas.openxmlformats.org/officeDocument/2006/relationships/hyperlink" Target="https://twitter.com/boerseARD" TargetMode="External"/><Relationship Id="rId2745" Type="http://schemas.openxmlformats.org/officeDocument/2006/relationships/hyperlink" Target="https://twitter.com/VWCamperSales" TargetMode="External"/><Relationship Id="rId9358" Type="http://schemas.openxmlformats.org/officeDocument/2006/relationships/hyperlink" Target="https://twitter.com/VWBeetleSales/status/723431675259023360" TargetMode="External"/><Relationship Id="rId11288" Type="http://schemas.openxmlformats.org/officeDocument/2006/relationships/hyperlink" Target="https://twitter.com/Banane0711" TargetMode="External"/><Relationship Id="rId12339" Type="http://schemas.openxmlformats.org/officeDocument/2006/relationships/hyperlink" Target="https://twitter.com/INCDOTPRINT/status/723517672466604032" TargetMode="External"/><Relationship Id="rId16210" Type="http://schemas.openxmlformats.org/officeDocument/2006/relationships/hyperlink" Target="https://twitter.com/Matt_Barbera2/status/723657556057534464" TargetMode="External"/><Relationship Id="rId19780" Type="http://schemas.openxmlformats.org/officeDocument/2006/relationships/hyperlink" Target="https://twitter.com/Insta_VWT" TargetMode="External"/><Relationship Id="rId20606" Type="http://schemas.openxmlformats.org/officeDocument/2006/relationships/hyperlink" Target="https://twitter.com/VolkswagenPost/status/724013042275520512" TargetMode="External"/><Relationship Id="rId717" Type="http://schemas.openxmlformats.org/officeDocument/2006/relationships/hyperlink" Target="https://pbs.twimg.com/profile_images/663770205378736128/N0Ut9uE0_normal.jpg" TargetMode="External"/><Relationship Id="rId1347" Type="http://schemas.openxmlformats.org/officeDocument/2006/relationships/hyperlink" Target="https://pbs.twimg.com/profile_images/511276789013159936/8V47OVvR_normal.jpeg" TargetMode="External"/><Relationship Id="rId5968" Type="http://schemas.openxmlformats.org/officeDocument/2006/relationships/hyperlink" Target="https://pbs.twimg.com/profile_images/695370758055301120/JW5kr--6_normal.jpg" TargetMode="External"/><Relationship Id="rId18382" Type="http://schemas.openxmlformats.org/officeDocument/2006/relationships/hyperlink" Target="https://pbs.twimg.com/profile_images/424893967197433858/iQ86NktX_normal.jpeg" TargetMode="External"/><Relationship Id="rId19433" Type="http://schemas.openxmlformats.org/officeDocument/2006/relationships/hyperlink" Target="https://twitter.com/Htee28/status/723932217232228353" TargetMode="External"/><Relationship Id="rId22778" Type="http://schemas.openxmlformats.org/officeDocument/2006/relationships/hyperlink" Target="https://pbs.twimg.com/profile_images/703294545195307008/qeCvrX86_normal.jpg" TargetMode="External"/><Relationship Id="rId23829" Type="http://schemas.openxmlformats.org/officeDocument/2006/relationships/hyperlink" Target="https://twitter.com/Insta_VWT" TargetMode="External"/><Relationship Id="rId53" Type="http://schemas.openxmlformats.org/officeDocument/2006/relationships/hyperlink" Target="https://twitter.com/louiscroberts/status/722921285802659840" TargetMode="External"/><Relationship Id="rId7390" Type="http://schemas.openxmlformats.org/officeDocument/2006/relationships/hyperlink" Target="https://abs.twimg.com/sticky/default_profile_images/default_profile_6_normal.png" TargetMode="External"/><Relationship Id="rId8441" Type="http://schemas.openxmlformats.org/officeDocument/2006/relationships/hyperlink" Target="https://twitter.com/doern" TargetMode="External"/><Relationship Id="rId10371" Type="http://schemas.openxmlformats.org/officeDocument/2006/relationships/hyperlink" Target="https://twitter.com/trendstodayapp" TargetMode="External"/><Relationship Id="rId12820" Type="http://schemas.openxmlformats.org/officeDocument/2006/relationships/hyperlink" Target="https://twitter.com/JoshineMeyer" TargetMode="External"/><Relationship Id="rId18035" Type="http://schemas.openxmlformats.org/officeDocument/2006/relationships/hyperlink" Target="https://twitter.com/voosvoos" TargetMode="External"/><Relationship Id="rId25251" Type="http://schemas.openxmlformats.org/officeDocument/2006/relationships/hyperlink" Target="https://pbs.twimg.com/profile_images/696314114033979392/RqPOdnmB_normal.jpg" TargetMode="External"/><Relationship Id="rId7043" Type="http://schemas.openxmlformats.org/officeDocument/2006/relationships/hyperlink" Target="https://twitter.com/tatymontespr/status/723275931029106688" TargetMode="External"/><Relationship Id="rId10024" Type="http://schemas.openxmlformats.org/officeDocument/2006/relationships/hyperlink" Target="https://twitter.com/Eliott_Law" TargetMode="External"/><Relationship Id="rId11422" Type="http://schemas.openxmlformats.org/officeDocument/2006/relationships/hyperlink" Target="https://twitter.com/KziaSabino" TargetMode="External"/><Relationship Id="rId14992" Type="http://schemas.openxmlformats.org/officeDocument/2006/relationships/hyperlink" Target="https://twitter.com/VWCamperSales/status/723588842968608769" TargetMode="External"/><Relationship Id="rId13594" Type="http://schemas.openxmlformats.org/officeDocument/2006/relationships/hyperlink" Target="https://twitter.com/techhippie/status/723551569023766528" TargetMode="External"/><Relationship Id="rId14645" Type="http://schemas.openxmlformats.org/officeDocument/2006/relationships/hyperlink" Target="https://pbs.twimg.com/profile_images/652794510754344960/t2PPvsjv_normal.jpg" TargetMode="External"/><Relationship Id="rId21861" Type="http://schemas.openxmlformats.org/officeDocument/2006/relationships/hyperlink" Target="https://twitter.com/jmponteville/status/724185516447543296" TargetMode="External"/><Relationship Id="rId22912" Type="http://schemas.openxmlformats.org/officeDocument/2006/relationships/hyperlink" Target="https://twitter.com/johnwhalvin/status/724255656249856000" TargetMode="External"/><Relationship Id="rId574" Type="http://schemas.openxmlformats.org/officeDocument/2006/relationships/hyperlink" Target="https://twitter.com/eimshiba/status/722964987661029377" TargetMode="External"/><Relationship Id="rId2255" Type="http://schemas.openxmlformats.org/officeDocument/2006/relationships/hyperlink" Target="https://pbs.twimg.com/profile_images/682117656502222848/Ge7YeAF3_normal.png" TargetMode="External"/><Relationship Id="rId3653" Type="http://schemas.openxmlformats.org/officeDocument/2006/relationships/hyperlink" Target="https://pbs.twimg.com/profile_images/707661630289616897/q6J9iGZF_normal.jpg" TargetMode="External"/><Relationship Id="rId4704" Type="http://schemas.openxmlformats.org/officeDocument/2006/relationships/hyperlink" Target="https://twitter.com/swanswaygroup" TargetMode="External"/><Relationship Id="rId12196" Type="http://schemas.openxmlformats.org/officeDocument/2006/relationships/hyperlink" Target="https://twitter.com/bodo1962" TargetMode="External"/><Relationship Id="rId13247" Type="http://schemas.openxmlformats.org/officeDocument/2006/relationships/hyperlink" Target="https://twitter.com/UlrikeLuehe/status/723540445268185090" TargetMode="External"/><Relationship Id="rId17868" Type="http://schemas.openxmlformats.org/officeDocument/2006/relationships/hyperlink" Target="https://pbs.twimg.com/profile_images/488678354338324481/_qtBruR6_normal.jpeg" TargetMode="External"/><Relationship Id="rId18919" Type="http://schemas.openxmlformats.org/officeDocument/2006/relationships/hyperlink" Target="https://twitter.com/stasikasper/status/723905767221399554" TargetMode="External"/><Relationship Id="rId20463" Type="http://schemas.openxmlformats.org/officeDocument/2006/relationships/hyperlink" Target="https://twitter.com/saki12161114/status/723999941392130048" TargetMode="External"/><Relationship Id="rId21514" Type="http://schemas.openxmlformats.org/officeDocument/2006/relationships/hyperlink" Target="https://twitter.com/jannikkel6" TargetMode="External"/><Relationship Id="rId227" Type="http://schemas.openxmlformats.org/officeDocument/2006/relationships/hyperlink" Target="https://twitter.com/chrispillennews/status/722938038305861632" TargetMode="External"/><Relationship Id="rId3306" Type="http://schemas.openxmlformats.org/officeDocument/2006/relationships/hyperlink" Target="https://twitter.com/CargoBikeJetzt" TargetMode="External"/><Relationship Id="rId6876" Type="http://schemas.openxmlformats.org/officeDocument/2006/relationships/hyperlink" Target="https://twitter.com/onestoneadvisor" TargetMode="External"/><Relationship Id="rId7927" Type="http://schemas.openxmlformats.org/officeDocument/2006/relationships/hyperlink" Target="https://pbs.twimg.com/profile_images/718779480249077760/xSywyfcu_normal.jpg" TargetMode="External"/><Relationship Id="rId10908" Type="http://schemas.openxmlformats.org/officeDocument/2006/relationships/hyperlink" Target="https://twitter.com/noz_el" TargetMode="External"/><Relationship Id="rId19290" Type="http://schemas.openxmlformats.org/officeDocument/2006/relationships/hyperlink" Target="https://pbs.twimg.com/profile_images/534268443399569408/_nft_q_M_normal.jpeg" TargetMode="External"/><Relationship Id="rId20116" Type="http://schemas.openxmlformats.org/officeDocument/2006/relationships/hyperlink" Target="https://twitter.com/damian_fanelli/status/723976090113478657" TargetMode="External"/><Relationship Id="rId23686" Type="http://schemas.openxmlformats.org/officeDocument/2006/relationships/hyperlink" Target="https://pbs.twimg.com/profile_images/556255417714503681/B78CvKEX_normal.jpeg" TargetMode="External"/><Relationship Id="rId24737" Type="http://schemas.openxmlformats.org/officeDocument/2006/relationships/hyperlink" Target="https://pbs.twimg.com/profile_images/703294545195307008/qeCvrX86_normal.jpg" TargetMode="External"/><Relationship Id="rId5478" Type="http://schemas.openxmlformats.org/officeDocument/2006/relationships/hyperlink" Target="https://twitter.com/SexenioCDMX" TargetMode="External"/><Relationship Id="rId6529" Type="http://schemas.openxmlformats.org/officeDocument/2006/relationships/hyperlink" Target="https://twitter.com/fckleft/status/723245299171516416" TargetMode="External"/><Relationship Id="rId12330" Type="http://schemas.openxmlformats.org/officeDocument/2006/relationships/hyperlink" Target="https://twitter.com/suissepat/status/723517480455557120" TargetMode="External"/><Relationship Id="rId22288" Type="http://schemas.openxmlformats.org/officeDocument/2006/relationships/hyperlink" Target="https://twitter.com/Insta_VWT" TargetMode="External"/><Relationship Id="rId23339" Type="http://schemas.openxmlformats.org/officeDocument/2006/relationships/hyperlink" Target="https://twitter.com/SantaPodRaceway" TargetMode="External"/><Relationship Id="rId9002" Type="http://schemas.openxmlformats.org/officeDocument/2006/relationships/hyperlink" Target="https://twitter.com/schoenbornmc" TargetMode="External"/><Relationship Id="rId16951" Type="http://schemas.openxmlformats.org/officeDocument/2006/relationships/hyperlink" Target="https://twitter.com/tonymunday1" TargetMode="External"/><Relationship Id="rId4561" Type="http://schemas.openxmlformats.org/officeDocument/2006/relationships/hyperlink" Target="https://twitter.com/xpeten/status/723182467612565504" TargetMode="External"/><Relationship Id="rId5612" Type="http://schemas.openxmlformats.org/officeDocument/2006/relationships/hyperlink" Target="https://twitter.com/stasikasper/status/723210857904267264" TargetMode="External"/><Relationship Id="rId14155" Type="http://schemas.openxmlformats.org/officeDocument/2006/relationships/hyperlink" Target="https://twitter.com/J1Lord/status/723565636622913538" TargetMode="External"/><Relationship Id="rId15206" Type="http://schemas.openxmlformats.org/officeDocument/2006/relationships/hyperlink" Target="https://pbs.twimg.com/profile_images/700149442612047873/3AEJw4UZ_normal.jpg" TargetMode="External"/><Relationship Id="rId15553" Type="http://schemas.openxmlformats.org/officeDocument/2006/relationships/hyperlink" Target="https://twitter.com/RomaanGnnZ" TargetMode="External"/><Relationship Id="rId16604" Type="http://schemas.openxmlformats.org/officeDocument/2006/relationships/hyperlink" Target="https://twitter.com/Insta_VWT/status/723700260770570240" TargetMode="External"/><Relationship Id="rId21371" Type="http://schemas.openxmlformats.org/officeDocument/2006/relationships/hyperlink" Target="https://twitter.com/ALSP8" TargetMode="External"/><Relationship Id="rId23820" Type="http://schemas.openxmlformats.org/officeDocument/2006/relationships/hyperlink" Target="https://twitter.com/Chuurraaa/status/724313365506482177" TargetMode="External"/><Relationship Id="rId3163" Type="http://schemas.openxmlformats.org/officeDocument/2006/relationships/hyperlink" Target="https://pbs.twimg.com/profile_images/424893967197433858/iQ86NktX_normal.jpeg" TargetMode="External"/><Relationship Id="rId4214" Type="http://schemas.openxmlformats.org/officeDocument/2006/relationships/hyperlink" Target="https://twitter.com/tagesschau/status/723178077912764416" TargetMode="External"/><Relationship Id="rId18776" Type="http://schemas.openxmlformats.org/officeDocument/2006/relationships/hyperlink" Target="https://twitter.com/Germanbsfan" TargetMode="External"/><Relationship Id="rId19827" Type="http://schemas.openxmlformats.org/officeDocument/2006/relationships/hyperlink" Target="https://twitter.com/elmatirusso" TargetMode="External"/><Relationship Id="rId21024" Type="http://schemas.openxmlformats.org/officeDocument/2006/relationships/hyperlink" Target="https://pbs.twimg.com/profile_images/634021831364747264/5vPrL2JH_normal.jpg" TargetMode="External"/><Relationship Id="rId22422" Type="http://schemas.openxmlformats.org/officeDocument/2006/relationships/hyperlink" Target="https://twitter.com/seannosoul/status/724223542045335552" TargetMode="External"/><Relationship Id="rId6386" Type="http://schemas.openxmlformats.org/officeDocument/2006/relationships/hyperlink" Target="https://pbs.twimg.com/profile_images/664095102885879808/9XJjykPM_normal.png" TargetMode="External"/><Relationship Id="rId7784" Type="http://schemas.openxmlformats.org/officeDocument/2006/relationships/hyperlink" Target="https://pbs.twimg.com/profile_images/721473803268857856/5ud3R4pB_normal.jpg" TargetMode="External"/><Relationship Id="rId8835" Type="http://schemas.openxmlformats.org/officeDocument/2006/relationships/hyperlink" Target="https://twitter.com/b_riexinger/status/723408727387176962" TargetMode="External"/><Relationship Id="rId10765" Type="http://schemas.openxmlformats.org/officeDocument/2006/relationships/hyperlink" Target="https://pbs.twimg.com/profile_images/652871584131092480/QA_B6SBO_normal.jpg" TargetMode="External"/><Relationship Id="rId11816" Type="http://schemas.openxmlformats.org/officeDocument/2006/relationships/hyperlink" Target="https://twitter.com/Fotobiene/status/723508053891518464" TargetMode="External"/><Relationship Id="rId17378" Type="http://schemas.openxmlformats.org/officeDocument/2006/relationships/hyperlink" Target="https://twitter.com/Balefir3/status/723795473996324864" TargetMode="External"/><Relationship Id="rId18429" Type="http://schemas.openxmlformats.org/officeDocument/2006/relationships/hyperlink" Target="https://pbs.twimg.com/profile_images/714108792821125120/h6F9y3Al_normal.jpg" TargetMode="External"/><Relationship Id="rId24594" Type="http://schemas.openxmlformats.org/officeDocument/2006/relationships/hyperlink" Target="https://twitter.com/Belva_5713" TargetMode="External"/><Relationship Id="rId25645" Type="http://schemas.openxmlformats.org/officeDocument/2006/relationships/hyperlink" Target="https://twitter.com/camiilarommero/status/724454893126324225" TargetMode="External"/><Relationship Id="rId6039" Type="http://schemas.openxmlformats.org/officeDocument/2006/relationships/hyperlink" Target="https://pbs.twimg.com/profile_images/627949001179037696/skEBkS05_normal.jpg" TargetMode="External"/><Relationship Id="rId7437" Type="http://schemas.openxmlformats.org/officeDocument/2006/relationships/hyperlink" Target="https://twitter.com/ChinaIFC/status/723303296535027713" TargetMode="External"/><Relationship Id="rId10418" Type="http://schemas.openxmlformats.org/officeDocument/2006/relationships/hyperlink" Target="https://pbs.twimg.com/profile_images/694121054906781697/5T5PuAP3_normal.png" TargetMode="External"/><Relationship Id="rId13988" Type="http://schemas.openxmlformats.org/officeDocument/2006/relationships/hyperlink" Target="https://twitter.com/FuscaWorld" TargetMode="External"/><Relationship Id="rId18910" Type="http://schemas.openxmlformats.org/officeDocument/2006/relationships/hyperlink" Target="https://twitter.com/Benk109/status/723905414673358848" TargetMode="External"/><Relationship Id="rId23196" Type="http://schemas.openxmlformats.org/officeDocument/2006/relationships/hyperlink" Target="https://twitter.com/VWCamperSales/status/724272717810147328" TargetMode="External"/><Relationship Id="rId24247" Type="http://schemas.openxmlformats.org/officeDocument/2006/relationships/hyperlink" Target="https://twitter.com/I_Am_Golden07/status/724339983667093504" TargetMode="External"/><Relationship Id="rId2996" Type="http://schemas.openxmlformats.org/officeDocument/2006/relationships/hyperlink" Target="http://motorionline.com/" TargetMode="External"/><Relationship Id="rId16461" Type="http://schemas.openxmlformats.org/officeDocument/2006/relationships/hyperlink" Target="https://twitter.com/FuscaWorld/status/723685651263172608" TargetMode="External"/><Relationship Id="rId17512" Type="http://schemas.openxmlformats.org/officeDocument/2006/relationships/hyperlink" Target="https://twitter.com/StephenJohansen" TargetMode="External"/><Relationship Id="rId20857" Type="http://schemas.openxmlformats.org/officeDocument/2006/relationships/hyperlink" Target="https://twitter.com/camiilarommero" TargetMode="External"/><Relationship Id="rId21908" Type="http://schemas.openxmlformats.org/officeDocument/2006/relationships/hyperlink" Target="https://twitter.com/nurahzz/status/724187677592002560" TargetMode="External"/><Relationship Id="rId968" Type="http://schemas.openxmlformats.org/officeDocument/2006/relationships/hyperlink" Target="https://twitter.com/VWsightings" TargetMode="External"/><Relationship Id="rId1598" Type="http://schemas.openxmlformats.org/officeDocument/2006/relationships/hyperlink" Target="https://twitter.com/alex_pegg" TargetMode="External"/><Relationship Id="rId2649" Type="http://schemas.openxmlformats.org/officeDocument/2006/relationships/hyperlink" Target="https://pbs.twimg.com/profile_images/378800000528765970/3ab9f2a00010e9cac08d5ca1638926e9_normal.png" TargetMode="External"/><Relationship Id="rId6520" Type="http://schemas.openxmlformats.org/officeDocument/2006/relationships/hyperlink" Target="https://twitter.com/Mphilpot1/status/723245202014531586" TargetMode="External"/><Relationship Id="rId15063" Type="http://schemas.openxmlformats.org/officeDocument/2006/relationships/hyperlink" Target="https://twitter.com/Gosthtot/status/723591920400908288" TargetMode="External"/><Relationship Id="rId16114" Type="http://schemas.openxmlformats.org/officeDocument/2006/relationships/hyperlink" Target="https://twitter.com/sofiaAAAJ/status/723648700363493376" TargetMode="External"/><Relationship Id="rId23330" Type="http://schemas.openxmlformats.org/officeDocument/2006/relationships/hyperlink" Target="https://twitter.com/OnlineCarReview/status/724280287027322880" TargetMode="External"/><Relationship Id="rId4071" Type="http://schemas.openxmlformats.org/officeDocument/2006/relationships/hyperlink" Target="https://pbs.twimg.com/profile_images/706784695795769345/XGXgdjww_normal.jpg" TargetMode="External"/><Relationship Id="rId5122" Type="http://schemas.openxmlformats.org/officeDocument/2006/relationships/hyperlink" Target="https://twitter.com/kngeuro/status/723194831749656576" TargetMode="External"/><Relationship Id="rId8692" Type="http://schemas.openxmlformats.org/officeDocument/2006/relationships/hyperlink" Target="https://twitter.com/VivaRedd/status/723402395774906369" TargetMode="External"/><Relationship Id="rId9743" Type="http://schemas.openxmlformats.org/officeDocument/2006/relationships/hyperlink" Target="https://pbs.twimg.com/profile_images/506770159353081857/X1KYKwcE_normal.jpeg" TargetMode="External"/><Relationship Id="rId18286" Type="http://schemas.openxmlformats.org/officeDocument/2006/relationships/hyperlink" Target="https://twitter.com/MecGenMC" TargetMode="External"/><Relationship Id="rId19337" Type="http://schemas.openxmlformats.org/officeDocument/2006/relationships/hyperlink" Target="https://twitter.com/VCT_Tweets/status/723927123900162049" TargetMode="External"/><Relationship Id="rId19684" Type="http://schemas.openxmlformats.org/officeDocument/2006/relationships/hyperlink" Target="https://twitter.com/VolkswagenPost" TargetMode="External"/><Relationship Id="rId7294" Type="http://schemas.openxmlformats.org/officeDocument/2006/relationships/hyperlink" Target="https://pbs.twimg.com/profile_images/453883735738310657/v_R7tMWg_normal.jpeg" TargetMode="External"/><Relationship Id="rId8345" Type="http://schemas.openxmlformats.org/officeDocument/2006/relationships/hyperlink" Target="https://twitter.com/habo11/status/723383822604111872" TargetMode="External"/><Relationship Id="rId11673" Type="http://schemas.openxmlformats.org/officeDocument/2006/relationships/hyperlink" Target="https://pbs.twimg.com/profile_images/378800000528765970/3ab9f2a00010e9cac08d5ca1638926e9_normal.png" TargetMode="External"/><Relationship Id="rId12724" Type="http://schemas.openxmlformats.org/officeDocument/2006/relationships/hyperlink" Target="https://twitter.com/vwbusman72/status/723525937480998913" TargetMode="External"/><Relationship Id="rId25155" Type="http://schemas.openxmlformats.org/officeDocument/2006/relationships/hyperlink" Target="https://pbs.twimg.com/profile_images/720623345029423104/TUxoNGEM_normal.jpg" TargetMode="External"/><Relationship Id="rId1732" Type="http://schemas.openxmlformats.org/officeDocument/2006/relationships/hyperlink" Target="https://twitter.com/AFECTADOGRUPOVW/status/723054588421513216" TargetMode="External"/><Relationship Id="rId10275" Type="http://schemas.openxmlformats.org/officeDocument/2006/relationships/hyperlink" Target="https://twitter.com/serversnake/status/723467643097890816" TargetMode="External"/><Relationship Id="rId11326" Type="http://schemas.openxmlformats.org/officeDocument/2006/relationships/hyperlink" Target="https://twitter.com/Banane0711" TargetMode="External"/><Relationship Id="rId14896" Type="http://schemas.openxmlformats.org/officeDocument/2006/relationships/hyperlink" Target="https://twitter.com/Luchyokk/status/723586412155678720" TargetMode="External"/><Relationship Id="rId15947" Type="http://schemas.openxmlformats.org/officeDocument/2006/relationships/hyperlink" Target="https://twitter.com/FuscaWorld/status/723638614073180160" TargetMode="External"/><Relationship Id="rId4955" Type="http://schemas.openxmlformats.org/officeDocument/2006/relationships/hyperlink" Target="https://twitter.com/mjplust" TargetMode="External"/><Relationship Id="rId13498" Type="http://schemas.openxmlformats.org/officeDocument/2006/relationships/hyperlink" Target="https://pbs.twimg.com/profile_images/1738815421/li_normal.JPG" TargetMode="External"/><Relationship Id="rId14549" Type="http://schemas.openxmlformats.org/officeDocument/2006/relationships/hyperlink" Target="https://twitter.com/kinoptika/status/723575310101278721" TargetMode="External"/><Relationship Id="rId18420" Type="http://schemas.openxmlformats.org/officeDocument/2006/relationships/hyperlink" Target="https://pbs.twimg.com/profile_images/627949001179037696/skEBkS05_normal.jpg" TargetMode="External"/><Relationship Id="rId21765" Type="http://schemas.openxmlformats.org/officeDocument/2006/relationships/hyperlink" Target="https://pbs.twimg.com/profile_images/2837066359/a35c7729303d192360769f39fd8d8a7e_normal.jpeg" TargetMode="External"/><Relationship Id="rId22816" Type="http://schemas.openxmlformats.org/officeDocument/2006/relationships/hyperlink" Target="https://twitter.com/RyanTietz" TargetMode="External"/><Relationship Id="rId3557" Type="http://schemas.openxmlformats.org/officeDocument/2006/relationships/hyperlink" Target="https://twitter.com/ClarkWDerry/status/723163741626355712" TargetMode="External"/><Relationship Id="rId4608" Type="http://schemas.openxmlformats.org/officeDocument/2006/relationships/hyperlink" Target="https://twitter.com/apronline/status/723183625391329280" TargetMode="External"/><Relationship Id="rId17022" Type="http://schemas.openxmlformats.org/officeDocument/2006/relationships/hyperlink" Target="https://pbs.twimg.com/profile_images/1157883957/Twitter_rheto_normal.jpg" TargetMode="External"/><Relationship Id="rId20367" Type="http://schemas.openxmlformats.org/officeDocument/2006/relationships/hyperlink" Target="https://pbs.twimg.com/profile_images/594594462057168896/YfV6rpnt_normal.jpg" TargetMode="External"/><Relationship Id="rId21418" Type="http://schemas.openxmlformats.org/officeDocument/2006/relationships/hyperlink" Target="https://pbs.twimg.com/profile_images/700112917337923584/D3GKv_nI_normal.jpg" TargetMode="External"/><Relationship Id="rId24988" Type="http://schemas.openxmlformats.org/officeDocument/2006/relationships/hyperlink" Target="https://twitter.com/SuranClub" TargetMode="External"/><Relationship Id="rId478" Type="http://schemas.openxmlformats.org/officeDocument/2006/relationships/hyperlink" Target="https://pbs.twimg.com/profile_images/702957547096023040/HZp77amN_normal.jpg" TargetMode="External"/><Relationship Id="rId2159" Type="http://schemas.openxmlformats.org/officeDocument/2006/relationships/hyperlink" Target="https://twitter.com/ErnstNordholt/status/723084681638342656" TargetMode="External"/><Relationship Id="rId6030" Type="http://schemas.openxmlformats.org/officeDocument/2006/relationships/hyperlink" Target="https://twitter.com/Michael_Kunz" TargetMode="External"/><Relationship Id="rId12581" Type="http://schemas.openxmlformats.org/officeDocument/2006/relationships/hyperlink" Target="https://pbs.twimg.com/profile_images/446800255221116929/9hC1kwn1_normal.jpeg" TargetMode="External"/><Relationship Id="rId19194" Type="http://schemas.openxmlformats.org/officeDocument/2006/relationships/hyperlink" Target="https://pbs.twimg.com/profile_images/542918171158511617/A72BLdkG_normal.png" TargetMode="External"/><Relationship Id="rId2640" Type="http://schemas.openxmlformats.org/officeDocument/2006/relationships/hyperlink" Target="https://twitter.com/ADAC" TargetMode="External"/><Relationship Id="rId9253" Type="http://schemas.openxmlformats.org/officeDocument/2006/relationships/hyperlink" Target="https://twitter.com/BWResearch/status/723428534740340736" TargetMode="External"/><Relationship Id="rId11183" Type="http://schemas.openxmlformats.org/officeDocument/2006/relationships/hyperlink" Target="https://pbs.twimg.com/profile_images/1488674331/schofer4_normal.jpg" TargetMode="External"/><Relationship Id="rId12234" Type="http://schemas.openxmlformats.org/officeDocument/2006/relationships/hyperlink" Target="https://twitter.com/SteveJobs2016/status/723515558033924096" TargetMode="External"/><Relationship Id="rId13632" Type="http://schemas.openxmlformats.org/officeDocument/2006/relationships/hyperlink" Target="https://pbs.twimg.com/profile_images/575842925646479361/G7GThf7W_normal.jpeg" TargetMode="External"/><Relationship Id="rId612" Type="http://schemas.openxmlformats.org/officeDocument/2006/relationships/hyperlink" Target="https://twitter.com/RoyalPark_7ever" TargetMode="External"/><Relationship Id="rId1242" Type="http://schemas.openxmlformats.org/officeDocument/2006/relationships/hyperlink" Target="https://twitter.com/techhippie/status/723027622855364608" TargetMode="External"/><Relationship Id="rId16855" Type="http://schemas.openxmlformats.org/officeDocument/2006/relationships/hyperlink" Target="https://twitter.com/dsgforever/status/723743027949395968" TargetMode="External"/><Relationship Id="rId17906" Type="http://schemas.openxmlformats.org/officeDocument/2006/relationships/hyperlink" Target="https://twitter.com/Stadtpirat" TargetMode="External"/><Relationship Id="rId20501" Type="http://schemas.openxmlformats.org/officeDocument/2006/relationships/hyperlink" Target="https://twitter.com/amsalwajih" TargetMode="External"/><Relationship Id="rId4465" Type="http://schemas.openxmlformats.org/officeDocument/2006/relationships/hyperlink" Target="https://twitter.com/RH_Way/status/723181566260817920" TargetMode="External"/><Relationship Id="rId5863" Type="http://schemas.openxmlformats.org/officeDocument/2006/relationships/hyperlink" Target="https://twitter.com/glenmavis/status/723220478417051648" TargetMode="External"/><Relationship Id="rId6914" Type="http://schemas.openxmlformats.org/officeDocument/2006/relationships/hyperlink" Target="https://pbs.twimg.com/profile_images/462892234078031873/FDZEKORM_normal.jpeg" TargetMode="External"/><Relationship Id="rId15457" Type="http://schemas.openxmlformats.org/officeDocument/2006/relationships/hyperlink" Target="http://dlvr.it/" TargetMode="External"/><Relationship Id="rId16508" Type="http://schemas.openxmlformats.org/officeDocument/2006/relationships/hyperlink" Target="https://pbs.twimg.com/profile_images/695836169418899456/Z9ohOFD9_normal.jpg" TargetMode="External"/><Relationship Id="rId22673" Type="http://schemas.openxmlformats.org/officeDocument/2006/relationships/hyperlink" Target="https://twitter.com/beetlebug1938/status/724238910423990272" TargetMode="External"/><Relationship Id="rId23724" Type="http://schemas.openxmlformats.org/officeDocument/2006/relationships/hyperlink" Target="https://twitter.com/dubbusses/status/724306874816974848" TargetMode="External"/><Relationship Id="rId3067" Type="http://schemas.openxmlformats.org/officeDocument/2006/relationships/hyperlink" Target="https://twitter.com/KraeuterVerbena" TargetMode="External"/><Relationship Id="rId4118" Type="http://schemas.openxmlformats.org/officeDocument/2006/relationships/hyperlink" Target="https://twitter.com/zoekeenzzper/status/723176758858637312" TargetMode="External"/><Relationship Id="rId5516" Type="http://schemas.openxmlformats.org/officeDocument/2006/relationships/hyperlink" Target="https://pbs.twimg.com/profile_images/626432788296642560/5MDMVDWV_normal.jpg" TargetMode="External"/><Relationship Id="rId14059" Type="http://schemas.openxmlformats.org/officeDocument/2006/relationships/hyperlink" Target="https://twitter.com/kurtlnd/status/723562802200203264" TargetMode="External"/><Relationship Id="rId21275" Type="http://schemas.openxmlformats.org/officeDocument/2006/relationships/hyperlink" Target="https://twitter.com/leonciobogotano" TargetMode="External"/><Relationship Id="rId22326" Type="http://schemas.openxmlformats.org/officeDocument/2006/relationships/hyperlink" Target="https://pbs.twimg.com/profile_images/639825675428478976/lYkKqb5E_normal.jpg" TargetMode="External"/><Relationship Id="rId7688" Type="http://schemas.openxmlformats.org/officeDocument/2006/relationships/hyperlink" Target="https://twitter.com/VWBeetleSales/status/723323969869246465" TargetMode="External"/><Relationship Id="rId8739" Type="http://schemas.openxmlformats.org/officeDocument/2006/relationships/hyperlink" Target="https://twitter.com/Insta_Lego/status/723404171056041985" TargetMode="External"/><Relationship Id="rId10669" Type="http://schemas.openxmlformats.org/officeDocument/2006/relationships/hyperlink" Target="https://pbs.twimg.com/profile_images/3148361918/04646b66061f733189147ae9618719ac_normal.png" TargetMode="External"/><Relationship Id="rId14540" Type="http://schemas.openxmlformats.org/officeDocument/2006/relationships/hyperlink" Target="https://twitter.com/weald_tech/status/723575253201461248" TargetMode="External"/><Relationship Id="rId24498" Type="http://schemas.openxmlformats.org/officeDocument/2006/relationships/hyperlink" Target="https://twitter.com/OnlineCarReview" TargetMode="External"/><Relationship Id="rId25549" Type="http://schemas.openxmlformats.org/officeDocument/2006/relationships/hyperlink" Target="https://pbs.twimg.com/profile_images/699701088769822720/-twnv0Ox_normal.jpg" TargetMode="External"/><Relationship Id="rId12091" Type="http://schemas.openxmlformats.org/officeDocument/2006/relationships/hyperlink" Target="https://twitter.com/beetlebug1938" TargetMode="External"/><Relationship Id="rId13142" Type="http://schemas.openxmlformats.org/officeDocument/2006/relationships/hyperlink" Target="https://pbs.twimg.com/profile_images/677036395882553344/hTxwna3u_normal.jpg" TargetMode="External"/><Relationship Id="rId2150" Type="http://schemas.openxmlformats.org/officeDocument/2006/relationships/hyperlink" Target="https://twitter.com/OnlineCarReview/status/723084432412807169" TargetMode="External"/><Relationship Id="rId3201" Type="http://schemas.openxmlformats.org/officeDocument/2006/relationships/hyperlink" Target="https://twitter.com/instock_de" TargetMode="External"/><Relationship Id="rId6771" Type="http://schemas.openxmlformats.org/officeDocument/2006/relationships/hyperlink" Target="https://pbs.twimg.com/profile_images/1771451657/il_570xN.291650220_normal.jpg" TargetMode="External"/><Relationship Id="rId7822" Type="http://schemas.openxmlformats.org/officeDocument/2006/relationships/hyperlink" Target="https://twitter.com/luucascarranza" TargetMode="External"/><Relationship Id="rId16365" Type="http://schemas.openxmlformats.org/officeDocument/2006/relationships/hyperlink" Target="https://pbs.twimg.com/profile_images/521862730584580096/OFkhzI16_normal.png" TargetMode="External"/><Relationship Id="rId17416" Type="http://schemas.openxmlformats.org/officeDocument/2006/relationships/hyperlink" Target="https://twitter.com/Scirocco_Tuning" TargetMode="External"/><Relationship Id="rId17763" Type="http://schemas.openxmlformats.org/officeDocument/2006/relationships/hyperlink" Target="https://pbs.twimg.com/profile_images/705780107844067328/e7O4UBNb_normal.jpg" TargetMode="External"/><Relationship Id="rId18814" Type="http://schemas.openxmlformats.org/officeDocument/2006/relationships/hyperlink" Target="http://dlvr.it/" TargetMode="External"/><Relationship Id="rId20011" Type="http://schemas.openxmlformats.org/officeDocument/2006/relationships/hyperlink" Target="https://twitter.com/Loeb_Seb1/status/723968571257294849" TargetMode="External"/><Relationship Id="rId23581" Type="http://schemas.openxmlformats.org/officeDocument/2006/relationships/hyperlink" Target="https://twitter.com/mamulavaca/status/724298098940366848" TargetMode="External"/><Relationship Id="rId122" Type="http://schemas.openxmlformats.org/officeDocument/2006/relationships/hyperlink" Target="https://pbs.twimg.com/profile_images/1730880458/6611288273_3f2969e2e4_o_normal.jpg" TargetMode="External"/><Relationship Id="rId5373" Type="http://schemas.openxmlformats.org/officeDocument/2006/relationships/hyperlink" Target="https://pbs.twimg.com/profile_images/638973360169463808/YEbGEWne_normal.jpg" TargetMode="External"/><Relationship Id="rId6424" Type="http://schemas.openxmlformats.org/officeDocument/2006/relationships/hyperlink" Target="https://twitter.com/Insta_VWT" TargetMode="External"/><Relationship Id="rId10803" Type="http://schemas.openxmlformats.org/officeDocument/2006/relationships/hyperlink" Target="https://twitter.com/apronline/status/723485550800453634" TargetMode="External"/><Relationship Id="rId16018" Type="http://schemas.openxmlformats.org/officeDocument/2006/relationships/hyperlink" Target="https://pbs.twimg.com/profile_images/1281621005/Guido_Peternell_normal.jpg" TargetMode="External"/><Relationship Id="rId22183" Type="http://schemas.openxmlformats.org/officeDocument/2006/relationships/hyperlink" Target="https://pbs.twimg.com/profile_images/721700171567009792/VutCR1ci_normal.jpg" TargetMode="External"/><Relationship Id="rId23234" Type="http://schemas.openxmlformats.org/officeDocument/2006/relationships/hyperlink" Target="https://twitter.com/IslandVW" TargetMode="External"/><Relationship Id="rId24632" Type="http://schemas.openxmlformats.org/officeDocument/2006/relationships/hyperlink" Target="https://twitter.com/dejbanlaw/status/724379965723041794" TargetMode="External"/><Relationship Id="rId5026" Type="http://schemas.openxmlformats.org/officeDocument/2006/relationships/hyperlink" Target="https://pbs.twimg.com/profile_images/610082049458864128/MPidD5hk_normal.jpg" TargetMode="External"/><Relationship Id="rId8596" Type="http://schemas.openxmlformats.org/officeDocument/2006/relationships/hyperlink" Target="https://pbs.twimg.com/profile_images/712901564952870912/rE0FMlJH_normal.jpg" TargetMode="External"/><Relationship Id="rId9994" Type="http://schemas.openxmlformats.org/officeDocument/2006/relationships/hyperlink" Target="https://twitter.com/doern" TargetMode="External"/><Relationship Id="rId12975" Type="http://schemas.openxmlformats.org/officeDocument/2006/relationships/hyperlink" Target="https://twitter.com/Zelig880" TargetMode="External"/><Relationship Id="rId19588" Type="http://schemas.openxmlformats.org/officeDocument/2006/relationships/hyperlink" Target="https://pbs.twimg.com/profile_images/530071272881803264/a_jcCmPZ_normal.png" TargetMode="External"/><Relationship Id="rId1983" Type="http://schemas.openxmlformats.org/officeDocument/2006/relationships/hyperlink" Target="https://twitter.com/bodo1962" TargetMode="External"/><Relationship Id="rId7198" Type="http://schemas.openxmlformats.org/officeDocument/2006/relationships/hyperlink" Target="https://twitter.com/SotirisLalas" TargetMode="External"/><Relationship Id="rId8249" Type="http://schemas.openxmlformats.org/officeDocument/2006/relationships/hyperlink" Target="https://pbs.twimg.com/profile_images/711412528375570433/tQdoceTM_normal.jpg" TargetMode="External"/><Relationship Id="rId9647" Type="http://schemas.openxmlformats.org/officeDocument/2006/relationships/hyperlink" Target="https://pbs.twimg.com/profile_images/673593444179320834/KHLFVBKv_normal.jpg" TargetMode="External"/><Relationship Id="rId11577" Type="http://schemas.openxmlformats.org/officeDocument/2006/relationships/hyperlink" Target="https://pbs.twimg.com/profile_images/474178130312044544/-U2TP65D_normal.png" TargetMode="External"/><Relationship Id="rId12628" Type="http://schemas.openxmlformats.org/officeDocument/2006/relationships/hyperlink" Target="https://pbs.twimg.com/profile_images/531688614640365568/U84uXoIT_normal.png" TargetMode="External"/><Relationship Id="rId25059" Type="http://schemas.openxmlformats.org/officeDocument/2006/relationships/hyperlink" Target="https://twitter.com/skakurega/status/724414926589038592" TargetMode="External"/><Relationship Id="rId1636" Type="http://schemas.openxmlformats.org/officeDocument/2006/relationships/hyperlink" Target="https://pbs.twimg.com/profile_images/583625441010790402/DeDv5EpS_normal.jpg" TargetMode="External"/><Relationship Id="rId10179" Type="http://schemas.openxmlformats.org/officeDocument/2006/relationships/hyperlink" Target="https://pbs.twimg.com/profile_images/494941834117124096/NS5KR51W_normal.jpeg" TargetMode="External"/><Relationship Id="rId14050" Type="http://schemas.openxmlformats.org/officeDocument/2006/relationships/hyperlink" Target="https://twitter.com/buran63/status/723562437824360448" TargetMode="External"/><Relationship Id="rId15101" Type="http://schemas.openxmlformats.org/officeDocument/2006/relationships/hyperlink" Target="https://pbs.twimg.com/profile_images/859474166/12521969409537444_normal.jpg" TargetMode="External"/><Relationship Id="rId18671" Type="http://schemas.openxmlformats.org/officeDocument/2006/relationships/hyperlink" Target="https://twitter.com/MorSvinka_83/status/723888223173394432" TargetMode="External"/><Relationship Id="rId19722" Type="http://schemas.openxmlformats.org/officeDocument/2006/relationships/hyperlink" Target="https://twitter.com/CatherineE1973/status/723950179594985472" TargetMode="External"/><Relationship Id="rId4859" Type="http://schemas.openxmlformats.org/officeDocument/2006/relationships/hyperlink" Target="https://twitter.com/euleminerva/status/723189175327940608" TargetMode="External"/><Relationship Id="rId8730" Type="http://schemas.openxmlformats.org/officeDocument/2006/relationships/hyperlink" Target="https://pbs.twimg.com/profile_images/627949001179037696/skEBkS05_normal.jpg" TargetMode="External"/><Relationship Id="rId10660" Type="http://schemas.openxmlformats.org/officeDocument/2006/relationships/hyperlink" Target="https://pbs.twimg.com/profile_images/715932303642509312/C27itbCf_normal.jpg" TargetMode="External"/><Relationship Id="rId17273" Type="http://schemas.openxmlformats.org/officeDocument/2006/relationships/hyperlink" Target="https://twitter.com/Sufiy/status/723786878852456449" TargetMode="External"/><Relationship Id="rId18324" Type="http://schemas.openxmlformats.org/officeDocument/2006/relationships/hyperlink" Target="https://pbs.twimg.com/profile_images/577742130698915840/ghR4cANb_normal.jpeg" TargetMode="External"/><Relationship Id="rId21669" Type="http://schemas.openxmlformats.org/officeDocument/2006/relationships/hyperlink" Target="https://pbs.twimg.com/profile_images/679504135125778432/O4eV8Rwx_normal.jpg" TargetMode="External"/><Relationship Id="rId25540" Type="http://schemas.openxmlformats.org/officeDocument/2006/relationships/hyperlink" Target="http://ctrlq.org/maps/address/" TargetMode="External"/><Relationship Id="rId6281" Type="http://schemas.openxmlformats.org/officeDocument/2006/relationships/hyperlink" Target="https://twitter.com/HotRidesDaily1" TargetMode="External"/><Relationship Id="rId7332" Type="http://schemas.openxmlformats.org/officeDocument/2006/relationships/hyperlink" Target="https://twitter.com/AgusGomez7" TargetMode="External"/><Relationship Id="rId10313" Type="http://schemas.openxmlformats.org/officeDocument/2006/relationships/hyperlink" Target="https://twitter.com/dneuerer" TargetMode="External"/><Relationship Id="rId11711" Type="http://schemas.openxmlformats.org/officeDocument/2006/relationships/hyperlink" Target="https://twitter.com/ophuels/status/723505802271678469" TargetMode="External"/><Relationship Id="rId23091" Type="http://schemas.openxmlformats.org/officeDocument/2006/relationships/hyperlink" Target="https://twitter.com/DogLimo" TargetMode="External"/><Relationship Id="rId24142" Type="http://schemas.openxmlformats.org/officeDocument/2006/relationships/hyperlink" Target="https://twitter.com/OnlineCarReview" TargetMode="External"/><Relationship Id="rId13883" Type="http://schemas.openxmlformats.org/officeDocument/2006/relationships/hyperlink" Target="https://pbs.twimg.com/profile_images/723342722367655936/IEfSLbQG_normal.jpg" TargetMode="External"/><Relationship Id="rId14934" Type="http://schemas.openxmlformats.org/officeDocument/2006/relationships/hyperlink" Target="https://twitter.com/LondonPicks/status/723587255491653632" TargetMode="External"/><Relationship Id="rId19098" Type="http://schemas.openxmlformats.org/officeDocument/2006/relationships/hyperlink" Target="https://twitter.com/VWCamperSales/status/723919839882936320" TargetMode="External"/><Relationship Id="rId863" Type="http://schemas.openxmlformats.org/officeDocument/2006/relationships/hyperlink" Target="https://twitter.com/JosueeOliveros/status/722994412591173632" TargetMode="External"/><Relationship Id="rId1493" Type="http://schemas.openxmlformats.org/officeDocument/2006/relationships/hyperlink" Target="https://pbs.twimg.com/profile_images/709359494128599041/-2u0_Nqv_normal.jpg" TargetMode="External"/><Relationship Id="rId2544" Type="http://schemas.openxmlformats.org/officeDocument/2006/relationships/hyperlink" Target="https://twitter.com/vwpress_de/status/723104815820234752" TargetMode="External"/><Relationship Id="rId2891" Type="http://schemas.openxmlformats.org/officeDocument/2006/relationships/hyperlink" Target="https://pbs.twimg.com/profile_images/720336295822823424/zexFaGmZ_normal.jpg" TargetMode="External"/><Relationship Id="rId3942" Type="http://schemas.openxmlformats.org/officeDocument/2006/relationships/hyperlink" Target="https://twitter.com/terrybryantlaw" TargetMode="External"/><Relationship Id="rId9157" Type="http://schemas.openxmlformats.org/officeDocument/2006/relationships/hyperlink" Target="https://twitter.com/johnjoechad/status/723422343456911360" TargetMode="External"/><Relationship Id="rId11087" Type="http://schemas.openxmlformats.org/officeDocument/2006/relationships/hyperlink" Target="https://twitter.com/urotuning/status/723496909097316352" TargetMode="External"/><Relationship Id="rId12485" Type="http://schemas.openxmlformats.org/officeDocument/2006/relationships/hyperlink" Target="https://twitter.com/juliocnunez11/status/723520558995001344" TargetMode="External"/><Relationship Id="rId13536" Type="http://schemas.openxmlformats.org/officeDocument/2006/relationships/hyperlink" Target="https://twitter.com/studyonllneaust" TargetMode="External"/><Relationship Id="rId20752" Type="http://schemas.openxmlformats.org/officeDocument/2006/relationships/hyperlink" Target="https://pbs.twimg.com/profile_images/722518700427882496/rsO6Da_T_normal.jpg" TargetMode="External"/><Relationship Id="rId21803" Type="http://schemas.openxmlformats.org/officeDocument/2006/relationships/hyperlink" Target="https://twitter.com/BatesJenny/status/724179672217583616" TargetMode="External"/><Relationship Id="rId516" Type="http://schemas.openxmlformats.org/officeDocument/2006/relationships/hyperlink" Target="https://twitter.com/JessehTayior" TargetMode="External"/><Relationship Id="rId1146" Type="http://schemas.openxmlformats.org/officeDocument/2006/relationships/hyperlink" Target="https://twitter.com/FlugelGewitter" TargetMode="External"/><Relationship Id="rId12138" Type="http://schemas.openxmlformats.org/officeDocument/2006/relationships/hyperlink" Target="https://twitter.com/aktuelle_stunde" TargetMode="External"/><Relationship Id="rId16759" Type="http://schemas.openxmlformats.org/officeDocument/2006/relationships/hyperlink" Target="https://pbs.twimg.com/profile_images/672983778885689344/1ep6eaaz_normal.jpg" TargetMode="External"/><Relationship Id="rId20405" Type="http://schemas.openxmlformats.org/officeDocument/2006/relationships/hyperlink" Target="https://twitter.com/k__h3nd/status/723996688478773248" TargetMode="External"/><Relationship Id="rId23975" Type="http://schemas.openxmlformats.org/officeDocument/2006/relationships/hyperlink" Target="https://pbs.twimg.com/profile_images/557545389797421057/MluIzFgl_normal.jpeg" TargetMode="External"/><Relationship Id="rId5767" Type="http://schemas.openxmlformats.org/officeDocument/2006/relationships/hyperlink" Target="https://pbs.twimg.com/profile_images/610769623605243904/uVFqXxAx_normal.png" TargetMode="External"/><Relationship Id="rId6818" Type="http://schemas.openxmlformats.org/officeDocument/2006/relationships/hyperlink" Target="http://dlvr.it/" TargetMode="External"/><Relationship Id="rId18181" Type="http://schemas.openxmlformats.org/officeDocument/2006/relationships/hyperlink" Target="https://twitter.com/grazynagintner" TargetMode="External"/><Relationship Id="rId19232" Type="http://schemas.openxmlformats.org/officeDocument/2006/relationships/hyperlink" Target="https://pbs.twimg.com/profile_images/719787002346938368/lHiRs900_normal.jpg" TargetMode="External"/><Relationship Id="rId22577" Type="http://schemas.openxmlformats.org/officeDocument/2006/relationships/hyperlink" Target="https://twitter.com/VWBeetleSales/status/724231193407852544" TargetMode="External"/><Relationship Id="rId23628" Type="http://schemas.openxmlformats.org/officeDocument/2006/relationships/hyperlink" Target="http://dlvr.it/" TargetMode="External"/><Relationship Id="rId4369" Type="http://schemas.openxmlformats.org/officeDocument/2006/relationships/hyperlink" Target="https://twitter.com/Sumsi_" TargetMode="External"/><Relationship Id="rId8240" Type="http://schemas.openxmlformats.org/officeDocument/2006/relationships/hyperlink" Target="https://pbs.twimg.com/profile_images/557871501559345152/ylj0mtNH_normal.jpeg" TargetMode="External"/><Relationship Id="rId10170" Type="http://schemas.openxmlformats.org/officeDocument/2006/relationships/hyperlink" Target="https://pbs.twimg.com/profile_images/474178130312044544/-U2TP65D_normal.png" TargetMode="External"/><Relationship Id="rId11221" Type="http://schemas.openxmlformats.org/officeDocument/2006/relationships/hyperlink" Target="https://twitter.com/handelsblatt" TargetMode="External"/><Relationship Id="rId14791" Type="http://schemas.openxmlformats.org/officeDocument/2006/relationships/hyperlink" Target="https://twitter.com/rajesh877" TargetMode="External"/><Relationship Id="rId21179" Type="http://schemas.openxmlformats.org/officeDocument/2006/relationships/hyperlink" Target="http://dlvr.it/" TargetMode="External"/><Relationship Id="rId25050" Type="http://schemas.openxmlformats.org/officeDocument/2006/relationships/hyperlink" Target="https://pbs.twimg.com/profile_images/652871584131092480/QA_B6SBO_normal.jpg" TargetMode="External"/><Relationship Id="rId4850" Type="http://schemas.openxmlformats.org/officeDocument/2006/relationships/hyperlink" Target="https://twitter.com/GlowCreations/status/723189002216546304" TargetMode="External"/><Relationship Id="rId5901" Type="http://schemas.openxmlformats.org/officeDocument/2006/relationships/hyperlink" Target="https://twitter.com/ramunasrb" TargetMode="External"/><Relationship Id="rId13393" Type="http://schemas.openxmlformats.org/officeDocument/2006/relationships/hyperlink" Target="https://pbs.twimg.com/profile_images/676465930424082432/zT-RyXf4_normal.jpg" TargetMode="External"/><Relationship Id="rId14444" Type="http://schemas.openxmlformats.org/officeDocument/2006/relationships/hyperlink" Target="https://pbs.twimg.com/profile_images/702601670186790912/ZdaqJSKf_normal.jpg" TargetMode="External"/><Relationship Id="rId15842" Type="http://schemas.openxmlformats.org/officeDocument/2006/relationships/hyperlink" Target="https://twitter.com/beetlebug1938" TargetMode="External"/><Relationship Id="rId21660" Type="http://schemas.openxmlformats.org/officeDocument/2006/relationships/hyperlink" Target="https://pbs.twimg.com/profile_images/222183464/IMG_1848_2617_normal.JPG" TargetMode="External"/><Relationship Id="rId3452" Type="http://schemas.openxmlformats.org/officeDocument/2006/relationships/hyperlink" Target="https://pbs.twimg.com/profile_images/723087824044580864/Y9hsVAQv_normal.jpg" TargetMode="External"/><Relationship Id="rId4503" Type="http://schemas.openxmlformats.org/officeDocument/2006/relationships/hyperlink" Target="https://twitter.com/jannikkel6" TargetMode="External"/><Relationship Id="rId13046" Type="http://schemas.openxmlformats.org/officeDocument/2006/relationships/hyperlink" Target="https://twitter.com/fraschloenj/status/723534355923107840" TargetMode="External"/><Relationship Id="rId20262" Type="http://schemas.openxmlformats.org/officeDocument/2006/relationships/hyperlink" Target="https://pbs.twimg.com/profile_images/721557101999439872/_YvtEqhz_normal.jpg" TargetMode="External"/><Relationship Id="rId21313" Type="http://schemas.openxmlformats.org/officeDocument/2006/relationships/hyperlink" Target="https://pbs.twimg.com/profile_images/477811564179779585/Tn-jHdTl_normal.jpeg" TargetMode="External"/><Relationship Id="rId22711" Type="http://schemas.openxmlformats.org/officeDocument/2006/relationships/hyperlink" Target="https://pbs.twimg.com/profile_images/638911107629846528/gS1Qt39M_normal.jpg" TargetMode="External"/><Relationship Id="rId373" Type="http://schemas.openxmlformats.org/officeDocument/2006/relationships/hyperlink" Target="https://pbs.twimg.com/profile_images/720484955634200577/YteI5x1n_normal.jpg" TargetMode="External"/><Relationship Id="rId2054" Type="http://schemas.openxmlformats.org/officeDocument/2006/relationships/hyperlink" Target="https://twitter.com/aldicop" TargetMode="External"/><Relationship Id="rId3105" Type="http://schemas.openxmlformats.org/officeDocument/2006/relationships/hyperlink" Target="https://pbs.twimg.com/profile_images/378800000029735186/0e21db349c499d999a6ad25272a152db_normal.jpeg" TargetMode="External"/><Relationship Id="rId6675" Type="http://schemas.openxmlformats.org/officeDocument/2006/relationships/hyperlink" Target="https://twitter.com/VWCamperSales/status/723252110658166784" TargetMode="External"/><Relationship Id="rId16269" Type="http://schemas.openxmlformats.org/officeDocument/2006/relationships/hyperlink" Target="https://twitter.com/VWCamperSales" TargetMode="External"/><Relationship Id="rId17667" Type="http://schemas.openxmlformats.org/officeDocument/2006/relationships/hyperlink" Target="https://twitter.com/frank_volk" TargetMode="External"/><Relationship Id="rId18718" Type="http://schemas.openxmlformats.org/officeDocument/2006/relationships/hyperlink" Target="https://twitter.com/WrexhamVW" TargetMode="External"/><Relationship Id="rId24883" Type="http://schemas.openxmlformats.org/officeDocument/2006/relationships/hyperlink" Target="https://twitter.com/VWUKNews/status/724396700392148993" TargetMode="External"/><Relationship Id="rId5277" Type="http://schemas.openxmlformats.org/officeDocument/2006/relationships/hyperlink" Target="https://twitter.com/paolozignone" TargetMode="External"/><Relationship Id="rId6328" Type="http://schemas.openxmlformats.org/officeDocument/2006/relationships/hyperlink" Target="https://pbs.twimg.com/profile_images/378800000124732686/07af48b9969d743cf2642901c5f8cccc_normal.jpeg" TargetMode="External"/><Relationship Id="rId7726" Type="http://schemas.openxmlformats.org/officeDocument/2006/relationships/hyperlink" Target="https://pbs.twimg.com/profile_images/718404659556159488/7QdyylRR_normal.jpg" TargetMode="External"/><Relationship Id="rId10707" Type="http://schemas.openxmlformats.org/officeDocument/2006/relationships/hyperlink" Target="https://twitter.com/doern/status/723481545240137728" TargetMode="External"/><Relationship Id="rId22087" Type="http://schemas.openxmlformats.org/officeDocument/2006/relationships/hyperlink" Target="https://pbs.twimg.com/profile_images/695000806655811584/7lC1MdUr_normal.png" TargetMode="External"/><Relationship Id="rId23138" Type="http://schemas.openxmlformats.org/officeDocument/2006/relationships/hyperlink" Target="https://pbs.twimg.com/profile_images/703192389951709184/Ng389iI4_normal.jpg" TargetMode="External"/><Relationship Id="rId23485" Type="http://schemas.openxmlformats.org/officeDocument/2006/relationships/hyperlink" Target="https://twitter.com/ldnsecuritysynd" TargetMode="External"/><Relationship Id="rId24536" Type="http://schemas.openxmlformats.org/officeDocument/2006/relationships/hyperlink" Target="https://pbs.twimg.com/profile_images/446414147329073152/EeQNRdY4_normal.png" TargetMode="External"/><Relationship Id="rId9898" Type="http://schemas.openxmlformats.org/officeDocument/2006/relationships/hyperlink" Target="https://twitter.com/CincoDiascom/status/723453673649659904" TargetMode="External"/><Relationship Id="rId12879" Type="http://schemas.openxmlformats.org/officeDocument/2006/relationships/hyperlink" Target="https://twitter.com/InsigniaGroup" TargetMode="External"/><Relationship Id="rId16750" Type="http://schemas.openxmlformats.org/officeDocument/2006/relationships/hyperlink" Target="https://pbs.twimg.com/profile_images/3208566039/89994ec2076c0a659a2ee8d088a9c6e7_normal.jpeg" TargetMode="External"/><Relationship Id="rId17801" Type="http://schemas.openxmlformats.org/officeDocument/2006/relationships/hyperlink" Target="https://twitter.com/SJB6991" TargetMode="External"/><Relationship Id="rId1887" Type="http://schemas.openxmlformats.org/officeDocument/2006/relationships/hyperlink" Target="https://pbs.twimg.com/profile_images/695061017399791617/E8xZCNGr_normal.jpg" TargetMode="External"/><Relationship Id="rId2938" Type="http://schemas.openxmlformats.org/officeDocument/2006/relationships/hyperlink" Target="https://twitter.com/FSHDaily/status/723127191001829376" TargetMode="External"/><Relationship Id="rId15352" Type="http://schemas.openxmlformats.org/officeDocument/2006/relationships/hyperlink" Target="https://twitter.com/Taipanos/status/723604507452669953" TargetMode="External"/><Relationship Id="rId16403" Type="http://schemas.openxmlformats.org/officeDocument/2006/relationships/hyperlink" Target="https://twitter.com/HomeMckee/status/723679607363383297" TargetMode="External"/><Relationship Id="rId4360" Type="http://schemas.openxmlformats.org/officeDocument/2006/relationships/hyperlink" Target="https://twitter.com/FreshDialogues" TargetMode="External"/><Relationship Id="rId5411" Type="http://schemas.openxmlformats.org/officeDocument/2006/relationships/hyperlink" Target="http://miniatuurauto.nl/" TargetMode="External"/><Relationship Id="rId8981" Type="http://schemas.openxmlformats.org/officeDocument/2006/relationships/hyperlink" Target="https://twitter.com/beetlebug1938" TargetMode="External"/><Relationship Id="rId15005" Type="http://schemas.openxmlformats.org/officeDocument/2006/relationships/hyperlink" Target="https://twitter.com/marksvaleting/status/723589797747417088" TargetMode="External"/><Relationship Id="rId18575" Type="http://schemas.openxmlformats.org/officeDocument/2006/relationships/hyperlink" Target="https://twitter.com/CriistiaanBj/status/723880964078866432" TargetMode="External"/><Relationship Id="rId19626" Type="http://schemas.openxmlformats.org/officeDocument/2006/relationships/hyperlink" Target="https://twitter.com/DubLuvTuning" TargetMode="External"/><Relationship Id="rId19973" Type="http://schemas.openxmlformats.org/officeDocument/2006/relationships/hyperlink" Target="https://twitter.com/fedealcaraz14/status/723966131350966278" TargetMode="External"/><Relationship Id="rId21170" Type="http://schemas.openxmlformats.org/officeDocument/2006/relationships/hyperlink" Target="https://pbs.twimg.com/profile_images/703294545195307008/qeCvrX86_normal.jpg" TargetMode="External"/><Relationship Id="rId22221" Type="http://schemas.openxmlformats.org/officeDocument/2006/relationships/hyperlink" Target="https://pbs.twimg.com/profile_images/627949001179037696/skEBkS05_normal.jpg" TargetMode="External"/><Relationship Id="rId4013" Type="http://schemas.openxmlformats.org/officeDocument/2006/relationships/hyperlink" Target="https://twitter.com/VWBeetleSales/status/723174722037411841" TargetMode="External"/><Relationship Id="rId7583" Type="http://schemas.openxmlformats.org/officeDocument/2006/relationships/hyperlink" Target="https://twitter.com/DhakaTribune/status/723315438382272513" TargetMode="External"/><Relationship Id="rId8634" Type="http://schemas.openxmlformats.org/officeDocument/2006/relationships/hyperlink" Target="https://twitter.com/derFunk/status/723399538157875201" TargetMode="External"/><Relationship Id="rId11962" Type="http://schemas.openxmlformats.org/officeDocument/2006/relationships/hyperlink" Target="https://twitter.com/tagesspiegel/status/723511178727665664" TargetMode="External"/><Relationship Id="rId17177" Type="http://schemas.openxmlformats.org/officeDocument/2006/relationships/hyperlink" Target="https://twitter.com/Insta_VWT/status/723775778845020160" TargetMode="External"/><Relationship Id="rId18228" Type="http://schemas.openxmlformats.org/officeDocument/2006/relationships/hyperlink" Target="http://dlvr.it/" TargetMode="External"/><Relationship Id="rId24393" Type="http://schemas.openxmlformats.org/officeDocument/2006/relationships/hyperlink" Target="https://twitter.com/VWCamperSales" TargetMode="External"/><Relationship Id="rId25444" Type="http://schemas.openxmlformats.org/officeDocument/2006/relationships/hyperlink" Target="https://twitter.com/augustinpeilla2" TargetMode="External"/><Relationship Id="rId6185" Type="http://schemas.openxmlformats.org/officeDocument/2006/relationships/hyperlink" Target="https://pbs.twimg.com/profile_images/661956521799114752/cMi6wEtP_normal.jpg" TargetMode="External"/><Relationship Id="rId7236" Type="http://schemas.openxmlformats.org/officeDocument/2006/relationships/hyperlink" Target="https://twitter.com/bradkellyfilms/status/723288182167580673" TargetMode="External"/><Relationship Id="rId10564" Type="http://schemas.openxmlformats.org/officeDocument/2006/relationships/hyperlink" Target="https://twitter.com/Scirocco_Tuning/status/723477086120349696" TargetMode="External"/><Relationship Id="rId11615" Type="http://schemas.openxmlformats.org/officeDocument/2006/relationships/hyperlink" Target="https://twitter.com/HollyBlomberg" TargetMode="External"/><Relationship Id="rId24046" Type="http://schemas.openxmlformats.org/officeDocument/2006/relationships/hyperlink" Target="https://twitter.com/VWBeetleSales" TargetMode="External"/><Relationship Id="rId10217" Type="http://schemas.openxmlformats.org/officeDocument/2006/relationships/hyperlink" Target="https://twitter.com/irenesconcierge/status/723466155617341441" TargetMode="External"/><Relationship Id="rId13787" Type="http://schemas.openxmlformats.org/officeDocument/2006/relationships/hyperlink" Target="https://twitter.com/Stefan_Birkner/status/723556274709905413" TargetMode="External"/><Relationship Id="rId14838" Type="http://schemas.openxmlformats.org/officeDocument/2006/relationships/hyperlink" Target="https://twitter.com/jungewelt/status/723584711461855232" TargetMode="External"/><Relationship Id="rId1397" Type="http://schemas.openxmlformats.org/officeDocument/2006/relationships/hyperlink" Target="https://twitter.com/80230e4f9e424a1" TargetMode="External"/><Relationship Id="rId2795" Type="http://schemas.openxmlformats.org/officeDocument/2006/relationships/hyperlink" Target="https://pbs.twimg.com/profile_images/446781974452371456/rqBZF-KN_normal.jpeg" TargetMode="External"/><Relationship Id="rId3846" Type="http://schemas.openxmlformats.org/officeDocument/2006/relationships/hyperlink" Target="https://twitter.com/ZDFheute/status/723170686722777088" TargetMode="External"/><Relationship Id="rId12389" Type="http://schemas.openxmlformats.org/officeDocument/2006/relationships/hyperlink" Target="https://pbs.twimg.com/profile_images/1785128505/munich_normal.png" TargetMode="External"/><Relationship Id="rId16260" Type="http://schemas.openxmlformats.org/officeDocument/2006/relationships/hyperlink" Target="https://twitter.com/sinairally" TargetMode="External"/><Relationship Id="rId17311" Type="http://schemas.openxmlformats.org/officeDocument/2006/relationships/hyperlink" Target="https://twitter.com/MarFnk" TargetMode="External"/><Relationship Id="rId20656" Type="http://schemas.openxmlformats.org/officeDocument/2006/relationships/hyperlink" Target="https://pbs.twimg.com/profile_images/191126702/ridiculous_cat_smile_t_normal.jpg" TargetMode="External"/><Relationship Id="rId21707" Type="http://schemas.openxmlformats.org/officeDocument/2006/relationships/hyperlink" Target="https://twitter.com/techhippie" TargetMode="External"/><Relationship Id="rId767" Type="http://schemas.openxmlformats.org/officeDocument/2006/relationships/hyperlink" Target="https://twitter.com/beetlebug1938" TargetMode="External"/><Relationship Id="rId2448" Type="http://schemas.openxmlformats.org/officeDocument/2006/relationships/hyperlink" Target="https://pbs.twimg.com/profile_images/718820712757215233/LXXndPTS_normal.jpg" TargetMode="External"/><Relationship Id="rId12870" Type="http://schemas.openxmlformats.org/officeDocument/2006/relationships/hyperlink" Target="https://twitter.com/FatihGologluu/status/723529860858011648" TargetMode="External"/><Relationship Id="rId19483" Type="http://schemas.openxmlformats.org/officeDocument/2006/relationships/hyperlink" Target="https://twitter.com/SAHotwheels/status/723935863210528768" TargetMode="External"/><Relationship Id="rId20309" Type="http://schemas.openxmlformats.org/officeDocument/2006/relationships/hyperlink" Target="https://twitter.com/RenzoRodriguez_" TargetMode="External"/><Relationship Id="rId23879" Type="http://schemas.openxmlformats.org/officeDocument/2006/relationships/hyperlink" Target="https://pbs.twimg.com/profile_images/709506642883256323/WAGmegiM_normal.jpg" TargetMode="External"/><Relationship Id="rId8491" Type="http://schemas.openxmlformats.org/officeDocument/2006/relationships/hyperlink" Target="https://twitter.com/fabianrothco/status/723390896805277698" TargetMode="External"/><Relationship Id="rId9542" Type="http://schemas.openxmlformats.org/officeDocument/2006/relationships/hyperlink" Target="http://mikata.de/" TargetMode="External"/><Relationship Id="rId11472" Type="http://schemas.openxmlformats.org/officeDocument/2006/relationships/hyperlink" Target="https://pbs.twimg.com/profile_images/723427380052684801/kyiUrlPW_normal.jpg" TargetMode="External"/><Relationship Id="rId12523" Type="http://schemas.openxmlformats.org/officeDocument/2006/relationships/hyperlink" Target="https://twitter.com/Renesource" TargetMode="External"/><Relationship Id="rId13921" Type="http://schemas.openxmlformats.org/officeDocument/2006/relationships/hyperlink" Target="https://twitter.com/uschaefer/status/723558787622285312" TargetMode="External"/><Relationship Id="rId18085" Type="http://schemas.openxmlformats.org/officeDocument/2006/relationships/hyperlink" Target="https://twitter.com/voosvoos/status/723844599421276160" TargetMode="External"/><Relationship Id="rId19136" Type="http://schemas.openxmlformats.org/officeDocument/2006/relationships/hyperlink" Target="https://twitter.com/pathgirl888/status/723921025294016513" TargetMode="External"/><Relationship Id="rId901" Type="http://schemas.openxmlformats.org/officeDocument/2006/relationships/hyperlink" Target="https://pbs.twimg.com/profile_images/680948958844338176/k8qFUheG_normal.png" TargetMode="External"/><Relationship Id="rId1531" Type="http://schemas.openxmlformats.org/officeDocument/2006/relationships/hyperlink" Target="https://pbs.twimg.com/profile_images/678935142824550400/JdB89I4k_normal.jpg" TargetMode="External"/><Relationship Id="rId7093" Type="http://schemas.openxmlformats.org/officeDocument/2006/relationships/hyperlink" Target="https://twitter.com/S1mon76/status/723278112004444160" TargetMode="External"/><Relationship Id="rId8144" Type="http://schemas.openxmlformats.org/officeDocument/2006/relationships/hyperlink" Target="https://twitter.com/OnlineCarReview/status/723371889532379137" TargetMode="External"/><Relationship Id="rId10074" Type="http://schemas.openxmlformats.org/officeDocument/2006/relationships/hyperlink" Target="https://pbs.twimg.com/profile_images/702511217793863680/lty8h9vE_normal.jpg" TargetMode="External"/><Relationship Id="rId11125" Type="http://schemas.openxmlformats.org/officeDocument/2006/relationships/hyperlink" Target="https://pbs.twimg.com/profile_images/466908605317279744/I5a712BQ_normal.jpeg" TargetMode="External"/><Relationship Id="rId4754" Type="http://schemas.openxmlformats.org/officeDocument/2006/relationships/hyperlink" Target="https://twitter.com/alloracomm/status/723186713414111234" TargetMode="External"/><Relationship Id="rId13297" Type="http://schemas.openxmlformats.org/officeDocument/2006/relationships/hyperlink" Target="https://pbs.twimg.com/profile_images/666772755593973763/g8cNvIw4_normal.jpg" TargetMode="External"/><Relationship Id="rId14695" Type="http://schemas.openxmlformats.org/officeDocument/2006/relationships/hyperlink" Target="https://twitter.com/Nevriye24" TargetMode="External"/><Relationship Id="rId15746" Type="http://schemas.openxmlformats.org/officeDocument/2006/relationships/hyperlink" Target="https://pbs.twimg.com/profile_images/1172177646/AAC-web-logo-square_normal.jpg" TargetMode="External"/><Relationship Id="rId22962" Type="http://schemas.openxmlformats.org/officeDocument/2006/relationships/hyperlink" Target="http://dlvr.it/" TargetMode="External"/><Relationship Id="rId3356" Type="http://schemas.openxmlformats.org/officeDocument/2006/relationships/hyperlink" Target="https://twitter.com/VWCamperSales/status/723153359620857856" TargetMode="External"/><Relationship Id="rId4407" Type="http://schemas.openxmlformats.org/officeDocument/2006/relationships/hyperlink" Target="https://pbs.twimg.com/profile_images/378800000756387886/c547a918bcad5d95a42507361c94d2fa_normal.png" TargetMode="External"/><Relationship Id="rId5805" Type="http://schemas.openxmlformats.org/officeDocument/2006/relationships/hyperlink" Target="https://twitter.com/glenmavis" TargetMode="External"/><Relationship Id="rId14348" Type="http://schemas.openxmlformats.org/officeDocument/2006/relationships/hyperlink" Target="https://twitter.com/JamieWestwood12" TargetMode="External"/><Relationship Id="rId18969" Type="http://schemas.openxmlformats.org/officeDocument/2006/relationships/hyperlink" Target="https://twitter.com/AlmendraJuN" TargetMode="External"/><Relationship Id="rId20166" Type="http://schemas.openxmlformats.org/officeDocument/2006/relationships/hyperlink" Target="https://pbs.twimg.com/profile_images/530071272881803264/a_jcCmPZ_normal.png" TargetMode="External"/><Relationship Id="rId21217" Type="http://schemas.openxmlformats.org/officeDocument/2006/relationships/hyperlink" Target="https://twitter.com/johnwhalvin" TargetMode="External"/><Relationship Id="rId21564" Type="http://schemas.openxmlformats.org/officeDocument/2006/relationships/hyperlink" Target="https://pbs.twimg.com/profile_images/718839998531903489/eXyeGppJ_normal.jpg" TargetMode="External"/><Relationship Id="rId22615" Type="http://schemas.openxmlformats.org/officeDocument/2006/relationships/hyperlink" Target="https://twitter.com/tayf10/status/724234906398777344" TargetMode="External"/><Relationship Id="rId277" Type="http://schemas.openxmlformats.org/officeDocument/2006/relationships/hyperlink" Target="https://twitter.com/VolkswagenPost" TargetMode="External"/><Relationship Id="rId3009" Type="http://schemas.openxmlformats.org/officeDocument/2006/relationships/hyperlink" Target="https://twitter.com/dan290888" TargetMode="External"/><Relationship Id="rId7977" Type="http://schemas.openxmlformats.org/officeDocument/2006/relationships/hyperlink" Target="https://pbs.twimg.com/profile_images/703661977130942464/zCAp41yU_normal.jpg" TargetMode="External"/><Relationship Id="rId10958" Type="http://schemas.openxmlformats.org/officeDocument/2006/relationships/hyperlink" Target="https://pbs.twimg.com/profile_images/589041144027357185/LMeiK-X6_normal.jpg" TargetMode="External"/><Relationship Id="rId24787" Type="http://schemas.openxmlformats.org/officeDocument/2006/relationships/hyperlink" Target="https://twitter.com/FuscaWorld/status/724387807586856964" TargetMode="External"/><Relationship Id="rId6579" Type="http://schemas.openxmlformats.org/officeDocument/2006/relationships/hyperlink" Target="https://twitter.com/cesaringg/status/723247028474679296" TargetMode="External"/><Relationship Id="rId9052" Type="http://schemas.openxmlformats.org/officeDocument/2006/relationships/hyperlink" Target="https://twitter.com/TymukUpdates" TargetMode="External"/><Relationship Id="rId12380" Type="http://schemas.openxmlformats.org/officeDocument/2006/relationships/hyperlink" Target="https://pbs.twimg.com/profile_images/2223831714/Malte_Kreutzfeldt1_normal.JPG" TargetMode="External"/><Relationship Id="rId13431" Type="http://schemas.openxmlformats.org/officeDocument/2006/relationships/hyperlink" Target="https://twitter.com/meise_o" TargetMode="External"/><Relationship Id="rId23389" Type="http://schemas.openxmlformats.org/officeDocument/2006/relationships/hyperlink" Target="https://twitter.com/JanaHeykDesign/status/724285223203147781" TargetMode="External"/><Relationship Id="rId12033" Type="http://schemas.openxmlformats.org/officeDocument/2006/relationships/hyperlink" Target="https://pbs.twimg.com/profile_images/378800000540233318/80e8ae4c675ea770cfdcfc4bdee19598_normal.jpeg" TargetMode="External"/><Relationship Id="rId16654" Type="http://schemas.openxmlformats.org/officeDocument/2006/relationships/hyperlink" Target="https://pbs.twimg.com/profile_images/721394143377932288/ImLRgOKY_normal.jpg" TargetMode="External"/><Relationship Id="rId17705" Type="http://schemas.openxmlformats.org/officeDocument/2006/relationships/hyperlink" Target="https://pbs.twimg.com/profile_images/721601549668065280/tkUXV8EY_normal.jpg" TargetMode="External"/><Relationship Id="rId20300" Type="http://schemas.openxmlformats.org/officeDocument/2006/relationships/hyperlink" Target="https://twitter.com/69GILLBERTxK" TargetMode="External"/><Relationship Id="rId23870" Type="http://schemas.openxmlformats.org/officeDocument/2006/relationships/hyperlink" Target="https://pbs.twimg.com/profile_images/1610421423/Image2_normal.jpg" TargetMode="External"/><Relationship Id="rId411" Type="http://schemas.openxmlformats.org/officeDocument/2006/relationships/hyperlink" Target="https://twitter.com/junior1980rodr/status/722956107992457216" TargetMode="External"/><Relationship Id="rId1041" Type="http://schemas.openxmlformats.org/officeDocument/2006/relationships/hyperlink" Target="https://twitter.com/vaughn_bill" TargetMode="External"/><Relationship Id="rId5662" Type="http://schemas.openxmlformats.org/officeDocument/2006/relationships/hyperlink" Target="https://pbs.twimg.com/profile_images/693156293842894848/THX8L389_normal.jpg" TargetMode="External"/><Relationship Id="rId6713" Type="http://schemas.openxmlformats.org/officeDocument/2006/relationships/hyperlink" Target="https://pbs.twimg.com/profile_images/3642579669/ed031c60d44e627a721408cb192cca3a_normal.png" TargetMode="External"/><Relationship Id="rId15256" Type="http://schemas.openxmlformats.org/officeDocument/2006/relationships/hyperlink" Target="https://twitter.com/VWCamperSales/status/723601304975601664" TargetMode="External"/><Relationship Id="rId16307" Type="http://schemas.openxmlformats.org/officeDocument/2006/relationships/hyperlink" Target="https://twitter.com/SnowAngel0724/status/723667091153248256" TargetMode="External"/><Relationship Id="rId22472" Type="http://schemas.openxmlformats.org/officeDocument/2006/relationships/hyperlink" Target="https://pbs.twimg.com/profile_images/627949001179037696/skEBkS05_normal.jpg" TargetMode="External"/><Relationship Id="rId23523" Type="http://schemas.openxmlformats.org/officeDocument/2006/relationships/hyperlink" Target="https://twitter.com/mascoche/status/724295667108220928" TargetMode="External"/><Relationship Id="rId24921" Type="http://schemas.openxmlformats.org/officeDocument/2006/relationships/hyperlink" Target="https://twitter.com/VR_Porn" TargetMode="External"/><Relationship Id="rId4264" Type="http://schemas.openxmlformats.org/officeDocument/2006/relationships/hyperlink" Target="https://pbs.twimg.com/profile_images/474185502388518912/sROk9L0u_normal.png" TargetMode="External"/><Relationship Id="rId5315" Type="http://schemas.openxmlformats.org/officeDocument/2006/relationships/hyperlink" Target="https://pbs.twimg.com/profile_images/675744269617893376/euzFIoRi_normal.png" TargetMode="External"/><Relationship Id="rId8885" Type="http://schemas.openxmlformats.org/officeDocument/2006/relationships/hyperlink" Target="https://twitter.com/caro3009" TargetMode="External"/><Relationship Id="rId18479" Type="http://schemas.openxmlformats.org/officeDocument/2006/relationships/hyperlink" Target="https://pbs.twimg.com/profile_images/712451398361714688/lMb1t3cS_normal.jpg" TargetMode="External"/><Relationship Id="rId19877" Type="http://schemas.openxmlformats.org/officeDocument/2006/relationships/hyperlink" Target="https://twitter.com/Marilynnavas1/status/723962338764791809" TargetMode="External"/><Relationship Id="rId21074" Type="http://schemas.openxmlformats.org/officeDocument/2006/relationships/hyperlink" Target="https://twitter.com/breedveldusa/status/724093011504828416" TargetMode="External"/><Relationship Id="rId22125" Type="http://schemas.openxmlformats.org/officeDocument/2006/relationships/hyperlink" Target="https://twitter.com/techhippie/status/724201973860409344" TargetMode="External"/><Relationship Id="rId7487" Type="http://schemas.openxmlformats.org/officeDocument/2006/relationships/hyperlink" Target="https://twitter.com/VWCamperSales" TargetMode="External"/><Relationship Id="rId8538" Type="http://schemas.openxmlformats.org/officeDocument/2006/relationships/hyperlink" Target="https://pbs.twimg.com/profile_images/511918427611869184/vNsvctzi_normal.jpeg" TargetMode="External"/><Relationship Id="rId9936" Type="http://schemas.openxmlformats.org/officeDocument/2006/relationships/hyperlink" Target="http://dlvr.it/" TargetMode="External"/><Relationship Id="rId11866" Type="http://schemas.openxmlformats.org/officeDocument/2006/relationships/hyperlink" Target="https://pbs.twimg.com/profile_images/669112672001069056/l7S_rpT9_normal.jpg" TargetMode="External"/><Relationship Id="rId12917" Type="http://schemas.openxmlformats.org/officeDocument/2006/relationships/hyperlink" Target="https://pbs.twimg.com/profile_images/2592181176/udsjv0fy0o3b2krnx52h_normal.jpeg" TargetMode="External"/><Relationship Id="rId24297" Type="http://schemas.openxmlformats.org/officeDocument/2006/relationships/hyperlink" Target="https://twitter.com/dronodromo/status/724346009917247488" TargetMode="External"/><Relationship Id="rId25348" Type="http://schemas.openxmlformats.org/officeDocument/2006/relationships/hyperlink" Target="https://twitter.com/RobertoGarciaV_/status/724432302873432065" TargetMode="External"/><Relationship Id="rId25695" Type="http://schemas.openxmlformats.org/officeDocument/2006/relationships/hyperlink" Target="https://twitter.com/cmsGOMEX" TargetMode="External"/><Relationship Id="rId1925" Type="http://schemas.openxmlformats.org/officeDocument/2006/relationships/hyperlink" Target="https://twitter.com/MathiasB9" TargetMode="External"/><Relationship Id="rId6089" Type="http://schemas.openxmlformats.org/officeDocument/2006/relationships/hyperlink" Target="https://twitter.com/VWCamperSales" TargetMode="External"/><Relationship Id="rId10468" Type="http://schemas.openxmlformats.org/officeDocument/2006/relationships/hyperlink" Target="https://twitter.com/carzinegr" TargetMode="External"/><Relationship Id="rId11519" Type="http://schemas.openxmlformats.org/officeDocument/2006/relationships/hyperlink" Target="https://twitter.com/BREAKING_EIL/status/723503144416751616" TargetMode="External"/><Relationship Id="rId18960" Type="http://schemas.openxmlformats.org/officeDocument/2006/relationships/hyperlink" Target="https://twitter.com/yann_drareg" TargetMode="External"/><Relationship Id="rId17562" Type="http://schemas.openxmlformats.org/officeDocument/2006/relationships/hyperlink" Target="https://twitter.com/Eliott_Law" TargetMode="External"/><Relationship Id="rId18613" Type="http://schemas.openxmlformats.org/officeDocument/2006/relationships/hyperlink" Target="https://pbs.twimg.com/profile_images/423811151109976064/7Vsor0Pi_normal.png" TargetMode="External"/><Relationship Id="rId21958" Type="http://schemas.openxmlformats.org/officeDocument/2006/relationships/hyperlink" Target="https://pbs.twimg.com/profile_images/695355061635932160/5oTfZ6Ac_normal.jpg" TargetMode="External"/><Relationship Id="rId2699" Type="http://schemas.openxmlformats.org/officeDocument/2006/relationships/hyperlink" Target="http://5bieg.pl/" TargetMode="External"/><Relationship Id="rId3000" Type="http://schemas.openxmlformats.org/officeDocument/2006/relationships/hyperlink" Target="https://twitter.com/migladin/status/723131199565103104" TargetMode="External"/><Relationship Id="rId6570" Type="http://schemas.openxmlformats.org/officeDocument/2006/relationships/hyperlink" Target="https://twitter.com/VWSouthCoast/status/723246856164134914" TargetMode="External"/><Relationship Id="rId7621" Type="http://schemas.openxmlformats.org/officeDocument/2006/relationships/hyperlink" Target="https://pbs.twimg.com/profile_images/714657397692841984/QHEc2TJ7_normal.jpg" TargetMode="External"/><Relationship Id="rId10602" Type="http://schemas.openxmlformats.org/officeDocument/2006/relationships/hyperlink" Target="https://twitter.com/BeetleJuiceltd" TargetMode="External"/><Relationship Id="rId16164" Type="http://schemas.openxmlformats.org/officeDocument/2006/relationships/hyperlink" Target="https://twitter.com/classactionlaw" TargetMode="External"/><Relationship Id="rId17215" Type="http://schemas.openxmlformats.org/officeDocument/2006/relationships/hyperlink" Target="https://pbs.twimg.com/profile_images/2868729622/b3269f7a53245c31450b1e9eb53adf80_normal.png" TargetMode="External"/><Relationship Id="rId23380" Type="http://schemas.openxmlformats.org/officeDocument/2006/relationships/hyperlink" Target="https://twitter.com/VWBeetleSales" TargetMode="External"/><Relationship Id="rId24431" Type="http://schemas.openxmlformats.org/officeDocument/2006/relationships/hyperlink" Target="https://pbs.twimg.com/profile_images/672878354127839232/M7OYc-zx_normal.jpg" TargetMode="External"/><Relationship Id="rId5172" Type="http://schemas.openxmlformats.org/officeDocument/2006/relationships/hyperlink" Target="https://twitter.com/UniversityVWM" TargetMode="External"/><Relationship Id="rId6223" Type="http://schemas.openxmlformats.org/officeDocument/2006/relationships/hyperlink" Target="https://twitter.com/VWShawty/status/723235427449085952" TargetMode="External"/><Relationship Id="rId9793" Type="http://schemas.openxmlformats.org/officeDocument/2006/relationships/hyperlink" Target="https://twitter.com/VWBeetleSales" TargetMode="External"/><Relationship Id="rId19387" Type="http://schemas.openxmlformats.org/officeDocument/2006/relationships/hyperlink" Target="https://twitter.com/FuscaWorld/status/723929194380595201" TargetMode="External"/><Relationship Id="rId23033" Type="http://schemas.openxmlformats.org/officeDocument/2006/relationships/hyperlink" Target="https://twitter.com/tinytyff" TargetMode="External"/><Relationship Id="rId1782" Type="http://schemas.openxmlformats.org/officeDocument/2006/relationships/hyperlink" Target="https://twitter.com/EineAnderePolit" TargetMode="External"/><Relationship Id="rId2833" Type="http://schemas.openxmlformats.org/officeDocument/2006/relationships/hyperlink" Target="https://twitter.com/DubLuvTuning/status/723121566129741824" TargetMode="External"/><Relationship Id="rId8395" Type="http://schemas.openxmlformats.org/officeDocument/2006/relationships/hyperlink" Target="https://twitter.com/tooppermann" TargetMode="External"/><Relationship Id="rId9446" Type="http://schemas.openxmlformats.org/officeDocument/2006/relationships/hyperlink" Target="https://twitter.com/Woogpirat/status/723435265369333760" TargetMode="External"/><Relationship Id="rId11376" Type="http://schemas.openxmlformats.org/officeDocument/2006/relationships/hyperlink" Target="https://pbs.twimg.com/profile_images/471294691783098369/x9C02baa_normal.png" TargetMode="External"/><Relationship Id="rId12774" Type="http://schemas.openxmlformats.org/officeDocument/2006/relationships/hyperlink" Target="http://mycar.be/" TargetMode="External"/><Relationship Id="rId13825" Type="http://schemas.openxmlformats.org/officeDocument/2006/relationships/hyperlink" Target="https://twitter.com/BillJacobsVW/status/723556998311206912" TargetMode="External"/><Relationship Id="rId805" Type="http://schemas.openxmlformats.org/officeDocument/2006/relationships/hyperlink" Target="https://twitter.com/stefanmeierfkw/status/722985702590414848" TargetMode="External"/><Relationship Id="rId1435" Type="http://schemas.openxmlformats.org/officeDocument/2006/relationships/hyperlink" Target="https://pbs.twimg.com/profile_images/718820712757215233/LXXndPTS_normal.jpg" TargetMode="External"/><Relationship Id="rId8048" Type="http://schemas.openxmlformats.org/officeDocument/2006/relationships/hyperlink" Target="https://twitter.com/FuscaWorld" TargetMode="External"/><Relationship Id="rId11029" Type="http://schemas.openxmlformats.org/officeDocument/2006/relationships/hyperlink" Target="https://twitter.com/LenaHR2" TargetMode="External"/><Relationship Id="rId12427" Type="http://schemas.openxmlformats.org/officeDocument/2006/relationships/hyperlink" Target="https://twitter.com/ozaed" TargetMode="External"/><Relationship Id="rId15997" Type="http://schemas.openxmlformats.org/officeDocument/2006/relationships/hyperlink" Target="https://pbs.twimg.com/profile_images/472526808785887234/G8ib9GJj_normal.jpeg" TargetMode="External"/><Relationship Id="rId14599" Type="http://schemas.openxmlformats.org/officeDocument/2006/relationships/hyperlink" Target="https://twitter.com/ratemycamper/status/723576457839140864" TargetMode="External"/><Relationship Id="rId18470" Type="http://schemas.openxmlformats.org/officeDocument/2006/relationships/hyperlink" Target="https://twitter.com/FuscaWorld" TargetMode="External"/><Relationship Id="rId19521" Type="http://schemas.openxmlformats.org/officeDocument/2006/relationships/hyperlink" Target="https://pbs.twimg.com/profile_images/378800000572104796/1de43e1cf23efb3f4101c02afad0d3b6_normal.png" TargetMode="External"/><Relationship Id="rId22866" Type="http://schemas.openxmlformats.org/officeDocument/2006/relationships/hyperlink" Target="https://twitter.com/PorscheOfficApp/status/724253419037437952" TargetMode="External"/><Relationship Id="rId23917" Type="http://schemas.openxmlformats.org/officeDocument/2006/relationships/hyperlink" Target="https://pbs.twimg.com/profile_images/718820712757215233/LXXndPTS_normal.jpg" TargetMode="External"/><Relationship Id="rId4658" Type="http://schemas.openxmlformats.org/officeDocument/2006/relationships/hyperlink" Target="https://twitter.com/ExCEO_/status/723184446900334593" TargetMode="External"/><Relationship Id="rId5709" Type="http://schemas.openxmlformats.org/officeDocument/2006/relationships/hyperlink" Target="https://twitter.com/Mphilpot1/status/723213980164984833" TargetMode="External"/><Relationship Id="rId6080" Type="http://schemas.openxmlformats.org/officeDocument/2006/relationships/hyperlink" Target="https://twitter.com/Mphilpot1/status/723229616060534784" TargetMode="External"/><Relationship Id="rId7131" Type="http://schemas.openxmlformats.org/officeDocument/2006/relationships/hyperlink" Target="https://twitter.com/k_bolesta" TargetMode="External"/><Relationship Id="rId11510" Type="http://schemas.openxmlformats.org/officeDocument/2006/relationships/hyperlink" Target="https://twitter.com/RVingTweets/status/723503113756274688" TargetMode="External"/><Relationship Id="rId17072" Type="http://schemas.openxmlformats.org/officeDocument/2006/relationships/hyperlink" Target="https://twitter.com/AdvisorAbbate/status/723768773799366657" TargetMode="External"/><Relationship Id="rId18123" Type="http://schemas.openxmlformats.org/officeDocument/2006/relationships/hyperlink" Target="https://twitter.com/FuscaWorld" TargetMode="External"/><Relationship Id="rId21468" Type="http://schemas.openxmlformats.org/officeDocument/2006/relationships/hyperlink" Target="https://twitter.com/plastic_lettuce/status/724150823828226048" TargetMode="External"/><Relationship Id="rId22519" Type="http://schemas.openxmlformats.org/officeDocument/2006/relationships/hyperlink" Target="https://pbs.twimg.com/profile_images/483960464880046081/sro2iCnd_normal.jpeg" TargetMode="External"/><Relationship Id="rId10112" Type="http://schemas.openxmlformats.org/officeDocument/2006/relationships/hyperlink" Target="https://pbs.twimg.com/profile_images/378800000483266825/04beb03e7b0362b2274289c3a31f23cb_normal.jpeg" TargetMode="External"/><Relationship Id="rId13682" Type="http://schemas.openxmlformats.org/officeDocument/2006/relationships/hyperlink" Target="https://twitter.com/VWCamperSales" TargetMode="External"/><Relationship Id="rId14733" Type="http://schemas.openxmlformats.org/officeDocument/2006/relationships/hyperlink" Target="https://pbs.twimg.com/profile_images/718471023616770049/pJARbhRj_normal.jpg" TargetMode="External"/><Relationship Id="rId2690" Type="http://schemas.openxmlformats.org/officeDocument/2006/relationships/hyperlink" Target="https://pbs.twimg.com/profile_images/679947479798968320/XbB1jetP_normal.jpg" TargetMode="External"/><Relationship Id="rId3741" Type="http://schemas.openxmlformats.org/officeDocument/2006/relationships/hyperlink" Target="https://twitter.com/BungerKCBS/status/723168599188217858" TargetMode="External"/><Relationship Id="rId12284" Type="http://schemas.openxmlformats.org/officeDocument/2006/relationships/hyperlink" Target="https://twitter.com/kirillklip/status/723516635101990913" TargetMode="External"/><Relationship Id="rId13335" Type="http://schemas.openxmlformats.org/officeDocument/2006/relationships/hyperlink" Target="https://twitter.com/helichristine/status/723543690803875840" TargetMode="External"/><Relationship Id="rId20551" Type="http://schemas.openxmlformats.org/officeDocument/2006/relationships/hyperlink" Target="https://pbs.twimg.com/profile_images/3384121948/287e5df302a18d489e9bce00f83ffd7f_normal.png" TargetMode="External"/><Relationship Id="rId21602" Type="http://schemas.openxmlformats.org/officeDocument/2006/relationships/hyperlink" Target="https://twitter.com/beetlebug1938/status/724163294026711040" TargetMode="External"/><Relationship Id="rId662" Type="http://schemas.openxmlformats.org/officeDocument/2006/relationships/hyperlink" Target="https://pbs.twimg.com/profile_images/534286982751731712/AbQ3hQiy_normal.jpeg" TargetMode="External"/><Relationship Id="rId1292" Type="http://schemas.openxmlformats.org/officeDocument/2006/relationships/hyperlink" Target="https://twitter.com/Speak_EV/status/723032558733262848" TargetMode="External"/><Relationship Id="rId2343" Type="http://schemas.openxmlformats.org/officeDocument/2006/relationships/hyperlink" Target="https://twitter.com/VolkswagenCZ" TargetMode="External"/><Relationship Id="rId6964" Type="http://schemas.openxmlformats.org/officeDocument/2006/relationships/hyperlink" Target="https://pbs.twimg.com/profile_images/3057784625/13b5964242f4d542ae1a72c7a4b5e6ed_normal.jpeg" TargetMode="External"/><Relationship Id="rId16558" Type="http://schemas.openxmlformats.org/officeDocument/2006/relationships/hyperlink" Target="https://twitter.com/beetlebug1938" TargetMode="External"/><Relationship Id="rId17956" Type="http://schemas.openxmlformats.org/officeDocument/2006/relationships/hyperlink" Target="https://pbs.twimg.com/profile_images/627949001179037696/skEBkS05_normal.jpg" TargetMode="External"/><Relationship Id="rId20204" Type="http://schemas.openxmlformats.org/officeDocument/2006/relationships/hyperlink" Target="https://twitter.com/Eduardo_MejiaV/status/723981609872056320" TargetMode="External"/><Relationship Id="rId315" Type="http://schemas.openxmlformats.org/officeDocument/2006/relationships/hyperlink" Target="https://pbs.twimg.com/profile_images/530071272881803264/a_jcCmPZ_normal.png" TargetMode="External"/><Relationship Id="rId5566" Type="http://schemas.openxmlformats.org/officeDocument/2006/relationships/hyperlink" Target="https://twitter.com/SusaaaanCondon" TargetMode="External"/><Relationship Id="rId6617" Type="http://schemas.openxmlformats.org/officeDocument/2006/relationships/hyperlink" Target="https://pbs.twimg.com/profile_images/671465231680462848/nzWxxzZJ_normal.jpg" TargetMode="External"/><Relationship Id="rId17609" Type="http://schemas.openxmlformats.org/officeDocument/2006/relationships/hyperlink" Target="https://twitter.com/Racing_Aces/status/723809770071834624" TargetMode="External"/><Relationship Id="rId19031" Type="http://schemas.openxmlformats.org/officeDocument/2006/relationships/hyperlink" Target="https://twitter.com/dejbanlaw/status/723914670382284800" TargetMode="External"/><Relationship Id="rId22376" Type="http://schemas.openxmlformats.org/officeDocument/2006/relationships/hyperlink" Target="https://pbs.twimg.com/profile_images/1353856007/92386578442_normal.jpg" TargetMode="External"/><Relationship Id="rId23427" Type="http://schemas.openxmlformats.org/officeDocument/2006/relationships/hyperlink" Target="https://twitter.com/Mister_Ka/status/724288131424505856" TargetMode="External"/><Relationship Id="rId23774" Type="http://schemas.openxmlformats.org/officeDocument/2006/relationships/hyperlink" Target="https://twitter.com/maryyfrias" TargetMode="External"/><Relationship Id="rId24825" Type="http://schemas.openxmlformats.org/officeDocument/2006/relationships/hyperlink" Target="https://pbs.twimg.com/profile_images/464482966409068544/-gzay6sr_normal.jpeg" TargetMode="External"/><Relationship Id="rId4168" Type="http://schemas.openxmlformats.org/officeDocument/2006/relationships/hyperlink" Target="https://pbs.twimg.com/profile_images/631084316802482176/y_wtMQWR_normal.png" TargetMode="External"/><Relationship Id="rId5219" Type="http://schemas.openxmlformats.org/officeDocument/2006/relationships/hyperlink" Target="https://twitter.com/jofrov/status/723197580839137280" TargetMode="External"/><Relationship Id="rId22029" Type="http://schemas.openxmlformats.org/officeDocument/2006/relationships/hyperlink" Target="https://twitter.com/SqueakySays" TargetMode="External"/><Relationship Id="rId8789" Type="http://schemas.openxmlformats.org/officeDocument/2006/relationships/hyperlink" Target="https://twitter.com/TechXB" TargetMode="External"/><Relationship Id="rId11020" Type="http://schemas.openxmlformats.org/officeDocument/2006/relationships/hyperlink" Target="https://twitter.com/MSAMBULANCE" TargetMode="External"/><Relationship Id="rId14590" Type="http://schemas.openxmlformats.org/officeDocument/2006/relationships/hyperlink" Target="https://twitter.com/MiiqaaNu/status/723576107971317760" TargetMode="External"/><Relationship Id="rId15641" Type="http://schemas.openxmlformats.org/officeDocument/2006/relationships/hyperlink" Target="https://twitter.com/DubLuvTuning/status/723618290589949952" TargetMode="External"/><Relationship Id="rId25599" Type="http://schemas.openxmlformats.org/officeDocument/2006/relationships/hyperlink" Target="https://twitter.com/breedveldusa/status/724450757345468416" TargetMode="External"/><Relationship Id="rId1829" Type="http://schemas.openxmlformats.org/officeDocument/2006/relationships/hyperlink" Target="https://twitter.com/shinemyrideuk/status/723061297349271552" TargetMode="External"/><Relationship Id="rId5700" Type="http://schemas.openxmlformats.org/officeDocument/2006/relationships/hyperlink" Target="https://twitter.com/BenFajzullin/status/723213592485613568" TargetMode="External"/><Relationship Id="rId13192" Type="http://schemas.openxmlformats.org/officeDocument/2006/relationships/hyperlink" Target="https://twitter.com/RichardRead/status/723538398003130368" TargetMode="External"/><Relationship Id="rId14243" Type="http://schemas.openxmlformats.org/officeDocument/2006/relationships/hyperlink" Target="https://twitter.com/CoopsNeil/status/723570784669716480" TargetMode="External"/><Relationship Id="rId18864" Type="http://schemas.openxmlformats.org/officeDocument/2006/relationships/hyperlink" Target="https://pbs.twimg.com/profile_images/3649681243/9f25e8e5f30d14c88d6ab8535050ac8e_normal.jpeg" TargetMode="External"/><Relationship Id="rId19915" Type="http://schemas.openxmlformats.org/officeDocument/2006/relationships/hyperlink" Target="https://twitter.com/SobreRuedasLT9" TargetMode="External"/><Relationship Id="rId22510" Type="http://schemas.openxmlformats.org/officeDocument/2006/relationships/hyperlink" Target="https://pbs.twimg.com/profile_images/702271663644286976/bOsxJtiK_normal.png" TargetMode="External"/><Relationship Id="rId3251" Type="http://schemas.openxmlformats.org/officeDocument/2006/relationships/hyperlink" Target="https://twitter.com/HaugHenseler" TargetMode="External"/><Relationship Id="rId4302" Type="http://schemas.openxmlformats.org/officeDocument/2006/relationships/hyperlink" Target="https://twitter.com/carrieella" TargetMode="External"/><Relationship Id="rId7872" Type="http://schemas.openxmlformats.org/officeDocument/2006/relationships/hyperlink" Target="https://pbs.twimg.com/profile_images/708466589696262144/0z2VO5-J_normal.jpg" TargetMode="External"/><Relationship Id="rId8923" Type="http://schemas.openxmlformats.org/officeDocument/2006/relationships/hyperlink" Target="https://pbs.twimg.com/profile_images/700351986668072960/jgas1t1D_normal.jpg" TargetMode="External"/><Relationship Id="rId17466" Type="http://schemas.openxmlformats.org/officeDocument/2006/relationships/hyperlink" Target="https://pbs.twimg.com/profile_images/720264922844786688/5Vt8GBnt_normal.jpg" TargetMode="External"/><Relationship Id="rId18517" Type="http://schemas.openxmlformats.org/officeDocument/2006/relationships/hyperlink" Target="https://twitter.com/PheonixJane/status/723874563428331520" TargetMode="External"/><Relationship Id="rId20061" Type="http://schemas.openxmlformats.org/officeDocument/2006/relationships/hyperlink" Target="https://pbs.twimg.com/profile_images/656943622139588608/S62sSdX8_normal.jpg" TargetMode="External"/><Relationship Id="rId21112" Type="http://schemas.openxmlformats.org/officeDocument/2006/relationships/hyperlink" Target="https://pbs.twimg.com/profile_images/718820712757215233/LXXndPTS_normal.jpg" TargetMode="External"/><Relationship Id="rId24682" Type="http://schemas.openxmlformats.org/officeDocument/2006/relationships/hyperlink" Target="https://twitter.com/gemphotos" TargetMode="External"/><Relationship Id="rId25733" Type="http://schemas.openxmlformats.org/officeDocument/2006/relationships/hyperlink" Target="https://pbs.twimg.com/profile_images/692720660016136193/iach6pOV_normal.jpg" TargetMode="External"/><Relationship Id="rId172" Type="http://schemas.openxmlformats.org/officeDocument/2006/relationships/hyperlink" Target="https://twitter.com/VCT_Tweets/status/722931701538795520" TargetMode="External"/><Relationship Id="rId6474" Type="http://schemas.openxmlformats.org/officeDocument/2006/relationships/hyperlink" Target="https://twitter.com/EnthusiastView/status/723244305540771840" TargetMode="External"/><Relationship Id="rId7525" Type="http://schemas.openxmlformats.org/officeDocument/2006/relationships/hyperlink" Target="https://twitter.com/gastongomez6173/status/723308499493609472" TargetMode="External"/><Relationship Id="rId10853" Type="http://schemas.openxmlformats.org/officeDocument/2006/relationships/hyperlink" Target="https://pbs.twimg.com/profile_images/499290018368598016/4mR--6E5_normal.jpeg" TargetMode="External"/><Relationship Id="rId11904" Type="http://schemas.openxmlformats.org/officeDocument/2006/relationships/hyperlink" Target="https://twitter.com/JockBuster/status/723509760738238464" TargetMode="External"/><Relationship Id="rId16068" Type="http://schemas.openxmlformats.org/officeDocument/2006/relationships/hyperlink" Target="https://twitter.com/_kuball_/status/723647057005797377" TargetMode="External"/><Relationship Id="rId17119" Type="http://schemas.openxmlformats.org/officeDocument/2006/relationships/hyperlink" Target="https://pbs.twimg.com/profile_images/685731696629669888/Q1eGq-ag_normal.png" TargetMode="External"/><Relationship Id="rId23284" Type="http://schemas.openxmlformats.org/officeDocument/2006/relationships/hyperlink" Target="https://twitter.com/saimisim_pasta" TargetMode="External"/><Relationship Id="rId24335" Type="http://schemas.openxmlformats.org/officeDocument/2006/relationships/hyperlink" Target="https://twitter.com/InstaNskAkadem" TargetMode="External"/><Relationship Id="rId5076" Type="http://schemas.openxmlformats.org/officeDocument/2006/relationships/hyperlink" Target="https://twitter.com/ibuscke" TargetMode="External"/><Relationship Id="rId6127" Type="http://schemas.openxmlformats.org/officeDocument/2006/relationships/hyperlink" Target="https://twitter.com/fonzonor" TargetMode="External"/><Relationship Id="rId9697" Type="http://schemas.openxmlformats.org/officeDocument/2006/relationships/hyperlink" Target="http://ctrlq.org/maps/address/" TargetMode="External"/><Relationship Id="rId10506" Type="http://schemas.openxmlformats.org/officeDocument/2006/relationships/hyperlink" Target="https://twitter.com/BOSSSIWELL" TargetMode="External"/><Relationship Id="rId1686" Type="http://schemas.openxmlformats.org/officeDocument/2006/relationships/hyperlink" Target="https://twitter.com/ywakrahS/status/723053069714464768" TargetMode="External"/><Relationship Id="rId8299" Type="http://schemas.openxmlformats.org/officeDocument/2006/relationships/hyperlink" Target="https://twitter.com/sjprost/status/723381703251619840" TargetMode="External"/><Relationship Id="rId12678" Type="http://schemas.openxmlformats.org/officeDocument/2006/relationships/hyperlink" Target="https://twitter.com/NDRreporter/status/723524881695014912" TargetMode="External"/><Relationship Id="rId13729" Type="http://schemas.openxmlformats.org/officeDocument/2006/relationships/hyperlink" Target="https://twitter.com/LucasSampieri" TargetMode="External"/><Relationship Id="rId17600" Type="http://schemas.openxmlformats.org/officeDocument/2006/relationships/hyperlink" Target="https://twitter.com/twiginza/status/723809148576497664" TargetMode="External"/><Relationship Id="rId20945" Type="http://schemas.openxmlformats.org/officeDocument/2006/relationships/hyperlink" Target="https://twitter.com/Scirocco_Tuning" TargetMode="External"/><Relationship Id="rId1339" Type="http://schemas.openxmlformats.org/officeDocument/2006/relationships/hyperlink" Target="https://twitter.com/IOLmotoring" TargetMode="External"/><Relationship Id="rId2737" Type="http://schemas.openxmlformats.org/officeDocument/2006/relationships/hyperlink" Target="http://wordpress.com/" TargetMode="External"/><Relationship Id="rId5210" Type="http://schemas.openxmlformats.org/officeDocument/2006/relationships/hyperlink" Target="https://pbs.twimg.com/profile_images/649649590703030272/Jxn1Hnno_normal.jpg" TargetMode="External"/><Relationship Id="rId15151" Type="http://schemas.openxmlformats.org/officeDocument/2006/relationships/hyperlink" Target="https://pbs.twimg.com/profile_images/626355400586211328/nSfVJgBQ_normal.jpg" TargetMode="External"/><Relationship Id="rId16202" Type="http://schemas.openxmlformats.org/officeDocument/2006/relationships/hyperlink" Target="https://twitter.com/VWBeetleSales/status/723657400146763777" TargetMode="External"/><Relationship Id="rId19772" Type="http://schemas.openxmlformats.org/officeDocument/2006/relationships/hyperlink" Target="https://twitter.com/Insta_VWT/status/723956766539702273" TargetMode="External"/><Relationship Id="rId709" Type="http://schemas.openxmlformats.org/officeDocument/2006/relationships/hyperlink" Target="https://twitter.com/marcus_philipp1" TargetMode="External"/><Relationship Id="rId8780" Type="http://schemas.openxmlformats.org/officeDocument/2006/relationships/hyperlink" Target="https://twitter.com/wiwo" TargetMode="External"/><Relationship Id="rId9831" Type="http://schemas.openxmlformats.org/officeDocument/2006/relationships/hyperlink" Target="https://twitter.com/yVe1705" TargetMode="External"/><Relationship Id="rId11761" Type="http://schemas.openxmlformats.org/officeDocument/2006/relationships/hyperlink" Target="https://pbs.twimg.com/profile_images/601508662855753728/ZJCskb0O_normal.jpg" TargetMode="External"/><Relationship Id="rId12812" Type="http://schemas.openxmlformats.org/officeDocument/2006/relationships/hyperlink" Target="https://twitter.com/beetlebug1938/status/723528058800603138" TargetMode="External"/><Relationship Id="rId18374" Type="http://schemas.openxmlformats.org/officeDocument/2006/relationships/hyperlink" Target="https://twitter.com/DroppedPictures" TargetMode="External"/><Relationship Id="rId19425" Type="http://schemas.openxmlformats.org/officeDocument/2006/relationships/hyperlink" Target="https://pbs.twimg.com/profile_images/1175575617/IMG_0526_normal.JPG" TargetMode="External"/><Relationship Id="rId22020" Type="http://schemas.openxmlformats.org/officeDocument/2006/relationships/hyperlink" Target="https://twitter.com/VWBeetleSales/status/724194611892088832" TargetMode="External"/><Relationship Id="rId25590" Type="http://schemas.openxmlformats.org/officeDocument/2006/relationships/hyperlink" Target="https://twitter.com/LuchiAltamira/status/724449996679057408" TargetMode="External"/><Relationship Id="rId45" Type="http://schemas.openxmlformats.org/officeDocument/2006/relationships/hyperlink" Target="https://pbs.twimg.com/profile_images/718820712757215233/LXXndPTS_normal.jpg" TargetMode="External"/><Relationship Id="rId1820" Type="http://schemas.openxmlformats.org/officeDocument/2006/relationships/hyperlink" Target="https://twitter.com/vwpress_de/status/723060517577850880" TargetMode="External"/><Relationship Id="rId7382" Type="http://schemas.openxmlformats.org/officeDocument/2006/relationships/hyperlink" Target="https://twitter.com/Sanscelerien" TargetMode="External"/><Relationship Id="rId8433" Type="http://schemas.openxmlformats.org/officeDocument/2006/relationships/hyperlink" Target="https://pbs.twimg.com/profile_images/2601940355/ftghy3nkuglnslpdg4s5_normal.jpeg" TargetMode="External"/><Relationship Id="rId10363" Type="http://schemas.openxmlformats.org/officeDocument/2006/relationships/hyperlink" Target="https://twitter.com/golfnovels/status/723470426689679360" TargetMode="External"/><Relationship Id="rId11414" Type="http://schemas.openxmlformats.org/officeDocument/2006/relationships/hyperlink" Target="https://twitter.com/GoldenAgerDe/status/723501946829713408" TargetMode="External"/><Relationship Id="rId18027" Type="http://schemas.openxmlformats.org/officeDocument/2006/relationships/hyperlink" Target="https://twitter.com/voosvoos/status/723843025257021440" TargetMode="External"/><Relationship Id="rId24192" Type="http://schemas.openxmlformats.org/officeDocument/2006/relationships/hyperlink" Target="https://twitter.com/BvdRides" TargetMode="External"/><Relationship Id="rId25243" Type="http://schemas.openxmlformats.org/officeDocument/2006/relationships/hyperlink" Target="https://twitter.com/DeeZeeX" TargetMode="External"/><Relationship Id="rId3992" Type="http://schemas.openxmlformats.org/officeDocument/2006/relationships/hyperlink" Target="https://twitter.com/updayDE/status/723174046393864193" TargetMode="External"/><Relationship Id="rId7035" Type="http://schemas.openxmlformats.org/officeDocument/2006/relationships/hyperlink" Target="https://pbs.twimg.com/profile_images/632074137289277440/vJykSc8L_normal.png" TargetMode="External"/><Relationship Id="rId10016" Type="http://schemas.openxmlformats.org/officeDocument/2006/relationships/hyperlink" Target="https://twitter.com/zdmak/status/723458170505584641" TargetMode="External"/><Relationship Id="rId13586" Type="http://schemas.openxmlformats.org/officeDocument/2006/relationships/hyperlink" Target="https://pbs.twimg.com/profile_images/461785939711258624/FzsPRmqR_normal.jpeg" TargetMode="External"/><Relationship Id="rId14984" Type="http://schemas.openxmlformats.org/officeDocument/2006/relationships/hyperlink" Target="https://pbs.twimg.com/profile_images/2301932893/ofy8sgl94m45zgiq2my3_normal.jpeg" TargetMode="External"/><Relationship Id="rId2594" Type="http://schemas.openxmlformats.org/officeDocument/2006/relationships/hyperlink" Target="https://twitter.com/worstwriter" TargetMode="External"/><Relationship Id="rId3645" Type="http://schemas.openxmlformats.org/officeDocument/2006/relationships/hyperlink" Target="https://twitter.com/VWBeetleSales/status/723166436303106054" TargetMode="External"/><Relationship Id="rId12188" Type="http://schemas.openxmlformats.org/officeDocument/2006/relationships/hyperlink" Target="https://twitter.com/MaurySline/status/723514709215838209" TargetMode="External"/><Relationship Id="rId13239" Type="http://schemas.openxmlformats.org/officeDocument/2006/relationships/hyperlink" Target="https://twitter.com/zdmak" TargetMode="External"/><Relationship Id="rId14637" Type="http://schemas.openxmlformats.org/officeDocument/2006/relationships/hyperlink" Target="https://twitter.com/Sr_Pilluelo" TargetMode="External"/><Relationship Id="rId17110" Type="http://schemas.openxmlformats.org/officeDocument/2006/relationships/hyperlink" Target="https://pbs.twimg.com/profile_images/640463335574515713/HsmIEid8_normal.jpg" TargetMode="External"/><Relationship Id="rId20455" Type="http://schemas.openxmlformats.org/officeDocument/2006/relationships/hyperlink" Target="https://pbs.twimg.com/profile_images/550418294231273473/jfA3pOoK_normal.jpeg" TargetMode="External"/><Relationship Id="rId21506" Type="http://schemas.openxmlformats.org/officeDocument/2006/relationships/hyperlink" Target="https://twitter.com/FilippoGiov/status/724154060027375617" TargetMode="External"/><Relationship Id="rId21853" Type="http://schemas.openxmlformats.org/officeDocument/2006/relationships/hyperlink" Target="https://pbs.twimg.com/profile_images/431047003091398657/VwNnWrzp_normal.jpeg" TargetMode="External"/><Relationship Id="rId22904" Type="http://schemas.openxmlformats.org/officeDocument/2006/relationships/hyperlink" Target="https://twitter.com/VWBeetleSales" TargetMode="External"/><Relationship Id="rId566" Type="http://schemas.openxmlformats.org/officeDocument/2006/relationships/hyperlink" Target="https://pbs.twimg.com/profile_images/540356626348531712/weH0Y1fr_normal.jpeg" TargetMode="External"/><Relationship Id="rId1196" Type="http://schemas.openxmlformats.org/officeDocument/2006/relationships/hyperlink" Target="https://twitter.com/DJJEZZ" TargetMode="External"/><Relationship Id="rId2247" Type="http://schemas.openxmlformats.org/officeDocument/2006/relationships/hyperlink" Target="https://twitter.com/JRE6198" TargetMode="External"/><Relationship Id="rId20108" Type="http://schemas.openxmlformats.org/officeDocument/2006/relationships/hyperlink" Target="https://pbs.twimg.com/profile_images/600477454831120384/fBVmrZou_normal.jpg" TargetMode="External"/><Relationship Id="rId219" Type="http://schemas.openxmlformats.org/officeDocument/2006/relationships/hyperlink" Target="https://pbs.twimg.com/profile_images/702511217793863680/lty8h9vE_normal.jpg" TargetMode="External"/><Relationship Id="rId6868" Type="http://schemas.openxmlformats.org/officeDocument/2006/relationships/hyperlink" Target="https://twitter.com/beetlebug1938/status/723265029278208002" TargetMode="External"/><Relationship Id="rId7919" Type="http://schemas.openxmlformats.org/officeDocument/2006/relationships/hyperlink" Target="https://twitter.com/puffyka81" TargetMode="External"/><Relationship Id="rId8290" Type="http://schemas.openxmlformats.org/officeDocument/2006/relationships/hyperlink" Target="https://twitter.com/LaCalleDice/status/723381425852960768" TargetMode="External"/><Relationship Id="rId9341" Type="http://schemas.openxmlformats.org/officeDocument/2006/relationships/hyperlink" Target="https://pbs.twimg.com/profile_images/666952430177935362/T46eVne2_normal.png" TargetMode="External"/><Relationship Id="rId13720" Type="http://schemas.openxmlformats.org/officeDocument/2006/relationships/hyperlink" Target="https://twitter.com/Carmeniouzan" TargetMode="External"/><Relationship Id="rId19282" Type="http://schemas.openxmlformats.org/officeDocument/2006/relationships/hyperlink" Target="https://twitter.com/SevenDw4rf_TH" TargetMode="External"/><Relationship Id="rId23678" Type="http://schemas.openxmlformats.org/officeDocument/2006/relationships/hyperlink" Target="https://twitter.com/SvenMascha" TargetMode="External"/><Relationship Id="rId24729" Type="http://schemas.openxmlformats.org/officeDocument/2006/relationships/hyperlink" Target="https://twitter.com/rellxmanl/status/724385983232368640" TargetMode="External"/><Relationship Id="rId11271" Type="http://schemas.openxmlformats.org/officeDocument/2006/relationships/hyperlink" Target="https://twitter.com/Madushanpriyas2/status/723500168184647681" TargetMode="External"/><Relationship Id="rId12322" Type="http://schemas.openxmlformats.org/officeDocument/2006/relationships/hyperlink" Target="https://pbs.twimg.com/profile_images/562598669795344384/2grdOcB7_normal.jpeg" TargetMode="External"/><Relationship Id="rId15892" Type="http://schemas.openxmlformats.org/officeDocument/2006/relationships/hyperlink" Target="https://twitter.com/SutherlandPhD" TargetMode="External"/><Relationship Id="rId16943" Type="http://schemas.openxmlformats.org/officeDocument/2006/relationships/hyperlink" Target="https://twitter.com/hashtagvanlife/status/723753518268579841" TargetMode="External"/><Relationship Id="rId700" Type="http://schemas.openxmlformats.org/officeDocument/2006/relationships/hyperlink" Target="https://twitter.com/DaddyBearForex/status/722968317057589248" TargetMode="External"/><Relationship Id="rId1330" Type="http://schemas.openxmlformats.org/officeDocument/2006/relationships/hyperlink" Target="http://dlvr.it/" TargetMode="External"/><Relationship Id="rId5951" Type="http://schemas.openxmlformats.org/officeDocument/2006/relationships/hyperlink" Target="https://twitter.com/DjKarlittoosXD/status/723225147797323777" TargetMode="External"/><Relationship Id="rId14494" Type="http://schemas.openxmlformats.org/officeDocument/2006/relationships/hyperlink" Target="https://twitter.com/FuscaWorld/status/723574737788669952" TargetMode="External"/><Relationship Id="rId15545" Type="http://schemas.openxmlformats.org/officeDocument/2006/relationships/hyperlink" Target="https://twitter.com/TRJhonny/status/723612513900892160" TargetMode="External"/><Relationship Id="rId22761" Type="http://schemas.openxmlformats.org/officeDocument/2006/relationships/hyperlink" Target="https://pbs.twimg.com/profile_images/527495390544027648/bqmMS5Ap_normal.jpeg" TargetMode="External"/><Relationship Id="rId23812" Type="http://schemas.openxmlformats.org/officeDocument/2006/relationships/hyperlink" Target="https://twitter.com/VWCamperSales/status/724313233406857217" TargetMode="External"/><Relationship Id="rId4553" Type="http://schemas.openxmlformats.org/officeDocument/2006/relationships/hyperlink" Target="https://pbs.twimg.com/profile_images/666011856532840448/YndAzmJg_normal.jpg" TargetMode="External"/><Relationship Id="rId5604" Type="http://schemas.openxmlformats.org/officeDocument/2006/relationships/hyperlink" Target="https://pbs.twimg.com/profile_images/378800000543984879/4a4807dd53c46b6b9bdf26dd8d392373_normal.jpeg" TargetMode="External"/><Relationship Id="rId13096" Type="http://schemas.openxmlformats.org/officeDocument/2006/relationships/hyperlink" Target="https://pbs.twimg.com/profile_images/3439396427/c85352a16618715c3fb7f2941ae9308e_normal.png" TargetMode="External"/><Relationship Id="rId14147" Type="http://schemas.openxmlformats.org/officeDocument/2006/relationships/hyperlink" Target="https://twitter.com/WinfriedFelser" TargetMode="External"/><Relationship Id="rId18768" Type="http://schemas.openxmlformats.org/officeDocument/2006/relationships/hyperlink" Target="https://pbs.twimg.com/profile_images/1610421423/Image2_normal.jpg" TargetMode="External"/><Relationship Id="rId21363" Type="http://schemas.openxmlformats.org/officeDocument/2006/relationships/hyperlink" Target="https://twitter.com/LisaHenri2/status/724143316175065088" TargetMode="External"/><Relationship Id="rId22414" Type="http://schemas.openxmlformats.org/officeDocument/2006/relationships/hyperlink" Target="https://pbs.twimg.com/profile_images/703294545195307008/qeCvrX86_normal.jpg" TargetMode="External"/><Relationship Id="rId3155" Type="http://schemas.openxmlformats.org/officeDocument/2006/relationships/hyperlink" Target="https://twitter.com/Insta_VWT" TargetMode="External"/><Relationship Id="rId4206" Type="http://schemas.openxmlformats.org/officeDocument/2006/relationships/hyperlink" Target="https://pbs.twimg.com/profile_images/663822892933713920/KdDaNdJB_normal.jpg" TargetMode="External"/><Relationship Id="rId7776" Type="http://schemas.openxmlformats.org/officeDocument/2006/relationships/hyperlink" Target="https://twitter.com/pato_joaquiin" TargetMode="External"/><Relationship Id="rId8827" Type="http://schemas.openxmlformats.org/officeDocument/2006/relationships/hyperlink" Target="https://pbs.twimg.com/profile_images/378800000747750946/394d9f0f5e6dde5137683d9c98c5c8a9_normal.jpeg" TargetMode="External"/><Relationship Id="rId19819" Type="http://schemas.openxmlformats.org/officeDocument/2006/relationships/hyperlink" Target="https://twitter.com/berlinhabercom/status/723960548258394113" TargetMode="External"/><Relationship Id="rId21016" Type="http://schemas.openxmlformats.org/officeDocument/2006/relationships/hyperlink" Target="https://twitter.com/SuranClub" TargetMode="External"/><Relationship Id="rId24586" Type="http://schemas.openxmlformats.org/officeDocument/2006/relationships/hyperlink" Target="https://twitter.com/FuscaWorld/status/724374041541398528" TargetMode="External"/><Relationship Id="rId25637" Type="http://schemas.openxmlformats.org/officeDocument/2006/relationships/hyperlink" Target="https://pbs.twimg.com/profile_images/530071272881803264/a_jcCmPZ_normal.png" TargetMode="External"/><Relationship Id="rId6378" Type="http://schemas.openxmlformats.org/officeDocument/2006/relationships/hyperlink" Target="https://twitter.com/Jbattey716/status/723241426163654656" TargetMode="External"/><Relationship Id="rId7429" Type="http://schemas.openxmlformats.org/officeDocument/2006/relationships/hyperlink" Target="https://pbs.twimg.com/profile_images/670238281297207296/gjW305du_normal.jpg" TargetMode="External"/><Relationship Id="rId10757" Type="http://schemas.openxmlformats.org/officeDocument/2006/relationships/hyperlink" Target="https://twitter.com/Ikoniclondon" TargetMode="External"/><Relationship Id="rId11808" Type="http://schemas.openxmlformats.org/officeDocument/2006/relationships/hyperlink" Target="https://twitter.com/VWCamperSales" TargetMode="External"/><Relationship Id="rId23188" Type="http://schemas.openxmlformats.org/officeDocument/2006/relationships/hyperlink" Target="https://twitter.com/bruno90alvarez" TargetMode="External"/><Relationship Id="rId24239" Type="http://schemas.openxmlformats.org/officeDocument/2006/relationships/hyperlink" Target="https://pbs.twimg.com/profile_images/696636009489027074/-Wvt8k6B_normal.jpg" TargetMode="External"/><Relationship Id="rId13230" Type="http://schemas.openxmlformats.org/officeDocument/2006/relationships/hyperlink" Target="https://twitter.com/Spoekenkiekerei" TargetMode="External"/><Relationship Id="rId17851" Type="http://schemas.openxmlformats.org/officeDocument/2006/relationships/hyperlink" Target="https://twitter.com/wortjongleur" TargetMode="External"/><Relationship Id="rId18902" Type="http://schemas.openxmlformats.org/officeDocument/2006/relationships/hyperlink" Target="https://twitter.com/VolkswagenPost" TargetMode="External"/><Relationship Id="rId210" Type="http://schemas.openxmlformats.org/officeDocument/2006/relationships/hyperlink" Target="https://pbs.twimg.com/profile_images/642449026361593856/RzLMorNs_normal.jpg" TargetMode="External"/><Relationship Id="rId2988" Type="http://schemas.openxmlformats.org/officeDocument/2006/relationships/hyperlink" Target="https://twitter.com/filipepontes" TargetMode="External"/><Relationship Id="rId7910" Type="http://schemas.openxmlformats.org/officeDocument/2006/relationships/hyperlink" Target="https://twitter.com/cas_2050001283" TargetMode="External"/><Relationship Id="rId16453" Type="http://schemas.openxmlformats.org/officeDocument/2006/relationships/hyperlink" Target="https://pbs.twimg.com/profile_images/716639110153297920/-Yi8AL_W_normal.jpg" TargetMode="External"/><Relationship Id="rId17504" Type="http://schemas.openxmlformats.org/officeDocument/2006/relationships/hyperlink" Target="https://twitter.com/BTMotorsport/status/723803539194130432" TargetMode="External"/><Relationship Id="rId20849" Type="http://schemas.openxmlformats.org/officeDocument/2006/relationships/hyperlink" Target="https://twitter.com/1alanking/status/724049041751965696" TargetMode="External"/><Relationship Id="rId24720" Type="http://schemas.openxmlformats.org/officeDocument/2006/relationships/hyperlink" Target="https://twitter.com/alklssyaz/status/724385326337236992" TargetMode="External"/><Relationship Id="rId5461" Type="http://schemas.openxmlformats.org/officeDocument/2006/relationships/hyperlink" Target="https://twitter.com/VWCamperSales" TargetMode="External"/><Relationship Id="rId6512" Type="http://schemas.openxmlformats.org/officeDocument/2006/relationships/hyperlink" Target="https://pbs.twimg.com/profile_images/583709260737073152/sOVkJINy_normal.jpg" TargetMode="External"/><Relationship Id="rId15055" Type="http://schemas.openxmlformats.org/officeDocument/2006/relationships/hyperlink" Target="https://pbs.twimg.com/profile_images/545688359964651520/SF3sJ7lv_normal.jpeg" TargetMode="External"/><Relationship Id="rId16106" Type="http://schemas.openxmlformats.org/officeDocument/2006/relationships/hyperlink" Target="https://pbs.twimg.com/profile_images/718820712757215233/LXXndPTS_normal.jpg" TargetMode="External"/><Relationship Id="rId19676" Type="http://schemas.openxmlformats.org/officeDocument/2006/relationships/hyperlink" Target="https://twitter.com/VWsightings/status/723946322483642368" TargetMode="External"/><Relationship Id="rId22271" Type="http://schemas.openxmlformats.org/officeDocument/2006/relationships/hyperlink" Target="https://pbs.twimg.com/profile_images/695663013412630535/XgD9AbrJ_normal.jpg" TargetMode="External"/><Relationship Id="rId23322" Type="http://schemas.openxmlformats.org/officeDocument/2006/relationships/hyperlink" Target="https://pbs.twimg.com/profile_images/718382288556441601/l-vZ89O-_normal.jpg" TargetMode="External"/><Relationship Id="rId4063" Type="http://schemas.openxmlformats.org/officeDocument/2006/relationships/hyperlink" Target="https://twitter.com/MiManske" TargetMode="External"/><Relationship Id="rId5114" Type="http://schemas.openxmlformats.org/officeDocument/2006/relationships/hyperlink" Target="https://pbs.twimg.com/profile_images/717040085380804608/MnbcjTEy_normal.jpg" TargetMode="External"/><Relationship Id="rId8684" Type="http://schemas.openxmlformats.org/officeDocument/2006/relationships/hyperlink" Target="https://pbs.twimg.com/profile_images/703294545195307008/qeCvrX86_normal.jpg" TargetMode="External"/><Relationship Id="rId9735" Type="http://schemas.openxmlformats.org/officeDocument/2006/relationships/hyperlink" Target="https://twitter.com/MrTARIQSs" TargetMode="External"/><Relationship Id="rId11665" Type="http://schemas.openxmlformats.org/officeDocument/2006/relationships/hyperlink" Target="https://twitter.com/kirstein_sandra/status/723505196106715136" TargetMode="External"/><Relationship Id="rId18278" Type="http://schemas.openxmlformats.org/officeDocument/2006/relationships/hyperlink" Target="https://twitter.com/GolfitIt/status/723859302964989954" TargetMode="External"/><Relationship Id="rId19329" Type="http://schemas.openxmlformats.org/officeDocument/2006/relationships/hyperlink" Target="https://pbs.twimg.com/profile_images/534267387835449344/9OZA4aXp_normal.png" TargetMode="External"/><Relationship Id="rId25494" Type="http://schemas.openxmlformats.org/officeDocument/2006/relationships/hyperlink" Target="https://pbs.twimg.com/profile_images/713408596722245633/A4Y2og2-_normal.jpg" TargetMode="External"/><Relationship Id="rId1724" Type="http://schemas.openxmlformats.org/officeDocument/2006/relationships/hyperlink" Target="https://pbs.twimg.com/profile_images/649519091892531200/gFXmbSPM_normal.jpg" TargetMode="External"/><Relationship Id="rId7286" Type="http://schemas.openxmlformats.org/officeDocument/2006/relationships/hyperlink" Target="https://pbs.twimg.com/profile_images/441017002224660480/wMS_0yBK_normal.jpeg" TargetMode="External"/><Relationship Id="rId8337" Type="http://schemas.openxmlformats.org/officeDocument/2006/relationships/hyperlink" Target="https://pbs.twimg.com/profile_images/684099411543101440/V_Lw58zf_normal.jpg" TargetMode="External"/><Relationship Id="rId10267" Type="http://schemas.openxmlformats.org/officeDocument/2006/relationships/hyperlink" Target="https://pbs.twimg.com/profile_images/718820712757215233/LXXndPTS_normal.jpg" TargetMode="External"/><Relationship Id="rId11318" Type="http://schemas.openxmlformats.org/officeDocument/2006/relationships/hyperlink" Target="https://pbs.twimg.com/profile_images/1404247982/_MG_1344_normal.jpg" TargetMode="External"/><Relationship Id="rId12716" Type="http://schemas.openxmlformats.org/officeDocument/2006/relationships/hyperlink" Target="https://pbs.twimg.com/profile_images/627949001179037696/skEBkS05_normal.jpg" TargetMode="External"/><Relationship Id="rId24096" Type="http://schemas.openxmlformats.org/officeDocument/2006/relationships/hyperlink" Target="https://twitter.com/VWBeetleSales/status/724331845777657857" TargetMode="External"/><Relationship Id="rId25147" Type="http://schemas.openxmlformats.org/officeDocument/2006/relationships/hyperlink" Target="https://twitter.com/HotRidesDaily1" TargetMode="External"/><Relationship Id="rId3896" Type="http://schemas.openxmlformats.org/officeDocument/2006/relationships/hyperlink" Target="https://pbs.twimg.com/profile_images/412910706640445440/DgCGRrcy_normal.jpeg" TargetMode="External"/><Relationship Id="rId14888" Type="http://schemas.openxmlformats.org/officeDocument/2006/relationships/hyperlink" Target="https://pbs.twimg.com/profile_images/530443622768836608/5EYPjdoC_normal.jpeg" TargetMode="External"/><Relationship Id="rId15939" Type="http://schemas.openxmlformats.org/officeDocument/2006/relationships/hyperlink" Target="https://pbs.twimg.com/profile_images/1610421423/Image2_normal.jpg" TargetMode="External"/><Relationship Id="rId19810" Type="http://schemas.openxmlformats.org/officeDocument/2006/relationships/hyperlink" Target="https://pbs.twimg.com/profile_images/653637535545995264/gHuXQ5Bt_normal.jpg" TargetMode="External"/><Relationship Id="rId2498" Type="http://schemas.openxmlformats.org/officeDocument/2006/relationships/hyperlink" Target="https://twitter.com/drubald/status/723103268126220288" TargetMode="External"/><Relationship Id="rId3549" Type="http://schemas.openxmlformats.org/officeDocument/2006/relationships/hyperlink" Target="https://pbs.twimg.com/profile_images/1147531135/Bus_Card_Logo_normal.jpg" TargetMode="External"/><Relationship Id="rId4947" Type="http://schemas.openxmlformats.org/officeDocument/2006/relationships/hyperlink" Target="https://twitter.com/Modhi60/status/723190845579640832" TargetMode="External"/><Relationship Id="rId7420" Type="http://schemas.openxmlformats.org/officeDocument/2006/relationships/hyperlink" Target="https://pbs.twimg.com/profile_images/701133680937291776/4TSsJk3y_normal.jpg" TargetMode="External"/><Relationship Id="rId17361" Type="http://schemas.openxmlformats.org/officeDocument/2006/relationships/hyperlink" Target="https://twitter.com/CastleCoastCamp" TargetMode="External"/><Relationship Id="rId18412" Type="http://schemas.openxmlformats.org/officeDocument/2006/relationships/hyperlink" Target="https://twitter.com/henryrobben/status/723867760288235520" TargetMode="External"/><Relationship Id="rId21757" Type="http://schemas.openxmlformats.org/officeDocument/2006/relationships/hyperlink" Target="https://twitter.com/The1400Club" TargetMode="External"/><Relationship Id="rId22808" Type="http://schemas.openxmlformats.org/officeDocument/2006/relationships/hyperlink" Target="https://pbs.twimg.com/profile_images/412780199835889664/rOfKo2jD_normal.jpeg" TargetMode="External"/><Relationship Id="rId6022" Type="http://schemas.openxmlformats.org/officeDocument/2006/relationships/hyperlink" Target="https://twitter.com/PapiAngel11/status/723227494661410816" TargetMode="External"/><Relationship Id="rId10401" Type="http://schemas.openxmlformats.org/officeDocument/2006/relationships/hyperlink" Target="https://twitter.com/ZDFheute" TargetMode="External"/><Relationship Id="rId13971" Type="http://schemas.openxmlformats.org/officeDocument/2006/relationships/hyperlink" Target="http://linkis.com/" TargetMode="External"/><Relationship Id="rId17014" Type="http://schemas.openxmlformats.org/officeDocument/2006/relationships/hyperlink" Target="https://twitter.com/Kittypunk16" TargetMode="External"/><Relationship Id="rId20359" Type="http://schemas.openxmlformats.org/officeDocument/2006/relationships/hyperlink" Target="https://twitter.com/VWCamperSales/status/723994134801866753" TargetMode="External"/><Relationship Id="rId24230" Type="http://schemas.openxmlformats.org/officeDocument/2006/relationships/hyperlink" Target="https://pbs.twimg.com/profile_images/470842509212389376/fWSC321M_normal.jpeg" TargetMode="External"/><Relationship Id="rId8194" Type="http://schemas.openxmlformats.org/officeDocument/2006/relationships/hyperlink" Target="https://twitter.com/nizoo1213/status/723375546835431426" TargetMode="External"/><Relationship Id="rId9592" Type="http://schemas.openxmlformats.org/officeDocument/2006/relationships/hyperlink" Target="https://twitter.com/Insta_VWT/status/723442116882513920" TargetMode="External"/><Relationship Id="rId12573" Type="http://schemas.openxmlformats.org/officeDocument/2006/relationships/hyperlink" Target="https://twitter.com/AIADA_News" TargetMode="External"/><Relationship Id="rId13624" Type="http://schemas.openxmlformats.org/officeDocument/2006/relationships/hyperlink" Target="https://twitter.com/DwAilton" TargetMode="External"/><Relationship Id="rId19186" Type="http://schemas.openxmlformats.org/officeDocument/2006/relationships/hyperlink" Target="https://twitter.com/OnlyCarrera" TargetMode="External"/><Relationship Id="rId20840" Type="http://schemas.openxmlformats.org/officeDocument/2006/relationships/hyperlink" Target="https://twitter.com/Ros4ri0Central/status/724048699895222274" TargetMode="External"/><Relationship Id="rId951" Type="http://schemas.openxmlformats.org/officeDocument/2006/relationships/hyperlink" Target="https://twitter.com/VWsightings/status/723005879608598528" TargetMode="External"/><Relationship Id="rId1581" Type="http://schemas.openxmlformats.org/officeDocument/2006/relationships/hyperlink" Target="https://twitter.com/BBoason/status/723047651843948545" TargetMode="External"/><Relationship Id="rId2632" Type="http://schemas.openxmlformats.org/officeDocument/2006/relationships/hyperlink" Target="https://twitter.com/KNordlichtW/status/723110555632848896" TargetMode="External"/><Relationship Id="rId9245" Type="http://schemas.openxmlformats.org/officeDocument/2006/relationships/hyperlink" Target="https://pbs.twimg.com/profile_images/704424786777280513/YQVkJF57_normal.jpg" TargetMode="External"/><Relationship Id="rId11175" Type="http://schemas.openxmlformats.org/officeDocument/2006/relationships/hyperlink" Target="https://twitter.com/golfturkiye" TargetMode="External"/><Relationship Id="rId12226" Type="http://schemas.openxmlformats.org/officeDocument/2006/relationships/hyperlink" Target="https://twitter.com/MorSvinka_83" TargetMode="External"/><Relationship Id="rId15796" Type="http://schemas.openxmlformats.org/officeDocument/2006/relationships/hyperlink" Target="https://pbs.twimg.com/profile_images/573736676209590272/8KCGysTQ_normal.jpeg" TargetMode="External"/><Relationship Id="rId604" Type="http://schemas.openxmlformats.org/officeDocument/2006/relationships/hyperlink" Target="https://twitter.com/techhippie/status/722967069319434242" TargetMode="External"/><Relationship Id="rId1234" Type="http://schemas.openxmlformats.org/officeDocument/2006/relationships/hyperlink" Target="https://pbs.twimg.com/profile_images/558535484582793216/1YKaWa1i_normal.jpeg" TargetMode="External"/><Relationship Id="rId5855" Type="http://schemas.openxmlformats.org/officeDocument/2006/relationships/hyperlink" Target="https://twitter.com/Roseville_VW" TargetMode="External"/><Relationship Id="rId6906" Type="http://schemas.openxmlformats.org/officeDocument/2006/relationships/hyperlink" Target="https://twitter.com/anwaltplus" TargetMode="External"/><Relationship Id="rId14398" Type="http://schemas.openxmlformats.org/officeDocument/2006/relationships/hyperlink" Target="https://twitter.com/ktos90/status/723573260659621893" TargetMode="External"/><Relationship Id="rId15449" Type="http://schemas.openxmlformats.org/officeDocument/2006/relationships/hyperlink" Target="https://twitter.com/NanoSilveiraOK/status/723607948694556672" TargetMode="External"/><Relationship Id="rId16847" Type="http://schemas.openxmlformats.org/officeDocument/2006/relationships/hyperlink" Target="https://pbs.twimg.com/profile_images/695355061635932160/5oTfZ6Ac_normal.jpg" TargetMode="External"/><Relationship Id="rId19320" Type="http://schemas.openxmlformats.org/officeDocument/2006/relationships/hyperlink" Target="https://pbs.twimg.com/profile_images/672878354127839232/M7OYc-zx_normal.jpg" TargetMode="External"/><Relationship Id="rId22665" Type="http://schemas.openxmlformats.org/officeDocument/2006/relationships/hyperlink" Target="https://pbs.twimg.com/profile_images/1610421423/Image2_normal.jpg" TargetMode="External"/><Relationship Id="rId23716" Type="http://schemas.openxmlformats.org/officeDocument/2006/relationships/hyperlink" Target="https://pbs.twimg.com/profile_images/718835727027580928/1ssyQ67y_normal.jpg" TargetMode="External"/><Relationship Id="rId4457" Type="http://schemas.openxmlformats.org/officeDocument/2006/relationships/hyperlink" Target="https://pbs.twimg.com/profile_images/652871584131092480/QA_B6SBO_normal.jpg" TargetMode="External"/><Relationship Id="rId5508" Type="http://schemas.openxmlformats.org/officeDocument/2006/relationships/hyperlink" Target="https://twitter.com/startmakkelijk/status/723206215421943808" TargetMode="External"/><Relationship Id="rId21267" Type="http://schemas.openxmlformats.org/officeDocument/2006/relationships/hyperlink" Target="https://twitter.com/dubbusses/status/724133661180874752" TargetMode="External"/><Relationship Id="rId22318" Type="http://schemas.openxmlformats.org/officeDocument/2006/relationships/hyperlink" Target="https://twitter.com/TotallyVans" TargetMode="External"/><Relationship Id="rId3059" Type="http://schemas.openxmlformats.org/officeDocument/2006/relationships/hyperlink" Target="https://twitter.com/henrrycarpenter/status/723137368748752900" TargetMode="External"/><Relationship Id="rId15930" Type="http://schemas.openxmlformats.org/officeDocument/2006/relationships/hyperlink" Target="https://pbs.twimg.com/profile_images/615493650785660928/XHUh6HOk_normal.jpg" TargetMode="External"/><Relationship Id="rId13481" Type="http://schemas.openxmlformats.org/officeDocument/2006/relationships/hyperlink" Target="https://twitter.com/AnhaengerCDU" TargetMode="External"/><Relationship Id="rId14532" Type="http://schemas.openxmlformats.org/officeDocument/2006/relationships/hyperlink" Target="https://twitter.com/VWCamperSales" TargetMode="External"/><Relationship Id="rId1091" Type="http://schemas.openxmlformats.org/officeDocument/2006/relationships/hyperlink" Target="http://godmodetrader.de/" TargetMode="External"/><Relationship Id="rId3540" Type="http://schemas.openxmlformats.org/officeDocument/2006/relationships/hyperlink" Target="https://twitter.com/doern" TargetMode="External"/><Relationship Id="rId12083" Type="http://schemas.openxmlformats.org/officeDocument/2006/relationships/hyperlink" Target="http://dlvr.it/" TargetMode="External"/><Relationship Id="rId13134" Type="http://schemas.openxmlformats.org/officeDocument/2006/relationships/hyperlink" Target="https://twitter.com/eckldorna/status/723535914786545665" TargetMode="External"/><Relationship Id="rId17755" Type="http://schemas.openxmlformats.org/officeDocument/2006/relationships/hyperlink" Target="https://twitter.com/oldcar_photo" TargetMode="External"/><Relationship Id="rId18806" Type="http://schemas.openxmlformats.org/officeDocument/2006/relationships/hyperlink" Target="https://twitter.com/twamateur" TargetMode="External"/><Relationship Id="rId20350" Type="http://schemas.openxmlformats.org/officeDocument/2006/relationships/hyperlink" Target="https://twitter.com/purplehalr_xo/status/723993798251044864" TargetMode="External"/><Relationship Id="rId21401" Type="http://schemas.openxmlformats.org/officeDocument/2006/relationships/hyperlink" Target="https://twitter.com/GerdKebschull" TargetMode="External"/><Relationship Id="rId24971" Type="http://schemas.openxmlformats.org/officeDocument/2006/relationships/hyperlink" Target="https://twitter.com/ajtdesign/status/724407524510691329" TargetMode="External"/><Relationship Id="rId114" Type="http://schemas.openxmlformats.org/officeDocument/2006/relationships/hyperlink" Target="https://twitter.com/CNBCtech" TargetMode="External"/><Relationship Id="rId461" Type="http://schemas.openxmlformats.org/officeDocument/2006/relationships/hyperlink" Target="https://twitter.com/OnlineCarReview" TargetMode="External"/><Relationship Id="rId2142" Type="http://schemas.openxmlformats.org/officeDocument/2006/relationships/hyperlink" Target="https://pbs.twimg.com/profile_images/530071272881803264/a_jcCmPZ_normal.png" TargetMode="External"/><Relationship Id="rId6763" Type="http://schemas.openxmlformats.org/officeDocument/2006/relationships/hyperlink" Target="https://twitter.com/LeggoMyRillo" TargetMode="External"/><Relationship Id="rId7814" Type="http://schemas.openxmlformats.org/officeDocument/2006/relationships/hyperlink" Target="https://pbs.twimg.com/profile_images/583322292995772418/_hSKZ3NN_normal.jpg" TargetMode="External"/><Relationship Id="rId16357" Type="http://schemas.openxmlformats.org/officeDocument/2006/relationships/hyperlink" Target="https://twitter.com/vwbusman72" TargetMode="External"/><Relationship Id="rId17408" Type="http://schemas.openxmlformats.org/officeDocument/2006/relationships/hyperlink" Target="https://twitter.com/agenturi/status/723797204352286720" TargetMode="External"/><Relationship Id="rId20003" Type="http://schemas.openxmlformats.org/officeDocument/2006/relationships/hyperlink" Target="http://ctrlq.org/maps/address/" TargetMode="External"/><Relationship Id="rId23573" Type="http://schemas.openxmlformats.org/officeDocument/2006/relationships/hyperlink" Target="https://pbs.twimg.com/profile_images/702511217793863680/lty8h9vE_normal.jpg" TargetMode="External"/><Relationship Id="rId24624" Type="http://schemas.openxmlformats.org/officeDocument/2006/relationships/hyperlink" Target="https://pbs.twimg.com/profile_images/695836169418899456/Z9ohOFD9_normal.jpg" TargetMode="External"/><Relationship Id="rId5365" Type="http://schemas.openxmlformats.org/officeDocument/2006/relationships/hyperlink" Target="https://twitter.com/beetlebug1938" TargetMode="External"/><Relationship Id="rId6416" Type="http://schemas.openxmlformats.org/officeDocument/2006/relationships/hyperlink" Target="https://twitter.com/Troposfera/status/723242914743242752" TargetMode="External"/><Relationship Id="rId9986" Type="http://schemas.openxmlformats.org/officeDocument/2006/relationships/hyperlink" Target="https://twitter.com/TillSchriller/status/723457039125622784" TargetMode="External"/><Relationship Id="rId22175" Type="http://schemas.openxmlformats.org/officeDocument/2006/relationships/hyperlink" Target="https://twitter.com/MotorHour" TargetMode="External"/><Relationship Id="rId23226" Type="http://schemas.openxmlformats.org/officeDocument/2006/relationships/hyperlink" Target="https://pbs.twimg.com/profile_images/689725910224805889/9N3BPvYo_normal.jpg" TargetMode="External"/><Relationship Id="rId5018" Type="http://schemas.openxmlformats.org/officeDocument/2006/relationships/hyperlink" Target="https://twitter.com/heigion" TargetMode="External"/><Relationship Id="rId8588" Type="http://schemas.openxmlformats.org/officeDocument/2006/relationships/hyperlink" Target="https://twitter.com/rhartgendorn" TargetMode="External"/><Relationship Id="rId9639" Type="http://schemas.openxmlformats.org/officeDocument/2006/relationships/hyperlink" Target="https://twitter.com/LarissaWalter5" TargetMode="External"/><Relationship Id="rId12967" Type="http://schemas.openxmlformats.org/officeDocument/2006/relationships/hyperlink" Target="https://twitter.com/pueempresarial/status/723532475222228995" TargetMode="External"/><Relationship Id="rId25398" Type="http://schemas.openxmlformats.org/officeDocument/2006/relationships/hyperlink" Target="https://twitter.com/claudia_mtzs" TargetMode="External"/><Relationship Id="rId1628" Type="http://schemas.openxmlformats.org/officeDocument/2006/relationships/hyperlink" Target="https://twitter.com/adlitammm" TargetMode="External"/><Relationship Id="rId1975" Type="http://schemas.openxmlformats.org/officeDocument/2006/relationships/hyperlink" Target="https://twitter.com/CarNewsBit/status/723072177935912960" TargetMode="External"/><Relationship Id="rId11569" Type="http://schemas.openxmlformats.org/officeDocument/2006/relationships/hyperlink" Target="https://twitter.com/Paco_Coyotl" TargetMode="External"/><Relationship Id="rId14042" Type="http://schemas.openxmlformats.org/officeDocument/2006/relationships/hyperlink" Target="https://twitter.com/ConurbaCho" TargetMode="External"/><Relationship Id="rId15440" Type="http://schemas.openxmlformats.org/officeDocument/2006/relationships/hyperlink" Target="https://twitter.com/Marktzyniker/status/723607868340076545" TargetMode="External"/><Relationship Id="rId3050" Type="http://schemas.openxmlformats.org/officeDocument/2006/relationships/hyperlink" Target="https://twitter.com/dapper013/status/723134935482138624" TargetMode="External"/><Relationship Id="rId4101" Type="http://schemas.openxmlformats.org/officeDocument/2006/relationships/hyperlink" Target="https://pbs.twimg.com/profile_images/687110730647117825/qke5vlC5_normal.jpg" TargetMode="External"/><Relationship Id="rId18663" Type="http://schemas.openxmlformats.org/officeDocument/2006/relationships/hyperlink" Target="https://pbs.twimg.com/profile_images/627949001179037696/skEBkS05_normal.jpg" TargetMode="External"/><Relationship Id="rId19714" Type="http://schemas.openxmlformats.org/officeDocument/2006/relationships/hyperlink" Target="https://pbs.twimg.com/profile_images/526657704433967104/Qpjvnhkn_normal.png" TargetMode="External"/><Relationship Id="rId7671" Type="http://schemas.openxmlformats.org/officeDocument/2006/relationships/hyperlink" Target="https://pbs.twimg.com/profile_images/669541061711261696/eOfP0YD8_normal.png" TargetMode="External"/><Relationship Id="rId8722" Type="http://schemas.openxmlformats.org/officeDocument/2006/relationships/hyperlink" Target="https://twitter.com/cmsGOMEX/status/723403484284878848" TargetMode="External"/><Relationship Id="rId10652" Type="http://schemas.openxmlformats.org/officeDocument/2006/relationships/hyperlink" Target="https://twitter.com/Ruymi" TargetMode="External"/><Relationship Id="rId11703" Type="http://schemas.openxmlformats.org/officeDocument/2006/relationships/hyperlink" Target="https://pbs.twimg.com/profile_images/474185502388518912/sROk9L0u_normal.png" TargetMode="External"/><Relationship Id="rId17265" Type="http://schemas.openxmlformats.org/officeDocument/2006/relationships/hyperlink" Target="https://abs.twimg.com/sticky/default_profile_images/default_profile_2_normal.png" TargetMode="External"/><Relationship Id="rId18316" Type="http://schemas.openxmlformats.org/officeDocument/2006/relationships/hyperlink" Target="https://twitter.com/motorhappy" TargetMode="External"/><Relationship Id="rId24481" Type="http://schemas.openxmlformats.org/officeDocument/2006/relationships/hyperlink" Target="https://twitter.com/YesItsSHAWTY" TargetMode="External"/><Relationship Id="rId25532" Type="http://schemas.openxmlformats.org/officeDocument/2006/relationships/hyperlink" Target="https://twitter.com/axelneuhaus/status/724445697383256065" TargetMode="External"/><Relationship Id="rId6273" Type="http://schemas.openxmlformats.org/officeDocument/2006/relationships/hyperlink" Target="https://twitter.com/vintagevwdita/status/723237291045621760" TargetMode="External"/><Relationship Id="rId7324" Type="http://schemas.openxmlformats.org/officeDocument/2006/relationships/hyperlink" Target="https://twitter.com/VidalJimena1/status/723295617318047746" TargetMode="External"/><Relationship Id="rId10305" Type="http://schemas.openxmlformats.org/officeDocument/2006/relationships/hyperlink" Target="https://twitter.com/dwnews/status/723468793637441538" TargetMode="External"/><Relationship Id="rId13875" Type="http://schemas.openxmlformats.org/officeDocument/2006/relationships/hyperlink" Target="https://twitter.com/seelig85" TargetMode="External"/><Relationship Id="rId23083" Type="http://schemas.openxmlformats.org/officeDocument/2006/relationships/hyperlink" Target="https://twitter.com/chintanmajithia/status/724268210795646976" TargetMode="External"/><Relationship Id="rId24134" Type="http://schemas.openxmlformats.org/officeDocument/2006/relationships/hyperlink" Target="https://twitter.com/Allluvdub/status/724334282013995008" TargetMode="External"/><Relationship Id="rId2883" Type="http://schemas.openxmlformats.org/officeDocument/2006/relationships/hyperlink" Target="https://twitter.com/aktionaer" TargetMode="External"/><Relationship Id="rId3934" Type="http://schemas.openxmlformats.org/officeDocument/2006/relationships/hyperlink" Target="https://twitter.com/kayabendroth/status/723172443603501056" TargetMode="External"/><Relationship Id="rId9496" Type="http://schemas.openxmlformats.org/officeDocument/2006/relationships/hyperlink" Target="https://twitter.com/beetlebug1938" TargetMode="External"/><Relationship Id="rId12477" Type="http://schemas.openxmlformats.org/officeDocument/2006/relationships/hyperlink" Target="https://pbs.twimg.com/profile_images/1289359150/Xenon07.2_normal.jpg" TargetMode="External"/><Relationship Id="rId13528" Type="http://schemas.openxmlformats.org/officeDocument/2006/relationships/hyperlink" Target="https://twitter.com/tazgezwitscher/status/723549512652955649" TargetMode="External"/><Relationship Id="rId14926" Type="http://schemas.openxmlformats.org/officeDocument/2006/relationships/hyperlink" Target="https://twitter.com/VWCamperSales/status/723587212047081472" TargetMode="External"/><Relationship Id="rId20744" Type="http://schemas.openxmlformats.org/officeDocument/2006/relationships/hyperlink" Target="https://twitter.com/Relaxiknwarchie" TargetMode="External"/><Relationship Id="rId855" Type="http://schemas.openxmlformats.org/officeDocument/2006/relationships/hyperlink" Target="https://pbs.twimg.com/profile_images/718275890933809156/npH4oxJP_normal.jpg" TargetMode="External"/><Relationship Id="rId1485" Type="http://schemas.openxmlformats.org/officeDocument/2006/relationships/hyperlink" Target="https://twitter.com/EuropeIndustry" TargetMode="External"/><Relationship Id="rId2536" Type="http://schemas.openxmlformats.org/officeDocument/2006/relationships/hyperlink" Target="https://twitter.com/VWBeetleSales/status/723104517005283328" TargetMode="External"/><Relationship Id="rId8098" Type="http://schemas.openxmlformats.org/officeDocument/2006/relationships/hyperlink" Target="https://pbs.twimg.com/profile_images/1754249738/image_normal.jpg" TargetMode="External"/><Relationship Id="rId9149" Type="http://schemas.openxmlformats.org/officeDocument/2006/relationships/hyperlink" Target="https://pbs.twimg.com/profile_images/2373311233/logo_VW_CONCESSIONARIO_normal.jpg" TargetMode="External"/><Relationship Id="rId11079" Type="http://schemas.openxmlformats.org/officeDocument/2006/relationships/hyperlink" Target="https://pbs.twimg.com/profile_images/1610421423/Image2_normal.jpg" TargetMode="External"/><Relationship Id="rId16001" Type="http://schemas.openxmlformats.org/officeDocument/2006/relationships/hyperlink" Target="https://twitter.com/Lucchisius" TargetMode="External"/><Relationship Id="rId508" Type="http://schemas.openxmlformats.org/officeDocument/2006/relationships/hyperlink" Target="https://twitter.com/CollectHW/status/722963036017930240" TargetMode="External"/><Relationship Id="rId1138" Type="http://schemas.openxmlformats.org/officeDocument/2006/relationships/hyperlink" Target="https://twitter.com/OnlineCarReview/status/723021589638303745" TargetMode="External"/><Relationship Id="rId5759" Type="http://schemas.openxmlformats.org/officeDocument/2006/relationships/hyperlink" Target="https://twitter.com/ruWladimir" TargetMode="External"/><Relationship Id="rId9630" Type="http://schemas.openxmlformats.org/officeDocument/2006/relationships/hyperlink" Target="https://twitter.com/NDRreporter" TargetMode="External"/><Relationship Id="rId18173" Type="http://schemas.openxmlformats.org/officeDocument/2006/relationships/hyperlink" Target="https://twitter.com/Twitchin888/status/723848427663052805" TargetMode="External"/><Relationship Id="rId19571" Type="http://schemas.openxmlformats.org/officeDocument/2006/relationships/hyperlink" Target="https://twitter.com/MirrorFinish" TargetMode="External"/><Relationship Id="rId23967" Type="http://schemas.openxmlformats.org/officeDocument/2006/relationships/hyperlink" Target="https://twitter.com/beadstormdesign" TargetMode="External"/><Relationship Id="rId7181" Type="http://schemas.openxmlformats.org/officeDocument/2006/relationships/hyperlink" Target="https://twitter.com/KnowAhhhh/status/723283071173287937" TargetMode="External"/><Relationship Id="rId8232" Type="http://schemas.openxmlformats.org/officeDocument/2006/relationships/hyperlink" Target="https://twitter.com/wznewsline" TargetMode="External"/><Relationship Id="rId11560" Type="http://schemas.openxmlformats.org/officeDocument/2006/relationships/hyperlink" Target="https://twitter.com/FrankBauHa" TargetMode="External"/><Relationship Id="rId12611" Type="http://schemas.openxmlformats.org/officeDocument/2006/relationships/hyperlink" Target="https://twitter.com/TeroHakola" TargetMode="External"/><Relationship Id="rId19224" Type="http://schemas.openxmlformats.org/officeDocument/2006/relationships/hyperlink" Target="https://twitter.com/_sea_fox_" TargetMode="External"/><Relationship Id="rId22569" Type="http://schemas.openxmlformats.org/officeDocument/2006/relationships/hyperlink" Target="https://twitter.com/VWBeetleSales/status/724231182708154368" TargetMode="External"/><Relationship Id="rId25042" Type="http://schemas.openxmlformats.org/officeDocument/2006/relationships/hyperlink" Target="https://twitter.com/OnlyCarrera" TargetMode="External"/><Relationship Id="rId10162" Type="http://schemas.openxmlformats.org/officeDocument/2006/relationships/hyperlink" Target="https://twitter.com/dermysh" TargetMode="External"/><Relationship Id="rId11213" Type="http://schemas.openxmlformats.org/officeDocument/2006/relationships/hyperlink" Target="https://twitter.com/aktionaer/status/723499339360940032" TargetMode="External"/><Relationship Id="rId14783" Type="http://schemas.openxmlformats.org/officeDocument/2006/relationships/hyperlink" Target="https://twitter.com/VWPuyallup/status/723582282993307648" TargetMode="External"/><Relationship Id="rId15834" Type="http://schemas.openxmlformats.org/officeDocument/2006/relationships/hyperlink" Target="https://twitter.com/garravw/status/723632473876381697" TargetMode="External"/><Relationship Id="rId3791" Type="http://schemas.openxmlformats.org/officeDocument/2006/relationships/hyperlink" Target="https://twitter.com/VCDeV" TargetMode="External"/><Relationship Id="rId4842" Type="http://schemas.openxmlformats.org/officeDocument/2006/relationships/hyperlink" Target="https://pbs.twimg.com/profile_images/1790433842/IMG_9431q_normal.jpg" TargetMode="External"/><Relationship Id="rId13385" Type="http://schemas.openxmlformats.org/officeDocument/2006/relationships/hyperlink" Target="https://twitter.com/sebschaal" TargetMode="External"/><Relationship Id="rId14436" Type="http://schemas.openxmlformats.org/officeDocument/2006/relationships/hyperlink" Target="https://twitter.com/UmaSharandon" TargetMode="External"/><Relationship Id="rId21652" Type="http://schemas.openxmlformats.org/officeDocument/2006/relationships/hyperlink" Target="https://twitter.com/crewevw" TargetMode="External"/><Relationship Id="rId22703" Type="http://schemas.openxmlformats.org/officeDocument/2006/relationships/hyperlink" Target="https://twitter.com/MarcDigruber" TargetMode="External"/><Relationship Id="rId2393" Type="http://schemas.openxmlformats.org/officeDocument/2006/relationships/hyperlink" Target="https://pbs.twimg.com/profile_images/644482436257185792/immN1agH_normal.jpg" TargetMode="External"/><Relationship Id="rId3444" Type="http://schemas.openxmlformats.org/officeDocument/2006/relationships/hyperlink" Target="https://twitter.com/SexenioCDMX" TargetMode="External"/><Relationship Id="rId13038" Type="http://schemas.openxmlformats.org/officeDocument/2006/relationships/hyperlink" Target="https://pbs.twimg.com/profile_images/668091779313500160/ZepxnJcI_normal.jpg" TargetMode="External"/><Relationship Id="rId17659" Type="http://schemas.openxmlformats.org/officeDocument/2006/relationships/hyperlink" Target="https://twitter.com/dw_business/status/723814444334108673" TargetMode="External"/><Relationship Id="rId20254" Type="http://schemas.openxmlformats.org/officeDocument/2006/relationships/hyperlink" Target="https://twitter.com/madeinsantacruz" TargetMode="External"/><Relationship Id="rId21305" Type="http://schemas.openxmlformats.org/officeDocument/2006/relationships/hyperlink" Target="https://twitter.com/Kerstin_Lomb" TargetMode="External"/><Relationship Id="rId24875" Type="http://schemas.openxmlformats.org/officeDocument/2006/relationships/hyperlink" Target="https://twitter.com/nexus_line" TargetMode="External"/><Relationship Id="rId365" Type="http://schemas.openxmlformats.org/officeDocument/2006/relationships/hyperlink" Target="https://twitter.com/kevdritchie" TargetMode="External"/><Relationship Id="rId2046" Type="http://schemas.openxmlformats.org/officeDocument/2006/relationships/hyperlink" Target="https://twitter.com/NDRreporter/status/723078727706406912" TargetMode="External"/><Relationship Id="rId6667" Type="http://schemas.openxmlformats.org/officeDocument/2006/relationships/hyperlink" Target="https://abs.twimg.com/sticky/default_profile_images/default_profile_4_normal.png" TargetMode="External"/><Relationship Id="rId7718" Type="http://schemas.openxmlformats.org/officeDocument/2006/relationships/hyperlink" Target="https://twitter.com/KraeuterVerbena" TargetMode="External"/><Relationship Id="rId19081" Type="http://schemas.openxmlformats.org/officeDocument/2006/relationships/hyperlink" Target="https://twitter.com/Turnervwkelowna" TargetMode="External"/><Relationship Id="rId23477" Type="http://schemas.openxmlformats.org/officeDocument/2006/relationships/hyperlink" Target="https://pbs.twimg.com/profile_images/720728361371365376/q5nNqU7Q_normal.jpg" TargetMode="External"/><Relationship Id="rId24528" Type="http://schemas.openxmlformats.org/officeDocument/2006/relationships/hyperlink" Target="https://twitter.com/dubbusses" TargetMode="External"/><Relationship Id="rId5269" Type="http://schemas.openxmlformats.org/officeDocument/2006/relationships/hyperlink" Target="https://twitter.com/BobCockerham/status/723199217108324352" TargetMode="External"/><Relationship Id="rId9140" Type="http://schemas.openxmlformats.org/officeDocument/2006/relationships/hyperlink" Target="https://pbs.twimg.com/profile_images/614723809590018048/IWZnUTnV_normal.jpg" TargetMode="External"/><Relationship Id="rId11070" Type="http://schemas.openxmlformats.org/officeDocument/2006/relationships/hyperlink" Target="https://pbs.twimg.com/profile_images/3012106875/596e712c99a38ec69b925b7f7ab71986_normal.jpeg" TargetMode="External"/><Relationship Id="rId12121" Type="http://schemas.openxmlformats.org/officeDocument/2006/relationships/hyperlink" Target="https://pbs.twimg.com/profile_images/684312563727908865/TLV-o3V0_normal.jpg" TargetMode="External"/><Relationship Id="rId22079" Type="http://schemas.openxmlformats.org/officeDocument/2006/relationships/hyperlink" Target="https://twitter.com/bBOLDbLONG" TargetMode="External"/><Relationship Id="rId15691" Type="http://schemas.openxmlformats.org/officeDocument/2006/relationships/hyperlink" Target="https://twitter.com/jitenmistrydj/status/723620836180152321" TargetMode="External"/><Relationship Id="rId16742" Type="http://schemas.openxmlformats.org/officeDocument/2006/relationships/hyperlink" Target="https://twitter.com/davidtellez" TargetMode="External"/><Relationship Id="rId1879" Type="http://schemas.openxmlformats.org/officeDocument/2006/relationships/hyperlink" Target="https://twitter.com/gas_guz" TargetMode="External"/><Relationship Id="rId5750" Type="http://schemas.openxmlformats.org/officeDocument/2006/relationships/hyperlink" Target="https://twitter.com/TeamHardRacing" TargetMode="External"/><Relationship Id="rId6801" Type="http://schemas.openxmlformats.org/officeDocument/2006/relationships/hyperlink" Target="https://twitter.com/MyFutureMot" TargetMode="External"/><Relationship Id="rId14293" Type="http://schemas.openxmlformats.org/officeDocument/2006/relationships/hyperlink" Target="https://twitter.com/Hector_Beney" TargetMode="External"/><Relationship Id="rId15344" Type="http://schemas.openxmlformats.org/officeDocument/2006/relationships/hyperlink" Target="https://pbs.twimg.com/profile_images/703294545195307008/qeCvrX86_normal.jpg" TargetMode="External"/><Relationship Id="rId19965" Type="http://schemas.openxmlformats.org/officeDocument/2006/relationships/hyperlink" Target="https://pbs.twimg.com/profile_images/1171030197/DSCF3093_normal.JPG" TargetMode="External"/><Relationship Id="rId22560" Type="http://schemas.openxmlformats.org/officeDocument/2006/relationships/hyperlink" Target="https://twitter.com/AleGomezFabio/status/724230584013303808" TargetMode="External"/><Relationship Id="rId23611" Type="http://schemas.openxmlformats.org/officeDocument/2006/relationships/hyperlink" Target="https://twitter.com/calhounhampton/status/724299209386512384" TargetMode="External"/><Relationship Id="rId4005" Type="http://schemas.openxmlformats.org/officeDocument/2006/relationships/hyperlink" Target="https://pbs.twimg.com/profile_images/700358604315086848/EgnxZmpR_normal.jpg" TargetMode="External"/><Relationship Id="rId4352" Type="http://schemas.openxmlformats.org/officeDocument/2006/relationships/hyperlink" Target="https://twitter.com/Produktion_de/status/723179559001067521" TargetMode="External"/><Relationship Id="rId5403" Type="http://schemas.openxmlformats.org/officeDocument/2006/relationships/hyperlink" Target="https://pbs.twimg.com/profile_images/530071272881803264/a_jcCmPZ_normal.png" TargetMode="External"/><Relationship Id="rId8973" Type="http://schemas.openxmlformats.org/officeDocument/2006/relationships/hyperlink" Target="https://twitter.com/boerseARD/status/723414338472562688" TargetMode="External"/><Relationship Id="rId11954" Type="http://schemas.openxmlformats.org/officeDocument/2006/relationships/hyperlink" Target="https://pbs.twimg.com/profile_images/627949001179037696/skEBkS05_normal.jpg" TargetMode="External"/><Relationship Id="rId18567" Type="http://schemas.openxmlformats.org/officeDocument/2006/relationships/hyperlink" Target="https://pbs.twimg.com/profile_images/471351230212501504/x8Z0ncVJ_normal.jpeg" TargetMode="External"/><Relationship Id="rId19618" Type="http://schemas.openxmlformats.org/officeDocument/2006/relationships/hyperlink" Target="https://abs.twimg.com/sticky/default_profile_images/default_profile_1_normal.png" TargetMode="External"/><Relationship Id="rId21162" Type="http://schemas.openxmlformats.org/officeDocument/2006/relationships/hyperlink" Target="https://twitter.com/FacuRusso46vr/status/724117407187476480" TargetMode="External"/><Relationship Id="rId22213" Type="http://schemas.openxmlformats.org/officeDocument/2006/relationships/hyperlink" Target="https://pbs.twimg.com/profile_images/718835727027580928/1ssyQ67y_normal.jpg" TargetMode="External"/><Relationship Id="rId7575" Type="http://schemas.openxmlformats.org/officeDocument/2006/relationships/hyperlink" Target="http://ctrlq.org/maps/address/" TargetMode="External"/><Relationship Id="rId8626" Type="http://schemas.openxmlformats.org/officeDocument/2006/relationships/hyperlink" Target="https://pbs.twimg.com/profile_images/475350384392011776/Ep-1fmnv_normal.jpeg" TargetMode="External"/><Relationship Id="rId10556" Type="http://schemas.openxmlformats.org/officeDocument/2006/relationships/hyperlink" Target="https://pbs.twimg.com/profile_images/666384398514855939/OtYSgUiF_normal.jpg" TargetMode="External"/><Relationship Id="rId11607" Type="http://schemas.openxmlformats.org/officeDocument/2006/relationships/hyperlink" Target="https://twitter.com/cikuwa1/status/723504252073562112" TargetMode="External"/><Relationship Id="rId17169" Type="http://schemas.openxmlformats.org/officeDocument/2006/relationships/hyperlink" Target="https://pbs.twimg.com/profile_images/424893967197433858/iQ86NktX_normal.jpeg" TargetMode="External"/><Relationship Id="rId24385" Type="http://schemas.openxmlformats.org/officeDocument/2006/relationships/hyperlink" Target="https://pbs.twimg.com/profile_images/718835727027580928/1ssyQ67y_normal.jpg" TargetMode="External"/><Relationship Id="rId25436" Type="http://schemas.openxmlformats.org/officeDocument/2006/relationships/hyperlink" Target="https://twitter.com/vickymotorserv1/status/724438404432302080" TargetMode="External"/><Relationship Id="rId6177" Type="http://schemas.openxmlformats.org/officeDocument/2006/relationships/hyperlink" Target="https://twitter.com/VWCamperSales/status/723233398739718145" TargetMode="External"/><Relationship Id="rId7228" Type="http://schemas.openxmlformats.org/officeDocument/2006/relationships/hyperlink" Target="https://pbs.twimg.com/profile_images/492428476062777344/PinaonZb_normal.jpeg" TargetMode="External"/><Relationship Id="rId10209" Type="http://schemas.openxmlformats.org/officeDocument/2006/relationships/hyperlink" Target="https://pbs.twimg.com/profile_images/3006967823/e93d5df72da5ae12f654ea1acb10b46a_normal.jpeg" TargetMode="External"/><Relationship Id="rId24038" Type="http://schemas.openxmlformats.org/officeDocument/2006/relationships/hyperlink" Target="https://twitter.com/VWBeetleSales" TargetMode="External"/><Relationship Id="rId2787" Type="http://schemas.openxmlformats.org/officeDocument/2006/relationships/hyperlink" Target="https://twitter.com/kngeuro/status/723119254657241088" TargetMode="External"/><Relationship Id="rId3838" Type="http://schemas.openxmlformats.org/officeDocument/2006/relationships/hyperlink" Target="https://pbs.twimg.com/profile_images/710572956238389253/CXNSydPb_normal.jpg" TargetMode="External"/><Relationship Id="rId13779" Type="http://schemas.openxmlformats.org/officeDocument/2006/relationships/hyperlink" Target="https://pbs.twimg.com/profile_images/720641151963951104/_4AUpUQP_normal.jpg" TargetMode="External"/><Relationship Id="rId16252" Type="http://schemas.openxmlformats.org/officeDocument/2006/relationships/hyperlink" Target="https://pbs.twimg.com/profile_images/715772857578602497/Bwg-n1yL_normal.jpg" TargetMode="External"/><Relationship Id="rId17650" Type="http://schemas.openxmlformats.org/officeDocument/2006/relationships/hyperlink" Target="https://twitter.com/masa90t0/status/723813023563931649" TargetMode="External"/><Relationship Id="rId18701" Type="http://schemas.openxmlformats.org/officeDocument/2006/relationships/hyperlink" Target="http://dlvr.it/" TargetMode="External"/><Relationship Id="rId20995" Type="http://schemas.openxmlformats.org/officeDocument/2006/relationships/hyperlink" Target="https://twitter.com/LybertusBarker" TargetMode="External"/><Relationship Id="rId759" Type="http://schemas.openxmlformats.org/officeDocument/2006/relationships/hyperlink" Target="https://twitter.com/beetlebug1938/status/722980447110725632" TargetMode="External"/><Relationship Id="rId1389" Type="http://schemas.openxmlformats.org/officeDocument/2006/relationships/hyperlink" Target="https://twitter.com/emiliamuthoni/status/723039283838259201" TargetMode="External"/><Relationship Id="rId5260" Type="http://schemas.openxmlformats.org/officeDocument/2006/relationships/hyperlink" Target="https://twitter.com/blubb_undso/status/723198963667476483" TargetMode="External"/><Relationship Id="rId6311" Type="http://schemas.openxmlformats.org/officeDocument/2006/relationships/hyperlink" Target="https://twitter.com/dmstone08" TargetMode="External"/><Relationship Id="rId17303" Type="http://schemas.openxmlformats.org/officeDocument/2006/relationships/hyperlink" Target="https://twitter.com/Tschonka/status/723788357311041537" TargetMode="External"/><Relationship Id="rId20648" Type="http://schemas.openxmlformats.org/officeDocument/2006/relationships/hyperlink" Target="https://twitter.com/thunderdan667" TargetMode="External"/><Relationship Id="rId22070" Type="http://schemas.openxmlformats.org/officeDocument/2006/relationships/hyperlink" Target="https://twitter.com/VeeDubMk1_/status/724198354750693377" TargetMode="External"/><Relationship Id="rId23121" Type="http://schemas.openxmlformats.org/officeDocument/2006/relationships/hyperlink" Target="https://twitter.com/hannogroth" TargetMode="External"/><Relationship Id="rId8483" Type="http://schemas.openxmlformats.org/officeDocument/2006/relationships/hyperlink" Target="https://pbs.twimg.com/profile_images/3282181310/09912193e3b2ecc229b9028eb0f19def_normal.jpeg" TargetMode="External"/><Relationship Id="rId9881" Type="http://schemas.openxmlformats.org/officeDocument/2006/relationships/hyperlink" Target="https://pbs.twimg.com/profile_images/637390204526030849/x7fTNLV__normal.png" TargetMode="External"/><Relationship Id="rId12862" Type="http://schemas.openxmlformats.org/officeDocument/2006/relationships/hyperlink" Target="https://pbs.twimg.com/profile_images/3653770649/2466e51deddf806fd8fa4222234eb3c0_normal.jpeg" TargetMode="External"/><Relationship Id="rId13913" Type="http://schemas.openxmlformats.org/officeDocument/2006/relationships/hyperlink" Target="https://pbs.twimg.com/profile_images/716866813393563648/zbkYA6aS_normal.jpg" TargetMode="External"/><Relationship Id="rId19475" Type="http://schemas.openxmlformats.org/officeDocument/2006/relationships/hyperlink" Target="https://twitter.com/VWCamperSales/status/723935754783576065" TargetMode="External"/><Relationship Id="rId95" Type="http://schemas.openxmlformats.org/officeDocument/2006/relationships/hyperlink" Target="https://pbs.twimg.com/profile_images/703294545195307008/qeCvrX86_normal.jpg" TargetMode="External"/><Relationship Id="rId1870" Type="http://schemas.openxmlformats.org/officeDocument/2006/relationships/hyperlink" Target="https://twitter.com/ML42222157" TargetMode="External"/><Relationship Id="rId2921" Type="http://schemas.openxmlformats.org/officeDocument/2006/relationships/hyperlink" Target="https://pbs.twimg.com/profile_images/1341393807/14171822_s_1__normal.jpg" TargetMode="External"/><Relationship Id="rId7085" Type="http://schemas.openxmlformats.org/officeDocument/2006/relationships/hyperlink" Target="https://abs.twimg.com/sticky/default_profile_images/default_profile_3_normal.png" TargetMode="External"/><Relationship Id="rId8136" Type="http://schemas.openxmlformats.org/officeDocument/2006/relationships/hyperlink" Target="https://pbs.twimg.com/profile_images/717746968248901634/w8iLMTAe_normal.jpg" TargetMode="External"/><Relationship Id="rId9534" Type="http://schemas.openxmlformats.org/officeDocument/2006/relationships/hyperlink" Target="https://pbs.twimg.com/profile_images/705780107844067328/e7O4UBNb_normal.jpg" TargetMode="External"/><Relationship Id="rId11464" Type="http://schemas.openxmlformats.org/officeDocument/2006/relationships/hyperlink" Target="https://twitter.com/Minister_Remmel" TargetMode="External"/><Relationship Id="rId12515" Type="http://schemas.openxmlformats.org/officeDocument/2006/relationships/hyperlink" Target="https://twitter.com/doern/status/723521632892030976" TargetMode="External"/><Relationship Id="rId18077" Type="http://schemas.openxmlformats.org/officeDocument/2006/relationships/hyperlink" Target="https://twitter.com/yunusemrkaraman" TargetMode="External"/><Relationship Id="rId19128" Type="http://schemas.openxmlformats.org/officeDocument/2006/relationships/hyperlink" Target="https://twitter.com/DlmeFerd" TargetMode="External"/><Relationship Id="rId25293" Type="http://schemas.openxmlformats.org/officeDocument/2006/relationships/hyperlink" Target="https://twitter.com/OnlineCarReview/status/724429808160018432" TargetMode="External"/><Relationship Id="rId1523" Type="http://schemas.openxmlformats.org/officeDocument/2006/relationships/hyperlink" Target="https://twitter.com/RuimteOrdening" TargetMode="External"/><Relationship Id="rId10066" Type="http://schemas.openxmlformats.org/officeDocument/2006/relationships/hyperlink" Target="https://twitter.com/DubLuvTuning" TargetMode="External"/><Relationship Id="rId11117" Type="http://schemas.openxmlformats.org/officeDocument/2006/relationships/hyperlink" Target="https://twitter.com/handelsblatt" TargetMode="External"/><Relationship Id="rId14687" Type="http://schemas.openxmlformats.org/officeDocument/2006/relationships/hyperlink" Target="https://twitter.com/Stony_BS/status/723579958749212674" TargetMode="External"/><Relationship Id="rId15738" Type="http://schemas.openxmlformats.org/officeDocument/2006/relationships/hyperlink" Target="https://twitter.com/aatheus" TargetMode="External"/><Relationship Id="rId22954" Type="http://schemas.openxmlformats.org/officeDocument/2006/relationships/hyperlink" Target="https://twitter.com/InstaTaganrog" TargetMode="External"/><Relationship Id="rId3695" Type="http://schemas.openxmlformats.org/officeDocument/2006/relationships/hyperlink" Target="https://pbs.twimg.com/profile_images/2592181176/udsjv0fy0o3b2krnx52h_normal.jpeg" TargetMode="External"/><Relationship Id="rId4746" Type="http://schemas.openxmlformats.org/officeDocument/2006/relationships/hyperlink" Target="https://pbs.twimg.com/profile_images/652191269934993408/5bZKOI8y_normal.jpg" TargetMode="External"/><Relationship Id="rId13289" Type="http://schemas.openxmlformats.org/officeDocument/2006/relationships/hyperlink" Target="https://twitter.com/olandero" TargetMode="External"/><Relationship Id="rId17160" Type="http://schemas.openxmlformats.org/officeDocument/2006/relationships/hyperlink" Target="https://pbs.twimg.com/profile_images/711824654252556288/QX4bbwyl_normal.jpg" TargetMode="External"/><Relationship Id="rId18211" Type="http://schemas.openxmlformats.org/officeDocument/2006/relationships/hyperlink" Target="https://twitter.com/FindingDhimo" TargetMode="External"/><Relationship Id="rId21556" Type="http://schemas.openxmlformats.org/officeDocument/2006/relationships/hyperlink" Target="https://twitter.com/weare_van" TargetMode="External"/><Relationship Id="rId22607" Type="http://schemas.openxmlformats.org/officeDocument/2006/relationships/hyperlink" Target="https://pbs.twimg.com/profile_images/666952128108363777/FL78g9n-_normal.png" TargetMode="External"/><Relationship Id="rId2297" Type="http://schemas.openxmlformats.org/officeDocument/2006/relationships/hyperlink" Target="https://twitter.com/drheinzhafner/status/723094201286705152" TargetMode="External"/><Relationship Id="rId3348" Type="http://schemas.openxmlformats.org/officeDocument/2006/relationships/hyperlink" Target="https://pbs.twimg.com/profile_images/695609466620940288/lvg9H3ch_normal.jpg" TargetMode="External"/><Relationship Id="rId7969" Type="http://schemas.openxmlformats.org/officeDocument/2006/relationships/hyperlink" Target="https://twitter.com/sfchronicle" TargetMode="External"/><Relationship Id="rId10200" Type="http://schemas.openxmlformats.org/officeDocument/2006/relationships/hyperlink" Target="https://pbs.twimg.com/profile_images/571204359779962880/CmmY8h_g_normal.jpeg" TargetMode="External"/><Relationship Id="rId20158" Type="http://schemas.openxmlformats.org/officeDocument/2006/relationships/hyperlink" Target="https://twitter.com/ALBADERTSCHER" TargetMode="External"/><Relationship Id="rId21209" Type="http://schemas.openxmlformats.org/officeDocument/2006/relationships/hyperlink" Target="https://twitter.com/PheonixJane/status/724123268156915712" TargetMode="External"/><Relationship Id="rId24779" Type="http://schemas.openxmlformats.org/officeDocument/2006/relationships/hyperlink" Target="https://pbs.twimg.com/profile_images/615493650785660928/XHUh6HOk_normal.jpg" TargetMode="External"/><Relationship Id="rId269" Type="http://schemas.openxmlformats.org/officeDocument/2006/relationships/hyperlink" Target="https://twitter.com/ReevesVW/status/722942442517860353" TargetMode="External"/><Relationship Id="rId9391" Type="http://schemas.openxmlformats.org/officeDocument/2006/relationships/hyperlink" Target="https://twitter.com/RainerKresken" TargetMode="External"/><Relationship Id="rId13770" Type="http://schemas.openxmlformats.org/officeDocument/2006/relationships/hyperlink" Target="https://pbs.twimg.com/profile_images/694320510541402114/HW0AIl49_normal.jpg" TargetMode="External"/><Relationship Id="rId14821" Type="http://schemas.openxmlformats.org/officeDocument/2006/relationships/hyperlink" Target="https://pbs.twimg.com/profile_images/703969274461888512/NW6Y77Oh_normal.jpg" TargetMode="External"/><Relationship Id="rId1380" Type="http://schemas.openxmlformats.org/officeDocument/2006/relationships/hyperlink" Target="https://twitter.com/dwnews/status/723038679879585792" TargetMode="External"/><Relationship Id="rId9044" Type="http://schemas.openxmlformats.org/officeDocument/2006/relationships/hyperlink" Target="https://pbs.twimg.com/profile_images/1864487312/RonvanZon_pasfoto_500K_normal.jpg" TargetMode="External"/><Relationship Id="rId12372" Type="http://schemas.openxmlformats.org/officeDocument/2006/relationships/hyperlink" Target="https://twitter.com/aNyWaytwit/status/723518360386940928" TargetMode="External"/><Relationship Id="rId13423" Type="http://schemas.openxmlformats.org/officeDocument/2006/relationships/hyperlink" Target="https://twitter.com/charlibarca10/status/723546239380406272" TargetMode="External"/><Relationship Id="rId16993" Type="http://schemas.openxmlformats.org/officeDocument/2006/relationships/hyperlink" Target="https://twitter.com/RobertSteuckers" TargetMode="External"/><Relationship Id="rId403" Type="http://schemas.openxmlformats.org/officeDocument/2006/relationships/hyperlink" Target="https://pbs.twimg.com/profile_images/705780107844067328/e7O4UBNb_normal.jpg" TargetMode="External"/><Relationship Id="rId750" Type="http://schemas.openxmlformats.org/officeDocument/2006/relationships/hyperlink" Target="https://twitter.com/OrlandoYurie/status/722979413374197760" TargetMode="External"/><Relationship Id="rId1033" Type="http://schemas.openxmlformats.org/officeDocument/2006/relationships/hyperlink" Target="https://twitter.com/PanchoChavez_/status/723014654914617345" TargetMode="External"/><Relationship Id="rId2431" Type="http://schemas.openxmlformats.org/officeDocument/2006/relationships/hyperlink" Target="https://twitter.com/VWBeetleSales/status/723101504563879936" TargetMode="External"/><Relationship Id="rId12025" Type="http://schemas.openxmlformats.org/officeDocument/2006/relationships/hyperlink" Target="https://twitter.com/kuehn_barbara" TargetMode="External"/><Relationship Id="rId15595" Type="http://schemas.openxmlformats.org/officeDocument/2006/relationships/hyperlink" Target="https://twitter.com/HermanCookVW" TargetMode="External"/><Relationship Id="rId16646" Type="http://schemas.openxmlformats.org/officeDocument/2006/relationships/hyperlink" Target="https://twitter.com/Braian_9107" TargetMode="External"/><Relationship Id="rId23862" Type="http://schemas.openxmlformats.org/officeDocument/2006/relationships/hyperlink" Target="https://twitter.com/universenme" TargetMode="External"/><Relationship Id="rId24913" Type="http://schemas.openxmlformats.org/officeDocument/2006/relationships/hyperlink" Target="https://twitter.com/VolkswagenPost/status/724400916384731137" TargetMode="External"/><Relationship Id="rId5654" Type="http://schemas.openxmlformats.org/officeDocument/2006/relationships/hyperlink" Target="https://twitter.com/jhoppper23" TargetMode="External"/><Relationship Id="rId6705" Type="http://schemas.openxmlformats.org/officeDocument/2006/relationships/hyperlink" Target="https://twitter.com/VWCamperSales/status/723253756310102016" TargetMode="External"/><Relationship Id="rId14197" Type="http://schemas.openxmlformats.org/officeDocument/2006/relationships/hyperlink" Target="https://pbs.twimg.com/profile_images/667151479518666752/TdpI6AEf_normal.jpg" TargetMode="External"/><Relationship Id="rId15248" Type="http://schemas.openxmlformats.org/officeDocument/2006/relationships/hyperlink" Target="https://pbs.twimg.com/profile_images/680375152236982273/xNdXI6IP_normal.jpg" TargetMode="External"/><Relationship Id="rId19869" Type="http://schemas.openxmlformats.org/officeDocument/2006/relationships/hyperlink" Target="https://pbs.twimg.com/profile_images/703294545195307008/qeCvrX86_normal.jpg" TargetMode="External"/><Relationship Id="rId22464" Type="http://schemas.openxmlformats.org/officeDocument/2006/relationships/hyperlink" Target="https://twitter.com/TandyLi5/status/724224428079353858" TargetMode="External"/><Relationship Id="rId23515" Type="http://schemas.openxmlformats.org/officeDocument/2006/relationships/hyperlink" Target="https://twitter.com/bigbobblehats/status/724294977619169280" TargetMode="External"/><Relationship Id="rId4256" Type="http://schemas.openxmlformats.org/officeDocument/2006/relationships/hyperlink" Target="https://twitter.com/JuergenBauer" TargetMode="External"/><Relationship Id="rId5307" Type="http://schemas.openxmlformats.org/officeDocument/2006/relationships/hyperlink" Target="https://twitter.com/djuewhan" TargetMode="External"/><Relationship Id="rId8877" Type="http://schemas.openxmlformats.org/officeDocument/2006/relationships/hyperlink" Target="https://twitter.com/VRwatchingU/status/723410052359426048" TargetMode="External"/><Relationship Id="rId9928" Type="http://schemas.openxmlformats.org/officeDocument/2006/relationships/hyperlink" Target="https://twitter.com/muhanna00923593/status/723454395858313216" TargetMode="External"/><Relationship Id="rId21066" Type="http://schemas.openxmlformats.org/officeDocument/2006/relationships/hyperlink" Target="https://pbs.twimg.com/profile_images/530071272881803264/a_jcCmPZ_normal.png" TargetMode="External"/><Relationship Id="rId22117" Type="http://schemas.openxmlformats.org/officeDocument/2006/relationships/hyperlink" Target="https://pbs.twimg.com/profile_images/2993695854/bfc038b9654b5476fb581d347c90508a_normal.png" TargetMode="External"/><Relationship Id="rId25687" Type="http://schemas.openxmlformats.org/officeDocument/2006/relationships/hyperlink" Target="https://twitter.com/KeithDMcMurdo/status/724461782736101378" TargetMode="External"/><Relationship Id="rId1917" Type="http://schemas.openxmlformats.org/officeDocument/2006/relationships/hyperlink" Target="https://twitter.com/Federalnaba/status/723068526018334720" TargetMode="External"/><Relationship Id="rId7479" Type="http://schemas.openxmlformats.org/officeDocument/2006/relationships/hyperlink" Target="https://twitter.com/_Izzy_Stewart_/status/723306237534810115" TargetMode="External"/><Relationship Id="rId11858" Type="http://schemas.openxmlformats.org/officeDocument/2006/relationships/hyperlink" Target="https://twitter.com/Karlomart" TargetMode="External"/><Relationship Id="rId12909" Type="http://schemas.openxmlformats.org/officeDocument/2006/relationships/hyperlink" Target="https://twitter.com/2016XL" TargetMode="External"/><Relationship Id="rId13280" Type="http://schemas.openxmlformats.org/officeDocument/2006/relationships/hyperlink" Target="http://instock.de/" TargetMode="External"/><Relationship Id="rId14331" Type="http://schemas.openxmlformats.org/officeDocument/2006/relationships/hyperlink" Target="https://twitter.com/volcombug/status/723572667782025216" TargetMode="External"/><Relationship Id="rId24289" Type="http://schemas.openxmlformats.org/officeDocument/2006/relationships/hyperlink" Target="https://twitter.com/acvwpassion" TargetMode="External"/><Relationship Id="rId18952" Type="http://schemas.openxmlformats.org/officeDocument/2006/relationships/hyperlink" Target="https://twitter.com/GeorgAlbrecht1/status/723909077626134530" TargetMode="External"/><Relationship Id="rId21200" Type="http://schemas.openxmlformats.org/officeDocument/2006/relationships/hyperlink" Target="https://twitter.com/Maxipichichi/status/724121540619583488" TargetMode="External"/><Relationship Id="rId260" Type="http://schemas.openxmlformats.org/officeDocument/2006/relationships/hyperlink" Target="https://twitter.com/VanagonNews/status/722941292120924160" TargetMode="External"/><Relationship Id="rId7960" Type="http://schemas.openxmlformats.org/officeDocument/2006/relationships/hyperlink" Target="https://twitter.com/N8Sandrs" TargetMode="External"/><Relationship Id="rId10941" Type="http://schemas.openxmlformats.org/officeDocument/2006/relationships/hyperlink" Target="https://twitter.com/vwpress_en" TargetMode="External"/><Relationship Id="rId17554" Type="http://schemas.openxmlformats.org/officeDocument/2006/relationships/hyperlink" Target="https://twitter.com/ProjectCarsUK/status/723806243509383168" TargetMode="External"/><Relationship Id="rId18605" Type="http://schemas.openxmlformats.org/officeDocument/2006/relationships/hyperlink" Target="https://twitter.com/ebaycampervans/status/723883072903507970" TargetMode="External"/><Relationship Id="rId20899" Type="http://schemas.openxmlformats.org/officeDocument/2006/relationships/hyperlink" Target="https://twitter.com/HunkyAlley" TargetMode="External"/><Relationship Id="rId24770" Type="http://schemas.openxmlformats.org/officeDocument/2006/relationships/hyperlink" Target="https://pbs.twimg.com/profile_images/506828098864558080/mVheZCwt_normal.jpeg" TargetMode="External"/><Relationship Id="rId5164" Type="http://schemas.openxmlformats.org/officeDocument/2006/relationships/hyperlink" Target="https://twitter.com/TokanP/status/723195823387906048" TargetMode="External"/><Relationship Id="rId6215" Type="http://schemas.openxmlformats.org/officeDocument/2006/relationships/hyperlink" Target="https://twitter.com/VWCamperSales" TargetMode="External"/><Relationship Id="rId6562" Type="http://schemas.openxmlformats.org/officeDocument/2006/relationships/hyperlink" Target="https://pbs.twimg.com/profile_images/712334466585333760/rN4Fnyef_normal.jpg" TargetMode="External"/><Relationship Id="rId7613" Type="http://schemas.openxmlformats.org/officeDocument/2006/relationships/hyperlink" Target="https://twitter.com/SexenioMX" TargetMode="External"/><Relationship Id="rId16156" Type="http://schemas.openxmlformats.org/officeDocument/2006/relationships/hyperlink" Target="https://twitter.com/Aldow_CR/status/723652594527141888" TargetMode="External"/><Relationship Id="rId17207" Type="http://schemas.openxmlformats.org/officeDocument/2006/relationships/hyperlink" Target="https://twitter.com/GreenCityeV" TargetMode="External"/><Relationship Id="rId23372" Type="http://schemas.openxmlformats.org/officeDocument/2006/relationships/hyperlink" Target="https://twitter.com/VWBeetleSales" TargetMode="External"/><Relationship Id="rId24423" Type="http://schemas.openxmlformats.org/officeDocument/2006/relationships/hyperlink" Target="https://twitter.com/oldcar_photo" TargetMode="External"/><Relationship Id="rId9785" Type="http://schemas.openxmlformats.org/officeDocument/2006/relationships/hyperlink" Target="https://twitter.com/ndr/status/723449073047478273" TargetMode="External"/><Relationship Id="rId12766" Type="http://schemas.openxmlformats.org/officeDocument/2006/relationships/hyperlink" Target="https://pbs.twimg.com/profile_images/2754194923/5cb21cec531f4267a70e38e4d675cb79_normal.png" TargetMode="External"/><Relationship Id="rId13817" Type="http://schemas.openxmlformats.org/officeDocument/2006/relationships/hyperlink" Target="https://pbs.twimg.com/profile_images/530071272881803264/a_jcCmPZ_normal.png" TargetMode="External"/><Relationship Id="rId19379" Type="http://schemas.openxmlformats.org/officeDocument/2006/relationships/hyperlink" Target="https://pbs.twimg.com/profile_images/627949001179037696/skEBkS05_normal.jpg" TargetMode="External"/><Relationship Id="rId23025" Type="http://schemas.openxmlformats.org/officeDocument/2006/relationships/hyperlink" Target="https://twitter.com/fredcheto/status/724265293682454528" TargetMode="External"/><Relationship Id="rId1774" Type="http://schemas.openxmlformats.org/officeDocument/2006/relationships/hyperlink" Target="https://twitter.com/handelsblatt/status/723056286645006336" TargetMode="External"/><Relationship Id="rId2825" Type="http://schemas.openxmlformats.org/officeDocument/2006/relationships/hyperlink" Target="https://pbs.twimg.com/profile_images/679552623641509888/_vPw9IS2_normal.png" TargetMode="External"/><Relationship Id="rId8387" Type="http://schemas.openxmlformats.org/officeDocument/2006/relationships/hyperlink" Target="https://twitter.com/VWsightings/status/723385743003906048" TargetMode="External"/><Relationship Id="rId9438" Type="http://schemas.openxmlformats.org/officeDocument/2006/relationships/hyperlink" Target="https://twitter.com/VWBeetleSales/status/723435061291278337" TargetMode="External"/><Relationship Id="rId11368" Type="http://schemas.openxmlformats.org/officeDocument/2006/relationships/hyperlink" Target="https://twitter.com/J_Marksteiner" TargetMode="External"/><Relationship Id="rId12419" Type="http://schemas.openxmlformats.org/officeDocument/2006/relationships/hyperlink" Target="https://twitter.com/Automobilwoche/status/723519390390599681" TargetMode="External"/><Relationship Id="rId25197" Type="http://schemas.openxmlformats.org/officeDocument/2006/relationships/hyperlink" Target="https://twitter.com/dougyfresh_79/status/724426040530051072" TargetMode="External"/><Relationship Id="rId1427" Type="http://schemas.openxmlformats.org/officeDocument/2006/relationships/hyperlink" Target="https://twitter.com/AlexWitzleben" TargetMode="External"/><Relationship Id="rId4997" Type="http://schemas.openxmlformats.org/officeDocument/2006/relationships/hyperlink" Target="https://twitter.com/mrswaish" TargetMode="External"/><Relationship Id="rId15989" Type="http://schemas.openxmlformats.org/officeDocument/2006/relationships/hyperlink" Target="https://twitter.com/G_Vazquez4" TargetMode="External"/><Relationship Id="rId18462" Type="http://schemas.openxmlformats.org/officeDocument/2006/relationships/hyperlink" Target="https://twitter.com/salzburg_com/status/723870278632235010" TargetMode="External"/><Relationship Id="rId19860" Type="http://schemas.openxmlformats.org/officeDocument/2006/relationships/hyperlink" Target="https://twitter.com/j_a_n_30" TargetMode="External"/><Relationship Id="rId3599" Type="http://schemas.openxmlformats.org/officeDocument/2006/relationships/hyperlink" Target="https://pbs.twimg.com/profile_images/602072660466659328/noLEC5Ip_normal.jpg" TargetMode="External"/><Relationship Id="rId7470" Type="http://schemas.openxmlformats.org/officeDocument/2006/relationships/hyperlink" Target="https://twitter.com/RHPolyxo8U/status/723305245330268161" TargetMode="External"/><Relationship Id="rId8521" Type="http://schemas.openxmlformats.org/officeDocument/2006/relationships/hyperlink" Target="https://twitter.com/railscanner" TargetMode="External"/><Relationship Id="rId12900" Type="http://schemas.openxmlformats.org/officeDocument/2006/relationships/hyperlink" Target="https://twitter.com/nettechnews/status/723531055110606848" TargetMode="External"/><Relationship Id="rId17064" Type="http://schemas.openxmlformats.org/officeDocument/2006/relationships/hyperlink" Target="https://pbs.twimg.com/profile_images/671367911857127424/UES84lbq_normal.jpg" TargetMode="External"/><Relationship Id="rId18115" Type="http://schemas.openxmlformats.org/officeDocument/2006/relationships/hyperlink" Target="https://twitter.com/FuscaWorld/status/723846132837834752" TargetMode="External"/><Relationship Id="rId19513" Type="http://schemas.openxmlformats.org/officeDocument/2006/relationships/hyperlink" Target="https://twitter.com/Lindsay_VW" TargetMode="External"/><Relationship Id="rId22858" Type="http://schemas.openxmlformats.org/officeDocument/2006/relationships/hyperlink" Target="https://pbs.twimg.com/profile_images/378800000087185118/677683a2ae791d494526a938cd5100ed_normal.jpeg" TargetMode="External"/><Relationship Id="rId23909" Type="http://schemas.openxmlformats.org/officeDocument/2006/relationships/hyperlink" Target="https://twitter.com/FennellMarcus" TargetMode="External"/><Relationship Id="rId24280" Type="http://schemas.openxmlformats.org/officeDocument/2006/relationships/hyperlink" Target="https://twitter.com/Cheungy86/status/724345219395780608" TargetMode="External"/><Relationship Id="rId25331" Type="http://schemas.openxmlformats.org/officeDocument/2006/relationships/hyperlink" Target="https://twitter.com/DeeZeeX" TargetMode="External"/><Relationship Id="rId6072" Type="http://schemas.openxmlformats.org/officeDocument/2006/relationships/hyperlink" Target="https://pbs.twimg.com/profile_images/703294545195307008/qeCvrX86_normal.jpg" TargetMode="External"/><Relationship Id="rId7123" Type="http://schemas.openxmlformats.org/officeDocument/2006/relationships/hyperlink" Target="https://twitter.com/DannyFreshVici/status/723280333307817984" TargetMode="External"/><Relationship Id="rId10451" Type="http://schemas.openxmlformats.org/officeDocument/2006/relationships/hyperlink" Target="https://twitter.com/doern/status/723473489441726464" TargetMode="External"/><Relationship Id="rId11502" Type="http://schemas.openxmlformats.org/officeDocument/2006/relationships/hyperlink" Target="https://pbs.twimg.com/profile_images/1045170209/DSCN0018ccc_normal.jpg" TargetMode="External"/><Relationship Id="rId9295" Type="http://schemas.openxmlformats.org/officeDocument/2006/relationships/hyperlink" Target="https://twitter.com/theDrivenUKshow/status/723429894470819840" TargetMode="External"/><Relationship Id="rId10104" Type="http://schemas.openxmlformats.org/officeDocument/2006/relationships/hyperlink" Target="https://twitter.com/SammiLeopold08/status/723462887176585216" TargetMode="External"/><Relationship Id="rId13674" Type="http://schemas.openxmlformats.org/officeDocument/2006/relationships/hyperlink" Target="http://dlvr.it/" TargetMode="External"/><Relationship Id="rId14725" Type="http://schemas.openxmlformats.org/officeDocument/2006/relationships/hyperlink" Target="https://twitter.com/birminghamVWCV" TargetMode="External"/><Relationship Id="rId20890" Type="http://schemas.openxmlformats.org/officeDocument/2006/relationships/hyperlink" Target="https://twitter.com/rgtzmercadillo" TargetMode="External"/><Relationship Id="rId21941" Type="http://schemas.openxmlformats.org/officeDocument/2006/relationships/hyperlink" Target="https://twitter.com/caffeine_ebook" TargetMode="External"/><Relationship Id="rId2682" Type="http://schemas.openxmlformats.org/officeDocument/2006/relationships/hyperlink" Target="https://twitter.com/franka_kuehn" TargetMode="External"/><Relationship Id="rId3733" Type="http://schemas.openxmlformats.org/officeDocument/2006/relationships/hyperlink" Target="https://pbs.twimg.com/profile_images/655100507963396096/MpbRxsYA_normal.jpg" TargetMode="External"/><Relationship Id="rId12276" Type="http://schemas.openxmlformats.org/officeDocument/2006/relationships/hyperlink" Target="https://pbs.twimg.com/profile_images/697492201492910080/uR3QlSaO_normal.jpg" TargetMode="External"/><Relationship Id="rId13327" Type="http://schemas.openxmlformats.org/officeDocument/2006/relationships/hyperlink" Target="https://pbs.twimg.com/profile_images/697958231046541312/4NchKa9u_normal.jpg" TargetMode="External"/><Relationship Id="rId16897" Type="http://schemas.openxmlformats.org/officeDocument/2006/relationships/hyperlink" Target="https://twitter.com/AJBCE" TargetMode="External"/><Relationship Id="rId17948" Type="http://schemas.openxmlformats.org/officeDocument/2006/relationships/hyperlink" Target="https://pbs.twimg.com/profile_images/672878354127839232/M7OYc-zx_normal.jpg" TargetMode="External"/><Relationship Id="rId20543" Type="http://schemas.openxmlformats.org/officeDocument/2006/relationships/hyperlink" Target="https://twitter.com/larittaD" TargetMode="External"/><Relationship Id="rId654" Type="http://schemas.openxmlformats.org/officeDocument/2006/relationships/hyperlink" Target="https://twitter.com/TheoChrls" TargetMode="External"/><Relationship Id="rId1284" Type="http://schemas.openxmlformats.org/officeDocument/2006/relationships/hyperlink" Target="https://pbs.twimg.com/profile_images/630378503/AchilleNos_normal.jpg" TargetMode="External"/><Relationship Id="rId2335" Type="http://schemas.openxmlformats.org/officeDocument/2006/relationships/hyperlink" Target="https://twitter.com/DoMarMac/status/723096397281648640" TargetMode="External"/><Relationship Id="rId6956" Type="http://schemas.openxmlformats.org/officeDocument/2006/relationships/hyperlink" Target="https://twitter.com/IngoSauer" TargetMode="External"/><Relationship Id="rId15499" Type="http://schemas.openxmlformats.org/officeDocument/2006/relationships/hyperlink" Target="https://twitter.com/sozialromantik/status/723609837741969408" TargetMode="External"/><Relationship Id="rId19370" Type="http://schemas.openxmlformats.org/officeDocument/2006/relationships/hyperlink" Target="https://twitter.com/Beonpush_CH" TargetMode="External"/><Relationship Id="rId23766" Type="http://schemas.openxmlformats.org/officeDocument/2006/relationships/hyperlink" Target="https://twitter.com/caryelluk/status/724310551052984320" TargetMode="External"/><Relationship Id="rId24817" Type="http://schemas.openxmlformats.org/officeDocument/2006/relationships/hyperlink" Target="https://twitter.com/LifeBlab" TargetMode="External"/><Relationship Id="rId307" Type="http://schemas.openxmlformats.org/officeDocument/2006/relationships/hyperlink" Target="https://twitter.com/OnlineCarReview" TargetMode="External"/><Relationship Id="rId5558" Type="http://schemas.openxmlformats.org/officeDocument/2006/relationships/hyperlink" Target="https://twitter.com/DerbyshireGreen/status/723208361529860096" TargetMode="External"/><Relationship Id="rId6609" Type="http://schemas.openxmlformats.org/officeDocument/2006/relationships/hyperlink" Target="https://twitter.com/SYirmi" TargetMode="External"/><Relationship Id="rId12410" Type="http://schemas.openxmlformats.org/officeDocument/2006/relationships/hyperlink" Target="https://twitter.com/fr/status/723519334077833216" TargetMode="External"/><Relationship Id="rId19023" Type="http://schemas.openxmlformats.org/officeDocument/2006/relationships/hyperlink" Target="https://pbs.twimg.com/profile_images/704318460814364672/WLDosunw_normal.jpg" TargetMode="External"/><Relationship Id="rId22368" Type="http://schemas.openxmlformats.org/officeDocument/2006/relationships/hyperlink" Target="https://twitter.com/BruckPelon" TargetMode="External"/><Relationship Id="rId23419" Type="http://schemas.openxmlformats.org/officeDocument/2006/relationships/hyperlink" Target="https://pbs.twimg.com/profile_images/627949001179037696/skEBkS05_normal.jpg" TargetMode="External"/><Relationship Id="rId8031" Type="http://schemas.openxmlformats.org/officeDocument/2006/relationships/hyperlink" Target="https://pbs.twimg.com/profile_images/718820712757215233/LXXndPTS_normal.jpg" TargetMode="External"/><Relationship Id="rId11012" Type="http://schemas.openxmlformats.org/officeDocument/2006/relationships/hyperlink" Target="https://twitter.com/LenaHR2/status/723494846078525440" TargetMode="External"/><Relationship Id="rId15980" Type="http://schemas.openxmlformats.org/officeDocument/2006/relationships/hyperlink" Target="https://twitter.com/VWBeetleSales/status/723640543457103872" TargetMode="External"/><Relationship Id="rId3590" Type="http://schemas.openxmlformats.org/officeDocument/2006/relationships/hyperlink" Target="https://pbs.twimg.com/profile_images/530071272881803264/a_jcCmPZ_normal.png" TargetMode="External"/><Relationship Id="rId13184" Type="http://schemas.openxmlformats.org/officeDocument/2006/relationships/hyperlink" Target="https://pbs.twimg.com/profile_images/721054443802902528/fcHw2mPY_normal.jpg" TargetMode="External"/><Relationship Id="rId14582" Type="http://schemas.openxmlformats.org/officeDocument/2006/relationships/hyperlink" Target="https://twitter.com/Topspeedgr" TargetMode="External"/><Relationship Id="rId15633" Type="http://schemas.openxmlformats.org/officeDocument/2006/relationships/hyperlink" Target="https://pbs.twimg.com/profile_images/720354878782971904/7Udd1I_N_normal.jpg" TargetMode="External"/><Relationship Id="rId23900" Type="http://schemas.openxmlformats.org/officeDocument/2006/relationships/hyperlink" Target="https://twitter.com/thesecretcaddie" TargetMode="External"/><Relationship Id="rId2192" Type="http://schemas.openxmlformats.org/officeDocument/2006/relationships/hyperlink" Target="https://twitter.com/marin_fj/status/723087682721701888" TargetMode="External"/><Relationship Id="rId3243" Type="http://schemas.openxmlformats.org/officeDocument/2006/relationships/hyperlink" Target="https://twitter.com/YokohamaRides/status/723146054254743552" TargetMode="External"/><Relationship Id="rId4641" Type="http://schemas.openxmlformats.org/officeDocument/2006/relationships/hyperlink" Target="http://ctrlq.org/maps/address/" TargetMode="External"/><Relationship Id="rId14235" Type="http://schemas.openxmlformats.org/officeDocument/2006/relationships/hyperlink" Target="https://pbs.twimg.com/profile_images/693260133237809152/JUVeKYdq_normal.jpg" TargetMode="External"/><Relationship Id="rId18856" Type="http://schemas.openxmlformats.org/officeDocument/2006/relationships/hyperlink" Target="https://twitter.com/Hoots_mon" TargetMode="External"/><Relationship Id="rId19907" Type="http://schemas.openxmlformats.org/officeDocument/2006/relationships/hyperlink" Target="https://twitter.com/daniel19makau/status/723963174194548741" TargetMode="External"/><Relationship Id="rId20053" Type="http://schemas.openxmlformats.org/officeDocument/2006/relationships/hyperlink" Target="https://twitter.com/Insta_VWT" TargetMode="External"/><Relationship Id="rId21451" Type="http://schemas.openxmlformats.org/officeDocument/2006/relationships/hyperlink" Target="https://pbs.twimg.com/profile_images/718835727027580928/1ssyQ67y_normal.jpg" TargetMode="External"/><Relationship Id="rId22502" Type="http://schemas.openxmlformats.org/officeDocument/2006/relationships/hyperlink" Target="https://twitter.com/vintagevwdita" TargetMode="External"/><Relationship Id="rId164" Type="http://schemas.openxmlformats.org/officeDocument/2006/relationships/hyperlink" Target="https://pbs.twimg.com/profile_images/569800899141177344/nVFLMSdb_normal.png" TargetMode="External"/><Relationship Id="rId7864" Type="http://schemas.openxmlformats.org/officeDocument/2006/relationships/hyperlink" Target="https://twitter.com/BADtesting" TargetMode="External"/><Relationship Id="rId8915" Type="http://schemas.openxmlformats.org/officeDocument/2006/relationships/hyperlink" Target="https://twitter.com/starfishstuff" TargetMode="External"/><Relationship Id="rId10845" Type="http://schemas.openxmlformats.org/officeDocument/2006/relationships/hyperlink" Target="https://twitter.com/mobile_gis" TargetMode="External"/><Relationship Id="rId17458" Type="http://schemas.openxmlformats.org/officeDocument/2006/relationships/hyperlink" Target="https://twitter.com/Donnerbeutel" TargetMode="External"/><Relationship Id="rId18509" Type="http://schemas.openxmlformats.org/officeDocument/2006/relationships/hyperlink" Target="https://pbs.twimg.com/profile_images/600965523518566400/l0bcJH8l_normal.jpg" TargetMode="External"/><Relationship Id="rId21104" Type="http://schemas.openxmlformats.org/officeDocument/2006/relationships/hyperlink" Target="https://twitter.com/beetlebug1938" TargetMode="External"/><Relationship Id="rId24674" Type="http://schemas.openxmlformats.org/officeDocument/2006/relationships/hyperlink" Target="https://twitter.com/mskellycool/status/724383019394588673" TargetMode="External"/><Relationship Id="rId25725" Type="http://schemas.openxmlformats.org/officeDocument/2006/relationships/hyperlink" Target="https://twitter.com/andrew_amanya" TargetMode="External"/><Relationship Id="rId5068" Type="http://schemas.openxmlformats.org/officeDocument/2006/relationships/hyperlink" Target="https://twitter.com/Catinformacio/status/723193567263363081" TargetMode="External"/><Relationship Id="rId6466" Type="http://schemas.openxmlformats.org/officeDocument/2006/relationships/hyperlink" Target="https://pbs.twimg.com/profile_images/713020344018341889/yHA3iGi9_normal.jpg" TargetMode="External"/><Relationship Id="rId7517" Type="http://schemas.openxmlformats.org/officeDocument/2006/relationships/hyperlink" Target="https://pbs.twimg.com/profile_images/721285201259806724/DiYnPgcr_normal.jpg" TargetMode="External"/><Relationship Id="rId23276" Type="http://schemas.openxmlformats.org/officeDocument/2006/relationships/hyperlink" Target="https://pbs.twimg.com/profile_images/3495443611/f8d62116cc5175519399d65e25f834e2_normal.jpeg" TargetMode="External"/><Relationship Id="rId24327" Type="http://schemas.openxmlformats.org/officeDocument/2006/relationships/hyperlink" Target="http://dlvr.it/" TargetMode="External"/><Relationship Id="rId6119" Type="http://schemas.openxmlformats.org/officeDocument/2006/relationships/hyperlink" Target="https://pbs.twimg.com/profile_images/661498844748738560/AvQKe6w9_normal.jpg" TargetMode="External"/><Relationship Id="rId9689" Type="http://schemas.openxmlformats.org/officeDocument/2006/relationships/hyperlink" Target="https://twitter.com/ACE_Autoclub/status/723445303546810373" TargetMode="External"/><Relationship Id="rId15490" Type="http://schemas.openxmlformats.org/officeDocument/2006/relationships/hyperlink" Target="https://twitter.com/GerdaTrapp/status/723608992287711232" TargetMode="External"/><Relationship Id="rId16541" Type="http://schemas.openxmlformats.org/officeDocument/2006/relationships/hyperlink" Target="https://twitter.com/dannyriendeau/status/723695077953036288" TargetMode="External"/><Relationship Id="rId1678" Type="http://schemas.openxmlformats.org/officeDocument/2006/relationships/hyperlink" Target="https://pbs.twimg.com/profile_images/704424786777280513/YQVkJF57_normal.jpg" TargetMode="External"/><Relationship Id="rId2729" Type="http://schemas.openxmlformats.org/officeDocument/2006/relationships/hyperlink" Target="https://twitter.com/FLMedia1" TargetMode="External"/><Relationship Id="rId6600" Type="http://schemas.openxmlformats.org/officeDocument/2006/relationships/hyperlink" Target="https://twitter.com/buran63" TargetMode="External"/><Relationship Id="rId14092" Type="http://schemas.openxmlformats.org/officeDocument/2006/relationships/hyperlink" Target="https://twitter.com/techislet/status/723563751664963586" TargetMode="External"/><Relationship Id="rId15143" Type="http://schemas.openxmlformats.org/officeDocument/2006/relationships/hyperlink" Target="https://twitter.com/Mphilpot1" TargetMode="External"/><Relationship Id="rId20937" Type="http://schemas.openxmlformats.org/officeDocument/2006/relationships/hyperlink" Target="https://pbs.twimg.com/profile_images/3308939578/7990942b4eb3b6c54661e62e3f39b0b7_normal.jpeg" TargetMode="External"/><Relationship Id="rId23410" Type="http://schemas.openxmlformats.org/officeDocument/2006/relationships/hyperlink" Target="https://twitter.com/DieselTech_Jobs/status/724287288260304896" TargetMode="External"/><Relationship Id="rId4151" Type="http://schemas.openxmlformats.org/officeDocument/2006/relationships/hyperlink" Target="https://twitter.com/VWCamperSales/status/723177366114070528" TargetMode="External"/><Relationship Id="rId5202" Type="http://schemas.openxmlformats.org/officeDocument/2006/relationships/hyperlink" Target="https://twitter.com/Histrius" TargetMode="External"/><Relationship Id="rId19764" Type="http://schemas.openxmlformats.org/officeDocument/2006/relationships/hyperlink" Target="http://ctrlq.org/maps/address/" TargetMode="External"/><Relationship Id="rId22012" Type="http://schemas.openxmlformats.org/officeDocument/2006/relationships/hyperlink" Target="https://pbs.twimg.com/profile_images/718835727027580928/1ssyQ67y_normal.jpg" TargetMode="External"/><Relationship Id="rId7374" Type="http://schemas.openxmlformats.org/officeDocument/2006/relationships/hyperlink" Target="https://twitter.com/DLF/status/723298291606269952" TargetMode="External"/><Relationship Id="rId8425" Type="http://schemas.openxmlformats.org/officeDocument/2006/relationships/hyperlink" Target="https://twitter.com/ErwLo" TargetMode="External"/><Relationship Id="rId8772" Type="http://schemas.openxmlformats.org/officeDocument/2006/relationships/hyperlink" Target="https://twitter.com/VanstoreUK/status/723405759346659329" TargetMode="External"/><Relationship Id="rId9823" Type="http://schemas.openxmlformats.org/officeDocument/2006/relationships/hyperlink" Target="https://twitter.com/PatrickGensing/status/723450533357314048" TargetMode="External"/><Relationship Id="rId11753" Type="http://schemas.openxmlformats.org/officeDocument/2006/relationships/hyperlink" Target="https://twitter.com/aktionaer" TargetMode="External"/><Relationship Id="rId12804" Type="http://schemas.openxmlformats.org/officeDocument/2006/relationships/hyperlink" Target="https://pbs.twimg.com/profile_images/718820712757215233/LXXndPTS_normal.jpg" TargetMode="External"/><Relationship Id="rId18366" Type="http://schemas.openxmlformats.org/officeDocument/2006/relationships/hyperlink" Target="https://twitter.com/MKIMAYER/status/723865864102154240" TargetMode="External"/><Relationship Id="rId19417" Type="http://schemas.openxmlformats.org/officeDocument/2006/relationships/hyperlink" Target="https://twitter.com/SerraTVC" TargetMode="External"/><Relationship Id="rId24184" Type="http://schemas.openxmlformats.org/officeDocument/2006/relationships/hyperlink" Target="https://twitter.com/dubbusses/status/724337174947217410" TargetMode="External"/><Relationship Id="rId25582" Type="http://schemas.openxmlformats.org/officeDocument/2006/relationships/hyperlink" Target="https://pbs.twimg.com/profile_images/714558560936529920/fOUFpJYx_normal.jpg" TargetMode="External"/><Relationship Id="rId37" Type="http://schemas.openxmlformats.org/officeDocument/2006/relationships/hyperlink" Target="https://twitter.com/beetlebug1938" TargetMode="External"/><Relationship Id="rId1812" Type="http://schemas.openxmlformats.org/officeDocument/2006/relationships/hyperlink" Target="https://pbs.twimg.com/profile_images/1454103259/logo_normal.gif" TargetMode="External"/><Relationship Id="rId7027" Type="http://schemas.openxmlformats.org/officeDocument/2006/relationships/hyperlink" Target="https://twitter.com/VeeDubMk1_" TargetMode="External"/><Relationship Id="rId10355" Type="http://schemas.openxmlformats.org/officeDocument/2006/relationships/hyperlink" Target="https://pbs.twimg.com/profile_images/547074269721546752/LHmPz6Ng_normal.jpeg" TargetMode="External"/><Relationship Id="rId11406" Type="http://schemas.openxmlformats.org/officeDocument/2006/relationships/hyperlink" Target="https://pbs.twimg.com/profile_images/391507743/avatar-twitter_normal.jpg" TargetMode="External"/><Relationship Id="rId14976" Type="http://schemas.openxmlformats.org/officeDocument/2006/relationships/hyperlink" Target="https://twitter.com/VWBeetleSales/status/723588465258942465" TargetMode="External"/><Relationship Id="rId18019" Type="http://schemas.openxmlformats.org/officeDocument/2006/relationships/hyperlink" Target="http://ctrlq.org/maps/address/" TargetMode="External"/><Relationship Id="rId25235" Type="http://schemas.openxmlformats.org/officeDocument/2006/relationships/hyperlink" Target="https://twitter.com/_grajeda/status/724428037815717888" TargetMode="External"/><Relationship Id="rId3984" Type="http://schemas.openxmlformats.org/officeDocument/2006/relationships/hyperlink" Target="https://pbs.twimg.com/profile_images/428946684312170496/JhiJB2NG_normal.jpeg" TargetMode="External"/><Relationship Id="rId9199" Type="http://schemas.openxmlformats.org/officeDocument/2006/relationships/hyperlink" Target="https://twitter.com/gerd_lutz/status/723424794801098752" TargetMode="External"/><Relationship Id="rId10008" Type="http://schemas.openxmlformats.org/officeDocument/2006/relationships/hyperlink" Target="https://pbs.twimg.com/profile_images/438619338942062592/OBEQvg6R_normal.jpeg" TargetMode="External"/><Relationship Id="rId13578" Type="http://schemas.openxmlformats.org/officeDocument/2006/relationships/hyperlink" Target="https://twitter.com/JungbluthMarion" TargetMode="External"/><Relationship Id="rId14629" Type="http://schemas.openxmlformats.org/officeDocument/2006/relationships/hyperlink" Target="https://twitter.com/Insta_VWT/status/723577707410366465" TargetMode="External"/><Relationship Id="rId18500" Type="http://schemas.openxmlformats.org/officeDocument/2006/relationships/hyperlink" Target="https://pbs.twimg.com/profile_images/674456186159276032/s6_5pnsh_normal.jpg" TargetMode="External"/><Relationship Id="rId20794" Type="http://schemas.openxmlformats.org/officeDocument/2006/relationships/hyperlink" Target="https://twitter.com/BethMasck/status/724046049455812610" TargetMode="External"/><Relationship Id="rId21845" Type="http://schemas.openxmlformats.org/officeDocument/2006/relationships/hyperlink" Target="https://pbs.twimg.com/profile_images/652871584131092480/QA_B6SBO_normal.jpg" TargetMode="External"/><Relationship Id="rId2586" Type="http://schemas.openxmlformats.org/officeDocument/2006/relationships/hyperlink" Target="https://twitter.com/vzbv/status/723107329579737088" TargetMode="External"/><Relationship Id="rId3637" Type="http://schemas.openxmlformats.org/officeDocument/2006/relationships/hyperlink" Target="https://pbs.twimg.com/profile_images/438619338942062592/OBEQvg6R_normal.jpeg" TargetMode="External"/><Relationship Id="rId16051" Type="http://schemas.openxmlformats.org/officeDocument/2006/relationships/hyperlink" Target="https://pbs.twimg.com/profile_images/378800000364599447/1caf5caa3d9877fe5f66db3db3b28e24_normal.jpeg" TargetMode="External"/><Relationship Id="rId17102" Type="http://schemas.openxmlformats.org/officeDocument/2006/relationships/hyperlink" Target="https://twitter.com/stachelvieh" TargetMode="External"/><Relationship Id="rId20447" Type="http://schemas.openxmlformats.org/officeDocument/2006/relationships/hyperlink" Target="https://twitter.com/PodeNaoRecife/status/723999153903296512" TargetMode="External"/><Relationship Id="rId558" Type="http://schemas.openxmlformats.org/officeDocument/2006/relationships/hyperlink" Target="https://twitter.com/roscoiantuono" TargetMode="External"/><Relationship Id="rId1188" Type="http://schemas.openxmlformats.org/officeDocument/2006/relationships/hyperlink" Target="https://twitter.com/Mlitze01/status/723024447381356548" TargetMode="External"/><Relationship Id="rId2239" Type="http://schemas.openxmlformats.org/officeDocument/2006/relationships/hyperlink" Target="https://twitter.com/Ballverteiler/status/723090426199158784" TargetMode="External"/><Relationship Id="rId6110" Type="http://schemas.openxmlformats.org/officeDocument/2006/relationships/hyperlink" Target="https://pbs.twimg.com/profile_images/1875865930/2396395_366288220049934_100000062774207_1485131_205563110_n_normal.jpg" TargetMode="External"/><Relationship Id="rId9680" Type="http://schemas.openxmlformats.org/officeDocument/2006/relationships/hyperlink" Target="https://twitter.com/VolkswagenPost/status/723444997337567232" TargetMode="External"/><Relationship Id="rId19274" Type="http://schemas.openxmlformats.org/officeDocument/2006/relationships/hyperlink" Target="https://twitter.com/GuyMahomlie/status/723925762525519872" TargetMode="External"/><Relationship Id="rId8282" Type="http://schemas.openxmlformats.org/officeDocument/2006/relationships/hyperlink" Target="https://pbs.twimg.com/profile_images/601781958104973312/7etsHLLM_normal.jpg" TargetMode="External"/><Relationship Id="rId9333" Type="http://schemas.openxmlformats.org/officeDocument/2006/relationships/hyperlink" Target="https://twitter.com/LouisTyson" TargetMode="External"/><Relationship Id="rId11263" Type="http://schemas.openxmlformats.org/officeDocument/2006/relationships/hyperlink" Target="https://pbs.twimg.com/profile_images/723218593823891456/LolKqq8k_normal.jpg" TargetMode="External"/><Relationship Id="rId12661" Type="http://schemas.openxmlformats.org/officeDocument/2006/relationships/hyperlink" Target="https://pbs.twimg.com/profile_images/648638699165642756/OSCQkuR4_normal.jpg" TargetMode="External"/><Relationship Id="rId13712" Type="http://schemas.openxmlformats.org/officeDocument/2006/relationships/hyperlink" Target="https://twitter.com/FierroosAlPiso/status/723554002345050112" TargetMode="External"/><Relationship Id="rId25092" Type="http://schemas.openxmlformats.org/officeDocument/2006/relationships/hyperlink" Target="https://twitter.com/GrupoAlden/status/724418956530987008" TargetMode="External"/><Relationship Id="rId1322" Type="http://schemas.openxmlformats.org/officeDocument/2006/relationships/hyperlink" Target="https://twitter.com/aktionaer" TargetMode="External"/><Relationship Id="rId2720" Type="http://schemas.openxmlformats.org/officeDocument/2006/relationships/hyperlink" Target="https://twitter.com/ReynaldoRodz" TargetMode="External"/><Relationship Id="rId12314" Type="http://schemas.openxmlformats.org/officeDocument/2006/relationships/hyperlink" Target="https://twitter.com/TeeKayWorld" TargetMode="External"/><Relationship Id="rId15884" Type="http://schemas.openxmlformats.org/officeDocument/2006/relationships/hyperlink" Target="https://twitter.com/LuliiDonatucci/status/723635630375337984" TargetMode="External"/><Relationship Id="rId16935" Type="http://schemas.openxmlformats.org/officeDocument/2006/relationships/hyperlink" Target="https://pbs.twimg.com/profile_images/3462680803/42dfaee63b95cbc2f9c7e115eb8e109b_normal.jpeg" TargetMode="External"/><Relationship Id="rId4892" Type="http://schemas.openxmlformats.org/officeDocument/2006/relationships/hyperlink" Target="https://pbs.twimg.com/profile_images/1795205245/DSC04821_normal.jpg" TargetMode="External"/><Relationship Id="rId5943" Type="http://schemas.openxmlformats.org/officeDocument/2006/relationships/hyperlink" Target="https://pbs.twimg.com/profile_images/437173690732515328/lOLCG4Wb_normal.jpeg" TargetMode="External"/><Relationship Id="rId14486" Type="http://schemas.openxmlformats.org/officeDocument/2006/relationships/hyperlink" Target="https://pbs.twimg.com/profile_images/530313438526849024/SiYPqCcU_normal.png" TargetMode="External"/><Relationship Id="rId15537" Type="http://schemas.openxmlformats.org/officeDocument/2006/relationships/hyperlink" Target="https://pbs.twimg.com/profile_images/652871584131092480/QA_B6SBO_normal.jpg" TargetMode="External"/><Relationship Id="rId22753" Type="http://schemas.openxmlformats.org/officeDocument/2006/relationships/hyperlink" Target="https://twitter.com/AlexWitzleben" TargetMode="External"/><Relationship Id="rId23804" Type="http://schemas.openxmlformats.org/officeDocument/2006/relationships/hyperlink" Target="https://twitter.com/VWBeetleSales" TargetMode="External"/><Relationship Id="rId2096" Type="http://schemas.openxmlformats.org/officeDocument/2006/relationships/hyperlink" Target="https://twitter.com/aktionaer/status/723081303537524736" TargetMode="External"/><Relationship Id="rId3494" Type="http://schemas.openxmlformats.org/officeDocument/2006/relationships/hyperlink" Target="https://pbs.twimg.com/profile_images/711363527974522880/4n9QulCl_normal.jpg" TargetMode="External"/><Relationship Id="rId4545" Type="http://schemas.openxmlformats.org/officeDocument/2006/relationships/hyperlink" Target="https://twitter.com/Stressless_Teen" TargetMode="External"/><Relationship Id="rId13088" Type="http://schemas.openxmlformats.org/officeDocument/2006/relationships/hyperlink" Target="https://twitter.com/swaroopkaimal" TargetMode="External"/><Relationship Id="rId14139" Type="http://schemas.openxmlformats.org/officeDocument/2006/relationships/hyperlink" Target="https://pbs.twimg.com/profile_images/712642815306702849/PCFg2XhV_normal.jpg" TargetMode="External"/><Relationship Id="rId18010" Type="http://schemas.openxmlformats.org/officeDocument/2006/relationships/hyperlink" Target="https://twitter.com/vonuntendrunter" TargetMode="External"/><Relationship Id="rId21355" Type="http://schemas.openxmlformats.org/officeDocument/2006/relationships/hyperlink" Target="https://pbs.twimg.com/profile_images/378800000572104796/1de43e1cf23efb3f4101c02afad0d3b6_normal.png" TargetMode="External"/><Relationship Id="rId22406" Type="http://schemas.openxmlformats.org/officeDocument/2006/relationships/hyperlink" Target="https://twitter.com/EHcars/status/724222774227677184" TargetMode="External"/><Relationship Id="rId3147" Type="http://schemas.openxmlformats.org/officeDocument/2006/relationships/hyperlink" Target="https://twitter.com/oldcar_photo/status/723144104327127040" TargetMode="External"/><Relationship Id="rId7768" Type="http://schemas.openxmlformats.org/officeDocument/2006/relationships/hyperlink" Target="https://twitter.com/octaviojacquet/status/723330428644515840" TargetMode="External"/><Relationship Id="rId8819" Type="http://schemas.openxmlformats.org/officeDocument/2006/relationships/hyperlink" Target="https://twitter.com/carstenhons" TargetMode="External"/><Relationship Id="rId10749" Type="http://schemas.openxmlformats.org/officeDocument/2006/relationships/hyperlink" Target="https://twitter.com/beetlebug1938/status/723482738377035776" TargetMode="External"/><Relationship Id="rId14620" Type="http://schemas.openxmlformats.org/officeDocument/2006/relationships/hyperlink" Target="https://twitter.com/Stony_BS/status/723577616800821248" TargetMode="External"/><Relationship Id="rId21008" Type="http://schemas.openxmlformats.org/officeDocument/2006/relationships/hyperlink" Target="https://twitter.com/LybertusBarker/status/724081011085058049" TargetMode="External"/><Relationship Id="rId24578" Type="http://schemas.openxmlformats.org/officeDocument/2006/relationships/hyperlink" Target="https://pbs.twimg.com/profile_images/569800899141177344/nVFLMSdb_normal.png" TargetMode="External"/><Relationship Id="rId25629" Type="http://schemas.openxmlformats.org/officeDocument/2006/relationships/hyperlink" Target="https://twitter.com/techislet" TargetMode="External"/><Relationship Id="rId9190" Type="http://schemas.openxmlformats.org/officeDocument/2006/relationships/hyperlink" Target="https://twitter.com/Insta_VWT/status/723424499425648642" TargetMode="External"/><Relationship Id="rId12171" Type="http://schemas.openxmlformats.org/officeDocument/2006/relationships/hyperlink" Target="https://pbs.twimg.com/profile_images/721042128042868737/dxCIslwj_normal.jpg" TargetMode="External"/><Relationship Id="rId13222" Type="http://schemas.openxmlformats.org/officeDocument/2006/relationships/hyperlink" Target="https://twitter.com/MaryVahey/status/723539593853808644" TargetMode="External"/><Relationship Id="rId2230" Type="http://schemas.openxmlformats.org/officeDocument/2006/relationships/hyperlink" Target="https://pbs.twimg.com/profile_images/534347903415091200/7vSjzA4l_normal.jpeg" TargetMode="External"/><Relationship Id="rId15394" Type="http://schemas.openxmlformats.org/officeDocument/2006/relationships/hyperlink" Target="https://twitter.com/cristian_miuta" TargetMode="External"/><Relationship Id="rId16792" Type="http://schemas.openxmlformats.org/officeDocument/2006/relationships/hyperlink" Target="https://twitter.com/beto_rh6/status/723731786853818368" TargetMode="External"/><Relationship Id="rId17843" Type="http://schemas.openxmlformats.org/officeDocument/2006/relationships/hyperlink" Target="http://dlvr.it/" TargetMode="External"/><Relationship Id="rId202" Type="http://schemas.openxmlformats.org/officeDocument/2006/relationships/hyperlink" Target="https://twitter.com/MilapNPatel" TargetMode="External"/><Relationship Id="rId5453" Type="http://schemas.openxmlformats.org/officeDocument/2006/relationships/hyperlink" Target="https://twitter.com/akfullerton/status/723203883871277056" TargetMode="External"/><Relationship Id="rId6504" Type="http://schemas.openxmlformats.org/officeDocument/2006/relationships/hyperlink" Target="https://pbs.twimg.com/profile_images/640488333743910912/UrjN5YsY_normal.jpg" TargetMode="External"/><Relationship Id="rId6851" Type="http://schemas.openxmlformats.org/officeDocument/2006/relationships/hyperlink" Target="https://twitter.com/Gretchenfc1" TargetMode="External"/><Relationship Id="rId7902" Type="http://schemas.openxmlformats.org/officeDocument/2006/relationships/hyperlink" Target="https://twitter.com/VolkswagenPost/status/723339812086784000" TargetMode="External"/><Relationship Id="rId15047" Type="http://schemas.openxmlformats.org/officeDocument/2006/relationships/hyperlink" Target="https://twitter.com/rhettx" TargetMode="External"/><Relationship Id="rId16445" Type="http://schemas.openxmlformats.org/officeDocument/2006/relationships/hyperlink" Target="https://twitter.com/ShinyCordoba/status/723684580310568960" TargetMode="External"/><Relationship Id="rId22263" Type="http://schemas.openxmlformats.org/officeDocument/2006/relationships/hyperlink" Target="https://twitter.com/farouktackie" TargetMode="External"/><Relationship Id="rId23661" Type="http://schemas.openxmlformats.org/officeDocument/2006/relationships/hyperlink" Target="https://twitter.com/VWBeetleSales/status/724305298186334208" TargetMode="External"/><Relationship Id="rId24712" Type="http://schemas.openxmlformats.org/officeDocument/2006/relationships/hyperlink" Target="https://pbs.twimg.com/profile_images/705780107844067328/e7O4UBNb_normal.jpg" TargetMode="External"/><Relationship Id="rId4055" Type="http://schemas.openxmlformats.org/officeDocument/2006/relationships/hyperlink" Target="https://twitter.com/KPRC2/status/723175379796549635" TargetMode="External"/><Relationship Id="rId5106" Type="http://schemas.openxmlformats.org/officeDocument/2006/relationships/hyperlink" Target="https://twitter.com/EuRumtreiber" TargetMode="External"/><Relationship Id="rId19668" Type="http://schemas.openxmlformats.org/officeDocument/2006/relationships/hyperlink" Target="https://pbs.twimg.com/profile_images/706860886208684032/10d4xY0F_normal.jpg" TargetMode="External"/><Relationship Id="rId23314" Type="http://schemas.openxmlformats.org/officeDocument/2006/relationships/hyperlink" Target="https://twitter.com/dara1980" TargetMode="External"/><Relationship Id="rId7278" Type="http://schemas.openxmlformats.org/officeDocument/2006/relationships/hyperlink" Target="https://twitter.com/alexgarciaSD" TargetMode="External"/><Relationship Id="rId8676" Type="http://schemas.openxmlformats.org/officeDocument/2006/relationships/hyperlink" Target="https://twitter.com/MarkCSchneider/status/723401740825976832" TargetMode="External"/><Relationship Id="rId9727" Type="http://schemas.openxmlformats.org/officeDocument/2006/relationships/hyperlink" Target="https://twitter.com/nextmarkets_de/status/723447303403511809" TargetMode="External"/><Relationship Id="rId11657" Type="http://schemas.openxmlformats.org/officeDocument/2006/relationships/hyperlink" Target="https://pbs.twimg.com/profile_images/670123014529392640/49d_OxDO_normal.jpg" TargetMode="External"/><Relationship Id="rId12708" Type="http://schemas.openxmlformats.org/officeDocument/2006/relationships/hyperlink" Target="https://twitter.com/VroomInfos/status/723525675261501440" TargetMode="External"/><Relationship Id="rId25486" Type="http://schemas.openxmlformats.org/officeDocument/2006/relationships/hyperlink" Target="https://twitter.com/cmsGOMEX" TargetMode="External"/><Relationship Id="rId1716" Type="http://schemas.openxmlformats.org/officeDocument/2006/relationships/hyperlink" Target="https://twitter.com/neuepresse" TargetMode="External"/><Relationship Id="rId8329" Type="http://schemas.openxmlformats.org/officeDocument/2006/relationships/hyperlink" Target="https://twitter.com/Geschnattere" TargetMode="External"/><Relationship Id="rId10259" Type="http://schemas.openxmlformats.org/officeDocument/2006/relationships/hyperlink" Target="https://twitter.com/beetlebug1938" TargetMode="External"/><Relationship Id="rId14130" Type="http://schemas.openxmlformats.org/officeDocument/2006/relationships/hyperlink" Target="https://pbs.twimg.com/profile_images/562193841587896321/nfd18Y4g_normal.jpeg" TargetMode="External"/><Relationship Id="rId18751" Type="http://schemas.openxmlformats.org/officeDocument/2006/relationships/hyperlink" Target="https://twitter.com/RWFleetServices" TargetMode="External"/><Relationship Id="rId24088" Type="http://schemas.openxmlformats.org/officeDocument/2006/relationships/hyperlink" Target="https://pbs.twimg.com/profile_images/3050374987/37c2ee36858877b4f96f51050c3786d7_normal.jpeg" TargetMode="External"/><Relationship Id="rId25139" Type="http://schemas.openxmlformats.org/officeDocument/2006/relationships/hyperlink" Target="https://twitter.com/cmsGOMEX/status/724423290027163648" TargetMode="External"/><Relationship Id="rId3888" Type="http://schemas.openxmlformats.org/officeDocument/2006/relationships/hyperlink" Target="https://twitter.com/andreasgust1966" TargetMode="External"/><Relationship Id="rId4939" Type="http://schemas.openxmlformats.org/officeDocument/2006/relationships/hyperlink" Target="https://pbs.twimg.com/profile_images/536852811401555968/jGIByPyp_normal.png" TargetMode="External"/><Relationship Id="rId8810" Type="http://schemas.openxmlformats.org/officeDocument/2006/relationships/hyperlink" Target="https://twitter.com/Marlowe_yuyang" TargetMode="External"/><Relationship Id="rId17353" Type="http://schemas.openxmlformats.org/officeDocument/2006/relationships/hyperlink" Target="https://twitter.com/Braulio_Urresti/status/723792564231528448" TargetMode="External"/><Relationship Id="rId18404" Type="http://schemas.openxmlformats.org/officeDocument/2006/relationships/hyperlink" Target="https://pbs.twimg.com/profile_images/666952128108363777/FL78g9n-_normal.png" TargetMode="External"/><Relationship Id="rId19802" Type="http://schemas.openxmlformats.org/officeDocument/2006/relationships/hyperlink" Target="https://twitter.com/VWCamperSales/status/723958653309456385" TargetMode="External"/><Relationship Id="rId20698" Type="http://schemas.openxmlformats.org/officeDocument/2006/relationships/hyperlink" Target="https://twitter.com/fys_yukio" TargetMode="External"/><Relationship Id="rId21749" Type="http://schemas.openxmlformats.org/officeDocument/2006/relationships/hyperlink" Target="https://twitter.com/derPaddy/status/724177074718683136" TargetMode="External"/><Relationship Id="rId25620" Type="http://schemas.openxmlformats.org/officeDocument/2006/relationships/hyperlink" Target="https://twitter.com/Flor_Lopezc" TargetMode="External"/><Relationship Id="rId6361" Type="http://schemas.openxmlformats.org/officeDocument/2006/relationships/hyperlink" Target="https://twitter.com/copeyphoto" TargetMode="External"/><Relationship Id="rId7412" Type="http://schemas.openxmlformats.org/officeDocument/2006/relationships/hyperlink" Target="https://twitter.com/Matyyy_98" TargetMode="External"/><Relationship Id="rId10740" Type="http://schemas.openxmlformats.org/officeDocument/2006/relationships/hyperlink" Target="https://twitter.com/beetlebug1938/status/723482662955040768" TargetMode="External"/><Relationship Id="rId17006" Type="http://schemas.openxmlformats.org/officeDocument/2006/relationships/hyperlink" Target="https://twitter.com/Ruchser/status/723762136699289600" TargetMode="External"/><Relationship Id="rId23171" Type="http://schemas.openxmlformats.org/officeDocument/2006/relationships/hyperlink" Target="https://twitter.com/What_Danni_Did/status/724272341493141504" TargetMode="External"/><Relationship Id="rId24222" Type="http://schemas.openxmlformats.org/officeDocument/2006/relationships/hyperlink" Target="https://twitter.com/LulubelleLimoVW" TargetMode="External"/><Relationship Id="rId6014" Type="http://schemas.openxmlformats.org/officeDocument/2006/relationships/hyperlink" Target="https://twitter.com/VWBeetleSales/status/723227447018151936" TargetMode="External"/><Relationship Id="rId9584" Type="http://schemas.openxmlformats.org/officeDocument/2006/relationships/hyperlink" Target="https://pbs.twimg.com/profile_images/627949001179037696/skEBkS05_normal.jpg" TargetMode="External"/><Relationship Id="rId13963" Type="http://schemas.openxmlformats.org/officeDocument/2006/relationships/hyperlink" Target="https://twitter.com/Sufiy/status/723559907451133952" TargetMode="External"/><Relationship Id="rId19178" Type="http://schemas.openxmlformats.org/officeDocument/2006/relationships/hyperlink" Target="https://pbs.twimg.com/profile_images/644897595442241536/62y226Ai_normal.jpg" TargetMode="External"/><Relationship Id="rId2971" Type="http://schemas.openxmlformats.org/officeDocument/2006/relationships/hyperlink" Target="https://twitter.com/MaxDecker67/status/723129226875011072" TargetMode="External"/><Relationship Id="rId8186" Type="http://schemas.openxmlformats.org/officeDocument/2006/relationships/hyperlink" Target="https://pbs.twimg.com/profile_images/571872729201012736/GOT-p0KX_normal.jpeg" TargetMode="External"/><Relationship Id="rId9237" Type="http://schemas.openxmlformats.org/officeDocument/2006/relationships/hyperlink" Target="https://twitter.com/Rainer42" TargetMode="External"/><Relationship Id="rId12565" Type="http://schemas.openxmlformats.org/officeDocument/2006/relationships/hyperlink" Target="https://pbs.twimg.com/profile_images/691969719759405057/pgVDkYmL_normal.jpg" TargetMode="External"/><Relationship Id="rId13616" Type="http://schemas.openxmlformats.org/officeDocument/2006/relationships/hyperlink" Target="https://pbs.twimg.com/profile_images/1454103259/logo_normal.gif" TargetMode="External"/><Relationship Id="rId20832" Type="http://schemas.openxmlformats.org/officeDocument/2006/relationships/hyperlink" Target="https://pbs.twimg.com/profile_images/713573399386259456/JwmrbkVy_normal.jpg" TargetMode="External"/><Relationship Id="rId943" Type="http://schemas.openxmlformats.org/officeDocument/2006/relationships/hyperlink" Target="https://pbs.twimg.com/profile_images/1881442204/511.511jpeg_normal.jpg" TargetMode="External"/><Relationship Id="rId1573" Type="http://schemas.openxmlformats.org/officeDocument/2006/relationships/hyperlink" Target="https://pbs.twimg.com/profile_images/694104559229243392/gP-hYBim_normal.png" TargetMode="External"/><Relationship Id="rId2624" Type="http://schemas.openxmlformats.org/officeDocument/2006/relationships/hyperlink" Target="https://pbs.twimg.com/profile_images/491512724430389248/olmYLPA8_normal.png" TargetMode="External"/><Relationship Id="rId11167" Type="http://schemas.openxmlformats.org/officeDocument/2006/relationships/hyperlink" Target="https://twitter.com/vwpress_de/status/723498614048305152" TargetMode="External"/><Relationship Id="rId12218" Type="http://schemas.openxmlformats.org/officeDocument/2006/relationships/hyperlink" Target="https://twitter.com/TimoEssner/status/723515113433608192" TargetMode="External"/><Relationship Id="rId15788" Type="http://schemas.openxmlformats.org/officeDocument/2006/relationships/hyperlink" Target="https://twitter.com/autoshowsonline" TargetMode="External"/><Relationship Id="rId16839" Type="http://schemas.openxmlformats.org/officeDocument/2006/relationships/hyperlink" Target="https://twitter.com/Kielia88" TargetMode="External"/><Relationship Id="rId1226" Type="http://schemas.openxmlformats.org/officeDocument/2006/relationships/hyperlink" Target="https://twitter.com/Stadtpirat" TargetMode="External"/><Relationship Id="rId4796" Type="http://schemas.openxmlformats.org/officeDocument/2006/relationships/hyperlink" Target="https://twitter.com/ramona2382/status/723188052554842112" TargetMode="External"/><Relationship Id="rId5847" Type="http://schemas.openxmlformats.org/officeDocument/2006/relationships/hyperlink" Target="https://pbs.twimg.com/profile_images/707336599898554368/C8k--jj7_normal.jpg" TargetMode="External"/><Relationship Id="rId18261" Type="http://schemas.openxmlformats.org/officeDocument/2006/relationships/hyperlink" Target="https://pbs.twimg.com/profile_images/627949001179037696/skEBkS05_normal.jpg" TargetMode="External"/><Relationship Id="rId19312" Type="http://schemas.openxmlformats.org/officeDocument/2006/relationships/hyperlink" Target="https://twitter.com/oldcar_photo" TargetMode="External"/><Relationship Id="rId22657" Type="http://schemas.openxmlformats.org/officeDocument/2006/relationships/hyperlink" Target="https://twitter.com/uwkakeru14" TargetMode="External"/><Relationship Id="rId23708" Type="http://schemas.openxmlformats.org/officeDocument/2006/relationships/hyperlink" Target="https://twitter.com/dubbusses" TargetMode="External"/><Relationship Id="rId3398" Type="http://schemas.openxmlformats.org/officeDocument/2006/relationships/hyperlink" Target="https://twitter.com/vagmenhq" TargetMode="External"/><Relationship Id="rId4449" Type="http://schemas.openxmlformats.org/officeDocument/2006/relationships/hyperlink" Target="https://twitter.com/OnlineCarReview" TargetMode="External"/><Relationship Id="rId8320" Type="http://schemas.openxmlformats.org/officeDocument/2006/relationships/hyperlink" Target="https://twitter.com/VWCamperSales/status/723383107663986688" TargetMode="External"/><Relationship Id="rId10250" Type="http://schemas.openxmlformats.org/officeDocument/2006/relationships/hyperlink" Target="https://twitter.com/lamescolanza" TargetMode="External"/><Relationship Id="rId11301" Type="http://schemas.openxmlformats.org/officeDocument/2006/relationships/hyperlink" Target="https://twitter.com/c_garrels" TargetMode="External"/><Relationship Id="rId21259" Type="http://schemas.openxmlformats.org/officeDocument/2006/relationships/hyperlink" Target="https://pbs.twimg.com/profile_images/718820712757215233/LXXndPTS_normal.jpg" TargetMode="External"/><Relationship Id="rId25130" Type="http://schemas.openxmlformats.org/officeDocument/2006/relationships/hyperlink" Target="https://twitter.com/fowwow/status/724423045591367681" TargetMode="External"/><Relationship Id="rId13473" Type="http://schemas.openxmlformats.org/officeDocument/2006/relationships/hyperlink" Target="https://twitter.com/VolkswagenPost/status/723548486130528256" TargetMode="External"/><Relationship Id="rId14871" Type="http://schemas.openxmlformats.org/officeDocument/2006/relationships/hyperlink" Target="https://pbs.twimg.com/profile_images/627949001179037696/skEBkS05_normal.jpg" TargetMode="External"/><Relationship Id="rId15922" Type="http://schemas.openxmlformats.org/officeDocument/2006/relationships/hyperlink" Target="https://twitter.com/nordlohner" TargetMode="External"/><Relationship Id="rId2481" Type="http://schemas.openxmlformats.org/officeDocument/2006/relationships/hyperlink" Target="https://pbs.twimg.com/profile_images/677530351833608192/lMRcVg2M_normal.png" TargetMode="External"/><Relationship Id="rId3532" Type="http://schemas.openxmlformats.org/officeDocument/2006/relationships/hyperlink" Target="https://twitter.com/franz_rother/status/723162425491640320" TargetMode="External"/><Relationship Id="rId4930" Type="http://schemas.openxmlformats.org/officeDocument/2006/relationships/hyperlink" Target="https://pbs.twimg.com/profile_images/461183491531497472/BvYhImr6_normal.jpeg" TargetMode="External"/><Relationship Id="rId9094" Type="http://schemas.openxmlformats.org/officeDocument/2006/relationships/hyperlink" Target="https://twitter.com/roansub" TargetMode="External"/><Relationship Id="rId12075" Type="http://schemas.openxmlformats.org/officeDocument/2006/relationships/hyperlink" Target="http://dlvr.it/" TargetMode="External"/><Relationship Id="rId13126" Type="http://schemas.openxmlformats.org/officeDocument/2006/relationships/hyperlink" Target="https://twitter.com/VWBeetleSales" TargetMode="External"/><Relationship Id="rId14524" Type="http://schemas.openxmlformats.org/officeDocument/2006/relationships/hyperlink" Target="https://twitter.com/DubLuvTuning/status/723575192249896960" TargetMode="External"/><Relationship Id="rId20342" Type="http://schemas.openxmlformats.org/officeDocument/2006/relationships/hyperlink" Target="https://pbs.twimg.com/profile_images/627949001179037696/skEBkS05_normal.jpg" TargetMode="External"/><Relationship Id="rId21740" Type="http://schemas.openxmlformats.org/officeDocument/2006/relationships/hyperlink" Target="https://twitter.com/BlackbootsWim/status/724176203620474880" TargetMode="External"/><Relationship Id="rId453" Type="http://schemas.openxmlformats.org/officeDocument/2006/relationships/hyperlink" Target="https://twitter.com/MarcosOmr/status/722960121832169472" TargetMode="External"/><Relationship Id="rId1083" Type="http://schemas.openxmlformats.org/officeDocument/2006/relationships/hyperlink" Target="http://ctrlq.org/maps/address/" TargetMode="External"/><Relationship Id="rId2134" Type="http://schemas.openxmlformats.org/officeDocument/2006/relationships/hyperlink" Target="https://twitter.com/VolkswagenPost" TargetMode="External"/><Relationship Id="rId16696" Type="http://schemas.openxmlformats.org/officeDocument/2006/relationships/hyperlink" Target="https://pbs.twimg.com/profile_images/718820712757215233/LXXndPTS_normal.jpg" TargetMode="External"/><Relationship Id="rId17747" Type="http://schemas.openxmlformats.org/officeDocument/2006/relationships/hyperlink" Target="https://twitter.com/tytanic727/status/723820954254737409" TargetMode="External"/><Relationship Id="rId24963" Type="http://schemas.openxmlformats.org/officeDocument/2006/relationships/hyperlink" Target="http://ctrlq.org/maps/address/" TargetMode="External"/><Relationship Id="rId106" Type="http://schemas.openxmlformats.org/officeDocument/2006/relationships/hyperlink" Target="https://twitter.com/chriscostner/status/722927692635484163" TargetMode="External"/><Relationship Id="rId5357" Type="http://schemas.openxmlformats.org/officeDocument/2006/relationships/hyperlink" Target="https://pbs.twimg.com/profile_images/2709204996/b880460acdc869254288bfc2187d0176_normal.jpeg" TargetMode="External"/><Relationship Id="rId6755" Type="http://schemas.openxmlformats.org/officeDocument/2006/relationships/hyperlink" Target="https://twitter.com/drivingsales/status/723257502813528064" TargetMode="External"/><Relationship Id="rId7806" Type="http://schemas.openxmlformats.org/officeDocument/2006/relationships/hyperlink" Target="https://twitter.com/ffamilymedicine" TargetMode="External"/><Relationship Id="rId15298" Type="http://schemas.openxmlformats.org/officeDocument/2006/relationships/hyperlink" Target="https://twitter.com/beetlebug1938" TargetMode="External"/><Relationship Id="rId16349" Type="http://schemas.openxmlformats.org/officeDocument/2006/relationships/hyperlink" Target="https://twitter.com/Omaruberto/status/723670502695407617" TargetMode="External"/><Relationship Id="rId23565" Type="http://schemas.openxmlformats.org/officeDocument/2006/relationships/hyperlink" Target="http://dlvr.it/" TargetMode="External"/><Relationship Id="rId24616" Type="http://schemas.openxmlformats.org/officeDocument/2006/relationships/hyperlink" Target="https://twitter.com/rajesh877" TargetMode="External"/><Relationship Id="rId6408" Type="http://schemas.openxmlformats.org/officeDocument/2006/relationships/hyperlink" Target="https://twitter.com/ChrisHuxley72" TargetMode="External"/><Relationship Id="rId9978" Type="http://schemas.openxmlformats.org/officeDocument/2006/relationships/hyperlink" Target="https://pbs.twimg.com/profile_images/2524763067/4lpj759sc02zh4xqmm55_normal.jpeg" TargetMode="External"/><Relationship Id="rId12959" Type="http://schemas.openxmlformats.org/officeDocument/2006/relationships/hyperlink" Target="https://pbs.twimg.com/profile_images/652871584131092480/QA_B6SBO_normal.jpg" TargetMode="External"/><Relationship Id="rId16830" Type="http://schemas.openxmlformats.org/officeDocument/2006/relationships/hyperlink" Target="https://twitter.com/Benni_Hofmann" TargetMode="External"/><Relationship Id="rId22167" Type="http://schemas.openxmlformats.org/officeDocument/2006/relationships/hyperlink" Target="https://twitter.com/Auto2day_gr/status/724206329598869504" TargetMode="External"/><Relationship Id="rId23218" Type="http://schemas.openxmlformats.org/officeDocument/2006/relationships/hyperlink" Target="https://twitter.com/BAW_Fluglaerm/status/724273687227187200" TargetMode="External"/><Relationship Id="rId1967" Type="http://schemas.openxmlformats.org/officeDocument/2006/relationships/hyperlink" Target="https://pbs.twimg.com/profile_images/659295730222280705/W1FqHCVo_normal.jpg" TargetMode="External"/><Relationship Id="rId14381" Type="http://schemas.openxmlformats.org/officeDocument/2006/relationships/hyperlink" Target="https://pbs.twimg.com/profile_images/718820712757215233/LXXndPTS_normal.jpg" TargetMode="External"/><Relationship Id="rId15432" Type="http://schemas.openxmlformats.org/officeDocument/2006/relationships/hyperlink" Target="https://pbs.twimg.com/profile_images/642428814765723652/y6jxhWsq_normal.jpg" TargetMode="External"/><Relationship Id="rId4440" Type="http://schemas.openxmlformats.org/officeDocument/2006/relationships/hyperlink" Target="https://twitter.com/VWCamperSales/status/723181137170862081" TargetMode="External"/><Relationship Id="rId14034" Type="http://schemas.openxmlformats.org/officeDocument/2006/relationships/hyperlink" Target="https://twitter.com/topnews_ru_ru/status/723562112908419072" TargetMode="External"/><Relationship Id="rId21250" Type="http://schemas.openxmlformats.org/officeDocument/2006/relationships/hyperlink" Target="https://pbs.twimg.com/profile_images/685910752184676352/VduIvbN-_normal.jpg" TargetMode="External"/><Relationship Id="rId22301" Type="http://schemas.openxmlformats.org/officeDocument/2006/relationships/hyperlink" Target="https://twitter.com/VeeDubMk1_/status/724213534977081344" TargetMode="External"/><Relationship Id="rId3042" Type="http://schemas.openxmlformats.org/officeDocument/2006/relationships/hyperlink" Target="https://pbs.twimg.com/profile_images/659060605869907968/W4yPKbgf_normal.jpg" TargetMode="External"/><Relationship Id="rId7663" Type="http://schemas.openxmlformats.org/officeDocument/2006/relationships/hyperlink" Target="https://twitter.com/jordan_cowdery/status/723322723758387200" TargetMode="External"/><Relationship Id="rId8714" Type="http://schemas.openxmlformats.org/officeDocument/2006/relationships/hyperlink" Target="https://pbs.twimg.com/profile_images/507897198911053824/7OqYAonJ_normal.jpeg" TargetMode="External"/><Relationship Id="rId10991" Type="http://schemas.openxmlformats.org/officeDocument/2006/relationships/hyperlink" Target="https://twitter.com/driversside/status/723493605164228608" TargetMode="External"/><Relationship Id="rId17257" Type="http://schemas.openxmlformats.org/officeDocument/2006/relationships/hyperlink" Target="https://twitter.com/VWBeetleSales/status/723784996742258688" TargetMode="External"/><Relationship Id="rId18655" Type="http://schemas.openxmlformats.org/officeDocument/2006/relationships/hyperlink" Target="https://twitter.com/KK_aus_K/status/723887561303810048" TargetMode="External"/><Relationship Id="rId19706" Type="http://schemas.openxmlformats.org/officeDocument/2006/relationships/hyperlink" Target="https://twitter.com/beakersblog/status/723949636134817792" TargetMode="External"/><Relationship Id="rId24473" Type="http://schemas.openxmlformats.org/officeDocument/2006/relationships/hyperlink" Target="https://twitter.com/TetsuoHojo/status/724362650444926977" TargetMode="External"/><Relationship Id="rId6265" Type="http://schemas.openxmlformats.org/officeDocument/2006/relationships/hyperlink" Target="https://twitter.com/VWCamperSales" TargetMode="External"/><Relationship Id="rId7316" Type="http://schemas.openxmlformats.org/officeDocument/2006/relationships/hyperlink" Target="https://pbs.twimg.com/profile_images/1736354060/hgm_twitter_logo_normal.png" TargetMode="External"/><Relationship Id="rId10644" Type="http://schemas.openxmlformats.org/officeDocument/2006/relationships/hyperlink" Target="https://twitter.com/BasraSatvinder/status/723479602778259459" TargetMode="External"/><Relationship Id="rId18308" Type="http://schemas.openxmlformats.org/officeDocument/2006/relationships/hyperlink" Target="https://twitter.com/lafeecrochete/status/723860149920763904" TargetMode="External"/><Relationship Id="rId23075" Type="http://schemas.openxmlformats.org/officeDocument/2006/relationships/hyperlink" Target="https://pbs.twimg.com/profile_images/637574744427102208/5hvsHkS-_normal.jpg" TargetMode="External"/><Relationship Id="rId24126" Type="http://schemas.openxmlformats.org/officeDocument/2006/relationships/hyperlink" Target="https://pbs.twimg.com/profile_images/471225993034620928/uvrpaB6T_normal.jpeg" TargetMode="External"/><Relationship Id="rId25524" Type="http://schemas.openxmlformats.org/officeDocument/2006/relationships/hyperlink" Target="https://pbs.twimg.com/profile_images/652871584131092480/QA_B6SBO_normal.jpg" TargetMode="External"/><Relationship Id="rId9488" Type="http://schemas.openxmlformats.org/officeDocument/2006/relationships/hyperlink" Target="https://twitter.com/ratingwissen/status/723437011877527552" TargetMode="External"/><Relationship Id="rId13867" Type="http://schemas.openxmlformats.org/officeDocument/2006/relationships/hyperlink" Target="https://pbs.twimg.com/profile_images/669065153179164674/xvN4oZmg_normal.jpg" TargetMode="External"/><Relationship Id="rId14918" Type="http://schemas.openxmlformats.org/officeDocument/2006/relationships/hyperlink" Target="https://pbs.twimg.com/profile_images/531108045451837442/KHuLHxmU_normal.jpeg" TargetMode="External"/><Relationship Id="rId2875" Type="http://schemas.openxmlformats.org/officeDocument/2006/relationships/hyperlink" Target="https://twitter.com/ae_cuellar/status/723122568031535104" TargetMode="External"/><Relationship Id="rId3926" Type="http://schemas.openxmlformats.org/officeDocument/2006/relationships/hyperlink" Target="https://pbs.twimg.com/profile_images/2783814203/4b5dc0bf52ddee4fe7fcfee4cb816dea_normal.jpeg" TargetMode="External"/><Relationship Id="rId12469" Type="http://schemas.openxmlformats.org/officeDocument/2006/relationships/hyperlink" Target="https://twitter.com/vdub_mike" TargetMode="External"/><Relationship Id="rId16340" Type="http://schemas.openxmlformats.org/officeDocument/2006/relationships/hyperlink" Target="https://twitter.com/CollectHW/status/723670043993735168" TargetMode="External"/><Relationship Id="rId20736" Type="http://schemas.openxmlformats.org/officeDocument/2006/relationships/hyperlink" Target="https://twitter.com/dani_acosta98/status/724033568113070080" TargetMode="External"/><Relationship Id="rId847" Type="http://schemas.openxmlformats.org/officeDocument/2006/relationships/hyperlink" Target="https://twitter.com/SpirosChihaia" TargetMode="External"/><Relationship Id="rId1477" Type="http://schemas.openxmlformats.org/officeDocument/2006/relationships/hyperlink" Target="https://twitter.com/handelsblatt/status/723042404253728768" TargetMode="External"/><Relationship Id="rId2528" Type="http://schemas.openxmlformats.org/officeDocument/2006/relationships/hyperlink" Target="https://twitter.com/Markenartikler" TargetMode="External"/><Relationship Id="rId19563" Type="http://schemas.openxmlformats.org/officeDocument/2006/relationships/hyperlink" Target="https://twitter.com/BEVENUTO/status/723940448067293184" TargetMode="External"/><Relationship Id="rId23959" Type="http://schemas.openxmlformats.org/officeDocument/2006/relationships/hyperlink" Target="https://twitter.com/Mphilpot1/status/724323199555530752" TargetMode="External"/><Relationship Id="rId5001" Type="http://schemas.openxmlformats.org/officeDocument/2006/relationships/hyperlink" Target="https://twitter.com/Passion_4/status/723191924597858304" TargetMode="External"/><Relationship Id="rId8571" Type="http://schemas.openxmlformats.org/officeDocument/2006/relationships/hyperlink" Target="https://twitter.com/hedilamnna/status/723395351038689280" TargetMode="External"/><Relationship Id="rId9622" Type="http://schemas.openxmlformats.org/officeDocument/2006/relationships/hyperlink" Target="https://twitter.com/CharmedJohanna/status/723442721046720514" TargetMode="External"/><Relationship Id="rId11552" Type="http://schemas.openxmlformats.org/officeDocument/2006/relationships/hyperlink" Target="https://twitter.com/har155/status/723503428803112960" TargetMode="External"/><Relationship Id="rId12950" Type="http://schemas.openxmlformats.org/officeDocument/2006/relationships/hyperlink" Target="https://pbs.twimg.com/profile_images/2208847688/Untitled-2_normal.jpg" TargetMode="External"/><Relationship Id="rId18165" Type="http://schemas.openxmlformats.org/officeDocument/2006/relationships/hyperlink" Target="https://twitter.com/Exvtra_uk" TargetMode="External"/><Relationship Id="rId19216" Type="http://schemas.openxmlformats.org/officeDocument/2006/relationships/hyperlink" Target="https://twitter.com/_sea_fox_/status/723922449142845440" TargetMode="External"/><Relationship Id="rId25381" Type="http://schemas.openxmlformats.org/officeDocument/2006/relationships/hyperlink" Target="https://twitter.com/Fernandez_Diego/status/724433897950457856" TargetMode="External"/><Relationship Id="rId1611" Type="http://schemas.openxmlformats.org/officeDocument/2006/relationships/hyperlink" Target="https://twitter.com/SNovember_TA/status/723048959816663040" TargetMode="External"/><Relationship Id="rId7173" Type="http://schemas.openxmlformats.org/officeDocument/2006/relationships/hyperlink" Target="https://twitter.com/VWCamperSales" TargetMode="External"/><Relationship Id="rId8224" Type="http://schemas.openxmlformats.org/officeDocument/2006/relationships/hyperlink" Target="https://twitter.com/DLFNachrichten/status/723378337523998720" TargetMode="External"/><Relationship Id="rId10154" Type="http://schemas.openxmlformats.org/officeDocument/2006/relationships/hyperlink" Target="https://twitter.com/AFECTADOGRUPOVW/status/723464765054550016" TargetMode="External"/><Relationship Id="rId11205" Type="http://schemas.openxmlformats.org/officeDocument/2006/relationships/hyperlink" Target="https://pbs.twimg.com/profile_images/712035589445525504/TKzoWYdS_normal.jpg" TargetMode="External"/><Relationship Id="rId12603" Type="http://schemas.openxmlformats.org/officeDocument/2006/relationships/hyperlink" Target="https://twitter.com/w_todts/status/723523432189706240" TargetMode="External"/><Relationship Id="rId25034" Type="http://schemas.openxmlformats.org/officeDocument/2006/relationships/hyperlink" Target="https://twitter.com/dubbusses/status/724412887842873344" TargetMode="External"/><Relationship Id="rId14775" Type="http://schemas.openxmlformats.org/officeDocument/2006/relationships/hyperlink" Target="https://pbs.twimg.com/profile_images/673462865/wonky_twitter_normal.jpg" TargetMode="External"/><Relationship Id="rId15826" Type="http://schemas.openxmlformats.org/officeDocument/2006/relationships/hyperlink" Target="https://pbs.twimg.com/profile_images/720720581579182080/ALjkvUSH_normal.jpg" TargetMode="External"/><Relationship Id="rId21991" Type="http://schemas.openxmlformats.org/officeDocument/2006/relationships/hyperlink" Target="https://twitter.com/VWCamperSales/status/724192946283634688" TargetMode="External"/><Relationship Id="rId2385" Type="http://schemas.openxmlformats.org/officeDocument/2006/relationships/hyperlink" Target="https://twitter.com/treibholzfilm/status/723097671876096000" TargetMode="External"/><Relationship Id="rId3783" Type="http://schemas.openxmlformats.org/officeDocument/2006/relationships/hyperlink" Target="https://twitter.com/ricetex/status/723169462074105856" TargetMode="External"/><Relationship Id="rId4834" Type="http://schemas.openxmlformats.org/officeDocument/2006/relationships/hyperlink" Target="https://twitter.com/borsakahini" TargetMode="External"/><Relationship Id="rId13377" Type="http://schemas.openxmlformats.org/officeDocument/2006/relationships/hyperlink" Target="https://twitter.com/crewevw/status/723544902055809024" TargetMode="External"/><Relationship Id="rId14428" Type="http://schemas.openxmlformats.org/officeDocument/2006/relationships/hyperlink" Target="https://twitter.com/SvenMFGN/status/723573751003099136" TargetMode="External"/><Relationship Id="rId17998" Type="http://schemas.openxmlformats.org/officeDocument/2006/relationships/hyperlink" Target="https://twitter.com/OnlyHypercar" TargetMode="External"/><Relationship Id="rId20593" Type="http://schemas.openxmlformats.org/officeDocument/2006/relationships/hyperlink" Target="https://twitter.com/dubbusses" TargetMode="External"/><Relationship Id="rId21644" Type="http://schemas.openxmlformats.org/officeDocument/2006/relationships/hyperlink" Target="https://twitter.com/BurggrabenH/status/724165324564762624" TargetMode="External"/><Relationship Id="rId357" Type="http://schemas.openxmlformats.org/officeDocument/2006/relationships/hyperlink" Target="https://twitter.com/beetlebug1938/status/722950164864962560" TargetMode="External"/><Relationship Id="rId2038" Type="http://schemas.openxmlformats.org/officeDocument/2006/relationships/hyperlink" Target="https://twitter.com/CAScherbaum" TargetMode="External"/><Relationship Id="rId3436" Type="http://schemas.openxmlformats.org/officeDocument/2006/relationships/hyperlink" Target="https://twitter.com/9_KISHAN_9/status/723158494988382208" TargetMode="External"/><Relationship Id="rId20246" Type="http://schemas.openxmlformats.org/officeDocument/2006/relationships/hyperlink" Target="https://twitter.com/Yellow_Car_Shop/status/723984585655234560" TargetMode="External"/><Relationship Id="rId24867" Type="http://schemas.openxmlformats.org/officeDocument/2006/relationships/hyperlink" Target="https://twitter.com/steve_ath/status/724394154814504960" TargetMode="External"/><Relationship Id="rId6659" Type="http://schemas.openxmlformats.org/officeDocument/2006/relationships/hyperlink" Target="https://twitter.com/PeterConstant" TargetMode="External"/><Relationship Id="rId12460" Type="http://schemas.openxmlformats.org/officeDocument/2006/relationships/hyperlink" Target="https://twitter.com/Petercampbell1" TargetMode="External"/><Relationship Id="rId13511" Type="http://schemas.openxmlformats.org/officeDocument/2006/relationships/hyperlink" Target="https://twitter.com/DrevenSeal" TargetMode="External"/><Relationship Id="rId19073" Type="http://schemas.openxmlformats.org/officeDocument/2006/relationships/hyperlink" Target="https://twitter.com/brankocovic/status/723918334719348736" TargetMode="External"/><Relationship Id="rId23469" Type="http://schemas.openxmlformats.org/officeDocument/2006/relationships/hyperlink" Target="https://twitter.com/DeichCruiser" TargetMode="External"/><Relationship Id="rId8081" Type="http://schemas.openxmlformats.org/officeDocument/2006/relationships/hyperlink" Target="https://twitter.com/DubLuvTuning" TargetMode="External"/><Relationship Id="rId9132" Type="http://schemas.openxmlformats.org/officeDocument/2006/relationships/hyperlink" Target="https://twitter.com/NegroAutomobili/status/723422115957891072" TargetMode="External"/><Relationship Id="rId11062" Type="http://schemas.openxmlformats.org/officeDocument/2006/relationships/hyperlink" Target="https://twitter.com/ohneHintergrund" TargetMode="External"/><Relationship Id="rId12113" Type="http://schemas.openxmlformats.org/officeDocument/2006/relationships/hyperlink" Target="https://twitter.com/Sk4tz" TargetMode="External"/><Relationship Id="rId15683" Type="http://schemas.openxmlformats.org/officeDocument/2006/relationships/hyperlink" Target="https://pbs.twimg.com/profile_images/568147155567656960/VPKW0WVw_normal.png" TargetMode="External"/><Relationship Id="rId1121" Type="http://schemas.openxmlformats.org/officeDocument/2006/relationships/hyperlink" Target="https://pbs.twimg.com/profile_images/684099411543101440/V_Lw58zf_normal.jpg" TargetMode="External"/><Relationship Id="rId4691" Type="http://schemas.openxmlformats.org/officeDocument/2006/relationships/hyperlink" Target="https://pbs.twimg.com/profile_images/521234953393037314/UmHFobq3_normal.jpeg" TargetMode="External"/><Relationship Id="rId5742" Type="http://schemas.openxmlformats.org/officeDocument/2006/relationships/hyperlink" Target="https://twitter.com/bvdvliet/status/723215502793969664" TargetMode="External"/><Relationship Id="rId14285" Type="http://schemas.openxmlformats.org/officeDocument/2006/relationships/hyperlink" Target="https://twitter.com/VolkswagenPost/status/723571438830141440" TargetMode="External"/><Relationship Id="rId15336" Type="http://schemas.openxmlformats.org/officeDocument/2006/relationships/hyperlink" Target="https://twitter.com/GraLacey/status/723603907730104320" TargetMode="External"/><Relationship Id="rId16734" Type="http://schemas.openxmlformats.org/officeDocument/2006/relationships/hyperlink" Target="https://twitter.com/DubLuvTuning/status/723721326096179200" TargetMode="External"/><Relationship Id="rId22552" Type="http://schemas.openxmlformats.org/officeDocument/2006/relationships/hyperlink" Target="https://pbs.twimg.com/profile_images/1120599693/vwdrc-new-logo_normal.jpg" TargetMode="External"/><Relationship Id="rId23950" Type="http://schemas.openxmlformats.org/officeDocument/2006/relationships/hyperlink" Target="https://pbs.twimg.com/profile_images/718835727027580928/1ssyQ67y_normal.jpg" TargetMode="External"/><Relationship Id="rId3293" Type="http://schemas.openxmlformats.org/officeDocument/2006/relationships/hyperlink" Target="https://pbs.twimg.com/profile_images/627949001179037696/skEBkS05_normal.jpg" TargetMode="External"/><Relationship Id="rId4344" Type="http://schemas.openxmlformats.org/officeDocument/2006/relationships/hyperlink" Target="https://pbs.twimg.com/profile_images/703294545195307008/qeCvrX86_normal.jpg" TargetMode="External"/><Relationship Id="rId19957" Type="http://schemas.openxmlformats.org/officeDocument/2006/relationships/hyperlink" Target="https://twitter.com/bneilbel" TargetMode="External"/><Relationship Id="rId21154" Type="http://schemas.openxmlformats.org/officeDocument/2006/relationships/hyperlink" Target="https://pbs.twimg.com/profile_images/707176643509538817/-s_VKgK4_normal.jpg" TargetMode="External"/><Relationship Id="rId22205" Type="http://schemas.openxmlformats.org/officeDocument/2006/relationships/hyperlink" Target="https://twitter.com/handelsblatt" TargetMode="External"/><Relationship Id="rId23603" Type="http://schemas.openxmlformats.org/officeDocument/2006/relationships/hyperlink" Target="https://pbs.twimg.com/profile_images/710122631236681728/ii4WJ1om_normal.jpg" TargetMode="External"/><Relationship Id="rId7567" Type="http://schemas.openxmlformats.org/officeDocument/2006/relationships/hyperlink" Target="https://twitter.com/rigogereon/status/723313285962055682" TargetMode="External"/><Relationship Id="rId8965" Type="http://schemas.openxmlformats.org/officeDocument/2006/relationships/hyperlink" Target="https://pbs.twimg.com/profile_images/652191269934993408/5bZKOI8y_normal.jpg" TargetMode="External"/><Relationship Id="rId10895" Type="http://schemas.openxmlformats.org/officeDocument/2006/relationships/hyperlink" Target="https://pbs.twimg.com/profile_images/565191311045570560/dP-uL0q4_normal.jpeg" TargetMode="External"/><Relationship Id="rId11946" Type="http://schemas.openxmlformats.org/officeDocument/2006/relationships/hyperlink" Target="https://twitter.com/nicolasosfantom/status/723510808639070208" TargetMode="External"/><Relationship Id="rId18559" Type="http://schemas.openxmlformats.org/officeDocument/2006/relationships/hyperlink" Target="https://twitter.com/AlpinumIm" TargetMode="External"/><Relationship Id="rId6169" Type="http://schemas.openxmlformats.org/officeDocument/2006/relationships/hyperlink" Target="https://twitter.com/VWCamperSales/status/723233383409553410" TargetMode="External"/><Relationship Id="rId8618" Type="http://schemas.openxmlformats.org/officeDocument/2006/relationships/hyperlink" Target="https://twitter.com/fraippolito" TargetMode="External"/><Relationship Id="rId10548" Type="http://schemas.openxmlformats.org/officeDocument/2006/relationships/hyperlink" Target="https://twitter.com/dneuerer" TargetMode="External"/><Relationship Id="rId24377" Type="http://schemas.openxmlformats.org/officeDocument/2006/relationships/hyperlink" Target="https://twitter.com/dubbusses" TargetMode="External"/><Relationship Id="rId25428" Type="http://schemas.openxmlformats.org/officeDocument/2006/relationships/hyperlink" Target="https://pbs.twimg.com/profile_images/613134211919187968/P_pW7EHj_normal.jpg" TargetMode="External"/><Relationship Id="rId13021" Type="http://schemas.openxmlformats.org/officeDocument/2006/relationships/hyperlink" Target="https://pbs.twimg.com/profile_images/662021761534332932/p5J2iws__normal.jpg" TargetMode="External"/><Relationship Id="rId16591" Type="http://schemas.openxmlformats.org/officeDocument/2006/relationships/hyperlink" Target="https://twitter.com/TetsuoHojo" TargetMode="External"/><Relationship Id="rId17642" Type="http://schemas.openxmlformats.org/officeDocument/2006/relationships/hyperlink" Target="https://pbs.twimg.com/profile_images/2652648264/cc69306dfe9f17f4e179998703eb96b7_normal.png" TargetMode="External"/><Relationship Id="rId20987" Type="http://schemas.openxmlformats.org/officeDocument/2006/relationships/hyperlink" Target="https://twitter.com/oldcar_photo/status/724077622251126784" TargetMode="External"/><Relationship Id="rId2779" Type="http://schemas.openxmlformats.org/officeDocument/2006/relationships/hyperlink" Target="https://pbs.twimg.com/profile_images/573248726212325376/60EMO_jJ_normal.jpeg" TargetMode="External"/><Relationship Id="rId6650" Type="http://schemas.openxmlformats.org/officeDocument/2006/relationships/hyperlink" Target="https://twitter.com/SLimLuLi" TargetMode="External"/><Relationship Id="rId7701" Type="http://schemas.openxmlformats.org/officeDocument/2006/relationships/hyperlink" Target="https://twitter.com/Sandy_Tang_Ge/status/723324124874047489" TargetMode="External"/><Relationship Id="rId15193" Type="http://schemas.openxmlformats.org/officeDocument/2006/relationships/hyperlink" Target="https://twitter.com/KINGDONALDTRUM1/status/723598274129735680" TargetMode="External"/><Relationship Id="rId16244" Type="http://schemas.openxmlformats.org/officeDocument/2006/relationships/hyperlink" Target="https://twitter.com/VolkswagenPost" TargetMode="External"/><Relationship Id="rId23460" Type="http://schemas.openxmlformats.org/officeDocument/2006/relationships/hyperlink" Target="https://twitter.com/linaiolanda/status/724290809714061312" TargetMode="External"/><Relationship Id="rId24511" Type="http://schemas.openxmlformats.org/officeDocument/2006/relationships/hyperlink" Target="https://twitter.com/beetlebug1938/status/724367664026664960" TargetMode="External"/><Relationship Id="rId5252" Type="http://schemas.openxmlformats.org/officeDocument/2006/relationships/hyperlink" Target="https://pbs.twimg.com/profile_images/437604809596608513/LkK-grWR_normal.jpeg" TargetMode="External"/><Relationship Id="rId6303" Type="http://schemas.openxmlformats.org/officeDocument/2006/relationships/hyperlink" Target="https://twitter.com/UrsulaZerilli/status/723238673752428544" TargetMode="External"/><Relationship Id="rId9873" Type="http://schemas.openxmlformats.org/officeDocument/2006/relationships/hyperlink" Target="https://twitter.com/lars_scho" TargetMode="External"/><Relationship Id="rId19467" Type="http://schemas.openxmlformats.org/officeDocument/2006/relationships/hyperlink" Target="http://ctrlq.org/maps/address/" TargetMode="External"/><Relationship Id="rId22062" Type="http://schemas.openxmlformats.org/officeDocument/2006/relationships/hyperlink" Target="https://pbs.twimg.com/profile_images/672878354127839232/M7OYc-zx_normal.jpg" TargetMode="External"/><Relationship Id="rId23113" Type="http://schemas.openxmlformats.org/officeDocument/2006/relationships/hyperlink" Target="https://pbs.twimg.com/profile_images/718820712757215233/LXXndPTS_normal.jpg" TargetMode="External"/><Relationship Id="rId87" Type="http://schemas.openxmlformats.org/officeDocument/2006/relationships/hyperlink" Target="https://pbs.twimg.com/profile_images/663730127906463744/l017r0-__normal.jpg" TargetMode="External"/><Relationship Id="rId8475" Type="http://schemas.openxmlformats.org/officeDocument/2006/relationships/hyperlink" Target="https://twitter.com/RodionMarx/status/723390613194833920" TargetMode="External"/><Relationship Id="rId9526" Type="http://schemas.openxmlformats.org/officeDocument/2006/relationships/hyperlink" Target="https://twitter.com/RFN19" TargetMode="External"/><Relationship Id="rId12854" Type="http://schemas.openxmlformats.org/officeDocument/2006/relationships/hyperlink" Target="https://twitter.com/Mrmacmax92" TargetMode="External"/><Relationship Id="rId13905" Type="http://schemas.openxmlformats.org/officeDocument/2006/relationships/hyperlink" Target="https://twitter.com/HansTheGerman" TargetMode="External"/><Relationship Id="rId18069" Type="http://schemas.openxmlformats.org/officeDocument/2006/relationships/hyperlink" Target="https://twitter.com/indianautos/status/723844070636937216" TargetMode="External"/><Relationship Id="rId25285" Type="http://schemas.openxmlformats.org/officeDocument/2006/relationships/hyperlink" Target="https://twitter.com/HunkyAlley" TargetMode="External"/><Relationship Id="rId1862" Type="http://schemas.openxmlformats.org/officeDocument/2006/relationships/hyperlink" Target="https://twitter.com/instock_de/status/723063558049681408" TargetMode="External"/><Relationship Id="rId2913" Type="http://schemas.openxmlformats.org/officeDocument/2006/relationships/hyperlink" Target="https://twitter.com/ae_cuellar" TargetMode="External"/><Relationship Id="rId7077" Type="http://schemas.openxmlformats.org/officeDocument/2006/relationships/hyperlink" Target="https://twitter.com/philippvetter" TargetMode="External"/><Relationship Id="rId8128" Type="http://schemas.openxmlformats.org/officeDocument/2006/relationships/hyperlink" Target="https://twitter.com/techhippie" TargetMode="External"/><Relationship Id="rId10058" Type="http://schemas.openxmlformats.org/officeDocument/2006/relationships/hyperlink" Target="https://twitter.com/CafeRacerGear/status/723460356782190592" TargetMode="External"/><Relationship Id="rId11456" Type="http://schemas.openxmlformats.org/officeDocument/2006/relationships/hyperlink" Target="https://twitter.com/johannesh__/status/723502503690678272" TargetMode="External"/><Relationship Id="rId12507" Type="http://schemas.openxmlformats.org/officeDocument/2006/relationships/hyperlink" Target="https://pbs.twimg.com/profile_images/430452839006367744/g4pz6WaE_normal.jpeg" TargetMode="External"/><Relationship Id="rId1515" Type="http://schemas.openxmlformats.org/officeDocument/2006/relationships/hyperlink" Target="https://twitter.com/VWCamperSales" TargetMode="External"/><Relationship Id="rId11109" Type="http://schemas.openxmlformats.org/officeDocument/2006/relationships/hyperlink" Target="https://twitter.com/Madushanpriyas2/status/723497797845032960" TargetMode="External"/><Relationship Id="rId14679" Type="http://schemas.openxmlformats.org/officeDocument/2006/relationships/hyperlink" Target="https://twitter.com/bucknasty1213" TargetMode="External"/><Relationship Id="rId18550" Type="http://schemas.openxmlformats.org/officeDocument/2006/relationships/hyperlink" Target="https://twitter.com/Giustozziauto" TargetMode="External"/><Relationship Id="rId19601" Type="http://schemas.openxmlformats.org/officeDocument/2006/relationships/hyperlink" Target="https://twitter.com/VeeDubMk1_" TargetMode="External"/><Relationship Id="rId21895" Type="http://schemas.openxmlformats.org/officeDocument/2006/relationships/hyperlink" Target="https://twitter.com/TetsuoHojo" TargetMode="External"/><Relationship Id="rId22946" Type="http://schemas.openxmlformats.org/officeDocument/2006/relationships/hyperlink" Target="https://pbs.twimg.com/profile_images/672878354127839232/M7OYc-zx_normal.jpg" TargetMode="External"/><Relationship Id="rId3687" Type="http://schemas.openxmlformats.org/officeDocument/2006/relationships/hyperlink" Target="https://twitter.com/franz_rother" TargetMode="External"/><Relationship Id="rId4738" Type="http://schemas.openxmlformats.org/officeDocument/2006/relationships/hyperlink" Target="https://twitter.com/VWCamperSales/status/723186307980128261" TargetMode="External"/><Relationship Id="rId17152" Type="http://schemas.openxmlformats.org/officeDocument/2006/relationships/hyperlink" Target="https://twitter.com/theDrivenUKshow" TargetMode="External"/><Relationship Id="rId18203" Type="http://schemas.openxmlformats.org/officeDocument/2006/relationships/hyperlink" Target="https://twitter.com/stephen08293226/status/723851116212043778" TargetMode="External"/><Relationship Id="rId20497" Type="http://schemas.openxmlformats.org/officeDocument/2006/relationships/hyperlink" Target="https://pbs.twimg.com/profile_images/703294545195307008/qeCvrX86_normal.jpg" TargetMode="External"/><Relationship Id="rId21548" Type="http://schemas.openxmlformats.org/officeDocument/2006/relationships/hyperlink" Target="https://twitter.com/BliouxKirkby/status/724158598415323137" TargetMode="External"/><Relationship Id="rId2289" Type="http://schemas.openxmlformats.org/officeDocument/2006/relationships/hyperlink" Target="https://twitter.com/dailynewsdns" TargetMode="External"/><Relationship Id="rId6160" Type="http://schemas.openxmlformats.org/officeDocument/2006/relationships/hyperlink" Target="https://pbs.twimg.com/profile_images/467261662722920449/g-6xLGjJ_normal.jpeg" TargetMode="External"/><Relationship Id="rId7211" Type="http://schemas.openxmlformats.org/officeDocument/2006/relationships/hyperlink" Target="https://twitter.com/lionleon99/status/723286479565381633" TargetMode="External"/><Relationship Id="rId13762" Type="http://schemas.openxmlformats.org/officeDocument/2006/relationships/hyperlink" Target="https://twitter.com/Ziegengewitter" TargetMode="External"/><Relationship Id="rId24021" Type="http://schemas.openxmlformats.org/officeDocument/2006/relationships/hyperlink" Target="https://pbs.twimg.com/profile_images/713918530954113024/pj1osFIf_normal.jpg" TargetMode="External"/><Relationship Id="rId2770" Type="http://schemas.openxmlformats.org/officeDocument/2006/relationships/hyperlink" Target="https://pbs.twimg.com/profile_images/470231671434772480/xlDH2t7D_normal.png" TargetMode="External"/><Relationship Id="rId3821" Type="http://schemas.openxmlformats.org/officeDocument/2006/relationships/hyperlink" Target="https://twitter.com/MarkCSchneider" TargetMode="External"/><Relationship Id="rId9383" Type="http://schemas.openxmlformats.org/officeDocument/2006/relationships/hyperlink" Target="https://twitter.com/SalihiShejzije/status/723433073207992320" TargetMode="External"/><Relationship Id="rId12364" Type="http://schemas.openxmlformats.org/officeDocument/2006/relationships/hyperlink" Target="https://pbs.twimg.com/profile_images/1397629173/kaas_elias_3670b_800pxl_web72dpi_normal.jpg" TargetMode="External"/><Relationship Id="rId13415" Type="http://schemas.openxmlformats.org/officeDocument/2006/relationships/hyperlink" Target="https://pbs.twimg.com/profile_images/684785119979241472/s8TbnQiQ_normal.jpg" TargetMode="External"/><Relationship Id="rId14813" Type="http://schemas.openxmlformats.org/officeDocument/2006/relationships/hyperlink" Target="https://twitter.com/DKMRacing" TargetMode="External"/><Relationship Id="rId20631" Type="http://schemas.openxmlformats.org/officeDocument/2006/relationships/hyperlink" Target="https://pbs.twimg.com/profile_images/687996488610365440/k-lgmigD_normal.jpg" TargetMode="External"/><Relationship Id="rId742" Type="http://schemas.openxmlformats.org/officeDocument/2006/relationships/hyperlink" Target="https://pbs.twimg.com/profile_images/318679564/ghcj-logo-lg_normal.png" TargetMode="External"/><Relationship Id="rId1372" Type="http://schemas.openxmlformats.org/officeDocument/2006/relationships/hyperlink" Target="https://pbs.twimg.com/profile_images/530071272881803264/a_jcCmPZ_normal.png" TargetMode="External"/><Relationship Id="rId2423" Type="http://schemas.openxmlformats.org/officeDocument/2006/relationships/hyperlink" Target="https://pbs.twimg.com/profile_images/630988022146686977/5PtGw20c_normal.jpg" TargetMode="External"/><Relationship Id="rId9036" Type="http://schemas.openxmlformats.org/officeDocument/2006/relationships/hyperlink" Target="https://twitter.com/Bra49" TargetMode="External"/><Relationship Id="rId12017" Type="http://schemas.openxmlformats.org/officeDocument/2006/relationships/hyperlink" Target="https://twitter.com/WowbaggerXX7/status/723512114128797697" TargetMode="External"/><Relationship Id="rId16985" Type="http://schemas.openxmlformats.org/officeDocument/2006/relationships/hyperlink" Target="https://twitter.com/oldcar_photo/status/723760636270878720" TargetMode="External"/><Relationship Id="rId1025" Type="http://schemas.openxmlformats.org/officeDocument/2006/relationships/hyperlink" Target="https://pbs.twimg.com/profile_images/706784695795769345/XGXgdjww_normal.jpg" TargetMode="External"/><Relationship Id="rId4595" Type="http://schemas.openxmlformats.org/officeDocument/2006/relationships/hyperlink" Target="https://twitter.com/VWBeetleSales/status/723183297619062789" TargetMode="External"/><Relationship Id="rId5646" Type="http://schemas.openxmlformats.org/officeDocument/2006/relationships/hyperlink" Target="https://twitter.com/WeeklyNevada/status/723211622395854848" TargetMode="External"/><Relationship Id="rId5993" Type="http://schemas.openxmlformats.org/officeDocument/2006/relationships/hyperlink" Target="https://pbs.twimg.com/profile_images/625870290308976640/Ym3ufrYO_normal.jpg" TargetMode="External"/><Relationship Id="rId14189" Type="http://schemas.openxmlformats.org/officeDocument/2006/relationships/hyperlink" Target="http://sesionesdjvip.es/" TargetMode="External"/><Relationship Id="rId15587" Type="http://schemas.openxmlformats.org/officeDocument/2006/relationships/hyperlink" Target="https://twitter.com/TRJhonny/status/723614944369991680" TargetMode="External"/><Relationship Id="rId16638" Type="http://schemas.openxmlformats.org/officeDocument/2006/relationships/hyperlink" Target="https://twitter.com/poandpo/status/723706732644585473" TargetMode="External"/><Relationship Id="rId18060" Type="http://schemas.openxmlformats.org/officeDocument/2006/relationships/hyperlink" Target="https://twitter.com/Elitet5/status/723843875199156226" TargetMode="External"/><Relationship Id="rId23854" Type="http://schemas.openxmlformats.org/officeDocument/2006/relationships/hyperlink" Target="http://dlvr.it/" TargetMode="External"/><Relationship Id="rId24905" Type="http://schemas.openxmlformats.org/officeDocument/2006/relationships/hyperlink" Target="https://pbs.twimg.com/profile_images/718835727027580928/1ssyQ67y_normal.jpg" TargetMode="External"/><Relationship Id="rId3197" Type="http://schemas.openxmlformats.org/officeDocument/2006/relationships/hyperlink" Target="https://pbs.twimg.com/profile_images/378800000572104796/1de43e1cf23efb3f4101c02afad0d3b6_normal.png" TargetMode="External"/><Relationship Id="rId4248" Type="http://schemas.openxmlformats.org/officeDocument/2006/relationships/hyperlink" Target="https://twitter.com/bradleebone/status/723178395958411264" TargetMode="External"/><Relationship Id="rId19111" Type="http://schemas.openxmlformats.org/officeDocument/2006/relationships/hyperlink" Target="https://twitter.com/CamperSpotting/status/723920338531299330" TargetMode="External"/><Relationship Id="rId21058" Type="http://schemas.openxmlformats.org/officeDocument/2006/relationships/hyperlink" Target="https://twitter.com/KritsadakornKa2" TargetMode="External"/><Relationship Id="rId22456" Type="http://schemas.openxmlformats.org/officeDocument/2006/relationships/hyperlink" Target="https://pbs.twimg.com/profile_images/718835727027580928/1ssyQ67y_normal.jpg" TargetMode="External"/><Relationship Id="rId23507" Type="http://schemas.openxmlformats.org/officeDocument/2006/relationships/hyperlink" Target="https://pbs.twimg.com/profile_images/703294545195307008/qeCvrX86_normal.jpg" TargetMode="External"/><Relationship Id="rId8869" Type="http://schemas.openxmlformats.org/officeDocument/2006/relationships/hyperlink" Target="https://pbs.twimg.com/profile_images/671764635/Diblo_Twitter_normal.jpg" TargetMode="External"/><Relationship Id="rId10799" Type="http://schemas.openxmlformats.org/officeDocument/2006/relationships/hyperlink" Target="https://twitter.com/le_quotidien_lu" TargetMode="External"/><Relationship Id="rId11100" Type="http://schemas.openxmlformats.org/officeDocument/2006/relationships/hyperlink" Target="https://twitter.com/Buntomat/status/723497335892905984" TargetMode="External"/><Relationship Id="rId14670" Type="http://schemas.openxmlformats.org/officeDocument/2006/relationships/hyperlink" Target="https://twitter.com/Fefe_crc" TargetMode="External"/><Relationship Id="rId15721" Type="http://schemas.openxmlformats.org/officeDocument/2006/relationships/hyperlink" Target="https://twitter.com/Tkarera/status/723621877592285185" TargetMode="External"/><Relationship Id="rId22109" Type="http://schemas.openxmlformats.org/officeDocument/2006/relationships/hyperlink" Target="http://dlvr.it/" TargetMode="External"/><Relationship Id="rId25679" Type="http://schemas.openxmlformats.org/officeDocument/2006/relationships/hyperlink" Target="https://pbs.twimg.com/profile_images/652871584131092480/QA_B6SBO_normal.jpg" TargetMode="External"/><Relationship Id="rId1909" Type="http://schemas.openxmlformats.org/officeDocument/2006/relationships/hyperlink" Target="https://twitter.com/arifyetiskin" TargetMode="External"/><Relationship Id="rId13272" Type="http://schemas.openxmlformats.org/officeDocument/2006/relationships/hyperlink" Target="https://pbs.twimg.com/profile_images/721039232865812484/sR4TERJf_normal.jpg" TargetMode="External"/><Relationship Id="rId14323" Type="http://schemas.openxmlformats.org/officeDocument/2006/relationships/hyperlink" Target="https://pbs.twimg.com/profile_images/1913087124/AvW_website_normal.jpg" TargetMode="External"/><Relationship Id="rId17893" Type="http://schemas.openxmlformats.org/officeDocument/2006/relationships/hyperlink" Target="https://twitter.com/ABshekB" TargetMode="External"/><Relationship Id="rId2280" Type="http://schemas.openxmlformats.org/officeDocument/2006/relationships/hyperlink" Target="https://twitter.com/VWBeetleSales/status/723093206292811778" TargetMode="External"/><Relationship Id="rId3331" Type="http://schemas.openxmlformats.org/officeDocument/2006/relationships/hyperlink" Target="https://twitter.com/MultivaRv" TargetMode="External"/><Relationship Id="rId7952" Type="http://schemas.openxmlformats.org/officeDocument/2006/relationships/hyperlink" Target="https://twitter.com/VWBeetleSales" TargetMode="External"/><Relationship Id="rId16495" Type="http://schemas.openxmlformats.org/officeDocument/2006/relationships/hyperlink" Target="https://twitter.com/LeoZettel/status/723688960770215936" TargetMode="External"/><Relationship Id="rId17546" Type="http://schemas.openxmlformats.org/officeDocument/2006/relationships/hyperlink" Target="https://pbs.twimg.com/profile_images/563925788215345152/u7izI05t_normal.jpeg" TargetMode="External"/><Relationship Id="rId18944" Type="http://schemas.openxmlformats.org/officeDocument/2006/relationships/hyperlink" Target="https://pbs.twimg.com/profile_images/703294545195307008/qeCvrX86_normal.jpg" TargetMode="External"/><Relationship Id="rId20141" Type="http://schemas.openxmlformats.org/officeDocument/2006/relationships/hyperlink" Target="https://pbs.twimg.com/profile_images/676341218473697280/YXlUP_co_normal.png" TargetMode="External"/><Relationship Id="rId24762" Type="http://schemas.openxmlformats.org/officeDocument/2006/relationships/hyperlink" Target="https://twitter.com/VWCamperSales/status/724386843521753088" TargetMode="External"/><Relationship Id="rId252" Type="http://schemas.openxmlformats.org/officeDocument/2006/relationships/hyperlink" Target="https://pbs.twimg.com/profile_images/1247253854/lifeblab-icon6_normal.png" TargetMode="External"/><Relationship Id="rId6554" Type="http://schemas.openxmlformats.org/officeDocument/2006/relationships/hyperlink" Target="http://autoreport.ro/" TargetMode="External"/><Relationship Id="rId7605" Type="http://schemas.openxmlformats.org/officeDocument/2006/relationships/hyperlink" Target="https://twitter.com/DubLuvTuning/status/723316715749314560" TargetMode="External"/><Relationship Id="rId10933" Type="http://schemas.openxmlformats.org/officeDocument/2006/relationships/hyperlink" Target="https://twitter.com/Vagowners/status/723491103224246272" TargetMode="External"/><Relationship Id="rId15097" Type="http://schemas.openxmlformats.org/officeDocument/2006/relationships/hyperlink" Target="https://pbs.twimg.com/profile_images/1824707893/236201-frederika_normal.jpg" TargetMode="External"/><Relationship Id="rId16148" Type="http://schemas.openxmlformats.org/officeDocument/2006/relationships/hyperlink" Target="https://pbs.twimg.com/profile_images/722769998104629248/UT633gEV_normal.jpg" TargetMode="External"/><Relationship Id="rId23364" Type="http://schemas.openxmlformats.org/officeDocument/2006/relationships/hyperlink" Target="https://twitter.com/LoDijoTito/status/724283505904066560" TargetMode="External"/><Relationship Id="rId24415" Type="http://schemas.openxmlformats.org/officeDocument/2006/relationships/hyperlink" Target="https://twitter.com/MlleD" TargetMode="External"/><Relationship Id="rId5156" Type="http://schemas.openxmlformats.org/officeDocument/2006/relationships/hyperlink" Target="https://pbs.twimg.com/profile_images/712690287202668544/EKkMc4vr_normal.jpg" TargetMode="External"/><Relationship Id="rId6207" Type="http://schemas.openxmlformats.org/officeDocument/2006/relationships/hyperlink" Target="https://pbs.twimg.com/profile_images/687419637429080064/YhD1MggI_normal.jpg" TargetMode="External"/><Relationship Id="rId9777" Type="http://schemas.openxmlformats.org/officeDocument/2006/relationships/hyperlink" Target="http://flatoutwr.jp/" TargetMode="External"/><Relationship Id="rId23017" Type="http://schemas.openxmlformats.org/officeDocument/2006/relationships/hyperlink" Target="https://pbs.twimg.com/profile_images/563739481019523072/H04-VqIx_normal.jpeg" TargetMode="External"/><Relationship Id="rId8379" Type="http://schemas.openxmlformats.org/officeDocument/2006/relationships/hyperlink" Target="https://pbs.twimg.com/profile_images/378800000854855954/0d555726054b01e3c9d6b5241432dc4a_normal.jpeg" TargetMode="External"/><Relationship Id="rId12758" Type="http://schemas.openxmlformats.org/officeDocument/2006/relationships/hyperlink" Target="https://twitter.com/VolkswagenPost/status/723527496646451200" TargetMode="External"/><Relationship Id="rId13809" Type="http://schemas.openxmlformats.org/officeDocument/2006/relationships/hyperlink" Target="https://twitter.com/dorschelvw" TargetMode="External"/><Relationship Id="rId25189" Type="http://schemas.openxmlformats.org/officeDocument/2006/relationships/hyperlink" Target="https://twitter.com/allandvd7" TargetMode="External"/><Relationship Id="rId1766" Type="http://schemas.openxmlformats.org/officeDocument/2006/relationships/hyperlink" Target="https://pbs.twimg.com/profile_images/292857657/GreenGrowth_normal.jpg" TargetMode="External"/><Relationship Id="rId2817" Type="http://schemas.openxmlformats.org/officeDocument/2006/relationships/hyperlink" Target="https://twitter.com/RSTOKAR" TargetMode="External"/><Relationship Id="rId14180" Type="http://schemas.openxmlformats.org/officeDocument/2006/relationships/hyperlink" Target="https://twitter.com/AaronMadar/status/723567671996874752" TargetMode="External"/><Relationship Id="rId15231" Type="http://schemas.openxmlformats.org/officeDocument/2006/relationships/hyperlink" Target="https://twitter.com/Ee_Batesy" TargetMode="External"/><Relationship Id="rId19852" Type="http://schemas.openxmlformats.org/officeDocument/2006/relationships/hyperlink" Target="https://twitter.com/retodiariomx/status/723961357951856640" TargetMode="External"/><Relationship Id="rId1419" Type="http://schemas.openxmlformats.org/officeDocument/2006/relationships/hyperlink" Target="https://twitter.com/JClaesz/status/723040602653253632" TargetMode="External"/><Relationship Id="rId4989" Type="http://schemas.openxmlformats.org/officeDocument/2006/relationships/hyperlink" Target="https://twitter.com/iconcustoms/status/723191729155760129" TargetMode="External"/><Relationship Id="rId8860" Type="http://schemas.openxmlformats.org/officeDocument/2006/relationships/hyperlink" Target="https://pbs.twimg.com/profile_images/595219662083858432/frlAE-zM_normal.jpg" TargetMode="External"/><Relationship Id="rId9911" Type="http://schemas.openxmlformats.org/officeDocument/2006/relationships/hyperlink" Target="https://pbs.twimg.com/profile_images/616142735079292928/L2GZ2_qc_normal.jpg" TargetMode="External"/><Relationship Id="rId10790" Type="http://schemas.openxmlformats.org/officeDocument/2006/relationships/hyperlink" Target="https://twitter.com/SwissJacker" TargetMode="External"/><Relationship Id="rId11841" Type="http://schemas.openxmlformats.org/officeDocument/2006/relationships/hyperlink" Target="https://pbs.twimg.com/profile_images/378800000747750946/394d9f0f5e6dde5137683d9c98c5c8a9_normal.jpeg" TargetMode="External"/><Relationship Id="rId18454" Type="http://schemas.openxmlformats.org/officeDocument/2006/relationships/hyperlink" Target="https://pbs.twimg.com/profile_images/696722199718322176/kS_l_m8y_normal.jpg" TargetMode="External"/><Relationship Id="rId19505" Type="http://schemas.openxmlformats.org/officeDocument/2006/relationships/hyperlink" Target="https://twitter.com/2stew22/status/723937596238340096" TargetMode="External"/><Relationship Id="rId21799" Type="http://schemas.openxmlformats.org/officeDocument/2006/relationships/hyperlink" Target="https://twitter.com/dubbusses" TargetMode="External"/><Relationship Id="rId22100" Type="http://schemas.openxmlformats.org/officeDocument/2006/relationships/hyperlink" Target="https://pbs.twimg.com/profile_images/1366570318/yuyake_club_normal.png" TargetMode="External"/><Relationship Id="rId25670" Type="http://schemas.openxmlformats.org/officeDocument/2006/relationships/hyperlink" Target="https://pbs.twimg.com/profile_images/474295817772490752/fti9g4Cj_normal.jpeg" TargetMode="External"/><Relationship Id="rId1900" Type="http://schemas.openxmlformats.org/officeDocument/2006/relationships/hyperlink" Target="https://twitter.com/mishegas" TargetMode="External"/><Relationship Id="rId7462" Type="http://schemas.openxmlformats.org/officeDocument/2006/relationships/hyperlink" Target="https://pbs.twimg.com/profile_images/378800000073373561/7822133b784167a02ef829139ae34779_normal.jpeg" TargetMode="External"/><Relationship Id="rId8513" Type="http://schemas.openxmlformats.org/officeDocument/2006/relationships/hyperlink" Target="https://abs.twimg.com/sticky/default_profile_images/default_profile_6_normal.png" TargetMode="External"/><Relationship Id="rId10443" Type="http://schemas.openxmlformats.org/officeDocument/2006/relationships/hyperlink" Target="https://pbs.twimg.com/profile_images/3023094301/7299b75257d79082c0ff884278e113cd_normal.png" TargetMode="External"/><Relationship Id="rId17056" Type="http://schemas.openxmlformats.org/officeDocument/2006/relationships/hyperlink" Target="https://twitter.com/richgoodingcom/status/723766975630024704" TargetMode="External"/><Relationship Id="rId18107" Type="http://schemas.openxmlformats.org/officeDocument/2006/relationships/hyperlink" Target="https://pbs.twimg.com/profile_images/521400664019050497/hWGhy89F_normal.jpeg" TargetMode="External"/><Relationship Id="rId24272" Type="http://schemas.openxmlformats.org/officeDocument/2006/relationships/hyperlink" Target="https://twitter.com/VCT_Tweets" TargetMode="External"/><Relationship Id="rId25323" Type="http://schemas.openxmlformats.org/officeDocument/2006/relationships/hyperlink" Target="https://twitter.com/Eric_SFAR/status/724430931482816512" TargetMode="External"/><Relationship Id="rId6064" Type="http://schemas.openxmlformats.org/officeDocument/2006/relationships/hyperlink" Target="https://twitter.com/optimistinse/status/723228955495542786" TargetMode="External"/><Relationship Id="rId7115" Type="http://schemas.openxmlformats.org/officeDocument/2006/relationships/hyperlink" Target="https://abs.twimg.com/sticky/default_profile_images/default_profile_0_normal.png" TargetMode="External"/><Relationship Id="rId993" Type="http://schemas.openxmlformats.org/officeDocument/2006/relationships/hyperlink" Target="https://twitter.com/StackMechanics" TargetMode="External"/><Relationship Id="rId2674" Type="http://schemas.openxmlformats.org/officeDocument/2006/relationships/hyperlink" Target="https://pbs.twimg.com/profile_images/672878354127839232/M7OYc-zx_normal.jpg" TargetMode="External"/><Relationship Id="rId9287" Type="http://schemas.openxmlformats.org/officeDocument/2006/relationships/hyperlink" Target="https://pbs.twimg.com/profile_images/475920780161601537/-Ofvmc0k_normal.jpeg" TargetMode="External"/><Relationship Id="rId12268" Type="http://schemas.openxmlformats.org/officeDocument/2006/relationships/hyperlink" Target="https://twitter.com/Teresa2561Terry" TargetMode="External"/><Relationship Id="rId13666" Type="http://schemas.openxmlformats.org/officeDocument/2006/relationships/hyperlink" Target="https://twitter.com/gengh60" TargetMode="External"/><Relationship Id="rId14717" Type="http://schemas.openxmlformats.org/officeDocument/2006/relationships/hyperlink" Target="https://twitter.com/GlobalEthicist/status/723580420277805057" TargetMode="External"/><Relationship Id="rId20882" Type="http://schemas.openxmlformats.org/officeDocument/2006/relationships/hyperlink" Target="https://twitter.com/NickiLetts/status/724054143409623040" TargetMode="External"/><Relationship Id="rId21933" Type="http://schemas.openxmlformats.org/officeDocument/2006/relationships/hyperlink" Target="https://twitter.com/GRENZECHOnet/status/724189416290443264" TargetMode="External"/><Relationship Id="rId646" Type="http://schemas.openxmlformats.org/officeDocument/2006/relationships/hyperlink" Target="https://twitter.com/thenoosavolce/status/722967623135289344" TargetMode="External"/><Relationship Id="rId1276" Type="http://schemas.openxmlformats.org/officeDocument/2006/relationships/hyperlink" Target="https://twitter.com/IFeelPossessed" TargetMode="External"/><Relationship Id="rId2327" Type="http://schemas.openxmlformats.org/officeDocument/2006/relationships/hyperlink" Target="https://pbs.twimg.com/profile_images/2603319177/lfdoC12A_normal" TargetMode="External"/><Relationship Id="rId3725" Type="http://schemas.openxmlformats.org/officeDocument/2006/relationships/hyperlink" Target="https://twitter.com/Fernandez_Diego" TargetMode="External"/><Relationship Id="rId13319" Type="http://schemas.openxmlformats.org/officeDocument/2006/relationships/hyperlink" Target="https://twitter.com/soyoffroad" TargetMode="External"/><Relationship Id="rId16889" Type="http://schemas.openxmlformats.org/officeDocument/2006/relationships/hyperlink" Target="https://twitter.com/begkimchi/status/723745655286452226" TargetMode="External"/><Relationship Id="rId20535" Type="http://schemas.openxmlformats.org/officeDocument/2006/relationships/hyperlink" Target="https://twitter.com/Speak_EV/status/724007543945699330" TargetMode="External"/><Relationship Id="rId5897" Type="http://schemas.openxmlformats.org/officeDocument/2006/relationships/hyperlink" Target="https://pbs.twimg.com/profile_images/703294545195307008/qeCvrX86_normal.jpg" TargetMode="External"/><Relationship Id="rId6948" Type="http://schemas.openxmlformats.org/officeDocument/2006/relationships/hyperlink" Target="https://pbs.twimg.com/profile_images/694398236161867778/pJkoqIMO_normal.jpg" TargetMode="External"/><Relationship Id="rId13800" Type="http://schemas.openxmlformats.org/officeDocument/2006/relationships/hyperlink" Target="https://twitter.com/christianduerr" TargetMode="External"/><Relationship Id="rId19362" Type="http://schemas.openxmlformats.org/officeDocument/2006/relationships/hyperlink" Target="https://twitter.com/brandonmkeller/status/723927432584114176" TargetMode="External"/><Relationship Id="rId23758" Type="http://schemas.openxmlformats.org/officeDocument/2006/relationships/hyperlink" Target="https://pbs.twimg.com/profile_images/1712203432/Icon_512x512_normal.gif" TargetMode="External"/><Relationship Id="rId24809" Type="http://schemas.openxmlformats.org/officeDocument/2006/relationships/hyperlink" Target="https://twitter.com/its_tressx8/status/724388964896018432" TargetMode="External"/><Relationship Id="rId4499" Type="http://schemas.openxmlformats.org/officeDocument/2006/relationships/hyperlink" Target="https://pbs.twimg.com/profile_images/722256787009859584/vkuTNBGF_normal.jpg" TargetMode="External"/><Relationship Id="rId8370" Type="http://schemas.openxmlformats.org/officeDocument/2006/relationships/hyperlink" Target="https://pbs.twimg.com/profile_images/378800000854855954/0d555726054b01e3c9d6b5241432dc4a_normal.jpeg" TargetMode="External"/><Relationship Id="rId9421" Type="http://schemas.openxmlformats.org/officeDocument/2006/relationships/hyperlink" Target="https://twitter.com/VWCamperSales" TargetMode="External"/><Relationship Id="rId11351" Type="http://schemas.openxmlformats.org/officeDocument/2006/relationships/hyperlink" Target="https://twitter.com/FPetRarca/status/723501275346796544" TargetMode="External"/><Relationship Id="rId12402" Type="http://schemas.openxmlformats.org/officeDocument/2006/relationships/hyperlink" Target="https://pbs.twimg.com/profile_images/706784695795769345/XGXgdjww_normal.jpg" TargetMode="External"/><Relationship Id="rId15972" Type="http://schemas.openxmlformats.org/officeDocument/2006/relationships/hyperlink" Target="https://pbs.twimg.com/profile_images/606538524934807552/brKPBufq_normal.jpg" TargetMode="External"/><Relationship Id="rId19015" Type="http://schemas.openxmlformats.org/officeDocument/2006/relationships/hyperlink" Target="https://twitter.com/FerMan076/status/723913123778969600" TargetMode="External"/><Relationship Id="rId25180" Type="http://schemas.openxmlformats.org/officeDocument/2006/relationships/hyperlink" Target="https://twitter.com/AutostyleCoZa" TargetMode="External"/><Relationship Id="rId1410" Type="http://schemas.openxmlformats.org/officeDocument/2006/relationships/hyperlink" Target="https://twitter.com/BerndZiesemer/status/723040328777756673" TargetMode="External"/><Relationship Id="rId4980" Type="http://schemas.openxmlformats.org/officeDocument/2006/relationships/hyperlink" Target="https://twitter.com/nealboudette/status/723191603716718592" TargetMode="External"/><Relationship Id="rId8023" Type="http://schemas.openxmlformats.org/officeDocument/2006/relationships/hyperlink" Target="https://twitter.com/APWCares" TargetMode="External"/><Relationship Id="rId11004" Type="http://schemas.openxmlformats.org/officeDocument/2006/relationships/hyperlink" Target="https://pbs.twimg.com/profile_images/723165877709987840/4fcdi8IF_normal.jpg" TargetMode="External"/><Relationship Id="rId14574" Type="http://schemas.openxmlformats.org/officeDocument/2006/relationships/hyperlink" Target="https://pbs.twimg.com/profile_images/689594001280929792/BuF5EpDZ_normal.jpg" TargetMode="External"/><Relationship Id="rId15625" Type="http://schemas.openxmlformats.org/officeDocument/2006/relationships/hyperlink" Target="https://twitter.com/VWCamperSales/status/723617538265878528" TargetMode="External"/><Relationship Id="rId21790" Type="http://schemas.openxmlformats.org/officeDocument/2006/relationships/hyperlink" Target="https://twitter.com/dubbusses" TargetMode="External"/><Relationship Id="rId22841" Type="http://schemas.openxmlformats.org/officeDocument/2006/relationships/hyperlink" Target="https://twitter.com/TracyVolkswagen/status/724251851986624513" TargetMode="External"/><Relationship Id="rId3582" Type="http://schemas.openxmlformats.org/officeDocument/2006/relationships/hyperlink" Target="https://twitter.com/VolkswagenPost" TargetMode="External"/><Relationship Id="rId4633" Type="http://schemas.openxmlformats.org/officeDocument/2006/relationships/hyperlink" Target="https://twitter.com/1ChicagoCarGuy/status/723183959761424384" TargetMode="External"/><Relationship Id="rId13176" Type="http://schemas.openxmlformats.org/officeDocument/2006/relationships/hyperlink" Target="https://twitter.com/HansTheGerman/status/723537551584301056" TargetMode="External"/><Relationship Id="rId14227" Type="http://schemas.openxmlformats.org/officeDocument/2006/relationships/hyperlink" Target="http://dlvr.it/" TargetMode="External"/><Relationship Id="rId20392" Type="http://schemas.openxmlformats.org/officeDocument/2006/relationships/hyperlink" Target="https://twitter.com/andrewtconway" TargetMode="External"/><Relationship Id="rId21443" Type="http://schemas.openxmlformats.org/officeDocument/2006/relationships/hyperlink" Target="https://twitter.com/dubbusses" TargetMode="External"/><Relationship Id="rId2184" Type="http://schemas.openxmlformats.org/officeDocument/2006/relationships/hyperlink" Target="https://pbs.twimg.com/profile_images/378800000857813420/Vakw6Bma_normal.jpeg" TargetMode="External"/><Relationship Id="rId3235" Type="http://schemas.openxmlformats.org/officeDocument/2006/relationships/hyperlink" Target="https://pbs.twimg.com/profile_images/723297570173378560/FidV7al0_normal.jpg" TargetMode="External"/><Relationship Id="rId7856" Type="http://schemas.openxmlformats.org/officeDocument/2006/relationships/hyperlink" Target="https://twitter.com/Cyn_Gerffau/status/723335044748681216" TargetMode="External"/><Relationship Id="rId16399" Type="http://schemas.openxmlformats.org/officeDocument/2006/relationships/hyperlink" Target="https://twitter.com/robertmarere" TargetMode="External"/><Relationship Id="rId17797" Type="http://schemas.openxmlformats.org/officeDocument/2006/relationships/hyperlink" Target="https://pbs.twimg.com/profile_images/704679832874053632/MaJRG7nY_normal.jpg" TargetMode="External"/><Relationship Id="rId18848" Type="http://schemas.openxmlformats.org/officeDocument/2006/relationships/hyperlink" Target="https://twitter.com/JRehwald/status/723900147348963328" TargetMode="External"/><Relationship Id="rId20045" Type="http://schemas.openxmlformats.org/officeDocument/2006/relationships/hyperlink" Target="https://twitter.com/NollyPrott/status/723971635401875456" TargetMode="External"/><Relationship Id="rId156" Type="http://schemas.openxmlformats.org/officeDocument/2006/relationships/hyperlink" Target="https://twitter.com/ThoughtsToPondr" TargetMode="External"/><Relationship Id="rId6458" Type="http://schemas.openxmlformats.org/officeDocument/2006/relationships/hyperlink" Target="https://twitter.com/ABWF21" TargetMode="External"/><Relationship Id="rId7509" Type="http://schemas.openxmlformats.org/officeDocument/2006/relationships/hyperlink" Target="https://twitter.com/zPDreamweinerW6" TargetMode="External"/><Relationship Id="rId8907" Type="http://schemas.openxmlformats.org/officeDocument/2006/relationships/hyperlink" Target="https://twitter.com/golfturkiye/status/723410968030539777" TargetMode="External"/><Relationship Id="rId10837" Type="http://schemas.openxmlformats.org/officeDocument/2006/relationships/hyperlink" Target="https://pbs.twimg.com/profile_images/662021761534332932/p5J2iws__normal.jpg" TargetMode="External"/><Relationship Id="rId23268" Type="http://schemas.openxmlformats.org/officeDocument/2006/relationships/hyperlink" Target="https://twitter.com/saimisim_pasta" TargetMode="External"/><Relationship Id="rId24666" Type="http://schemas.openxmlformats.org/officeDocument/2006/relationships/hyperlink" Target="https://pbs.twimg.com/profile_images/718820712757215233/LXXndPTS_normal.jpg" TargetMode="External"/><Relationship Id="rId25717" Type="http://schemas.openxmlformats.org/officeDocument/2006/relationships/hyperlink" Target="https://twitter.com/Fulch87/status/724466275045486592" TargetMode="External"/><Relationship Id="rId13310" Type="http://schemas.openxmlformats.org/officeDocument/2006/relationships/hyperlink" Target="https://twitter.com/beetlebug1938" TargetMode="External"/><Relationship Id="rId16880" Type="http://schemas.openxmlformats.org/officeDocument/2006/relationships/hyperlink" Target="http://dlvr.it/" TargetMode="External"/><Relationship Id="rId17931" Type="http://schemas.openxmlformats.org/officeDocument/2006/relationships/hyperlink" Target="https://twitter.com/MinnieMelville" TargetMode="External"/><Relationship Id="rId24319" Type="http://schemas.openxmlformats.org/officeDocument/2006/relationships/hyperlink" Target="https://twitter.com/dedecasanti/status/724347146712002562" TargetMode="External"/><Relationship Id="rId15482" Type="http://schemas.openxmlformats.org/officeDocument/2006/relationships/hyperlink" Target="https://pbs.twimg.com/profile_images/569800899141177344/nVFLMSdb_normal.png" TargetMode="External"/><Relationship Id="rId16533" Type="http://schemas.openxmlformats.org/officeDocument/2006/relationships/hyperlink" Target="https://pbs.twimg.com/profile_images/685175443654246401/92R4InX-_normal.png" TargetMode="External"/><Relationship Id="rId20929" Type="http://schemas.openxmlformats.org/officeDocument/2006/relationships/hyperlink" Target="https://twitter.com/AMDAMORELOS/status/724068274997104640" TargetMode="External"/><Relationship Id="rId24800" Type="http://schemas.openxmlformats.org/officeDocument/2006/relationships/hyperlink" Target="https://twitter.com/ManuelA30652972/status/724388243010117633" TargetMode="External"/><Relationship Id="rId4490" Type="http://schemas.openxmlformats.org/officeDocument/2006/relationships/hyperlink" Target="https://pbs.twimg.com/profile_images/1320001153/CLTweb_normal.gif" TargetMode="External"/><Relationship Id="rId5541" Type="http://schemas.openxmlformats.org/officeDocument/2006/relationships/hyperlink" Target="https://pbs.twimg.com/profile_images/653334158484357120/pjDnQtCN_normal.jpg" TargetMode="External"/><Relationship Id="rId14084" Type="http://schemas.openxmlformats.org/officeDocument/2006/relationships/hyperlink" Target="https://pbs.twimg.com/profile_images/540383861117845505/-0MuqryM_normal.jpeg" TargetMode="External"/><Relationship Id="rId15135" Type="http://schemas.openxmlformats.org/officeDocument/2006/relationships/hyperlink" Target="https://pbs.twimg.com/profile_images/577927762721120257/mbfn05ZP_normal.png" TargetMode="External"/><Relationship Id="rId19756" Type="http://schemas.openxmlformats.org/officeDocument/2006/relationships/hyperlink" Target="https://twitter.com/Harry_Hammer84/status/723954725188673536" TargetMode="External"/><Relationship Id="rId22351" Type="http://schemas.openxmlformats.org/officeDocument/2006/relationships/hyperlink" Target="https://pbs.twimg.com/profile_images/657560747271032833/Q4Z58w0-_normal.jpg" TargetMode="External"/><Relationship Id="rId23402" Type="http://schemas.openxmlformats.org/officeDocument/2006/relationships/hyperlink" Target="https://pbs.twimg.com/profile_images/642798649760743424/Ky_zidvM_normal.jpg" TargetMode="External"/><Relationship Id="rId3092" Type="http://schemas.openxmlformats.org/officeDocument/2006/relationships/hyperlink" Target="https://pbs.twimg.com/profile_images/703294545195307008/qeCvrX86_normal.jpg" TargetMode="External"/><Relationship Id="rId4143" Type="http://schemas.openxmlformats.org/officeDocument/2006/relationships/hyperlink" Target="https://pbs.twimg.com/profile_images/1602774074/IMG_0924_normal.JPG" TargetMode="External"/><Relationship Id="rId8764" Type="http://schemas.openxmlformats.org/officeDocument/2006/relationships/hyperlink" Target="https://pbs.twimg.com/profile_images/667101948429123584/pzpPHONX_normal.jpg" TargetMode="External"/><Relationship Id="rId9815" Type="http://schemas.openxmlformats.org/officeDocument/2006/relationships/hyperlink" Target="https://pbs.twimg.com/profile_images/649739044239372288/0ODkSJLg_normal.png" TargetMode="External"/><Relationship Id="rId10694" Type="http://schemas.openxmlformats.org/officeDocument/2006/relationships/hyperlink" Target="https://twitter.com/GACCColorado" TargetMode="External"/><Relationship Id="rId18358" Type="http://schemas.openxmlformats.org/officeDocument/2006/relationships/hyperlink" Target="https://pbs.twimg.com/profile_images/462266691305488384/nZV5thLJ_normal.jpeg" TargetMode="External"/><Relationship Id="rId19409" Type="http://schemas.openxmlformats.org/officeDocument/2006/relationships/hyperlink" Target="https://twitter.com/Decocalcos/status/723929743763116037" TargetMode="External"/><Relationship Id="rId22004" Type="http://schemas.openxmlformats.org/officeDocument/2006/relationships/hyperlink" Target="https://twitter.com/beetlebug1938" TargetMode="External"/><Relationship Id="rId25574" Type="http://schemas.openxmlformats.org/officeDocument/2006/relationships/hyperlink" Target="https://twitter.com/PicadasArg" TargetMode="External"/><Relationship Id="rId29" Type="http://schemas.openxmlformats.org/officeDocument/2006/relationships/hyperlink" Target="https://twitter.com/TedFlitton/status/722920009291304964" TargetMode="External"/><Relationship Id="rId7366" Type="http://schemas.openxmlformats.org/officeDocument/2006/relationships/hyperlink" Target="https://pbs.twimg.com/profile_images/557623599113437187/0MZolqbR_normal.jpeg" TargetMode="External"/><Relationship Id="rId8417" Type="http://schemas.openxmlformats.org/officeDocument/2006/relationships/hyperlink" Target="https://twitter.com/EditeursLEcho/status/723387132211916801" TargetMode="External"/><Relationship Id="rId10347" Type="http://schemas.openxmlformats.org/officeDocument/2006/relationships/hyperlink" Target="https://twitter.com/akihheikkinen" TargetMode="External"/><Relationship Id="rId11745" Type="http://schemas.openxmlformats.org/officeDocument/2006/relationships/hyperlink" Target="https://twitter.com/CBSLA/status/723506861094277122" TargetMode="External"/><Relationship Id="rId24176" Type="http://schemas.openxmlformats.org/officeDocument/2006/relationships/hyperlink" Target="https://twitter.com/VWCamperSales" TargetMode="External"/><Relationship Id="rId25227" Type="http://schemas.openxmlformats.org/officeDocument/2006/relationships/hyperlink" Target="http://ctrlq.org/maps/address/" TargetMode="External"/><Relationship Id="rId1804" Type="http://schemas.openxmlformats.org/officeDocument/2006/relationships/hyperlink" Target="https://twitter.com/carstech42160" TargetMode="External"/><Relationship Id="rId7019" Type="http://schemas.openxmlformats.org/officeDocument/2006/relationships/hyperlink" Target="https://twitter.com/fastlanedaily/status/723274976598564864" TargetMode="External"/><Relationship Id="rId14968" Type="http://schemas.openxmlformats.org/officeDocument/2006/relationships/hyperlink" Target="https://pbs.twimg.com/profile_images/530071272881803264/a_jcCmPZ_normal.png" TargetMode="External"/><Relationship Id="rId3976" Type="http://schemas.openxmlformats.org/officeDocument/2006/relationships/hyperlink" Target="https://twitter.com/DPWerks" TargetMode="External"/><Relationship Id="rId16390" Type="http://schemas.openxmlformats.org/officeDocument/2006/relationships/hyperlink" Target="https://twitter.com/beetlebug1938" TargetMode="External"/><Relationship Id="rId17441" Type="http://schemas.openxmlformats.org/officeDocument/2006/relationships/hyperlink" Target="https://twitter.com/pleasecallmemac/status/723798912109305856" TargetMode="External"/><Relationship Id="rId20786" Type="http://schemas.openxmlformats.org/officeDocument/2006/relationships/hyperlink" Target="https://pbs.twimg.com/profile_images/685063099037122560/PsHEpS8i_normal.jpg" TargetMode="External"/><Relationship Id="rId21837" Type="http://schemas.openxmlformats.org/officeDocument/2006/relationships/hyperlink" Target="https://twitter.com/OnlineCarReview" TargetMode="External"/><Relationship Id="rId897" Type="http://schemas.openxmlformats.org/officeDocument/2006/relationships/hyperlink" Target="https://twitter.com/EricSWalz/status/722998847526445059" TargetMode="External"/><Relationship Id="rId2578" Type="http://schemas.openxmlformats.org/officeDocument/2006/relationships/hyperlink" Target="https://pbs.twimg.com/profile_images/540938088189411328/gw2_sYLD_normal.jpeg" TargetMode="External"/><Relationship Id="rId3629" Type="http://schemas.openxmlformats.org/officeDocument/2006/relationships/hyperlink" Target="https://twitter.com/beetlebug1938" TargetMode="External"/><Relationship Id="rId5051" Type="http://schemas.openxmlformats.org/officeDocument/2006/relationships/hyperlink" Target="https://pbs.twimg.com/profile_images/540347052673490944/OD4X0c6E_normal.jpeg" TargetMode="External"/><Relationship Id="rId7500" Type="http://schemas.openxmlformats.org/officeDocument/2006/relationships/hyperlink" Target="https://twitter.com/LKBryanfistoGo" TargetMode="External"/><Relationship Id="rId16043" Type="http://schemas.openxmlformats.org/officeDocument/2006/relationships/hyperlink" Target="https://twitter.com/acdcabba" TargetMode="External"/><Relationship Id="rId20439" Type="http://schemas.openxmlformats.org/officeDocument/2006/relationships/hyperlink" Target="https://pbs.twimg.com/profile_images/541516828955385857/e-6vr5Kt_normal.png" TargetMode="External"/><Relationship Id="rId24310" Type="http://schemas.openxmlformats.org/officeDocument/2006/relationships/hyperlink" Target="https://pbs.twimg.com/profile_images/424893967197433858/iQ86NktX_normal.jpeg" TargetMode="External"/><Relationship Id="rId6102" Type="http://schemas.openxmlformats.org/officeDocument/2006/relationships/hyperlink" Target="https://twitter.com/mvdweyer" TargetMode="External"/><Relationship Id="rId9672" Type="http://schemas.openxmlformats.org/officeDocument/2006/relationships/hyperlink" Target="https://pbs.twimg.com/profile_images/3346543471/c7c79480b7b405ee902a5fcb600153a0_normal.jpeg" TargetMode="External"/><Relationship Id="rId12653" Type="http://schemas.openxmlformats.org/officeDocument/2006/relationships/hyperlink" Target="https://twitter.com/phoenix_kom" TargetMode="External"/><Relationship Id="rId13704" Type="http://schemas.openxmlformats.org/officeDocument/2006/relationships/hyperlink" Target="https://pbs.twimg.com/profile_images/693447250224087040/au64Cdjo_normal.jpg" TargetMode="External"/><Relationship Id="rId19266" Type="http://schemas.openxmlformats.org/officeDocument/2006/relationships/hyperlink" Target="https://pbs.twimg.com/profile_images/627949001179037696/skEBkS05_normal.jpg" TargetMode="External"/><Relationship Id="rId20920" Type="http://schemas.openxmlformats.org/officeDocument/2006/relationships/hyperlink" Target="https://pbs.twimg.com/profile_images/524229024550092803/rDciaA1w_normal.jpeg" TargetMode="External"/><Relationship Id="rId1661" Type="http://schemas.openxmlformats.org/officeDocument/2006/relationships/hyperlink" Target="https://twitter.com/Scirocco_Tuning" TargetMode="External"/><Relationship Id="rId2712" Type="http://schemas.openxmlformats.org/officeDocument/2006/relationships/hyperlink" Target="https://twitter.com/ME262P/status/723114572823977985" TargetMode="External"/><Relationship Id="rId8274" Type="http://schemas.openxmlformats.org/officeDocument/2006/relationships/hyperlink" Target="https://twitter.com/dpa" TargetMode="External"/><Relationship Id="rId9325" Type="http://schemas.openxmlformats.org/officeDocument/2006/relationships/hyperlink" Target="https://twitter.com/ZoomStocks/status/723430384612990976" TargetMode="External"/><Relationship Id="rId11255" Type="http://schemas.openxmlformats.org/officeDocument/2006/relationships/hyperlink" Target="https://twitter.com/MarkCSchneider" TargetMode="External"/><Relationship Id="rId12306" Type="http://schemas.openxmlformats.org/officeDocument/2006/relationships/hyperlink" Target="https://pbs.twimg.com/profile_images/3744919436/47afb1651fe52de7e73cae0d3feb67d1_normal.png" TargetMode="External"/><Relationship Id="rId25084" Type="http://schemas.openxmlformats.org/officeDocument/2006/relationships/hyperlink" Target="https://pbs.twimg.com/profile_images/472298206483607552/UogAMiRI_normal.png" TargetMode="External"/><Relationship Id="rId1314" Type="http://schemas.openxmlformats.org/officeDocument/2006/relationships/hyperlink" Target="https://twitter.com/CreditChemist/status/723034866149896192" TargetMode="External"/><Relationship Id="rId4884" Type="http://schemas.openxmlformats.org/officeDocument/2006/relationships/hyperlink" Target="https://twitter.com/tagesschau/status/723189498302087168" TargetMode="External"/><Relationship Id="rId5935" Type="http://schemas.openxmlformats.org/officeDocument/2006/relationships/hyperlink" Target="https://twitter.com/COMEXI" TargetMode="External"/><Relationship Id="rId14478" Type="http://schemas.openxmlformats.org/officeDocument/2006/relationships/hyperlink" Target="https://twitter.com/HelenaFalke1" TargetMode="External"/><Relationship Id="rId15876" Type="http://schemas.openxmlformats.org/officeDocument/2006/relationships/hyperlink" Target="https://pbs.twimg.com/profile_images/675772571493732352/GRqxxc_d_normal.jpg" TargetMode="External"/><Relationship Id="rId16927" Type="http://schemas.openxmlformats.org/officeDocument/2006/relationships/hyperlink" Target="https://twitter.com/MikerHerrera" TargetMode="External"/><Relationship Id="rId21694" Type="http://schemas.openxmlformats.org/officeDocument/2006/relationships/hyperlink" Target="https://twitter.com/Scirocco_Tuning" TargetMode="External"/><Relationship Id="rId3486" Type="http://schemas.openxmlformats.org/officeDocument/2006/relationships/hyperlink" Target="https://twitter.com/ValeMartin_" TargetMode="External"/><Relationship Id="rId4537" Type="http://schemas.openxmlformats.org/officeDocument/2006/relationships/hyperlink" Target="https://twitter.com/EinsteinLaw/status/723182208786128896" TargetMode="External"/><Relationship Id="rId15529" Type="http://schemas.openxmlformats.org/officeDocument/2006/relationships/hyperlink" Target="https://twitter.com/VWCamperSales/status/723611360970477569" TargetMode="External"/><Relationship Id="rId18002" Type="http://schemas.openxmlformats.org/officeDocument/2006/relationships/hyperlink" Target="https://twitter.com/Tipperaryphotos/status/723841165385175040" TargetMode="External"/><Relationship Id="rId19400" Type="http://schemas.openxmlformats.org/officeDocument/2006/relationships/hyperlink" Target="http://dlvr.it/" TargetMode="External"/><Relationship Id="rId20296" Type="http://schemas.openxmlformats.org/officeDocument/2006/relationships/hyperlink" Target="https://pbs.twimg.com/profile_images/633030122455609344/gcpG_VE7_normal.jpg" TargetMode="External"/><Relationship Id="rId21347" Type="http://schemas.openxmlformats.org/officeDocument/2006/relationships/hyperlink" Target="https://twitter.com/Volkstyp2" TargetMode="External"/><Relationship Id="rId22745" Type="http://schemas.openxmlformats.org/officeDocument/2006/relationships/hyperlink" Target="https://twitter.com/Insta_VWT/status/724243652801863682" TargetMode="External"/><Relationship Id="rId20" Type="http://schemas.openxmlformats.org/officeDocument/2006/relationships/hyperlink" Target="https://twitter.com/Duambyth/status/722919180652011522" TargetMode="External"/><Relationship Id="rId2088" Type="http://schemas.openxmlformats.org/officeDocument/2006/relationships/hyperlink" Target="https://pbs.twimg.com/profile_images/583236161679818752/orli-VFP_normal.jpg" TargetMode="External"/><Relationship Id="rId3139" Type="http://schemas.openxmlformats.org/officeDocument/2006/relationships/hyperlink" Target="https://twitter.com/VWCamperSales" TargetMode="External"/><Relationship Id="rId7010" Type="http://schemas.openxmlformats.org/officeDocument/2006/relationships/hyperlink" Target="https://twitter.com/Insta_VWT/status/723274814685888512" TargetMode="External"/><Relationship Id="rId9182" Type="http://schemas.openxmlformats.org/officeDocument/2006/relationships/hyperlink" Target="https://pbs.twimg.com/profile_images/491217423396134913/ygdCi_0u_normal.jpeg" TargetMode="External"/><Relationship Id="rId13561" Type="http://schemas.openxmlformats.org/officeDocument/2006/relationships/hyperlink" Target="https://twitter.com/estrout/status/723550571853012993" TargetMode="External"/><Relationship Id="rId14612" Type="http://schemas.openxmlformats.org/officeDocument/2006/relationships/hyperlink" Target="https://pbs.twimg.com/profile_images/721631877707272194/339ABugc_normal.jpg" TargetMode="External"/><Relationship Id="rId3620" Type="http://schemas.openxmlformats.org/officeDocument/2006/relationships/hyperlink" Target="https://twitter.com/beetlebug1938" TargetMode="External"/><Relationship Id="rId12163" Type="http://schemas.openxmlformats.org/officeDocument/2006/relationships/hyperlink" Target="https://twitter.com/OhSooSocial" TargetMode="External"/><Relationship Id="rId13214" Type="http://schemas.openxmlformats.org/officeDocument/2006/relationships/hyperlink" Target="https://pbs.twimg.com/profile_images/454996800881975296/Mjmz9Uju_normal.jpeg" TargetMode="External"/><Relationship Id="rId16784" Type="http://schemas.openxmlformats.org/officeDocument/2006/relationships/hyperlink" Target="https://pbs.twimg.com/profile_images/443258859092578304/uvPzzzTx_normal.png" TargetMode="External"/><Relationship Id="rId17835" Type="http://schemas.openxmlformats.org/officeDocument/2006/relationships/hyperlink" Target="https://twitter.com/FellianTsuyoshi" TargetMode="External"/><Relationship Id="rId20430" Type="http://schemas.openxmlformats.org/officeDocument/2006/relationships/hyperlink" Target="https://pbs.twimg.com/profile_images/723997524051124224/f34alsaD_normal.jpg" TargetMode="External"/><Relationship Id="rId541" Type="http://schemas.openxmlformats.org/officeDocument/2006/relationships/hyperlink" Target="https://twitter.com/jlynx2/status/722964504435408896" TargetMode="External"/><Relationship Id="rId1171" Type="http://schemas.openxmlformats.org/officeDocument/2006/relationships/hyperlink" Target="https://twitter.com/da010445" TargetMode="External"/><Relationship Id="rId2222" Type="http://schemas.openxmlformats.org/officeDocument/2006/relationships/hyperlink" Target="https://twitter.com/VWLorient" TargetMode="External"/><Relationship Id="rId5792" Type="http://schemas.openxmlformats.org/officeDocument/2006/relationships/hyperlink" Target="https://pbs.twimg.com/profile_images/460076285507563521/4Z-e8jo6_normal.jpeg" TargetMode="External"/><Relationship Id="rId6843" Type="http://schemas.openxmlformats.org/officeDocument/2006/relationships/hyperlink" Target="https://twitter.com/HassanValji/status/723264039971901440" TargetMode="External"/><Relationship Id="rId15386" Type="http://schemas.openxmlformats.org/officeDocument/2006/relationships/hyperlink" Target="https://twitter.com/Marktzyniker/status/723605946082144256" TargetMode="External"/><Relationship Id="rId16437" Type="http://schemas.openxmlformats.org/officeDocument/2006/relationships/hyperlink" Target="https://pbs.twimg.com/profile_images/522812503097872384/vAgZehbG_normal.jpeg" TargetMode="External"/><Relationship Id="rId23653" Type="http://schemas.openxmlformats.org/officeDocument/2006/relationships/hyperlink" Target="https://twitter.com/VWCamperSales" TargetMode="External"/><Relationship Id="rId24704" Type="http://schemas.openxmlformats.org/officeDocument/2006/relationships/hyperlink" Target="https://twitter.com/FuscaWorld" TargetMode="External"/><Relationship Id="rId4394" Type="http://schemas.openxmlformats.org/officeDocument/2006/relationships/hyperlink" Target="https://twitter.com/berlin_ny/status/723179983674466304" TargetMode="External"/><Relationship Id="rId5445" Type="http://schemas.openxmlformats.org/officeDocument/2006/relationships/hyperlink" Target="https://pbs.twimg.com/profile_images/2908590566/828967841f09b515ee36e3dfccea4d28_normal.png" TargetMode="External"/><Relationship Id="rId15039" Type="http://schemas.openxmlformats.org/officeDocument/2006/relationships/hyperlink" Target="https://twitter.com/Scirocco_Tuning/status/723590823477170176" TargetMode="External"/><Relationship Id="rId22255" Type="http://schemas.openxmlformats.org/officeDocument/2006/relationships/hyperlink" Target="https://twitter.com/TheNestJR/status/724211641114603520" TargetMode="External"/><Relationship Id="rId23306" Type="http://schemas.openxmlformats.org/officeDocument/2006/relationships/hyperlink" Target="https://twitter.com/joannemariol/status/724279017919123456" TargetMode="External"/><Relationship Id="rId4047" Type="http://schemas.openxmlformats.org/officeDocument/2006/relationships/hyperlink" Target="https://pbs.twimg.com/profile_images/717842897396219905/v1FD6_yv_normal.jpg" TargetMode="External"/><Relationship Id="rId8668" Type="http://schemas.openxmlformats.org/officeDocument/2006/relationships/hyperlink" Target="https://pbs.twimg.com/profile_images/702511217793863680/lty8h9vE_normal.jpg" TargetMode="External"/><Relationship Id="rId9719" Type="http://schemas.openxmlformats.org/officeDocument/2006/relationships/hyperlink" Target="https://pbs.twimg.com/profile_images/506770159353081857/X1KYKwcE_normal.jpeg" TargetMode="External"/><Relationship Id="rId11996" Type="http://schemas.openxmlformats.org/officeDocument/2006/relationships/hyperlink" Target="https://twitter.com/dw_deutsch/status/723511677120073728" TargetMode="External"/><Relationship Id="rId25478" Type="http://schemas.openxmlformats.org/officeDocument/2006/relationships/hyperlink" Target="https://twitter.com/DubLuvTuning/status/724442630319407105" TargetMode="External"/><Relationship Id="rId10598" Type="http://schemas.openxmlformats.org/officeDocument/2006/relationships/hyperlink" Target="https://pbs.twimg.com/profile_images/2316415935/pi_by_strenuus-d39pkb3_normal.jpg" TargetMode="External"/><Relationship Id="rId11649" Type="http://schemas.openxmlformats.org/officeDocument/2006/relationships/hyperlink" Target="http://instock.de/" TargetMode="External"/><Relationship Id="rId13071" Type="http://schemas.openxmlformats.org/officeDocument/2006/relationships/hyperlink" Target="https://twitter.com/Stony_BS/status/723534636903751685" TargetMode="External"/><Relationship Id="rId15520" Type="http://schemas.openxmlformats.org/officeDocument/2006/relationships/hyperlink" Target="https://twitter.com/MorSvinka_83/status/723611066354262017" TargetMode="External"/><Relationship Id="rId1708" Type="http://schemas.openxmlformats.org/officeDocument/2006/relationships/hyperlink" Target="https://twitter.com/bot_innovation/status/723054098677915648" TargetMode="External"/><Relationship Id="rId3130" Type="http://schemas.openxmlformats.org/officeDocument/2006/relationships/hyperlink" Target="https://twitter.com/zbunny01/status/723143709823537152" TargetMode="External"/><Relationship Id="rId14122" Type="http://schemas.openxmlformats.org/officeDocument/2006/relationships/hyperlink" Target="https://twitter.com/VolkswagenPost/status/723564513086214146" TargetMode="External"/><Relationship Id="rId17692" Type="http://schemas.openxmlformats.org/officeDocument/2006/relationships/hyperlink" Target="https://twitter.com/mmkassem/status/723816732561932288" TargetMode="External"/><Relationship Id="rId18743" Type="http://schemas.openxmlformats.org/officeDocument/2006/relationships/hyperlink" Target="https://twitter.com/SD2MUC/status/723892443985379328" TargetMode="External"/><Relationship Id="rId7751" Type="http://schemas.openxmlformats.org/officeDocument/2006/relationships/hyperlink" Target="https://twitter.com/Juani_Ginter" TargetMode="External"/><Relationship Id="rId8802" Type="http://schemas.openxmlformats.org/officeDocument/2006/relationships/hyperlink" Target="https://twitter.com/alphazeichen/status/723407757190139904" TargetMode="External"/><Relationship Id="rId10732" Type="http://schemas.openxmlformats.org/officeDocument/2006/relationships/hyperlink" Target="https://pbs.twimg.com/profile_images/684659482425716736/ghsbG3NM_normal.jpg" TargetMode="External"/><Relationship Id="rId16294" Type="http://schemas.openxmlformats.org/officeDocument/2006/relationships/hyperlink" Target="https://twitter.com/barclay_m" TargetMode="External"/><Relationship Id="rId17345" Type="http://schemas.openxmlformats.org/officeDocument/2006/relationships/hyperlink" Target="https://twitter.com/sakshinews" TargetMode="External"/><Relationship Id="rId24561" Type="http://schemas.openxmlformats.org/officeDocument/2006/relationships/hyperlink" Target="https://twitter.com/oldcar_photo" TargetMode="External"/><Relationship Id="rId25612" Type="http://schemas.openxmlformats.org/officeDocument/2006/relationships/hyperlink" Target="https://pbs.twimg.com/profile_images/637793934845046785/xyVgpucG_normal.jpg" TargetMode="External"/><Relationship Id="rId6353" Type="http://schemas.openxmlformats.org/officeDocument/2006/relationships/hyperlink" Target="https://twitter.com/__FMR__/status/723240372143554560" TargetMode="External"/><Relationship Id="rId7404" Type="http://schemas.openxmlformats.org/officeDocument/2006/relationships/hyperlink" Target="https://twitter.com/MalibuMoms/status/723300627841863681" TargetMode="External"/><Relationship Id="rId23163" Type="http://schemas.openxmlformats.org/officeDocument/2006/relationships/hyperlink" Target="https://pbs.twimg.com/profile_images/705780107844067328/e7O4UBNb_normal.jpg" TargetMode="External"/><Relationship Id="rId24214" Type="http://schemas.openxmlformats.org/officeDocument/2006/relationships/hyperlink" Target="https://twitter.com/VinniesVVV/status/724338452939067393" TargetMode="External"/><Relationship Id="rId2963" Type="http://schemas.openxmlformats.org/officeDocument/2006/relationships/hyperlink" Target="https://pbs.twimg.com/profile_images/2136613539/JV-headshot_normal.jpg" TargetMode="External"/><Relationship Id="rId6006" Type="http://schemas.openxmlformats.org/officeDocument/2006/relationships/hyperlink" Target="https://twitter.com/NewsChannel8" TargetMode="External"/><Relationship Id="rId9576" Type="http://schemas.openxmlformats.org/officeDocument/2006/relationships/hyperlink" Target="https://twitter.com/FreeEzidis/status/723440776802246656" TargetMode="External"/><Relationship Id="rId12557" Type="http://schemas.openxmlformats.org/officeDocument/2006/relationships/hyperlink" Target="https://twitter.com/1590KLIV" TargetMode="External"/><Relationship Id="rId13955" Type="http://schemas.openxmlformats.org/officeDocument/2006/relationships/hyperlink" Target="https://pbs.twimg.com/profile_images/645328399834181632/rWu1bHrC_normal.jpg" TargetMode="External"/><Relationship Id="rId935" Type="http://schemas.openxmlformats.org/officeDocument/2006/relationships/hyperlink" Target="https://twitter.com/vwpalmspringspr" TargetMode="External"/><Relationship Id="rId1565" Type="http://schemas.openxmlformats.org/officeDocument/2006/relationships/hyperlink" Target="https://twitter.com/CarolineHydeTV" TargetMode="External"/><Relationship Id="rId2616" Type="http://schemas.openxmlformats.org/officeDocument/2006/relationships/hyperlink" Target="https://twitter.com/EvvoNewBeetles" TargetMode="External"/><Relationship Id="rId8178" Type="http://schemas.openxmlformats.org/officeDocument/2006/relationships/hyperlink" Target="https://twitter.com/bestofprinceton" TargetMode="External"/><Relationship Id="rId9229" Type="http://schemas.openxmlformats.org/officeDocument/2006/relationships/hyperlink" Target="https://twitter.com/t00lkit/status/723427407055581184" TargetMode="External"/><Relationship Id="rId11159" Type="http://schemas.openxmlformats.org/officeDocument/2006/relationships/hyperlink" Target="https://pbs.twimg.com/profile_images/532009681158295552/ubGun8Mr_normal.jpeg" TargetMode="External"/><Relationship Id="rId13608" Type="http://schemas.openxmlformats.org/officeDocument/2006/relationships/hyperlink" Target="https://twitter.com/pukki01" TargetMode="External"/><Relationship Id="rId15030" Type="http://schemas.openxmlformats.org/officeDocument/2006/relationships/hyperlink" Target="https://twitter.com/GarionCoyote/status/723590592681357312" TargetMode="External"/><Relationship Id="rId20824" Type="http://schemas.openxmlformats.org/officeDocument/2006/relationships/hyperlink" Target="https://twitter.com/VCT_Tweets" TargetMode="External"/><Relationship Id="rId1218" Type="http://schemas.openxmlformats.org/officeDocument/2006/relationships/hyperlink" Target="https://twitter.com/Scirocco_Tuning/status/723025935541350400" TargetMode="External"/><Relationship Id="rId19651" Type="http://schemas.openxmlformats.org/officeDocument/2006/relationships/hyperlink" Target="https://twitter.com/khilogram" TargetMode="External"/><Relationship Id="rId22996" Type="http://schemas.openxmlformats.org/officeDocument/2006/relationships/hyperlink" Target="https://pbs.twimg.com/profile_images/599357023407464449/BL9Bpo6T_normal.jpg" TargetMode="External"/><Relationship Id="rId4788" Type="http://schemas.openxmlformats.org/officeDocument/2006/relationships/hyperlink" Target="https://pbs.twimg.com/profile_images/723264298739490816/9fjnGkGB_normal.jpg" TargetMode="External"/><Relationship Id="rId5839" Type="http://schemas.openxmlformats.org/officeDocument/2006/relationships/hyperlink" Target="https://twitter.com/SammiLeopold08" TargetMode="External"/><Relationship Id="rId7261" Type="http://schemas.openxmlformats.org/officeDocument/2006/relationships/hyperlink" Target="https://twitter.com/FlorMusante_/status/723290757361180673" TargetMode="External"/><Relationship Id="rId9710" Type="http://schemas.openxmlformats.org/officeDocument/2006/relationships/hyperlink" Target="https://twitter.com/hubberme" TargetMode="External"/><Relationship Id="rId11640" Type="http://schemas.openxmlformats.org/officeDocument/2006/relationships/hyperlink" Target="https://twitter.com/JAdeJong12/status/723504791444422656" TargetMode="External"/><Relationship Id="rId18253" Type="http://schemas.openxmlformats.org/officeDocument/2006/relationships/hyperlink" Target="https://pbs.twimg.com/profile_images/703530030010335232/GY0EEAPw_normal.jpg" TargetMode="External"/><Relationship Id="rId19304" Type="http://schemas.openxmlformats.org/officeDocument/2006/relationships/hyperlink" Target="https://twitter.com/DigitalFuehrung/status/723926440287166466" TargetMode="External"/><Relationship Id="rId21598" Type="http://schemas.openxmlformats.org/officeDocument/2006/relationships/hyperlink" Target="https://twitter.com/beetlebug1938" TargetMode="External"/><Relationship Id="rId22649" Type="http://schemas.openxmlformats.org/officeDocument/2006/relationships/hyperlink" Target="https://twitter.com/daichidayo27/status/724237312687673347" TargetMode="External"/><Relationship Id="rId24071" Type="http://schemas.openxmlformats.org/officeDocument/2006/relationships/hyperlink" Target="http://dlvr.it/" TargetMode="External"/><Relationship Id="rId8312" Type="http://schemas.openxmlformats.org/officeDocument/2006/relationships/hyperlink" Target="https://pbs.twimg.com/profile_images/700238784550604800/AtzvoUk1_normal.png" TargetMode="External"/><Relationship Id="rId10242" Type="http://schemas.openxmlformats.org/officeDocument/2006/relationships/hyperlink" Target="https://twitter.com/Power_Cars/status/723466916518617088" TargetMode="External"/><Relationship Id="rId14863" Type="http://schemas.openxmlformats.org/officeDocument/2006/relationships/hyperlink" Target="https://twitter.com/chefwickler/status/723585566932082688" TargetMode="External"/><Relationship Id="rId15914" Type="http://schemas.openxmlformats.org/officeDocument/2006/relationships/hyperlink" Target="http://ctrlq.org/maps/address/" TargetMode="External"/><Relationship Id="rId25122" Type="http://schemas.openxmlformats.org/officeDocument/2006/relationships/hyperlink" Target="https://pbs.twimg.com/profile_images/472298206483607552/UogAMiRI_normal.png" TargetMode="External"/><Relationship Id="rId3871" Type="http://schemas.openxmlformats.org/officeDocument/2006/relationships/hyperlink" Target="https://twitter.com/matthiasgott/status/723171205251997696" TargetMode="External"/><Relationship Id="rId4922" Type="http://schemas.openxmlformats.org/officeDocument/2006/relationships/hyperlink" Target="https://twitter.com/webaraba/status/723190668382863361" TargetMode="External"/><Relationship Id="rId13465" Type="http://schemas.openxmlformats.org/officeDocument/2006/relationships/hyperlink" Target="https://twitter.com/VWCamperSales" TargetMode="External"/><Relationship Id="rId14516" Type="http://schemas.openxmlformats.org/officeDocument/2006/relationships/hyperlink" Target="https://abs.twimg.com/sticky/default_profile_images/default_profile_5_normal.png" TargetMode="External"/><Relationship Id="rId20681" Type="http://schemas.openxmlformats.org/officeDocument/2006/relationships/hyperlink" Target="https://pbs.twimg.com/profile_images/652871584131092480/QA_B6SBO_normal.jpg" TargetMode="External"/><Relationship Id="rId21732" Type="http://schemas.openxmlformats.org/officeDocument/2006/relationships/hyperlink" Target="https://twitter.com/andrewgooderson" TargetMode="External"/><Relationship Id="rId792" Type="http://schemas.openxmlformats.org/officeDocument/2006/relationships/hyperlink" Target="https://twitter.com/Julliooos" TargetMode="External"/><Relationship Id="rId2473" Type="http://schemas.openxmlformats.org/officeDocument/2006/relationships/hyperlink" Target="https://twitter.com/treibholzfilm/status/723102599998746624" TargetMode="External"/><Relationship Id="rId3524" Type="http://schemas.openxmlformats.org/officeDocument/2006/relationships/hyperlink" Target="https://pbs.twimg.com/profile_images/722823782017200130/VreCKi-k_normal.jpg" TargetMode="External"/><Relationship Id="rId9086" Type="http://schemas.openxmlformats.org/officeDocument/2006/relationships/hyperlink" Target="https://twitter.com/Bellitum/status/723421294591533056" TargetMode="External"/><Relationship Id="rId12067" Type="http://schemas.openxmlformats.org/officeDocument/2006/relationships/hyperlink" Target="https://twitter.com/rbbinforadio" TargetMode="External"/><Relationship Id="rId13118" Type="http://schemas.openxmlformats.org/officeDocument/2006/relationships/hyperlink" Target="https://twitter.com/franka_kuehn/status/723535659785437184" TargetMode="External"/><Relationship Id="rId16688" Type="http://schemas.openxmlformats.org/officeDocument/2006/relationships/hyperlink" Target="https://twitter.com/beetlebug1938" TargetMode="External"/><Relationship Id="rId20334" Type="http://schemas.openxmlformats.org/officeDocument/2006/relationships/hyperlink" Target="https://twitter.com/LaurenH51219678/status/723992033128505345" TargetMode="External"/><Relationship Id="rId445" Type="http://schemas.openxmlformats.org/officeDocument/2006/relationships/hyperlink" Target="https://pbs.twimg.com/profile_images/714548199294418944/5p7GzpJ5_normal.jpg" TargetMode="External"/><Relationship Id="rId1075" Type="http://schemas.openxmlformats.org/officeDocument/2006/relationships/hyperlink" Target="https://twitter.com/Imtweetingtoo/status/723016307399004161" TargetMode="External"/><Relationship Id="rId2126" Type="http://schemas.openxmlformats.org/officeDocument/2006/relationships/hyperlink" Target="https://twitter.com/Scirocco_Tuning/status/723083863388479489" TargetMode="External"/><Relationship Id="rId5696" Type="http://schemas.openxmlformats.org/officeDocument/2006/relationships/hyperlink" Target="https://twitter.com/GazelleUK" TargetMode="External"/><Relationship Id="rId6747" Type="http://schemas.openxmlformats.org/officeDocument/2006/relationships/hyperlink" Target="https://pbs.twimg.com/profile_images/2881757259/7245bbaa6a861ace9700069d38656a72_normal.jpeg" TargetMode="External"/><Relationship Id="rId17739" Type="http://schemas.openxmlformats.org/officeDocument/2006/relationships/hyperlink" Target="https://twitter.com/tradecar_ie" TargetMode="External"/><Relationship Id="rId19161" Type="http://schemas.openxmlformats.org/officeDocument/2006/relationships/hyperlink" Target="http://comobility.co/" TargetMode="External"/><Relationship Id="rId23557" Type="http://schemas.openxmlformats.org/officeDocument/2006/relationships/hyperlink" Target="https://twitter.com/VWBeetleSales/status/724297254891220992" TargetMode="External"/><Relationship Id="rId24955" Type="http://schemas.openxmlformats.org/officeDocument/2006/relationships/hyperlink" Target="https://twitter.com/fabian_messner/status/724405988988735490" TargetMode="External"/><Relationship Id="rId4298" Type="http://schemas.openxmlformats.org/officeDocument/2006/relationships/hyperlink" Target="https://pbs.twimg.com/profile_images/578542636140781568/2T_ukEU0_normal.jpeg" TargetMode="External"/><Relationship Id="rId5349" Type="http://schemas.openxmlformats.org/officeDocument/2006/relationships/hyperlink" Target="https://pbs.twimg.com/profile_images/2709204996/b880460acdc869254288bfc2187d0176_normal.jpeg" TargetMode="External"/><Relationship Id="rId9220" Type="http://schemas.openxmlformats.org/officeDocument/2006/relationships/hyperlink" Target="https://twitter.com/woutervh1987/status/723426619256266752" TargetMode="External"/><Relationship Id="rId22159" Type="http://schemas.openxmlformats.org/officeDocument/2006/relationships/hyperlink" Target="https://pbs.twimg.com/profile_images/721817255835774976/C5ySbLKK_normal.jpg" TargetMode="External"/><Relationship Id="rId24608" Type="http://schemas.openxmlformats.org/officeDocument/2006/relationships/hyperlink" Target="https://pbs.twimg.com/profile_images/545688359964651520/SF3sJ7lv_normal.jpeg" TargetMode="External"/><Relationship Id="rId11150" Type="http://schemas.openxmlformats.org/officeDocument/2006/relationships/hyperlink" Target="https://twitter.com/kuerzel_td" TargetMode="External"/><Relationship Id="rId12201" Type="http://schemas.openxmlformats.org/officeDocument/2006/relationships/hyperlink" Target="https://pbs.twimg.com/profile_images/615547498736787456/mTnCWWyP_normal.jpg" TargetMode="External"/><Relationship Id="rId15771" Type="http://schemas.openxmlformats.org/officeDocument/2006/relationships/hyperlink" Target="http://dlvr.it/" TargetMode="External"/><Relationship Id="rId16822" Type="http://schemas.openxmlformats.org/officeDocument/2006/relationships/hyperlink" Target="https://pbs.twimg.com/profile_images/451335270445895680/kbg9n6nR_normal.jpeg" TargetMode="External"/><Relationship Id="rId1959" Type="http://schemas.openxmlformats.org/officeDocument/2006/relationships/hyperlink" Target="https://twitter.com/ichbindasschon" TargetMode="External"/><Relationship Id="rId5830" Type="http://schemas.openxmlformats.org/officeDocument/2006/relationships/hyperlink" Target="https://twitter.com/AndreasAndy3131" TargetMode="External"/><Relationship Id="rId14373" Type="http://schemas.openxmlformats.org/officeDocument/2006/relationships/hyperlink" Target="https://twitter.com/beetlebug1938/status/723573121433911297" TargetMode="External"/><Relationship Id="rId15424" Type="http://schemas.openxmlformats.org/officeDocument/2006/relationships/hyperlink" Target="https://twitter.com/Marktzyniker" TargetMode="External"/><Relationship Id="rId18994" Type="http://schemas.openxmlformats.org/officeDocument/2006/relationships/hyperlink" Target="https://twitter.com/VWCamperSales" TargetMode="External"/><Relationship Id="rId22640" Type="http://schemas.openxmlformats.org/officeDocument/2006/relationships/hyperlink" Target="https://twitter.com/napletonvolksu1/status/724236537748180992" TargetMode="External"/><Relationship Id="rId3381" Type="http://schemas.openxmlformats.org/officeDocument/2006/relationships/hyperlink" Target="https://twitter.com/Enigma424/status/723154618688147456" TargetMode="External"/><Relationship Id="rId4432" Type="http://schemas.openxmlformats.org/officeDocument/2006/relationships/hyperlink" Target="https://pbs.twimg.com/profile_images/416996128757149696/MJkc9QTs_normal.jpeg" TargetMode="External"/><Relationship Id="rId10983" Type="http://schemas.openxmlformats.org/officeDocument/2006/relationships/hyperlink" Target="https://twitter.com/VWCamperSales" TargetMode="External"/><Relationship Id="rId14026" Type="http://schemas.openxmlformats.org/officeDocument/2006/relationships/hyperlink" Target="https://pbs.twimg.com/profile_images/669246336181628932/MFHJRGCF_normal.jpg" TargetMode="External"/><Relationship Id="rId17596" Type="http://schemas.openxmlformats.org/officeDocument/2006/relationships/hyperlink" Target="https://twitter.com/halt_design" TargetMode="External"/><Relationship Id="rId18647" Type="http://schemas.openxmlformats.org/officeDocument/2006/relationships/hyperlink" Target="https://pbs.twimg.com/profile_images/687000839517528064/Uss1jMXJ_normal.jpg" TargetMode="External"/><Relationship Id="rId20191" Type="http://schemas.openxmlformats.org/officeDocument/2006/relationships/hyperlink" Target="https://twitter.com/ALBADERTSCHER" TargetMode="External"/><Relationship Id="rId21242" Type="http://schemas.openxmlformats.org/officeDocument/2006/relationships/hyperlink" Target="https://twitter.com/golfetemarco" TargetMode="External"/><Relationship Id="rId3034" Type="http://schemas.openxmlformats.org/officeDocument/2006/relationships/hyperlink" Target="https://twitter.com/beetlebug1938/status/723133402787024896" TargetMode="External"/><Relationship Id="rId7655" Type="http://schemas.openxmlformats.org/officeDocument/2006/relationships/hyperlink" Target="https://pbs.twimg.com/profile_images/3027475653/ddc80308d1b40a236a9a09ffbf660804_normal.jpeg" TargetMode="External"/><Relationship Id="rId8706" Type="http://schemas.openxmlformats.org/officeDocument/2006/relationships/hyperlink" Target="https://twitter.com/deutch_az" TargetMode="External"/><Relationship Id="rId10636" Type="http://schemas.openxmlformats.org/officeDocument/2006/relationships/hyperlink" Target="https://pbs.twimg.com/profile_images/627949001179037696/skEBkS05_normal.jpg" TargetMode="External"/><Relationship Id="rId16198" Type="http://schemas.openxmlformats.org/officeDocument/2006/relationships/hyperlink" Target="https://twitter.com/SnowAngel0724" TargetMode="External"/><Relationship Id="rId17249" Type="http://schemas.openxmlformats.org/officeDocument/2006/relationships/hyperlink" Target="https://pbs.twimg.com/profile_images/671780220752498688/WEmZmiH9_normal.jpg" TargetMode="External"/><Relationship Id="rId24465" Type="http://schemas.openxmlformats.org/officeDocument/2006/relationships/hyperlink" Target="https://pbs.twimg.com/profile_images/703294545195307008/qeCvrX86_normal.jpg" TargetMode="External"/><Relationship Id="rId25516" Type="http://schemas.openxmlformats.org/officeDocument/2006/relationships/hyperlink" Target="https://twitter.com/OnlineCarReview" TargetMode="External"/><Relationship Id="rId6257" Type="http://schemas.openxmlformats.org/officeDocument/2006/relationships/hyperlink" Target="https://pbs.twimg.com/profile_images/378800000673633859/9729e4c280465095c6f835c9f6b36378_normal.jpeg" TargetMode="External"/><Relationship Id="rId7308" Type="http://schemas.openxmlformats.org/officeDocument/2006/relationships/hyperlink" Target="https://twitter.com/joelfeder" TargetMode="External"/><Relationship Id="rId23067" Type="http://schemas.openxmlformats.org/officeDocument/2006/relationships/hyperlink" Target="https://twitter.com/VWCamperSales/status/724267562767278080" TargetMode="External"/><Relationship Id="rId24118" Type="http://schemas.openxmlformats.org/officeDocument/2006/relationships/hyperlink" Target="https://twitter.com/TonyLemale/status/724333418796867585" TargetMode="External"/><Relationship Id="rId13859" Type="http://schemas.openxmlformats.org/officeDocument/2006/relationships/hyperlink" Target="https://twitter.com/SFrischmuth" TargetMode="External"/><Relationship Id="rId15281" Type="http://schemas.openxmlformats.org/officeDocument/2006/relationships/hyperlink" Target="https://twitter.com/UniversityVW/status/723602581428293632" TargetMode="External"/><Relationship Id="rId17730" Type="http://schemas.openxmlformats.org/officeDocument/2006/relationships/hyperlink" Target="https://twitter.com/daretobarebride" TargetMode="External"/><Relationship Id="rId839" Type="http://schemas.openxmlformats.org/officeDocument/2006/relationships/hyperlink" Target="https://pbs.twimg.com/profile_images/707578990874247169/jW0rMsDZ_normal.jpg" TargetMode="External"/><Relationship Id="rId1469" Type="http://schemas.openxmlformats.org/officeDocument/2006/relationships/hyperlink" Target="https://pbs.twimg.com/profile_images/673308216739008512/qCSbZnhu_normal.jpg" TargetMode="External"/><Relationship Id="rId2867" Type="http://schemas.openxmlformats.org/officeDocument/2006/relationships/hyperlink" Target="https://pbs.twimg.com/profile_images/627949001179037696/skEBkS05_normal.jpg" TargetMode="External"/><Relationship Id="rId3918" Type="http://schemas.openxmlformats.org/officeDocument/2006/relationships/hyperlink" Target="https://twitter.com/DartsArrow" TargetMode="External"/><Relationship Id="rId5340" Type="http://schemas.openxmlformats.org/officeDocument/2006/relationships/hyperlink" Target="https://twitter.com/44cuneyt44" TargetMode="External"/><Relationship Id="rId16332" Type="http://schemas.openxmlformats.org/officeDocument/2006/relationships/hyperlink" Target="https://pbs.twimg.com/profile_images/705780107844067328/e7O4UBNb_normal.jpg" TargetMode="External"/><Relationship Id="rId20728" Type="http://schemas.openxmlformats.org/officeDocument/2006/relationships/hyperlink" Target="https://pbs.twimg.com/profile_images/378800000118633857/52e1178875219efcd074fdd66e3957fc_normal.jpeg" TargetMode="External"/><Relationship Id="rId22150" Type="http://schemas.openxmlformats.org/officeDocument/2006/relationships/hyperlink" Target="https://pbs.twimg.com/profile_images/596344900234321920/ZmwqqHZz_normal.jpg" TargetMode="External"/><Relationship Id="rId9961" Type="http://schemas.openxmlformats.org/officeDocument/2006/relationships/hyperlink" Target="https://twitter.com/wolf_Sti/status/723455935616847872" TargetMode="External"/><Relationship Id="rId11891" Type="http://schemas.openxmlformats.org/officeDocument/2006/relationships/hyperlink" Target="https://pbs.twimg.com/profile_images/324761478/internet_headshot_normal.jpg" TargetMode="External"/><Relationship Id="rId12942" Type="http://schemas.openxmlformats.org/officeDocument/2006/relationships/hyperlink" Target="https://twitter.com/DLF" TargetMode="External"/><Relationship Id="rId19555" Type="http://schemas.openxmlformats.org/officeDocument/2006/relationships/hyperlink" Target="https://pbs.twimg.com/profile_images/3639476653/e621be3172dde8d88a0c612870493ba9_normal.jpeg" TargetMode="External"/><Relationship Id="rId23201" Type="http://schemas.openxmlformats.org/officeDocument/2006/relationships/hyperlink" Target="https://pbs.twimg.com/profile_images/656901526691164160/13lJ2NC6_normal.jpg" TargetMode="External"/><Relationship Id="rId1950" Type="http://schemas.openxmlformats.org/officeDocument/2006/relationships/hyperlink" Target="https://twitter.com/CorpCrimeBlot" TargetMode="External"/><Relationship Id="rId8563" Type="http://schemas.openxmlformats.org/officeDocument/2006/relationships/hyperlink" Target="https://pbs.twimg.com/profile_images/3359623860/c18ce51d5c09fb6c80a7cfc89e8df5bb_normal.jpeg" TargetMode="External"/><Relationship Id="rId9614" Type="http://schemas.openxmlformats.org/officeDocument/2006/relationships/hyperlink" Target="https://pbs.twimg.com/profile_images/530071272881803264/a_jcCmPZ_normal.png" TargetMode="External"/><Relationship Id="rId10493" Type="http://schemas.openxmlformats.org/officeDocument/2006/relationships/hyperlink" Target="https://twitter.com/PCIResearch" TargetMode="External"/><Relationship Id="rId11544" Type="http://schemas.openxmlformats.org/officeDocument/2006/relationships/hyperlink" Target="https://pbs.twimg.com/profile_images/603477029095366657/LuJjvT8-_normal.png" TargetMode="External"/><Relationship Id="rId18157" Type="http://schemas.openxmlformats.org/officeDocument/2006/relationships/hyperlink" Target="https://twitter.com/shochi_hh/status/723847648835293184" TargetMode="External"/><Relationship Id="rId19208" Type="http://schemas.openxmlformats.org/officeDocument/2006/relationships/hyperlink" Target="https://twitter.com/VWBeetleSales" TargetMode="External"/><Relationship Id="rId25373" Type="http://schemas.openxmlformats.org/officeDocument/2006/relationships/hyperlink" Target="https://pbs.twimg.com/profile_images/569800899141177344/nVFLMSdb_normal.png" TargetMode="External"/><Relationship Id="rId1603" Type="http://schemas.openxmlformats.org/officeDocument/2006/relationships/hyperlink" Target="https://pbs.twimg.com/profile_images/674233130828468224/KRUDL_tK_normal.jpg" TargetMode="External"/><Relationship Id="rId7165" Type="http://schemas.openxmlformats.org/officeDocument/2006/relationships/hyperlink" Target="http://ctrlq.org/maps/address/" TargetMode="External"/><Relationship Id="rId8216" Type="http://schemas.openxmlformats.org/officeDocument/2006/relationships/hyperlink" Target="https://pbs.twimg.com/profile_images/459018765699526656/ojrIbsvD_normal.png" TargetMode="External"/><Relationship Id="rId10146" Type="http://schemas.openxmlformats.org/officeDocument/2006/relationships/hyperlink" Target="https://pbs.twimg.com/profile_images/723457064022990848/1ciWrfEj_normal.jpg" TargetMode="External"/><Relationship Id="rId14767" Type="http://schemas.openxmlformats.org/officeDocument/2006/relationships/hyperlink" Target="https://twitter.com/aligerb" TargetMode="External"/><Relationship Id="rId21983" Type="http://schemas.openxmlformats.org/officeDocument/2006/relationships/hyperlink" Target="https://pbs.twimg.com/profile_images/709716092139270144/PlNxVsny_normal.jpg" TargetMode="External"/><Relationship Id="rId25026" Type="http://schemas.openxmlformats.org/officeDocument/2006/relationships/hyperlink" Target="https://pbs.twimg.com/profile_images/721367110065127424/QmjA60l4_normal.jpg" TargetMode="External"/><Relationship Id="rId3775" Type="http://schemas.openxmlformats.org/officeDocument/2006/relationships/hyperlink" Target="https://pbs.twimg.com/profile_images/603240721072726016/PyXJlsR9_normal.png" TargetMode="External"/><Relationship Id="rId4826" Type="http://schemas.openxmlformats.org/officeDocument/2006/relationships/hyperlink" Target="https://twitter.com/lozvaal/status/723188512162455552" TargetMode="External"/><Relationship Id="rId13369" Type="http://schemas.openxmlformats.org/officeDocument/2006/relationships/hyperlink" Target="https://pbs.twimg.com/profile_images/711615928530771969/STOTxXYA_normal.jpg" TargetMode="External"/><Relationship Id="rId15818" Type="http://schemas.openxmlformats.org/officeDocument/2006/relationships/hyperlink" Target="https://twitter.com/GaryNuttallFans" TargetMode="External"/><Relationship Id="rId17240" Type="http://schemas.openxmlformats.org/officeDocument/2006/relationships/hyperlink" Target="http://ctrlq.org/maps/address/" TargetMode="External"/><Relationship Id="rId20585" Type="http://schemas.openxmlformats.org/officeDocument/2006/relationships/hyperlink" Target="https://twitter.com/suhailrahmed/status/724012401318854656" TargetMode="External"/><Relationship Id="rId21636" Type="http://schemas.openxmlformats.org/officeDocument/2006/relationships/hyperlink" Target="https://twitter.com/androidec17serg" TargetMode="External"/><Relationship Id="rId696" Type="http://schemas.openxmlformats.org/officeDocument/2006/relationships/hyperlink" Target="https://twitter.com/VWKennesaw" TargetMode="External"/><Relationship Id="rId2377" Type="http://schemas.openxmlformats.org/officeDocument/2006/relationships/hyperlink" Target="https://pbs.twimg.com/profile_images/592295568753426432/zFxFymhV_normal.png" TargetMode="External"/><Relationship Id="rId3428" Type="http://schemas.openxmlformats.org/officeDocument/2006/relationships/hyperlink" Target="http://ctrlq.org/maps/address/" TargetMode="External"/><Relationship Id="rId20238" Type="http://schemas.openxmlformats.org/officeDocument/2006/relationships/hyperlink" Target="https://pbs.twimg.com/profile_images/590940002592415744/9CIdEDQi_normal.jpg" TargetMode="External"/><Relationship Id="rId349" Type="http://schemas.openxmlformats.org/officeDocument/2006/relationships/hyperlink" Target="https://pbs.twimg.com/profile_images/661248829682024449/IlOGOPEg_normal.jpg" TargetMode="External"/><Relationship Id="rId6998" Type="http://schemas.openxmlformats.org/officeDocument/2006/relationships/hyperlink" Target="https://twitter.com/littleredblog/status/723274257921355776" TargetMode="External"/><Relationship Id="rId9471" Type="http://schemas.openxmlformats.org/officeDocument/2006/relationships/hyperlink" Target="https://twitter.com/peredaNacho2/status/723436524465876992" TargetMode="External"/><Relationship Id="rId13850" Type="http://schemas.openxmlformats.org/officeDocument/2006/relationships/hyperlink" Target="https://pbs.twimg.com/profile_images/685114290660093952/jpPe-8BQ_normal.jpg" TargetMode="External"/><Relationship Id="rId14901" Type="http://schemas.openxmlformats.org/officeDocument/2006/relationships/hyperlink" Target="https://twitter.com/Iris_Rohmann" TargetMode="External"/><Relationship Id="rId19065" Type="http://schemas.openxmlformats.org/officeDocument/2006/relationships/hyperlink" Target="https://twitter.com/_Natchlko" TargetMode="External"/><Relationship Id="rId24859" Type="http://schemas.openxmlformats.org/officeDocument/2006/relationships/hyperlink" Target="https://pbs.twimg.com/profile_images/695836169418899456/Z9ohOFD9_normal.jpg" TargetMode="External"/><Relationship Id="rId8073" Type="http://schemas.openxmlformats.org/officeDocument/2006/relationships/hyperlink" Target="https://twitter.com/oldcar_photo/status/723363968476024833" TargetMode="External"/><Relationship Id="rId9124" Type="http://schemas.openxmlformats.org/officeDocument/2006/relationships/hyperlink" Target="https://twitter.com/NegroAutomobili" TargetMode="External"/><Relationship Id="rId12452" Type="http://schemas.openxmlformats.org/officeDocument/2006/relationships/hyperlink" Target="https://twitter.com/mokomokai/status/723519785900761089" TargetMode="External"/><Relationship Id="rId13503" Type="http://schemas.openxmlformats.org/officeDocument/2006/relationships/hyperlink" Target="https://twitter.com/economia_feed_0/status/723548944073166848" TargetMode="External"/><Relationship Id="rId830" Type="http://schemas.openxmlformats.org/officeDocument/2006/relationships/hyperlink" Target="https://pbs.twimg.com/profile_images/530071272881803264/a_jcCmPZ_normal.png" TargetMode="External"/><Relationship Id="rId1460" Type="http://schemas.openxmlformats.org/officeDocument/2006/relationships/hyperlink" Target="https://twitter.com/franz_rother" TargetMode="External"/><Relationship Id="rId2511" Type="http://schemas.openxmlformats.org/officeDocument/2006/relationships/hyperlink" Target="https://twitter.com/nickhughesfood/status/723103766795431936" TargetMode="External"/><Relationship Id="rId11054" Type="http://schemas.openxmlformats.org/officeDocument/2006/relationships/hyperlink" Target="https://twitter.com/LindsayLithgow/status/723495684251500544" TargetMode="External"/><Relationship Id="rId12105" Type="http://schemas.openxmlformats.org/officeDocument/2006/relationships/hyperlink" Target="https://twitter.com/likedeeler3/status/723513190383005697" TargetMode="External"/><Relationship Id="rId15675" Type="http://schemas.openxmlformats.org/officeDocument/2006/relationships/hyperlink" Target="https://twitter.com/VolkswagenPost" TargetMode="External"/><Relationship Id="rId16726" Type="http://schemas.openxmlformats.org/officeDocument/2006/relationships/hyperlink" Target="https://twitter.com/VWCamperSales" TargetMode="External"/><Relationship Id="rId22891" Type="http://schemas.openxmlformats.org/officeDocument/2006/relationships/hyperlink" Target="https://pbs.twimg.com/profile_images/718835727027580928/1ssyQ67y_normal.jpg" TargetMode="External"/><Relationship Id="rId23942" Type="http://schemas.openxmlformats.org/officeDocument/2006/relationships/hyperlink" Target="https://twitter.com/dubbusses" TargetMode="External"/><Relationship Id="rId1113" Type="http://schemas.openxmlformats.org/officeDocument/2006/relationships/hyperlink" Target="https://twitter.com/DMBRICH/status/723020423026241536" TargetMode="External"/><Relationship Id="rId4683" Type="http://schemas.openxmlformats.org/officeDocument/2006/relationships/hyperlink" Target="https://twitter.com/VolkswagenPost" TargetMode="External"/><Relationship Id="rId5734" Type="http://schemas.openxmlformats.org/officeDocument/2006/relationships/hyperlink" Target="https://pbs.twimg.com/profile_images/710095285314170880/4JEWUk8A_normal.jpg" TargetMode="External"/><Relationship Id="rId14277" Type="http://schemas.openxmlformats.org/officeDocument/2006/relationships/hyperlink" Target="https://pbs.twimg.com/profile_images/709141383588749312/LDsavna9_normal.jpg" TargetMode="External"/><Relationship Id="rId15328" Type="http://schemas.openxmlformats.org/officeDocument/2006/relationships/hyperlink" Target="https://pbs.twimg.com/profile_images/533303971101048832/6Ux9Cujk_normal.jpeg" TargetMode="External"/><Relationship Id="rId18898" Type="http://schemas.openxmlformats.org/officeDocument/2006/relationships/hyperlink" Target="https://pbs.twimg.com/profile_images/707179840491884544/LWEI-p6Z_normal.jpg" TargetMode="External"/><Relationship Id="rId21493" Type="http://schemas.openxmlformats.org/officeDocument/2006/relationships/hyperlink" Target="https://twitter.com/VWBeetleSales/status/724152663454044160" TargetMode="External"/><Relationship Id="rId22544" Type="http://schemas.openxmlformats.org/officeDocument/2006/relationships/hyperlink" Target="https://twitter.com/notyourcountry" TargetMode="External"/><Relationship Id="rId3285" Type="http://schemas.openxmlformats.org/officeDocument/2006/relationships/hyperlink" Target="https://twitter.com/lhmvolkswagenaz/status/723149383047335937" TargetMode="External"/><Relationship Id="rId4336" Type="http://schemas.openxmlformats.org/officeDocument/2006/relationships/hyperlink" Target="https://pbs.twimg.com/profile_images/471294691783098369/x9C02baa_normal.png" TargetMode="External"/><Relationship Id="rId8957" Type="http://schemas.openxmlformats.org/officeDocument/2006/relationships/hyperlink" Target="https://twitter.com/MartinTriker" TargetMode="External"/><Relationship Id="rId19949" Type="http://schemas.openxmlformats.org/officeDocument/2006/relationships/hyperlink" Target="https://twitter.com/acvwpassion/status/723964864683712512" TargetMode="External"/><Relationship Id="rId20095" Type="http://schemas.openxmlformats.org/officeDocument/2006/relationships/hyperlink" Target="https://pbs.twimg.com/profile_images/1734386362/IMG_1391_normal.JPG" TargetMode="External"/><Relationship Id="rId21146" Type="http://schemas.openxmlformats.org/officeDocument/2006/relationships/hyperlink" Target="https://twitter.com/Kielia88" TargetMode="External"/><Relationship Id="rId7559" Type="http://schemas.openxmlformats.org/officeDocument/2006/relationships/hyperlink" Target="https://pbs.twimg.com/profile_images/539576246586605568/Ygx-rz5Q_normal.jpeg" TargetMode="External"/><Relationship Id="rId10887" Type="http://schemas.openxmlformats.org/officeDocument/2006/relationships/hyperlink" Target="https://twitter.com/Jim_Holder" TargetMode="External"/><Relationship Id="rId11938" Type="http://schemas.openxmlformats.org/officeDocument/2006/relationships/hyperlink" Target="https://pbs.twimg.com/profile_images/378800000594512194/c49b2632fe8ba4894d086f45d81b7bce_normal.jpeg" TargetMode="External"/><Relationship Id="rId13360" Type="http://schemas.openxmlformats.org/officeDocument/2006/relationships/hyperlink" Target="https://pbs.twimg.com/profile_images/623879955429068800/JdyD0xQE_normal.jpg" TargetMode="External"/><Relationship Id="rId24369" Type="http://schemas.openxmlformats.org/officeDocument/2006/relationships/hyperlink" Target="https://twitter.com/jorgej98/status/724351659594395653" TargetMode="External"/><Relationship Id="rId13013" Type="http://schemas.openxmlformats.org/officeDocument/2006/relationships/hyperlink" Target="https://twitter.com/Marek_Miller" TargetMode="External"/><Relationship Id="rId14411" Type="http://schemas.openxmlformats.org/officeDocument/2006/relationships/hyperlink" Target="https://twitter.com/elfransanchez99" TargetMode="External"/><Relationship Id="rId17981" Type="http://schemas.openxmlformats.org/officeDocument/2006/relationships/hyperlink" Target="https://pbs.twimg.com/profile_images/378800000674642483/4bcb1ac988f8e83031fc49c885ea124f_normal.jpeg" TargetMode="External"/><Relationship Id="rId340" Type="http://schemas.openxmlformats.org/officeDocument/2006/relationships/hyperlink" Target="https://pbs.twimg.com/profile_images/677258005356916736/HRoY0ej8_normal.jpg" TargetMode="External"/><Relationship Id="rId2021" Type="http://schemas.openxmlformats.org/officeDocument/2006/relationships/hyperlink" Target="https://pbs.twimg.com/profile_images/547443913082953728/9xbSGKkT_normal.jpeg" TargetMode="External"/><Relationship Id="rId16583" Type="http://schemas.openxmlformats.org/officeDocument/2006/relationships/hyperlink" Target="https://twitter.com/SuperCub1981/status/723696934372827136" TargetMode="External"/><Relationship Id="rId17634" Type="http://schemas.openxmlformats.org/officeDocument/2006/relationships/hyperlink" Target="http://tradecar.ie/" TargetMode="External"/><Relationship Id="rId20979" Type="http://schemas.openxmlformats.org/officeDocument/2006/relationships/hyperlink" Target="https://pbs.twimg.com/profile_images/530071272881803264/a_jcCmPZ_normal.png" TargetMode="External"/><Relationship Id="rId24850" Type="http://schemas.openxmlformats.org/officeDocument/2006/relationships/hyperlink" Target="https://pbs.twimg.com/profile_images/539560928036270080/aaG5qeSa_normal.jpeg" TargetMode="External"/><Relationship Id="rId4193" Type="http://schemas.openxmlformats.org/officeDocument/2006/relationships/hyperlink" Target="https://pbs.twimg.com/profile_images/651395083871256576/COkZuWn6_normal.jpg" TargetMode="External"/><Relationship Id="rId5591" Type="http://schemas.openxmlformats.org/officeDocument/2006/relationships/hyperlink" Target="https://twitter.com/VWBeetleSales" TargetMode="External"/><Relationship Id="rId6642" Type="http://schemas.openxmlformats.org/officeDocument/2006/relationships/hyperlink" Target="https://twitter.com/Juanmaadiez/status/723249598681235456" TargetMode="External"/><Relationship Id="rId15185" Type="http://schemas.openxmlformats.org/officeDocument/2006/relationships/hyperlink" Target="https://twitter.com/VWCamperSales" TargetMode="External"/><Relationship Id="rId16236" Type="http://schemas.openxmlformats.org/officeDocument/2006/relationships/hyperlink" Target="https://twitter.com/jess_gq/status/723660029715324928" TargetMode="External"/><Relationship Id="rId23452" Type="http://schemas.openxmlformats.org/officeDocument/2006/relationships/hyperlink" Target="https://pbs.twimg.com/profile_images/704424786777280513/YQVkJF57_normal.jpg" TargetMode="External"/><Relationship Id="rId24503" Type="http://schemas.openxmlformats.org/officeDocument/2006/relationships/hyperlink" Target="https://pbs.twimg.com/profile_images/710155496238350336/xMgum-ps_normal.jpg" TargetMode="External"/><Relationship Id="rId5244" Type="http://schemas.openxmlformats.org/officeDocument/2006/relationships/hyperlink" Target="https://twitter.com/eaymanomar" TargetMode="External"/><Relationship Id="rId9865" Type="http://schemas.openxmlformats.org/officeDocument/2006/relationships/hyperlink" Target="https://twitter.com/beetlebug1938/status/723452365748211712" TargetMode="External"/><Relationship Id="rId11795" Type="http://schemas.openxmlformats.org/officeDocument/2006/relationships/hyperlink" Target="https://pbs.twimg.com/profile_images/703294545195307008/qeCvrX86_normal.jpg" TargetMode="External"/><Relationship Id="rId12846" Type="http://schemas.openxmlformats.org/officeDocument/2006/relationships/hyperlink" Target="https://twitter.com/ChrisJBCarroll/status/723529292928442368" TargetMode="External"/><Relationship Id="rId19459" Type="http://schemas.openxmlformats.org/officeDocument/2006/relationships/hyperlink" Target="https://twitter.com/ronymc_/status/723934595217907712" TargetMode="External"/><Relationship Id="rId22054" Type="http://schemas.openxmlformats.org/officeDocument/2006/relationships/hyperlink" Target="https://twitter.com/Insta_VWT" TargetMode="External"/><Relationship Id="rId23105" Type="http://schemas.openxmlformats.org/officeDocument/2006/relationships/hyperlink" Target="https://twitter.com/beetlebug1938" TargetMode="External"/><Relationship Id="rId79" Type="http://schemas.openxmlformats.org/officeDocument/2006/relationships/hyperlink" Target="https://twitter.com/SergioM47589336" TargetMode="External"/><Relationship Id="rId1854" Type="http://schemas.openxmlformats.org/officeDocument/2006/relationships/hyperlink" Target="https://twitter.com/10tradeDeutsche" TargetMode="External"/><Relationship Id="rId2905" Type="http://schemas.openxmlformats.org/officeDocument/2006/relationships/hyperlink" Target="https://twitter.com/deutch_az/status/723124039305187328" TargetMode="External"/><Relationship Id="rId8467" Type="http://schemas.openxmlformats.org/officeDocument/2006/relationships/hyperlink" Target="https://pbs.twimg.com/profile_images/647856990404919296/EXKP0FKA_normal.jpg" TargetMode="External"/><Relationship Id="rId9518" Type="http://schemas.openxmlformats.org/officeDocument/2006/relationships/hyperlink" Target="https://twitter.com/beetlebug1938/status/723437570923720704" TargetMode="External"/><Relationship Id="rId10397" Type="http://schemas.openxmlformats.org/officeDocument/2006/relationships/hyperlink" Target="https://pbs.twimg.com/profile_images/657812627737849856/CDKhyPQA_normal.jpg" TargetMode="External"/><Relationship Id="rId11448" Type="http://schemas.openxmlformats.org/officeDocument/2006/relationships/hyperlink" Target="https://pbs.twimg.com/profile_images/689488184812535809/4owRuclt_normal.png" TargetMode="External"/><Relationship Id="rId25277" Type="http://schemas.openxmlformats.org/officeDocument/2006/relationships/hyperlink" Target="https://twitter.com/GiererIleana/status/724429405708271616" TargetMode="External"/><Relationship Id="rId1507" Type="http://schemas.openxmlformats.org/officeDocument/2006/relationships/hyperlink" Target="https://twitter.com/imfree81/status/723044051793129472" TargetMode="External"/><Relationship Id="rId7069" Type="http://schemas.openxmlformats.org/officeDocument/2006/relationships/hyperlink" Target="https://pbs.twimg.com/profile_images/696399255079153664/444bI7j2_normal.jpg" TargetMode="External"/><Relationship Id="rId17491" Type="http://schemas.openxmlformats.org/officeDocument/2006/relationships/hyperlink" Target="https://twitter.com/hellosunshine73" TargetMode="External"/><Relationship Id="rId19940" Type="http://schemas.openxmlformats.org/officeDocument/2006/relationships/hyperlink" Target="https://twitter.com/VWsightings/status/723964434637578240" TargetMode="External"/><Relationship Id="rId3679" Type="http://schemas.openxmlformats.org/officeDocument/2006/relationships/hyperlink" Target="https://twitter.com/dpa/status/723167267987533824" TargetMode="External"/><Relationship Id="rId7550" Type="http://schemas.openxmlformats.org/officeDocument/2006/relationships/hyperlink" Target="https://pbs.twimg.com/profile_images/716053257962041344/auGRVQke_normal.jpg" TargetMode="External"/><Relationship Id="rId16093" Type="http://schemas.openxmlformats.org/officeDocument/2006/relationships/hyperlink" Target="https://twitter.com/OnlyFerrariPics/status/723648239392698369" TargetMode="External"/><Relationship Id="rId17144" Type="http://schemas.openxmlformats.org/officeDocument/2006/relationships/hyperlink" Target="https://twitter.com/PamelaCCcorona/status/723773196319752192" TargetMode="External"/><Relationship Id="rId18542" Type="http://schemas.openxmlformats.org/officeDocument/2006/relationships/hyperlink" Target="https://twitter.com/WhichUK/status/723876448499580929" TargetMode="External"/><Relationship Id="rId20489" Type="http://schemas.openxmlformats.org/officeDocument/2006/relationships/hyperlink" Target="https://twitter.com/bumpers_4bernie/status/724002952050921472" TargetMode="External"/><Relationship Id="rId21887" Type="http://schemas.openxmlformats.org/officeDocument/2006/relationships/hyperlink" Target="https://twitter.com/TetsuoHojo/status/724187115030867968" TargetMode="External"/><Relationship Id="rId22938" Type="http://schemas.openxmlformats.org/officeDocument/2006/relationships/hyperlink" Target="https://twitter.com/TattooHeroine/status/724258862547800064" TargetMode="External"/><Relationship Id="rId24360" Type="http://schemas.openxmlformats.org/officeDocument/2006/relationships/hyperlink" Target="https://twitter.com/herbie53rides/status/724350847904309248" TargetMode="External"/><Relationship Id="rId6152" Type="http://schemas.openxmlformats.org/officeDocument/2006/relationships/hyperlink" Target="https://twitter.com/Logistique01" TargetMode="External"/><Relationship Id="rId7203" Type="http://schemas.openxmlformats.org/officeDocument/2006/relationships/hyperlink" Target="https://pbs.twimg.com/profile_images/378800000572104796/1de43e1cf23efb3f4101c02afad0d3b6_normal.png" TargetMode="External"/><Relationship Id="rId8601" Type="http://schemas.openxmlformats.org/officeDocument/2006/relationships/hyperlink" Target="https://twitter.com/mediendaten/status/723397321271070720" TargetMode="External"/><Relationship Id="rId10531" Type="http://schemas.openxmlformats.org/officeDocument/2006/relationships/hyperlink" Target="https://pbs.twimg.com/profile_images/2908590566/828967841f09b515ee36e3dfccea4d28_normal.png" TargetMode="External"/><Relationship Id="rId24013" Type="http://schemas.openxmlformats.org/officeDocument/2006/relationships/hyperlink" Target="https://twitter.com/LimandoElPisoPM" TargetMode="External"/><Relationship Id="rId25411" Type="http://schemas.openxmlformats.org/officeDocument/2006/relationships/hyperlink" Target="https://twitter.com/vickymotorserv1" TargetMode="External"/><Relationship Id="rId13754" Type="http://schemas.openxmlformats.org/officeDocument/2006/relationships/hyperlink" Target="https://twitter.com/har155/status/723554535592067072" TargetMode="External"/><Relationship Id="rId14805" Type="http://schemas.openxmlformats.org/officeDocument/2006/relationships/hyperlink" Target="https://pbs.twimg.com/profile_images/649095362045706240/qqU0BpOO_normal.jpg" TargetMode="External"/><Relationship Id="rId20970" Type="http://schemas.openxmlformats.org/officeDocument/2006/relationships/hyperlink" Target="https://twitter.com/VWBeetleSales" TargetMode="External"/><Relationship Id="rId2762" Type="http://schemas.openxmlformats.org/officeDocument/2006/relationships/hyperlink" Target="https://twitter.com/VWBeetleSales/status/723117716110905346" TargetMode="External"/><Relationship Id="rId3813" Type="http://schemas.openxmlformats.org/officeDocument/2006/relationships/hyperlink" Target="https://twitter.com/VolkerVotsmeier/status/723170061393883136" TargetMode="External"/><Relationship Id="rId9028" Type="http://schemas.openxmlformats.org/officeDocument/2006/relationships/hyperlink" Target="http://dlvr.it/" TargetMode="External"/><Relationship Id="rId9375" Type="http://schemas.openxmlformats.org/officeDocument/2006/relationships/hyperlink" Target="https://pbs.twimg.com/profile_images/720482237049913344/WxmlpZ_-_normal.jpg" TargetMode="External"/><Relationship Id="rId12356" Type="http://schemas.openxmlformats.org/officeDocument/2006/relationships/hyperlink" Target="https://twitter.com/MarkCSchneider" TargetMode="External"/><Relationship Id="rId13407" Type="http://schemas.openxmlformats.org/officeDocument/2006/relationships/hyperlink" Target="https://twitter.com/supervwfestival" TargetMode="External"/><Relationship Id="rId16977" Type="http://schemas.openxmlformats.org/officeDocument/2006/relationships/hyperlink" Target="https://pbs.twimg.com/profile_images/3497903431/ae95594a00a0817e860e73da8fef6dca_normal.png" TargetMode="External"/><Relationship Id="rId20623" Type="http://schemas.openxmlformats.org/officeDocument/2006/relationships/hyperlink" Target="https://twitter.com/Insta_VWT" TargetMode="External"/><Relationship Id="rId734" Type="http://schemas.openxmlformats.org/officeDocument/2006/relationships/hyperlink" Target="https://twitter.com/Insight4News4" TargetMode="External"/><Relationship Id="rId1364" Type="http://schemas.openxmlformats.org/officeDocument/2006/relationships/hyperlink" Target="https://twitter.com/VolkswagenPost" TargetMode="External"/><Relationship Id="rId2415" Type="http://schemas.openxmlformats.org/officeDocument/2006/relationships/hyperlink" Target="https://twitter.com/FiginiiAxel" TargetMode="External"/><Relationship Id="rId5985" Type="http://schemas.openxmlformats.org/officeDocument/2006/relationships/hyperlink" Target="https://twitter.com/SAW_AX" TargetMode="External"/><Relationship Id="rId12009" Type="http://schemas.openxmlformats.org/officeDocument/2006/relationships/hyperlink" Target="https://pbs.twimg.com/profile_images/672464523354353664/Uv8Ev2EK_normal.jpg" TargetMode="External"/><Relationship Id="rId15579" Type="http://schemas.openxmlformats.org/officeDocument/2006/relationships/hyperlink" Target="https://pbs.twimg.com/profile_images/378800000747750946/394d9f0f5e6dde5137683d9c98c5c8a9_normal.jpeg" TargetMode="External"/><Relationship Id="rId19450" Type="http://schemas.openxmlformats.org/officeDocument/2006/relationships/hyperlink" Target="https://twitter.com/ev_charging_/status/723933633996673024" TargetMode="External"/><Relationship Id="rId22795" Type="http://schemas.openxmlformats.org/officeDocument/2006/relationships/hyperlink" Target="https://pbs.twimg.com/profile_images/702511217793863680/lty8h9vE_normal.jpg" TargetMode="External"/><Relationship Id="rId23846" Type="http://schemas.openxmlformats.org/officeDocument/2006/relationships/hyperlink" Target="http://dlvr.it/" TargetMode="External"/><Relationship Id="rId70" Type="http://schemas.openxmlformats.org/officeDocument/2006/relationships/hyperlink" Target="https://twitter.com/DnBcorporation" TargetMode="External"/><Relationship Id="rId1017" Type="http://schemas.openxmlformats.org/officeDocument/2006/relationships/hyperlink" Target="https://twitter.com/MarkCSchneider" TargetMode="External"/><Relationship Id="rId4587" Type="http://schemas.openxmlformats.org/officeDocument/2006/relationships/hyperlink" Target="https://twitter.com/VWBeetleSales" TargetMode="External"/><Relationship Id="rId5638" Type="http://schemas.openxmlformats.org/officeDocument/2006/relationships/hyperlink" Target="https://pbs.twimg.com/profile_images/673915351474774016/w2iNQh0s_normal.jpg" TargetMode="External"/><Relationship Id="rId18052" Type="http://schemas.openxmlformats.org/officeDocument/2006/relationships/hyperlink" Target="https://pbs.twimg.com/profile_images/668437116981018625/BA3Ui4qQ_normal.jpg" TargetMode="External"/><Relationship Id="rId19103" Type="http://schemas.openxmlformats.org/officeDocument/2006/relationships/hyperlink" Target="https://pbs.twimg.com/profile_images/702271663644286976/bOsxJtiK_normal.png" TargetMode="External"/><Relationship Id="rId21397" Type="http://schemas.openxmlformats.org/officeDocument/2006/relationships/hyperlink" Target="https://pbs.twimg.com/profile_images/681860446043926528/J7hTNp65_normal.jpg" TargetMode="External"/><Relationship Id="rId22448" Type="http://schemas.openxmlformats.org/officeDocument/2006/relationships/hyperlink" Target="https://twitter.com/dubbusses" TargetMode="External"/><Relationship Id="rId3189" Type="http://schemas.openxmlformats.org/officeDocument/2006/relationships/hyperlink" Target="https://twitter.com/Elitet5" TargetMode="External"/><Relationship Id="rId7060" Type="http://schemas.openxmlformats.org/officeDocument/2006/relationships/hyperlink" Target="https://pbs.twimg.com/profile_images/1625824638/1dfsf2_normal.jpg" TargetMode="External"/><Relationship Id="rId8111" Type="http://schemas.openxmlformats.org/officeDocument/2006/relationships/hyperlink" Target="https://twitter.com/TractatusArtium" TargetMode="External"/><Relationship Id="rId10041" Type="http://schemas.openxmlformats.org/officeDocument/2006/relationships/hyperlink" Target="https://pbs.twimg.com/profile_images/696813255466029056/c1kb5BWS_normal.jpg" TargetMode="External"/><Relationship Id="rId14662" Type="http://schemas.openxmlformats.org/officeDocument/2006/relationships/hyperlink" Target="https://twitter.com/a911girlie/status/723579195847237632" TargetMode="External"/><Relationship Id="rId15713" Type="http://schemas.openxmlformats.org/officeDocument/2006/relationships/hyperlink" Target="https://pbs.twimg.com/profile_images/692444593602871297/IkWgfIlE_normal.jpg" TargetMode="External"/><Relationship Id="rId591" Type="http://schemas.openxmlformats.org/officeDocument/2006/relationships/hyperlink" Target="https://twitter.com/techhippie" TargetMode="External"/><Relationship Id="rId2272" Type="http://schemas.openxmlformats.org/officeDocument/2006/relationships/hyperlink" Target="https://pbs.twimg.com/profile_images/610791642908364802/6HpxS-0Y_normal.jpg" TargetMode="External"/><Relationship Id="rId3670" Type="http://schemas.openxmlformats.org/officeDocument/2006/relationships/hyperlink" Target="https://twitter.com/hb_investigativ/status/723167129185472513" TargetMode="External"/><Relationship Id="rId4721" Type="http://schemas.openxmlformats.org/officeDocument/2006/relationships/hyperlink" Target="https://pbs.twimg.com/profile_images/702511217793863680/lty8h9vE_normal.jpg" TargetMode="External"/><Relationship Id="rId13264" Type="http://schemas.openxmlformats.org/officeDocument/2006/relationships/hyperlink" Target="https://twitter.com/RodriContrera01" TargetMode="External"/><Relationship Id="rId14315" Type="http://schemas.openxmlformats.org/officeDocument/2006/relationships/hyperlink" Target="https://twitter.com/DurhamRed77" TargetMode="External"/><Relationship Id="rId17885" Type="http://schemas.openxmlformats.org/officeDocument/2006/relationships/hyperlink" Target="https://twitter.com/swanswaygroup/status/723830531964719104" TargetMode="External"/><Relationship Id="rId18936" Type="http://schemas.openxmlformats.org/officeDocument/2006/relationships/hyperlink" Target="https://twitter.com/MorSvinka_83/status/723907329343774720" TargetMode="External"/><Relationship Id="rId20480" Type="http://schemas.openxmlformats.org/officeDocument/2006/relationships/hyperlink" Target="https://pbs.twimg.com/profile_images/672878354127839232/M7OYc-zx_normal.jpg" TargetMode="External"/><Relationship Id="rId21531" Type="http://schemas.openxmlformats.org/officeDocument/2006/relationships/hyperlink" Target="https://pbs.twimg.com/profile_images/712714144231919617/tMSqEETl_normal.jpg" TargetMode="External"/><Relationship Id="rId244" Type="http://schemas.openxmlformats.org/officeDocument/2006/relationships/hyperlink" Target="https://twitter.com/geek_porn_" TargetMode="External"/><Relationship Id="rId3323" Type="http://schemas.openxmlformats.org/officeDocument/2006/relationships/hyperlink" Target="https://twitter.com/economia_feed_1/status/723151831233400832" TargetMode="External"/><Relationship Id="rId6893" Type="http://schemas.openxmlformats.org/officeDocument/2006/relationships/hyperlink" Target="https://pbs.twimg.com/profile_images/705780107844067328/e7O4UBNb_normal.jpg" TargetMode="External"/><Relationship Id="rId7944" Type="http://schemas.openxmlformats.org/officeDocument/2006/relationships/hyperlink" Target="https://twitter.com/ArcticPreserve/status/723343450733727745" TargetMode="External"/><Relationship Id="rId10925" Type="http://schemas.openxmlformats.org/officeDocument/2006/relationships/hyperlink" Target="https://pbs.twimg.com/profile_images/630433913790402560/wb-NkAWj_normal.jpg" TargetMode="External"/><Relationship Id="rId16487" Type="http://schemas.openxmlformats.org/officeDocument/2006/relationships/hyperlink" Target="https://pbs.twimg.com/profile_images/719350304182050816/VSz4khiW_normal.jpg" TargetMode="External"/><Relationship Id="rId17538" Type="http://schemas.openxmlformats.org/officeDocument/2006/relationships/hyperlink" Target="http://hubber.me/" TargetMode="External"/><Relationship Id="rId20133" Type="http://schemas.openxmlformats.org/officeDocument/2006/relationships/hyperlink" Target="https://twitter.com/TheLovebusWedCo" TargetMode="External"/><Relationship Id="rId24754" Type="http://schemas.openxmlformats.org/officeDocument/2006/relationships/hyperlink" Target="https://twitter.com/serglolevin" TargetMode="External"/><Relationship Id="rId5495" Type="http://schemas.openxmlformats.org/officeDocument/2006/relationships/hyperlink" Target="https://twitter.com/tonygilham34/status/723205075338989569" TargetMode="External"/><Relationship Id="rId6546" Type="http://schemas.openxmlformats.org/officeDocument/2006/relationships/hyperlink" Target="https://twitter.com/VolkswagenPost" TargetMode="External"/><Relationship Id="rId15089" Type="http://schemas.openxmlformats.org/officeDocument/2006/relationships/hyperlink" Target="https://twitter.com/Gosthtot" TargetMode="External"/><Relationship Id="rId23356" Type="http://schemas.openxmlformats.org/officeDocument/2006/relationships/hyperlink" Target="https://pbs.twimg.com/profile_images/80593537/skd_id_normal.jpg" TargetMode="External"/><Relationship Id="rId24407" Type="http://schemas.openxmlformats.org/officeDocument/2006/relationships/hyperlink" Target="https://twitter.com/N1Visual/status/724354583942803456" TargetMode="External"/><Relationship Id="rId4097" Type="http://schemas.openxmlformats.org/officeDocument/2006/relationships/hyperlink" Target="https://twitter.com/Duped/status/723176266187329536" TargetMode="External"/><Relationship Id="rId5148" Type="http://schemas.openxmlformats.org/officeDocument/2006/relationships/hyperlink" Target="https://twitter.com/JackieLeonard01" TargetMode="External"/><Relationship Id="rId9769" Type="http://schemas.openxmlformats.org/officeDocument/2006/relationships/hyperlink" Target="https://pbs.twimg.com/profile_images/628233882014457856/o87vMXlL_normal.jpg" TargetMode="External"/><Relationship Id="rId11699" Type="http://schemas.openxmlformats.org/officeDocument/2006/relationships/hyperlink" Target="https://twitter.com/GbemiEreku/status/723505621962764289" TargetMode="External"/><Relationship Id="rId12000" Type="http://schemas.openxmlformats.org/officeDocument/2006/relationships/hyperlink" Target="https://pbs.twimg.com/profile_images/708865673510805504/tGbglBw2_normal.jpg" TargetMode="External"/><Relationship Id="rId15570" Type="http://schemas.openxmlformats.org/officeDocument/2006/relationships/hyperlink" Target="https://pbs.twimg.com/profile_images/626150732908109824/YxBlJd63_normal.jpg" TargetMode="External"/><Relationship Id="rId23009" Type="http://schemas.openxmlformats.org/officeDocument/2006/relationships/hyperlink" Target="https://twitter.com/BEVENUTO" TargetMode="External"/><Relationship Id="rId1758" Type="http://schemas.openxmlformats.org/officeDocument/2006/relationships/hyperlink" Target="https://twitter.com/faudtnieuws" TargetMode="External"/><Relationship Id="rId2809" Type="http://schemas.openxmlformats.org/officeDocument/2006/relationships/hyperlink" Target="https://twitter.com/paulrobertsrcz/status/723120183829733376" TargetMode="External"/><Relationship Id="rId14172" Type="http://schemas.openxmlformats.org/officeDocument/2006/relationships/hyperlink" Target="https://twitter.com/MotojunkyInfo" TargetMode="External"/><Relationship Id="rId15223" Type="http://schemas.openxmlformats.org/officeDocument/2006/relationships/hyperlink" Target="https://twitter.com/GraLacey/status/723599205663686657" TargetMode="External"/><Relationship Id="rId16621" Type="http://schemas.openxmlformats.org/officeDocument/2006/relationships/hyperlink" Target="https://twitter.com/Carscoop" TargetMode="External"/><Relationship Id="rId3180" Type="http://schemas.openxmlformats.org/officeDocument/2006/relationships/hyperlink" Target="https://twitter.com/FAZ_Wirtschaft/status/723144660047134724" TargetMode="External"/><Relationship Id="rId4231" Type="http://schemas.openxmlformats.org/officeDocument/2006/relationships/hyperlink" Target="https://pbs.twimg.com/profile_images/672878354127839232/M7OYc-zx_normal.jpg" TargetMode="External"/><Relationship Id="rId18793" Type="http://schemas.openxmlformats.org/officeDocument/2006/relationships/hyperlink" Target="https://abs.twimg.com/sticky/default_profile_images/default_profile_5_normal.png" TargetMode="External"/><Relationship Id="rId19844" Type="http://schemas.openxmlformats.org/officeDocument/2006/relationships/hyperlink" Target="https://pbs.twimg.com/profile_images/462080171680358400/6kbeHuCz_normal.jpeg" TargetMode="External"/><Relationship Id="rId21041" Type="http://schemas.openxmlformats.org/officeDocument/2006/relationships/hyperlink" Target="https://twitter.com/beetlebug1938/status/724087729953361920" TargetMode="External"/><Relationship Id="rId8852" Type="http://schemas.openxmlformats.org/officeDocument/2006/relationships/hyperlink" Target="https://twitter.com/AndreasAndy3131" TargetMode="External"/><Relationship Id="rId9903" Type="http://schemas.openxmlformats.org/officeDocument/2006/relationships/hyperlink" Target="https://twitter.com/JanKassies" TargetMode="External"/><Relationship Id="rId10782" Type="http://schemas.openxmlformats.org/officeDocument/2006/relationships/hyperlink" Target="https://twitter.com/MercedesOffApp/status/723484676430536704" TargetMode="External"/><Relationship Id="rId11833" Type="http://schemas.openxmlformats.org/officeDocument/2006/relationships/hyperlink" Target="https://twitter.com/repub9989" TargetMode="External"/><Relationship Id="rId17395" Type="http://schemas.openxmlformats.org/officeDocument/2006/relationships/hyperlink" Target="https://twitter.com/RippedFlower" TargetMode="External"/><Relationship Id="rId18446" Type="http://schemas.openxmlformats.org/officeDocument/2006/relationships/hyperlink" Target="https://twitter.com/TraderCrowd" TargetMode="External"/><Relationship Id="rId25662" Type="http://schemas.openxmlformats.org/officeDocument/2006/relationships/hyperlink" Target="https://twitter.com/80230e4f9e424a1" TargetMode="External"/><Relationship Id="rId6056" Type="http://schemas.openxmlformats.org/officeDocument/2006/relationships/hyperlink" Target="https://pbs.twimg.com/profile_images/1754867757/SuSe_normal.jpg" TargetMode="External"/><Relationship Id="rId7454" Type="http://schemas.openxmlformats.org/officeDocument/2006/relationships/hyperlink" Target="https://twitter.com/giselaBoezio" TargetMode="External"/><Relationship Id="rId8505" Type="http://schemas.openxmlformats.org/officeDocument/2006/relationships/hyperlink" Target="https://twitter.com/RSTOKAR" TargetMode="External"/><Relationship Id="rId10435" Type="http://schemas.openxmlformats.org/officeDocument/2006/relationships/hyperlink" Target="https://twitter.com/VWBeetleSales/status/723472693522124800" TargetMode="External"/><Relationship Id="rId17048" Type="http://schemas.openxmlformats.org/officeDocument/2006/relationships/hyperlink" Target="https://pbs.twimg.com/profile_images/638973360169463808/YEbGEWne_normal.jpg" TargetMode="External"/><Relationship Id="rId24264" Type="http://schemas.openxmlformats.org/officeDocument/2006/relationships/hyperlink" Target="http://dlvr.it/" TargetMode="External"/><Relationship Id="rId25315" Type="http://schemas.openxmlformats.org/officeDocument/2006/relationships/hyperlink" Target="https://pbs.twimg.com/profile_images/592727746888998913/J4Qy4a3J_normal.png" TargetMode="External"/><Relationship Id="rId7107" Type="http://schemas.openxmlformats.org/officeDocument/2006/relationships/hyperlink" Target="https://twitter.com/rgoverstreet" TargetMode="External"/><Relationship Id="rId13658" Type="http://schemas.openxmlformats.org/officeDocument/2006/relationships/hyperlink" Target="https://twitter.com/ENMosaik/status/723552402868174849" TargetMode="External"/><Relationship Id="rId14709" Type="http://schemas.openxmlformats.org/officeDocument/2006/relationships/hyperlink" Target="https://twitter.com/VWBeetleSales/status/723580413206089728" TargetMode="External"/><Relationship Id="rId20874" Type="http://schemas.openxmlformats.org/officeDocument/2006/relationships/hyperlink" Target="https://pbs.twimg.com/profile_images/641421640748933120/XNuL6wLX_normal.jpg" TargetMode="External"/><Relationship Id="rId21925" Type="http://schemas.openxmlformats.org/officeDocument/2006/relationships/hyperlink" Target="https://twitter.com/dream7790080822" TargetMode="External"/><Relationship Id="rId985" Type="http://schemas.openxmlformats.org/officeDocument/2006/relationships/hyperlink" Target="https://twitter.com/beetlebug1938/status/723010687316926464" TargetMode="External"/><Relationship Id="rId2666" Type="http://schemas.openxmlformats.org/officeDocument/2006/relationships/hyperlink" Target="https://twitter.com/VeeDubMk1_" TargetMode="External"/><Relationship Id="rId3717" Type="http://schemas.openxmlformats.org/officeDocument/2006/relationships/hyperlink" Target="https://twitter.com/dfmboy/status/723168302902726656" TargetMode="External"/><Relationship Id="rId9279" Type="http://schemas.openxmlformats.org/officeDocument/2006/relationships/hyperlink" Target="https://twitter.com/vwpress_en" TargetMode="External"/><Relationship Id="rId15080" Type="http://schemas.openxmlformats.org/officeDocument/2006/relationships/hyperlink" Target="https://twitter.com/RandigRoy" TargetMode="External"/><Relationship Id="rId16131" Type="http://schemas.openxmlformats.org/officeDocument/2006/relationships/hyperlink" Target="https://twitter.com/VWHeritage" TargetMode="External"/><Relationship Id="rId20527" Type="http://schemas.openxmlformats.org/officeDocument/2006/relationships/hyperlink" Target="https://pbs.twimg.com/profile_images/378800000566385339/947a76f3e7b24fd5c799e63f1682d25a_normal.jpeg" TargetMode="External"/><Relationship Id="rId638" Type="http://schemas.openxmlformats.org/officeDocument/2006/relationships/hyperlink" Target="https://pbs.twimg.com/profile_images/539577814849437696/QHRg5xVu_normal.jpeg" TargetMode="External"/><Relationship Id="rId1268" Type="http://schemas.openxmlformats.org/officeDocument/2006/relationships/hyperlink" Target="https://twitter.com/donaukurier" TargetMode="External"/><Relationship Id="rId2319" Type="http://schemas.openxmlformats.org/officeDocument/2006/relationships/hyperlink" Target="https://twitter.com/ZzoranNnikolic" TargetMode="External"/><Relationship Id="rId5889" Type="http://schemas.openxmlformats.org/officeDocument/2006/relationships/hyperlink" Target="http://earth.usa.ohio.ne/" TargetMode="External"/><Relationship Id="rId9760" Type="http://schemas.openxmlformats.org/officeDocument/2006/relationships/hyperlink" Target="https://pbs.twimg.com/profile_images/458846044034330625/Rvafc_vA_normal.png" TargetMode="External"/><Relationship Id="rId19354" Type="http://schemas.openxmlformats.org/officeDocument/2006/relationships/hyperlink" Target="https://pbs.twimg.com/profile_images/703294545195307008/qeCvrX86_normal.jpg" TargetMode="External"/><Relationship Id="rId22699" Type="http://schemas.openxmlformats.org/officeDocument/2006/relationships/hyperlink" Target="https://pbs.twimg.com/profile_images/710258286151335937/kINPaBuM_normal.jpg" TargetMode="External"/><Relationship Id="rId23000" Type="http://schemas.openxmlformats.org/officeDocument/2006/relationships/hyperlink" Target="https://twitter.com/TracingKaro" TargetMode="External"/><Relationship Id="rId8362" Type="http://schemas.openxmlformats.org/officeDocument/2006/relationships/hyperlink" Target="https://twitter.com/Boersenhaendler" TargetMode="External"/><Relationship Id="rId9413" Type="http://schemas.openxmlformats.org/officeDocument/2006/relationships/hyperlink" Target="https://twitter.com/weare_van/status/723434196820103168" TargetMode="External"/><Relationship Id="rId11690" Type="http://schemas.openxmlformats.org/officeDocument/2006/relationships/hyperlink" Target="https://twitter.com/DarmaAru/status/723505504341790720" TargetMode="External"/><Relationship Id="rId12741" Type="http://schemas.openxmlformats.org/officeDocument/2006/relationships/hyperlink" Target="https://twitter.com/stephankuehn" TargetMode="External"/><Relationship Id="rId19007" Type="http://schemas.openxmlformats.org/officeDocument/2006/relationships/hyperlink" Target="https://pbs.twimg.com/profile_images/610401931501137920/c0qYTPr__normal.jpg" TargetMode="External"/><Relationship Id="rId25172" Type="http://schemas.openxmlformats.org/officeDocument/2006/relationships/hyperlink" Target="https://twitter.com/DeeZeeX/status/724425006197788672" TargetMode="External"/><Relationship Id="rId2800" Type="http://schemas.openxmlformats.org/officeDocument/2006/relationships/hyperlink" Target="https://twitter.com/pphunky/status/723119408579792896" TargetMode="External"/><Relationship Id="rId8015" Type="http://schemas.openxmlformats.org/officeDocument/2006/relationships/hyperlink" Target="https://twitter.com/vagcafe/status/723351147667439616" TargetMode="External"/><Relationship Id="rId10292" Type="http://schemas.openxmlformats.org/officeDocument/2006/relationships/hyperlink" Target="https://twitter.com/VolkswagenPost" TargetMode="External"/><Relationship Id="rId11343" Type="http://schemas.openxmlformats.org/officeDocument/2006/relationships/hyperlink" Target="https://pbs.twimg.com/profile_images/721882898731765760/0lCtDwHY_normal.jpg" TargetMode="External"/><Relationship Id="rId15964" Type="http://schemas.openxmlformats.org/officeDocument/2006/relationships/hyperlink" Target="https://twitter.com/poandpo" TargetMode="External"/><Relationship Id="rId1402" Type="http://schemas.openxmlformats.org/officeDocument/2006/relationships/hyperlink" Target="https://pbs.twimg.com/profile_images/668712088009838592/IpcJuvga_normal.png" TargetMode="External"/><Relationship Id="rId4972" Type="http://schemas.openxmlformats.org/officeDocument/2006/relationships/hyperlink" Target="https://pbs.twimg.com/profile_images/1772698594/image_normal.jpg" TargetMode="External"/><Relationship Id="rId14566" Type="http://schemas.openxmlformats.org/officeDocument/2006/relationships/hyperlink" Target="https://twitter.com/bitgit" TargetMode="External"/><Relationship Id="rId15617" Type="http://schemas.openxmlformats.org/officeDocument/2006/relationships/hyperlink" Target="https://pbs.twimg.com/profile_images/588750621353717760/15I04Sdg_normal.png" TargetMode="External"/><Relationship Id="rId21782" Type="http://schemas.openxmlformats.org/officeDocument/2006/relationships/hyperlink" Target="https://twitter.com/dubbusses/status/724178993650536448" TargetMode="External"/><Relationship Id="rId22833" Type="http://schemas.openxmlformats.org/officeDocument/2006/relationships/hyperlink" Target="https://pbs.twimg.com/profile_images/707176643509538817/-s_VKgK4_normal.jpg" TargetMode="External"/><Relationship Id="rId3574" Type="http://schemas.openxmlformats.org/officeDocument/2006/relationships/hyperlink" Target="http://dlvr.it/" TargetMode="External"/><Relationship Id="rId4625" Type="http://schemas.openxmlformats.org/officeDocument/2006/relationships/hyperlink" Target="https://pbs.twimg.com/profile_images/378800000341166778/f53681e83985bbd49e5ff4ae1267bf66_normal.jpeg" TargetMode="External"/><Relationship Id="rId13168" Type="http://schemas.openxmlformats.org/officeDocument/2006/relationships/hyperlink" Target="https://twitter.com/theprospect" TargetMode="External"/><Relationship Id="rId14219" Type="http://schemas.openxmlformats.org/officeDocument/2006/relationships/hyperlink" Target="https://twitter.com/sarahmaho49" TargetMode="External"/><Relationship Id="rId17789" Type="http://schemas.openxmlformats.org/officeDocument/2006/relationships/hyperlink" Target="https://twitter.com/hamdanhamdun" TargetMode="External"/><Relationship Id="rId20384" Type="http://schemas.openxmlformats.org/officeDocument/2006/relationships/hyperlink" Target="https://twitter.com/robertodesachy/status/723994931036065792" TargetMode="External"/><Relationship Id="rId21435" Type="http://schemas.openxmlformats.org/officeDocument/2006/relationships/hyperlink" Target="https://twitter.com/dubbusses/status/724148681386123264" TargetMode="External"/><Relationship Id="rId495" Type="http://schemas.openxmlformats.org/officeDocument/2006/relationships/hyperlink" Target="https://twitter.com/katepolivannaya/status/722961966596272128" TargetMode="External"/><Relationship Id="rId2176" Type="http://schemas.openxmlformats.org/officeDocument/2006/relationships/hyperlink" Target="https://twitter.com/bilanmagazine" TargetMode="External"/><Relationship Id="rId3227" Type="http://schemas.openxmlformats.org/officeDocument/2006/relationships/hyperlink" Target="https://twitter.com/lucas_medel/status/723145613400018945" TargetMode="External"/><Relationship Id="rId6797" Type="http://schemas.openxmlformats.org/officeDocument/2006/relationships/hyperlink" Target="https://pbs.twimg.com/profile_images/627949001179037696/skEBkS05_normal.jpg" TargetMode="External"/><Relationship Id="rId7848" Type="http://schemas.openxmlformats.org/officeDocument/2006/relationships/hyperlink" Target="https://pbs.twimg.com/profile_images/1929834186/SAM_0070_normal.JPG" TargetMode="External"/><Relationship Id="rId20037" Type="http://schemas.openxmlformats.org/officeDocument/2006/relationships/hyperlink" Target="https://pbs.twimg.com/profile_images/508847611441586176/b2Wfj25u_normal.jpeg" TargetMode="External"/><Relationship Id="rId24658" Type="http://schemas.openxmlformats.org/officeDocument/2006/relationships/hyperlink" Target="https://twitter.com/beetlebug1938" TargetMode="External"/><Relationship Id="rId25709" Type="http://schemas.openxmlformats.org/officeDocument/2006/relationships/hyperlink" Target="https://pbs.twimg.com/profile_images/653637535545995264/gHuXQ5Bt_normal.jpg" TargetMode="External"/><Relationship Id="rId148" Type="http://schemas.openxmlformats.org/officeDocument/2006/relationships/hyperlink" Target="https://twitter.com/VeeDubMk1_/status/722930433726537728" TargetMode="External"/><Relationship Id="rId5399" Type="http://schemas.openxmlformats.org/officeDocument/2006/relationships/hyperlink" Target="https://twitter.com/three50six/status/723202525697085440" TargetMode="External"/><Relationship Id="rId9270" Type="http://schemas.openxmlformats.org/officeDocument/2006/relationships/hyperlink" Target="https://pbs.twimg.com/profile_images/703294545195307008/qeCvrX86_normal.jpg" TargetMode="External"/><Relationship Id="rId10829" Type="http://schemas.openxmlformats.org/officeDocument/2006/relationships/hyperlink" Target="https://twitter.com/hansjaaggi" TargetMode="External"/><Relationship Id="rId12251" Type="http://schemas.openxmlformats.org/officeDocument/2006/relationships/hyperlink" Target="https://abs.twimg.com/sticky/default_profile_images/default_profile_4_normal.png" TargetMode="External"/><Relationship Id="rId13302" Type="http://schemas.openxmlformats.org/officeDocument/2006/relationships/hyperlink" Target="https://twitter.com/StaffsVW/status/723543100329594880" TargetMode="External"/><Relationship Id="rId14700" Type="http://schemas.openxmlformats.org/officeDocument/2006/relationships/hyperlink" Target="https://pbs.twimg.com/profile_images/378800000743480671/888bf2d3d6d63ffa431b47127494902b_normal.jpeg" TargetMode="External"/><Relationship Id="rId2310" Type="http://schemas.openxmlformats.org/officeDocument/2006/relationships/hyperlink" Target="https://twitter.com/VWBeetleSales/status/723094955728609280" TargetMode="External"/><Relationship Id="rId16872" Type="http://schemas.openxmlformats.org/officeDocument/2006/relationships/hyperlink" Target="https://twitter.com/ChatLeRoy" TargetMode="External"/><Relationship Id="rId17923" Type="http://schemas.openxmlformats.org/officeDocument/2006/relationships/hyperlink" Target="http://dlvr.it/" TargetMode="External"/><Relationship Id="rId4482" Type="http://schemas.openxmlformats.org/officeDocument/2006/relationships/hyperlink" Target="https://twitter.com/iCaramba" TargetMode="External"/><Relationship Id="rId5880" Type="http://schemas.openxmlformats.org/officeDocument/2006/relationships/hyperlink" Target="https://pbs.twimg.com/profile_images/666800215496777728/1hkr9_z7_normal.jpg" TargetMode="External"/><Relationship Id="rId6931" Type="http://schemas.openxmlformats.org/officeDocument/2006/relationships/hyperlink" Target="https://twitter.com/FAZ_NET/status/723270263580844036" TargetMode="External"/><Relationship Id="rId14076" Type="http://schemas.openxmlformats.org/officeDocument/2006/relationships/hyperlink" Target="https://twitter.com/CherchAuto" TargetMode="External"/><Relationship Id="rId15474" Type="http://schemas.openxmlformats.org/officeDocument/2006/relationships/hyperlink" Target="https://twitter.com/nullzeit" TargetMode="External"/><Relationship Id="rId16525" Type="http://schemas.openxmlformats.org/officeDocument/2006/relationships/hyperlink" Target="https://twitter.com/OnlineCarReview/status/723692760293724160" TargetMode="External"/><Relationship Id="rId21292" Type="http://schemas.openxmlformats.org/officeDocument/2006/relationships/hyperlink" Target="https://pbs.twimg.com/profile_images/501634731797008386/BnqToGVL_normal.jpeg" TargetMode="External"/><Relationship Id="rId22690" Type="http://schemas.openxmlformats.org/officeDocument/2006/relationships/hyperlink" Target="https://pbs.twimg.com/profile_images/538662241122271232/ESZSuIqL_normal.png" TargetMode="External"/><Relationship Id="rId23741" Type="http://schemas.openxmlformats.org/officeDocument/2006/relationships/hyperlink" Target="https://twitter.com/significaRSE" TargetMode="External"/><Relationship Id="rId3084" Type="http://schemas.openxmlformats.org/officeDocument/2006/relationships/hyperlink" Target="https://twitter.com/jenkers_en/status/723139182827282432" TargetMode="External"/><Relationship Id="rId4135" Type="http://schemas.openxmlformats.org/officeDocument/2006/relationships/hyperlink" Target="https://twitter.com/tillamookcoast" TargetMode="External"/><Relationship Id="rId5533" Type="http://schemas.openxmlformats.org/officeDocument/2006/relationships/hyperlink" Target="https://twitter.com/wehrs18" TargetMode="External"/><Relationship Id="rId15127" Type="http://schemas.openxmlformats.org/officeDocument/2006/relationships/hyperlink" Target="https://twitter.com/j_sturmberg" TargetMode="External"/><Relationship Id="rId18697" Type="http://schemas.openxmlformats.org/officeDocument/2006/relationships/hyperlink" Target="https://twitter.com/daniel1820815/status/723889595612565504" TargetMode="External"/><Relationship Id="rId19748" Type="http://schemas.openxmlformats.org/officeDocument/2006/relationships/hyperlink" Target="https://pbs.twimg.com/profile_images/552037189328982016/r65JRGTS_normal.jpeg" TargetMode="External"/><Relationship Id="rId22343" Type="http://schemas.openxmlformats.org/officeDocument/2006/relationships/hyperlink" Target="https://twitter.com/OnlineCarReview" TargetMode="External"/><Relationship Id="rId8756" Type="http://schemas.openxmlformats.org/officeDocument/2006/relationships/hyperlink" Target="https://twitter.com/doern" TargetMode="External"/><Relationship Id="rId9807" Type="http://schemas.openxmlformats.org/officeDocument/2006/relationships/hyperlink" Target="https://twitter.com/EIV_Bayreuth" TargetMode="External"/><Relationship Id="rId10686" Type="http://schemas.openxmlformats.org/officeDocument/2006/relationships/hyperlink" Target="https://twitter.com/amakanista/status/723480796367970304" TargetMode="External"/><Relationship Id="rId11737" Type="http://schemas.openxmlformats.org/officeDocument/2006/relationships/hyperlink" Target="https://pbs.twimg.com/profile_images/718763389472911360/SuBCVaEu_normal.jpg" TargetMode="External"/><Relationship Id="rId17299" Type="http://schemas.openxmlformats.org/officeDocument/2006/relationships/hyperlink" Target="https://twitter.com/alemannoEU" TargetMode="External"/><Relationship Id="rId25566" Type="http://schemas.openxmlformats.org/officeDocument/2006/relationships/hyperlink" Target="https://twitter.com/DubLuvTuning/status/724448798857150464" TargetMode="External"/><Relationship Id="rId7358" Type="http://schemas.openxmlformats.org/officeDocument/2006/relationships/hyperlink" Target="https://twitter.com/elmostrador/status/723297792089841664" TargetMode="External"/><Relationship Id="rId8409" Type="http://schemas.openxmlformats.org/officeDocument/2006/relationships/hyperlink" Target="https://pbs.twimg.com/profile_images/378800000854855954/0d555726054b01e3c9d6b5241432dc4a_normal.jpeg" TargetMode="External"/><Relationship Id="rId10339" Type="http://schemas.openxmlformats.org/officeDocument/2006/relationships/hyperlink" Target="http://tagesschau.de/" TargetMode="External"/><Relationship Id="rId14210" Type="http://schemas.openxmlformats.org/officeDocument/2006/relationships/hyperlink" Target="https://twitter.com/I_InvestorJack" TargetMode="External"/><Relationship Id="rId17780" Type="http://schemas.openxmlformats.org/officeDocument/2006/relationships/hyperlink" Target="https://twitter.com/murr_max" TargetMode="External"/><Relationship Id="rId24168" Type="http://schemas.openxmlformats.org/officeDocument/2006/relationships/hyperlink" Target="https://twitter.com/beetlebug1938/status/724336457779953664" TargetMode="External"/><Relationship Id="rId25219" Type="http://schemas.openxmlformats.org/officeDocument/2006/relationships/hyperlink" Target="https://twitter.com/DeeZeeX/status/724427267049283585" TargetMode="External"/><Relationship Id="rId3968" Type="http://schemas.openxmlformats.org/officeDocument/2006/relationships/hyperlink" Target="https://pbs.twimg.com/profile_images/694584728985452544/3zgs0YER_normal.jpg" TargetMode="External"/><Relationship Id="rId16382" Type="http://schemas.openxmlformats.org/officeDocument/2006/relationships/hyperlink" Target="https://twitter.com/VolkswagenPost/status/723676688895217665" TargetMode="External"/><Relationship Id="rId17433" Type="http://schemas.openxmlformats.org/officeDocument/2006/relationships/hyperlink" Target="https://pbs.twimg.com/profile_images/681915425861582848/h10p2sHy_normal.jpg" TargetMode="External"/><Relationship Id="rId18831" Type="http://schemas.openxmlformats.org/officeDocument/2006/relationships/hyperlink" Target="https://twitter.com/carsten290666" TargetMode="External"/><Relationship Id="rId20778" Type="http://schemas.openxmlformats.org/officeDocument/2006/relationships/hyperlink" Target="https://twitter.com/jornalistavitor" TargetMode="External"/><Relationship Id="rId5" Type="http://schemas.openxmlformats.org/officeDocument/2006/relationships/hyperlink" Target="https://twitter.com/Incognino_/status/722917462380003328" TargetMode="External"/><Relationship Id="rId889" Type="http://schemas.openxmlformats.org/officeDocument/2006/relationships/hyperlink" Target="https://pbs.twimg.com/profile_images/717551821284245504/CiExS9tE_normal.jpg" TargetMode="External"/><Relationship Id="rId5390" Type="http://schemas.openxmlformats.org/officeDocument/2006/relationships/hyperlink" Target="https://twitter.com/HGrezlakTLI/status/723202223258226688" TargetMode="External"/><Relationship Id="rId6441" Type="http://schemas.openxmlformats.org/officeDocument/2006/relationships/hyperlink" Target="https://pbs.twimg.com/profile_images/424893967197433858/iQ86NktX_normal.jpeg" TargetMode="External"/><Relationship Id="rId10820" Type="http://schemas.openxmlformats.org/officeDocument/2006/relationships/hyperlink" Target="https://twitter.com/Mibran_de" TargetMode="External"/><Relationship Id="rId16035" Type="http://schemas.openxmlformats.org/officeDocument/2006/relationships/hyperlink" Target="https://twitter.com/TadeAvalos/status/723645084206522369" TargetMode="External"/><Relationship Id="rId21829" Type="http://schemas.openxmlformats.org/officeDocument/2006/relationships/hyperlink" Target="https://twitter.com/VeeDubMk1_/status/724183209383215104" TargetMode="External"/><Relationship Id="rId23251" Type="http://schemas.openxmlformats.org/officeDocument/2006/relationships/hyperlink" Target="https://pbs.twimg.com/profile_images/472298206483607552/UogAMiRI_normal.png" TargetMode="External"/><Relationship Id="rId24302" Type="http://schemas.openxmlformats.org/officeDocument/2006/relationships/hyperlink" Target="https://twitter.com/JanTiborLelley" TargetMode="External"/><Relationship Id="rId25700" Type="http://schemas.openxmlformats.org/officeDocument/2006/relationships/hyperlink" Target="https://pbs.twimg.com/profile_images/530071272881803264/a_jcCmPZ_normal.png" TargetMode="External"/><Relationship Id="rId5043" Type="http://schemas.openxmlformats.org/officeDocument/2006/relationships/hyperlink" Target="https://twitter.com/zlzal7562" TargetMode="External"/><Relationship Id="rId12992" Type="http://schemas.openxmlformats.org/officeDocument/2006/relationships/hyperlink" Target="https://pbs.twimg.com/profile_images/672878354127839232/M7OYc-zx_normal.jpg" TargetMode="External"/><Relationship Id="rId8266" Type="http://schemas.openxmlformats.org/officeDocument/2006/relationships/hyperlink" Target="https://twitter.com/MarkusStrenzl/status/723379671799222272" TargetMode="External"/><Relationship Id="rId9317" Type="http://schemas.openxmlformats.org/officeDocument/2006/relationships/hyperlink" Target="https://pbs.twimg.com/profile_images/702511217793863680/lty8h9vE_normal.jpg" TargetMode="External"/><Relationship Id="rId9664" Type="http://schemas.openxmlformats.org/officeDocument/2006/relationships/hyperlink" Target="https://twitter.com/LittleCountry_M" TargetMode="External"/><Relationship Id="rId11594" Type="http://schemas.openxmlformats.org/officeDocument/2006/relationships/hyperlink" Target="https://twitter.com/Maciel_Ariel/status/723504184583032835" TargetMode="External"/><Relationship Id="rId12645" Type="http://schemas.openxmlformats.org/officeDocument/2006/relationships/hyperlink" Target="https://twitter.com/habo11/status/723524295402655744" TargetMode="External"/><Relationship Id="rId19258" Type="http://schemas.openxmlformats.org/officeDocument/2006/relationships/hyperlink" Target="https://twitter.com/Hoeferle/status/723924839308746752" TargetMode="External"/><Relationship Id="rId20912" Type="http://schemas.openxmlformats.org/officeDocument/2006/relationships/hyperlink" Target="https://twitter.com/Popenici" TargetMode="External"/><Relationship Id="rId25076" Type="http://schemas.openxmlformats.org/officeDocument/2006/relationships/hyperlink" Target="https://twitter.com/FuscaWorld" TargetMode="External"/><Relationship Id="rId1653" Type="http://schemas.openxmlformats.org/officeDocument/2006/relationships/hyperlink" Target="https://twitter.com/BintaBalinda/status/723051149121613824" TargetMode="External"/><Relationship Id="rId2704" Type="http://schemas.openxmlformats.org/officeDocument/2006/relationships/hyperlink" Target="https://pbs.twimg.com/profile_images/721790264902356993/ATLbgX15_normal.jpg" TargetMode="External"/><Relationship Id="rId10196" Type="http://schemas.openxmlformats.org/officeDocument/2006/relationships/hyperlink" Target="https://twitter.com/herrenloserHund/status/723465491449274368" TargetMode="External"/><Relationship Id="rId11247" Type="http://schemas.openxmlformats.org/officeDocument/2006/relationships/hyperlink" Target="https://twitter.com/Theothebald/status/723499742525816832" TargetMode="External"/><Relationship Id="rId15868" Type="http://schemas.openxmlformats.org/officeDocument/2006/relationships/hyperlink" Target="https://twitter.com/gwisemixcds" TargetMode="External"/><Relationship Id="rId16919" Type="http://schemas.openxmlformats.org/officeDocument/2006/relationships/hyperlink" Target="https://twitter.com/bsterix/status/723748878131011584" TargetMode="External"/><Relationship Id="rId1306" Type="http://schemas.openxmlformats.org/officeDocument/2006/relationships/hyperlink" Target="https://twitter.com/dtb200" TargetMode="External"/><Relationship Id="rId4876" Type="http://schemas.openxmlformats.org/officeDocument/2006/relationships/hyperlink" Target="https://pbs.twimg.com/profile_images/466242245532737538/TClE9jOP_normal.jpeg" TargetMode="External"/><Relationship Id="rId5927" Type="http://schemas.openxmlformats.org/officeDocument/2006/relationships/hyperlink" Target="https://twitter.com/ZonaBinaria/status/723224261922578432" TargetMode="External"/><Relationship Id="rId17290" Type="http://schemas.openxmlformats.org/officeDocument/2006/relationships/hyperlink" Target="https://twitter.com/JenniPii" TargetMode="External"/><Relationship Id="rId18341" Type="http://schemas.openxmlformats.org/officeDocument/2006/relationships/hyperlink" Target="https://twitter.com/VWCamperSales/status/723864035779874816" TargetMode="External"/><Relationship Id="rId21686" Type="http://schemas.openxmlformats.org/officeDocument/2006/relationships/hyperlink" Target="https://twitter.com/VeeDubMk1_/status/724168122291392514" TargetMode="External"/><Relationship Id="rId22737" Type="http://schemas.openxmlformats.org/officeDocument/2006/relationships/hyperlink" Target="https://pbs.twimg.com/profile_images/686724675376918528/DRvuZ57Q_normal.jpg" TargetMode="External"/><Relationship Id="rId12" Type="http://schemas.openxmlformats.org/officeDocument/2006/relationships/hyperlink" Target="https://pbs.twimg.com/profile_images/3279995885/2c9f035864a3ab529eb3144a61e4dfa9_normal.jpeg" TargetMode="External"/><Relationship Id="rId3478" Type="http://schemas.openxmlformats.org/officeDocument/2006/relationships/hyperlink" Target="https://twitter.com/vwoutaouais/status/723160290141966336" TargetMode="External"/><Relationship Id="rId4529" Type="http://schemas.openxmlformats.org/officeDocument/2006/relationships/hyperlink" Target="https://pbs.twimg.com/profile_images/722256787009859584/vkuTNBGF_normal.jpg" TargetMode="External"/><Relationship Id="rId8400" Type="http://schemas.openxmlformats.org/officeDocument/2006/relationships/hyperlink" Target="https://pbs.twimg.com/profile_images/657853466384191488/J6vAnfZr_normal.jpg" TargetMode="External"/><Relationship Id="rId10330" Type="http://schemas.openxmlformats.org/officeDocument/2006/relationships/hyperlink" Target="https://pbs.twimg.com/profile_images/605815181952696320/r0cPYyRx_normal.jpg" TargetMode="External"/><Relationship Id="rId20288" Type="http://schemas.openxmlformats.org/officeDocument/2006/relationships/hyperlink" Target="https://twitter.com/barrydanzig" TargetMode="External"/><Relationship Id="rId21339" Type="http://schemas.openxmlformats.org/officeDocument/2006/relationships/hyperlink" Target="https://twitter.com/VolkswagenPost/status/724142477318492160" TargetMode="External"/><Relationship Id="rId25210" Type="http://schemas.openxmlformats.org/officeDocument/2006/relationships/hyperlink" Target="http://dlvr.it/" TargetMode="External"/><Relationship Id="rId399" Type="http://schemas.openxmlformats.org/officeDocument/2006/relationships/hyperlink" Target="https://twitter.com/vwmaniacs/status/722953804275044352" TargetMode="External"/><Relationship Id="rId7002" Type="http://schemas.openxmlformats.org/officeDocument/2006/relationships/hyperlink" Target="https://pbs.twimg.com/profile_images/527635549872345088/sDHCliSk_normal.png" TargetMode="External"/><Relationship Id="rId14951" Type="http://schemas.openxmlformats.org/officeDocument/2006/relationships/hyperlink" Target="https://twitter.com/MikeLittUSA" TargetMode="External"/><Relationship Id="rId880" Type="http://schemas.openxmlformats.org/officeDocument/2006/relationships/hyperlink" Target="https://pbs.twimg.com/profile_images/713802957674913792/3gNtGi6a_normal.jpg" TargetMode="External"/><Relationship Id="rId2561" Type="http://schemas.openxmlformats.org/officeDocument/2006/relationships/hyperlink" Target="https://twitter.com/VRwatchingU" TargetMode="External"/><Relationship Id="rId9174" Type="http://schemas.openxmlformats.org/officeDocument/2006/relationships/hyperlink" Target="https://twitter.com/rantindave" TargetMode="External"/><Relationship Id="rId12155" Type="http://schemas.openxmlformats.org/officeDocument/2006/relationships/hyperlink" Target="https://pbs.twimg.com/profile_images/713679288302759936/v9XpL7o8_normal.jpg" TargetMode="External"/><Relationship Id="rId13553" Type="http://schemas.openxmlformats.org/officeDocument/2006/relationships/hyperlink" Target="https://pbs.twimg.com/profile_images/378800000064765573/248fcabf29a8f3dd423048707d883cf6_normal.jpeg" TargetMode="External"/><Relationship Id="rId14604" Type="http://schemas.openxmlformats.org/officeDocument/2006/relationships/hyperlink" Target="https://twitter.com/oekomobil" TargetMode="External"/><Relationship Id="rId21820" Type="http://schemas.openxmlformats.org/officeDocument/2006/relationships/hyperlink" Target="https://twitter.com/www4zylinder/status/724180969595539456" TargetMode="External"/><Relationship Id="rId533" Type="http://schemas.openxmlformats.org/officeDocument/2006/relationships/hyperlink" Target="https://pbs.twimg.com/profile_images/541552509446524928/Xzuo-nea_normal.jpeg" TargetMode="External"/><Relationship Id="rId1163" Type="http://schemas.openxmlformats.org/officeDocument/2006/relationships/hyperlink" Target="https://pbs.twimg.com/profile_images/711933431207337984/h7mA8J-B_normal.jpg" TargetMode="External"/><Relationship Id="rId2214" Type="http://schemas.openxmlformats.org/officeDocument/2006/relationships/hyperlink" Target="https://twitter.com/MarkCSchneider/status/723088449088065537" TargetMode="External"/><Relationship Id="rId3612" Type="http://schemas.openxmlformats.org/officeDocument/2006/relationships/hyperlink" Target="https://twitter.com/beetlebug1938/status/723166009293713408" TargetMode="External"/><Relationship Id="rId13206" Type="http://schemas.openxmlformats.org/officeDocument/2006/relationships/hyperlink" Target="https://twitter.com/Monogasse" TargetMode="External"/><Relationship Id="rId16776" Type="http://schemas.openxmlformats.org/officeDocument/2006/relationships/hyperlink" Target="https://twitter.com/ExpeditionFools" TargetMode="External"/><Relationship Id="rId17827" Type="http://schemas.openxmlformats.org/officeDocument/2006/relationships/hyperlink" Target="https://pbs.twimg.com/profile_images/695000806655811584/7lC1MdUr_normal.png" TargetMode="External"/><Relationship Id="rId20422" Type="http://schemas.openxmlformats.org/officeDocument/2006/relationships/hyperlink" Target="https://twitter.com/dubbusses" TargetMode="External"/><Relationship Id="rId23992" Type="http://schemas.openxmlformats.org/officeDocument/2006/relationships/hyperlink" Target="https://twitter.com/CameronGruntman/status/724325119900958725" TargetMode="External"/><Relationship Id="rId5784" Type="http://schemas.openxmlformats.org/officeDocument/2006/relationships/hyperlink" Target="https://twitter.com/tumalwas" TargetMode="External"/><Relationship Id="rId6835" Type="http://schemas.openxmlformats.org/officeDocument/2006/relationships/hyperlink" Target="https://pbs.twimg.com/profile_images/629706221038235648/YOUefHMR_normal.png" TargetMode="External"/><Relationship Id="rId15378" Type="http://schemas.openxmlformats.org/officeDocument/2006/relationships/hyperlink" Target="https://twitter.com/NorthCounty_LRS" TargetMode="External"/><Relationship Id="rId16429" Type="http://schemas.openxmlformats.org/officeDocument/2006/relationships/hyperlink" Target="https://twitter.com/oldcar_photo" TargetMode="External"/><Relationship Id="rId19999" Type="http://schemas.openxmlformats.org/officeDocument/2006/relationships/hyperlink" Target="https://pbs.twimg.com/profile_images/688908512638971904/olHswNoP_normal.jpg" TargetMode="External"/><Relationship Id="rId22594" Type="http://schemas.openxmlformats.org/officeDocument/2006/relationships/hyperlink" Target="http://dlvr.it/" TargetMode="External"/><Relationship Id="rId23645" Type="http://schemas.openxmlformats.org/officeDocument/2006/relationships/hyperlink" Target="https://twitter.com/CoryBarrios" TargetMode="External"/><Relationship Id="rId4386" Type="http://schemas.openxmlformats.org/officeDocument/2006/relationships/hyperlink" Target="https://pbs.twimg.com/profile_images/3023094301/7299b75257d79082c0ff884278e113cd_normal.png" TargetMode="External"/><Relationship Id="rId5437" Type="http://schemas.openxmlformats.org/officeDocument/2006/relationships/hyperlink" Target="https://twitter.com/sasha_s_pachito" TargetMode="External"/><Relationship Id="rId11988" Type="http://schemas.openxmlformats.org/officeDocument/2006/relationships/hyperlink" Target="https://pbs.twimg.com/profile_images/509218513601691648/X6HttFpy_normal.jpeg" TargetMode="External"/><Relationship Id="rId21196" Type="http://schemas.openxmlformats.org/officeDocument/2006/relationships/hyperlink" Target="https://twitter.com/RobsterRound" TargetMode="External"/><Relationship Id="rId22247" Type="http://schemas.openxmlformats.org/officeDocument/2006/relationships/hyperlink" Target="https://twitter.com/Andy4x4Richards" TargetMode="External"/><Relationship Id="rId4039" Type="http://schemas.openxmlformats.org/officeDocument/2006/relationships/hyperlink" Target="https://twitter.com/DSArtDon" TargetMode="External"/><Relationship Id="rId14461" Type="http://schemas.openxmlformats.org/officeDocument/2006/relationships/hyperlink" Target="https://twitter.com/dwnews/status/723574349635035139" TargetMode="External"/><Relationship Id="rId15512" Type="http://schemas.openxmlformats.org/officeDocument/2006/relationships/hyperlink" Target="https://pbs.twimg.com/profile_images/624699093244354560/aGGGpGf3_normal.jpg" TargetMode="External"/><Relationship Id="rId16910" Type="http://schemas.openxmlformats.org/officeDocument/2006/relationships/hyperlink" Target="https://twitter.com/LStahlecker/status/723748379432361985" TargetMode="External"/><Relationship Id="rId4520" Type="http://schemas.openxmlformats.org/officeDocument/2006/relationships/hyperlink" Target="https://pbs.twimg.com/profile_images/695655565431689216/5HrvLsLP_normal.jpg" TargetMode="External"/><Relationship Id="rId13063" Type="http://schemas.openxmlformats.org/officeDocument/2006/relationships/hyperlink" Target="https://twitter.com/TdtMedia" TargetMode="External"/><Relationship Id="rId14114" Type="http://schemas.openxmlformats.org/officeDocument/2006/relationships/hyperlink" Target="https://pbs.twimg.com/profile_images/652871584131092480/QA_B6SBO_normal.jpg" TargetMode="External"/><Relationship Id="rId21330" Type="http://schemas.openxmlformats.org/officeDocument/2006/relationships/hyperlink" Target="https://twitter.com/michell73094462/status/724142147549683712" TargetMode="External"/><Relationship Id="rId390" Type="http://schemas.openxmlformats.org/officeDocument/2006/relationships/hyperlink" Target="https://twitter.com/Manolo_Breton/status/722952829162258433" TargetMode="External"/><Relationship Id="rId2071" Type="http://schemas.openxmlformats.org/officeDocument/2006/relationships/hyperlink" Target="https://pbs.twimg.com/profile_images/2167442174/JAK1_normal.jpg" TargetMode="External"/><Relationship Id="rId3122" Type="http://schemas.openxmlformats.org/officeDocument/2006/relationships/hyperlink" Target="https://pbs.twimg.com/profile_images/529657323615424512/qo5NPKe2_normal.jpeg" TargetMode="External"/><Relationship Id="rId6692" Type="http://schemas.openxmlformats.org/officeDocument/2006/relationships/hyperlink" Target="https://twitter.com/JokoMartinez11" TargetMode="External"/><Relationship Id="rId16286" Type="http://schemas.openxmlformats.org/officeDocument/2006/relationships/hyperlink" Target="https://twitter.com/LifeBlab/status/723664975248646145" TargetMode="External"/><Relationship Id="rId17684" Type="http://schemas.openxmlformats.org/officeDocument/2006/relationships/hyperlink" Target="https://pbs.twimg.com/profile_images/519135326258733057/ZcvPfZJ__normal.jpeg" TargetMode="External"/><Relationship Id="rId18735" Type="http://schemas.openxmlformats.org/officeDocument/2006/relationships/hyperlink" Target="https://twitter.com/hashtagvanlife" TargetMode="External"/><Relationship Id="rId5294" Type="http://schemas.openxmlformats.org/officeDocument/2006/relationships/hyperlink" Target="https://abs.twimg.com/sticky/default_profile_images/default_profile_2_normal.png" TargetMode="External"/><Relationship Id="rId6345" Type="http://schemas.openxmlformats.org/officeDocument/2006/relationships/hyperlink" Target="https://pbs.twimg.com/profile_images/678678754089152514/6LG7MDGC_normal.jpg" TargetMode="External"/><Relationship Id="rId7743" Type="http://schemas.openxmlformats.org/officeDocument/2006/relationships/hyperlink" Target="https://twitter.com/CinalliNicolas/status/723330006529781760" TargetMode="External"/><Relationship Id="rId10724" Type="http://schemas.openxmlformats.org/officeDocument/2006/relationships/hyperlink" Target="https://twitter.com/AndyGER" TargetMode="External"/><Relationship Id="rId17337" Type="http://schemas.openxmlformats.org/officeDocument/2006/relationships/hyperlink" Target="http://dlvr.it/" TargetMode="External"/><Relationship Id="rId23155" Type="http://schemas.openxmlformats.org/officeDocument/2006/relationships/hyperlink" Target="https://twitter.com/vagmenhq" TargetMode="External"/><Relationship Id="rId24553" Type="http://schemas.openxmlformats.org/officeDocument/2006/relationships/hyperlink" Target="https://twitter.com/I_Am_Golden07/status/724370274217545729" TargetMode="External"/><Relationship Id="rId25604" Type="http://schemas.openxmlformats.org/officeDocument/2006/relationships/hyperlink" Target="https://twitter.com/VolkswagenPost" TargetMode="External"/><Relationship Id="rId12896" Type="http://schemas.openxmlformats.org/officeDocument/2006/relationships/hyperlink" Target="https://twitter.com/ReadingVW" TargetMode="External"/><Relationship Id="rId13947" Type="http://schemas.openxmlformats.org/officeDocument/2006/relationships/hyperlink" Target="https://twitter.com/FlexibleFlier" TargetMode="External"/><Relationship Id="rId24206" Type="http://schemas.openxmlformats.org/officeDocument/2006/relationships/hyperlink" Target="https://pbs.twimg.com/profile_images/705780107844067328/e7O4UBNb_normal.jpg" TargetMode="External"/><Relationship Id="rId2955" Type="http://schemas.openxmlformats.org/officeDocument/2006/relationships/hyperlink" Target="https://twitter.com/Joccck" TargetMode="External"/><Relationship Id="rId9568" Type="http://schemas.openxmlformats.org/officeDocument/2006/relationships/hyperlink" Target="https://pbs.twimg.com/profile_images/530071272881803264/a_jcCmPZ_normal.png" TargetMode="External"/><Relationship Id="rId11498" Type="http://schemas.openxmlformats.org/officeDocument/2006/relationships/hyperlink" Target="https://twitter.com/Colchester1891/status/723503054469894145" TargetMode="External"/><Relationship Id="rId12549" Type="http://schemas.openxmlformats.org/officeDocument/2006/relationships/hyperlink" Target="https://twitter.com/HansTheGerman/status/723522408133566464" TargetMode="External"/><Relationship Id="rId16420" Type="http://schemas.openxmlformats.org/officeDocument/2006/relationships/hyperlink" Target="https://twitter.com/EHavetta" TargetMode="External"/><Relationship Id="rId19990" Type="http://schemas.openxmlformats.org/officeDocument/2006/relationships/hyperlink" Target="https://pbs.twimg.com/profile_images/718835727027580928/1ssyQ67y_normal.jpg" TargetMode="External"/><Relationship Id="rId20816" Type="http://schemas.openxmlformats.org/officeDocument/2006/relationships/hyperlink" Target="https://twitter.com/VazquezSool/status/724047565503733761" TargetMode="External"/><Relationship Id="rId927" Type="http://schemas.openxmlformats.org/officeDocument/2006/relationships/hyperlink" Target="https://twitter.com/KimQuistAnderse/status/723002707611627520" TargetMode="External"/><Relationship Id="rId1557" Type="http://schemas.openxmlformats.org/officeDocument/2006/relationships/hyperlink" Target="https://twitter.com/newsonhunt/status/723046386657193984" TargetMode="External"/><Relationship Id="rId2608" Type="http://schemas.openxmlformats.org/officeDocument/2006/relationships/hyperlink" Target="https://twitter.com/EvvoNewBeetles/status/723109010786926593" TargetMode="External"/><Relationship Id="rId15022" Type="http://schemas.openxmlformats.org/officeDocument/2006/relationships/hyperlink" Target="https://pbs.twimg.com/profile_images/703294545195307008/qeCvrX86_normal.jpg" TargetMode="External"/><Relationship Id="rId18592" Type="http://schemas.openxmlformats.org/officeDocument/2006/relationships/hyperlink" Target="https://twitter.com/mokshaamm" TargetMode="External"/><Relationship Id="rId19643" Type="http://schemas.openxmlformats.org/officeDocument/2006/relationships/hyperlink" Target="https://twitter.com/TheHippieVanMan/status/723944757265874944" TargetMode="External"/><Relationship Id="rId22988" Type="http://schemas.openxmlformats.org/officeDocument/2006/relationships/hyperlink" Target="https://twitter.com/alves28000" TargetMode="External"/><Relationship Id="rId4030" Type="http://schemas.openxmlformats.org/officeDocument/2006/relationships/hyperlink" Target="https://twitter.com/emilyrusch" TargetMode="External"/><Relationship Id="rId8651" Type="http://schemas.openxmlformats.org/officeDocument/2006/relationships/hyperlink" Target="https://twitter.com/EmirDiz" TargetMode="External"/><Relationship Id="rId9702" Type="http://schemas.openxmlformats.org/officeDocument/2006/relationships/hyperlink" Target="https://twitter.com/bkuchti/status/723446164171812864" TargetMode="External"/><Relationship Id="rId17194" Type="http://schemas.openxmlformats.org/officeDocument/2006/relationships/hyperlink" Target="https://pbs.twimg.com/profile_images/703294545195307008/qeCvrX86_normal.jpg" TargetMode="External"/><Relationship Id="rId18245" Type="http://schemas.openxmlformats.org/officeDocument/2006/relationships/hyperlink" Target="https://twitter.com/krankspinatra" TargetMode="External"/><Relationship Id="rId25461" Type="http://schemas.openxmlformats.org/officeDocument/2006/relationships/hyperlink" Target="https://pbs.twimg.com/profile_images/3247035045/9844e9d67157e05905c827333dbfa0ee_normal.jpeg" TargetMode="External"/><Relationship Id="rId7253" Type="http://schemas.openxmlformats.org/officeDocument/2006/relationships/hyperlink" Target="https://pbs.twimg.com/profile_images/703294545195307008/qeCvrX86_normal.jpg" TargetMode="External"/><Relationship Id="rId8304" Type="http://schemas.openxmlformats.org/officeDocument/2006/relationships/hyperlink" Target="https://twitter.com/ivankoznar" TargetMode="External"/><Relationship Id="rId10234" Type="http://schemas.openxmlformats.org/officeDocument/2006/relationships/hyperlink" Target="https://pbs.twimg.com/profile_images/606071164478308352/Bpbe55iE_normal.png" TargetMode="External"/><Relationship Id="rId10581" Type="http://schemas.openxmlformats.org/officeDocument/2006/relationships/hyperlink" Target="https://twitter.com/AchillePrick" TargetMode="External"/><Relationship Id="rId11632" Type="http://schemas.openxmlformats.org/officeDocument/2006/relationships/hyperlink" Target="https://pbs.twimg.com/profile_images/690093754351489024/RHFZ8vSn_normal.jpg" TargetMode="External"/><Relationship Id="rId24063" Type="http://schemas.openxmlformats.org/officeDocument/2006/relationships/hyperlink" Target="https://twitter.com/NervTobbe/status/724329772206161921" TargetMode="External"/><Relationship Id="rId25114" Type="http://schemas.openxmlformats.org/officeDocument/2006/relationships/hyperlink" Target="https://twitter.com/SolidStateMonk" TargetMode="External"/><Relationship Id="rId14855" Type="http://schemas.openxmlformats.org/officeDocument/2006/relationships/hyperlink" Target="https://pbs.twimg.com/profile_images/708280127025598464/akwVZYwc_normal.jpg" TargetMode="External"/><Relationship Id="rId15906" Type="http://schemas.openxmlformats.org/officeDocument/2006/relationships/hyperlink" Target="https://twitter.com/Owners4Owners/status/723636543546478592" TargetMode="External"/><Relationship Id="rId3863" Type="http://schemas.openxmlformats.org/officeDocument/2006/relationships/hyperlink" Target="https://pbs.twimg.com/profile_images/3228351590/aadb36f2b020cc27adac139aac4a5663_normal.jpeg" TargetMode="External"/><Relationship Id="rId4914" Type="http://schemas.openxmlformats.org/officeDocument/2006/relationships/hyperlink" Target="https://twitter.com/Ohrgefluester" TargetMode="External"/><Relationship Id="rId9078" Type="http://schemas.openxmlformats.org/officeDocument/2006/relationships/hyperlink" Target="https://pbs.twimg.com/profile_images/461143330147954688/HZO45eNS_normal.jpeg" TargetMode="External"/><Relationship Id="rId13457" Type="http://schemas.openxmlformats.org/officeDocument/2006/relationships/hyperlink" Target="https://twitter.com/PalleHorn/status/723548027848409088" TargetMode="External"/><Relationship Id="rId14508" Type="http://schemas.openxmlformats.org/officeDocument/2006/relationships/hyperlink" Target="https://twitter.com/vonAckern" TargetMode="External"/><Relationship Id="rId20673" Type="http://schemas.openxmlformats.org/officeDocument/2006/relationships/hyperlink" Target="https://twitter.com/LcMonoblock/status/724024253838987264" TargetMode="External"/><Relationship Id="rId21724" Type="http://schemas.openxmlformats.org/officeDocument/2006/relationships/hyperlink" Target="https://twitter.com/Fat4y/status/724173200574300160" TargetMode="External"/><Relationship Id="rId784" Type="http://schemas.openxmlformats.org/officeDocument/2006/relationships/hyperlink" Target="https://pbs.twimg.com/profile_images/705934896267571200/6L7xyc7q_normal.jpg" TargetMode="External"/><Relationship Id="rId1067" Type="http://schemas.openxmlformats.org/officeDocument/2006/relationships/hyperlink" Target="https://pbs.twimg.com/profile_images/686954765318684672/WxWRcFJI_normal.jpg" TargetMode="External"/><Relationship Id="rId2465" Type="http://schemas.openxmlformats.org/officeDocument/2006/relationships/hyperlink" Target="http://ctrlq.org/maps/address/" TargetMode="External"/><Relationship Id="rId3516" Type="http://schemas.openxmlformats.org/officeDocument/2006/relationships/hyperlink" Target="https://twitter.com/deanomsport" TargetMode="External"/><Relationship Id="rId12059" Type="http://schemas.openxmlformats.org/officeDocument/2006/relationships/hyperlink" Target="http://faz.net/" TargetMode="External"/><Relationship Id="rId20326" Type="http://schemas.openxmlformats.org/officeDocument/2006/relationships/hyperlink" Target="https://pbs.twimg.com/profile_images/594600472654184448/pUU50-zM_normal.jpg" TargetMode="External"/><Relationship Id="rId23896" Type="http://schemas.openxmlformats.org/officeDocument/2006/relationships/hyperlink" Target="https://pbs.twimg.com/profile_images/627949001179037696/skEBkS05_normal.jpg" TargetMode="External"/><Relationship Id="rId24947" Type="http://schemas.openxmlformats.org/officeDocument/2006/relationships/hyperlink" Target="https://pbs.twimg.com/profile_images/681928593199386624/U3Oel9bD_normal.jpg" TargetMode="External"/><Relationship Id="rId437" Type="http://schemas.openxmlformats.org/officeDocument/2006/relationships/hyperlink" Target="https://twitter.com/caroltpsworld" TargetMode="External"/><Relationship Id="rId2118" Type="http://schemas.openxmlformats.org/officeDocument/2006/relationships/hyperlink" Target="https://pbs.twimg.com/profile_images/716597196439859200/jCVf3LFy_normal.jpg" TargetMode="External"/><Relationship Id="rId5688" Type="http://schemas.openxmlformats.org/officeDocument/2006/relationships/hyperlink" Target="http://dlvr.it/" TargetMode="External"/><Relationship Id="rId6739" Type="http://schemas.openxmlformats.org/officeDocument/2006/relationships/hyperlink" Target="https://twitter.com/ListersVW" TargetMode="External"/><Relationship Id="rId12540" Type="http://schemas.openxmlformats.org/officeDocument/2006/relationships/hyperlink" Target="https://twitter.com/handelsblatt/status/723522241527427072" TargetMode="External"/><Relationship Id="rId19153" Type="http://schemas.openxmlformats.org/officeDocument/2006/relationships/hyperlink" Target="https://twitter.com/VWCamperSales/status/723921671678087168" TargetMode="External"/><Relationship Id="rId22498" Type="http://schemas.openxmlformats.org/officeDocument/2006/relationships/hyperlink" Target="https://twitter.com/Volkswagen_T25" TargetMode="External"/><Relationship Id="rId23549" Type="http://schemas.openxmlformats.org/officeDocument/2006/relationships/hyperlink" Target="https://twitter.com/sandysola34" TargetMode="External"/><Relationship Id="rId8161" Type="http://schemas.openxmlformats.org/officeDocument/2006/relationships/hyperlink" Target="https://twitter.com/webaraba" TargetMode="External"/><Relationship Id="rId9212" Type="http://schemas.openxmlformats.org/officeDocument/2006/relationships/hyperlink" Target="https://pbs.twimg.com/profile_images/684716541322072065/eXpLts42_normal.jpg" TargetMode="External"/><Relationship Id="rId10091" Type="http://schemas.openxmlformats.org/officeDocument/2006/relationships/hyperlink" Target="https://twitter.com/Gunna14921" TargetMode="External"/><Relationship Id="rId11142" Type="http://schemas.openxmlformats.org/officeDocument/2006/relationships/hyperlink" Target="https://twitter.com/TepelmannMentor/status/723498040645017600" TargetMode="External"/><Relationship Id="rId1201" Type="http://schemas.openxmlformats.org/officeDocument/2006/relationships/hyperlink" Target="https://pbs.twimg.com/profile_images/62751185/logo_rp_normal.gif" TargetMode="External"/><Relationship Id="rId4771" Type="http://schemas.openxmlformats.org/officeDocument/2006/relationships/hyperlink" Target="https://twitter.com/clydevpg" TargetMode="External"/><Relationship Id="rId14365" Type="http://schemas.openxmlformats.org/officeDocument/2006/relationships/hyperlink" Target="https://twitter.com/LombardaMotori/status/723573110352519168" TargetMode="External"/><Relationship Id="rId15763" Type="http://schemas.openxmlformats.org/officeDocument/2006/relationships/hyperlink" Target="https://twitter.com/VCT_Tweets" TargetMode="External"/><Relationship Id="rId16814" Type="http://schemas.openxmlformats.org/officeDocument/2006/relationships/hyperlink" Target="https://twitter.com/webaraba/status/723736714091597824" TargetMode="External"/><Relationship Id="rId21581" Type="http://schemas.openxmlformats.org/officeDocument/2006/relationships/hyperlink" Target="https://pbs.twimg.com/profile_images/627949001179037696/skEBkS05_normal.jpg" TargetMode="External"/><Relationship Id="rId3373" Type="http://schemas.openxmlformats.org/officeDocument/2006/relationships/hyperlink" Target="https://pbs.twimg.com/profile_images/652520472035348480/KB5WAjZ8_normal.jpg" TargetMode="External"/><Relationship Id="rId4424" Type="http://schemas.openxmlformats.org/officeDocument/2006/relationships/hyperlink" Target="https://twitter.com/SuleymanMezgil" TargetMode="External"/><Relationship Id="rId5822" Type="http://schemas.openxmlformats.org/officeDocument/2006/relationships/hyperlink" Target="https://pbs.twimg.com/profile_images/666959113637732352/gcLEjaSy_normal.jpg" TargetMode="External"/><Relationship Id="rId14018" Type="http://schemas.openxmlformats.org/officeDocument/2006/relationships/hyperlink" Target="https://twitter.com/Motochen" TargetMode="External"/><Relationship Id="rId15416" Type="http://schemas.openxmlformats.org/officeDocument/2006/relationships/hyperlink" Target="https://twitter.com/DarkGermany/status/723607029479297024" TargetMode="External"/><Relationship Id="rId18986" Type="http://schemas.openxmlformats.org/officeDocument/2006/relationships/hyperlink" Target="https://twitter.com/VeeDubMk1_/status/723911685917016064" TargetMode="External"/><Relationship Id="rId20183" Type="http://schemas.openxmlformats.org/officeDocument/2006/relationships/hyperlink" Target="https://twitter.com/NWFollowers/status/723979784225718272" TargetMode="External"/><Relationship Id="rId21234" Type="http://schemas.openxmlformats.org/officeDocument/2006/relationships/hyperlink" Target="https://twitter.com/Scirocco_Tuning/status/724130149067841536" TargetMode="External"/><Relationship Id="rId22632" Type="http://schemas.openxmlformats.org/officeDocument/2006/relationships/hyperlink" Target="https://pbs.twimg.com/profile_images/627949001179037696/skEBkS05_normal.jpg" TargetMode="External"/><Relationship Id="rId294" Type="http://schemas.openxmlformats.org/officeDocument/2006/relationships/hyperlink" Target="https://pbs.twimg.com/profile_images/378800000677554410/dc50890761d211abe980eecb124e1609_normal.jpeg" TargetMode="External"/><Relationship Id="rId3026" Type="http://schemas.openxmlformats.org/officeDocument/2006/relationships/hyperlink" Target="https://pbs.twimg.com/profile_images/668091779313500160/ZepxnJcI_normal.jpg" TargetMode="External"/><Relationship Id="rId7994" Type="http://schemas.openxmlformats.org/officeDocument/2006/relationships/hyperlink" Target="https://twitter.com/AdgmanA/status/723347593456181249" TargetMode="External"/><Relationship Id="rId10975" Type="http://schemas.openxmlformats.org/officeDocument/2006/relationships/hyperlink" Target="https://twitter.com/feralf/status/723492348487958528" TargetMode="External"/><Relationship Id="rId17588" Type="http://schemas.openxmlformats.org/officeDocument/2006/relationships/hyperlink" Target="https://twitter.com/vagmenhq/status/723808406516150272" TargetMode="External"/><Relationship Id="rId18639" Type="http://schemas.openxmlformats.org/officeDocument/2006/relationships/hyperlink" Target="https://twitter.com/LVIaLondres" TargetMode="External"/><Relationship Id="rId5198" Type="http://schemas.openxmlformats.org/officeDocument/2006/relationships/hyperlink" Target="https://pbs.twimg.com/profile_images/716753631907815424/6pqTIf9D_normal.jpg" TargetMode="External"/><Relationship Id="rId6596" Type="http://schemas.openxmlformats.org/officeDocument/2006/relationships/hyperlink" Target="https://pbs.twimg.com/profile_images/624312714110746624/Dvn7cB6A_normal.jpg" TargetMode="External"/><Relationship Id="rId7647" Type="http://schemas.openxmlformats.org/officeDocument/2006/relationships/hyperlink" Target="https://twitter.com/MoveRally" TargetMode="External"/><Relationship Id="rId10628" Type="http://schemas.openxmlformats.org/officeDocument/2006/relationships/hyperlink" Target="https://twitter.com/TEXTCOM/status/723479316424736768" TargetMode="External"/><Relationship Id="rId24457" Type="http://schemas.openxmlformats.org/officeDocument/2006/relationships/hyperlink" Target="https://twitter.com/academ_foto/status/724361000917540866" TargetMode="External"/><Relationship Id="rId25508" Type="http://schemas.openxmlformats.org/officeDocument/2006/relationships/hyperlink" Target="https://twitter.com/nomkhita12/status/724445007923560452" TargetMode="External"/><Relationship Id="rId6249" Type="http://schemas.openxmlformats.org/officeDocument/2006/relationships/hyperlink" Target="https://twitter.com/sbbenevides" TargetMode="External"/><Relationship Id="rId12050" Type="http://schemas.openxmlformats.org/officeDocument/2006/relationships/hyperlink" Target="https://twitter.com/FAZ_Top/status/723512530904186880" TargetMode="External"/><Relationship Id="rId13101" Type="http://schemas.openxmlformats.org/officeDocument/2006/relationships/hyperlink" Target="https://twitter.com/Upholsteronline" TargetMode="External"/><Relationship Id="rId16671" Type="http://schemas.openxmlformats.org/officeDocument/2006/relationships/hyperlink" Target="https://twitter.com/beetlebug1938/status/723710519107026944" TargetMode="External"/><Relationship Id="rId17722" Type="http://schemas.openxmlformats.org/officeDocument/2006/relationships/hyperlink" Target="https://twitter.com/DubLuvTuning/status/723819103069298688" TargetMode="External"/><Relationship Id="rId23059" Type="http://schemas.openxmlformats.org/officeDocument/2006/relationships/hyperlink" Target="https://twitter.com/TheVasstechTeam" TargetMode="External"/><Relationship Id="rId2859" Type="http://schemas.openxmlformats.org/officeDocument/2006/relationships/hyperlink" Target="https://pbs.twimg.com/profile_images/627949001179037696/skEBkS05_normal.jpg" TargetMode="External"/><Relationship Id="rId6730" Type="http://schemas.openxmlformats.org/officeDocument/2006/relationships/hyperlink" Target="https://twitter.com/woever" TargetMode="External"/><Relationship Id="rId15273" Type="http://schemas.openxmlformats.org/officeDocument/2006/relationships/hyperlink" Target="https://pbs.twimg.com/profile_images/422397328868122625/tPN-y7Au_normal.jpeg" TargetMode="External"/><Relationship Id="rId16324" Type="http://schemas.openxmlformats.org/officeDocument/2006/relationships/hyperlink" Target="https://twitter.com/ebaycampervans" TargetMode="External"/><Relationship Id="rId23540" Type="http://schemas.openxmlformats.org/officeDocument/2006/relationships/hyperlink" Target="https://twitter.com/sandysola34" TargetMode="External"/><Relationship Id="rId4281" Type="http://schemas.openxmlformats.org/officeDocument/2006/relationships/hyperlink" Target="https://twitter.com/Cluhch/status/723178783776219137" TargetMode="External"/><Relationship Id="rId5332" Type="http://schemas.openxmlformats.org/officeDocument/2006/relationships/hyperlink" Target="https://twitter.com/MelaniePattyn/status/723200080845611008" TargetMode="External"/><Relationship Id="rId18496" Type="http://schemas.openxmlformats.org/officeDocument/2006/relationships/hyperlink" Target="https://twitter.com/vwvanspreston/status/723873317275328514" TargetMode="External"/><Relationship Id="rId19894" Type="http://schemas.openxmlformats.org/officeDocument/2006/relationships/hyperlink" Target="https://twitter.com/Panchi_Ferraro" TargetMode="External"/><Relationship Id="rId21091" Type="http://schemas.openxmlformats.org/officeDocument/2006/relationships/hyperlink" Target="https://pbs.twimg.com/profile_images/378800000572104796/1de43e1cf23efb3f4101c02afad0d3b6_normal.png" TargetMode="External"/><Relationship Id="rId22142" Type="http://schemas.openxmlformats.org/officeDocument/2006/relationships/hyperlink" Target="https://twitter.com/TobiasAustrup" TargetMode="External"/><Relationship Id="rId8555" Type="http://schemas.openxmlformats.org/officeDocument/2006/relationships/hyperlink" Target="https://twitter.com/MerlinaAlmendra/status/723394163245346816" TargetMode="External"/><Relationship Id="rId9606" Type="http://schemas.openxmlformats.org/officeDocument/2006/relationships/hyperlink" Target="https://twitter.com/vwpress_de" TargetMode="External"/><Relationship Id="rId9953" Type="http://schemas.openxmlformats.org/officeDocument/2006/relationships/hyperlink" Target="https://pbs.twimg.com/profile_images/701133680937291776/4TSsJk3y_normal.jpg" TargetMode="External"/><Relationship Id="rId11883" Type="http://schemas.openxmlformats.org/officeDocument/2006/relationships/hyperlink" Target="https://twitter.com/VWBeetleSales/status/723509452037455872" TargetMode="External"/><Relationship Id="rId12934" Type="http://schemas.openxmlformats.org/officeDocument/2006/relationships/hyperlink" Target="https://twitter.com/angulosiete/status/723531929224642560" TargetMode="External"/><Relationship Id="rId17098" Type="http://schemas.openxmlformats.org/officeDocument/2006/relationships/hyperlink" Target="https://pbs.twimg.com/profile_images/650997880606560256/X60nrR5n_normal.jpg" TargetMode="External"/><Relationship Id="rId18149" Type="http://schemas.openxmlformats.org/officeDocument/2006/relationships/hyperlink" Target="https://pbs.twimg.com/profile_images/692310744122179588/mSQOWSau_normal.jpg" TargetMode="External"/><Relationship Id="rId19547" Type="http://schemas.openxmlformats.org/officeDocument/2006/relationships/hyperlink" Target="https://twitter.com/PaulMIllerVW" TargetMode="External"/><Relationship Id="rId25365" Type="http://schemas.openxmlformats.org/officeDocument/2006/relationships/hyperlink" Target="https://twitter.com/VolkswagenPost" TargetMode="External"/><Relationship Id="rId1942" Type="http://schemas.openxmlformats.org/officeDocument/2006/relationships/hyperlink" Target="https://twitter.com/FAZ_Finanzen" TargetMode="External"/><Relationship Id="rId7157" Type="http://schemas.openxmlformats.org/officeDocument/2006/relationships/hyperlink" Target="https://twitter.com/techhippie/status/723282106756018176" TargetMode="External"/><Relationship Id="rId8208" Type="http://schemas.openxmlformats.org/officeDocument/2006/relationships/hyperlink" Target="http://tagesschau.de/" TargetMode="External"/><Relationship Id="rId10485" Type="http://schemas.openxmlformats.org/officeDocument/2006/relationships/hyperlink" Target="https://twitter.com/Elitet5/status/723474558649532416" TargetMode="External"/><Relationship Id="rId11536" Type="http://schemas.openxmlformats.org/officeDocument/2006/relationships/hyperlink" Target="https://twitter.com/C_Heinrich_83" TargetMode="External"/><Relationship Id="rId25018" Type="http://schemas.openxmlformats.org/officeDocument/2006/relationships/hyperlink" Target="https://twitter.com/bertinosr" TargetMode="External"/><Relationship Id="rId10138" Type="http://schemas.openxmlformats.org/officeDocument/2006/relationships/hyperlink" Target="https://twitter.com/AFECTADOGRUPOVW" TargetMode="External"/><Relationship Id="rId14759" Type="http://schemas.openxmlformats.org/officeDocument/2006/relationships/hyperlink" Target="https://twitter.com/Zusehrverkuerzt/status/723581555889868802" TargetMode="External"/><Relationship Id="rId18630" Type="http://schemas.openxmlformats.org/officeDocument/2006/relationships/hyperlink" Target="https://twitter.com/danny_macaskill" TargetMode="External"/><Relationship Id="rId21975" Type="http://schemas.openxmlformats.org/officeDocument/2006/relationships/hyperlink" Target="https://twitter.com/vwpress_en" TargetMode="External"/><Relationship Id="rId3767" Type="http://schemas.openxmlformats.org/officeDocument/2006/relationships/hyperlink" Target="https://twitter.com/aktionaer" TargetMode="External"/><Relationship Id="rId4818" Type="http://schemas.openxmlformats.org/officeDocument/2006/relationships/hyperlink" Target="https://pbs.twimg.com/profile_images/702423578608852994/zVbR9TA1_normal.jpg" TargetMode="External"/><Relationship Id="rId16181" Type="http://schemas.openxmlformats.org/officeDocument/2006/relationships/hyperlink" Target="https://abs.twimg.com/sticky/default_profile_images/default_profile_0_normal.png" TargetMode="External"/><Relationship Id="rId17232" Type="http://schemas.openxmlformats.org/officeDocument/2006/relationships/hyperlink" Target="https://twitter.com/NDRnds/status/723782221375647744" TargetMode="External"/><Relationship Id="rId20577" Type="http://schemas.openxmlformats.org/officeDocument/2006/relationships/hyperlink" Target="http://motorgiga.com/" TargetMode="External"/><Relationship Id="rId21628" Type="http://schemas.openxmlformats.org/officeDocument/2006/relationships/hyperlink" Target="https://pbs.twimg.com/profile_images/718835727027580928/1ssyQ67y_normal.jpg" TargetMode="External"/><Relationship Id="rId688" Type="http://schemas.openxmlformats.org/officeDocument/2006/relationships/hyperlink" Target="https://twitter.com/iMeme_74/status/722968084487757824" TargetMode="External"/><Relationship Id="rId2369" Type="http://schemas.openxmlformats.org/officeDocument/2006/relationships/hyperlink" Target="https://pbs.twimg.com/profile_images/644482436257185792/immN1agH_normal.jpg" TargetMode="External"/><Relationship Id="rId6240" Type="http://schemas.openxmlformats.org/officeDocument/2006/relationships/hyperlink" Target="https://twitter.com/JayStarGrp" TargetMode="External"/><Relationship Id="rId23050" Type="http://schemas.openxmlformats.org/officeDocument/2006/relationships/hyperlink" Target="https://twitter.com/RVSalesJC/status/724266785336352768" TargetMode="External"/><Relationship Id="rId24101" Type="http://schemas.openxmlformats.org/officeDocument/2006/relationships/hyperlink" Target="https://abs.twimg.com/sticky/default_profile_images/default_profile_6_normal.png" TargetMode="External"/><Relationship Id="rId2850" Type="http://schemas.openxmlformats.org/officeDocument/2006/relationships/hyperlink" Target="https://twitter.com/PaolettoDoro" TargetMode="External"/><Relationship Id="rId9463" Type="http://schemas.openxmlformats.org/officeDocument/2006/relationships/hyperlink" Target="https://twitter.com/VWCamperSales" TargetMode="External"/><Relationship Id="rId11393" Type="http://schemas.openxmlformats.org/officeDocument/2006/relationships/hyperlink" Target="https://twitter.com/pgeorgol/status/723501799110533121" TargetMode="External"/><Relationship Id="rId12444" Type="http://schemas.openxmlformats.org/officeDocument/2006/relationships/hyperlink" Target="https://pbs.twimg.com/profile_images/1289359150/Xenon07.2_normal.jpg" TargetMode="External"/><Relationship Id="rId12791" Type="http://schemas.openxmlformats.org/officeDocument/2006/relationships/hyperlink" Target="https://twitter.com/parthaabosu/status/723527796966842370" TargetMode="External"/><Relationship Id="rId13842" Type="http://schemas.openxmlformats.org/officeDocument/2006/relationships/hyperlink" Target="https://twitter.com/digitalAngst" TargetMode="External"/><Relationship Id="rId19057" Type="http://schemas.openxmlformats.org/officeDocument/2006/relationships/hyperlink" Target="https://pbs.twimg.com/profile_images/541554437656158208/ryXJEi6c_normal.jpeg" TargetMode="External"/><Relationship Id="rId822" Type="http://schemas.openxmlformats.org/officeDocument/2006/relationships/hyperlink" Target="https://twitter.com/StevenWeisbrot" TargetMode="External"/><Relationship Id="rId1452" Type="http://schemas.openxmlformats.org/officeDocument/2006/relationships/hyperlink" Target="https://twitter.com/LesleeTT/status/723041209095081984" TargetMode="External"/><Relationship Id="rId2503" Type="http://schemas.openxmlformats.org/officeDocument/2006/relationships/hyperlink" Target="https://twitter.com/tagesschau" TargetMode="External"/><Relationship Id="rId3901" Type="http://schemas.openxmlformats.org/officeDocument/2006/relationships/hyperlink" Target="https://twitter.com/franz_rother/status/723171567547650048" TargetMode="External"/><Relationship Id="rId8065" Type="http://schemas.openxmlformats.org/officeDocument/2006/relationships/hyperlink" Target="https://pbs.twimg.com/profile_images/3747860790/99e931940b0cf7de296cc59871742be6_normal.jpeg" TargetMode="External"/><Relationship Id="rId9116" Type="http://schemas.openxmlformats.org/officeDocument/2006/relationships/hyperlink" Target="http://ctrlq.org/maps/address/" TargetMode="External"/><Relationship Id="rId11046" Type="http://schemas.openxmlformats.org/officeDocument/2006/relationships/hyperlink" Target="https://pbs.twimg.com/profile_images/655324200245272576/n6_8jlJ2_normal.jpg" TargetMode="External"/><Relationship Id="rId20711" Type="http://schemas.openxmlformats.org/officeDocument/2006/relationships/hyperlink" Target="https://twitter.com/Gaitor62" TargetMode="External"/><Relationship Id="rId1105" Type="http://schemas.openxmlformats.org/officeDocument/2006/relationships/hyperlink" Target="https://pbs.twimg.com/profile_images/581493900763893760/mHgaLoR5_normal.jpg" TargetMode="External"/><Relationship Id="rId15667" Type="http://schemas.openxmlformats.org/officeDocument/2006/relationships/hyperlink" Target="https://pbs.twimg.com/profile_images/707844012154101760/6yMrzDXE_normal.jpg" TargetMode="External"/><Relationship Id="rId16718" Type="http://schemas.openxmlformats.org/officeDocument/2006/relationships/hyperlink" Target="https://pbs.twimg.com/profile_images/607768408768118784/KQCGVxZn_normal.jpg" TargetMode="External"/><Relationship Id="rId22883" Type="http://schemas.openxmlformats.org/officeDocument/2006/relationships/hyperlink" Target="https://twitter.com/HomeMckee" TargetMode="External"/><Relationship Id="rId23934" Type="http://schemas.openxmlformats.org/officeDocument/2006/relationships/hyperlink" Target="https://twitter.com/dubbusses/status/724321628113481728" TargetMode="External"/><Relationship Id="rId3277" Type="http://schemas.openxmlformats.org/officeDocument/2006/relationships/hyperlink" Target="https://pbs.twimg.com/profile_images/530071272881803264/a_jcCmPZ_normal.png" TargetMode="External"/><Relationship Id="rId4675" Type="http://schemas.openxmlformats.org/officeDocument/2006/relationships/hyperlink" Target="http://linkis.com/" TargetMode="External"/><Relationship Id="rId5726" Type="http://schemas.openxmlformats.org/officeDocument/2006/relationships/hyperlink" Target="https://twitter.com/VolkswagenPost" TargetMode="External"/><Relationship Id="rId14269" Type="http://schemas.openxmlformats.org/officeDocument/2006/relationships/hyperlink" Target="https://twitter.com/PaaaaaaulaS2" TargetMode="External"/><Relationship Id="rId18140" Type="http://schemas.openxmlformats.org/officeDocument/2006/relationships/hyperlink" Target="https://pbs.twimg.com/profile_images/454742454743609344/phoHOZ9h_normal.jpeg" TargetMode="External"/><Relationship Id="rId20087" Type="http://schemas.openxmlformats.org/officeDocument/2006/relationships/hyperlink" Target="https://twitter.com/yeeea66" TargetMode="External"/><Relationship Id="rId21485" Type="http://schemas.openxmlformats.org/officeDocument/2006/relationships/hyperlink" Target="https://twitter.com/autofreshnews" TargetMode="External"/><Relationship Id="rId22536" Type="http://schemas.openxmlformats.org/officeDocument/2006/relationships/hyperlink" Target="https://twitter.com/CoryBarrios/status/724227994701709313" TargetMode="External"/><Relationship Id="rId198" Type="http://schemas.openxmlformats.org/officeDocument/2006/relationships/hyperlink" Target="https://pbs.twimg.com/profile_images/672213374206402560/QB5b3iyi_normal.jpg" TargetMode="External"/><Relationship Id="rId4328" Type="http://schemas.openxmlformats.org/officeDocument/2006/relationships/hyperlink" Target="https://twitter.com/giselaBoezio" TargetMode="External"/><Relationship Id="rId7898" Type="http://schemas.openxmlformats.org/officeDocument/2006/relationships/hyperlink" Target="https://twitter.com/caroswg" TargetMode="External"/><Relationship Id="rId8949" Type="http://schemas.openxmlformats.org/officeDocument/2006/relationships/hyperlink" Target="https://twitter.com/LouisPosern/status/723412526172532736" TargetMode="External"/><Relationship Id="rId10879" Type="http://schemas.openxmlformats.org/officeDocument/2006/relationships/hyperlink" Target="https://twitter.com/manliomannozzi/status/723488823661846528" TargetMode="External"/><Relationship Id="rId14750" Type="http://schemas.openxmlformats.org/officeDocument/2006/relationships/hyperlink" Target="https://twitter.com/techhippie/status/723581526483546112" TargetMode="External"/><Relationship Id="rId15801" Type="http://schemas.openxmlformats.org/officeDocument/2006/relationships/hyperlink" Target="https://twitter.com/ingridHH/status/723628115310854144" TargetMode="External"/><Relationship Id="rId21138" Type="http://schemas.openxmlformats.org/officeDocument/2006/relationships/hyperlink" Target="https://twitter.com/paintdodgers/status/724108384052609025" TargetMode="External"/><Relationship Id="rId25759" Type="http://schemas.openxmlformats.org/officeDocument/2006/relationships/hyperlink" Target="https://twitter.com/BriardSebastien/status/724470337115721729" TargetMode="External"/><Relationship Id="rId13352" Type="http://schemas.openxmlformats.org/officeDocument/2006/relationships/hyperlink" Target="https://twitter.com/Stuartyoung001" TargetMode="External"/><Relationship Id="rId14403" Type="http://schemas.openxmlformats.org/officeDocument/2006/relationships/hyperlink" Target="https://pbs.twimg.com/profile_images/637536838597672960/lxw69UmJ_normal.jpg" TargetMode="External"/><Relationship Id="rId2360" Type="http://schemas.openxmlformats.org/officeDocument/2006/relationships/hyperlink" Target="https://twitter.com/dwnews" TargetMode="External"/><Relationship Id="rId3411" Type="http://schemas.openxmlformats.org/officeDocument/2006/relationships/hyperlink" Target="https://twitter.com/periodismomotor/status/723157080807485440" TargetMode="External"/><Relationship Id="rId6981" Type="http://schemas.openxmlformats.org/officeDocument/2006/relationships/hyperlink" Target="https://twitter.com/SmackSmog" TargetMode="External"/><Relationship Id="rId13005" Type="http://schemas.openxmlformats.org/officeDocument/2006/relationships/hyperlink" Target="https://twitter.com/_graciosa/status/723533073367859201" TargetMode="External"/><Relationship Id="rId16575" Type="http://schemas.openxmlformats.org/officeDocument/2006/relationships/hyperlink" Target="https://pbs.twimg.com/profile_images/2646835465/aa5823578b01b04b7e91d58e8ca88691_normal.jpeg" TargetMode="External"/><Relationship Id="rId17973" Type="http://schemas.openxmlformats.org/officeDocument/2006/relationships/hyperlink" Target="https://twitter.com/JohnPinkGTi" TargetMode="External"/><Relationship Id="rId20221" Type="http://schemas.openxmlformats.org/officeDocument/2006/relationships/hyperlink" Target="https://twitter.com/dubbusses" TargetMode="External"/><Relationship Id="rId23791" Type="http://schemas.openxmlformats.org/officeDocument/2006/relationships/hyperlink" Target="https://pbs.twimg.com/profile_images/538904414485250048/5Ura1aCS_normal.jpeg" TargetMode="External"/><Relationship Id="rId332" Type="http://schemas.openxmlformats.org/officeDocument/2006/relationships/hyperlink" Target="https://twitter.com/VWCamperSales/status/722947854336061440" TargetMode="External"/><Relationship Id="rId2013" Type="http://schemas.openxmlformats.org/officeDocument/2006/relationships/hyperlink" Target="https://twitter.com/MiManske" TargetMode="External"/><Relationship Id="rId5583" Type="http://schemas.openxmlformats.org/officeDocument/2006/relationships/hyperlink" Target="https://pbs.twimg.com/profile_images/683943927808917505/ufIVpnBm_normal.png" TargetMode="External"/><Relationship Id="rId6634" Type="http://schemas.openxmlformats.org/officeDocument/2006/relationships/hyperlink" Target="https://pbs.twimg.com/profile_images/542264779063455744/71-O8Lbp_normal.jpeg" TargetMode="External"/><Relationship Id="rId15177" Type="http://schemas.openxmlformats.org/officeDocument/2006/relationships/hyperlink" Target="https://pbs.twimg.com/profile_images/378800000838147699/1b1d5a634aedb62ab272ba7fa17a9902_normal.jpeg" TargetMode="External"/><Relationship Id="rId16228" Type="http://schemas.openxmlformats.org/officeDocument/2006/relationships/hyperlink" Target="https://pbs.twimg.com/profile_images/714295690629947392/xeCSYFnl_normal.jpg" TargetMode="External"/><Relationship Id="rId17626" Type="http://schemas.openxmlformats.org/officeDocument/2006/relationships/hyperlink" Target="https://twitter.com/carstech42160" TargetMode="External"/><Relationship Id="rId22393" Type="http://schemas.openxmlformats.org/officeDocument/2006/relationships/hyperlink" Target="https://twitter.com/XclusivModz" TargetMode="External"/><Relationship Id="rId23444" Type="http://schemas.openxmlformats.org/officeDocument/2006/relationships/hyperlink" Target="https://twitter.com/ThreeCountyVW" TargetMode="External"/><Relationship Id="rId24842" Type="http://schemas.openxmlformats.org/officeDocument/2006/relationships/hyperlink" Target="https://twitter.com/VWBeetleSales/status/724391358874558464" TargetMode="External"/><Relationship Id="rId4185" Type="http://schemas.openxmlformats.org/officeDocument/2006/relationships/hyperlink" Target="https://twitter.com/eiifi" TargetMode="External"/><Relationship Id="rId5236" Type="http://schemas.openxmlformats.org/officeDocument/2006/relationships/hyperlink" Target="https://pbs.twimg.com/profile_images/618724636432461824/pHKXVND5_normal.jpg" TargetMode="External"/><Relationship Id="rId19798" Type="http://schemas.openxmlformats.org/officeDocument/2006/relationships/hyperlink" Target="https://twitter.com/JCristianGF" TargetMode="External"/><Relationship Id="rId22046" Type="http://schemas.openxmlformats.org/officeDocument/2006/relationships/hyperlink" Target="https://twitter.com/JClaesz/status/724197514228981761" TargetMode="External"/><Relationship Id="rId9857" Type="http://schemas.openxmlformats.org/officeDocument/2006/relationships/hyperlink" Target="https://pbs.twimg.com/profile_images/603480066887127041/ZqzOY80Q_normal.jpg" TargetMode="External"/><Relationship Id="rId11787" Type="http://schemas.openxmlformats.org/officeDocument/2006/relationships/hyperlink" Target="https://twitter.com/holger_sd/status/723507581482852353" TargetMode="External"/><Relationship Id="rId12838" Type="http://schemas.openxmlformats.org/officeDocument/2006/relationships/hyperlink" Target="https://pbs.twimg.com/profile_images/486974224913801216/Jo4bZX4l_normal.jpeg" TargetMode="External"/><Relationship Id="rId1846" Type="http://schemas.openxmlformats.org/officeDocument/2006/relationships/hyperlink" Target="https://twitter.com/1000dinge/status/723062446701862912" TargetMode="External"/><Relationship Id="rId8459" Type="http://schemas.openxmlformats.org/officeDocument/2006/relationships/hyperlink" Target="https://twitter.com/franz_rother" TargetMode="External"/><Relationship Id="rId10389" Type="http://schemas.openxmlformats.org/officeDocument/2006/relationships/hyperlink" Target="https://twitter.com/HKok74" TargetMode="External"/><Relationship Id="rId14260" Type="http://schemas.openxmlformats.org/officeDocument/2006/relationships/hyperlink" Target="https://twitter.com/rosalesfranco01" TargetMode="External"/><Relationship Id="rId15311" Type="http://schemas.openxmlformats.org/officeDocument/2006/relationships/hyperlink" Target="https://twitter.com/martin_speer" TargetMode="External"/><Relationship Id="rId18881" Type="http://schemas.openxmlformats.org/officeDocument/2006/relationships/hyperlink" Target="https://twitter.com/fraenkySG/status/723903153129807873" TargetMode="External"/><Relationship Id="rId19932" Type="http://schemas.openxmlformats.org/officeDocument/2006/relationships/hyperlink" Target="https://pbs.twimg.com/profile_images/479939110/desni-bek_normal.jpg" TargetMode="External"/><Relationship Id="rId25269" Type="http://schemas.openxmlformats.org/officeDocument/2006/relationships/hyperlink" Target="https://pbs.twimg.com/profile_images/538524613073178624/Zs-tGYIs_normal.jpeg" TargetMode="External"/><Relationship Id="rId8940" Type="http://schemas.openxmlformats.org/officeDocument/2006/relationships/hyperlink" Target="https://twitter.com/autogazette/status/723412169593737216" TargetMode="External"/><Relationship Id="rId17483" Type="http://schemas.openxmlformats.org/officeDocument/2006/relationships/hyperlink" Target="https://twitter.com/KleinerAktivist/status/723801299632971776" TargetMode="External"/><Relationship Id="rId18534" Type="http://schemas.openxmlformats.org/officeDocument/2006/relationships/hyperlink" Target="https://twitter.com/crissshidalgo" TargetMode="External"/><Relationship Id="rId21879" Type="http://schemas.openxmlformats.org/officeDocument/2006/relationships/hyperlink" Target="https://pbs.twimg.com/profile_images/627949001179037696/skEBkS05_normal.jpg" TargetMode="External"/><Relationship Id="rId25750" Type="http://schemas.openxmlformats.org/officeDocument/2006/relationships/hyperlink" Target="https://twitter.com/mannyWHU/status/724469855353724930" TargetMode="External"/><Relationship Id="rId6491" Type="http://schemas.openxmlformats.org/officeDocument/2006/relationships/hyperlink" Target="https://pbs.twimg.com/profile_images/599226705513820160/hFySz3DC_normal.jpg" TargetMode="External"/><Relationship Id="rId7542" Type="http://schemas.openxmlformats.org/officeDocument/2006/relationships/hyperlink" Target="https://twitter.com/Scirocco_Tuning" TargetMode="External"/><Relationship Id="rId10523" Type="http://schemas.openxmlformats.org/officeDocument/2006/relationships/hyperlink" Target="https://twitter.com/vwpress_de" TargetMode="External"/><Relationship Id="rId10870" Type="http://schemas.openxmlformats.org/officeDocument/2006/relationships/hyperlink" Target="https://twitter.com/erikvindedzis/status/723488548792344577" TargetMode="External"/><Relationship Id="rId11921" Type="http://schemas.openxmlformats.org/officeDocument/2006/relationships/hyperlink" Target="https://twitter.com/VolkerVotsmeier" TargetMode="External"/><Relationship Id="rId16085" Type="http://schemas.openxmlformats.org/officeDocument/2006/relationships/hyperlink" Target="https://twitter.com/_LeonAntelo" TargetMode="External"/><Relationship Id="rId17136" Type="http://schemas.openxmlformats.org/officeDocument/2006/relationships/hyperlink" Target="https://pbs.twimg.com/profile_images/627949001179037696/skEBkS05_normal.jpg" TargetMode="External"/><Relationship Id="rId24352" Type="http://schemas.openxmlformats.org/officeDocument/2006/relationships/hyperlink" Target="https://pbs.twimg.com/profile_images/719111702093111296/JRoEGteR_normal.jpg" TargetMode="External"/><Relationship Id="rId25403" Type="http://schemas.openxmlformats.org/officeDocument/2006/relationships/hyperlink" Target="https://pbs.twimg.com/profile_images/1328237586/288994539_normal.jpg" TargetMode="External"/><Relationship Id="rId5093" Type="http://schemas.openxmlformats.org/officeDocument/2006/relationships/hyperlink" Target="https://pbs.twimg.com/profile_images/439735434776940544/23u_i7Km_normal.jpeg" TargetMode="External"/><Relationship Id="rId6144" Type="http://schemas.openxmlformats.org/officeDocument/2006/relationships/hyperlink" Target="https://twitter.com/Pinkerton/status/723232419437010944" TargetMode="External"/><Relationship Id="rId24005" Type="http://schemas.openxmlformats.org/officeDocument/2006/relationships/hyperlink" Target="https://pbs.twimg.com/profile_images/672878354127839232/M7OYc-zx_normal.jpg" TargetMode="External"/><Relationship Id="rId9367" Type="http://schemas.openxmlformats.org/officeDocument/2006/relationships/hyperlink" Target="https://twitter.com/schillipaeppa" TargetMode="External"/><Relationship Id="rId12695" Type="http://schemas.openxmlformats.org/officeDocument/2006/relationships/hyperlink" Target="https://twitter.com/C_Heinrich_83" TargetMode="External"/><Relationship Id="rId13746" Type="http://schemas.openxmlformats.org/officeDocument/2006/relationships/hyperlink" Target="https://pbs.twimg.com/profile_images/692954438294700032/btbx0_sR_normal.jpg" TargetMode="External"/><Relationship Id="rId20962" Type="http://schemas.openxmlformats.org/officeDocument/2006/relationships/hyperlink" Target="https://pbs.twimg.com/profile_images/718835727027580928/1ssyQ67y_normal.jpg" TargetMode="External"/><Relationship Id="rId1356" Type="http://schemas.openxmlformats.org/officeDocument/2006/relationships/hyperlink" Target="https://twitter.com/deanomsport/status/723037794801713152" TargetMode="External"/><Relationship Id="rId2754" Type="http://schemas.openxmlformats.org/officeDocument/2006/relationships/hyperlink" Target="https://pbs.twimg.com/profile_images/433240550620147713/gn7IHF5i_normal.jpeg" TargetMode="External"/><Relationship Id="rId3805" Type="http://schemas.openxmlformats.org/officeDocument/2006/relationships/hyperlink" Target="https://pbs.twimg.com/profile_images/698350568230653953/1oTyiUmx_normal.jpg" TargetMode="External"/><Relationship Id="rId11297" Type="http://schemas.openxmlformats.org/officeDocument/2006/relationships/hyperlink" Target="https://pbs.twimg.com/profile_images/707556127202881537/wxyyuNEr_normal.jpg" TargetMode="External"/><Relationship Id="rId12348" Type="http://schemas.openxmlformats.org/officeDocument/2006/relationships/hyperlink" Target="https://twitter.com/louisa_faux/status/723517745682214912" TargetMode="External"/><Relationship Id="rId16969" Type="http://schemas.openxmlformats.org/officeDocument/2006/relationships/hyperlink" Target="https://twitter.com/AnjaKolibri" TargetMode="External"/><Relationship Id="rId20615" Type="http://schemas.openxmlformats.org/officeDocument/2006/relationships/hyperlink" Target="https://twitter.com/thatcurtis619/status/724015273150418944" TargetMode="External"/><Relationship Id="rId726" Type="http://schemas.openxmlformats.org/officeDocument/2006/relationships/hyperlink" Target="https://pbs.twimg.com/profile_images/647832236000153600/O7WDz2Ei_normal.jpg" TargetMode="External"/><Relationship Id="rId1009" Type="http://schemas.openxmlformats.org/officeDocument/2006/relationships/hyperlink" Target="https://pbs.twimg.com/profile_images/641238966541361152/-oEpQ9XT_normal.png" TargetMode="External"/><Relationship Id="rId2407" Type="http://schemas.openxmlformats.org/officeDocument/2006/relationships/hyperlink" Target="https://pbs.twimg.com/profile_images/703294545195307008/qeCvrX86_normal.jpg" TargetMode="External"/><Relationship Id="rId5977" Type="http://schemas.openxmlformats.org/officeDocument/2006/relationships/hyperlink" Target="http://dlvr.it/" TargetMode="External"/><Relationship Id="rId18391" Type="http://schemas.openxmlformats.org/officeDocument/2006/relationships/hyperlink" Target="https://pbs.twimg.com/profile_images/519785398566785024/PVYaywMF_normal.jpeg" TargetMode="External"/><Relationship Id="rId19442" Type="http://schemas.openxmlformats.org/officeDocument/2006/relationships/hyperlink" Target="https://pbs.twimg.com/profile_images/475566543200591872/LlXTxHkb_normal.jpeg" TargetMode="External"/><Relationship Id="rId22787" Type="http://schemas.openxmlformats.org/officeDocument/2006/relationships/hyperlink" Target="https://twitter.com/mannrazz" TargetMode="External"/><Relationship Id="rId23838" Type="http://schemas.openxmlformats.org/officeDocument/2006/relationships/hyperlink" Target="https://twitter.com/masterhrules" TargetMode="External"/><Relationship Id="rId62" Type="http://schemas.openxmlformats.org/officeDocument/2006/relationships/hyperlink" Target="https://twitter.com/jeffyboy56/status/722922118241992704" TargetMode="External"/><Relationship Id="rId4579" Type="http://schemas.openxmlformats.org/officeDocument/2006/relationships/hyperlink" Target="https://twitter.com/evka_tweets/status/723182912770691073" TargetMode="External"/><Relationship Id="rId8450" Type="http://schemas.openxmlformats.org/officeDocument/2006/relationships/hyperlink" Target="https://twitter.com/handelsblatt" TargetMode="External"/><Relationship Id="rId9501" Type="http://schemas.openxmlformats.org/officeDocument/2006/relationships/hyperlink" Target="https://pbs.twimg.com/profile_images/718820712757215233/LXXndPTS_normal.jpg" TargetMode="External"/><Relationship Id="rId10380" Type="http://schemas.openxmlformats.org/officeDocument/2006/relationships/hyperlink" Target="https://twitter.com/dw_business" TargetMode="External"/><Relationship Id="rId11431" Type="http://schemas.openxmlformats.org/officeDocument/2006/relationships/hyperlink" Target="http://dlvr.it/" TargetMode="External"/><Relationship Id="rId18044" Type="http://schemas.openxmlformats.org/officeDocument/2006/relationships/hyperlink" Target="https://twitter.com/FuscaWorld" TargetMode="External"/><Relationship Id="rId21389" Type="http://schemas.openxmlformats.org/officeDocument/2006/relationships/hyperlink" Target="https://twitter.com/NorthWestDubs" TargetMode="External"/><Relationship Id="rId25260" Type="http://schemas.openxmlformats.org/officeDocument/2006/relationships/hyperlink" Target="https://pbs.twimg.com/profile_images/701569180869349376/3qWAAPJX_normal.jpg" TargetMode="External"/><Relationship Id="rId7052" Type="http://schemas.openxmlformats.org/officeDocument/2006/relationships/hyperlink" Target="https://twitter.com/chris_mccan/status/723276078031228929" TargetMode="External"/><Relationship Id="rId8103" Type="http://schemas.openxmlformats.org/officeDocument/2006/relationships/hyperlink" Target="https://twitter.com/charlesrssll/status/723368987816382464" TargetMode="External"/><Relationship Id="rId10033" Type="http://schemas.openxmlformats.org/officeDocument/2006/relationships/hyperlink" Target="https://twitter.com/Braulio_Urresti" TargetMode="External"/><Relationship Id="rId14654" Type="http://schemas.openxmlformats.org/officeDocument/2006/relationships/hyperlink" Target="https://abs.twimg.com/sticky/default_profile_images/default_profile_0_normal.png" TargetMode="External"/><Relationship Id="rId21870" Type="http://schemas.openxmlformats.org/officeDocument/2006/relationships/hyperlink" Target="https://twitter.com/techhippie/status/724186875322359808" TargetMode="External"/><Relationship Id="rId3662" Type="http://schemas.openxmlformats.org/officeDocument/2006/relationships/hyperlink" Target="https://pbs.twimg.com/profile_images/710929065939755009/-Rgs_z20_normal.jpg" TargetMode="External"/><Relationship Id="rId4713" Type="http://schemas.openxmlformats.org/officeDocument/2006/relationships/hyperlink" Target="https://twitter.com/JordiCerda" TargetMode="External"/><Relationship Id="rId13256" Type="http://schemas.openxmlformats.org/officeDocument/2006/relationships/hyperlink" Target="https://twitter.com/TommyMontoya/status/723541166830952449" TargetMode="External"/><Relationship Id="rId14307" Type="http://schemas.openxmlformats.org/officeDocument/2006/relationships/hyperlink" Target="https://twitter.com/AlexWitzleben/status/723571981849878529" TargetMode="External"/><Relationship Id="rId15705" Type="http://schemas.openxmlformats.org/officeDocument/2006/relationships/hyperlink" Target="https://twitter.com/acvwpassion" TargetMode="External"/><Relationship Id="rId20472" Type="http://schemas.openxmlformats.org/officeDocument/2006/relationships/hyperlink" Target="https://twitter.com/oldcar_photo" TargetMode="External"/><Relationship Id="rId21523" Type="http://schemas.openxmlformats.org/officeDocument/2006/relationships/hyperlink" Target="https://twitter.com/JMJM197" TargetMode="External"/><Relationship Id="rId22921" Type="http://schemas.openxmlformats.org/officeDocument/2006/relationships/hyperlink" Target="https://twitter.com/jd_clementsgk/status/724256930349350912" TargetMode="External"/><Relationship Id="rId583" Type="http://schemas.openxmlformats.org/officeDocument/2006/relationships/hyperlink" Target="https://twitter.com/UJwowhowfunoD/status/722966843695095810" TargetMode="External"/><Relationship Id="rId2264" Type="http://schemas.openxmlformats.org/officeDocument/2006/relationships/hyperlink" Target="https://twitter.com/GianMarcoSolas/status/723091947980771328" TargetMode="External"/><Relationship Id="rId3315" Type="http://schemas.openxmlformats.org/officeDocument/2006/relationships/hyperlink" Target="https://pbs.twimg.com/profile_images/720394081952743425/XUEIaQ_2_normal.jpg" TargetMode="External"/><Relationship Id="rId17877" Type="http://schemas.openxmlformats.org/officeDocument/2006/relationships/hyperlink" Target="https://pbs.twimg.com/profile_images/378800000673633859/9729e4c280465095c6f835c9f6b36378_normal.jpeg" TargetMode="External"/><Relationship Id="rId18928" Type="http://schemas.openxmlformats.org/officeDocument/2006/relationships/hyperlink" Target="http://ctrlq.org/maps/address/" TargetMode="External"/><Relationship Id="rId20125" Type="http://schemas.openxmlformats.org/officeDocument/2006/relationships/hyperlink" Target="https://twitter.com/jukij/status/723976152214306816" TargetMode="External"/><Relationship Id="rId236" Type="http://schemas.openxmlformats.org/officeDocument/2006/relationships/hyperlink" Target="https://twitter.com/RobShiveley/status/722938911824179200" TargetMode="External"/><Relationship Id="rId5487" Type="http://schemas.openxmlformats.org/officeDocument/2006/relationships/hyperlink" Target="https://pbs.twimg.com/profile_images/579004061761957889/oIaJbG2t_normal.png" TargetMode="External"/><Relationship Id="rId6885" Type="http://schemas.openxmlformats.org/officeDocument/2006/relationships/hyperlink" Target="https://twitter.com/ganleyman" TargetMode="External"/><Relationship Id="rId7936" Type="http://schemas.openxmlformats.org/officeDocument/2006/relationships/hyperlink" Target="https://pbs.twimg.com/profile_images/695773573919543296/Q1mS960c_normal.jpg" TargetMode="External"/><Relationship Id="rId10917" Type="http://schemas.openxmlformats.org/officeDocument/2006/relationships/hyperlink" Target="https://twitter.com/xius2" TargetMode="External"/><Relationship Id="rId16479" Type="http://schemas.openxmlformats.org/officeDocument/2006/relationships/hyperlink" Target="https://twitter.com/NoCarNoFun" TargetMode="External"/><Relationship Id="rId22297" Type="http://schemas.openxmlformats.org/officeDocument/2006/relationships/hyperlink" Target="https://twitter.com/VeeDubMk1_" TargetMode="External"/><Relationship Id="rId23695" Type="http://schemas.openxmlformats.org/officeDocument/2006/relationships/hyperlink" Target="https://pbs.twimg.com/profile_images/718820712757215233/LXXndPTS_normal.jpg" TargetMode="External"/><Relationship Id="rId24746" Type="http://schemas.openxmlformats.org/officeDocument/2006/relationships/hyperlink" Target="https://twitter.com/alexxaannddrrla/status/724386550121914368" TargetMode="External"/><Relationship Id="rId4089" Type="http://schemas.openxmlformats.org/officeDocument/2006/relationships/hyperlink" Target="https://pbs.twimg.com/profile_images/428946684312170496/JhiJB2NG_normal.jpeg" TargetMode="External"/><Relationship Id="rId6538" Type="http://schemas.openxmlformats.org/officeDocument/2006/relationships/hyperlink" Target="https://twitter.com/PowersOlga/status/723245366120837120" TargetMode="External"/><Relationship Id="rId9011" Type="http://schemas.openxmlformats.org/officeDocument/2006/relationships/hyperlink" Target="https://twitter.com/SvOstrow" TargetMode="External"/><Relationship Id="rId16960" Type="http://schemas.openxmlformats.org/officeDocument/2006/relationships/hyperlink" Target="https://twitter.com/VWShawty" TargetMode="External"/><Relationship Id="rId23348" Type="http://schemas.openxmlformats.org/officeDocument/2006/relationships/hyperlink" Target="https://twitter.com/HireVw" TargetMode="External"/><Relationship Id="rId15562" Type="http://schemas.openxmlformats.org/officeDocument/2006/relationships/hyperlink" Target="https://twitter.com/jimmillett72" TargetMode="External"/><Relationship Id="rId16613" Type="http://schemas.openxmlformats.org/officeDocument/2006/relationships/hyperlink" Target="https://twitter.com/varysykusej/status/723700957331116032" TargetMode="External"/><Relationship Id="rId1000" Type="http://schemas.openxmlformats.org/officeDocument/2006/relationships/hyperlink" Target="https://twitter.com/TobiasKestin/status/723011484436037632" TargetMode="External"/><Relationship Id="rId4570" Type="http://schemas.openxmlformats.org/officeDocument/2006/relationships/hyperlink" Target="https://twitter.com/Its_All_Dave/status/723182653147586561" TargetMode="External"/><Relationship Id="rId5621" Type="http://schemas.openxmlformats.org/officeDocument/2006/relationships/hyperlink" Target="https://twitter.com/Decocalcos/status/723210983435579392" TargetMode="External"/><Relationship Id="rId14164" Type="http://schemas.openxmlformats.org/officeDocument/2006/relationships/hyperlink" Target="https://twitter.com/CPitas/status/723566334450216960" TargetMode="External"/><Relationship Id="rId15215" Type="http://schemas.openxmlformats.org/officeDocument/2006/relationships/hyperlink" Target="https://pbs.twimg.com/profile_images/3048824152/ca9d1b4730013b31b4b11191e4da34cf_normal.jpeg" TargetMode="External"/><Relationship Id="rId18785" Type="http://schemas.openxmlformats.org/officeDocument/2006/relationships/hyperlink" Target="https://twitter.com/VolkswagenPost" TargetMode="External"/><Relationship Id="rId21380" Type="http://schemas.openxmlformats.org/officeDocument/2006/relationships/hyperlink" Target="https://twitter.com/journalistR" TargetMode="External"/><Relationship Id="rId22431" Type="http://schemas.openxmlformats.org/officeDocument/2006/relationships/hyperlink" Target="https://twitter.com/OliverJMMueller/status/724223859700936704" TargetMode="External"/><Relationship Id="rId3172" Type="http://schemas.openxmlformats.org/officeDocument/2006/relationships/hyperlink" Target="https://pbs.twimg.com/profile_images/664405900933877760/msXV_X2e_normal.jpg" TargetMode="External"/><Relationship Id="rId4223" Type="http://schemas.openxmlformats.org/officeDocument/2006/relationships/hyperlink" Target="https://twitter.com/RobertaKPIX" TargetMode="External"/><Relationship Id="rId7793" Type="http://schemas.openxmlformats.org/officeDocument/2006/relationships/hyperlink" Target="https://pbs.twimg.com/profile_images/721738389297299456/gv7C8Gao_normal.jpg" TargetMode="External"/><Relationship Id="rId8844" Type="http://schemas.openxmlformats.org/officeDocument/2006/relationships/hyperlink" Target="https://twitter.com/MedAgness/status/723409022330638336" TargetMode="External"/><Relationship Id="rId17387" Type="http://schemas.openxmlformats.org/officeDocument/2006/relationships/hyperlink" Target="https://twitter.com/AlexWitzleben/status/723796235958755328" TargetMode="External"/><Relationship Id="rId18438" Type="http://schemas.openxmlformats.org/officeDocument/2006/relationships/hyperlink" Target="https://twitter.com/Markus_Hoess/status/723868475433881601" TargetMode="External"/><Relationship Id="rId19836" Type="http://schemas.openxmlformats.org/officeDocument/2006/relationships/hyperlink" Target="https://twitter.com/gustaricar2013" TargetMode="External"/><Relationship Id="rId21033" Type="http://schemas.openxmlformats.org/officeDocument/2006/relationships/hyperlink" Target="https://pbs.twimg.com/profile_images/685717935915188224/YoEIodZl_normal.jpg" TargetMode="External"/><Relationship Id="rId25654" Type="http://schemas.openxmlformats.org/officeDocument/2006/relationships/hyperlink" Target="https://twitter.com/_NicoOlmedo_/status/724456615089414144" TargetMode="External"/><Relationship Id="rId6395" Type="http://schemas.openxmlformats.org/officeDocument/2006/relationships/hyperlink" Target="https://pbs.twimg.com/profile_images/672857547104235520/tNqMYM_h_normal.jpg" TargetMode="External"/><Relationship Id="rId7446" Type="http://schemas.openxmlformats.org/officeDocument/2006/relationships/hyperlink" Target="https://twitter.com/wingston/status/723304328836964352" TargetMode="External"/><Relationship Id="rId10774" Type="http://schemas.openxmlformats.org/officeDocument/2006/relationships/hyperlink" Target="https://pbs.twimg.com/profile_images/618480038120423424/5KWa6rCE_normal.jpg" TargetMode="External"/><Relationship Id="rId11825" Type="http://schemas.openxmlformats.org/officeDocument/2006/relationships/hyperlink" Target="https://twitter.com/WaqasBukhari15/status/723508451167600641" TargetMode="External"/><Relationship Id="rId24256" Type="http://schemas.openxmlformats.org/officeDocument/2006/relationships/hyperlink" Target="https://twitter.com/Scirocco_Tuning" TargetMode="External"/><Relationship Id="rId25307" Type="http://schemas.openxmlformats.org/officeDocument/2006/relationships/hyperlink" Target="https://twitter.com/momma_rocker" TargetMode="External"/><Relationship Id="rId6048" Type="http://schemas.openxmlformats.org/officeDocument/2006/relationships/hyperlink" Target="https://twitter.com/Reality_Chaote" TargetMode="External"/><Relationship Id="rId10427" Type="http://schemas.openxmlformats.org/officeDocument/2006/relationships/hyperlink" Target="https://pbs.twimg.com/profile_images/3739924155/8794ee3314758538bee296d31035c357_normal.jpeg" TargetMode="External"/><Relationship Id="rId13997" Type="http://schemas.openxmlformats.org/officeDocument/2006/relationships/hyperlink" Target="https://twitter.com/claudiolegui4" TargetMode="External"/><Relationship Id="rId12599" Type="http://schemas.openxmlformats.org/officeDocument/2006/relationships/hyperlink" Target="https://twitter.com/frank_volk" TargetMode="External"/><Relationship Id="rId16470" Type="http://schemas.openxmlformats.org/officeDocument/2006/relationships/hyperlink" Target="https://twitter.com/GastonVanini/status/723685760289918976" TargetMode="External"/><Relationship Id="rId17521" Type="http://schemas.openxmlformats.org/officeDocument/2006/relationships/hyperlink" Target="https://pbs.twimg.com/profile_images/3378184537/c20ae9a7a410821b4f189c34a63380f7_normal.png" TargetMode="External"/><Relationship Id="rId20866" Type="http://schemas.openxmlformats.org/officeDocument/2006/relationships/hyperlink" Target="https://twitter.com/sateibank" TargetMode="External"/><Relationship Id="rId21917" Type="http://schemas.openxmlformats.org/officeDocument/2006/relationships/hyperlink" Target="https://twitter.com/rajesh877/status/724188399511461888" TargetMode="External"/><Relationship Id="rId977" Type="http://schemas.openxmlformats.org/officeDocument/2006/relationships/hyperlink" Target="https://twitter.com/LocaldriverUS" TargetMode="External"/><Relationship Id="rId2658" Type="http://schemas.openxmlformats.org/officeDocument/2006/relationships/hyperlink" Target="https://pbs.twimg.com/profile_images/513583037305479168/v4d-8gC6_normal.jpeg" TargetMode="External"/><Relationship Id="rId3709" Type="http://schemas.openxmlformats.org/officeDocument/2006/relationships/hyperlink" Target="https://twitter.com/VWBeetleSales" TargetMode="External"/><Relationship Id="rId4080" Type="http://schemas.openxmlformats.org/officeDocument/2006/relationships/hyperlink" Target="https://pbs.twimg.com/profile_images/680251329592344576/lnXUGVBa_normal.jpg" TargetMode="External"/><Relationship Id="rId15072" Type="http://schemas.openxmlformats.org/officeDocument/2006/relationships/hyperlink" Target="https://twitter.com/BodySoulAutoW/status/723592202941804544" TargetMode="External"/><Relationship Id="rId16123" Type="http://schemas.openxmlformats.org/officeDocument/2006/relationships/hyperlink" Target="https://twitter.com/TokanP/status/723649369472425986" TargetMode="External"/><Relationship Id="rId19693" Type="http://schemas.openxmlformats.org/officeDocument/2006/relationships/hyperlink" Target="https://twitter.com/LulubelleLimoVW" TargetMode="External"/><Relationship Id="rId20519" Type="http://schemas.openxmlformats.org/officeDocument/2006/relationships/hyperlink" Target="http://dlvr.it/" TargetMode="External"/><Relationship Id="rId5131" Type="http://schemas.openxmlformats.org/officeDocument/2006/relationships/hyperlink" Target="https://twitter.com/irmischphoto/status/723195009940467712" TargetMode="External"/><Relationship Id="rId9752" Type="http://schemas.openxmlformats.org/officeDocument/2006/relationships/hyperlink" Target="https://twitter.com/BGKSR/status/723447849397014528" TargetMode="External"/><Relationship Id="rId11682" Type="http://schemas.openxmlformats.org/officeDocument/2006/relationships/hyperlink" Target="https://pbs.twimg.com/profile_images/657853466384191488/J6vAnfZr_normal.jpg" TargetMode="External"/><Relationship Id="rId12733" Type="http://schemas.openxmlformats.org/officeDocument/2006/relationships/hyperlink" Target="https://twitter.com/TEbhardt/status/723526523077185538" TargetMode="External"/><Relationship Id="rId18295" Type="http://schemas.openxmlformats.org/officeDocument/2006/relationships/hyperlink" Target="https://twitter.com/TheSnMGroup" TargetMode="External"/><Relationship Id="rId19346" Type="http://schemas.openxmlformats.org/officeDocument/2006/relationships/hyperlink" Target="https://twitter.com/NalfOsal/status/723927190711222272" TargetMode="External"/><Relationship Id="rId1741" Type="http://schemas.openxmlformats.org/officeDocument/2006/relationships/hyperlink" Target="https://twitter.com/Sufiy/status/723054991372619776" TargetMode="External"/><Relationship Id="rId8354" Type="http://schemas.openxmlformats.org/officeDocument/2006/relationships/hyperlink" Target="https://twitter.com/beetlebug1938/status/723384345122103298" TargetMode="External"/><Relationship Id="rId9405" Type="http://schemas.openxmlformats.org/officeDocument/2006/relationships/hyperlink" Target="https://pbs.twimg.com/profile_images/642101062820843520/uJ96gYO5_normal.jpg" TargetMode="External"/><Relationship Id="rId10284" Type="http://schemas.openxmlformats.org/officeDocument/2006/relationships/hyperlink" Target="https://twitter.com/bayl/status/723468317445505024" TargetMode="External"/><Relationship Id="rId11335" Type="http://schemas.openxmlformats.org/officeDocument/2006/relationships/hyperlink" Target="https://twitter.com/noz_de" TargetMode="External"/><Relationship Id="rId25164" Type="http://schemas.openxmlformats.org/officeDocument/2006/relationships/hyperlink" Target="https://pbs.twimg.com/profile_images/690000045916229633/htjgPesK_normal.jpg" TargetMode="External"/><Relationship Id="rId8007" Type="http://schemas.openxmlformats.org/officeDocument/2006/relationships/hyperlink" Target="https://pbs.twimg.com/profile_images/709826799564410880/PaP92lop_normal.jpg" TargetMode="External"/><Relationship Id="rId15956" Type="http://schemas.openxmlformats.org/officeDocument/2006/relationships/hyperlink" Target="https://twitter.com/facubustosT/status/723639119553925121" TargetMode="External"/><Relationship Id="rId3566" Type="http://schemas.openxmlformats.org/officeDocument/2006/relationships/hyperlink" Target="https://twitter.com/phoenix_de/status/723164385485545472" TargetMode="External"/><Relationship Id="rId4964" Type="http://schemas.openxmlformats.org/officeDocument/2006/relationships/hyperlink" Target="https://twitter.com/L3onardP" TargetMode="External"/><Relationship Id="rId14558" Type="http://schemas.openxmlformats.org/officeDocument/2006/relationships/hyperlink" Target="https://twitter.com/Michael_Vasanth/status/723575385506615297" TargetMode="External"/><Relationship Id="rId15609" Type="http://schemas.openxmlformats.org/officeDocument/2006/relationships/hyperlink" Target="http://highlandertv.eu/" TargetMode="External"/><Relationship Id="rId17031" Type="http://schemas.openxmlformats.org/officeDocument/2006/relationships/hyperlink" Target="https://pbs.twimg.com/profile_images/278262556/kess_deich500_normal_normal.jpg" TargetMode="External"/><Relationship Id="rId20376" Type="http://schemas.openxmlformats.org/officeDocument/2006/relationships/hyperlink" Target="https://pbs.twimg.com/profile_images/720902665379659776/3AQo3tuF_normal.jpg" TargetMode="External"/><Relationship Id="rId21774" Type="http://schemas.openxmlformats.org/officeDocument/2006/relationships/hyperlink" Target="https://pbs.twimg.com/profile_images/718820712757215233/LXXndPTS_normal.jpg" TargetMode="External"/><Relationship Id="rId22825" Type="http://schemas.openxmlformats.org/officeDocument/2006/relationships/hyperlink" Target="https://twitter.com/DubworthVW" TargetMode="External"/><Relationship Id="rId487" Type="http://schemas.openxmlformats.org/officeDocument/2006/relationships/hyperlink" Target="https://pbs.twimg.com/profile_images/621544211695820800/wK5O2s-1_normal.jpg" TargetMode="External"/><Relationship Id="rId2168" Type="http://schemas.openxmlformats.org/officeDocument/2006/relationships/hyperlink" Target="https://twitter.com/AutoExpress/status/723085373199392770" TargetMode="External"/><Relationship Id="rId3219" Type="http://schemas.openxmlformats.org/officeDocument/2006/relationships/hyperlink" Target="https://pbs.twimg.com/profile_images/547582382313078784/f174KBJh_normal.jpeg" TargetMode="External"/><Relationship Id="rId4617" Type="http://schemas.openxmlformats.org/officeDocument/2006/relationships/hyperlink" Target="https://twitter.com/Hans__Larsson/status/723183737530253312" TargetMode="External"/><Relationship Id="rId20029" Type="http://schemas.openxmlformats.org/officeDocument/2006/relationships/hyperlink" Target="https://twitter.com/vwdepo" TargetMode="External"/><Relationship Id="rId21427" Type="http://schemas.openxmlformats.org/officeDocument/2006/relationships/hyperlink" Target="https://pbs.twimg.com/profile_images/718820712757215233/LXXndPTS_normal.jpg" TargetMode="External"/><Relationship Id="rId24997" Type="http://schemas.openxmlformats.org/officeDocument/2006/relationships/hyperlink" Target="https://twitter.com/SuranClub" TargetMode="External"/><Relationship Id="rId6789" Type="http://schemas.openxmlformats.org/officeDocument/2006/relationships/hyperlink" Target="https://pbs.twimg.com/profile_images/530071272881803264/a_jcCmPZ_normal.png" TargetMode="External"/><Relationship Id="rId12590" Type="http://schemas.openxmlformats.org/officeDocument/2006/relationships/hyperlink" Target="https://twitter.com/cartalk/status/723523036079513600" TargetMode="External"/><Relationship Id="rId13641" Type="http://schemas.openxmlformats.org/officeDocument/2006/relationships/hyperlink" Target="https://pbs.twimg.com/profile_images/720273340812914688/kgV10zga_normal.jpg" TargetMode="External"/><Relationship Id="rId23599" Type="http://schemas.openxmlformats.org/officeDocument/2006/relationships/hyperlink" Target="https://twitter.com/mamulavaca/status/724298484405297155" TargetMode="External"/><Relationship Id="rId3700" Type="http://schemas.openxmlformats.org/officeDocument/2006/relationships/hyperlink" Target="https://twitter.com/StephChuang/status/723167981417570304" TargetMode="External"/><Relationship Id="rId9262" Type="http://schemas.openxmlformats.org/officeDocument/2006/relationships/hyperlink" Target="https://twitter.com/hashtagvanlife/status/723429119216635905" TargetMode="External"/><Relationship Id="rId11192" Type="http://schemas.openxmlformats.org/officeDocument/2006/relationships/hyperlink" Target="https://pbs.twimg.com/profile_images/666002335663939584/Z692XL2p_normal.jpg" TargetMode="External"/><Relationship Id="rId12243" Type="http://schemas.openxmlformats.org/officeDocument/2006/relationships/hyperlink" Target="https://twitter.com/badluk07/status/723515925799002112" TargetMode="External"/><Relationship Id="rId16864" Type="http://schemas.openxmlformats.org/officeDocument/2006/relationships/hyperlink" Target="https://twitter.com/roansub/status/723743366777851904" TargetMode="External"/><Relationship Id="rId20510" Type="http://schemas.openxmlformats.org/officeDocument/2006/relationships/hyperlink" Target="https://pbs.twimg.com/profile_images/3012106875/596e712c99a38ec69b925b7f7ab71986_normal.jpeg" TargetMode="External"/><Relationship Id="rId621" Type="http://schemas.openxmlformats.org/officeDocument/2006/relationships/hyperlink" Target="https://twitter.com/tksoftawremy" TargetMode="External"/><Relationship Id="rId1251" Type="http://schemas.openxmlformats.org/officeDocument/2006/relationships/hyperlink" Target="https://twitter.com/gaddap/status/723027943266521088" TargetMode="External"/><Relationship Id="rId2302" Type="http://schemas.openxmlformats.org/officeDocument/2006/relationships/hyperlink" Target="https://pbs.twimg.com/profile_images/653707832076832768/bC61HZBB_normal.jpg" TargetMode="External"/><Relationship Id="rId5872" Type="http://schemas.openxmlformats.org/officeDocument/2006/relationships/hyperlink" Target="https://twitter.com/BaxterVW_Omaha/status/723220652925149184" TargetMode="External"/><Relationship Id="rId6923" Type="http://schemas.openxmlformats.org/officeDocument/2006/relationships/hyperlink" Target="https://twitter.com/FAZ_Finance/status/723270259608829952" TargetMode="External"/><Relationship Id="rId15466" Type="http://schemas.openxmlformats.org/officeDocument/2006/relationships/hyperlink" Target="https://twitter.com/brizna68/status/723608250113994752" TargetMode="External"/><Relationship Id="rId16517" Type="http://schemas.openxmlformats.org/officeDocument/2006/relationships/hyperlink" Target="https://pbs.twimg.com/profile_images/696166674836254720/2dvOBRdF_normal.jpg" TargetMode="External"/><Relationship Id="rId17915" Type="http://schemas.openxmlformats.org/officeDocument/2006/relationships/hyperlink" Target="https://twitter.com/AskingDerek" TargetMode="External"/><Relationship Id="rId22682" Type="http://schemas.openxmlformats.org/officeDocument/2006/relationships/hyperlink" Target="https://twitter.com/paulpollinger" TargetMode="External"/><Relationship Id="rId23733" Type="http://schemas.openxmlformats.org/officeDocument/2006/relationships/hyperlink" Target="https://twitter.com/VWCamperSales" TargetMode="External"/><Relationship Id="rId4474" Type="http://schemas.openxmlformats.org/officeDocument/2006/relationships/hyperlink" Target="https://twitter.com/pcbritz/status/723181715120873472" TargetMode="External"/><Relationship Id="rId5525" Type="http://schemas.openxmlformats.org/officeDocument/2006/relationships/hyperlink" Target="https://twitter.com/dankogaion/status/723206473837207554" TargetMode="External"/><Relationship Id="rId14068" Type="http://schemas.openxmlformats.org/officeDocument/2006/relationships/hyperlink" Target="https://twitter.com/VWofStreetsboro/status/723563210079649792" TargetMode="External"/><Relationship Id="rId15119" Type="http://schemas.openxmlformats.org/officeDocument/2006/relationships/hyperlink" Target="https://twitter.com/eric_morehead/status/723594742848573441" TargetMode="External"/><Relationship Id="rId21284" Type="http://schemas.openxmlformats.org/officeDocument/2006/relationships/hyperlink" Target="https://twitter.com/CairnsMFDs" TargetMode="External"/><Relationship Id="rId22335" Type="http://schemas.openxmlformats.org/officeDocument/2006/relationships/hyperlink" Target="https://twitter.com/moujkash/status/724216814771691520" TargetMode="External"/><Relationship Id="rId3076" Type="http://schemas.openxmlformats.org/officeDocument/2006/relationships/hyperlink" Target="https://twitter.com/Karlomart" TargetMode="External"/><Relationship Id="rId4127" Type="http://schemas.openxmlformats.org/officeDocument/2006/relationships/hyperlink" Target="https://twitter.com/Militarycars/status/723177040728477696" TargetMode="External"/><Relationship Id="rId7697" Type="http://schemas.openxmlformats.org/officeDocument/2006/relationships/hyperlink" Target="https://twitter.com/Ivan_Loewen" TargetMode="External"/><Relationship Id="rId18689" Type="http://schemas.openxmlformats.org/officeDocument/2006/relationships/hyperlink" Target="https://twitter.com/B83ART" TargetMode="External"/><Relationship Id="rId6299" Type="http://schemas.openxmlformats.org/officeDocument/2006/relationships/hyperlink" Target="https://twitter.com/PC_360" TargetMode="External"/><Relationship Id="rId8748" Type="http://schemas.openxmlformats.org/officeDocument/2006/relationships/hyperlink" Target="https://twitter.com/aktienboersen/status/723404630957268993" TargetMode="External"/><Relationship Id="rId10678" Type="http://schemas.openxmlformats.org/officeDocument/2006/relationships/hyperlink" Target="https://pbs.twimg.com/profile_images/680724023488196609/stQw9ugg_normal.jpg" TargetMode="External"/><Relationship Id="rId11729" Type="http://schemas.openxmlformats.org/officeDocument/2006/relationships/hyperlink" Target="https://twitter.com/ProjectCarsUK" TargetMode="External"/><Relationship Id="rId15600" Type="http://schemas.openxmlformats.org/officeDocument/2006/relationships/hyperlink" Target="https://pbs.twimg.com/profile_images/716984282053484544/cUgWw3CO_normal.jpg" TargetMode="External"/><Relationship Id="rId25558" Type="http://schemas.openxmlformats.org/officeDocument/2006/relationships/hyperlink" Target="https://pbs.twimg.com/profile_images/596481469213642752/WXOMBpxe_normal.jpg" TargetMode="External"/><Relationship Id="rId13151" Type="http://schemas.openxmlformats.org/officeDocument/2006/relationships/hyperlink" Target="https://pbs.twimg.com/profile_images/535972937346863104/azd9tVvN_normal.jpeg" TargetMode="External"/><Relationship Id="rId14202" Type="http://schemas.openxmlformats.org/officeDocument/2006/relationships/hyperlink" Target="https://twitter.com/paullivellano/status/723568707520331777" TargetMode="External"/><Relationship Id="rId17772" Type="http://schemas.openxmlformats.org/officeDocument/2006/relationships/hyperlink" Target="https://twitter.com/LuxuryLivng/status/723822065929846784" TargetMode="External"/><Relationship Id="rId18823" Type="http://schemas.openxmlformats.org/officeDocument/2006/relationships/hyperlink" Target="https://twitter.com/Joh_Amarok/status/723898922985463808" TargetMode="External"/><Relationship Id="rId131" Type="http://schemas.openxmlformats.org/officeDocument/2006/relationships/hyperlink" Target="https://pbs.twimg.com/profile_images/649749711885307904/rF5Jhht9_normal.png" TargetMode="External"/><Relationship Id="rId3210" Type="http://schemas.openxmlformats.org/officeDocument/2006/relationships/hyperlink" Target="https://pbs.twimg.com/profile_images/569800899141177344/nVFLMSdb_normal.png" TargetMode="External"/><Relationship Id="rId6780" Type="http://schemas.openxmlformats.org/officeDocument/2006/relationships/hyperlink" Target="https://pbs.twimg.com/profile_images/1864477812/image_normal.jpg" TargetMode="External"/><Relationship Id="rId7831" Type="http://schemas.openxmlformats.org/officeDocument/2006/relationships/hyperlink" Target="https://twitter.com/oldcar_photo" TargetMode="External"/><Relationship Id="rId16374" Type="http://schemas.openxmlformats.org/officeDocument/2006/relationships/hyperlink" Target="https://pbs.twimg.com/profile_images/1883286200/Logo_20Kustomfest_normal.jpg" TargetMode="External"/><Relationship Id="rId17425" Type="http://schemas.openxmlformats.org/officeDocument/2006/relationships/hyperlink" Target="https://twitter.com/YoeriAlbrecht" TargetMode="External"/><Relationship Id="rId20020" Type="http://schemas.openxmlformats.org/officeDocument/2006/relationships/hyperlink" Target="https://twitter.com/grannicho/status/723969561771413504" TargetMode="External"/><Relationship Id="rId23590" Type="http://schemas.openxmlformats.org/officeDocument/2006/relationships/hyperlink" Target="https://twitter.com/sandysola34/status/724298217580429312" TargetMode="External"/><Relationship Id="rId24641" Type="http://schemas.openxmlformats.org/officeDocument/2006/relationships/hyperlink" Target="https://twitter.com/JackShayier/status/724382350050791424" TargetMode="External"/><Relationship Id="rId5382" Type="http://schemas.openxmlformats.org/officeDocument/2006/relationships/hyperlink" Target="https://pbs.twimg.com/profile_images/638973360169463808/YEbGEWne_normal.jpg" TargetMode="External"/><Relationship Id="rId6433" Type="http://schemas.openxmlformats.org/officeDocument/2006/relationships/hyperlink" Target="https://twitter.com/Insta_VWT" TargetMode="External"/><Relationship Id="rId10812" Type="http://schemas.openxmlformats.org/officeDocument/2006/relationships/hyperlink" Target="https://twitter.com/GecoGordon/status/723485649588903941" TargetMode="External"/><Relationship Id="rId16027" Type="http://schemas.openxmlformats.org/officeDocument/2006/relationships/hyperlink" Target="https://pbs.twimg.com/profile_images/461517086573871104/3db6VsXA_normal.png" TargetMode="External"/><Relationship Id="rId19597" Type="http://schemas.openxmlformats.org/officeDocument/2006/relationships/hyperlink" Target="https://pbs.twimg.com/profile_images/615493650785660928/XHUh6HOk_normal.jpg" TargetMode="External"/><Relationship Id="rId22192" Type="http://schemas.openxmlformats.org/officeDocument/2006/relationships/hyperlink" Target="https://pbs.twimg.com/profile_images/718820712757215233/LXXndPTS_normal.jpg" TargetMode="External"/><Relationship Id="rId23243" Type="http://schemas.openxmlformats.org/officeDocument/2006/relationships/hyperlink" Target="https://twitter.com/cmsGOMEX" TargetMode="External"/><Relationship Id="rId1992" Type="http://schemas.openxmlformats.org/officeDocument/2006/relationships/hyperlink" Target="https://twitter.com/SMSFCoach" TargetMode="External"/><Relationship Id="rId5035" Type="http://schemas.openxmlformats.org/officeDocument/2006/relationships/hyperlink" Target="https://twitter.com/alvaromaxlma/status/723192745125371904" TargetMode="External"/><Relationship Id="rId9656" Type="http://schemas.openxmlformats.org/officeDocument/2006/relationships/hyperlink" Target="https://twitter.com/VWCamperSales" TargetMode="External"/><Relationship Id="rId12984" Type="http://schemas.openxmlformats.org/officeDocument/2006/relationships/hyperlink" Target="https://twitter.com/TwittingThom" TargetMode="External"/><Relationship Id="rId18199" Type="http://schemas.openxmlformats.org/officeDocument/2006/relationships/hyperlink" Target="https://twitter.com/OnlineCarReview" TargetMode="External"/><Relationship Id="rId1645" Type="http://schemas.openxmlformats.org/officeDocument/2006/relationships/hyperlink" Target="https://pbs.twimg.com/profile_images/424893967197433858/iQ86NktX_normal.jpeg" TargetMode="External"/><Relationship Id="rId8258" Type="http://schemas.openxmlformats.org/officeDocument/2006/relationships/hyperlink" Target="https://pbs.twimg.com/profile_images/722280371916783617/p13dxIev_normal.jpg" TargetMode="External"/><Relationship Id="rId9309" Type="http://schemas.openxmlformats.org/officeDocument/2006/relationships/hyperlink" Target="https://twitter.com/techhippie" TargetMode="External"/><Relationship Id="rId10188" Type="http://schemas.openxmlformats.org/officeDocument/2006/relationships/hyperlink" Target="https://pbs.twimg.com/profile_images/494941834117124096/NS5KR51W_normal.jpeg" TargetMode="External"/><Relationship Id="rId11239" Type="http://schemas.openxmlformats.org/officeDocument/2006/relationships/hyperlink" Target="https://pbs.twimg.com/profile_images/656496532380852224/tduNQXiq_normal.jpg" TargetMode="External"/><Relationship Id="rId11586" Type="http://schemas.openxmlformats.org/officeDocument/2006/relationships/hyperlink" Target="https://pbs.twimg.com/profile_images/585726953682051072/vHQ7FYsb_normal.jpg" TargetMode="External"/><Relationship Id="rId12637" Type="http://schemas.openxmlformats.org/officeDocument/2006/relationships/hyperlink" Target="https://pbs.twimg.com/profile_images/378800000531647842/65cc463b8f48e5e61eaaf225aaaf706c_normal.jpeg" TargetMode="External"/><Relationship Id="rId20904" Type="http://schemas.openxmlformats.org/officeDocument/2006/relationships/hyperlink" Target="https://twitter.com/surendergowtham/status/724060665279746052" TargetMode="External"/><Relationship Id="rId25068" Type="http://schemas.openxmlformats.org/officeDocument/2006/relationships/hyperlink" Target="https://twitter.com/xiimv/status/724415877169467392" TargetMode="External"/><Relationship Id="rId15110" Type="http://schemas.openxmlformats.org/officeDocument/2006/relationships/hyperlink" Target="http://dlvr.it/" TargetMode="External"/><Relationship Id="rId18680" Type="http://schemas.openxmlformats.org/officeDocument/2006/relationships/hyperlink" Target="https://twitter.com/AhmadAlZ" TargetMode="External"/><Relationship Id="rId19731" Type="http://schemas.openxmlformats.org/officeDocument/2006/relationships/hyperlink" Target="https://twitter.com/Scirocco_Tuning" TargetMode="External"/><Relationship Id="rId4868" Type="http://schemas.openxmlformats.org/officeDocument/2006/relationships/hyperlink" Target="https://twitter.com/aktuelle_stunde/status/723189311324057600" TargetMode="External"/><Relationship Id="rId5919" Type="http://schemas.openxmlformats.org/officeDocument/2006/relationships/hyperlink" Target="https://pbs.twimg.com/profile_images/1168826684/0ee0a3c1-9b9d-4f5e-88e7-fc9034bb57de_normal.jpg" TargetMode="External"/><Relationship Id="rId6290" Type="http://schemas.openxmlformats.org/officeDocument/2006/relationships/hyperlink" Target="https://twitter.com/BelleNews" TargetMode="External"/><Relationship Id="rId11720" Type="http://schemas.openxmlformats.org/officeDocument/2006/relationships/hyperlink" Target="https://twitter.com/conkers3/status/723505888179421184" TargetMode="External"/><Relationship Id="rId17282" Type="http://schemas.openxmlformats.org/officeDocument/2006/relationships/hyperlink" Target="https://twitter.com/EurJRR/status/723786992971046916" TargetMode="External"/><Relationship Id="rId18333" Type="http://schemas.openxmlformats.org/officeDocument/2006/relationships/hyperlink" Target="https://pbs.twimg.com/profile_images/530071272881803264/a_jcCmPZ_normal.png" TargetMode="External"/><Relationship Id="rId21678" Type="http://schemas.openxmlformats.org/officeDocument/2006/relationships/hyperlink" Target="https://pbs.twimg.com/profile_images/698509815870578688/S6oEQDwn_normal.jpg" TargetMode="External"/><Relationship Id="rId22729" Type="http://schemas.openxmlformats.org/officeDocument/2006/relationships/hyperlink" Target="https://twitter.com/wbednarski" TargetMode="External"/><Relationship Id="rId7341" Type="http://schemas.openxmlformats.org/officeDocument/2006/relationships/hyperlink" Target="https://twitter.com/EscalonaTomi" TargetMode="External"/><Relationship Id="rId10322" Type="http://schemas.openxmlformats.org/officeDocument/2006/relationships/hyperlink" Target="https://twitter.com/dneuerer" TargetMode="External"/><Relationship Id="rId13892" Type="http://schemas.openxmlformats.org/officeDocument/2006/relationships/hyperlink" Target="https://pbs.twimg.com/profile_images/539606735418564610/Q8rRGlM-_normal.jpeg" TargetMode="External"/><Relationship Id="rId14943" Type="http://schemas.openxmlformats.org/officeDocument/2006/relationships/hyperlink" Target="https://twitter.com/frisch_fish/status/723587392284856320" TargetMode="External"/><Relationship Id="rId24151" Type="http://schemas.openxmlformats.org/officeDocument/2006/relationships/hyperlink" Target="https://pbs.twimg.com/profile_images/627949001179037696/skEBkS05_normal.jpg" TargetMode="External"/><Relationship Id="rId25202" Type="http://schemas.openxmlformats.org/officeDocument/2006/relationships/hyperlink" Target="https://twitter.com/OMoreano" TargetMode="External"/><Relationship Id="rId3951" Type="http://schemas.openxmlformats.org/officeDocument/2006/relationships/hyperlink" Target="https://twitter.com/Lebeaucarnews" TargetMode="External"/><Relationship Id="rId12494" Type="http://schemas.openxmlformats.org/officeDocument/2006/relationships/hyperlink" Target="https://twitter.com/wehrs18/status/723520757150715904" TargetMode="External"/><Relationship Id="rId13545" Type="http://schemas.openxmlformats.org/officeDocument/2006/relationships/hyperlink" Target="https://twitter.com/countryairport" TargetMode="External"/><Relationship Id="rId20761" Type="http://schemas.openxmlformats.org/officeDocument/2006/relationships/hyperlink" Target="https://pbs.twimg.com/profile_images/583306350760984576/2RP-_qOY_normal.jpg" TargetMode="External"/><Relationship Id="rId21812" Type="http://schemas.openxmlformats.org/officeDocument/2006/relationships/hyperlink" Target="https://pbs.twimg.com/profile_images/627949001179037696/skEBkS05_normal.jpg" TargetMode="External"/><Relationship Id="rId872" Type="http://schemas.openxmlformats.org/officeDocument/2006/relationships/hyperlink" Target="https://twitter.com/Zherk_kck" TargetMode="External"/><Relationship Id="rId2553" Type="http://schemas.openxmlformats.org/officeDocument/2006/relationships/hyperlink" Target="https://twitter.com/kurmava/status/723105331497181184" TargetMode="External"/><Relationship Id="rId3604" Type="http://schemas.openxmlformats.org/officeDocument/2006/relationships/hyperlink" Target="https://twitter.com/XBudhoo" TargetMode="External"/><Relationship Id="rId9166" Type="http://schemas.openxmlformats.org/officeDocument/2006/relationships/hyperlink" Target="https://twitter.com/aktionaer/status/723422659489341440" TargetMode="External"/><Relationship Id="rId11096" Type="http://schemas.openxmlformats.org/officeDocument/2006/relationships/hyperlink" Target="https://twitter.com/sven291985" TargetMode="External"/><Relationship Id="rId12147" Type="http://schemas.openxmlformats.org/officeDocument/2006/relationships/hyperlink" Target="https://twitter.com/SteffenSoeffner" TargetMode="External"/><Relationship Id="rId20414" Type="http://schemas.openxmlformats.org/officeDocument/2006/relationships/hyperlink" Target="https://twitter.com/Maricofre2/status/723997542070013954" TargetMode="External"/><Relationship Id="rId525" Type="http://schemas.openxmlformats.org/officeDocument/2006/relationships/hyperlink" Target="https://twitter.com/JesslcaLynnzi" TargetMode="External"/><Relationship Id="rId1155" Type="http://schemas.openxmlformats.org/officeDocument/2006/relationships/hyperlink" Target="https://twitter.com/Chaos_Be" TargetMode="External"/><Relationship Id="rId2206" Type="http://schemas.openxmlformats.org/officeDocument/2006/relationships/hyperlink" Target="https://pbs.twimg.com/profile_images/661248829682024449/IlOGOPEg_normal.jpg" TargetMode="External"/><Relationship Id="rId5776" Type="http://schemas.openxmlformats.org/officeDocument/2006/relationships/hyperlink" Target="https://pbs.twimg.com/profile_images/1125394338/P1050583_normal.JPG" TargetMode="External"/><Relationship Id="rId16768" Type="http://schemas.openxmlformats.org/officeDocument/2006/relationships/hyperlink" Target="https://pbs.twimg.com/profile_images/723552199503056896/q92McICK_normal.jpg" TargetMode="External"/><Relationship Id="rId17819" Type="http://schemas.openxmlformats.org/officeDocument/2006/relationships/hyperlink" Target="https://twitter.com/Closed404" TargetMode="External"/><Relationship Id="rId18190" Type="http://schemas.openxmlformats.org/officeDocument/2006/relationships/hyperlink" Target="https://twitter.com/ContemporaryHan" TargetMode="External"/><Relationship Id="rId19241" Type="http://schemas.openxmlformats.org/officeDocument/2006/relationships/hyperlink" Target="https://pbs.twimg.com/profile_images/706220345850597376/oEXfTeCE_normal.jpg" TargetMode="External"/><Relationship Id="rId22586" Type="http://schemas.openxmlformats.org/officeDocument/2006/relationships/hyperlink" Target="https://twitter.com/fabulousvw" TargetMode="External"/><Relationship Id="rId23984" Type="http://schemas.openxmlformats.org/officeDocument/2006/relationships/hyperlink" Target="https://twitter.com/VWCamperSales" TargetMode="External"/><Relationship Id="rId4378" Type="http://schemas.openxmlformats.org/officeDocument/2006/relationships/hyperlink" Target="https://twitter.com/franka_kuehn" TargetMode="External"/><Relationship Id="rId5429" Type="http://schemas.openxmlformats.org/officeDocument/2006/relationships/hyperlink" Target="https://twitter.com/ChuckLane1/status/723202898763517952" TargetMode="External"/><Relationship Id="rId6827" Type="http://schemas.openxmlformats.org/officeDocument/2006/relationships/hyperlink" Target="https://twitter.com/greenenrgycharg" TargetMode="External"/><Relationship Id="rId9300" Type="http://schemas.openxmlformats.org/officeDocument/2006/relationships/hyperlink" Target="https://twitter.com/TrefyJot" TargetMode="External"/><Relationship Id="rId21188" Type="http://schemas.openxmlformats.org/officeDocument/2006/relationships/hyperlink" Target="https://twitter.com/OnlineCarReview/status/724120540819005440" TargetMode="External"/><Relationship Id="rId22239" Type="http://schemas.openxmlformats.org/officeDocument/2006/relationships/hyperlink" Target="http://dlvr.it/" TargetMode="External"/><Relationship Id="rId23637" Type="http://schemas.openxmlformats.org/officeDocument/2006/relationships/hyperlink" Target="https://twitter.com/brettmcneil/status/724301886032109569" TargetMode="External"/><Relationship Id="rId8999" Type="http://schemas.openxmlformats.org/officeDocument/2006/relationships/hyperlink" Target="https://twitter.com/NDRnds" TargetMode="External"/><Relationship Id="rId11230" Type="http://schemas.openxmlformats.org/officeDocument/2006/relationships/hyperlink" Target="https://twitter.com/donaukurier" TargetMode="External"/><Relationship Id="rId15851" Type="http://schemas.openxmlformats.org/officeDocument/2006/relationships/hyperlink" Target="https://twitter.com/wehrs18" TargetMode="External"/><Relationship Id="rId16902" Type="http://schemas.openxmlformats.org/officeDocument/2006/relationships/hyperlink" Target="https://pbs.twimg.com/profile_images/439742449330954241/gPcHBUaE_normal.jpeg" TargetMode="External"/><Relationship Id="rId5910" Type="http://schemas.openxmlformats.org/officeDocument/2006/relationships/hyperlink" Target="https://pbs.twimg.com/profile_images/3247844045/0ebbe765107bedba0b7b5b740fad0a69_normal.jpeg" TargetMode="External"/><Relationship Id="rId14453" Type="http://schemas.openxmlformats.org/officeDocument/2006/relationships/hyperlink" Target="https://pbs.twimg.com/profile_images/3325520037/cf2027069deae5dc44e82172d33a6683_normal.jpeg" TargetMode="External"/><Relationship Id="rId15504" Type="http://schemas.openxmlformats.org/officeDocument/2006/relationships/hyperlink" Target="https://twitter.com/NOMAD941" TargetMode="External"/><Relationship Id="rId22720" Type="http://schemas.openxmlformats.org/officeDocument/2006/relationships/hyperlink" Target="https://twitter.com/FuscaWorld" TargetMode="External"/><Relationship Id="rId3461" Type="http://schemas.openxmlformats.org/officeDocument/2006/relationships/hyperlink" Target="https://pbs.twimg.com/profile_images/553213444791357440/cFm-7x2l_normal.jpeg" TargetMode="External"/><Relationship Id="rId4512" Type="http://schemas.openxmlformats.org/officeDocument/2006/relationships/hyperlink" Target="https://twitter.com/franka_kuehn" TargetMode="External"/><Relationship Id="rId13055" Type="http://schemas.openxmlformats.org/officeDocument/2006/relationships/hyperlink" Target="https://twitter.com/DeMotores/status/723534411690594305" TargetMode="External"/><Relationship Id="rId14106" Type="http://schemas.openxmlformats.org/officeDocument/2006/relationships/hyperlink" Target="https://twitter.com/OnlineCarReview" TargetMode="External"/><Relationship Id="rId17676" Type="http://schemas.openxmlformats.org/officeDocument/2006/relationships/hyperlink" Target="https://twitter.com/telloglou" TargetMode="External"/><Relationship Id="rId18727" Type="http://schemas.openxmlformats.org/officeDocument/2006/relationships/hyperlink" Target="https://twitter.com/rfreuden" TargetMode="External"/><Relationship Id="rId20271" Type="http://schemas.openxmlformats.org/officeDocument/2006/relationships/hyperlink" Target="https://pbs.twimg.com/profile_images/672513876546609152/dIow1bxx_normal.jpg" TargetMode="External"/><Relationship Id="rId21322" Type="http://schemas.openxmlformats.org/officeDocument/2006/relationships/hyperlink" Target="https://pbs.twimg.com/profile_images/423917634154151936/tKoaoerE_normal.jpeg" TargetMode="External"/><Relationship Id="rId24892" Type="http://schemas.openxmlformats.org/officeDocument/2006/relationships/hyperlink" Target="https://twitter.com/beetlebug1938/status/724397647965069312" TargetMode="External"/><Relationship Id="rId382" Type="http://schemas.openxmlformats.org/officeDocument/2006/relationships/hyperlink" Target="https://pbs.twimg.com/profile_images/675744269617893376/euzFIoRi_normal.png" TargetMode="External"/><Relationship Id="rId2063" Type="http://schemas.openxmlformats.org/officeDocument/2006/relationships/hyperlink" Target="https://twitter.com/JMGlachant" TargetMode="External"/><Relationship Id="rId3114" Type="http://schemas.openxmlformats.org/officeDocument/2006/relationships/hyperlink" Target="https://twitter.com/GNTools_" TargetMode="External"/><Relationship Id="rId6684" Type="http://schemas.openxmlformats.org/officeDocument/2006/relationships/hyperlink" Target="https://pbs.twimg.com/profile_images/378800000220532021/0b643081bcc47d3f92ebf1f9531e6280_normal.jpeg" TargetMode="External"/><Relationship Id="rId7735" Type="http://schemas.openxmlformats.org/officeDocument/2006/relationships/hyperlink" Target="https://pbs.twimg.com/profile_images/717361645454905344/eSYXksup_normal.jpg" TargetMode="External"/><Relationship Id="rId16278" Type="http://schemas.openxmlformats.org/officeDocument/2006/relationships/hyperlink" Target="https://pbs.twimg.com/profile_images/667796187039199233/B8zDXbfw_normal.jpg" TargetMode="External"/><Relationship Id="rId17329" Type="http://schemas.openxmlformats.org/officeDocument/2006/relationships/hyperlink" Target="https://twitter.com/Insta_VWT" TargetMode="External"/><Relationship Id="rId23494" Type="http://schemas.openxmlformats.org/officeDocument/2006/relationships/hyperlink" Target="https://pbs.twimg.com/profile_images/627949001179037696/skEBkS05_normal.jpg" TargetMode="External"/><Relationship Id="rId24545" Type="http://schemas.openxmlformats.org/officeDocument/2006/relationships/hyperlink" Target="https://pbs.twimg.com/profile_images/705780107844067328/e7O4UBNb_normal.jpg" TargetMode="External"/><Relationship Id="rId5286" Type="http://schemas.openxmlformats.org/officeDocument/2006/relationships/hyperlink" Target="https://twitter.com/mediaadgroup" TargetMode="External"/><Relationship Id="rId6337" Type="http://schemas.openxmlformats.org/officeDocument/2006/relationships/hyperlink" Target="https://twitter.com/VWCamperSales/status/723240056345890817" TargetMode="External"/><Relationship Id="rId10716" Type="http://schemas.openxmlformats.org/officeDocument/2006/relationships/hyperlink" Target="https://twitter.com/rgoverstreet/status/723481681630400514" TargetMode="External"/><Relationship Id="rId22096" Type="http://schemas.openxmlformats.org/officeDocument/2006/relationships/hyperlink" Target="http://dlvr.it/" TargetMode="External"/><Relationship Id="rId23147" Type="http://schemas.openxmlformats.org/officeDocument/2006/relationships/hyperlink" Target="https://pbs.twimg.com/profile_images/471360227137163264/w2Gvricp_normal.png" TargetMode="External"/><Relationship Id="rId12888" Type="http://schemas.openxmlformats.org/officeDocument/2006/relationships/hyperlink" Target="http://dlvr.it/" TargetMode="External"/><Relationship Id="rId13939" Type="http://schemas.openxmlformats.org/officeDocument/2006/relationships/hyperlink" Target="https://twitter.com/VolkswagenPost/status/723559319355187200" TargetMode="External"/><Relationship Id="rId17810" Type="http://schemas.openxmlformats.org/officeDocument/2006/relationships/hyperlink" Target="https://twitter.com/automotiveml" TargetMode="External"/><Relationship Id="rId1896" Type="http://schemas.openxmlformats.org/officeDocument/2006/relationships/hyperlink" Target="https://pbs.twimg.com/profile_images/714190546366042112/qAF0jO-8_normal.jpg" TargetMode="External"/><Relationship Id="rId2947" Type="http://schemas.openxmlformats.org/officeDocument/2006/relationships/hyperlink" Target="https://twitter.com/VolkswagenPost/status/723127395402809344" TargetMode="External"/><Relationship Id="rId15361" Type="http://schemas.openxmlformats.org/officeDocument/2006/relationships/hyperlink" Target="https://twitter.com/SuranClub/status/723604788173217792" TargetMode="External"/><Relationship Id="rId16412" Type="http://schemas.openxmlformats.org/officeDocument/2006/relationships/hyperlink" Target="https://twitter.com/KostasTourlakis/status/723680517640605696" TargetMode="External"/><Relationship Id="rId19982" Type="http://schemas.openxmlformats.org/officeDocument/2006/relationships/hyperlink" Target="https://twitter.com/VWBeetleSales/status/723967205956681729" TargetMode="External"/><Relationship Id="rId20808" Type="http://schemas.openxmlformats.org/officeDocument/2006/relationships/hyperlink" Target="https://pbs.twimg.com/profile_images/713573399386259456/JwmrbkVy_normal.jpg" TargetMode="External"/><Relationship Id="rId919" Type="http://schemas.openxmlformats.org/officeDocument/2006/relationships/hyperlink" Target="https://pbs.twimg.com/profile_images/634021831364747264/5vPrL2JH_normal.jpg" TargetMode="External"/><Relationship Id="rId1549" Type="http://schemas.openxmlformats.org/officeDocument/2006/relationships/hyperlink" Target="https://pbs.twimg.com/profile_images/665798535779065856/sbUN3m6Q_normal.jpg" TargetMode="External"/><Relationship Id="rId4022" Type="http://schemas.openxmlformats.org/officeDocument/2006/relationships/hyperlink" Target="https://pbs.twimg.com/profile_images/509041315418341376/An5FK3Av_normal.jpeg" TargetMode="External"/><Relationship Id="rId5420" Type="http://schemas.openxmlformats.org/officeDocument/2006/relationships/hyperlink" Target="http://dlvr.it/" TargetMode="External"/><Relationship Id="rId8990" Type="http://schemas.openxmlformats.org/officeDocument/2006/relationships/hyperlink" Target="https://twitter.com/RolfMecke" TargetMode="External"/><Relationship Id="rId11971" Type="http://schemas.openxmlformats.org/officeDocument/2006/relationships/hyperlink" Target="https://twitter.com/MarkCSchneider" TargetMode="External"/><Relationship Id="rId15014" Type="http://schemas.openxmlformats.org/officeDocument/2006/relationships/hyperlink" Target="https://twitter.com/WhatsUpMattDiaz/status/723590130339074049" TargetMode="External"/><Relationship Id="rId18584" Type="http://schemas.openxmlformats.org/officeDocument/2006/relationships/hyperlink" Target="https://twitter.com/Insta_VWT/status/723881482415169537" TargetMode="External"/><Relationship Id="rId19635" Type="http://schemas.openxmlformats.org/officeDocument/2006/relationships/hyperlink" Target="https://pbs.twimg.com/profile_images/653637535545995264/gHuXQ5Bt_normal.jpg" TargetMode="External"/><Relationship Id="rId22230" Type="http://schemas.openxmlformats.org/officeDocument/2006/relationships/hyperlink" Target="https://pbs.twimg.com/profile_images/704424786777280513/YQVkJF57_normal.jpg" TargetMode="External"/><Relationship Id="rId7592" Type="http://schemas.openxmlformats.org/officeDocument/2006/relationships/hyperlink" Target="https://twitter.com/channei_purple" TargetMode="External"/><Relationship Id="rId8643" Type="http://schemas.openxmlformats.org/officeDocument/2006/relationships/hyperlink" Target="https://twitter.com/Cardboard_VR/status/723399790789189634" TargetMode="External"/><Relationship Id="rId10573" Type="http://schemas.openxmlformats.org/officeDocument/2006/relationships/hyperlink" Target="https://twitter.com/JoachimHeck/status/723477300159909888" TargetMode="External"/><Relationship Id="rId11624" Type="http://schemas.openxmlformats.org/officeDocument/2006/relationships/hyperlink" Target="https://twitter.com/weserkurier" TargetMode="External"/><Relationship Id="rId17186" Type="http://schemas.openxmlformats.org/officeDocument/2006/relationships/hyperlink" Target="https://twitter.com/goldi6919/status/723777729116704768" TargetMode="External"/><Relationship Id="rId18237" Type="http://schemas.openxmlformats.org/officeDocument/2006/relationships/hyperlink" Target="https://twitter.com/BootsBrothers/status/723853112117723136" TargetMode="External"/><Relationship Id="rId25453" Type="http://schemas.openxmlformats.org/officeDocument/2006/relationships/hyperlink" Target="https://twitter.com/TheHippieVanMan" TargetMode="External"/><Relationship Id="rId6194" Type="http://schemas.openxmlformats.org/officeDocument/2006/relationships/hyperlink" Target="https://twitter.com/TheBeetles_co/status/723234428076564480" TargetMode="External"/><Relationship Id="rId7245" Type="http://schemas.openxmlformats.org/officeDocument/2006/relationships/hyperlink" Target="https://twitter.com/colwagen/status/723289709103964165" TargetMode="External"/><Relationship Id="rId10226" Type="http://schemas.openxmlformats.org/officeDocument/2006/relationships/hyperlink" Target="https://twitter.com/WernerLenhard" TargetMode="External"/><Relationship Id="rId13796" Type="http://schemas.openxmlformats.org/officeDocument/2006/relationships/hyperlink" Target="https://pbs.twimg.com/profile_images/627949001179037696/skEBkS05_normal.jpg" TargetMode="External"/><Relationship Id="rId24055" Type="http://schemas.openxmlformats.org/officeDocument/2006/relationships/hyperlink" Target="https://pbs.twimg.com/profile_images/684053218163318784/nUK_sgFE_normal.jpg" TargetMode="External"/><Relationship Id="rId25106" Type="http://schemas.openxmlformats.org/officeDocument/2006/relationships/hyperlink" Target="https://pbs.twimg.com/profile_images/598250988458377216/Sa3Qm-0G_normal.jpg" TargetMode="External"/><Relationship Id="rId3855" Type="http://schemas.openxmlformats.org/officeDocument/2006/relationships/hyperlink" Target="https://twitter.com/jrg_o" TargetMode="External"/><Relationship Id="rId12398" Type="http://schemas.openxmlformats.org/officeDocument/2006/relationships/hyperlink" Target="http://dlvr.it/" TargetMode="External"/><Relationship Id="rId13449" Type="http://schemas.openxmlformats.org/officeDocument/2006/relationships/hyperlink" Target="https://pbs.twimg.com/profile_images/672878354127839232/M7OYc-zx_normal.jpg" TargetMode="External"/><Relationship Id="rId14847" Type="http://schemas.openxmlformats.org/officeDocument/2006/relationships/hyperlink" Target="https://twitter.com/lessismoremike/status/723585008024297472" TargetMode="External"/><Relationship Id="rId17320" Type="http://schemas.openxmlformats.org/officeDocument/2006/relationships/hyperlink" Target="https://twitter.com/Awesome_eu_com" TargetMode="External"/><Relationship Id="rId20665" Type="http://schemas.openxmlformats.org/officeDocument/2006/relationships/hyperlink" Target="https://pbs.twimg.com/profile_images/612342203269152768/_EEL1wu9_normal.jpg" TargetMode="External"/><Relationship Id="rId776" Type="http://schemas.openxmlformats.org/officeDocument/2006/relationships/hyperlink" Target="https://twitter.com/wikatu" TargetMode="External"/><Relationship Id="rId2457" Type="http://schemas.openxmlformats.org/officeDocument/2006/relationships/hyperlink" Target="https://pbs.twimg.com/profile_images/710629331001851904/b3UNgZb6_normal.jpg" TargetMode="External"/><Relationship Id="rId3508" Type="http://schemas.openxmlformats.org/officeDocument/2006/relationships/hyperlink" Target="https://twitter.com/Scirocco_Tuning/status/723161348197244929" TargetMode="External"/><Relationship Id="rId4906" Type="http://schemas.openxmlformats.org/officeDocument/2006/relationships/hyperlink" Target="https://twitter.com/sickgaming1/status/723190005477167104" TargetMode="External"/><Relationship Id="rId20318" Type="http://schemas.openxmlformats.org/officeDocument/2006/relationships/hyperlink" Target="https://twitter.com/ebaycampervans" TargetMode="External"/><Relationship Id="rId21716" Type="http://schemas.openxmlformats.org/officeDocument/2006/relationships/hyperlink" Target="https://pbs.twimg.com/profile_images/703294545195307008/qeCvrX86_normal.jpg" TargetMode="External"/><Relationship Id="rId429" Type="http://schemas.openxmlformats.org/officeDocument/2006/relationships/hyperlink" Target="https://twitter.com/tw_teria/status/722957831901577217" TargetMode="External"/><Relationship Id="rId1059" Type="http://schemas.openxmlformats.org/officeDocument/2006/relationships/hyperlink" Target="https://twitter.com/kensegovia" TargetMode="External"/><Relationship Id="rId13930" Type="http://schemas.openxmlformats.org/officeDocument/2006/relationships/hyperlink" Target="https://twitter.com/beluluna61/status/723559077268324352" TargetMode="External"/><Relationship Id="rId19492" Type="http://schemas.openxmlformats.org/officeDocument/2006/relationships/hyperlink" Target="https://twitter.com/dubbusses" TargetMode="External"/><Relationship Id="rId23888" Type="http://schemas.openxmlformats.org/officeDocument/2006/relationships/hyperlink" Target="https://twitter.com/minornews/status/724318847575138308" TargetMode="External"/><Relationship Id="rId24939" Type="http://schemas.openxmlformats.org/officeDocument/2006/relationships/hyperlink" Target="https://twitter.com/erikcunningham" TargetMode="External"/><Relationship Id="rId8153" Type="http://schemas.openxmlformats.org/officeDocument/2006/relationships/hyperlink" Target="https://twitter.com/VolkswagenPost/status/723372069912637440" TargetMode="External"/><Relationship Id="rId9551" Type="http://schemas.openxmlformats.org/officeDocument/2006/relationships/hyperlink" Target="https://twitter.com/RWEmobility" TargetMode="External"/><Relationship Id="rId11481" Type="http://schemas.openxmlformats.org/officeDocument/2006/relationships/hyperlink" Target="https://pbs.twimg.com/profile_images/720919629430960128/sDApoxwf_normal.jpg" TargetMode="External"/><Relationship Id="rId12532" Type="http://schemas.openxmlformats.org/officeDocument/2006/relationships/hyperlink" Target="https://twitter.com/VWBeetleSales" TargetMode="External"/><Relationship Id="rId18094" Type="http://schemas.openxmlformats.org/officeDocument/2006/relationships/hyperlink" Target="http://exvtra.co.uk/" TargetMode="External"/><Relationship Id="rId19145" Type="http://schemas.openxmlformats.org/officeDocument/2006/relationships/hyperlink" Target="https://twitter.com/_sea_fox_" TargetMode="External"/><Relationship Id="rId910" Type="http://schemas.openxmlformats.org/officeDocument/2006/relationships/hyperlink" Target="https://pbs.twimg.com/profile_images/599919472334483457/2GRnpPot_normal.jpg" TargetMode="External"/><Relationship Id="rId1540" Type="http://schemas.openxmlformats.org/officeDocument/2006/relationships/hyperlink" Target="https://pbs.twimg.com/profile_images/719865624848134144/_pu_ldv9_normal.jpg" TargetMode="External"/><Relationship Id="rId9204" Type="http://schemas.openxmlformats.org/officeDocument/2006/relationships/hyperlink" Target="https://twitter.com/srfnews" TargetMode="External"/><Relationship Id="rId10083" Type="http://schemas.openxmlformats.org/officeDocument/2006/relationships/hyperlink" Target="https://pbs.twimg.com/profile_images/649519091892531200/gFXmbSPM_normal.jpg" TargetMode="External"/><Relationship Id="rId11134" Type="http://schemas.openxmlformats.org/officeDocument/2006/relationships/hyperlink" Target="https://pbs.twimg.com/profile_images/718820712757215233/LXXndPTS_normal.jpg" TargetMode="External"/><Relationship Id="rId15755" Type="http://schemas.openxmlformats.org/officeDocument/2006/relationships/hyperlink" Target="https://twitter.com/VeeDubMk1_/status/723623111325831168" TargetMode="External"/><Relationship Id="rId16806" Type="http://schemas.openxmlformats.org/officeDocument/2006/relationships/hyperlink" Target="https://twitter.com/Rodrigo_Taylorr" TargetMode="External"/><Relationship Id="rId22971" Type="http://schemas.openxmlformats.org/officeDocument/2006/relationships/hyperlink" Target="https://pbs.twimg.com/profile_images/703294545195307008/qeCvrX86_normal.jpg" TargetMode="External"/><Relationship Id="rId4763" Type="http://schemas.openxmlformats.org/officeDocument/2006/relationships/hyperlink" Target="https://twitter.com/sine_injuria/status/723186971032584192" TargetMode="External"/><Relationship Id="rId5814" Type="http://schemas.openxmlformats.org/officeDocument/2006/relationships/hyperlink" Target="https://twitter.com/_HADES1" TargetMode="External"/><Relationship Id="rId14357" Type="http://schemas.openxmlformats.org/officeDocument/2006/relationships/hyperlink" Target="https://twitter.com/LombardaMotori" TargetMode="External"/><Relationship Id="rId15408" Type="http://schemas.openxmlformats.org/officeDocument/2006/relationships/hyperlink" Target="https://pbs.twimg.com/profile_images/571225939184623616/VCwqY6RG_normal.jpeg" TargetMode="External"/><Relationship Id="rId21573" Type="http://schemas.openxmlformats.org/officeDocument/2006/relationships/hyperlink" Target="https://pbs.twimg.com/profile_images/721595242454102016/kTiUFitK_normal.jpg" TargetMode="External"/><Relationship Id="rId22624" Type="http://schemas.openxmlformats.org/officeDocument/2006/relationships/hyperlink" Target="https://twitter.com/EHcars/status/724235103229095937" TargetMode="External"/><Relationship Id="rId3365" Type="http://schemas.openxmlformats.org/officeDocument/2006/relationships/hyperlink" Target="https://twitter.com/Enigma424" TargetMode="External"/><Relationship Id="rId4416" Type="http://schemas.openxmlformats.org/officeDocument/2006/relationships/hyperlink" Target="https://twitter.com/Lake13Simon/status/723180487343280128" TargetMode="External"/><Relationship Id="rId7986" Type="http://schemas.openxmlformats.org/officeDocument/2006/relationships/hyperlink" Target="https://pbs.twimg.com/profile_images/717472604702052357/yTPUaVAZ_normal.jpg" TargetMode="External"/><Relationship Id="rId18978" Type="http://schemas.openxmlformats.org/officeDocument/2006/relationships/hyperlink" Target="https://pbs.twimg.com/profile_images/2631993850/f768400fb066a4b3f1b00e29657f9e4b_normal.jpeg" TargetMode="External"/><Relationship Id="rId20175" Type="http://schemas.openxmlformats.org/officeDocument/2006/relationships/hyperlink" Target="https://pbs.twimg.com/profile_images/549908720063234051/r3Mc9VAA_normal.jpeg" TargetMode="External"/><Relationship Id="rId21226" Type="http://schemas.openxmlformats.org/officeDocument/2006/relationships/hyperlink" Target="https://twitter.com/VWCamperSales" TargetMode="External"/><Relationship Id="rId24796" Type="http://schemas.openxmlformats.org/officeDocument/2006/relationships/hyperlink" Target="https://twitter.com/Maha311Www" TargetMode="External"/><Relationship Id="rId286" Type="http://schemas.openxmlformats.org/officeDocument/2006/relationships/hyperlink" Target="https://twitter.com/Ffyncwraig" TargetMode="External"/><Relationship Id="rId3018" Type="http://schemas.openxmlformats.org/officeDocument/2006/relationships/hyperlink" Target="https://twitter.com/OnlineCarReview" TargetMode="External"/><Relationship Id="rId6588" Type="http://schemas.openxmlformats.org/officeDocument/2006/relationships/hyperlink" Target="https://twitter.com/VWCamperSales/status/723247205763534848" TargetMode="External"/><Relationship Id="rId7639" Type="http://schemas.openxmlformats.org/officeDocument/2006/relationships/hyperlink" Target="https://twitter.com/arancibia_rob/status/723319568496754688" TargetMode="External"/><Relationship Id="rId10967" Type="http://schemas.openxmlformats.org/officeDocument/2006/relationships/hyperlink" Target="https://pbs.twimg.com/profile_images/676102392140689408/Za3TLRHb_normal.jpg" TargetMode="External"/><Relationship Id="rId23398" Type="http://schemas.openxmlformats.org/officeDocument/2006/relationships/hyperlink" Target="https://twitter.com/LulubelleLimoVW/status/724286750907052033" TargetMode="External"/><Relationship Id="rId24449" Type="http://schemas.openxmlformats.org/officeDocument/2006/relationships/hyperlink" Target="https://pbs.twimg.com/profile_images/531375225204523009/W9b_bjxt_normal.jpeg" TargetMode="External"/><Relationship Id="rId9061" Type="http://schemas.openxmlformats.org/officeDocument/2006/relationships/hyperlink" Target="https://twitter.com/halucinatio" TargetMode="External"/><Relationship Id="rId13440" Type="http://schemas.openxmlformats.org/officeDocument/2006/relationships/hyperlink" Target="https://pbs.twimg.com/profile_images/706825223539200001/ArpDRZL1_normal.jpg" TargetMode="External"/><Relationship Id="rId420" Type="http://schemas.openxmlformats.org/officeDocument/2006/relationships/hyperlink" Target="https://twitter.com/gie_fer19/status/722957137291280385" TargetMode="External"/><Relationship Id="rId1050" Type="http://schemas.openxmlformats.org/officeDocument/2006/relationships/hyperlink" Target="https://twitter.com/VUruburu" TargetMode="External"/><Relationship Id="rId2101" Type="http://schemas.openxmlformats.org/officeDocument/2006/relationships/hyperlink" Target="https://twitter.com/ELMEX" TargetMode="External"/><Relationship Id="rId12042" Type="http://schemas.openxmlformats.org/officeDocument/2006/relationships/hyperlink" Target="http://faz.net/" TargetMode="External"/><Relationship Id="rId16663" Type="http://schemas.openxmlformats.org/officeDocument/2006/relationships/hyperlink" Target="https://pbs.twimg.com/profile_images/718820712757215233/LXXndPTS_normal.jpg" TargetMode="External"/><Relationship Id="rId17714" Type="http://schemas.openxmlformats.org/officeDocument/2006/relationships/hyperlink" Target="https://pbs.twimg.com/profile_images/1610421423/Image2_normal.jpg" TargetMode="External"/><Relationship Id="rId24930" Type="http://schemas.openxmlformats.org/officeDocument/2006/relationships/hyperlink" Target="https://pbs.twimg.com/profile_images/569800899141177344/nVFLMSdb_normal.png" TargetMode="External"/><Relationship Id="rId5671" Type="http://schemas.openxmlformats.org/officeDocument/2006/relationships/hyperlink" Target="https://pbs.twimg.com/profile_images/693260133237809152/JUVeKYdq_normal.jpg" TargetMode="External"/><Relationship Id="rId6722" Type="http://schemas.openxmlformats.org/officeDocument/2006/relationships/hyperlink" Target="http://linkis.com/" TargetMode="External"/><Relationship Id="rId15265" Type="http://schemas.openxmlformats.org/officeDocument/2006/relationships/hyperlink" Target="https://twitter.com/EnthusiastView" TargetMode="External"/><Relationship Id="rId16316" Type="http://schemas.openxmlformats.org/officeDocument/2006/relationships/hyperlink" Target="https://twitter.com/oldcar_photo/status/723668229076430848" TargetMode="External"/><Relationship Id="rId19886" Type="http://schemas.openxmlformats.org/officeDocument/2006/relationships/hyperlink" Target="https://twitter.com/choyo_aguero/status/723962765023559680" TargetMode="External"/><Relationship Id="rId22481" Type="http://schemas.openxmlformats.org/officeDocument/2006/relationships/hyperlink" Target="https://pbs.twimg.com/profile_images/722579397442535424/syR-FFVF_normal.jpg" TargetMode="External"/><Relationship Id="rId23532" Type="http://schemas.openxmlformats.org/officeDocument/2006/relationships/hyperlink" Target="https://twitter.com/Scirocco_Tuning/status/724296301135958017" TargetMode="External"/><Relationship Id="rId4273" Type="http://schemas.openxmlformats.org/officeDocument/2006/relationships/hyperlink" Target="https://pbs.twimg.com/profile_images/705780107844067328/e7O4UBNb_normal.jpg" TargetMode="External"/><Relationship Id="rId5324" Type="http://schemas.openxmlformats.org/officeDocument/2006/relationships/hyperlink" Target="https://pbs.twimg.com/profile_images/675744269617893376/euzFIoRi_normal.png" TargetMode="External"/><Relationship Id="rId8894" Type="http://schemas.openxmlformats.org/officeDocument/2006/relationships/hyperlink" Target="https://twitter.com/channeldistrib" TargetMode="External"/><Relationship Id="rId9945" Type="http://schemas.openxmlformats.org/officeDocument/2006/relationships/hyperlink" Target="https://twitter.com/LinDePaTo" TargetMode="External"/><Relationship Id="rId18488" Type="http://schemas.openxmlformats.org/officeDocument/2006/relationships/hyperlink" Target="https://pbs.twimg.com/profile_images/722221150957387776/EnN2RL7C_normal.jpg" TargetMode="External"/><Relationship Id="rId19539" Type="http://schemas.openxmlformats.org/officeDocument/2006/relationships/hyperlink" Target="https://twitter.com/VWsightings/status/723939311134117891" TargetMode="External"/><Relationship Id="rId21083" Type="http://schemas.openxmlformats.org/officeDocument/2006/relationships/hyperlink" Target="https://twitter.com/VWBeetleSales/status/724096521369587712" TargetMode="External"/><Relationship Id="rId22134" Type="http://schemas.openxmlformats.org/officeDocument/2006/relationships/hyperlink" Target="https://twitter.com/BenjaminBeutler/status/724202423137476609" TargetMode="External"/><Relationship Id="rId1934" Type="http://schemas.openxmlformats.org/officeDocument/2006/relationships/hyperlink" Target="https://twitter.com/sami3dat" TargetMode="External"/><Relationship Id="rId7496" Type="http://schemas.openxmlformats.org/officeDocument/2006/relationships/hyperlink" Target="https://pbs.twimg.com/profile_images/556834076418527235/Y36uC3QC_normal.png" TargetMode="External"/><Relationship Id="rId8547" Type="http://schemas.openxmlformats.org/officeDocument/2006/relationships/hyperlink" Target="https://pbs.twimg.com/profile_images/639934873898254336/4VqIHxOP_normal.jpg" TargetMode="External"/><Relationship Id="rId10477" Type="http://schemas.openxmlformats.org/officeDocument/2006/relationships/hyperlink" Target="https://pbs.twimg.com/profile_images/644405793039757312/rmIR0dNO_normal.jpg" TargetMode="External"/><Relationship Id="rId11528" Type="http://schemas.openxmlformats.org/officeDocument/2006/relationships/hyperlink" Target="https://twitter.com/Kvwbabel/status/723503211533848580" TargetMode="External"/><Relationship Id="rId11875" Type="http://schemas.openxmlformats.org/officeDocument/2006/relationships/hyperlink" Target="https://pbs.twimg.com/profile_images/3359623860/c18ce51d5c09fb6c80a7cfc89e8df5bb_normal.jpeg" TargetMode="External"/><Relationship Id="rId12926" Type="http://schemas.openxmlformats.org/officeDocument/2006/relationships/hyperlink" Target="https://pbs.twimg.com/profile_images/533605838867279872/HTQljkIF_normal.png" TargetMode="External"/><Relationship Id="rId25357" Type="http://schemas.openxmlformats.org/officeDocument/2006/relationships/hyperlink" Target="https://twitter.com/VeeDubMk1_/status/724432714657599489" TargetMode="External"/><Relationship Id="rId6098" Type="http://schemas.openxmlformats.org/officeDocument/2006/relationships/hyperlink" Target="https://pbs.twimg.com/profile_images/721298638002135040/UA8fxiJD_normal.jpg" TargetMode="External"/><Relationship Id="rId7149" Type="http://schemas.openxmlformats.org/officeDocument/2006/relationships/hyperlink" Target="https://pbs.twimg.com/profile_images/697189475504496642/k85OzCSX_normal.jpg" TargetMode="External"/><Relationship Id="rId14001" Type="http://schemas.openxmlformats.org/officeDocument/2006/relationships/hyperlink" Target="https://twitter.com/AnikoMerten/status/723560991821312001" TargetMode="External"/><Relationship Id="rId17571" Type="http://schemas.openxmlformats.org/officeDocument/2006/relationships/hyperlink" Target="https://twitter.com/VWCamperSales" TargetMode="External"/><Relationship Id="rId18622" Type="http://schemas.openxmlformats.org/officeDocument/2006/relationships/hyperlink" Target="https://pbs.twimg.com/profile_images/675288954808238080/bhh-agl2_normal.jpg" TargetMode="External"/><Relationship Id="rId21967" Type="http://schemas.openxmlformats.org/officeDocument/2006/relationships/hyperlink" Target="http://vk.com/" TargetMode="External"/><Relationship Id="rId3759" Type="http://schemas.openxmlformats.org/officeDocument/2006/relationships/hyperlink" Target="https://twitter.com/emilyrusch/status/723168904160272384" TargetMode="External"/><Relationship Id="rId5181" Type="http://schemas.openxmlformats.org/officeDocument/2006/relationships/hyperlink" Target="https://twitter.com/UniversityVWM" TargetMode="External"/><Relationship Id="rId6232" Type="http://schemas.openxmlformats.org/officeDocument/2006/relationships/hyperlink" Target="https://twitter.com/VWShawty/status/723235925782761472" TargetMode="External"/><Relationship Id="rId7630" Type="http://schemas.openxmlformats.org/officeDocument/2006/relationships/hyperlink" Target="https://pbs.twimg.com/profile_images/699383744277278720/_YVLnGwX_normal.jpg" TargetMode="External"/><Relationship Id="rId10611" Type="http://schemas.openxmlformats.org/officeDocument/2006/relationships/hyperlink" Target="https://twitter.com/MarcelSigner" TargetMode="External"/><Relationship Id="rId16173" Type="http://schemas.openxmlformats.org/officeDocument/2006/relationships/hyperlink" Target="https://twitter.com/sfchronicle" TargetMode="External"/><Relationship Id="rId17224" Type="http://schemas.openxmlformats.org/officeDocument/2006/relationships/hyperlink" Target="https://pbs.twimg.com/profile_images/437680875434541056/VUvUo5FE_normal.jpeg" TargetMode="External"/><Relationship Id="rId20569" Type="http://schemas.openxmlformats.org/officeDocument/2006/relationships/hyperlink" Target="https://pbs.twimg.com/profile_images/720976955101851649/4hfxGqqa_normal.jpg" TargetMode="External"/><Relationship Id="rId24440" Type="http://schemas.openxmlformats.org/officeDocument/2006/relationships/hyperlink" Target="https://pbs.twimg.com/profile_images/705780107844067328/e7O4UBNb_normal.jpg" TargetMode="External"/><Relationship Id="rId12783" Type="http://schemas.openxmlformats.org/officeDocument/2006/relationships/hyperlink" Target="https://twitter.com/NetzwerkggS21" TargetMode="External"/><Relationship Id="rId13834" Type="http://schemas.openxmlformats.org/officeDocument/2006/relationships/hyperlink" Target="https://twitter.com/kngeuro/status/723557193312694272" TargetMode="External"/><Relationship Id="rId19396" Type="http://schemas.openxmlformats.org/officeDocument/2006/relationships/hyperlink" Target="https://twitter.com/FuscaWorld/status/723929198520328192" TargetMode="External"/><Relationship Id="rId23042" Type="http://schemas.openxmlformats.org/officeDocument/2006/relationships/hyperlink" Target="https://pbs.twimg.com/profile_images/722423202585174016/CLPDkHMN_normal.jpg" TargetMode="External"/><Relationship Id="rId1791" Type="http://schemas.openxmlformats.org/officeDocument/2006/relationships/hyperlink" Target="https://pbs.twimg.com/profile_images/466908605317279744/I5a712BQ_normal.jpeg" TargetMode="External"/><Relationship Id="rId2842" Type="http://schemas.openxmlformats.org/officeDocument/2006/relationships/hyperlink" Target="https://twitter.com/pochotcom/status/723121629044301825" TargetMode="External"/><Relationship Id="rId9455" Type="http://schemas.openxmlformats.org/officeDocument/2006/relationships/hyperlink" Target="https://twitter.com/5StarChickMeem/status/723436071007055872" TargetMode="External"/><Relationship Id="rId11385" Type="http://schemas.openxmlformats.org/officeDocument/2006/relationships/hyperlink" Target="https://pbs.twimg.com/profile_images/700994582859931648/J516c0KE_normal.jpg" TargetMode="External"/><Relationship Id="rId12436" Type="http://schemas.openxmlformats.org/officeDocument/2006/relationships/hyperlink" Target="https://twitter.com/mokomokai" TargetMode="External"/><Relationship Id="rId19049" Type="http://schemas.openxmlformats.org/officeDocument/2006/relationships/hyperlink" Target="https://twitter.com/CapeCoralgroup" TargetMode="External"/><Relationship Id="rId20703" Type="http://schemas.openxmlformats.org/officeDocument/2006/relationships/hyperlink" Target="https://twitter.com/sugru/status/724029119021768704" TargetMode="External"/><Relationship Id="rId814" Type="http://schemas.openxmlformats.org/officeDocument/2006/relationships/hyperlink" Target="https://twitter.com/darrenmorin/status/722986835668946944" TargetMode="External"/><Relationship Id="rId1444" Type="http://schemas.openxmlformats.org/officeDocument/2006/relationships/hyperlink" Target="https://pbs.twimg.com/profile_images/701358144577007616/6WCV8aLv_normal.jpg" TargetMode="External"/><Relationship Id="rId8057" Type="http://schemas.openxmlformats.org/officeDocument/2006/relationships/hyperlink" Target="https://twitter.com/Patentingenieur" TargetMode="External"/><Relationship Id="rId9108" Type="http://schemas.openxmlformats.org/officeDocument/2006/relationships/hyperlink" Target="https://twitter.com/E15news/status/723421756157923329" TargetMode="External"/><Relationship Id="rId11038" Type="http://schemas.openxmlformats.org/officeDocument/2006/relationships/hyperlink" Target="https://twitter.com/Symbol_FR" TargetMode="External"/><Relationship Id="rId15659" Type="http://schemas.openxmlformats.org/officeDocument/2006/relationships/hyperlink" Target="https://twitter.com/beetlebug1938" TargetMode="External"/><Relationship Id="rId19530" Type="http://schemas.openxmlformats.org/officeDocument/2006/relationships/hyperlink" Target="https://twitter.com/VWsightings/status/723939017310482432" TargetMode="External"/><Relationship Id="rId22875" Type="http://schemas.openxmlformats.org/officeDocument/2006/relationships/hyperlink" Target="https://twitter.com/TheCarCentre/status/724253776056582144" TargetMode="External"/><Relationship Id="rId4667" Type="http://schemas.openxmlformats.org/officeDocument/2006/relationships/hyperlink" Target="https://twitter.com/talk910" TargetMode="External"/><Relationship Id="rId5718" Type="http://schemas.openxmlformats.org/officeDocument/2006/relationships/hyperlink" Target="https://twitter.com/VolkswagenPost/status/723214207315898369" TargetMode="External"/><Relationship Id="rId17081" Type="http://schemas.openxmlformats.org/officeDocument/2006/relationships/hyperlink" Target="https://twitter.com/theDrivenUKshow/status/723769107355676672" TargetMode="External"/><Relationship Id="rId18132" Type="http://schemas.openxmlformats.org/officeDocument/2006/relationships/hyperlink" Target="https://twitter.com/manfredelsner" TargetMode="External"/><Relationship Id="rId21477" Type="http://schemas.openxmlformats.org/officeDocument/2006/relationships/hyperlink" Target="https://twitter.com/ebaycampervans/status/724151904998051840" TargetMode="External"/><Relationship Id="rId22528" Type="http://schemas.openxmlformats.org/officeDocument/2006/relationships/hyperlink" Target="https://twitter.com/VWBeetleSales" TargetMode="External"/><Relationship Id="rId23926" Type="http://schemas.openxmlformats.org/officeDocument/2006/relationships/hyperlink" Target="https://pbs.twimg.com/profile_images/718820712757215233/LXXndPTS_normal.jpg" TargetMode="External"/><Relationship Id="rId3269" Type="http://schemas.openxmlformats.org/officeDocument/2006/relationships/hyperlink" Target="https://twitter.com/cjwich" TargetMode="External"/><Relationship Id="rId7140" Type="http://schemas.openxmlformats.org/officeDocument/2006/relationships/hyperlink" Target="https://twitter.com/JoeBert32" TargetMode="External"/><Relationship Id="rId20079" Type="http://schemas.openxmlformats.org/officeDocument/2006/relationships/hyperlink" Target="https://twitter.com/KziaSabino/status/723974590536507392" TargetMode="External"/><Relationship Id="rId25001" Type="http://schemas.openxmlformats.org/officeDocument/2006/relationships/hyperlink" Target="https://twitter.com/SuranClub/status/724408823029616640" TargetMode="External"/><Relationship Id="rId10121" Type="http://schemas.openxmlformats.org/officeDocument/2006/relationships/hyperlink" Target="https://twitter.com/AFECTADOGRUPOVW/status/723463528871518208" TargetMode="External"/><Relationship Id="rId13691" Type="http://schemas.openxmlformats.org/officeDocument/2006/relationships/hyperlink" Target="https://twitter.com/katharina2401/status/723553294866649088" TargetMode="External"/><Relationship Id="rId14742" Type="http://schemas.openxmlformats.org/officeDocument/2006/relationships/hyperlink" Target="https://pbs.twimg.com/profile_images/2170953039/Gargola_normal.jpeg" TargetMode="External"/><Relationship Id="rId3750" Type="http://schemas.openxmlformats.org/officeDocument/2006/relationships/hyperlink" Target="https://twitter.com/CV_OT/status/723168776473157632" TargetMode="External"/><Relationship Id="rId4801" Type="http://schemas.openxmlformats.org/officeDocument/2006/relationships/hyperlink" Target="https://twitter.com/octagon_iv" TargetMode="External"/><Relationship Id="rId12293" Type="http://schemas.openxmlformats.org/officeDocument/2006/relationships/hyperlink" Target="https://twitter.com/Koelsch_blood/status/723516758666022916" TargetMode="External"/><Relationship Id="rId13344" Type="http://schemas.openxmlformats.org/officeDocument/2006/relationships/hyperlink" Target="https://twitter.com/kking67/status/723544237971783680" TargetMode="External"/><Relationship Id="rId17965" Type="http://schemas.openxmlformats.org/officeDocument/2006/relationships/hyperlink" Target="http://www.infooffensive.de/" TargetMode="External"/><Relationship Id="rId20560" Type="http://schemas.openxmlformats.org/officeDocument/2006/relationships/hyperlink" Target="https://pbs.twimg.com/profile_images/3121139630/cf49c4a28b490fc2d785123b06e6ae84_normal.jpeg" TargetMode="External"/><Relationship Id="rId21611" Type="http://schemas.openxmlformats.org/officeDocument/2006/relationships/hyperlink" Target="https://twitter.com/MorSvinka_83" TargetMode="External"/><Relationship Id="rId671" Type="http://schemas.openxmlformats.org/officeDocument/2006/relationships/hyperlink" Target="https://pbs.twimg.com/profile_images/539633253410676736/DtSkKCOz_normal.jpeg" TargetMode="External"/><Relationship Id="rId2352" Type="http://schemas.openxmlformats.org/officeDocument/2006/relationships/hyperlink" Target="https://twitter.com/Ch4r32" TargetMode="External"/><Relationship Id="rId3403" Type="http://schemas.openxmlformats.org/officeDocument/2006/relationships/hyperlink" Target="https://pbs.twimg.com/profile_images/713674684613705728/xqZYcsd-_normal.jpg" TargetMode="External"/><Relationship Id="rId6973" Type="http://schemas.openxmlformats.org/officeDocument/2006/relationships/hyperlink" Target="https://twitter.com/eliy_enano/status/723272790158225408" TargetMode="External"/><Relationship Id="rId16567" Type="http://schemas.openxmlformats.org/officeDocument/2006/relationships/hyperlink" Target="https://twitter.com/OnlyFerrariPics" TargetMode="External"/><Relationship Id="rId17618" Type="http://schemas.openxmlformats.org/officeDocument/2006/relationships/hyperlink" Target="https://twitter.com/pixeljunkie/status/723810235429838848" TargetMode="External"/><Relationship Id="rId20213" Type="http://schemas.openxmlformats.org/officeDocument/2006/relationships/hyperlink" Target="https://twitter.com/tatymontespr/status/723981725366276096" TargetMode="External"/><Relationship Id="rId23783" Type="http://schemas.openxmlformats.org/officeDocument/2006/relationships/hyperlink" Target="https://twitter.com/VeeDubMk1_" TargetMode="External"/><Relationship Id="rId24834" Type="http://schemas.openxmlformats.org/officeDocument/2006/relationships/hyperlink" Target="https://pbs.twimg.com/profile_images/464482966409068544/-gzay6sr_normal.jpeg" TargetMode="External"/><Relationship Id="rId324" Type="http://schemas.openxmlformats.org/officeDocument/2006/relationships/hyperlink" Target="https://pbs.twimg.com/profile_images/530071272881803264/a_jcCmPZ_normal.png" TargetMode="External"/><Relationship Id="rId2005" Type="http://schemas.openxmlformats.org/officeDocument/2006/relationships/hyperlink" Target="https://twitter.com/ebaycampervans/status/723075322736844800" TargetMode="External"/><Relationship Id="rId5575" Type="http://schemas.openxmlformats.org/officeDocument/2006/relationships/hyperlink" Target="https://twitter.com/runner0305" TargetMode="External"/><Relationship Id="rId6626" Type="http://schemas.openxmlformats.org/officeDocument/2006/relationships/hyperlink" Target="https://twitter.com/miojob_net" TargetMode="External"/><Relationship Id="rId15169" Type="http://schemas.openxmlformats.org/officeDocument/2006/relationships/hyperlink" Target="https://twitter.com/railscanner" TargetMode="External"/><Relationship Id="rId19040" Type="http://schemas.openxmlformats.org/officeDocument/2006/relationships/hyperlink" Target="https://twitter.com/yogafitter/status/723915231190126602" TargetMode="External"/><Relationship Id="rId22385" Type="http://schemas.openxmlformats.org/officeDocument/2006/relationships/hyperlink" Target="http://dlvr.it/" TargetMode="External"/><Relationship Id="rId23436" Type="http://schemas.openxmlformats.org/officeDocument/2006/relationships/hyperlink" Target="https://twitter.com/Campervan_Andy/status/724288752269574144" TargetMode="External"/><Relationship Id="rId4177" Type="http://schemas.openxmlformats.org/officeDocument/2006/relationships/hyperlink" Target="https://pbs.twimg.com/profile_images/2289706087/q66ajanznpfm87cybp5p_normal.jpeg" TargetMode="External"/><Relationship Id="rId5228" Type="http://schemas.openxmlformats.org/officeDocument/2006/relationships/hyperlink" Target="https://twitter.com/OnlineCarReview" TargetMode="External"/><Relationship Id="rId8798" Type="http://schemas.openxmlformats.org/officeDocument/2006/relationships/hyperlink" Target="https://twitter.com/conkers3" TargetMode="External"/><Relationship Id="rId9849" Type="http://schemas.openxmlformats.org/officeDocument/2006/relationships/hyperlink" Target="https://twitter.com/FM_Elektro" TargetMode="External"/><Relationship Id="rId22038" Type="http://schemas.openxmlformats.org/officeDocument/2006/relationships/hyperlink" Target="https://pbs.twimg.com/profile_images/512330694312218624/Bq32lWja_normal.png" TargetMode="External"/><Relationship Id="rId11779" Type="http://schemas.openxmlformats.org/officeDocument/2006/relationships/hyperlink" Target="https://pbs.twimg.com/profile_images/702866301568618496/VRpr5_N__normal.jpg" TargetMode="External"/><Relationship Id="rId15650" Type="http://schemas.openxmlformats.org/officeDocument/2006/relationships/hyperlink" Target="https://twitter.com/dillonmj/status/723618416167411714" TargetMode="External"/><Relationship Id="rId16701" Type="http://schemas.openxmlformats.org/officeDocument/2006/relationships/hyperlink" Target="https://twitter.com/VWBeetleSales/status/723712520993705984" TargetMode="External"/><Relationship Id="rId1838" Type="http://schemas.openxmlformats.org/officeDocument/2006/relationships/hyperlink" Target="https://twitter.com/VWBeetleSales/status/723061722609684480" TargetMode="External"/><Relationship Id="rId3260" Type="http://schemas.openxmlformats.org/officeDocument/2006/relationships/hyperlink" Target="https://twitter.com/GastonBrandt" TargetMode="External"/><Relationship Id="rId4311" Type="http://schemas.openxmlformats.org/officeDocument/2006/relationships/hyperlink" Target="https://pbs.twimg.com/profile_images/627949001179037696/skEBkS05_normal.jpg" TargetMode="External"/><Relationship Id="rId14252" Type="http://schemas.openxmlformats.org/officeDocument/2006/relationships/hyperlink" Target="https://twitter.com/JuanMolin4/status/723570912507908096" TargetMode="External"/><Relationship Id="rId15303" Type="http://schemas.openxmlformats.org/officeDocument/2006/relationships/hyperlink" Target="https://pbs.twimg.com/profile_images/669015686199406593/GpiITYaW_normal.jpg" TargetMode="External"/><Relationship Id="rId18873" Type="http://schemas.openxmlformats.org/officeDocument/2006/relationships/hyperlink" Target="https://pbs.twimg.com/profile_images/560808349239746560/NJEwEVs5_normal.png" TargetMode="External"/><Relationship Id="rId19924" Type="http://schemas.openxmlformats.org/officeDocument/2006/relationships/hyperlink" Target="https://twitter.com/frank_wrc" TargetMode="External"/><Relationship Id="rId20070" Type="http://schemas.openxmlformats.org/officeDocument/2006/relationships/hyperlink" Target="https://twitter.com/McBassler/status/723973771497988096" TargetMode="External"/><Relationship Id="rId181" Type="http://schemas.openxmlformats.org/officeDocument/2006/relationships/hyperlink" Target="https://twitter.com/VWCamperSales/status/722932899431841792" TargetMode="External"/><Relationship Id="rId7881" Type="http://schemas.openxmlformats.org/officeDocument/2006/relationships/hyperlink" Target="https://pbs.twimg.com/profile_images/723338056477081600/7wDgXb-F_normal.jpg" TargetMode="External"/><Relationship Id="rId8932" Type="http://schemas.openxmlformats.org/officeDocument/2006/relationships/hyperlink" Target="https://pbs.twimg.com/profile_images/703329620259688448/RfdFkFzI_normal.jpg" TargetMode="External"/><Relationship Id="rId10862" Type="http://schemas.openxmlformats.org/officeDocument/2006/relationships/hyperlink" Target="https://pbs.twimg.com/profile_images/461217174938726400/XO-I-jNV_normal.jpeg" TargetMode="External"/><Relationship Id="rId11913" Type="http://schemas.openxmlformats.org/officeDocument/2006/relationships/hyperlink" Target="https://twitter.com/zeitonline/status/723509900593270784" TargetMode="External"/><Relationship Id="rId17475" Type="http://schemas.openxmlformats.org/officeDocument/2006/relationships/hyperlink" Target="https://pbs.twimg.com/profile_images/3310553933/4ec743e0f8325c4a3872c3ff3d2dea97_normal.jpeg" TargetMode="External"/><Relationship Id="rId18526" Type="http://schemas.openxmlformats.org/officeDocument/2006/relationships/hyperlink" Target="https://pbs.twimg.com/profile_images/570893108095639552/IiOlHTmM_normal.jpeg" TargetMode="External"/><Relationship Id="rId21121" Type="http://schemas.openxmlformats.org/officeDocument/2006/relationships/hyperlink" Target="https://pbs.twimg.com/profile_images/2646835465/aa5823578b01b04b7e91d58e8ca88691_normal.jpeg" TargetMode="External"/><Relationship Id="rId24691" Type="http://schemas.openxmlformats.org/officeDocument/2006/relationships/hyperlink" Target="https://twitter.com/BLNlearning" TargetMode="External"/><Relationship Id="rId25742" Type="http://schemas.openxmlformats.org/officeDocument/2006/relationships/hyperlink" Target="https://pbs.twimg.com/profile_images/639281846556069892/c78Gg9SX_normal.jpg" TargetMode="External"/><Relationship Id="rId5085" Type="http://schemas.openxmlformats.org/officeDocument/2006/relationships/hyperlink" Target="https://twitter.com/wvrlaw" TargetMode="External"/><Relationship Id="rId6483" Type="http://schemas.openxmlformats.org/officeDocument/2006/relationships/hyperlink" Target="https://twitter.com/lena_sw_" TargetMode="External"/><Relationship Id="rId7534" Type="http://schemas.openxmlformats.org/officeDocument/2006/relationships/hyperlink" Target="https://twitter.com/RepoRide/status/723309229365444608" TargetMode="External"/><Relationship Id="rId10515" Type="http://schemas.openxmlformats.org/officeDocument/2006/relationships/hyperlink" Target="https://pbs.twimg.com/profile_images/378800000819824275/68f3c989b2c2a616cffc62b0078aecca_normal.jpeg" TargetMode="External"/><Relationship Id="rId16077" Type="http://schemas.openxmlformats.org/officeDocument/2006/relationships/hyperlink" Target="https://twitter.com/BizAurora/status/723647662097072131" TargetMode="External"/><Relationship Id="rId17128" Type="http://schemas.openxmlformats.org/officeDocument/2006/relationships/hyperlink" Target="https://pbs.twimg.com/profile_images/459716655581364224/L2RGYkk5_normal.jpeg" TargetMode="External"/><Relationship Id="rId23293" Type="http://schemas.openxmlformats.org/officeDocument/2006/relationships/hyperlink" Target="https://twitter.com/hydronavitas1" TargetMode="External"/><Relationship Id="rId24344" Type="http://schemas.openxmlformats.org/officeDocument/2006/relationships/hyperlink" Target="https://twitter.com/klassikautos" TargetMode="External"/><Relationship Id="rId6136" Type="http://schemas.openxmlformats.org/officeDocument/2006/relationships/hyperlink" Target="http://ctrlq.org/maps/address/" TargetMode="External"/><Relationship Id="rId12687" Type="http://schemas.openxmlformats.org/officeDocument/2006/relationships/hyperlink" Target="https://twitter.com/JenniPii/status/723525158821060608" TargetMode="External"/><Relationship Id="rId13738" Type="http://schemas.openxmlformats.org/officeDocument/2006/relationships/hyperlink" Target="https://twitter.com/margotoge" TargetMode="External"/><Relationship Id="rId20954" Type="http://schemas.openxmlformats.org/officeDocument/2006/relationships/hyperlink" Target="https://twitter.com/StangDaeng" TargetMode="External"/><Relationship Id="rId1695" Type="http://schemas.openxmlformats.org/officeDocument/2006/relationships/hyperlink" Target="https://twitter.com/boerseARD/status/723053219547508736" TargetMode="External"/><Relationship Id="rId2746" Type="http://schemas.openxmlformats.org/officeDocument/2006/relationships/hyperlink" Target="https://twitter.com/VWCamperSales/status/723116967104651265" TargetMode="External"/><Relationship Id="rId9359" Type="http://schemas.openxmlformats.org/officeDocument/2006/relationships/hyperlink" Target="http://dlvr.it/" TargetMode="External"/><Relationship Id="rId11289" Type="http://schemas.openxmlformats.org/officeDocument/2006/relationships/hyperlink" Target="https://twitter.com/Banane0711/status/723500341644398592" TargetMode="External"/><Relationship Id="rId15160" Type="http://schemas.openxmlformats.org/officeDocument/2006/relationships/hyperlink" Target="https://twitter.com/Lunatique11" TargetMode="External"/><Relationship Id="rId16211" Type="http://schemas.openxmlformats.org/officeDocument/2006/relationships/hyperlink" Target="https://pbs.twimg.com/profile_images/722247394377777152/68jeiqXN_normal.jpg" TargetMode="External"/><Relationship Id="rId20607" Type="http://schemas.openxmlformats.org/officeDocument/2006/relationships/hyperlink" Target="https://pbs.twimg.com/profile_images/530071272881803264/a_jcCmPZ_normal.png" TargetMode="External"/><Relationship Id="rId718" Type="http://schemas.openxmlformats.org/officeDocument/2006/relationships/hyperlink" Target="https://twitter.com/MalibuMoms" TargetMode="External"/><Relationship Id="rId1348" Type="http://schemas.openxmlformats.org/officeDocument/2006/relationships/hyperlink" Target="http://ctrlq.org/maps/address/" TargetMode="External"/><Relationship Id="rId19781" Type="http://schemas.openxmlformats.org/officeDocument/2006/relationships/hyperlink" Target="https://twitter.com/Insta_VWT/status/723956788513611776" TargetMode="External"/><Relationship Id="rId5969" Type="http://schemas.openxmlformats.org/officeDocument/2006/relationships/hyperlink" Target="https://twitter.com/timo_silver" TargetMode="External"/><Relationship Id="rId7391" Type="http://schemas.openxmlformats.org/officeDocument/2006/relationships/hyperlink" Target="https://twitter.com/DellsServiceGB" TargetMode="External"/><Relationship Id="rId8442" Type="http://schemas.openxmlformats.org/officeDocument/2006/relationships/hyperlink" Target="https://twitter.com/doern/status/723388509604597760" TargetMode="External"/><Relationship Id="rId9840" Type="http://schemas.openxmlformats.org/officeDocument/2006/relationships/hyperlink" Target="https://twitter.com/581eGliese" TargetMode="External"/><Relationship Id="rId11770" Type="http://schemas.openxmlformats.org/officeDocument/2006/relationships/hyperlink" Target="https://abs.twimg.com/sticky/default_profile_images/default_profile_6_normal.png" TargetMode="External"/><Relationship Id="rId12821" Type="http://schemas.openxmlformats.org/officeDocument/2006/relationships/hyperlink" Target="https://twitter.com/JoshineMeyer/status/723528627757977606" TargetMode="External"/><Relationship Id="rId18036" Type="http://schemas.openxmlformats.org/officeDocument/2006/relationships/hyperlink" Target="https://twitter.com/voosvoos/status/723843230689800192" TargetMode="External"/><Relationship Id="rId18383" Type="http://schemas.openxmlformats.org/officeDocument/2006/relationships/hyperlink" Target="https://twitter.com/vwpress_en" TargetMode="External"/><Relationship Id="rId19434" Type="http://schemas.openxmlformats.org/officeDocument/2006/relationships/hyperlink" Target="https://pbs.twimg.com/profile_images/699604492849954816/mEYf4W7P_normal.jpg" TargetMode="External"/><Relationship Id="rId22779" Type="http://schemas.openxmlformats.org/officeDocument/2006/relationships/hyperlink" Target="https://twitter.com/VWBeetleSales" TargetMode="External"/><Relationship Id="rId25252" Type="http://schemas.openxmlformats.org/officeDocument/2006/relationships/hyperlink" Target="https://twitter.com/Scirocco_Tuning" TargetMode="External"/><Relationship Id="rId54" Type="http://schemas.openxmlformats.org/officeDocument/2006/relationships/hyperlink" Target="https://pbs.twimg.com/profile_images/700188970026606592/y5ePQvYf_normal.jpg" TargetMode="External"/><Relationship Id="rId7044" Type="http://schemas.openxmlformats.org/officeDocument/2006/relationships/hyperlink" Target="https://pbs.twimg.com/profile_images/1625824638/1dfsf2_normal.jpg" TargetMode="External"/><Relationship Id="rId10372" Type="http://schemas.openxmlformats.org/officeDocument/2006/relationships/hyperlink" Target="https://twitter.com/trendstodayapp/status/723470495652433920" TargetMode="External"/><Relationship Id="rId11423" Type="http://schemas.openxmlformats.org/officeDocument/2006/relationships/hyperlink" Target="https://twitter.com/KziaSabino/status/723502024780816384" TargetMode="External"/><Relationship Id="rId14993" Type="http://schemas.openxmlformats.org/officeDocument/2006/relationships/hyperlink" Target="http://dlvr.it/" TargetMode="External"/><Relationship Id="rId10025" Type="http://schemas.openxmlformats.org/officeDocument/2006/relationships/hyperlink" Target="https://twitter.com/Eliott_Law/status/723458447103131648" TargetMode="External"/><Relationship Id="rId13595" Type="http://schemas.openxmlformats.org/officeDocument/2006/relationships/hyperlink" Target="https://pbs.twimg.com/profile_images/702511217793863680/lty8h9vE_normal.jpg" TargetMode="External"/><Relationship Id="rId14646" Type="http://schemas.openxmlformats.org/officeDocument/2006/relationships/hyperlink" Target="https://twitter.com/heike1502" TargetMode="External"/><Relationship Id="rId21862" Type="http://schemas.openxmlformats.org/officeDocument/2006/relationships/hyperlink" Target="https://pbs.twimg.com/profile_images/510875138120617984/XK68wPEi_normal.jpeg" TargetMode="External"/><Relationship Id="rId22913" Type="http://schemas.openxmlformats.org/officeDocument/2006/relationships/hyperlink" Target="https://pbs.twimg.com/profile_images/691267260758020096/6YkrhJsd_normal.jpg" TargetMode="External"/><Relationship Id="rId3654" Type="http://schemas.openxmlformats.org/officeDocument/2006/relationships/hyperlink" Target="https://twitter.com/marioamontero" TargetMode="External"/><Relationship Id="rId4705" Type="http://schemas.openxmlformats.org/officeDocument/2006/relationships/hyperlink" Target="https://twitter.com/swanswaygroup/status/723185784124104708" TargetMode="External"/><Relationship Id="rId12197" Type="http://schemas.openxmlformats.org/officeDocument/2006/relationships/hyperlink" Target="https://twitter.com/bodo1962/status/723514774475120641" TargetMode="External"/><Relationship Id="rId13248" Type="http://schemas.openxmlformats.org/officeDocument/2006/relationships/hyperlink" Target="https://abs.twimg.com/sticky/default_profile_images/default_profile_4_normal.png" TargetMode="External"/><Relationship Id="rId17869" Type="http://schemas.openxmlformats.org/officeDocument/2006/relationships/hyperlink" Target="https://twitter.com/swanswaygroup" TargetMode="External"/><Relationship Id="rId20464" Type="http://schemas.openxmlformats.org/officeDocument/2006/relationships/hyperlink" Target="https://pbs.twimg.com/profile_images/699342477040332801/1lZtxf4o_normal.jpg" TargetMode="External"/><Relationship Id="rId21515" Type="http://schemas.openxmlformats.org/officeDocument/2006/relationships/hyperlink" Target="https://twitter.com/jannikkel6/status/724154450772918272" TargetMode="External"/><Relationship Id="rId575" Type="http://schemas.openxmlformats.org/officeDocument/2006/relationships/hyperlink" Target="https://pbs.twimg.com/profile_images/713202600439652352/v_xElP9S_normal.jpg" TargetMode="External"/><Relationship Id="rId2256" Type="http://schemas.openxmlformats.org/officeDocument/2006/relationships/hyperlink" Target="https://twitter.com/techislet" TargetMode="External"/><Relationship Id="rId3307" Type="http://schemas.openxmlformats.org/officeDocument/2006/relationships/hyperlink" Target="https://twitter.com/CargoBikeJetzt/status/723150610837565440" TargetMode="External"/><Relationship Id="rId6877" Type="http://schemas.openxmlformats.org/officeDocument/2006/relationships/hyperlink" Target="https://twitter.com/onestoneadvisor/status/723265507403530241" TargetMode="External"/><Relationship Id="rId7928" Type="http://schemas.openxmlformats.org/officeDocument/2006/relationships/hyperlink" Target="https://twitter.com/autometricaru" TargetMode="External"/><Relationship Id="rId19291" Type="http://schemas.openxmlformats.org/officeDocument/2006/relationships/hyperlink" Target="https://twitter.com/iaurajaynesays" TargetMode="External"/><Relationship Id="rId20117" Type="http://schemas.openxmlformats.org/officeDocument/2006/relationships/hyperlink" Target="https://pbs.twimg.com/profile_images/472875847024513024/VGbooNKO_normal.jpeg" TargetMode="External"/><Relationship Id="rId23687" Type="http://schemas.openxmlformats.org/officeDocument/2006/relationships/hyperlink" Target="https://twitter.com/william_willia2" TargetMode="External"/><Relationship Id="rId24738" Type="http://schemas.openxmlformats.org/officeDocument/2006/relationships/hyperlink" Target="https://twitter.com/VictinhoRG" TargetMode="External"/><Relationship Id="rId228" Type="http://schemas.openxmlformats.org/officeDocument/2006/relationships/hyperlink" Target="https://pbs.twimg.com/profile_images/589041144027357185/LMeiK-X6_normal.jpg" TargetMode="External"/><Relationship Id="rId5479" Type="http://schemas.openxmlformats.org/officeDocument/2006/relationships/hyperlink" Target="https://twitter.com/SexenioCDMX/status/723204430011596801" TargetMode="External"/><Relationship Id="rId9350" Type="http://schemas.openxmlformats.org/officeDocument/2006/relationships/hyperlink" Target="https://pbs.twimg.com/profile_images/1130086665/berr_normal.JPG" TargetMode="External"/><Relationship Id="rId10909" Type="http://schemas.openxmlformats.org/officeDocument/2006/relationships/hyperlink" Target="https://twitter.com/noz_el/status/723490079990243329" TargetMode="External"/><Relationship Id="rId11280" Type="http://schemas.openxmlformats.org/officeDocument/2006/relationships/hyperlink" Target="https://twitter.com/doern/status/723500240083521536" TargetMode="External"/><Relationship Id="rId22289" Type="http://schemas.openxmlformats.org/officeDocument/2006/relationships/hyperlink" Target="https://twitter.com/Insta_VWT/status/724213370413568000" TargetMode="External"/><Relationship Id="rId9003" Type="http://schemas.openxmlformats.org/officeDocument/2006/relationships/hyperlink" Target="https://twitter.com/schoenbornmc/status/723415864767221760" TargetMode="External"/><Relationship Id="rId12331" Type="http://schemas.openxmlformats.org/officeDocument/2006/relationships/hyperlink" Target="https://pbs.twimg.com/profile_images/649322876340994048/-P2inwQT_normal.jpg" TargetMode="External"/><Relationship Id="rId16952" Type="http://schemas.openxmlformats.org/officeDocument/2006/relationships/hyperlink" Target="https://twitter.com/tonymunday1/status/723756623014047745" TargetMode="External"/><Relationship Id="rId5960" Type="http://schemas.openxmlformats.org/officeDocument/2006/relationships/hyperlink" Target="https://twitter.com/coolspringsvw" TargetMode="External"/><Relationship Id="rId15554" Type="http://schemas.openxmlformats.org/officeDocument/2006/relationships/hyperlink" Target="https://twitter.com/RomaanGnnZ/status/723612821242695685" TargetMode="External"/><Relationship Id="rId16605" Type="http://schemas.openxmlformats.org/officeDocument/2006/relationships/hyperlink" Target="https://pbs.twimg.com/profile_images/424893967197433858/iQ86NktX_normal.jpeg" TargetMode="External"/><Relationship Id="rId22770" Type="http://schemas.openxmlformats.org/officeDocument/2006/relationships/hyperlink" Target="https://twitter.com/fly2wales/status/724245435712417792" TargetMode="External"/><Relationship Id="rId23821" Type="http://schemas.openxmlformats.org/officeDocument/2006/relationships/hyperlink" Target="https://pbs.twimg.com/profile_images/649906344330416128/2rNR_pGy_normal.jpg" TargetMode="External"/><Relationship Id="rId3164" Type="http://schemas.openxmlformats.org/officeDocument/2006/relationships/hyperlink" Target="https://twitter.com/AnnaVizzari" TargetMode="External"/><Relationship Id="rId4562" Type="http://schemas.openxmlformats.org/officeDocument/2006/relationships/hyperlink" Target="https://pbs.twimg.com/profile_images/443812586782355456/0KDnCULg_normal.jpeg" TargetMode="External"/><Relationship Id="rId5613" Type="http://schemas.openxmlformats.org/officeDocument/2006/relationships/hyperlink" Target="https://pbs.twimg.com/profile_images/552903437407371264/35UQ9wsB_normal.jpeg" TargetMode="External"/><Relationship Id="rId14156" Type="http://schemas.openxmlformats.org/officeDocument/2006/relationships/hyperlink" Target="https://pbs.twimg.com/profile_images/723207945782210560/jAvZjEwh_normal.jpg" TargetMode="External"/><Relationship Id="rId15207" Type="http://schemas.openxmlformats.org/officeDocument/2006/relationships/hyperlink" Target="https://twitter.com/DeenCarp" TargetMode="External"/><Relationship Id="rId18777" Type="http://schemas.openxmlformats.org/officeDocument/2006/relationships/hyperlink" Target="https://twitter.com/Germanbsfan/status/723895727164915712" TargetMode="External"/><Relationship Id="rId19828" Type="http://schemas.openxmlformats.org/officeDocument/2006/relationships/hyperlink" Target="https://twitter.com/elmatirusso/status/723960995241164801" TargetMode="External"/><Relationship Id="rId21372" Type="http://schemas.openxmlformats.org/officeDocument/2006/relationships/hyperlink" Target="https://twitter.com/ALSP8/status/724144571681259520" TargetMode="External"/><Relationship Id="rId22423" Type="http://schemas.openxmlformats.org/officeDocument/2006/relationships/hyperlink" Target="https://pbs.twimg.com/profile_images/709074217153777664/rZPD8L8m_normal.jpg" TargetMode="External"/><Relationship Id="rId4215" Type="http://schemas.openxmlformats.org/officeDocument/2006/relationships/hyperlink" Target="http://tagesschau.de/" TargetMode="External"/><Relationship Id="rId7785" Type="http://schemas.openxmlformats.org/officeDocument/2006/relationships/hyperlink" Target="https://twitter.com/GallicetLari" TargetMode="External"/><Relationship Id="rId8836" Type="http://schemas.openxmlformats.org/officeDocument/2006/relationships/hyperlink" Target="https://pbs.twimg.com/profile_images/644848820422115329/swEcX4CR_normal.jpg" TargetMode="External"/><Relationship Id="rId10766" Type="http://schemas.openxmlformats.org/officeDocument/2006/relationships/hyperlink" Target="https://twitter.com/carlesplb" TargetMode="External"/><Relationship Id="rId11817" Type="http://schemas.openxmlformats.org/officeDocument/2006/relationships/hyperlink" Target="https://pbs.twimg.com/profile_images/476894592051056640/bqGCxWkq_normal.jpeg" TargetMode="External"/><Relationship Id="rId17379" Type="http://schemas.openxmlformats.org/officeDocument/2006/relationships/hyperlink" Target="https://pbs.twimg.com/profile_images/3165068380/9dae0a636bc4038fae35f093796ed190_normal.jpeg" TargetMode="External"/><Relationship Id="rId21025" Type="http://schemas.openxmlformats.org/officeDocument/2006/relationships/hyperlink" Target="https://twitter.com/SuranClub" TargetMode="External"/><Relationship Id="rId24595" Type="http://schemas.openxmlformats.org/officeDocument/2006/relationships/hyperlink" Target="https://twitter.com/Belva_5713/status/724374615909343232" TargetMode="External"/><Relationship Id="rId25646" Type="http://schemas.openxmlformats.org/officeDocument/2006/relationships/hyperlink" Target="https://pbs.twimg.com/profile_images/712842542241484800/fYAhmTUq_normal.jpg" TargetMode="External"/><Relationship Id="rId6387" Type="http://schemas.openxmlformats.org/officeDocument/2006/relationships/hyperlink" Target="https://twitter.com/XJR100" TargetMode="External"/><Relationship Id="rId7438" Type="http://schemas.openxmlformats.org/officeDocument/2006/relationships/hyperlink" Target="https://pbs.twimg.com/profile_images/723335497490272256/ESWxlOuA_normal.jpg" TargetMode="External"/><Relationship Id="rId10419" Type="http://schemas.openxmlformats.org/officeDocument/2006/relationships/hyperlink" Target="https://twitter.com/MarkCSchneider" TargetMode="External"/><Relationship Id="rId23197" Type="http://schemas.openxmlformats.org/officeDocument/2006/relationships/hyperlink" Target="http://dlvr.it/" TargetMode="External"/><Relationship Id="rId24248" Type="http://schemas.openxmlformats.org/officeDocument/2006/relationships/hyperlink" Target="https://pbs.twimg.com/profile_images/655302243806265344/V6UKksnQ_normal.jpg" TargetMode="External"/><Relationship Id="rId2997" Type="http://schemas.openxmlformats.org/officeDocument/2006/relationships/hyperlink" Target="https://twitter.com/motorionline/status/723131096573992962" TargetMode="External"/><Relationship Id="rId13989" Type="http://schemas.openxmlformats.org/officeDocument/2006/relationships/hyperlink" Target="https://twitter.com/FuscaWorld/status/723560763269480448" TargetMode="External"/><Relationship Id="rId17860" Type="http://schemas.openxmlformats.org/officeDocument/2006/relationships/hyperlink" Target="https://twitter.com/Banane0711" TargetMode="External"/><Relationship Id="rId18911" Type="http://schemas.openxmlformats.org/officeDocument/2006/relationships/hyperlink" Target="https://pbs.twimg.com/profile_images/677425209725579264/LwR8Gd1t_normal.jpg" TargetMode="External"/><Relationship Id="rId969" Type="http://schemas.openxmlformats.org/officeDocument/2006/relationships/hyperlink" Target="https://twitter.com/VWsightings/status/723007847789944832" TargetMode="External"/><Relationship Id="rId1599" Type="http://schemas.openxmlformats.org/officeDocument/2006/relationships/hyperlink" Target="https://twitter.com/alex_pegg/status/723048705264357376" TargetMode="External"/><Relationship Id="rId5470" Type="http://schemas.openxmlformats.org/officeDocument/2006/relationships/hyperlink" Target="https://twitter.com/trafficsafety4u/status/723204297719054336" TargetMode="External"/><Relationship Id="rId6521" Type="http://schemas.openxmlformats.org/officeDocument/2006/relationships/hyperlink" Target="https://pbs.twimg.com/profile_images/422164778639839234/LVnS1q1c_normal.jpeg" TargetMode="External"/><Relationship Id="rId10900" Type="http://schemas.openxmlformats.org/officeDocument/2006/relationships/hyperlink" Target="https://twitter.com/AutoExpress/status/723489794131533825" TargetMode="External"/><Relationship Id="rId15064" Type="http://schemas.openxmlformats.org/officeDocument/2006/relationships/hyperlink" Target="https://pbs.twimg.com/profile_images/556251546715820033/l5Ixj297_normal.jpeg" TargetMode="External"/><Relationship Id="rId16115" Type="http://schemas.openxmlformats.org/officeDocument/2006/relationships/hyperlink" Target="https://pbs.twimg.com/profile_images/712127065634508803/umdoB6fs_normal.jpg" TargetMode="External"/><Relationship Id="rId16462" Type="http://schemas.openxmlformats.org/officeDocument/2006/relationships/hyperlink" Target="https://pbs.twimg.com/profile_images/705780107844067328/e7O4UBNb_normal.jpg" TargetMode="External"/><Relationship Id="rId17513" Type="http://schemas.openxmlformats.org/officeDocument/2006/relationships/hyperlink" Target="https://twitter.com/StephenJohansen/status/723803653610594304" TargetMode="External"/><Relationship Id="rId20858" Type="http://schemas.openxmlformats.org/officeDocument/2006/relationships/hyperlink" Target="https://twitter.com/camiilarommero/status/724049632964255746" TargetMode="External"/><Relationship Id="rId21909" Type="http://schemas.openxmlformats.org/officeDocument/2006/relationships/hyperlink" Target="https://pbs.twimg.com/profile_images/720582436304908288/SqAQ3rKG_normal.jpg" TargetMode="External"/><Relationship Id="rId22280" Type="http://schemas.openxmlformats.org/officeDocument/2006/relationships/hyperlink" Target="https://twitter.com/checo621/status/724213015353155584" TargetMode="External"/><Relationship Id="rId4072" Type="http://schemas.openxmlformats.org/officeDocument/2006/relationships/hyperlink" Target="https://twitter.com/SouthVW" TargetMode="External"/><Relationship Id="rId5123" Type="http://schemas.openxmlformats.org/officeDocument/2006/relationships/hyperlink" Target="https://pbs.twimg.com/profile_images/570375988065935360/ooT_Nq7x_normal.jpeg" TargetMode="External"/><Relationship Id="rId19685" Type="http://schemas.openxmlformats.org/officeDocument/2006/relationships/hyperlink" Target="https://twitter.com/VolkswagenPost/status/723947774106988546" TargetMode="External"/><Relationship Id="rId23331" Type="http://schemas.openxmlformats.org/officeDocument/2006/relationships/hyperlink" Target="https://pbs.twimg.com/profile_images/652871584131092480/QA_B6SBO_normal.jpg" TargetMode="External"/><Relationship Id="rId7295" Type="http://schemas.openxmlformats.org/officeDocument/2006/relationships/hyperlink" Target="https://twitter.com/sergiooacuna" TargetMode="External"/><Relationship Id="rId8693" Type="http://schemas.openxmlformats.org/officeDocument/2006/relationships/hyperlink" Target="https://pbs.twimg.com/profile_images/551428279262257153/nmSvHIJ7_normal.jpeg" TargetMode="External"/><Relationship Id="rId9744" Type="http://schemas.openxmlformats.org/officeDocument/2006/relationships/hyperlink" Target="https://twitter.com/ksta_news" TargetMode="External"/><Relationship Id="rId11674" Type="http://schemas.openxmlformats.org/officeDocument/2006/relationships/hyperlink" Target="https://twitter.com/OnVista_News" TargetMode="External"/><Relationship Id="rId12725" Type="http://schemas.openxmlformats.org/officeDocument/2006/relationships/hyperlink" Target="https://pbs.twimg.com/profile_images/535972937346863104/azd9tVvN_normal.jpeg" TargetMode="External"/><Relationship Id="rId18287" Type="http://schemas.openxmlformats.org/officeDocument/2006/relationships/hyperlink" Target="https://twitter.com/MecGenMC/status/723859360401788929" TargetMode="External"/><Relationship Id="rId19338" Type="http://schemas.openxmlformats.org/officeDocument/2006/relationships/hyperlink" Target="https://pbs.twimg.com/profile_images/569800899141177344/nVFLMSdb_normal.png" TargetMode="External"/><Relationship Id="rId1733" Type="http://schemas.openxmlformats.org/officeDocument/2006/relationships/hyperlink" Target="https://pbs.twimg.com/profile_images/649519091892531200/gFXmbSPM_normal.jpg" TargetMode="External"/><Relationship Id="rId8346" Type="http://schemas.openxmlformats.org/officeDocument/2006/relationships/hyperlink" Target="https://pbs.twimg.com/profile_images/420917107438915584/gJTup5FM_normal.jpeg" TargetMode="External"/><Relationship Id="rId10276" Type="http://schemas.openxmlformats.org/officeDocument/2006/relationships/hyperlink" Target="https://pbs.twimg.com/profile_images/616373784749191170/eVFL0L13_normal.jpg" TargetMode="External"/><Relationship Id="rId11327" Type="http://schemas.openxmlformats.org/officeDocument/2006/relationships/hyperlink" Target="https://twitter.com/Banane0711/status/723500936287662081" TargetMode="External"/><Relationship Id="rId14897" Type="http://schemas.openxmlformats.org/officeDocument/2006/relationships/hyperlink" Target="https://pbs.twimg.com/profile_images/675866578760634369/Wu-DqRQO_normal.jpg" TargetMode="External"/><Relationship Id="rId15948" Type="http://schemas.openxmlformats.org/officeDocument/2006/relationships/hyperlink" Target="https://pbs.twimg.com/profile_images/705780107844067328/e7O4UBNb_normal.jpg" TargetMode="External"/><Relationship Id="rId25156" Type="http://schemas.openxmlformats.org/officeDocument/2006/relationships/hyperlink" Target="https://twitter.com/Lil_Lorii" TargetMode="External"/><Relationship Id="rId4956" Type="http://schemas.openxmlformats.org/officeDocument/2006/relationships/hyperlink" Target="https://twitter.com/mjplust/status/723190987317760000" TargetMode="External"/><Relationship Id="rId13499" Type="http://schemas.openxmlformats.org/officeDocument/2006/relationships/hyperlink" Target="https://twitter.com/joergbode" TargetMode="External"/><Relationship Id="rId17370" Type="http://schemas.openxmlformats.org/officeDocument/2006/relationships/hyperlink" Target="https://pbs.twimg.com/profile_images/378800000528765970/3ab9f2a00010e9cac08d5ca1638926e9_normal.png" TargetMode="External"/><Relationship Id="rId18421" Type="http://schemas.openxmlformats.org/officeDocument/2006/relationships/hyperlink" Target="https://twitter.com/LukasBouwman" TargetMode="External"/><Relationship Id="rId21766" Type="http://schemas.openxmlformats.org/officeDocument/2006/relationships/hyperlink" Target="https://twitter.com/beetlebug1938" TargetMode="External"/><Relationship Id="rId22817" Type="http://schemas.openxmlformats.org/officeDocument/2006/relationships/hyperlink" Target="https://twitter.com/RyanTietz/status/724248541586198528" TargetMode="External"/><Relationship Id="rId3558" Type="http://schemas.openxmlformats.org/officeDocument/2006/relationships/hyperlink" Target="https://pbs.twimg.com/profile_images/461183491531497472/BvYhImr6_normal.jpeg" TargetMode="External"/><Relationship Id="rId4609" Type="http://schemas.openxmlformats.org/officeDocument/2006/relationships/hyperlink" Target="https://pbs.twimg.com/profile_images/1249555569/apr_twitter_normal.jpg" TargetMode="External"/><Relationship Id="rId17023" Type="http://schemas.openxmlformats.org/officeDocument/2006/relationships/hyperlink" Target="https://twitter.com/Marie_Laveau_" TargetMode="External"/><Relationship Id="rId20368" Type="http://schemas.openxmlformats.org/officeDocument/2006/relationships/hyperlink" Target="https://twitter.com/FMX_DBC" TargetMode="External"/><Relationship Id="rId21419" Type="http://schemas.openxmlformats.org/officeDocument/2006/relationships/hyperlink" Target="https://twitter.com/beetlebug1938" TargetMode="External"/><Relationship Id="rId479" Type="http://schemas.openxmlformats.org/officeDocument/2006/relationships/hyperlink" Target="https://twitter.com/JasonSmeall" TargetMode="External"/><Relationship Id="rId6031" Type="http://schemas.openxmlformats.org/officeDocument/2006/relationships/hyperlink" Target="https://twitter.com/Michael_Kunz/status/723228077493485568" TargetMode="External"/><Relationship Id="rId10410" Type="http://schemas.openxmlformats.org/officeDocument/2006/relationships/hyperlink" Target="https://twitter.com/Alte_Quaste" TargetMode="External"/><Relationship Id="rId13980" Type="http://schemas.openxmlformats.org/officeDocument/2006/relationships/hyperlink" Target="https://twitter.com/golfturkiye/status/723560555399794688" TargetMode="External"/><Relationship Id="rId19195" Type="http://schemas.openxmlformats.org/officeDocument/2006/relationships/hyperlink" Target="https://twitter.com/OnlyCarrera" TargetMode="External"/><Relationship Id="rId24989" Type="http://schemas.openxmlformats.org/officeDocument/2006/relationships/hyperlink" Target="https://twitter.com/SuranClub/status/724408349039669248" TargetMode="External"/><Relationship Id="rId9254" Type="http://schemas.openxmlformats.org/officeDocument/2006/relationships/hyperlink" Target="https://pbs.twimg.com/profile_images/1454103259/logo_normal.gif" TargetMode="External"/><Relationship Id="rId12582" Type="http://schemas.openxmlformats.org/officeDocument/2006/relationships/hyperlink" Target="https://twitter.com/nhenz" TargetMode="External"/><Relationship Id="rId13633" Type="http://schemas.openxmlformats.org/officeDocument/2006/relationships/hyperlink" Target="https://twitter.com/RobPeel82" TargetMode="External"/><Relationship Id="rId21900" Type="http://schemas.openxmlformats.org/officeDocument/2006/relationships/hyperlink" Target="https://pbs.twimg.com/profile_images/2646835465/aa5823578b01b04b7e91d58e8ca88691_normal.jpeg" TargetMode="External"/><Relationship Id="rId960" Type="http://schemas.openxmlformats.org/officeDocument/2006/relationships/hyperlink" Target="https://twitter.com/BasuAshis/status/723006561916833792" TargetMode="External"/><Relationship Id="rId1243" Type="http://schemas.openxmlformats.org/officeDocument/2006/relationships/hyperlink" Target="https://pbs.twimg.com/profile_images/702511217793863680/lty8h9vE_normal.jpg" TargetMode="External"/><Relationship Id="rId1590" Type="http://schemas.openxmlformats.org/officeDocument/2006/relationships/hyperlink" Target="https://twitter.com/cleantechken/status/723048503858085888" TargetMode="External"/><Relationship Id="rId2641" Type="http://schemas.openxmlformats.org/officeDocument/2006/relationships/hyperlink" Target="https://twitter.com/ADAC/status/723111722194706432" TargetMode="External"/><Relationship Id="rId11184" Type="http://schemas.openxmlformats.org/officeDocument/2006/relationships/hyperlink" Target="https://twitter.com/FuscaWorld" TargetMode="External"/><Relationship Id="rId12235" Type="http://schemas.openxmlformats.org/officeDocument/2006/relationships/hyperlink" Target="https://pbs.twimg.com/profile_images/696356157330423808/0jS4qfjA_normal.jpg" TargetMode="External"/><Relationship Id="rId16856" Type="http://schemas.openxmlformats.org/officeDocument/2006/relationships/hyperlink" Target="https://pbs.twimg.com/profile_images/692269771841236992/mVBQRdUr_normal.jpg" TargetMode="External"/><Relationship Id="rId17907" Type="http://schemas.openxmlformats.org/officeDocument/2006/relationships/hyperlink" Target="https://twitter.com/Stadtpirat/status/723831996946980864" TargetMode="External"/><Relationship Id="rId20502" Type="http://schemas.openxmlformats.org/officeDocument/2006/relationships/hyperlink" Target="https://twitter.com/amsalwajih/status/724004053856997376" TargetMode="External"/><Relationship Id="rId613" Type="http://schemas.openxmlformats.org/officeDocument/2006/relationships/hyperlink" Target="https://twitter.com/RoyalPark_7ever/status/722967299473457153" TargetMode="External"/><Relationship Id="rId5864" Type="http://schemas.openxmlformats.org/officeDocument/2006/relationships/hyperlink" Target="https://pbs.twimg.com/profile_images/595309304510550019/sGlNhfkh_normal.jpg" TargetMode="External"/><Relationship Id="rId6915" Type="http://schemas.openxmlformats.org/officeDocument/2006/relationships/hyperlink" Target="https://twitter.com/RolandN" TargetMode="External"/><Relationship Id="rId15458" Type="http://schemas.openxmlformats.org/officeDocument/2006/relationships/hyperlink" Target="https://pbs.twimg.com/profile_images/627949001179037696/skEBkS05_normal.jpg" TargetMode="External"/><Relationship Id="rId16509" Type="http://schemas.openxmlformats.org/officeDocument/2006/relationships/hyperlink" Target="https://twitter.com/rajesh877" TargetMode="External"/><Relationship Id="rId22674" Type="http://schemas.openxmlformats.org/officeDocument/2006/relationships/hyperlink" Target="https://pbs.twimg.com/profile_images/718820712757215233/LXXndPTS_normal.jpg" TargetMode="External"/><Relationship Id="rId23725" Type="http://schemas.openxmlformats.org/officeDocument/2006/relationships/hyperlink" Target="https://pbs.twimg.com/profile_images/718835727027580928/1ssyQ67y_normal.jpg" TargetMode="External"/><Relationship Id="rId4466" Type="http://schemas.openxmlformats.org/officeDocument/2006/relationships/hyperlink" Target="https://pbs.twimg.com/profile_images/645709342763712512/cv89VSa-_normal.jpg" TargetMode="External"/><Relationship Id="rId5517" Type="http://schemas.openxmlformats.org/officeDocument/2006/relationships/hyperlink" Target="https://twitter.com/braiiamvillada" TargetMode="External"/><Relationship Id="rId21276" Type="http://schemas.openxmlformats.org/officeDocument/2006/relationships/hyperlink" Target="https://twitter.com/leonciobogotano/status/724134980822118400" TargetMode="External"/><Relationship Id="rId22327" Type="http://schemas.openxmlformats.org/officeDocument/2006/relationships/hyperlink" Target="https://twitter.com/DominiqueVanpee" TargetMode="External"/><Relationship Id="rId3068" Type="http://schemas.openxmlformats.org/officeDocument/2006/relationships/hyperlink" Target="https://twitter.com/KraeuterVerbena/status/723137773654302721" TargetMode="External"/><Relationship Id="rId4119" Type="http://schemas.openxmlformats.org/officeDocument/2006/relationships/hyperlink" Target="https://pbs.twimg.com/profile_images/561109601270001667/izPdhpZH_normal.png" TargetMode="External"/><Relationship Id="rId7689" Type="http://schemas.openxmlformats.org/officeDocument/2006/relationships/hyperlink" Target="http://dlvr.it/" TargetMode="External"/><Relationship Id="rId13490" Type="http://schemas.openxmlformats.org/officeDocument/2006/relationships/hyperlink" Target="https://twitter.com/MorSvinka_83" TargetMode="External"/><Relationship Id="rId24499" Type="http://schemas.openxmlformats.org/officeDocument/2006/relationships/hyperlink" Target="https://twitter.com/OnlineCarReview/status/724366277830017024" TargetMode="External"/><Relationship Id="rId4600" Type="http://schemas.openxmlformats.org/officeDocument/2006/relationships/hyperlink" Target="https://pbs.twimg.com/profile_images/553276249788129280/CF4iC9q-_normal.jpeg" TargetMode="External"/><Relationship Id="rId12092" Type="http://schemas.openxmlformats.org/officeDocument/2006/relationships/hyperlink" Target="https://twitter.com/beetlebug1938/status/723512764455591938" TargetMode="External"/><Relationship Id="rId13143" Type="http://schemas.openxmlformats.org/officeDocument/2006/relationships/hyperlink" Target="https://twitter.com/generatoren_irr" TargetMode="External"/><Relationship Id="rId14541" Type="http://schemas.openxmlformats.org/officeDocument/2006/relationships/hyperlink" Target="https://pbs.twimg.com/profile_images/687855325500846081/QXpQDiXO_normal.jpg" TargetMode="External"/><Relationship Id="rId470" Type="http://schemas.openxmlformats.org/officeDocument/2006/relationships/hyperlink" Target="https://twitter.com/ianjbarlow" TargetMode="External"/><Relationship Id="rId2151" Type="http://schemas.openxmlformats.org/officeDocument/2006/relationships/hyperlink" Target="https://pbs.twimg.com/profile_images/652871584131092480/QA_B6SBO_normal.jpg" TargetMode="External"/><Relationship Id="rId3202" Type="http://schemas.openxmlformats.org/officeDocument/2006/relationships/hyperlink" Target="http://instock.de/" TargetMode="External"/><Relationship Id="rId17764" Type="http://schemas.openxmlformats.org/officeDocument/2006/relationships/hyperlink" Target="https://twitter.com/VWCamperSales" TargetMode="External"/><Relationship Id="rId18815" Type="http://schemas.openxmlformats.org/officeDocument/2006/relationships/hyperlink" Target="https://pbs.twimg.com/profile_images/627949001179037696/skEBkS05_normal.jpg" TargetMode="External"/><Relationship Id="rId20012" Type="http://schemas.openxmlformats.org/officeDocument/2006/relationships/hyperlink" Target="https://pbs.twimg.com/profile_images/707943921134018560/JSf0qD5z_normal.jpg" TargetMode="External"/><Relationship Id="rId21410" Type="http://schemas.openxmlformats.org/officeDocument/2006/relationships/hyperlink" Target="https://twitter.com/florianlueft" TargetMode="External"/><Relationship Id="rId24980" Type="http://schemas.openxmlformats.org/officeDocument/2006/relationships/hyperlink" Target="https://twitter.com/VAGFanArg/status/724407913096318977" TargetMode="External"/><Relationship Id="rId123" Type="http://schemas.openxmlformats.org/officeDocument/2006/relationships/hyperlink" Target="https://twitter.com/dan_infinity" TargetMode="External"/><Relationship Id="rId5374" Type="http://schemas.openxmlformats.org/officeDocument/2006/relationships/hyperlink" Target="https://twitter.com/beetlebug1938" TargetMode="External"/><Relationship Id="rId6772" Type="http://schemas.openxmlformats.org/officeDocument/2006/relationships/hyperlink" Target="https://twitter.com/TriCountyTours" TargetMode="External"/><Relationship Id="rId7823" Type="http://schemas.openxmlformats.org/officeDocument/2006/relationships/hyperlink" Target="https://twitter.com/luucascarranza/status/723333096469311488" TargetMode="External"/><Relationship Id="rId10804" Type="http://schemas.openxmlformats.org/officeDocument/2006/relationships/hyperlink" Target="https://pbs.twimg.com/profile_images/1249555569/apr_twitter_normal.jpg" TargetMode="External"/><Relationship Id="rId16366" Type="http://schemas.openxmlformats.org/officeDocument/2006/relationships/hyperlink" Target="https://twitter.com/kustomfest" TargetMode="External"/><Relationship Id="rId17417" Type="http://schemas.openxmlformats.org/officeDocument/2006/relationships/hyperlink" Target="https://twitter.com/Scirocco_Tuning/status/723797583332839424" TargetMode="External"/><Relationship Id="rId23582" Type="http://schemas.openxmlformats.org/officeDocument/2006/relationships/hyperlink" Target="https://pbs.twimg.com/profile_images/710122631236681728/ii4WJ1om_normal.jpg" TargetMode="External"/><Relationship Id="rId24633" Type="http://schemas.openxmlformats.org/officeDocument/2006/relationships/hyperlink" Target="https://pbs.twimg.com/profile_images/676465930424082432/zT-RyXf4_normal.jpg" TargetMode="External"/><Relationship Id="rId5027" Type="http://schemas.openxmlformats.org/officeDocument/2006/relationships/hyperlink" Target="https://twitter.com/VWCamperSales" TargetMode="External"/><Relationship Id="rId6425" Type="http://schemas.openxmlformats.org/officeDocument/2006/relationships/hyperlink" Target="https://twitter.com/Insta_VWT/status/723242933672140801" TargetMode="External"/><Relationship Id="rId9995" Type="http://schemas.openxmlformats.org/officeDocument/2006/relationships/hyperlink" Target="https://twitter.com/doern/status/723457275692748801" TargetMode="External"/><Relationship Id="rId12976" Type="http://schemas.openxmlformats.org/officeDocument/2006/relationships/hyperlink" Target="https://twitter.com/Zelig880/status/723532584723058688" TargetMode="External"/><Relationship Id="rId16019" Type="http://schemas.openxmlformats.org/officeDocument/2006/relationships/hyperlink" Target="https://twitter.com/fantigos" TargetMode="External"/><Relationship Id="rId19589" Type="http://schemas.openxmlformats.org/officeDocument/2006/relationships/hyperlink" Target="https://twitter.com/FennellMarcus" TargetMode="External"/><Relationship Id="rId22184" Type="http://schemas.openxmlformats.org/officeDocument/2006/relationships/hyperlink" Target="https://twitter.com/beetlebug1938" TargetMode="External"/><Relationship Id="rId23235" Type="http://schemas.openxmlformats.org/officeDocument/2006/relationships/hyperlink" Target="https://twitter.com/IslandVW/status/724274711438483462" TargetMode="External"/><Relationship Id="rId1984" Type="http://schemas.openxmlformats.org/officeDocument/2006/relationships/hyperlink" Target="https://twitter.com/bodo1962/status/723072497197830144" TargetMode="External"/><Relationship Id="rId8597" Type="http://schemas.openxmlformats.org/officeDocument/2006/relationships/hyperlink" Target="https://twitter.com/DubLuvTuning" TargetMode="External"/><Relationship Id="rId9648" Type="http://schemas.openxmlformats.org/officeDocument/2006/relationships/hyperlink" Target="https://twitter.com/VWBeetleSales" TargetMode="External"/><Relationship Id="rId11578" Type="http://schemas.openxmlformats.org/officeDocument/2006/relationships/hyperlink" Target="https://twitter.com/JonathanEley" TargetMode="External"/><Relationship Id="rId12629" Type="http://schemas.openxmlformats.org/officeDocument/2006/relationships/hyperlink" Target="https://twitter.com/hotchkis" TargetMode="External"/><Relationship Id="rId16500" Type="http://schemas.openxmlformats.org/officeDocument/2006/relationships/hyperlink" Target="https://twitter.com/HermelindaRiosA" TargetMode="External"/><Relationship Id="rId1637" Type="http://schemas.openxmlformats.org/officeDocument/2006/relationships/hyperlink" Target="https://twitter.com/ratemycamper" TargetMode="External"/><Relationship Id="rId7199" Type="http://schemas.openxmlformats.org/officeDocument/2006/relationships/hyperlink" Target="https://twitter.com/SotirisLalas/status/723285370033561600" TargetMode="External"/><Relationship Id="rId14051" Type="http://schemas.openxmlformats.org/officeDocument/2006/relationships/hyperlink" Target="https://pbs.twimg.com/profile_images/645328399834181632/rWu1bHrC_normal.jpg" TargetMode="External"/><Relationship Id="rId15102" Type="http://schemas.openxmlformats.org/officeDocument/2006/relationships/hyperlink" Target="https://twitter.com/Gosthtot" TargetMode="External"/><Relationship Id="rId4110" Type="http://schemas.openxmlformats.org/officeDocument/2006/relationships/hyperlink" Target="https://pbs.twimg.com/profile_images/3113972934/ba2ef96158b52ff911e1ffc5e9b9108f_normal.jpeg" TargetMode="External"/><Relationship Id="rId7680" Type="http://schemas.openxmlformats.org/officeDocument/2006/relationships/hyperlink" Target="https://pbs.twimg.com/profile_images/530071272881803264/a_jcCmPZ_normal.png" TargetMode="External"/><Relationship Id="rId8731" Type="http://schemas.openxmlformats.org/officeDocument/2006/relationships/hyperlink" Target="https://twitter.com/VWCamperSales" TargetMode="External"/><Relationship Id="rId17274" Type="http://schemas.openxmlformats.org/officeDocument/2006/relationships/hyperlink" Target="https://pbs.twimg.com/profile_images/292857657/GreenGrowth_normal.jpg" TargetMode="External"/><Relationship Id="rId18325" Type="http://schemas.openxmlformats.org/officeDocument/2006/relationships/hyperlink" Target="https://twitter.com/Hykaaal_" TargetMode="External"/><Relationship Id="rId18672" Type="http://schemas.openxmlformats.org/officeDocument/2006/relationships/hyperlink" Target="https://pbs.twimg.com/profile_images/2208847688/Untitled-2_normal.jpg" TargetMode="External"/><Relationship Id="rId19723" Type="http://schemas.openxmlformats.org/officeDocument/2006/relationships/hyperlink" Target="https://pbs.twimg.com/profile_images/720600659599482880/wXsZWa4I_normal.jpg" TargetMode="External"/><Relationship Id="rId24490" Type="http://schemas.openxmlformats.org/officeDocument/2006/relationships/hyperlink" Target="http://ctrlq.org/maps/address/" TargetMode="External"/><Relationship Id="rId25541" Type="http://schemas.openxmlformats.org/officeDocument/2006/relationships/hyperlink" Target="https://twitter.com/PhotosAndArt" TargetMode="External"/><Relationship Id="rId6282" Type="http://schemas.openxmlformats.org/officeDocument/2006/relationships/hyperlink" Target="https://twitter.com/HotRidesDaily1/status/723237518141980672" TargetMode="External"/><Relationship Id="rId7333" Type="http://schemas.openxmlformats.org/officeDocument/2006/relationships/hyperlink" Target="https://twitter.com/AgusGomez7/status/723296463263010820" TargetMode="External"/><Relationship Id="rId10661" Type="http://schemas.openxmlformats.org/officeDocument/2006/relationships/hyperlink" Target="https://twitter.com/Carolaayn212" TargetMode="External"/><Relationship Id="rId11712" Type="http://schemas.openxmlformats.org/officeDocument/2006/relationships/hyperlink" Target="https://pbs.twimg.com/profile_images/545515043761037312/gp4mWkRD_normal.jpeg" TargetMode="External"/><Relationship Id="rId23092" Type="http://schemas.openxmlformats.org/officeDocument/2006/relationships/hyperlink" Target="https://twitter.com/DogLimo/status/724268461862477825" TargetMode="External"/><Relationship Id="rId24143" Type="http://schemas.openxmlformats.org/officeDocument/2006/relationships/hyperlink" Target="https://twitter.com/OnlineCarReview/status/724335233802227713" TargetMode="External"/><Relationship Id="rId10314" Type="http://schemas.openxmlformats.org/officeDocument/2006/relationships/hyperlink" Target="https://twitter.com/dneuerer/status/723469228838412289" TargetMode="External"/><Relationship Id="rId13884" Type="http://schemas.openxmlformats.org/officeDocument/2006/relationships/hyperlink" Target="https://twitter.com/wg12307" TargetMode="External"/><Relationship Id="rId14935" Type="http://schemas.openxmlformats.org/officeDocument/2006/relationships/hyperlink" Target="https://pbs.twimg.com/profile_images/1196278450/picks-logo-london_normal.png" TargetMode="External"/><Relationship Id="rId19099" Type="http://schemas.openxmlformats.org/officeDocument/2006/relationships/hyperlink" Target="http://dlvr.it/" TargetMode="External"/><Relationship Id="rId2892" Type="http://schemas.openxmlformats.org/officeDocument/2006/relationships/hyperlink" Target="https://twitter.com/OerlikonGroup" TargetMode="External"/><Relationship Id="rId3943" Type="http://schemas.openxmlformats.org/officeDocument/2006/relationships/hyperlink" Target="https://twitter.com/terrybryantlaw/status/723172609328844801" TargetMode="External"/><Relationship Id="rId9158" Type="http://schemas.openxmlformats.org/officeDocument/2006/relationships/hyperlink" Target="https://pbs.twimg.com/profile_images/1799314685/SfwN58Em_normal" TargetMode="External"/><Relationship Id="rId12486" Type="http://schemas.openxmlformats.org/officeDocument/2006/relationships/hyperlink" Target="https://pbs.twimg.com/profile_images/721550249739681792/eXb08SZE_normal.jpg" TargetMode="External"/><Relationship Id="rId13537" Type="http://schemas.openxmlformats.org/officeDocument/2006/relationships/hyperlink" Target="https://twitter.com/studyonllneaust/status/723549910688239617" TargetMode="External"/><Relationship Id="rId20753" Type="http://schemas.openxmlformats.org/officeDocument/2006/relationships/hyperlink" Target="https://twitter.com/sgpragency" TargetMode="External"/><Relationship Id="rId21804" Type="http://schemas.openxmlformats.org/officeDocument/2006/relationships/hyperlink" Target="https://pbs.twimg.com/profile_images/1441979505/Jenny_Bates-photo_normal.jpg" TargetMode="External"/><Relationship Id="rId864" Type="http://schemas.openxmlformats.org/officeDocument/2006/relationships/hyperlink" Target="https://pbs.twimg.com/profile_images/628000154319130624/FlHD71tD_normal.jpg" TargetMode="External"/><Relationship Id="rId1494" Type="http://schemas.openxmlformats.org/officeDocument/2006/relationships/hyperlink" Target="https://twitter.com/the_commentary" TargetMode="External"/><Relationship Id="rId2545" Type="http://schemas.openxmlformats.org/officeDocument/2006/relationships/hyperlink" Target="https://pbs.twimg.com/profile_images/682117656502222848/Ge7YeAF3_normal.png" TargetMode="External"/><Relationship Id="rId11088" Type="http://schemas.openxmlformats.org/officeDocument/2006/relationships/hyperlink" Target="https://pbs.twimg.com/profile_images/652593086124527616/onf0J8iL_normal.png" TargetMode="External"/><Relationship Id="rId12139" Type="http://schemas.openxmlformats.org/officeDocument/2006/relationships/hyperlink" Target="https://twitter.com/aktuelle_stunde/status/723513680709750784" TargetMode="External"/><Relationship Id="rId16010" Type="http://schemas.openxmlformats.org/officeDocument/2006/relationships/hyperlink" Target="https://twitter.com/crislomb" TargetMode="External"/><Relationship Id="rId19580" Type="http://schemas.openxmlformats.org/officeDocument/2006/relationships/hyperlink" Target="https://twitter.com/DubLuvTuning" TargetMode="External"/><Relationship Id="rId20406" Type="http://schemas.openxmlformats.org/officeDocument/2006/relationships/hyperlink" Target="https://pbs.twimg.com/profile_images/539542069124300800/Nx83VwHR_normal.jpeg" TargetMode="External"/><Relationship Id="rId23976" Type="http://schemas.openxmlformats.org/officeDocument/2006/relationships/hyperlink" Target="https://twitter.com/VWBeetleSales" TargetMode="External"/><Relationship Id="rId517" Type="http://schemas.openxmlformats.org/officeDocument/2006/relationships/hyperlink" Target="https://twitter.com/JessehTayior/status/722964425892847620" TargetMode="External"/><Relationship Id="rId1147" Type="http://schemas.openxmlformats.org/officeDocument/2006/relationships/hyperlink" Target="https://twitter.com/FlugelGewitter/status/723021912910270464" TargetMode="External"/><Relationship Id="rId5768" Type="http://schemas.openxmlformats.org/officeDocument/2006/relationships/hyperlink" Target="https://twitter.com/brosefstalin53" TargetMode="External"/><Relationship Id="rId6819" Type="http://schemas.openxmlformats.org/officeDocument/2006/relationships/hyperlink" Target="https://pbs.twimg.com/profile_images/627949001179037696/skEBkS05_normal.jpg" TargetMode="External"/><Relationship Id="rId18182" Type="http://schemas.openxmlformats.org/officeDocument/2006/relationships/hyperlink" Target="https://twitter.com/grazynagintner/status/723848857860378624" TargetMode="External"/><Relationship Id="rId19233" Type="http://schemas.openxmlformats.org/officeDocument/2006/relationships/hyperlink" Target="https://twitter.com/AbruMuiler" TargetMode="External"/><Relationship Id="rId22578" Type="http://schemas.openxmlformats.org/officeDocument/2006/relationships/hyperlink" Target="http://dlvr.it/" TargetMode="External"/><Relationship Id="rId23629" Type="http://schemas.openxmlformats.org/officeDocument/2006/relationships/hyperlink" Target="https://pbs.twimg.com/profile_images/627949001179037696/skEBkS05_normal.jpg" TargetMode="External"/><Relationship Id="rId7190" Type="http://schemas.openxmlformats.org/officeDocument/2006/relationships/hyperlink" Target="https://twitter.com/Colorful_Jamie/status/723284303388483585" TargetMode="External"/><Relationship Id="rId8241" Type="http://schemas.openxmlformats.org/officeDocument/2006/relationships/hyperlink" Target="https://twitter.com/PRESSEKONTOR" TargetMode="External"/><Relationship Id="rId10171" Type="http://schemas.openxmlformats.org/officeDocument/2006/relationships/hyperlink" Target="https://twitter.com/moellus" TargetMode="External"/><Relationship Id="rId11222" Type="http://schemas.openxmlformats.org/officeDocument/2006/relationships/hyperlink" Target="https://twitter.com/handelsblatt/status/723499448299597825" TargetMode="External"/><Relationship Id="rId12620" Type="http://schemas.openxmlformats.org/officeDocument/2006/relationships/hyperlink" Target="https://twitter.com/mondedelauto" TargetMode="External"/><Relationship Id="rId25051" Type="http://schemas.openxmlformats.org/officeDocument/2006/relationships/hyperlink" Target="https://twitter.com/OnlineCarReview" TargetMode="External"/><Relationship Id="rId14792" Type="http://schemas.openxmlformats.org/officeDocument/2006/relationships/hyperlink" Target="https://twitter.com/rajesh877/status/723582786272108544" TargetMode="External"/><Relationship Id="rId15843" Type="http://schemas.openxmlformats.org/officeDocument/2006/relationships/hyperlink" Target="https://twitter.com/beetlebug1938/status/723633036164739076" TargetMode="External"/><Relationship Id="rId3453" Type="http://schemas.openxmlformats.org/officeDocument/2006/relationships/hyperlink" Target="https://twitter.com/EasyGasGroup" TargetMode="External"/><Relationship Id="rId4851" Type="http://schemas.openxmlformats.org/officeDocument/2006/relationships/hyperlink" Target="https://pbs.twimg.com/profile_images/696426954468298752/EygI6rG2_normal.jpg" TargetMode="External"/><Relationship Id="rId5902" Type="http://schemas.openxmlformats.org/officeDocument/2006/relationships/hyperlink" Target="https://twitter.com/ramunasrb/status/723222753705336834" TargetMode="External"/><Relationship Id="rId13394" Type="http://schemas.openxmlformats.org/officeDocument/2006/relationships/hyperlink" Target="https://twitter.com/DubLuvTuning" TargetMode="External"/><Relationship Id="rId14445" Type="http://schemas.openxmlformats.org/officeDocument/2006/relationships/hyperlink" Target="https://twitter.com/Mainbube" TargetMode="External"/><Relationship Id="rId21661" Type="http://schemas.openxmlformats.org/officeDocument/2006/relationships/hyperlink" Target="https://twitter.com/VolkswagenPost" TargetMode="External"/><Relationship Id="rId22712" Type="http://schemas.openxmlformats.org/officeDocument/2006/relationships/hyperlink" Target="http://ctrlq.org/maps/address/" TargetMode="External"/><Relationship Id="rId374" Type="http://schemas.openxmlformats.org/officeDocument/2006/relationships/hyperlink" Target="https://twitter.com/FuscaWorld" TargetMode="External"/><Relationship Id="rId2055" Type="http://schemas.openxmlformats.org/officeDocument/2006/relationships/hyperlink" Target="https://twitter.com/aldicop/status/723079148118376448" TargetMode="External"/><Relationship Id="rId3106" Type="http://schemas.openxmlformats.org/officeDocument/2006/relationships/hyperlink" Target="https://twitter.com/VWCamperSales" TargetMode="External"/><Relationship Id="rId4504" Type="http://schemas.openxmlformats.org/officeDocument/2006/relationships/hyperlink" Target="https://twitter.com/jannikkel6/status/723181910223106051" TargetMode="External"/><Relationship Id="rId13047" Type="http://schemas.openxmlformats.org/officeDocument/2006/relationships/hyperlink" Target="https://pbs.twimg.com/profile_images/1787524653/hart3_normal.JPG" TargetMode="External"/><Relationship Id="rId17668" Type="http://schemas.openxmlformats.org/officeDocument/2006/relationships/hyperlink" Target="https://twitter.com/frank_volk/status/723815000314404864" TargetMode="External"/><Relationship Id="rId18719" Type="http://schemas.openxmlformats.org/officeDocument/2006/relationships/hyperlink" Target="https://twitter.com/WrexhamVW/status/723890678950817793" TargetMode="External"/><Relationship Id="rId20263" Type="http://schemas.openxmlformats.org/officeDocument/2006/relationships/hyperlink" Target="https://twitter.com/Joon537" TargetMode="External"/><Relationship Id="rId21314" Type="http://schemas.openxmlformats.org/officeDocument/2006/relationships/hyperlink" Target="https://twitter.com/100oferta" TargetMode="External"/><Relationship Id="rId24884" Type="http://schemas.openxmlformats.org/officeDocument/2006/relationships/hyperlink" Target="https://pbs.twimg.com/profile_images/688107349786005504/DSMVMTDE_normal.jpg" TargetMode="External"/><Relationship Id="rId6676" Type="http://schemas.openxmlformats.org/officeDocument/2006/relationships/hyperlink" Target="http://dlvr.it/" TargetMode="External"/><Relationship Id="rId7727" Type="http://schemas.openxmlformats.org/officeDocument/2006/relationships/hyperlink" Target="https://twitter.com/Scirocco_Tuning" TargetMode="External"/><Relationship Id="rId10708" Type="http://schemas.openxmlformats.org/officeDocument/2006/relationships/hyperlink" Target="https://pbs.twimg.com/profile_images/657853466384191488/J6vAnfZr_normal.jpg" TargetMode="External"/><Relationship Id="rId19090" Type="http://schemas.openxmlformats.org/officeDocument/2006/relationships/hyperlink" Target="https://twitter.com/igmybiga" TargetMode="External"/><Relationship Id="rId23486" Type="http://schemas.openxmlformats.org/officeDocument/2006/relationships/hyperlink" Target="https://twitter.com/ldnsecuritysynd/status/724292038036992000" TargetMode="External"/><Relationship Id="rId24537" Type="http://schemas.openxmlformats.org/officeDocument/2006/relationships/hyperlink" Target="https://twitter.com/fejise" TargetMode="External"/><Relationship Id="rId5278" Type="http://schemas.openxmlformats.org/officeDocument/2006/relationships/hyperlink" Target="https://twitter.com/paolozignone/status/723199314609086464" TargetMode="External"/><Relationship Id="rId6329" Type="http://schemas.openxmlformats.org/officeDocument/2006/relationships/hyperlink" Target="https://twitter.com/amsonline" TargetMode="External"/><Relationship Id="rId9899" Type="http://schemas.openxmlformats.org/officeDocument/2006/relationships/hyperlink" Target="https://pbs.twimg.com/profile_images/378800000636198735/b92a40233a8a80eb212a4bdb248b30d6_normal.png" TargetMode="External"/><Relationship Id="rId12130" Type="http://schemas.openxmlformats.org/officeDocument/2006/relationships/hyperlink" Target="https://twitter.com/NDRreporter/status/723513548874362880" TargetMode="External"/><Relationship Id="rId22088" Type="http://schemas.openxmlformats.org/officeDocument/2006/relationships/hyperlink" Target="https://twitter.com/Vagowners" TargetMode="External"/><Relationship Id="rId23139" Type="http://schemas.openxmlformats.org/officeDocument/2006/relationships/hyperlink" Target="https://twitter.com/CarterVW" TargetMode="External"/><Relationship Id="rId1888" Type="http://schemas.openxmlformats.org/officeDocument/2006/relationships/hyperlink" Target="https://twitter.com/Scirocco_Tuning" TargetMode="External"/><Relationship Id="rId2939" Type="http://schemas.openxmlformats.org/officeDocument/2006/relationships/hyperlink" Target="https://pbs.twimg.com/profile_images/689419528917258241/vnF9fVgG_normal.png" TargetMode="External"/><Relationship Id="rId6810" Type="http://schemas.openxmlformats.org/officeDocument/2006/relationships/hyperlink" Target="https://twitter.com/DisparatePost" TargetMode="External"/><Relationship Id="rId15353" Type="http://schemas.openxmlformats.org/officeDocument/2006/relationships/hyperlink" Target="https://pbs.twimg.com/profile_images/697492201492910080/uR3QlSaO_normal.jpg" TargetMode="External"/><Relationship Id="rId16404" Type="http://schemas.openxmlformats.org/officeDocument/2006/relationships/hyperlink" Target="https://pbs.twimg.com/profile_images/723576155173957632/q_TORr6w_normal.jpg" TargetMode="External"/><Relationship Id="rId16751" Type="http://schemas.openxmlformats.org/officeDocument/2006/relationships/hyperlink" Target="https://twitter.com/ebaycampervans" TargetMode="External"/><Relationship Id="rId17802" Type="http://schemas.openxmlformats.org/officeDocument/2006/relationships/hyperlink" Target="https://twitter.com/SJB6991/status/723824056072548352" TargetMode="External"/><Relationship Id="rId4361" Type="http://schemas.openxmlformats.org/officeDocument/2006/relationships/hyperlink" Target="https://twitter.com/FreshDialogues/status/723179589376176130" TargetMode="External"/><Relationship Id="rId5412" Type="http://schemas.openxmlformats.org/officeDocument/2006/relationships/hyperlink" Target="https://twitter.com/miniatuurauto/status/723202638993600513" TargetMode="External"/><Relationship Id="rId15006" Type="http://schemas.openxmlformats.org/officeDocument/2006/relationships/hyperlink" Target="https://pbs.twimg.com/profile_images/670167803933147137/TS0Pfe6g_normal.jpg" TargetMode="External"/><Relationship Id="rId19974" Type="http://schemas.openxmlformats.org/officeDocument/2006/relationships/hyperlink" Target="https://pbs.twimg.com/profile_images/672467636874289153/M8cmumpE_normal.jpg" TargetMode="External"/><Relationship Id="rId21171" Type="http://schemas.openxmlformats.org/officeDocument/2006/relationships/hyperlink" Target="https://twitter.com/beetlebug1938" TargetMode="External"/><Relationship Id="rId22222" Type="http://schemas.openxmlformats.org/officeDocument/2006/relationships/hyperlink" Target="https://twitter.com/APursanidu" TargetMode="External"/><Relationship Id="rId23620" Type="http://schemas.openxmlformats.org/officeDocument/2006/relationships/hyperlink" Target="https://twitter.com/briancitoo25/status/724299854864736256" TargetMode="External"/><Relationship Id="rId4014" Type="http://schemas.openxmlformats.org/officeDocument/2006/relationships/hyperlink" Target="http://dlvr.it/" TargetMode="External"/><Relationship Id="rId7584" Type="http://schemas.openxmlformats.org/officeDocument/2006/relationships/hyperlink" Target="https://pbs.twimg.com/profile_images/3514281595/3692f510c22e1434a52e6dbabeae58ce_normal.png" TargetMode="External"/><Relationship Id="rId8982" Type="http://schemas.openxmlformats.org/officeDocument/2006/relationships/hyperlink" Target="https://twitter.com/beetlebug1938/status/723414534363324416" TargetMode="External"/><Relationship Id="rId11963" Type="http://schemas.openxmlformats.org/officeDocument/2006/relationships/hyperlink" Target="https://pbs.twimg.com/profile_images/455980930293702658/V0W08c8o_normal.png" TargetMode="External"/><Relationship Id="rId17178" Type="http://schemas.openxmlformats.org/officeDocument/2006/relationships/hyperlink" Target="https://pbs.twimg.com/profile_images/424893967197433858/iQ86NktX_normal.jpeg" TargetMode="External"/><Relationship Id="rId18576" Type="http://schemas.openxmlformats.org/officeDocument/2006/relationships/hyperlink" Target="https://pbs.twimg.com/profile_images/700930853837414401/S-A5_8ub_normal.jpg" TargetMode="External"/><Relationship Id="rId19627" Type="http://schemas.openxmlformats.org/officeDocument/2006/relationships/hyperlink" Target="https://twitter.com/DubLuvTuning/status/723943752004460544" TargetMode="External"/><Relationship Id="rId6186" Type="http://schemas.openxmlformats.org/officeDocument/2006/relationships/hyperlink" Target="https://twitter.com/VWBeetleSales" TargetMode="External"/><Relationship Id="rId7237" Type="http://schemas.openxmlformats.org/officeDocument/2006/relationships/hyperlink" Target="https://pbs.twimg.com/profile_images/1232924144/BradKelly_MeteorOverHarvardSq_lcd800_normal.jpg" TargetMode="External"/><Relationship Id="rId8635" Type="http://schemas.openxmlformats.org/officeDocument/2006/relationships/hyperlink" Target="https://pbs.twimg.com/profile_images/631104996868792320/QX53Q6UB_normal.jpg" TargetMode="External"/><Relationship Id="rId10565" Type="http://schemas.openxmlformats.org/officeDocument/2006/relationships/hyperlink" Target="https://pbs.twimg.com/profile_images/1610421423/Image2_normal.jpg" TargetMode="External"/><Relationship Id="rId11616" Type="http://schemas.openxmlformats.org/officeDocument/2006/relationships/hyperlink" Target="https://twitter.com/HollyBlomberg/status/723504329605292032" TargetMode="External"/><Relationship Id="rId18229" Type="http://schemas.openxmlformats.org/officeDocument/2006/relationships/hyperlink" Target="https://pbs.twimg.com/profile_images/627949001179037696/skEBkS05_normal.jpg" TargetMode="External"/><Relationship Id="rId24047" Type="http://schemas.openxmlformats.org/officeDocument/2006/relationships/hyperlink" Target="https://twitter.com/VWBeetleSales/status/724328201548242944" TargetMode="External"/><Relationship Id="rId24394" Type="http://schemas.openxmlformats.org/officeDocument/2006/relationships/hyperlink" Target="https://twitter.com/VWCamperSales/status/724353622536904708" TargetMode="External"/><Relationship Id="rId25445" Type="http://schemas.openxmlformats.org/officeDocument/2006/relationships/hyperlink" Target="https://twitter.com/augustinpeilla2/status/724439173155958785" TargetMode="External"/><Relationship Id="rId10218" Type="http://schemas.openxmlformats.org/officeDocument/2006/relationships/hyperlink" Target="https://pbs.twimg.com/profile_images/722312123116888064/DwxBRfoE_normal.jpg" TargetMode="External"/><Relationship Id="rId13788" Type="http://schemas.openxmlformats.org/officeDocument/2006/relationships/hyperlink" Target="https://pbs.twimg.com/profile_images/2220729503/Birkner200-300_normal.jpg" TargetMode="External"/><Relationship Id="rId14839" Type="http://schemas.openxmlformats.org/officeDocument/2006/relationships/hyperlink" Target="https://pbs.twimg.com/profile_images/543394122816446464/jjh-af9K_normal.png" TargetMode="External"/><Relationship Id="rId18710" Type="http://schemas.openxmlformats.org/officeDocument/2006/relationships/hyperlink" Target="https://twitter.com/JoJagiello/status/723890104394256384" TargetMode="External"/><Relationship Id="rId2796" Type="http://schemas.openxmlformats.org/officeDocument/2006/relationships/hyperlink" Target="https://twitter.com/techhippie" TargetMode="External"/><Relationship Id="rId3847" Type="http://schemas.openxmlformats.org/officeDocument/2006/relationships/hyperlink" Target="https://pbs.twimg.com/profile_images/465803701647446016/jAlkirAe_normal.jpeg" TargetMode="External"/><Relationship Id="rId16261" Type="http://schemas.openxmlformats.org/officeDocument/2006/relationships/hyperlink" Target="https://twitter.com/sinairally/status/723662608864317442" TargetMode="External"/><Relationship Id="rId17312" Type="http://schemas.openxmlformats.org/officeDocument/2006/relationships/hyperlink" Target="https://twitter.com/MarFnk/status/723790037796704256" TargetMode="External"/><Relationship Id="rId20657" Type="http://schemas.openxmlformats.org/officeDocument/2006/relationships/hyperlink" Target="https://twitter.com/metal_fortress" TargetMode="External"/><Relationship Id="rId21708" Type="http://schemas.openxmlformats.org/officeDocument/2006/relationships/hyperlink" Target="https://twitter.com/techhippie/status/724171889921384448" TargetMode="External"/><Relationship Id="rId768" Type="http://schemas.openxmlformats.org/officeDocument/2006/relationships/hyperlink" Target="https://twitter.com/beetlebug1938/status/722980523170246656" TargetMode="External"/><Relationship Id="rId1398" Type="http://schemas.openxmlformats.org/officeDocument/2006/relationships/hyperlink" Target="https://twitter.com/80230e4f9e424a1/status/723039746973417472" TargetMode="External"/><Relationship Id="rId2449" Type="http://schemas.openxmlformats.org/officeDocument/2006/relationships/hyperlink" Target="https://twitter.com/beetlebug1938" TargetMode="External"/><Relationship Id="rId6320" Type="http://schemas.openxmlformats.org/officeDocument/2006/relationships/hyperlink" Target="https://twitter.com/zoreio" TargetMode="External"/><Relationship Id="rId9890" Type="http://schemas.openxmlformats.org/officeDocument/2006/relationships/hyperlink" Target="https://pbs.twimg.com/profile_images/526830842329321472/6rRX2J0E_normal.jpeg" TargetMode="External"/><Relationship Id="rId19484" Type="http://schemas.openxmlformats.org/officeDocument/2006/relationships/hyperlink" Target="https://pbs.twimg.com/profile_images/1287389763/2244003_high_res_320x480_normal.jpg" TargetMode="External"/><Relationship Id="rId23130" Type="http://schemas.openxmlformats.org/officeDocument/2006/relationships/hyperlink" Target="https://twitter.com/dubbusses" TargetMode="External"/><Relationship Id="rId8492" Type="http://schemas.openxmlformats.org/officeDocument/2006/relationships/hyperlink" Target="https://pbs.twimg.com/profile_images/702441217288773632/UBnte16d_normal.jpg" TargetMode="External"/><Relationship Id="rId9543" Type="http://schemas.openxmlformats.org/officeDocument/2006/relationships/hyperlink" Target="https://twitter.com/MiKaTa_de/status/723438920596226049" TargetMode="External"/><Relationship Id="rId12871" Type="http://schemas.openxmlformats.org/officeDocument/2006/relationships/hyperlink" Target="https://pbs.twimg.com/profile_images/720133292008345600/WOJj9ypM_normal.jpg" TargetMode="External"/><Relationship Id="rId13922" Type="http://schemas.openxmlformats.org/officeDocument/2006/relationships/hyperlink" Target="https://pbs.twimg.com/profile_images/899191891/2009-verwischt-1_normal.jpg" TargetMode="External"/><Relationship Id="rId18086" Type="http://schemas.openxmlformats.org/officeDocument/2006/relationships/hyperlink" Target="https://pbs.twimg.com/profile_images/668437116981018625/BA3Ui4qQ_normal.jpg" TargetMode="External"/><Relationship Id="rId19137" Type="http://schemas.openxmlformats.org/officeDocument/2006/relationships/hyperlink" Target="https://pbs.twimg.com/profile_images/693415892085006337/yVYlfDuM_normal.jpg" TargetMode="External"/><Relationship Id="rId1532" Type="http://schemas.openxmlformats.org/officeDocument/2006/relationships/hyperlink" Target="https://twitter.com/ANHurst" TargetMode="External"/><Relationship Id="rId2930" Type="http://schemas.openxmlformats.org/officeDocument/2006/relationships/hyperlink" Target="https://pbs.twimg.com/profile_images/720884007152394240/OWYVobwN_normal.jpg" TargetMode="External"/><Relationship Id="rId7094" Type="http://schemas.openxmlformats.org/officeDocument/2006/relationships/hyperlink" Target="https://pbs.twimg.com/profile_images/711505572810657792/T3SEJVQL_normal.jpg" TargetMode="External"/><Relationship Id="rId8145" Type="http://schemas.openxmlformats.org/officeDocument/2006/relationships/hyperlink" Target="https://pbs.twimg.com/profile_images/652871584131092480/QA_B6SBO_normal.jpg" TargetMode="External"/><Relationship Id="rId10075" Type="http://schemas.openxmlformats.org/officeDocument/2006/relationships/hyperlink" Target="https://twitter.com/w_todts" TargetMode="External"/><Relationship Id="rId11473" Type="http://schemas.openxmlformats.org/officeDocument/2006/relationships/hyperlink" Target="https://twitter.com/robinskaplan" TargetMode="External"/><Relationship Id="rId12524" Type="http://schemas.openxmlformats.org/officeDocument/2006/relationships/hyperlink" Target="https://twitter.com/Renesource/status/723521686864289796" TargetMode="External"/><Relationship Id="rId902" Type="http://schemas.openxmlformats.org/officeDocument/2006/relationships/hyperlink" Target="https://twitter.com/dgrally" TargetMode="External"/><Relationship Id="rId11126" Type="http://schemas.openxmlformats.org/officeDocument/2006/relationships/hyperlink" Target="https://twitter.com/msav999" TargetMode="External"/><Relationship Id="rId14696" Type="http://schemas.openxmlformats.org/officeDocument/2006/relationships/hyperlink" Target="https://twitter.com/Nevriye24/status/723580009168904192" TargetMode="External"/><Relationship Id="rId15747" Type="http://schemas.openxmlformats.org/officeDocument/2006/relationships/hyperlink" Target="https://twitter.com/__venceremos__" TargetMode="External"/><Relationship Id="rId22963" Type="http://schemas.openxmlformats.org/officeDocument/2006/relationships/hyperlink" Target="https://pbs.twimg.com/profile_images/627949001179037696/skEBkS05_normal.jpg" TargetMode="External"/><Relationship Id="rId4755" Type="http://schemas.openxmlformats.org/officeDocument/2006/relationships/hyperlink" Target="https://pbs.twimg.com/profile_images/583309420223803392/vXE-dk10_normal.png" TargetMode="External"/><Relationship Id="rId5806" Type="http://schemas.openxmlformats.org/officeDocument/2006/relationships/hyperlink" Target="https://twitter.com/glenmavis/status/723218422239236101" TargetMode="External"/><Relationship Id="rId13298" Type="http://schemas.openxmlformats.org/officeDocument/2006/relationships/hyperlink" Target="https://twitter.com/beetlebug1938" TargetMode="External"/><Relationship Id="rId14349" Type="http://schemas.openxmlformats.org/officeDocument/2006/relationships/hyperlink" Target="https://twitter.com/JamieWestwood12/status/723572927577370625" TargetMode="External"/><Relationship Id="rId18220" Type="http://schemas.openxmlformats.org/officeDocument/2006/relationships/hyperlink" Target="https://twitter.com/VCT_Tweets" TargetMode="External"/><Relationship Id="rId21565" Type="http://schemas.openxmlformats.org/officeDocument/2006/relationships/hyperlink" Target="https://twitter.com/russell_sim" TargetMode="External"/><Relationship Id="rId22616" Type="http://schemas.openxmlformats.org/officeDocument/2006/relationships/hyperlink" Target="https://pbs.twimg.com/profile_images/718154420916252673/qZLiNPrZ_normal.jpg" TargetMode="External"/><Relationship Id="rId278" Type="http://schemas.openxmlformats.org/officeDocument/2006/relationships/hyperlink" Target="https://twitter.com/VolkswagenPost/status/722942883947487232" TargetMode="External"/><Relationship Id="rId3357" Type="http://schemas.openxmlformats.org/officeDocument/2006/relationships/hyperlink" Target="http://dlvr.it/" TargetMode="External"/><Relationship Id="rId4408" Type="http://schemas.openxmlformats.org/officeDocument/2006/relationships/hyperlink" Target="https://twitter.com/JuLoewe" TargetMode="External"/><Relationship Id="rId7978" Type="http://schemas.openxmlformats.org/officeDocument/2006/relationships/hyperlink" Target="https://twitter.com/chronsucks" TargetMode="External"/><Relationship Id="rId10959" Type="http://schemas.openxmlformats.org/officeDocument/2006/relationships/hyperlink" Target="https://twitter.com/GeyersipOficial" TargetMode="External"/><Relationship Id="rId20167" Type="http://schemas.openxmlformats.org/officeDocument/2006/relationships/hyperlink" Target="https://twitter.com/VolkswagenPost" TargetMode="External"/><Relationship Id="rId21218" Type="http://schemas.openxmlformats.org/officeDocument/2006/relationships/hyperlink" Target="https://twitter.com/johnwhalvin/status/724125219225526272" TargetMode="External"/><Relationship Id="rId24788" Type="http://schemas.openxmlformats.org/officeDocument/2006/relationships/hyperlink" Target="https://pbs.twimg.com/profile_images/705780107844067328/e7O4UBNb_normal.jpg" TargetMode="External"/><Relationship Id="rId12381" Type="http://schemas.openxmlformats.org/officeDocument/2006/relationships/hyperlink" Target="https://twitter.com/Banxcartoons" TargetMode="External"/><Relationship Id="rId13432" Type="http://schemas.openxmlformats.org/officeDocument/2006/relationships/hyperlink" Target="https://twitter.com/meise_o/status/723547255614128129" TargetMode="External"/><Relationship Id="rId14830" Type="http://schemas.openxmlformats.org/officeDocument/2006/relationships/hyperlink" Target="https://pbs.twimg.com/profile_images/655050406427557888/zQoR7oCO_normal.jpg" TargetMode="External"/><Relationship Id="rId2440" Type="http://schemas.openxmlformats.org/officeDocument/2006/relationships/hyperlink" Target="https://twitter.com/beetlebug1938" TargetMode="External"/><Relationship Id="rId9053" Type="http://schemas.openxmlformats.org/officeDocument/2006/relationships/hyperlink" Target="https://twitter.com/TymukUpdates/status/723420237358501888" TargetMode="External"/><Relationship Id="rId12034" Type="http://schemas.openxmlformats.org/officeDocument/2006/relationships/hyperlink" Target="https://twitter.com/Rumsucher" TargetMode="External"/><Relationship Id="rId20301" Type="http://schemas.openxmlformats.org/officeDocument/2006/relationships/hyperlink" Target="https://twitter.com/69GILLBERTxK/status/723989296798130176" TargetMode="External"/><Relationship Id="rId412" Type="http://schemas.openxmlformats.org/officeDocument/2006/relationships/hyperlink" Target="https://pbs.twimg.com/profile_images/677356460255350785/VfTigLv2_normal.jpg" TargetMode="External"/><Relationship Id="rId1042" Type="http://schemas.openxmlformats.org/officeDocument/2006/relationships/hyperlink" Target="https://twitter.com/vaughn_bill/status/723014849194659840" TargetMode="External"/><Relationship Id="rId5663" Type="http://schemas.openxmlformats.org/officeDocument/2006/relationships/hyperlink" Target="https://twitter.com/BackyardSafari" TargetMode="External"/><Relationship Id="rId16655" Type="http://schemas.openxmlformats.org/officeDocument/2006/relationships/hyperlink" Target="https://twitter.com/iza_edit" TargetMode="External"/><Relationship Id="rId17706" Type="http://schemas.openxmlformats.org/officeDocument/2006/relationships/hyperlink" Target="https://twitter.com/ingridHH" TargetMode="External"/><Relationship Id="rId23871" Type="http://schemas.openxmlformats.org/officeDocument/2006/relationships/hyperlink" Target="https://twitter.com/PistonKafalar" TargetMode="External"/><Relationship Id="rId24922" Type="http://schemas.openxmlformats.org/officeDocument/2006/relationships/hyperlink" Target="https://twitter.com/VR_Porn/status/724402573076246528" TargetMode="External"/><Relationship Id="rId4265" Type="http://schemas.openxmlformats.org/officeDocument/2006/relationships/hyperlink" Target="https://twitter.com/vicharmonnyc" TargetMode="External"/><Relationship Id="rId5316" Type="http://schemas.openxmlformats.org/officeDocument/2006/relationships/hyperlink" Target="https://twitter.com/SocialMAXorg" TargetMode="External"/><Relationship Id="rId6714" Type="http://schemas.openxmlformats.org/officeDocument/2006/relationships/hyperlink" Target="https://twitter.com/hce25" TargetMode="External"/><Relationship Id="rId15257" Type="http://schemas.openxmlformats.org/officeDocument/2006/relationships/hyperlink" Target="http://dlvr.it/" TargetMode="External"/><Relationship Id="rId16308" Type="http://schemas.openxmlformats.org/officeDocument/2006/relationships/hyperlink" Target="https://pbs.twimg.com/profile_images/718800395997294592/7kwRAhRd_normal.jpg" TargetMode="External"/><Relationship Id="rId19878" Type="http://schemas.openxmlformats.org/officeDocument/2006/relationships/hyperlink" Target="https://pbs.twimg.com/profile_images/446753975371853825/Mbe_Q1qL_normal.jpeg" TargetMode="External"/><Relationship Id="rId21075" Type="http://schemas.openxmlformats.org/officeDocument/2006/relationships/hyperlink" Target="https://pbs.twimg.com/profile_images/674866085213130752/qAlZEGhV_normal.jpg" TargetMode="External"/><Relationship Id="rId22126" Type="http://schemas.openxmlformats.org/officeDocument/2006/relationships/hyperlink" Target="https://pbs.twimg.com/profile_images/702511217793863680/lty8h9vE_normal.jpg" TargetMode="External"/><Relationship Id="rId22473" Type="http://schemas.openxmlformats.org/officeDocument/2006/relationships/hyperlink" Target="https://twitter.com/MichaelNdri" TargetMode="External"/><Relationship Id="rId23524" Type="http://schemas.openxmlformats.org/officeDocument/2006/relationships/hyperlink" Target="https://pbs.twimg.com/profile_images/707577871758446592/VNnESF65_normal.png" TargetMode="External"/><Relationship Id="rId8886" Type="http://schemas.openxmlformats.org/officeDocument/2006/relationships/hyperlink" Target="https://twitter.com/caro3009/status/723410314369204224" TargetMode="External"/><Relationship Id="rId9937" Type="http://schemas.openxmlformats.org/officeDocument/2006/relationships/hyperlink" Target="https://pbs.twimg.com/profile_images/703294545195307008/qeCvrX86_normal.jpg" TargetMode="External"/><Relationship Id="rId11867" Type="http://schemas.openxmlformats.org/officeDocument/2006/relationships/hyperlink" Target="https://twitter.com/CoolFlo_UK" TargetMode="External"/><Relationship Id="rId12918" Type="http://schemas.openxmlformats.org/officeDocument/2006/relationships/hyperlink" Target="https://twitter.com/ameriporean" TargetMode="External"/><Relationship Id="rId25696" Type="http://schemas.openxmlformats.org/officeDocument/2006/relationships/hyperlink" Target="https://twitter.com/cmsGOMEX/status/724463543282741248" TargetMode="External"/><Relationship Id="rId1926" Type="http://schemas.openxmlformats.org/officeDocument/2006/relationships/hyperlink" Target="https://twitter.com/MathiasB9/status/723068744549822464" TargetMode="External"/><Relationship Id="rId7488" Type="http://schemas.openxmlformats.org/officeDocument/2006/relationships/hyperlink" Target="https://twitter.com/VWCamperSales/status/723306346158788608" TargetMode="External"/><Relationship Id="rId8539" Type="http://schemas.openxmlformats.org/officeDocument/2006/relationships/hyperlink" Target="https://twitter.com/bodo1962" TargetMode="External"/><Relationship Id="rId10469" Type="http://schemas.openxmlformats.org/officeDocument/2006/relationships/hyperlink" Target="http://carzine.gr/" TargetMode="External"/><Relationship Id="rId14340" Type="http://schemas.openxmlformats.org/officeDocument/2006/relationships/hyperlink" Target="https://twitter.com/steve_schmidt75/status/723572739076927488" TargetMode="External"/><Relationship Id="rId24298" Type="http://schemas.openxmlformats.org/officeDocument/2006/relationships/hyperlink" Target="https://pbs.twimg.com/profile_images/573778930378743808/Yb08OLOA_normal.jpeg" TargetMode="External"/><Relationship Id="rId25349" Type="http://schemas.openxmlformats.org/officeDocument/2006/relationships/hyperlink" Target="https://abs.twimg.com/sticky/default_profile_images/default_profile_3_normal.png" TargetMode="External"/><Relationship Id="rId17563" Type="http://schemas.openxmlformats.org/officeDocument/2006/relationships/hyperlink" Target="https://twitter.com/Eliott_Law/status/723806445339312128" TargetMode="External"/><Relationship Id="rId18614" Type="http://schemas.openxmlformats.org/officeDocument/2006/relationships/hyperlink" Target="https://twitter.com/Ramon500v" TargetMode="External"/><Relationship Id="rId18961" Type="http://schemas.openxmlformats.org/officeDocument/2006/relationships/hyperlink" Target="https://twitter.com/yann_drareg/status/723909895490310144" TargetMode="External"/><Relationship Id="rId21959" Type="http://schemas.openxmlformats.org/officeDocument/2006/relationships/hyperlink" Target="https://twitter.com/TheAuroraProjct" TargetMode="External"/><Relationship Id="rId3001" Type="http://schemas.openxmlformats.org/officeDocument/2006/relationships/hyperlink" Target="https://pbs.twimg.com/profile_images/712297937951395841/ImQevxFP_normal.jpg" TargetMode="External"/><Relationship Id="rId6571" Type="http://schemas.openxmlformats.org/officeDocument/2006/relationships/hyperlink" Target="https://pbs.twimg.com/profile_images/674737771588685824/QJjqWVJf_normal.jpg" TargetMode="External"/><Relationship Id="rId7622" Type="http://schemas.openxmlformats.org/officeDocument/2006/relationships/hyperlink" Target="https://twitter.com/gavins" TargetMode="External"/><Relationship Id="rId10950" Type="http://schemas.openxmlformats.org/officeDocument/2006/relationships/hyperlink" Target="https://twitter.com/ophuels" TargetMode="External"/><Relationship Id="rId16165" Type="http://schemas.openxmlformats.org/officeDocument/2006/relationships/hyperlink" Target="https://twitter.com/classactionlaw/status/723652969896415232" TargetMode="External"/><Relationship Id="rId17216" Type="http://schemas.openxmlformats.org/officeDocument/2006/relationships/hyperlink" Target="https://twitter.com/Thomas_Wuest" TargetMode="External"/><Relationship Id="rId23381" Type="http://schemas.openxmlformats.org/officeDocument/2006/relationships/hyperlink" Target="https://twitter.com/VWBeetleSales/status/724284553196527616" TargetMode="External"/><Relationship Id="rId24432" Type="http://schemas.openxmlformats.org/officeDocument/2006/relationships/hyperlink" Target="https://twitter.com/VeeDubMk1_" TargetMode="External"/><Relationship Id="rId5173" Type="http://schemas.openxmlformats.org/officeDocument/2006/relationships/hyperlink" Target="https://twitter.com/UniversityVWM/status/723196404643028992" TargetMode="External"/><Relationship Id="rId6224" Type="http://schemas.openxmlformats.org/officeDocument/2006/relationships/hyperlink" Target="https://pbs.twimg.com/profile_images/718275890933809156/npH4oxJP_normal.jpg" TargetMode="External"/><Relationship Id="rId9794" Type="http://schemas.openxmlformats.org/officeDocument/2006/relationships/hyperlink" Target="https://twitter.com/VWBeetleSales/status/723449783394816000" TargetMode="External"/><Relationship Id="rId10603" Type="http://schemas.openxmlformats.org/officeDocument/2006/relationships/hyperlink" Target="https://twitter.com/BeetleJuiceltd/status/723477920753291264" TargetMode="External"/><Relationship Id="rId19388" Type="http://schemas.openxmlformats.org/officeDocument/2006/relationships/hyperlink" Target="https://pbs.twimg.com/profile_images/705780107844067328/e7O4UBNb_normal.jpg" TargetMode="External"/><Relationship Id="rId23034" Type="http://schemas.openxmlformats.org/officeDocument/2006/relationships/hyperlink" Target="https://twitter.com/tinytyff/status/724265906407411712" TargetMode="External"/><Relationship Id="rId8396" Type="http://schemas.openxmlformats.org/officeDocument/2006/relationships/hyperlink" Target="https://twitter.com/tooppermann/status/723386526474739712" TargetMode="External"/><Relationship Id="rId9447" Type="http://schemas.openxmlformats.org/officeDocument/2006/relationships/hyperlink" Target="https://pbs.twimg.com/profile_images/722841554172428288/qqVagYHE_normal.jpg" TargetMode="External"/><Relationship Id="rId12775" Type="http://schemas.openxmlformats.org/officeDocument/2006/relationships/hyperlink" Target="https://twitter.com/myCarbe/status/723527596449865729" TargetMode="External"/><Relationship Id="rId13826" Type="http://schemas.openxmlformats.org/officeDocument/2006/relationships/hyperlink" Target="https://pbs.twimg.com/profile_images/709477803851325440/SYpI9NJ7_normal.jpg" TargetMode="External"/><Relationship Id="rId1783" Type="http://schemas.openxmlformats.org/officeDocument/2006/relationships/hyperlink" Target="https://twitter.com/EineAnderePolit/status/723056578937671680" TargetMode="External"/><Relationship Id="rId2834" Type="http://schemas.openxmlformats.org/officeDocument/2006/relationships/hyperlink" Target="https://pbs.twimg.com/profile_images/378800000572104796/1de43e1cf23efb3f4101c02afad0d3b6_normal.png" TargetMode="External"/><Relationship Id="rId8049" Type="http://schemas.openxmlformats.org/officeDocument/2006/relationships/hyperlink" Target="https://twitter.com/FuscaWorld/status/723355276724695042" TargetMode="External"/><Relationship Id="rId11377" Type="http://schemas.openxmlformats.org/officeDocument/2006/relationships/hyperlink" Target="https://twitter.com/HaufeCompliance" TargetMode="External"/><Relationship Id="rId12428" Type="http://schemas.openxmlformats.org/officeDocument/2006/relationships/hyperlink" Target="https://twitter.com/ozaed/status/723519461815377920" TargetMode="External"/><Relationship Id="rId15998" Type="http://schemas.openxmlformats.org/officeDocument/2006/relationships/hyperlink" Target="https://twitter.com/fermorales_24" TargetMode="External"/><Relationship Id="rId806" Type="http://schemas.openxmlformats.org/officeDocument/2006/relationships/hyperlink" Target="https://pbs.twimg.com/profile_images/694080257087913984/Yked6rPu_normal.jpg" TargetMode="External"/><Relationship Id="rId1436" Type="http://schemas.openxmlformats.org/officeDocument/2006/relationships/hyperlink" Target="https://twitter.com/beetlebug1938" TargetMode="External"/><Relationship Id="rId18471" Type="http://schemas.openxmlformats.org/officeDocument/2006/relationships/hyperlink" Target="https://twitter.com/FuscaWorld/status/723870882125459456" TargetMode="External"/><Relationship Id="rId19522" Type="http://schemas.openxmlformats.org/officeDocument/2006/relationships/hyperlink" Target="https://twitter.com/DubLuvTuning" TargetMode="External"/><Relationship Id="rId22867" Type="http://schemas.openxmlformats.org/officeDocument/2006/relationships/hyperlink" Target="https://pbs.twimg.com/profile_images/684716541322072065/eXpLts42_normal.jpg" TargetMode="External"/><Relationship Id="rId23918" Type="http://schemas.openxmlformats.org/officeDocument/2006/relationships/hyperlink" Target="https://twitter.com/beetlebug1938" TargetMode="External"/><Relationship Id="rId4659" Type="http://schemas.openxmlformats.org/officeDocument/2006/relationships/hyperlink" Target="https://pbs.twimg.com/profile_images/3346543471/c7c79480b7b405ee902a5fcb600153a0_normal.jpeg" TargetMode="External"/><Relationship Id="rId8530" Type="http://schemas.openxmlformats.org/officeDocument/2006/relationships/hyperlink" Target="https://twitter.com/EU_Pilot" TargetMode="External"/><Relationship Id="rId10460" Type="http://schemas.openxmlformats.org/officeDocument/2006/relationships/hyperlink" Target="https://twitter.com/pcbritz/status/723473684275572736" TargetMode="External"/><Relationship Id="rId11511" Type="http://schemas.openxmlformats.org/officeDocument/2006/relationships/hyperlink" Target="https://pbs.twimg.com/profile_images/1261918199/twitter-rvingtweets-3_normal.gif" TargetMode="External"/><Relationship Id="rId17073" Type="http://schemas.openxmlformats.org/officeDocument/2006/relationships/hyperlink" Target="https://pbs.twimg.com/profile_images/603388321662828544/8ITPYicg_normal.jpg" TargetMode="External"/><Relationship Id="rId18124" Type="http://schemas.openxmlformats.org/officeDocument/2006/relationships/hyperlink" Target="https://twitter.com/FuscaWorld/status/723846141683597312" TargetMode="External"/><Relationship Id="rId21469" Type="http://schemas.openxmlformats.org/officeDocument/2006/relationships/hyperlink" Target="https://pbs.twimg.com/profile_images/714714039478272000/LlNKDsY5_normal.jpg" TargetMode="External"/><Relationship Id="rId25340" Type="http://schemas.openxmlformats.org/officeDocument/2006/relationships/hyperlink" Target="https://pbs.twimg.com/profile_images/599709666017435648/r0vhT_9C_normal.png" TargetMode="External"/><Relationship Id="rId6081" Type="http://schemas.openxmlformats.org/officeDocument/2006/relationships/hyperlink" Target="https://pbs.twimg.com/profile_images/422164778639839234/LVnS1q1c_normal.jpeg" TargetMode="External"/><Relationship Id="rId7132" Type="http://schemas.openxmlformats.org/officeDocument/2006/relationships/hyperlink" Target="https://twitter.com/k_bolesta/status/723280907638059008" TargetMode="External"/><Relationship Id="rId10113" Type="http://schemas.openxmlformats.org/officeDocument/2006/relationships/hyperlink" Target="https://twitter.com/theautowriter" TargetMode="External"/><Relationship Id="rId2691" Type="http://schemas.openxmlformats.org/officeDocument/2006/relationships/hyperlink" Target="https://twitter.com/StefkaWiese" TargetMode="External"/><Relationship Id="rId3742" Type="http://schemas.openxmlformats.org/officeDocument/2006/relationships/hyperlink" Target="https://pbs.twimg.com/profile_images/199472915/stan_twitter_normal.jpg" TargetMode="External"/><Relationship Id="rId12285" Type="http://schemas.openxmlformats.org/officeDocument/2006/relationships/hyperlink" Target="https://pbs.twimg.com/profile_images/716972542871908352/YA5lUDGS_normal.jpg" TargetMode="External"/><Relationship Id="rId13683" Type="http://schemas.openxmlformats.org/officeDocument/2006/relationships/hyperlink" Target="https://twitter.com/VWCamperSales/status/723553228185456640" TargetMode="External"/><Relationship Id="rId14734" Type="http://schemas.openxmlformats.org/officeDocument/2006/relationships/hyperlink" Target="https://twitter.com/LukasSustala" TargetMode="External"/><Relationship Id="rId21950" Type="http://schemas.openxmlformats.org/officeDocument/2006/relationships/hyperlink" Target="https://twitter.com/HolidayMatch" TargetMode="External"/><Relationship Id="rId663" Type="http://schemas.openxmlformats.org/officeDocument/2006/relationships/hyperlink" Target="https://twitter.com/m0hsaqr" TargetMode="External"/><Relationship Id="rId1293" Type="http://schemas.openxmlformats.org/officeDocument/2006/relationships/hyperlink" Target="https://pbs.twimg.com/profile_images/378800000383656962/389f4a2062ec3c75e130fd84590d969c_normal.png" TargetMode="External"/><Relationship Id="rId2344" Type="http://schemas.openxmlformats.org/officeDocument/2006/relationships/hyperlink" Target="https://twitter.com/VolkswagenCZ/status/723096485806661632" TargetMode="External"/><Relationship Id="rId13336" Type="http://schemas.openxmlformats.org/officeDocument/2006/relationships/hyperlink" Target="https://pbs.twimg.com/profile_images/721447255404900352/DyH74sOm_normal.jpg" TargetMode="External"/><Relationship Id="rId17957" Type="http://schemas.openxmlformats.org/officeDocument/2006/relationships/hyperlink" Target="https://twitter.com/lordsinclair70" TargetMode="External"/><Relationship Id="rId20205" Type="http://schemas.openxmlformats.org/officeDocument/2006/relationships/hyperlink" Target="https://pbs.twimg.com/profile_images/522875096117960705/xnXKZRyO_normal.jpeg" TargetMode="External"/><Relationship Id="rId20552" Type="http://schemas.openxmlformats.org/officeDocument/2006/relationships/hyperlink" Target="https://twitter.com/netcarshows" TargetMode="External"/><Relationship Id="rId21603" Type="http://schemas.openxmlformats.org/officeDocument/2006/relationships/hyperlink" Target="https://pbs.twimg.com/profile_images/718820712757215233/LXXndPTS_normal.jpg" TargetMode="External"/><Relationship Id="rId316" Type="http://schemas.openxmlformats.org/officeDocument/2006/relationships/hyperlink" Target="https://twitter.com/VolkswagenPost" TargetMode="External"/><Relationship Id="rId6965" Type="http://schemas.openxmlformats.org/officeDocument/2006/relationships/hyperlink" Target="https://twitter.com/aatheus" TargetMode="External"/><Relationship Id="rId16559" Type="http://schemas.openxmlformats.org/officeDocument/2006/relationships/hyperlink" Target="https://twitter.com/beetlebug1938/status/723695421919518720" TargetMode="External"/><Relationship Id="rId23775" Type="http://schemas.openxmlformats.org/officeDocument/2006/relationships/hyperlink" Target="https://twitter.com/maryyfrias/status/724310974589722624" TargetMode="External"/><Relationship Id="rId24826" Type="http://schemas.openxmlformats.org/officeDocument/2006/relationships/hyperlink" Target="https://twitter.com/Oriandoee_RNdL" TargetMode="External"/><Relationship Id="rId4169" Type="http://schemas.openxmlformats.org/officeDocument/2006/relationships/hyperlink" Target="https://twitter.com/WhiteRockVW" TargetMode="External"/><Relationship Id="rId5567" Type="http://schemas.openxmlformats.org/officeDocument/2006/relationships/hyperlink" Target="https://twitter.com/SusaaaanCondon/status/723209121449795584" TargetMode="External"/><Relationship Id="rId6618" Type="http://schemas.openxmlformats.org/officeDocument/2006/relationships/hyperlink" Target="https://twitter.com/VWBeetleSales" TargetMode="External"/><Relationship Id="rId8040" Type="http://schemas.openxmlformats.org/officeDocument/2006/relationships/hyperlink" Target="https://pbs.twimg.com/profile_images/722229319796449280/Y4NyzDbX_normal.jpg" TargetMode="External"/><Relationship Id="rId19032" Type="http://schemas.openxmlformats.org/officeDocument/2006/relationships/hyperlink" Target="https://pbs.twimg.com/profile_images/676465930424082432/zT-RyXf4_normal.jpg" TargetMode="External"/><Relationship Id="rId22377" Type="http://schemas.openxmlformats.org/officeDocument/2006/relationships/hyperlink" Target="https://twitter.com/HSchulz50" TargetMode="External"/><Relationship Id="rId23428" Type="http://schemas.openxmlformats.org/officeDocument/2006/relationships/hyperlink" Target="https://pbs.twimg.com/profile_images/471317709280776192/aJ3LGXof_normal.jpeg" TargetMode="External"/><Relationship Id="rId11021" Type="http://schemas.openxmlformats.org/officeDocument/2006/relationships/hyperlink" Target="https://twitter.com/MSAMBULANCE/status/723494971526025216" TargetMode="External"/><Relationship Id="rId14591" Type="http://schemas.openxmlformats.org/officeDocument/2006/relationships/hyperlink" Target="https://pbs.twimg.com/profile_images/721045156959555585/S4XPyxVN_normal.jpg" TargetMode="External"/><Relationship Id="rId15642" Type="http://schemas.openxmlformats.org/officeDocument/2006/relationships/hyperlink" Target="https://pbs.twimg.com/profile_images/378800000572104796/1de43e1cf23efb3f4101c02afad0d3b6_normal.png" TargetMode="External"/><Relationship Id="rId4650" Type="http://schemas.openxmlformats.org/officeDocument/2006/relationships/hyperlink" Target="https://pbs.twimg.com/profile_images/555774692380782593/9nmpdlPa_normal.jpeg" TargetMode="External"/><Relationship Id="rId5701" Type="http://schemas.openxmlformats.org/officeDocument/2006/relationships/hyperlink" Target="https://pbs.twimg.com/profile_images/712563568638619648/nNwSgK0o_normal.jpg" TargetMode="External"/><Relationship Id="rId13193" Type="http://schemas.openxmlformats.org/officeDocument/2006/relationships/hyperlink" Target="https://pbs.twimg.com/profile_images/685214407291351040/WdPIMNTV_normal.jpg" TargetMode="External"/><Relationship Id="rId14244" Type="http://schemas.openxmlformats.org/officeDocument/2006/relationships/hyperlink" Target="https://pbs.twimg.com/profile_images/621959268766470144/_NDaByff_normal.jpg" TargetMode="External"/><Relationship Id="rId21460" Type="http://schemas.openxmlformats.org/officeDocument/2006/relationships/hyperlink" Target="https://pbs.twimg.com/profile_images/2987437283/8aeeb0e6e46794096a72acfad98ad036_normal.jpeg" TargetMode="External"/><Relationship Id="rId22511" Type="http://schemas.openxmlformats.org/officeDocument/2006/relationships/hyperlink" Target="https://twitter.com/J_Welham" TargetMode="External"/><Relationship Id="rId3252" Type="http://schemas.openxmlformats.org/officeDocument/2006/relationships/hyperlink" Target="https://twitter.com/HaugHenseler/status/723147256795254785" TargetMode="External"/><Relationship Id="rId4303" Type="http://schemas.openxmlformats.org/officeDocument/2006/relationships/hyperlink" Target="https://twitter.com/carrieella/status/723179097824718848" TargetMode="External"/><Relationship Id="rId7873" Type="http://schemas.openxmlformats.org/officeDocument/2006/relationships/hyperlink" Target="https://twitter.com/FuscaWorld" TargetMode="External"/><Relationship Id="rId17467" Type="http://schemas.openxmlformats.org/officeDocument/2006/relationships/hyperlink" Target="https://twitter.com/Elisa1Beth2" TargetMode="External"/><Relationship Id="rId18865" Type="http://schemas.openxmlformats.org/officeDocument/2006/relationships/hyperlink" Target="https://twitter.com/DeichCruiser" TargetMode="External"/><Relationship Id="rId19916" Type="http://schemas.openxmlformats.org/officeDocument/2006/relationships/hyperlink" Target="https://twitter.com/SobreRuedasLT9/status/723963421436317696" TargetMode="External"/><Relationship Id="rId20062" Type="http://schemas.openxmlformats.org/officeDocument/2006/relationships/hyperlink" Target="https://twitter.com/Masterpony" TargetMode="External"/><Relationship Id="rId21113" Type="http://schemas.openxmlformats.org/officeDocument/2006/relationships/hyperlink" Target="https://twitter.com/TetsuoHojo" TargetMode="External"/><Relationship Id="rId173" Type="http://schemas.openxmlformats.org/officeDocument/2006/relationships/hyperlink" Target="https://pbs.twimg.com/profile_images/569800899141177344/nVFLMSdb_normal.png" TargetMode="External"/><Relationship Id="rId6475" Type="http://schemas.openxmlformats.org/officeDocument/2006/relationships/hyperlink" Target="https://pbs.twimg.com/profile_images/717113433267638272/6igZPcX4_normal.jpg" TargetMode="External"/><Relationship Id="rId7526" Type="http://schemas.openxmlformats.org/officeDocument/2006/relationships/hyperlink" Target="https://pbs.twimg.com/profile_images/539631377214607361/gqpASBoV_normal.jpeg" TargetMode="External"/><Relationship Id="rId8924" Type="http://schemas.openxmlformats.org/officeDocument/2006/relationships/hyperlink" Target="https://twitter.com/Theothebald" TargetMode="External"/><Relationship Id="rId10854" Type="http://schemas.openxmlformats.org/officeDocument/2006/relationships/hyperlink" Target="https://twitter.com/richgoodingcom" TargetMode="External"/><Relationship Id="rId11905" Type="http://schemas.openxmlformats.org/officeDocument/2006/relationships/hyperlink" Target="https://pbs.twimg.com/profile_images/679523390277877760/pnya6NaZ_normal.png" TargetMode="External"/><Relationship Id="rId16069" Type="http://schemas.openxmlformats.org/officeDocument/2006/relationships/hyperlink" Target="https://pbs.twimg.com/profile_images/466212943038656513/ILfqZEXV_normal.jpeg" TargetMode="External"/><Relationship Id="rId18518" Type="http://schemas.openxmlformats.org/officeDocument/2006/relationships/hyperlink" Target="https://pbs.twimg.com/profile_images/674456186159276032/s6_5pnsh_normal.jpg" TargetMode="External"/><Relationship Id="rId23285" Type="http://schemas.openxmlformats.org/officeDocument/2006/relationships/hyperlink" Target="https://twitter.com/saimisim_pasta/status/724278152168505345" TargetMode="External"/><Relationship Id="rId24336" Type="http://schemas.openxmlformats.org/officeDocument/2006/relationships/hyperlink" Target="https://twitter.com/InstaNskAkadem/status/724348293724180481" TargetMode="External"/><Relationship Id="rId24683" Type="http://schemas.openxmlformats.org/officeDocument/2006/relationships/hyperlink" Target="https://twitter.com/gemphotos/status/724383482688987136" TargetMode="External"/><Relationship Id="rId25734" Type="http://schemas.openxmlformats.org/officeDocument/2006/relationships/hyperlink" Target="https://twitter.com/vwpress_de" TargetMode="External"/><Relationship Id="rId5077" Type="http://schemas.openxmlformats.org/officeDocument/2006/relationships/hyperlink" Target="https://twitter.com/ibuscke/status/723193704312393728" TargetMode="External"/><Relationship Id="rId6128" Type="http://schemas.openxmlformats.org/officeDocument/2006/relationships/hyperlink" Target="https://twitter.com/fonzonor/status/723231571445161984" TargetMode="External"/><Relationship Id="rId10507" Type="http://schemas.openxmlformats.org/officeDocument/2006/relationships/hyperlink" Target="https://twitter.com/BOSSSIWELL/status/723475092332773376" TargetMode="External"/><Relationship Id="rId9698" Type="http://schemas.openxmlformats.org/officeDocument/2006/relationships/hyperlink" Target="https://twitter.com/techhippie" TargetMode="External"/><Relationship Id="rId12679" Type="http://schemas.openxmlformats.org/officeDocument/2006/relationships/hyperlink" Target="https://pbs.twimg.com/profile_images/466908605317279744/I5a712BQ_normal.jpeg" TargetMode="External"/><Relationship Id="rId16550" Type="http://schemas.openxmlformats.org/officeDocument/2006/relationships/hyperlink" Target="https://twitter.com/beetlebug1938/status/723695395713499136" TargetMode="External"/><Relationship Id="rId17601" Type="http://schemas.openxmlformats.org/officeDocument/2006/relationships/hyperlink" Target="https://pbs.twimg.com/profile_images/1657339604/1_normal.jpg" TargetMode="External"/><Relationship Id="rId20946" Type="http://schemas.openxmlformats.org/officeDocument/2006/relationships/hyperlink" Target="https://twitter.com/Scirocco_Tuning/status/724070937881153537" TargetMode="External"/><Relationship Id="rId1687" Type="http://schemas.openxmlformats.org/officeDocument/2006/relationships/hyperlink" Target="https://pbs.twimg.com/profile_images/539929562889453568/6v9OpdnB_normal.jpeg" TargetMode="External"/><Relationship Id="rId2738" Type="http://schemas.openxmlformats.org/officeDocument/2006/relationships/hyperlink" Target="https://pbs.twimg.com/profile_images/604315907402436609/rgk1l1Kq_normal.jpg" TargetMode="External"/><Relationship Id="rId15152" Type="http://schemas.openxmlformats.org/officeDocument/2006/relationships/hyperlink" Target="https://twitter.com/VWBeetleSales" TargetMode="External"/><Relationship Id="rId16203" Type="http://schemas.openxmlformats.org/officeDocument/2006/relationships/hyperlink" Target="http://dlvr.it/" TargetMode="External"/><Relationship Id="rId19773" Type="http://schemas.openxmlformats.org/officeDocument/2006/relationships/hyperlink" Target="https://pbs.twimg.com/profile_images/424893967197433858/iQ86NktX_normal.jpeg" TargetMode="External"/><Relationship Id="rId4160" Type="http://schemas.openxmlformats.org/officeDocument/2006/relationships/hyperlink" Target="https://twitter.com/BS_Verkehr" TargetMode="External"/><Relationship Id="rId5211" Type="http://schemas.openxmlformats.org/officeDocument/2006/relationships/hyperlink" Target="http://ctrlq.org/maps/address/" TargetMode="External"/><Relationship Id="rId8781" Type="http://schemas.openxmlformats.org/officeDocument/2006/relationships/hyperlink" Target="https://twitter.com/wiwo/status/723406327268003840" TargetMode="External"/><Relationship Id="rId9832" Type="http://schemas.openxmlformats.org/officeDocument/2006/relationships/hyperlink" Target="https://twitter.com/yVe1705/status/723451053035802625" TargetMode="External"/><Relationship Id="rId18375" Type="http://schemas.openxmlformats.org/officeDocument/2006/relationships/hyperlink" Target="https://twitter.com/DroppedPictures/status/723866104184078337" TargetMode="External"/><Relationship Id="rId19426" Type="http://schemas.openxmlformats.org/officeDocument/2006/relationships/hyperlink" Target="https://twitter.com/OnlineCarReview" TargetMode="External"/><Relationship Id="rId22021" Type="http://schemas.openxmlformats.org/officeDocument/2006/relationships/hyperlink" Target="http://dlvr.it/" TargetMode="External"/><Relationship Id="rId25591" Type="http://schemas.openxmlformats.org/officeDocument/2006/relationships/hyperlink" Target="https://pbs.twimg.com/profile_images/723368545099210752/DJxfm_Ok_normal.jpg" TargetMode="External"/><Relationship Id="rId46" Type="http://schemas.openxmlformats.org/officeDocument/2006/relationships/hyperlink" Target="https://twitter.com/beetlebug1938" TargetMode="External"/><Relationship Id="rId1821" Type="http://schemas.openxmlformats.org/officeDocument/2006/relationships/hyperlink" Target="https://pbs.twimg.com/profile_images/682117656502222848/Ge7YeAF3_normal.png" TargetMode="External"/><Relationship Id="rId7383" Type="http://schemas.openxmlformats.org/officeDocument/2006/relationships/hyperlink" Target="https://twitter.com/Sanscelerien/status/723299683116953601" TargetMode="External"/><Relationship Id="rId8434" Type="http://schemas.openxmlformats.org/officeDocument/2006/relationships/hyperlink" Target="https://twitter.com/CoopsNeil" TargetMode="External"/><Relationship Id="rId10364" Type="http://schemas.openxmlformats.org/officeDocument/2006/relationships/hyperlink" Target="https://pbs.twimg.com/profile_images/2723610801/a7323e56a6e9ac643f061847cebb3f2b_normal.png" TargetMode="External"/><Relationship Id="rId11762" Type="http://schemas.openxmlformats.org/officeDocument/2006/relationships/hyperlink" Target="https://twitter.com/johnvoelcker" TargetMode="External"/><Relationship Id="rId12813" Type="http://schemas.openxmlformats.org/officeDocument/2006/relationships/hyperlink" Target="https://pbs.twimg.com/profile_images/718820712757215233/LXXndPTS_normal.jpg" TargetMode="External"/><Relationship Id="rId18028" Type="http://schemas.openxmlformats.org/officeDocument/2006/relationships/hyperlink" Target="https://pbs.twimg.com/profile_images/668437116981018625/BA3Ui4qQ_normal.jpg" TargetMode="External"/><Relationship Id="rId24193" Type="http://schemas.openxmlformats.org/officeDocument/2006/relationships/hyperlink" Target="https://twitter.com/BvdRides/status/724337366178119680" TargetMode="External"/><Relationship Id="rId25244" Type="http://schemas.openxmlformats.org/officeDocument/2006/relationships/hyperlink" Target="https://twitter.com/DeeZeeX/status/724428442196807680" TargetMode="External"/><Relationship Id="rId7036" Type="http://schemas.openxmlformats.org/officeDocument/2006/relationships/hyperlink" Target="https://twitter.com/noz_el" TargetMode="External"/><Relationship Id="rId10017" Type="http://schemas.openxmlformats.org/officeDocument/2006/relationships/hyperlink" Target="https://pbs.twimg.com/profile_images/573248726212325376/60EMO_jJ_normal.jpeg" TargetMode="External"/><Relationship Id="rId11415" Type="http://schemas.openxmlformats.org/officeDocument/2006/relationships/hyperlink" Target="https://pbs.twimg.com/profile_images/719999071474335747/GgbjQsJA_normal.jpg" TargetMode="External"/><Relationship Id="rId14985" Type="http://schemas.openxmlformats.org/officeDocument/2006/relationships/hyperlink" Target="https://twitter.com/uextremo" TargetMode="External"/><Relationship Id="rId2595" Type="http://schemas.openxmlformats.org/officeDocument/2006/relationships/hyperlink" Target="https://twitter.com/worstwriter/status/723107757507809281" TargetMode="External"/><Relationship Id="rId3993" Type="http://schemas.openxmlformats.org/officeDocument/2006/relationships/hyperlink" Target="https://pbs.twimg.com/profile_images/699880935366488064/uot0hGbb_normal.png" TargetMode="External"/><Relationship Id="rId13587" Type="http://schemas.openxmlformats.org/officeDocument/2006/relationships/hyperlink" Target="https://twitter.com/erlnwhoaaa" TargetMode="External"/><Relationship Id="rId14638" Type="http://schemas.openxmlformats.org/officeDocument/2006/relationships/hyperlink" Target="https://twitter.com/Sr_Pilluelo/status/723577864696827904" TargetMode="External"/><Relationship Id="rId21854" Type="http://schemas.openxmlformats.org/officeDocument/2006/relationships/hyperlink" Target="https://twitter.com/smid_m" TargetMode="External"/><Relationship Id="rId22905" Type="http://schemas.openxmlformats.org/officeDocument/2006/relationships/hyperlink" Target="https://twitter.com/VWBeetleSales/status/724255334613667841" TargetMode="External"/><Relationship Id="rId567" Type="http://schemas.openxmlformats.org/officeDocument/2006/relationships/hyperlink" Target="https://twitter.com/dejbanlaw" TargetMode="External"/><Relationship Id="rId1197" Type="http://schemas.openxmlformats.org/officeDocument/2006/relationships/hyperlink" Target="https://twitter.com/DJJEZZ/status/723024979730665473" TargetMode="External"/><Relationship Id="rId2248" Type="http://schemas.openxmlformats.org/officeDocument/2006/relationships/hyperlink" Target="https://twitter.com/JRE6198/status/723090999703015424" TargetMode="External"/><Relationship Id="rId3646" Type="http://schemas.openxmlformats.org/officeDocument/2006/relationships/hyperlink" Target="http://dlvr.it/" TargetMode="External"/><Relationship Id="rId12189" Type="http://schemas.openxmlformats.org/officeDocument/2006/relationships/hyperlink" Target="https://pbs.twimg.com/profile_images/620122497208467456/UfwpHFes_normal.jpg" TargetMode="External"/><Relationship Id="rId16060" Type="http://schemas.openxmlformats.org/officeDocument/2006/relationships/hyperlink" Target="https://pbs.twimg.com/profile_images/378800000572104796/1de43e1cf23efb3f4101c02afad0d3b6_normal.png" TargetMode="External"/><Relationship Id="rId17111" Type="http://schemas.openxmlformats.org/officeDocument/2006/relationships/hyperlink" Target="https://twitter.com/coplusx" TargetMode="External"/><Relationship Id="rId20456" Type="http://schemas.openxmlformats.org/officeDocument/2006/relationships/hyperlink" Target="https://twitter.com/gotsomeglas" TargetMode="External"/><Relationship Id="rId21507" Type="http://schemas.openxmlformats.org/officeDocument/2006/relationships/hyperlink" Target="https://pbs.twimg.com/profile_images/722831566737698816/KWkcQf8n_normal.jpg" TargetMode="External"/><Relationship Id="rId6869" Type="http://schemas.openxmlformats.org/officeDocument/2006/relationships/hyperlink" Target="https://pbs.twimg.com/profile_images/718820712757215233/LXXndPTS_normal.jpg" TargetMode="External"/><Relationship Id="rId12670" Type="http://schemas.openxmlformats.org/officeDocument/2006/relationships/hyperlink" Target="https://pbs.twimg.com/profile_images/533025138682236928/VN3qzJr8_normal.png" TargetMode="External"/><Relationship Id="rId13721" Type="http://schemas.openxmlformats.org/officeDocument/2006/relationships/hyperlink" Target="https://twitter.com/Carmeniouzan/status/723554149921619968" TargetMode="External"/><Relationship Id="rId19283" Type="http://schemas.openxmlformats.org/officeDocument/2006/relationships/hyperlink" Target="https://twitter.com/SevenDw4rf_TH/status/723926014443831296" TargetMode="External"/><Relationship Id="rId20109" Type="http://schemas.openxmlformats.org/officeDocument/2006/relationships/hyperlink" Target="https://twitter.com/StreetFoodUK" TargetMode="External"/><Relationship Id="rId23679" Type="http://schemas.openxmlformats.org/officeDocument/2006/relationships/hyperlink" Target="https://twitter.com/SvenMascha/status/724305764211412992" TargetMode="External"/><Relationship Id="rId8291" Type="http://schemas.openxmlformats.org/officeDocument/2006/relationships/hyperlink" Target="https://pbs.twimg.com/profile_images/723272248350650370/uCXnE_hY_normal.jpg" TargetMode="External"/><Relationship Id="rId9342" Type="http://schemas.openxmlformats.org/officeDocument/2006/relationships/hyperlink" Target="https://twitter.com/frugalmaniac" TargetMode="External"/><Relationship Id="rId11272" Type="http://schemas.openxmlformats.org/officeDocument/2006/relationships/hyperlink" Target="https://abs.twimg.com/sticky/default_profile_images/default_profile_5_normal.png" TargetMode="External"/><Relationship Id="rId12323" Type="http://schemas.openxmlformats.org/officeDocument/2006/relationships/hyperlink" Target="https://twitter.com/mikereportero" TargetMode="External"/><Relationship Id="rId701" Type="http://schemas.openxmlformats.org/officeDocument/2006/relationships/hyperlink" Target="https://pbs.twimg.com/profile_images/574254046900449280/R62v7NBc_normal.jpeg" TargetMode="External"/><Relationship Id="rId1331" Type="http://schemas.openxmlformats.org/officeDocument/2006/relationships/hyperlink" Target="https://pbs.twimg.com/profile_images/627949001179037696/skEBkS05_normal.jpg" TargetMode="External"/><Relationship Id="rId5952" Type="http://schemas.openxmlformats.org/officeDocument/2006/relationships/hyperlink" Target="https://pbs.twimg.com/profile_images/580720858861322240/NsC7SmG6_normal.jpg" TargetMode="External"/><Relationship Id="rId14495" Type="http://schemas.openxmlformats.org/officeDocument/2006/relationships/hyperlink" Target="https://pbs.twimg.com/profile_images/705780107844067328/e7O4UBNb_normal.jpg" TargetMode="External"/><Relationship Id="rId15893" Type="http://schemas.openxmlformats.org/officeDocument/2006/relationships/hyperlink" Target="https://twitter.com/SutherlandPhD/status/723636101219516416" TargetMode="External"/><Relationship Id="rId16944" Type="http://schemas.openxmlformats.org/officeDocument/2006/relationships/hyperlink" Target="https://pbs.twimg.com/profile_images/653637535545995264/gHuXQ5Bt_normal.jpg" TargetMode="External"/><Relationship Id="rId4554" Type="http://schemas.openxmlformats.org/officeDocument/2006/relationships/hyperlink" Target="https://twitter.com/SnarkyLemur" TargetMode="External"/><Relationship Id="rId5605" Type="http://schemas.openxmlformats.org/officeDocument/2006/relationships/hyperlink" Target="https://twitter.com/AutoBremer" TargetMode="External"/><Relationship Id="rId13097" Type="http://schemas.openxmlformats.org/officeDocument/2006/relationships/hyperlink" Target="https://twitter.com/DaveMichiganTEC" TargetMode="External"/><Relationship Id="rId14148" Type="http://schemas.openxmlformats.org/officeDocument/2006/relationships/hyperlink" Target="https://twitter.com/WinfriedFelser/status/723565534239969284" TargetMode="External"/><Relationship Id="rId15546" Type="http://schemas.openxmlformats.org/officeDocument/2006/relationships/hyperlink" Target="https://pbs.twimg.com/profile_images/1657601327/Untitled-1_normal.jpg" TargetMode="External"/><Relationship Id="rId21364" Type="http://schemas.openxmlformats.org/officeDocument/2006/relationships/hyperlink" Target="https://pbs.twimg.com/profile_images/423917634154151936/tKoaoerE_normal.jpeg" TargetMode="External"/><Relationship Id="rId22415" Type="http://schemas.openxmlformats.org/officeDocument/2006/relationships/hyperlink" Target="https://twitter.com/eduperero" TargetMode="External"/><Relationship Id="rId22762" Type="http://schemas.openxmlformats.org/officeDocument/2006/relationships/hyperlink" Target="http://ctrlq.org/maps/address/" TargetMode="External"/><Relationship Id="rId23813" Type="http://schemas.openxmlformats.org/officeDocument/2006/relationships/hyperlink" Target="http://dlvr.it/" TargetMode="External"/><Relationship Id="rId3156" Type="http://schemas.openxmlformats.org/officeDocument/2006/relationships/hyperlink" Target="https://twitter.com/Insta_VWT/status/723144289203703809" TargetMode="External"/><Relationship Id="rId4207" Type="http://schemas.openxmlformats.org/officeDocument/2006/relationships/hyperlink" Target="https://twitter.com/malheurwoman" TargetMode="External"/><Relationship Id="rId18769" Type="http://schemas.openxmlformats.org/officeDocument/2006/relationships/hyperlink" Target="https://twitter.com/DonnaCBoehme" TargetMode="External"/><Relationship Id="rId21017" Type="http://schemas.openxmlformats.org/officeDocument/2006/relationships/hyperlink" Target="https://twitter.com/SuranClub/status/724081302836797440" TargetMode="External"/><Relationship Id="rId6379" Type="http://schemas.openxmlformats.org/officeDocument/2006/relationships/hyperlink" Target="https://pbs.twimg.com/profile_images/708300383148441600/aQ4jwyAW_normal.jpg" TargetMode="External"/><Relationship Id="rId7777" Type="http://schemas.openxmlformats.org/officeDocument/2006/relationships/hyperlink" Target="https://twitter.com/pato_joaquiin/status/723330754747465729" TargetMode="External"/><Relationship Id="rId8828" Type="http://schemas.openxmlformats.org/officeDocument/2006/relationships/hyperlink" Target="https://twitter.com/bayl" TargetMode="External"/><Relationship Id="rId10758" Type="http://schemas.openxmlformats.org/officeDocument/2006/relationships/hyperlink" Target="https://twitter.com/Ikoniclondon/status/723483577980182528" TargetMode="External"/><Relationship Id="rId11809" Type="http://schemas.openxmlformats.org/officeDocument/2006/relationships/hyperlink" Target="https://twitter.com/VWCamperSales/status/723507933267431426" TargetMode="External"/><Relationship Id="rId23189" Type="http://schemas.openxmlformats.org/officeDocument/2006/relationships/hyperlink" Target="https://twitter.com/bruno90alvarez/status/724272708679290880" TargetMode="External"/><Relationship Id="rId24587" Type="http://schemas.openxmlformats.org/officeDocument/2006/relationships/hyperlink" Target="https://pbs.twimg.com/profile_images/705780107844067328/e7O4UBNb_normal.jpg" TargetMode="External"/><Relationship Id="rId25638" Type="http://schemas.openxmlformats.org/officeDocument/2006/relationships/hyperlink" Target="https://twitter.com/Mankool_Mumbai" TargetMode="External"/><Relationship Id="rId12180" Type="http://schemas.openxmlformats.org/officeDocument/2006/relationships/hyperlink" Target="https://pbs.twimg.com/profile_images/697857463048105985/cKsPEyN7_normal.jpg" TargetMode="External"/><Relationship Id="rId13231" Type="http://schemas.openxmlformats.org/officeDocument/2006/relationships/hyperlink" Target="https://twitter.com/Spoekenkiekerei/status/723540132889038848" TargetMode="External"/><Relationship Id="rId17852" Type="http://schemas.openxmlformats.org/officeDocument/2006/relationships/hyperlink" Target="https://twitter.com/wortjongleur/status/723828762526289920" TargetMode="External"/><Relationship Id="rId18903" Type="http://schemas.openxmlformats.org/officeDocument/2006/relationships/hyperlink" Target="https://twitter.com/VolkswagenPost/status/723904732088164352" TargetMode="External"/><Relationship Id="rId2989" Type="http://schemas.openxmlformats.org/officeDocument/2006/relationships/hyperlink" Target="https://twitter.com/filipepontes/status/723130700342263808" TargetMode="External"/><Relationship Id="rId6860" Type="http://schemas.openxmlformats.org/officeDocument/2006/relationships/hyperlink" Target="https://pbs.twimg.com/profile_images/703294545195307008/qeCvrX86_normal.jpg" TargetMode="External"/><Relationship Id="rId7911" Type="http://schemas.openxmlformats.org/officeDocument/2006/relationships/hyperlink" Target="https://twitter.com/cas_2050001283/status/723340425801539584" TargetMode="External"/><Relationship Id="rId16454" Type="http://schemas.openxmlformats.org/officeDocument/2006/relationships/hyperlink" Target="https://twitter.com/CameronQland" TargetMode="External"/><Relationship Id="rId17505" Type="http://schemas.openxmlformats.org/officeDocument/2006/relationships/hyperlink" Target="https://pbs.twimg.com/profile_images/532260522939654144/fOFdZU8S_normal.jpeg" TargetMode="External"/><Relationship Id="rId20100" Type="http://schemas.openxmlformats.org/officeDocument/2006/relationships/hyperlink" Target="https://twitter.com/ErikDurr" TargetMode="External"/><Relationship Id="rId23670" Type="http://schemas.openxmlformats.org/officeDocument/2006/relationships/hyperlink" Target="https://pbs.twimg.com/profile_images/692450375845187585/7GddY3aS_normal.jpg" TargetMode="External"/><Relationship Id="rId24721" Type="http://schemas.openxmlformats.org/officeDocument/2006/relationships/hyperlink" Target="https://pbs.twimg.com/profile_images/539528196002418688/-iS6i8lN_normal.jpeg" TargetMode="External"/><Relationship Id="rId211" Type="http://schemas.openxmlformats.org/officeDocument/2006/relationships/hyperlink" Target="https://twitter.com/techhippie" TargetMode="External"/><Relationship Id="rId5462" Type="http://schemas.openxmlformats.org/officeDocument/2006/relationships/hyperlink" Target="https://twitter.com/VWCamperSales/status/723204178907041794" TargetMode="External"/><Relationship Id="rId6513" Type="http://schemas.openxmlformats.org/officeDocument/2006/relationships/hyperlink" Target="https://twitter.com/BommaritoVWHzWd" TargetMode="External"/><Relationship Id="rId15056" Type="http://schemas.openxmlformats.org/officeDocument/2006/relationships/hyperlink" Target="https://twitter.com/AttorneyLending" TargetMode="External"/><Relationship Id="rId16107" Type="http://schemas.openxmlformats.org/officeDocument/2006/relationships/hyperlink" Target="https://twitter.com/beetlebug1938" TargetMode="External"/><Relationship Id="rId19677" Type="http://schemas.openxmlformats.org/officeDocument/2006/relationships/hyperlink" Target="https://pbs.twimg.com/profile_images/378800000854855954/0d555726054b01e3c9d6b5241432dc4a_normal.jpeg" TargetMode="External"/><Relationship Id="rId22272" Type="http://schemas.openxmlformats.org/officeDocument/2006/relationships/hyperlink" Target="https://twitter.com/VWCamperSales" TargetMode="External"/><Relationship Id="rId23323" Type="http://schemas.openxmlformats.org/officeDocument/2006/relationships/hyperlink" Target="https://twitter.com/SantaPodRaceway" TargetMode="External"/><Relationship Id="rId4064" Type="http://schemas.openxmlformats.org/officeDocument/2006/relationships/hyperlink" Target="https://twitter.com/MiManske/status/723175647552491525" TargetMode="External"/><Relationship Id="rId5115" Type="http://schemas.openxmlformats.org/officeDocument/2006/relationships/hyperlink" Target="https://twitter.com/uptownvw" TargetMode="External"/><Relationship Id="rId8685" Type="http://schemas.openxmlformats.org/officeDocument/2006/relationships/hyperlink" Target="https://twitter.com/Optares_Auto" TargetMode="External"/><Relationship Id="rId9736" Type="http://schemas.openxmlformats.org/officeDocument/2006/relationships/hyperlink" Target="https://twitter.com/MrTARIQSs/status/723447425768148992" TargetMode="External"/><Relationship Id="rId18279" Type="http://schemas.openxmlformats.org/officeDocument/2006/relationships/hyperlink" Target="https://pbs.twimg.com/profile_images/465845159607824386/C2TZw1k6_normal.jpeg" TargetMode="External"/><Relationship Id="rId25495" Type="http://schemas.openxmlformats.org/officeDocument/2006/relationships/hyperlink" Target="https://twitter.com/sami19981" TargetMode="External"/><Relationship Id="rId7287" Type="http://schemas.openxmlformats.org/officeDocument/2006/relationships/hyperlink" Target="https://twitter.com/opalaSS_78" TargetMode="External"/><Relationship Id="rId8338" Type="http://schemas.openxmlformats.org/officeDocument/2006/relationships/hyperlink" Target="https://twitter.com/motoexposure" TargetMode="External"/><Relationship Id="rId11666" Type="http://schemas.openxmlformats.org/officeDocument/2006/relationships/hyperlink" Target="https://pbs.twimg.com/profile_images/694584728985452544/3zgs0YER_normal.jpg" TargetMode="External"/><Relationship Id="rId12717" Type="http://schemas.openxmlformats.org/officeDocument/2006/relationships/hyperlink" Target="https://twitter.com/LucasCote86" TargetMode="External"/><Relationship Id="rId24097" Type="http://schemas.openxmlformats.org/officeDocument/2006/relationships/hyperlink" Target="http://dlvr.it/" TargetMode="External"/><Relationship Id="rId25148" Type="http://schemas.openxmlformats.org/officeDocument/2006/relationships/hyperlink" Target="https://twitter.com/HotRidesDaily1/status/724423680000970752" TargetMode="External"/><Relationship Id="rId1725" Type="http://schemas.openxmlformats.org/officeDocument/2006/relationships/hyperlink" Target="https://twitter.com/PRESSEKONTOR" TargetMode="External"/><Relationship Id="rId10268" Type="http://schemas.openxmlformats.org/officeDocument/2006/relationships/hyperlink" Target="https://twitter.com/rbbinforadio" TargetMode="External"/><Relationship Id="rId11319" Type="http://schemas.openxmlformats.org/officeDocument/2006/relationships/hyperlink" Target="https://twitter.com/FreeAviator" TargetMode="External"/><Relationship Id="rId14889" Type="http://schemas.openxmlformats.org/officeDocument/2006/relationships/hyperlink" Target="https://twitter.com/HistoricPeriods" TargetMode="External"/><Relationship Id="rId18760" Type="http://schemas.openxmlformats.org/officeDocument/2006/relationships/hyperlink" Target="https://twitter.com/DonnaCBoehme" TargetMode="External"/><Relationship Id="rId19811" Type="http://schemas.openxmlformats.org/officeDocument/2006/relationships/hyperlink" Target="https://twitter.com/VolkswagenPost" TargetMode="External"/><Relationship Id="rId3897" Type="http://schemas.openxmlformats.org/officeDocument/2006/relationships/hyperlink" Target="https://twitter.com/SuncoastVW" TargetMode="External"/><Relationship Id="rId4948" Type="http://schemas.openxmlformats.org/officeDocument/2006/relationships/hyperlink" Target="https://pbs.twimg.com/profile_images/539547348016582658/ToAwB3dR_normal.jpeg" TargetMode="External"/><Relationship Id="rId11800" Type="http://schemas.openxmlformats.org/officeDocument/2006/relationships/hyperlink" Target="https://twitter.com/Elisa1Beth2/status/723507738790211585" TargetMode="External"/><Relationship Id="rId17362" Type="http://schemas.openxmlformats.org/officeDocument/2006/relationships/hyperlink" Target="https://twitter.com/CastleCoastCamp/status/723793462928236544" TargetMode="External"/><Relationship Id="rId18413" Type="http://schemas.openxmlformats.org/officeDocument/2006/relationships/hyperlink" Target="https://pbs.twimg.com/profile_images/486129197413572608/yz3mWXie_normal.jpeg" TargetMode="External"/><Relationship Id="rId21758" Type="http://schemas.openxmlformats.org/officeDocument/2006/relationships/hyperlink" Target="https://twitter.com/The1400Club/status/724177688391344128" TargetMode="External"/><Relationship Id="rId22809" Type="http://schemas.openxmlformats.org/officeDocument/2006/relationships/hyperlink" Target="http://ctrlq.org/maps/address/" TargetMode="External"/><Relationship Id="rId2499" Type="http://schemas.openxmlformats.org/officeDocument/2006/relationships/hyperlink" Target="https://pbs.twimg.com/profile_images/632544277294379008/4oFaNwWv_normal.jpg" TargetMode="External"/><Relationship Id="rId6370" Type="http://schemas.openxmlformats.org/officeDocument/2006/relationships/hyperlink" Target="https://twitter.com/wingolfahrens" TargetMode="External"/><Relationship Id="rId7421" Type="http://schemas.openxmlformats.org/officeDocument/2006/relationships/hyperlink" Target="https://twitter.com/GaitanAle" TargetMode="External"/><Relationship Id="rId10402" Type="http://schemas.openxmlformats.org/officeDocument/2006/relationships/hyperlink" Target="https://twitter.com/ZDFheute/status/723471875851038720" TargetMode="External"/><Relationship Id="rId17015" Type="http://schemas.openxmlformats.org/officeDocument/2006/relationships/hyperlink" Target="https://twitter.com/Kittypunk16/status/723762704977149952" TargetMode="External"/><Relationship Id="rId23180" Type="http://schemas.openxmlformats.org/officeDocument/2006/relationships/hyperlink" Target="https://twitter.com/refineddetails/status/724272585140264960" TargetMode="External"/><Relationship Id="rId24231" Type="http://schemas.openxmlformats.org/officeDocument/2006/relationships/hyperlink" Target="https://twitter.com/Mphilpot1" TargetMode="External"/><Relationship Id="rId2980" Type="http://schemas.openxmlformats.org/officeDocument/2006/relationships/hyperlink" Target="https://twitter.com/romboke/status/723129829252567040" TargetMode="External"/><Relationship Id="rId6023" Type="http://schemas.openxmlformats.org/officeDocument/2006/relationships/hyperlink" Target="https://pbs.twimg.com/profile_images/1702501747/216873_154851841255610_100001923854145_326056_3090683_n_normal.jpg" TargetMode="External"/><Relationship Id="rId9593" Type="http://schemas.openxmlformats.org/officeDocument/2006/relationships/hyperlink" Target="https://pbs.twimg.com/profile_images/424893967197433858/iQ86NktX_normal.jpeg" TargetMode="External"/><Relationship Id="rId12574" Type="http://schemas.openxmlformats.org/officeDocument/2006/relationships/hyperlink" Target="https://twitter.com/AIADA_News/status/723522734689423360" TargetMode="External"/><Relationship Id="rId13972" Type="http://schemas.openxmlformats.org/officeDocument/2006/relationships/hyperlink" Target="https://pbs.twimg.com/profile_images/414433635630972930/Az3NgOcg_normal.jpeg" TargetMode="External"/><Relationship Id="rId19187" Type="http://schemas.openxmlformats.org/officeDocument/2006/relationships/hyperlink" Target="https://twitter.com/OnlyCarrera/status/723922121009803265" TargetMode="External"/><Relationship Id="rId952" Type="http://schemas.openxmlformats.org/officeDocument/2006/relationships/hyperlink" Target="https://pbs.twimg.com/profile_images/378800000854855954/0d555726054b01e3c9d6b5241432dc4a_normal.jpeg" TargetMode="External"/><Relationship Id="rId1582" Type="http://schemas.openxmlformats.org/officeDocument/2006/relationships/hyperlink" Target="https://pbs.twimg.com/profile_images/690093754351489024/RHFZ8vSn_normal.jpg" TargetMode="External"/><Relationship Id="rId2633" Type="http://schemas.openxmlformats.org/officeDocument/2006/relationships/hyperlink" Target="https://pbs.twimg.com/profile_images/712334466585333760/rN4Fnyef_normal.jpg" TargetMode="External"/><Relationship Id="rId8195" Type="http://schemas.openxmlformats.org/officeDocument/2006/relationships/hyperlink" Target="https://pbs.twimg.com/profile_images/690974305321005056/zlb2R_Vb_normal.jpg" TargetMode="External"/><Relationship Id="rId9246" Type="http://schemas.openxmlformats.org/officeDocument/2006/relationships/hyperlink" Target="https://twitter.com/VWHeritage" TargetMode="External"/><Relationship Id="rId11176" Type="http://schemas.openxmlformats.org/officeDocument/2006/relationships/hyperlink" Target="https://twitter.com/golfturkiye/status/723498856550404096" TargetMode="External"/><Relationship Id="rId12227" Type="http://schemas.openxmlformats.org/officeDocument/2006/relationships/hyperlink" Target="https://twitter.com/MorSvinka_83/status/723515468259176448" TargetMode="External"/><Relationship Id="rId13625" Type="http://schemas.openxmlformats.org/officeDocument/2006/relationships/hyperlink" Target="https://twitter.com/DwAilton/status/723551886754893825" TargetMode="External"/><Relationship Id="rId20841" Type="http://schemas.openxmlformats.org/officeDocument/2006/relationships/hyperlink" Target="https://pbs.twimg.com/profile_images/711958058633711616/QR_V7dil_normal.jpg" TargetMode="External"/><Relationship Id="rId605" Type="http://schemas.openxmlformats.org/officeDocument/2006/relationships/hyperlink" Target="https://pbs.twimg.com/profile_images/702511217793863680/lty8h9vE_normal.jpg" TargetMode="External"/><Relationship Id="rId1235" Type="http://schemas.openxmlformats.org/officeDocument/2006/relationships/hyperlink" Target="https://twitter.com/ACPCarnegie" TargetMode="External"/><Relationship Id="rId15797" Type="http://schemas.openxmlformats.org/officeDocument/2006/relationships/hyperlink" Target="https://twitter.com/stroisila" TargetMode="External"/><Relationship Id="rId16848" Type="http://schemas.openxmlformats.org/officeDocument/2006/relationships/hyperlink" Target="https://twitter.com/Kielia88" TargetMode="External"/><Relationship Id="rId4458" Type="http://schemas.openxmlformats.org/officeDocument/2006/relationships/hyperlink" Target="https://twitter.com/nichols_ellen" TargetMode="External"/><Relationship Id="rId5856" Type="http://schemas.openxmlformats.org/officeDocument/2006/relationships/hyperlink" Target="https://twitter.com/Roseville_VW/status/723220361576329216" TargetMode="External"/><Relationship Id="rId6907" Type="http://schemas.openxmlformats.org/officeDocument/2006/relationships/hyperlink" Target="https://twitter.com/anwaltplus/status/723268226256375808" TargetMode="External"/><Relationship Id="rId14399" Type="http://schemas.openxmlformats.org/officeDocument/2006/relationships/hyperlink" Target="https://pbs.twimg.com/profile_images/3326406395/719285154d57ac5eaeeefdce92d3c9c0_normal.jpeg" TargetMode="External"/><Relationship Id="rId18270" Type="http://schemas.openxmlformats.org/officeDocument/2006/relationships/hyperlink" Target="https://pbs.twimg.com/profile_images/488678354338324481/_qtBruR6_normal.jpeg" TargetMode="External"/><Relationship Id="rId19321" Type="http://schemas.openxmlformats.org/officeDocument/2006/relationships/hyperlink" Target="https://twitter.com/Insta_VWT" TargetMode="External"/><Relationship Id="rId22666" Type="http://schemas.openxmlformats.org/officeDocument/2006/relationships/hyperlink" Target="https://twitter.com/beetlebug1938" TargetMode="External"/><Relationship Id="rId23717" Type="http://schemas.openxmlformats.org/officeDocument/2006/relationships/hyperlink" Target="https://twitter.com/dubbusses" TargetMode="External"/><Relationship Id="rId5509" Type="http://schemas.openxmlformats.org/officeDocument/2006/relationships/hyperlink" Target="http://dlvr.it/" TargetMode="External"/><Relationship Id="rId11310" Type="http://schemas.openxmlformats.org/officeDocument/2006/relationships/hyperlink" Target="https://twitter.com/KatSteward_art" TargetMode="External"/><Relationship Id="rId14880" Type="http://schemas.openxmlformats.org/officeDocument/2006/relationships/hyperlink" Target="https://twitter.com/Drive_Better/status/723586037335896064" TargetMode="External"/><Relationship Id="rId15931" Type="http://schemas.openxmlformats.org/officeDocument/2006/relationships/hyperlink" Target="https://twitter.com/oldcar_photo" TargetMode="External"/><Relationship Id="rId21268" Type="http://schemas.openxmlformats.org/officeDocument/2006/relationships/hyperlink" Target="https://pbs.twimg.com/profile_images/718835727027580928/1ssyQ67y_normal.jpg" TargetMode="External"/><Relationship Id="rId22319" Type="http://schemas.openxmlformats.org/officeDocument/2006/relationships/hyperlink" Target="https://twitter.com/TotallyVans/status/724214074515578880" TargetMode="External"/><Relationship Id="rId13482" Type="http://schemas.openxmlformats.org/officeDocument/2006/relationships/hyperlink" Target="https://twitter.com/AnhaengerCDU/status/723548610252705792" TargetMode="External"/><Relationship Id="rId14533" Type="http://schemas.openxmlformats.org/officeDocument/2006/relationships/hyperlink" Target="https://twitter.com/VWCamperSales/status/723575235102953472" TargetMode="External"/><Relationship Id="rId22800" Type="http://schemas.openxmlformats.org/officeDocument/2006/relationships/hyperlink" Target="https://twitter.com/techhippie/status/724247324239761409" TargetMode="External"/><Relationship Id="rId2490" Type="http://schemas.openxmlformats.org/officeDocument/2006/relationships/hyperlink" Target="https://twitter.com/treibholzfilm/status/723102909899124736" TargetMode="External"/><Relationship Id="rId3541" Type="http://schemas.openxmlformats.org/officeDocument/2006/relationships/hyperlink" Target="https://twitter.com/doern/status/723163014019596288" TargetMode="External"/><Relationship Id="rId12084" Type="http://schemas.openxmlformats.org/officeDocument/2006/relationships/hyperlink" Target="https://pbs.twimg.com/profile_images/2666156173/1dc1dfd9105a77b870914368c039ba9e_normal.png" TargetMode="External"/><Relationship Id="rId13135" Type="http://schemas.openxmlformats.org/officeDocument/2006/relationships/hyperlink" Target="https://pbs.twimg.com/profile_images/378800000756898826/c34d2c219e5c4be1cda0491348523b1a_normal.jpeg" TargetMode="External"/><Relationship Id="rId17756" Type="http://schemas.openxmlformats.org/officeDocument/2006/relationships/hyperlink" Target="https://twitter.com/oldcar_photo/status/723821078141894656" TargetMode="External"/><Relationship Id="rId20351" Type="http://schemas.openxmlformats.org/officeDocument/2006/relationships/hyperlink" Target="https://pbs.twimg.com/profile_images/541559605290364928/Qmf_JkLj_normal.jpeg" TargetMode="External"/><Relationship Id="rId21402" Type="http://schemas.openxmlformats.org/officeDocument/2006/relationships/hyperlink" Target="https://twitter.com/GerdKebschull/status/724147107305820160" TargetMode="External"/><Relationship Id="rId462" Type="http://schemas.openxmlformats.org/officeDocument/2006/relationships/hyperlink" Target="https://twitter.com/OnlineCarReview/status/722960445414334465" TargetMode="External"/><Relationship Id="rId1092" Type="http://schemas.openxmlformats.org/officeDocument/2006/relationships/hyperlink" Target="https://twitter.com/godmodetrader/status/723017472572559360" TargetMode="External"/><Relationship Id="rId2143" Type="http://schemas.openxmlformats.org/officeDocument/2006/relationships/hyperlink" Target="https://twitter.com/OnlineCarReview" TargetMode="External"/><Relationship Id="rId6764" Type="http://schemas.openxmlformats.org/officeDocument/2006/relationships/hyperlink" Target="https://twitter.com/LeggoMyRillo/status/723258759104069632" TargetMode="External"/><Relationship Id="rId7815" Type="http://schemas.openxmlformats.org/officeDocument/2006/relationships/hyperlink" Target="https://twitter.com/AmazingChevVolt" TargetMode="External"/><Relationship Id="rId16358" Type="http://schemas.openxmlformats.org/officeDocument/2006/relationships/hyperlink" Target="https://twitter.com/vwbusman72/status/723671967249866752" TargetMode="External"/><Relationship Id="rId17409" Type="http://schemas.openxmlformats.org/officeDocument/2006/relationships/hyperlink" Target="https://pbs.twimg.com/profile_images/1309489296/IMG_0441bea__FILEminimizer__normal.JPG" TargetMode="External"/><Relationship Id="rId18807" Type="http://schemas.openxmlformats.org/officeDocument/2006/relationships/hyperlink" Target="https://twitter.com/twamateur/status/723897848190918658" TargetMode="External"/><Relationship Id="rId20004" Type="http://schemas.openxmlformats.org/officeDocument/2006/relationships/hyperlink" Target="https://twitter.com/EvvoNewBeetles" TargetMode="External"/><Relationship Id="rId23574" Type="http://schemas.openxmlformats.org/officeDocument/2006/relationships/hyperlink" Target="https://twitter.com/mamulavaca" TargetMode="External"/><Relationship Id="rId24625" Type="http://schemas.openxmlformats.org/officeDocument/2006/relationships/hyperlink" Target="https://twitter.com/ebaycampervans" TargetMode="External"/><Relationship Id="rId24972" Type="http://schemas.openxmlformats.org/officeDocument/2006/relationships/hyperlink" Target="https://pbs.twimg.com/profile_images/652670623580323841/Q1F5n9jI_normal.jpg" TargetMode="External"/><Relationship Id="rId115" Type="http://schemas.openxmlformats.org/officeDocument/2006/relationships/hyperlink" Target="https://twitter.com/CNBCtech/status/722928137173082112" TargetMode="External"/><Relationship Id="rId5366" Type="http://schemas.openxmlformats.org/officeDocument/2006/relationships/hyperlink" Target="https://twitter.com/beetlebug1938/status/723200673488220160" TargetMode="External"/><Relationship Id="rId6417" Type="http://schemas.openxmlformats.org/officeDocument/2006/relationships/hyperlink" Target="https://pbs.twimg.com/profile_images/1827590777/troposfera_normal.jpg" TargetMode="External"/><Relationship Id="rId22176" Type="http://schemas.openxmlformats.org/officeDocument/2006/relationships/hyperlink" Target="https://twitter.com/MotorHour/status/724207817700302848" TargetMode="External"/><Relationship Id="rId23227" Type="http://schemas.openxmlformats.org/officeDocument/2006/relationships/hyperlink" Target="https://twitter.com/srqstockpicker" TargetMode="External"/><Relationship Id="rId5019" Type="http://schemas.openxmlformats.org/officeDocument/2006/relationships/hyperlink" Target="https://twitter.com/heigion/status/723192599494987776" TargetMode="External"/><Relationship Id="rId8589" Type="http://schemas.openxmlformats.org/officeDocument/2006/relationships/hyperlink" Target="https://twitter.com/rhartgendorn/status/723396604007309312" TargetMode="External"/><Relationship Id="rId9987" Type="http://schemas.openxmlformats.org/officeDocument/2006/relationships/hyperlink" Target="https://pbs.twimg.com/profile_images/684064663533973509/j38nNdrP_normal.jpg" TargetMode="External"/><Relationship Id="rId12968" Type="http://schemas.openxmlformats.org/officeDocument/2006/relationships/hyperlink" Target="https://pbs.twimg.com/profile_images/682244072648519681/to9TAOYz_normal.png" TargetMode="External"/><Relationship Id="rId25399" Type="http://schemas.openxmlformats.org/officeDocument/2006/relationships/hyperlink" Target="https://twitter.com/claudia_mtzs/status/724435556667523072" TargetMode="External"/><Relationship Id="rId1976" Type="http://schemas.openxmlformats.org/officeDocument/2006/relationships/hyperlink" Target="https://abs.twimg.com/sticky/default_profile_images/default_profile_5_normal.png" TargetMode="External"/><Relationship Id="rId14390" Type="http://schemas.openxmlformats.org/officeDocument/2006/relationships/hyperlink" Target="https://pbs.twimg.com/profile_images/718820712757215233/LXXndPTS_normal.jpg" TargetMode="External"/><Relationship Id="rId15441" Type="http://schemas.openxmlformats.org/officeDocument/2006/relationships/hyperlink" Target="https://pbs.twimg.com/profile_images/1169387207/uhu_normal.jpg" TargetMode="External"/><Relationship Id="rId1629" Type="http://schemas.openxmlformats.org/officeDocument/2006/relationships/hyperlink" Target="https://twitter.com/adlitammm/status/723049967145766912" TargetMode="External"/><Relationship Id="rId5500" Type="http://schemas.openxmlformats.org/officeDocument/2006/relationships/hyperlink" Target="https://twitter.com/quixotequest" TargetMode="External"/><Relationship Id="rId14043" Type="http://schemas.openxmlformats.org/officeDocument/2006/relationships/hyperlink" Target="https://twitter.com/ConurbaCho/status/723562332022923264" TargetMode="External"/><Relationship Id="rId18664" Type="http://schemas.openxmlformats.org/officeDocument/2006/relationships/hyperlink" Target="https://twitter.com/Onkel_Homie" TargetMode="External"/><Relationship Id="rId19715" Type="http://schemas.openxmlformats.org/officeDocument/2006/relationships/hyperlink" Target="https://twitter.com/GolfitIt" TargetMode="External"/><Relationship Id="rId22310" Type="http://schemas.openxmlformats.org/officeDocument/2006/relationships/hyperlink" Target="https://twitter.com/VCT_Tweets/status/724213959084089344" TargetMode="External"/><Relationship Id="rId3051" Type="http://schemas.openxmlformats.org/officeDocument/2006/relationships/hyperlink" Target="https://pbs.twimg.com/profile_images/704424786777280513/YQVkJF57_normal.jpg" TargetMode="External"/><Relationship Id="rId4102" Type="http://schemas.openxmlformats.org/officeDocument/2006/relationships/hyperlink" Target="https://twitter.com/BILD_Reporter" TargetMode="External"/><Relationship Id="rId7672" Type="http://schemas.openxmlformats.org/officeDocument/2006/relationships/hyperlink" Target="https://twitter.com/DLF" TargetMode="External"/><Relationship Id="rId8723" Type="http://schemas.openxmlformats.org/officeDocument/2006/relationships/hyperlink" Target="https://pbs.twimg.com/profile_images/472298206483607552/UogAMiRI_normal.png" TargetMode="External"/><Relationship Id="rId10653" Type="http://schemas.openxmlformats.org/officeDocument/2006/relationships/hyperlink" Target="https://twitter.com/Ruymi/status/723479908073254917" TargetMode="External"/><Relationship Id="rId17266" Type="http://schemas.openxmlformats.org/officeDocument/2006/relationships/hyperlink" Target="https://twitter.com/OnlineCarReview" TargetMode="External"/><Relationship Id="rId18317" Type="http://schemas.openxmlformats.org/officeDocument/2006/relationships/hyperlink" Target="https://twitter.com/motorhappy/status/723860945542459392" TargetMode="External"/><Relationship Id="rId24482" Type="http://schemas.openxmlformats.org/officeDocument/2006/relationships/hyperlink" Target="https://twitter.com/YesItsSHAWTY/status/724364118015225857" TargetMode="External"/><Relationship Id="rId25533" Type="http://schemas.openxmlformats.org/officeDocument/2006/relationships/hyperlink" Target="https://pbs.twimg.com/profile_images/601746963160240128/I5CRQlMA_normal.jpg" TargetMode="External"/><Relationship Id="rId6274" Type="http://schemas.openxmlformats.org/officeDocument/2006/relationships/hyperlink" Target="https://pbs.twimg.com/profile_images/687419637429080064/YhD1MggI_normal.jpg" TargetMode="External"/><Relationship Id="rId7325" Type="http://schemas.openxmlformats.org/officeDocument/2006/relationships/hyperlink" Target="https://pbs.twimg.com/profile_images/718998805060927488/ds5qOEpX_normal.jpg" TargetMode="External"/><Relationship Id="rId10306" Type="http://schemas.openxmlformats.org/officeDocument/2006/relationships/hyperlink" Target="https://pbs.twimg.com/profile_images/608213167496417280/QSxgcLn__normal.png" TargetMode="External"/><Relationship Id="rId11704" Type="http://schemas.openxmlformats.org/officeDocument/2006/relationships/hyperlink" Target="https://twitter.com/DoMarMac" TargetMode="External"/><Relationship Id="rId23084" Type="http://schemas.openxmlformats.org/officeDocument/2006/relationships/hyperlink" Target="https://pbs.twimg.com/profile_images/603652757984161792/DTx6yUtK_normal.jpg" TargetMode="External"/><Relationship Id="rId24135" Type="http://schemas.openxmlformats.org/officeDocument/2006/relationships/hyperlink" Target="https://pbs.twimg.com/profile_images/603296786904719362/zocXeDpf_normal.jpg" TargetMode="External"/><Relationship Id="rId2884" Type="http://schemas.openxmlformats.org/officeDocument/2006/relationships/hyperlink" Target="https://twitter.com/aktionaer/status/723122692891762692" TargetMode="External"/><Relationship Id="rId9497" Type="http://schemas.openxmlformats.org/officeDocument/2006/relationships/hyperlink" Target="https://twitter.com/beetlebug1938/status/723437440229240834" TargetMode="External"/><Relationship Id="rId13876" Type="http://schemas.openxmlformats.org/officeDocument/2006/relationships/hyperlink" Target="https://twitter.com/seelig85/status/723557804359950336" TargetMode="External"/><Relationship Id="rId14927" Type="http://schemas.openxmlformats.org/officeDocument/2006/relationships/hyperlink" Target="http://dlvr.it/" TargetMode="External"/><Relationship Id="rId856" Type="http://schemas.openxmlformats.org/officeDocument/2006/relationships/hyperlink" Target="https://twitter.com/wingston" TargetMode="External"/><Relationship Id="rId1486" Type="http://schemas.openxmlformats.org/officeDocument/2006/relationships/hyperlink" Target="https://twitter.com/EuropeIndustry/status/723043508748214272" TargetMode="External"/><Relationship Id="rId2537" Type="http://schemas.openxmlformats.org/officeDocument/2006/relationships/hyperlink" Target="http://dlvr.it/" TargetMode="External"/><Relationship Id="rId3935" Type="http://schemas.openxmlformats.org/officeDocument/2006/relationships/hyperlink" Target="https://pbs.twimg.com/profile_images/1128952252/me_normal.jpeg" TargetMode="External"/><Relationship Id="rId8099" Type="http://schemas.openxmlformats.org/officeDocument/2006/relationships/hyperlink" Target="https://twitter.com/autobrokersweb" TargetMode="External"/><Relationship Id="rId12478" Type="http://schemas.openxmlformats.org/officeDocument/2006/relationships/hyperlink" Target="https://twitter.com/wehrs18" TargetMode="External"/><Relationship Id="rId13529" Type="http://schemas.openxmlformats.org/officeDocument/2006/relationships/hyperlink" Target="https://pbs.twimg.com/profile_images/454280998159532032/Pq43tr1F_normal.png" TargetMode="External"/><Relationship Id="rId17400" Type="http://schemas.openxmlformats.org/officeDocument/2006/relationships/hyperlink" Target="https://pbs.twimg.com/profile_images/552037189328982016/r65JRGTS_normal.jpeg" TargetMode="External"/><Relationship Id="rId20745" Type="http://schemas.openxmlformats.org/officeDocument/2006/relationships/hyperlink" Target="https://twitter.com/Relaxiknwarchie/status/724035327824793600" TargetMode="External"/><Relationship Id="rId509" Type="http://schemas.openxmlformats.org/officeDocument/2006/relationships/hyperlink" Target="https://pbs.twimg.com/profile_images/522469771573350400/e5WjUwRr_normal.png" TargetMode="External"/><Relationship Id="rId1139" Type="http://schemas.openxmlformats.org/officeDocument/2006/relationships/hyperlink" Target="https://pbs.twimg.com/profile_images/652871584131092480/QA_B6SBO_normal.jpg" TargetMode="External"/><Relationship Id="rId5010" Type="http://schemas.openxmlformats.org/officeDocument/2006/relationships/hyperlink" Target="https://twitter.com/BFSCR/status/723192169050173440" TargetMode="External"/><Relationship Id="rId16002" Type="http://schemas.openxmlformats.org/officeDocument/2006/relationships/hyperlink" Target="https://twitter.com/Lucchisius/status/723642017146802176" TargetMode="External"/><Relationship Id="rId19572" Type="http://schemas.openxmlformats.org/officeDocument/2006/relationships/hyperlink" Target="https://twitter.com/MirrorFinish/status/723940788460216320" TargetMode="External"/><Relationship Id="rId23968" Type="http://schemas.openxmlformats.org/officeDocument/2006/relationships/hyperlink" Target="https://twitter.com/beadstormdesign/status/724324058154819584" TargetMode="External"/><Relationship Id="rId8580" Type="http://schemas.openxmlformats.org/officeDocument/2006/relationships/hyperlink" Target="https://twitter.com/BettinaMayer626/status/723396157402050562" TargetMode="External"/><Relationship Id="rId9631" Type="http://schemas.openxmlformats.org/officeDocument/2006/relationships/hyperlink" Target="https://twitter.com/NDRreporter/status/723442909052174336" TargetMode="External"/><Relationship Id="rId11561" Type="http://schemas.openxmlformats.org/officeDocument/2006/relationships/hyperlink" Target="https://twitter.com/FrankBauHa/status/723503500429283328" TargetMode="External"/><Relationship Id="rId12612" Type="http://schemas.openxmlformats.org/officeDocument/2006/relationships/hyperlink" Target="https://twitter.com/TeroHakola/status/723523856208535553" TargetMode="External"/><Relationship Id="rId18174" Type="http://schemas.openxmlformats.org/officeDocument/2006/relationships/hyperlink" Target="https://pbs.twimg.com/profile_images/549662230048804864/0zcWWKDp_normal.jpeg" TargetMode="External"/><Relationship Id="rId19225" Type="http://schemas.openxmlformats.org/officeDocument/2006/relationships/hyperlink" Target="https://twitter.com/_sea_fox_/status/723923046894043136" TargetMode="External"/><Relationship Id="rId25390" Type="http://schemas.openxmlformats.org/officeDocument/2006/relationships/hyperlink" Target="https://twitter.com/FuscaWorld/status/724434355876192256" TargetMode="External"/><Relationship Id="rId1620" Type="http://schemas.openxmlformats.org/officeDocument/2006/relationships/hyperlink" Target="https://twitter.com/Drey_VH/status/723049491234979840" TargetMode="External"/><Relationship Id="rId7182" Type="http://schemas.openxmlformats.org/officeDocument/2006/relationships/hyperlink" Target="https://pbs.twimg.com/profile_images/609726404171821058/p0ZXqqSL_normal.jpg" TargetMode="External"/><Relationship Id="rId8233" Type="http://schemas.openxmlformats.org/officeDocument/2006/relationships/hyperlink" Target="https://twitter.com/wznewsline/status/723378459758620673" TargetMode="External"/><Relationship Id="rId10163" Type="http://schemas.openxmlformats.org/officeDocument/2006/relationships/hyperlink" Target="https://twitter.com/dermysh/status/723464992251621377" TargetMode="External"/><Relationship Id="rId11214" Type="http://schemas.openxmlformats.org/officeDocument/2006/relationships/hyperlink" Target="https://pbs.twimg.com/profile_images/679552623641509888/_vPw9IS2_normal.png" TargetMode="External"/><Relationship Id="rId14784" Type="http://schemas.openxmlformats.org/officeDocument/2006/relationships/hyperlink" Target="https://pbs.twimg.com/profile_images/435934668228001792/Jra00BM-_normal.jpeg" TargetMode="External"/><Relationship Id="rId25043" Type="http://schemas.openxmlformats.org/officeDocument/2006/relationships/hyperlink" Target="https://twitter.com/OnlyCarrera/status/724413041123725312" TargetMode="External"/><Relationship Id="rId3792" Type="http://schemas.openxmlformats.org/officeDocument/2006/relationships/hyperlink" Target="https://twitter.com/VCDeV/status/723169724557750274" TargetMode="External"/><Relationship Id="rId4843" Type="http://schemas.openxmlformats.org/officeDocument/2006/relationships/hyperlink" Target="https://twitter.com/nicolaborri" TargetMode="External"/><Relationship Id="rId13386" Type="http://schemas.openxmlformats.org/officeDocument/2006/relationships/hyperlink" Target="https://twitter.com/sebschaal/status/723545177466540034" TargetMode="External"/><Relationship Id="rId14437" Type="http://schemas.openxmlformats.org/officeDocument/2006/relationships/hyperlink" Target="https://twitter.com/UmaSharandon/status/723573848969515008" TargetMode="External"/><Relationship Id="rId15835" Type="http://schemas.openxmlformats.org/officeDocument/2006/relationships/hyperlink" Target="https://pbs.twimg.com/profile_images/378800000229998736/497818104fc0403f4157adfa87815d55_normal.png" TargetMode="External"/><Relationship Id="rId21653" Type="http://schemas.openxmlformats.org/officeDocument/2006/relationships/hyperlink" Target="https://twitter.com/crewevw/status/724165516575666176" TargetMode="External"/><Relationship Id="rId22704" Type="http://schemas.openxmlformats.org/officeDocument/2006/relationships/hyperlink" Target="https://twitter.com/MarcDigruber/status/724239484318035968" TargetMode="External"/><Relationship Id="rId2394" Type="http://schemas.openxmlformats.org/officeDocument/2006/relationships/hyperlink" Target="http://ctrlq.org/maps/address/" TargetMode="External"/><Relationship Id="rId3445" Type="http://schemas.openxmlformats.org/officeDocument/2006/relationships/hyperlink" Target="https://twitter.com/SexenioCDMX/status/723159126658834434" TargetMode="External"/><Relationship Id="rId13039" Type="http://schemas.openxmlformats.org/officeDocument/2006/relationships/hyperlink" Target="https://twitter.com/interest1959" TargetMode="External"/><Relationship Id="rId20255" Type="http://schemas.openxmlformats.org/officeDocument/2006/relationships/hyperlink" Target="https://twitter.com/madeinsantacruz/status/723986144199892992" TargetMode="External"/><Relationship Id="rId21306" Type="http://schemas.openxmlformats.org/officeDocument/2006/relationships/hyperlink" Target="https://twitter.com/Kerstin_Lomb/status/724139561106984960" TargetMode="External"/><Relationship Id="rId366" Type="http://schemas.openxmlformats.org/officeDocument/2006/relationships/hyperlink" Target="https://twitter.com/kevdritchie/status/722950304870875136" TargetMode="External"/><Relationship Id="rId2047" Type="http://schemas.openxmlformats.org/officeDocument/2006/relationships/hyperlink" Target="https://pbs.twimg.com/profile_images/466908605317279744/I5a712BQ_normal.jpeg" TargetMode="External"/><Relationship Id="rId6668" Type="http://schemas.openxmlformats.org/officeDocument/2006/relationships/hyperlink" Target="https://twitter.com/HFensterman" TargetMode="External"/><Relationship Id="rId19082" Type="http://schemas.openxmlformats.org/officeDocument/2006/relationships/hyperlink" Target="https://twitter.com/Turnervwkelowna/status/723918903605383168" TargetMode="External"/><Relationship Id="rId23478" Type="http://schemas.openxmlformats.org/officeDocument/2006/relationships/hyperlink" Target="http://ctrlq.org/maps/address/" TargetMode="External"/><Relationship Id="rId24876" Type="http://schemas.openxmlformats.org/officeDocument/2006/relationships/hyperlink" Target="https://twitter.com/nexus_line/status/724395934797410305" TargetMode="External"/><Relationship Id="rId7719" Type="http://schemas.openxmlformats.org/officeDocument/2006/relationships/hyperlink" Target="https://twitter.com/KraeuterVerbena/status/723327067501154304" TargetMode="External"/><Relationship Id="rId8090" Type="http://schemas.openxmlformats.org/officeDocument/2006/relationships/hyperlink" Target="https://twitter.com/tbachner" TargetMode="External"/><Relationship Id="rId9141" Type="http://schemas.openxmlformats.org/officeDocument/2006/relationships/hyperlink" Target="https://twitter.com/UsatoAutoSystem" TargetMode="External"/><Relationship Id="rId13520" Type="http://schemas.openxmlformats.org/officeDocument/2006/relationships/hyperlink" Target="https://twitter.com/1Feedom" TargetMode="External"/><Relationship Id="rId24529" Type="http://schemas.openxmlformats.org/officeDocument/2006/relationships/hyperlink" Target="https://twitter.com/dubbusses/status/724367942369062912" TargetMode="External"/><Relationship Id="rId11071" Type="http://schemas.openxmlformats.org/officeDocument/2006/relationships/hyperlink" Target="https://twitter.com/hdBerretz" TargetMode="External"/><Relationship Id="rId12122" Type="http://schemas.openxmlformats.org/officeDocument/2006/relationships/hyperlink" Target="https://twitter.com/instock_de" TargetMode="External"/><Relationship Id="rId15692" Type="http://schemas.openxmlformats.org/officeDocument/2006/relationships/hyperlink" Target="https://pbs.twimg.com/profile_images/689245762694311937/sYUFvr0i_normal.jpg" TargetMode="External"/><Relationship Id="rId16743" Type="http://schemas.openxmlformats.org/officeDocument/2006/relationships/hyperlink" Target="https://twitter.com/davidtellez/status/723722032375054336" TargetMode="External"/><Relationship Id="rId500" Type="http://schemas.openxmlformats.org/officeDocument/2006/relationships/hyperlink" Target="https://pbs.twimg.com/profile_images/676465930424082432/zT-RyXf4_normal.jpg" TargetMode="External"/><Relationship Id="rId1130" Type="http://schemas.openxmlformats.org/officeDocument/2006/relationships/hyperlink" Target="https://pbs.twimg.com/profile_images/649160019590684676/25rXh6pN_normal.jpg" TargetMode="External"/><Relationship Id="rId5751" Type="http://schemas.openxmlformats.org/officeDocument/2006/relationships/hyperlink" Target="https://twitter.com/TeamHardRacing/status/723215740598255620" TargetMode="External"/><Relationship Id="rId6802" Type="http://schemas.openxmlformats.org/officeDocument/2006/relationships/hyperlink" Target="https://twitter.com/MyFutureMot/status/723261133872869376" TargetMode="External"/><Relationship Id="rId14294" Type="http://schemas.openxmlformats.org/officeDocument/2006/relationships/hyperlink" Target="https://twitter.com/Hector_Beney/status/723571844775854081" TargetMode="External"/><Relationship Id="rId15345" Type="http://schemas.openxmlformats.org/officeDocument/2006/relationships/hyperlink" Target="https://twitter.com/gigiocamicio" TargetMode="External"/><Relationship Id="rId19966" Type="http://schemas.openxmlformats.org/officeDocument/2006/relationships/hyperlink" Target="https://twitter.com/_clairdelune" TargetMode="External"/><Relationship Id="rId22561" Type="http://schemas.openxmlformats.org/officeDocument/2006/relationships/hyperlink" Target="https://pbs.twimg.com/profile_images/677190735326797824/thtg9vaL_normal.jpg" TargetMode="External"/><Relationship Id="rId23612" Type="http://schemas.openxmlformats.org/officeDocument/2006/relationships/hyperlink" Target="https://pbs.twimg.com/profile_images/320518467/f100_edited_normal.jpg" TargetMode="External"/><Relationship Id="rId4353" Type="http://schemas.openxmlformats.org/officeDocument/2006/relationships/hyperlink" Target="https://pbs.twimg.com/profile_images/572855664553115648/RuqOSgao_normal.jpeg" TargetMode="External"/><Relationship Id="rId5404" Type="http://schemas.openxmlformats.org/officeDocument/2006/relationships/hyperlink" Target="https://twitter.com/VolkswagenPost" TargetMode="External"/><Relationship Id="rId8974" Type="http://schemas.openxmlformats.org/officeDocument/2006/relationships/hyperlink" Target="https://pbs.twimg.com/profile_images/666163579700277248/vIv69HhR_normal.jpg" TargetMode="External"/><Relationship Id="rId18568" Type="http://schemas.openxmlformats.org/officeDocument/2006/relationships/hyperlink" Target="https://twitter.com/PheonixJane" TargetMode="External"/><Relationship Id="rId19619" Type="http://schemas.openxmlformats.org/officeDocument/2006/relationships/hyperlink" Target="https://twitter.com/VWCamperSales" TargetMode="External"/><Relationship Id="rId21163" Type="http://schemas.openxmlformats.org/officeDocument/2006/relationships/hyperlink" Target="https://pbs.twimg.com/profile_images/712783822279032832/E8Ejivyg_normal.jpg" TargetMode="External"/><Relationship Id="rId22214" Type="http://schemas.openxmlformats.org/officeDocument/2006/relationships/hyperlink" Target="https://twitter.com/VWCamperSales" TargetMode="External"/><Relationship Id="rId4006" Type="http://schemas.openxmlformats.org/officeDocument/2006/relationships/hyperlink" Target="https://twitter.com/HotRidesDaily1" TargetMode="External"/><Relationship Id="rId7576" Type="http://schemas.openxmlformats.org/officeDocument/2006/relationships/hyperlink" Target="https://twitter.com/Mlcaela_Soosa" TargetMode="External"/><Relationship Id="rId8627" Type="http://schemas.openxmlformats.org/officeDocument/2006/relationships/hyperlink" Target="https://twitter.com/gutbranson" TargetMode="External"/><Relationship Id="rId11955" Type="http://schemas.openxmlformats.org/officeDocument/2006/relationships/hyperlink" Target="https://twitter.com/LarsGehrke" TargetMode="External"/><Relationship Id="rId24386" Type="http://schemas.openxmlformats.org/officeDocument/2006/relationships/hyperlink" Target="https://twitter.com/xicosantos99" TargetMode="External"/><Relationship Id="rId25437" Type="http://schemas.openxmlformats.org/officeDocument/2006/relationships/hyperlink" Target="https://pbs.twimg.com/profile_images/613134211919187968/P_pW7EHj_normal.jpg" TargetMode="External"/><Relationship Id="rId6178" Type="http://schemas.openxmlformats.org/officeDocument/2006/relationships/hyperlink" Target="http://dlvr.it/" TargetMode="External"/><Relationship Id="rId7229" Type="http://schemas.openxmlformats.org/officeDocument/2006/relationships/hyperlink" Target="https://twitter.com/battleforeurope" TargetMode="External"/><Relationship Id="rId10557" Type="http://schemas.openxmlformats.org/officeDocument/2006/relationships/hyperlink" Target="https://twitter.com/Hilda_VillegasA" TargetMode="External"/><Relationship Id="rId11608" Type="http://schemas.openxmlformats.org/officeDocument/2006/relationships/hyperlink" Target="https://pbs.twimg.com/profile_images/719482832477794305/ANIK9yYM_normal.jpg" TargetMode="External"/><Relationship Id="rId13030" Type="http://schemas.openxmlformats.org/officeDocument/2006/relationships/hyperlink" Target="https://twitter.com/Nieuwvliet/status/723533838077534208" TargetMode="External"/><Relationship Id="rId24039" Type="http://schemas.openxmlformats.org/officeDocument/2006/relationships/hyperlink" Target="https://twitter.com/VWBeetleSales/status/724328198763212800" TargetMode="External"/><Relationship Id="rId17651" Type="http://schemas.openxmlformats.org/officeDocument/2006/relationships/hyperlink" Target="https://pbs.twimg.com/profile_images/493009266584719360/vu5lY9gi_normal.jpeg" TargetMode="External"/><Relationship Id="rId18702" Type="http://schemas.openxmlformats.org/officeDocument/2006/relationships/hyperlink" Target="https://pbs.twimg.com/profile_images/627949001179037696/skEBkS05_normal.jpg" TargetMode="External"/><Relationship Id="rId20996" Type="http://schemas.openxmlformats.org/officeDocument/2006/relationships/hyperlink" Target="https://twitter.com/LybertusBarker/status/724080171502833664" TargetMode="External"/><Relationship Id="rId2788" Type="http://schemas.openxmlformats.org/officeDocument/2006/relationships/hyperlink" Target="https://pbs.twimg.com/profile_images/570375988065935360/ooT_Nq7x_normal.jpeg" TargetMode="External"/><Relationship Id="rId3839" Type="http://schemas.openxmlformats.org/officeDocument/2006/relationships/hyperlink" Target="https://twitter.com/jannikkel6" TargetMode="External"/><Relationship Id="rId7710" Type="http://schemas.openxmlformats.org/officeDocument/2006/relationships/hyperlink" Target="https://twitter.com/Ryan_Rudolph/status/723325208787083264" TargetMode="External"/><Relationship Id="rId16253" Type="http://schemas.openxmlformats.org/officeDocument/2006/relationships/hyperlink" Target="https://twitter.com/jahdaic" TargetMode="External"/><Relationship Id="rId17304" Type="http://schemas.openxmlformats.org/officeDocument/2006/relationships/hyperlink" Target="https://pbs.twimg.com/profile_images/643084020633481216/9U3J-N2X_normal.jpg" TargetMode="External"/><Relationship Id="rId20649" Type="http://schemas.openxmlformats.org/officeDocument/2006/relationships/hyperlink" Target="https://twitter.com/thunderdan667/status/724019359811772416" TargetMode="External"/><Relationship Id="rId24520" Type="http://schemas.openxmlformats.org/officeDocument/2006/relationships/hyperlink" Target="https://twitter.com/beetlebug1938/status/724367689490247680" TargetMode="External"/><Relationship Id="rId5261" Type="http://schemas.openxmlformats.org/officeDocument/2006/relationships/hyperlink" Target="https://pbs.twimg.com/profile_images/617300156250255360/iyHyBQ-W_normal.jpg" TargetMode="External"/><Relationship Id="rId6312" Type="http://schemas.openxmlformats.org/officeDocument/2006/relationships/hyperlink" Target="https://twitter.com/dmstone08/status/723238881747820545" TargetMode="External"/><Relationship Id="rId9882" Type="http://schemas.openxmlformats.org/officeDocument/2006/relationships/hyperlink" Target="https://twitter.com/Hallaschka_HH" TargetMode="External"/><Relationship Id="rId12863" Type="http://schemas.openxmlformats.org/officeDocument/2006/relationships/hyperlink" Target="https://twitter.com/SammiLeopold08" TargetMode="External"/><Relationship Id="rId19476" Type="http://schemas.openxmlformats.org/officeDocument/2006/relationships/hyperlink" Target="http://dlvr.it/" TargetMode="External"/><Relationship Id="rId22071" Type="http://schemas.openxmlformats.org/officeDocument/2006/relationships/hyperlink" Target="https://pbs.twimg.com/profile_images/672878354127839232/M7OYc-zx_normal.jpg" TargetMode="External"/><Relationship Id="rId23122" Type="http://schemas.openxmlformats.org/officeDocument/2006/relationships/hyperlink" Target="https://twitter.com/hannogroth/status/724269676881170432" TargetMode="External"/><Relationship Id="rId96" Type="http://schemas.openxmlformats.org/officeDocument/2006/relationships/hyperlink" Target="https://twitter.com/ShannonLeinert" TargetMode="External"/><Relationship Id="rId1871" Type="http://schemas.openxmlformats.org/officeDocument/2006/relationships/hyperlink" Target="https://twitter.com/ML42222157/status/723065070813609984" TargetMode="External"/><Relationship Id="rId2922" Type="http://schemas.openxmlformats.org/officeDocument/2006/relationships/hyperlink" Target="https://twitter.com/noz_de" TargetMode="External"/><Relationship Id="rId8484" Type="http://schemas.openxmlformats.org/officeDocument/2006/relationships/hyperlink" Target="https://twitter.com/wolf_Sti" TargetMode="External"/><Relationship Id="rId9535" Type="http://schemas.openxmlformats.org/officeDocument/2006/relationships/hyperlink" Target="https://twitter.com/tuskami" TargetMode="External"/><Relationship Id="rId11465" Type="http://schemas.openxmlformats.org/officeDocument/2006/relationships/hyperlink" Target="https://twitter.com/Minister_Remmel/status/723502663661436928" TargetMode="External"/><Relationship Id="rId12516" Type="http://schemas.openxmlformats.org/officeDocument/2006/relationships/hyperlink" Target="https://pbs.twimg.com/profile_images/657853466384191488/J6vAnfZr_normal.jpg" TargetMode="External"/><Relationship Id="rId13914" Type="http://schemas.openxmlformats.org/officeDocument/2006/relationships/hyperlink" Target="https://twitter.com/ParkwayVW" TargetMode="External"/><Relationship Id="rId18078" Type="http://schemas.openxmlformats.org/officeDocument/2006/relationships/hyperlink" Target="https://twitter.com/yunusemrkaraman/status/723844464716963840" TargetMode="External"/><Relationship Id="rId19129" Type="http://schemas.openxmlformats.org/officeDocument/2006/relationships/hyperlink" Target="https://twitter.com/DlmeFerd/status/723920970126340097" TargetMode="External"/><Relationship Id="rId25294" Type="http://schemas.openxmlformats.org/officeDocument/2006/relationships/hyperlink" Target="https://pbs.twimg.com/profile_images/652871584131092480/QA_B6SBO_normal.jpg" TargetMode="External"/><Relationship Id="rId1524" Type="http://schemas.openxmlformats.org/officeDocument/2006/relationships/hyperlink" Target="https://twitter.com/RuimteOrdening/status/723044386175631360" TargetMode="External"/><Relationship Id="rId7086" Type="http://schemas.openxmlformats.org/officeDocument/2006/relationships/hyperlink" Target="https://twitter.com/FuscaWorld" TargetMode="External"/><Relationship Id="rId8137" Type="http://schemas.openxmlformats.org/officeDocument/2006/relationships/hyperlink" Target="https://twitter.com/bumbesje" TargetMode="External"/><Relationship Id="rId10067" Type="http://schemas.openxmlformats.org/officeDocument/2006/relationships/hyperlink" Target="https://twitter.com/DubLuvTuning/status/723460653948739584" TargetMode="External"/><Relationship Id="rId11118" Type="http://schemas.openxmlformats.org/officeDocument/2006/relationships/hyperlink" Target="https://twitter.com/handelsblatt/status/723497878417760257" TargetMode="External"/><Relationship Id="rId3696" Type="http://schemas.openxmlformats.org/officeDocument/2006/relationships/hyperlink" Target="https://twitter.com/MarkCSchneider" TargetMode="External"/><Relationship Id="rId4747" Type="http://schemas.openxmlformats.org/officeDocument/2006/relationships/hyperlink" Target="https://twitter.com/KeyStone_Search" TargetMode="External"/><Relationship Id="rId14688" Type="http://schemas.openxmlformats.org/officeDocument/2006/relationships/hyperlink" Target="https://pbs.twimg.com/profile_images/668091779313500160/ZepxnJcI_normal.jpg" TargetMode="External"/><Relationship Id="rId15739" Type="http://schemas.openxmlformats.org/officeDocument/2006/relationships/hyperlink" Target="https://twitter.com/aatheus/status/723622791799427073" TargetMode="External"/><Relationship Id="rId17161" Type="http://schemas.openxmlformats.org/officeDocument/2006/relationships/hyperlink" Target="https://twitter.com/aktionaer" TargetMode="External"/><Relationship Id="rId19610" Type="http://schemas.openxmlformats.org/officeDocument/2006/relationships/hyperlink" Target="https://twitter.com/MorSvinka_83" TargetMode="External"/><Relationship Id="rId22955" Type="http://schemas.openxmlformats.org/officeDocument/2006/relationships/hyperlink" Target="https://twitter.com/InstaTaganrog/status/724259689488330752" TargetMode="External"/><Relationship Id="rId2298" Type="http://schemas.openxmlformats.org/officeDocument/2006/relationships/hyperlink" Target="https://pbs.twimg.com/profile_images/631826304950779904/RBfvk7po_normal.jpg" TargetMode="External"/><Relationship Id="rId3349" Type="http://schemas.openxmlformats.org/officeDocument/2006/relationships/hyperlink" Target="https://twitter.com/BlancoGoonzalo" TargetMode="External"/><Relationship Id="rId7220" Type="http://schemas.openxmlformats.org/officeDocument/2006/relationships/hyperlink" Target="https://twitter.com/VWBeetleSales/status/723287129023860736" TargetMode="External"/><Relationship Id="rId18212" Type="http://schemas.openxmlformats.org/officeDocument/2006/relationships/hyperlink" Target="https://twitter.com/FindingDhimo/status/723851385566056448" TargetMode="External"/><Relationship Id="rId20159" Type="http://schemas.openxmlformats.org/officeDocument/2006/relationships/hyperlink" Target="https://twitter.com/ALBADERTSCHER/status/723977472883200000" TargetMode="External"/><Relationship Id="rId21557" Type="http://schemas.openxmlformats.org/officeDocument/2006/relationships/hyperlink" Target="https://twitter.com/weare_van/status/724160300824576000" TargetMode="External"/><Relationship Id="rId22608" Type="http://schemas.openxmlformats.org/officeDocument/2006/relationships/hyperlink" Target="https://twitter.com/fantigos" TargetMode="External"/><Relationship Id="rId24030" Type="http://schemas.openxmlformats.org/officeDocument/2006/relationships/hyperlink" Target="https://pbs.twimg.com/profile_images/715030110844362754/PC9gDSCU_normal.jpg" TargetMode="External"/><Relationship Id="rId9392" Type="http://schemas.openxmlformats.org/officeDocument/2006/relationships/hyperlink" Target="https://twitter.com/RainerKresken/status/723433410681704448" TargetMode="External"/><Relationship Id="rId10201" Type="http://schemas.openxmlformats.org/officeDocument/2006/relationships/hyperlink" Target="https://twitter.com/boersenzeitung" TargetMode="External"/><Relationship Id="rId13771" Type="http://schemas.openxmlformats.org/officeDocument/2006/relationships/hyperlink" Target="https://twitter.com/BghBghxxl" TargetMode="External"/><Relationship Id="rId14822" Type="http://schemas.openxmlformats.org/officeDocument/2006/relationships/hyperlink" Target="https://twitter.com/kurtseinitz" TargetMode="External"/><Relationship Id="rId3830" Type="http://schemas.openxmlformats.org/officeDocument/2006/relationships/hyperlink" Target="https://twitter.com/stekauf" TargetMode="External"/><Relationship Id="rId9045" Type="http://schemas.openxmlformats.org/officeDocument/2006/relationships/hyperlink" Target="https://twitter.com/hugobassey" TargetMode="External"/><Relationship Id="rId12373" Type="http://schemas.openxmlformats.org/officeDocument/2006/relationships/hyperlink" Target="https://pbs.twimg.com/profile_images/661205328676155393/kBCgriiB_normal.jpg" TargetMode="External"/><Relationship Id="rId13424" Type="http://schemas.openxmlformats.org/officeDocument/2006/relationships/hyperlink" Target="https://pbs.twimg.com/profile_images/704361995181535233/IKpbXnyi_normal.jpg" TargetMode="External"/><Relationship Id="rId16994" Type="http://schemas.openxmlformats.org/officeDocument/2006/relationships/hyperlink" Target="https://twitter.com/RobertSteuckers/status/723761352909676544" TargetMode="External"/><Relationship Id="rId20640" Type="http://schemas.openxmlformats.org/officeDocument/2006/relationships/hyperlink" Target="https://pbs.twimg.com/profile_images/693260133237809152/JUVeKYdq_normal.jpg" TargetMode="External"/><Relationship Id="rId751" Type="http://schemas.openxmlformats.org/officeDocument/2006/relationships/hyperlink" Target="https://pbs.twimg.com/profile_images/717565742518894592/4GC2w_GN_normal.jpg" TargetMode="External"/><Relationship Id="rId1381" Type="http://schemas.openxmlformats.org/officeDocument/2006/relationships/hyperlink" Target="https://pbs.twimg.com/profile_images/608213167496417280/QSxgcLn__normal.png" TargetMode="External"/><Relationship Id="rId2432" Type="http://schemas.openxmlformats.org/officeDocument/2006/relationships/hyperlink" Target="http://dlvr.it/" TargetMode="External"/><Relationship Id="rId12026" Type="http://schemas.openxmlformats.org/officeDocument/2006/relationships/hyperlink" Target="https://twitter.com/kuehn_barbara/status/723512325744013314" TargetMode="External"/><Relationship Id="rId15596" Type="http://schemas.openxmlformats.org/officeDocument/2006/relationships/hyperlink" Target="https://twitter.com/HermanCookVW/status/723615596861001728" TargetMode="External"/><Relationship Id="rId16647" Type="http://schemas.openxmlformats.org/officeDocument/2006/relationships/hyperlink" Target="https://twitter.com/Braian_9107/status/723708279541653510" TargetMode="External"/><Relationship Id="rId23863" Type="http://schemas.openxmlformats.org/officeDocument/2006/relationships/hyperlink" Target="https://twitter.com/universenme/status/724316268543660032" TargetMode="External"/><Relationship Id="rId24914" Type="http://schemas.openxmlformats.org/officeDocument/2006/relationships/hyperlink" Target="https://pbs.twimg.com/profile_images/530071272881803264/a_jcCmPZ_normal.png" TargetMode="External"/><Relationship Id="rId404" Type="http://schemas.openxmlformats.org/officeDocument/2006/relationships/hyperlink" Target="https://twitter.com/PonziTracker" TargetMode="External"/><Relationship Id="rId1034" Type="http://schemas.openxmlformats.org/officeDocument/2006/relationships/hyperlink" Target="https://pbs.twimg.com/profile_images/665332613347831808/m6b_V4Xn_normal.jpg" TargetMode="External"/><Relationship Id="rId5655" Type="http://schemas.openxmlformats.org/officeDocument/2006/relationships/hyperlink" Target="https://twitter.com/jhoppper23/status/723211806102052864" TargetMode="External"/><Relationship Id="rId6706" Type="http://schemas.openxmlformats.org/officeDocument/2006/relationships/hyperlink" Target="http://dlvr.it/" TargetMode="External"/><Relationship Id="rId14198" Type="http://schemas.openxmlformats.org/officeDocument/2006/relationships/hyperlink" Target="https://twitter.com/mtorrescoria" TargetMode="External"/><Relationship Id="rId15249" Type="http://schemas.openxmlformats.org/officeDocument/2006/relationships/hyperlink" Target="https://twitter.com/Mazzariello85" TargetMode="External"/><Relationship Id="rId19120" Type="http://schemas.openxmlformats.org/officeDocument/2006/relationships/hyperlink" Target="https://twitter.com/Mayerllssernac/status/723920559050993668" TargetMode="External"/><Relationship Id="rId22465" Type="http://schemas.openxmlformats.org/officeDocument/2006/relationships/hyperlink" Target="https://pbs.twimg.com/profile_images/697363853978574848/XBdyYrTi_normal.jpg" TargetMode="External"/><Relationship Id="rId23516" Type="http://schemas.openxmlformats.org/officeDocument/2006/relationships/hyperlink" Target="https://pbs.twimg.com/profile_images/1147531135/Bus_Card_Logo_normal.jpg" TargetMode="External"/><Relationship Id="rId4257" Type="http://schemas.openxmlformats.org/officeDocument/2006/relationships/hyperlink" Target="https://twitter.com/JuergenBauer/status/723178409933688832" TargetMode="External"/><Relationship Id="rId5308" Type="http://schemas.openxmlformats.org/officeDocument/2006/relationships/hyperlink" Target="https://twitter.com/djuewhan/status/723199698828431360" TargetMode="External"/><Relationship Id="rId8878" Type="http://schemas.openxmlformats.org/officeDocument/2006/relationships/hyperlink" Target="https://pbs.twimg.com/profile_images/1616567344/VRwatch2_normal.jpg" TargetMode="External"/><Relationship Id="rId21067" Type="http://schemas.openxmlformats.org/officeDocument/2006/relationships/hyperlink" Target="https://twitter.com/thecoffeebus" TargetMode="External"/><Relationship Id="rId22118" Type="http://schemas.openxmlformats.org/officeDocument/2006/relationships/hyperlink" Target="https://twitter.com/RFN19" TargetMode="External"/><Relationship Id="rId25688" Type="http://schemas.openxmlformats.org/officeDocument/2006/relationships/hyperlink" Target="https://pbs.twimg.com/profile_images/461938832338731008/ilnQ_LK-_normal.jpeg" TargetMode="External"/><Relationship Id="rId9929" Type="http://schemas.openxmlformats.org/officeDocument/2006/relationships/hyperlink" Target="https://pbs.twimg.com/profile_images/720297524540620800/-O3K8tzt_normal.jpg" TargetMode="External"/><Relationship Id="rId11859" Type="http://schemas.openxmlformats.org/officeDocument/2006/relationships/hyperlink" Target="https://twitter.com/Karlomart/status/723508999476359168" TargetMode="External"/><Relationship Id="rId15730" Type="http://schemas.openxmlformats.org/officeDocument/2006/relationships/hyperlink" Target="https://twitter.com/Ferrari_Jadore/status/723622398902329344" TargetMode="External"/><Relationship Id="rId1918" Type="http://schemas.openxmlformats.org/officeDocument/2006/relationships/hyperlink" Target="https://pbs.twimg.com/profile_images/578163971032674304/5-_WwSf__normal.jpeg" TargetMode="External"/><Relationship Id="rId13281" Type="http://schemas.openxmlformats.org/officeDocument/2006/relationships/hyperlink" Target="https://twitter.com/instock_de/status/723542412535173121" TargetMode="External"/><Relationship Id="rId14332" Type="http://schemas.openxmlformats.org/officeDocument/2006/relationships/hyperlink" Target="https://pbs.twimg.com/profile_images/683168753639489536/ooTROAP5_normal.jpg" TargetMode="External"/><Relationship Id="rId18953" Type="http://schemas.openxmlformats.org/officeDocument/2006/relationships/hyperlink" Target="https://pbs.twimg.com/profile_images/624857513989701632/nGTBvzYR_normal.jpg" TargetMode="External"/><Relationship Id="rId261" Type="http://schemas.openxmlformats.org/officeDocument/2006/relationships/hyperlink" Target="https://pbs.twimg.com/profile_images/439107942877376514/dsUl4fwt_normal.jpeg" TargetMode="External"/><Relationship Id="rId3340" Type="http://schemas.openxmlformats.org/officeDocument/2006/relationships/hyperlink" Target="https://twitter.com/CamilaJuarezG" TargetMode="External"/><Relationship Id="rId7961" Type="http://schemas.openxmlformats.org/officeDocument/2006/relationships/hyperlink" Target="https://twitter.com/N8Sandrs/status/723345369396973568" TargetMode="External"/><Relationship Id="rId10942" Type="http://schemas.openxmlformats.org/officeDocument/2006/relationships/hyperlink" Target="https://twitter.com/vwpress_en/status/723491150707986432" TargetMode="External"/><Relationship Id="rId17555" Type="http://schemas.openxmlformats.org/officeDocument/2006/relationships/hyperlink" Target="https://pbs.twimg.com/profile_images/706833390725681152/IaXMLicB_normal.jpg" TargetMode="External"/><Relationship Id="rId18606" Type="http://schemas.openxmlformats.org/officeDocument/2006/relationships/hyperlink" Target="https://pbs.twimg.com/profile_images/599357023407464449/BL9Bpo6T_normal.jpg" TargetMode="External"/><Relationship Id="rId20150" Type="http://schemas.openxmlformats.org/officeDocument/2006/relationships/hyperlink" Target="https://pbs.twimg.com/profile_images/711584559029227522/5-2TZ7Ao_normal.jpg" TargetMode="External"/><Relationship Id="rId21201" Type="http://schemas.openxmlformats.org/officeDocument/2006/relationships/hyperlink" Target="https://pbs.twimg.com/profile_images/716138130122874880/nUx_DuOm_normal.jpg" TargetMode="External"/><Relationship Id="rId24771" Type="http://schemas.openxmlformats.org/officeDocument/2006/relationships/hyperlink" Target="https://twitter.com/synyalex" TargetMode="External"/><Relationship Id="rId6563" Type="http://schemas.openxmlformats.org/officeDocument/2006/relationships/hyperlink" Target="https://twitter.com/LuckyRogersXPRS" TargetMode="External"/><Relationship Id="rId7614" Type="http://schemas.openxmlformats.org/officeDocument/2006/relationships/hyperlink" Target="https://twitter.com/SexenioMX/status/723316901674242048" TargetMode="External"/><Relationship Id="rId16157" Type="http://schemas.openxmlformats.org/officeDocument/2006/relationships/hyperlink" Target="https://pbs.twimg.com/profile_images/719650097139621889/fFEwHSPd_normal.jpg" TargetMode="External"/><Relationship Id="rId17208" Type="http://schemas.openxmlformats.org/officeDocument/2006/relationships/hyperlink" Target="https://twitter.com/GreenCityeV/status/723780533621297152" TargetMode="External"/><Relationship Id="rId23373" Type="http://schemas.openxmlformats.org/officeDocument/2006/relationships/hyperlink" Target="https://twitter.com/VWBeetleSales/status/724284543922896897" TargetMode="External"/><Relationship Id="rId24424" Type="http://schemas.openxmlformats.org/officeDocument/2006/relationships/hyperlink" Target="https://twitter.com/oldcar_photo/status/724357033470902272" TargetMode="External"/><Relationship Id="rId5165" Type="http://schemas.openxmlformats.org/officeDocument/2006/relationships/hyperlink" Target="https://pbs.twimg.com/profile_images/684108288955445250/n4CHc8B8_normal.jpg" TargetMode="External"/><Relationship Id="rId6216" Type="http://schemas.openxmlformats.org/officeDocument/2006/relationships/hyperlink" Target="https://twitter.com/VWCamperSales/status/723235125421436928" TargetMode="External"/><Relationship Id="rId9786" Type="http://schemas.openxmlformats.org/officeDocument/2006/relationships/hyperlink" Target="https://pbs.twimg.com/profile_images/529617003351269377/KAwqofTC_normal.jpeg" TargetMode="External"/><Relationship Id="rId23026" Type="http://schemas.openxmlformats.org/officeDocument/2006/relationships/hyperlink" Target="https://pbs.twimg.com/profile_images/640215565626408960/x7QB9VjV_normal.jpg" TargetMode="External"/><Relationship Id="rId1775" Type="http://schemas.openxmlformats.org/officeDocument/2006/relationships/hyperlink" Target="https://pbs.twimg.com/profile_images/562563461171798017/AkHF4keI_normal.png" TargetMode="External"/><Relationship Id="rId2826" Type="http://schemas.openxmlformats.org/officeDocument/2006/relationships/hyperlink" Target="https://twitter.com/cmsGOMEX" TargetMode="External"/><Relationship Id="rId8388" Type="http://schemas.openxmlformats.org/officeDocument/2006/relationships/hyperlink" Target="https://pbs.twimg.com/profile_images/378800000854855954/0d555726054b01e3c9d6b5241432dc4a_normal.jpeg" TargetMode="External"/><Relationship Id="rId9439" Type="http://schemas.openxmlformats.org/officeDocument/2006/relationships/hyperlink" Target="http://dlvr.it/" TargetMode="External"/><Relationship Id="rId11369" Type="http://schemas.openxmlformats.org/officeDocument/2006/relationships/hyperlink" Target="https://twitter.com/J_Marksteiner/status/723501581988184064" TargetMode="External"/><Relationship Id="rId12767" Type="http://schemas.openxmlformats.org/officeDocument/2006/relationships/hyperlink" Target="http://ctrlq.org/maps/address/" TargetMode="External"/><Relationship Id="rId13818" Type="http://schemas.openxmlformats.org/officeDocument/2006/relationships/hyperlink" Target="https://twitter.com/ListersVWVans" TargetMode="External"/><Relationship Id="rId15240" Type="http://schemas.openxmlformats.org/officeDocument/2006/relationships/hyperlink" Target="https://twitter.com/teknikensvarld" TargetMode="External"/><Relationship Id="rId25198" Type="http://schemas.openxmlformats.org/officeDocument/2006/relationships/hyperlink" Target="https://pbs.twimg.com/profile_images/645778032838492167/ootRftiU_normal.jpg" TargetMode="External"/><Relationship Id="rId1428" Type="http://schemas.openxmlformats.org/officeDocument/2006/relationships/hyperlink" Target="https://twitter.com/AlexWitzleben/status/723040785285812224" TargetMode="External"/><Relationship Id="rId19861" Type="http://schemas.openxmlformats.org/officeDocument/2006/relationships/hyperlink" Target="https://twitter.com/j_a_n_30/status/723961633870102528" TargetMode="External"/><Relationship Id="rId4998" Type="http://schemas.openxmlformats.org/officeDocument/2006/relationships/hyperlink" Target="https://twitter.com/mrswaish/status/723191885095944192" TargetMode="External"/><Relationship Id="rId9920" Type="http://schemas.openxmlformats.org/officeDocument/2006/relationships/hyperlink" Target="https://pbs.twimg.com/profile_images/602942207088136192/fJKoWBlU_normal.jpg" TargetMode="External"/><Relationship Id="rId11850" Type="http://schemas.openxmlformats.org/officeDocument/2006/relationships/hyperlink" Target="https://pbs.twimg.com/profile_images/502775891609808896/XwLYz7gX_normal.jpeg" TargetMode="External"/><Relationship Id="rId12901" Type="http://schemas.openxmlformats.org/officeDocument/2006/relationships/hyperlink" Target="http://dlvr.it/" TargetMode="External"/><Relationship Id="rId18463" Type="http://schemas.openxmlformats.org/officeDocument/2006/relationships/hyperlink" Target="https://pbs.twimg.com/profile_images/1719719523/SN_370_normal.jpg" TargetMode="External"/><Relationship Id="rId19514" Type="http://schemas.openxmlformats.org/officeDocument/2006/relationships/hyperlink" Target="https://twitter.com/Lindsay_VW/status/723938299576987648" TargetMode="External"/><Relationship Id="rId22859" Type="http://schemas.openxmlformats.org/officeDocument/2006/relationships/hyperlink" Target="https://twitter.com/VolkswagenPost" TargetMode="External"/><Relationship Id="rId6073" Type="http://schemas.openxmlformats.org/officeDocument/2006/relationships/hyperlink" Target="https://twitter.com/Mphilpot1" TargetMode="External"/><Relationship Id="rId7124" Type="http://schemas.openxmlformats.org/officeDocument/2006/relationships/hyperlink" Target="https://pbs.twimg.com/profile_images/600512237535637504/UjVoSZSR_normal.jpg" TargetMode="External"/><Relationship Id="rId7471" Type="http://schemas.openxmlformats.org/officeDocument/2006/relationships/hyperlink" Target="https://pbs.twimg.com/profile_images/575844267014279168/9Gr2Zh0N_normal.jpeg" TargetMode="External"/><Relationship Id="rId8522" Type="http://schemas.openxmlformats.org/officeDocument/2006/relationships/hyperlink" Target="https://twitter.com/railscanner/status/723393065499525122" TargetMode="External"/><Relationship Id="rId10452" Type="http://schemas.openxmlformats.org/officeDocument/2006/relationships/hyperlink" Target="https://pbs.twimg.com/profile_images/657853466384191488/J6vAnfZr_normal.jpg" TargetMode="External"/><Relationship Id="rId11503" Type="http://schemas.openxmlformats.org/officeDocument/2006/relationships/hyperlink" Target="https://twitter.com/RoamingTimes" TargetMode="External"/><Relationship Id="rId17065" Type="http://schemas.openxmlformats.org/officeDocument/2006/relationships/hyperlink" Target="https://twitter.com/UKordeck" TargetMode="External"/><Relationship Id="rId18116" Type="http://schemas.openxmlformats.org/officeDocument/2006/relationships/hyperlink" Target="https://pbs.twimg.com/profile_images/705780107844067328/e7O4UBNb_normal.jpg" TargetMode="External"/><Relationship Id="rId24281" Type="http://schemas.openxmlformats.org/officeDocument/2006/relationships/hyperlink" Target="https://pbs.twimg.com/profile_images/535173250201165824/tSEsAL8Z_normal.jpeg" TargetMode="External"/><Relationship Id="rId25332" Type="http://schemas.openxmlformats.org/officeDocument/2006/relationships/hyperlink" Target="https://twitter.com/DeeZeeX/status/724431505808707588" TargetMode="External"/><Relationship Id="rId10105" Type="http://schemas.openxmlformats.org/officeDocument/2006/relationships/hyperlink" Target="https://pbs.twimg.com/profile_images/704420155196116992/QCcpm5r8_normal.jpg" TargetMode="External"/><Relationship Id="rId13675" Type="http://schemas.openxmlformats.org/officeDocument/2006/relationships/hyperlink" Target="https://pbs.twimg.com/profile_images/703294545195307008/qeCvrX86_normal.jpg" TargetMode="External"/><Relationship Id="rId14726" Type="http://schemas.openxmlformats.org/officeDocument/2006/relationships/hyperlink" Target="https://twitter.com/birminghamVWCV/status/723580887703543808" TargetMode="External"/><Relationship Id="rId20891" Type="http://schemas.openxmlformats.org/officeDocument/2006/relationships/hyperlink" Target="https://twitter.com/rgtzmercadillo/status/724058022947909632" TargetMode="External"/><Relationship Id="rId21942" Type="http://schemas.openxmlformats.org/officeDocument/2006/relationships/hyperlink" Target="https://twitter.com/caffeine_ebook/status/724190601617526785" TargetMode="External"/><Relationship Id="rId2683" Type="http://schemas.openxmlformats.org/officeDocument/2006/relationships/hyperlink" Target="https://twitter.com/franka_kuehn/status/723112962299334656" TargetMode="External"/><Relationship Id="rId3734" Type="http://schemas.openxmlformats.org/officeDocument/2006/relationships/hyperlink" Target="https://twitter.com/ARDText" TargetMode="External"/><Relationship Id="rId9296" Type="http://schemas.openxmlformats.org/officeDocument/2006/relationships/hyperlink" Target="https://abs.twimg.com/sticky/default_profile_images/default_profile_6_normal.png" TargetMode="External"/><Relationship Id="rId12277" Type="http://schemas.openxmlformats.org/officeDocument/2006/relationships/hyperlink" Target="https://twitter.com/Banane0711" TargetMode="External"/><Relationship Id="rId13328" Type="http://schemas.openxmlformats.org/officeDocument/2006/relationships/hyperlink" Target="https://twitter.com/OpenMarketingTV" TargetMode="External"/><Relationship Id="rId20544" Type="http://schemas.openxmlformats.org/officeDocument/2006/relationships/hyperlink" Target="https://twitter.com/larittaD/status/724007894878818304" TargetMode="External"/><Relationship Id="rId655" Type="http://schemas.openxmlformats.org/officeDocument/2006/relationships/hyperlink" Target="https://twitter.com/TheoChrls/status/722967795374383104" TargetMode="External"/><Relationship Id="rId1285" Type="http://schemas.openxmlformats.org/officeDocument/2006/relationships/hyperlink" Target="https://twitter.com/MERIAUXL" TargetMode="External"/><Relationship Id="rId2336" Type="http://schemas.openxmlformats.org/officeDocument/2006/relationships/hyperlink" Target="https://pbs.twimg.com/profile_images/1833245422/twitter_yo_normal.jpg" TargetMode="External"/><Relationship Id="rId6957" Type="http://schemas.openxmlformats.org/officeDocument/2006/relationships/hyperlink" Target="https://twitter.com/IngoSauer/status/723271440196313092" TargetMode="External"/><Relationship Id="rId16898" Type="http://schemas.openxmlformats.org/officeDocument/2006/relationships/hyperlink" Target="https://twitter.com/AJBCE/status/723746646086025216" TargetMode="External"/><Relationship Id="rId17949" Type="http://schemas.openxmlformats.org/officeDocument/2006/relationships/hyperlink" Target="https://twitter.com/VWCamperSales" TargetMode="External"/><Relationship Id="rId19371" Type="http://schemas.openxmlformats.org/officeDocument/2006/relationships/hyperlink" Target="https://twitter.com/Beonpush_CH/status/723928066033094656" TargetMode="External"/><Relationship Id="rId308" Type="http://schemas.openxmlformats.org/officeDocument/2006/relationships/hyperlink" Target="https://twitter.com/OnlineCarReview/status/722945622328737792" TargetMode="External"/><Relationship Id="rId5559" Type="http://schemas.openxmlformats.org/officeDocument/2006/relationships/hyperlink" Target="https://pbs.twimg.com/profile_images/598819027033661440/3xMM90ca_normal.jpg" TargetMode="External"/><Relationship Id="rId9430" Type="http://schemas.openxmlformats.org/officeDocument/2006/relationships/hyperlink" Target="https://pbs.twimg.com/profile_images/682116805423435776/QR92Hz72_normal.jpg" TargetMode="External"/><Relationship Id="rId19024" Type="http://schemas.openxmlformats.org/officeDocument/2006/relationships/hyperlink" Target="https://twitter.com/Jaygrimbo" TargetMode="External"/><Relationship Id="rId22369" Type="http://schemas.openxmlformats.org/officeDocument/2006/relationships/hyperlink" Target="https://twitter.com/BruckPelon/status/724219880006782976" TargetMode="External"/><Relationship Id="rId23767" Type="http://schemas.openxmlformats.org/officeDocument/2006/relationships/hyperlink" Target="https://pbs.twimg.com/profile_images/715332329019994114/CunHJsKm_normal.jpg" TargetMode="External"/><Relationship Id="rId24818" Type="http://schemas.openxmlformats.org/officeDocument/2006/relationships/hyperlink" Target="https://twitter.com/LifeBlab/status/724389656301854720" TargetMode="External"/><Relationship Id="rId8032" Type="http://schemas.openxmlformats.org/officeDocument/2006/relationships/hyperlink" Target="https://twitter.com/beetlebug1938" TargetMode="External"/><Relationship Id="rId11360" Type="http://schemas.openxmlformats.org/officeDocument/2006/relationships/hyperlink" Target="https://twitter.com/mendezgaa/status/723501466154074112" TargetMode="External"/><Relationship Id="rId12411" Type="http://schemas.openxmlformats.org/officeDocument/2006/relationships/hyperlink" Target="https://pbs.twimg.com/profile_images/378800000730199993/4cc42b7be5291c568b05b651a903d3d3_normal.jpeg" TargetMode="External"/><Relationship Id="rId15981" Type="http://schemas.openxmlformats.org/officeDocument/2006/relationships/hyperlink" Target="http://dlvr.it/" TargetMode="External"/><Relationship Id="rId11013" Type="http://schemas.openxmlformats.org/officeDocument/2006/relationships/hyperlink" Target="https://pbs.twimg.com/profile_images/510566795435311104/qsgDiZKO_normal.jpeg" TargetMode="External"/><Relationship Id="rId14583" Type="http://schemas.openxmlformats.org/officeDocument/2006/relationships/hyperlink" Target="https://twitter.com/Topspeedgr/status/723575892350357504" TargetMode="External"/><Relationship Id="rId15634" Type="http://schemas.openxmlformats.org/officeDocument/2006/relationships/hyperlink" Target="https://twitter.com/TrinosophieBlog" TargetMode="External"/><Relationship Id="rId22850" Type="http://schemas.openxmlformats.org/officeDocument/2006/relationships/hyperlink" Target="https://twitter.com/benzeetme/status/724252056761077762" TargetMode="External"/><Relationship Id="rId23901" Type="http://schemas.openxmlformats.org/officeDocument/2006/relationships/hyperlink" Target="https://twitter.com/thesecretcaddie/status/724320324892893187" TargetMode="External"/><Relationship Id="rId3591" Type="http://schemas.openxmlformats.org/officeDocument/2006/relationships/hyperlink" Target="https://twitter.com/franz_rother" TargetMode="External"/><Relationship Id="rId4642" Type="http://schemas.openxmlformats.org/officeDocument/2006/relationships/hyperlink" Target="https://twitter.com/Catinformacio" TargetMode="External"/><Relationship Id="rId13185" Type="http://schemas.openxmlformats.org/officeDocument/2006/relationships/hyperlink" Target="https://twitter.com/HansTheGerman" TargetMode="External"/><Relationship Id="rId14236" Type="http://schemas.openxmlformats.org/officeDocument/2006/relationships/hyperlink" Target="https://twitter.com/FierroosAlPiso" TargetMode="External"/><Relationship Id="rId18857" Type="http://schemas.openxmlformats.org/officeDocument/2006/relationships/hyperlink" Target="https://twitter.com/Hoots_mon/status/723901518064300035" TargetMode="External"/><Relationship Id="rId19908" Type="http://schemas.openxmlformats.org/officeDocument/2006/relationships/hyperlink" Target="https://pbs.twimg.com/profile_images/723604054102798337/7hKrk6TJ_normal.jpg" TargetMode="External"/><Relationship Id="rId21452" Type="http://schemas.openxmlformats.org/officeDocument/2006/relationships/hyperlink" Target="https://twitter.com/Dignity70" TargetMode="External"/><Relationship Id="rId22503" Type="http://schemas.openxmlformats.org/officeDocument/2006/relationships/hyperlink" Target="https://twitter.com/vintagevwdita/status/724226837300256768" TargetMode="External"/><Relationship Id="rId2193" Type="http://schemas.openxmlformats.org/officeDocument/2006/relationships/hyperlink" Target="https://pbs.twimg.com/profile_images/681121215470252033/KvFLFijn_normal.jpg" TargetMode="External"/><Relationship Id="rId3244" Type="http://schemas.openxmlformats.org/officeDocument/2006/relationships/hyperlink" Target="https://pbs.twimg.com/profile_images/686739283462365184/x_Wz7nZw_normal.jpg" TargetMode="External"/><Relationship Id="rId7865" Type="http://schemas.openxmlformats.org/officeDocument/2006/relationships/hyperlink" Target="https://twitter.com/BADtesting/status/723335770631733248" TargetMode="External"/><Relationship Id="rId8916" Type="http://schemas.openxmlformats.org/officeDocument/2006/relationships/hyperlink" Target="https://twitter.com/starfishstuff/status/723411206363439104" TargetMode="External"/><Relationship Id="rId17459" Type="http://schemas.openxmlformats.org/officeDocument/2006/relationships/hyperlink" Target="https://twitter.com/Donnerbeutel/status/723799912413061120" TargetMode="External"/><Relationship Id="rId20054" Type="http://schemas.openxmlformats.org/officeDocument/2006/relationships/hyperlink" Target="https://twitter.com/Insta_VWT/status/723971909147340801" TargetMode="External"/><Relationship Id="rId21105" Type="http://schemas.openxmlformats.org/officeDocument/2006/relationships/hyperlink" Target="https://twitter.com/beetlebug1938/status/724102990899077120" TargetMode="External"/><Relationship Id="rId24675" Type="http://schemas.openxmlformats.org/officeDocument/2006/relationships/hyperlink" Target="https://pbs.twimg.com/profile_images/704832644085899264/obiqL4bk_normal.jpg" TargetMode="External"/><Relationship Id="rId25726" Type="http://schemas.openxmlformats.org/officeDocument/2006/relationships/hyperlink" Target="https://twitter.com/andrew_amanya/status/724467979455442944" TargetMode="External"/><Relationship Id="rId165" Type="http://schemas.openxmlformats.org/officeDocument/2006/relationships/hyperlink" Target="https://twitter.com/VCT_Tweets" TargetMode="External"/><Relationship Id="rId6467" Type="http://schemas.openxmlformats.org/officeDocument/2006/relationships/hyperlink" Target="https://twitter.com/TunedByKings" TargetMode="External"/><Relationship Id="rId7518" Type="http://schemas.openxmlformats.org/officeDocument/2006/relationships/hyperlink" Target="https://twitter.com/sfErrlyGamerhM" TargetMode="External"/><Relationship Id="rId10846" Type="http://schemas.openxmlformats.org/officeDocument/2006/relationships/hyperlink" Target="https://twitter.com/mobile_gis/status/723487554650124288" TargetMode="External"/><Relationship Id="rId23277" Type="http://schemas.openxmlformats.org/officeDocument/2006/relationships/hyperlink" Target="https://twitter.com/VWCamperSales" TargetMode="External"/><Relationship Id="rId24328" Type="http://schemas.openxmlformats.org/officeDocument/2006/relationships/hyperlink" Target="https://pbs.twimg.com/profile_images/703294545195307008/qeCvrX86_normal.jpg" TargetMode="External"/><Relationship Id="rId5069" Type="http://schemas.openxmlformats.org/officeDocument/2006/relationships/hyperlink" Target="https://pbs.twimg.com/profile_images/536851001144143874/ZkA1n-PI_normal.png" TargetMode="External"/><Relationship Id="rId17940" Type="http://schemas.openxmlformats.org/officeDocument/2006/relationships/hyperlink" Target="https://twitter.com/unlmtdsmarttech" TargetMode="External"/><Relationship Id="rId1679" Type="http://schemas.openxmlformats.org/officeDocument/2006/relationships/hyperlink" Target="https://twitter.com/eshellshear" TargetMode="External"/><Relationship Id="rId14093" Type="http://schemas.openxmlformats.org/officeDocument/2006/relationships/hyperlink" Target="https://pbs.twimg.com/profile_images/640893185158352896/TMGmsF0r_normal.png" TargetMode="External"/><Relationship Id="rId15491" Type="http://schemas.openxmlformats.org/officeDocument/2006/relationships/hyperlink" Target="https://pbs.twimg.com/profile_images/683416522824519681/EfO40W2P_normal.jpg" TargetMode="External"/><Relationship Id="rId16542" Type="http://schemas.openxmlformats.org/officeDocument/2006/relationships/hyperlink" Target="https://pbs.twimg.com/profile_images/481916630344024064/CQetvK97_normal.jpeg" TargetMode="External"/><Relationship Id="rId20938" Type="http://schemas.openxmlformats.org/officeDocument/2006/relationships/hyperlink" Target="https://twitter.com/VWBeetleSales" TargetMode="External"/><Relationship Id="rId4152" Type="http://schemas.openxmlformats.org/officeDocument/2006/relationships/hyperlink" Target="http://dlvr.it/" TargetMode="External"/><Relationship Id="rId5203" Type="http://schemas.openxmlformats.org/officeDocument/2006/relationships/hyperlink" Target="https://twitter.com/Histrius/status/723197462123548672" TargetMode="External"/><Relationship Id="rId5550" Type="http://schemas.openxmlformats.org/officeDocument/2006/relationships/hyperlink" Target="https://pbs.twimg.com/profile_images/472019970604285952/Ry1ip6Gn_normal.png" TargetMode="External"/><Relationship Id="rId6601" Type="http://schemas.openxmlformats.org/officeDocument/2006/relationships/hyperlink" Target="https://twitter.com/buran63/status/723247712586571777" TargetMode="External"/><Relationship Id="rId15144" Type="http://schemas.openxmlformats.org/officeDocument/2006/relationships/hyperlink" Target="https://twitter.com/Mphilpot1/status/723595793253330944" TargetMode="External"/><Relationship Id="rId19765" Type="http://schemas.openxmlformats.org/officeDocument/2006/relationships/hyperlink" Target="https://twitter.com/Insta_VWT" TargetMode="External"/><Relationship Id="rId22360" Type="http://schemas.openxmlformats.org/officeDocument/2006/relationships/hyperlink" Target="https://pbs.twimg.com/profile_images/722178941201461248/8ZiuimyH_normal.jpg" TargetMode="External"/><Relationship Id="rId23411" Type="http://schemas.openxmlformats.org/officeDocument/2006/relationships/hyperlink" Target="https://pbs.twimg.com/profile_images/630822635031494660/c2UrU8oi_normal.jpg" TargetMode="External"/><Relationship Id="rId8773" Type="http://schemas.openxmlformats.org/officeDocument/2006/relationships/hyperlink" Target="https://pbs.twimg.com/profile_images/628307411879727104/JXWypqw9_normal.jpg" TargetMode="External"/><Relationship Id="rId9824" Type="http://schemas.openxmlformats.org/officeDocument/2006/relationships/hyperlink" Target="https://pbs.twimg.com/profile_images/511748869990776832/hVFIeeo8_normal.jpeg" TargetMode="External"/><Relationship Id="rId11754" Type="http://schemas.openxmlformats.org/officeDocument/2006/relationships/hyperlink" Target="https://twitter.com/aktionaer/status/723506981064052736" TargetMode="External"/><Relationship Id="rId12805" Type="http://schemas.openxmlformats.org/officeDocument/2006/relationships/hyperlink" Target="https://twitter.com/beetlebug1938" TargetMode="External"/><Relationship Id="rId18367" Type="http://schemas.openxmlformats.org/officeDocument/2006/relationships/hyperlink" Target="https://pbs.twimg.com/profile_images/663825445796913152/rdSB6lkl_normal.jpg" TargetMode="External"/><Relationship Id="rId19418" Type="http://schemas.openxmlformats.org/officeDocument/2006/relationships/hyperlink" Target="https://twitter.com/SerraTVC/status/723930783572983808" TargetMode="External"/><Relationship Id="rId22013" Type="http://schemas.openxmlformats.org/officeDocument/2006/relationships/hyperlink" Target="https://twitter.com/dubbusses" TargetMode="External"/><Relationship Id="rId25583" Type="http://schemas.openxmlformats.org/officeDocument/2006/relationships/hyperlink" Target="https://twitter.com/GabyMollaret" TargetMode="External"/><Relationship Id="rId38" Type="http://schemas.openxmlformats.org/officeDocument/2006/relationships/hyperlink" Target="https://twitter.com/beetlebug1938/status/722920669781082112" TargetMode="External"/><Relationship Id="rId1813" Type="http://schemas.openxmlformats.org/officeDocument/2006/relationships/hyperlink" Target="https://twitter.com/Marina_Ilona" TargetMode="External"/><Relationship Id="rId7375" Type="http://schemas.openxmlformats.org/officeDocument/2006/relationships/hyperlink" Target="https://pbs.twimg.com/profile_images/667101948429123584/pzpPHONX_normal.jpg" TargetMode="External"/><Relationship Id="rId8426" Type="http://schemas.openxmlformats.org/officeDocument/2006/relationships/hyperlink" Target="https://twitter.com/ErwLo/status/723387706064039936" TargetMode="External"/><Relationship Id="rId10356" Type="http://schemas.openxmlformats.org/officeDocument/2006/relationships/hyperlink" Target="https://twitter.com/thevolksmusik" TargetMode="External"/><Relationship Id="rId11407" Type="http://schemas.openxmlformats.org/officeDocument/2006/relationships/hyperlink" Target="https://twitter.com/RippedFlower" TargetMode="External"/><Relationship Id="rId24185" Type="http://schemas.openxmlformats.org/officeDocument/2006/relationships/hyperlink" Target="https://pbs.twimg.com/profile_images/718835727027580928/1ssyQ67y_normal.jpg" TargetMode="External"/><Relationship Id="rId25236" Type="http://schemas.openxmlformats.org/officeDocument/2006/relationships/hyperlink" Target="https://pbs.twimg.com/profile_images/705814859577843712/lBAyAr3I_normal.jpg" TargetMode="External"/><Relationship Id="rId3985" Type="http://schemas.openxmlformats.org/officeDocument/2006/relationships/hyperlink" Target="https://twitter.com/danielschwenger" TargetMode="External"/><Relationship Id="rId7028" Type="http://schemas.openxmlformats.org/officeDocument/2006/relationships/hyperlink" Target="https://twitter.com/VeeDubMk1_/status/723275046496657408" TargetMode="External"/><Relationship Id="rId10009" Type="http://schemas.openxmlformats.org/officeDocument/2006/relationships/hyperlink" Target="https://twitter.com/zdmak" TargetMode="External"/><Relationship Id="rId13579" Type="http://schemas.openxmlformats.org/officeDocument/2006/relationships/hyperlink" Target="https://twitter.com/JungbluthMarion/status/723550800023314432" TargetMode="External"/><Relationship Id="rId14977" Type="http://schemas.openxmlformats.org/officeDocument/2006/relationships/hyperlink" Target="http://dlvr.it/" TargetMode="External"/><Relationship Id="rId17450" Type="http://schemas.openxmlformats.org/officeDocument/2006/relationships/hyperlink" Target="https://twitter.com/Brainvibes/status/723799554936717312" TargetMode="External"/><Relationship Id="rId20795" Type="http://schemas.openxmlformats.org/officeDocument/2006/relationships/hyperlink" Target="https://pbs.twimg.com/profile_images/606695011955163136/kB3W0z1x_normal.jpg" TargetMode="External"/><Relationship Id="rId2587" Type="http://schemas.openxmlformats.org/officeDocument/2006/relationships/hyperlink" Target="https://pbs.twimg.com/profile_images/617979796744568832/YHw6Izem_normal.jpg" TargetMode="External"/><Relationship Id="rId3638" Type="http://schemas.openxmlformats.org/officeDocument/2006/relationships/hyperlink" Target="https://twitter.com/oliwkagrochal" TargetMode="External"/><Relationship Id="rId16052" Type="http://schemas.openxmlformats.org/officeDocument/2006/relationships/hyperlink" Target="https://twitter.com/acdcabba" TargetMode="External"/><Relationship Id="rId17103" Type="http://schemas.openxmlformats.org/officeDocument/2006/relationships/hyperlink" Target="https://twitter.com/stachelvieh/status/723769842734665728" TargetMode="External"/><Relationship Id="rId18501" Type="http://schemas.openxmlformats.org/officeDocument/2006/relationships/hyperlink" Target="https://twitter.com/acvwpassion" TargetMode="External"/><Relationship Id="rId20448" Type="http://schemas.openxmlformats.org/officeDocument/2006/relationships/hyperlink" Target="https://pbs.twimg.com/profile_images/629823420801400832/oTfYgW6F_normal.jpg" TargetMode="External"/><Relationship Id="rId21846" Type="http://schemas.openxmlformats.org/officeDocument/2006/relationships/hyperlink" Target="https://twitter.com/VWCamperSales" TargetMode="External"/><Relationship Id="rId559" Type="http://schemas.openxmlformats.org/officeDocument/2006/relationships/hyperlink" Target="https://twitter.com/roscoiantuono/status/722964597859340288" TargetMode="External"/><Relationship Id="rId1189" Type="http://schemas.openxmlformats.org/officeDocument/2006/relationships/hyperlink" Target="https://pbs.twimg.com/profile_images/571414874254909441/B3cvD1Av_normal.jpeg" TargetMode="External"/><Relationship Id="rId5060" Type="http://schemas.openxmlformats.org/officeDocument/2006/relationships/hyperlink" Target="https://pbs.twimg.com/profile_images/541577633860182016/g87TjN_W_normal.jpeg" TargetMode="External"/><Relationship Id="rId6111" Type="http://schemas.openxmlformats.org/officeDocument/2006/relationships/hyperlink" Target="https://twitter.com/bgewehr" TargetMode="External"/><Relationship Id="rId9681" Type="http://schemas.openxmlformats.org/officeDocument/2006/relationships/hyperlink" Target="https://pbs.twimg.com/profile_images/530071272881803264/a_jcCmPZ_normal.png" TargetMode="External"/><Relationship Id="rId8283" Type="http://schemas.openxmlformats.org/officeDocument/2006/relationships/hyperlink" Target="https://twitter.com/ivankoznar" TargetMode="External"/><Relationship Id="rId9334" Type="http://schemas.openxmlformats.org/officeDocument/2006/relationships/hyperlink" Target="https://twitter.com/LouisTyson/status/723430768119144449" TargetMode="External"/><Relationship Id="rId12662" Type="http://schemas.openxmlformats.org/officeDocument/2006/relationships/hyperlink" Target="https://twitter.com/dewunmigabriel" TargetMode="External"/><Relationship Id="rId13713" Type="http://schemas.openxmlformats.org/officeDocument/2006/relationships/hyperlink" Target="https://pbs.twimg.com/profile_images/710841392726147072/qbniEB4w_normal.jpg" TargetMode="External"/><Relationship Id="rId19275" Type="http://schemas.openxmlformats.org/officeDocument/2006/relationships/hyperlink" Target="https://pbs.twimg.com/profile_images/534251848681537536/QZ941BSB_normal.jpeg" TargetMode="External"/><Relationship Id="rId25093" Type="http://schemas.openxmlformats.org/officeDocument/2006/relationships/hyperlink" Target="http://www.facebook.com/GrupoAlden" TargetMode="External"/><Relationship Id="rId1670" Type="http://schemas.openxmlformats.org/officeDocument/2006/relationships/hyperlink" Target="https://twitter.com/zeitonline_wir" TargetMode="External"/><Relationship Id="rId2721" Type="http://schemas.openxmlformats.org/officeDocument/2006/relationships/hyperlink" Target="https://twitter.com/ReynaldoRodz/status/723114980829204480" TargetMode="External"/><Relationship Id="rId11264" Type="http://schemas.openxmlformats.org/officeDocument/2006/relationships/hyperlink" Target="https://twitter.com/Banane0711" TargetMode="External"/><Relationship Id="rId12315" Type="http://schemas.openxmlformats.org/officeDocument/2006/relationships/hyperlink" Target="https://twitter.com/TeeKayWorld/status/723517034039021568" TargetMode="External"/><Relationship Id="rId15885" Type="http://schemas.openxmlformats.org/officeDocument/2006/relationships/hyperlink" Target="https://pbs.twimg.com/profile_images/714907870920318978/chBqOm_7_normal.jpg" TargetMode="External"/><Relationship Id="rId16936" Type="http://schemas.openxmlformats.org/officeDocument/2006/relationships/hyperlink" Target="https://twitter.com/Vantigosf" TargetMode="External"/><Relationship Id="rId1323" Type="http://schemas.openxmlformats.org/officeDocument/2006/relationships/hyperlink" Target="https://twitter.com/aktionaer/status/723035470863589376" TargetMode="External"/><Relationship Id="rId4893" Type="http://schemas.openxmlformats.org/officeDocument/2006/relationships/hyperlink" Target="https://twitter.com/PeterConstant" TargetMode="External"/><Relationship Id="rId5944" Type="http://schemas.openxmlformats.org/officeDocument/2006/relationships/hyperlink" Target="https://twitter.com/VolkswagenPost" TargetMode="External"/><Relationship Id="rId14487" Type="http://schemas.openxmlformats.org/officeDocument/2006/relationships/hyperlink" Target="https://twitter.com/FuscaWorld" TargetMode="External"/><Relationship Id="rId15538" Type="http://schemas.openxmlformats.org/officeDocument/2006/relationships/hyperlink" Target="https://twitter.com/Marktzyniker" TargetMode="External"/><Relationship Id="rId22754" Type="http://schemas.openxmlformats.org/officeDocument/2006/relationships/hyperlink" Target="https://twitter.com/AlexWitzleben/status/724244863240286208" TargetMode="External"/><Relationship Id="rId23805" Type="http://schemas.openxmlformats.org/officeDocument/2006/relationships/hyperlink" Target="https://twitter.com/VWBeetleSales/status/724313231242616832" TargetMode="External"/><Relationship Id="rId3495" Type="http://schemas.openxmlformats.org/officeDocument/2006/relationships/hyperlink" Target="https://twitter.com/FannyFacsar" TargetMode="External"/><Relationship Id="rId4546" Type="http://schemas.openxmlformats.org/officeDocument/2006/relationships/hyperlink" Target="https://twitter.com/Stressless_Teen/status/723182232085643265" TargetMode="External"/><Relationship Id="rId13089" Type="http://schemas.openxmlformats.org/officeDocument/2006/relationships/hyperlink" Target="https://twitter.com/swaroopkaimal/status/723535335850807296" TargetMode="External"/><Relationship Id="rId18011" Type="http://schemas.openxmlformats.org/officeDocument/2006/relationships/hyperlink" Target="https://twitter.com/vonuntendrunter/status/723841621884866560" TargetMode="External"/><Relationship Id="rId21356" Type="http://schemas.openxmlformats.org/officeDocument/2006/relationships/hyperlink" Target="https://twitter.com/DubLuvTuning" TargetMode="External"/><Relationship Id="rId22407" Type="http://schemas.openxmlformats.org/officeDocument/2006/relationships/hyperlink" Target="https://pbs.twimg.com/profile_images/619590752906149888/gOJBR12k_normal.jpg" TargetMode="External"/><Relationship Id="rId2097" Type="http://schemas.openxmlformats.org/officeDocument/2006/relationships/hyperlink" Target="https://pbs.twimg.com/profile_images/679552623641509888/_vPw9IS2_normal.png" TargetMode="External"/><Relationship Id="rId3148" Type="http://schemas.openxmlformats.org/officeDocument/2006/relationships/hyperlink" Target="https://pbs.twimg.com/profile_images/615493650785660928/XHUh6HOk_normal.jpg" TargetMode="External"/><Relationship Id="rId7769" Type="http://schemas.openxmlformats.org/officeDocument/2006/relationships/hyperlink" Target="https://pbs.twimg.com/profile_images/713947173835116545/FloZvSXK_normal.jpg" TargetMode="External"/><Relationship Id="rId10000" Type="http://schemas.openxmlformats.org/officeDocument/2006/relationships/hyperlink" Target="https://twitter.com/VCT_Tweets" TargetMode="External"/><Relationship Id="rId21009" Type="http://schemas.openxmlformats.org/officeDocument/2006/relationships/hyperlink" Target="https://pbs.twimg.com/profile_images/569169141001498624/RzUbfsWR_normal.jpeg" TargetMode="External"/><Relationship Id="rId24579" Type="http://schemas.openxmlformats.org/officeDocument/2006/relationships/hyperlink" Target="https://twitter.com/Braulio_Urresti" TargetMode="External"/><Relationship Id="rId9191" Type="http://schemas.openxmlformats.org/officeDocument/2006/relationships/hyperlink" Target="https://pbs.twimg.com/profile_images/424893967197433858/iQ86NktX_normal.jpeg" TargetMode="External"/><Relationship Id="rId12172" Type="http://schemas.openxmlformats.org/officeDocument/2006/relationships/hyperlink" Target="https://twitter.com/Lebeaucarnews" TargetMode="External"/><Relationship Id="rId13570" Type="http://schemas.openxmlformats.org/officeDocument/2006/relationships/hyperlink" Target="https://twitter.com/trevorbolton15/status/723550732608253952" TargetMode="External"/><Relationship Id="rId14621" Type="http://schemas.openxmlformats.org/officeDocument/2006/relationships/hyperlink" Target="https://pbs.twimg.com/profile_images/668091779313500160/ZepxnJcI_normal.jpg" TargetMode="External"/><Relationship Id="rId550" Type="http://schemas.openxmlformats.org/officeDocument/2006/relationships/hyperlink" Target="https://twitter.com/7clemsonfan/status/722964528137383936" TargetMode="External"/><Relationship Id="rId1180" Type="http://schemas.openxmlformats.org/officeDocument/2006/relationships/hyperlink" Target="https://twitter.com/media_release" TargetMode="External"/><Relationship Id="rId2231" Type="http://schemas.openxmlformats.org/officeDocument/2006/relationships/hyperlink" Target="https://twitter.com/instock_de" TargetMode="External"/><Relationship Id="rId13223" Type="http://schemas.openxmlformats.org/officeDocument/2006/relationships/hyperlink" Target="https://pbs.twimg.com/profile_images/534482302332858368/gCK4G7au_normal.jpeg" TargetMode="External"/><Relationship Id="rId16793" Type="http://schemas.openxmlformats.org/officeDocument/2006/relationships/hyperlink" Target="https://pbs.twimg.com/profile_images/674995378828152832/MlepJsK4_normal.jpg" TargetMode="External"/><Relationship Id="rId17844" Type="http://schemas.openxmlformats.org/officeDocument/2006/relationships/hyperlink" Target="https://pbs.twimg.com/profile_images/627949001179037696/skEBkS05_normal.jpg" TargetMode="External"/><Relationship Id="rId203" Type="http://schemas.openxmlformats.org/officeDocument/2006/relationships/hyperlink" Target="https://twitter.com/MilapNPatel/status/722937055190261760" TargetMode="External"/><Relationship Id="rId6852" Type="http://schemas.openxmlformats.org/officeDocument/2006/relationships/hyperlink" Target="https://twitter.com/Gretchenfc1/status/723264919722827778" TargetMode="External"/><Relationship Id="rId7903" Type="http://schemas.openxmlformats.org/officeDocument/2006/relationships/hyperlink" Target="https://pbs.twimg.com/profile_images/530071272881803264/a_jcCmPZ_normal.png" TargetMode="External"/><Relationship Id="rId15395" Type="http://schemas.openxmlformats.org/officeDocument/2006/relationships/hyperlink" Target="https://twitter.com/cristian_miuta/status/723606125195722752" TargetMode="External"/><Relationship Id="rId16446" Type="http://schemas.openxmlformats.org/officeDocument/2006/relationships/hyperlink" Target="https://pbs.twimg.com/profile_images/638473863052021760/ubuTDwkg_normal.jpg" TargetMode="External"/><Relationship Id="rId23662" Type="http://schemas.openxmlformats.org/officeDocument/2006/relationships/hyperlink" Target="http://dlvr.it/" TargetMode="External"/><Relationship Id="rId24713" Type="http://schemas.openxmlformats.org/officeDocument/2006/relationships/hyperlink" Target="https://twitter.com/FuscaWorld" TargetMode="External"/><Relationship Id="rId4056" Type="http://schemas.openxmlformats.org/officeDocument/2006/relationships/hyperlink" Target="https://pbs.twimg.com/profile_images/711998974417178624/NvNGo4s4_normal.jpg" TargetMode="External"/><Relationship Id="rId5454" Type="http://schemas.openxmlformats.org/officeDocument/2006/relationships/hyperlink" Target="https://pbs.twimg.com/profile_images/504258023452205057/HEuGjiig_normal.jpeg" TargetMode="External"/><Relationship Id="rId6505" Type="http://schemas.openxmlformats.org/officeDocument/2006/relationships/hyperlink" Target="https://twitter.com/Todo_VWT3" TargetMode="External"/><Relationship Id="rId15048" Type="http://schemas.openxmlformats.org/officeDocument/2006/relationships/hyperlink" Target="https://twitter.com/rhettx/status/723590995837898753" TargetMode="External"/><Relationship Id="rId19669" Type="http://schemas.openxmlformats.org/officeDocument/2006/relationships/hyperlink" Target="https://twitter.com/DubLuvTuning" TargetMode="External"/><Relationship Id="rId22264" Type="http://schemas.openxmlformats.org/officeDocument/2006/relationships/hyperlink" Target="https://twitter.com/farouktackie/status/724212005389918208" TargetMode="External"/><Relationship Id="rId23315" Type="http://schemas.openxmlformats.org/officeDocument/2006/relationships/hyperlink" Target="https://twitter.com/dara1980/status/724279511714521088" TargetMode="External"/><Relationship Id="rId5107" Type="http://schemas.openxmlformats.org/officeDocument/2006/relationships/hyperlink" Target="https://twitter.com/EuRumtreiber/status/723194391867830272" TargetMode="External"/><Relationship Id="rId8677" Type="http://schemas.openxmlformats.org/officeDocument/2006/relationships/hyperlink" Target="https://pbs.twimg.com/profile_images/706784695795769345/XGXgdjww_normal.jpg" TargetMode="External"/><Relationship Id="rId9728" Type="http://schemas.openxmlformats.org/officeDocument/2006/relationships/hyperlink" Target="https://pbs.twimg.com/profile_images/649507422172749824/x14RxlfE_normal.jpg" TargetMode="External"/><Relationship Id="rId11658" Type="http://schemas.openxmlformats.org/officeDocument/2006/relationships/hyperlink" Target="https://twitter.com/larrieregarde" TargetMode="External"/><Relationship Id="rId25487" Type="http://schemas.openxmlformats.org/officeDocument/2006/relationships/hyperlink" Target="https://twitter.com/cmsGOMEX/status/724443079546179585" TargetMode="External"/><Relationship Id="rId1717" Type="http://schemas.openxmlformats.org/officeDocument/2006/relationships/hyperlink" Target="https://twitter.com/neuepresse/status/723054333772718080" TargetMode="External"/><Relationship Id="rId7279" Type="http://schemas.openxmlformats.org/officeDocument/2006/relationships/hyperlink" Target="https://twitter.com/alexgarciaSD/status/723292153846210560" TargetMode="External"/><Relationship Id="rId12709" Type="http://schemas.openxmlformats.org/officeDocument/2006/relationships/hyperlink" Target="https://pbs.twimg.com/profile_images/549624289767354370/mc4p-Y4q_normal.jpeg" TargetMode="External"/><Relationship Id="rId13080" Type="http://schemas.openxmlformats.org/officeDocument/2006/relationships/hyperlink" Target="https://twitter.com/hesselmann/status/723534972854910978" TargetMode="External"/><Relationship Id="rId14131" Type="http://schemas.openxmlformats.org/officeDocument/2006/relationships/hyperlink" Target="https://twitter.com/queeniashton_" TargetMode="External"/><Relationship Id="rId24089" Type="http://schemas.openxmlformats.org/officeDocument/2006/relationships/hyperlink" Target="https://twitter.com/gdman76" TargetMode="External"/><Relationship Id="rId3889" Type="http://schemas.openxmlformats.org/officeDocument/2006/relationships/hyperlink" Target="https://twitter.com/andreasgust1966/status/723171392968110080" TargetMode="External"/><Relationship Id="rId18752" Type="http://schemas.openxmlformats.org/officeDocument/2006/relationships/hyperlink" Target="https://twitter.com/RWFleetServices/status/723892820545835009" TargetMode="External"/><Relationship Id="rId19803" Type="http://schemas.openxmlformats.org/officeDocument/2006/relationships/hyperlink" Target="http://dlvr.it/" TargetMode="External"/><Relationship Id="rId21000" Type="http://schemas.openxmlformats.org/officeDocument/2006/relationships/hyperlink" Target="https://pbs.twimg.com/profile_images/705780107844067328/e7O4UBNb_normal.jpg" TargetMode="External"/><Relationship Id="rId6362" Type="http://schemas.openxmlformats.org/officeDocument/2006/relationships/hyperlink" Target="https://twitter.com/copeyphoto/status/723240660556345344" TargetMode="External"/><Relationship Id="rId7413" Type="http://schemas.openxmlformats.org/officeDocument/2006/relationships/hyperlink" Target="https://twitter.com/Matyyy_98/status/723301248368259072" TargetMode="External"/><Relationship Id="rId7760" Type="http://schemas.openxmlformats.org/officeDocument/2006/relationships/hyperlink" Target="https://twitter.com/VirginiaNo13" TargetMode="External"/><Relationship Id="rId8811" Type="http://schemas.openxmlformats.org/officeDocument/2006/relationships/hyperlink" Target="https://twitter.com/Marlowe_yuyang/status/723408277262848000" TargetMode="External"/><Relationship Id="rId10741" Type="http://schemas.openxmlformats.org/officeDocument/2006/relationships/hyperlink" Target="https://pbs.twimg.com/profile_images/718820712757215233/LXXndPTS_normal.jpg" TargetMode="External"/><Relationship Id="rId17354" Type="http://schemas.openxmlformats.org/officeDocument/2006/relationships/hyperlink" Target="https://abs.twimg.com/sticky/default_profile_images/default_profile_5_normal.png" TargetMode="External"/><Relationship Id="rId18405" Type="http://schemas.openxmlformats.org/officeDocument/2006/relationships/hyperlink" Target="https://twitter.com/vwgroup_en" TargetMode="External"/><Relationship Id="rId20699" Type="http://schemas.openxmlformats.org/officeDocument/2006/relationships/hyperlink" Target="https://twitter.com/fys_yukio/status/724028790741987330" TargetMode="External"/><Relationship Id="rId23172" Type="http://schemas.openxmlformats.org/officeDocument/2006/relationships/hyperlink" Target="https://pbs.twimg.com/profile_images/709485835813560320/7Hvw2dTv_normal.jpg" TargetMode="External"/><Relationship Id="rId24570" Type="http://schemas.openxmlformats.org/officeDocument/2006/relationships/hyperlink" Target="https://twitter.com/VeeDubMk1_" TargetMode="External"/><Relationship Id="rId25621" Type="http://schemas.openxmlformats.org/officeDocument/2006/relationships/hyperlink" Target="https://twitter.com/Flor_Lopezc/status/724452337964703744" TargetMode="External"/><Relationship Id="rId6015" Type="http://schemas.openxmlformats.org/officeDocument/2006/relationships/hyperlink" Target="http://dlvr.it/" TargetMode="External"/><Relationship Id="rId13964" Type="http://schemas.openxmlformats.org/officeDocument/2006/relationships/hyperlink" Target="https://pbs.twimg.com/profile_images/292857657/GreenGrowth_normal.jpg" TargetMode="External"/><Relationship Id="rId17007" Type="http://schemas.openxmlformats.org/officeDocument/2006/relationships/hyperlink" Target="https://pbs.twimg.com/profile_images/532583024743837696/nWwsp4Vd_normal.jpeg" TargetMode="External"/><Relationship Id="rId24223" Type="http://schemas.openxmlformats.org/officeDocument/2006/relationships/hyperlink" Target="https://twitter.com/LulubelleLimoVW/status/724339188812898306" TargetMode="External"/><Relationship Id="rId2972" Type="http://schemas.openxmlformats.org/officeDocument/2006/relationships/hyperlink" Target="https://pbs.twimg.com/profile_images/452432873757212672/LJOSgKYx_normal.png" TargetMode="External"/><Relationship Id="rId8187" Type="http://schemas.openxmlformats.org/officeDocument/2006/relationships/hyperlink" Target="https://twitter.com/SamGodreau" TargetMode="External"/><Relationship Id="rId9585" Type="http://schemas.openxmlformats.org/officeDocument/2006/relationships/hyperlink" Target="https://twitter.com/mconde_vw" TargetMode="External"/><Relationship Id="rId12566" Type="http://schemas.openxmlformats.org/officeDocument/2006/relationships/hyperlink" Target="https://twitter.com/ErnstvAll" TargetMode="External"/><Relationship Id="rId13617" Type="http://schemas.openxmlformats.org/officeDocument/2006/relationships/hyperlink" Target="https://twitter.com/VWCamperSales" TargetMode="External"/><Relationship Id="rId19179" Type="http://schemas.openxmlformats.org/officeDocument/2006/relationships/hyperlink" Target="http://ctrlq.org/maps/address/" TargetMode="External"/><Relationship Id="rId20833" Type="http://schemas.openxmlformats.org/officeDocument/2006/relationships/hyperlink" Target="https://twitter.com/RamsarJrs12" TargetMode="External"/><Relationship Id="rId944" Type="http://schemas.openxmlformats.org/officeDocument/2006/relationships/hyperlink" Target="https://twitter.com/1phillipsprince" TargetMode="External"/><Relationship Id="rId1574" Type="http://schemas.openxmlformats.org/officeDocument/2006/relationships/hyperlink" Target="https://twitter.com/dw_deutsch" TargetMode="External"/><Relationship Id="rId2625" Type="http://schemas.openxmlformats.org/officeDocument/2006/relationships/hyperlink" Target="https://twitter.com/Nick_Buckland" TargetMode="External"/><Relationship Id="rId9238" Type="http://schemas.openxmlformats.org/officeDocument/2006/relationships/hyperlink" Target="https://twitter.com/Rainer42/status/723427982715441153" TargetMode="External"/><Relationship Id="rId11168" Type="http://schemas.openxmlformats.org/officeDocument/2006/relationships/hyperlink" Target="https://pbs.twimg.com/profile_images/682117656502222848/Ge7YeAF3_normal.png" TargetMode="External"/><Relationship Id="rId12219" Type="http://schemas.openxmlformats.org/officeDocument/2006/relationships/hyperlink" Target="https://pbs.twimg.com/profile_images/624335607645478912/gUYgViLB_normal.jpg" TargetMode="External"/><Relationship Id="rId15789" Type="http://schemas.openxmlformats.org/officeDocument/2006/relationships/hyperlink" Target="https://twitter.com/autoshowsonline/status/723625476300877830" TargetMode="External"/><Relationship Id="rId19660" Type="http://schemas.openxmlformats.org/officeDocument/2006/relationships/hyperlink" Target="https://twitter.com/spicyfknrob" TargetMode="External"/><Relationship Id="rId1227" Type="http://schemas.openxmlformats.org/officeDocument/2006/relationships/hyperlink" Target="https://twitter.com/Stadtpirat/status/723026615073169408" TargetMode="External"/><Relationship Id="rId4797" Type="http://schemas.openxmlformats.org/officeDocument/2006/relationships/hyperlink" Target="https://pbs.twimg.com/profile_images/713342453332488192/Lfwu9l2Z_normal.jpg" TargetMode="External"/><Relationship Id="rId5848" Type="http://schemas.openxmlformats.org/officeDocument/2006/relationships/hyperlink" Target="http://ctrlq.org/maps/address/" TargetMode="External"/><Relationship Id="rId18262" Type="http://schemas.openxmlformats.org/officeDocument/2006/relationships/hyperlink" Target="https://twitter.com/AlwaysInTheTaxi" TargetMode="External"/><Relationship Id="rId19313" Type="http://schemas.openxmlformats.org/officeDocument/2006/relationships/hyperlink" Target="https://twitter.com/oldcar_photo/status/723926478505816064" TargetMode="External"/><Relationship Id="rId22658" Type="http://schemas.openxmlformats.org/officeDocument/2006/relationships/hyperlink" Target="https://twitter.com/uwkakeru14/status/724237716192370688" TargetMode="External"/><Relationship Id="rId23709" Type="http://schemas.openxmlformats.org/officeDocument/2006/relationships/hyperlink" Target="https://twitter.com/dubbusses/status/724306794751897601" TargetMode="External"/><Relationship Id="rId3399" Type="http://schemas.openxmlformats.org/officeDocument/2006/relationships/hyperlink" Target="https://twitter.com/vagmenhq/status/723156432938504192" TargetMode="External"/><Relationship Id="rId7270" Type="http://schemas.openxmlformats.org/officeDocument/2006/relationships/hyperlink" Target="https://twitter.com/ebaycampervans/status/723291446002905090" TargetMode="External"/><Relationship Id="rId8321" Type="http://schemas.openxmlformats.org/officeDocument/2006/relationships/hyperlink" Target="http://dlvr.it/" TargetMode="External"/><Relationship Id="rId10251" Type="http://schemas.openxmlformats.org/officeDocument/2006/relationships/hyperlink" Target="https://twitter.com/lamescolanza/status/723467242059489280" TargetMode="External"/><Relationship Id="rId12700" Type="http://schemas.openxmlformats.org/officeDocument/2006/relationships/hyperlink" Target="https://pbs.twimg.com/profile_images/707857213466013697/OKsPnLlb_normal.jpg" TargetMode="External"/><Relationship Id="rId24080" Type="http://schemas.openxmlformats.org/officeDocument/2006/relationships/hyperlink" Target="https://twitter.com/cosasdeautos/status/724331454155517952" TargetMode="External"/><Relationship Id="rId25131" Type="http://schemas.openxmlformats.org/officeDocument/2006/relationships/hyperlink" Target="https://pbs.twimg.com/profile_images/719182919592325120/IBGd05b6_normal.jpg" TargetMode="External"/><Relationship Id="rId11302" Type="http://schemas.openxmlformats.org/officeDocument/2006/relationships/hyperlink" Target="https://twitter.com/c_garrels/status/723500477632122880" TargetMode="External"/><Relationship Id="rId14872" Type="http://schemas.openxmlformats.org/officeDocument/2006/relationships/hyperlink" Target="https://twitter.com/DubLuvTuning" TargetMode="External"/><Relationship Id="rId15923" Type="http://schemas.openxmlformats.org/officeDocument/2006/relationships/hyperlink" Target="https://twitter.com/nordlohner/status/723636955783811072" TargetMode="External"/><Relationship Id="rId3880" Type="http://schemas.openxmlformats.org/officeDocument/2006/relationships/hyperlink" Target="https://twitter.com/DLFNachrichten/status/723171236591853568" TargetMode="External"/><Relationship Id="rId4931" Type="http://schemas.openxmlformats.org/officeDocument/2006/relationships/hyperlink" Target="https://twitter.com/NicoleGeorge951" TargetMode="External"/><Relationship Id="rId9095" Type="http://schemas.openxmlformats.org/officeDocument/2006/relationships/hyperlink" Target="https://twitter.com/roansub/status/723421541183053824" TargetMode="External"/><Relationship Id="rId13474" Type="http://schemas.openxmlformats.org/officeDocument/2006/relationships/hyperlink" Target="https://pbs.twimg.com/profile_images/530071272881803264/a_jcCmPZ_normal.png" TargetMode="External"/><Relationship Id="rId14525" Type="http://schemas.openxmlformats.org/officeDocument/2006/relationships/hyperlink" Target="https://pbs.twimg.com/profile_images/378800000572104796/1de43e1cf23efb3f4101c02afad0d3b6_normal.png" TargetMode="External"/><Relationship Id="rId20690" Type="http://schemas.openxmlformats.org/officeDocument/2006/relationships/hyperlink" Target="https://pbs.twimg.com/profile_images/718835727027580928/1ssyQ67y_normal.jpg" TargetMode="External"/><Relationship Id="rId21741" Type="http://schemas.openxmlformats.org/officeDocument/2006/relationships/hyperlink" Target="https://pbs.twimg.com/profile_images/691628976633188352/8l3QwFg8_normal.jpg" TargetMode="External"/><Relationship Id="rId1084" Type="http://schemas.openxmlformats.org/officeDocument/2006/relationships/hyperlink" Target="https://twitter.com/MasAcuy" TargetMode="External"/><Relationship Id="rId2482" Type="http://schemas.openxmlformats.org/officeDocument/2006/relationships/hyperlink" Target="https://twitter.com/treibholzfilm" TargetMode="External"/><Relationship Id="rId3533" Type="http://schemas.openxmlformats.org/officeDocument/2006/relationships/hyperlink" Target="https://pbs.twimg.com/profile_images/3228351590/aadb36f2b020cc27adac139aac4a5663_normal.jpeg" TargetMode="External"/><Relationship Id="rId12076" Type="http://schemas.openxmlformats.org/officeDocument/2006/relationships/hyperlink" Target="https://pbs.twimg.com/profile_images/713093865125888000/4e7LoTjO_normal.jpg" TargetMode="External"/><Relationship Id="rId13127" Type="http://schemas.openxmlformats.org/officeDocument/2006/relationships/hyperlink" Target="https://twitter.com/VWBeetleSales/status/723535866237329408" TargetMode="External"/><Relationship Id="rId16697" Type="http://schemas.openxmlformats.org/officeDocument/2006/relationships/hyperlink" Target="https://twitter.com/CindyCallinsky" TargetMode="External"/><Relationship Id="rId17748" Type="http://schemas.openxmlformats.org/officeDocument/2006/relationships/hyperlink" Target="https://pbs.twimg.com/profile_images/723496520000131072/5vGhOomI_normal.jpg" TargetMode="External"/><Relationship Id="rId20343" Type="http://schemas.openxmlformats.org/officeDocument/2006/relationships/hyperlink" Target="https://twitter.com/ckindel" TargetMode="External"/><Relationship Id="rId24964" Type="http://schemas.openxmlformats.org/officeDocument/2006/relationships/hyperlink" Target="https://twitter.com/VAGFanArg" TargetMode="External"/><Relationship Id="rId107" Type="http://schemas.openxmlformats.org/officeDocument/2006/relationships/hyperlink" Target="https://pbs.twimg.com/profile_images/721179462084268032/t24RTVac_normal.jpg" TargetMode="External"/><Relationship Id="rId454" Type="http://schemas.openxmlformats.org/officeDocument/2006/relationships/hyperlink" Target="https://pbs.twimg.com/profile_images/662126706174509057/SqMlQ2tO_normal.jpg" TargetMode="External"/><Relationship Id="rId2135" Type="http://schemas.openxmlformats.org/officeDocument/2006/relationships/hyperlink" Target="https://twitter.com/VolkswagenPost/status/723084411017687041" TargetMode="External"/><Relationship Id="rId6756" Type="http://schemas.openxmlformats.org/officeDocument/2006/relationships/hyperlink" Target="https://pbs.twimg.com/profile_images/654794006421856256/WvLcZ_Wx_normal.png" TargetMode="External"/><Relationship Id="rId7807" Type="http://schemas.openxmlformats.org/officeDocument/2006/relationships/hyperlink" Target="https://twitter.com/ffamilymedicine/status/723331887586930689" TargetMode="External"/><Relationship Id="rId15299" Type="http://schemas.openxmlformats.org/officeDocument/2006/relationships/hyperlink" Target="https://twitter.com/beetlebug1938/status/723603068802195456" TargetMode="External"/><Relationship Id="rId19170" Type="http://schemas.openxmlformats.org/officeDocument/2006/relationships/hyperlink" Target="https://twitter.com/haymansafc" TargetMode="External"/><Relationship Id="rId23566" Type="http://schemas.openxmlformats.org/officeDocument/2006/relationships/hyperlink" Target="https://pbs.twimg.com/profile_images/627949001179037696/skEBkS05_normal.jpg" TargetMode="External"/><Relationship Id="rId24617" Type="http://schemas.openxmlformats.org/officeDocument/2006/relationships/hyperlink" Target="https://twitter.com/rajesh877/status/724377647984324609" TargetMode="External"/><Relationship Id="rId5358" Type="http://schemas.openxmlformats.org/officeDocument/2006/relationships/hyperlink" Target="https://twitter.com/DiscountBomb" TargetMode="External"/><Relationship Id="rId6409" Type="http://schemas.openxmlformats.org/officeDocument/2006/relationships/hyperlink" Target="https://twitter.com/ChrisHuxley72/status/723242835701579777" TargetMode="External"/><Relationship Id="rId9979" Type="http://schemas.openxmlformats.org/officeDocument/2006/relationships/hyperlink" Target="https://twitter.com/Ferrari_Jadore" TargetMode="External"/><Relationship Id="rId12210" Type="http://schemas.openxmlformats.org/officeDocument/2006/relationships/hyperlink" Target="https://pbs.twimg.com/profile_images/494605507291013120/00aXw2t8_normal.jpeg" TargetMode="External"/><Relationship Id="rId22168" Type="http://schemas.openxmlformats.org/officeDocument/2006/relationships/hyperlink" Target="https://pbs.twimg.com/profile_images/684439034580570112/xeZrDF8k_normal.jpg" TargetMode="External"/><Relationship Id="rId23219" Type="http://schemas.openxmlformats.org/officeDocument/2006/relationships/hyperlink" Target="https://pbs.twimg.com/profile_images/590917594745548800/JOO5l23M_normal.jpg" TargetMode="External"/><Relationship Id="rId1968" Type="http://schemas.openxmlformats.org/officeDocument/2006/relationships/hyperlink" Target="https://twitter.com/RobsterRound" TargetMode="External"/><Relationship Id="rId14382" Type="http://schemas.openxmlformats.org/officeDocument/2006/relationships/hyperlink" Target="https://twitter.com/beetlebug1938" TargetMode="External"/><Relationship Id="rId15780" Type="http://schemas.openxmlformats.org/officeDocument/2006/relationships/hyperlink" Target="https://twitter.com/PaluelduPlessix/status/723624324683436032" TargetMode="External"/><Relationship Id="rId16831" Type="http://schemas.openxmlformats.org/officeDocument/2006/relationships/hyperlink" Target="https://twitter.com/Benni_Hofmann/status/723740154196795392" TargetMode="External"/><Relationship Id="rId3390" Type="http://schemas.openxmlformats.org/officeDocument/2006/relationships/hyperlink" Target="https://twitter.com/Fotobiene/status/723155125250981889" TargetMode="External"/><Relationship Id="rId4441" Type="http://schemas.openxmlformats.org/officeDocument/2006/relationships/hyperlink" Target="http://dlvr.it/" TargetMode="External"/><Relationship Id="rId14035" Type="http://schemas.openxmlformats.org/officeDocument/2006/relationships/hyperlink" Target="https://pbs.twimg.com/profile_images/484005043100590081/MagYv21D_normal.jpeg" TargetMode="External"/><Relationship Id="rId15433" Type="http://schemas.openxmlformats.org/officeDocument/2006/relationships/hyperlink" Target="https://twitter.com/TimSchmuckall" TargetMode="External"/><Relationship Id="rId21251" Type="http://schemas.openxmlformats.org/officeDocument/2006/relationships/hyperlink" Target="https://twitter.com/beetlebug1938" TargetMode="External"/><Relationship Id="rId23700" Type="http://schemas.openxmlformats.org/officeDocument/2006/relationships/hyperlink" Target="https://twitter.com/beetlebug1938/status/724306755539361796" TargetMode="External"/><Relationship Id="rId3043" Type="http://schemas.openxmlformats.org/officeDocument/2006/relationships/hyperlink" Target="https://twitter.com/BerHerg" TargetMode="External"/><Relationship Id="rId10992" Type="http://schemas.openxmlformats.org/officeDocument/2006/relationships/hyperlink" Target="https://pbs.twimg.com/profile_images/378800000265891510/1b4788fb7103035d99da255167d40dbd_normal.jpeg" TargetMode="External"/><Relationship Id="rId18656" Type="http://schemas.openxmlformats.org/officeDocument/2006/relationships/hyperlink" Target="https://pbs.twimg.com/profile_images/562580411692220416/2NE-rvNb_normal.jpeg" TargetMode="External"/><Relationship Id="rId19707" Type="http://schemas.openxmlformats.org/officeDocument/2006/relationships/hyperlink" Target="http://t.co/VFvovSfdWt" TargetMode="External"/><Relationship Id="rId22302" Type="http://schemas.openxmlformats.org/officeDocument/2006/relationships/hyperlink" Target="https://pbs.twimg.com/profile_images/672878354127839232/M7OYc-zx_normal.jpg" TargetMode="External"/><Relationship Id="rId6266" Type="http://schemas.openxmlformats.org/officeDocument/2006/relationships/hyperlink" Target="https://twitter.com/VWCamperSales/status/723236891999379456" TargetMode="External"/><Relationship Id="rId7664" Type="http://schemas.openxmlformats.org/officeDocument/2006/relationships/hyperlink" Target="https://pbs.twimg.com/profile_images/687431235946295297/DAzW6uBP_normal.jpg" TargetMode="External"/><Relationship Id="rId8715" Type="http://schemas.openxmlformats.org/officeDocument/2006/relationships/hyperlink" Target="https://twitter.com/Kanix007" TargetMode="External"/><Relationship Id="rId10645" Type="http://schemas.openxmlformats.org/officeDocument/2006/relationships/hyperlink" Target="https://abs.twimg.com/sticky/default_profile_images/default_profile_1_normal.png" TargetMode="External"/><Relationship Id="rId17258" Type="http://schemas.openxmlformats.org/officeDocument/2006/relationships/hyperlink" Target="http://dlvr.it/" TargetMode="External"/><Relationship Id="rId18309" Type="http://schemas.openxmlformats.org/officeDocument/2006/relationships/hyperlink" Target="https://pbs.twimg.com/profile_images/662955103742201857/LPXwBwdt_normal.jpg" TargetMode="External"/><Relationship Id="rId24474" Type="http://schemas.openxmlformats.org/officeDocument/2006/relationships/hyperlink" Target="https://pbs.twimg.com/profile_images/2646835465/aa5823578b01b04b7e91d58e8ca88691_normal.jpeg" TargetMode="External"/><Relationship Id="rId25525" Type="http://schemas.openxmlformats.org/officeDocument/2006/relationships/hyperlink" Target="https://twitter.com/axelneuhaus" TargetMode="External"/><Relationship Id="rId7317" Type="http://schemas.openxmlformats.org/officeDocument/2006/relationships/hyperlink" Target="https://twitter.com/patchris" TargetMode="External"/><Relationship Id="rId13868" Type="http://schemas.openxmlformats.org/officeDocument/2006/relationships/hyperlink" Target="https://twitter.com/DavividAuto" TargetMode="External"/><Relationship Id="rId14919" Type="http://schemas.openxmlformats.org/officeDocument/2006/relationships/hyperlink" Target="https://twitter.com/MemosL" TargetMode="External"/><Relationship Id="rId23076" Type="http://schemas.openxmlformats.org/officeDocument/2006/relationships/hyperlink" Target="https://twitter.com/BlackWolfSynd" TargetMode="External"/><Relationship Id="rId24127" Type="http://schemas.openxmlformats.org/officeDocument/2006/relationships/hyperlink" Target="https://twitter.com/WholeBoardDev" TargetMode="External"/><Relationship Id="rId2876" Type="http://schemas.openxmlformats.org/officeDocument/2006/relationships/hyperlink" Target="https://pbs.twimg.com/profile_images/1865228787/seat_pp_normal.jpg" TargetMode="External"/><Relationship Id="rId3927" Type="http://schemas.openxmlformats.org/officeDocument/2006/relationships/hyperlink" Target="https://twitter.com/tom_tadah" TargetMode="External"/><Relationship Id="rId9489" Type="http://schemas.openxmlformats.org/officeDocument/2006/relationships/hyperlink" Target="https://pbs.twimg.com/profile_images/1237269784/braatz_web_normal.jpg" TargetMode="External"/><Relationship Id="rId15290" Type="http://schemas.openxmlformats.org/officeDocument/2006/relationships/hyperlink" Target="https://twitter.com/coolspringsvw/status/723602849033269249" TargetMode="External"/><Relationship Id="rId16341" Type="http://schemas.openxmlformats.org/officeDocument/2006/relationships/hyperlink" Target="https://pbs.twimg.com/profile_images/522469771573350400/e5WjUwRr_normal.png" TargetMode="External"/><Relationship Id="rId20737" Type="http://schemas.openxmlformats.org/officeDocument/2006/relationships/hyperlink" Target="https://pbs.twimg.com/profile_images/723999894726434816/9hThIcJo_normal.jpg" TargetMode="External"/><Relationship Id="rId848" Type="http://schemas.openxmlformats.org/officeDocument/2006/relationships/hyperlink" Target="https://twitter.com/SpirosChihaia/status/722991199607480320" TargetMode="External"/><Relationship Id="rId1478" Type="http://schemas.openxmlformats.org/officeDocument/2006/relationships/hyperlink" Target="https://pbs.twimg.com/profile_images/562563461171798017/AkHF4keI_normal.png" TargetMode="External"/><Relationship Id="rId2529" Type="http://schemas.openxmlformats.org/officeDocument/2006/relationships/hyperlink" Target="https://twitter.com/Markenartikler/status/723104509082230784" TargetMode="External"/><Relationship Id="rId6400" Type="http://schemas.openxmlformats.org/officeDocument/2006/relationships/hyperlink" Target="https://twitter.com/mycomfor/status/723241884374720513" TargetMode="External"/><Relationship Id="rId9970" Type="http://schemas.openxmlformats.org/officeDocument/2006/relationships/hyperlink" Target="https://twitter.com/theto3k" TargetMode="External"/><Relationship Id="rId23210" Type="http://schemas.openxmlformats.org/officeDocument/2006/relationships/hyperlink" Target="https://pbs.twimg.com/profile_images/648457480897474560/ONIr8l8L_normal.jpg" TargetMode="External"/><Relationship Id="rId5002" Type="http://schemas.openxmlformats.org/officeDocument/2006/relationships/hyperlink" Target="https://pbs.twimg.com/profile_images/378800000767108962/c0a1ecd5352e4efdab50e246ee42dce4_normal.png" TargetMode="External"/><Relationship Id="rId8572" Type="http://schemas.openxmlformats.org/officeDocument/2006/relationships/hyperlink" Target="https://pbs.twimg.com/profile_images/524926283717681152/S887P05B_normal.jpeg" TargetMode="External"/><Relationship Id="rId9623" Type="http://schemas.openxmlformats.org/officeDocument/2006/relationships/hyperlink" Target="https://pbs.twimg.com/profile_images/716145218383396866/1ULcAgor_normal.jpg" TargetMode="External"/><Relationship Id="rId12951" Type="http://schemas.openxmlformats.org/officeDocument/2006/relationships/hyperlink" Target="https://twitter.com/Awesome_eu_com" TargetMode="External"/><Relationship Id="rId18166" Type="http://schemas.openxmlformats.org/officeDocument/2006/relationships/hyperlink" Target="http://exvtra.co.uk/" TargetMode="External"/><Relationship Id="rId19217" Type="http://schemas.openxmlformats.org/officeDocument/2006/relationships/hyperlink" Target="https://pbs.twimg.com/profile_images/644897595442241536/62y226Ai_normal.jpg" TargetMode="External"/><Relationship Id="rId19564" Type="http://schemas.openxmlformats.org/officeDocument/2006/relationships/hyperlink" Target="https://pbs.twimg.com/profile_images/1372304064/DSC04986_normal.JPG" TargetMode="External"/><Relationship Id="rId25382" Type="http://schemas.openxmlformats.org/officeDocument/2006/relationships/hyperlink" Target="https://pbs.twimg.com/profile_images/556255417714503681/B78CvKEX_normal.jpeg" TargetMode="External"/><Relationship Id="rId7174" Type="http://schemas.openxmlformats.org/officeDocument/2006/relationships/hyperlink" Target="https://twitter.com/VWCamperSales/status/723282561363898368" TargetMode="External"/><Relationship Id="rId8225" Type="http://schemas.openxmlformats.org/officeDocument/2006/relationships/hyperlink" Target="https://pbs.twimg.com/profile_images/669541061711261696/eOfP0YD8_normal.png" TargetMode="External"/><Relationship Id="rId11553" Type="http://schemas.openxmlformats.org/officeDocument/2006/relationships/hyperlink" Target="https://pbs.twimg.com/profile_images/598204778066223104/T3e5yqH5_normal.png" TargetMode="External"/><Relationship Id="rId12604" Type="http://schemas.openxmlformats.org/officeDocument/2006/relationships/hyperlink" Target="https://pbs.twimg.com/profile_images/556038240734441472/Y3DFwmUK_normal.jpeg" TargetMode="External"/><Relationship Id="rId25035" Type="http://schemas.openxmlformats.org/officeDocument/2006/relationships/hyperlink" Target="https://pbs.twimg.com/profile_images/718835727027580928/1ssyQ67y_normal.jpg" TargetMode="External"/><Relationship Id="rId1612" Type="http://schemas.openxmlformats.org/officeDocument/2006/relationships/hyperlink" Target="https://pbs.twimg.com/profile_images/641589533696491520/z_Rxec7o_normal.jpg" TargetMode="External"/><Relationship Id="rId10155" Type="http://schemas.openxmlformats.org/officeDocument/2006/relationships/hyperlink" Target="https://pbs.twimg.com/profile_images/649519091892531200/gFXmbSPM_normal.jpg" TargetMode="External"/><Relationship Id="rId11206" Type="http://schemas.openxmlformats.org/officeDocument/2006/relationships/hyperlink" Target="https://twitter.com/mamooo17" TargetMode="External"/><Relationship Id="rId14776" Type="http://schemas.openxmlformats.org/officeDocument/2006/relationships/hyperlink" Target="https://twitter.com/glenmavis" TargetMode="External"/><Relationship Id="rId15827" Type="http://schemas.openxmlformats.org/officeDocument/2006/relationships/hyperlink" Target="https://twitter.com/VidalJimena1" TargetMode="External"/><Relationship Id="rId21992" Type="http://schemas.openxmlformats.org/officeDocument/2006/relationships/hyperlink" Target="http://dlvr.it/" TargetMode="External"/><Relationship Id="rId3784" Type="http://schemas.openxmlformats.org/officeDocument/2006/relationships/hyperlink" Target="https://pbs.twimg.com/profile_images/670605597268680704/HHih7NjA_normal.jpg" TargetMode="External"/><Relationship Id="rId4835" Type="http://schemas.openxmlformats.org/officeDocument/2006/relationships/hyperlink" Target="https://twitter.com/borsakahini/status/723188769097031680" TargetMode="External"/><Relationship Id="rId13378" Type="http://schemas.openxmlformats.org/officeDocument/2006/relationships/hyperlink" Target="https://pbs.twimg.com/profile_images/488678354338324481/_qtBruR6_normal.jpeg" TargetMode="External"/><Relationship Id="rId14429" Type="http://schemas.openxmlformats.org/officeDocument/2006/relationships/hyperlink" Target="https://pbs.twimg.com/profile_images/686176747390398464/xWJNnW3D_normal.jpg" TargetMode="External"/><Relationship Id="rId17999" Type="http://schemas.openxmlformats.org/officeDocument/2006/relationships/hyperlink" Target="https://twitter.com/OnlyHypercar/status/723840868373942272" TargetMode="External"/><Relationship Id="rId18300" Type="http://schemas.openxmlformats.org/officeDocument/2006/relationships/hyperlink" Target="https://pbs.twimg.com/profile_images/722462618556960768/JE-_sTXq_normal.jpg" TargetMode="External"/><Relationship Id="rId20594" Type="http://schemas.openxmlformats.org/officeDocument/2006/relationships/hyperlink" Target="https://twitter.com/dubbusses/status/724012744886894592" TargetMode="External"/><Relationship Id="rId21645" Type="http://schemas.openxmlformats.org/officeDocument/2006/relationships/hyperlink" Target="https://pbs.twimg.com/profile_images/524928538395570176/kSpd7Y_x_normal.jpeg" TargetMode="External"/><Relationship Id="rId2386" Type="http://schemas.openxmlformats.org/officeDocument/2006/relationships/hyperlink" Target="https://pbs.twimg.com/profile_images/644482436257185792/immN1agH_normal.jpg" TargetMode="External"/><Relationship Id="rId3437" Type="http://schemas.openxmlformats.org/officeDocument/2006/relationships/hyperlink" Target="https://pbs.twimg.com/profile_images/706037104950833152/TSCw0eTE_normal.jpg" TargetMode="External"/><Relationship Id="rId20247" Type="http://schemas.openxmlformats.org/officeDocument/2006/relationships/hyperlink" Target="https://pbs.twimg.com/profile_images/696469407200059395/ymFpE9mj_normal.jpg" TargetMode="External"/><Relationship Id="rId24868" Type="http://schemas.openxmlformats.org/officeDocument/2006/relationships/hyperlink" Target="https://pbs.twimg.com/profile_images/723903812457664512/Zj1vl7TD_normal.jpg" TargetMode="External"/><Relationship Id="rId358" Type="http://schemas.openxmlformats.org/officeDocument/2006/relationships/hyperlink" Target="https://pbs.twimg.com/profile_images/718820712757215233/LXXndPTS_normal.jpg" TargetMode="External"/><Relationship Id="rId2039" Type="http://schemas.openxmlformats.org/officeDocument/2006/relationships/hyperlink" Target="https://twitter.com/CAScherbaum/status/723078406829649920" TargetMode="External"/><Relationship Id="rId9480" Type="http://schemas.openxmlformats.org/officeDocument/2006/relationships/hyperlink" Target="https://twitter.com/CarsSouthAfrica" TargetMode="External"/><Relationship Id="rId12461" Type="http://schemas.openxmlformats.org/officeDocument/2006/relationships/hyperlink" Target="https://twitter.com/Petercampbell1/status/723519877890367488" TargetMode="External"/><Relationship Id="rId14910" Type="http://schemas.openxmlformats.org/officeDocument/2006/relationships/hyperlink" Target="https://twitter.com/brosefstalin53" TargetMode="External"/><Relationship Id="rId19074" Type="http://schemas.openxmlformats.org/officeDocument/2006/relationships/hyperlink" Target="https://pbs.twimg.com/profile_images/514757892290134017/oINplEn2_normal.jpeg" TargetMode="External"/><Relationship Id="rId2520" Type="http://schemas.openxmlformats.org/officeDocument/2006/relationships/hyperlink" Target="https://twitter.com/FuscaWorld/status/723103946634596352" TargetMode="External"/><Relationship Id="rId8082" Type="http://schemas.openxmlformats.org/officeDocument/2006/relationships/hyperlink" Target="https://twitter.com/DubLuvTuning/status/723364379668815872" TargetMode="External"/><Relationship Id="rId9133" Type="http://schemas.openxmlformats.org/officeDocument/2006/relationships/hyperlink" Target="https://pbs.twimg.com/profile_images/2373311233/logo_VW_CONCESSIONARIO_normal.jpg" TargetMode="External"/><Relationship Id="rId11063" Type="http://schemas.openxmlformats.org/officeDocument/2006/relationships/hyperlink" Target="https://twitter.com/ohneHintergrund/status/723496325912907777" TargetMode="External"/><Relationship Id="rId12114" Type="http://schemas.openxmlformats.org/officeDocument/2006/relationships/hyperlink" Target="https://twitter.com/Sk4tz/status/723513396642078720" TargetMode="External"/><Relationship Id="rId13512" Type="http://schemas.openxmlformats.org/officeDocument/2006/relationships/hyperlink" Target="https://twitter.com/DrevenSeal/status/723549161828700161" TargetMode="External"/><Relationship Id="rId1122" Type="http://schemas.openxmlformats.org/officeDocument/2006/relationships/hyperlink" Target="https://twitter.com/idriveexotic" TargetMode="External"/><Relationship Id="rId15684" Type="http://schemas.openxmlformats.org/officeDocument/2006/relationships/hyperlink" Target="https://twitter.com/Watson2706" TargetMode="External"/><Relationship Id="rId16735" Type="http://schemas.openxmlformats.org/officeDocument/2006/relationships/hyperlink" Target="https://pbs.twimg.com/profile_images/378800000572104796/1de43e1cf23efb3f4101c02afad0d3b6_normal.png" TargetMode="External"/><Relationship Id="rId23951" Type="http://schemas.openxmlformats.org/officeDocument/2006/relationships/hyperlink" Target="https://twitter.com/VWCamperSales" TargetMode="External"/><Relationship Id="rId3294" Type="http://schemas.openxmlformats.org/officeDocument/2006/relationships/hyperlink" Target="https://twitter.com/DubLuvTuning" TargetMode="External"/><Relationship Id="rId4345" Type="http://schemas.openxmlformats.org/officeDocument/2006/relationships/hyperlink" Target="https://twitter.com/nordlohner" TargetMode="External"/><Relationship Id="rId4692" Type="http://schemas.openxmlformats.org/officeDocument/2006/relationships/hyperlink" Target="https://twitter.com/jot_el" TargetMode="External"/><Relationship Id="rId5743" Type="http://schemas.openxmlformats.org/officeDocument/2006/relationships/hyperlink" Target="https://pbs.twimg.com/profile_images/378800000747750946/394d9f0f5e6dde5137683d9c98c5c8a9_normal.jpeg" TargetMode="External"/><Relationship Id="rId14286" Type="http://schemas.openxmlformats.org/officeDocument/2006/relationships/hyperlink" Target="https://pbs.twimg.com/profile_images/530071272881803264/a_jcCmPZ_normal.png" TargetMode="External"/><Relationship Id="rId15337" Type="http://schemas.openxmlformats.org/officeDocument/2006/relationships/hyperlink" Target="https://pbs.twimg.com/profile_images/626745382035423232/nwofYmP7_normal.jpg" TargetMode="External"/><Relationship Id="rId19958" Type="http://schemas.openxmlformats.org/officeDocument/2006/relationships/hyperlink" Target="https://twitter.com/bneilbel/status/723965009622110211" TargetMode="External"/><Relationship Id="rId22553" Type="http://schemas.openxmlformats.org/officeDocument/2006/relationships/hyperlink" Target="https://twitter.com/genenano" TargetMode="External"/><Relationship Id="rId23604" Type="http://schemas.openxmlformats.org/officeDocument/2006/relationships/hyperlink" Target="https://twitter.com/Jack_Griffin94" TargetMode="External"/><Relationship Id="rId8966" Type="http://schemas.openxmlformats.org/officeDocument/2006/relationships/hyperlink" Target="https://twitter.com/bvdvliet" TargetMode="External"/><Relationship Id="rId10896" Type="http://schemas.openxmlformats.org/officeDocument/2006/relationships/hyperlink" Target="https://twitter.com/JuveVerlag_RB" TargetMode="External"/><Relationship Id="rId11947" Type="http://schemas.openxmlformats.org/officeDocument/2006/relationships/hyperlink" Target="https://pbs.twimg.com/profile_images/715156636235599872/dwm4EPy5_normal.jpg" TargetMode="External"/><Relationship Id="rId21155" Type="http://schemas.openxmlformats.org/officeDocument/2006/relationships/hyperlink" Target="https://twitter.com/TetsuoHojo" TargetMode="External"/><Relationship Id="rId22206" Type="http://schemas.openxmlformats.org/officeDocument/2006/relationships/hyperlink" Target="https://twitter.com/handelsblatt/status/724208836354162688" TargetMode="External"/><Relationship Id="rId7568" Type="http://schemas.openxmlformats.org/officeDocument/2006/relationships/hyperlink" Target="https://pbs.twimg.com/profile_images/698117294308921346/aePG7L02_normal.jpg" TargetMode="External"/><Relationship Id="rId8619" Type="http://schemas.openxmlformats.org/officeDocument/2006/relationships/hyperlink" Target="https://twitter.com/fraippolito/status/723398703688507393" TargetMode="External"/><Relationship Id="rId10549" Type="http://schemas.openxmlformats.org/officeDocument/2006/relationships/hyperlink" Target="https://twitter.com/dneuerer/status/723476506513707008" TargetMode="External"/><Relationship Id="rId14420" Type="http://schemas.openxmlformats.org/officeDocument/2006/relationships/hyperlink" Target="https://pbs.twimg.com/profile_images/627949001179037696/skEBkS05_normal.jpg" TargetMode="External"/><Relationship Id="rId24378" Type="http://schemas.openxmlformats.org/officeDocument/2006/relationships/hyperlink" Target="https://twitter.com/dubbusses/status/724352902513463296" TargetMode="External"/><Relationship Id="rId25429" Type="http://schemas.openxmlformats.org/officeDocument/2006/relationships/hyperlink" Target="https://twitter.com/vickymotorserv1" TargetMode="External"/><Relationship Id="rId13022" Type="http://schemas.openxmlformats.org/officeDocument/2006/relationships/hyperlink" Target="https://twitter.com/RickStrickler" TargetMode="External"/><Relationship Id="rId16592" Type="http://schemas.openxmlformats.org/officeDocument/2006/relationships/hyperlink" Target="https://twitter.com/TetsuoHojo/status/723697473462525952" TargetMode="External"/><Relationship Id="rId17990" Type="http://schemas.openxmlformats.org/officeDocument/2006/relationships/hyperlink" Target="https://twitter.com/04Francene/status/723839905298685952" TargetMode="External"/><Relationship Id="rId2030" Type="http://schemas.openxmlformats.org/officeDocument/2006/relationships/hyperlink" Target="https://pbs.twimg.com/profile_images/3097554049/a1262b87b94a5bc549fbdbd7e4b298d5_normal.jpeg" TargetMode="External"/><Relationship Id="rId6651" Type="http://schemas.openxmlformats.org/officeDocument/2006/relationships/hyperlink" Target="https://twitter.com/SLimLuLi/status/723250376540086272" TargetMode="External"/><Relationship Id="rId7702" Type="http://schemas.openxmlformats.org/officeDocument/2006/relationships/hyperlink" Target="https://pbs.twimg.com/profile_images/710116856074522624/Z39UW3uF_normal.jpg" TargetMode="External"/><Relationship Id="rId15194" Type="http://schemas.openxmlformats.org/officeDocument/2006/relationships/hyperlink" Target="https://pbs.twimg.com/profile_images/714263929535537152/lJndNWrv_normal.jpg" TargetMode="External"/><Relationship Id="rId16245" Type="http://schemas.openxmlformats.org/officeDocument/2006/relationships/hyperlink" Target="https://twitter.com/VolkswagenPost/status/723660982296281088" TargetMode="External"/><Relationship Id="rId17643" Type="http://schemas.openxmlformats.org/officeDocument/2006/relationships/hyperlink" Target="https://twitter.com/carstech42160" TargetMode="External"/><Relationship Id="rId20988" Type="http://schemas.openxmlformats.org/officeDocument/2006/relationships/hyperlink" Target="https://pbs.twimg.com/profile_images/615493650785660928/XHUh6HOk_normal.jpg" TargetMode="External"/><Relationship Id="rId23461" Type="http://schemas.openxmlformats.org/officeDocument/2006/relationships/hyperlink" Target="https://t.co/IR3n0PHQk9" TargetMode="External"/><Relationship Id="rId5253" Type="http://schemas.openxmlformats.org/officeDocument/2006/relationships/hyperlink" Target="https://twitter.com/BofBB" TargetMode="External"/><Relationship Id="rId6304" Type="http://schemas.openxmlformats.org/officeDocument/2006/relationships/hyperlink" Target="https://pbs.twimg.com/profile_images/590161064706363392/ZEGlZold_normal.png" TargetMode="External"/><Relationship Id="rId22063" Type="http://schemas.openxmlformats.org/officeDocument/2006/relationships/hyperlink" Target="https://twitter.com/VeeDubMk1_" TargetMode="External"/><Relationship Id="rId23114" Type="http://schemas.openxmlformats.org/officeDocument/2006/relationships/hyperlink" Target="https://twitter.com/VWCamperSales" TargetMode="External"/><Relationship Id="rId24512" Type="http://schemas.openxmlformats.org/officeDocument/2006/relationships/hyperlink" Target="https://pbs.twimg.com/profile_images/718820712757215233/LXXndPTS_normal.jpg" TargetMode="External"/><Relationship Id="rId8476" Type="http://schemas.openxmlformats.org/officeDocument/2006/relationships/hyperlink" Target="https://pbs.twimg.com/profile_images/1231132206/27384_1725624887_167_q_normal.jpg" TargetMode="External"/><Relationship Id="rId9874" Type="http://schemas.openxmlformats.org/officeDocument/2006/relationships/hyperlink" Target="https://twitter.com/lars_scho/status/723452641649504256" TargetMode="External"/><Relationship Id="rId12855" Type="http://schemas.openxmlformats.org/officeDocument/2006/relationships/hyperlink" Target="https://twitter.com/Mrmacmax92/status/723529517487296512" TargetMode="External"/><Relationship Id="rId13906" Type="http://schemas.openxmlformats.org/officeDocument/2006/relationships/hyperlink" Target="https://twitter.com/HansTheGerman/status/723558433182629888" TargetMode="External"/><Relationship Id="rId19468" Type="http://schemas.openxmlformats.org/officeDocument/2006/relationships/hyperlink" Target="https://twitter.com/anjelicasjogren" TargetMode="External"/><Relationship Id="rId88" Type="http://schemas.openxmlformats.org/officeDocument/2006/relationships/hyperlink" Target="https://twitter.com/Carscoop" TargetMode="External"/><Relationship Id="rId1863" Type="http://schemas.openxmlformats.org/officeDocument/2006/relationships/hyperlink" Target="https://pbs.twimg.com/profile_images/1200648485/instock_normal.jpg" TargetMode="External"/><Relationship Id="rId2914" Type="http://schemas.openxmlformats.org/officeDocument/2006/relationships/hyperlink" Target="https://twitter.com/ae_cuellar/status/723124625610301440" TargetMode="External"/><Relationship Id="rId7078" Type="http://schemas.openxmlformats.org/officeDocument/2006/relationships/hyperlink" Target="https://twitter.com/philippvetter/status/723277587917770752" TargetMode="External"/><Relationship Id="rId8129" Type="http://schemas.openxmlformats.org/officeDocument/2006/relationships/hyperlink" Target="https://twitter.com/techhippie/status/723371345354977280" TargetMode="External"/><Relationship Id="rId9527" Type="http://schemas.openxmlformats.org/officeDocument/2006/relationships/hyperlink" Target="https://twitter.com/RFN19/status/723438058918408193" TargetMode="External"/><Relationship Id="rId11457" Type="http://schemas.openxmlformats.org/officeDocument/2006/relationships/hyperlink" Target="https://pbs.twimg.com/profile_images/689810639099924481/K07B5XYd_normal.jpg" TargetMode="External"/><Relationship Id="rId12508" Type="http://schemas.openxmlformats.org/officeDocument/2006/relationships/hyperlink" Target="https://twitter.com/Frauimspiegel" TargetMode="External"/><Relationship Id="rId25286" Type="http://schemas.openxmlformats.org/officeDocument/2006/relationships/hyperlink" Target="https://twitter.com/HunkyAlley/status/724429612789424128" TargetMode="External"/><Relationship Id="rId1516" Type="http://schemas.openxmlformats.org/officeDocument/2006/relationships/hyperlink" Target="https://twitter.com/VWCamperSales/status/723044373022167040" TargetMode="External"/><Relationship Id="rId10059" Type="http://schemas.openxmlformats.org/officeDocument/2006/relationships/hyperlink" Target="https://pbs.twimg.com/profile_images/719095366533181440/DWQU4rs7_normal.jpg" TargetMode="External"/><Relationship Id="rId18551" Type="http://schemas.openxmlformats.org/officeDocument/2006/relationships/hyperlink" Target="https://twitter.com/Giustozziauto/status/723877861640146945" TargetMode="External"/><Relationship Id="rId19602" Type="http://schemas.openxmlformats.org/officeDocument/2006/relationships/hyperlink" Target="https://twitter.com/VeeDubMk1_/status/723941712876412928" TargetMode="External"/><Relationship Id="rId21896" Type="http://schemas.openxmlformats.org/officeDocument/2006/relationships/hyperlink" Target="https://twitter.com/TetsuoHojo/status/724187325257777152" TargetMode="External"/><Relationship Id="rId22947" Type="http://schemas.openxmlformats.org/officeDocument/2006/relationships/hyperlink" Target="https://twitter.com/VWCamperSales" TargetMode="External"/><Relationship Id="rId3688" Type="http://schemas.openxmlformats.org/officeDocument/2006/relationships/hyperlink" Target="https://twitter.com/franz_rother/status/723167829470658560" TargetMode="External"/><Relationship Id="rId4739" Type="http://schemas.openxmlformats.org/officeDocument/2006/relationships/hyperlink" Target="http://dlvr.it/" TargetMode="External"/><Relationship Id="rId8610" Type="http://schemas.openxmlformats.org/officeDocument/2006/relationships/hyperlink" Target="https://twitter.com/Scirocco_Tuning/status/723398443041845249" TargetMode="External"/><Relationship Id="rId10540" Type="http://schemas.openxmlformats.org/officeDocument/2006/relationships/hyperlink" Target="https://pbs.twimg.com/profile_images/1565609204/06.24.08__102__normal.jpg" TargetMode="External"/><Relationship Id="rId17153" Type="http://schemas.openxmlformats.org/officeDocument/2006/relationships/hyperlink" Target="https://twitter.com/theDrivenUKshow/status/723774692230836224" TargetMode="External"/><Relationship Id="rId18204" Type="http://schemas.openxmlformats.org/officeDocument/2006/relationships/hyperlink" Target="https://abs.twimg.com/sticky/default_profile_images/default_profile_6_normal.png" TargetMode="External"/><Relationship Id="rId20498" Type="http://schemas.openxmlformats.org/officeDocument/2006/relationships/hyperlink" Target="https://twitter.com/FuscaWorld" TargetMode="External"/><Relationship Id="rId21549" Type="http://schemas.openxmlformats.org/officeDocument/2006/relationships/hyperlink" Target="https://pbs.twimg.com/profile_images/551677443036413952/rpDchzFG_normal.jpeg" TargetMode="External"/><Relationship Id="rId25420" Type="http://schemas.openxmlformats.org/officeDocument/2006/relationships/hyperlink" Target="https://twitter.com/vickymotorserv1" TargetMode="External"/><Relationship Id="rId6161" Type="http://schemas.openxmlformats.org/officeDocument/2006/relationships/hyperlink" Target="https://twitter.com/Bankofisland" TargetMode="External"/><Relationship Id="rId7212" Type="http://schemas.openxmlformats.org/officeDocument/2006/relationships/hyperlink" Target="https://pbs.twimg.com/profile_images/688817509475184640/RNJBrRle_normal.jpg" TargetMode="External"/><Relationship Id="rId24022" Type="http://schemas.openxmlformats.org/officeDocument/2006/relationships/hyperlink" Target="https://twitter.com/MalikCandelaria" TargetMode="External"/><Relationship Id="rId9384" Type="http://schemas.openxmlformats.org/officeDocument/2006/relationships/hyperlink" Target="https://pbs.twimg.com/profile_images/704001047216447488/5a1ozl-l_normal.jpg" TargetMode="External"/><Relationship Id="rId13763" Type="http://schemas.openxmlformats.org/officeDocument/2006/relationships/hyperlink" Target="https://twitter.com/Ziegengewitter/status/723555501481562114" TargetMode="External"/><Relationship Id="rId14814" Type="http://schemas.openxmlformats.org/officeDocument/2006/relationships/hyperlink" Target="https://twitter.com/DKMRacing/status/723583907468210176" TargetMode="External"/><Relationship Id="rId1373" Type="http://schemas.openxmlformats.org/officeDocument/2006/relationships/hyperlink" Target="https://twitter.com/ItoParedes" TargetMode="External"/><Relationship Id="rId2771" Type="http://schemas.openxmlformats.org/officeDocument/2006/relationships/hyperlink" Target="https://twitter.com/dw_deutsch" TargetMode="External"/><Relationship Id="rId3822" Type="http://schemas.openxmlformats.org/officeDocument/2006/relationships/hyperlink" Target="https://twitter.com/MarkCSchneider/status/723170126338600960" TargetMode="External"/><Relationship Id="rId9037" Type="http://schemas.openxmlformats.org/officeDocument/2006/relationships/hyperlink" Target="https://twitter.com/Bra49/status/723418565085286400" TargetMode="External"/><Relationship Id="rId12365" Type="http://schemas.openxmlformats.org/officeDocument/2006/relationships/hyperlink" Target="https://twitter.com/handelsblatt" TargetMode="External"/><Relationship Id="rId13416" Type="http://schemas.openxmlformats.org/officeDocument/2006/relationships/hyperlink" Target="https://twitter.com/CKPapaBoojumzw" TargetMode="External"/><Relationship Id="rId16986" Type="http://schemas.openxmlformats.org/officeDocument/2006/relationships/hyperlink" Target="https://pbs.twimg.com/profile_images/615493650785660928/XHUh6HOk_normal.jpg" TargetMode="External"/><Relationship Id="rId20632" Type="http://schemas.openxmlformats.org/officeDocument/2006/relationships/hyperlink" Target="https://twitter.com/VCT_Tweets" TargetMode="External"/><Relationship Id="rId743" Type="http://schemas.openxmlformats.org/officeDocument/2006/relationships/hyperlink" Target="https://twitter.com/lamontto" TargetMode="External"/><Relationship Id="rId1026" Type="http://schemas.openxmlformats.org/officeDocument/2006/relationships/hyperlink" Target="https://twitter.com/vaughn_bill" TargetMode="External"/><Relationship Id="rId2424" Type="http://schemas.openxmlformats.org/officeDocument/2006/relationships/hyperlink" Target="https://twitter.com/AlexisMautoneRC" TargetMode="External"/><Relationship Id="rId5994" Type="http://schemas.openxmlformats.org/officeDocument/2006/relationships/hyperlink" Target="https://twitter.com/DubLuvTuning" TargetMode="External"/><Relationship Id="rId12018" Type="http://schemas.openxmlformats.org/officeDocument/2006/relationships/hyperlink" Target="https://pbs.twimg.com/profile_images/543163066599219200/dUy-AYOX_normal.jpeg" TargetMode="External"/><Relationship Id="rId15588" Type="http://schemas.openxmlformats.org/officeDocument/2006/relationships/hyperlink" Target="https://pbs.twimg.com/profile_images/1657601327/Untitled-1_normal.jpg" TargetMode="External"/><Relationship Id="rId16639" Type="http://schemas.openxmlformats.org/officeDocument/2006/relationships/hyperlink" Target="https://pbs.twimg.com/profile_images/697059054741536770/bzz3mR4g_normal.png" TargetMode="External"/><Relationship Id="rId23855" Type="http://schemas.openxmlformats.org/officeDocument/2006/relationships/hyperlink" Target="https://pbs.twimg.com/profile_images/627949001179037696/skEBkS05_normal.jpg" TargetMode="External"/><Relationship Id="rId24906" Type="http://schemas.openxmlformats.org/officeDocument/2006/relationships/hyperlink" Target="https://twitter.com/FuscaWorld" TargetMode="External"/><Relationship Id="rId4596" Type="http://schemas.openxmlformats.org/officeDocument/2006/relationships/hyperlink" Target="http://dlvr.it/" TargetMode="External"/><Relationship Id="rId5647" Type="http://schemas.openxmlformats.org/officeDocument/2006/relationships/hyperlink" Target="https://pbs.twimg.com/profile_images/550852181209800705/2SFvgJ30_normal.jpeg" TargetMode="External"/><Relationship Id="rId18061" Type="http://schemas.openxmlformats.org/officeDocument/2006/relationships/hyperlink" Target="https://pbs.twimg.com/profile_images/431166006807904256/QQuD9iZE_normal.jpeg" TargetMode="External"/><Relationship Id="rId19112" Type="http://schemas.openxmlformats.org/officeDocument/2006/relationships/hyperlink" Target="https://pbs.twimg.com/profile_images/714175709950910472/F7n1bWGY_normal.jpg" TargetMode="External"/><Relationship Id="rId22457" Type="http://schemas.openxmlformats.org/officeDocument/2006/relationships/hyperlink" Target="https://twitter.com/dubbusses" TargetMode="External"/><Relationship Id="rId23508" Type="http://schemas.openxmlformats.org/officeDocument/2006/relationships/hyperlink" Target="https://twitter.com/thesecretcaddie" TargetMode="External"/><Relationship Id="rId3198" Type="http://schemas.openxmlformats.org/officeDocument/2006/relationships/hyperlink" Target="https://twitter.com/WesHellyar" TargetMode="External"/><Relationship Id="rId4249" Type="http://schemas.openxmlformats.org/officeDocument/2006/relationships/hyperlink" Target="https://pbs.twimg.com/profile_images/657833979471634433/OT9DQrOV_normal.png" TargetMode="External"/><Relationship Id="rId8120" Type="http://schemas.openxmlformats.org/officeDocument/2006/relationships/hyperlink" Target="https://pbs.twimg.com/profile_images/703294545195307008/qeCvrX86_normal.jpg" TargetMode="External"/><Relationship Id="rId10050" Type="http://schemas.openxmlformats.org/officeDocument/2006/relationships/hyperlink" Target="https://pbs.twimg.com/profile_images/610186753719291904/V4q-4KWh_normal.png" TargetMode="External"/><Relationship Id="rId11101" Type="http://schemas.openxmlformats.org/officeDocument/2006/relationships/hyperlink" Target="https://pbs.twimg.com/profile_images/722789848218734592/taNZkEWH_normal.jpg" TargetMode="External"/><Relationship Id="rId14671" Type="http://schemas.openxmlformats.org/officeDocument/2006/relationships/hyperlink" Target="https://twitter.com/Fefe_crc/status/723579647775088640" TargetMode="External"/><Relationship Id="rId21059" Type="http://schemas.openxmlformats.org/officeDocument/2006/relationships/hyperlink" Target="https://twitter.com/KritsadakornKa2/status/724089564445466624" TargetMode="External"/><Relationship Id="rId4730" Type="http://schemas.openxmlformats.org/officeDocument/2006/relationships/hyperlink" Target="https://pbs.twimg.com/profile_images/378800000572104796/1de43e1cf23efb3f4101c02afad0d3b6_normal.png" TargetMode="External"/><Relationship Id="rId13273" Type="http://schemas.openxmlformats.org/officeDocument/2006/relationships/hyperlink" Target="https://twitter.com/Fotobiene" TargetMode="External"/><Relationship Id="rId14324" Type="http://schemas.openxmlformats.org/officeDocument/2006/relationships/hyperlink" Target="https://twitter.com/PTSDandYOU" TargetMode="External"/><Relationship Id="rId15722" Type="http://schemas.openxmlformats.org/officeDocument/2006/relationships/hyperlink" Target="https://pbs.twimg.com/profile_images/2678224876/e0d50fddebcbb0ae56734edce9d553a0_normal.jpeg" TargetMode="External"/><Relationship Id="rId21540" Type="http://schemas.openxmlformats.org/officeDocument/2006/relationships/hyperlink" Target="https://pbs.twimg.com/profile_images/378800000213755302/28f339436050b0c83caa092a3087f1ad_normal.jpeg" TargetMode="External"/><Relationship Id="rId2281" Type="http://schemas.openxmlformats.org/officeDocument/2006/relationships/hyperlink" Target="http://dlvr.it/" TargetMode="External"/><Relationship Id="rId3332" Type="http://schemas.openxmlformats.org/officeDocument/2006/relationships/hyperlink" Target="https://twitter.com/MultivaRv/status/723152043322400768" TargetMode="External"/><Relationship Id="rId17894" Type="http://schemas.openxmlformats.org/officeDocument/2006/relationships/hyperlink" Target="https://twitter.com/ABshekB/status/723831364861198336" TargetMode="External"/><Relationship Id="rId18945" Type="http://schemas.openxmlformats.org/officeDocument/2006/relationships/hyperlink" Target="https://twitter.com/about_an_hour" TargetMode="External"/><Relationship Id="rId20142" Type="http://schemas.openxmlformats.org/officeDocument/2006/relationships/hyperlink" Target="https://twitter.com/tamara_dumas" TargetMode="External"/><Relationship Id="rId253" Type="http://schemas.openxmlformats.org/officeDocument/2006/relationships/hyperlink" Target="https://twitter.com/moteking25" TargetMode="External"/><Relationship Id="rId6555" Type="http://schemas.openxmlformats.org/officeDocument/2006/relationships/hyperlink" Target="https://twitter.com/auto_hobby/status/723245642198429696" TargetMode="External"/><Relationship Id="rId7953" Type="http://schemas.openxmlformats.org/officeDocument/2006/relationships/hyperlink" Target="https://twitter.com/VWBeetleSales/status/723344102192898049" TargetMode="External"/><Relationship Id="rId10934" Type="http://schemas.openxmlformats.org/officeDocument/2006/relationships/hyperlink" Target="https://pbs.twimg.com/profile_images/718839998531903489/eXyeGppJ_normal.jpg" TargetMode="External"/><Relationship Id="rId15098" Type="http://schemas.openxmlformats.org/officeDocument/2006/relationships/hyperlink" Target="https://twitter.com/DonnaNunez4864" TargetMode="External"/><Relationship Id="rId16496" Type="http://schemas.openxmlformats.org/officeDocument/2006/relationships/hyperlink" Target="https://pbs.twimg.com/profile_images/1572942658/041220_-_Rally_Track__07__making_off2_normal.jpg" TargetMode="External"/><Relationship Id="rId17547" Type="http://schemas.openxmlformats.org/officeDocument/2006/relationships/hyperlink" Target="https://twitter.com/VeeDubMk1_" TargetMode="External"/><Relationship Id="rId24763" Type="http://schemas.openxmlformats.org/officeDocument/2006/relationships/hyperlink" Target="http://dlvr.it/" TargetMode="External"/><Relationship Id="rId5157" Type="http://schemas.openxmlformats.org/officeDocument/2006/relationships/hyperlink" Target="https://twitter.com/itscz_org" TargetMode="External"/><Relationship Id="rId6208" Type="http://schemas.openxmlformats.org/officeDocument/2006/relationships/hyperlink" Target="https://twitter.com/soenke_iwersen" TargetMode="External"/><Relationship Id="rId7606" Type="http://schemas.openxmlformats.org/officeDocument/2006/relationships/hyperlink" Target="https://pbs.twimg.com/profile_images/378800000572104796/1de43e1cf23efb3f4101c02afad0d3b6_normal.png" TargetMode="External"/><Relationship Id="rId16149" Type="http://schemas.openxmlformats.org/officeDocument/2006/relationships/hyperlink" Target="https://twitter.com/acvwpassion" TargetMode="External"/><Relationship Id="rId23365" Type="http://schemas.openxmlformats.org/officeDocument/2006/relationships/hyperlink" Target="https://pbs.twimg.com/profile_images/378800000080536808/27d73bf18de691ed686410d5b0d71bac_normal.jpeg" TargetMode="External"/><Relationship Id="rId24416" Type="http://schemas.openxmlformats.org/officeDocument/2006/relationships/hyperlink" Target="https://twitter.com/MlleD/status/724355570623500293" TargetMode="External"/><Relationship Id="rId9778" Type="http://schemas.openxmlformats.org/officeDocument/2006/relationships/hyperlink" Target="https://twitter.com/FlatOutWR_JP/status/723448802863009792" TargetMode="External"/><Relationship Id="rId12759" Type="http://schemas.openxmlformats.org/officeDocument/2006/relationships/hyperlink" Target="https://pbs.twimg.com/profile_images/530071272881803264/a_jcCmPZ_normal.png" TargetMode="External"/><Relationship Id="rId16630" Type="http://schemas.openxmlformats.org/officeDocument/2006/relationships/hyperlink" Target="https://pbs.twimg.com/profile_images/716153900202483714/M_qYTZVI_normal.jpg" TargetMode="External"/><Relationship Id="rId23018" Type="http://schemas.openxmlformats.org/officeDocument/2006/relationships/hyperlink" Target="https://twitter.com/ToyneLee" TargetMode="External"/><Relationship Id="rId1767" Type="http://schemas.openxmlformats.org/officeDocument/2006/relationships/hyperlink" Target="https://twitter.com/maritimegallery" TargetMode="External"/><Relationship Id="rId2818" Type="http://schemas.openxmlformats.org/officeDocument/2006/relationships/hyperlink" Target="https://twitter.com/RSTOKAR/status/723120605730471940" TargetMode="External"/><Relationship Id="rId14181" Type="http://schemas.openxmlformats.org/officeDocument/2006/relationships/hyperlink" Target="https://pbs.twimg.com/profile_images/515589621959254017/0u4uISfM_normal.jpeg" TargetMode="External"/><Relationship Id="rId15232" Type="http://schemas.openxmlformats.org/officeDocument/2006/relationships/hyperlink" Target="https://twitter.com/Ee_Batesy/status/723599763573231616" TargetMode="External"/><Relationship Id="rId4240" Type="http://schemas.openxmlformats.org/officeDocument/2006/relationships/hyperlink" Target="https://pbs.twimg.com/profile_images/696411580800626692/rxxGIVjg_normal.jpg" TargetMode="External"/><Relationship Id="rId8861" Type="http://schemas.openxmlformats.org/officeDocument/2006/relationships/hyperlink" Target="https://twitter.com/SJudzikowski" TargetMode="External"/><Relationship Id="rId9912" Type="http://schemas.openxmlformats.org/officeDocument/2006/relationships/hyperlink" Target="https://twitter.com/ruv24_de" TargetMode="External"/><Relationship Id="rId18455" Type="http://schemas.openxmlformats.org/officeDocument/2006/relationships/hyperlink" Target="https://twitter.com/MotorHour" TargetMode="External"/><Relationship Id="rId19853" Type="http://schemas.openxmlformats.org/officeDocument/2006/relationships/hyperlink" Target="https://pbs.twimg.com/profile_images/665618632802615297/ejRWRQP7_normal.jpg" TargetMode="External"/><Relationship Id="rId21050" Type="http://schemas.openxmlformats.org/officeDocument/2006/relationships/hyperlink" Target="https://twitter.com/FuscaWorld/status/724088532957011968" TargetMode="External"/><Relationship Id="rId22101" Type="http://schemas.openxmlformats.org/officeDocument/2006/relationships/hyperlink" Target="https://twitter.com/OnlineCarReview" TargetMode="External"/><Relationship Id="rId25671" Type="http://schemas.openxmlformats.org/officeDocument/2006/relationships/hyperlink" Target="https://twitter.com/lovepeace1009" TargetMode="External"/><Relationship Id="rId7463" Type="http://schemas.openxmlformats.org/officeDocument/2006/relationships/hyperlink" Target="https://twitter.com/Automotormz" TargetMode="External"/><Relationship Id="rId8514" Type="http://schemas.openxmlformats.org/officeDocument/2006/relationships/hyperlink" Target="https://twitter.com/VWCamperSales" TargetMode="External"/><Relationship Id="rId10791" Type="http://schemas.openxmlformats.org/officeDocument/2006/relationships/hyperlink" Target="https://twitter.com/SwissJacker/status/723485063304863746" TargetMode="External"/><Relationship Id="rId11842" Type="http://schemas.openxmlformats.org/officeDocument/2006/relationships/hyperlink" Target="https://twitter.com/KeHaber" TargetMode="External"/><Relationship Id="rId17057" Type="http://schemas.openxmlformats.org/officeDocument/2006/relationships/hyperlink" Target="https://pbs.twimg.com/profile_images/626150798590902273/qUbM1D-g_normal.jpg" TargetMode="External"/><Relationship Id="rId18108" Type="http://schemas.openxmlformats.org/officeDocument/2006/relationships/hyperlink" Target="https://twitter.com/Aboutwheels" TargetMode="External"/><Relationship Id="rId19506" Type="http://schemas.openxmlformats.org/officeDocument/2006/relationships/hyperlink" Target="https://pbs.twimg.com/profile_images/421938414871937024/zFnDBbTQ_normal.jpeg" TargetMode="External"/><Relationship Id="rId24273" Type="http://schemas.openxmlformats.org/officeDocument/2006/relationships/hyperlink" Target="https://twitter.com/VCT_Tweets/status/724342731368202241" TargetMode="External"/><Relationship Id="rId25324" Type="http://schemas.openxmlformats.org/officeDocument/2006/relationships/hyperlink" Target="https://pbs.twimg.com/profile_images/716074183000793088/STBF0Kla_normal.jpg" TargetMode="External"/><Relationship Id="rId1901" Type="http://schemas.openxmlformats.org/officeDocument/2006/relationships/hyperlink" Target="https://twitter.com/mishegas/status/723067974349807616" TargetMode="External"/><Relationship Id="rId6065" Type="http://schemas.openxmlformats.org/officeDocument/2006/relationships/hyperlink" Target="https://pbs.twimg.com/profile_images/623928784752873472/Js619Icf_normal.jpg" TargetMode="External"/><Relationship Id="rId7116" Type="http://schemas.openxmlformats.org/officeDocument/2006/relationships/hyperlink" Target="https://twitter.com/IrlPublicBanks" TargetMode="External"/><Relationship Id="rId10444" Type="http://schemas.openxmlformats.org/officeDocument/2006/relationships/hyperlink" Target="https://twitter.com/snoopy_xxl" TargetMode="External"/><Relationship Id="rId9288" Type="http://schemas.openxmlformats.org/officeDocument/2006/relationships/hyperlink" Target="https://twitter.com/anura_bandara" TargetMode="External"/><Relationship Id="rId13667" Type="http://schemas.openxmlformats.org/officeDocument/2006/relationships/hyperlink" Target="https://twitter.com/gengh60/status/723552610314260481" TargetMode="External"/><Relationship Id="rId14718" Type="http://schemas.openxmlformats.org/officeDocument/2006/relationships/hyperlink" Target="https://pbs.twimg.com/profile_images/521406560179085312/6RyXKIat_normal.jpeg" TargetMode="External"/><Relationship Id="rId20883" Type="http://schemas.openxmlformats.org/officeDocument/2006/relationships/hyperlink" Target="https://pbs.twimg.com/profile_images/554457656291639297/Q95Z8_au_normal.jpeg" TargetMode="External"/><Relationship Id="rId21934" Type="http://schemas.openxmlformats.org/officeDocument/2006/relationships/hyperlink" Target="https://pbs.twimg.com/profile_images/720632404436742145/1xwLeB9I_normal.jpg" TargetMode="External"/><Relationship Id="rId994" Type="http://schemas.openxmlformats.org/officeDocument/2006/relationships/hyperlink" Target="https://twitter.com/StackMechanics/status/723010862903091200" TargetMode="External"/><Relationship Id="rId2675" Type="http://schemas.openxmlformats.org/officeDocument/2006/relationships/hyperlink" Target="https://twitter.com/Deejay_1KK" TargetMode="External"/><Relationship Id="rId3726" Type="http://schemas.openxmlformats.org/officeDocument/2006/relationships/hyperlink" Target="https://twitter.com/Fernandez_Diego/status/723168340064260096" TargetMode="External"/><Relationship Id="rId12269" Type="http://schemas.openxmlformats.org/officeDocument/2006/relationships/hyperlink" Target="https://twitter.com/Teresa2561Terry/status/723516414041137152" TargetMode="External"/><Relationship Id="rId16140" Type="http://schemas.openxmlformats.org/officeDocument/2006/relationships/hyperlink" Target="https://twitter.com/VolkswagenPost" TargetMode="External"/><Relationship Id="rId20536" Type="http://schemas.openxmlformats.org/officeDocument/2006/relationships/hyperlink" Target="https://pbs.twimg.com/profile_images/378800000383656962/389f4a2062ec3c75e130fd84590d969c_normal.png" TargetMode="External"/><Relationship Id="rId647" Type="http://schemas.openxmlformats.org/officeDocument/2006/relationships/hyperlink" Target="https://pbs.twimg.com/profile_images/540357243083190272/2nP7G2Hg_normal.jpeg" TargetMode="External"/><Relationship Id="rId1277" Type="http://schemas.openxmlformats.org/officeDocument/2006/relationships/hyperlink" Target="https://twitter.com/IFeelPossessed/status/723030993083502592" TargetMode="External"/><Relationship Id="rId2328" Type="http://schemas.openxmlformats.org/officeDocument/2006/relationships/hyperlink" Target="https://twitter.com/AmwalAlGhad_EN" TargetMode="External"/><Relationship Id="rId5898" Type="http://schemas.openxmlformats.org/officeDocument/2006/relationships/hyperlink" Target="https://twitter.com/merriemarie" TargetMode="External"/><Relationship Id="rId6949" Type="http://schemas.openxmlformats.org/officeDocument/2006/relationships/hyperlink" Target="https://twitter.com/profmonllor" TargetMode="External"/><Relationship Id="rId12750" Type="http://schemas.openxmlformats.org/officeDocument/2006/relationships/hyperlink" Target="https://twitter.com/VWBeetleSales" TargetMode="External"/><Relationship Id="rId19363" Type="http://schemas.openxmlformats.org/officeDocument/2006/relationships/hyperlink" Target="https://pbs.twimg.com/profile_images/714476941072592896/m2fe4VI4_normal.jpg" TargetMode="External"/><Relationship Id="rId23759" Type="http://schemas.openxmlformats.org/officeDocument/2006/relationships/hyperlink" Target="https://twitter.com/vwdepo" TargetMode="External"/><Relationship Id="rId8371" Type="http://schemas.openxmlformats.org/officeDocument/2006/relationships/hyperlink" Target="https://twitter.com/StaffsVW" TargetMode="External"/><Relationship Id="rId9422" Type="http://schemas.openxmlformats.org/officeDocument/2006/relationships/hyperlink" Target="https://twitter.com/VWCamperSales/status/723434695518638080" TargetMode="External"/><Relationship Id="rId11352" Type="http://schemas.openxmlformats.org/officeDocument/2006/relationships/hyperlink" Target="https://pbs.twimg.com/profile_images/679169821771235328/It0FNaon_normal.jpg" TargetMode="External"/><Relationship Id="rId12403" Type="http://schemas.openxmlformats.org/officeDocument/2006/relationships/hyperlink" Target="https://twitter.com/mu_giwara" TargetMode="External"/><Relationship Id="rId13801" Type="http://schemas.openxmlformats.org/officeDocument/2006/relationships/hyperlink" Target="https://twitter.com/christianduerr/status/723556461431918593" TargetMode="External"/><Relationship Id="rId19016" Type="http://schemas.openxmlformats.org/officeDocument/2006/relationships/hyperlink" Target="https://pbs.twimg.com/profile_images/1649649893/vacaloca_normal.jpg" TargetMode="External"/><Relationship Id="rId25181" Type="http://schemas.openxmlformats.org/officeDocument/2006/relationships/hyperlink" Target="https://twitter.com/AutostyleCoZa/status/724425652305334272" TargetMode="External"/><Relationship Id="rId1411" Type="http://schemas.openxmlformats.org/officeDocument/2006/relationships/hyperlink" Target="https://pbs.twimg.com/profile_images/378800000307960407/a765711867b2e7400de3860f4ee9cc9d_normal.jpeg" TargetMode="External"/><Relationship Id="rId8024" Type="http://schemas.openxmlformats.org/officeDocument/2006/relationships/hyperlink" Target="https://twitter.com/APWCares/status/723353873516257280" TargetMode="External"/><Relationship Id="rId11005" Type="http://schemas.openxmlformats.org/officeDocument/2006/relationships/hyperlink" Target="https://twitter.com/polodrivercom" TargetMode="External"/><Relationship Id="rId15973" Type="http://schemas.openxmlformats.org/officeDocument/2006/relationships/hyperlink" Target="https://twitter.com/britezmalee" TargetMode="External"/><Relationship Id="rId3583" Type="http://schemas.openxmlformats.org/officeDocument/2006/relationships/hyperlink" Target="https://twitter.com/VolkswagenPost/status/723165108180901888" TargetMode="External"/><Relationship Id="rId4981" Type="http://schemas.openxmlformats.org/officeDocument/2006/relationships/hyperlink" Target="https://pbs.twimg.com/profile_images/714548199294418944/5p7GzpJ5_normal.jpg" TargetMode="External"/><Relationship Id="rId13177" Type="http://schemas.openxmlformats.org/officeDocument/2006/relationships/hyperlink" Target="https://pbs.twimg.com/profile_images/3012106875/596e712c99a38ec69b925b7f7ab71986_normal.jpeg" TargetMode="External"/><Relationship Id="rId14575" Type="http://schemas.openxmlformats.org/officeDocument/2006/relationships/hyperlink" Target="https://twitter.com/tagesschau" TargetMode="External"/><Relationship Id="rId15626" Type="http://schemas.openxmlformats.org/officeDocument/2006/relationships/hyperlink" Target="http://dlvr.it/" TargetMode="External"/><Relationship Id="rId20393" Type="http://schemas.openxmlformats.org/officeDocument/2006/relationships/hyperlink" Target="https://twitter.com/andrewtconway/status/723995393256755203" TargetMode="External"/><Relationship Id="rId21791" Type="http://schemas.openxmlformats.org/officeDocument/2006/relationships/hyperlink" Target="https://twitter.com/dubbusses/status/724179055877206016" TargetMode="External"/><Relationship Id="rId22842" Type="http://schemas.openxmlformats.org/officeDocument/2006/relationships/hyperlink" Target="https://pbs.twimg.com/profile_images/2999079371/5adcf496151b433e7ec531a4841b2fa8_normal.jpeg" TargetMode="External"/><Relationship Id="rId2185" Type="http://schemas.openxmlformats.org/officeDocument/2006/relationships/hyperlink" Target="https://twitter.com/panicswitch777" TargetMode="External"/><Relationship Id="rId3236" Type="http://schemas.openxmlformats.org/officeDocument/2006/relationships/hyperlink" Target="https://twitter.com/sprinter_bc" TargetMode="External"/><Relationship Id="rId4634" Type="http://schemas.openxmlformats.org/officeDocument/2006/relationships/hyperlink" Target="https://pbs.twimg.com/profile_images/562676834957922304/234gJlV6_normal.jpeg" TargetMode="External"/><Relationship Id="rId14228" Type="http://schemas.openxmlformats.org/officeDocument/2006/relationships/hyperlink" Target="https://pbs.twimg.com/profile_images/703294545195307008/qeCvrX86_normal.jpg" TargetMode="External"/><Relationship Id="rId17798" Type="http://schemas.openxmlformats.org/officeDocument/2006/relationships/hyperlink" Target="https://twitter.com/marcomausf" TargetMode="External"/><Relationship Id="rId18849" Type="http://schemas.openxmlformats.org/officeDocument/2006/relationships/hyperlink" Target="https://pbs.twimg.com/profile_images/567520162409365504/HSx0xrJm_normal.jpeg" TargetMode="External"/><Relationship Id="rId20046" Type="http://schemas.openxmlformats.org/officeDocument/2006/relationships/hyperlink" Target="https://pbs.twimg.com/profile_images/425599818853912576/kKRiBOc1_normal.jpeg" TargetMode="External"/><Relationship Id="rId21444" Type="http://schemas.openxmlformats.org/officeDocument/2006/relationships/hyperlink" Target="https://twitter.com/dubbusses/status/724148734116896768" TargetMode="External"/><Relationship Id="rId157" Type="http://schemas.openxmlformats.org/officeDocument/2006/relationships/hyperlink" Target="https://twitter.com/ThoughtsToPondr/status/722931299086938112" TargetMode="External"/><Relationship Id="rId7857" Type="http://schemas.openxmlformats.org/officeDocument/2006/relationships/hyperlink" Target="https://pbs.twimg.com/profile_images/704519803189518337/7n7TPnoc_normal.jpg" TargetMode="External"/><Relationship Id="rId8908" Type="http://schemas.openxmlformats.org/officeDocument/2006/relationships/hyperlink" Target="https://pbs.twimg.com/profile_images/2908590566/828967841f09b515ee36e3dfccea4d28_normal.png" TargetMode="External"/><Relationship Id="rId10838" Type="http://schemas.openxmlformats.org/officeDocument/2006/relationships/hyperlink" Target="https://twitter.com/DrummerBrown" TargetMode="External"/><Relationship Id="rId24667" Type="http://schemas.openxmlformats.org/officeDocument/2006/relationships/hyperlink" Target="https://twitter.com/beetlebug1938" TargetMode="External"/><Relationship Id="rId25718" Type="http://schemas.openxmlformats.org/officeDocument/2006/relationships/hyperlink" Target="https://pbs.twimg.com/profile_images/523189174565105664/-77bYbwO_normal.jpeg" TargetMode="External"/><Relationship Id="rId6459" Type="http://schemas.openxmlformats.org/officeDocument/2006/relationships/hyperlink" Target="https://twitter.com/ABWF21/status/723243833585221633" TargetMode="External"/><Relationship Id="rId12260" Type="http://schemas.openxmlformats.org/officeDocument/2006/relationships/hyperlink" Target="http://www.infooffensive.de/" TargetMode="External"/><Relationship Id="rId13311" Type="http://schemas.openxmlformats.org/officeDocument/2006/relationships/hyperlink" Target="https://twitter.com/beetlebug1938/status/723543141631008768" TargetMode="External"/><Relationship Id="rId16881" Type="http://schemas.openxmlformats.org/officeDocument/2006/relationships/hyperlink" Target="https://pbs.twimg.com/profile_images/703294545195307008/qeCvrX86_normal.jpg" TargetMode="External"/><Relationship Id="rId23269" Type="http://schemas.openxmlformats.org/officeDocument/2006/relationships/hyperlink" Target="https://twitter.com/saimisim_pasta/status/724277041302888448" TargetMode="External"/><Relationship Id="rId6940" Type="http://schemas.openxmlformats.org/officeDocument/2006/relationships/hyperlink" Target="https://twitter.com/JaguarApp" TargetMode="External"/><Relationship Id="rId15483" Type="http://schemas.openxmlformats.org/officeDocument/2006/relationships/hyperlink" Target="https://twitter.com/Nikola_John" TargetMode="External"/><Relationship Id="rId16534" Type="http://schemas.openxmlformats.org/officeDocument/2006/relationships/hyperlink" Target="https://twitter.com/CalgaryToday" TargetMode="External"/><Relationship Id="rId17932" Type="http://schemas.openxmlformats.org/officeDocument/2006/relationships/hyperlink" Target="https://twitter.com/MinnieMelville/status/723835673149579264" TargetMode="External"/><Relationship Id="rId23750" Type="http://schemas.openxmlformats.org/officeDocument/2006/relationships/hyperlink" Target="https://twitter.com/armandoh_8" TargetMode="External"/><Relationship Id="rId4491" Type="http://schemas.openxmlformats.org/officeDocument/2006/relationships/hyperlink" Target="https://twitter.com/Einstein_MTMP" TargetMode="External"/><Relationship Id="rId5542" Type="http://schemas.openxmlformats.org/officeDocument/2006/relationships/hyperlink" Target="https://twitter.com/pillows_adam" TargetMode="External"/><Relationship Id="rId14085" Type="http://schemas.openxmlformats.org/officeDocument/2006/relationships/hyperlink" Target="https://twitter.com/HillerGabriele" TargetMode="External"/><Relationship Id="rId15136" Type="http://schemas.openxmlformats.org/officeDocument/2006/relationships/hyperlink" Target="https://twitter.com/JohnHall_UK" TargetMode="External"/><Relationship Id="rId22352" Type="http://schemas.openxmlformats.org/officeDocument/2006/relationships/hyperlink" Target="https://twitter.com/feralf" TargetMode="External"/><Relationship Id="rId23403" Type="http://schemas.openxmlformats.org/officeDocument/2006/relationships/hyperlink" Target="https://twitter.com/LulubelleLimoVW" TargetMode="External"/><Relationship Id="rId24801" Type="http://schemas.openxmlformats.org/officeDocument/2006/relationships/hyperlink" Target="https://pbs.twimg.com/profile_images/724349488605847552/CHTQnVGi_normal.jpg" TargetMode="External"/><Relationship Id="rId3093" Type="http://schemas.openxmlformats.org/officeDocument/2006/relationships/hyperlink" Target="https://twitter.com/svetnovca" TargetMode="External"/><Relationship Id="rId4144" Type="http://schemas.openxmlformats.org/officeDocument/2006/relationships/hyperlink" Target="https://twitter.com/CALPIRG" TargetMode="External"/><Relationship Id="rId8765" Type="http://schemas.openxmlformats.org/officeDocument/2006/relationships/hyperlink" Target="https://twitter.com/absieber" TargetMode="External"/><Relationship Id="rId19757" Type="http://schemas.openxmlformats.org/officeDocument/2006/relationships/hyperlink" Target="https://pbs.twimg.com/profile_images/698975675609444353/OL5xE0gm_normal.jpg" TargetMode="External"/><Relationship Id="rId22005" Type="http://schemas.openxmlformats.org/officeDocument/2006/relationships/hyperlink" Target="https://twitter.com/beetlebug1938/status/724193531288535040" TargetMode="External"/><Relationship Id="rId7367" Type="http://schemas.openxmlformats.org/officeDocument/2006/relationships/hyperlink" Target="https://twitter.com/hustead777" TargetMode="External"/><Relationship Id="rId8418" Type="http://schemas.openxmlformats.org/officeDocument/2006/relationships/hyperlink" Target="https://pbs.twimg.com/profile_images/669968150708924416/n-JyEd3M_normal.png" TargetMode="External"/><Relationship Id="rId9816" Type="http://schemas.openxmlformats.org/officeDocument/2006/relationships/hyperlink" Target="https://twitter.com/wehrs18" TargetMode="External"/><Relationship Id="rId10695" Type="http://schemas.openxmlformats.org/officeDocument/2006/relationships/hyperlink" Target="https://twitter.com/GACCColorado/status/723481252632866816" TargetMode="External"/><Relationship Id="rId11746" Type="http://schemas.openxmlformats.org/officeDocument/2006/relationships/hyperlink" Target="https://pbs.twimg.com/profile_images/625722540892143616/9RoFJo3Y_normal.jpg" TargetMode="External"/><Relationship Id="rId18359" Type="http://schemas.openxmlformats.org/officeDocument/2006/relationships/hyperlink" Target="https://twitter.com/richgoodingcom" TargetMode="External"/><Relationship Id="rId24177" Type="http://schemas.openxmlformats.org/officeDocument/2006/relationships/hyperlink" Target="https://twitter.com/VWCamperSales/status/724336889923166209" TargetMode="External"/><Relationship Id="rId25575" Type="http://schemas.openxmlformats.org/officeDocument/2006/relationships/hyperlink" Target="https://twitter.com/PicadasArg/status/724449405340921858" TargetMode="External"/><Relationship Id="rId1805" Type="http://schemas.openxmlformats.org/officeDocument/2006/relationships/hyperlink" Target="https://twitter.com/carstech42160/status/723058855320514561" TargetMode="External"/><Relationship Id="rId10348" Type="http://schemas.openxmlformats.org/officeDocument/2006/relationships/hyperlink" Target="https://twitter.com/akihheikkinen/status/723470285190651906" TargetMode="External"/><Relationship Id="rId14969" Type="http://schemas.openxmlformats.org/officeDocument/2006/relationships/hyperlink" Target="https://twitter.com/DrWetti" TargetMode="External"/><Relationship Id="rId18840" Type="http://schemas.openxmlformats.org/officeDocument/2006/relationships/hyperlink" Target="https://pbs.twimg.com/profile_images/720902665379659776/3AQo3tuF_normal.jpg" TargetMode="External"/><Relationship Id="rId25228" Type="http://schemas.openxmlformats.org/officeDocument/2006/relationships/hyperlink" Target="https://twitter.com/cmsGOMEX" TargetMode="External"/><Relationship Id="rId3977" Type="http://schemas.openxmlformats.org/officeDocument/2006/relationships/hyperlink" Target="https://twitter.com/DPWerks/status/723173453579333632" TargetMode="External"/><Relationship Id="rId16391" Type="http://schemas.openxmlformats.org/officeDocument/2006/relationships/hyperlink" Target="https://twitter.com/beetlebug1938/status/723678672226553856" TargetMode="External"/><Relationship Id="rId17442" Type="http://schemas.openxmlformats.org/officeDocument/2006/relationships/hyperlink" Target="https://pbs.twimg.com/profile_images/621428656/IMG_0670_normal.jpg" TargetMode="External"/><Relationship Id="rId20787" Type="http://schemas.openxmlformats.org/officeDocument/2006/relationships/hyperlink" Target="https://twitter.com/FuscaWorld" TargetMode="External"/><Relationship Id="rId21838" Type="http://schemas.openxmlformats.org/officeDocument/2006/relationships/hyperlink" Target="https://twitter.com/OnlineCarReview/status/724184954561650690" TargetMode="External"/><Relationship Id="rId898" Type="http://schemas.openxmlformats.org/officeDocument/2006/relationships/hyperlink" Target="https://pbs.twimg.com/profile_images/708146653216157696/1QlyxxR8_normal.jpg" TargetMode="External"/><Relationship Id="rId2579" Type="http://schemas.openxmlformats.org/officeDocument/2006/relationships/hyperlink" Target="https://twitter.com/wehrs18" TargetMode="External"/><Relationship Id="rId6450" Type="http://schemas.openxmlformats.org/officeDocument/2006/relationships/hyperlink" Target="https://twitter.com/VeeDubMk1_/status/723243227772510208" TargetMode="External"/><Relationship Id="rId7501" Type="http://schemas.openxmlformats.org/officeDocument/2006/relationships/hyperlink" Target="https://twitter.com/LKBryanfistoGo/status/723306938709229568" TargetMode="External"/><Relationship Id="rId16044" Type="http://schemas.openxmlformats.org/officeDocument/2006/relationships/hyperlink" Target="https://twitter.com/acdcabba/status/723645706163068928" TargetMode="External"/><Relationship Id="rId23260" Type="http://schemas.openxmlformats.org/officeDocument/2006/relationships/hyperlink" Target="https://twitter.com/Its_Master_Q/status/724276407468195840" TargetMode="External"/><Relationship Id="rId24311" Type="http://schemas.openxmlformats.org/officeDocument/2006/relationships/hyperlink" Target="https://twitter.com/VWCamperSales" TargetMode="External"/><Relationship Id="rId5052" Type="http://schemas.openxmlformats.org/officeDocument/2006/relationships/hyperlink" Target="https://twitter.com/x3m_f" TargetMode="External"/><Relationship Id="rId6103" Type="http://schemas.openxmlformats.org/officeDocument/2006/relationships/hyperlink" Target="https://twitter.com/mvdweyer/status/723229963659415553" TargetMode="External"/><Relationship Id="rId9673" Type="http://schemas.openxmlformats.org/officeDocument/2006/relationships/hyperlink" Target="https://twitter.com/JuanjoMorodo" TargetMode="External"/><Relationship Id="rId19267" Type="http://schemas.openxmlformats.org/officeDocument/2006/relationships/hyperlink" Target="https://twitter.com/CHAELlNXI" TargetMode="External"/><Relationship Id="rId1662" Type="http://schemas.openxmlformats.org/officeDocument/2006/relationships/hyperlink" Target="https://twitter.com/Scirocco_Tuning/status/723051914586411008" TargetMode="External"/><Relationship Id="rId8275" Type="http://schemas.openxmlformats.org/officeDocument/2006/relationships/hyperlink" Target="https://twitter.com/dpa/status/723380543149080578" TargetMode="External"/><Relationship Id="rId9326" Type="http://schemas.openxmlformats.org/officeDocument/2006/relationships/hyperlink" Target="https://pbs.twimg.com/profile_images/692688034601443328/Xvlk-vez_normal.png" TargetMode="External"/><Relationship Id="rId11256" Type="http://schemas.openxmlformats.org/officeDocument/2006/relationships/hyperlink" Target="https://twitter.com/MarkCSchneider/status/723500013310058496" TargetMode="External"/><Relationship Id="rId12654" Type="http://schemas.openxmlformats.org/officeDocument/2006/relationships/hyperlink" Target="https://twitter.com/phoenix_kom/status/723524523849469952" TargetMode="External"/><Relationship Id="rId13705" Type="http://schemas.openxmlformats.org/officeDocument/2006/relationships/hyperlink" Target="https://twitter.com/iamsalimali" TargetMode="External"/><Relationship Id="rId20921" Type="http://schemas.openxmlformats.org/officeDocument/2006/relationships/hyperlink" Target="https://twitter.com/seannosoul" TargetMode="External"/><Relationship Id="rId25085" Type="http://schemas.openxmlformats.org/officeDocument/2006/relationships/hyperlink" Target="https://twitter.com/whats_live" TargetMode="External"/><Relationship Id="rId1315" Type="http://schemas.openxmlformats.org/officeDocument/2006/relationships/hyperlink" Target="https://pbs.twimg.com/profile_images/700071746502791169/Bo6w2SEg_normal.jpg" TargetMode="External"/><Relationship Id="rId2713" Type="http://schemas.openxmlformats.org/officeDocument/2006/relationships/hyperlink" Target="https://pbs.twimg.com/profile_images/534347903415091200/7vSjzA4l_normal.jpeg" TargetMode="External"/><Relationship Id="rId12307" Type="http://schemas.openxmlformats.org/officeDocument/2006/relationships/hyperlink" Target="https://twitter.com/GrahameLucas" TargetMode="External"/><Relationship Id="rId15877" Type="http://schemas.openxmlformats.org/officeDocument/2006/relationships/hyperlink" Target="https://twitter.com/PicadasArg" TargetMode="External"/><Relationship Id="rId16928" Type="http://schemas.openxmlformats.org/officeDocument/2006/relationships/hyperlink" Target="https://twitter.com/MikerHerrera/status/723750269960376321" TargetMode="External"/><Relationship Id="rId4885" Type="http://schemas.openxmlformats.org/officeDocument/2006/relationships/hyperlink" Target="http://tagesschau.de/" TargetMode="External"/><Relationship Id="rId5936" Type="http://schemas.openxmlformats.org/officeDocument/2006/relationships/hyperlink" Target="https://twitter.com/COMEXI/status/723224952334217217" TargetMode="External"/><Relationship Id="rId14479" Type="http://schemas.openxmlformats.org/officeDocument/2006/relationships/hyperlink" Target="https://twitter.com/HelenaFalke1/status/723574687909969920" TargetMode="External"/><Relationship Id="rId18350" Type="http://schemas.openxmlformats.org/officeDocument/2006/relationships/hyperlink" Target="https://twitter.com/fatifit" TargetMode="External"/><Relationship Id="rId19401" Type="http://schemas.openxmlformats.org/officeDocument/2006/relationships/hyperlink" Target="https://pbs.twimg.com/profile_images/703294545195307008/qeCvrX86_normal.jpg" TargetMode="External"/><Relationship Id="rId21695" Type="http://schemas.openxmlformats.org/officeDocument/2006/relationships/hyperlink" Target="https://twitter.com/Scirocco_Tuning/status/724169549394767873" TargetMode="External"/><Relationship Id="rId22746" Type="http://schemas.openxmlformats.org/officeDocument/2006/relationships/hyperlink" Target="https://pbs.twimg.com/profile_images/424893967197433858/iQ86NktX_normal.jpeg" TargetMode="External"/><Relationship Id="rId21" Type="http://schemas.openxmlformats.org/officeDocument/2006/relationships/hyperlink" Target="https://pbs.twimg.com/profile_images/714558560936529920/fOUFpJYx_normal.jpg" TargetMode="External"/><Relationship Id="rId2089" Type="http://schemas.openxmlformats.org/officeDocument/2006/relationships/hyperlink" Target="https://twitter.com/Insta_VWT" TargetMode="External"/><Relationship Id="rId3487" Type="http://schemas.openxmlformats.org/officeDocument/2006/relationships/hyperlink" Target="https://twitter.com/ValeMartin_/status/723160537484410880" TargetMode="External"/><Relationship Id="rId4538" Type="http://schemas.openxmlformats.org/officeDocument/2006/relationships/hyperlink" Target="https://pbs.twimg.com/profile_images/601443139006566400/jVD8Xyb1_normal.png" TargetMode="External"/><Relationship Id="rId14960" Type="http://schemas.openxmlformats.org/officeDocument/2006/relationships/hyperlink" Target="https://twitter.com/beetlebug1938" TargetMode="External"/><Relationship Id="rId18003" Type="http://schemas.openxmlformats.org/officeDocument/2006/relationships/hyperlink" Target="https://pbs.twimg.com/profile_images/468388723357278208/ffmBn-pp_normal.jpeg" TargetMode="External"/><Relationship Id="rId20297" Type="http://schemas.openxmlformats.org/officeDocument/2006/relationships/hyperlink" Target="https://twitter.com/Oqwamjaeger0P" TargetMode="External"/><Relationship Id="rId21348" Type="http://schemas.openxmlformats.org/officeDocument/2006/relationships/hyperlink" Target="https://twitter.com/Volkstyp2/status/724142874477092865" TargetMode="External"/><Relationship Id="rId7011" Type="http://schemas.openxmlformats.org/officeDocument/2006/relationships/hyperlink" Target="https://pbs.twimg.com/profile_images/424893967197433858/iQ86NktX_normal.jpeg" TargetMode="External"/><Relationship Id="rId13562" Type="http://schemas.openxmlformats.org/officeDocument/2006/relationships/hyperlink" Target="https://pbs.twimg.com/profile_images/378800000638483737/f6e910d6eca0645d47bf50075d240b20_normal.jpeg" TargetMode="External"/><Relationship Id="rId14613" Type="http://schemas.openxmlformats.org/officeDocument/2006/relationships/hyperlink" Target="https://twitter.com/William24442835" TargetMode="External"/><Relationship Id="rId2570" Type="http://schemas.openxmlformats.org/officeDocument/2006/relationships/hyperlink" Target="https://twitter.com/FrVision" TargetMode="External"/><Relationship Id="rId3621" Type="http://schemas.openxmlformats.org/officeDocument/2006/relationships/hyperlink" Target="https://twitter.com/beetlebug1938/status/723166064205541376" TargetMode="External"/><Relationship Id="rId9183" Type="http://schemas.openxmlformats.org/officeDocument/2006/relationships/hyperlink" Target="https://twitter.com/Insta_VWT" TargetMode="External"/><Relationship Id="rId12164" Type="http://schemas.openxmlformats.org/officeDocument/2006/relationships/hyperlink" Target="https://twitter.com/OhSooSocial/status/723514198844706817" TargetMode="External"/><Relationship Id="rId13215" Type="http://schemas.openxmlformats.org/officeDocument/2006/relationships/hyperlink" Target="https://twitter.com/DarioRickensdor" TargetMode="External"/><Relationship Id="rId20431" Type="http://schemas.openxmlformats.org/officeDocument/2006/relationships/hyperlink" Target="https://twitter.com/amdonahue92" TargetMode="External"/><Relationship Id="rId542" Type="http://schemas.openxmlformats.org/officeDocument/2006/relationships/hyperlink" Target="https://pbs.twimg.com/profile_images/540328313173327873/pKABtTLk_normal.jpeg" TargetMode="External"/><Relationship Id="rId1172" Type="http://schemas.openxmlformats.org/officeDocument/2006/relationships/hyperlink" Target="https://twitter.com/da010445/status/723024020199759872" TargetMode="External"/><Relationship Id="rId2223" Type="http://schemas.openxmlformats.org/officeDocument/2006/relationships/hyperlink" Target="https://twitter.com/VWLorient/status/723089612550361088" TargetMode="External"/><Relationship Id="rId5793" Type="http://schemas.openxmlformats.org/officeDocument/2006/relationships/hyperlink" Target="https://twitter.com/midaytona" TargetMode="External"/><Relationship Id="rId6844" Type="http://schemas.openxmlformats.org/officeDocument/2006/relationships/hyperlink" Target="https://pbs.twimg.com/profile_images/419154696507387905/W3B8TRMc_normal.jpeg" TargetMode="External"/><Relationship Id="rId15387" Type="http://schemas.openxmlformats.org/officeDocument/2006/relationships/hyperlink" Target="https://pbs.twimg.com/profile_images/1169387207/uhu_normal.jpg" TargetMode="External"/><Relationship Id="rId16785" Type="http://schemas.openxmlformats.org/officeDocument/2006/relationships/hyperlink" Target="https://twitter.com/tschmitz_eu" TargetMode="External"/><Relationship Id="rId17836" Type="http://schemas.openxmlformats.org/officeDocument/2006/relationships/hyperlink" Target="https://twitter.com/FellianTsuyoshi/status/723827354284511232" TargetMode="External"/><Relationship Id="rId4395" Type="http://schemas.openxmlformats.org/officeDocument/2006/relationships/hyperlink" Target="https://pbs.twimg.com/profile_images/651119142670499840/QYoBetcy_normal.jpg" TargetMode="External"/><Relationship Id="rId5446" Type="http://schemas.openxmlformats.org/officeDocument/2006/relationships/hyperlink" Target="https://twitter.com/DaniDoesLaw" TargetMode="External"/><Relationship Id="rId16438" Type="http://schemas.openxmlformats.org/officeDocument/2006/relationships/hyperlink" Target="https://twitter.com/techislet" TargetMode="External"/><Relationship Id="rId22256" Type="http://schemas.openxmlformats.org/officeDocument/2006/relationships/hyperlink" Target="https://pbs.twimg.com/profile_images/2381647126/welcomearea-55-w_ekm_208x230_ekm__normal.jpg" TargetMode="External"/><Relationship Id="rId23654" Type="http://schemas.openxmlformats.org/officeDocument/2006/relationships/hyperlink" Target="https://twitter.com/VWCamperSales/status/724303674411913216" TargetMode="External"/><Relationship Id="rId24705" Type="http://schemas.openxmlformats.org/officeDocument/2006/relationships/hyperlink" Target="https://twitter.com/FuscaWorld/status/724385078353211392" TargetMode="External"/><Relationship Id="rId4048" Type="http://schemas.openxmlformats.org/officeDocument/2006/relationships/hyperlink" Target="https://twitter.com/RoadandTrack" TargetMode="External"/><Relationship Id="rId11997" Type="http://schemas.openxmlformats.org/officeDocument/2006/relationships/hyperlink" Target="https://pbs.twimg.com/profile_images/461118397548212226/84PnzODQ_normal.png" TargetMode="External"/><Relationship Id="rId23307" Type="http://schemas.openxmlformats.org/officeDocument/2006/relationships/hyperlink" Target="https://pbs.twimg.com/profile_images/470615666496532480/Su1-rkIN_normal.jpeg" TargetMode="External"/><Relationship Id="rId8669" Type="http://schemas.openxmlformats.org/officeDocument/2006/relationships/hyperlink" Target="https://twitter.com/techhippie" TargetMode="External"/><Relationship Id="rId10599" Type="http://schemas.openxmlformats.org/officeDocument/2006/relationships/hyperlink" Target="https://twitter.com/follow_eiver" TargetMode="External"/><Relationship Id="rId14470" Type="http://schemas.openxmlformats.org/officeDocument/2006/relationships/hyperlink" Target="https://twitter.com/sperrenohneball/status/723574447102373889" TargetMode="External"/><Relationship Id="rId15521" Type="http://schemas.openxmlformats.org/officeDocument/2006/relationships/hyperlink" Target="https://pbs.twimg.com/profile_images/2208847688/Untitled-2_normal.jpg" TargetMode="External"/><Relationship Id="rId25479" Type="http://schemas.openxmlformats.org/officeDocument/2006/relationships/hyperlink" Target="https://pbs.twimg.com/profile_images/378800000572104796/1de43e1cf23efb3f4101c02afad0d3b6_normal.png" TargetMode="External"/><Relationship Id="rId1709" Type="http://schemas.openxmlformats.org/officeDocument/2006/relationships/hyperlink" Target="https://pbs.twimg.com/profile_images/619405980380622848/ljgsbkJo_normal.jpg" TargetMode="External"/><Relationship Id="rId13072" Type="http://schemas.openxmlformats.org/officeDocument/2006/relationships/hyperlink" Target="https://pbs.twimg.com/profile_images/668091779313500160/ZepxnJcI_normal.jpg" TargetMode="External"/><Relationship Id="rId14123" Type="http://schemas.openxmlformats.org/officeDocument/2006/relationships/hyperlink" Target="https://pbs.twimg.com/profile_images/530071272881803264/a_jcCmPZ_normal.png" TargetMode="External"/><Relationship Id="rId17693" Type="http://schemas.openxmlformats.org/officeDocument/2006/relationships/hyperlink" Target="https://pbs.twimg.com/profile_images/467207793661853696/diWZiIik_normal.jpeg" TargetMode="External"/><Relationship Id="rId18744" Type="http://schemas.openxmlformats.org/officeDocument/2006/relationships/hyperlink" Target="https://pbs.twimg.com/profile_images/553716949738590209/8hcEcDmI_normal.jpeg" TargetMode="External"/><Relationship Id="rId2080" Type="http://schemas.openxmlformats.org/officeDocument/2006/relationships/hyperlink" Target="https://twitter.com/michellelove13" TargetMode="External"/><Relationship Id="rId3131" Type="http://schemas.openxmlformats.org/officeDocument/2006/relationships/hyperlink" Target="https://pbs.twimg.com/profile_images/684827448278646784/GTQkjjky_normal.jpg" TargetMode="External"/><Relationship Id="rId7752" Type="http://schemas.openxmlformats.org/officeDocument/2006/relationships/hyperlink" Target="https://twitter.com/Juani_Ginter/status/723330062146232322" TargetMode="External"/><Relationship Id="rId8803" Type="http://schemas.openxmlformats.org/officeDocument/2006/relationships/hyperlink" Target="https://pbs.twimg.com/profile_images/1447474623/dfdf_normal.jpg" TargetMode="External"/><Relationship Id="rId16295" Type="http://schemas.openxmlformats.org/officeDocument/2006/relationships/hyperlink" Target="https://twitter.com/barclay_m/status/723665546324013057" TargetMode="External"/><Relationship Id="rId17346" Type="http://schemas.openxmlformats.org/officeDocument/2006/relationships/hyperlink" Target="https://twitter.com/sakshinews/status/723792415585239040" TargetMode="External"/><Relationship Id="rId24562" Type="http://schemas.openxmlformats.org/officeDocument/2006/relationships/hyperlink" Target="https://twitter.com/oldcar_photo/status/724372199503716352" TargetMode="External"/><Relationship Id="rId25613" Type="http://schemas.openxmlformats.org/officeDocument/2006/relationships/hyperlink" Target="https://twitter.com/George_Rey4" TargetMode="External"/><Relationship Id="rId6354" Type="http://schemas.openxmlformats.org/officeDocument/2006/relationships/hyperlink" Target="https://pbs.twimg.com/profile_images/973957381/libertarian_minilogo_normal.jpg" TargetMode="External"/><Relationship Id="rId7405" Type="http://schemas.openxmlformats.org/officeDocument/2006/relationships/hyperlink" Target="https://pbs.twimg.com/profile_images/632371610276622336/i9dfhe5Q_normal.jpg" TargetMode="External"/><Relationship Id="rId10733" Type="http://schemas.openxmlformats.org/officeDocument/2006/relationships/hyperlink" Target="https://twitter.com/RiskContainment" TargetMode="External"/><Relationship Id="rId23164" Type="http://schemas.openxmlformats.org/officeDocument/2006/relationships/hyperlink" Target="https://twitter.com/copeyphoto" TargetMode="External"/><Relationship Id="rId24215" Type="http://schemas.openxmlformats.org/officeDocument/2006/relationships/hyperlink" Target="https://pbs.twimg.com/profile_images/549553130539450370/dyUuqEk-_normal.png" TargetMode="External"/><Relationship Id="rId6007" Type="http://schemas.openxmlformats.org/officeDocument/2006/relationships/hyperlink" Target="https://twitter.com/NewsChannel8/status/723227434749943808" TargetMode="External"/><Relationship Id="rId9577" Type="http://schemas.openxmlformats.org/officeDocument/2006/relationships/hyperlink" Target="https://pbs.twimg.com/profile_images/700054002537463808/yT5THPmN_normal.jpg" TargetMode="External"/><Relationship Id="rId13956" Type="http://schemas.openxmlformats.org/officeDocument/2006/relationships/hyperlink" Target="https://twitter.com/beluluna61" TargetMode="External"/><Relationship Id="rId2964" Type="http://schemas.openxmlformats.org/officeDocument/2006/relationships/hyperlink" Target="https://twitter.com/TrustYourTiming" TargetMode="External"/><Relationship Id="rId8179" Type="http://schemas.openxmlformats.org/officeDocument/2006/relationships/hyperlink" Target="https://twitter.com/bestofprinceton/status/723374684113268736" TargetMode="External"/><Relationship Id="rId12558" Type="http://schemas.openxmlformats.org/officeDocument/2006/relationships/hyperlink" Target="https://twitter.com/1590KLIV/status/723522524856889344" TargetMode="External"/><Relationship Id="rId13609" Type="http://schemas.openxmlformats.org/officeDocument/2006/relationships/hyperlink" Target="https://twitter.com/pukki01/status/723551687407996928" TargetMode="External"/><Relationship Id="rId20825" Type="http://schemas.openxmlformats.org/officeDocument/2006/relationships/hyperlink" Target="https://twitter.com/VCT_Tweets/status/724047854122217472" TargetMode="External"/><Relationship Id="rId936" Type="http://schemas.openxmlformats.org/officeDocument/2006/relationships/hyperlink" Target="https://twitter.com/vwpalmspringspr/status/723003449122631680" TargetMode="External"/><Relationship Id="rId1219" Type="http://schemas.openxmlformats.org/officeDocument/2006/relationships/hyperlink" Target="https://pbs.twimg.com/profile_images/1610421423/Image2_normal.jpg" TargetMode="External"/><Relationship Id="rId1566" Type="http://schemas.openxmlformats.org/officeDocument/2006/relationships/hyperlink" Target="https://twitter.com/CarolineHydeTV/status/723046999029780480" TargetMode="External"/><Relationship Id="rId2617" Type="http://schemas.openxmlformats.org/officeDocument/2006/relationships/hyperlink" Target="https://twitter.com/EvvoNewBeetles/status/723109486861402112" TargetMode="External"/><Relationship Id="rId15031" Type="http://schemas.openxmlformats.org/officeDocument/2006/relationships/hyperlink" Target="https://pbs.twimg.com/profile_images/671367911857127424/UES84lbq_normal.jpg" TargetMode="External"/><Relationship Id="rId19652" Type="http://schemas.openxmlformats.org/officeDocument/2006/relationships/hyperlink" Target="https://twitter.com/khilogram/status/723945340177645569" TargetMode="External"/><Relationship Id="rId22997" Type="http://schemas.openxmlformats.org/officeDocument/2006/relationships/hyperlink" Target="https://twitter.com/GrandeCaio" TargetMode="External"/><Relationship Id="rId4789" Type="http://schemas.openxmlformats.org/officeDocument/2006/relationships/hyperlink" Target="https://twitter.com/celiacernadas" TargetMode="External"/><Relationship Id="rId8660" Type="http://schemas.openxmlformats.org/officeDocument/2006/relationships/hyperlink" Target="https://twitter.com/Thomas_Jakob" TargetMode="External"/><Relationship Id="rId9711" Type="http://schemas.openxmlformats.org/officeDocument/2006/relationships/hyperlink" Target="http://hubber.me/" TargetMode="External"/><Relationship Id="rId10590" Type="http://schemas.openxmlformats.org/officeDocument/2006/relationships/hyperlink" Target="https://twitter.com/StephanKrull" TargetMode="External"/><Relationship Id="rId11641" Type="http://schemas.openxmlformats.org/officeDocument/2006/relationships/hyperlink" Target="https://pbs.twimg.com/profile_images/670123014529392640/49d_OxDO_normal.jpg" TargetMode="External"/><Relationship Id="rId18254" Type="http://schemas.openxmlformats.org/officeDocument/2006/relationships/hyperlink" Target="https://twitter.com/VWCamperSales" TargetMode="External"/><Relationship Id="rId19305" Type="http://schemas.openxmlformats.org/officeDocument/2006/relationships/hyperlink" Target="https://pbs.twimg.com/profile_images/671009336282497024/TudQkBna_normal.jpg" TargetMode="External"/><Relationship Id="rId21599" Type="http://schemas.openxmlformats.org/officeDocument/2006/relationships/hyperlink" Target="https://twitter.com/beetlebug1938/status/724163280223215616" TargetMode="External"/><Relationship Id="rId25470" Type="http://schemas.openxmlformats.org/officeDocument/2006/relationships/hyperlink" Target="https://pbs.twimg.com/profile_images/709058129393291264/47ZDCq7j_normal.jpg" TargetMode="External"/><Relationship Id="rId1700" Type="http://schemas.openxmlformats.org/officeDocument/2006/relationships/hyperlink" Target="https://twitter.com/faznet" TargetMode="External"/><Relationship Id="rId7262" Type="http://schemas.openxmlformats.org/officeDocument/2006/relationships/hyperlink" Target="https://pbs.twimg.com/profile_images/721724710174601216/B0T6CY6B_normal.jpg" TargetMode="External"/><Relationship Id="rId8313" Type="http://schemas.openxmlformats.org/officeDocument/2006/relationships/hyperlink" Target="https://twitter.com/verkehrsclub" TargetMode="External"/><Relationship Id="rId10243" Type="http://schemas.openxmlformats.org/officeDocument/2006/relationships/hyperlink" Target="https://pbs.twimg.com/profile_images/2538190700/POWERCARSlogo_normal.jpg" TargetMode="External"/><Relationship Id="rId24072" Type="http://schemas.openxmlformats.org/officeDocument/2006/relationships/hyperlink" Target="https://pbs.twimg.com/profile_images/627949001179037696/skEBkS05_normal.jpg" TargetMode="External"/><Relationship Id="rId25123" Type="http://schemas.openxmlformats.org/officeDocument/2006/relationships/hyperlink" Target="https://twitter.com/fakundo_diaz" TargetMode="External"/><Relationship Id="rId3872" Type="http://schemas.openxmlformats.org/officeDocument/2006/relationships/hyperlink" Target="https://pbs.twimg.com/profile_images/705886226382004225/XiB0Gu5e_normal.jpg" TargetMode="External"/><Relationship Id="rId13466" Type="http://schemas.openxmlformats.org/officeDocument/2006/relationships/hyperlink" Target="https://twitter.com/VWCamperSales/status/723548442962751488" TargetMode="External"/><Relationship Id="rId14864" Type="http://schemas.openxmlformats.org/officeDocument/2006/relationships/hyperlink" Target="https://pbs.twimg.com/profile_images/710075864797585409/WsFKqcsm_normal.jpg" TargetMode="External"/><Relationship Id="rId15915" Type="http://schemas.openxmlformats.org/officeDocument/2006/relationships/hyperlink" Target="https://twitter.com/trendingNewsFas" TargetMode="External"/><Relationship Id="rId20682" Type="http://schemas.openxmlformats.org/officeDocument/2006/relationships/hyperlink" Target="https://twitter.com/OnlineCarReview" TargetMode="External"/><Relationship Id="rId793" Type="http://schemas.openxmlformats.org/officeDocument/2006/relationships/hyperlink" Target="https://twitter.com/Julliooos/status/722984338036387840" TargetMode="External"/><Relationship Id="rId2474" Type="http://schemas.openxmlformats.org/officeDocument/2006/relationships/hyperlink" Target="https://pbs.twimg.com/profile_images/644482436257185792/immN1agH_normal.jpg" TargetMode="External"/><Relationship Id="rId3525" Type="http://schemas.openxmlformats.org/officeDocument/2006/relationships/hyperlink" Target="https://twitter.com/cpaul7547" TargetMode="External"/><Relationship Id="rId4923" Type="http://schemas.openxmlformats.org/officeDocument/2006/relationships/hyperlink" Target="http://webaraba.com/" TargetMode="External"/><Relationship Id="rId9087" Type="http://schemas.openxmlformats.org/officeDocument/2006/relationships/hyperlink" Target="https://pbs.twimg.com/profile_images/699649228235280385/au_ND-6G_normal.jpg" TargetMode="External"/><Relationship Id="rId12068" Type="http://schemas.openxmlformats.org/officeDocument/2006/relationships/hyperlink" Target="https://twitter.com/rbbinforadio/status/723512690988208130" TargetMode="External"/><Relationship Id="rId13119" Type="http://schemas.openxmlformats.org/officeDocument/2006/relationships/hyperlink" Target="https://pbs.twimg.com/profile_images/530281935289851905/gYVTeJZK_normal.jpeg" TargetMode="External"/><Relationship Id="rId14517" Type="http://schemas.openxmlformats.org/officeDocument/2006/relationships/hyperlink" Target="https://twitter.com/brookeamasters" TargetMode="External"/><Relationship Id="rId20335" Type="http://schemas.openxmlformats.org/officeDocument/2006/relationships/hyperlink" Target="https://pbs.twimg.com/profile_images/718771637177491456/sQ3Aguzt_normal.jpg" TargetMode="External"/><Relationship Id="rId21733" Type="http://schemas.openxmlformats.org/officeDocument/2006/relationships/hyperlink" Target="https://twitter.com/andrewgooderson/status/724173454572843009" TargetMode="External"/><Relationship Id="rId446" Type="http://schemas.openxmlformats.org/officeDocument/2006/relationships/hyperlink" Target="https://twitter.com/FuscaWorld" TargetMode="External"/><Relationship Id="rId1076" Type="http://schemas.openxmlformats.org/officeDocument/2006/relationships/hyperlink" Target="https://pbs.twimg.com/profile_images/1566466190/socialmedia07_100_normal.jpg" TargetMode="External"/><Relationship Id="rId2127" Type="http://schemas.openxmlformats.org/officeDocument/2006/relationships/hyperlink" Target="https://pbs.twimg.com/profile_images/1610421423/Image2_normal.jpg" TargetMode="External"/><Relationship Id="rId16689" Type="http://schemas.openxmlformats.org/officeDocument/2006/relationships/hyperlink" Target="https://twitter.com/beetlebug1938/status/723710573490384897" TargetMode="External"/><Relationship Id="rId24956" Type="http://schemas.openxmlformats.org/officeDocument/2006/relationships/hyperlink" Target="https://pbs.twimg.com/profile_images/628549846924984320/o4kQgFPg_normal.jpg" TargetMode="External"/><Relationship Id="rId4299" Type="http://schemas.openxmlformats.org/officeDocument/2006/relationships/hyperlink" Target="https://twitter.com/vzbv" TargetMode="External"/><Relationship Id="rId5697" Type="http://schemas.openxmlformats.org/officeDocument/2006/relationships/hyperlink" Target="https://twitter.com/GazelleUK/status/723213443902349312" TargetMode="External"/><Relationship Id="rId6748" Type="http://schemas.openxmlformats.org/officeDocument/2006/relationships/hyperlink" Target="https://twitter.com/vwwhitenoise" TargetMode="External"/><Relationship Id="rId8170" Type="http://schemas.openxmlformats.org/officeDocument/2006/relationships/hyperlink" Target="https://twitter.com/hrinfo/status/723373882644647936" TargetMode="External"/><Relationship Id="rId13600" Type="http://schemas.openxmlformats.org/officeDocument/2006/relationships/hyperlink" Target="https://twitter.com/techhippie/status/723551597264003074" TargetMode="External"/><Relationship Id="rId19162" Type="http://schemas.openxmlformats.org/officeDocument/2006/relationships/hyperlink" Target="https://twitter.com/mobiliteit_BIZ/status/723921752028512256" TargetMode="External"/><Relationship Id="rId23558" Type="http://schemas.openxmlformats.org/officeDocument/2006/relationships/hyperlink" Target="http://dlvr.it/" TargetMode="External"/><Relationship Id="rId24609" Type="http://schemas.openxmlformats.org/officeDocument/2006/relationships/hyperlink" Target="https://twitter.com/carguideph" TargetMode="External"/><Relationship Id="rId9221" Type="http://schemas.openxmlformats.org/officeDocument/2006/relationships/hyperlink" Target="https://pbs.twimg.com/profile_images/640615823690731520/ygB3pA2g_normal.jpg" TargetMode="External"/><Relationship Id="rId11151" Type="http://schemas.openxmlformats.org/officeDocument/2006/relationships/hyperlink" Target="https://twitter.com/kuerzel_td/status/723498343654154240" TargetMode="External"/><Relationship Id="rId12202" Type="http://schemas.openxmlformats.org/officeDocument/2006/relationships/hyperlink" Target="https://twitter.com/unioner23" TargetMode="External"/><Relationship Id="rId15772" Type="http://schemas.openxmlformats.org/officeDocument/2006/relationships/hyperlink" Target="https://pbs.twimg.com/profile_images/627949001179037696/skEBkS05_normal.jpg" TargetMode="External"/><Relationship Id="rId16823" Type="http://schemas.openxmlformats.org/officeDocument/2006/relationships/hyperlink" Target="http://ctrlq.org/maps/address/" TargetMode="External"/><Relationship Id="rId1210" Type="http://schemas.openxmlformats.org/officeDocument/2006/relationships/hyperlink" Target="https://pbs.twimg.com/profile_images/553587831558246400/76qHyAQL_normal.jpeg" TargetMode="External"/><Relationship Id="rId4780" Type="http://schemas.openxmlformats.org/officeDocument/2006/relationships/hyperlink" Target="https://twitter.com/SerraTVC" TargetMode="External"/><Relationship Id="rId5831" Type="http://schemas.openxmlformats.org/officeDocument/2006/relationships/hyperlink" Target="https://twitter.com/AndreasAndy3131/status/723219447343923200" TargetMode="External"/><Relationship Id="rId14374" Type="http://schemas.openxmlformats.org/officeDocument/2006/relationships/hyperlink" Target="https://pbs.twimg.com/profile_images/718820712757215233/LXXndPTS_normal.jpg" TargetMode="External"/><Relationship Id="rId15425" Type="http://schemas.openxmlformats.org/officeDocument/2006/relationships/hyperlink" Target="https://twitter.com/Marktzyniker/status/723607478970265602" TargetMode="External"/><Relationship Id="rId21590" Type="http://schemas.openxmlformats.org/officeDocument/2006/relationships/hyperlink" Target="https://twitter.com/ellie_sheppard/status/724162010901032960" TargetMode="External"/><Relationship Id="rId22641" Type="http://schemas.openxmlformats.org/officeDocument/2006/relationships/hyperlink" Target="https://pbs.twimg.com/profile_images/661203197172649984/8NlJaRzL_normal.png" TargetMode="External"/><Relationship Id="rId3382" Type="http://schemas.openxmlformats.org/officeDocument/2006/relationships/hyperlink" Target="https://pbs.twimg.com/profile_images/587617946538745856/_S5LOe4F_normal.jpg" TargetMode="External"/><Relationship Id="rId4433" Type="http://schemas.openxmlformats.org/officeDocument/2006/relationships/hyperlink" Target="https://twitter.com/IFeelPossessed" TargetMode="External"/><Relationship Id="rId14027" Type="http://schemas.openxmlformats.org/officeDocument/2006/relationships/hyperlink" Target="https://twitter.com/SonokHakan" TargetMode="External"/><Relationship Id="rId17597" Type="http://schemas.openxmlformats.org/officeDocument/2006/relationships/hyperlink" Target="https://twitter.com/halt_design/status/723808901729148929" TargetMode="External"/><Relationship Id="rId18995" Type="http://schemas.openxmlformats.org/officeDocument/2006/relationships/hyperlink" Target="https://twitter.com/VWCamperSales/status/723911842414747648" TargetMode="External"/><Relationship Id="rId20192" Type="http://schemas.openxmlformats.org/officeDocument/2006/relationships/hyperlink" Target="https://twitter.com/ALBADERTSCHER/status/723980357264130049" TargetMode="External"/><Relationship Id="rId21243" Type="http://schemas.openxmlformats.org/officeDocument/2006/relationships/hyperlink" Target="https://twitter.com/golfetemarco/status/724131216623022080" TargetMode="External"/><Relationship Id="rId3035" Type="http://schemas.openxmlformats.org/officeDocument/2006/relationships/hyperlink" Target="https://pbs.twimg.com/profile_images/718820712757215233/LXXndPTS_normal.jpg" TargetMode="External"/><Relationship Id="rId7656" Type="http://schemas.openxmlformats.org/officeDocument/2006/relationships/hyperlink" Target="https://twitter.com/likee_so" TargetMode="External"/><Relationship Id="rId8707" Type="http://schemas.openxmlformats.org/officeDocument/2006/relationships/hyperlink" Target="https://twitter.com/deutch_az/status/723402913616293888" TargetMode="External"/><Relationship Id="rId10984" Type="http://schemas.openxmlformats.org/officeDocument/2006/relationships/hyperlink" Target="https://twitter.com/VWCamperSales/status/723492944355823618" TargetMode="External"/><Relationship Id="rId16199" Type="http://schemas.openxmlformats.org/officeDocument/2006/relationships/hyperlink" Target="https://twitter.com/SnowAngel0724/status/723657026337837057" TargetMode="External"/><Relationship Id="rId18648" Type="http://schemas.openxmlformats.org/officeDocument/2006/relationships/hyperlink" Target="https://twitter.com/rheinhessenulf" TargetMode="External"/><Relationship Id="rId24466" Type="http://schemas.openxmlformats.org/officeDocument/2006/relationships/hyperlink" Target="https://twitter.com/TetsuoHojo" TargetMode="External"/><Relationship Id="rId6258" Type="http://schemas.openxmlformats.org/officeDocument/2006/relationships/hyperlink" Target="https://twitter.com/Bond_MK4" TargetMode="External"/><Relationship Id="rId7309" Type="http://schemas.openxmlformats.org/officeDocument/2006/relationships/hyperlink" Target="https://twitter.com/joelfeder/status/723294767719702529" TargetMode="External"/><Relationship Id="rId10637" Type="http://schemas.openxmlformats.org/officeDocument/2006/relationships/hyperlink" Target="https://twitter.com/irenesconcierge" TargetMode="External"/><Relationship Id="rId23068" Type="http://schemas.openxmlformats.org/officeDocument/2006/relationships/hyperlink" Target="http://dlvr.it/" TargetMode="External"/><Relationship Id="rId24119" Type="http://schemas.openxmlformats.org/officeDocument/2006/relationships/hyperlink" Target="https://pbs.twimg.com/profile_images/669859956863197184/cosIgz1Z_normal.jpg" TargetMode="External"/><Relationship Id="rId25517" Type="http://schemas.openxmlformats.org/officeDocument/2006/relationships/hyperlink" Target="https://twitter.com/OnlineCarReview/status/724445298769039360" TargetMode="External"/><Relationship Id="rId13110" Type="http://schemas.openxmlformats.org/officeDocument/2006/relationships/hyperlink" Target="https://pbs.twimg.com/profile_images/3511486706/b87fc84fbd6d82049853bb85559ed70e_normal.jpeg" TargetMode="External"/><Relationship Id="rId16680" Type="http://schemas.openxmlformats.org/officeDocument/2006/relationships/hyperlink" Target="https://twitter.com/beetlebug1938/status/723710547208876032" TargetMode="External"/><Relationship Id="rId17731" Type="http://schemas.openxmlformats.org/officeDocument/2006/relationships/hyperlink" Target="https://twitter.com/daretobarebride/status/723820594437992449" TargetMode="External"/><Relationship Id="rId2868" Type="http://schemas.openxmlformats.org/officeDocument/2006/relationships/hyperlink" Target="https://twitter.com/rotefahnenews" TargetMode="External"/><Relationship Id="rId3919" Type="http://schemas.openxmlformats.org/officeDocument/2006/relationships/hyperlink" Target="https://twitter.com/DartsArrow/status/723172042237865984" TargetMode="External"/><Relationship Id="rId15282" Type="http://schemas.openxmlformats.org/officeDocument/2006/relationships/hyperlink" Target="https://pbs.twimg.com/profile_images/702601670186790912/ZdaqJSKf_normal.jpg" TargetMode="External"/><Relationship Id="rId16333" Type="http://schemas.openxmlformats.org/officeDocument/2006/relationships/hyperlink" Target="https://twitter.com/sohailmalik7" TargetMode="External"/><Relationship Id="rId20729" Type="http://schemas.openxmlformats.org/officeDocument/2006/relationships/hyperlink" Target="https://twitter.com/VCT_Tweets" TargetMode="External"/><Relationship Id="rId24600" Type="http://schemas.openxmlformats.org/officeDocument/2006/relationships/hyperlink" Target="https://twitter.com/Fabio_gonzalezs" TargetMode="External"/><Relationship Id="rId4290" Type="http://schemas.openxmlformats.org/officeDocument/2006/relationships/hyperlink" Target="https://twitter.com/WangsonAdele" TargetMode="External"/><Relationship Id="rId5341" Type="http://schemas.openxmlformats.org/officeDocument/2006/relationships/hyperlink" Target="https://twitter.com/44cuneyt44/status/723200186047148032" TargetMode="External"/><Relationship Id="rId9962" Type="http://schemas.openxmlformats.org/officeDocument/2006/relationships/hyperlink" Target="https://pbs.twimg.com/profile_images/476965678428467200/kpN-jvkF_normal.jpeg" TargetMode="External"/><Relationship Id="rId11892" Type="http://schemas.openxmlformats.org/officeDocument/2006/relationships/hyperlink" Target="https://twitter.com/startmakkelijk" TargetMode="External"/><Relationship Id="rId19556" Type="http://schemas.openxmlformats.org/officeDocument/2006/relationships/hyperlink" Target="https://twitter.com/VWsightings" TargetMode="External"/><Relationship Id="rId22151" Type="http://schemas.openxmlformats.org/officeDocument/2006/relationships/hyperlink" Target="https://twitter.com/vagmenhq" TargetMode="External"/><Relationship Id="rId23202" Type="http://schemas.openxmlformats.org/officeDocument/2006/relationships/hyperlink" Target="https://twitter.com/bruno90alvarez" TargetMode="External"/><Relationship Id="rId1951" Type="http://schemas.openxmlformats.org/officeDocument/2006/relationships/hyperlink" Target="https://twitter.com/CorpCrimeBlot/status/723069416091447296" TargetMode="External"/><Relationship Id="rId8564" Type="http://schemas.openxmlformats.org/officeDocument/2006/relationships/hyperlink" Target="https://twitter.com/CarpetsCook" TargetMode="External"/><Relationship Id="rId9615" Type="http://schemas.openxmlformats.org/officeDocument/2006/relationships/hyperlink" Target="https://twitter.com/Elektroflitzer" TargetMode="External"/><Relationship Id="rId10494" Type="http://schemas.openxmlformats.org/officeDocument/2006/relationships/hyperlink" Target="https://twitter.com/PCIResearch/status/723474659459497984" TargetMode="External"/><Relationship Id="rId11545" Type="http://schemas.openxmlformats.org/officeDocument/2006/relationships/hyperlink" Target="https://twitter.com/mvdweyer" TargetMode="External"/><Relationship Id="rId12943" Type="http://schemas.openxmlformats.org/officeDocument/2006/relationships/hyperlink" Target="https://twitter.com/DLF/status/723532010728394752" TargetMode="External"/><Relationship Id="rId18158" Type="http://schemas.openxmlformats.org/officeDocument/2006/relationships/hyperlink" Target="https://pbs.twimg.com/profile_images/378800000566208652/10a58f54013f0c319b1253d4b4c7dc5f_normal.jpeg" TargetMode="External"/><Relationship Id="rId19209" Type="http://schemas.openxmlformats.org/officeDocument/2006/relationships/hyperlink" Target="https://twitter.com/VWBeetleSales/status/723922419073712128" TargetMode="External"/><Relationship Id="rId25374" Type="http://schemas.openxmlformats.org/officeDocument/2006/relationships/hyperlink" Target="https://twitter.com/VCT_Tweets" TargetMode="External"/><Relationship Id="rId1604" Type="http://schemas.openxmlformats.org/officeDocument/2006/relationships/hyperlink" Target="https://twitter.com/MarkPlackett1" TargetMode="External"/><Relationship Id="rId7166" Type="http://schemas.openxmlformats.org/officeDocument/2006/relationships/hyperlink" Target="https://twitter.com/VolkswagenPost" TargetMode="External"/><Relationship Id="rId8217" Type="http://schemas.openxmlformats.org/officeDocument/2006/relationships/hyperlink" Target="https://twitter.com/durchblicker_k" TargetMode="External"/><Relationship Id="rId10147" Type="http://schemas.openxmlformats.org/officeDocument/2006/relationships/hyperlink" Target="https://twitter.com/gruenwolfenergy" TargetMode="External"/><Relationship Id="rId25027" Type="http://schemas.openxmlformats.org/officeDocument/2006/relationships/hyperlink" Target="https://twitter.com/bertinosr" TargetMode="External"/><Relationship Id="rId14768" Type="http://schemas.openxmlformats.org/officeDocument/2006/relationships/hyperlink" Target="https://twitter.com/aligerb/status/723581902804787200" TargetMode="External"/><Relationship Id="rId15819" Type="http://schemas.openxmlformats.org/officeDocument/2006/relationships/hyperlink" Target="https://twitter.com/GaryNuttallFans/status/723629657258627072" TargetMode="External"/><Relationship Id="rId16190" Type="http://schemas.openxmlformats.org/officeDocument/2006/relationships/hyperlink" Target="https://pbs.twimg.com/profile_images/2289706087/q66ajanznpfm87cybp5p_normal.jpeg" TargetMode="External"/><Relationship Id="rId21984" Type="http://schemas.openxmlformats.org/officeDocument/2006/relationships/hyperlink" Target="https://twitter.com/MelAllanic" TargetMode="External"/><Relationship Id="rId697" Type="http://schemas.openxmlformats.org/officeDocument/2006/relationships/hyperlink" Target="https://twitter.com/VWKennesaw/status/722968223730262017" TargetMode="External"/><Relationship Id="rId2378" Type="http://schemas.openxmlformats.org/officeDocument/2006/relationships/hyperlink" Target="https://twitter.com/BusinessTimes" TargetMode="External"/><Relationship Id="rId3429" Type="http://schemas.openxmlformats.org/officeDocument/2006/relationships/hyperlink" Target="https://twitter.com/Pellicole_Auto" TargetMode="External"/><Relationship Id="rId3776" Type="http://schemas.openxmlformats.org/officeDocument/2006/relationships/hyperlink" Target="https://twitter.com/bayl" TargetMode="External"/><Relationship Id="rId4827" Type="http://schemas.openxmlformats.org/officeDocument/2006/relationships/hyperlink" Target="https://pbs.twimg.com/profile_images/540357012467761152/K8cIiLRk_normal.jpeg" TargetMode="External"/><Relationship Id="rId17241" Type="http://schemas.openxmlformats.org/officeDocument/2006/relationships/hyperlink" Target="https://twitter.com/Kimmi1337" TargetMode="External"/><Relationship Id="rId20586" Type="http://schemas.openxmlformats.org/officeDocument/2006/relationships/hyperlink" Target="https://pbs.twimg.com/profile_images/655421479073554432/TE2gvtM-_normal.jpg" TargetMode="External"/><Relationship Id="rId21637" Type="http://schemas.openxmlformats.org/officeDocument/2006/relationships/hyperlink" Target="https://twitter.com/androidec17serg/status/724165229127581697" TargetMode="External"/><Relationship Id="rId6999" Type="http://schemas.openxmlformats.org/officeDocument/2006/relationships/hyperlink" Target="https://pbs.twimg.com/profile_images/709200064921608193/oIFcw-2Q_normal.jpg" TargetMode="External"/><Relationship Id="rId7300" Type="http://schemas.openxmlformats.org/officeDocument/2006/relationships/hyperlink" Target="https://pbs.twimg.com/profile_images/684562191626989569/oFGZebTz_normal.jpg" TargetMode="External"/><Relationship Id="rId13851" Type="http://schemas.openxmlformats.org/officeDocument/2006/relationships/hyperlink" Target="http://ctrlq.org/maps/address/" TargetMode="External"/><Relationship Id="rId14902" Type="http://schemas.openxmlformats.org/officeDocument/2006/relationships/hyperlink" Target="https://twitter.com/Iris_Rohmann/status/723586482179596290" TargetMode="External"/><Relationship Id="rId20239" Type="http://schemas.openxmlformats.org/officeDocument/2006/relationships/hyperlink" Target="https://twitter.com/gdrzewo" TargetMode="External"/><Relationship Id="rId24110" Type="http://schemas.openxmlformats.org/officeDocument/2006/relationships/hyperlink" Target="https://pbs.twimg.com/profile_images/3208320839/82b1ccbb77c4cd0fc3437260bfdb7f74_normal.jpeg" TargetMode="External"/><Relationship Id="rId3910" Type="http://schemas.openxmlformats.org/officeDocument/2006/relationships/hyperlink" Target="https://twitter.com/zapher134/status/723171877573767168" TargetMode="External"/><Relationship Id="rId9472" Type="http://schemas.openxmlformats.org/officeDocument/2006/relationships/hyperlink" Target="https://pbs.twimg.com/profile_images/669116973075341312/r8-po-CI_normal.jpg" TargetMode="External"/><Relationship Id="rId12453" Type="http://schemas.openxmlformats.org/officeDocument/2006/relationships/hyperlink" Target="https://pbs.twimg.com/profile_images/1289359150/Xenon07.2_normal.jpg" TargetMode="External"/><Relationship Id="rId13504" Type="http://schemas.openxmlformats.org/officeDocument/2006/relationships/hyperlink" Target="https://abs.twimg.com/sticky/default_profile_images/default_profile_3_normal.png" TargetMode="External"/><Relationship Id="rId19066" Type="http://schemas.openxmlformats.org/officeDocument/2006/relationships/hyperlink" Target="https://twitter.com/_Natchlko/status/723918033962590208" TargetMode="External"/><Relationship Id="rId20720" Type="http://schemas.openxmlformats.org/officeDocument/2006/relationships/hyperlink" Target="https://twitter.com/Insta_VWT" TargetMode="External"/><Relationship Id="rId831" Type="http://schemas.openxmlformats.org/officeDocument/2006/relationships/hyperlink" Target="https://twitter.com/VolkswagenPost" TargetMode="External"/><Relationship Id="rId1461" Type="http://schemas.openxmlformats.org/officeDocument/2006/relationships/hyperlink" Target="https://twitter.com/franz_rother/status/723041995850178560" TargetMode="External"/><Relationship Id="rId2512" Type="http://schemas.openxmlformats.org/officeDocument/2006/relationships/hyperlink" Target="https://pbs.twimg.com/profile_images/557832372851200000/2Z4dzaBo_normal.jpeg" TargetMode="External"/><Relationship Id="rId8074" Type="http://schemas.openxmlformats.org/officeDocument/2006/relationships/hyperlink" Target="https://pbs.twimg.com/profile_images/615493650785660928/XHUh6HOk_normal.jpg" TargetMode="External"/><Relationship Id="rId9125" Type="http://schemas.openxmlformats.org/officeDocument/2006/relationships/hyperlink" Target="https://twitter.com/NegroAutomobili/status/723422112648597504" TargetMode="External"/><Relationship Id="rId11055" Type="http://schemas.openxmlformats.org/officeDocument/2006/relationships/hyperlink" Target="https://pbs.twimg.com/profile_images/691385268738375680/688s6fg9_normal.jpg" TargetMode="External"/><Relationship Id="rId12106" Type="http://schemas.openxmlformats.org/officeDocument/2006/relationships/hyperlink" Target="https://pbs.twimg.com/profile_images/554364381845135360/7BZNC16b_normal.jpeg" TargetMode="External"/><Relationship Id="rId15676" Type="http://schemas.openxmlformats.org/officeDocument/2006/relationships/hyperlink" Target="https://twitter.com/VolkswagenPost/status/723619376289730560" TargetMode="External"/><Relationship Id="rId22892" Type="http://schemas.openxmlformats.org/officeDocument/2006/relationships/hyperlink" Target="https://twitter.com/HomeMckee" TargetMode="External"/><Relationship Id="rId1114" Type="http://schemas.openxmlformats.org/officeDocument/2006/relationships/hyperlink" Target="https://pbs.twimg.com/profile_images/2890202231/1b31352e84b062829a177f25ba0cfcfc_normal.png" TargetMode="External"/><Relationship Id="rId4684" Type="http://schemas.openxmlformats.org/officeDocument/2006/relationships/hyperlink" Target="https://twitter.com/VolkswagenPost/status/723185500069216256" TargetMode="External"/><Relationship Id="rId5735" Type="http://schemas.openxmlformats.org/officeDocument/2006/relationships/hyperlink" Target="https://twitter.com/kamankoyum" TargetMode="External"/><Relationship Id="rId14278" Type="http://schemas.openxmlformats.org/officeDocument/2006/relationships/hyperlink" Target="https://twitter.com/11LucasDiaz" TargetMode="External"/><Relationship Id="rId15329" Type="http://schemas.openxmlformats.org/officeDocument/2006/relationships/hyperlink" Target="https://twitter.com/Marktzyniker" TargetMode="External"/><Relationship Id="rId16727" Type="http://schemas.openxmlformats.org/officeDocument/2006/relationships/hyperlink" Target="https://twitter.com/VWCamperSales/status/723720575185620992" TargetMode="External"/><Relationship Id="rId19200" Type="http://schemas.openxmlformats.org/officeDocument/2006/relationships/hyperlink" Target="https://pbs.twimg.com/profile_images/542918171158511617/A72BLdkG_normal.png" TargetMode="External"/><Relationship Id="rId21494" Type="http://schemas.openxmlformats.org/officeDocument/2006/relationships/hyperlink" Target="http://dlvr.it/" TargetMode="External"/><Relationship Id="rId22545" Type="http://schemas.openxmlformats.org/officeDocument/2006/relationships/hyperlink" Target="https://twitter.com/notyourcountry/status/724229098365550592" TargetMode="External"/><Relationship Id="rId23943" Type="http://schemas.openxmlformats.org/officeDocument/2006/relationships/hyperlink" Target="https://twitter.com/dubbusses/status/724321671973212164" TargetMode="External"/><Relationship Id="rId3286" Type="http://schemas.openxmlformats.org/officeDocument/2006/relationships/hyperlink" Target="https://pbs.twimg.com/profile_images/378800000416406708/3b2345851c1a8ba98340affd455888ce_normal.jpeg" TargetMode="External"/><Relationship Id="rId4337" Type="http://schemas.openxmlformats.org/officeDocument/2006/relationships/hyperlink" Target="https://twitter.com/VWBeetleSales" TargetMode="External"/><Relationship Id="rId18899" Type="http://schemas.openxmlformats.org/officeDocument/2006/relationships/hyperlink" Target="https://twitter.com/acvwpassion" TargetMode="External"/><Relationship Id="rId20096" Type="http://schemas.openxmlformats.org/officeDocument/2006/relationships/hyperlink" Target="http://ctrlq.org/maps/address/" TargetMode="External"/><Relationship Id="rId21147" Type="http://schemas.openxmlformats.org/officeDocument/2006/relationships/hyperlink" Target="https://twitter.com/Kielia88/status/724112363834712064" TargetMode="External"/><Relationship Id="rId8958" Type="http://schemas.openxmlformats.org/officeDocument/2006/relationships/hyperlink" Target="https://twitter.com/MartinTriker/status/723412933288415237" TargetMode="External"/><Relationship Id="rId10888" Type="http://schemas.openxmlformats.org/officeDocument/2006/relationships/hyperlink" Target="https://twitter.com/Jim_Holder/status/723489369244483585" TargetMode="External"/><Relationship Id="rId11939" Type="http://schemas.openxmlformats.org/officeDocument/2006/relationships/hyperlink" Target="https://twitter.com/MV_AM" TargetMode="External"/><Relationship Id="rId15810" Type="http://schemas.openxmlformats.org/officeDocument/2006/relationships/hyperlink" Target="https://twitter.com/OnlineCarReview/status/723628233875329025" TargetMode="External"/><Relationship Id="rId13361" Type="http://schemas.openxmlformats.org/officeDocument/2006/relationships/hyperlink" Target="https://twitter.com/dubtoberfest" TargetMode="External"/><Relationship Id="rId14412" Type="http://schemas.openxmlformats.org/officeDocument/2006/relationships/hyperlink" Target="https://twitter.com/elfransanchez99/status/723573431304904706" TargetMode="External"/><Relationship Id="rId17982" Type="http://schemas.openxmlformats.org/officeDocument/2006/relationships/hyperlink" Target="https://twitter.com/NetzwerkggS21" TargetMode="External"/><Relationship Id="rId3420" Type="http://schemas.openxmlformats.org/officeDocument/2006/relationships/hyperlink" Target="https://twitter.com/Alexeinatan/status/723157637492281345" TargetMode="External"/><Relationship Id="rId6990" Type="http://schemas.openxmlformats.org/officeDocument/2006/relationships/hyperlink" Target="https://twitter.com/VWCamperSales" TargetMode="External"/><Relationship Id="rId13014" Type="http://schemas.openxmlformats.org/officeDocument/2006/relationships/hyperlink" Target="https://twitter.com/Marek_Miller/status/723533283120812033" TargetMode="External"/><Relationship Id="rId16584" Type="http://schemas.openxmlformats.org/officeDocument/2006/relationships/hyperlink" Target="https://pbs.twimg.com/profile_images/717899474324955136/rYxHADYt_normal.jpg" TargetMode="External"/><Relationship Id="rId17635" Type="http://schemas.openxmlformats.org/officeDocument/2006/relationships/hyperlink" Target="https://twitter.com/tradecar_ie/status/723811691910299648" TargetMode="External"/><Relationship Id="rId20230" Type="http://schemas.openxmlformats.org/officeDocument/2006/relationships/hyperlink" Target="https://twitter.com/aridonatucci" TargetMode="External"/><Relationship Id="rId24851" Type="http://schemas.openxmlformats.org/officeDocument/2006/relationships/hyperlink" Target="https://twitter.com/flerceflyerxo" TargetMode="External"/><Relationship Id="rId341" Type="http://schemas.openxmlformats.org/officeDocument/2006/relationships/hyperlink" Target="https://twitter.com/anchit_roy" TargetMode="External"/><Relationship Id="rId2022" Type="http://schemas.openxmlformats.org/officeDocument/2006/relationships/hyperlink" Target="https://twitter.com/PP_amsterdam" TargetMode="External"/><Relationship Id="rId5592" Type="http://schemas.openxmlformats.org/officeDocument/2006/relationships/hyperlink" Target="https://twitter.com/VWBeetleSales/status/723210479292715008" TargetMode="External"/><Relationship Id="rId6643" Type="http://schemas.openxmlformats.org/officeDocument/2006/relationships/hyperlink" Target="https://pbs.twimg.com/profile_images/378800000257362768/793d7277f8c4decfaacd9cd94f18f706_normal.jpeg" TargetMode="External"/><Relationship Id="rId15186" Type="http://schemas.openxmlformats.org/officeDocument/2006/relationships/hyperlink" Target="https://twitter.com/VWCamperSales/status/723598024388136960" TargetMode="External"/><Relationship Id="rId16237" Type="http://schemas.openxmlformats.org/officeDocument/2006/relationships/hyperlink" Target="https://pbs.twimg.com/profile_images/720000905089667073/2aXZd0yK_normal.jpg" TargetMode="External"/><Relationship Id="rId23453" Type="http://schemas.openxmlformats.org/officeDocument/2006/relationships/hyperlink" Target="https://twitter.com/coccicab71" TargetMode="External"/><Relationship Id="rId24504" Type="http://schemas.openxmlformats.org/officeDocument/2006/relationships/hyperlink" Target="https://twitter.com/beetlebug1938" TargetMode="External"/><Relationship Id="rId4194" Type="http://schemas.openxmlformats.org/officeDocument/2006/relationships/hyperlink" Target="https://twitter.com/oldcar_photo" TargetMode="External"/><Relationship Id="rId5245" Type="http://schemas.openxmlformats.org/officeDocument/2006/relationships/hyperlink" Target="https://twitter.com/eaymanomar/status/723198194268573698" TargetMode="External"/><Relationship Id="rId9866" Type="http://schemas.openxmlformats.org/officeDocument/2006/relationships/hyperlink" Target="https://pbs.twimg.com/profile_images/718820712757215233/LXXndPTS_normal.jpg" TargetMode="External"/><Relationship Id="rId22055" Type="http://schemas.openxmlformats.org/officeDocument/2006/relationships/hyperlink" Target="https://twitter.com/Insta_VWT/status/724198333955215360" TargetMode="External"/><Relationship Id="rId23106" Type="http://schemas.openxmlformats.org/officeDocument/2006/relationships/hyperlink" Target="https://twitter.com/beetlebug1938/status/724269065536188417" TargetMode="External"/><Relationship Id="rId8468" Type="http://schemas.openxmlformats.org/officeDocument/2006/relationships/hyperlink" Target="https://twitter.com/tmoffattndp" TargetMode="External"/><Relationship Id="rId9519" Type="http://schemas.openxmlformats.org/officeDocument/2006/relationships/hyperlink" Target="https://pbs.twimg.com/profile_images/718820712757215233/LXXndPTS_normal.jpg" TargetMode="External"/><Relationship Id="rId10398" Type="http://schemas.openxmlformats.org/officeDocument/2006/relationships/hyperlink" Target="https://twitter.com/serenity22" TargetMode="External"/><Relationship Id="rId11796" Type="http://schemas.openxmlformats.org/officeDocument/2006/relationships/hyperlink" Target="https://twitter.com/MangeKrull" TargetMode="External"/><Relationship Id="rId12847" Type="http://schemas.openxmlformats.org/officeDocument/2006/relationships/hyperlink" Target="https://pbs.twimg.com/profile_images/378800000461582138/dea3b11d48a7b41fa52ff65a08ce5a0c_normal.jpeg" TargetMode="External"/><Relationship Id="rId25278" Type="http://schemas.openxmlformats.org/officeDocument/2006/relationships/hyperlink" Target="https://pbs.twimg.com/profile_images/617431372093894656/hugBtv85_normal.jpg" TargetMode="External"/><Relationship Id="rId1508" Type="http://schemas.openxmlformats.org/officeDocument/2006/relationships/hyperlink" Target="https://pbs.twimg.com/profile_images/1859860496/image_normal.jpg" TargetMode="External"/><Relationship Id="rId1855" Type="http://schemas.openxmlformats.org/officeDocument/2006/relationships/hyperlink" Target="https://twitter.com/10tradeDeutsche/status/723063050895413248" TargetMode="External"/><Relationship Id="rId2906" Type="http://schemas.openxmlformats.org/officeDocument/2006/relationships/hyperlink" Target="https://pbs.twimg.com/profile_images/659295730222280705/W1FqHCVo_normal.jpg" TargetMode="External"/><Relationship Id="rId11449" Type="http://schemas.openxmlformats.org/officeDocument/2006/relationships/hyperlink" Target="https://twitter.com/connection92" TargetMode="External"/><Relationship Id="rId15320" Type="http://schemas.openxmlformats.org/officeDocument/2006/relationships/hyperlink" Target="https://twitter.com/ArielWittenberg" TargetMode="External"/><Relationship Id="rId18890" Type="http://schemas.openxmlformats.org/officeDocument/2006/relationships/hyperlink" Target="https://twitter.com/Pedroluise" TargetMode="External"/><Relationship Id="rId19941" Type="http://schemas.openxmlformats.org/officeDocument/2006/relationships/hyperlink" Target="https://pbs.twimg.com/profile_images/378800000854855954/0d555726054b01e3c9d6b5241432dc4a_normal.jpeg" TargetMode="External"/><Relationship Id="rId11930" Type="http://schemas.openxmlformats.org/officeDocument/2006/relationships/hyperlink" Target="https://twitter.com/NewsThisSecond" TargetMode="External"/><Relationship Id="rId17492" Type="http://schemas.openxmlformats.org/officeDocument/2006/relationships/hyperlink" Target="https://twitter.com/hellosunshine73/status/723802718800891904" TargetMode="External"/><Relationship Id="rId18543" Type="http://schemas.openxmlformats.org/officeDocument/2006/relationships/hyperlink" Target="https://pbs.twimg.com/profile_images/608651059893030912/tjbUr7l5_normal.png" TargetMode="External"/><Relationship Id="rId21888" Type="http://schemas.openxmlformats.org/officeDocument/2006/relationships/hyperlink" Target="https://pbs.twimg.com/profile_images/2646835465/aa5823578b01b04b7e91d58e8ca88691_normal.jpeg" TargetMode="External"/><Relationship Id="rId22939" Type="http://schemas.openxmlformats.org/officeDocument/2006/relationships/hyperlink" Target="https://pbs.twimg.com/profile_images/695193312362434560/dYJRPH8f_normal.jpg" TargetMode="External"/><Relationship Id="rId7551" Type="http://schemas.openxmlformats.org/officeDocument/2006/relationships/hyperlink" Target="https://twitter.com/Adrlana_Mendes" TargetMode="External"/><Relationship Id="rId8602" Type="http://schemas.openxmlformats.org/officeDocument/2006/relationships/hyperlink" Target="https://pbs.twimg.com/profile_images/582484065674080256/u7_etD74_normal.jpg" TargetMode="External"/><Relationship Id="rId10532" Type="http://schemas.openxmlformats.org/officeDocument/2006/relationships/hyperlink" Target="https://twitter.com/PolakPavel" TargetMode="External"/><Relationship Id="rId16094" Type="http://schemas.openxmlformats.org/officeDocument/2006/relationships/hyperlink" Target="https://pbs.twimg.com/profile_images/540037751416971264/FUsmNZrb_normal.jpeg" TargetMode="External"/><Relationship Id="rId17145" Type="http://schemas.openxmlformats.org/officeDocument/2006/relationships/hyperlink" Target="https://pbs.twimg.com/profile_images/701935561657835520/gdjnXKfP_normal.png" TargetMode="External"/><Relationship Id="rId24361" Type="http://schemas.openxmlformats.org/officeDocument/2006/relationships/hyperlink" Target="https://pbs.twimg.com/profile_images/715133504149917698/cUazsqBS_normal.jpg" TargetMode="External"/><Relationship Id="rId25412" Type="http://schemas.openxmlformats.org/officeDocument/2006/relationships/hyperlink" Target="https://twitter.com/vickymotorserv1/status/724438006560489472" TargetMode="External"/><Relationship Id="rId6153" Type="http://schemas.openxmlformats.org/officeDocument/2006/relationships/hyperlink" Target="https://twitter.com/Logistique01/status/723232834689753088" TargetMode="External"/><Relationship Id="rId7204" Type="http://schemas.openxmlformats.org/officeDocument/2006/relationships/hyperlink" Target="https://twitter.com/ballyhea14" TargetMode="External"/><Relationship Id="rId13755" Type="http://schemas.openxmlformats.org/officeDocument/2006/relationships/hyperlink" Target="https://pbs.twimg.com/profile_images/598204778066223104/T3e5yqH5_normal.png" TargetMode="External"/><Relationship Id="rId20971" Type="http://schemas.openxmlformats.org/officeDocument/2006/relationships/hyperlink" Target="https://twitter.com/VWBeetleSales/status/724073529503670273" TargetMode="External"/><Relationship Id="rId24014" Type="http://schemas.openxmlformats.org/officeDocument/2006/relationships/hyperlink" Target="https://twitter.com/LimandoElPisoPM/status/724326906074652673" TargetMode="External"/><Relationship Id="rId2763" Type="http://schemas.openxmlformats.org/officeDocument/2006/relationships/hyperlink" Target="http://dlvr.it/" TargetMode="External"/><Relationship Id="rId3814" Type="http://schemas.openxmlformats.org/officeDocument/2006/relationships/hyperlink" Target="https://pbs.twimg.com/profile_images/507897198911053824/7OqYAonJ_normal.jpeg" TargetMode="External"/><Relationship Id="rId9376" Type="http://schemas.openxmlformats.org/officeDocument/2006/relationships/hyperlink" Target="https://twitter.com/ayondoTrading" TargetMode="External"/><Relationship Id="rId12357" Type="http://schemas.openxmlformats.org/officeDocument/2006/relationships/hyperlink" Target="https://twitter.com/MarkCSchneider/status/723518099220238336" TargetMode="External"/><Relationship Id="rId13408" Type="http://schemas.openxmlformats.org/officeDocument/2006/relationships/hyperlink" Target="https://twitter.com/supervwfestival/status/723546113328992262" TargetMode="External"/><Relationship Id="rId14806" Type="http://schemas.openxmlformats.org/officeDocument/2006/relationships/hyperlink" Target="https://twitter.com/VWCamperSales" TargetMode="External"/><Relationship Id="rId20624" Type="http://schemas.openxmlformats.org/officeDocument/2006/relationships/hyperlink" Target="https://twitter.com/Insta_VWT/status/724017082363420673" TargetMode="External"/><Relationship Id="rId735" Type="http://schemas.openxmlformats.org/officeDocument/2006/relationships/hyperlink" Target="https://twitter.com/Insight4News4/status/722975836438204416" TargetMode="External"/><Relationship Id="rId1365" Type="http://schemas.openxmlformats.org/officeDocument/2006/relationships/hyperlink" Target="https://twitter.com/VolkswagenPost/status/723038136062763008" TargetMode="External"/><Relationship Id="rId2416" Type="http://schemas.openxmlformats.org/officeDocument/2006/relationships/hyperlink" Target="https://twitter.com/FiginiiAxel/status/723100519661707264" TargetMode="External"/><Relationship Id="rId9029" Type="http://schemas.openxmlformats.org/officeDocument/2006/relationships/hyperlink" Target="https://pbs.twimg.com/profile_images/703294545195307008/qeCvrX86_normal.jpg" TargetMode="External"/><Relationship Id="rId16978" Type="http://schemas.openxmlformats.org/officeDocument/2006/relationships/hyperlink" Target="https://twitter.com/katrinhilger" TargetMode="External"/><Relationship Id="rId1018" Type="http://schemas.openxmlformats.org/officeDocument/2006/relationships/hyperlink" Target="https://twitter.com/MarkCSchneider/status/723013737104420864" TargetMode="External"/><Relationship Id="rId4588" Type="http://schemas.openxmlformats.org/officeDocument/2006/relationships/hyperlink" Target="https://twitter.com/VWBeetleSales/status/723183293479325697" TargetMode="External"/><Relationship Id="rId5639" Type="http://schemas.openxmlformats.org/officeDocument/2006/relationships/hyperlink" Target="https://twitter.com/HansjorgN" TargetMode="External"/><Relationship Id="rId5986" Type="http://schemas.openxmlformats.org/officeDocument/2006/relationships/hyperlink" Target="https://twitter.com/SAW_AX/status/723226110947930112" TargetMode="External"/><Relationship Id="rId18053" Type="http://schemas.openxmlformats.org/officeDocument/2006/relationships/hyperlink" Target="https://twitter.com/voosvoos" TargetMode="External"/><Relationship Id="rId19451" Type="http://schemas.openxmlformats.org/officeDocument/2006/relationships/hyperlink" Target="https://pbs.twimg.com/profile_images/669331676661575680/dgW50ccx_normal.png" TargetMode="External"/><Relationship Id="rId21398" Type="http://schemas.openxmlformats.org/officeDocument/2006/relationships/hyperlink" Target="https://twitter.com/umavoltadekombi" TargetMode="External"/><Relationship Id="rId22796" Type="http://schemas.openxmlformats.org/officeDocument/2006/relationships/hyperlink" Target="https://twitter.com/techhippie" TargetMode="External"/><Relationship Id="rId23847" Type="http://schemas.openxmlformats.org/officeDocument/2006/relationships/hyperlink" Target="https://pbs.twimg.com/profile_images/627949001179037696/skEBkS05_normal.jpg" TargetMode="External"/><Relationship Id="rId71" Type="http://schemas.openxmlformats.org/officeDocument/2006/relationships/hyperlink" Target="https://twitter.com/DnBcorporation/status/722922737388359680" TargetMode="External"/><Relationship Id="rId7061" Type="http://schemas.openxmlformats.org/officeDocument/2006/relationships/hyperlink" Target="https://twitter.com/OnlineCarReview" TargetMode="External"/><Relationship Id="rId8112" Type="http://schemas.openxmlformats.org/officeDocument/2006/relationships/hyperlink" Target="https://twitter.com/TractatusArtium/status/723370501020610560" TargetMode="External"/><Relationship Id="rId9510" Type="http://schemas.openxmlformats.org/officeDocument/2006/relationships/hyperlink" Target="https://pbs.twimg.com/profile_images/674735994638348289/svf5Ietj_normal.jpg" TargetMode="External"/><Relationship Id="rId11440" Type="http://schemas.openxmlformats.org/officeDocument/2006/relationships/hyperlink" Target="https://twitter.com/BestAgerDe/status/723502115948249088" TargetMode="External"/><Relationship Id="rId19104" Type="http://schemas.openxmlformats.org/officeDocument/2006/relationships/hyperlink" Target="https://twitter.com/VWCrystalLake" TargetMode="External"/><Relationship Id="rId22449" Type="http://schemas.openxmlformats.org/officeDocument/2006/relationships/hyperlink" Target="https://twitter.com/dubbusses/status/724224221224833024" TargetMode="External"/><Relationship Id="rId10042" Type="http://schemas.openxmlformats.org/officeDocument/2006/relationships/hyperlink" Target="https://twitter.com/KarSmid" TargetMode="External"/><Relationship Id="rId14663" Type="http://schemas.openxmlformats.org/officeDocument/2006/relationships/hyperlink" Target="https://pbs.twimg.com/profile_images/447189869744631808/Kf4FEKKq_normal.jpeg" TargetMode="External"/><Relationship Id="rId15714" Type="http://schemas.openxmlformats.org/officeDocument/2006/relationships/hyperlink" Target="https://twitter.com/jitenmistrydj" TargetMode="External"/><Relationship Id="rId22930" Type="http://schemas.openxmlformats.org/officeDocument/2006/relationships/hyperlink" Target="http://ctrlq.org/maps/address/" TargetMode="External"/><Relationship Id="rId3671" Type="http://schemas.openxmlformats.org/officeDocument/2006/relationships/hyperlink" Target="https://pbs.twimg.com/profile_images/565148280066035712/_9CeN1GE_normal.jpeg" TargetMode="External"/><Relationship Id="rId4722" Type="http://schemas.openxmlformats.org/officeDocument/2006/relationships/hyperlink" Target="https://twitter.com/chrischeuermann" TargetMode="External"/><Relationship Id="rId13265" Type="http://schemas.openxmlformats.org/officeDocument/2006/relationships/hyperlink" Target="https://twitter.com/RodriContrera01/status/723542021869182976" TargetMode="External"/><Relationship Id="rId14316" Type="http://schemas.openxmlformats.org/officeDocument/2006/relationships/hyperlink" Target="https://twitter.com/DurhamRed77/status/723572329448652800" TargetMode="External"/><Relationship Id="rId17886" Type="http://schemas.openxmlformats.org/officeDocument/2006/relationships/hyperlink" Target="https://pbs.twimg.com/profile_images/552037189328982016/r65JRGTS_normal.jpeg" TargetMode="External"/><Relationship Id="rId20481" Type="http://schemas.openxmlformats.org/officeDocument/2006/relationships/hyperlink" Target="https://twitter.com/vw_escarabajo" TargetMode="External"/><Relationship Id="rId21532" Type="http://schemas.openxmlformats.org/officeDocument/2006/relationships/hyperlink" Target="https://twitter.com/pizzapickupltd" TargetMode="External"/><Relationship Id="rId592" Type="http://schemas.openxmlformats.org/officeDocument/2006/relationships/hyperlink" Target="https://twitter.com/techhippie/status/722967018702561281" TargetMode="External"/><Relationship Id="rId2273" Type="http://schemas.openxmlformats.org/officeDocument/2006/relationships/hyperlink" Target="https://twitter.com/ZoomStocks" TargetMode="External"/><Relationship Id="rId3324" Type="http://schemas.openxmlformats.org/officeDocument/2006/relationships/hyperlink" Target="https://abs.twimg.com/sticky/default_profile_images/default_profile_0_normal.png" TargetMode="External"/><Relationship Id="rId6894" Type="http://schemas.openxmlformats.org/officeDocument/2006/relationships/hyperlink" Target="https://twitter.com/ohioantique" TargetMode="External"/><Relationship Id="rId7945" Type="http://schemas.openxmlformats.org/officeDocument/2006/relationships/hyperlink" Target="https://pbs.twimg.com/profile_images/3398986760/169ef7953adf953270106ccfa5b90065_normal.jpeg" TargetMode="External"/><Relationship Id="rId16488" Type="http://schemas.openxmlformats.org/officeDocument/2006/relationships/hyperlink" Target="https://twitter.com/AlainMatungulu" TargetMode="External"/><Relationship Id="rId17539" Type="http://schemas.openxmlformats.org/officeDocument/2006/relationships/hyperlink" Target="https://twitter.com/hubberme/status/723805986201436160" TargetMode="External"/><Relationship Id="rId18937" Type="http://schemas.openxmlformats.org/officeDocument/2006/relationships/hyperlink" Target="https://pbs.twimg.com/profile_images/2208847688/Untitled-2_normal.jpg" TargetMode="External"/><Relationship Id="rId20134" Type="http://schemas.openxmlformats.org/officeDocument/2006/relationships/hyperlink" Target="https://twitter.com/TheLovebusWedCo/status/723976552493535232" TargetMode="External"/><Relationship Id="rId24755" Type="http://schemas.openxmlformats.org/officeDocument/2006/relationships/hyperlink" Target="https://twitter.com/serglolevin/status/724386834797588480" TargetMode="External"/><Relationship Id="rId245" Type="http://schemas.openxmlformats.org/officeDocument/2006/relationships/hyperlink" Target="https://twitter.com/geek_porn_/status/722939953479606272" TargetMode="External"/><Relationship Id="rId5496" Type="http://schemas.openxmlformats.org/officeDocument/2006/relationships/hyperlink" Target="https://pbs.twimg.com/profile_images/529712216208326657/278T6KL8_normal.jpeg" TargetMode="External"/><Relationship Id="rId6547" Type="http://schemas.openxmlformats.org/officeDocument/2006/relationships/hyperlink" Target="https://twitter.com/VolkswagenPost/status/723245486958764034" TargetMode="External"/><Relationship Id="rId10926" Type="http://schemas.openxmlformats.org/officeDocument/2006/relationships/hyperlink" Target="https://twitter.com/panicswitch777" TargetMode="External"/><Relationship Id="rId23357" Type="http://schemas.openxmlformats.org/officeDocument/2006/relationships/hyperlink" Target="https://twitter.com/RTLRally" TargetMode="External"/><Relationship Id="rId24408" Type="http://schemas.openxmlformats.org/officeDocument/2006/relationships/hyperlink" Target="https://pbs.twimg.com/profile_images/3573077542/e52ed1aa9eddad3504a09bfe0c590f29_normal.jpeg" TargetMode="External"/><Relationship Id="rId4098" Type="http://schemas.openxmlformats.org/officeDocument/2006/relationships/hyperlink" Target="https://pbs.twimg.com/profile_images/2614527612/qjcdvigyia7ykhqunc2f_normal.jpeg" TargetMode="External"/><Relationship Id="rId5149" Type="http://schemas.openxmlformats.org/officeDocument/2006/relationships/hyperlink" Target="https://twitter.com/JackieLeonard01/status/723195379135606787" TargetMode="External"/><Relationship Id="rId9020" Type="http://schemas.openxmlformats.org/officeDocument/2006/relationships/hyperlink" Target="https://twitter.com/MartinHeine1" TargetMode="External"/><Relationship Id="rId12001" Type="http://schemas.openxmlformats.org/officeDocument/2006/relationships/hyperlink" Target="https://twitter.com/kultur360" TargetMode="External"/><Relationship Id="rId15571" Type="http://schemas.openxmlformats.org/officeDocument/2006/relationships/hyperlink" Target="https://twitter.com/bvdvliet" TargetMode="External"/><Relationship Id="rId16622" Type="http://schemas.openxmlformats.org/officeDocument/2006/relationships/hyperlink" Target="https://twitter.com/Carscoop/status/723703467231969281" TargetMode="External"/><Relationship Id="rId1759" Type="http://schemas.openxmlformats.org/officeDocument/2006/relationships/hyperlink" Target="https://twitter.com/faudtnieuws/status/723055588964323328" TargetMode="External"/><Relationship Id="rId3181" Type="http://schemas.openxmlformats.org/officeDocument/2006/relationships/hyperlink" Target="https://pbs.twimg.com/profile_images/477440204932796419/Ubdok5z2_normal.jpeg" TargetMode="External"/><Relationship Id="rId5630" Type="http://schemas.openxmlformats.org/officeDocument/2006/relationships/hyperlink" Target="https://twitter.com/Insta_VWT" TargetMode="External"/><Relationship Id="rId14173" Type="http://schemas.openxmlformats.org/officeDocument/2006/relationships/hyperlink" Target="https://twitter.com/MotojunkyInfo/status/723567401774788610" TargetMode="External"/><Relationship Id="rId15224" Type="http://schemas.openxmlformats.org/officeDocument/2006/relationships/hyperlink" Target="https://pbs.twimg.com/profile_images/626745382035423232/nwofYmP7_normal.jpg" TargetMode="External"/><Relationship Id="rId18794" Type="http://schemas.openxmlformats.org/officeDocument/2006/relationships/hyperlink" Target="https://twitter.com/DevinPierson" TargetMode="External"/><Relationship Id="rId19845" Type="http://schemas.openxmlformats.org/officeDocument/2006/relationships/hyperlink" Target="https://twitter.com/RTLRally" TargetMode="External"/><Relationship Id="rId22440" Type="http://schemas.openxmlformats.org/officeDocument/2006/relationships/hyperlink" Target="https://twitter.com/beetlebug1938/status/724224006333845504" TargetMode="External"/><Relationship Id="rId4232" Type="http://schemas.openxmlformats.org/officeDocument/2006/relationships/hyperlink" Target="https://twitter.com/VeeDubMk1_" TargetMode="External"/><Relationship Id="rId8853" Type="http://schemas.openxmlformats.org/officeDocument/2006/relationships/hyperlink" Target="https://twitter.com/AndreasAndy3131/status/723409404775661568" TargetMode="External"/><Relationship Id="rId9904" Type="http://schemas.openxmlformats.org/officeDocument/2006/relationships/hyperlink" Target="https://twitter.com/JanKassies/status/723453715236175872" TargetMode="External"/><Relationship Id="rId10783" Type="http://schemas.openxmlformats.org/officeDocument/2006/relationships/hyperlink" Target="https://pbs.twimg.com/profile_images/685522044365193221/CKuuQACr_normal.png" TargetMode="External"/><Relationship Id="rId11834" Type="http://schemas.openxmlformats.org/officeDocument/2006/relationships/hyperlink" Target="https://twitter.com/repub9989/status/723508691870310400" TargetMode="External"/><Relationship Id="rId17396" Type="http://schemas.openxmlformats.org/officeDocument/2006/relationships/hyperlink" Target="https://twitter.com/RippedFlower/status/723796439797751808" TargetMode="External"/><Relationship Id="rId18447" Type="http://schemas.openxmlformats.org/officeDocument/2006/relationships/hyperlink" Target="https://twitter.com/TraderCrowd/status/723868748541759488" TargetMode="External"/><Relationship Id="rId21042" Type="http://schemas.openxmlformats.org/officeDocument/2006/relationships/hyperlink" Target="https://pbs.twimg.com/profile_images/718820712757215233/LXXndPTS_normal.jpg" TargetMode="External"/><Relationship Id="rId25663" Type="http://schemas.openxmlformats.org/officeDocument/2006/relationships/hyperlink" Target="https://twitter.com/80230e4f9e424a1/status/724457037036400640" TargetMode="External"/><Relationship Id="rId7455" Type="http://schemas.openxmlformats.org/officeDocument/2006/relationships/hyperlink" Target="https://twitter.com/giselaBoezio/status/723304731897151488" TargetMode="External"/><Relationship Id="rId8506" Type="http://schemas.openxmlformats.org/officeDocument/2006/relationships/hyperlink" Target="https://twitter.com/RSTOKAR/status/723391587737202688" TargetMode="External"/><Relationship Id="rId10436" Type="http://schemas.openxmlformats.org/officeDocument/2006/relationships/hyperlink" Target="http://dlvr.it/" TargetMode="External"/><Relationship Id="rId17049" Type="http://schemas.openxmlformats.org/officeDocument/2006/relationships/hyperlink" Target="https://twitter.com/ragingbull44" TargetMode="External"/><Relationship Id="rId24265" Type="http://schemas.openxmlformats.org/officeDocument/2006/relationships/hyperlink" Target="https://pbs.twimg.com/profile_images/703294545195307008/qeCvrX86_normal.jpg" TargetMode="External"/><Relationship Id="rId25316" Type="http://schemas.openxmlformats.org/officeDocument/2006/relationships/hyperlink" Target="https://twitter.com/GiererIleana" TargetMode="External"/><Relationship Id="rId6057" Type="http://schemas.openxmlformats.org/officeDocument/2006/relationships/hyperlink" Target="https://twitter.com/MParekh" TargetMode="External"/><Relationship Id="rId7108" Type="http://schemas.openxmlformats.org/officeDocument/2006/relationships/hyperlink" Target="https://twitter.com/rgoverstreet/status/723279104452108289" TargetMode="External"/><Relationship Id="rId986" Type="http://schemas.openxmlformats.org/officeDocument/2006/relationships/hyperlink" Target="https://pbs.twimg.com/profile_images/718820712757215233/LXXndPTS_normal.jpg" TargetMode="External"/><Relationship Id="rId2667" Type="http://schemas.openxmlformats.org/officeDocument/2006/relationships/hyperlink" Target="https://twitter.com/VeeDubMk1_/status/723112517682225152" TargetMode="External"/><Relationship Id="rId3718" Type="http://schemas.openxmlformats.org/officeDocument/2006/relationships/hyperlink" Target="https://pbs.twimg.com/profile_images/713274484128616448/5CURMCDr_normal.jpg" TargetMode="External"/><Relationship Id="rId13659" Type="http://schemas.openxmlformats.org/officeDocument/2006/relationships/hyperlink" Target="https://pbs.twimg.com/profile_images/378800000692356031/09d518072c75b8f4936bb46dc18dc8ef_normal.jpeg" TargetMode="External"/><Relationship Id="rId15081" Type="http://schemas.openxmlformats.org/officeDocument/2006/relationships/hyperlink" Target="https://twitter.com/RandigRoy/status/723592677955129344" TargetMode="External"/><Relationship Id="rId16132" Type="http://schemas.openxmlformats.org/officeDocument/2006/relationships/hyperlink" Target="https://twitter.com/VWHeritage/status/723650154239275008" TargetMode="External"/><Relationship Id="rId17530" Type="http://schemas.openxmlformats.org/officeDocument/2006/relationships/hyperlink" Target="https://pbs.twimg.com/profile_images/723793878185287680/DrYEFexG_normal.jpg" TargetMode="External"/><Relationship Id="rId20875" Type="http://schemas.openxmlformats.org/officeDocument/2006/relationships/hyperlink" Target="https://twitter.com/CastineiraDiego" TargetMode="External"/><Relationship Id="rId21926" Type="http://schemas.openxmlformats.org/officeDocument/2006/relationships/hyperlink" Target="https://twitter.com/dream7790080822/status/724189162706898945" TargetMode="External"/><Relationship Id="rId639" Type="http://schemas.openxmlformats.org/officeDocument/2006/relationships/hyperlink" Target="https://twitter.com/rawanAlhalda" TargetMode="External"/><Relationship Id="rId1269" Type="http://schemas.openxmlformats.org/officeDocument/2006/relationships/hyperlink" Target="http://donaukurier.de/" TargetMode="External"/><Relationship Id="rId5140" Type="http://schemas.openxmlformats.org/officeDocument/2006/relationships/hyperlink" Target="https://twitter.com/Snoopy92/status/723195103259594752" TargetMode="External"/><Relationship Id="rId20528" Type="http://schemas.openxmlformats.org/officeDocument/2006/relationships/hyperlink" Target="https://twitter.com/greycatsunite" TargetMode="External"/><Relationship Id="rId23001" Type="http://schemas.openxmlformats.org/officeDocument/2006/relationships/hyperlink" Target="https://twitter.com/TracingKaro/status/724264180870725633" TargetMode="External"/><Relationship Id="rId9761" Type="http://schemas.openxmlformats.org/officeDocument/2006/relationships/hyperlink" Target="https://twitter.com/VeeriahSajeevan" TargetMode="External"/><Relationship Id="rId11691" Type="http://schemas.openxmlformats.org/officeDocument/2006/relationships/hyperlink" Target="https://pbs.twimg.com/profile_images/506310329505034241/m0PcSD87_normal.jpeg" TargetMode="External"/><Relationship Id="rId12742" Type="http://schemas.openxmlformats.org/officeDocument/2006/relationships/hyperlink" Target="https://twitter.com/stephankuehn/status/723526834911100928" TargetMode="External"/><Relationship Id="rId19355" Type="http://schemas.openxmlformats.org/officeDocument/2006/relationships/hyperlink" Target="https://twitter.com/FEWOcapecoral" TargetMode="External"/><Relationship Id="rId1750" Type="http://schemas.openxmlformats.org/officeDocument/2006/relationships/hyperlink" Target="https://twitter.com/AFECTADOGRUPOVW/status/723055499013328896" TargetMode="External"/><Relationship Id="rId2801" Type="http://schemas.openxmlformats.org/officeDocument/2006/relationships/hyperlink" Target="https://pbs.twimg.com/profile_images/1190749746/image_normal.jpg" TargetMode="External"/><Relationship Id="rId8016" Type="http://schemas.openxmlformats.org/officeDocument/2006/relationships/hyperlink" Target="https://pbs.twimg.com/profile_images/424263999111180288/uiuHfUnY_normal.png" TargetMode="External"/><Relationship Id="rId8363" Type="http://schemas.openxmlformats.org/officeDocument/2006/relationships/hyperlink" Target="https://twitter.com/Boersenhaendler/status/723384851533950977" TargetMode="External"/><Relationship Id="rId9414" Type="http://schemas.openxmlformats.org/officeDocument/2006/relationships/hyperlink" Target="https://pbs.twimg.com/profile_images/707176643509538817/-s_VKgK4_normal.jpg" TargetMode="External"/><Relationship Id="rId10293" Type="http://schemas.openxmlformats.org/officeDocument/2006/relationships/hyperlink" Target="https://twitter.com/VolkswagenPost/status/723468617812078593" TargetMode="External"/><Relationship Id="rId11344" Type="http://schemas.openxmlformats.org/officeDocument/2006/relationships/hyperlink" Target="https://twitter.com/agy_nes" TargetMode="External"/><Relationship Id="rId15965" Type="http://schemas.openxmlformats.org/officeDocument/2006/relationships/hyperlink" Target="https://twitter.com/poandpo/status/723640094465396738" TargetMode="External"/><Relationship Id="rId19008" Type="http://schemas.openxmlformats.org/officeDocument/2006/relationships/hyperlink" Target="https://twitter.com/Rob_der_Waelder" TargetMode="External"/><Relationship Id="rId25173" Type="http://schemas.openxmlformats.org/officeDocument/2006/relationships/hyperlink" Target="https://pbs.twimg.com/profile_images/720623345029423104/TUxoNGEM_normal.jpg" TargetMode="External"/><Relationship Id="rId1403" Type="http://schemas.openxmlformats.org/officeDocument/2006/relationships/hyperlink" Target="https://twitter.com/wg12307" TargetMode="External"/><Relationship Id="rId4973" Type="http://schemas.openxmlformats.org/officeDocument/2006/relationships/hyperlink" Target="https://twitter.com/BILD_Reporter" TargetMode="External"/><Relationship Id="rId14567" Type="http://schemas.openxmlformats.org/officeDocument/2006/relationships/hyperlink" Target="https://twitter.com/bitgit/status/723575525063708672" TargetMode="External"/><Relationship Id="rId15618" Type="http://schemas.openxmlformats.org/officeDocument/2006/relationships/hyperlink" Target="https://twitter.com/kngeuro" TargetMode="External"/><Relationship Id="rId21783" Type="http://schemas.openxmlformats.org/officeDocument/2006/relationships/hyperlink" Target="https://pbs.twimg.com/profile_images/718835727027580928/1ssyQ67y_normal.jpg" TargetMode="External"/><Relationship Id="rId22834" Type="http://schemas.openxmlformats.org/officeDocument/2006/relationships/hyperlink" Target="https://twitter.com/RusselMSVW" TargetMode="External"/><Relationship Id="rId3575" Type="http://schemas.openxmlformats.org/officeDocument/2006/relationships/hyperlink" Target="https://pbs.twimg.com/profile_images/703294545195307008/qeCvrX86_normal.jpg" TargetMode="External"/><Relationship Id="rId4626" Type="http://schemas.openxmlformats.org/officeDocument/2006/relationships/hyperlink" Target="https://twitter.com/dknightvaleting" TargetMode="External"/><Relationship Id="rId13169" Type="http://schemas.openxmlformats.org/officeDocument/2006/relationships/hyperlink" Target="https://twitter.com/theprospect/status/723537385829588992" TargetMode="External"/><Relationship Id="rId17040" Type="http://schemas.openxmlformats.org/officeDocument/2006/relationships/hyperlink" Target="https://twitter.com/Old_Man_Abbott" TargetMode="External"/><Relationship Id="rId20385" Type="http://schemas.openxmlformats.org/officeDocument/2006/relationships/hyperlink" Target="https://pbs.twimg.com/profile_images/438911154551668736/n6Nlzqp3_normal.jpeg" TargetMode="External"/><Relationship Id="rId21436" Type="http://schemas.openxmlformats.org/officeDocument/2006/relationships/hyperlink" Target="https://pbs.twimg.com/profile_images/718835727027580928/1ssyQ67y_normal.jpg" TargetMode="External"/><Relationship Id="rId496" Type="http://schemas.openxmlformats.org/officeDocument/2006/relationships/hyperlink" Target="https://t.co/xQrdFFlebe" TargetMode="External"/><Relationship Id="rId2177" Type="http://schemas.openxmlformats.org/officeDocument/2006/relationships/hyperlink" Target="https://twitter.com/bilanmagazine/status/723086406084640768" TargetMode="External"/><Relationship Id="rId3228" Type="http://schemas.openxmlformats.org/officeDocument/2006/relationships/hyperlink" Target="https://pbs.twimg.com/profile_images/721352520015159296/hos8kuLH_normal.jpg" TargetMode="External"/><Relationship Id="rId6798" Type="http://schemas.openxmlformats.org/officeDocument/2006/relationships/hyperlink" Target="https://twitter.com/WettenbergTweet" TargetMode="External"/><Relationship Id="rId7849" Type="http://schemas.openxmlformats.org/officeDocument/2006/relationships/hyperlink" Target="https://twitter.com/twizler557" TargetMode="External"/><Relationship Id="rId20038" Type="http://schemas.openxmlformats.org/officeDocument/2006/relationships/hyperlink" Target="https://twitter.com/exequielleguiz1" TargetMode="External"/><Relationship Id="rId149" Type="http://schemas.openxmlformats.org/officeDocument/2006/relationships/hyperlink" Target="https://pbs.twimg.com/profile_images/672878354127839232/M7OYc-zx_normal.jpg" TargetMode="External"/><Relationship Id="rId9271" Type="http://schemas.openxmlformats.org/officeDocument/2006/relationships/hyperlink" Target="https://twitter.com/VWBeetleSales" TargetMode="External"/><Relationship Id="rId13650" Type="http://schemas.openxmlformats.org/officeDocument/2006/relationships/hyperlink" Target="https://pbs.twimg.com/profile_images/641845901737226240/kz3Tkfbs_normal.jpg" TargetMode="External"/><Relationship Id="rId14701" Type="http://schemas.openxmlformats.org/officeDocument/2006/relationships/hyperlink" Target="https://twitter.com/Stony_BS" TargetMode="External"/><Relationship Id="rId24659" Type="http://schemas.openxmlformats.org/officeDocument/2006/relationships/hyperlink" Target="https://twitter.com/beetlebug1938/status/724382935009337345" TargetMode="External"/><Relationship Id="rId1260" Type="http://schemas.openxmlformats.org/officeDocument/2006/relationships/hyperlink" Target="https://twitter.com/ragsforex/status/723028389062316033" TargetMode="External"/><Relationship Id="rId12252" Type="http://schemas.openxmlformats.org/officeDocument/2006/relationships/hyperlink" Target="https://twitter.com/1LIVE" TargetMode="External"/><Relationship Id="rId13303" Type="http://schemas.openxmlformats.org/officeDocument/2006/relationships/hyperlink" Target="https://pbs.twimg.com/profile_images/689180646653202432/IDgTGC30_normal.jpg" TargetMode="External"/><Relationship Id="rId16873" Type="http://schemas.openxmlformats.org/officeDocument/2006/relationships/hyperlink" Target="https://twitter.com/ChatLeRoy/status/723743763106025472" TargetMode="External"/><Relationship Id="rId17924" Type="http://schemas.openxmlformats.org/officeDocument/2006/relationships/hyperlink" Target="https://pbs.twimg.com/profile_images/703294545195307008/qeCvrX86_normal.jpg" TargetMode="External"/><Relationship Id="rId630" Type="http://schemas.openxmlformats.org/officeDocument/2006/relationships/hyperlink" Target="https://twitter.com/_lamShunnKilla" TargetMode="External"/><Relationship Id="rId2311" Type="http://schemas.openxmlformats.org/officeDocument/2006/relationships/hyperlink" Target="http://dlvr.it/" TargetMode="External"/><Relationship Id="rId5881" Type="http://schemas.openxmlformats.org/officeDocument/2006/relationships/hyperlink" Target="https://twitter.com/MissMotorMouth" TargetMode="External"/><Relationship Id="rId6932" Type="http://schemas.openxmlformats.org/officeDocument/2006/relationships/hyperlink" Target="http://faz.net/" TargetMode="External"/><Relationship Id="rId15475" Type="http://schemas.openxmlformats.org/officeDocument/2006/relationships/hyperlink" Target="https://twitter.com/nullzeit/status/723608462404493313" TargetMode="External"/><Relationship Id="rId16526" Type="http://schemas.openxmlformats.org/officeDocument/2006/relationships/hyperlink" Target="https://pbs.twimg.com/profile_images/652871584131092480/QA_B6SBO_normal.jpg" TargetMode="External"/><Relationship Id="rId22691" Type="http://schemas.openxmlformats.org/officeDocument/2006/relationships/hyperlink" Target="https://twitter.com/dubbusses" TargetMode="External"/><Relationship Id="rId23742" Type="http://schemas.openxmlformats.org/officeDocument/2006/relationships/hyperlink" Target="https://twitter.com/significaRSE/status/724307476900921344" TargetMode="External"/><Relationship Id="rId4483" Type="http://schemas.openxmlformats.org/officeDocument/2006/relationships/hyperlink" Target="https://twitter.com/iCaramba/status/723181800814600192" TargetMode="External"/><Relationship Id="rId5534" Type="http://schemas.openxmlformats.org/officeDocument/2006/relationships/hyperlink" Target="https://twitter.com/wehrs18/status/723207094615289856" TargetMode="External"/><Relationship Id="rId14077" Type="http://schemas.openxmlformats.org/officeDocument/2006/relationships/hyperlink" Target="https://twitter.com/CherchAuto/status/723563348575588352" TargetMode="External"/><Relationship Id="rId15128" Type="http://schemas.openxmlformats.org/officeDocument/2006/relationships/hyperlink" Target="https://twitter.com/j_sturmberg/status/723595222517714944" TargetMode="External"/><Relationship Id="rId18698" Type="http://schemas.openxmlformats.org/officeDocument/2006/relationships/hyperlink" Target="https://pbs.twimg.com/profile_images/679621667774164992/o2iiV0R3_normal.jpg" TargetMode="External"/><Relationship Id="rId19749" Type="http://schemas.openxmlformats.org/officeDocument/2006/relationships/hyperlink" Target="https://twitter.com/crewevw" TargetMode="External"/><Relationship Id="rId21293" Type="http://schemas.openxmlformats.org/officeDocument/2006/relationships/hyperlink" Target="https://twitter.com/abcdefghmiokxyz" TargetMode="External"/><Relationship Id="rId22344" Type="http://schemas.openxmlformats.org/officeDocument/2006/relationships/hyperlink" Target="https://twitter.com/OnlineCarReview/status/724217241269506049" TargetMode="External"/><Relationship Id="rId3085" Type="http://schemas.openxmlformats.org/officeDocument/2006/relationships/hyperlink" Target="https://pbs.twimg.com/profile_images/588324718677254145/-y5BbeY4_normal.png" TargetMode="External"/><Relationship Id="rId4136" Type="http://schemas.openxmlformats.org/officeDocument/2006/relationships/hyperlink" Target="https://twitter.com/tillamookcoast/status/723177143535017984" TargetMode="External"/><Relationship Id="rId8757" Type="http://schemas.openxmlformats.org/officeDocument/2006/relationships/hyperlink" Target="https://twitter.com/doern/status/723404846284427264" TargetMode="External"/><Relationship Id="rId9808" Type="http://schemas.openxmlformats.org/officeDocument/2006/relationships/hyperlink" Target="https://twitter.com/EIV_Bayreuth/status/723449906510209024" TargetMode="External"/><Relationship Id="rId10687" Type="http://schemas.openxmlformats.org/officeDocument/2006/relationships/hyperlink" Target="https://pbs.twimg.com/profile_images/671960238531067904/FQnB-T0j_normal.jpg" TargetMode="External"/><Relationship Id="rId25567" Type="http://schemas.openxmlformats.org/officeDocument/2006/relationships/hyperlink" Target="https://pbs.twimg.com/profile_images/378800000572104796/1de43e1cf23efb3f4101c02afad0d3b6_normal.png" TargetMode="External"/><Relationship Id="rId7359" Type="http://schemas.openxmlformats.org/officeDocument/2006/relationships/hyperlink" Target="https://pbs.twimg.com/profile_images/661913020549976064/626UZ4_N_normal.jpg" TargetMode="External"/><Relationship Id="rId11738" Type="http://schemas.openxmlformats.org/officeDocument/2006/relationships/hyperlink" Target="https://twitter.com/Boersenradar" TargetMode="External"/><Relationship Id="rId13160" Type="http://schemas.openxmlformats.org/officeDocument/2006/relationships/hyperlink" Target="https://pbs.twimg.com/profile_images/702511217793863680/lty8h9vE_normal.jpg" TargetMode="External"/><Relationship Id="rId14211" Type="http://schemas.openxmlformats.org/officeDocument/2006/relationships/hyperlink" Target="https://twitter.com/I_InvestorJack/status/723569322858295297" TargetMode="External"/><Relationship Id="rId24169" Type="http://schemas.openxmlformats.org/officeDocument/2006/relationships/hyperlink" Target="https://pbs.twimg.com/profile_images/718820712757215233/LXXndPTS_normal.jpg" TargetMode="External"/><Relationship Id="rId17781" Type="http://schemas.openxmlformats.org/officeDocument/2006/relationships/hyperlink" Target="https://twitter.com/murr_max/status/723822344448409600" TargetMode="External"/><Relationship Id="rId18832" Type="http://schemas.openxmlformats.org/officeDocument/2006/relationships/hyperlink" Target="https://twitter.com/carsten290666/status/723899464717615104" TargetMode="External"/><Relationship Id="rId140" Type="http://schemas.openxmlformats.org/officeDocument/2006/relationships/hyperlink" Target="https://pbs.twimg.com/profile_images/652871584131092480/QA_B6SBO_normal.jpg" TargetMode="External"/><Relationship Id="rId3969" Type="http://schemas.openxmlformats.org/officeDocument/2006/relationships/hyperlink" Target="https://twitter.com/GQBert" TargetMode="External"/><Relationship Id="rId5391" Type="http://schemas.openxmlformats.org/officeDocument/2006/relationships/hyperlink" Target="https://pbs.twimg.com/profile_images/639507393508864000/PGKDu8Bt_normal.jpg" TargetMode="External"/><Relationship Id="rId7840" Type="http://schemas.openxmlformats.org/officeDocument/2006/relationships/hyperlink" Target="https://twitter.com/Agustina_quinte" TargetMode="External"/><Relationship Id="rId10821" Type="http://schemas.openxmlformats.org/officeDocument/2006/relationships/hyperlink" Target="https://twitter.com/Mibran_de/status/723486125545930752" TargetMode="External"/><Relationship Id="rId16383" Type="http://schemas.openxmlformats.org/officeDocument/2006/relationships/hyperlink" Target="https://pbs.twimg.com/profile_images/530071272881803264/a_jcCmPZ_normal.png" TargetMode="External"/><Relationship Id="rId17434" Type="http://schemas.openxmlformats.org/officeDocument/2006/relationships/hyperlink" Target="https://twitter.com/Law_Bolthausen" TargetMode="External"/><Relationship Id="rId20779" Type="http://schemas.openxmlformats.org/officeDocument/2006/relationships/hyperlink" Target="https://twitter.com/jornalistavitor/status/724043420537356288" TargetMode="External"/><Relationship Id="rId24650" Type="http://schemas.openxmlformats.org/officeDocument/2006/relationships/hyperlink" Target="https://twitter.com/willkinton247/status/724382456028258304" TargetMode="External"/><Relationship Id="rId25701" Type="http://schemas.openxmlformats.org/officeDocument/2006/relationships/hyperlink" Target="https://twitter.com/AS_AppleDaily" TargetMode="External"/><Relationship Id="rId6" Type="http://schemas.openxmlformats.org/officeDocument/2006/relationships/hyperlink" Target="https://pbs.twimg.com/profile_images/3237152318/f24f9ed6d0fe5ac36815083ed0e7c559_normal.jpeg" TargetMode="External"/><Relationship Id="rId5044" Type="http://schemas.openxmlformats.org/officeDocument/2006/relationships/hyperlink" Target="https://twitter.com/zlzal7562/status/723192865288032257" TargetMode="External"/><Relationship Id="rId6442" Type="http://schemas.openxmlformats.org/officeDocument/2006/relationships/hyperlink" Target="https://twitter.com/Photography_1st" TargetMode="External"/><Relationship Id="rId12993" Type="http://schemas.openxmlformats.org/officeDocument/2006/relationships/hyperlink" Target="https://twitter.com/VWCamperSales" TargetMode="External"/><Relationship Id="rId16036" Type="http://schemas.openxmlformats.org/officeDocument/2006/relationships/hyperlink" Target="https://pbs.twimg.com/profile_images/715004193040371712/YZClh8ao_normal.jpg" TargetMode="External"/><Relationship Id="rId23252" Type="http://schemas.openxmlformats.org/officeDocument/2006/relationships/hyperlink" Target="https://twitter.com/vwdepo" TargetMode="External"/><Relationship Id="rId24303" Type="http://schemas.openxmlformats.org/officeDocument/2006/relationships/hyperlink" Target="https://twitter.com/JanTiborLelley/status/724346244869447680" TargetMode="External"/><Relationship Id="rId9665" Type="http://schemas.openxmlformats.org/officeDocument/2006/relationships/hyperlink" Target="https://twitter.com/LittleCountry_M/status/723444600128442368" TargetMode="External"/><Relationship Id="rId11595" Type="http://schemas.openxmlformats.org/officeDocument/2006/relationships/hyperlink" Target="https://pbs.twimg.com/profile_images/700006076192788482/wBhtvnfL_normal.jpg" TargetMode="External"/><Relationship Id="rId12646" Type="http://schemas.openxmlformats.org/officeDocument/2006/relationships/hyperlink" Target="https://pbs.twimg.com/profile_images/420917107438915584/gJTup5FM_normal.jpeg" TargetMode="External"/><Relationship Id="rId19259" Type="http://schemas.openxmlformats.org/officeDocument/2006/relationships/hyperlink" Target="https://pbs.twimg.com/profile_images/534229277072314368/CGP57Wf8_normal.jpeg" TargetMode="External"/><Relationship Id="rId20913" Type="http://schemas.openxmlformats.org/officeDocument/2006/relationships/hyperlink" Target="https://twitter.com/Popenici/status/724062524245598209" TargetMode="External"/><Relationship Id="rId1654" Type="http://schemas.openxmlformats.org/officeDocument/2006/relationships/hyperlink" Target="https://pbs.twimg.com/profile_images/687162952152055810/r6ZCGBXR_normal.jpg" TargetMode="External"/><Relationship Id="rId2705" Type="http://schemas.openxmlformats.org/officeDocument/2006/relationships/hyperlink" Target="https://twitter.com/PaulMillerAG" TargetMode="External"/><Relationship Id="rId8267" Type="http://schemas.openxmlformats.org/officeDocument/2006/relationships/hyperlink" Target="https://pbs.twimg.com/profile_images/778573929/_MG_2143_normal.jpg" TargetMode="External"/><Relationship Id="rId9318" Type="http://schemas.openxmlformats.org/officeDocument/2006/relationships/hyperlink" Target="https://twitter.com/techhippie" TargetMode="External"/><Relationship Id="rId10197" Type="http://schemas.openxmlformats.org/officeDocument/2006/relationships/hyperlink" Target="https://pbs.twimg.com/profile_images/626150732908109824/YxBlJd63_normal.jpg" TargetMode="External"/><Relationship Id="rId11248" Type="http://schemas.openxmlformats.org/officeDocument/2006/relationships/hyperlink" Target="https://pbs.twimg.com/profile_images/2592181176/udsjv0fy0o3b2krnx52h_normal.jpeg" TargetMode="External"/><Relationship Id="rId25077" Type="http://schemas.openxmlformats.org/officeDocument/2006/relationships/hyperlink" Target="https://twitter.com/FuscaWorld/status/724417942935461889" TargetMode="External"/><Relationship Id="rId1307" Type="http://schemas.openxmlformats.org/officeDocument/2006/relationships/hyperlink" Target="https://twitter.com/dtb200/status/723034245657034752" TargetMode="External"/><Relationship Id="rId4877" Type="http://schemas.openxmlformats.org/officeDocument/2006/relationships/hyperlink" Target="https://twitter.com/r_kreisel" TargetMode="External"/><Relationship Id="rId5928" Type="http://schemas.openxmlformats.org/officeDocument/2006/relationships/hyperlink" Target="https://pbs.twimg.com/profile_images/839303470/326358977_144f1a5235_normal.jpg" TargetMode="External"/><Relationship Id="rId15869" Type="http://schemas.openxmlformats.org/officeDocument/2006/relationships/hyperlink" Target="https://twitter.com/gwisemixcds/status/723634576447381504" TargetMode="External"/><Relationship Id="rId17291" Type="http://schemas.openxmlformats.org/officeDocument/2006/relationships/hyperlink" Target="https://twitter.com/JenniPii/status/723787368600375296" TargetMode="External"/><Relationship Id="rId18342" Type="http://schemas.openxmlformats.org/officeDocument/2006/relationships/hyperlink" Target="http://dlvr.it/" TargetMode="External"/><Relationship Id="rId19740" Type="http://schemas.openxmlformats.org/officeDocument/2006/relationships/hyperlink" Target="https://twitter.com/dubbusses" TargetMode="External"/><Relationship Id="rId21687" Type="http://schemas.openxmlformats.org/officeDocument/2006/relationships/hyperlink" Target="https://pbs.twimg.com/profile_images/672878354127839232/M7OYc-zx_normal.jpg" TargetMode="External"/><Relationship Id="rId13" Type="http://schemas.openxmlformats.org/officeDocument/2006/relationships/hyperlink" Target="https://twitter.com/WorldWideStance" TargetMode="External"/><Relationship Id="rId3479" Type="http://schemas.openxmlformats.org/officeDocument/2006/relationships/hyperlink" Target="https://pbs.twimg.com/profile_images/692371838601666561/UFu4nf8q_normal.png" TargetMode="External"/><Relationship Id="rId7350" Type="http://schemas.openxmlformats.org/officeDocument/2006/relationships/hyperlink" Target="https://twitter.com/bgalmar" TargetMode="External"/><Relationship Id="rId8401" Type="http://schemas.openxmlformats.org/officeDocument/2006/relationships/hyperlink" Target="https://twitter.com/MertensFranki" TargetMode="External"/><Relationship Id="rId20289" Type="http://schemas.openxmlformats.org/officeDocument/2006/relationships/hyperlink" Target="https://twitter.com/barrydanzig/status/723988090600218625" TargetMode="External"/><Relationship Id="rId22738" Type="http://schemas.openxmlformats.org/officeDocument/2006/relationships/hyperlink" Target="https://twitter.com/Lindsay_VW" TargetMode="External"/><Relationship Id="rId24160" Type="http://schemas.openxmlformats.org/officeDocument/2006/relationships/hyperlink" Target="https://pbs.twimg.com/profile_images/580714481447129089/wRVQvK_X_normal.jpg" TargetMode="External"/><Relationship Id="rId25211" Type="http://schemas.openxmlformats.org/officeDocument/2006/relationships/hyperlink" Target="https://pbs.twimg.com/profile_images/627949001179037696/skEBkS05_normal.jpg" TargetMode="External"/><Relationship Id="rId7003" Type="http://schemas.openxmlformats.org/officeDocument/2006/relationships/hyperlink" Target="https://twitter.com/VolkswagenPost" TargetMode="External"/><Relationship Id="rId10331" Type="http://schemas.openxmlformats.org/officeDocument/2006/relationships/hyperlink" Target="https://twitter.com/unbequemes" TargetMode="External"/><Relationship Id="rId14952" Type="http://schemas.openxmlformats.org/officeDocument/2006/relationships/hyperlink" Target="https://twitter.com/MikeLittUSA/status/723587734548434944" TargetMode="External"/><Relationship Id="rId3960" Type="http://schemas.openxmlformats.org/officeDocument/2006/relationships/hyperlink" Target="https://twitter.com/zdmak" TargetMode="External"/><Relationship Id="rId9175" Type="http://schemas.openxmlformats.org/officeDocument/2006/relationships/hyperlink" Target="https://twitter.com/rantindave/status/723423539215257601" TargetMode="External"/><Relationship Id="rId13554" Type="http://schemas.openxmlformats.org/officeDocument/2006/relationships/hyperlink" Target="https://twitter.com/POLITROSO" TargetMode="External"/><Relationship Id="rId14605" Type="http://schemas.openxmlformats.org/officeDocument/2006/relationships/hyperlink" Target="https://twitter.com/oekomobil/status/723576695903670273" TargetMode="External"/><Relationship Id="rId20770" Type="http://schemas.openxmlformats.org/officeDocument/2006/relationships/hyperlink" Target="https://twitter.com/VotelTravels/status/724042825961189376" TargetMode="External"/><Relationship Id="rId21821" Type="http://schemas.openxmlformats.org/officeDocument/2006/relationships/hyperlink" Target="https://pbs.twimg.com/profile_images/722007969894940673/pQGJMPxX_normal.jpg" TargetMode="External"/><Relationship Id="rId881" Type="http://schemas.openxmlformats.org/officeDocument/2006/relationships/hyperlink" Target="https://twitter.com/FredChristian10" TargetMode="External"/><Relationship Id="rId2562" Type="http://schemas.openxmlformats.org/officeDocument/2006/relationships/hyperlink" Target="https://twitter.com/VRwatchingU/status/723105630114836480" TargetMode="External"/><Relationship Id="rId3613" Type="http://schemas.openxmlformats.org/officeDocument/2006/relationships/hyperlink" Target="https://pbs.twimg.com/profile_images/718820712757215233/LXXndPTS_normal.jpg" TargetMode="External"/><Relationship Id="rId12156" Type="http://schemas.openxmlformats.org/officeDocument/2006/relationships/hyperlink" Target="https://twitter.com/VWBeetleSales" TargetMode="External"/><Relationship Id="rId13207" Type="http://schemas.openxmlformats.org/officeDocument/2006/relationships/hyperlink" Target="https://twitter.com/Monogasse/status/723539015631310849" TargetMode="External"/><Relationship Id="rId16777" Type="http://schemas.openxmlformats.org/officeDocument/2006/relationships/hyperlink" Target="https://twitter.com/ExpeditionFools/status/723728926984413184" TargetMode="External"/><Relationship Id="rId17828" Type="http://schemas.openxmlformats.org/officeDocument/2006/relationships/hyperlink" Target="https://twitter.com/NetzwerkggS21" TargetMode="External"/><Relationship Id="rId20423" Type="http://schemas.openxmlformats.org/officeDocument/2006/relationships/hyperlink" Target="https://twitter.com/dubbusses/status/723997785289285632" TargetMode="External"/><Relationship Id="rId23993" Type="http://schemas.openxmlformats.org/officeDocument/2006/relationships/hyperlink" Target="https://pbs.twimg.com/profile_images/693569434494111744/7BLhzYeh_normal.jpg" TargetMode="External"/><Relationship Id="rId534" Type="http://schemas.openxmlformats.org/officeDocument/2006/relationships/hyperlink" Target="https://twitter.com/STlillgreenDK" TargetMode="External"/><Relationship Id="rId1164" Type="http://schemas.openxmlformats.org/officeDocument/2006/relationships/hyperlink" Target="https://twitter.com/stoneman_luke" TargetMode="External"/><Relationship Id="rId2215" Type="http://schemas.openxmlformats.org/officeDocument/2006/relationships/hyperlink" Target="https://pbs.twimg.com/profile_images/706784695795769345/XGXgdjww_normal.jpg" TargetMode="External"/><Relationship Id="rId5785" Type="http://schemas.openxmlformats.org/officeDocument/2006/relationships/hyperlink" Target="https://twitter.com/tumalwas/status/723217630082011136" TargetMode="External"/><Relationship Id="rId6836" Type="http://schemas.openxmlformats.org/officeDocument/2006/relationships/hyperlink" Target="https://twitter.com/Burhan_Ashkar" TargetMode="External"/><Relationship Id="rId15379" Type="http://schemas.openxmlformats.org/officeDocument/2006/relationships/hyperlink" Target="https://twitter.com/NorthCounty_LRS/status/723605567177154560" TargetMode="External"/><Relationship Id="rId19250" Type="http://schemas.openxmlformats.org/officeDocument/2006/relationships/hyperlink" Target="https://pbs.twimg.com/profile_images/539541707155845120/pGoqzoxE_normal.jpeg" TargetMode="External"/><Relationship Id="rId22595" Type="http://schemas.openxmlformats.org/officeDocument/2006/relationships/hyperlink" Target="https://pbs.twimg.com/profile_images/627949001179037696/skEBkS05_normal.jpg" TargetMode="External"/><Relationship Id="rId23646" Type="http://schemas.openxmlformats.org/officeDocument/2006/relationships/hyperlink" Target="https://twitter.com/CoryBarrios/status/724303006863376384" TargetMode="External"/><Relationship Id="rId4387" Type="http://schemas.openxmlformats.org/officeDocument/2006/relationships/hyperlink" Target="https://twitter.com/DanBama420" TargetMode="External"/><Relationship Id="rId5438" Type="http://schemas.openxmlformats.org/officeDocument/2006/relationships/hyperlink" Target="https://twitter.com/sasha_s_pachito/status/723203335898042368" TargetMode="External"/><Relationship Id="rId21197" Type="http://schemas.openxmlformats.org/officeDocument/2006/relationships/hyperlink" Target="https://twitter.com/RobsterRound/status/724121512211521536" TargetMode="External"/><Relationship Id="rId22248" Type="http://schemas.openxmlformats.org/officeDocument/2006/relationships/hyperlink" Target="https://twitter.com/Andy4x4Richards/status/724211497879113728" TargetMode="External"/><Relationship Id="rId11989" Type="http://schemas.openxmlformats.org/officeDocument/2006/relationships/hyperlink" Target="https://twitter.com/WowbaggerXX7" TargetMode="External"/><Relationship Id="rId15860" Type="http://schemas.openxmlformats.org/officeDocument/2006/relationships/hyperlink" Target="https://pbs.twimg.com/profile_images/703294545195307008/qeCvrX86_normal.jpg" TargetMode="External"/><Relationship Id="rId16911" Type="http://schemas.openxmlformats.org/officeDocument/2006/relationships/hyperlink" Target="https://pbs.twimg.com/profile_images/510170113257914368/O9xXZ4lT_normal.jpeg" TargetMode="External"/><Relationship Id="rId3470" Type="http://schemas.openxmlformats.org/officeDocument/2006/relationships/hyperlink" Target="https://pbs.twimg.com/profile_images/491944341934309377/xnt3hdy-_normal.jpeg" TargetMode="External"/><Relationship Id="rId13064" Type="http://schemas.openxmlformats.org/officeDocument/2006/relationships/hyperlink" Target="https://twitter.com/TdtMedia/status/723534593589125122" TargetMode="External"/><Relationship Id="rId14462" Type="http://schemas.openxmlformats.org/officeDocument/2006/relationships/hyperlink" Target="https://pbs.twimg.com/profile_images/608213167496417280/QSxgcLn__normal.png" TargetMode="External"/><Relationship Id="rId15513" Type="http://schemas.openxmlformats.org/officeDocument/2006/relationships/hyperlink" Target="https://twitter.com/Way_Cool_" TargetMode="External"/><Relationship Id="rId20280" Type="http://schemas.openxmlformats.org/officeDocument/2006/relationships/hyperlink" Target="https://twitter.com/Losttime_Comics/status/723987355703607296" TargetMode="External"/><Relationship Id="rId391" Type="http://schemas.openxmlformats.org/officeDocument/2006/relationships/hyperlink" Target="https://pbs.twimg.com/profile_images/711248931980582912/CJpAou94_normal.jpg" TargetMode="External"/><Relationship Id="rId2072" Type="http://schemas.openxmlformats.org/officeDocument/2006/relationships/hyperlink" Target="https://twitter.com/VWBeetleSales" TargetMode="External"/><Relationship Id="rId3123" Type="http://schemas.openxmlformats.org/officeDocument/2006/relationships/hyperlink" Target="https://twitter.com/dwnews" TargetMode="External"/><Relationship Id="rId4521" Type="http://schemas.openxmlformats.org/officeDocument/2006/relationships/hyperlink" Target="https://twitter.com/NachoSinatra" TargetMode="External"/><Relationship Id="rId14115" Type="http://schemas.openxmlformats.org/officeDocument/2006/relationships/hyperlink" Target="https://twitter.com/Fussfall" TargetMode="External"/><Relationship Id="rId17685" Type="http://schemas.openxmlformats.org/officeDocument/2006/relationships/hyperlink" Target="https://twitter.com/PipSterling" TargetMode="External"/><Relationship Id="rId18736" Type="http://schemas.openxmlformats.org/officeDocument/2006/relationships/hyperlink" Target="https://twitter.com/hashtagvanlife/status/723891588045385728" TargetMode="External"/><Relationship Id="rId21331" Type="http://schemas.openxmlformats.org/officeDocument/2006/relationships/hyperlink" Target="https://pbs.twimg.com/profile_images/2651105844/397add13e3fe54a55cc1843292c7d917_normal.jpeg" TargetMode="External"/><Relationship Id="rId6693" Type="http://schemas.openxmlformats.org/officeDocument/2006/relationships/hyperlink" Target="https://twitter.com/JokoMartinez11/status/723253117022773248" TargetMode="External"/><Relationship Id="rId7744" Type="http://schemas.openxmlformats.org/officeDocument/2006/relationships/hyperlink" Target="https://pbs.twimg.com/profile_images/709171803839721472/C87jEAYn_normal.jpg" TargetMode="External"/><Relationship Id="rId10725" Type="http://schemas.openxmlformats.org/officeDocument/2006/relationships/hyperlink" Target="https://twitter.com/AndyGER/status/723481999936237569" TargetMode="External"/><Relationship Id="rId16287" Type="http://schemas.openxmlformats.org/officeDocument/2006/relationships/hyperlink" Target="https://pbs.twimg.com/profile_images/1247253854/lifeblab-icon6_normal.png" TargetMode="External"/><Relationship Id="rId17338" Type="http://schemas.openxmlformats.org/officeDocument/2006/relationships/hyperlink" Target="https://pbs.twimg.com/profile_images/627949001179037696/skEBkS05_normal.jpg" TargetMode="External"/><Relationship Id="rId24554" Type="http://schemas.openxmlformats.org/officeDocument/2006/relationships/hyperlink" Target="https://pbs.twimg.com/profile_images/655302243806265344/V6UKksnQ_normal.jpg" TargetMode="External"/><Relationship Id="rId25605" Type="http://schemas.openxmlformats.org/officeDocument/2006/relationships/hyperlink" Target="https://twitter.com/VolkswagenPost/status/724451128423907328" TargetMode="External"/><Relationship Id="rId5295" Type="http://schemas.openxmlformats.org/officeDocument/2006/relationships/hyperlink" Target="https://twitter.com/mediaadgroup" TargetMode="External"/><Relationship Id="rId6346" Type="http://schemas.openxmlformats.org/officeDocument/2006/relationships/hyperlink" Target="https://twitter.com/Spottirektor" TargetMode="External"/><Relationship Id="rId12897" Type="http://schemas.openxmlformats.org/officeDocument/2006/relationships/hyperlink" Target="https://twitter.com/ReadingVW/status/723530946260160512" TargetMode="External"/><Relationship Id="rId23156" Type="http://schemas.openxmlformats.org/officeDocument/2006/relationships/hyperlink" Target="https://twitter.com/vagmenhq/status/724271344179916800" TargetMode="External"/><Relationship Id="rId24207" Type="http://schemas.openxmlformats.org/officeDocument/2006/relationships/hyperlink" Target="https://twitter.com/FuscaWorld" TargetMode="External"/><Relationship Id="rId2956" Type="http://schemas.openxmlformats.org/officeDocument/2006/relationships/hyperlink" Target="https://twitter.com/Joccck/status/723128189573173248" TargetMode="External"/><Relationship Id="rId9569" Type="http://schemas.openxmlformats.org/officeDocument/2006/relationships/hyperlink" Target="https://twitter.com/swanswaygroup" TargetMode="External"/><Relationship Id="rId11499" Type="http://schemas.openxmlformats.org/officeDocument/2006/relationships/hyperlink" Target="https://pbs.twimg.com/profile_images/723486693861560320/2kqIppsP_normal.jpg" TargetMode="External"/><Relationship Id="rId13948" Type="http://schemas.openxmlformats.org/officeDocument/2006/relationships/hyperlink" Target="https://twitter.com/FlexibleFlier/status/723559613363306496" TargetMode="External"/><Relationship Id="rId15370" Type="http://schemas.openxmlformats.org/officeDocument/2006/relationships/hyperlink" Target="https://twitter.com/Marktzyniker/status/723605483471409152" TargetMode="External"/><Relationship Id="rId16421" Type="http://schemas.openxmlformats.org/officeDocument/2006/relationships/hyperlink" Target="https://twitter.com/EHavetta/status/723683005521367040" TargetMode="External"/><Relationship Id="rId928" Type="http://schemas.openxmlformats.org/officeDocument/2006/relationships/hyperlink" Target="https://pbs.twimg.com/profile_images/679764699349647360/o7mBVaLr_normal.jpg" TargetMode="External"/><Relationship Id="rId1558" Type="http://schemas.openxmlformats.org/officeDocument/2006/relationships/hyperlink" Target="https://pbs.twimg.com/profile_images/696635247115395072/86JBdqIX_normal.jpg" TargetMode="External"/><Relationship Id="rId2609" Type="http://schemas.openxmlformats.org/officeDocument/2006/relationships/hyperlink" Target="https://pbs.twimg.com/profile_images/633346486823190529/bN4Fxs99_normal.jpg" TargetMode="External"/><Relationship Id="rId15023" Type="http://schemas.openxmlformats.org/officeDocument/2006/relationships/hyperlink" Target="https://twitter.com/Fam2FamHIC" TargetMode="External"/><Relationship Id="rId19991" Type="http://schemas.openxmlformats.org/officeDocument/2006/relationships/hyperlink" Target="https://twitter.com/dubbusses" TargetMode="External"/><Relationship Id="rId20817" Type="http://schemas.openxmlformats.org/officeDocument/2006/relationships/hyperlink" Target="https://pbs.twimg.com/profile_images/721373272705773568/2gPhR6nF_normal.jpg" TargetMode="External"/><Relationship Id="rId4031" Type="http://schemas.openxmlformats.org/officeDocument/2006/relationships/hyperlink" Target="https://twitter.com/emilyrusch/status/723174933837176832" TargetMode="External"/><Relationship Id="rId11980" Type="http://schemas.openxmlformats.org/officeDocument/2006/relationships/hyperlink" Target="https://twitter.com/jamesbmeigs" TargetMode="External"/><Relationship Id="rId17195" Type="http://schemas.openxmlformats.org/officeDocument/2006/relationships/hyperlink" Target="https://twitter.com/cas_2050001283" TargetMode="External"/><Relationship Id="rId18593" Type="http://schemas.openxmlformats.org/officeDocument/2006/relationships/hyperlink" Target="https://twitter.com/mokshaamm/status/723882569368932353" TargetMode="External"/><Relationship Id="rId19644" Type="http://schemas.openxmlformats.org/officeDocument/2006/relationships/hyperlink" Target="https://pbs.twimg.com/profile_images/3247035045/9844e9d67157e05905c827333dbfa0ee_normal.jpeg" TargetMode="External"/><Relationship Id="rId22989" Type="http://schemas.openxmlformats.org/officeDocument/2006/relationships/hyperlink" Target="https://twitter.com/alves28000/status/724263096701837312" TargetMode="External"/><Relationship Id="rId7254" Type="http://schemas.openxmlformats.org/officeDocument/2006/relationships/hyperlink" Target="https://twitter.com/TheSandboxN" TargetMode="External"/><Relationship Id="rId8305" Type="http://schemas.openxmlformats.org/officeDocument/2006/relationships/hyperlink" Target="https://twitter.com/ivankoznar/status/723381946869407744" TargetMode="External"/><Relationship Id="rId8652" Type="http://schemas.openxmlformats.org/officeDocument/2006/relationships/hyperlink" Target="https://twitter.com/EmirDiz/status/723400581306454017" TargetMode="External"/><Relationship Id="rId9703" Type="http://schemas.openxmlformats.org/officeDocument/2006/relationships/hyperlink" Target="https://pbs.twimg.com/profile_images/609596237097119744/s3XC4t2-_normal.jpg" TargetMode="External"/><Relationship Id="rId10582" Type="http://schemas.openxmlformats.org/officeDocument/2006/relationships/hyperlink" Target="https://twitter.com/AchillePrick/status/723477643400605696" TargetMode="External"/><Relationship Id="rId11633" Type="http://schemas.openxmlformats.org/officeDocument/2006/relationships/hyperlink" Target="https://twitter.com/Protonikon" TargetMode="External"/><Relationship Id="rId18246" Type="http://schemas.openxmlformats.org/officeDocument/2006/relationships/hyperlink" Target="https://twitter.com/krankspinatra/status/723857146610343936" TargetMode="External"/><Relationship Id="rId24064" Type="http://schemas.openxmlformats.org/officeDocument/2006/relationships/hyperlink" Target="https://pbs.twimg.com/profile_images/500267821667192833/zm9HpgHt_normal.jpeg" TargetMode="External"/><Relationship Id="rId25462" Type="http://schemas.openxmlformats.org/officeDocument/2006/relationships/hyperlink" Target="https://twitter.com/betycue" TargetMode="External"/><Relationship Id="rId10235" Type="http://schemas.openxmlformats.org/officeDocument/2006/relationships/hyperlink" Target="https://twitter.com/cubasteve57" TargetMode="External"/><Relationship Id="rId14856" Type="http://schemas.openxmlformats.org/officeDocument/2006/relationships/hyperlink" Target="https://twitter.com/coccicab71" TargetMode="External"/><Relationship Id="rId15907" Type="http://schemas.openxmlformats.org/officeDocument/2006/relationships/hyperlink" Target="https://pbs.twimg.com/profile_images/622516471973871616/ftCl_NIh_normal.jpg" TargetMode="External"/><Relationship Id="rId25115" Type="http://schemas.openxmlformats.org/officeDocument/2006/relationships/hyperlink" Target="https://twitter.com/SolidStateMonk/status/724420598831570945" TargetMode="External"/><Relationship Id="rId3864" Type="http://schemas.openxmlformats.org/officeDocument/2006/relationships/hyperlink" Target="https://twitter.com/kevalramraj" TargetMode="External"/><Relationship Id="rId4915" Type="http://schemas.openxmlformats.org/officeDocument/2006/relationships/hyperlink" Target="https://twitter.com/Ohrgefluester/status/723190363847024640" TargetMode="External"/><Relationship Id="rId13458" Type="http://schemas.openxmlformats.org/officeDocument/2006/relationships/hyperlink" Target="https://abs.twimg.com/sticky/default_profile_images/default_profile_5_normal.png" TargetMode="External"/><Relationship Id="rId14509" Type="http://schemas.openxmlformats.org/officeDocument/2006/relationships/hyperlink" Target="https://twitter.com/vonAckern/status/723575038843195393" TargetMode="External"/><Relationship Id="rId20674" Type="http://schemas.openxmlformats.org/officeDocument/2006/relationships/hyperlink" Target="https://pbs.twimg.com/profile_images/699865680582201344/ML8QQWmw_normal.jpg" TargetMode="External"/><Relationship Id="rId21725" Type="http://schemas.openxmlformats.org/officeDocument/2006/relationships/hyperlink" Target="https://pbs.twimg.com/profile_images/701348099290218496/iXTmp1jH_normal.jpg" TargetMode="External"/><Relationship Id="rId785" Type="http://schemas.openxmlformats.org/officeDocument/2006/relationships/hyperlink" Target="https://twitter.com/bluesuezoo" TargetMode="External"/><Relationship Id="rId2466" Type="http://schemas.openxmlformats.org/officeDocument/2006/relationships/hyperlink" Target="https://twitter.com/MH_Customz" TargetMode="External"/><Relationship Id="rId3517" Type="http://schemas.openxmlformats.org/officeDocument/2006/relationships/hyperlink" Target="https://twitter.com/deanomsport/status/723161498873376768" TargetMode="External"/><Relationship Id="rId9079" Type="http://schemas.openxmlformats.org/officeDocument/2006/relationships/hyperlink" Target="https://twitter.com/roansub" TargetMode="External"/><Relationship Id="rId20327" Type="http://schemas.openxmlformats.org/officeDocument/2006/relationships/hyperlink" Target="https://twitter.com/MerlinaAlmendra" TargetMode="External"/><Relationship Id="rId23897" Type="http://schemas.openxmlformats.org/officeDocument/2006/relationships/hyperlink" Target="https://twitter.com/xxVickyThomasxx" TargetMode="External"/><Relationship Id="rId438" Type="http://schemas.openxmlformats.org/officeDocument/2006/relationships/hyperlink" Target="https://twitter.com/caroltpsworld/status/722958815142928385" TargetMode="External"/><Relationship Id="rId1068" Type="http://schemas.openxmlformats.org/officeDocument/2006/relationships/hyperlink" Target="https://twitter.com/handelsblatt" TargetMode="External"/><Relationship Id="rId2119" Type="http://schemas.openxmlformats.org/officeDocument/2006/relationships/hyperlink" Target="https://twitter.com/ChrisJBCarroll" TargetMode="External"/><Relationship Id="rId5689" Type="http://schemas.openxmlformats.org/officeDocument/2006/relationships/hyperlink" Target="https://pbs.twimg.com/profile_images/627949001179037696/skEBkS05_normal.jpg" TargetMode="External"/><Relationship Id="rId9560" Type="http://schemas.openxmlformats.org/officeDocument/2006/relationships/hyperlink" Target="https://twitter.com/doern" TargetMode="External"/><Relationship Id="rId19154" Type="http://schemas.openxmlformats.org/officeDocument/2006/relationships/hyperlink" Target="http://dlvr.it/" TargetMode="External"/><Relationship Id="rId22499" Type="http://schemas.openxmlformats.org/officeDocument/2006/relationships/hyperlink" Target="http://volkswagent25.com/" TargetMode="External"/><Relationship Id="rId24948" Type="http://schemas.openxmlformats.org/officeDocument/2006/relationships/hyperlink" Target="https://twitter.com/CollectHW" TargetMode="External"/><Relationship Id="rId8162" Type="http://schemas.openxmlformats.org/officeDocument/2006/relationships/hyperlink" Target="http://webaraba.com/" TargetMode="External"/><Relationship Id="rId9213" Type="http://schemas.openxmlformats.org/officeDocument/2006/relationships/hyperlink" Target="https://twitter.com/misterwy" TargetMode="External"/><Relationship Id="rId10092" Type="http://schemas.openxmlformats.org/officeDocument/2006/relationships/hyperlink" Target="https://twitter.com/Gunna14921/status/723461936126517248" TargetMode="External"/><Relationship Id="rId11143" Type="http://schemas.openxmlformats.org/officeDocument/2006/relationships/hyperlink" Target="https://pbs.twimg.com/profile_images/703995356049252353/5FP6lekY_normal.jpg" TargetMode="External"/><Relationship Id="rId11490" Type="http://schemas.openxmlformats.org/officeDocument/2006/relationships/hyperlink" Target="https://pbs.twimg.com/profile_images/687997987293913088/ZR_CC_n5_normal.jpg" TargetMode="External"/><Relationship Id="rId12541" Type="http://schemas.openxmlformats.org/officeDocument/2006/relationships/hyperlink" Target="https://pbs.twimg.com/profile_images/562563461171798017/AkHF4keI_normal.png" TargetMode="External"/><Relationship Id="rId1202" Type="http://schemas.openxmlformats.org/officeDocument/2006/relationships/hyperlink" Target="https://twitter.com/rponline" TargetMode="External"/><Relationship Id="rId2600" Type="http://schemas.openxmlformats.org/officeDocument/2006/relationships/hyperlink" Target="https://twitter.com/m_jaremczuk" TargetMode="External"/><Relationship Id="rId15764" Type="http://schemas.openxmlformats.org/officeDocument/2006/relationships/hyperlink" Target="https://twitter.com/VCT_Tweets/status/723623537412575232" TargetMode="External"/><Relationship Id="rId16815" Type="http://schemas.openxmlformats.org/officeDocument/2006/relationships/hyperlink" Target="http://webaraba.com/" TargetMode="External"/><Relationship Id="rId22980" Type="http://schemas.openxmlformats.org/officeDocument/2006/relationships/hyperlink" Target="http://paper.li/" TargetMode="External"/><Relationship Id="rId4772" Type="http://schemas.openxmlformats.org/officeDocument/2006/relationships/hyperlink" Target="https://twitter.com/clydevpg/status/723187327414226944" TargetMode="External"/><Relationship Id="rId5823" Type="http://schemas.openxmlformats.org/officeDocument/2006/relationships/hyperlink" Target="https://twitter.com/streetwisedrive" TargetMode="External"/><Relationship Id="rId14366" Type="http://schemas.openxmlformats.org/officeDocument/2006/relationships/hyperlink" Target="https://pbs.twimg.com/profile_images/558298291985608704/57n8APEK_normal.jpeg" TargetMode="External"/><Relationship Id="rId15417" Type="http://schemas.openxmlformats.org/officeDocument/2006/relationships/hyperlink" Target="https://pbs.twimg.com/profile_images/657934028977393664/TfeaHgLP_normal.png" TargetMode="External"/><Relationship Id="rId18987" Type="http://schemas.openxmlformats.org/officeDocument/2006/relationships/hyperlink" Target="https://pbs.twimg.com/profile_images/672878354127839232/M7OYc-zx_normal.jpg" TargetMode="External"/><Relationship Id="rId21582" Type="http://schemas.openxmlformats.org/officeDocument/2006/relationships/hyperlink" Target="https://twitter.com/VWCamperSales" TargetMode="External"/><Relationship Id="rId22633" Type="http://schemas.openxmlformats.org/officeDocument/2006/relationships/hyperlink" Target="https://twitter.com/gabryjoint" TargetMode="External"/><Relationship Id="rId295" Type="http://schemas.openxmlformats.org/officeDocument/2006/relationships/hyperlink" Target="https://twitter.com/PethauBachOG" TargetMode="External"/><Relationship Id="rId3374" Type="http://schemas.openxmlformats.org/officeDocument/2006/relationships/hyperlink" Target="https://twitter.com/campercino_uk" TargetMode="External"/><Relationship Id="rId4425" Type="http://schemas.openxmlformats.org/officeDocument/2006/relationships/hyperlink" Target="https://twitter.com/SuleymanMezgil/status/723180867200385024" TargetMode="External"/><Relationship Id="rId7995" Type="http://schemas.openxmlformats.org/officeDocument/2006/relationships/hyperlink" Target="https://pbs.twimg.com/profile_images/717472604702052357/yTPUaVAZ_normal.jpg" TargetMode="External"/><Relationship Id="rId10976" Type="http://schemas.openxmlformats.org/officeDocument/2006/relationships/hyperlink" Target="https://pbs.twimg.com/profile_images/458731293581144064/-4p5an2D_normal.png" TargetMode="External"/><Relationship Id="rId14019" Type="http://schemas.openxmlformats.org/officeDocument/2006/relationships/hyperlink" Target="https://twitter.com/Motochen/status/723561712763428865" TargetMode="External"/><Relationship Id="rId17589" Type="http://schemas.openxmlformats.org/officeDocument/2006/relationships/hyperlink" Target="https://pbs.twimg.com/profile_images/446781974452371456/rqBZF-KN_normal.jpeg" TargetMode="External"/><Relationship Id="rId20184" Type="http://schemas.openxmlformats.org/officeDocument/2006/relationships/hyperlink" Target="https://pbs.twimg.com/profile_images/460807843591892992/tx13HquV_normal.jpeg" TargetMode="External"/><Relationship Id="rId21235" Type="http://schemas.openxmlformats.org/officeDocument/2006/relationships/hyperlink" Target="https://pbs.twimg.com/profile_images/1610421423/Image2_normal.jpg" TargetMode="External"/><Relationship Id="rId3027" Type="http://schemas.openxmlformats.org/officeDocument/2006/relationships/hyperlink" Target="https://twitter.com/sat1nrw" TargetMode="External"/><Relationship Id="rId6597" Type="http://schemas.openxmlformats.org/officeDocument/2006/relationships/hyperlink" Target="https://twitter.com/ElysseMorgan" TargetMode="External"/><Relationship Id="rId7648" Type="http://schemas.openxmlformats.org/officeDocument/2006/relationships/hyperlink" Target="https://twitter.com/MoveRally/status/723321437751267328" TargetMode="External"/><Relationship Id="rId10629" Type="http://schemas.openxmlformats.org/officeDocument/2006/relationships/hyperlink" Target="https://pbs.twimg.com/profile_images/459302295390273538/5vy-rFJ6_normal.jpeg" TargetMode="External"/><Relationship Id="rId14500" Type="http://schemas.openxmlformats.org/officeDocument/2006/relationships/hyperlink" Target="https://twitter.com/GFSchulze/status/723574942269333504" TargetMode="External"/><Relationship Id="rId24458" Type="http://schemas.openxmlformats.org/officeDocument/2006/relationships/hyperlink" Target="https://pbs.twimg.com/profile_images/416907873638432768/CnO25nKp_normal.jpeg" TargetMode="External"/><Relationship Id="rId25509" Type="http://schemas.openxmlformats.org/officeDocument/2006/relationships/hyperlink" Target="https://pbs.twimg.com/profile_images/378800000341166778/f53681e83985bbd49e5ff4ae1267bf66_normal.jpeg" TargetMode="External"/><Relationship Id="rId5199" Type="http://schemas.openxmlformats.org/officeDocument/2006/relationships/hyperlink" Target="https://twitter.com/KarinLampart" TargetMode="External"/><Relationship Id="rId9070" Type="http://schemas.openxmlformats.org/officeDocument/2006/relationships/hyperlink" Target="https://twitter.com/Hausfrauen" TargetMode="External"/><Relationship Id="rId12051" Type="http://schemas.openxmlformats.org/officeDocument/2006/relationships/hyperlink" Target="http://faz.net/" TargetMode="External"/><Relationship Id="rId13102" Type="http://schemas.openxmlformats.org/officeDocument/2006/relationships/hyperlink" Target="https://twitter.com/Upholsteronline/status/723535465115209728" TargetMode="External"/><Relationship Id="rId2110" Type="http://schemas.openxmlformats.org/officeDocument/2006/relationships/hyperlink" Target="https://twitter.com/anteafonds" TargetMode="External"/><Relationship Id="rId5680" Type="http://schemas.openxmlformats.org/officeDocument/2006/relationships/hyperlink" Target="https://twitter.com/FuscaWorld" TargetMode="External"/><Relationship Id="rId15274" Type="http://schemas.openxmlformats.org/officeDocument/2006/relationships/hyperlink" Target="https://twitter.com/Kristasambuca" TargetMode="External"/><Relationship Id="rId16672" Type="http://schemas.openxmlformats.org/officeDocument/2006/relationships/hyperlink" Target="https://pbs.twimg.com/profile_images/718820712757215233/LXXndPTS_normal.jpg" TargetMode="External"/><Relationship Id="rId17723" Type="http://schemas.openxmlformats.org/officeDocument/2006/relationships/hyperlink" Target="https://pbs.twimg.com/profile_images/378800000572104796/1de43e1cf23efb3f4101c02afad0d3b6_normal.png" TargetMode="External"/><Relationship Id="rId22490" Type="http://schemas.openxmlformats.org/officeDocument/2006/relationships/hyperlink" Target="https://pbs.twimg.com/profile_images/378800000774067942/b9d3d12e3eaf41d9ded5745b4f419902_normal.jpeg" TargetMode="External"/><Relationship Id="rId4282" Type="http://schemas.openxmlformats.org/officeDocument/2006/relationships/hyperlink" Target="https://pbs.twimg.com/profile_images/626052646990774272/HTo6x37c_normal.jpg" TargetMode="External"/><Relationship Id="rId5333" Type="http://schemas.openxmlformats.org/officeDocument/2006/relationships/hyperlink" Target="https://pbs.twimg.com/profile_images/710575737091321856/xBR1U0rT_normal.jpg" TargetMode="External"/><Relationship Id="rId6731" Type="http://schemas.openxmlformats.org/officeDocument/2006/relationships/hyperlink" Target="https://twitter.com/woever/status/723255522833645572" TargetMode="External"/><Relationship Id="rId16325" Type="http://schemas.openxmlformats.org/officeDocument/2006/relationships/hyperlink" Target="https://twitter.com/ebaycampervans/status/723669110412873728" TargetMode="External"/><Relationship Id="rId19895" Type="http://schemas.openxmlformats.org/officeDocument/2006/relationships/hyperlink" Target="https://twitter.com/Panchi_Ferraro/status/723962902089179137" TargetMode="External"/><Relationship Id="rId21092" Type="http://schemas.openxmlformats.org/officeDocument/2006/relationships/hyperlink" Target="https://twitter.com/DubLuvTuning" TargetMode="External"/><Relationship Id="rId22143" Type="http://schemas.openxmlformats.org/officeDocument/2006/relationships/hyperlink" Target="https://twitter.com/TobiasAustrup/status/724203120335708160" TargetMode="External"/><Relationship Id="rId23541" Type="http://schemas.openxmlformats.org/officeDocument/2006/relationships/hyperlink" Target="https://twitter.com/sandysola34/status/724296394261954560" TargetMode="External"/><Relationship Id="rId9954" Type="http://schemas.openxmlformats.org/officeDocument/2006/relationships/hyperlink" Target="https://twitter.com/dw_turkce" TargetMode="External"/><Relationship Id="rId11884" Type="http://schemas.openxmlformats.org/officeDocument/2006/relationships/hyperlink" Target="http://dlvr.it/" TargetMode="External"/><Relationship Id="rId12935" Type="http://schemas.openxmlformats.org/officeDocument/2006/relationships/hyperlink" Target="https://pbs.twimg.com/profile_images/662021761534332932/p5J2iws__normal.jpg" TargetMode="External"/><Relationship Id="rId18497" Type="http://schemas.openxmlformats.org/officeDocument/2006/relationships/hyperlink" Target="https://pbs.twimg.com/profile_images/488711298692034561/a6Hw8Ko-_normal.jpeg" TargetMode="External"/><Relationship Id="rId19548" Type="http://schemas.openxmlformats.org/officeDocument/2006/relationships/hyperlink" Target="https://twitter.com/PaulMIllerVW/status/723939498627735552" TargetMode="External"/><Relationship Id="rId1943" Type="http://schemas.openxmlformats.org/officeDocument/2006/relationships/hyperlink" Target="https://twitter.com/FAZ_Finanzen/status/723069340833185792" TargetMode="External"/><Relationship Id="rId8556" Type="http://schemas.openxmlformats.org/officeDocument/2006/relationships/hyperlink" Target="https://pbs.twimg.com/profile_images/716386262387527680/iXBQikmn_normal.jpg" TargetMode="External"/><Relationship Id="rId9607" Type="http://schemas.openxmlformats.org/officeDocument/2006/relationships/hyperlink" Target="https://twitter.com/vwpress_de/status/723442631179669504" TargetMode="External"/><Relationship Id="rId10486" Type="http://schemas.openxmlformats.org/officeDocument/2006/relationships/hyperlink" Target="https://pbs.twimg.com/profile_images/431166006807904256/QQuD9iZE_normal.jpeg" TargetMode="External"/><Relationship Id="rId11537" Type="http://schemas.openxmlformats.org/officeDocument/2006/relationships/hyperlink" Target="https://twitter.com/C_Heinrich_83/status/723503234787225600" TargetMode="External"/><Relationship Id="rId17099" Type="http://schemas.openxmlformats.org/officeDocument/2006/relationships/hyperlink" Target="https://twitter.com/heikolossie" TargetMode="External"/><Relationship Id="rId25366" Type="http://schemas.openxmlformats.org/officeDocument/2006/relationships/hyperlink" Target="https://twitter.com/VolkswagenPost/status/724432739332591616" TargetMode="External"/><Relationship Id="rId7158" Type="http://schemas.openxmlformats.org/officeDocument/2006/relationships/hyperlink" Target="https://pbs.twimg.com/profile_images/702511217793863680/lty8h9vE_normal.jpg" TargetMode="External"/><Relationship Id="rId8209" Type="http://schemas.openxmlformats.org/officeDocument/2006/relationships/hyperlink" Target="https://pbs.twimg.com/profile_images/531688614640365568/U84uXoIT_normal.png" TargetMode="External"/><Relationship Id="rId10139" Type="http://schemas.openxmlformats.org/officeDocument/2006/relationships/hyperlink" Target="https://twitter.com/AFECTADOGRUPOVW/status/723463927078748160" TargetMode="External"/><Relationship Id="rId14010" Type="http://schemas.openxmlformats.org/officeDocument/2006/relationships/hyperlink" Target="https://twitter.com/dwnews/status/723561448966893568" TargetMode="External"/><Relationship Id="rId17580" Type="http://schemas.openxmlformats.org/officeDocument/2006/relationships/hyperlink" Target="https://pbs.twimg.com/profile_images/446781974452371456/rqBZF-KN_normal.jpeg" TargetMode="External"/><Relationship Id="rId18631" Type="http://schemas.openxmlformats.org/officeDocument/2006/relationships/hyperlink" Target="https://twitter.com/danny_macaskill/status/723885788019187712" TargetMode="External"/><Relationship Id="rId21976" Type="http://schemas.openxmlformats.org/officeDocument/2006/relationships/hyperlink" Target="https://twitter.com/vwpress_en/status/724192462630170624" TargetMode="External"/><Relationship Id="rId25019" Type="http://schemas.openxmlformats.org/officeDocument/2006/relationships/hyperlink" Target="https://twitter.com/bertinosr/status/724410787658244096" TargetMode="External"/><Relationship Id="rId3768" Type="http://schemas.openxmlformats.org/officeDocument/2006/relationships/hyperlink" Target="https://twitter.com/aktionaer/status/723168941590241286" TargetMode="External"/><Relationship Id="rId4819" Type="http://schemas.openxmlformats.org/officeDocument/2006/relationships/hyperlink" Target="https://twitter.com/zeitonline_wir" TargetMode="External"/><Relationship Id="rId16182" Type="http://schemas.openxmlformats.org/officeDocument/2006/relationships/hyperlink" Target="https://twitter.com/VWofStockton" TargetMode="External"/><Relationship Id="rId17233" Type="http://schemas.openxmlformats.org/officeDocument/2006/relationships/hyperlink" Target="https://pbs.twimg.com/profile_images/628233882014457856/o87vMXlL_normal.jpg" TargetMode="External"/><Relationship Id="rId20578" Type="http://schemas.openxmlformats.org/officeDocument/2006/relationships/hyperlink" Target="https://twitter.com/motorgiga/status/724012259698180096" TargetMode="External"/><Relationship Id="rId21629" Type="http://schemas.openxmlformats.org/officeDocument/2006/relationships/hyperlink" Target="https://twitter.com/PorscheOfficApp" TargetMode="External"/><Relationship Id="rId25500" Type="http://schemas.openxmlformats.org/officeDocument/2006/relationships/hyperlink" Target="https://pbs.twimg.com/profile_images/700587743210934272/ur76yK6Z_normal.jpg" TargetMode="External"/><Relationship Id="rId689" Type="http://schemas.openxmlformats.org/officeDocument/2006/relationships/hyperlink" Target="https://pbs.twimg.com/profile_images/539563909066534912/CSDVZnPV_normal.jpeg" TargetMode="External"/><Relationship Id="rId5190" Type="http://schemas.openxmlformats.org/officeDocument/2006/relationships/hyperlink" Target="https://twitter.com/DubLuvTuning" TargetMode="External"/><Relationship Id="rId6241" Type="http://schemas.openxmlformats.org/officeDocument/2006/relationships/hyperlink" Target="https://twitter.com/JayStarGrp/status/723236366994313217" TargetMode="External"/><Relationship Id="rId10620" Type="http://schemas.openxmlformats.org/officeDocument/2006/relationships/hyperlink" Target="https://twitter.com/NetzwerkggS21" TargetMode="External"/><Relationship Id="rId23051" Type="http://schemas.openxmlformats.org/officeDocument/2006/relationships/hyperlink" Target="https://pbs.twimg.com/profile_images/656112868358647809/WydpU-kc_normal.jpg" TargetMode="External"/><Relationship Id="rId24102" Type="http://schemas.openxmlformats.org/officeDocument/2006/relationships/hyperlink" Target="https://twitter.com/jennyalban63" TargetMode="External"/><Relationship Id="rId9464" Type="http://schemas.openxmlformats.org/officeDocument/2006/relationships/hyperlink" Target="https://twitter.com/VWCamperSales/status/723436209087770627" TargetMode="External"/><Relationship Id="rId12792" Type="http://schemas.openxmlformats.org/officeDocument/2006/relationships/hyperlink" Target="https://pbs.twimg.com/profile_images/692619790171504640/Xewtzk06_normal.jpg" TargetMode="External"/><Relationship Id="rId13843" Type="http://schemas.openxmlformats.org/officeDocument/2006/relationships/hyperlink" Target="https://twitter.com/digitalAngst/status/723557361709944833" TargetMode="External"/><Relationship Id="rId19058" Type="http://schemas.openxmlformats.org/officeDocument/2006/relationships/hyperlink" Target="https://twitter.com/MetindevrikHot" TargetMode="External"/><Relationship Id="rId2851" Type="http://schemas.openxmlformats.org/officeDocument/2006/relationships/hyperlink" Target="https://twitter.com/PaolettoDoro/status/723122115961081857" TargetMode="External"/><Relationship Id="rId3902" Type="http://schemas.openxmlformats.org/officeDocument/2006/relationships/hyperlink" Target="https://pbs.twimg.com/profile_images/3228351590/aadb36f2b020cc27adac139aac4a5663_normal.jpeg" TargetMode="External"/><Relationship Id="rId8066" Type="http://schemas.openxmlformats.org/officeDocument/2006/relationships/hyperlink" Target="https://twitter.com/lucianacasal20" TargetMode="External"/><Relationship Id="rId9117" Type="http://schemas.openxmlformats.org/officeDocument/2006/relationships/hyperlink" Target="https://twitter.com/UsatoAutoSystem" TargetMode="External"/><Relationship Id="rId11394" Type="http://schemas.openxmlformats.org/officeDocument/2006/relationships/hyperlink" Target="https://pbs.twimg.com/profile_images/671891352/pgeorgol_normal.jpg" TargetMode="External"/><Relationship Id="rId12445" Type="http://schemas.openxmlformats.org/officeDocument/2006/relationships/hyperlink" Target="https://twitter.com/Murgpirat" TargetMode="External"/><Relationship Id="rId20712" Type="http://schemas.openxmlformats.org/officeDocument/2006/relationships/hyperlink" Target="https://twitter.com/Gaitor62/status/724031482105356288" TargetMode="External"/><Relationship Id="rId823" Type="http://schemas.openxmlformats.org/officeDocument/2006/relationships/hyperlink" Target="https://twitter.com/StevenWeisbrot/status/722989077251928064" TargetMode="External"/><Relationship Id="rId1453" Type="http://schemas.openxmlformats.org/officeDocument/2006/relationships/hyperlink" Target="https://pbs.twimg.com/profile_images/3354949108/ec46d404bd4f1d6828362a121d4f6ae7_normal.jpeg" TargetMode="External"/><Relationship Id="rId2504" Type="http://schemas.openxmlformats.org/officeDocument/2006/relationships/hyperlink" Target="https://twitter.com/tagesschau/status/723103564420268032" TargetMode="External"/><Relationship Id="rId11047" Type="http://schemas.openxmlformats.org/officeDocument/2006/relationships/hyperlink" Target="https://twitter.com/ronaldlaessig" TargetMode="External"/><Relationship Id="rId15668" Type="http://schemas.openxmlformats.org/officeDocument/2006/relationships/hyperlink" Target="https://twitter.com/Leckert_" TargetMode="External"/><Relationship Id="rId16719" Type="http://schemas.openxmlformats.org/officeDocument/2006/relationships/hyperlink" Target="https://twitter.com/Angel3614" TargetMode="External"/><Relationship Id="rId22884" Type="http://schemas.openxmlformats.org/officeDocument/2006/relationships/hyperlink" Target="https://twitter.com/HomeMckee/status/724254345030717440" TargetMode="External"/><Relationship Id="rId23935" Type="http://schemas.openxmlformats.org/officeDocument/2006/relationships/hyperlink" Target="https://pbs.twimg.com/profile_images/718835727027580928/1ssyQ67y_normal.jpg" TargetMode="External"/><Relationship Id="rId1106" Type="http://schemas.openxmlformats.org/officeDocument/2006/relationships/hyperlink" Target="https://twitter.com/wznewsline" TargetMode="External"/><Relationship Id="rId4676" Type="http://schemas.openxmlformats.org/officeDocument/2006/relationships/hyperlink" Target="https://pbs.twimg.com/profile_images/550005315048333314/YipuE0ON_normal.jpeg" TargetMode="External"/><Relationship Id="rId5727" Type="http://schemas.openxmlformats.org/officeDocument/2006/relationships/hyperlink" Target="https://twitter.com/VolkswagenPost/status/723214209903792128" TargetMode="External"/><Relationship Id="rId17090" Type="http://schemas.openxmlformats.org/officeDocument/2006/relationships/hyperlink" Target="https://twitter.com/GvrcnOsman/status/723769629877911552" TargetMode="External"/><Relationship Id="rId18141" Type="http://schemas.openxmlformats.org/officeDocument/2006/relationships/hyperlink" Target="https://twitter.com/CBSDetroit" TargetMode="External"/><Relationship Id="rId21486" Type="http://schemas.openxmlformats.org/officeDocument/2006/relationships/hyperlink" Target="https://twitter.com/autofreshnews/status/724152289661874176" TargetMode="External"/><Relationship Id="rId22537" Type="http://schemas.openxmlformats.org/officeDocument/2006/relationships/hyperlink" Target="https://pbs.twimg.com/profile_images/623965518270038016/EUAbTsHF_normal.jpg" TargetMode="External"/><Relationship Id="rId3278" Type="http://schemas.openxmlformats.org/officeDocument/2006/relationships/hyperlink" Target="https://twitter.com/OnlineCarReview" TargetMode="External"/><Relationship Id="rId4329" Type="http://schemas.openxmlformats.org/officeDocument/2006/relationships/hyperlink" Target="https://twitter.com/giselaBoezio/status/723179388464934912" TargetMode="External"/><Relationship Id="rId7899" Type="http://schemas.openxmlformats.org/officeDocument/2006/relationships/hyperlink" Target="https://twitter.com/caroswg/status/723339742457241600" TargetMode="External"/><Relationship Id="rId8200" Type="http://schemas.openxmlformats.org/officeDocument/2006/relationships/hyperlink" Target="https://twitter.com/jenkers_en/status/723376820633001984" TargetMode="External"/><Relationship Id="rId10130" Type="http://schemas.openxmlformats.org/officeDocument/2006/relationships/hyperlink" Target="https://pbs.twimg.com/profile_images/378800000190598515/0ec3ca5a29efb0275fcedc5ecc178493_normal.png" TargetMode="External"/><Relationship Id="rId20088" Type="http://schemas.openxmlformats.org/officeDocument/2006/relationships/hyperlink" Target="https://twitter.com/yeeea66/status/723975203533950977" TargetMode="External"/><Relationship Id="rId21139" Type="http://schemas.openxmlformats.org/officeDocument/2006/relationships/hyperlink" Target="https://pbs.twimg.com/profile_images/724004022915633152/uwKdEOBn_normal.jpg" TargetMode="External"/><Relationship Id="rId25010" Type="http://schemas.openxmlformats.org/officeDocument/2006/relationships/hyperlink" Target="https://twitter.com/SuranClub/status/724409128655958017" TargetMode="External"/><Relationship Id="rId199" Type="http://schemas.openxmlformats.org/officeDocument/2006/relationships/hyperlink" Target="https://twitter.com/Scirocco_Tuning" TargetMode="External"/><Relationship Id="rId13353" Type="http://schemas.openxmlformats.org/officeDocument/2006/relationships/hyperlink" Target="https://twitter.com/Stuartyoung001/status/723544572278792193" TargetMode="External"/><Relationship Id="rId14751" Type="http://schemas.openxmlformats.org/officeDocument/2006/relationships/hyperlink" Target="https://pbs.twimg.com/profile_images/702511217793863680/lty8h9vE_normal.jpg" TargetMode="External"/><Relationship Id="rId15802" Type="http://schemas.openxmlformats.org/officeDocument/2006/relationships/hyperlink" Target="https://pbs.twimg.com/profile_images/714561320918597634/pCq6pGGN_normal.jpg" TargetMode="External"/><Relationship Id="rId680" Type="http://schemas.openxmlformats.org/officeDocument/2006/relationships/hyperlink" Target="https://pbs.twimg.com/profile_images/540352265794895872/hMgxU1jI_normal.png" TargetMode="External"/><Relationship Id="rId2361" Type="http://schemas.openxmlformats.org/officeDocument/2006/relationships/hyperlink" Target="https://twitter.com/dwnews/status/723097205788143617" TargetMode="External"/><Relationship Id="rId3412" Type="http://schemas.openxmlformats.org/officeDocument/2006/relationships/hyperlink" Target="https://pbs.twimg.com/profile_images/486242402366021632/9tgjTPqT_normal.jpeg" TargetMode="External"/><Relationship Id="rId4810" Type="http://schemas.openxmlformats.org/officeDocument/2006/relationships/hyperlink" Target="https://twitter.com/VolkswagenPost" TargetMode="External"/><Relationship Id="rId13006" Type="http://schemas.openxmlformats.org/officeDocument/2006/relationships/hyperlink" Target="https://pbs.twimg.com/profile_images/668417481875300352/ijULvjIQ_normal.jpg" TargetMode="External"/><Relationship Id="rId14404" Type="http://schemas.openxmlformats.org/officeDocument/2006/relationships/hyperlink" Target="https://twitter.com/marcos189sk8" TargetMode="External"/><Relationship Id="rId17974" Type="http://schemas.openxmlformats.org/officeDocument/2006/relationships/hyperlink" Target="https://twitter.com/JohnPinkGTi/status/723839094342725632" TargetMode="External"/><Relationship Id="rId20222" Type="http://schemas.openxmlformats.org/officeDocument/2006/relationships/hyperlink" Target="https://twitter.com/dubbusses/status/723982639460397056" TargetMode="External"/><Relationship Id="rId21620" Type="http://schemas.openxmlformats.org/officeDocument/2006/relationships/hyperlink" Target="https://twitter.com/dubbusses" TargetMode="External"/><Relationship Id="rId333" Type="http://schemas.openxmlformats.org/officeDocument/2006/relationships/hyperlink" Target="http://dlvr.it/" TargetMode="External"/><Relationship Id="rId2014" Type="http://schemas.openxmlformats.org/officeDocument/2006/relationships/hyperlink" Target="https://twitter.com/MiManske/status/723076159022456832" TargetMode="External"/><Relationship Id="rId6982" Type="http://schemas.openxmlformats.org/officeDocument/2006/relationships/hyperlink" Target="https://twitter.com/SmackSmog/status/723273377843187716" TargetMode="External"/><Relationship Id="rId16576" Type="http://schemas.openxmlformats.org/officeDocument/2006/relationships/hyperlink" Target="https://twitter.com/FuscaWorld" TargetMode="External"/><Relationship Id="rId17627" Type="http://schemas.openxmlformats.org/officeDocument/2006/relationships/hyperlink" Target="https://twitter.com/carstech42160/status/723811280193114113" TargetMode="External"/><Relationship Id="rId23792" Type="http://schemas.openxmlformats.org/officeDocument/2006/relationships/hyperlink" Target="https://twitter.com/Insta_VWT" TargetMode="External"/><Relationship Id="rId24843" Type="http://schemas.openxmlformats.org/officeDocument/2006/relationships/hyperlink" Target="http://dlvr.it/" TargetMode="External"/><Relationship Id="rId4186" Type="http://schemas.openxmlformats.org/officeDocument/2006/relationships/hyperlink" Target="https://twitter.com/eiifi/status/723177793173876736" TargetMode="External"/><Relationship Id="rId5584" Type="http://schemas.openxmlformats.org/officeDocument/2006/relationships/hyperlink" Target="https://twitter.com/mvdweyer" TargetMode="External"/><Relationship Id="rId6635" Type="http://schemas.openxmlformats.org/officeDocument/2006/relationships/hyperlink" Target="https://twitter.com/FuscaWorld" TargetMode="External"/><Relationship Id="rId15178" Type="http://schemas.openxmlformats.org/officeDocument/2006/relationships/hyperlink" Target="https://twitter.com/khalifagamal" TargetMode="External"/><Relationship Id="rId16229" Type="http://schemas.openxmlformats.org/officeDocument/2006/relationships/hyperlink" Target="https://twitter.com/soolriivero" TargetMode="External"/><Relationship Id="rId19799" Type="http://schemas.openxmlformats.org/officeDocument/2006/relationships/hyperlink" Target="https://twitter.com/JCristianGF/status/723958085367123969" TargetMode="External"/><Relationship Id="rId22394" Type="http://schemas.openxmlformats.org/officeDocument/2006/relationships/hyperlink" Target="https://twitter.com/XclusivModz/status/724221571305447424" TargetMode="External"/><Relationship Id="rId23445" Type="http://schemas.openxmlformats.org/officeDocument/2006/relationships/hyperlink" Target="https://twitter.com/ThreeCountyVW/status/724289806688116736" TargetMode="External"/><Relationship Id="rId5237" Type="http://schemas.openxmlformats.org/officeDocument/2006/relationships/hyperlink" Target="https://twitter.com/timzim22" TargetMode="External"/><Relationship Id="rId9858" Type="http://schemas.openxmlformats.org/officeDocument/2006/relationships/hyperlink" Target="https://twitter.com/boersenzeitung" TargetMode="External"/><Relationship Id="rId11788" Type="http://schemas.openxmlformats.org/officeDocument/2006/relationships/hyperlink" Target="https://pbs.twimg.com/profile_images/428941374243995648/se9Zh9ed_normal.jpeg" TargetMode="External"/><Relationship Id="rId12839" Type="http://schemas.openxmlformats.org/officeDocument/2006/relationships/hyperlink" Target="https://twitter.com/Klaus_Mueller" TargetMode="External"/><Relationship Id="rId16710" Type="http://schemas.openxmlformats.org/officeDocument/2006/relationships/hyperlink" Target="https://twitter.com/yamjun" TargetMode="External"/><Relationship Id="rId22047" Type="http://schemas.openxmlformats.org/officeDocument/2006/relationships/hyperlink" Target="https://pbs.twimg.com/profile_images/695000806655811584/7lC1MdUr_normal.png" TargetMode="External"/><Relationship Id="rId1847" Type="http://schemas.openxmlformats.org/officeDocument/2006/relationships/hyperlink" Target="https://pbs.twimg.com/profile_images/1678801900/wirrer_typ_normal.jpg" TargetMode="External"/><Relationship Id="rId14261" Type="http://schemas.openxmlformats.org/officeDocument/2006/relationships/hyperlink" Target="https://twitter.com/rosalesfranco01/status/723571048130723840" TargetMode="External"/><Relationship Id="rId15312" Type="http://schemas.openxmlformats.org/officeDocument/2006/relationships/hyperlink" Target="https://twitter.com/martin_speer/status/723603254693777408" TargetMode="External"/><Relationship Id="rId4320" Type="http://schemas.openxmlformats.org/officeDocument/2006/relationships/hyperlink" Target="https://twitter.com/instock_de/status/723179258298802176" TargetMode="External"/><Relationship Id="rId7890" Type="http://schemas.openxmlformats.org/officeDocument/2006/relationships/hyperlink" Target="https://twitter.com/jancerato/status/723338396656107520" TargetMode="External"/><Relationship Id="rId17484" Type="http://schemas.openxmlformats.org/officeDocument/2006/relationships/hyperlink" Target="https://pbs.twimg.com/profile_images/482904233994235906/P3cnCAb3_normal.jpeg" TargetMode="External"/><Relationship Id="rId18882" Type="http://schemas.openxmlformats.org/officeDocument/2006/relationships/hyperlink" Target="https://pbs.twimg.com/profile_images/668483614884130817/liZwIH1X_normal.jpg" TargetMode="External"/><Relationship Id="rId19933" Type="http://schemas.openxmlformats.org/officeDocument/2006/relationships/hyperlink" Target="https://twitter.com/JoaquinCantelmi" TargetMode="External"/><Relationship Id="rId21130" Type="http://schemas.openxmlformats.org/officeDocument/2006/relationships/hyperlink" Target="https://pbs.twimg.com/profile_images/661520508022861824/10UCrn55_normal.jpg" TargetMode="External"/><Relationship Id="rId190" Type="http://schemas.openxmlformats.org/officeDocument/2006/relationships/hyperlink" Target="https://twitter.com/1111Tony" TargetMode="External"/><Relationship Id="rId6492" Type="http://schemas.openxmlformats.org/officeDocument/2006/relationships/hyperlink" Target="https://twitter.com/CoventryUpdate" TargetMode="External"/><Relationship Id="rId7543" Type="http://schemas.openxmlformats.org/officeDocument/2006/relationships/hyperlink" Target="https://twitter.com/Scirocco_Tuning/status/723309754257383424" TargetMode="External"/><Relationship Id="rId8941" Type="http://schemas.openxmlformats.org/officeDocument/2006/relationships/hyperlink" Target="https://pbs.twimg.com/profile_images/1170019200/ag_fb_logo_normal.jpg" TargetMode="External"/><Relationship Id="rId10871" Type="http://schemas.openxmlformats.org/officeDocument/2006/relationships/hyperlink" Target="https://pbs.twimg.com/profile_images/544893247772839936/xDVB6iNf_normal.jpeg" TargetMode="External"/><Relationship Id="rId11922" Type="http://schemas.openxmlformats.org/officeDocument/2006/relationships/hyperlink" Target="https://twitter.com/VolkerVotsmeier/status/723510103727562752" TargetMode="External"/><Relationship Id="rId16086" Type="http://schemas.openxmlformats.org/officeDocument/2006/relationships/hyperlink" Target="https://twitter.com/_LeonAntelo/status/723647891131215873" TargetMode="External"/><Relationship Id="rId17137" Type="http://schemas.openxmlformats.org/officeDocument/2006/relationships/hyperlink" Target="https://twitter.com/tjasko" TargetMode="External"/><Relationship Id="rId18535" Type="http://schemas.openxmlformats.org/officeDocument/2006/relationships/hyperlink" Target="https://twitter.com/crissshidalgo/status/723876141153423360" TargetMode="External"/><Relationship Id="rId24353" Type="http://schemas.openxmlformats.org/officeDocument/2006/relationships/hyperlink" Target="https://twitter.com/hashtagvanlife" TargetMode="External"/><Relationship Id="rId25751" Type="http://schemas.openxmlformats.org/officeDocument/2006/relationships/hyperlink" Target="https://pbs.twimg.com/profile_images/699785904299380740/oGNOYCc5_normal.jpg" TargetMode="External"/><Relationship Id="rId5094" Type="http://schemas.openxmlformats.org/officeDocument/2006/relationships/hyperlink" Target="https://twitter.com/todeed_com" TargetMode="External"/><Relationship Id="rId6145" Type="http://schemas.openxmlformats.org/officeDocument/2006/relationships/hyperlink" Target="https://pbs.twimg.com/profile_images/709795551487856640/cfgh60W4_normal.jpg" TargetMode="External"/><Relationship Id="rId10524" Type="http://schemas.openxmlformats.org/officeDocument/2006/relationships/hyperlink" Target="https://twitter.com/vwpress_de/status/723475761638825984" TargetMode="External"/><Relationship Id="rId24006" Type="http://schemas.openxmlformats.org/officeDocument/2006/relationships/hyperlink" Target="https://twitter.com/VWCamperSales" TargetMode="External"/><Relationship Id="rId25404" Type="http://schemas.openxmlformats.org/officeDocument/2006/relationships/hyperlink" Target="https://twitter.com/VWCamperSales" TargetMode="External"/><Relationship Id="rId12696" Type="http://schemas.openxmlformats.org/officeDocument/2006/relationships/hyperlink" Target="https://twitter.com/C_Heinrich_83/status/723525386571788289" TargetMode="External"/><Relationship Id="rId13747" Type="http://schemas.openxmlformats.org/officeDocument/2006/relationships/hyperlink" Target="https://twitter.com/MicaiasUriel" TargetMode="External"/><Relationship Id="rId20963" Type="http://schemas.openxmlformats.org/officeDocument/2006/relationships/hyperlink" Target="https://twitter.com/dubbusses" TargetMode="External"/><Relationship Id="rId2755" Type="http://schemas.openxmlformats.org/officeDocument/2006/relationships/hyperlink" Target="https://twitter.com/OtoStil" TargetMode="External"/><Relationship Id="rId3806" Type="http://schemas.openxmlformats.org/officeDocument/2006/relationships/hyperlink" Target="https://twitter.com/PeterDanaher" TargetMode="External"/><Relationship Id="rId9368" Type="http://schemas.openxmlformats.org/officeDocument/2006/relationships/hyperlink" Target="https://twitter.com/schillipaeppa/status/723432659083362304" TargetMode="External"/><Relationship Id="rId11298" Type="http://schemas.openxmlformats.org/officeDocument/2006/relationships/hyperlink" Target="https://twitter.com/sinnsturm" TargetMode="External"/><Relationship Id="rId12349" Type="http://schemas.openxmlformats.org/officeDocument/2006/relationships/hyperlink" Target="https://pbs.twimg.com/profile_images/719243773163622401/mD9s6Uh-_normal.jpg" TargetMode="External"/><Relationship Id="rId16220" Type="http://schemas.openxmlformats.org/officeDocument/2006/relationships/hyperlink" Target="http://dlvr.it/" TargetMode="External"/><Relationship Id="rId19790" Type="http://schemas.openxmlformats.org/officeDocument/2006/relationships/hyperlink" Target="https://twitter.com/nectechkey/status/723957206715109376" TargetMode="External"/><Relationship Id="rId20616" Type="http://schemas.openxmlformats.org/officeDocument/2006/relationships/hyperlink" Target="https://pbs.twimg.com/profile_images/692102200047357954/BI4soJBN_normal.jpg" TargetMode="External"/><Relationship Id="rId727" Type="http://schemas.openxmlformats.org/officeDocument/2006/relationships/hyperlink" Target="https://twitter.com/Jeni_Melt" TargetMode="External"/><Relationship Id="rId1357" Type="http://schemas.openxmlformats.org/officeDocument/2006/relationships/hyperlink" Target="https://pbs.twimg.com/profile_images/653310353653297153/bYVyhn8J_normal.jpg" TargetMode="External"/><Relationship Id="rId2408" Type="http://schemas.openxmlformats.org/officeDocument/2006/relationships/hyperlink" Target="https://twitter.com/OnlineCarReview" TargetMode="External"/><Relationship Id="rId5978" Type="http://schemas.openxmlformats.org/officeDocument/2006/relationships/hyperlink" Target="https://pbs.twimg.com/profile_images/703294545195307008/qeCvrX86_normal.jpg" TargetMode="External"/><Relationship Id="rId18392" Type="http://schemas.openxmlformats.org/officeDocument/2006/relationships/hyperlink" Target="https://twitter.com/Exvtra_uk" TargetMode="External"/><Relationship Id="rId19443" Type="http://schemas.openxmlformats.org/officeDocument/2006/relationships/hyperlink" Target="https://twitter.com/BrightonVW" TargetMode="External"/><Relationship Id="rId22788" Type="http://schemas.openxmlformats.org/officeDocument/2006/relationships/hyperlink" Target="https://twitter.com/mannrazz/status/724246098450083841" TargetMode="External"/><Relationship Id="rId23839" Type="http://schemas.openxmlformats.org/officeDocument/2006/relationships/hyperlink" Target="https://twitter.com/masterhrules/status/724314893126647808" TargetMode="External"/><Relationship Id="rId63" Type="http://schemas.openxmlformats.org/officeDocument/2006/relationships/hyperlink" Target="https://pbs.twimg.com/profile_images/711704579289845766/SyXBbA2L_normal.jpg" TargetMode="External"/><Relationship Id="rId8451" Type="http://schemas.openxmlformats.org/officeDocument/2006/relationships/hyperlink" Target="https://twitter.com/handelsblatt/status/723388987746848769" TargetMode="External"/><Relationship Id="rId9502" Type="http://schemas.openxmlformats.org/officeDocument/2006/relationships/hyperlink" Target="https://twitter.com/beetlebug1938" TargetMode="External"/><Relationship Id="rId10381" Type="http://schemas.openxmlformats.org/officeDocument/2006/relationships/hyperlink" Target="https://twitter.com/dw_business/status/723471141965291520" TargetMode="External"/><Relationship Id="rId11432" Type="http://schemas.openxmlformats.org/officeDocument/2006/relationships/hyperlink" Target="https://pbs.twimg.com/profile_images/2666244260/d6d9049abbaccec91bf56e27e933d7ba_normal.png" TargetMode="External"/><Relationship Id="rId12830" Type="http://schemas.openxmlformats.org/officeDocument/2006/relationships/hyperlink" Target="https://twitter.com/chasNchargeAUS/status/723528827742392320" TargetMode="External"/><Relationship Id="rId18045" Type="http://schemas.openxmlformats.org/officeDocument/2006/relationships/hyperlink" Target="https://twitter.com/FuscaWorld/status/723843389872021505" TargetMode="External"/><Relationship Id="rId25261" Type="http://schemas.openxmlformats.org/officeDocument/2006/relationships/hyperlink" Target="https://twitter.com/david_scholz" TargetMode="External"/><Relationship Id="rId7053" Type="http://schemas.openxmlformats.org/officeDocument/2006/relationships/hyperlink" Target="https://pbs.twimg.com/profile_images/631671061084553216/PpgZuN1Y_normal.jpg" TargetMode="External"/><Relationship Id="rId8104" Type="http://schemas.openxmlformats.org/officeDocument/2006/relationships/hyperlink" Target="https://pbs.twimg.com/profile_images/716937249338888192/UP9Ty0a-_normal.jpg" TargetMode="External"/><Relationship Id="rId10034" Type="http://schemas.openxmlformats.org/officeDocument/2006/relationships/hyperlink" Target="https://twitter.com/Braulio_Urresti/status/723458950771945473" TargetMode="External"/><Relationship Id="rId14655" Type="http://schemas.openxmlformats.org/officeDocument/2006/relationships/hyperlink" Target="https://twitter.com/EulenTweet" TargetMode="External"/><Relationship Id="rId15706" Type="http://schemas.openxmlformats.org/officeDocument/2006/relationships/hyperlink" Target="https://twitter.com/acvwpassion/status/723621202909081600" TargetMode="External"/><Relationship Id="rId21871" Type="http://schemas.openxmlformats.org/officeDocument/2006/relationships/hyperlink" Target="https://pbs.twimg.com/profile_images/702511217793863680/lty8h9vE_normal.jpg" TargetMode="External"/><Relationship Id="rId22922" Type="http://schemas.openxmlformats.org/officeDocument/2006/relationships/hyperlink" Target="https://pbs.twimg.com/profile_images/720356638968954882/13kg9uoz_normal.jpg" TargetMode="External"/><Relationship Id="rId584" Type="http://schemas.openxmlformats.org/officeDocument/2006/relationships/hyperlink" Target="https://pbs.twimg.com/profile_images/575834977293619200/Jd4bmLaE_normal.jpeg" TargetMode="External"/><Relationship Id="rId2265" Type="http://schemas.openxmlformats.org/officeDocument/2006/relationships/hyperlink" Target="https://pbs.twimg.com/profile_images/717791489737232385/xRQsxjNT_normal.jpg" TargetMode="External"/><Relationship Id="rId3663" Type="http://schemas.openxmlformats.org/officeDocument/2006/relationships/hyperlink" Target="https://twitter.com/MaartinDk" TargetMode="External"/><Relationship Id="rId4714" Type="http://schemas.openxmlformats.org/officeDocument/2006/relationships/hyperlink" Target="https://twitter.com/JordiCerda/status/723186069269827584" TargetMode="External"/><Relationship Id="rId13257" Type="http://schemas.openxmlformats.org/officeDocument/2006/relationships/hyperlink" Target="https://pbs.twimg.com/profile_images/1398995265/IMG-20110616-00680_normal.jpg" TargetMode="External"/><Relationship Id="rId14308" Type="http://schemas.openxmlformats.org/officeDocument/2006/relationships/hyperlink" Target="https://pbs.twimg.com/profile_images/1913087124/AvW_website_normal.jpg" TargetMode="External"/><Relationship Id="rId17878" Type="http://schemas.openxmlformats.org/officeDocument/2006/relationships/hyperlink" Target="https://twitter.com/VolkswagenPost" TargetMode="External"/><Relationship Id="rId18929" Type="http://schemas.openxmlformats.org/officeDocument/2006/relationships/hyperlink" Target="https://twitter.com/worcpic" TargetMode="External"/><Relationship Id="rId20473" Type="http://schemas.openxmlformats.org/officeDocument/2006/relationships/hyperlink" Target="https://twitter.com/oldcar_photo/status/724001964367990785" TargetMode="External"/><Relationship Id="rId21524" Type="http://schemas.openxmlformats.org/officeDocument/2006/relationships/hyperlink" Target="https://twitter.com/JMJM197/status/724155168439283712" TargetMode="External"/><Relationship Id="rId237" Type="http://schemas.openxmlformats.org/officeDocument/2006/relationships/hyperlink" Target="https://pbs.twimg.com/profile_images/558916397942595586/e0Be53dr_normal.jpeg" TargetMode="External"/><Relationship Id="rId3316" Type="http://schemas.openxmlformats.org/officeDocument/2006/relationships/hyperlink" Target="https://twitter.com/Immortaliized" TargetMode="External"/><Relationship Id="rId6886" Type="http://schemas.openxmlformats.org/officeDocument/2006/relationships/hyperlink" Target="https://twitter.com/ganleyman/status/723266323975942146" TargetMode="External"/><Relationship Id="rId7937" Type="http://schemas.openxmlformats.org/officeDocument/2006/relationships/hyperlink" Target="https://twitter.com/Neuschwan" TargetMode="External"/><Relationship Id="rId10918" Type="http://schemas.openxmlformats.org/officeDocument/2006/relationships/hyperlink" Target="https://twitter.com/xius2/status/723490562863706112" TargetMode="External"/><Relationship Id="rId20126" Type="http://schemas.openxmlformats.org/officeDocument/2006/relationships/hyperlink" Target="https://pbs.twimg.com/profile_images/1319657984/portrait_k_hler_041222_normal.jpg" TargetMode="External"/><Relationship Id="rId23696" Type="http://schemas.openxmlformats.org/officeDocument/2006/relationships/hyperlink" Target="https://twitter.com/beetlebug1938" TargetMode="External"/><Relationship Id="rId24747" Type="http://schemas.openxmlformats.org/officeDocument/2006/relationships/hyperlink" Target="https://pbs.twimg.com/profile_images/540380309192454144/r0XL6iH9_normal.jpeg" TargetMode="External"/><Relationship Id="rId5488" Type="http://schemas.openxmlformats.org/officeDocument/2006/relationships/hyperlink" Target="https://twitter.com/TimmonsLB" TargetMode="External"/><Relationship Id="rId6539" Type="http://schemas.openxmlformats.org/officeDocument/2006/relationships/hyperlink" Target="https://pbs.twimg.com/profile_images/712389505358045185/XrTyxa27_normal.jpg" TargetMode="External"/><Relationship Id="rId12340" Type="http://schemas.openxmlformats.org/officeDocument/2006/relationships/hyperlink" Target="https://pbs.twimg.com/profile_images/639402958384406528/YUebc_U3_normal.jpg" TargetMode="External"/><Relationship Id="rId22298" Type="http://schemas.openxmlformats.org/officeDocument/2006/relationships/hyperlink" Target="https://twitter.com/VeeDubMk1_/status/724213520892612608" TargetMode="External"/><Relationship Id="rId23349" Type="http://schemas.openxmlformats.org/officeDocument/2006/relationships/hyperlink" Target="https://twitter.com/HireVw/status/724282248002977795" TargetMode="External"/><Relationship Id="rId9012" Type="http://schemas.openxmlformats.org/officeDocument/2006/relationships/hyperlink" Target="https://twitter.com/SvOstrow/status/723416511856037888" TargetMode="External"/><Relationship Id="rId15563" Type="http://schemas.openxmlformats.org/officeDocument/2006/relationships/hyperlink" Target="https://twitter.com/jimmillett72/status/723613450866450436" TargetMode="External"/><Relationship Id="rId16961" Type="http://schemas.openxmlformats.org/officeDocument/2006/relationships/hyperlink" Target="https://twitter.com/VWShawty/status/723757952759255040" TargetMode="External"/><Relationship Id="rId1001" Type="http://schemas.openxmlformats.org/officeDocument/2006/relationships/hyperlink" Target="https://pbs.twimg.com/profile_images/716573294313521152/Cv6eqZOo_normal.jpg" TargetMode="External"/><Relationship Id="rId4571" Type="http://schemas.openxmlformats.org/officeDocument/2006/relationships/hyperlink" Target="https://pbs.twimg.com/profile_images/642145911359995904/NqIYe9Zp_normal.jpg" TargetMode="External"/><Relationship Id="rId5622" Type="http://schemas.openxmlformats.org/officeDocument/2006/relationships/hyperlink" Target="https://pbs.twimg.com/profile_images/716028030175600642/XLe3HmvA_normal.jpg" TargetMode="External"/><Relationship Id="rId14165" Type="http://schemas.openxmlformats.org/officeDocument/2006/relationships/hyperlink" Target="https://pbs.twimg.com/profile_images/2777304953/0bfc9df91366f3f20a8f77c7f43505a4_normal.jpeg" TargetMode="External"/><Relationship Id="rId15216" Type="http://schemas.openxmlformats.org/officeDocument/2006/relationships/hyperlink" Target="https://twitter.com/GeologyColin" TargetMode="External"/><Relationship Id="rId16614" Type="http://schemas.openxmlformats.org/officeDocument/2006/relationships/hyperlink" Target="https://pbs.twimg.com/profile_images/545473063353974785/7Bnm5ncu_normal.jpeg" TargetMode="External"/><Relationship Id="rId21381" Type="http://schemas.openxmlformats.org/officeDocument/2006/relationships/hyperlink" Target="https://twitter.com/journalistR/status/724145519996489728" TargetMode="External"/><Relationship Id="rId22432" Type="http://schemas.openxmlformats.org/officeDocument/2006/relationships/hyperlink" Target="https://pbs.twimg.com/profile_images/636979078311079937/tyjaaFSL_normal.jpg" TargetMode="External"/><Relationship Id="rId23830" Type="http://schemas.openxmlformats.org/officeDocument/2006/relationships/hyperlink" Target="https://twitter.com/Insta_VWT/status/724314603618996224" TargetMode="External"/><Relationship Id="rId3173" Type="http://schemas.openxmlformats.org/officeDocument/2006/relationships/hyperlink" Target="https://twitter.com/Martin_0607" TargetMode="External"/><Relationship Id="rId4224" Type="http://schemas.openxmlformats.org/officeDocument/2006/relationships/hyperlink" Target="https://twitter.com/RobertaKPIX/status/723178186209529863" TargetMode="External"/><Relationship Id="rId18786" Type="http://schemas.openxmlformats.org/officeDocument/2006/relationships/hyperlink" Target="https://twitter.com/VolkswagenPost/status/723896353928175618" TargetMode="External"/><Relationship Id="rId19837" Type="http://schemas.openxmlformats.org/officeDocument/2006/relationships/hyperlink" Target="https://twitter.com/gustaricar2013/status/723961092817428480" TargetMode="External"/><Relationship Id="rId21034" Type="http://schemas.openxmlformats.org/officeDocument/2006/relationships/hyperlink" Target="https://twitter.com/beetlebug1938" TargetMode="External"/><Relationship Id="rId6396" Type="http://schemas.openxmlformats.org/officeDocument/2006/relationships/hyperlink" Target="https://twitter.com/PatooBFC" TargetMode="External"/><Relationship Id="rId7794" Type="http://schemas.openxmlformats.org/officeDocument/2006/relationships/hyperlink" Target="https://twitter.com/patriciaaleinxx" TargetMode="External"/><Relationship Id="rId8845" Type="http://schemas.openxmlformats.org/officeDocument/2006/relationships/hyperlink" Target="https://pbs.twimg.com/profile_images/631084316802482176/y_wtMQWR_normal.png" TargetMode="External"/><Relationship Id="rId10775" Type="http://schemas.openxmlformats.org/officeDocument/2006/relationships/hyperlink" Target="https://twitter.com/dennis_goodwin" TargetMode="External"/><Relationship Id="rId11826" Type="http://schemas.openxmlformats.org/officeDocument/2006/relationships/hyperlink" Target="https://pbs.twimg.com/profile_images/722739492587773952/m_qJ8Fmv_normal.jpg" TargetMode="External"/><Relationship Id="rId17388" Type="http://schemas.openxmlformats.org/officeDocument/2006/relationships/hyperlink" Target="https://pbs.twimg.com/profile_images/1913087124/AvW_website_normal.jpg" TargetMode="External"/><Relationship Id="rId18439" Type="http://schemas.openxmlformats.org/officeDocument/2006/relationships/hyperlink" Target="https://pbs.twimg.com/profile_images/706941537310085120/vfX3aYoO_normal.jpg" TargetMode="External"/><Relationship Id="rId25655" Type="http://schemas.openxmlformats.org/officeDocument/2006/relationships/hyperlink" Target="https://pbs.twimg.com/profile_images/717597480981020672/yN59Cz_5_normal.jpg" TargetMode="External"/><Relationship Id="rId6049" Type="http://schemas.openxmlformats.org/officeDocument/2006/relationships/hyperlink" Target="https://twitter.com/Reality_Chaote/status/723228244678418433" TargetMode="External"/><Relationship Id="rId7447" Type="http://schemas.openxmlformats.org/officeDocument/2006/relationships/hyperlink" Target="https://pbs.twimg.com/profile_images/3537672406/190f79c88052bd5078e91796fd0fffe1_normal.jpeg" TargetMode="External"/><Relationship Id="rId10428" Type="http://schemas.openxmlformats.org/officeDocument/2006/relationships/hyperlink" Target="https://twitter.com/essing_h" TargetMode="External"/><Relationship Id="rId13998" Type="http://schemas.openxmlformats.org/officeDocument/2006/relationships/hyperlink" Target="https://twitter.com/claudiolegui4/status/723560961819422720" TargetMode="External"/><Relationship Id="rId18920" Type="http://schemas.openxmlformats.org/officeDocument/2006/relationships/hyperlink" Target="https://pbs.twimg.com/profile_images/552903437407371264/35UQ9wsB_normal.jpeg" TargetMode="External"/><Relationship Id="rId24257" Type="http://schemas.openxmlformats.org/officeDocument/2006/relationships/hyperlink" Target="https://twitter.com/Scirocco_Tuning/status/724340782631653376" TargetMode="External"/><Relationship Id="rId25308" Type="http://schemas.openxmlformats.org/officeDocument/2006/relationships/hyperlink" Target="https://twitter.com/momma_rocker/status/724430447028101120" TargetMode="External"/><Relationship Id="rId16471" Type="http://schemas.openxmlformats.org/officeDocument/2006/relationships/hyperlink" Target="https://pbs.twimg.com/profile_images/556649250071666689/kQtpgDqR_normal.jpeg" TargetMode="External"/><Relationship Id="rId17522" Type="http://schemas.openxmlformats.org/officeDocument/2006/relationships/hyperlink" Target="https://twitter.com/houdoukyoku" TargetMode="External"/><Relationship Id="rId20867" Type="http://schemas.openxmlformats.org/officeDocument/2006/relationships/hyperlink" Target="https://twitter.com/sateibank/status/724050941591195649" TargetMode="External"/><Relationship Id="rId21918" Type="http://schemas.openxmlformats.org/officeDocument/2006/relationships/hyperlink" Target="https://pbs.twimg.com/profile_images/690068229562241028/dtAFj2bm_normal.jpg" TargetMode="External"/><Relationship Id="rId978" Type="http://schemas.openxmlformats.org/officeDocument/2006/relationships/hyperlink" Target="http://localdriver.us/" TargetMode="External"/><Relationship Id="rId2659" Type="http://schemas.openxmlformats.org/officeDocument/2006/relationships/hyperlink" Target="https://twitter.com/AutoConception" TargetMode="External"/><Relationship Id="rId6530" Type="http://schemas.openxmlformats.org/officeDocument/2006/relationships/hyperlink" Target="https://pbs.twimg.com/profile_images/576875200983252992/ewV98mZN_normal.jpeg" TargetMode="External"/><Relationship Id="rId15073" Type="http://schemas.openxmlformats.org/officeDocument/2006/relationships/hyperlink" Target="https://pbs.twimg.com/profile_images/378800000525610579/6f00609e1a10dd11349b998bee5a3a5f_normal.jpeg" TargetMode="External"/><Relationship Id="rId16124" Type="http://schemas.openxmlformats.org/officeDocument/2006/relationships/hyperlink" Target="https://pbs.twimg.com/profile_images/684108288955445250/n4CHc8B8_normal.jpg" TargetMode="External"/><Relationship Id="rId19694" Type="http://schemas.openxmlformats.org/officeDocument/2006/relationships/hyperlink" Target="https://twitter.com/LulubelleLimoVW/status/723949014740295680" TargetMode="External"/><Relationship Id="rId23340" Type="http://schemas.openxmlformats.org/officeDocument/2006/relationships/hyperlink" Target="https://twitter.com/SantaPodRaceway/status/724280854990733312" TargetMode="External"/><Relationship Id="rId4081" Type="http://schemas.openxmlformats.org/officeDocument/2006/relationships/hyperlink" Target="https://twitter.com/money_location" TargetMode="External"/><Relationship Id="rId5132" Type="http://schemas.openxmlformats.org/officeDocument/2006/relationships/hyperlink" Target="https://pbs.twimg.com/profile_images/577797886399942656/atQBIC_s_normal.jpeg" TargetMode="External"/><Relationship Id="rId9753" Type="http://schemas.openxmlformats.org/officeDocument/2006/relationships/hyperlink" Target="https://pbs.twimg.com/profile_images/721954107779588096/PAgGOjNi_normal.jpg" TargetMode="External"/><Relationship Id="rId18296" Type="http://schemas.openxmlformats.org/officeDocument/2006/relationships/hyperlink" Target="https://twitter.com/TheSnMGroup/status/723859781686013952" TargetMode="External"/><Relationship Id="rId19347" Type="http://schemas.openxmlformats.org/officeDocument/2006/relationships/hyperlink" Target="https://pbs.twimg.com/profile_images/539535772429606912/-qBokwtT_normal.jpeg" TargetMode="External"/><Relationship Id="rId8355" Type="http://schemas.openxmlformats.org/officeDocument/2006/relationships/hyperlink" Target="https://pbs.twimg.com/profile_images/718820712757215233/LXXndPTS_normal.jpg" TargetMode="External"/><Relationship Id="rId9406" Type="http://schemas.openxmlformats.org/officeDocument/2006/relationships/hyperlink" Target="https://twitter.com/BlackCarbonMan" TargetMode="External"/><Relationship Id="rId11683" Type="http://schemas.openxmlformats.org/officeDocument/2006/relationships/hyperlink" Target="https://twitter.com/ruv24_de" TargetMode="External"/><Relationship Id="rId12734" Type="http://schemas.openxmlformats.org/officeDocument/2006/relationships/hyperlink" Target="https://pbs.twimg.com/profile_images/441939495328284672/Xue_FDuw_normal.jpeg" TargetMode="External"/><Relationship Id="rId25165" Type="http://schemas.openxmlformats.org/officeDocument/2006/relationships/hyperlink" Target="https://twitter.com/dougyfresh_79" TargetMode="External"/><Relationship Id="rId1742" Type="http://schemas.openxmlformats.org/officeDocument/2006/relationships/hyperlink" Target="https://pbs.twimg.com/profile_images/292857657/GreenGrowth_normal.jpg" TargetMode="External"/><Relationship Id="rId8008" Type="http://schemas.openxmlformats.org/officeDocument/2006/relationships/hyperlink" Target="https://twitter.com/CaboMace" TargetMode="External"/><Relationship Id="rId10285" Type="http://schemas.openxmlformats.org/officeDocument/2006/relationships/hyperlink" Target="https://pbs.twimg.com/profile_images/438619338942062592/OBEQvg6R_normal.jpeg" TargetMode="External"/><Relationship Id="rId11336" Type="http://schemas.openxmlformats.org/officeDocument/2006/relationships/hyperlink" Target="https://twitter.com/noz_de/status/723501018462490624" TargetMode="External"/><Relationship Id="rId15957" Type="http://schemas.openxmlformats.org/officeDocument/2006/relationships/hyperlink" Target="https://pbs.twimg.com/profile_images/715776623434457088/L4fXJsEb_normal.jpg" TargetMode="External"/><Relationship Id="rId4965" Type="http://schemas.openxmlformats.org/officeDocument/2006/relationships/hyperlink" Target="https://twitter.com/L3onardP/status/723191162589327360" TargetMode="External"/><Relationship Id="rId14559" Type="http://schemas.openxmlformats.org/officeDocument/2006/relationships/hyperlink" Target="https://pbs.twimg.com/profile_images/693447250224087040/au64Cdjo_normal.jpg" TargetMode="External"/><Relationship Id="rId18430" Type="http://schemas.openxmlformats.org/officeDocument/2006/relationships/hyperlink" Target="https://twitter.com/ruipinto70" TargetMode="External"/><Relationship Id="rId21775" Type="http://schemas.openxmlformats.org/officeDocument/2006/relationships/hyperlink" Target="https://twitter.com/beetlebug1938" TargetMode="External"/><Relationship Id="rId22826" Type="http://schemas.openxmlformats.org/officeDocument/2006/relationships/hyperlink" Target="https://twitter.com/DubworthVW/status/724250226878480384" TargetMode="External"/><Relationship Id="rId3567" Type="http://schemas.openxmlformats.org/officeDocument/2006/relationships/hyperlink" Target="https://pbs.twimg.com/profile_images/432828941061988353/mSj7d1eO_normal.png" TargetMode="External"/><Relationship Id="rId4618" Type="http://schemas.openxmlformats.org/officeDocument/2006/relationships/hyperlink" Target="https://t.co/tSggPPanso" TargetMode="External"/><Relationship Id="rId17032" Type="http://schemas.openxmlformats.org/officeDocument/2006/relationships/hyperlink" Target="https://twitter.com/ErnstJandeZwart" TargetMode="External"/><Relationship Id="rId20377" Type="http://schemas.openxmlformats.org/officeDocument/2006/relationships/hyperlink" Target="https://twitter.com/ValeriaIbanezA" TargetMode="External"/><Relationship Id="rId21428" Type="http://schemas.openxmlformats.org/officeDocument/2006/relationships/hyperlink" Target="https://twitter.com/ChristianFrits2" TargetMode="External"/><Relationship Id="rId24998" Type="http://schemas.openxmlformats.org/officeDocument/2006/relationships/hyperlink" Target="https://twitter.com/SuranClub/status/724408570251497473" TargetMode="External"/><Relationship Id="rId488" Type="http://schemas.openxmlformats.org/officeDocument/2006/relationships/hyperlink" Target="https://twitter.com/tammysmeall" TargetMode="External"/><Relationship Id="rId2169" Type="http://schemas.openxmlformats.org/officeDocument/2006/relationships/hyperlink" Target="https://pbs.twimg.com/profile_images/378800000673633859/9729e4c280465095c6f835c9f6b36378_normal.jpeg" TargetMode="External"/><Relationship Id="rId6040" Type="http://schemas.openxmlformats.org/officeDocument/2006/relationships/hyperlink" Target="https://twitter.com/VWCamperSales" TargetMode="External"/><Relationship Id="rId12591" Type="http://schemas.openxmlformats.org/officeDocument/2006/relationships/hyperlink" Target="https://pbs.twimg.com/profile_images/494221201976225792/yigdTLC1_normal.jpeg" TargetMode="External"/><Relationship Id="rId13642" Type="http://schemas.openxmlformats.org/officeDocument/2006/relationships/hyperlink" Target="https://twitter.com/BILD_Stuttgart" TargetMode="External"/><Relationship Id="rId2650" Type="http://schemas.openxmlformats.org/officeDocument/2006/relationships/hyperlink" Target="https://twitter.com/RituKarjalainen" TargetMode="External"/><Relationship Id="rId3701" Type="http://schemas.openxmlformats.org/officeDocument/2006/relationships/hyperlink" Target="http://stephaniechuang.com/" TargetMode="External"/><Relationship Id="rId9263" Type="http://schemas.openxmlformats.org/officeDocument/2006/relationships/hyperlink" Target="https://pbs.twimg.com/profile_images/653637535545995264/gHuXQ5Bt_normal.jpg" TargetMode="External"/><Relationship Id="rId11193" Type="http://schemas.openxmlformats.org/officeDocument/2006/relationships/hyperlink" Target="https://twitter.com/JensHilgenberg" TargetMode="External"/><Relationship Id="rId12244" Type="http://schemas.openxmlformats.org/officeDocument/2006/relationships/hyperlink" Target="https://pbs.twimg.com/profile_images/721456564700389376/YYyoQCjn_normal.jpg" TargetMode="External"/><Relationship Id="rId20511" Type="http://schemas.openxmlformats.org/officeDocument/2006/relationships/hyperlink" Target="https://twitter.com/miss_hairpin" TargetMode="External"/><Relationship Id="rId622" Type="http://schemas.openxmlformats.org/officeDocument/2006/relationships/hyperlink" Target="https://twitter.com/tksoftawremy/status/722967402003066880" TargetMode="External"/><Relationship Id="rId1252" Type="http://schemas.openxmlformats.org/officeDocument/2006/relationships/hyperlink" Target="https://pbs.twimg.com/profile_images/378800000541986952/888c793741006a5f978416077e1b2b00_normal.jpeg" TargetMode="External"/><Relationship Id="rId2303" Type="http://schemas.openxmlformats.org/officeDocument/2006/relationships/hyperlink" Target="https://twitter.com/rumpeltweet" TargetMode="External"/><Relationship Id="rId16865" Type="http://schemas.openxmlformats.org/officeDocument/2006/relationships/hyperlink" Target="https://pbs.twimg.com/profile_images/638973360169463808/YEbGEWne_normal.jpg" TargetMode="External"/><Relationship Id="rId17916" Type="http://schemas.openxmlformats.org/officeDocument/2006/relationships/hyperlink" Target="https://twitter.com/AskingDerek/status/723832786440704000" TargetMode="External"/><Relationship Id="rId4475" Type="http://schemas.openxmlformats.org/officeDocument/2006/relationships/hyperlink" Target="https://pbs.twimg.com/profile_images/722823782017200130/VreCKi-k_normal.jpg" TargetMode="External"/><Relationship Id="rId5873" Type="http://schemas.openxmlformats.org/officeDocument/2006/relationships/hyperlink" Target="https://pbs.twimg.com/profile_images/718091557602074624/BT0PUpq2_normal.jpg" TargetMode="External"/><Relationship Id="rId6924" Type="http://schemas.openxmlformats.org/officeDocument/2006/relationships/hyperlink" Target="http://faz.net/" TargetMode="External"/><Relationship Id="rId14069" Type="http://schemas.openxmlformats.org/officeDocument/2006/relationships/hyperlink" Target="https://pbs.twimg.com/profile_images/621389519066038272/p38sZqs8_normal.jpg" TargetMode="External"/><Relationship Id="rId15467" Type="http://schemas.openxmlformats.org/officeDocument/2006/relationships/hyperlink" Target="https://pbs.twimg.com/profile_images/485867296762507265/NeMMN_lk_normal.jpeg" TargetMode="External"/><Relationship Id="rId16518" Type="http://schemas.openxmlformats.org/officeDocument/2006/relationships/hyperlink" Target="https://twitter.com/DubLuvTuning" TargetMode="External"/><Relationship Id="rId21285" Type="http://schemas.openxmlformats.org/officeDocument/2006/relationships/hyperlink" Target="https://twitter.com/CairnsMFDs/status/724137388667105281" TargetMode="External"/><Relationship Id="rId22683" Type="http://schemas.openxmlformats.org/officeDocument/2006/relationships/hyperlink" Target="https://twitter.com/paulpollinger/status/724239140380876800" TargetMode="External"/><Relationship Id="rId23734" Type="http://schemas.openxmlformats.org/officeDocument/2006/relationships/hyperlink" Target="https://twitter.com/VWCamperSales/status/724306939266494464" TargetMode="External"/><Relationship Id="rId3077" Type="http://schemas.openxmlformats.org/officeDocument/2006/relationships/hyperlink" Target="https://twitter.com/Karlomart/status/723138761555496960" TargetMode="External"/><Relationship Id="rId4128" Type="http://schemas.openxmlformats.org/officeDocument/2006/relationships/hyperlink" Target="https://pbs.twimg.com/profile_images/601753807664521217/Cxu6updO_normal.jpg" TargetMode="External"/><Relationship Id="rId5526" Type="http://schemas.openxmlformats.org/officeDocument/2006/relationships/hyperlink" Target="https://pbs.twimg.com/profile_images/622944034353352704/lB09dnRc_normal.jpg" TargetMode="External"/><Relationship Id="rId22336" Type="http://schemas.openxmlformats.org/officeDocument/2006/relationships/hyperlink" Target="https://pbs.twimg.com/profile_images/724191040970711040/Tcg-aQ6t_normal.jpg" TargetMode="External"/><Relationship Id="rId7698" Type="http://schemas.openxmlformats.org/officeDocument/2006/relationships/hyperlink" Target="https://twitter.com/Ivan_Loewen/status/723324050735435778" TargetMode="External"/><Relationship Id="rId8749" Type="http://schemas.openxmlformats.org/officeDocument/2006/relationships/hyperlink" Target="https://pbs.twimg.com/profile_images/378800000845025515/04b4cc9dbcccb348e257afe7bbbdc348_normal.jpeg" TargetMode="External"/><Relationship Id="rId10679" Type="http://schemas.openxmlformats.org/officeDocument/2006/relationships/hyperlink" Target="https://twitter.com/fxcalmettes" TargetMode="External"/><Relationship Id="rId14550" Type="http://schemas.openxmlformats.org/officeDocument/2006/relationships/hyperlink" Target="https://pbs.twimg.com/profile_images/510673988003966976/6Ggzktuf_normal.png" TargetMode="External"/><Relationship Id="rId15601" Type="http://schemas.openxmlformats.org/officeDocument/2006/relationships/hyperlink" Target="https://twitter.com/thrussellart" TargetMode="External"/><Relationship Id="rId25559" Type="http://schemas.openxmlformats.org/officeDocument/2006/relationships/hyperlink" Target="https://twitter.com/bundes_car" TargetMode="External"/><Relationship Id="rId13152" Type="http://schemas.openxmlformats.org/officeDocument/2006/relationships/hyperlink" Target="https://twitter.com/techhippie" TargetMode="External"/><Relationship Id="rId14203" Type="http://schemas.openxmlformats.org/officeDocument/2006/relationships/hyperlink" Target="https://pbs.twimg.com/profile_images/539631603660898305/4yJ_9V-u_normal.jpeg" TargetMode="External"/><Relationship Id="rId17773" Type="http://schemas.openxmlformats.org/officeDocument/2006/relationships/hyperlink" Target="https://pbs.twimg.com/profile_images/591593624594317312/1fcFGRHy_normal.jpg" TargetMode="External"/><Relationship Id="rId2160" Type="http://schemas.openxmlformats.org/officeDocument/2006/relationships/hyperlink" Target="https://pbs.twimg.com/profile_images/698509815870578688/S6oEQDwn_normal.jpg" TargetMode="External"/><Relationship Id="rId3211" Type="http://schemas.openxmlformats.org/officeDocument/2006/relationships/hyperlink" Target="https://twitter.com/alsopi1" TargetMode="External"/><Relationship Id="rId6781" Type="http://schemas.openxmlformats.org/officeDocument/2006/relationships/hyperlink" Target="https://twitter.com/OnlineCarReview" TargetMode="External"/><Relationship Id="rId7832" Type="http://schemas.openxmlformats.org/officeDocument/2006/relationships/hyperlink" Target="https://twitter.com/oldcar_photo/status/723333815708585984" TargetMode="External"/><Relationship Id="rId16375" Type="http://schemas.openxmlformats.org/officeDocument/2006/relationships/hyperlink" Target="https://twitter.com/VolkswagenPost" TargetMode="External"/><Relationship Id="rId17426" Type="http://schemas.openxmlformats.org/officeDocument/2006/relationships/hyperlink" Target="https://twitter.com/YoeriAlbrecht/status/723798207160025088" TargetMode="External"/><Relationship Id="rId18824" Type="http://schemas.openxmlformats.org/officeDocument/2006/relationships/hyperlink" Target="https://pbs.twimg.com/profile_images/723885547924672512/Zs63ZdSQ_normal.jpg" TargetMode="External"/><Relationship Id="rId20021" Type="http://schemas.openxmlformats.org/officeDocument/2006/relationships/hyperlink" Target="https://pbs.twimg.com/profile_images/539452942617567232/cIlwVj6z_normal.jpeg" TargetMode="External"/><Relationship Id="rId23591" Type="http://schemas.openxmlformats.org/officeDocument/2006/relationships/hyperlink" Target="https://pbs.twimg.com/profile_images/715943872820559872/KYDnlJMX_normal.jpg" TargetMode="External"/><Relationship Id="rId24642" Type="http://schemas.openxmlformats.org/officeDocument/2006/relationships/hyperlink" Target="https://pbs.twimg.com/profile_images/541574743334617088/IJ-jRaF4_normal.jpeg" TargetMode="External"/><Relationship Id="rId132" Type="http://schemas.openxmlformats.org/officeDocument/2006/relationships/hyperlink" Target="https://twitter.com/jamelise" TargetMode="External"/><Relationship Id="rId5383" Type="http://schemas.openxmlformats.org/officeDocument/2006/relationships/hyperlink" Target="https://twitter.com/cbctom" TargetMode="External"/><Relationship Id="rId6434" Type="http://schemas.openxmlformats.org/officeDocument/2006/relationships/hyperlink" Target="https://twitter.com/Insta_VWT/status/723242961211908096" TargetMode="External"/><Relationship Id="rId10813" Type="http://schemas.openxmlformats.org/officeDocument/2006/relationships/hyperlink" Target="https://pbs.twimg.com/profile_images/378800000505768436/b3aa9c71fd8ab9d43b6048fa60eeec23_normal.jpeg" TargetMode="External"/><Relationship Id="rId16028" Type="http://schemas.openxmlformats.org/officeDocument/2006/relationships/hyperlink" Target="https://twitter.com/Lucchisius" TargetMode="External"/><Relationship Id="rId22193" Type="http://schemas.openxmlformats.org/officeDocument/2006/relationships/hyperlink" Target="https://twitter.com/beetlebug1938" TargetMode="External"/><Relationship Id="rId23244" Type="http://schemas.openxmlformats.org/officeDocument/2006/relationships/hyperlink" Target="https://twitter.com/cmsGOMEX/status/724275541189267457" TargetMode="External"/><Relationship Id="rId5036" Type="http://schemas.openxmlformats.org/officeDocument/2006/relationships/hyperlink" Target="https://pbs.twimg.com/profile_images/540354364641382400/QHa2e-f5_normal.jpeg" TargetMode="External"/><Relationship Id="rId12985" Type="http://schemas.openxmlformats.org/officeDocument/2006/relationships/hyperlink" Target="https://twitter.com/TwittingThom/status/723532665417293825" TargetMode="External"/><Relationship Id="rId19598" Type="http://schemas.openxmlformats.org/officeDocument/2006/relationships/hyperlink" Target="https://twitter.com/VeeDubMk1_" TargetMode="External"/><Relationship Id="rId1993" Type="http://schemas.openxmlformats.org/officeDocument/2006/relationships/hyperlink" Target="https://twitter.com/SMSFCoach/status/723074136365375488" TargetMode="External"/><Relationship Id="rId8259" Type="http://schemas.openxmlformats.org/officeDocument/2006/relationships/hyperlink" Target="https://twitter.com/secret_ledger" TargetMode="External"/><Relationship Id="rId9657" Type="http://schemas.openxmlformats.org/officeDocument/2006/relationships/hyperlink" Target="https://twitter.com/VWCamperSales/status/723444537700442112" TargetMode="External"/><Relationship Id="rId11587" Type="http://schemas.openxmlformats.org/officeDocument/2006/relationships/hyperlink" Target="https://twitter.com/BenFajzullin" TargetMode="External"/><Relationship Id="rId12638" Type="http://schemas.openxmlformats.org/officeDocument/2006/relationships/hyperlink" Target="https://twitter.com/monasterium" TargetMode="External"/><Relationship Id="rId20905" Type="http://schemas.openxmlformats.org/officeDocument/2006/relationships/hyperlink" Target="https://pbs.twimg.com/profile_images/713010392692236291/yCM5NCzN_normal.jpg" TargetMode="External"/><Relationship Id="rId25069" Type="http://schemas.openxmlformats.org/officeDocument/2006/relationships/hyperlink" Target="https://pbs.twimg.com/profile_images/463414773837598720/VGGoEDTp_normal.jpeg" TargetMode="External"/><Relationship Id="rId1646" Type="http://schemas.openxmlformats.org/officeDocument/2006/relationships/hyperlink" Target="https://twitter.com/VeeDubMk1_" TargetMode="External"/><Relationship Id="rId10189" Type="http://schemas.openxmlformats.org/officeDocument/2006/relationships/hyperlink" Target="https://twitter.com/sadiqgajimi" TargetMode="External"/><Relationship Id="rId14060" Type="http://schemas.openxmlformats.org/officeDocument/2006/relationships/hyperlink" Target="https://pbs.twimg.com/profile_images/645310556014940160/LzWngd8-_normal.jpg" TargetMode="External"/><Relationship Id="rId15111" Type="http://schemas.openxmlformats.org/officeDocument/2006/relationships/hyperlink" Target="https://pbs.twimg.com/profile_images/703294545195307008/qeCvrX86_normal.jpg" TargetMode="External"/><Relationship Id="rId18681" Type="http://schemas.openxmlformats.org/officeDocument/2006/relationships/hyperlink" Target="https://twitter.com/AhmadAlZ/status/723888809591578626" TargetMode="External"/><Relationship Id="rId19732" Type="http://schemas.openxmlformats.org/officeDocument/2006/relationships/hyperlink" Target="https://twitter.com/Scirocco_Tuning/status/723950755170926592" TargetMode="External"/><Relationship Id="rId4869" Type="http://schemas.openxmlformats.org/officeDocument/2006/relationships/hyperlink" Target="https://pbs.twimg.com/profile_images/488939589520740353/HVTIWICi_normal.jpeg" TargetMode="External"/><Relationship Id="rId8740" Type="http://schemas.openxmlformats.org/officeDocument/2006/relationships/hyperlink" Target="https://pbs.twimg.com/profile_images/428101261989122048/m96h9SFV_normal.jpeg" TargetMode="External"/><Relationship Id="rId10670" Type="http://schemas.openxmlformats.org/officeDocument/2006/relationships/hyperlink" Target="https://twitter.com/ashmatee" TargetMode="External"/><Relationship Id="rId11721" Type="http://schemas.openxmlformats.org/officeDocument/2006/relationships/hyperlink" Target="https://pbs.twimg.com/profile_images/3601856046/89deb5d36c9951092d953fa6050d5fbc_normal.jpeg" TargetMode="External"/><Relationship Id="rId17283" Type="http://schemas.openxmlformats.org/officeDocument/2006/relationships/hyperlink" Target="https://pbs.twimg.com/profile_images/1691137019/EJRR_kopf_web_normal.jpg" TargetMode="External"/><Relationship Id="rId18334" Type="http://schemas.openxmlformats.org/officeDocument/2006/relationships/hyperlink" Target="https://twitter.com/RoliKlotz" TargetMode="External"/><Relationship Id="rId21679" Type="http://schemas.openxmlformats.org/officeDocument/2006/relationships/hyperlink" Target="https://twitter.com/ErnstNordholt" TargetMode="External"/><Relationship Id="rId25550" Type="http://schemas.openxmlformats.org/officeDocument/2006/relationships/hyperlink" Target="https://twitter.com/steven_soshea" TargetMode="External"/><Relationship Id="rId6291" Type="http://schemas.openxmlformats.org/officeDocument/2006/relationships/hyperlink" Target="https://twitter.com/BelleNews/status/723238146574585856" TargetMode="External"/><Relationship Id="rId7342" Type="http://schemas.openxmlformats.org/officeDocument/2006/relationships/hyperlink" Target="https://twitter.com/EscalonaTomi/status/723297080366776320" TargetMode="External"/><Relationship Id="rId10323" Type="http://schemas.openxmlformats.org/officeDocument/2006/relationships/hyperlink" Target="https://twitter.com/dneuerer/status/723469349378465792" TargetMode="External"/><Relationship Id="rId24152" Type="http://schemas.openxmlformats.org/officeDocument/2006/relationships/hyperlink" Target="https://twitter.com/dazvw" TargetMode="External"/><Relationship Id="rId25203" Type="http://schemas.openxmlformats.org/officeDocument/2006/relationships/hyperlink" Target="https://twitter.com/OMoreano/status/724426200110780425" TargetMode="External"/><Relationship Id="rId12495" Type="http://schemas.openxmlformats.org/officeDocument/2006/relationships/hyperlink" Target="https://pbs.twimg.com/profile_images/687314255507513346/a83L5Opq_normal.jpg" TargetMode="External"/><Relationship Id="rId13893" Type="http://schemas.openxmlformats.org/officeDocument/2006/relationships/hyperlink" Target="https://twitter.com/beetlebug1938" TargetMode="External"/><Relationship Id="rId14944" Type="http://schemas.openxmlformats.org/officeDocument/2006/relationships/hyperlink" Target="https://pbs.twimg.com/profile_images/491217423396134913/ygdCi_0u_normal.jpeg" TargetMode="External"/><Relationship Id="rId873" Type="http://schemas.openxmlformats.org/officeDocument/2006/relationships/hyperlink" Target="https://twitter.com/Zherk_kck/status/722995875316961280" TargetMode="External"/><Relationship Id="rId2554" Type="http://schemas.openxmlformats.org/officeDocument/2006/relationships/hyperlink" Target="https://pbs.twimg.com/profile_images/2856462943/2f13ac323ea0958d3b575c5144487626_normal.jpeg" TargetMode="External"/><Relationship Id="rId3952" Type="http://schemas.openxmlformats.org/officeDocument/2006/relationships/hyperlink" Target="https://twitter.com/Lebeaucarnews/status/723172876392783872" TargetMode="External"/><Relationship Id="rId9167" Type="http://schemas.openxmlformats.org/officeDocument/2006/relationships/hyperlink" Target="https://pbs.twimg.com/profile_images/679552623641509888/_vPw9IS2_normal.png" TargetMode="External"/><Relationship Id="rId11097" Type="http://schemas.openxmlformats.org/officeDocument/2006/relationships/hyperlink" Target="https://twitter.com/sven291985/status/723497283116011520" TargetMode="External"/><Relationship Id="rId12148" Type="http://schemas.openxmlformats.org/officeDocument/2006/relationships/hyperlink" Target="https://twitter.com/SteffenSoeffner/status/723513835706048513" TargetMode="External"/><Relationship Id="rId13546" Type="http://schemas.openxmlformats.org/officeDocument/2006/relationships/hyperlink" Target="https://twitter.com/countryairport/status/723550209914093571" TargetMode="External"/><Relationship Id="rId20762" Type="http://schemas.openxmlformats.org/officeDocument/2006/relationships/hyperlink" Target="https://twitter.com/fjchicago" TargetMode="External"/><Relationship Id="rId21813" Type="http://schemas.openxmlformats.org/officeDocument/2006/relationships/hyperlink" Target="https://twitter.com/FuscaWorld" TargetMode="External"/><Relationship Id="rId526" Type="http://schemas.openxmlformats.org/officeDocument/2006/relationships/hyperlink" Target="https://twitter.com/JesslcaLynnzi/status/722964439906000897" TargetMode="External"/><Relationship Id="rId1156" Type="http://schemas.openxmlformats.org/officeDocument/2006/relationships/hyperlink" Target="https://twitter.com/Chaos_Be/status/723023113299083264" TargetMode="External"/><Relationship Id="rId2207" Type="http://schemas.openxmlformats.org/officeDocument/2006/relationships/hyperlink" Target="https://twitter.com/techhippie" TargetMode="External"/><Relationship Id="rId3605" Type="http://schemas.openxmlformats.org/officeDocument/2006/relationships/hyperlink" Target="https://twitter.com/XBudhoo/status/723165962829221888" TargetMode="External"/><Relationship Id="rId16769" Type="http://schemas.openxmlformats.org/officeDocument/2006/relationships/hyperlink" Target="https://twitter.com/Scirocco_Tuning" TargetMode="External"/><Relationship Id="rId20415" Type="http://schemas.openxmlformats.org/officeDocument/2006/relationships/hyperlink" Target="https://pbs.twimg.com/profile_images/706339835821293568/uyrqrH27_normal.jpg" TargetMode="External"/><Relationship Id="rId23985" Type="http://schemas.openxmlformats.org/officeDocument/2006/relationships/hyperlink" Target="https://twitter.com/VWCamperSales/status/724324820909838336" TargetMode="External"/><Relationship Id="rId5777" Type="http://schemas.openxmlformats.org/officeDocument/2006/relationships/hyperlink" Target="https://twitter.com/k__hris" TargetMode="External"/><Relationship Id="rId6828" Type="http://schemas.openxmlformats.org/officeDocument/2006/relationships/hyperlink" Target="https://twitter.com/greenenrgycharg/status/723262724507983872" TargetMode="External"/><Relationship Id="rId18191" Type="http://schemas.openxmlformats.org/officeDocument/2006/relationships/hyperlink" Target="https://twitter.com/ContemporaryHan/status/723850194459213824" TargetMode="External"/><Relationship Id="rId19242" Type="http://schemas.openxmlformats.org/officeDocument/2006/relationships/hyperlink" Target="https://twitter.com/DiegoUrquiolaG" TargetMode="External"/><Relationship Id="rId22587" Type="http://schemas.openxmlformats.org/officeDocument/2006/relationships/hyperlink" Target="https://twitter.com/fabulousvw/status/724232026560311296" TargetMode="External"/><Relationship Id="rId23638" Type="http://schemas.openxmlformats.org/officeDocument/2006/relationships/hyperlink" Target="https://pbs.twimg.com/profile_images/65596539/Brett_with_football_normal.jpg" TargetMode="External"/><Relationship Id="rId4379" Type="http://schemas.openxmlformats.org/officeDocument/2006/relationships/hyperlink" Target="https://twitter.com/franka_kuehn/status/723179731504390145" TargetMode="External"/><Relationship Id="rId8250" Type="http://schemas.openxmlformats.org/officeDocument/2006/relationships/hyperlink" Target="https://twitter.com/Scirocco_Tuning" TargetMode="External"/><Relationship Id="rId9301" Type="http://schemas.openxmlformats.org/officeDocument/2006/relationships/hyperlink" Target="https://twitter.com/TrefyJot/status/723430168841199616" TargetMode="External"/><Relationship Id="rId10180" Type="http://schemas.openxmlformats.org/officeDocument/2006/relationships/hyperlink" Target="https://twitter.com/katemann_jens" TargetMode="External"/><Relationship Id="rId11231" Type="http://schemas.openxmlformats.org/officeDocument/2006/relationships/hyperlink" Target="http://donaukurier.de/" TargetMode="External"/><Relationship Id="rId15852" Type="http://schemas.openxmlformats.org/officeDocument/2006/relationships/hyperlink" Target="https://twitter.com/wehrs18/status/723633449815412737" TargetMode="External"/><Relationship Id="rId21189" Type="http://schemas.openxmlformats.org/officeDocument/2006/relationships/hyperlink" Target="https://pbs.twimg.com/profile_images/652871584131092480/QA_B6SBO_normal.jpg" TargetMode="External"/><Relationship Id="rId25060" Type="http://schemas.openxmlformats.org/officeDocument/2006/relationships/hyperlink" Target="https://pbs.twimg.com/profile_images/3518634490/a7db4179a4b0e8afcae487f17f254681_normal.jpeg" TargetMode="External"/><Relationship Id="rId4860" Type="http://schemas.openxmlformats.org/officeDocument/2006/relationships/hyperlink" Target="https://pbs.twimg.com/profile_images/669248619132952576/p1q_D68x_normal.jpg" TargetMode="External"/><Relationship Id="rId5911" Type="http://schemas.openxmlformats.org/officeDocument/2006/relationships/hyperlink" Target="https://twitter.com/Dr_M_eroglu" TargetMode="External"/><Relationship Id="rId14454" Type="http://schemas.openxmlformats.org/officeDocument/2006/relationships/hyperlink" Target="https://twitter.com/Stony_BS" TargetMode="External"/><Relationship Id="rId15505" Type="http://schemas.openxmlformats.org/officeDocument/2006/relationships/hyperlink" Target="https://twitter.com/NOMAD941/status/723610134702899201" TargetMode="External"/><Relationship Id="rId16903" Type="http://schemas.openxmlformats.org/officeDocument/2006/relationships/hyperlink" Target="https://twitter.com/brennan_gibson" TargetMode="External"/><Relationship Id="rId21670" Type="http://schemas.openxmlformats.org/officeDocument/2006/relationships/hyperlink" Target="https://twitter.com/Joerg_Koper" TargetMode="External"/><Relationship Id="rId22721" Type="http://schemas.openxmlformats.org/officeDocument/2006/relationships/hyperlink" Target="https://twitter.com/FuscaWorld/status/724241016044269568" TargetMode="External"/><Relationship Id="rId3462" Type="http://schemas.openxmlformats.org/officeDocument/2006/relationships/hyperlink" Target="https://twitter.com/Danny_GTI04" TargetMode="External"/><Relationship Id="rId4513" Type="http://schemas.openxmlformats.org/officeDocument/2006/relationships/hyperlink" Target="https://twitter.com/franka_kuehn/status/723182078074843136" TargetMode="External"/><Relationship Id="rId13056" Type="http://schemas.openxmlformats.org/officeDocument/2006/relationships/hyperlink" Target="https://pbs.twimg.com/profile_images/641948806075019264/VfeL3ht-_normal.png" TargetMode="External"/><Relationship Id="rId14107" Type="http://schemas.openxmlformats.org/officeDocument/2006/relationships/hyperlink" Target="https://twitter.com/OnlineCarReview/status/723564356529590273" TargetMode="External"/><Relationship Id="rId20272" Type="http://schemas.openxmlformats.org/officeDocument/2006/relationships/hyperlink" Target="https://twitter.com/unlmtdsmarttech" TargetMode="External"/><Relationship Id="rId21323" Type="http://schemas.openxmlformats.org/officeDocument/2006/relationships/hyperlink" Target="https://twitter.com/Volkstyp2" TargetMode="External"/><Relationship Id="rId383" Type="http://schemas.openxmlformats.org/officeDocument/2006/relationships/hyperlink" Target="https://twitter.com/kenminesinger" TargetMode="External"/><Relationship Id="rId2064" Type="http://schemas.openxmlformats.org/officeDocument/2006/relationships/hyperlink" Target="https://twitter.com/JMGlachant/status/723079621701435393" TargetMode="External"/><Relationship Id="rId3115" Type="http://schemas.openxmlformats.org/officeDocument/2006/relationships/hyperlink" Target="https://twitter.com/GNTools_/status/723142715517591552" TargetMode="External"/><Relationship Id="rId6685" Type="http://schemas.openxmlformats.org/officeDocument/2006/relationships/hyperlink" Target="https://twitter.com/brui_ie" TargetMode="External"/><Relationship Id="rId16279" Type="http://schemas.openxmlformats.org/officeDocument/2006/relationships/hyperlink" Target="https://twitter.com/BeaconWealth" TargetMode="External"/><Relationship Id="rId17677" Type="http://schemas.openxmlformats.org/officeDocument/2006/relationships/hyperlink" Target="https://twitter.com/telloglou/status/723815412740292608" TargetMode="External"/><Relationship Id="rId18728" Type="http://schemas.openxmlformats.org/officeDocument/2006/relationships/hyperlink" Target="https://twitter.com/rfreuden/status/723890961001136128" TargetMode="External"/><Relationship Id="rId23495" Type="http://schemas.openxmlformats.org/officeDocument/2006/relationships/hyperlink" Target="https://twitter.com/vinylwarning" TargetMode="External"/><Relationship Id="rId24893" Type="http://schemas.openxmlformats.org/officeDocument/2006/relationships/hyperlink" Target="https://pbs.twimg.com/profile_images/718820712757215233/LXXndPTS_normal.jpg" TargetMode="External"/><Relationship Id="rId5287" Type="http://schemas.openxmlformats.org/officeDocument/2006/relationships/hyperlink" Target="https://twitter.com/mediaadgroup/status/723199428803227650" TargetMode="External"/><Relationship Id="rId6338" Type="http://schemas.openxmlformats.org/officeDocument/2006/relationships/hyperlink" Target="http://dlvr.it/" TargetMode="External"/><Relationship Id="rId7736" Type="http://schemas.openxmlformats.org/officeDocument/2006/relationships/hyperlink" Target="https://twitter.com/LimandoElPisoPM" TargetMode="External"/><Relationship Id="rId10717" Type="http://schemas.openxmlformats.org/officeDocument/2006/relationships/hyperlink" Target="https://pbs.twimg.com/profile_images/511300315228811264/sT0G3pjp_normal.jpeg" TargetMode="External"/><Relationship Id="rId22097" Type="http://schemas.openxmlformats.org/officeDocument/2006/relationships/hyperlink" Target="https://pbs.twimg.com/profile_images/703294545195307008/qeCvrX86_normal.jpg" TargetMode="External"/><Relationship Id="rId23148" Type="http://schemas.openxmlformats.org/officeDocument/2006/relationships/hyperlink" Target="https://twitter.com/mathyaszalazar" TargetMode="External"/><Relationship Id="rId24546" Type="http://schemas.openxmlformats.org/officeDocument/2006/relationships/hyperlink" Target="https://twitter.com/JesusittoLZS" TargetMode="External"/><Relationship Id="rId12889" Type="http://schemas.openxmlformats.org/officeDocument/2006/relationships/hyperlink" Target="https://pbs.twimg.com/profile_images/703294545195307008/qeCvrX86_normal.jpg" TargetMode="External"/><Relationship Id="rId16760" Type="http://schemas.openxmlformats.org/officeDocument/2006/relationships/hyperlink" Target="https://twitter.com/Jochitas" TargetMode="External"/><Relationship Id="rId17811" Type="http://schemas.openxmlformats.org/officeDocument/2006/relationships/hyperlink" Target="https://twitter.com/automotiveml/status/723824545103138816" TargetMode="External"/><Relationship Id="rId1897" Type="http://schemas.openxmlformats.org/officeDocument/2006/relationships/hyperlink" Target="https://twitter.com/Test_Achats" TargetMode="External"/><Relationship Id="rId2948" Type="http://schemas.openxmlformats.org/officeDocument/2006/relationships/hyperlink" Target="https://pbs.twimg.com/profile_images/530071272881803264/a_jcCmPZ_normal.png" TargetMode="External"/><Relationship Id="rId15362" Type="http://schemas.openxmlformats.org/officeDocument/2006/relationships/hyperlink" Target="https://pbs.twimg.com/profile_images/634021831364747264/5vPrL2JH_normal.jpg" TargetMode="External"/><Relationship Id="rId16413" Type="http://schemas.openxmlformats.org/officeDocument/2006/relationships/hyperlink" Target="https://pbs.twimg.com/profile_images/719217805376270337/CC_zc0I5_normal.jpg" TargetMode="External"/><Relationship Id="rId19983" Type="http://schemas.openxmlformats.org/officeDocument/2006/relationships/hyperlink" Target="http://dlvr.it/" TargetMode="External"/><Relationship Id="rId20809" Type="http://schemas.openxmlformats.org/officeDocument/2006/relationships/hyperlink" Target="https://twitter.com/Lucascanob_" TargetMode="External"/><Relationship Id="rId4370" Type="http://schemas.openxmlformats.org/officeDocument/2006/relationships/hyperlink" Target="https://twitter.com/Sumsi_/status/723179648180473857" TargetMode="External"/><Relationship Id="rId5421" Type="http://schemas.openxmlformats.org/officeDocument/2006/relationships/hyperlink" Target="https://pbs.twimg.com/profile_images/627949001179037696/skEBkS05_normal.jpg" TargetMode="External"/><Relationship Id="rId8991" Type="http://schemas.openxmlformats.org/officeDocument/2006/relationships/hyperlink" Target="https://twitter.com/RolfMecke/status/723415082747600897" TargetMode="External"/><Relationship Id="rId15015" Type="http://schemas.openxmlformats.org/officeDocument/2006/relationships/hyperlink" Target="https://pbs.twimg.com/profile_images/712857678679252992/50JbthhW_normal.jpg" TargetMode="External"/><Relationship Id="rId18585" Type="http://schemas.openxmlformats.org/officeDocument/2006/relationships/hyperlink" Target="https://pbs.twimg.com/profile_images/424893967197433858/iQ86NktX_normal.jpeg" TargetMode="External"/><Relationship Id="rId19636" Type="http://schemas.openxmlformats.org/officeDocument/2006/relationships/hyperlink" Target="https://twitter.com/EverCharge" TargetMode="External"/><Relationship Id="rId21180" Type="http://schemas.openxmlformats.org/officeDocument/2006/relationships/hyperlink" Target="https://pbs.twimg.com/profile_images/703294545195307008/qeCvrX86_normal.jpg" TargetMode="External"/><Relationship Id="rId22231" Type="http://schemas.openxmlformats.org/officeDocument/2006/relationships/hyperlink" Target="https://twitter.com/FuscaWorld" TargetMode="External"/><Relationship Id="rId4023" Type="http://schemas.openxmlformats.org/officeDocument/2006/relationships/hyperlink" Target="https://twitter.com/SocialAutos" TargetMode="External"/><Relationship Id="rId7593" Type="http://schemas.openxmlformats.org/officeDocument/2006/relationships/hyperlink" Target="https://twitter.com/channei_purple/status/723316167067197441" TargetMode="External"/><Relationship Id="rId8644" Type="http://schemas.openxmlformats.org/officeDocument/2006/relationships/hyperlink" Target="https://pbs.twimg.com/profile_images/658098750582222848/5O-0Z2C3_normal.jpg" TargetMode="External"/><Relationship Id="rId11972" Type="http://schemas.openxmlformats.org/officeDocument/2006/relationships/hyperlink" Target="https://twitter.com/MarkCSchneider/status/723511304791711745" TargetMode="External"/><Relationship Id="rId17187" Type="http://schemas.openxmlformats.org/officeDocument/2006/relationships/hyperlink" Target="https://pbs.twimg.com/profile_images/653421858537230336/e_JMkUJ5_normal.jpg" TargetMode="External"/><Relationship Id="rId18238" Type="http://schemas.openxmlformats.org/officeDocument/2006/relationships/hyperlink" Target="https://pbs.twimg.com/profile_images/623002118480224256/a4_TT0iV_normal.jpg" TargetMode="External"/><Relationship Id="rId25454" Type="http://schemas.openxmlformats.org/officeDocument/2006/relationships/hyperlink" Target="https://twitter.com/TheHippieVanMan/status/724440000113303553" TargetMode="External"/><Relationship Id="rId6195" Type="http://schemas.openxmlformats.org/officeDocument/2006/relationships/hyperlink" Target="https://pbs.twimg.com/profile_images/695307390724521984/qdxB45lv_normal.jpg" TargetMode="External"/><Relationship Id="rId7246" Type="http://schemas.openxmlformats.org/officeDocument/2006/relationships/hyperlink" Target="https://pbs.twimg.com/profile_images/2432925127/037j7zaybfps0pmn6dp9_normal.gif" TargetMode="External"/><Relationship Id="rId10227" Type="http://schemas.openxmlformats.org/officeDocument/2006/relationships/hyperlink" Target="https://twitter.com/WernerLenhard/status/723466298525650944" TargetMode="External"/><Relationship Id="rId10574" Type="http://schemas.openxmlformats.org/officeDocument/2006/relationships/hyperlink" Target="https://pbs.twimg.com/profile_images/378800000566378572/084cb3103fd97db6ea2fcb90b2ea5dc7_normal.jpeg" TargetMode="External"/><Relationship Id="rId11625" Type="http://schemas.openxmlformats.org/officeDocument/2006/relationships/hyperlink" Target="https://twitter.com/weserkurier/status/723504413051092992" TargetMode="External"/><Relationship Id="rId24056" Type="http://schemas.openxmlformats.org/officeDocument/2006/relationships/hyperlink" Target="https://twitter.com/mydorsetpark" TargetMode="External"/><Relationship Id="rId25107" Type="http://schemas.openxmlformats.org/officeDocument/2006/relationships/hyperlink" Target="https://twitter.com/AutoGuide" TargetMode="External"/><Relationship Id="rId13797" Type="http://schemas.openxmlformats.org/officeDocument/2006/relationships/hyperlink" Target="https://twitter.com/frank_wrc" TargetMode="External"/><Relationship Id="rId14848" Type="http://schemas.openxmlformats.org/officeDocument/2006/relationships/hyperlink" Target="https://pbs.twimg.com/profile_images/1772698594/image_normal.jpg" TargetMode="External"/><Relationship Id="rId3856" Type="http://schemas.openxmlformats.org/officeDocument/2006/relationships/hyperlink" Target="https://twitter.com/jrg_o/status/723170767794495488" TargetMode="External"/><Relationship Id="rId4907" Type="http://schemas.openxmlformats.org/officeDocument/2006/relationships/hyperlink" Target="https://abs.twimg.com/sticky/default_profile_images/default_profile_1_normal.png" TargetMode="External"/><Relationship Id="rId12399" Type="http://schemas.openxmlformats.org/officeDocument/2006/relationships/hyperlink" Target="https://pbs.twimg.com/profile_images/703294545195307008/qeCvrX86_normal.jpg" TargetMode="External"/><Relationship Id="rId16270" Type="http://schemas.openxmlformats.org/officeDocument/2006/relationships/hyperlink" Target="https://twitter.com/VWCamperSales/status/723663598266908672" TargetMode="External"/><Relationship Id="rId17321" Type="http://schemas.openxmlformats.org/officeDocument/2006/relationships/hyperlink" Target="https://twitter.com/Awesome_eu_com/status/723790473740075008" TargetMode="External"/><Relationship Id="rId20666" Type="http://schemas.openxmlformats.org/officeDocument/2006/relationships/hyperlink" Target="https://twitter.com/StarsStanced" TargetMode="External"/><Relationship Id="rId21717" Type="http://schemas.openxmlformats.org/officeDocument/2006/relationships/hyperlink" Target="https://twitter.com/PriesThi" TargetMode="External"/><Relationship Id="rId777" Type="http://schemas.openxmlformats.org/officeDocument/2006/relationships/hyperlink" Target="https://twitter.com/wikatu/status/722981886591541248" TargetMode="External"/><Relationship Id="rId2458" Type="http://schemas.openxmlformats.org/officeDocument/2006/relationships/hyperlink" Target="https://twitter.com/treibholzfilm" TargetMode="External"/><Relationship Id="rId3509" Type="http://schemas.openxmlformats.org/officeDocument/2006/relationships/hyperlink" Target="https://pbs.twimg.com/profile_images/1610421423/Image2_normal.jpg" TargetMode="External"/><Relationship Id="rId12880" Type="http://schemas.openxmlformats.org/officeDocument/2006/relationships/hyperlink" Target="https://twitter.com/InsigniaGroup/status/723530319077343234" TargetMode="External"/><Relationship Id="rId13931" Type="http://schemas.openxmlformats.org/officeDocument/2006/relationships/hyperlink" Target="https://pbs.twimg.com/profile_images/603925200019845120/Li9wf9hL_normal.jpg" TargetMode="External"/><Relationship Id="rId19493" Type="http://schemas.openxmlformats.org/officeDocument/2006/relationships/hyperlink" Target="https://twitter.com/dubbusses/status/723937295624220672" TargetMode="External"/><Relationship Id="rId20319" Type="http://schemas.openxmlformats.org/officeDocument/2006/relationships/hyperlink" Target="https://twitter.com/ebaycampervans/status/723990337669074944" TargetMode="External"/><Relationship Id="rId23889" Type="http://schemas.openxmlformats.org/officeDocument/2006/relationships/hyperlink" Target="https://pbs.twimg.com/profile_images/692450304059645952/aRBxMbSI_normal.png" TargetMode="External"/><Relationship Id="rId9552" Type="http://schemas.openxmlformats.org/officeDocument/2006/relationships/hyperlink" Target="https://twitter.com/RWEmobility/status/723440014391025667" TargetMode="External"/><Relationship Id="rId11482" Type="http://schemas.openxmlformats.org/officeDocument/2006/relationships/hyperlink" Target="https://twitter.com/jaackgreen" TargetMode="External"/><Relationship Id="rId12533" Type="http://schemas.openxmlformats.org/officeDocument/2006/relationships/hyperlink" Target="https://twitter.com/VWBeetleSales/status/723522021963927555" TargetMode="External"/><Relationship Id="rId18095" Type="http://schemas.openxmlformats.org/officeDocument/2006/relationships/hyperlink" Target="https://twitter.com/Exvtra_uk/status/723844807337119748" TargetMode="External"/><Relationship Id="rId19146" Type="http://schemas.openxmlformats.org/officeDocument/2006/relationships/hyperlink" Target="https://twitter.com/_sea_fox_/status/723921553893797888" TargetMode="External"/><Relationship Id="rId20800" Type="http://schemas.openxmlformats.org/officeDocument/2006/relationships/hyperlink" Target="https://twitter.com/ozgurcedeniz/status/724046995615297539" TargetMode="External"/><Relationship Id="rId911" Type="http://schemas.openxmlformats.org/officeDocument/2006/relationships/hyperlink" Target="https://twitter.com/CDMC97" TargetMode="External"/><Relationship Id="rId1541" Type="http://schemas.openxmlformats.org/officeDocument/2006/relationships/hyperlink" Target="https://twitter.com/AlcuinBramerton" TargetMode="External"/><Relationship Id="rId8154" Type="http://schemas.openxmlformats.org/officeDocument/2006/relationships/hyperlink" Target="https://pbs.twimg.com/profile_images/530071272881803264/a_jcCmPZ_normal.png" TargetMode="External"/><Relationship Id="rId9205" Type="http://schemas.openxmlformats.org/officeDocument/2006/relationships/hyperlink" Target="https://twitter.com/srfnews/status/723425265636937728" TargetMode="External"/><Relationship Id="rId10084" Type="http://schemas.openxmlformats.org/officeDocument/2006/relationships/hyperlink" Target="https://twitter.com/AFECTADOGRUPOVW" TargetMode="External"/><Relationship Id="rId11135" Type="http://schemas.openxmlformats.org/officeDocument/2006/relationships/hyperlink" Target="https://twitter.com/beetlebug1938" TargetMode="External"/><Relationship Id="rId4764" Type="http://schemas.openxmlformats.org/officeDocument/2006/relationships/hyperlink" Target="https://pbs.twimg.com/profile_images/642021337809076225/YhbHP0MU_normal.jpg" TargetMode="External"/><Relationship Id="rId14358" Type="http://schemas.openxmlformats.org/officeDocument/2006/relationships/hyperlink" Target="https://twitter.com/LombardaMotori/status/723573103121588224" TargetMode="External"/><Relationship Id="rId15756" Type="http://schemas.openxmlformats.org/officeDocument/2006/relationships/hyperlink" Target="https://pbs.twimg.com/profile_images/672878354127839232/M7OYc-zx_normal.jpg" TargetMode="External"/><Relationship Id="rId16807" Type="http://schemas.openxmlformats.org/officeDocument/2006/relationships/hyperlink" Target="https://twitter.com/Rodrigo_Taylorr/status/723735848118833152" TargetMode="External"/><Relationship Id="rId21574" Type="http://schemas.openxmlformats.org/officeDocument/2006/relationships/hyperlink" Target="https://twitter.com/VWBeetleSales" TargetMode="External"/><Relationship Id="rId22972" Type="http://schemas.openxmlformats.org/officeDocument/2006/relationships/hyperlink" Target="https://twitter.com/skodaportal" TargetMode="External"/><Relationship Id="rId3366" Type="http://schemas.openxmlformats.org/officeDocument/2006/relationships/hyperlink" Target="https://twitter.com/Enigma424/status/723153941278646272" TargetMode="External"/><Relationship Id="rId4417" Type="http://schemas.openxmlformats.org/officeDocument/2006/relationships/hyperlink" Target="https://pbs.twimg.com/profile_images/604194481609560064/MJb6qcex_normal.jpg" TargetMode="External"/><Relationship Id="rId5815" Type="http://schemas.openxmlformats.org/officeDocument/2006/relationships/hyperlink" Target="https://twitter.com/_HADES1/status/723218676514717696" TargetMode="External"/><Relationship Id="rId15409" Type="http://schemas.openxmlformats.org/officeDocument/2006/relationships/hyperlink" Target="https://twitter.com/Marktzyniker" TargetMode="External"/><Relationship Id="rId18979" Type="http://schemas.openxmlformats.org/officeDocument/2006/relationships/hyperlink" Target="https://twitter.com/iksa1009" TargetMode="External"/><Relationship Id="rId20176" Type="http://schemas.openxmlformats.org/officeDocument/2006/relationships/hyperlink" Target="https://twitter.com/PokerAlho46" TargetMode="External"/><Relationship Id="rId21227" Type="http://schemas.openxmlformats.org/officeDocument/2006/relationships/hyperlink" Target="https://twitter.com/VWCamperSales/status/724128159491231744" TargetMode="External"/><Relationship Id="rId22625" Type="http://schemas.openxmlformats.org/officeDocument/2006/relationships/hyperlink" Target="https://pbs.twimg.com/profile_images/619590752906149888/gOJBR12k_normal.jpg" TargetMode="External"/><Relationship Id="rId287" Type="http://schemas.openxmlformats.org/officeDocument/2006/relationships/hyperlink" Target="https://twitter.com/Ffyncwraig/status/722944025473499136" TargetMode="External"/><Relationship Id="rId3019" Type="http://schemas.openxmlformats.org/officeDocument/2006/relationships/hyperlink" Target="https://twitter.com/OnlineCarReview/status/723132696394788865" TargetMode="External"/><Relationship Id="rId7987" Type="http://schemas.openxmlformats.org/officeDocument/2006/relationships/hyperlink" Target="https://twitter.com/gleamnx" TargetMode="External"/><Relationship Id="rId10968" Type="http://schemas.openxmlformats.org/officeDocument/2006/relationships/hyperlink" Target="https://twitter.com/Destiny_Man" TargetMode="External"/><Relationship Id="rId24797" Type="http://schemas.openxmlformats.org/officeDocument/2006/relationships/hyperlink" Target="https://twitter.com/Maha311Www/status/724388090857578496" TargetMode="External"/><Relationship Id="rId6589" Type="http://schemas.openxmlformats.org/officeDocument/2006/relationships/hyperlink" Target="http://dlvr.it/" TargetMode="External"/><Relationship Id="rId9062" Type="http://schemas.openxmlformats.org/officeDocument/2006/relationships/hyperlink" Target="https://twitter.com/halucinatio/status/723420650862313472" TargetMode="External"/><Relationship Id="rId12390" Type="http://schemas.openxmlformats.org/officeDocument/2006/relationships/hyperlink" Target="https://twitter.com/MarkCSchneider" TargetMode="External"/><Relationship Id="rId13441" Type="http://schemas.openxmlformats.org/officeDocument/2006/relationships/hyperlink" Target="https://twitter.com/oldcar_photo" TargetMode="External"/><Relationship Id="rId23399" Type="http://schemas.openxmlformats.org/officeDocument/2006/relationships/hyperlink" Target="https://pbs.twimg.com/profile_images/697539834840268800/fIANhnLA_normal.jpg" TargetMode="External"/><Relationship Id="rId3500" Type="http://schemas.openxmlformats.org/officeDocument/2006/relationships/hyperlink" Target="https://pbs.twimg.com/profile_images/717892743075340288/Xxt7RaLM_normal.jpg" TargetMode="External"/><Relationship Id="rId12043" Type="http://schemas.openxmlformats.org/officeDocument/2006/relationships/hyperlink" Target="https://pbs.twimg.com/profile_images/477439092402053121/H3fD2SIg_normal.jpeg" TargetMode="External"/><Relationship Id="rId16664" Type="http://schemas.openxmlformats.org/officeDocument/2006/relationships/hyperlink" Target="https://twitter.com/beetlebug1938" TargetMode="External"/><Relationship Id="rId17715" Type="http://schemas.openxmlformats.org/officeDocument/2006/relationships/hyperlink" Target="https://twitter.com/Turanlar_2023" TargetMode="External"/><Relationship Id="rId20310" Type="http://schemas.openxmlformats.org/officeDocument/2006/relationships/hyperlink" Target="https://twitter.com/RenzoRodriguez_/status/723989938509873153" TargetMode="External"/><Relationship Id="rId23880" Type="http://schemas.openxmlformats.org/officeDocument/2006/relationships/hyperlink" Target="https://twitter.com/VWCamperSales" TargetMode="External"/><Relationship Id="rId24931" Type="http://schemas.openxmlformats.org/officeDocument/2006/relationships/hyperlink" Target="https://twitter.com/VWCamperSales" TargetMode="External"/><Relationship Id="rId421" Type="http://schemas.openxmlformats.org/officeDocument/2006/relationships/hyperlink" Target="https://pbs.twimg.com/profile_images/478385604686643200/7VNZabuJ_normal.jpeg" TargetMode="External"/><Relationship Id="rId1051" Type="http://schemas.openxmlformats.org/officeDocument/2006/relationships/hyperlink" Target="https://twitter.com/VUruburu/status/723015658414456833" TargetMode="External"/><Relationship Id="rId2102" Type="http://schemas.openxmlformats.org/officeDocument/2006/relationships/hyperlink" Target="https://twitter.com/ELMEX/status/723082397927923715" TargetMode="External"/><Relationship Id="rId5672" Type="http://schemas.openxmlformats.org/officeDocument/2006/relationships/hyperlink" Target="https://twitter.com/VWBeetleSales" TargetMode="External"/><Relationship Id="rId6723" Type="http://schemas.openxmlformats.org/officeDocument/2006/relationships/hyperlink" Target="https://pbs.twimg.com/profile_images/502770078194991104/Ga_NU42-_normal.png" TargetMode="External"/><Relationship Id="rId15266" Type="http://schemas.openxmlformats.org/officeDocument/2006/relationships/hyperlink" Target="https://twitter.com/EnthusiastView/status/723601774720905216" TargetMode="External"/><Relationship Id="rId16317" Type="http://schemas.openxmlformats.org/officeDocument/2006/relationships/hyperlink" Target="https://pbs.twimg.com/profile_images/615493650785660928/XHUh6HOk_normal.jpg" TargetMode="External"/><Relationship Id="rId22482" Type="http://schemas.openxmlformats.org/officeDocument/2006/relationships/hyperlink" Target="https://twitter.com/itzokazbocrafts" TargetMode="External"/><Relationship Id="rId23533" Type="http://schemas.openxmlformats.org/officeDocument/2006/relationships/hyperlink" Target="https://pbs.twimg.com/profile_images/1610421423/Image2_normal.jpg" TargetMode="External"/><Relationship Id="rId4274" Type="http://schemas.openxmlformats.org/officeDocument/2006/relationships/hyperlink" Target="https://twitter.com/engelderliebe80" TargetMode="External"/><Relationship Id="rId5325" Type="http://schemas.openxmlformats.org/officeDocument/2006/relationships/hyperlink" Target="https://twitter.com/AlexWitzleben" TargetMode="External"/><Relationship Id="rId8895" Type="http://schemas.openxmlformats.org/officeDocument/2006/relationships/hyperlink" Target="https://twitter.com/channeldistrib/status/723410471454265345" TargetMode="External"/><Relationship Id="rId18489" Type="http://schemas.openxmlformats.org/officeDocument/2006/relationships/hyperlink" Target="https://twitter.com/SAMBeastDavid" TargetMode="External"/><Relationship Id="rId19887" Type="http://schemas.openxmlformats.org/officeDocument/2006/relationships/hyperlink" Target="https://pbs.twimg.com/profile_images/537308468362108928/xAH3zfbV_normal.jpeg" TargetMode="External"/><Relationship Id="rId21084" Type="http://schemas.openxmlformats.org/officeDocument/2006/relationships/hyperlink" Target="http://dlvr.it/" TargetMode="External"/><Relationship Id="rId22135" Type="http://schemas.openxmlformats.org/officeDocument/2006/relationships/hyperlink" Target="https://pbs.twimg.com/profile_images/622867817365438466/TOMKALRh_normal.jpg" TargetMode="External"/><Relationship Id="rId7497" Type="http://schemas.openxmlformats.org/officeDocument/2006/relationships/hyperlink" Target="https://twitter.com/0MMarshallTomBt" TargetMode="External"/><Relationship Id="rId8548" Type="http://schemas.openxmlformats.org/officeDocument/2006/relationships/hyperlink" Target="https://twitter.com/theswiss" TargetMode="External"/><Relationship Id="rId9946" Type="http://schemas.openxmlformats.org/officeDocument/2006/relationships/hyperlink" Target="https://twitter.com/LinDePaTo/status/723454765791870976" TargetMode="External"/><Relationship Id="rId11876" Type="http://schemas.openxmlformats.org/officeDocument/2006/relationships/hyperlink" Target="https://twitter.com/MikeThePhotog" TargetMode="External"/><Relationship Id="rId12927" Type="http://schemas.openxmlformats.org/officeDocument/2006/relationships/hyperlink" Target="https://twitter.com/acvwpassion" TargetMode="External"/><Relationship Id="rId25358" Type="http://schemas.openxmlformats.org/officeDocument/2006/relationships/hyperlink" Target="https://pbs.twimg.com/profile_images/672878354127839232/M7OYc-zx_normal.jpg" TargetMode="External"/><Relationship Id="rId1935" Type="http://schemas.openxmlformats.org/officeDocument/2006/relationships/hyperlink" Target="https://twitter.com/sami3dat/status/723069111060828161" TargetMode="External"/><Relationship Id="rId6099" Type="http://schemas.openxmlformats.org/officeDocument/2006/relationships/hyperlink" Target="https://twitter.com/bjohnson1092" TargetMode="External"/><Relationship Id="rId10478" Type="http://schemas.openxmlformats.org/officeDocument/2006/relationships/hyperlink" Target="https://twitter.com/siob_devine" TargetMode="External"/><Relationship Id="rId11529" Type="http://schemas.openxmlformats.org/officeDocument/2006/relationships/hyperlink" Target="https://pbs.twimg.com/profile_images/709405049550573568/FEBPnD1Q_normal.jpg" TargetMode="External"/><Relationship Id="rId15400" Type="http://schemas.openxmlformats.org/officeDocument/2006/relationships/hyperlink" Target="https://twitter.com/TimSchmuckall" TargetMode="External"/><Relationship Id="rId18970" Type="http://schemas.openxmlformats.org/officeDocument/2006/relationships/hyperlink" Target="https://twitter.com/AlmendraJuN/status/723910181541785601" TargetMode="External"/><Relationship Id="rId3010" Type="http://schemas.openxmlformats.org/officeDocument/2006/relationships/hyperlink" Target="https://twitter.com/dan290888/status/723132242495606785" TargetMode="External"/><Relationship Id="rId14002" Type="http://schemas.openxmlformats.org/officeDocument/2006/relationships/hyperlink" Target="https://pbs.twimg.com/profile_images/717427363286532096/HFZckPZQ_normal.jpg" TargetMode="External"/><Relationship Id="rId17572" Type="http://schemas.openxmlformats.org/officeDocument/2006/relationships/hyperlink" Target="https://twitter.com/VWCamperSales/status/723807333277523968" TargetMode="External"/><Relationship Id="rId18623" Type="http://schemas.openxmlformats.org/officeDocument/2006/relationships/hyperlink" Target="https://twitter.com/AtahanKLNC" TargetMode="External"/><Relationship Id="rId21968" Type="http://schemas.openxmlformats.org/officeDocument/2006/relationships/hyperlink" Target="https://pbs.twimg.com/profile_images/646614623056195584/2anhaorD_normal.jpg" TargetMode="External"/><Relationship Id="rId6580" Type="http://schemas.openxmlformats.org/officeDocument/2006/relationships/hyperlink" Target="https://pbs.twimg.com/profile_images/692306280300548098/eOc1XP0j_normal.jpg" TargetMode="External"/><Relationship Id="rId7631" Type="http://schemas.openxmlformats.org/officeDocument/2006/relationships/hyperlink" Target="https://twitter.com/motorgiga" TargetMode="External"/><Relationship Id="rId10612" Type="http://schemas.openxmlformats.org/officeDocument/2006/relationships/hyperlink" Target="https://twitter.com/MarcelSigner/status/723478372597260288" TargetMode="External"/><Relationship Id="rId16174" Type="http://schemas.openxmlformats.org/officeDocument/2006/relationships/hyperlink" Target="https://twitter.com/sfchronicle/status/723653117984677888" TargetMode="External"/><Relationship Id="rId17225" Type="http://schemas.openxmlformats.org/officeDocument/2006/relationships/hyperlink" Target="https://twitter.com/LucyRigby" TargetMode="External"/><Relationship Id="rId23390" Type="http://schemas.openxmlformats.org/officeDocument/2006/relationships/hyperlink" Target="https://pbs.twimg.com/profile_images/474214996038000641/KcxS-Yts_normal.png" TargetMode="External"/><Relationship Id="rId24441" Type="http://schemas.openxmlformats.org/officeDocument/2006/relationships/hyperlink" Target="https://twitter.com/Scirocco_Tuning" TargetMode="External"/><Relationship Id="rId5182" Type="http://schemas.openxmlformats.org/officeDocument/2006/relationships/hyperlink" Target="https://twitter.com/UniversityVWM/status/723196864980381696" TargetMode="External"/><Relationship Id="rId6233" Type="http://schemas.openxmlformats.org/officeDocument/2006/relationships/hyperlink" Target="https://pbs.twimg.com/profile_images/718275890933809156/npH4oxJP_normal.jpg" TargetMode="External"/><Relationship Id="rId19397" Type="http://schemas.openxmlformats.org/officeDocument/2006/relationships/hyperlink" Target="https://pbs.twimg.com/profile_images/705780107844067328/e7O4UBNb_normal.jpg" TargetMode="External"/><Relationship Id="rId23043" Type="http://schemas.openxmlformats.org/officeDocument/2006/relationships/hyperlink" Target="https://twitter.com/3pPodium" TargetMode="External"/><Relationship Id="rId1792" Type="http://schemas.openxmlformats.org/officeDocument/2006/relationships/hyperlink" Target="https://twitter.com/zeitonline" TargetMode="External"/><Relationship Id="rId2843" Type="http://schemas.openxmlformats.org/officeDocument/2006/relationships/hyperlink" Target="https://pbs.twimg.com/profile_images/3320583681/4cf05549dc8209dff98e4b9b09a11b44_normal.jpeg" TargetMode="External"/><Relationship Id="rId9456" Type="http://schemas.openxmlformats.org/officeDocument/2006/relationships/hyperlink" Target="https://pbs.twimg.com/profile_images/542750047444955136/ZZDxu4BV_normal.jpeg" TargetMode="External"/><Relationship Id="rId11386" Type="http://schemas.openxmlformats.org/officeDocument/2006/relationships/hyperlink" Target="https://twitter.com/w_skowronek" TargetMode="External"/><Relationship Id="rId12437" Type="http://schemas.openxmlformats.org/officeDocument/2006/relationships/hyperlink" Target="https://twitter.com/mokomokai/status/723519652924530688" TargetMode="External"/><Relationship Id="rId12784" Type="http://schemas.openxmlformats.org/officeDocument/2006/relationships/hyperlink" Target="https://twitter.com/NetzwerkggS21/status/723527613348732928" TargetMode="External"/><Relationship Id="rId13835" Type="http://schemas.openxmlformats.org/officeDocument/2006/relationships/hyperlink" Target="https://pbs.twimg.com/profile_images/570375988065935360/ooT_Nq7x_normal.jpeg" TargetMode="External"/><Relationship Id="rId815" Type="http://schemas.openxmlformats.org/officeDocument/2006/relationships/hyperlink" Target="https://pbs.twimg.com/profile_images/697661303406665728/G5qdQSja_normal.jpg" TargetMode="External"/><Relationship Id="rId1445" Type="http://schemas.openxmlformats.org/officeDocument/2006/relationships/hyperlink" Target="https://twitter.com/chitchatautos" TargetMode="External"/><Relationship Id="rId8058" Type="http://schemas.openxmlformats.org/officeDocument/2006/relationships/hyperlink" Target="https://twitter.com/Patentingenieur/status/723357777989496832" TargetMode="External"/><Relationship Id="rId9109" Type="http://schemas.openxmlformats.org/officeDocument/2006/relationships/hyperlink" Target="https://pbs.twimg.com/profile_images/650920345134731264/18YJd4Uk_normal.png" TargetMode="External"/><Relationship Id="rId11039" Type="http://schemas.openxmlformats.org/officeDocument/2006/relationships/hyperlink" Target="https://twitter.com/Symbol_FR/status/723495184386891776" TargetMode="External"/><Relationship Id="rId20704" Type="http://schemas.openxmlformats.org/officeDocument/2006/relationships/hyperlink" Target="https://pbs.twimg.com/profile_images/532608549944193024/dNzQ6r6E_normal.png" TargetMode="External"/><Relationship Id="rId18480" Type="http://schemas.openxmlformats.org/officeDocument/2006/relationships/hyperlink" Target="https://twitter.com/TDentist" TargetMode="External"/><Relationship Id="rId19531" Type="http://schemas.openxmlformats.org/officeDocument/2006/relationships/hyperlink" Target="https://pbs.twimg.com/profile_images/378800000854855954/0d555726054b01e3c9d6b5241432dc4a_normal.jpeg" TargetMode="External"/><Relationship Id="rId22876" Type="http://schemas.openxmlformats.org/officeDocument/2006/relationships/hyperlink" Target="https://pbs.twimg.com/profile_images/470231671434772480/xlDH2t7D_normal.png" TargetMode="External"/><Relationship Id="rId23927" Type="http://schemas.openxmlformats.org/officeDocument/2006/relationships/hyperlink" Target="https://twitter.com/beetlebug1938" TargetMode="External"/><Relationship Id="rId4668" Type="http://schemas.openxmlformats.org/officeDocument/2006/relationships/hyperlink" Target="https://twitter.com/talk910/status/723185008844775428" TargetMode="External"/><Relationship Id="rId5719" Type="http://schemas.openxmlformats.org/officeDocument/2006/relationships/hyperlink" Target="https://pbs.twimg.com/profile_images/530071272881803264/a_jcCmPZ_normal.png" TargetMode="External"/><Relationship Id="rId6090" Type="http://schemas.openxmlformats.org/officeDocument/2006/relationships/hyperlink" Target="https://twitter.com/VWCamperSales/status/723229752929067008" TargetMode="External"/><Relationship Id="rId7141" Type="http://schemas.openxmlformats.org/officeDocument/2006/relationships/hyperlink" Target="https://twitter.com/JoeBert32/status/723281089821839364" TargetMode="External"/><Relationship Id="rId11520" Type="http://schemas.openxmlformats.org/officeDocument/2006/relationships/hyperlink" Target="https://pbs.twimg.com/profile_images/694544968380211200/WqH7tnjz_normal.png" TargetMode="External"/><Relationship Id="rId17082" Type="http://schemas.openxmlformats.org/officeDocument/2006/relationships/hyperlink" Target="https://pbs.twimg.com/profile_images/723462210484342784/YTUDU9Ir_normal.jpg" TargetMode="External"/><Relationship Id="rId18133" Type="http://schemas.openxmlformats.org/officeDocument/2006/relationships/hyperlink" Target="https://twitter.com/manfredelsner/status/723846295333511168" TargetMode="External"/><Relationship Id="rId21478" Type="http://schemas.openxmlformats.org/officeDocument/2006/relationships/hyperlink" Target="https://pbs.twimg.com/profile_images/599357023407464449/BL9Bpo6T_normal.jpg" TargetMode="External"/><Relationship Id="rId22529" Type="http://schemas.openxmlformats.org/officeDocument/2006/relationships/hyperlink" Target="https://twitter.com/VWBeetleSales/status/724227678983741440" TargetMode="External"/><Relationship Id="rId10122" Type="http://schemas.openxmlformats.org/officeDocument/2006/relationships/hyperlink" Target="https://pbs.twimg.com/profile_images/649519091892531200/gFXmbSPM_normal.jpg" TargetMode="External"/><Relationship Id="rId13692" Type="http://schemas.openxmlformats.org/officeDocument/2006/relationships/hyperlink" Target="https://pbs.twimg.com/profile_images/1170124452/ich_tra-1_normal.jpg" TargetMode="External"/><Relationship Id="rId14743" Type="http://schemas.openxmlformats.org/officeDocument/2006/relationships/hyperlink" Target="https://twitter.com/dft" TargetMode="External"/><Relationship Id="rId25002" Type="http://schemas.openxmlformats.org/officeDocument/2006/relationships/hyperlink" Target="https://pbs.twimg.com/profile_images/634021831364747264/5vPrL2JH_normal.jpg" TargetMode="External"/><Relationship Id="rId3751" Type="http://schemas.openxmlformats.org/officeDocument/2006/relationships/hyperlink" Target="https://pbs.twimg.com/profile_images/712300319754084352/j0AUDBX6_normal.jpg" TargetMode="External"/><Relationship Id="rId4802" Type="http://schemas.openxmlformats.org/officeDocument/2006/relationships/hyperlink" Target="https://twitter.com/octagon_iv/status/723188112722145284" TargetMode="External"/><Relationship Id="rId12294" Type="http://schemas.openxmlformats.org/officeDocument/2006/relationships/hyperlink" Target="https://pbs.twimg.com/profile_images/696272203411755008/EoixNlfD_normal.jpg" TargetMode="External"/><Relationship Id="rId13345" Type="http://schemas.openxmlformats.org/officeDocument/2006/relationships/hyperlink" Target="https://pbs.twimg.com/profile_images/703826596663136256/QIIRK33q_normal.jpg" TargetMode="External"/><Relationship Id="rId20561" Type="http://schemas.openxmlformats.org/officeDocument/2006/relationships/hyperlink" Target="https://twitter.com/_No_Chill_" TargetMode="External"/><Relationship Id="rId21612" Type="http://schemas.openxmlformats.org/officeDocument/2006/relationships/hyperlink" Target="https://twitter.com/MorSvinka_83/status/724163676735938560" TargetMode="External"/><Relationship Id="rId672" Type="http://schemas.openxmlformats.org/officeDocument/2006/relationships/hyperlink" Target="https://twitter.com/Shellieqqi" TargetMode="External"/><Relationship Id="rId2353" Type="http://schemas.openxmlformats.org/officeDocument/2006/relationships/hyperlink" Target="https://twitter.com/Ch4r32/status/723096860940984320" TargetMode="External"/><Relationship Id="rId3404" Type="http://schemas.openxmlformats.org/officeDocument/2006/relationships/hyperlink" Target="https://twitter.com/Lucas_esquiivel" TargetMode="External"/><Relationship Id="rId6974" Type="http://schemas.openxmlformats.org/officeDocument/2006/relationships/hyperlink" Target="https://pbs.twimg.com/profile_images/698580518359719936/92ngGY1X_normal.jpg" TargetMode="External"/><Relationship Id="rId16568" Type="http://schemas.openxmlformats.org/officeDocument/2006/relationships/hyperlink" Target="https://twitter.com/OnlyFerrariPics/status/723695560763559936" TargetMode="External"/><Relationship Id="rId17966" Type="http://schemas.openxmlformats.org/officeDocument/2006/relationships/hyperlink" Target="https://pbs.twimg.com/profile_images/378800000528765970/3ab9f2a00010e9cac08d5ca1638926e9_normal.png" TargetMode="External"/><Relationship Id="rId20214" Type="http://schemas.openxmlformats.org/officeDocument/2006/relationships/hyperlink" Target="https://pbs.twimg.com/profile_images/1625824638/1dfsf2_normal.jpg" TargetMode="External"/><Relationship Id="rId23784" Type="http://schemas.openxmlformats.org/officeDocument/2006/relationships/hyperlink" Target="https://twitter.com/VeeDubMk1_/status/724311138318598144" TargetMode="External"/><Relationship Id="rId325" Type="http://schemas.openxmlformats.org/officeDocument/2006/relationships/hyperlink" Target="https://twitter.com/Baselimkara" TargetMode="External"/><Relationship Id="rId2006" Type="http://schemas.openxmlformats.org/officeDocument/2006/relationships/hyperlink" Target="https://pbs.twimg.com/profile_images/599357023407464449/BL9Bpo6T_normal.jpg" TargetMode="External"/><Relationship Id="rId5576" Type="http://schemas.openxmlformats.org/officeDocument/2006/relationships/hyperlink" Target="https://twitter.com/runner0305/status/723209612216819713" TargetMode="External"/><Relationship Id="rId6627" Type="http://schemas.openxmlformats.org/officeDocument/2006/relationships/hyperlink" Target="https://twitter.com/miojob_net/status/723248623283130368" TargetMode="External"/><Relationship Id="rId17619" Type="http://schemas.openxmlformats.org/officeDocument/2006/relationships/hyperlink" Target="https://pbs.twimg.com/profile_images/694639408222437377/OcrQi40G_normal.jpg" TargetMode="External"/><Relationship Id="rId19041" Type="http://schemas.openxmlformats.org/officeDocument/2006/relationships/hyperlink" Target="https://pbs.twimg.com/profile_images/722835603255992321/BBAQvavV_normal.jpg" TargetMode="External"/><Relationship Id="rId22386" Type="http://schemas.openxmlformats.org/officeDocument/2006/relationships/hyperlink" Target="https://pbs.twimg.com/profile_images/703294545195307008/qeCvrX86_normal.jpg" TargetMode="External"/><Relationship Id="rId23437" Type="http://schemas.openxmlformats.org/officeDocument/2006/relationships/hyperlink" Target="https://pbs.twimg.com/profile_images/612945932951388160/rufK4V2A_normal.jpg" TargetMode="External"/><Relationship Id="rId24835" Type="http://schemas.openxmlformats.org/officeDocument/2006/relationships/hyperlink" Target="https://twitter.com/patrlckjkeane" TargetMode="External"/><Relationship Id="rId4178" Type="http://schemas.openxmlformats.org/officeDocument/2006/relationships/hyperlink" Target="https://twitter.com/NetzwerkggS21" TargetMode="External"/><Relationship Id="rId5229" Type="http://schemas.openxmlformats.org/officeDocument/2006/relationships/hyperlink" Target="https://twitter.com/OnlineCarReview/status/723197998163841025" TargetMode="External"/><Relationship Id="rId9100" Type="http://schemas.openxmlformats.org/officeDocument/2006/relationships/hyperlink" Target="https://twitter.com/Autourtiti" TargetMode="External"/><Relationship Id="rId22039" Type="http://schemas.openxmlformats.org/officeDocument/2006/relationships/hyperlink" Target="https://twitter.com/ChloeHawthornPR" TargetMode="External"/><Relationship Id="rId8799" Type="http://schemas.openxmlformats.org/officeDocument/2006/relationships/hyperlink" Target="https://twitter.com/conkers3/status/723407483096563712" TargetMode="External"/><Relationship Id="rId11030" Type="http://schemas.openxmlformats.org/officeDocument/2006/relationships/hyperlink" Target="https://twitter.com/LenaHR2/status/723495081571958785" TargetMode="External"/><Relationship Id="rId15651" Type="http://schemas.openxmlformats.org/officeDocument/2006/relationships/hyperlink" Target="https://pbs.twimg.com/profile_images/668920799168888832/NUrKJBD-_normal.jpg" TargetMode="External"/><Relationship Id="rId16702" Type="http://schemas.openxmlformats.org/officeDocument/2006/relationships/hyperlink" Target="http://dlvr.it/" TargetMode="External"/><Relationship Id="rId1839" Type="http://schemas.openxmlformats.org/officeDocument/2006/relationships/hyperlink" Target="http://dlvr.it/" TargetMode="External"/><Relationship Id="rId5710" Type="http://schemas.openxmlformats.org/officeDocument/2006/relationships/hyperlink" Target="https://pbs.twimg.com/profile_images/422164778639839234/LVnS1q1c_normal.jpeg" TargetMode="External"/><Relationship Id="rId14253" Type="http://schemas.openxmlformats.org/officeDocument/2006/relationships/hyperlink" Target="https://pbs.twimg.com/profile_images/692136445646114821/4LGECgZK_normal.jpg" TargetMode="External"/><Relationship Id="rId15304" Type="http://schemas.openxmlformats.org/officeDocument/2006/relationships/hyperlink" Target="https://twitter.com/beetlebug1938" TargetMode="External"/><Relationship Id="rId18874" Type="http://schemas.openxmlformats.org/officeDocument/2006/relationships/hyperlink" Target="https://twitter.com/simonthurlow71" TargetMode="External"/><Relationship Id="rId19925" Type="http://schemas.openxmlformats.org/officeDocument/2006/relationships/hyperlink" Target="https://twitter.com/frank_wrc/status/723963747837071361" TargetMode="External"/><Relationship Id="rId22520" Type="http://schemas.openxmlformats.org/officeDocument/2006/relationships/hyperlink" Target="https://twitter.com/VWCamperSales" TargetMode="External"/><Relationship Id="rId182" Type="http://schemas.openxmlformats.org/officeDocument/2006/relationships/hyperlink" Target="http://dlvr.it/" TargetMode="External"/><Relationship Id="rId3261" Type="http://schemas.openxmlformats.org/officeDocument/2006/relationships/hyperlink" Target="https://twitter.com/GastonBrandt/status/723148135674068992" TargetMode="External"/><Relationship Id="rId4312" Type="http://schemas.openxmlformats.org/officeDocument/2006/relationships/hyperlink" Target="https://twitter.com/DeLausert" TargetMode="External"/><Relationship Id="rId7882" Type="http://schemas.openxmlformats.org/officeDocument/2006/relationships/hyperlink" Target="https://twitter.com/b2bmanufactures" TargetMode="External"/><Relationship Id="rId8933" Type="http://schemas.openxmlformats.org/officeDocument/2006/relationships/hyperlink" Target="https://twitter.com/oekomobil" TargetMode="External"/><Relationship Id="rId17476" Type="http://schemas.openxmlformats.org/officeDocument/2006/relationships/hyperlink" Target="https://twitter.com/Wilhelm_Pieck" TargetMode="External"/><Relationship Id="rId18527" Type="http://schemas.openxmlformats.org/officeDocument/2006/relationships/hyperlink" Target="https://twitter.com/VWBeetleSales" TargetMode="External"/><Relationship Id="rId20071" Type="http://schemas.openxmlformats.org/officeDocument/2006/relationships/hyperlink" Target="https://pbs.twimg.com/profile_images/610176346996764673/OwEtSe7d_normal.jpg" TargetMode="External"/><Relationship Id="rId21122" Type="http://schemas.openxmlformats.org/officeDocument/2006/relationships/hyperlink" Target="https://twitter.com/OnlineCarReview" TargetMode="External"/><Relationship Id="rId24692" Type="http://schemas.openxmlformats.org/officeDocument/2006/relationships/hyperlink" Target="https://twitter.com/BLNlearning/status/724384108093255681" TargetMode="External"/><Relationship Id="rId25743" Type="http://schemas.openxmlformats.org/officeDocument/2006/relationships/hyperlink" Target="https://twitter.com/nitindas284" TargetMode="External"/><Relationship Id="rId6484" Type="http://schemas.openxmlformats.org/officeDocument/2006/relationships/hyperlink" Target="https://twitter.com/lena_sw_/status/723244479130546176" TargetMode="External"/><Relationship Id="rId7535" Type="http://schemas.openxmlformats.org/officeDocument/2006/relationships/hyperlink" Target="https://pbs.twimg.com/profile_images/723245925829849088/y5Wdfve9_normal.jpg" TargetMode="External"/><Relationship Id="rId10516" Type="http://schemas.openxmlformats.org/officeDocument/2006/relationships/hyperlink" Target="https://twitter.com/AbbeyLeasing" TargetMode="External"/><Relationship Id="rId10863" Type="http://schemas.openxmlformats.org/officeDocument/2006/relationships/hyperlink" Target="https://twitter.com/saving_grace" TargetMode="External"/><Relationship Id="rId11914" Type="http://schemas.openxmlformats.org/officeDocument/2006/relationships/hyperlink" Target="https://pbs.twimg.com/profile_images/702423578608852994/zVbR9TA1_normal.jpg" TargetMode="External"/><Relationship Id="rId16078" Type="http://schemas.openxmlformats.org/officeDocument/2006/relationships/hyperlink" Target="https://pbs.twimg.com/profile_images/654697538449092608/WF5ocTlD_normal.png" TargetMode="External"/><Relationship Id="rId17129" Type="http://schemas.openxmlformats.org/officeDocument/2006/relationships/hyperlink" Target="https://twitter.com/VWBeetleSales" TargetMode="External"/><Relationship Id="rId23294" Type="http://schemas.openxmlformats.org/officeDocument/2006/relationships/hyperlink" Target="https://twitter.com/hydronavitas1/status/724278461733453824" TargetMode="External"/><Relationship Id="rId24345" Type="http://schemas.openxmlformats.org/officeDocument/2006/relationships/hyperlink" Target="https://twitter.com/klassikautos/status/724349023734370304" TargetMode="External"/><Relationship Id="rId5086" Type="http://schemas.openxmlformats.org/officeDocument/2006/relationships/hyperlink" Target="https://twitter.com/wvrlaw/status/723193993819873280" TargetMode="External"/><Relationship Id="rId6137" Type="http://schemas.openxmlformats.org/officeDocument/2006/relationships/hyperlink" Target="https://twitter.com/DUBFELLAS" TargetMode="External"/><Relationship Id="rId1696" Type="http://schemas.openxmlformats.org/officeDocument/2006/relationships/hyperlink" Target="https://pbs.twimg.com/profile_images/666163579700277248/vIv69HhR_normal.jpg" TargetMode="External"/><Relationship Id="rId12688" Type="http://schemas.openxmlformats.org/officeDocument/2006/relationships/hyperlink" Target="https://pbs.twimg.com/profile_images/722101790431260672/0vYDkuAk_normal.jpg" TargetMode="External"/><Relationship Id="rId13739" Type="http://schemas.openxmlformats.org/officeDocument/2006/relationships/hyperlink" Target="https://twitter.com/margotoge/status/723554377198391297" TargetMode="External"/><Relationship Id="rId17610" Type="http://schemas.openxmlformats.org/officeDocument/2006/relationships/hyperlink" Target="https://pbs.twimg.com/profile_images/2551906812/65tp83amf7my90jmtv4t_normal.jpeg" TargetMode="External"/><Relationship Id="rId20955" Type="http://schemas.openxmlformats.org/officeDocument/2006/relationships/hyperlink" Target="https://twitter.com/StangDaeng/status/724072555645009921" TargetMode="External"/><Relationship Id="rId1349" Type="http://schemas.openxmlformats.org/officeDocument/2006/relationships/hyperlink" Target="https://twitter.com/Mk1GolfOC" TargetMode="External"/><Relationship Id="rId2747" Type="http://schemas.openxmlformats.org/officeDocument/2006/relationships/hyperlink" Target="http://dlvr.it/" TargetMode="External"/><Relationship Id="rId5220" Type="http://schemas.openxmlformats.org/officeDocument/2006/relationships/hyperlink" Target="https://pbs.twimg.com/profile_images/2470945175/opq1cuuek0823iileemf_normal.jpeg" TargetMode="External"/><Relationship Id="rId15161" Type="http://schemas.openxmlformats.org/officeDocument/2006/relationships/hyperlink" Target="https://twitter.com/Lunatique11/status/723596264412049409" TargetMode="External"/><Relationship Id="rId16212" Type="http://schemas.openxmlformats.org/officeDocument/2006/relationships/hyperlink" Target="https://twitter.com/MorSvinka_83" TargetMode="External"/><Relationship Id="rId19782" Type="http://schemas.openxmlformats.org/officeDocument/2006/relationships/hyperlink" Target="https://pbs.twimg.com/profile_images/424893967197433858/iQ86NktX_normal.jpeg" TargetMode="External"/><Relationship Id="rId20608" Type="http://schemas.openxmlformats.org/officeDocument/2006/relationships/hyperlink" Target="https://twitter.com/Scirocco_Tuning" TargetMode="External"/><Relationship Id="rId719" Type="http://schemas.openxmlformats.org/officeDocument/2006/relationships/hyperlink" Target="https://twitter.com/MalibuMoms/status/722969358725574657" TargetMode="External"/><Relationship Id="rId8790" Type="http://schemas.openxmlformats.org/officeDocument/2006/relationships/hyperlink" Target="https://twitter.com/TechXB/status/723406951791521792" TargetMode="External"/><Relationship Id="rId9841" Type="http://schemas.openxmlformats.org/officeDocument/2006/relationships/hyperlink" Target="https://twitter.com/581eGliese/status/723451215087058944" TargetMode="External"/><Relationship Id="rId11771" Type="http://schemas.openxmlformats.org/officeDocument/2006/relationships/hyperlink" Target="https://twitter.com/ihoelt" TargetMode="External"/><Relationship Id="rId12822" Type="http://schemas.openxmlformats.org/officeDocument/2006/relationships/hyperlink" Target="https://pbs.twimg.com/profile_images/717029111118635010/PLPuZFM4_normal.jpg" TargetMode="External"/><Relationship Id="rId18384" Type="http://schemas.openxmlformats.org/officeDocument/2006/relationships/hyperlink" Target="https://twitter.com/vwpress_en/status/723866383541481472" TargetMode="External"/><Relationship Id="rId19435" Type="http://schemas.openxmlformats.org/officeDocument/2006/relationships/hyperlink" Target="http://ctrlq.org/maps/address/" TargetMode="External"/><Relationship Id="rId22030" Type="http://schemas.openxmlformats.org/officeDocument/2006/relationships/hyperlink" Target="https://twitter.com/SqueakySays/status/724196444148772864" TargetMode="External"/><Relationship Id="rId55" Type="http://schemas.openxmlformats.org/officeDocument/2006/relationships/hyperlink" Target="https://twitter.com/Watercolorhere" TargetMode="External"/><Relationship Id="rId1830" Type="http://schemas.openxmlformats.org/officeDocument/2006/relationships/hyperlink" Target="https://pbs.twimg.com/profile_images/673219952988413952/RwM7EX2v_normal.png" TargetMode="External"/><Relationship Id="rId7392" Type="http://schemas.openxmlformats.org/officeDocument/2006/relationships/hyperlink" Target="https://twitter.com/DellsServiceGB/status/723300342725791744" TargetMode="External"/><Relationship Id="rId8443" Type="http://schemas.openxmlformats.org/officeDocument/2006/relationships/hyperlink" Target="https://pbs.twimg.com/profile_images/657853466384191488/J6vAnfZr_normal.jpg" TargetMode="External"/><Relationship Id="rId10373" Type="http://schemas.openxmlformats.org/officeDocument/2006/relationships/hyperlink" Target="https://pbs.twimg.com/profile_images/603882127734677504/MC4dtQ3b_normal.jpg" TargetMode="External"/><Relationship Id="rId11424" Type="http://schemas.openxmlformats.org/officeDocument/2006/relationships/hyperlink" Target="https://pbs.twimg.com/profile_images/723116935605542912/YpMAUGCv_normal.jpg" TargetMode="External"/><Relationship Id="rId14994" Type="http://schemas.openxmlformats.org/officeDocument/2006/relationships/hyperlink" Target="https://pbs.twimg.com/profile_images/627949001179037696/skEBkS05_normal.jpg" TargetMode="External"/><Relationship Id="rId18037" Type="http://schemas.openxmlformats.org/officeDocument/2006/relationships/hyperlink" Target="https://pbs.twimg.com/profile_images/668437116981018625/BA3Ui4qQ_normal.jpg" TargetMode="External"/><Relationship Id="rId25253" Type="http://schemas.openxmlformats.org/officeDocument/2006/relationships/hyperlink" Target="https://twitter.com/Scirocco_Tuning/status/724428692273926144" TargetMode="External"/><Relationship Id="rId7045" Type="http://schemas.openxmlformats.org/officeDocument/2006/relationships/hyperlink" Target="https://twitter.com/VCT_Tweets" TargetMode="External"/><Relationship Id="rId10026" Type="http://schemas.openxmlformats.org/officeDocument/2006/relationships/hyperlink" Target="https://pbs.twimg.com/profile_images/689530457378181120/hebb5eT3_normal.jpg" TargetMode="External"/><Relationship Id="rId13596" Type="http://schemas.openxmlformats.org/officeDocument/2006/relationships/hyperlink" Target="https://twitter.com/techhippie" TargetMode="External"/><Relationship Id="rId14647" Type="http://schemas.openxmlformats.org/officeDocument/2006/relationships/hyperlink" Target="https://twitter.com/heike1502/status/723578623547023361" TargetMode="External"/><Relationship Id="rId21863" Type="http://schemas.openxmlformats.org/officeDocument/2006/relationships/hyperlink" Target="https://twitter.com/OldFox1789" TargetMode="External"/><Relationship Id="rId3655" Type="http://schemas.openxmlformats.org/officeDocument/2006/relationships/hyperlink" Target="https://twitter.com/marioamontero/status/723166973736177664" TargetMode="External"/><Relationship Id="rId4706" Type="http://schemas.openxmlformats.org/officeDocument/2006/relationships/hyperlink" Target="https://pbs.twimg.com/profile_images/552037189328982016/r65JRGTS_normal.jpeg" TargetMode="External"/><Relationship Id="rId12198" Type="http://schemas.openxmlformats.org/officeDocument/2006/relationships/hyperlink" Target="https://pbs.twimg.com/profile_images/439706141728051201/GQgdrA5p_normal.jpeg" TargetMode="External"/><Relationship Id="rId13249" Type="http://schemas.openxmlformats.org/officeDocument/2006/relationships/hyperlink" Target="https://twitter.com/LukasBouwman" TargetMode="External"/><Relationship Id="rId17120" Type="http://schemas.openxmlformats.org/officeDocument/2006/relationships/hyperlink" Target="https://twitter.com/Mobkay" TargetMode="External"/><Relationship Id="rId20465" Type="http://schemas.openxmlformats.org/officeDocument/2006/relationships/hyperlink" Target="https://twitter.com/Wheelz_me" TargetMode="External"/><Relationship Id="rId21516" Type="http://schemas.openxmlformats.org/officeDocument/2006/relationships/hyperlink" Target="https://pbs.twimg.com/profile_images/588735849979842560/-5qGoCul_normal.png" TargetMode="External"/><Relationship Id="rId22914" Type="http://schemas.openxmlformats.org/officeDocument/2006/relationships/hyperlink" Target="https://twitter.com/BillJacobsVW" TargetMode="External"/><Relationship Id="rId576" Type="http://schemas.openxmlformats.org/officeDocument/2006/relationships/hyperlink" Target="https://twitter.com/HethedudejohndK" TargetMode="External"/><Relationship Id="rId2257" Type="http://schemas.openxmlformats.org/officeDocument/2006/relationships/hyperlink" Target="https://twitter.com/techislet/status/723091418319872000" TargetMode="External"/><Relationship Id="rId3308" Type="http://schemas.openxmlformats.org/officeDocument/2006/relationships/hyperlink" Target="https://pbs.twimg.com/profile_images/717457130983395328/qfNQ5HYt_normal.jpg" TargetMode="External"/><Relationship Id="rId19292" Type="http://schemas.openxmlformats.org/officeDocument/2006/relationships/hyperlink" Target="https://twitter.com/iaurajaynesays/status/723926352865447936" TargetMode="External"/><Relationship Id="rId20118" Type="http://schemas.openxmlformats.org/officeDocument/2006/relationships/hyperlink" Target="https://twitter.com/Recta_Principal" TargetMode="External"/><Relationship Id="rId229" Type="http://schemas.openxmlformats.org/officeDocument/2006/relationships/hyperlink" Target="https://twitter.com/AleGomezFabio" TargetMode="External"/><Relationship Id="rId6878" Type="http://schemas.openxmlformats.org/officeDocument/2006/relationships/hyperlink" Target="https://pbs.twimg.com/profile_images/2605386867/o1xb8eeaztw32yg1affb_normal.jpeg" TargetMode="External"/><Relationship Id="rId7929" Type="http://schemas.openxmlformats.org/officeDocument/2006/relationships/hyperlink" Target="https://twitter.com/autometricaru/status/723342802269147136" TargetMode="External"/><Relationship Id="rId9351" Type="http://schemas.openxmlformats.org/officeDocument/2006/relationships/hyperlink" Target="https://twitter.com/Stahlhammer" TargetMode="External"/><Relationship Id="rId13730" Type="http://schemas.openxmlformats.org/officeDocument/2006/relationships/hyperlink" Target="https://twitter.com/LucasSampieri/status/723554254389186564" TargetMode="External"/><Relationship Id="rId23688" Type="http://schemas.openxmlformats.org/officeDocument/2006/relationships/hyperlink" Target="https://twitter.com/william_willia2/status/724306366140166144" TargetMode="External"/><Relationship Id="rId24739" Type="http://schemas.openxmlformats.org/officeDocument/2006/relationships/hyperlink" Target="https://twitter.com/VictinhoRG/status/724386372321050625" TargetMode="External"/><Relationship Id="rId9004" Type="http://schemas.openxmlformats.org/officeDocument/2006/relationships/hyperlink" Target="https://pbs.twimg.com/profile_images/705812199885967360/9ddZJ66P_normal.jpg" TargetMode="External"/><Relationship Id="rId11281" Type="http://schemas.openxmlformats.org/officeDocument/2006/relationships/hyperlink" Target="https://pbs.twimg.com/profile_images/657853466384191488/J6vAnfZr_normal.jpg" TargetMode="External"/><Relationship Id="rId12332" Type="http://schemas.openxmlformats.org/officeDocument/2006/relationships/hyperlink" Target="https://twitter.com/Insta_VWT" TargetMode="External"/><Relationship Id="rId16953" Type="http://schemas.openxmlformats.org/officeDocument/2006/relationships/hyperlink" Target="https://pbs.twimg.com/profile_images/2807465765/b721b16b6ee39dc443bb049fd6b0ae8d_normal.png" TargetMode="External"/><Relationship Id="rId710" Type="http://schemas.openxmlformats.org/officeDocument/2006/relationships/hyperlink" Target="https://twitter.com/marcus_philipp1/status/722969197626560512" TargetMode="External"/><Relationship Id="rId1340" Type="http://schemas.openxmlformats.org/officeDocument/2006/relationships/hyperlink" Target="https://twitter.com/IOLmotoring/status/723036644463378432" TargetMode="External"/><Relationship Id="rId5961" Type="http://schemas.openxmlformats.org/officeDocument/2006/relationships/hyperlink" Target="https://twitter.com/coolspringsvw/status/723225537745965057" TargetMode="External"/><Relationship Id="rId15555" Type="http://schemas.openxmlformats.org/officeDocument/2006/relationships/hyperlink" Target="https://pbs.twimg.com/profile_images/707405042035335170/jSlCSVhr_normal.jpg" TargetMode="External"/><Relationship Id="rId16606" Type="http://schemas.openxmlformats.org/officeDocument/2006/relationships/hyperlink" Target="https://twitter.com/iaacanob" TargetMode="External"/><Relationship Id="rId22771" Type="http://schemas.openxmlformats.org/officeDocument/2006/relationships/hyperlink" Target="https://pbs.twimg.com/profile_images/559005884701896705/MAhIDrux_normal.png" TargetMode="External"/><Relationship Id="rId23822" Type="http://schemas.openxmlformats.org/officeDocument/2006/relationships/hyperlink" Target="https://twitter.com/angelfire_2769" TargetMode="External"/><Relationship Id="rId4563" Type="http://schemas.openxmlformats.org/officeDocument/2006/relationships/hyperlink" Target="https://twitter.com/Tonelli22" TargetMode="External"/><Relationship Id="rId5614" Type="http://schemas.openxmlformats.org/officeDocument/2006/relationships/hyperlink" Target="https://twitter.com/J_A_Goodwin" TargetMode="External"/><Relationship Id="rId14157" Type="http://schemas.openxmlformats.org/officeDocument/2006/relationships/hyperlink" Target="https://twitter.com/MarleHavelin" TargetMode="External"/><Relationship Id="rId15208" Type="http://schemas.openxmlformats.org/officeDocument/2006/relationships/hyperlink" Target="https://twitter.com/DeenCarp/status/723598940365578245" TargetMode="External"/><Relationship Id="rId18778" Type="http://schemas.openxmlformats.org/officeDocument/2006/relationships/hyperlink" Target="https://pbs.twimg.com/profile_images/720670609282351104/5UrLey3s_normal.jpg" TargetMode="External"/><Relationship Id="rId21373" Type="http://schemas.openxmlformats.org/officeDocument/2006/relationships/hyperlink" Target="https://pbs.twimg.com/profile_images/586606972696420352/aiX1YjIe_normal.jpg" TargetMode="External"/><Relationship Id="rId22424" Type="http://schemas.openxmlformats.org/officeDocument/2006/relationships/hyperlink" Target="https://twitter.com/MarcosPalacio_" TargetMode="External"/><Relationship Id="rId3165" Type="http://schemas.openxmlformats.org/officeDocument/2006/relationships/hyperlink" Target="https://twitter.com/AnnaVizzari/status/723144353061965824" TargetMode="External"/><Relationship Id="rId4216" Type="http://schemas.openxmlformats.org/officeDocument/2006/relationships/hyperlink" Target="https://pbs.twimg.com/profile_images/531688614640365568/U84uXoIT_normal.png" TargetMode="External"/><Relationship Id="rId7786" Type="http://schemas.openxmlformats.org/officeDocument/2006/relationships/hyperlink" Target="https://twitter.com/GallicetLari/status/723331027339468800" TargetMode="External"/><Relationship Id="rId8837" Type="http://schemas.openxmlformats.org/officeDocument/2006/relationships/hyperlink" Target="https://twitter.com/weare_van" TargetMode="External"/><Relationship Id="rId19829" Type="http://schemas.openxmlformats.org/officeDocument/2006/relationships/hyperlink" Target="https://pbs.twimg.com/profile_images/1630887720/foto_rally_normal.jpg" TargetMode="External"/><Relationship Id="rId21026" Type="http://schemas.openxmlformats.org/officeDocument/2006/relationships/hyperlink" Target="https://twitter.com/SuranClub/status/724082192427692032" TargetMode="External"/><Relationship Id="rId24596" Type="http://schemas.openxmlformats.org/officeDocument/2006/relationships/hyperlink" Target="https://pbs.twimg.com/profile_images/545423988545949696/tn6NWMAh_normal.jpeg" TargetMode="External"/><Relationship Id="rId25647" Type="http://schemas.openxmlformats.org/officeDocument/2006/relationships/hyperlink" Target="https://twitter.com/TheRemixStudio" TargetMode="External"/><Relationship Id="rId6388" Type="http://schemas.openxmlformats.org/officeDocument/2006/relationships/hyperlink" Target="https://twitter.com/XJR100/status/723241593797386240" TargetMode="External"/><Relationship Id="rId7439" Type="http://schemas.openxmlformats.org/officeDocument/2006/relationships/hyperlink" Target="https://twitter.com/oldcar_photo" TargetMode="External"/><Relationship Id="rId10767" Type="http://schemas.openxmlformats.org/officeDocument/2006/relationships/hyperlink" Target="https://twitter.com/carlesplb/status/723484004960317441" TargetMode="External"/><Relationship Id="rId11818" Type="http://schemas.openxmlformats.org/officeDocument/2006/relationships/hyperlink" Target="https://twitter.com/MotoringMedia" TargetMode="External"/><Relationship Id="rId23198" Type="http://schemas.openxmlformats.org/officeDocument/2006/relationships/hyperlink" Target="https://pbs.twimg.com/profile_images/627949001179037696/skEBkS05_normal.jpg" TargetMode="External"/><Relationship Id="rId24249" Type="http://schemas.openxmlformats.org/officeDocument/2006/relationships/hyperlink" Target="https://twitter.com/VWCamperSales" TargetMode="External"/><Relationship Id="rId13240" Type="http://schemas.openxmlformats.org/officeDocument/2006/relationships/hyperlink" Target="https://twitter.com/zdmak/status/723540252045004800" TargetMode="External"/><Relationship Id="rId17861" Type="http://schemas.openxmlformats.org/officeDocument/2006/relationships/hyperlink" Target="https://twitter.com/Banane0711/status/723829046522601472" TargetMode="External"/><Relationship Id="rId18912" Type="http://schemas.openxmlformats.org/officeDocument/2006/relationships/hyperlink" Target="https://twitter.com/Blackzaza243" TargetMode="External"/><Relationship Id="rId220" Type="http://schemas.openxmlformats.org/officeDocument/2006/relationships/hyperlink" Target="https://twitter.com/VolkswagenLatAm" TargetMode="External"/><Relationship Id="rId2998" Type="http://schemas.openxmlformats.org/officeDocument/2006/relationships/hyperlink" Target="https://pbs.twimg.com/profile_images/699554732944203777/mRk8LwQj_normal.jpg" TargetMode="External"/><Relationship Id="rId7920" Type="http://schemas.openxmlformats.org/officeDocument/2006/relationships/hyperlink" Target="https://twitter.com/puffyka81/status/723342394133983232" TargetMode="External"/><Relationship Id="rId10901" Type="http://schemas.openxmlformats.org/officeDocument/2006/relationships/hyperlink" Target="https://pbs.twimg.com/profile_images/378800000673633859/9729e4c280465095c6f835c9f6b36378_normal.jpeg" TargetMode="External"/><Relationship Id="rId16463" Type="http://schemas.openxmlformats.org/officeDocument/2006/relationships/hyperlink" Target="https://twitter.com/FuscaWorld" TargetMode="External"/><Relationship Id="rId17514" Type="http://schemas.openxmlformats.org/officeDocument/2006/relationships/hyperlink" Target="https://pbs.twimg.com/profile_images/550717264371396609/Q9MjfbBV_normal.jpeg" TargetMode="External"/><Relationship Id="rId20859" Type="http://schemas.openxmlformats.org/officeDocument/2006/relationships/hyperlink" Target="https://pbs.twimg.com/profile_images/712842542241484800/fYAhmTUq_normal.jpg" TargetMode="External"/><Relationship Id="rId24730" Type="http://schemas.openxmlformats.org/officeDocument/2006/relationships/hyperlink" Target="https://pbs.twimg.com/profile_images/534272359490809856/A0oyx93f_normal.jpeg" TargetMode="External"/><Relationship Id="rId4073" Type="http://schemas.openxmlformats.org/officeDocument/2006/relationships/hyperlink" Target="https://twitter.com/SouthVW/status/723175793036120066" TargetMode="External"/><Relationship Id="rId5471" Type="http://schemas.openxmlformats.org/officeDocument/2006/relationships/hyperlink" Target="https://pbs.twimg.com/profile_images/459010554816778240/HRhsHDHQ_normal.jpeg" TargetMode="External"/><Relationship Id="rId6522" Type="http://schemas.openxmlformats.org/officeDocument/2006/relationships/hyperlink" Target="https://twitter.com/KNordlichtW" TargetMode="External"/><Relationship Id="rId15065" Type="http://schemas.openxmlformats.org/officeDocument/2006/relationships/hyperlink" Target="https://twitter.com/Logistique01" TargetMode="External"/><Relationship Id="rId16116" Type="http://schemas.openxmlformats.org/officeDocument/2006/relationships/hyperlink" Target="https://twitter.com/VolkswagenPost" TargetMode="External"/><Relationship Id="rId19686" Type="http://schemas.openxmlformats.org/officeDocument/2006/relationships/hyperlink" Target="https://pbs.twimg.com/profile_images/530071272881803264/a_jcCmPZ_normal.png" TargetMode="External"/><Relationship Id="rId22281" Type="http://schemas.openxmlformats.org/officeDocument/2006/relationships/hyperlink" Target="https://pbs.twimg.com/profile_images/721531130650841088/goNcbhzJ_normal.jpg" TargetMode="External"/><Relationship Id="rId23332" Type="http://schemas.openxmlformats.org/officeDocument/2006/relationships/hyperlink" Target="https://twitter.com/druidznonwo" TargetMode="External"/><Relationship Id="rId5124" Type="http://schemas.openxmlformats.org/officeDocument/2006/relationships/hyperlink" Target="https://twitter.com/cltribunesullo" TargetMode="External"/><Relationship Id="rId8694" Type="http://schemas.openxmlformats.org/officeDocument/2006/relationships/hyperlink" Target="https://twitter.com/VivaRedd" TargetMode="External"/><Relationship Id="rId9745" Type="http://schemas.openxmlformats.org/officeDocument/2006/relationships/hyperlink" Target="http://ksta.de/" TargetMode="External"/><Relationship Id="rId11675" Type="http://schemas.openxmlformats.org/officeDocument/2006/relationships/hyperlink" Target="https://twitter.com/OnVista_News/status/723505300691685376" TargetMode="External"/><Relationship Id="rId12726" Type="http://schemas.openxmlformats.org/officeDocument/2006/relationships/hyperlink" Target="https://twitter.com/AllanTschirret" TargetMode="External"/><Relationship Id="rId18288" Type="http://schemas.openxmlformats.org/officeDocument/2006/relationships/hyperlink" Target="https://pbs.twimg.com/profile_images/714778426171850752/4lk3oa_x_normal.jpg" TargetMode="External"/><Relationship Id="rId19339" Type="http://schemas.openxmlformats.org/officeDocument/2006/relationships/hyperlink" Target="https://twitter.com/VCT_Tweets" TargetMode="External"/><Relationship Id="rId1734" Type="http://schemas.openxmlformats.org/officeDocument/2006/relationships/hyperlink" Target="https://twitter.com/AFECTADOGRUPOVW" TargetMode="External"/><Relationship Id="rId7296" Type="http://schemas.openxmlformats.org/officeDocument/2006/relationships/hyperlink" Target="https://twitter.com/sergiooacuna/status/723293920952614913" TargetMode="External"/><Relationship Id="rId8347" Type="http://schemas.openxmlformats.org/officeDocument/2006/relationships/hyperlink" Target="https://twitter.com/beetlebug1938" TargetMode="External"/><Relationship Id="rId10277" Type="http://schemas.openxmlformats.org/officeDocument/2006/relationships/hyperlink" Target="https://twitter.com/JumpNRun84" TargetMode="External"/><Relationship Id="rId11328" Type="http://schemas.openxmlformats.org/officeDocument/2006/relationships/hyperlink" Target="https://pbs.twimg.com/profile_images/1488674331/schofer4_normal.jpg" TargetMode="External"/><Relationship Id="rId25157" Type="http://schemas.openxmlformats.org/officeDocument/2006/relationships/hyperlink" Target="https://twitter.com/Lil_Lorii/status/724424431615922176" TargetMode="External"/><Relationship Id="rId14898" Type="http://schemas.openxmlformats.org/officeDocument/2006/relationships/hyperlink" Target="https://twitter.com/RosaTrunk" TargetMode="External"/><Relationship Id="rId15949" Type="http://schemas.openxmlformats.org/officeDocument/2006/relationships/hyperlink" Target="https://twitter.com/LimandoElPisoPM" TargetMode="External"/><Relationship Id="rId19820" Type="http://schemas.openxmlformats.org/officeDocument/2006/relationships/hyperlink" Target="https://pbs.twimg.com/profile_images/473555745741344768/83uhhxQy_normal.jpeg" TargetMode="External"/><Relationship Id="rId3559" Type="http://schemas.openxmlformats.org/officeDocument/2006/relationships/hyperlink" Target="https://twitter.com/CedricGracia" TargetMode="External"/><Relationship Id="rId4957" Type="http://schemas.openxmlformats.org/officeDocument/2006/relationships/hyperlink" Target="https://pbs.twimg.com/profile_images/667004289710100480/PaPiOcsb_normal.jpg" TargetMode="External"/><Relationship Id="rId7430" Type="http://schemas.openxmlformats.org/officeDocument/2006/relationships/hyperlink" Target="https://twitter.com/WideAwakeMomma" TargetMode="External"/><Relationship Id="rId17024" Type="http://schemas.openxmlformats.org/officeDocument/2006/relationships/hyperlink" Target="https://twitter.com/Marie_Laveau_/status/723764682402750464" TargetMode="External"/><Relationship Id="rId17371" Type="http://schemas.openxmlformats.org/officeDocument/2006/relationships/hyperlink" Target="https://twitter.com/ReginaSeelos" TargetMode="External"/><Relationship Id="rId18422" Type="http://schemas.openxmlformats.org/officeDocument/2006/relationships/hyperlink" Target="https://twitter.com/LukasBouwman/status/723867843650002944" TargetMode="External"/><Relationship Id="rId20369" Type="http://schemas.openxmlformats.org/officeDocument/2006/relationships/hyperlink" Target="https://twitter.com/FMX_DBC/status/723994605126049793" TargetMode="External"/><Relationship Id="rId21767" Type="http://schemas.openxmlformats.org/officeDocument/2006/relationships/hyperlink" Target="https://twitter.com/beetlebug1938/status/724178361384316928" TargetMode="External"/><Relationship Id="rId22818" Type="http://schemas.openxmlformats.org/officeDocument/2006/relationships/hyperlink" Target="https://pbs.twimg.com/profile_images/457158059664482304/g2mkGjis_normal.jpeg" TargetMode="External"/><Relationship Id="rId24240" Type="http://schemas.openxmlformats.org/officeDocument/2006/relationships/hyperlink" Target="https://twitter.com/eobz" TargetMode="External"/><Relationship Id="rId6032" Type="http://schemas.openxmlformats.org/officeDocument/2006/relationships/hyperlink" Target="https://pbs.twimg.com/profile_images/3083361060/e797180e541e638cbdc98472c4ed5376_normal.jpeg" TargetMode="External"/><Relationship Id="rId10411" Type="http://schemas.openxmlformats.org/officeDocument/2006/relationships/hyperlink" Target="https://twitter.com/Alte_Quaste/status/723471989076295682" TargetMode="External"/><Relationship Id="rId13981" Type="http://schemas.openxmlformats.org/officeDocument/2006/relationships/hyperlink" Target="https://pbs.twimg.com/profile_images/2908590566/828967841f09b515ee36e3dfccea4d28_normal.png" TargetMode="External"/><Relationship Id="rId12583" Type="http://schemas.openxmlformats.org/officeDocument/2006/relationships/hyperlink" Target="https://twitter.com/nhenz/status/723522991032774656" TargetMode="External"/><Relationship Id="rId13634" Type="http://schemas.openxmlformats.org/officeDocument/2006/relationships/hyperlink" Target="https://twitter.com/RobPeel82/status/723552037456195588" TargetMode="External"/><Relationship Id="rId19196" Type="http://schemas.openxmlformats.org/officeDocument/2006/relationships/hyperlink" Target="https://twitter.com/OnlyCarrera/status/723922151741501440" TargetMode="External"/><Relationship Id="rId20850" Type="http://schemas.openxmlformats.org/officeDocument/2006/relationships/hyperlink" Target="https://pbs.twimg.com/profile_images/241235095/Checkendon_normal.jpg" TargetMode="External"/><Relationship Id="rId21901" Type="http://schemas.openxmlformats.org/officeDocument/2006/relationships/hyperlink" Target="https://twitter.com/TetsuoHojo" TargetMode="External"/><Relationship Id="rId961" Type="http://schemas.openxmlformats.org/officeDocument/2006/relationships/hyperlink" Target="https://pbs.twimg.com/profile_images/2725303585/19be329858c9709636ca75e5c321fc12_normal.jpeg" TargetMode="External"/><Relationship Id="rId1591" Type="http://schemas.openxmlformats.org/officeDocument/2006/relationships/hyperlink" Target="https://pbs.twimg.com/profile_images/1303110064/ken_crop_normal.jpg" TargetMode="External"/><Relationship Id="rId2642" Type="http://schemas.openxmlformats.org/officeDocument/2006/relationships/hyperlink" Target="https://pbs.twimg.com/profile_images/1064577918/Logo_340_tcm11-225485_normal.jpg" TargetMode="External"/><Relationship Id="rId9255" Type="http://schemas.openxmlformats.org/officeDocument/2006/relationships/hyperlink" Target="https://twitter.com/chdauriac" TargetMode="External"/><Relationship Id="rId11185" Type="http://schemas.openxmlformats.org/officeDocument/2006/relationships/hyperlink" Target="https://twitter.com/FuscaWorld/status/723499066546634752" TargetMode="External"/><Relationship Id="rId12236" Type="http://schemas.openxmlformats.org/officeDocument/2006/relationships/hyperlink" Target="https://twitter.com/Deacon__Blues" TargetMode="External"/><Relationship Id="rId16857" Type="http://schemas.openxmlformats.org/officeDocument/2006/relationships/hyperlink" Target="https://twitter.com/JunoDee" TargetMode="External"/><Relationship Id="rId20503" Type="http://schemas.openxmlformats.org/officeDocument/2006/relationships/hyperlink" Target="https://pbs.twimg.com/profile_images/576412362711773184/jZSbDGM2_normal.jpeg" TargetMode="External"/><Relationship Id="rId614" Type="http://schemas.openxmlformats.org/officeDocument/2006/relationships/hyperlink" Target="https://pbs.twimg.com/profile_images/540350900318269440/eTgbhGfp_normal.png" TargetMode="External"/><Relationship Id="rId1244" Type="http://schemas.openxmlformats.org/officeDocument/2006/relationships/hyperlink" Target="https://twitter.com/techhippie" TargetMode="External"/><Relationship Id="rId5865" Type="http://schemas.openxmlformats.org/officeDocument/2006/relationships/hyperlink" Target="https://twitter.com/Scirocco_Tuning" TargetMode="External"/><Relationship Id="rId6916" Type="http://schemas.openxmlformats.org/officeDocument/2006/relationships/hyperlink" Target="https://twitter.com/RolandN/status/723270082315603968" TargetMode="External"/><Relationship Id="rId15459" Type="http://schemas.openxmlformats.org/officeDocument/2006/relationships/hyperlink" Target="https://twitter.com/Insta_VWT" TargetMode="External"/><Relationship Id="rId17908" Type="http://schemas.openxmlformats.org/officeDocument/2006/relationships/hyperlink" Target="https://pbs.twimg.com/profile_images/883241100/_LQ_normal.png" TargetMode="External"/><Relationship Id="rId19330" Type="http://schemas.openxmlformats.org/officeDocument/2006/relationships/hyperlink" Target="https://twitter.com/rawcomme" TargetMode="External"/><Relationship Id="rId22675" Type="http://schemas.openxmlformats.org/officeDocument/2006/relationships/hyperlink" Target="https://twitter.com/beetlebug1938" TargetMode="External"/><Relationship Id="rId23726" Type="http://schemas.openxmlformats.org/officeDocument/2006/relationships/hyperlink" Target="https://twitter.com/Fernandez_Diego" TargetMode="External"/><Relationship Id="rId4467" Type="http://schemas.openxmlformats.org/officeDocument/2006/relationships/hyperlink" Target="https://twitter.com/AttorneyLending" TargetMode="External"/><Relationship Id="rId5518" Type="http://schemas.openxmlformats.org/officeDocument/2006/relationships/hyperlink" Target="https://twitter.com/braiiamvillada/status/723206411057008641" TargetMode="External"/><Relationship Id="rId21277" Type="http://schemas.openxmlformats.org/officeDocument/2006/relationships/hyperlink" Target="https://abs.twimg.com/sticky/default_profile_images/default_profile_2_normal.png" TargetMode="External"/><Relationship Id="rId22328" Type="http://schemas.openxmlformats.org/officeDocument/2006/relationships/hyperlink" Target="https://twitter.com/DominiqueVanpee/status/724215112748404736" TargetMode="External"/><Relationship Id="rId3069" Type="http://schemas.openxmlformats.org/officeDocument/2006/relationships/hyperlink" Target="https://pbs.twimg.com/profile_images/378800000109961888/1fe63c1eeb42ea998aeb8b47c703db0c_normal.jpeg" TargetMode="External"/><Relationship Id="rId15940" Type="http://schemas.openxmlformats.org/officeDocument/2006/relationships/hyperlink" Target="https://twitter.com/hdBerretz" TargetMode="External"/><Relationship Id="rId13491" Type="http://schemas.openxmlformats.org/officeDocument/2006/relationships/hyperlink" Target="https://twitter.com/MorSvinka_83/status/723548791719108608" TargetMode="External"/><Relationship Id="rId14542" Type="http://schemas.openxmlformats.org/officeDocument/2006/relationships/hyperlink" Target="https://twitter.com/sempretranquila" TargetMode="External"/><Relationship Id="rId471" Type="http://schemas.openxmlformats.org/officeDocument/2006/relationships/hyperlink" Target="https://twitter.com/ianjbarlow/status/722960533696045056" TargetMode="External"/><Relationship Id="rId2152" Type="http://schemas.openxmlformats.org/officeDocument/2006/relationships/hyperlink" Target="https://twitter.com/wehrs18" TargetMode="External"/><Relationship Id="rId3550" Type="http://schemas.openxmlformats.org/officeDocument/2006/relationships/hyperlink" Target="https://twitter.com/luiis_mendoozaa" TargetMode="External"/><Relationship Id="rId4601" Type="http://schemas.openxmlformats.org/officeDocument/2006/relationships/hyperlink" Target="https://twitter.com/dwnews" TargetMode="External"/><Relationship Id="rId12093" Type="http://schemas.openxmlformats.org/officeDocument/2006/relationships/hyperlink" Target="https://pbs.twimg.com/profile_images/718820712757215233/LXXndPTS_normal.jpg" TargetMode="External"/><Relationship Id="rId13144" Type="http://schemas.openxmlformats.org/officeDocument/2006/relationships/hyperlink" Target="https://twitter.com/generatoren_irr/status/723536064560922629" TargetMode="External"/><Relationship Id="rId17765" Type="http://schemas.openxmlformats.org/officeDocument/2006/relationships/hyperlink" Target="https://twitter.com/VWCamperSales/status/723821357520158720" TargetMode="External"/><Relationship Id="rId18816" Type="http://schemas.openxmlformats.org/officeDocument/2006/relationships/hyperlink" Target="https://twitter.com/meerkatus71" TargetMode="External"/><Relationship Id="rId20360" Type="http://schemas.openxmlformats.org/officeDocument/2006/relationships/hyperlink" Target="http://dlvr.it/" TargetMode="External"/><Relationship Id="rId21411" Type="http://schemas.openxmlformats.org/officeDocument/2006/relationships/hyperlink" Target="https://twitter.com/florianlueft/status/724147696437747712" TargetMode="External"/><Relationship Id="rId24981" Type="http://schemas.openxmlformats.org/officeDocument/2006/relationships/hyperlink" Target="https://pbs.twimg.com/profile_images/667876096088653825/FOW14Ke4_normal.jpg" TargetMode="External"/><Relationship Id="rId124" Type="http://schemas.openxmlformats.org/officeDocument/2006/relationships/hyperlink" Target="https://twitter.com/dan_infinity/status/722929251104788480" TargetMode="External"/><Relationship Id="rId3203" Type="http://schemas.openxmlformats.org/officeDocument/2006/relationships/hyperlink" Target="https://twitter.com/instock_de/status/723145182472871936" TargetMode="External"/><Relationship Id="rId6773" Type="http://schemas.openxmlformats.org/officeDocument/2006/relationships/hyperlink" Target="https://twitter.com/TriCountyTours/status/723260174853636096" TargetMode="External"/><Relationship Id="rId7824" Type="http://schemas.openxmlformats.org/officeDocument/2006/relationships/hyperlink" Target="https://pbs.twimg.com/profile_images/681519409056366593/XQhzKzFU_normal.jpg" TargetMode="External"/><Relationship Id="rId10805" Type="http://schemas.openxmlformats.org/officeDocument/2006/relationships/hyperlink" Target="https://twitter.com/MKIVR" TargetMode="External"/><Relationship Id="rId16367" Type="http://schemas.openxmlformats.org/officeDocument/2006/relationships/hyperlink" Target="https://twitter.com/kustomfest/status/723675303520927744" TargetMode="External"/><Relationship Id="rId17418" Type="http://schemas.openxmlformats.org/officeDocument/2006/relationships/hyperlink" Target="https://pbs.twimg.com/profile_images/1610421423/Image2_normal.jpg" TargetMode="External"/><Relationship Id="rId20013" Type="http://schemas.openxmlformats.org/officeDocument/2006/relationships/hyperlink" Target="https://twitter.com/LifeAtWarpSpeed" TargetMode="External"/><Relationship Id="rId23583" Type="http://schemas.openxmlformats.org/officeDocument/2006/relationships/hyperlink" Target="https://twitter.com/Mphilpot1" TargetMode="External"/><Relationship Id="rId24634" Type="http://schemas.openxmlformats.org/officeDocument/2006/relationships/hyperlink" Target="https://twitter.com/DubLuvTuning" TargetMode="External"/><Relationship Id="rId5375" Type="http://schemas.openxmlformats.org/officeDocument/2006/relationships/hyperlink" Target="https://twitter.com/beetlebug1938/status/723200764030623744" TargetMode="External"/><Relationship Id="rId6426" Type="http://schemas.openxmlformats.org/officeDocument/2006/relationships/hyperlink" Target="https://pbs.twimg.com/profile_images/424893967197433858/iQ86NktX_normal.jpeg" TargetMode="External"/><Relationship Id="rId9996" Type="http://schemas.openxmlformats.org/officeDocument/2006/relationships/hyperlink" Target="https://pbs.twimg.com/profile_images/657853466384191488/J6vAnfZr_normal.jpg" TargetMode="External"/><Relationship Id="rId22185" Type="http://schemas.openxmlformats.org/officeDocument/2006/relationships/hyperlink" Target="https://twitter.com/beetlebug1938/status/724208581722157057" TargetMode="External"/><Relationship Id="rId23236" Type="http://schemas.openxmlformats.org/officeDocument/2006/relationships/hyperlink" Target="https://pbs.twimg.com/profile_images/648518284703195136/ss9Prwk-_normal.jpg" TargetMode="External"/><Relationship Id="rId1985" Type="http://schemas.openxmlformats.org/officeDocument/2006/relationships/hyperlink" Target="https://pbs.twimg.com/profile_images/439706141728051201/GQgdrA5p_normal.jpeg" TargetMode="External"/><Relationship Id="rId5028" Type="http://schemas.openxmlformats.org/officeDocument/2006/relationships/hyperlink" Target="https://twitter.com/VWCamperSales/status/723192718776651777" TargetMode="External"/><Relationship Id="rId8598" Type="http://schemas.openxmlformats.org/officeDocument/2006/relationships/hyperlink" Target="https://twitter.com/DubLuvTuning/status/723396843988611074" TargetMode="External"/><Relationship Id="rId9649" Type="http://schemas.openxmlformats.org/officeDocument/2006/relationships/hyperlink" Target="https://twitter.com/VWBeetleSales/status/723444513788719105" TargetMode="External"/><Relationship Id="rId11579" Type="http://schemas.openxmlformats.org/officeDocument/2006/relationships/hyperlink" Target="https://twitter.com/JonathanEley/status/723503884942118912" TargetMode="External"/><Relationship Id="rId12977" Type="http://schemas.openxmlformats.org/officeDocument/2006/relationships/hyperlink" Target="https://pbs.twimg.com/profile_images/626523209362505732/2WvtemRs_normal.jpg" TargetMode="External"/><Relationship Id="rId1638" Type="http://schemas.openxmlformats.org/officeDocument/2006/relationships/hyperlink" Target="https://twitter.com/ratemycamper/status/723050382113529856" TargetMode="External"/><Relationship Id="rId14052" Type="http://schemas.openxmlformats.org/officeDocument/2006/relationships/hyperlink" Target="https://twitter.com/jamesumpherson" TargetMode="External"/><Relationship Id="rId15103" Type="http://schemas.openxmlformats.org/officeDocument/2006/relationships/hyperlink" Target="https://twitter.com/Gosthtot/status/723593750052777984" TargetMode="External"/><Relationship Id="rId15450" Type="http://schemas.openxmlformats.org/officeDocument/2006/relationships/hyperlink" Target="https://pbs.twimg.com/profile_images/678664972382130176/rmyLdGBk_normal.jpg" TargetMode="External"/><Relationship Id="rId16501" Type="http://schemas.openxmlformats.org/officeDocument/2006/relationships/hyperlink" Target="https://twitter.com/HermelindaRiosA/status/723689967659159554" TargetMode="External"/><Relationship Id="rId3060" Type="http://schemas.openxmlformats.org/officeDocument/2006/relationships/hyperlink" Target="https://pbs.twimg.com/profile_images/416294340630036480/TM6cLoZ3_normal.jpeg" TargetMode="External"/><Relationship Id="rId4111" Type="http://schemas.openxmlformats.org/officeDocument/2006/relationships/hyperlink" Target="https://twitter.com/pphunky" TargetMode="External"/><Relationship Id="rId18673" Type="http://schemas.openxmlformats.org/officeDocument/2006/relationships/hyperlink" Target="https://twitter.com/ggracing11" TargetMode="External"/><Relationship Id="rId19724" Type="http://schemas.openxmlformats.org/officeDocument/2006/relationships/hyperlink" Target="https://twitter.com/santi_lopezz30" TargetMode="External"/><Relationship Id="rId6283" Type="http://schemas.openxmlformats.org/officeDocument/2006/relationships/hyperlink" Target="https://pbs.twimg.com/profile_images/578040776237588480/ExmIRu0n_normal.jpeg" TargetMode="External"/><Relationship Id="rId7681" Type="http://schemas.openxmlformats.org/officeDocument/2006/relationships/hyperlink" Target="https://twitter.com/RadialTVcom" TargetMode="External"/><Relationship Id="rId8732" Type="http://schemas.openxmlformats.org/officeDocument/2006/relationships/hyperlink" Target="https://twitter.com/VWCamperSales/status/723403986762485760" TargetMode="External"/><Relationship Id="rId10662" Type="http://schemas.openxmlformats.org/officeDocument/2006/relationships/hyperlink" Target="https://twitter.com/Carolaayn212/status/723480114915368960" TargetMode="External"/><Relationship Id="rId11713" Type="http://schemas.openxmlformats.org/officeDocument/2006/relationships/hyperlink" Target="https://twitter.com/DoMarMac" TargetMode="External"/><Relationship Id="rId17275" Type="http://schemas.openxmlformats.org/officeDocument/2006/relationships/hyperlink" Target="https://twitter.com/Sufiy" TargetMode="External"/><Relationship Id="rId18326" Type="http://schemas.openxmlformats.org/officeDocument/2006/relationships/hyperlink" Target="https://twitter.com/Hykaaal_/status/723861170612891648" TargetMode="External"/><Relationship Id="rId24491" Type="http://schemas.openxmlformats.org/officeDocument/2006/relationships/hyperlink" Target="https://twitter.com/VWCamperSales" TargetMode="External"/><Relationship Id="rId25542" Type="http://schemas.openxmlformats.org/officeDocument/2006/relationships/hyperlink" Target="https://twitter.com/PhotosAndArt/status/724446710546706432" TargetMode="External"/><Relationship Id="rId7334" Type="http://schemas.openxmlformats.org/officeDocument/2006/relationships/hyperlink" Target="https://pbs.twimg.com/profile_images/718368406102241280/po6NXN6N_normal.jpg" TargetMode="External"/><Relationship Id="rId10315" Type="http://schemas.openxmlformats.org/officeDocument/2006/relationships/hyperlink" Target="https://pbs.twimg.com/profile_images/683583669202731008/gni4rKo-_normal.jpg" TargetMode="External"/><Relationship Id="rId13885" Type="http://schemas.openxmlformats.org/officeDocument/2006/relationships/hyperlink" Target="https://twitter.com/wg12307/status/723558006420570112" TargetMode="External"/><Relationship Id="rId14936" Type="http://schemas.openxmlformats.org/officeDocument/2006/relationships/hyperlink" Target="https://twitter.com/julioDeLange" TargetMode="External"/><Relationship Id="rId23093" Type="http://schemas.openxmlformats.org/officeDocument/2006/relationships/hyperlink" Target="https://pbs.twimg.com/profile_images/412780199835889664/rOfKo2jD_normal.jpeg" TargetMode="External"/><Relationship Id="rId24144" Type="http://schemas.openxmlformats.org/officeDocument/2006/relationships/hyperlink" Target="https://pbs.twimg.com/profile_images/652871584131092480/QA_B6SBO_normal.jpg" TargetMode="External"/><Relationship Id="rId2893" Type="http://schemas.openxmlformats.org/officeDocument/2006/relationships/hyperlink" Target="https://twitter.com/OerlikonGroup/status/723123505655468032" TargetMode="External"/><Relationship Id="rId3944" Type="http://schemas.openxmlformats.org/officeDocument/2006/relationships/hyperlink" Target="https://pbs.twimg.com/profile_images/836239160/icon_normal.jpg" TargetMode="External"/><Relationship Id="rId12487" Type="http://schemas.openxmlformats.org/officeDocument/2006/relationships/hyperlink" Target="https://twitter.com/Stony_BS" TargetMode="External"/><Relationship Id="rId13538" Type="http://schemas.openxmlformats.org/officeDocument/2006/relationships/hyperlink" Target="https://pbs.twimg.com/profile_images/540350730625114113/cqwCmom8_normal.jpeg" TargetMode="External"/><Relationship Id="rId20754" Type="http://schemas.openxmlformats.org/officeDocument/2006/relationships/hyperlink" Target="https://twitter.com/sgpragency/status/724038908388888576" TargetMode="External"/><Relationship Id="rId21805" Type="http://schemas.openxmlformats.org/officeDocument/2006/relationships/hyperlink" Target="https://twitter.com/VWCamperSales" TargetMode="External"/><Relationship Id="rId865" Type="http://schemas.openxmlformats.org/officeDocument/2006/relationships/hyperlink" Target="https://twitter.com/bdebaca" TargetMode="External"/><Relationship Id="rId1495" Type="http://schemas.openxmlformats.org/officeDocument/2006/relationships/hyperlink" Target="https://twitter.com/the_commentary/status/723043898751229952" TargetMode="External"/><Relationship Id="rId2546" Type="http://schemas.openxmlformats.org/officeDocument/2006/relationships/hyperlink" Target="https://twitter.com/renesari" TargetMode="External"/><Relationship Id="rId9159" Type="http://schemas.openxmlformats.org/officeDocument/2006/relationships/hyperlink" Target="https://twitter.com/PRossberg" TargetMode="External"/><Relationship Id="rId11089" Type="http://schemas.openxmlformats.org/officeDocument/2006/relationships/hyperlink" Target="https://twitter.com/de_deutschland" TargetMode="External"/><Relationship Id="rId16011" Type="http://schemas.openxmlformats.org/officeDocument/2006/relationships/hyperlink" Target="https://twitter.com/crislomb/status/723642625702658049" TargetMode="External"/><Relationship Id="rId20407" Type="http://schemas.openxmlformats.org/officeDocument/2006/relationships/hyperlink" Target="https://twitter.com/LDCcreations" TargetMode="External"/><Relationship Id="rId518" Type="http://schemas.openxmlformats.org/officeDocument/2006/relationships/hyperlink" Target="https://pbs.twimg.com/profile_images/541542486343421953/neIUzi4a_normal.jpeg" TargetMode="External"/><Relationship Id="rId1148" Type="http://schemas.openxmlformats.org/officeDocument/2006/relationships/hyperlink" Target="https://pbs.twimg.com/profile_images/650921239872147456/LYT4N0Me_normal.jpg" TargetMode="External"/><Relationship Id="rId5769" Type="http://schemas.openxmlformats.org/officeDocument/2006/relationships/hyperlink" Target="https://twitter.com/brosefstalin53/status/723216718798172160" TargetMode="External"/><Relationship Id="rId9640" Type="http://schemas.openxmlformats.org/officeDocument/2006/relationships/hyperlink" Target="https://twitter.com/LarissaWalter5/status/723443760713977856" TargetMode="External"/><Relationship Id="rId18183" Type="http://schemas.openxmlformats.org/officeDocument/2006/relationships/hyperlink" Target="https://pbs.twimg.com/profile_images/681874926140284932/pL8_tZ_F_normal.jpg" TargetMode="External"/><Relationship Id="rId19234" Type="http://schemas.openxmlformats.org/officeDocument/2006/relationships/hyperlink" Target="https://twitter.com/AbruMuiler/status/723923300494266368" TargetMode="External"/><Relationship Id="rId19581" Type="http://schemas.openxmlformats.org/officeDocument/2006/relationships/hyperlink" Target="https://twitter.com/DubLuvTuning/status/723941126743416832" TargetMode="External"/><Relationship Id="rId22579" Type="http://schemas.openxmlformats.org/officeDocument/2006/relationships/hyperlink" Target="https://pbs.twimg.com/profile_images/703294545195307008/qeCvrX86_normal.jpg" TargetMode="External"/><Relationship Id="rId23977" Type="http://schemas.openxmlformats.org/officeDocument/2006/relationships/hyperlink" Target="https://twitter.com/VWBeetleSales/status/724324807966224385" TargetMode="External"/><Relationship Id="rId7191" Type="http://schemas.openxmlformats.org/officeDocument/2006/relationships/hyperlink" Target="https://pbs.twimg.com/profile_images/701333097984360448/l4jaOWgF_normal.jpg" TargetMode="External"/><Relationship Id="rId8242" Type="http://schemas.openxmlformats.org/officeDocument/2006/relationships/hyperlink" Target="https://twitter.com/PRESSEKONTOR/status/723378695050645507" TargetMode="External"/><Relationship Id="rId11570" Type="http://schemas.openxmlformats.org/officeDocument/2006/relationships/hyperlink" Target="https://twitter.com/Paco_Coyotl/status/723503767803420672" TargetMode="External"/><Relationship Id="rId12621" Type="http://schemas.openxmlformats.org/officeDocument/2006/relationships/hyperlink" Target="https://twitter.com/mondedelauto/status/723523994704568320" TargetMode="External"/><Relationship Id="rId25052" Type="http://schemas.openxmlformats.org/officeDocument/2006/relationships/hyperlink" Target="https://twitter.com/OnlineCarReview/status/724413499892359169" TargetMode="External"/><Relationship Id="rId10172" Type="http://schemas.openxmlformats.org/officeDocument/2006/relationships/hyperlink" Target="https://twitter.com/moellus/status/723465158182326272" TargetMode="External"/><Relationship Id="rId11223" Type="http://schemas.openxmlformats.org/officeDocument/2006/relationships/hyperlink" Target="https://pbs.twimg.com/profile_images/562563461171798017/AkHF4keI_normal.png" TargetMode="External"/><Relationship Id="rId14793" Type="http://schemas.openxmlformats.org/officeDocument/2006/relationships/hyperlink" Target="https://pbs.twimg.com/profile_images/690068229562241028/dtAFj2bm_normal.jpg" TargetMode="External"/><Relationship Id="rId15844" Type="http://schemas.openxmlformats.org/officeDocument/2006/relationships/hyperlink" Target="https://pbs.twimg.com/profile_images/718820712757215233/LXXndPTS_normal.jpg" TargetMode="External"/><Relationship Id="rId4852" Type="http://schemas.openxmlformats.org/officeDocument/2006/relationships/hyperlink" Target="https://twitter.com/msav999" TargetMode="External"/><Relationship Id="rId5903" Type="http://schemas.openxmlformats.org/officeDocument/2006/relationships/hyperlink" Target="https://pbs.twimg.com/profile_images/597405282382274562/sqgwsUqP_normal.jpg" TargetMode="External"/><Relationship Id="rId13395" Type="http://schemas.openxmlformats.org/officeDocument/2006/relationships/hyperlink" Target="https://twitter.com/DubLuvTuning/status/723545651309613056" TargetMode="External"/><Relationship Id="rId14446" Type="http://schemas.openxmlformats.org/officeDocument/2006/relationships/hyperlink" Target="https://twitter.com/Mainbube/status/723573937960042499" TargetMode="External"/><Relationship Id="rId21662" Type="http://schemas.openxmlformats.org/officeDocument/2006/relationships/hyperlink" Target="https://twitter.com/VolkswagenPost/status/724166967129702400" TargetMode="External"/><Relationship Id="rId22713" Type="http://schemas.openxmlformats.org/officeDocument/2006/relationships/hyperlink" Target="https://twitter.com/used4x4parts" TargetMode="External"/><Relationship Id="rId3454" Type="http://schemas.openxmlformats.org/officeDocument/2006/relationships/hyperlink" Target="https://twitter.com/EasyGasGroup/status/723159280480751617" TargetMode="External"/><Relationship Id="rId4505" Type="http://schemas.openxmlformats.org/officeDocument/2006/relationships/hyperlink" Target="https://pbs.twimg.com/profile_images/588735849979842560/-5qGoCul_normal.png" TargetMode="External"/><Relationship Id="rId13048" Type="http://schemas.openxmlformats.org/officeDocument/2006/relationships/hyperlink" Target="https://twitter.com/WesHellyar" TargetMode="External"/><Relationship Id="rId17669" Type="http://schemas.openxmlformats.org/officeDocument/2006/relationships/hyperlink" Target="https://pbs.twimg.com/profile_images/667782416749240324/YPeXdS-L_normal.jpg" TargetMode="External"/><Relationship Id="rId20264" Type="http://schemas.openxmlformats.org/officeDocument/2006/relationships/hyperlink" Target="https://twitter.com/Joon537/status/723986736045539328" TargetMode="External"/><Relationship Id="rId21315" Type="http://schemas.openxmlformats.org/officeDocument/2006/relationships/hyperlink" Target="https://twitter.com/100oferta/status/724140114922885120" TargetMode="External"/><Relationship Id="rId24885" Type="http://schemas.openxmlformats.org/officeDocument/2006/relationships/hyperlink" Target="https://twitter.com/ManuelA30652972" TargetMode="External"/><Relationship Id="rId375" Type="http://schemas.openxmlformats.org/officeDocument/2006/relationships/hyperlink" Target="https://twitter.com/FuscaWorld/status/722951534112284672" TargetMode="External"/><Relationship Id="rId2056" Type="http://schemas.openxmlformats.org/officeDocument/2006/relationships/hyperlink" Target="https://pbs.twimg.com/profile_images/633994786354122753/N58sd1yK_normal.jpg" TargetMode="External"/><Relationship Id="rId3107" Type="http://schemas.openxmlformats.org/officeDocument/2006/relationships/hyperlink" Target="https://twitter.com/VWCamperSales/status/723142546369601540" TargetMode="External"/><Relationship Id="rId6677" Type="http://schemas.openxmlformats.org/officeDocument/2006/relationships/hyperlink" Target="https://pbs.twimg.com/profile_images/627949001179037696/skEBkS05_normal.jpg" TargetMode="External"/><Relationship Id="rId7728" Type="http://schemas.openxmlformats.org/officeDocument/2006/relationships/hyperlink" Target="https://twitter.com/Scirocco_Tuning/status/723329232592601089" TargetMode="External"/><Relationship Id="rId19091" Type="http://schemas.openxmlformats.org/officeDocument/2006/relationships/hyperlink" Target="https://twitter.com/igmybiga/status/723919776523911168" TargetMode="External"/><Relationship Id="rId23487" Type="http://schemas.openxmlformats.org/officeDocument/2006/relationships/hyperlink" Target="https://pbs.twimg.com/profile_images/593454474041102336/YZAKB69P_normal.jpg" TargetMode="External"/><Relationship Id="rId24538" Type="http://schemas.openxmlformats.org/officeDocument/2006/relationships/hyperlink" Target="https://twitter.com/fejise/status/724368243419320321" TargetMode="External"/><Relationship Id="rId5279" Type="http://schemas.openxmlformats.org/officeDocument/2006/relationships/hyperlink" Target="https://pbs.twimg.com/profile_images/466910019762397184/I5_k8U5s_normal.jpeg" TargetMode="External"/><Relationship Id="rId9150" Type="http://schemas.openxmlformats.org/officeDocument/2006/relationships/hyperlink" Target="https://twitter.com/NegroAutomobili" TargetMode="External"/><Relationship Id="rId10709" Type="http://schemas.openxmlformats.org/officeDocument/2006/relationships/hyperlink" Target="https://twitter.com/Auto2day_gr" TargetMode="External"/><Relationship Id="rId11080" Type="http://schemas.openxmlformats.org/officeDocument/2006/relationships/hyperlink" Target="https://twitter.com/techislet" TargetMode="External"/><Relationship Id="rId12131" Type="http://schemas.openxmlformats.org/officeDocument/2006/relationships/hyperlink" Target="https://pbs.twimg.com/profile_images/466908605317279744/I5a712BQ_normal.jpeg" TargetMode="External"/><Relationship Id="rId22089" Type="http://schemas.openxmlformats.org/officeDocument/2006/relationships/hyperlink" Target="https://twitter.com/Vagowners/status/724199144013881345" TargetMode="External"/><Relationship Id="rId16752" Type="http://schemas.openxmlformats.org/officeDocument/2006/relationships/hyperlink" Target="https://twitter.com/ebaycampervans/status/723722852805963780" TargetMode="External"/><Relationship Id="rId17803" Type="http://schemas.openxmlformats.org/officeDocument/2006/relationships/hyperlink" Target="https://pbs.twimg.com/profile_images/709373815126622208/WvQF6M5j_normal.jpg" TargetMode="External"/><Relationship Id="rId1889" Type="http://schemas.openxmlformats.org/officeDocument/2006/relationships/hyperlink" Target="https://twitter.com/Scirocco_Tuning/status/723067587668619264" TargetMode="External"/><Relationship Id="rId4362" Type="http://schemas.openxmlformats.org/officeDocument/2006/relationships/hyperlink" Target="https://pbs.twimg.com/profile_images/2532291627/vj4vtc89cwsvidlta5i4_normal.jpeg" TargetMode="External"/><Relationship Id="rId5760" Type="http://schemas.openxmlformats.org/officeDocument/2006/relationships/hyperlink" Target="https://twitter.com/ruWladimir/status/723216460902850560" TargetMode="External"/><Relationship Id="rId6811" Type="http://schemas.openxmlformats.org/officeDocument/2006/relationships/hyperlink" Target="https://twitter.com/DisparatePost/status/723262440847380480" TargetMode="External"/><Relationship Id="rId15354" Type="http://schemas.openxmlformats.org/officeDocument/2006/relationships/hyperlink" Target="https://twitter.com/Judebram" TargetMode="External"/><Relationship Id="rId16405" Type="http://schemas.openxmlformats.org/officeDocument/2006/relationships/hyperlink" Target="https://twitter.com/miner_media" TargetMode="External"/><Relationship Id="rId19975" Type="http://schemas.openxmlformats.org/officeDocument/2006/relationships/hyperlink" Target="https://twitter.com/Scirocco_Tuning" TargetMode="External"/><Relationship Id="rId22570" Type="http://schemas.openxmlformats.org/officeDocument/2006/relationships/hyperlink" Target="http://dlvr.it/" TargetMode="External"/><Relationship Id="rId23621" Type="http://schemas.openxmlformats.org/officeDocument/2006/relationships/hyperlink" Target="https://pbs.twimg.com/profile_images/683132002170634240/NzGEIxqn_normal.jpg" TargetMode="External"/><Relationship Id="rId4015" Type="http://schemas.openxmlformats.org/officeDocument/2006/relationships/hyperlink" Target="https://pbs.twimg.com/profile_images/703294545195307008/qeCvrX86_normal.jpg" TargetMode="External"/><Relationship Id="rId5413" Type="http://schemas.openxmlformats.org/officeDocument/2006/relationships/hyperlink" Target="https://pbs.twimg.com/profile_images/666607167093407744/qM40wt3X_normal.png" TargetMode="External"/><Relationship Id="rId8983" Type="http://schemas.openxmlformats.org/officeDocument/2006/relationships/hyperlink" Target="https://pbs.twimg.com/profile_images/718820712757215233/LXXndPTS_normal.jpg" TargetMode="External"/><Relationship Id="rId11964" Type="http://schemas.openxmlformats.org/officeDocument/2006/relationships/hyperlink" Target="https://twitter.com/lamontto" TargetMode="External"/><Relationship Id="rId15007" Type="http://schemas.openxmlformats.org/officeDocument/2006/relationships/hyperlink" Target="https://twitter.com/luchomarinacci" TargetMode="External"/><Relationship Id="rId18577" Type="http://schemas.openxmlformats.org/officeDocument/2006/relationships/hyperlink" Target="https://twitter.com/a_cologne" TargetMode="External"/><Relationship Id="rId19628" Type="http://schemas.openxmlformats.org/officeDocument/2006/relationships/hyperlink" Target="https://pbs.twimg.com/profile_images/378800000572104796/1de43e1cf23efb3f4101c02afad0d3b6_normal.png" TargetMode="External"/><Relationship Id="rId21172" Type="http://schemas.openxmlformats.org/officeDocument/2006/relationships/hyperlink" Target="https://twitter.com/beetlebug1938/status/724118021200076800" TargetMode="External"/><Relationship Id="rId22223" Type="http://schemas.openxmlformats.org/officeDocument/2006/relationships/hyperlink" Target="https://twitter.com/APursanidu/status/724209415482707968" TargetMode="External"/><Relationship Id="rId7585" Type="http://schemas.openxmlformats.org/officeDocument/2006/relationships/hyperlink" Target="https://twitter.com/amsalwajih" TargetMode="External"/><Relationship Id="rId8636" Type="http://schemas.openxmlformats.org/officeDocument/2006/relationships/hyperlink" Target="https://twitter.com/IlseTV" TargetMode="External"/><Relationship Id="rId10566" Type="http://schemas.openxmlformats.org/officeDocument/2006/relationships/hyperlink" Target="https://twitter.com/Volksstimme" TargetMode="External"/><Relationship Id="rId11617" Type="http://schemas.openxmlformats.org/officeDocument/2006/relationships/hyperlink" Target="https://pbs.twimg.com/profile_images/722961163114283008/ASqOyy45_normal.jpg" TargetMode="External"/><Relationship Id="rId17179" Type="http://schemas.openxmlformats.org/officeDocument/2006/relationships/hyperlink" Target="https://twitter.com/MusicHistoryLaw" TargetMode="External"/><Relationship Id="rId24395" Type="http://schemas.openxmlformats.org/officeDocument/2006/relationships/hyperlink" Target="http://dlvr.it/" TargetMode="External"/><Relationship Id="rId25446" Type="http://schemas.openxmlformats.org/officeDocument/2006/relationships/hyperlink" Target="https://pbs.twimg.com/profile_images/721832729315307520/pbETf38K_normal.jpg" TargetMode="External"/><Relationship Id="rId6187" Type="http://schemas.openxmlformats.org/officeDocument/2006/relationships/hyperlink" Target="https://twitter.com/VWBeetleSales/status/723234378344620033" TargetMode="External"/><Relationship Id="rId7238" Type="http://schemas.openxmlformats.org/officeDocument/2006/relationships/hyperlink" Target="https://twitter.com/Scirocco_Tuning" TargetMode="External"/><Relationship Id="rId10219" Type="http://schemas.openxmlformats.org/officeDocument/2006/relationships/hyperlink" Target="https://twitter.com/VWCamperSales" TargetMode="External"/><Relationship Id="rId13789" Type="http://schemas.openxmlformats.org/officeDocument/2006/relationships/hyperlink" Target="https://twitter.com/VWCamperSales" TargetMode="External"/><Relationship Id="rId24048" Type="http://schemas.openxmlformats.org/officeDocument/2006/relationships/hyperlink" Target="http://dlvr.it/" TargetMode="External"/><Relationship Id="rId2797" Type="http://schemas.openxmlformats.org/officeDocument/2006/relationships/hyperlink" Target="https://twitter.com/techhippie/status/723119367341412352" TargetMode="External"/><Relationship Id="rId3848" Type="http://schemas.openxmlformats.org/officeDocument/2006/relationships/hyperlink" Target="https://twitter.com/JanoSanjuan" TargetMode="External"/><Relationship Id="rId16262" Type="http://schemas.openxmlformats.org/officeDocument/2006/relationships/hyperlink" Target="https://pbs.twimg.com/profile_images/697117108275146753/gEm5e8_g_normal.png" TargetMode="External"/><Relationship Id="rId17313" Type="http://schemas.openxmlformats.org/officeDocument/2006/relationships/hyperlink" Target="https://pbs.twimg.com/profile_images/378800000706162815/e272abebfb386acf549f7b35a5e5adfe_normal.jpeg" TargetMode="External"/><Relationship Id="rId17660" Type="http://schemas.openxmlformats.org/officeDocument/2006/relationships/hyperlink" Target="https://pbs.twimg.com/profile_images/474178130312044544/-U2TP65D_normal.png" TargetMode="External"/><Relationship Id="rId18711" Type="http://schemas.openxmlformats.org/officeDocument/2006/relationships/hyperlink" Target="https://pbs.twimg.com/profile_images/701477016030289921/prD-N92q_normal.jpg" TargetMode="External"/><Relationship Id="rId20658" Type="http://schemas.openxmlformats.org/officeDocument/2006/relationships/hyperlink" Target="https://twitter.com/metal_fortress/status/724021290697408513" TargetMode="External"/><Relationship Id="rId769" Type="http://schemas.openxmlformats.org/officeDocument/2006/relationships/hyperlink" Target="https://pbs.twimg.com/profile_images/718820712757215233/LXXndPTS_normal.jpg" TargetMode="External"/><Relationship Id="rId1399" Type="http://schemas.openxmlformats.org/officeDocument/2006/relationships/hyperlink" Target="https://pbs.twimg.com/profile_images/715865125589221377/LL-u_qje_normal.jpg" TargetMode="External"/><Relationship Id="rId5270" Type="http://schemas.openxmlformats.org/officeDocument/2006/relationships/hyperlink" Target="https://pbs.twimg.com/profile_images/658086464819822593/DHjx1zuP_normal.jpg" TargetMode="External"/><Relationship Id="rId6321" Type="http://schemas.openxmlformats.org/officeDocument/2006/relationships/hyperlink" Target="https://twitter.com/zoreio/status/723239897738391552" TargetMode="External"/><Relationship Id="rId10700" Type="http://schemas.openxmlformats.org/officeDocument/2006/relationships/hyperlink" Target="https://twitter.com/Adriacaravans" TargetMode="External"/><Relationship Id="rId21709" Type="http://schemas.openxmlformats.org/officeDocument/2006/relationships/hyperlink" Target="https://pbs.twimg.com/profile_images/702511217793863680/lty8h9vE_normal.jpg" TargetMode="External"/><Relationship Id="rId22080" Type="http://schemas.openxmlformats.org/officeDocument/2006/relationships/hyperlink" Target="https://twitter.com/bBOLDbLONG/status/724198628756185088" TargetMode="External"/><Relationship Id="rId23131" Type="http://schemas.openxmlformats.org/officeDocument/2006/relationships/hyperlink" Target="https://twitter.com/dubbusses/status/724269705528283136" TargetMode="External"/><Relationship Id="rId8493" Type="http://schemas.openxmlformats.org/officeDocument/2006/relationships/hyperlink" Target="https://twitter.com/chmeell" TargetMode="External"/><Relationship Id="rId9891" Type="http://schemas.openxmlformats.org/officeDocument/2006/relationships/hyperlink" Target="https://twitter.com/JulieTestAchats" TargetMode="External"/><Relationship Id="rId12872" Type="http://schemas.openxmlformats.org/officeDocument/2006/relationships/hyperlink" Target="http://ctrlq.org/maps/address/" TargetMode="External"/><Relationship Id="rId13923" Type="http://schemas.openxmlformats.org/officeDocument/2006/relationships/hyperlink" Target="https://twitter.com/KrahMax" TargetMode="External"/><Relationship Id="rId18087" Type="http://schemas.openxmlformats.org/officeDocument/2006/relationships/hyperlink" Target="https://twitter.com/mattdownstch1" TargetMode="External"/><Relationship Id="rId19485" Type="http://schemas.openxmlformats.org/officeDocument/2006/relationships/hyperlink" Target="http://ctrlq.org/maps/address/" TargetMode="External"/><Relationship Id="rId1880" Type="http://schemas.openxmlformats.org/officeDocument/2006/relationships/hyperlink" Target="https://twitter.com/gas_guz/status/723065196646785027" TargetMode="External"/><Relationship Id="rId2931" Type="http://schemas.openxmlformats.org/officeDocument/2006/relationships/hyperlink" Target="https://twitter.com/RWFleetServices" TargetMode="External"/><Relationship Id="rId7095" Type="http://schemas.openxmlformats.org/officeDocument/2006/relationships/hyperlink" Target="https://twitter.com/pleasecallmemac" TargetMode="External"/><Relationship Id="rId8146" Type="http://schemas.openxmlformats.org/officeDocument/2006/relationships/hyperlink" Target="https://twitter.com/OnlineCarReview" TargetMode="External"/><Relationship Id="rId9544" Type="http://schemas.openxmlformats.org/officeDocument/2006/relationships/hyperlink" Target="https://pbs.twimg.com/profile_images/654711316343488513/-LeBbYMa_normal.jpg" TargetMode="External"/><Relationship Id="rId11474" Type="http://schemas.openxmlformats.org/officeDocument/2006/relationships/hyperlink" Target="https://twitter.com/robinskaplan/status/723502764668510208" TargetMode="External"/><Relationship Id="rId12525" Type="http://schemas.openxmlformats.org/officeDocument/2006/relationships/hyperlink" Target="https://pbs.twimg.com/profile_images/438637572571402240/qxEeY-G4_normal.png" TargetMode="External"/><Relationship Id="rId19138" Type="http://schemas.openxmlformats.org/officeDocument/2006/relationships/hyperlink" Target="https://twitter.com/_sea_fox_" TargetMode="External"/><Relationship Id="rId903" Type="http://schemas.openxmlformats.org/officeDocument/2006/relationships/hyperlink" Target="https://twitter.com/dgrally/status/723000240241033216" TargetMode="External"/><Relationship Id="rId1533" Type="http://schemas.openxmlformats.org/officeDocument/2006/relationships/hyperlink" Target="https://twitter.com/ANHurst/status/723045107948228608" TargetMode="External"/><Relationship Id="rId10076" Type="http://schemas.openxmlformats.org/officeDocument/2006/relationships/hyperlink" Target="https://twitter.com/w_todts/status/723460923625713664" TargetMode="External"/><Relationship Id="rId11127" Type="http://schemas.openxmlformats.org/officeDocument/2006/relationships/hyperlink" Target="https://twitter.com/msav999/status/723497937007845378" TargetMode="External"/><Relationship Id="rId14697" Type="http://schemas.openxmlformats.org/officeDocument/2006/relationships/hyperlink" Target="https://pbs.twimg.com/profile_images/378800000482732625/294a30a57cb74ab8221d2c411bd22a55_normal.jpeg" TargetMode="External"/><Relationship Id="rId15748" Type="http://schemas.openxmlformats.org/officeDocument/2006/relationships/hyperlink" Target="https://twitter.com/__venceremos__/status/723622944900034560" TargetMode="External"/><Relationship Id="rId22964" Type="http://schemas.openxmlformats.org/officeDocument/2006/relationships/hyperlink" Target="https://twitter.com/VWBeetleSales" TargetMode="External"/><Relationship Id="rId4756" Type="http://schemas.openxmlformats.org/officeDocument/2006/relationships/hyperlink" Target="https://twitter.com/BILD_Reporter" TargetMode="External"/><Relationship Id="rId5807" Type="http://schemas.openxmlformats.org/officeDocument/2006/relationships/hyperlink" Target="https://pbs.twimg.com/profile_images/595309304510550019/sGlNhfkh_normal.jpg" TargetMode="External"/><Relationship Id="rId13299" Type="http://schemas.openxmlformats.org/officeDocument/2006/relationships/hyperlink" Target="https://twitter.com/beetlebug1938/status/723543086597582849" TargetMode="External"/><Relationship Id="rId17170" Type="http://schemas.openxmlformats.org/officeDocument/2006/relationships/hyperlink" Target="https://twitter.com/Insta_VWT" TargetMode="External"/><Relationship Id="rId18221" Type="http://schemas.openxmlformats.org/officeDocument/2006/relationships/hyperlink" Target="https://twitter.com/VCT_Tweets/status/723851813129203713" TargetMode="External"/><Relationship Id="rId21566" Type="http://schemas.openxmlformats.org/officeDocument/2006/relationships/hyperlink" Target="https://twitter.com/russell_sim/status/724161185755459584" TargetMode="External"/><Relationship Id="rId22617" Type="http://schemas.openxmlformats.org/officeDocument/2006/relationships/hyperlink" Target="https://twitter.com/DubLuvTuning" TargetMode="External"/><Relationship Id="rId3358" Type="http://schemas.openxmlformats.org/officeDocument/2006/relationships/hyperlink" Target="https://pbs.twimg.com/profile_images/627949001179037696/skEBkS05_normal.jpg" TargetMode="External"/><Relationship Id="rId4409" Type="http://schemas.openxmlformats.org/officeDocument/2006/relationships/hyperlink" Target="https://twitter.com/JuLoewe/status/723180318858027008" TargetMode="External"/><Relationship Id="rId7979" Type="http://schemas.openxmlformats.org/officeDocument/2006/relationships/hyperlink" Target="https://twitter.com/chronsucks/status/723346776829378560" TargetMode="External"/><Relationship Id="rId10210" Type="http://schemas.openxmlformats.org/officeDocument/2006/relationships/hyperlink" Target="https://twitter.com/aktuelle_stunde" TargetMode="External"/><Relationship Id="rId20168" Type="http://schemas.openxmlformats.org/officeDocument/2006/relationships/hyperlink" Target="https://twitter.com/VolkswagenPost/status/723978989224660995" TargetMode="External"/><Relationship Id="rId21219" Type="http://schemas.openxmlformats.org/officeDocument/2006/relationships/hyperlink" Target="https://pbs.twimg.com/profile_images/691267260758020096/6YkrhJsd_normal.jpg" TargetMode="External"/><Relationship Id="rId24789" Type="http://schemas.openxmlformats.org/officeDocument/2006/relationships/hyperlink" Target="https://twitter.com/Blissalonia" TargetMode="External"/><Relationship Id="rId279" Type="http://schemas.openxmlformats.org/officeDocument/2006/relationships/hyperlink" Target="https://pbs.twimg.com/profile_images/530071272881803264/a_jcCmPZ_normal.png" TargetMode="External"/><Relationship Id="rId13780" Type="http://schemas.openxmlformats.org/officeDocument/2006/relationships/hyperlink" Target="https://twitter.com/morgenlab" TargetMode="External"/><Relationship Id="rId14831" Type="http://schemas.openxmlformats.org/officeDocument/2006/relationships/hyperlink" Target="https://twitter.com/LisaHayward3" TargetMode="External"/><Relationship Id="rId760" Type="http://schemas.openxmlformats.org/officeDocument/2006/relationships/hyperlink" Target="https://pbs.twimg.com/profile_images/718820712757215233/LXXndPTS_normal.jpg" TargetMode="External"/><Relationship Id="rId1390" Type="http://schemas.openxmlformats.org/officeDocument/2006/relationships/hyperlink" Target="https://pbs.twimg.com/profile_images/578500949288824832/VFFH0A8N_normal.jpeg" TargetMode="External"/><Relationship Id="rId2441" Type="http://schemas.openxmlformats.org/officeDocument/2006/relationships/hyperlink" Target="https://twitter.com/beetlebug1938/status/723101872429666305" TargetMode="External"/><Relationship Id="rId9054" Type="http://schemas.openxmlformats.org/officeDocument/2006/relationships/hyperlink" Target="https://pbs.twimg.com/profile_images/708004004962418688/kOexCZwK_normal.jpg" TargetMode="External"/><Relationship Id="rId12382" Type="http://schemas.openxmlformats.org/officeDocument/2006/relationships/hyperlink" Target="https://twitter.com/Banxcartoons/status/723518561503875073" TargetMode="External"/><Relationship Id="rId13433" Type="http://schemas.openxmlformats.org/officeDocument/2006/relationships/hyperlink" Target="https://pbs.twimg.com/profile_images/698829609387888640/gbQhqoCx_normal.jpg" TargetMode="External"/><Relationship Id="rId21700" Type="http://schemas.openxmlformats.org/officeDocument/2006/relationships/hyperlink" Target="https://pbs.twimg.com/profile_images/627949001179037696/skEBkS05_normal.jpg" TargetMode="External"/><Relationship Id="rId413" Type="http://schemas.openxmlformats.org/officeDocument/2006/relationships/hyperlink" Target="https://twitter.com/ertlife_press" TargetMode="External"/><Relationship Id="rId1043" Type="http://schemas.openxmlformats.org/officeDocument/2006/relationships/hyperlink" Target="https://pbs.twimg.com/profile_images/567750100772855808/YTBbVSSU_normal.jpeg" TargetMode="External"/><Relationship Id="rId12035" Type="http://schemas.openxmlformats.org/officeDocument/2006/relationships/hyperlink" Target="https://twitter.com/Rumsucher/status/723512433583775744" TargetMode="External"/><Relationship Id="rId16656" Type="http://schemas.openxmlformats.org/officeDocument/2006/relationships/hyperlink" Target="https://twitter.com/iza_edit/status/723709200090550272" TargetMode="External"/><Relationship Id="rId17707" Type="http://schemas.openxmlformats.org/officeDocument/2006/relationships/hyperlink" Target="https://twitter.com/ingridHH/status/723817786137546752" TargetMode="External"/><Relationship Id="rId20302" Type="http://schemas.openxmlformats.org/officeDocument/2006/relationships/hyperlink" Target="https://pbs.twimg.com/profile_images/575854619391172608/iJRbR0AY_normal.jpeg" TargetMode="External"/><Relationship Id="rId23872" Type="http://schemas.openxmlformats.org/officeDocument/2006/relationships/hyperlink" Target="https://twitter.com/PistonKafalar/status/724317429376102402" TargetMode="External"/><Relationship Id="rId24923" Type="http://schemas.openxmlformats.org/officeDocument/2006/relationships/hyperlink" Target="https://pbs.twimg.com/profile_images/664191126077751296/NPJyKOS9_normal.png" TargetMode="External"/><Relationship Id="rId5664" Type="http://schemas.openxmlformats.org/officeDocument/2006/relationships/hyperlink" Target="https://twitter.com/BackyardSafari/status/723212096981311489" TargetMode="External"/><Relationship Id="rId6715" Type="http://schemas.openxmlformats.org/officeDocument/2006/relationships/hyperlink" Target="https://twitter.com/hce25/status/723254697214246912" TargetMode="External"/><Relationship Id="rId15258" Type="http://schemas.openxmlformats.org/officeDocument/2006/relationships/hyperlink" Target="https://pbs.twimg.com/profile_images/627949001179037696/skEBkS05_normal.jpg" TargetMode="External"/><Relationship Id="rId16309" Type="http://schemas.openxmlformats.org/officeDocument/2006/relationships/hyperlink" Target="https://twitter.com/isazozoaga" TargetMode="External"/><Relationship Id="rId19879" Type="http://schemas.openxmlformats.org/officeDocument/2006/relationships/hyperlink" Target="https://twitter.com/JoMoWRC" TargetMode="External"/><Relationship Id="rId22474" Type="http://schemas.openxmlformats.org/officeDocument/2006/relationships/hyperlink" Target="https://twitter.com/MichaelNdri/status/724224667796512768" TargetMode="External"/><Relationship Id="rId23525" Type="http://schemas.openxmlformats.org/officeDocument/2006/relationships/hyperlink" Target="https://twitter.com/DivolVW" TargetMode="External"/><Relationship Id="rId4266" Type="http://schemas.openxmlformats.org/officeDocument/2006/relationships/hyperlink" Target="https://twitter.com/vicharmonnyc/status/723178561541033986" TargetMode="External"/><Relationship Id="rId5317" Type="http://schemas.openxmlformats.org/officeDocument/2006/relationships/hyperlink" Target="https://twitter.com/SocialMAXorg/status/723199829707382784" TargetMode="External"/><Relationship Id="rId8887" Type="http://schemas.openxmlformats.org/officeDocument/2006/relationships/hyperlink" Target="https://pbs.twimg.com/profile_images/421932549842436096/nENjZgeQ_normal.jpeg" TargetMode="External"/><Relationship Id="rId9938" Type="http://schemas.openxmlformats.org/officeDocument/2006/relationships/hyperlink" Target="https://twitter.com/instock_de" TargetMode="External"/><Relationship Id="rId11868" Type="http://schemas.openxmlformats.org/officeDocument/2006/relationships/hyperlink" Target="https://twitter.com/CoolFlo_UK/status/723509216833601536" TargetMode="External"/><Relationship Id="rId21076" Type="http://schemas.openxmlformats.org/officeDocument/2006/relationships/hyperlink" Target="https://twitter.com/Braulio_Urresti" TargetMode="External"/><Relationship Id="rId22127" Type="http://schemas.openxmlformats.org/officeDocument/2006/relationships/hyperlink" Target="https://twitter.com/techhippie" TargetMode="External"/><Relationship Id="rId25697" Type="http://schemas.openxmlformats.org/officeDocument/2006/relationships/hyperlink" Target="https://pbs.twimg.com/profile_images/472298206483607552/UogAMiRI_normal.png" TargetMode="External"/><Relationship Id="rId1927" Type="http://schemas.openxmlformats.org/officeDocument/2006/relationships/hyperlink" Target="https://pbs.twimg.com/profile_images/640586325645725696/k22mJ46Z_normal.jpg" TargetMode="External"/><Relationship Id="rId7489" Type="http://schemas.openxmlformats.org/officeDocument/2006/relationships/hyperlink" Target="http://dlvr.it/" TargetMode="External"/><Relationship Id="rId12919" Type="http://schemas.openxmlformats.org/officeDocument/2006/relationships/hyperlink" Target="https://twitter.com/ameriporean/status/723531430807101440" TargetMode="External"/><Relationship Id="rId13290" Type="http://schemas.openxmlformats.org/officeDocument/2006/relationships/hyperlink" Target="https://twitter.com/olandero/status/723542853905948672" TargetMode="External"/><Relationship Id="rId14341" Type="http://schemas.openxmlformats.org/officeDocument/2006/relationships/hyperlink" Target="https://pbs.twimg.com/profile_images/714926926910107648/EHYhORYP_normal.jpg" TargetMode="External"/><Relationship Id="rId24299" Type="http://schemas.openxmlformats.org/officeDocument/2006/relationships/hyperlink" Target="https://twitter.com/VistaVW" TargetMode="External"/><Relationship Id="rId4400" Type="http://schemas.openxmlformats.org/officeDocument/2006/relationships/hyperlink" Target="https://twitter.com/MarkCSchneider/status/723180103304400896" TargetMode="External"/><Relationship Id="rId18962" Type="http://schemas.openxmlformats.org/officeDocument/2006/relationships/hyperlink" Target="https://pbs.twimg.com/profile_images/577742130698915840/ghR4cANb_normal.jpeg" TargetMode="External"/><Relationship Id="rId21210" Type="http://schemas.openxmlformats.org/officeDocument/2006/relationships/hyperlink" Target="https://pbs.twimg.com/profile_images/674456186159276032/s6_5pnsh_normal.jpg" TargetMode="External"/><Relationship Id="rId270" Type="http://schemas.openxmlformats.org/officeDocument/2006/relationships/hyperlink" Target="https://pbs.twimg.com/profile_images/595226480394788865/NKsGZJOG_normal.png" TargetMode="External"/><Relationship Id="rId3002" Type="http://schemas.openxmlformats.org/officeDocument/2006/relationships/hyperlink" Target="https://twitter.com/NinjaRemoval" TargetMode="External"/><Relationship Id="rId6572" Type="http://schemas.openxmlformats.org/officeDocument/2006/relationships/hyperlink" Target="https://twitter.com/samantha_gilham" TargetMode="External"/><Relationship Id="rId7970" Type="http://schemas.openxmlformats.org/officeDocument/2006/relationships/hyperlink" Target="https://twitter.com/sfchronicle/status/723345697307684864" TargetMode="External"/><Relationship Id="rId10951" Type="http://schemas.openxmlformats.org/officeDocument/2006/relationships/hyperlink" Target="https://twitter.com/ophuels/status/723491412638097409" TargetMode="External"/><Relationship Id="rId16166" Type="http://schemas.openxmlformats.org/officeDocument/2006/relationships/hyperlink" Target="https://pbs.twimg.com/profile_images/464114496563200000/hqu3hpC3_normal.jpeg" TargetMode="External"/><Relationship Id="rId17564" Type="http://schemas.openxmlformats.org/officeDocument/2006/relationships/hyperlink" Target="https://pbs.twimg.com/profile_images/689530457378181120/hebb5eT3_normal.jpg" TargetMode="External"/><Relationship Id="rId18615" Type="http://schemas.openxmlformats.org/officeDocument/2006/relationships/hyperlink" Target="https://twitter.com/Ramon500v/status/723884436924829698" TargetMode="External"/><Relationship Id="rId24780" Type="http://schemas.openxmlformats.org/officeDocument/2006/relationships/hyperlink" Target="https://twitter.com/oldcar_photo" TargetMode="External"/><Relationship Id="rId5174" Type="http://schemas.openxmlformats.org/officeDocument/2006/relationships/hyperlink" Target="https://pbs.twimg.com/profile_images/564191903151702016/OXB2zx4u_normal.jpeg" TargetMode="External"/><Relationship Id="rId6225" Type="http://schemas.openxmlformats.org/officeDocument/2006/relationships/hyperlink" Target="https://twitter.com/K2GNetworking" TargetMode="External"/><Relationship Id="rId7623" Type="http://schemas.openxmlformats.org/officeDocument/2006/relationships/hyperlink" Target="https://twitter.com/gavins/status/723317294974308352" TargetMode="External"/><Relationship Id="rId10604" Type="http://schemas.openxmlformats.org/officeDocument/2006/relationships/hyperlink" Target="https://pbs.twimg.com/profile_images/702826334402252800/Id134gom_normal.jpg" TargetMode="External"/><Relationship Id="rId17217" Type="http://schemas.openxmlformats.org/officeDocument/2006/relationships/hyperlink" Target="https://twitter.com/Thomas_Wuest/status/723780978427174913" TargetMode="External"/><Relationship Id="rId23035" Type="http://schemas.openxmlformats.org/officeDocument/2006/relationships/hyperlink" Target="https://pbs.twimg.com/profile_images/709157033375879168/XfYenddt_normal.jpg" TargetMode="External"/><Relationship Id="rId23382" Type="http://schemas.openxmlformats.org/officeDocument/2006/relationships/hyperlink" Target="http://dlvr.it/" TargetMode="External"/><Relationship Id="rId24433" Type="http://schemas.openxmlformats.org/officeDocument/2006/relationships/hyperlink" Target="https://twitter.com/VeeDubMk1_/status/724357469431062528" TargetMode="External"/><Relationship Id="rId9795" Type="http://schemas.openxmlformats.org/officeDocument/2006/relationships/hyperlink" Target="http://dlvr.it/" TargetMode="External"/><Relationship Id="rId12776" Type="http://schemas.openxmlformats.org/officeDocument/2006/relationships/hyperlink" Target="https://pbs.twimg.com/profile_images/2754194923/5cb21cec531f4267a70e38e4d675cb79_normal.png" TargetMode="External"/><Relationship Id="rId13827" Type="http://schemas.openxmlformats.org/officeDocument/2006/relationships/hyperlink" Target="https://twitter.com/lucaas_pzk" TargetMode="External"/><Relationship Id="rId19389" Type="http://schemas.openxmlformats.org/officeDocument/2006/relationships/hyperlink" Target="https://twitter.com/FuscaWorld" TargetMode="External"/><Relationship Id="rId1784" Type="http://schemas.openxmlformats.org/officeDocument/2006/relationships/hyperlink" Target="https://pbs.twimg.com/profile_images/657102687893327873/IWixsvBW_normal.jpg" TargetMode="External"/><Relationship Id="rId2835" Type="http://schemas.openxmlformats.org/officeDocument/2006/relationships/hyperlink" Target="https://twitter.com/DubLuvTuning" TargetMode="External"/><Relationship Id="rId8397" Type="http://schemas.openxmlformats.org/officeDocument/2006/relationships/hyperlink" Target="https://pbs.twimg.com/profile_images/569498266786877440/eYP0jdWw_normal.jpeg" TargetMode="External"/><Relationship Id="rId9448" Type="http://schemas.openxmlformats.org/officeDocument/2006/relationships/hyperlink" Target="https://twitter.com/VolkswagenPost" TargetMode="External"/><Relationship Id="rId11378" Type="http://schemas.openxmlformats.org/officeDocument/2006/relationships/hyperlink" Target="https://twitter.com/HaufeCompliance/status/723501649017360384" TargetMode="External"/><Relationship Id="rId12429" Type="http://schemas.openxmlformats.org/officeDocument/2006/relationships/hyperlink" Target="https://pbs.twimg.com/profile_images/1453053624/me_normal.jpg" TargetMode="External"/><Relationship Id="rId15999" Type="http://schemas.openxmlformats.org/officeDocument/2006/relationships/hyperlink" Target="https://twitter.com/fermorales_24/status/723641674921029633" TargetMode="External"/><Relationship Id="rId16300" Type="http://schemas.openxmlformats.org/officeDocument/2006/relationships/hyperlink" Target="https://twitter.com/EnlaceMexicoMX" TargetMode="External"/><Relationship Id="rId807" Type="http://schemas.openxmlformats.org/officeDocument/2006/relationships/hyperlink" Target="https://twitter.com/manbitesfilm" TargetMode="External"/><Relationship Id="rId1437" Type="http://schemas.openxmlformats.org/officeDocument/2006/relationships/hyperlink" Target="https://twitter.com/beetlebug1938/status/723040820320940032" TargetMode="External"/><Relationship Id="rId18472" Type="http://schemas.openxmlformats.org/officeDocument/2006/relationships/hyperlink" Target="https://pbs.twimg.com/profile_images/705780107844067328/e7O4UBNb_normal.jpg" TargetMode="External"/><Relationship Id="rId19523" Type="http://schemas.openxmlformats.org/officeDocument/2006/relationships/hyperlink" Target="https://twitter.com/DubLuvTuning/status/723938509459992576" TargetMode="External"/><Relationship Id="rId19870" Type="http://schemas.openxmlformats.org/officeDocument/2006/relationships/hyperlink" Target="https://twitter.com/Cris_Lagos" TargetMode="External"/><Relationship Id="rId22868" Type="http://schemas.openxmlformats.org/officeDocument/2006/relationships/hyperlink" Target="https://twitter.com/kan2121" TargetMode="External"/><Relationship Id="rId7480" Type="http://schemas.openxmlformats.org/officeDocument/2006/relationships/hyperlink" Target="https://pbs.twimg.com/profile_images/714507367031959554/hbITqVuh_normal.jpg" TargetMode="External"/><Relationship Id="rId8531" Type="http://schemas.openxmlformats.org/officeDocument/2006/relationships/hyperlink" Target="https://twitter.com/EU_Pilot/status/723393279937531904" TargetMode="External"/><Relationship Id="rId12910" Type="http://schemas.openxmlformats.org/officeDocument/2006/relationships/hyperlink" Target="https://twitter.com/2016XL/status/723531268126810113" TargetMode="External"/><Relationship Id="rId17074" Type="http://schemas.openxmlformats.org/officeDocument/2006/relationships/hyperlink" Target="https://twitter.com/1stInSEO" TargetMode="External"/><Relationship Id="rId18125" Type="http://schemas.openxmlformats.org/officeDocument/2006/relationships/hyperlink" Target="https://pbs.twimg.com/profile_images/705780107844067328/e7O4UBNb_normal.jpg" TargetMode="External"/><Relationship Id="rId23919" Type="http://schemas.openxmlformats.org/officeDocument/2006/relationships/hyperlink" Target="https://twitter.com/beetlebug1938/status/724321387993792513" TargetMode="External"/><Relationship Id="rId24290" Type="http://schemas.openxmlformats.org/officeDocument/2006/relationships/hyperlink" Target="https://twitter.com/acvwpassion/status/724345961699520512" TargetMode="External"/><Relationship Id="rId25341" Type="http://schemas.openxmlformats.org/officeDocument/2006/relationships/hyperlink" Target="https://twitter.com/miguelhgo" TargetMode="External"/><Relationship Id="rId6082" Type="http://schemas.openxmlformats.org/officeDocument/2006/relationships/hyperlink" Target="https://twitter.com/Mphilpot1" TargetMode="External"/><Relationship Id="rId7133" Type="http://schemas.openxmlformats.org/officeDocument/2006/relationships/hyperlink" Target="https://pbs.twimg.com/profile_images/692722389856165888/_03T3Gm-_normal.jpg" TargetMode="External"/><Relationship Id="rId10461" Type="http://schemas.openxmlformats.org/officeDocument/2006/relationships/hyperlink" Target="https://pbs.twimg.com/profile_images/722823782017200130/VreCKi-k_normal.jpg" TargetMode="External"/><Relationship Id="rId11512" Type="http://schemas.openxmlformats.org/officeDocument/2006/relationships/hyperlink" Target="https://twitter.com/whyrvalone" TargetMode="External"/><Relationship Id="rId10114" Type="http://schemas.openxmlformats.org/officeDocument/2006/relationships/hyperlink" Target="https://twitter.com/theautowriter/status/723463309673017344" TargetMode="External"/><Relationship Id="rId13684" Type="http://schemas.openxmlformats.org/officeDocument/2006/relationships/hyperlink" Target="http://dlvr.it/" TargetMode="External"/><Relationship Id="rId14735" Type="http://schemas.openxmlformats.org/officeDocument/2006/relationships/hyperlink" Target="https://twitter.com/LukasSustala/status/723580927658602496" TargetMode="External"/><Relationship Id="rId21951" Type="http://schemas.openxmlformats.org/officeDocument/2006/relationships/hyperlink" Target="https://twitter.com/HolidayMatch/status/724191161821343745" TargetMode="External"/><Relationship Id="rId1294" Type="http://schemas.openxmlformats.org/officeDocument/2006/relationships/hyperlink" Target="https://twitter.com/boerseARD" TargetMode="External"/><Relationship Id="rId2692" Type="http://schemas.openxmlformats.org/officeDocument/2006/relationships/hyperlink" Target="https://twitter.com/StefkaWiese/status/723113765013606402" TargetMode="External"/><Relationship Id="rId3743" Type="http://schemas.openxmlformats.org/officeDocument/2006/relationships/hyperlink" Target="https://twitter.com/boerseonline" TargetMode="External"/><Relationship Id="rId12286" Type="http://schemas.openxmlformats.org/officeDocument/2006/relationships/hyperlink" Target="https://twitter.com/markuspieperMEP" TargetMode="External"/><Relationship Id="rId13337" Type="http://schemas.openxmlformats.org/officeDocument/2006/relationships/hyperlink" Target="https://twitter.com/doin384" TargetMode="External"/><Relationship Id="rId17958" Type="http://schemas.openxmlformats.org/officeDocument/2006/relationships/hyperlink" Target="https://twitter.com/lordsinclair70/status/723836595179282438" TargetMode="External"/><Relationship Id="rId20553" Type="http://schemas.openxmlformats.org/officeDocument/2006/relationships/hyperlink" Target="https://twitter.com/netcarshows/status/724008136693018624" TargetMode="External"/><Relationship Id="rId21604" Type="http://schemas.openxmlformats.org/officeDocument/2006/relationships/hyperlink" Target="https://twitter.com/hashtagvanlife" TargetMode="External"/><Relationship Id="rId664" Type="http://schemas.openxmlformats.org/officeDocument/2006/relationships/hyperlink" Target="https://twitter.com/m0hsaqr/status/722967898801758208" TargetMode="External"/><Relationship Id="rId2345" Type="http://schemas.openxmlformats.org/officeDocument/2006/relationships/hyperlink" Target="https://pbs.twimg.com/profile_images/689102170717839360/y5b-XDuX_normal.jpg" TargetMode="External"/><Relationship Id="rId6966" Type="http://schemas.openxmlformats.org/officeDocument/2006/relationships/hyperlink" Target="https://twitter.com/aatheus/status/723272565540577280" TargetMode="External"/><Relationship Id="rId19380" Type="http://schemas.openxmlformats.org/officeDocument/2006/relationships/hyperlink" Target="https://twitter.com/ZuritaJ2s" TargetMode="External"/><Relationship Id="rId20206" Type="http://schemas.openxmlformats.org/officeDocument/2006/relationships/hyperlink" Target="https://twitter.com/vagmenhq" TargetMode="External"/><Relationship Id="rId23776" Type="http://schemas.openxmlformats.org/officeDocument/2006/relationships/hyperlink" Target="https://pbs.twimg.com/profile_images/724282552991813633/A5epRSpU_normal.jpg" TargetMode="External"/><Relationship Id="rId24827" Type="http://schemas.openxmlformats.org/officeDocument/2006/relationships/hyperlink" Target="https://twitter.com/Oriandoee_RNdL/status/724390506013155328" TargetMode="External"/><Relationship Id="rId317" Type="http://schemas.openxmlformats.org/officeDocument/2006/relationships/hyperlink" Target="https://twitter.com/VolkswagenPost/status/722945779724193796" TargetMode="External"/><Relationship Id="rId5568" Type="http://schemas.openxmlformats.org/officeDocument/2006/relationships/hyperlink" Target="https://pbs.twimg.com/profile_images/718489665200893953/lUvZosrg_normal.jpg" TargetMode="External"/><Relationship Id="rId6619" Type="http://schemas.openxmlformats.org/officeDocument/2006/relationships/hyperlink" Target="https://twitter.com/VWBeetleSales/status/723248215735193601" TargetMode="External"/><Relationship Id="rId12420" Type="http://schemas.openxmlformats.org/officeDocument/2006/relationships/hyperlink" Target="https://pbs.twimg.com/profile_images/507806117125038081/vOVRGVfm_normal.png" TargetMode="External"/><Relationship Id="rId19033" Type="http://schemas.openxmlformats.org/officeDocument/2006/relationships/hyperlink" Target="https://twitter.com/aucklandcastle" TargetMode="External"/><Relationship Id="rId22378" Type="http://schemas.openxmlformats.org/officeDocument/2006/relationships/hyperlink" Target="https://twitter.com/HSchulz50/status/724220404915691521" TargetMode="External"/><Relationship Id="rId23429" Type="http://schemas.openxmlformats.org/officeDocument/2006/relationships/hyperlink" Target="https://twitter.com/shanicebarnes_" TargetMode="External"/><Relationship Id="rId8041" Type="http://schemas.openxmlformats.org/officeDocument/2006/relationships/hyperlink" Target="https://twitter.com/CentrevilleVW" TargetMode="External"/><Relationship Id="rId11022" Type="http://schemas.openxmlformats.org/officeDocument/2006/relationships/hyperlink" Target="https://pbs.twimg.com/profile_images/702480429513883650/BwllibeH_normal.jpg" TargetMode="External"/><Relationship Id="rId15990" Type="http://schemas.openxmlformats.org/officeDocument/2006/relationships/hyperlink" Target="https://twitter.com/G_Vazquez4/status/723641088985194496" TargetMode="External"/><Relationship Id="rId4651" Type="http://schemas.openxmlformats.org/officeDocument/2006/relationships/hyperlink" Target="https://twitter.com/scribblerDE" TargetMode="External"/><Relationship Id="rId13194" Type="http://schemas.openxmlformats.org/officeDocument/2006/relationships/hyperlink" Target="https://twitter.com/matthiaspetrat" TargetMode="External"/><Relationship Id="rId14592" Type="http://schemas.openxmlformats.org/officeDocument/2006/relationships/hyperlink" Target="https://twitter.com/fan_burnnotice" TargetMode="External"/><Relationship Id="rId15643" Type="http://schemas.openxmlformats.org/officeDocument/2006/relationships/hyperlink" Target="https://twitter.com/autos_kris" TargetMode="External"/><Relationship Id="rId23910" Type="http://schemas.openxmlformats.org/officeDocument/2006/relationships/hyperlink" Target="https://twitter.com/FennellMarcus/status/724320810475855874" TargetMode="External"/><Relationship Id="rId3253" Type="http://schemas.openxmlformats.org/officeDocument/2006/relationships/hyperlink" Target="https://pbs.twimg.com/profile_images/1052064111/Naturheilpraxis_Haug-Henseler_normal.jpg" TargetMode="External"/><Relationship Id="rId4304" Type="http://schemas.openxmlformats.org/officeDocument/2006/relationships/hyperlink" Target="https://pbs.twimg.com/profile_images/646754277088739328/Tk9LwWoJ_normal.jpg" TargetMode="External"/><Relationship Id="rId5702" Type="http://schemas.openxmlformats.org/officeDocument/2006/relationships/hyperlink" Target="https://twitter.com/WrexhamVW" TargetMode="External"/><Relationship Id="rId14245" Type="http://schemas.openxmlformats.org/officeDocument/2006/relationships/hyperlink" Target="https://twitter.com/kevinjamaica111" TargetMode="External"/><Relationship Id="rId18866" Type="http://schemas.openxmlformats.org/officeDocument/2006/relationships/hyperlink" Target="https://twitter.com/DeichCruiser/status/723902034370543616" TargetMode="External"/><Relationship Id="rId19917" Type="http://schemas.openxmlformats.org/officeDocument/2006/relationships/hyperlink" Target="https://pbs.twimg.com/profile_images/378800000410719313/96dad96032234dd8c1a40c5ada7ce5ed_normal.jpeg" TargetMode="External"/><Relationship Id="rId20063" Type="http://schemas.openxmlformats.org/officeDocument/2006/relationships/hyperlink" Target="https://twitter.com/Masterpony/status/723972901649653760" TargetMode="External"/><Relationship Id="rId21114" Type="http://schemas.openxmlformats.org/officeDocument/2006/relationships/hyperlink" Target="https://twitter.com/TetsuoHojo/status/724104255502573568" TargetMode="External"/><Relationship Id="rId21461" Type="http://schemas.openxmlformats.org/officeDocument/2006/relationships/hyperlink" Target="https://twitter.com/lilicedenice" TargetMode="External"/><Relationship Id="rId22512" Type="http://schemas.openxmlformats.org/officeDocument/2006/relationships/hyperlink" Target="https://twitter.com/J_Welham/status/724227182793465856" TargetMode="External"/><Relationship Id="rId174" Type="http://schemas.openxmlformats.org/officeDocument/2006/relationships/hyperlink" Target="https://twitter.com/ARAinLA" TargetMode="External"/><Relationship Id="rId7874" Type="http://schemas.openxmlformats.org/officeDocument/2006/relationships/hyperlink" Target="https://twitter.com/FuscaWorld/status/723336159884128257" TargetMode="External"/><Relationship Id="rId8925" Type="http://schemas.openxmlformats.org/officeDocument/2006/relationships/hyperlink" Target="https://twitter.com/Theothebald/status/723411912973635584" TargetMode="External"/><Relationship Id="rId10855" Type="http://schemas.openxmlformats.org/officeDocument/2006/relationships/hyperlink" Target="https://twitter.com/richgoodingcom/status/723488039268282371" TargetMode="External"/><Relationship Id="rId11906" Type="http://schemas.openxmlformats.org/officeDocument/2006/relationships/hyperlink" Target="https://twitter.com/NewsStream24" TargetMode="External"/><Relationship Id="rId17468" Type="http://schemas.openxmlformats.org/officeDocument/2006/relationships/hyperlink" Target="https://twitter.com/Elisa1Beth2/status/723800262129926144" TargetMode="External"/><Relationship Id="rId18519" Type="http://schemas.openxmlformats.org/officeDocument/2006/relationships/hyperlink" Target="https://twitter.com/startmakkelijk" TargetMode="External"/><Relationship Id="rId24684" Type="http://schemas.openxmlformats.org/officeDocument/2006/relationships/hyperlink" Target="https://pbs.twimg.com/profile_images/504507709480501248/nAFBJZ84_normal.jpeg" TargetMode="External"/><Relationship Id="rId25735" Type="http://schemas.openxmlformats.org/officeDocument/2006/relationships/hyperlink" Target="https://twitter.com/vwpress_de/status/724469156091969537" TargetMode="External"/><Relationship Id="rId5078" Type="http://schemas.openxmlformats.org/officeDocument/2006/relationships/hyperlink" Target="https://pbs.twimg.com/profile_images/672187059751157760/zcl-YTFR_normal.jpg" TargetMode="External"/><Relationship Id="rId6476" Type="http://schemas.openxmlformats.org/officeDocument/2006/relationships/hyperlink" Target="https://twitter.com/breakingb_rad" TargetMode="External"/><Relationship Id="rId7527" Type="http://schemas.openxmlformats.org/officeDocument/2006/relationships/hyperlink" Target="https://twitter.com/Jarlanalovatic" TargetMode="External"/><Relationship Id="rId10508" Type="http://schemas.openxmlformats.org/officeDocument/2006/relationships/hyperlink" Target="https://pbs.twimg.com/profile_images/438395067510697984/O1RO1BuY_normal.jpeg" TargetMode="External"/><Relationship Id="rId23286" Type="http://schemas.openxmlformats.org/officeDocument/2006/relationships/hyperlink" Target="https://pbs.twimg.com/profile_images/3495443611/f8d62116cc5175519399d65e25f834e2_normal.jpeg" TargetMode="External"/><Relationship Id="rId24337" Type="http://schemas.openxmlformats.org/officeDocument/2006/relationships/hyperlink" Target="https://pbs.twimg.com/profile_images/438143958833590272/UAfqZp01_normal.png" TargetMode="External"/><Relationship Id="rId6129" Type="http://schemas.openxmlformats.org/officeDocument/2006/relationships/hyperlink" Target="https://pbs.twimg.com/profile_images/699190247830261761/Zz9ZSVyG_normal.jpg" TargetMode="External"/><Relationship Id="rId9699" Type="http://schemas.openxmlformats.org/officeDocument/2006/relationships/hyperlink" Target="https://twitter.com/techhippie/status/723445798357372928" TargetMode="External"/><Relationship Id="rId16551" Type="http://schemas.openxmlformats.org/officeDocument/2006/relationships/hyperlink" Target="https://pbs.twimg.com/profile_images/718820712757215233/LXXndPTS_normal.jpg" TargetMode="External"/><Relationship Id="rId17602" Type="http://schemas.openxmlformats.org/officeDocument/2006/relationships/hyperlink" Target="https://twitter.com/bzberlin" TargetMode="External"/><Relationship Id="rId20947" Type="http://schemas.openxmlformats.org/officeDocument/2006/relationships/hyperlink" Target="https://pbs.twimg.com/profile_images/1610421423/Image2_normal.jpg" TargetMode="External"/><Relationship Id="rId1688" Type="http://schemas.openxmlformats.org/officeDocument/2006/relationships/hyperlink" Target="https://twitter.com/AvukatQ" TargetMode="External"/><Relationship Id="rId2739" Type="http://schemas.openxmlformats.org/officeDocument/2006/relationships/hyperlink" Target="https://twitter.com/UDelSustainable" TargetMode="External"/><Relationship Id="rId6610" Type="http://schemas.openxmlformats.org/officeDocument/2006/relationships/hyperlink" Target="https://twitter.com/SYirmi/status/723247735831441408" TargetMode="External"/><Relationship Id="rId15153" Type="http://schemas.openxmlformats.org/officeDocument/2006/relationships/hyperlink" Target="https://twitter.com/VWBeetleSales/status/723596019905093633" TargetMode="External"/><Relationship Id="rId16204" Type="http://schemas.openxmlformats.org/officeDocument/2006/relationships/hyperlink" Target="https://pbs.twimg.com/profile_images/703294545195307008/qeCvrX86_normal.jpg" TargetMode="External"/><Relationship Id="rId23420" Type="http://schemas.openxmlformats.org/officeDocument/2006/relationships/hyperlink" Target="https://twitter.com/William24442835" TargetMode="External"/><Relationship Id="rId4161" Type="http://schemas.openxmlformats.org/officeDocument/2006/relationships/hyperlink" Target="https://twitter.com/BS_Verkehr/status/723177424725254146" TargetMode="External"/><Relationship Id="rId5212" Type="http://schemas.openxmlformats.org/officeDocument/2006/relationships/hyperlink" Target="https://twitter.com/CarsUK" TargetMode="External"/><Relationship Id="rId8782" Type="http://schemas.openxmlformats.org/officeDocument/2006/relationships/hyperlink" Target="https://pbs.twimg.com/profile_images/596378323128836096/23C3DVmy_normal.jpg" TargetMode="External"/><Relationship Id="rId18376" Type="http://schemas.openxmlformats.org/officeDocument/2006/relationships/hyperlink" Target="https://pbs.twimg.com/profile_images/723860883768774656/auGhykZE_normal.jpg" TargetMode="External"/><Relationship Id="rId19774" Type="http://schemas.openxmlformats.org/officeDocument/2006/relationships/hyperlink" Target="https://twitter.com/VeeDubMk1_" TargetMode="External"/><Relationship Id="rId22022" Type="http://schemas.openxmlformats.org/officeDocument/2006/relationships/hyperlink" Target="https://pbs.twimg.com/profile_images/703294545195307008/qeCvrX86_normal.jpg" TargetMode="External"/><Relationship Id="rId7384" Type="http://schemas.openxmlformats.org/officeDocument/2006/relationships/hyperlink" Target="https://pbs.twimg.com/profile_images/378800000690779070/70406450c2fdbdc0b23151ed3a2df08e_normal.jpeg" TargetMode="External"/><Relationship Id="rId8435" Type="http://schemas.openxmlformats.org/officeDocument/2006/relationships/hyperlink" Target="https://twitter.com/CoopsNeil/status/723388365823844352" TargetMode="External"/><Relationship Id="rId9833" Type="http://schemas.openxmlformats.org/officeDocument/2006/relationships/hyperlink" Target="https://pbs.twimg.com/profile_images/606204089177927681/5EncE4kG_normal.jpg" TargetMode="External"/><Relationship Id="rId11763" Type="http://schemas.openxmlformats.org/officeDocument/2006/relationships/hyperlink" Target="https://twitter.com/johnvoelcker/status/723507108273098752" TargetMode="External"/><Relationship Id="rId12814" Type="http://schemas.openxmlformats.org/officeDocument/2006/relationships/hyperlink" Target="https://twitter.com/vnawrath" TargetMode="External"/><Relationship Id="rId18029" Type="http://schemas.openxmlformats.org/officeDocument/2006/relationships/hyperlink" Target="https://twitter.com/voosvoos" TargetMode="External"/><Relationship Id="rId19427" Type="http://schemas.openxmlformats.org/officeDocument/2006/relationships/hyperlink" Target="https://twitter.com/OnlineCarReview/status/723931319839776769" TargetMode="External"/><Relationship Id="rId24194" Type="http://schemas.openxmlformats.org/officeDocument/2006/relationships/hyperlink" Target="https://pbs.twimg.com/profile_images/699707841108643840/BOjan7o1_normal.jpg" TargetMode="External"/><Relationship Id="rId25245" Type="http://schemas.openxmlformats.org/officeDocument/2006/relationships/hyperlink" Target="https://pbs.twimg.com/profile_images/720623345029423104/TUxoNGEM_normal.jpg" TargetMode="External"/><Relationship Id="rId25592" Type="http://schemas.openxmlformats.org/officeDocument/2006/relationships/hyperlink" Target="https://twitter.com/George_Rey4" TargetMode="External"/><Relationship Id="rId47" Type="http://schemas.openxmlformats.org/officeDocument/2006/relationships/hyperlink" Target="https://twitter.com/beetlebug1938/status/722920710230908928" TargetMode="External"/><Relationship Id="rId1822" Type="http://schemas.openxmlformats.org/officeDocument/2006/relationships/hyperlink" Target="https://twitter.com/ksujan16" TargetMode="External"/><Relationship Id="rId7037" Type="http://schemas.openxmlformats.org/officeDocument/2006/relationships/hyperlink" Target="https://twitter.com/noz_el/status/723275544629022725" TargetMode="External"/><Relationship Id="rId10365" Type="http://schemas.openxmlformats.org/officeDocument/2006/relationships/hyperlink" Target="https://twitter.com/PatrickMcGee_" TargetMode="External"/><Relationship Id="rId11416" Type="http://schemas.openxmlformats.org/officeDocument/2006/relationships/hyperlink" Target="https://twitter.com/PeteArmstrong" TargetMode="External"/><Relationship Id="rId14986" Type="http://schemas.openxmlformats.org/officeDocument/2006/relationships/hyperlink" Target="https://twitter.com/uextremo/status/723588549698813952" TargetMode="External"/><Relationship Id="rId3994" Type="http://schemas.openxmlformats.org/officeDocument/2006/relationships/hyperlink" Target="https://twitter.com/_Ekow_Andoh" TargetMode="External"/><Relationship Id="rId10018" Type="http://schemas.openxmlformats.org/officeDocument/2006/relationships/hyperlink" Target="https://twitter.com/SNovember_TA" TargetMode="External"/><Relationship Id="rId13588" Type="http://schemas.openxmlformats.org/officeDocument/2006/relationships/hyperlink" Target="https://twitter.com/erlnwhoaaa/status/723551419463249922" TargetMode="External"/><Relationship Id="rId14639" Type="http://schemas.openxmlformats.org/officeDocument/2006/relationships/hyperlink" Target="https://pbs.twimg.com/profile_images/723003937532588032/qZmcNWU-_normal.jpg" TargetMode="External"/><Relationship Id="rId18510" Type="http://schemas.openxmlformats.org/officeDocument/2006/relationships/hyperlink" Target="https://twitter.com/FletcherJonesVW" TargetMode="External"/><Relationship Id="rId21855" Type="http://schemas.openxmlformats.org/officeDocument/2006/relationships/hyperlink" Target="https://twitter.com/smid_m/status/724185231956279296" TargetMode="External"/><Relationship Id="rId22906" Type="http://schemas.openxmlformats.org/officeDocument/2006/relationships/hyperlink" Target="http://dlvr.it/" TargetMode="External"/><Relationship Id="rId2596" Type="http://schemas.openxmlformats.org/officeDocument/2006/relationships/hyperlink" Target="https://pbs.twimg.com/profile_images/701151335853506560/mD3xM1Vm_normal.png" TargetMode="External"/><Relationship Id="rId3647" Type="http://schemas.openxmlformats.org/officeDocument/2006/relationships/hyperlink" Target="https://pbs.twimg.com/profile_images/703294545195307008/qeCvrX86_normal.jpg" TargetMode="External"/><Relationship Id="rId16061" Type="http://schemas.openxmlformats.org/officeDocument/2006/relationships/hyperlink" Target="https://twitter.com/andreasw2000" TargetMode="External"/><Relationship Id="rId17112" Type="http://schemas.openxmlformats.org/officeDocument/2006/relationships/hyperlink" Target="https://twitter.com/coplusx/status/723770294209531904" TargetMode="External"/><Relationship Id="rId20457" Type="http://schemas.openxmlformats.org/officeDocument/2006/relationships/hyperlink" Target="https://twitter.com/gotsomeglas/status/723999348376363010" TargetMode="External"/><Relationship Id="rId21508" Type="http://schemas.openxmlformats.org/officeDocument/2006/relationships/hyperlink" Target="https://twitter.com/vijeyamernath" TargetMode="External"/><Relationship Id="rId568" Type="http://schemas.openxmlformats.org/officeDocument/2006/relationships/hyperlink" Target="https://twitter.com/dejbanlaw/status/722964692402991105" TargetMode="External"/><Relationship Id="rId1198" Type="http://schemas.openxmlformats.org/officeDocument/2006/relationships/hyperlink" Target="https://pbs.twimg.com/profile_images/709900455934038020/6MH7FXB7_normal.jpg" TargetMode="External"/><Relationship Id="rId2249" Type="http://schemas.openxmlformats.org/officeDocument/2006/relationships/hyperlink" Target="https://pbs.twimg.com/profile_images/691987198736994304/QKaDTAUU_normal.jpg" TargetMode="External"/><Relationship Id="rId6120" Type="http://schemas.openxmlformats.org/officeDocument/2006/relationships/hyperlink" Target="https://twitter.com/VWCamperSales" TargetMode="External"/><Relationship Id="rId9690" Type="http://schemas.openxmlformats.org/officeDocument/2006/relationships/hyperlink" Target="https://pbs.twimg.com/profile_images/1307816416/Profilbild_normal.jpg" TargetMode="External"/><Relationship Id="rId19284" Type="http://schemas.openxmlformats.org/officeDocument/2006/relationships/hyperlink" Target="https://pbs.twimg.com/profile_images/534296310221131777/trQtVXmB_normal.jpeg" TargetMode="External"/><Relationship Id="rId2730" Type="http://schemas.openxmlformats.org/officeDocument/2006/relationships/hyperlink" Target="https://twitter.com/FLMedia1/status/723115992776237057" TargetMode="External"/><Relationship Id="rId8292" Type="http://schemas.openxmlformats.org/officeDocument/2006/relationships/hyperlink" Target="https://twitter.com/AndreasAndy3131" TargetMode="External"/><Relationship Id="rId9343" Type="http://schemas.openxmlformats.org/officeDocument/2006/relationships/hyperlink" Target="https://twitter.com/frugalmaniac/status/723430932842082304" TargetMode="External"/><Relationship Id="rId11273" Type="http://schemas.openxmlformats.org/officeDocument/2006/relationships/hyperlink" Target="https://twitter.com/aktionaer" TargetMode="External"/><Relationship Id="rId12671" Type="http://schemas.openxmlformats.org/officeDocument/2006/relationships/hyperlink" Target="https://twitter.com/auxua" TargetMode="External"/><Relationship Id="rId13722" Type="http://schemas.openxmlformats.org/officeDocument/2006/relationships/hyperlink" Target="https://pbs.twimg.com/profile_images/539591992578424832/x7X5mptJ_normal.jpeg" TargetMode="External"/><Relationship Id="rId702" Type="http://schemas.openxmlformats.org/officeDocument/2006/relationships/hyperlink" Target="https://twitter.com/ebaycampervans" TargetMode="External"/><Relationship Id="rId1332" Type="http://schemas.openxmlformats.org/officeDocument/2006/relationships/hyperlink" Target="https://twitter.com/VWCamperSales" TargetMode="External"/><Relationship Id="rId12324" Type="http://schemas.openxmlformats.org/officeDocument/2006/relationships/hyperlink" Target="https://twitter.com/mikereportero/status/723517202045923328" TargetMode="External"/><Relationship Id="rId15894" Type="http://schemas.openxmlformats.org/officeDocument/2006/relationships/hyperlink" Target="https://pbs.twimg.com/profile_images/717798412196810752/5_KUUavR_normal.jpg" TargetMode="External"/><Relationship Id="rId16945" Type="http://schemas.openxmlformats.org/officeDocument/2006/relationships/hyperlink" Target="https://twitter.com/Scirocco_Tuning" TargetMode="External"/><Relationship Id="rId5953" Type="http://schemas.openxmlformats.org/officeDocument/2006/relationships/hyperlink" Target="http://ctrlq.org/maps/address/" TargetMode="External"/><Relationship Id="rId14496" Type="http://schemas.openxmlformats.org/officeDocument/2006/relationships/hyperlink" Target="https://twitter.com/DDROffiziell" TargetMode="External"/><Relationship Id="rId15547" Type="http://schemas.openxmlformats.org/officeDocument/2006/relationships/hyperlink" Target="https://twitter.com/nordlohner" TargetMode="External"/><Relationship Id="rId22763" Type="http://schemas.openxmlformats.org/officeDocument/2006/relationships/hyperlink" Target="https://twitter.com/SanRMaadhwa" TargetMode="External"/><Relationship Id="rId23814" Type="http://schemas.openxmlformats.org/officeDocument/2006/relationships/hyperlink" Target="https://pbs.twimg.com/profile_images/627949001179037696/skEBkS05_normal.jpg" TargetMode="External"/><Relationship Id="rId3157" Type="http://schemas.openxmlformats.org/officeDocument/2006/relationships/hyperlink" Target="https://pbs.twimg.com/profile_images/424893967197433858/iQ86NktX_normal.jpeg" TargetMode="External"/><Relationship Id="rId4555" Type="http://schemas.openxmlformats.org/officeDocument/2006/relationships/hyperlink" Target="https://twitter.com/SnarkyLemur/status/723182436889174017" TargetMode="External"/><Relationship Id="rId5606" Type="http://schemas.openxmlformats.org/officeDocument/2006/relationships/hyperlink" Target="https://twitter.com/AutoBremer/status/723210845497507840" TargetMode="External"/><Relationship Id="rId13098" Type="http://schemas.openxmlformats.org/officeDocument/2006/relationships/hyperlink" Target="https://twitter.com/DaveMichiganTEC/status/723535464079220736" TargetMode="External"/><Relationship Id="rId14149" Type="http://schemas.openxmlformats.org/officeDocument/2006/relationships/hyperlink" Target="http://linkis.com/" TargetMode="External"/><Relationship Id="rId18020" Type="http://schemas.openxmlformats.org/officeDocument/2006/relationships/hyperlink" Target="https://twitter.com/DingosPDR" TargetMode="External"/><Relationship Id="rId21365" Type="http://schemas.openxmlformats.org/officeDocument/2006/relationships/hyperlink" Target="https://twitter.com/Felix_Nyaga" TargetMode="External"/><Relationship Id="rId22416" Type="http://schemas.openxmlformats.org/officeDocument/2006/relationships/hyperlink" Target="https://twitter.com/eduperero/status/724223053232758784" TargetMode="External"/><Relationship Id="rId4208" Type="http://schemas.openxmlformats.org/officeDocument/2006/relationships/hyperlink" Target="https://twitter.com/malheurwoman/status/723178054114144256" TargetMode="External"/><Relationship Id="rId7778" Type="http://schemas.openxmlformats.org/officeDocument/2006/relationships/hyperlink" Target="https://pbs.twimg.com/profile_images/723419146554200067/FWyQNdtP_normal.jpg" TargetMode="External"/><Relationship Id="rId8829" Type="http://schemas.openxmlformats.org/officeDocument/2006/relationships/hyperlink" Target="https://twitter.com/bayl/status/723408584231387136" TargetMode="External"/><Relationship Id="rId10759" Type="http://schemas.openxmlformats.org/officeDocument/2006/relationships/hyperlink" Target="https://pbs.twimg.com/profile_images/3003211219/5eb0510a3d8f48f25da10db3e595b7a0_normal.png" TargetMode="External"/><Relationship Id="rId14630" Type="http://schemas.openxmlformats.org/officeDocument/2006/relationships/hyperlink" Target="https://pbs.twimg.com/profile_images/424893967197433858/iQ86NktX_normal.jpeg" TargetMode="External"/><Relationship Id="rId21018" Type="http://schemas.openxmlformats.org/officeDocument/2006/relationships/hyperlink" Target="https://pbs.twimg.com/profile_images/634021831364747264/5vPrL2JH_normal.jpg" TargetMode="External"/><Relationship Id="rId24588" Type="http://schemas.openxmlformats.org/officeDocument/2006/relationships/hyperlink" Target="https://twitter.com/Immortaliized" TargetMode="External"/><Relationship Id="rId25639" Type="http://schemas.openxmlformats.org/officeDocument/2006/relationships/hyperlink" Target="https://twitter.com/Mankool_Mumbai/status/724454032841035776" TargetMode="External"/><Relationship Id="rId12181" Type="http://schemas.openxmlformats.org/officeDocument/2006/relationships/hyperlink" Target="https://twitter.com/notvwcnada" TargetMode="External"/><Relationship Id="rId13232" Type="http://schemas.openxmlformats.org/officeDocument/2006/relationships/hyperlink" Target="https://pbs.twimg.com/profile_images/717382175071535104/1l_yueaA_normal.jpg" TargetMode="External"/><Relationship Id="rId2240" Type="http://schemas.openxmlformats.org/officeDocument/2006/relationships/hyperlink" Target="https://pbs.twimg.com/profile_images/623234591248265217/_ccxJZ55_normal.jpg" TargetMode="External"/><Relationship Id="rId6861" Type="http://schemas.openxmlformats.org/officeDocument/2006/relationships/hyperlink" Target="https://twitter.com/beetlebug1938" TargetMode="External"/><Relationship Id="rId16455" Type="http://schemas.openxmlformats.org/officeDocument/2006/relationships/hyperlink" Target="https://twitter.com/CameronQland/status/723685164706979840" TargetMode="External"/><Relationship Id="rId17853" Type="http://schemas.openxmlformats.org/officeDocument/2006/relationships/hyperlink" Target="https://pbs.twimg.com/profile_images/657253244968828929/MTJyb-ma_normal.jpg" TargetMode="External"/><Relationship Id="rId18904" Type="http://schemas.openxmlformats.org/officeDocument/2006/relationships/hyperlink" Target="https://pbs.twimg.com/profile_images/530071272881803264/a_jcCmPZ_normal.png" TargetMode="External"/><Relationship Id="rId20101" Type="http://schemas.openxmlformats.org/officeDocument/2006/relationships/hyperlink" Target="https://twitter.com/ErikDurr/status/723975719903223808" TargetMode="External"/><Relationship Id="rId212" Type="http://schemas.openxmlformats.org/officeDocument/2006/relationships/hyperlink" Target="https://twitter.com/techhippie/status/722937799729655810" TargetMode="External"/><Relationship Id="rId5463" Type="http://schemas.openxmlformats.org/officeDocument/2006/relationships/hyperlink" Target="http://dlvr.it/" TargetMode="External"/><Relationship Id="rId6514" Type="http://schemas.openxmlformats.org/officeDocument/2006/relationships/hyperlink" Target="https://twitter.com/BommaritoVWHzWd/status/723245058393145344" TargetMode="External"/><Relationship Id="rId7912" Type="http://schemas.openxmlformats.org/officeDocument/2006/relationships/hyperlink" Target="https://abs.twimg.com/sticky/default_profile_images/default_profile_1_normal.png" TargetMode="External"/><Relationship Id="rId15057" Type="http://schemas.openxmlformats.org/officeDocument/2006/relationships/hyperlink" Target="https://twitter.com/AttorneyLending/status/723591356912906241" TargetMode="External"/><Relationship Id="rId16108" Type="http://schemas.openxmlformats.org/officeDocument/2006/relationships/hyperlink" Target="https://twitter.com/beetlebug1938/status/723648383869685760" TargetMode="External"/><Relationship Id="rId17506" Type="http://schemas.openxmlformats.org/officeDocument/2006/relationships/hyperlink" Target="https://twitter.com/digitalAngst" TargetMode="External"/><Relationship Id="rId22273" Type="http://schemas.openxmlformats.org/officeDocument/2006/relationships/hyperlink" Target="https://twitter.com/VWCamperSales/status/724212589496918017" TargetMode="External"/><Relationship Id="rId23324" Type="http://schemas.openxmlformats.org/officeDocument/2006/relationships/hyperlink" Target="https://twitter.com/SantaPodRaceway/status/724280012577357824" TargetMode="External"/><Relationship Id="rId23671" Type="http://schemas.openxmlformats.org/officeDocument/2006/relationships/hyperlink" Target="https://twitter.com/_thomicastillo" TargetMode="External"/><Relationship Id="rId24722" Type="http://schemas.openxmlformats.org/officeDocument/2006/relationships/hyperlink" Target="https://twitter.com/Mrfloyd36" TargetMode="External"/><Relationship Id="rId4065" Type="http://schemas.openxmlformats.org/officeDocument/2006/relationships/hyperlink" Target="https://pbs.twimg.com/profile_images/652191269934993408/5bZKOI8y_normal.jpg" TargetMode="External"/><Relationship Id="rId5116" Type="http://schemas.openxmlformats.org/officeDocument/2006/relationships/hyperlink" Target="https://twitter.com/uptownvw/status/723194629273862146" TargetMode="External"/><Relationship Id="rId19678" Type="http://schemas.openxmlformats.org/officeDocument/2006/relationships/hyperlink" Target="https://twitter.com/jallen1299" TargetMode="External"/><Relationship Id="rId7288" Type="http://schemas.openxmlformats.org/officeDocument/2006/relationships/hyperlink" Target="https://twitter.com/opalaSS_78/status/723292932187533313" TargetMode="External"/><Relationship Id="rId8686" Type="http://schemas.openxmlformats.org/officeDocument/2006/relationships/hyperlink" Target="https://twitter.com/Optares_Auto/status/723402166371676163" TargetMode="External"/><Relationship Id="rId9737" Type="http://schemas.openxmlformats.org/officeDocument/2006/relationships/hyperlink" Target="https://pbs.twimg.com/profile_images/712388668753846276/lmSVTnOw_normal.jpg" TargetMode="External"/><Relationship Id="rId11667" Type="http://schemas.openxmlformats.org/officeDocument/2006/relationships/hyperlink" Target="https://twitter.com/MorSvinka_83" TargetMode="External"/><Relationship Id="rId12718" Type="http://schemas.openxmlformats.org/officeDocument/2006/relationships/hyperlink" Target="https://twitter.com/LucasCote86/status/723525747831386114" TargetMode="External"/><Relationship Id="rId24098" Type="http://schemas.openxmlformats.org/officeDocument/2006/relationships/hyperlink" Target="https://pbs.twimg.com/profile_images/703294545195307008/qeCvrX86_normal.jpg" TargetMode="External"/><Relationship Id="rId25496" Type="http://schemas.openxmlformats.org/officeDocument/2006/relationships/hyperlink" Target="https://twitter.com/sami19981/status/724444562677202945" TargetMode="External"/><Relationship Id="rId1726" Type="http://schemas.openxmlformats.org/officeDocument/2006/relationships/hyperlink" Target="https://twitter.com/PRESSEKONTOR/status/723054424592142336" TargetMode="External"/><Relationship Id="rId8339" Type="http://schemas.openxmlformats.org/officeDocument/2006/relationships/hyperlink" Target="https://twitter.com/motoexposure/status/723383468256710660" TargetMode="External"/><Relationship Id="rId10269" Type="http://schemas.openxmlformats.org/officeDocument/2006/relationships/hyperlink" Target="https://twitter.com/rbbinforadio/status/723467469223038978" TargetMode="External"/><Relationship Id="rId14140" Type="http://schemas.openxmlformats.org/officeDocument/2006/relationships/hyperlink" Target="https://twitter.com/VWCamperSales" TargetMode="External"/><Relationship Id="rId18761" Type="http://schemas.openxmlformats.org/officeDocument/2006/relationships/hyperlink" Target="https://twitter.com/DonnaCBoehme/status/723894249385811968" TargetMode="External"/><Relationship Id="rId19812" Type="http://schemas.openxmlformats.org/officeDocument/2006/relationships/hyperlink" Target="https://twitter.com/VolkswagenPost/status/723960086574575616" TargetMode="External"/><Relationship Id="rId25149" Type="http://schemas.openxmlformats.org/officeDocument/2006/relationships/hyperlink" Target="https://pbs.twimg.com/profile_images/578040776237588480/ExmIRu0n_normal.jpeg" TargetMode="External"/><Relationship Id="rId3898" Type="http://schemas.openxmlformats.org/officeDocument/2006/relationships/hyperlink" Target="https://twitter.com/SuncoastVW/status/723171563286106112" TargetMode="External"/><Relationship Id="rId4949" Type="http://schemas.openxmlformats.org/officeDocument/2006/relationships/hyperlink" Target="https://twitter.com/_lLoveTini" TargetMode="External"/><Relationship Id="rId8820" Type="http://schemas.openxmlformats.org/officeDocument/2006/relationships/hyperlink" Target="https://twitter.com/carstenhons/status/723408554212745216" TargetMode="External"/><Relationship Id="rId17363" Type="http://schemas.openxmlformats.org/officeDocument/2006/relationships/hyperlink" Target="https://pbs.twimg.com/profile_images/610401931501137920/c0qYTPr__normal.jpg" TargetMode="External"/><Relationship Id="rId18414" Type="http://schemas.openxmlformats.org/officeDocument/2006/relationships/hyperlink" Target="https://twitter.com/josiah_jurado" TargetMode="External"/><Relationship Id="rId21759" Type="http://schemas.openxmlformats.org/officeDocument/2006/relationships/hyperlink" Target="https://pbs.twimg.com/profile_images/711707368212598784/-gzKfj8w_normal.jpg" TargetMode="External"/><Relationship Id="rId25630" Type="http://schemas.openxmlformats.org/officeDocument/2006/relationships/hyperlink" Target="https://twitter.com/techislet/status/724452732262821888" TargetMode="External"/><Relationship Id="rId6371" Type="http://schemas.openxmlformats.org/officeDocument/2006/relationships/hyperlink" Target="https://twitter.com/wingolfahrens/status/723241390583480321" TargetMode="External"/><Relationship Id="rId7422" Type="http://schemas.openxmlformats.org/officeDocument/2006/relationships/hyperlink" Target="https://twitter.com/GaitanAle/status/723302091226251265" TargetMode="External"/><Relationship Id="rId10750" Type="http://schemas.openxmlformats.org/officeDocument/2006/relationships/hyperlink" Target="https://pbs.twimg.com/profile_images/718820712757215233/LXXndPTS_normal.jpg" TargetMode="External"/><Relationship Id="rId11801" Type="http://schemas.openxmlformats.org/officeDocument/2006/relationships/hyperlink" Target="https://pbs.twimg.com/profile_images/612158537448472576/bQPPZ83Y_normal.jpg" TargetMode="External"/><Relationship Id="rId17016" Type="http://schemas.openxmlformats.org/officeDocument/2006/relationships/hyperlink" Target="https://pbs.twimg.com/profile_images/680948958844338176/k8qFUheG_normal.png" TargetMode="External"/><Relationship Id="rId23181" Type="http://schemas.openxmlformats.org/officeDocument/2006/relationships/hyperlink" Target="https://pbs.twimg.com/profile_images/662007239872544768/aWzAWz_v_normal.jpg" TargetMode="External"/><Relationship Id="rId24232" Type="http://schemas.openxmlformats.org/officeDocument/2006/relationships/hyperlink" Target="https://twitter.com/Mphilpot1/status/724339595639287808" TargetMode="External"/><Relationship Id="rId6024" Type="http://schemas.openxmlformats.org/officeDocument/2006/relationships/hyperlink" Target="https://twitter.com/VolkswagenPost" TargetMode="External"/><Relationship Id="rId9594" Type="http://schemas.openxmlformats.org/officeDocument/2006/relationships/hyperlink" Target="https://twitter.com/Insta_VWT" TargetMode="External"/><Relationship Id="rId10403" Type="http://schemas.openxmlformats.org/officeDocument/2006/relationships/hyperlink" Target="https://pbs.twimg.com/profile_images/465803701647446016/jAlkirAe_normal.jpeg" TargetMode="External"/><Relationship Id="rId13973" Type="http://schemas.openxmlformats.org/officeDocument/2006/relationships/hyperlink" Target="https://twitter.com/benny__flow" TargetMode="External"/><Relationship Id="rId19188" Type="http://schemas.openxmlformats.org/officeDocument/2006/relationships/hyperlink" Target="https://pbs.twimg.com/profile_images/542918171158511617/A72BLdkG_normal.png" TargetMode="External"/><Relationship Id="rId1583" Type="http://schemas.openxmlformats.org/officeDocument/2006/relationships/hyperlink" Target="https://twitter.com/aktionaer" TargetMode="External"/><Relationship Id="rId2981" Type="http://schemas.openxmlformats.org/officeDocument/2006/relationships/hyperlink" Target="https://pbs.twimg.com/profile_images/3477322189/129c4efd2a6b9f5acda002db81cea53b_normal.jpeg" TargetMode="External"/><Relationship Id="rId8196" Type="http://schemas.openxmlformats.org/officeDocument/2006/relationships/hyperlink" Target="https://twitter.com/rwosbo" TargetMode="External"/><Relationship Id="rId9247" Type="http://schemas.openxmlformats.org/officeDocument/2006/relationships/hyperlink" Target="https://twitter.com/VWHeritage/status/723428435419238401" TargetMode="External"/><Relationship Id="rId12575" Type="http://schemas.openxmlformats.org/officeDocument/2006/relationships/hyperlink" Target="https://pbs.twimg.com/profile_images/742950248/iStock_000010348636Medium_normal.jpg" TargetMode="External"/><Relationship Id="rId13626" Type="http://schemas.openxmlformats.org/officeDocument/2006/relationships/hyperlink" Target="https://pbs.twimg.com/profile_images/657843319926628352/IdG0HPQm_normal.jpg" TargetMode="External"/><Relationship Id="rId20842" Type="http://schemas.openxmlformats.org/officeDocument/2006/relationships/hyperlink" Target="https://twitter.com/LeoSannchez22" TargetMode="External"/><Relationship Id="rId953" Type="http://schemas.openxmlformats.org/officeDocument/2006/relationships/hyperlink" Target="https://twitter.com/VWsightings" TargetMode="External"/><Relationship Id="rId1236" Type="http://schemas.openxmlformats.org/officeDocument/2006/relationships/hyperlink" Target="https://twitter.com/ACPCarnegie/status/723027454374322176" TargetMode="External"/><Relationship Id="rId2634" Type="http://schemas.openxmlformats.org/officeDocument/2006/relationships/hyperlink" Target="https://twitter.com/SPIEGELONLINE" TargetMode="External"/><Relationship Id="rId11177" Type="http://schemas.openxmlformats.org/officeDocument/2006/relationships/hyperlink" Target="https://pbs.twimg.com/profile_images/2908590566/828967841f09b515ee36e3dfccea4d28_normal.png" TargetMode="External"/><Relationship Id="rId12228" Type="http://schemas.openxmlformats.org/officeDocument/2006/relationships/hyperlink" Target="https://pbs.twimg.com/profile_images/2208847688/Untitled-2_normal.jpg" TargetMode="External"/><Relationship Id="rId15798" Type="http://schemas.openxmlformats.org/officeDocument/2006/relationships/hyperlink" Target="https://twitter.com/stroisila/status/723628002744119298" TargetMode="External"/><Relationship Id="rId16849" Type="http://schemas.openxmlformats.org/officeDocument/2006/relationships/hyperlink" Target="https://twitter.com/Kielia88/status/723742612411260928" TargetMode="External"/><Relationship Id="rId606" Type="http://schemas.openxmlformats.org/officeDocument/2006/relationships/hyperlink" Target="https://twitter.com/jullaanfarias" TargetMode="External"/><Relationship Id="rId5857" Type="http://schemas.openxmlformats.org/officeDocument/2006/relationships/hyperlink" Target="https://pbs.twimg.com/profile_images/694208085263421440/OK1Wrfdk_normal.jpg" TargetMode="External"/><Relationship Id="rId6908" Type="http://schemas.openxmlformats.org/officeDocument/2006/relationships/hyperlink" Target="https://pbs.twimg.com/profile_images/722769379658752001/KR3Ug8LP_normal.jpg" TargetMode="External"/><Relationship Id="rId18271" Type="http://schemas.openxmlformats.org/officeDocument/2006/relationships/hyperlink" Target="https://twitter.com/nicetvgermany" TargetMode="External"/><Relationship Id="rId19322" Type="http://schemas.openxmlformats.org/officeDocument/2006/relationships/hyperlink" Target="https://twitter.com/Insta_VWT/status/723926626896101379" TargetMode="External"/><Relationship Id="rId22667" Type="http://schemas.openxmlformats.org/officeDocument/2006/relationships/hyperlink" Target="https://twitter.com/beetlebug1938/status/724238886159917056" TargetMode="External"/><Relationship Id="rId23718" Type="http://schemas.openxmlformats.org/officeDocument/2006/relationships/hyperlink" Target="https://twitter.com/dubbusses/status/724306841950412800" TargetMode="External"/><Relationship Id="rId4459" Type="http://schemas.openxmlformats.org/officeDocument/2006/relationships/hyperlink" Target="https://twitter.com/nichols_ellen/status/723181345585946624" TargetMode="External"/><Relationship Id="rId8330" Type="http://schemas.openxmlformats.org/officeDocument/2006/relationships/hyperlink" Target="https://twitter.com/Geschnattere/status/723383411352588288" TargetMode="External"/><Relationship Id="rId10260" Type="http://schemas.openxmlformats.org/officeDocument/2006/relationships/hyperlink" Target="https://twitter.com/beetlebug1938/status/723467451887923200" TargetMode="External"/><Relationship Id="rId11311" Type="http://schemas.openxmlformats.org/officeDocument/2006/relationships/hyperlink" Target="https://twitter.com/KatSteward_art/status/723500855215960064" TargetMode="External"/><Relationship Id="rId21269" Type="http://schemas.openxmlformats.org/officeDocument/2006/relationships/hyperlink" Target="https://twitter.com/dubbusses" TargetMode="External"/><Relationship Id="rId25140" Type="http://schemas.openxmlformats.org/officeDocument/2006/relationships/hyperlink" Target="https://pbs.twimg.com/profile_images/472298206483607552/UogAMiRI_normal.png" TargetMode="External"/><Relationship Id="rId4940" Type="http://schemas.openxmlformats.org/officeDocument/2006/relationships/hyperlink" Target="https://twitter.com/VWofStockton" TargetMode="External"/><Relationship Id="rId13483" Type="http://schemas.openxmlformats.org/officeDocument/2006/relationships/hyperlink" Target="https://pbs.twimg.com/profile_images/555076843791843328/yr8ES_nx_normal.png" TargetMode="External"/><Relationship Id="rId14881" Type="http://schemas.openxmlformats.org/officeDocument/2006/relationships/hyperlink" Target="https://pbs.twimg.com/profile_images/459174154097291264/Wc-tvdVg_normal.jpeg" TargetMode="External"/><Relationship Id="rId15932" Type="http://schemas.openxmlformats.org/officeDocument/2006/relationships/hyperlink" Target="https://twitter.com/oldcar_photo/status/723638023380996096" TargetMode="External"/><Relationship Id="rId2491" Type="http://schemas.openxmlformats.org/officeDocument/2006/relationships/hyperlink" Target="https://pbs.twimg.com/profile_images/644482436257185792/immN1agH_normal.jpg" TargetMode="External"/><Relationship Id="rId3542" Type="http://schemas.openxmlformats.org/officeDocument/2006/relationships/hyperlink" Target="https://pbs.twimg.com/profile_images/657853466384191488/J6vAnfZr_normal.jpg" TargetMode="External"/><Relationship Id="rId12085" Type="http://schemas.openxmlformats.org/officeDocument/2006/relationships/hyperlink" Target="https://twitter.com/DasIgno" TargetMode="External"/><Relationship Id="rId13136" Type="http://schemas.openxmlformats.org/officeDocument/2006/relationships/hyperlink" Target="https://twitter.com/mycomfor" TargetMode="External"/><Relationship Id="rId14534" Type="http://schemas.openxmlformats.org/officeDocument/2006/relationships/hyperlink" Target="http://dlvr.it/" TargetMode="External"/><Relationship Id="rId20352" Type="http://schemas.openxmlformats.org/officeDocument/2006/relationships/hyperlink" Target="https://twitter.com/OnlineCarReview" TargetMode="External"/><Relationship Id="rId21403" Type="http://schemas.openxmlformats.org/officeDocument/2006/relationships/hyperlink" Target="https://pbs.twimg.com/profile_images/546161039973572608/y1kL5bgd_normal.jpeg" TargetMode="External"/><Relationship Id="rId21750" Type="http://schemas.openxmlformats.org/officeDocument/2006/relationships/hyperlink" Target="https://pbs.twimg.com/profile_images/692460254941024256/pFx1D2YZ_normal.png" TargetMode="External"/><Relationship Id="rId22801" Type="http://schemas.openxmlformats.org/officeDocument/2006/relationships/hyperlink" Target="https://pbs.twimg.com/profile_images/702511217793863680/lty8h9vE_normal.jpg" TargetMode="External"/><Relationship Id="rId463" Type="http://schemas.openxmlformats.org/officeDocument/2006/relationships/hyperlink" Target="https://pbs.twimg.com/profile_images/652871584131092480/QA_B6SBO_normal.jpg" TargetMode="External"/><Relationship Id="rId1093" Type="http://schemas.openxmlformats.org/officeDocument/2006/relationships/hyperlink" Target="https://pbs.twimg.com/profile_images/466932117843095552/3U3jGoYm_normal.jpeg" TargetMode="External"/><Relationship Id="rId2144" Type="http://schemas.openxmlformats.org/officeDocument/2006/relationships/hyperlink" Target="https://twitter.com/OnlineCarReview/status/723084430370197505" TargetMode="External"/><Relationship Id="rId17757" Type="http://schemas.openxmlformats.org/officeDocument/2006/relationships/hyperlink" Target="https://pbs.twimg.com/profile_images/615493650785660928/XHUh6HOk_normal.jpg" TargetMode="External"/><Relationship Id="rId18808" Type="http://schemas.openxmlformats.org/officeDocument/2006/relationships/hyperlink" Target="https://pbs.twimg.com/profile_images/668467583675457537/B5dG-jc6_normal.jpg" TargetMode="External"/><Relationship Id="rId20005" Type="http://schemas.openxmlformats.org/officeDocument/2006/relationships/hyperlink" Target="https://twitter.com/EvvoNewBeetles/status/723968345914126336" TargetMode="External"/><Relationship Id="rId24973" Type="http://schemas.openxmlformats.org/officeDocument/2006/relationships/hyperlink" Target="https://twitter.com/VAGFanArg" TargetMode="External"/><Relationship Id="rId116" Type="http://schemas.openxmlformats.org/officeDocument/2006/relationships/hyperlink" Target="https://pbs.twimg.com/profile_images/551071362756792320/_kVG5EAu_normal.png" TargetMode="External"/><Relationship Id="rId5367" Type="http://schemas.openxmlformats.org/officeDocument/2006/relationships/hyperlink" Target="https://pbs.twimg.com/profile_images/718820712757215233/LXXndPTS_normal.jpg" TargetMode="External"/><Relationship Id="rId6765" Type="http://schemas.openxmlformats.org/officeDocument/2006/relationships/hyperlink" Target="https://pbs.twimg.com/profile_images/694630849686433792/9mRQSCYO_normal.jpg" TargetMode="External"/><Relationship Id="rId7816" Type="http://schemas.openxmlformats.org/officeDocument/2006/relationships/hyperlink" Target="https://twitter.com/AmazingChevVolt/status/723332569622822913" TargetMode="External"/><Relationship Id="rId16359" Type="http://schemas.openxmlformats.org/officeDocument/2006/relationships/hyperlink" Target="https://pbs.twimg.com/profile_images/535972937346863104/azd9tVvN_normal.jpeg" TargetMode="External"/><Relationship Id="rId22177" Type="http://schemas.openxmlformats.org/officeDocument/2006/relationships/hyperlink" Target="https://pbs.twimg.com/profile_images/552044021774700544/M3FC3arM_normal.jpeg" TargetMode="External"/><Relationship Id="rId23575" Type="http://schemas.openxmlformats.org/officeDocument/2006/relationships/hyperlink" Target="https://twitter.com/mamulavaca/status/724298046226325504" TargetMode="External"/><Relationship Id="rId24626" Type="http://schemas.openxmlformats.org/officeDocument/2006/relationships/hyperlink" Target="https://twitter.com/ebaycampervans/status/724378638183882752" TargetMode="External"/><Relationship Id="rId6418" Type="http://schemas.openxmlformats.org/officeDocument/2006/relationships/hyperlink" Target="https://twitter.com/Insta_VWT" TargetMode="External"/><Relationship Id="rId9988" Type="http://schemas.openxmlformats.org/officeDocument/2006/relationships/hyperlink" Target="https://twitter.com/GermaniaOne" TargetMode="External"/><Relationship Id="rId12969" Type="http://schemas.openxmlformats.org/officeDocument/2006/relationships/hyperlink" Target="https://twitter.com/doern" TargetMode="External"/><Relationship Id="rId16840" Type="http://schemas.openxmlformats.org/officeDocument/2006/relationships/hyperlink" Target="https://twitter.com/Kielia88/status/723741320674742272" TargetMode="External"/><Relationship Id="rId23228" Type="http://schemas.openxmlformats.org/officeDocument/2006/relationships/hyperlink" Target="https://twitter.com/srqstockpicker/status/724274051015950344" TargetMode="External"/><Relationship Id="rId1977" Type="http://schemas.openxmlformats.org/officeDocument/2006/relationships/hyperlink" Target="https://twitter.com/SalihiShejzije" TargetMode="External"/><Relationship Id="rId14391" Type="http://schemas.openxmlformats.org/officeDocument/2006/relationships/hyperlink" Target="https://twitter.com/beetlebug1938" TargetMode="External"/><Relationship Id="rId15442" Type="http://schemas.openxmlformats.org/officeDocument/2006/relationships/hyperlink" Target="https://twitter.com/Kathreinerle" TargetMode="External"/><Relationship Id="rId4450" Type="http://schemas.openxmlformats.org/officeDocument/2006/relationships/hyperlink" Target="https://twitter.com/OnlineCarReview/status/723181289667330049" TargetMode="External"/><Relationship Id="rId5501" Type="http://schemas.openxmlformats.org/officeDocument/2006/relationships/hyperlink" Target="https://twitter.com/quixotequest/status/723206117698899968" TargetMode="External"/><Relationship Id="rId14044" Type="http://schemas.openxmlformats.org/officeDocument/2006/relationships/hyperlink" Target="https://pbs.twimg.com/profile_images/689518828913582081/8Kc-T5oE_normal.jpg" TargetMode="External"/><Relationship Id="rId18665" Type="http://schemas.openxmlformats.org/officeDocument/2006/relationships/hyperlink" Target="https://twitter.com/Onkel_Homie/status/723888058408513536" TargetMode="External"/><Relationship Id="rId21260" Type="http://schemas.openxmlformats.org/officeDocument/2006/relationships/hyperlink" Target="https://twitter.com/PParzival" TargetMode="External"/><Relationship Id="rId22311" Type="http://schemas.openxmlformats.org/officeDocument/2006/relationships/hyperlink" Target="https://pbs.twimg.com/profile_images/569800899141177344/nVFLMSdb_normal.png" TargetMode="External"/><Relationship Id="rId3052" Type="http://schemas.openxmlformats.org/officeDocument/2006/relationships/hyperlink" Target="https://twitter.com/Scirocco_Tuning" TargetMode="External"/><Relationship Id="rId4103" Type="http://schemas.openxmlformats.org/officeDocument/2006/relationships/hyperlink" Target="https://twitter.com/BILD_Reporter/status/723176399180300288" TargetMode="External"/><Relationship Id="rId7673" Type="http://schemas.openxmlformats.org/officeDocument/2006/relationships/hyperlink" Target="https://twitter.com/DLF/status/723323011185651712" TargetMode="External"/><Relationship Id="rId8724" Type="http://schemas.openxmlformats.org/officeDocument/2006/relationships/hyperlink" Target="https://twitter.com/tazgezwitscher" TargetMode="External"/><Relationship Id="rId17267" Type="http://schemas.openxmlformats.org/officeDocument/2006/relationships/hyperlink" Target="https://twitter.com/OnlineCarReview/status/723786635322626048" TargetMode="External"/><Relationship Id="rId18318" Type="http://schemas.openxmlformats.org/officeDocument/2006/relationships/hyperlink" Target="https://pbs.twimg.com/profile_images/552042888666705921/TxWAPB36_normal.png" TargetMode="External"/><Relationship Id="rId19716" Type="http://schemas.openxmlformats.org/officeDocument/2006/relationships/hyperlink" Target="https://twitter.com/GolfitIt/status/723949890418683904" TargetMode="External"/><Relationship Id="rId24483" Type="http://schemas.openxmlformats.org/officeDocument/2006/relationships/hyperlink" Target="https://pbs.twimg.com/profile_images/717481408357384192/HFJkJ88L_normal.jpg" TargetMode="External"/><Relationship Id="rId25534" Type="http://schemas.openxmlformats.org/officeDocument/2006/relationships/hyperlink" Target="https://twitter.com/BohemianBound" TargetMode="External"/><Relationship Id="rId6275" Type="http://schemas.openxmlformats.org/officeDocument/2006/relationships/hyperlink" Target="https://twitter.com/Ren_Kalaj" TargetMode="External"/><Relationship Id="rId7326" Type="http://schemas.openxmlformats.org/officeDocument/2006/relationships/hyperlink" Target="https://twitter.com/BrunoHeitz" TargetMode="External"/><Relationship Id="rId10654" Type="http://schemas.openxmlformats.org/officeDocument/2006/relationships/hyperlink" Target="https://pbs.twimg.com/profile_images/1535569331/IMG00632-20100815-1648_normal.jpg" TargetMode="External"/><Relationship Id="rId11705" Type="http://schemas.openxmlformats.org/officeDocument/2006/relationships/hyperlink" Target="https://twitter.com/DoMarMac/status/723505757342339072" TargetMode="External"/><Relationship Id="rId23085" Type="http://schemas.openxmlformats.org/officeDocument/2006/relationships/hyperlink" Target="https://twitter.com/KarlRennison" TargetMode="External"/><Relationship Id="rId24136" Type="http://schemas.openxmlformats.org/officeDocument/2006/relationships/hyperlink" Target="https://twitter.com/cotswoldcamper" TargetMode="External"/><Relationship Id="rId9498" Type="http://schemas.openxmlformats.org/officeDocument/2006/relationships/hyperlink" Target="https://pbs.twimg.com/profile_images/718820712757215233/LXXndPTS_normal.jpg" TargetMode="External"/><Relationship Id="rId10307" Type="http://schemas.openxmlformats.org/officeDocument/2006/relationships/hyperlink" Target="https://twitter.com/handelsblatt" TargetMode="External"/><Relationship Id="rId13877" Type="http://schemas.openxmlformats.org/officeDocument/2006/relationships/hyperlink" Target="https://pbs.twimg.com/profile_images/2740336586/4a1556e715d404a87866125fbfd1d016_normal.jpeg" TargetMode="External"/><Relationship Id="rId14928" Type="http://schemas.openxmlformats.org/officeDocument/2006/relationships/hyperlink" Target="https://pbs.twimg.com/profile_images/627949001179037696/skEBkS05_normal.jpg" TargetMode="External"/><Relationship Id="rId2885" Type="http://schemas.openxmlformats.org/officeDocument/2006/relationships/hyperlink" Target="https://pbs.twimg.com/profile_images/679552623641509888/_vPw9IS2_normal.png" TargetMode="External"/><Relationship Id="rId3936" Type="http://schemas.openxmlformats.org/officeDocument/2006/relationships/hyperlink" Target="https://twitter.com/at_trend" TargetMode="External"/><Relationship Id="rId12479" Type="http://schemas.openxmlformats.org/officeDocument/2006/relationships/hyperlink" Target="https://twitter.com/wehrs18/status/723520230476124161" TargetMode="External"/><Relationship Id="rId16350" Type="http://schemas.openxmlformats.org/officeDocument/2006/relationships/hyperlink" Target="https://pbs.twimg.com/profile_images/557683961036828673/88lV9nT3_normal.jpeg" TargetMode="External"/><Relationship Id="rId17401" Type="http://schemas.openxmlformats.org/officeDocument/2006/relationships/hyperlink" Target="https://twitter.com/liverpoolVWCV" TargetMode="External"/><Relationship Id="rId20746" Type="http://schemas.openxmlformats.org/officeDocument/2006/relationships/hyperlink" Target="https://pbs.twimg.com/profile_images/683068570926985216/vAf4Alw0_normal.jpg" TargetMode="External"/><Relationship Id="rId857" Type="http://schemas.openxmlformats.org/officeDocument/2006/relationships/hyperlink" Target="https://twitter.com/wingston/status/722992270375448576" TargetMode="External"/><Relationship Id="rId1487" Type="http://schemas.openxmlformats.org/officeDocument/2006/relationships/hyperlink" Target="https://pbs.twimg.com/profile_images/378800000038464969/e8c6a0d490068116195580ff6643ca8d_normal.jpeg" TargetMode="External"/><Relationship Id="rId2538" Type="http://schemas.openxmlformats.org/officeDocument/2006/relationships/hyperlink" Target="https://pbs.twimg.com/profile_images/703294545195307008/qeCvrX86_normal.jpg" TargetMode="External"/><Relationship Id="rId16003" Type="http://schemas.openxmlformats.org/officeDocument/2006/relationships/hyperlink" Target="https://pbs.twimg.com/profile_images/620720275085258752/RHLkT3gP_normal.jpg" TargetMode="External"/><Relationship Id="rId19573" Type="http://schemas.openxmlformats.org/officeDocument/2006/relationships/hyperlink" Target="https://pbs.twimg.com/profile_images/713544356381245440/0_b-xJXi_normal.jpg" TargetMode="External"/><Relationship Id="rId23969" Type="http://schemas.openxmlformats.org/officeDocument/2006/relationships/hyperlink" Target="https://pbs.twimg.com/profile_images/657481901180133376/Un2dlh2n_normal.jpg" TargetMode="External"/><Relationship Id="rId5011" Type="http://schemas.openxmlformats.org/officeDocument/2006/relationships/hyperlink" Target="https://pbs.twimg.com/profile_images/580401869371105282/OgAHc7s8_normal.png" TargetMode="External"/><Relationship Id="rId8581" Type="http://schemas.openxmlformats.org/officeDocument/2006/relationships/hyperlink" Target="https://pbs.twimg.com/profile_images/3755362794/5f01b194caef9fe1d31d019df44d0c0b_normal.jpeg" TargetMode="External"/><Relationship Id="rId9632" Type="http://schemas.openxmlformats.org/officeDocument/2006/relationships/hyperlink" Target="https://pbs.twimg.com/profile_images/466908605317279744/I5a712BQ_normal.jpeg" TargetMode="External"/><Relationship Id="rId11562" Type="http://schemas.openxmlformats.org/officeDocument/2006/relationships/hyperlink" Target="https://pbs.twimg.com/profile_images/573395717953224705/aSHONgO9_normal.jpeg" TargetMode="External"/><Relationship Id="rId12960" Type="http://schemas.openxmlformats.org/officeDocument/2006/relationships/hyperlink" Target="https://twitter.com/OnlineCarReview" TargetMode="External"/><Relationship Id="rId18175" Type="http://schemas.openxmlformats.org/officeDocument/2006/relationships/hyperlink" Target="https://twitter.com/CornwallBzForum" TargetMode="External"/><Relationship Id="rId19226" Type="http://schemas.openxmlformats.org/officeDocument/2006/relationships/hyperlink" Target="https://pbs.twimg.com/profile_images/644897595442241536/62y226Ai_normal.jpg" TargetMode="External"/><Relationship Id="rId25391" Type="http://schemas.openxmlformats.org/officeDocument/2006/relationships/hyperlink" Target="https://pbs.twimg.com/profile_images/705780107844067328/e7O4UBNb_normal.jpg" TargetMode="External"/><Relationship Id="rId1621" Type="http://schemas.openxmlformats.org/officeDocument/2006/relationships/hyperlink" Target="https://pbs.twimg.com/profile_images/688412401667035136/gvoxnxoc_normal.jpg" TargetMode="External"/><Relationship Id="rId7183" Type="http://schemas.openxmlformats.org/officeDocument/2006/relationships/hyperlink" Target="https://twitter.com/buybackmytdi" TargetMode="External"/><Relationship Id="rId8234" Type="http://schemas.openxmlformats.org/officeDocument/2006/relationships/hyperlink" Target="https://pbs.twimg.com/profile_images/619495022715645952/KN0iPdsN_normal.jpg" TargetMode="External"/><Relationship Id="rId10164" Type="http://schemas.openxmlformats.org/officeDocument/2006/relationships/hyperlink" Target="https://pbs.twimg.com/profile_images/2502753148/czh41uwtf2ms0632v818_normal.png" TargetMode="External"/><Relationship Id="rId11215" Type="http://schemas.openxmlformats.org/officeDocument/2006/relationships/hyperlink" Target="https://twitter.com/KeithNaughton" TargetMode="External"/><Relationship Id="rId12613" Type="http://schemas.openxmlformats.org/officeDocument/2006/relationships/hyperlink" Target="https://pbs.twimg.com/profile_images/2907571831/3e7faf922d5d13b5b2aeb2b46b7b83d0_normal.jpeg" TargetMode="External"/><Relationship Id="rId25044" Type="http://schemas.openxmlformats.org/officeDocument/2006/relationships/hyperlink" Target="https://pbs.twimg.com/profile_images/542918171158511617/A72BLdkG_normal.png" TargetMode="External"/><Relationship Id="rId3793" Type="http://schemas.openxmlformats.org/officeDocument/2006/relationships/hyperlink" Target="https://pbs.twimg.com/profile_images/448813982271291392/3ey9jQV0_normal.jpeg" TargetMode="External"/><Relationship Id="rId14785" Type="http://schemas.openxmlformats.org/officeDocument/2006/relationships/hyperlink" Target="https://twitter.com/deanomsport" TargetMode="External"/><Relationship Id="rId15836" Type="http://schemas.openxmlformats.org/officeDocument/2006/relationships/hyperlink" Target="https://twitter.com/NoahsitoW" TargetMode="External"/><Relationship Id="rId2395" Type="http://schemas.openxmlformats.org/officeDocument/2006/relationships/hyperlink" Target="https://twitter.com/DieselGate_es" TargetMode="External"/><Relationship Id="rId3446" Type="http://schemas.openxmlformats.org/officeDocument/2006/relationships/hyperlink" Target="https://pbs.twimg.com/profile_images/693156293842894848/THX8L389_normal.jpg" TargetMode="External"/><Relationship Id="rId4844" Type="http://schemas.openxmlformats.org/officeDocument/2006/relationships/hyperlink" Target="https://twitter.com/nicolaborri/status/723188829117665280" TargetMode="External"/><Relationship Id="rId13387" Type="http://schemas.openxmlformats.org/officeDocument/2006/relationships/hyperlink" Target="https://pbs.twimg.com/profile_images/610791118146531328/It8RZAaT_normal.jpg" TargetMode="External"/><Relationship Id="rId14438" Type="http://schemas.openxmlformats.org/officeDocument/2006/relationships/hyperlink" Target="https://pbs.twimg.com/profile_images/953096495/ISchnee_web_normal.jpg" TargetMode="External"/><Relationship Id="rId21654" Type="http://schemas.openxmlformats.org/officeDocument/2006/relationships/hyperlink" Target="https://pbs.twimg.com/profile_images/488678354338324481/_qtBruR6_normal.jpeg" TargetMode="External"/><Relationship Id="rId22705" Type="http://schemas.openxmlformats.org/officeDocument/2006/relationships/hyperlink" Target="https://pbs.twimg.com/profile_images/613241652002574336/qoq_ha57_normal.jpg" TargetMode="External"/><Relationship Id="rId367" Type="http://schemas.openxmlformats.org/officeDocument/2006/relationships/hyperlink" Target="https://pbs.twimg.com/profile_images/536992595621081088/MeyB4zuy_normal.jpeg" TargetMode="External"/><Relationship Id="rId2048" Type="http://schemas.openxmlformats.org/officeDocument/2006/relationships/hyperlink" Target="https://twitter.com/foroDGT" TargetMode="External"/><Relationship Id="rId20256" Type="http://schemas.openxmlformats.org/officeDocument/2006/relationships/hyperlink" Target="https://pbs.twimg.com/profile_images/254110814/DroppedLOGO_jpeg_normal.jpg" TargetMode="External"/><Relationship Id="rId21307" Type="http://schemas.openxmlformats.org/officeDocument/2006/relationships/hyperlink" Target="https://pbs.twimg.com/profile_images/543436298133184513/apPABZai_normal.jpeg" TargetMode="External"/><Relationship Id="rId24877" Type="http://schemas.openxmlformats.org/officeDocument/2006/relationships/hyperlink" Target="https://pbs.twimg.com/profile_images/580379355055968256/ucfbeQU7_normal.png" TargetMode="External"/><Relationship Id="rId6669" Type="http://schemas.openxmlformats.org/officeDocument/2006/relationships/hyperlink" Target="https://twitter.com/HFensterman/status/723251749474193408" TargetMode="External"/><Relationship Id="rId8091" Type="http://schemas.openxmlformats.org/officeDocument/2006/relationships/hyperlink" Target="https://twitter.com/tbachner/status/723365339258441736" TargetMode="External"/><Relationship Id="rId12470" Type="http://schemas.openxmlformats.org/officeDocument/2006/relationships/hyperlink" Target="https://twitter.com/vdub_mike/status/723519921909538818" TargetMode="External"/><Relationship Id="rId13521" Type="http://schemas.openxmlformats.org/officeDocument/2006/relationships/hyperlink" Target="http://feedom.de/" TargetMode="External"/><Relationship Id="rId19083" Type="http://schemas.openxmlformats.org/officeDocument/2006/relationships/hyperlink" Target="https://pbs.twimg.com/profile_images/713126574036377600/SToYnSGD_normal.jpg" TargetMode="External"/><Relationship Id="rId23479" Type="http://schemas.openxmlformats.org/officeDocument/2006/relationships/hyperlink" Target="https://twitter.com/ldnsecuritysynd" TargetMode="External"/><Relationship Id="rId9142" Type="http://schemas.openxmlformats.org/officeDocument/2006/relationships/hyperlink" Target="https://twitter.com/UsatoAutoSystem/status/723422137873104897" TargetMode="External"/><Relationship Id="rId11072" Type="http://schemas.openxmlformats.org/officeDocument/2006/relationships/hyperlink" Target="https://twitter.com/hdBerretz/status/723496475641151494" TargetMode="External"/><Relationship Id="rId12123" Type="http://schemas.openxmlformats.org/officeDocument/2006/relationships/hyperlink" Target="http://instock.de/" TargetMode="External"/><Relationship Id="rId15693" Type="http://schemas.openxmlformats.org/officeDocument/2006/relationships/hyperlink" Target="https://twitter.com/SnowAngel0724" TargetMode="External"/><Relationship Id="rId16744" Type="http://schemas.openxmlformats.org/officeDocument/2006/relationships/hyperlink" Target="https://pbs.twimg.com/profile_images/700445723104407552/1a_55IZR_normal.jpg" TargetMode="External"/><Relationship Id="rId501" Type="http://schemas.openxmlformats.org/officeDocument/2006/relationships/hyperlink" Target="https://twitter.com/greenolizer" TargetMode="External"/><Relationship Id="rId1131" Type="http://schemas.openxmlformats.org/officeDocument/2006/relationships/hyperlink" Target="https://twitter.com/angelathompson5" TargetMode="External"/><Relationship Id="rId5752" Type="http://schemas.openxmlformats.org/officeDocument/2006/relationships/hyperlink" Target="https://pbs.twimg.com/profile_images/582877066447753216/5VgRsWF1_normal.jpg" TargetMode="External"/><Relationship Id="rId6803" Type="http://schemas.openxmlformats.org/officeDocument/2006/relationships/hyperlink" Target="https://pbs.twimg.com/profile_images/714049211961057280/MfUB7ecL_normal.jpg" TargetMode="External"/><Relationship Id="rId14295" Type="http://schemas.openxmlformats.org/officeDocument/2006/relationships/hyperlink" Target="https://pbs.twimg.com/profile_images/716932029871493120/R3aFT7Lx_normal.jpg" TargetMode="External"/><Relationship Id="rId15346" Type="http://schemas.openxmlformats.org/officeDocument/2006/relationships/hyperlink" Target="https://twitter.com/gigiocamicio/status/723604266556993536" TargetMode="External"/><Relationship Id="rId22562" Type="http://schemas.openxmlformats.org/officeDocument/2006/relationships/hyperlink" Target="https://twitter.com/Iraundi" TargetMode="External"/><Relationship Id="rId23613" Type="http://schemas.openxmlformats.org/officeDocument/2006/relationships/hyperlink" Target="https://twitter.com/Speak_EV" TargetMode="External"/><Relationship Id="rId23960" Type="http://schemas.openxmlformats.org/officeDocument/2006/relationships/hyperlink" Target="https://pbs.twimg.com/profile_images/422164778639839234/LVnS1q1c_normal.jpeg" TargetMode="External"/><Relationship Id="rId4354" Type="http://schemas.openxmlformats.org/officeDocument/2006/relationships/hyperlink" Target="https://twitter.com/jallen191" TargetMode="External"/><Relationship Id="rId5405" Type="http://schemas.openxmlformats.org/officeDocument/2006/relationships/hyperlink" Target="https://twitter.com/VolkswagenPost/status/723202596350074880" TargetMode="External"/><Relationship Id="rId19967" Type="http://schemas.openxmlformats.org/officeDocument/2006/relationships/hyperlink" Target="https://twitter.com/_clairdelune/status/723965384727007232" TargetMode="External"/><Relationship Id="rId21164" Type="http://schemas.openxmlformats.org/officeDocument/2006/relationships/hyperlink" Target="https://twitter.com/micabesita" TargetMode="External"/><Relationship Id="rId22215" Type="http://schemas.openxmlformats.org/officeDocument/2006/relationships/hyperlink" Target="https://twitter.com/VWCamperSales/status/724209318099214338" TargetMode="External"/><Relationship Id="rId4007" Type="http://schemas.openxmlformats.org/officeDocument/2006/relationships/hyperlink" Target="https://twitter.com/HotRidesDaily1/status/723174482756640768" TargetMode="External"/><Relationship Id="rId7577" Type="http://schemas.openxmlformats.org/officeDocument/2006/relationships/hyperlink" Target="https://twitter.com/Mlcaela_Soosa/status/723315248200073216" TargetMode="External"/><Relationship Id="rId8975" Type="http://schemas.openxmlformats.org/officeDocument/2006/relationships/hyperlink" Target="https://twitter.com/beetlebug1938" TargetMode="External"/><Relationship Id="rId11956" Type="http://schemas.openxmlformats.org/officeDocument/2006/relationships/hyperlink" Target="https://twitter.com/LarsGehrke/status/723511057277399040" TargetMode="External"/><Relationship Id="rId18569" Type="http://schemas.openxmlformats.org/officeDocument/2006/relationships/hyperlink" Target="https://twitter.com/PheonixJane/status/723880363391631360" TargetMode="External"/><Relationship Id="rId24387" Type="http://schemas.openxmlformats.org/officeDocument/2006/relationships/hyperlink" Target="https://twitter.com/xicosantos99/status/724353173985566720" TargetMode="External"/><Relationship Id="rId6179" Type="http://schemas.openxmlformats.org/officeDocument/2006/relationships/hyperlink" Target="https://pbs.twimg.com/profile_images/627949001179037696/skEBkS05_normal.jpg" TargetMode="External"/><Relationship Id="rId8628" Type="http://schemas.openxmlformats.org/officeDocument/2006/relationships/hyperlink" Target="https://twitter.com/gutbranson/status/723399391885725696" TargetMode="External"/><Relationship Id="rId10558" Type="http://schemas.openxmlformats.org/officeDocument/2006/relationships/hyperlink" Target="https://twitter.com/Hilda_VillegasA/status/723476818746048512" TargetMode="External"/><Relationship Id="rId11609" Type="http://schemas.openxmlformats.org/officeDocument/2006/relationships/hyperlink" Target="https://twitter.com/Gorm_Bawssz" TargetMode="External"/><Relationship Id="rId25438" Type="http://schemas.openxmlformats.org/officeDocument/2006/relationships/hyperlink" Target="https://twitter.com/AmazingChevVolt" TargetMode="External"/><Relationship Id="rId13031" Type="http://schemas.openxmlformats.org/officeDocument/2006/relationships/hyperlink" Target="https://pbs.twimg.com/profile_images/1161863027/041110_normal.jpg" TargetMode="External"/><Relationship Id="rId17652" Type="http://schemas.openxmlformats.org/officeDocument/2006/relationships/hyperlink" Target="https://twitter.com/SantaPodRaceway" TargetMode="External"/><Relationship Id="rId18703" Type="http://schemas.openxmlformats.org/officeDocument/2006/relationships/hyperlink" Target="https://twitter.com/hirokigb" TargetMode="External"/><Relationship Id="rId20997" Type="http://schemas.openxmlformats.org/officeDocument/2006/relationships/hyperlink" Target="https://pbs.twimg.com/profile_images/569169141001498624/RzUbfsWR_normal.jpeg" TargetMode="External"/><Relationship Id="rId2789" Type="http://schemas.openxmlformats.org/officeDocument/2006/relationships/hyperlink" Target="https://twitter.com/WIAT42" TargetMode="External"/><Relationship Id="rId6660" Type="http://schemas.openxmlformats.org/officeDocument/2006/relationships/hyperlink" Target="https://twitter.com/PeterConstant/status/723250606589267969" TargetMode="External"/><Relationship Id="rId7711" Type="http://schemas.openxmlformats.org/officeDocument/2006/relationships/hyperlink" Target="https://pbs.twimg.com/profile_images/714653379893534720/oeuBc6wd_normal.jpg" TargetMode="External"/><Relationship Id="rId16254" Type="http://schemas.openxmlformats.org/officeDocument/2006/relationships/hyperlink" Target="https://twitter.com/jahdaic/status/723662079425695745" TargetMode="External"/><Relationship Id="rId17305" Type="http://schemas.openxmlformats.org/officeDocument/2006/relationships/hyperlink" Target="https://twitter.com/fceintracht1992" TargetMode="External"/><Relationship Id="rId23470" Type="http://schemas.openxmlformats.org/officeDocument/2006/relationships/hyperlink" Target="https://twitter.com/DeichCruiser/status/724291233816948737" TargetMode="External"/><Relationship Id="rId24521" Type="http://schemas.openxmlformats.org/officeDocument/2006/relationships/hyperlink" Target="https://pbs.twimg.com/profile_images/718820712757215233/LXXndPTS_normal.jpg" TargetMode="External"/><Relationship Id="rId5262" Type="http://schemas.openxmlformats.org/officeDocument/2006/relationships/hyperlink" Target="https://twitter.com/AlexWitzleben" TargetMode="External"/><Relationship Id="rId6313" Type="http://schemas.openxmlformats.org/officeDocument/2006/relationships/hyperlink" Target="https://pbs.twimg.com/profile_images/674243575698165760/rpDiwt_o_normal.jpg" TargetMode="External"/><Relationship Id="rId9883" Type="http://schemas.openxmlformats.org/officeDocument/2006/relationships/hyperlink" Target="https://twitter.com/Hallaschka_HH/status/723452810411409408" TargetMode="External"/><Relationship Id="rId19477" Type="http://schemas.openxmlformats.org/officeDocument/2006/relationships/hyperlink" Target="https://pbs.twimg.com/profile_images/627949001179037696/skEBkS05_normal.jpg" TargetMode="External"/><Relationship Id="rId22072" Type="http://schemas.openxmlformats.org/officeDocument/2006/relationships/hyperlink" Target="https://twitter.com/VeeDubMk1_" TargetMode="External"/><Relationship Id="rId23123" Type="http://schemas.openxmlformats.org/officeDocument/2006/relationships/hyperlink" Target="https://pbs.twimg.com/profile_images/594510536907345923/2ywkaaJN_normal.jpg" TargetMode="External"/><Relationship Id="rId97" Type="http://schemas.openxmlformats.org/officeDocument/2006/relationships/hyperlink" Target="https://twitter.com/ShannonLeinert/status/722926128940224512" TargetMode="External"/><Relationship Id="rId1872" Type="http://schemas.openxmlformats.org/officeDocument/2006/relationships/hyperlink" Target="https://pbs.twimg.com/profile_images/2547861726/image_normal.jpg" TargetMode="External"/><Relationship Id="rId8485" Type="http://schemas.openxmlformats.org/officeDocument/2006/relationships/hyperlink" Target="https://twitter.com/wolf_Sti/status/723390771861164033" TargetMode="External"/><Relationship Id="rId9536" Type="http://schemas.openxmlformats.org/officeDocument/2006/relationships/hyperlink" Target="https://twitter.com/tuskami/status/723438636922851329" TargetMode="External"/><Relationship Id="rId12864" Type="http://schemas.openxmlformats.org/officeDocument/2006/relationships/hyperlink" Target="https://twitter.com/SammiLeopold08/status/723529705492762625" TargetMode="External"/><Relationship Id="rId13915" Type="http://schemas.openxmlformats.org/officeDocument/2006/relationships/hyperlink" Target="https://twitter.com/ParkwayVW/status/723558702742003713" TargetMode="External"/><Relationship Id="rId18079" Type="http://schemas.openxmlformats.org/officeDocument/2006/relationships/hyperlink" Target="https://pbs.twimg.com/profile_images/684637471917883392/edHMl99a_normal.jpg" TargetMode="External"/><Relationship Id="rId25295" Type="http://schemas.openxmlformats.org/officeDocument/2006/relationships/hyperlink" Target="https://twitter.com/OnlineCarReview" TargetMode="External"/><Relationship Id="rId1525" Type="http://schemas.openxmlformats.org/officeDocument/2006/relationships/hyperlink" Target="https://pbs.twimg.com/profile_images/1477876373/RO_normal.jpg" TargetMode="External"/><Relationship Id="rId2923" Type="http://schemas.openxmlformats.org/officeDocument/2006/relationships/hyperlink" Target="https://twitter.com/noz_de/status/723126076805931008" TargetMode="External"/><Relationship Id="rId7087" Type="http://schemas.openxmlformats.org/officeDocument/2006/relationships/hyperlink" Target="https://twitter.com/FuscaWorld/status/723277708130680833" TargetMode="External"/><Relationship Id="rId8138" Type="http://schemas.openxmlformats.org/officeDocument/2006/relationships/hyperlink" Target="https://twitter.com/bumbesje/status/723371655150505984" TargetMode="External"/><Relationship Id="rId10068" Type="http://schemas.openxmlformats.org/officeDocument/2006/relationships/hyperlink" Target="https://pbs.twimg.com/profile_images/378800000572104796/1de43e1cf23efb3f4101c02afad0d3b6_normal.png" TargetMode="External"/><Relationship Id="rId11466" Type="http://schemas.openxmlformats.org/officeDocument/2006/relationships/hyperlink" Target="https://pbs.twimg.com/profile_images/684159552300933120/g_PX7ed9_normal.jpg" TargetMode="External"/><Relationship Id="rId12517" Type="http://schemas.openxmlformats.org/officeDocument/2006/relationships/hyperlink" Target="https://twitter.com/mdrde" TargetMode="External"/><Relationship Id="rId11119" Type="http://schemas.openxmlformats.org/officeDocument/2006/relationships/hyperlink" Target="https://pbs.twimg.com/profile_images/562563461171798017/AkHF4keI_normal.png" TargetMode="External"/><Relationship Id="rId14689" Type="http://schemas.openxmlformats.org/officeDocument/2006/relationships/hyperlink" Target="https://twitter.com/karingonzalez2" TargetMode="External"/><Relationship Id="rId18560" Type="http://schemas.openxmlformats.org/officeDocument/2006/relationships/hyperlink" Target="https://twitter.com/AlpinumIm/status/723878965564321792" TargetMode="External"/><Relationship Id="rId19611" Type="http://schemas.openxmlformats.org/officeDocument/2006/relationships/hyperlink" Target="https://twitter.com/MorSvinka_83/status/723942332723302401" TargetMode="External"/><Relationship Id="rId22956" Type="http://schemas.openxmlformats.org/officeDocument/2006/relationships/hyperlink" Target="https://pbs.twimg.com/profile_images/437502252345872384/-ArFfvcS_normal.png" TargetMode="External"/><Relationship Id="rId2299" Type="http://schemas.openxmlformats.org/officeDocument/2006/relationships/hyperlink" Target="https://twitter.com/NicolasTetrault" TargetMode="External"/><Relationship Id="rId3697" Type="http://schemas.openxmlformats.org/officeDocument/2006/relationships/hyperlink" Target="https://twitter.com/MarkCSchneider/status/723167979719020544" TargetMode="External"/><Relationship Id="rId4748" Type="http://schemas.openxmlformats.org/officeDocument/2006/relationships/hyperlink" Target="https://twitter.com/KeyStone_Search/status/723186644908695552" TargetMode="External"/><Relationship Id="rId11600" Type="http://schemas.openxmlformats.org/officeDocument/2006/relationships/hyperlink" Target="https://twitter.com/dw_business" TargetMode="External"/><Relationship Id="rId17162" Type="http://schemas.openxmlformats.org/officeDocument/2006/relationships/hyperlink" Target="https://twitter.com/aktionaer/status/723775440502972416" TargetMode="External"/><Relationship Id="rId18213" Type="http://schemas.openxmlformats.org/officeDocument/2006/relationships/hyperlink" Target="https://pbs.twimg.com/profile_images/687676353450217472/nPh8M5dG_normal.jpg" TargetMode="External"/><Relationship Id="rId21558" Type="http://schemas.openxmlformats.org/officeDocument/2006/relationships/hyperlink" Target="https://pbs.twimg.com/profile_images/707176643509538817/-s_VKgK4_normal.jpg" TargetMode="External"/><Relationship Id="rId22609" Type="http://schemas.openxmlformats.org/officeDocument/2006/relationships/hyperlink" Target="https://twitter.com/fantigos/status/724234620527620096" TargetMode="External"/><Relationship Id="rId6170" Type="http://schemas.openxmlformats.org/officeDocument/2006/relationships/hyperlink" Target="http://dlvr.it/" TargetMode="External"/><Relationship Id="rId7221" Type="http://schemas.openxmlformats.org/officeDocument/2006/relationships/hyperlink" Target="http://dlvr.it/" TargetMode="External"/><Relationship Id="rId10202" Type="http://schemas.openxmlformats.org/officeDocument/2006/relationships/hyperlink" Target="https://twitter.com/boersenzeitung/status/723465833633189888" TargetMode="External"/><Relationship Id="rId13772" Type="http://schemas.openxmlformats.org/officeDocument/2006/relationships/hyperlink" Target="https://twitter.com/BghBghxxl/status/723555810626920449" TargetMode="External"/><Relationship Id="rId24031" Type="http://schemas.openxmlformats.org/officeDocument/2006/relationships/hyperlink" Target="https://twitter.com/leanolmed0" TargetMode="External"/><Relationship Id="rId2780" Type="http://schemas.openxmlformats.org/officeDocument/2006/relationships/hyperlink" Target="https://twitter.com/WMGLeasing" TargetMode="External"/><Relationship Id="rId3831" Type="http://schemas.openxmlformats.org/officeDocument/2006/relationships/hyperlink" Target="https://twitter.com/stekauf/status/723170269091663872" TargetMode="External"/><Relationship Id="rId9393" Type="http://schemas.openxmlformats.org/officeDocument/2006/relationships/hyperlink" Target="https://pbs.twimg.com/profile_images/378800000860241295/VwDIjjjI_normal.png" TargetMode="External"/><Relationship Id="rId12374" Type="http://schemas.openxmlformats.org/officeDocument/2006/relationships/hyperlink" Target="https://twitter.com/NetzwerkggS21" TargetMode="External"/><Relationship Id="rId13425" Type="http://schemas.openxmlformats.org/officeDocument/2006/relationships/hyperlink" Target="https://twitter.com/IngmarStreese" TargetMode="External"/><Relationship Id="rId14823" Type="http://schemas.openxmlformats.org/officeDocument/2006/relationships/hyperlink" Target="https://twitter.com/kurtseinitz/status/723584205880483841" TargetMode="External"/><Relationship Id="rId20641" Type="http://schemas.openxmlformats.org/officeDocument/2006/relationships/hyperlink" Target="https://twitter.com/NicoLeivaOK" TargetMode="External"/><Relationship Id="rId752" Type="http://schemas.openxmlformats.org/officeDocument/2006/relationships/hyperlink" Target="https://twitter.com/OrlandoYurie" TargetMode="External"/><Relationship Id="rId1382" Type="http://schemas.openxmlformats.org/officeDocument/2006/relationships/hyperlink" Target="https://twitter.com/MikeDeGerman" TargetMode="External"/><Relationship Id="rId2433" Type="http://schemas.openxmlformats.org/officeDocument/2006/relationships/hyperlink" Target="https://pbs.twimg.com/profile_images/703294545195307008/qeCvrX86_normal.jpg" TargetMode="External"/><Relationship Id="rId9046" Type="http://schemas.openxmlformats.org/officeDocument/2006/relationships/hyperlink" Target="https://twitter.com/hugobassey/status/723419107647877120" TargetMode="External"/><Relationship Id="rId12027" Type="http://schemas.openxmlformats.org/officeDocument/2006/relationships/hyperlink" Target="https://pbs.twimg.com/profile_images/716724458631872518/P_d-m7o0_normal.jpg" TargetMode="External"/><Relationship Id="rId16995" Type="http://schemas.openxmlformats.org/officeDocument/2006/relationships/hyperlink" Target="https://pbs.twimg.com/profile_images/378800000528412674/b42ab397bc773eaa54a8e8f231d54601_normal.jpeg" TargetMode="External"/><Relationship Id="rId405" Type="http://schemas.openxmlformats.org/officeDocument/2006/relationships/hyperlink" Target="https://twitter.com/PonziTracker/status/722955483464798208" TargetMode="External"/><Relationship Id="rId1035" Type="http://schemas.openxmlformats.org/officeDocument/2006/relationships/hyperlink" Target="https://twitter.com/it_itt" TargetMode="External"/><Relationship Id="rId5656" Type="http://schemas.openxmlformats.org/officeDocument/2006/relationships/hyperlink" Target="https://pbs.twimg.com/profile_images/708112838640803841/CMqduFiM_normal.jpg" TargetMode="External"/><Relationship Id="rId14199" Type="http://schemas.openxmlformats.org/officeDocument/2006/relationships/hyperlink" Target="https://twitter.com/mtorrescoria/status/723568410190176256" TargetMode="External"/><Relationship Id="rId15597" Type="http://schemas.openxmlformats.org/officeDocument/2006/relationships/hyperlink" Target="https://pbs.twimg.com/profile_images/720585614/HC-LOGO._normal.jpg" TargetMode="External"/><Relationship Id="rId16648" Type="http://schemas.openxmlformats.org/officeDocument/2006/relationships/hyperlink" Target="https://pbs.twimg.com/profile_images/664288528667418624/Mx05DUhU_normal.jpg" TargetMode="External"/><Relationship Id="rId18070" Type="http://schemas.openxmlformats.org/officeDocument/2006/relationships/hyperlink" Target="https://pbs.twimg.com/profile_images/2122824468/IAB_normal.png" TargetMode="External"/><Relationship Id="rId23864" Type="http://schemas.openxmlformats.org/officeDocument/2006/relationships/hyperlink" Target="https://pbs.twimg.com/profile_images/445716623010197504/HUskTY6O_normal.jpeg" TargetMode="External"/><Relationship Id="rId24915" Type="http://schemas.openxmlformats.org/officeDocument/2006/relationships/hyperlink" Target="https://twitter.com/luuuzcastillo" TargetMode="External"/><Relationship Id="rId4258" Type="http://schemas.openxmlformats.org/officeDocument/2006/relationships/hyperlink" Target="https://pbs.twimg.com/profile_images/3392383160/b4c1485fac5d26a64e9be33008b05cf1_normal.jpeg" TargetMode="External"/><Relationship Id="rId5309" Type="http://schemas.openxmlformats.org/officeDocument/2006/relationships/hyperlink" Target="https://pbs.twimg.com/profile_images/473560639651475456/3D0bsrWB_normal.jpeg" TargetMode="External"/><Relationship Id="rId6707" Type="http://schemas.openxmlformats.org/officeDocument/2006/relationships/hyperlink" Target="https://pbs.twimg.com/profile_images/627949001179037696/skEBkS05_normal.jpg" TargetMode="External"/><Relationship Id="rId19121" Type="http://schemas.openxmlformats.org/officeDocument/2006/relationships/hyperlink" Target="https://pbs.twimg.com/profile_images/539619100654571520/pWLTBAUN_normal.jpeg" TargetMode="External"/><Relationship Id="rId21068" Type="http://schemas.openxmlformats.org/officeDocument/2006/relationships/hyperlink" Target="https://twitter.com/thecoffeebus/status/724092149227118592" TargetMode="External"/><Relationship Id="rId22119" Type="http://schemas.openxmlformats.org/officeDocument/2006/relationships/hyperlink" Target="https://twitter.com/RFN19/status/724201484531822592" TargetMode="External"/><Relationship Id="rId22466" Type="http://schemas.openxmlformats.org/officeDocument/2006/relationships/hyperlink" Target="https://twitter.com/FuscaWorld" TargetMode="External"/><Relationship Id="rId23517" Type="http://schemas.openxmlformats.org/officeDocument/2006/relationships/hyperlink" Target="https://twitter.com/VWCamperSales" TargetMode="External"/><Relationship Id="rId8879" Type="http://schemas.openxmlformats.org/officeDocument/2006/relationships/hyperlink" Target="https://twitter.com/panicswitch777" TargetMode="External"/><Relationship Id="rId11110" Type="http://schemas.openxmlformats.org/officeDocument/2006/relationships/hyperlink" Target="https://abs.twimg.com/sticky/default_profile_images/default_profile_5_normal.png" TargetMode="External"/><Relationship Id="rId14680" Type="http://schemas.openxmlformats.org/officeDocument/2006/relationships/hyperlink" Target="https://twitter.com/bucknasty1213/status/723579818919469056" TargetMode="External"/><Relationship Id="rId15731" Type="http://schemas.openxmlformats.org/officeDocument/2006/relationships/hyperlink" Target="https://pbs.twimg.com/profile_images/719469365452808192/1OFS9oRH_normal.jpg" TargetMode="External"/><Relationship Id="rId25689" Type="http://schemas.openxmlformats.org/officeDocument/2006/relationships/hyperlink" Target="https://twitter.com/Vantigosf" TargetMode="External"/><Relationship Id="rId1919" Type="http://schemas.openxmlformats.org/officeDocument/2006/relationships/hyperlink" Target="https://twitter.com/DirkEllisVW" TargetMode="External"/><Relationship Id="rId13282" Type="http://schemas.openxmlformats.org/officeDocument/2006/relationships/hyperlink" Target="https://pbs.twimg.com/profile_images/1200648485/instock_normal.jpg" TargetMode="External"/><Relationship Id="rId14333" Type="http://schemas.openxmlformats.org/officeDocument/2006/relationships/hyperlink" Target="https://twitter.com/Arianaacoll" TargetMode="External"/><Relationship Id="rId18954" Type="http://schemas.openxmlformats.org/officeDocument/2006/relationships/hyperlink" Target="https://twitter.com/ScruffyDogSteph" TargetMode="External"/><Relationship Id="rId22600" Type="http://schemas.openxmlformats.org/officeDocument/2006/relationships/hyperlink" Target="https://twitter.com/3811015/status/724233722137051136" TargetMode="External"/><Relationship Id="rId2290" Type="http://schemas.openxmlformats.org/officeDocument/2006/relationships/hyperlink" Target="https://twitter.com/dailynewsdns/status/723093960822915072" TargetMode="External"/><Relationship Id="rId3341" Type="http://schemas.openxmlformats.org/officeDocument/2006/relationships/hyperlink" Target="https://twitter.com/CamilaJuarezG/status/723152691518705664" TargetMode="External"/><Relationship Id="rId7962" Type="http://schemas.openxmlformats.org/officeDocument/2006/relationships/hyperlink" Target="https://pbs.twimg.com/profile_images/478930661219135489/FE9zHpwf_normal.jpeg" TargetMode="External"/><Relationship Id="rId17556" Type="http://schemas.openxmlformats.org/officeDocument/2006/relationships/hyperlink" Target="https://twitter.com/thesecretcaddie" TargetMode="External"/><Relationship Id="rId18607" Type="http://schemas.openxmlformats.org/officeDocument/2006/relationships/hyperlink" Target="https://twitter.com/VWBeetleSales" TargetMode="External"/><Relationship Id="rId20151" Type="http://schemas.openxmlformats.org/officeDocument/2006/relationships/hyperlink" Target="https://twitter.com/LoveUmbrellas" TargetMode="External"/><Relationship Id="rId21202" Type="http://schemas.openxmlformats.org/officeDocument/2006/relationships/hyperlink" Target="https://twitter.com/Braian_9107" TargetMode="External"/><Relationship Id="rId24772" Type="http://schemas.openxmlformats.org/officeDocument/2006/relationships/hyperlink" Target="https://twitter.com/synyalex/status/724386912279076864" TargetMode="External"/><Relationship Id="rId262" Type="http://schemas.openxmlformats.org/officeDocument/2006/relationships/hyperlink" Target="https://twitter.com/TiagoJNatal" TargetMode="External"/><Relationship Id="rId6564" Type="http://schemas.openxmlformats.org/officeDocument/2006/relationships/hyperlink" Target="https://twitter.com/LuckyRogersXPRS/status/723246446128951296" TargetMode="External"/><Relationship Id="rId7615" Type="http://schemas.openxmlformats.org/officeDocument/2006/relationships/hyperlink" Target="https://pbs.twimg.com/profile_images/700415860230397952/tCGmCj6M_normal.jpg" TargetMode="External"/><Relationship Id="rId10943" Type="http://schemas.openxmlformats.org/officeDocument/2006/relationships/hyperlink" Target="https://pbs.twimg.com/profile_images/682117963349135360/IUfZQy35_normal.png" TargetMode="External"/><Relationship Id="rId16158" Type="http://schemas.openxmlformats.org/officeDocument/2006/relationships/hyperlink" Target="https://twitter.com/Leo10Utrera" TargetMode="External"/><Relationship Id="rId17209" Type="http://schemas.openxmlformats.org/officeDocument/2006/relationships/hyperlink" Target="https://pbs.twimg.com/profile_images/683938464644132864/wlhhM0YZ_normal.jpg" TargetMode="External"/><Relationship Id="rId23374" Type="http://schemas.openxmlformats.org/officeDocument/2006/relationships/hyperlink" Target="http://dlvr.it/" TargetMode="External"/><Relationship Id="rId24425" Type="http://schemas.openxmlformats.org/officeDocument/2006/relationships/hyperlink" Target="https://pbs.twimg.com/profile_images/615493650785660928/XHUh6HOk_normal.jpg" TargetMode="External"/><Relationship Id="rId5166" Type="http://schemas.openxmlformats.org/officeDocument/2006/relationships/hyperlink" Target="https://twitter.com/Ziegengewitter" TargetMode="External"/><Relationship Id="rId6217" Type="http://schemas.openxmlformats.org/officeDocument/2006/relationships/hyperlink" Target="http://dlvr.it/" TargetMode="External"/><Relationship Id="rId9787" Type="http://schemas.openxmlformats.org/officeDocument/2006/relationships/hyperlink" Target="https://twitter.com/Scirocco_Tuning" TargetMode="External"/><Relationship Id="rId23027" Type="http://schemas.openxmlformats.org/officeDocument/2006/relationships/hyperlink" Target="https://twitter.com/abhcarwash" TargetMode="External"/><Relationship Id="rId8389" Type="http://schemas.openxmlformats.org/officeDocument/2006/relationships/hyperlink" Target="https://twitter.com/compliancespain" TargetMode="External"/><Relationship Id="rId12768" Type="http://schemas.openxmlformats.org/officeDocument/2006/relationships/hyperlink" Target="https://twitter.com/myCarbe" TargetMode="External"/><Relationship Id="rId13819" Type="http://schemas.openxmlformats.org/officeDocument/2006/relationships/hyperlink" Target="https://twitter.com/ListersVWVans/status/723556882221293568" TargetMode="External"/><Relationship Id="rId25199" Type="http://schemas.openxmlformats.org/officeDocument/2006/relationships/hyperlink" Target="https://twitter.com/DeeZeeX" TargetMode="External"/><Relationship Id="rId1776" Type="http://schemas.openxmlformats.org/officeDocument/2006/relationships/hyperlink" Target="https://twitter.com/KSCoghlan" TargetMode="External"/><Relationship Id="rId2827" Type="http://schemas.openxmlformats.org/officeDocument/2006/relationships/hyperlink" Target="https://twitter.com/cmsGOMEX/status/723121359467909121" TargetMode="External"/><Relationship Id="rId14190" Type="http://schemas.openxmlformats.org/officeDocument/2006/relationships/hyperlink" Target="https://twitter.com/Sesionesdjvip/status/723567834501095424" TargetMode="External"/><Relationship Id="rId15241" Type="http://schemas.openxmlformats.org/officeDocument/2006/relationships/hyperlink" Target="https://twitter.com/teknikensvarld/status/723600481952608257" TargetMode="External"/><Relationship Id="rId19862" Type="http://schemas.openxmlformats.org/officeDocument/2006/relationships/hyperlink" Target="https://pbs.twimg.com/profile_images/585052636052881409/sX3eccwq_normal.jpg" TargetMode="External"/><Relationship Id="rId1429" Type="http://schemas.openxmlformats.org/officeDocument/2006/relationships/hyperlink" Target="https://pbs.twimg.com/profile_images/1913087124/AvW_website_normal.jpg" TargetMode="External"/><Relationship Id="rId4999" Type="http://schemas.openxmlformats.org/officeDocument/2006/relationships/hyperlink" Target="https://pbs.twimg.com/profile_images/540346017540214786/VhMA3-JB_normal.jpeg" TargetMode="External"/><Relationship Id="rId5300" Type="http://schemas.openxmlformats.org/officeDocument/2006/relationships/hyperlink" Target="https://pbs.twimg.com/profile_images/586434134093864962/91qQombL_normal.jpg" TargetMode="External"/><Relationship Id="rId8870" Type="http://schemas.openxmlformats.org/officeDocument/2006/relationships/hyperlink" Target="https://twitter.com/panicswitch777" TargetMode="External"/><Relationship Id="rId9921" Type="http://schemas.openxmlformats.org/officeDocument/2006/relationships/hyperlink" Target="https://twitter.com/LiveStudyEnjoy" TargetMode="External"/><Relationship Id="rId11851" Type="http://schemas.openxmlformats.org/officeDocument/2006/relationships/hyperlink" Target="http://ctrlq.org/maps/address/" TargetMode="External"/><Relationship Id="rId18464" Type="http://schemas.openxmlformats.org/officeDocument/2006/relationships/hyperlink" Target="https://twitter.com/Ikoniclondon" TargetMode="External"/><Relationship Id="rId19515" Type="http://schemas.openxmlformats.org/officeDocument/2006/relationships/hyperlink" Target="https://pbs.twimg.com/profile_images/716020780899807232/fnaRfVpE_normal.jpg" TargetMode="External"/><Relationship Id="rId22110" Type="http://schemas.openxmlformats.org/officeDocument/2006/relationships/hyperlink" Target="https://pbs.twimg.com/profile_images/703294545195307008/qeCvrX86_normal.jpg" TargetMode="External"/><Relationship Id="rId25680" Type="http://schemas.openxmlformats.org/officeDocument/2006/relationships/hyperlink" Target="https://twitter.com/OnlineCarReview" TargetMode="External"/><Relationship Id="rId1910" Type="http://schemas.openxmlformats.org/officeDocument/2006/relationships/hyperlink" Target="https://twitter.com/arifyetiskin/status/723068356245491712" TargetMode="External"/><Relationship Id="rId7472" Type="http://schemas.openxmlformats.org/officeDocument/2006/relationships/hyperlink" Target="https://twitter.com/autosdeoro" TargetMode="External"/><Relationship Id="rId8523" Type="http://schemas.openxmlformats.org/officeDocument/2006/relationships/hyperlink" Target="https://pbs.twimg.com/profile_images/419834366810783746/GP0PUHsm_normal.jpeg" TargetMode="External"/><Relationship Id="rId10453" Type="http://schemas.openxmlformats.org/officeDocument/2006/relationships/hyperlink" Target="https://twitter.com/rssternberg" TargetMode="External"/><Relationship Id="rId11504" Type="http://schemas.openxmlformats.org/officeDocument/2006/relationships/hyperlink" Target="https://twitter.com/RoamingTimes/status/723503077135773696" TargetMode="External"/><Relationship Id="rId12902" Type="http://schemas.openxmlformats.org/officeDocument/2006/relationships/hyperlink" Target="https://pbs.twimg.com/profile_images/1121140623/nettechnews_logo_normal.png" TargetMode="External"/><Relationship Id="rId17066" Type="http://schemas.openxmlformats.org/officeDocument/2006/relationships/hyperlink" Target="https://twitter.com/UKordeck/status/723768192691240960" TargetMode="External"/><Relationship Id="rId18117" Type="http://schemas.openxmlformats.org/officeDocument/2006/relationships/hyperlink" Target="https://twitter.com/FuscaWorld" TargetMode="External"/><Relationship Id="rId24282" Type="http://schemas.openxmlformats.org/officeDocument/2006/relationships/hyperlink" Target="https://twitter.com/VWCamperSales" TargetMode="External"/><Relationship Id="rId25333" Type="http://schemas.openxmlformats.org/officeDocument/2006/relationships/hyperlink" Target="https://pbs.twimg.com/profile_images/720623345029423104/TUxoNGEM_normal.jpg" TargetMode="External"/><Relationship Id="rId6074" Type="http://schemas.openxmlformats.org/officeDocument/2006/relationships/hyperlink" Target="https://twitter.com/Mphilpot1/status/723229614001123328" TargetMode="External"/><Relationship Id="rId7125" Type="http://schemas.openxmlformats.org/officeDocument/2006/relationships/hyperlink" Target="https://twitter.com/44cent" TargetMode="External"/><Relationship Id="rId10106" Type="http://schemas.openxmlformats.org/officeDocument/2006/relationships/hyperlink" Target="https://twitter.com/VWBeetleSales" TargetMode="External"/><Relationship Id="rId2684" Type="http://schemas.openxmlformats.org/officeDocument/2006/relationships/hyperlink" Target="https://pbs.twimg.com/profile_images/530281935289851905/gYVTeJZK_normal.jpeg" TargetMode="External"/><Relationship Id="rId3735" Type="http://schemas.openxmlformats.org/officeDocument/2006/relationships/hyperlink" Target="https://twitter.com/ARDText/status/723168529546133505" TargetMode="External"/><Relationship Id="rId9297" Type="http://schemas.openxmlformats.org/officeDocument/2006/relationships/hyperlink" Target="https://twitter.com/Giustozziauto" TargetMode="External"/><Relationship Id="rId12278" Type="http://schemas.openxmlformats.org/officeDocument/2006/relationships/hyperlink" Target="https://twitter.com/Banane0711/status/723516583960780804" TargetMode="External"/><Relationship Id="rId13329" Type="http://schemas.openxmlformats.org/officeDocument/2006/relationships/hyperlink" Target="https://twitter.com/OpenMarketingTV/status/723543364541390849" TargetMode="External"/><Relationship Id="rId13676" Type="http://schemas.openxmlformats.org/officeDocument/2006/relationships/hyperlink" Target="https://twitter.com/LeftonMain" TargetMode="External"/><Relationship Id="rId14727" Type="http://schemas.openxmlformats.org/officeDocument/2006/relationships/hyperlink" Target="https://pbs.twimg.com/profile_images/488710473336889344/zkbG6NtN_normal.jpeg" TargetMode="External"/><Relationship Id="rId20892" Type="http://schemas.openxmlformats.org/officeDocument/2006/relationships/hyperlink" Target="https://pbs.twimg.com/profile_images/704315581244133376/dKnoDnRB_normal.jpg" TargetMode="External"/><Relationship Id="rId21943" Type="http://schemas.openxmlformats.org/officeDocument/2006/relationships/hyperlink" Target="https://abs.twimg.com/sticky/default_profile_images/default_profile_4_normal.png" TargetMode="External"/><Relationship Id="rId656" Type="http://schemas.openxmlformats.org/officeDocument/2006/relationships/hyperlink" Target="https://pbs.twimg.com/profile_images/541550089299574784/VpUrf3na_normal.png" TargetMode="External"/><Relationship Id="rId1286" Type="http://schemas.openxmlformats.org/officeDocument/2006/relationships/hyperlink" Target="https://twitter.com/MERIAUXL/status/723031853775642625" TargetMode="External"/><Relationship Id="rId2337" Type="http://schemas.openxmlformats.org/officeDocument/2006/relationships/hyperlink" Target="https://twitter.com/DoMarMac" TargetMode="External"/><Relationship Id="rId16899" Type="http://schemas.openxmlformats.org/officeDocument/2006/relationships/hyperlink" Target="https://pbs.twimg.com/profile_images/3751707139/5aac161e2461c79838ce82fbf8cf39c6_normal.jpeg" TargetMode="External"/><Relationship Id="rId17200" Type="http://schemas.openxmlformats.org/officeDocument/2006/relationships/hyperlink" Target="https://pbs.twimg.com/profile_images/455483809157222400/6WDtBDEZ_normal.jpeg" TargetMode="External"/><Relationship Id="rId20545" Type="http://schemas.openxmlformats.org/officeDocument/2006/relationships/hyperlink" Target="https://pbs.twimg.com/profile_images/646001933522604032/FKkklGHL_normal.jpg" TargetMode="External"/><Relationship Id="rId309" Type="http://schemas.openxmlformats.org/officeDocument/2006/relationships/hyperlink" Target="https://pbs.twimg.com/profile_images/652871584131092480/QA_B6SBO_normal.jpg" TargetMode="External"/><Relationship Id="rId6958" Type="http://schemas.openxmlformats.org/officeDocument/2006/relationships/hyperlink" Target="https://pbs.twimg.com/profile_images/693159577689395201/VtgopmnY_normal.jpg" TargetMode="External"/><Relationship Id="rId8380" Type="http://schemas.openxmlformats.org/officeDocument/2006/relationships/hyperlink" Target="https://twitter.com/VWsightings" TargetMode="External"/><Relationship Id="rId13810" Type="http://schemas.openxmlformats.org/officeDocument/2006/relationships/hyperlink" Target="https://twitter.com/dorschelvw/status/723556621830524928" TargetMode="External"/><Relationship Id="rId19372" Type="http://schemas.openxmlformats.org/officeDocument/2006/relationships/hyperlink" Target="https://pbs.twimg.com/profile_images/693418389054869505/M_fqp-rD_normal.png" TargetMode="External"/><Relationship Id="rId23768" Type="http://schemas.openxmlformats.org/officeDocument/2006/relationships/hyperlink" Target="https://twitter.com/MedAgness" TargetMode="External"/><Relationship Id="rId24819" Type="http://schemas.openxmlformats.org/officeDocument/2006/relationships/hyperlink" Target="https://pbs.twimg.com/profile_images/1247253854/lifeblab-icon6_normal.png" TargetMode="External"/><Relationship Id="rId8033" Type="http://schemas.openxmlformats.org/officeDocument/2006/relationships/hyperlink" Target="https://twitter.com/beetlebug1938/status/723354099509547008" TargetMode="External"/><Relationship Id="rId9431" Type="http://schemas.openxmlformats.org/officeDocument/2006/relationships/hyperlink" Target="https://twitter.com/Mphilpot1" TargetMode="External"/><Relationship Id="rId11361" Type="http://schemas.openxmlformats.org/officeDocument/2006/relationships/hyperlink" Target="https://pbs.twimg.com/profile_images/717727450768269312/zdf51rvM_normal.jpg" TargetMode="External"/><Relationship Id="rId12412" Type="http://schemas.openxmlformats.org/officeDocument/2006/relationships/hyperlink" Target="https://twitter.com/MarkCSchneider" TargetMode="External"/><Relationship Id="rId15982" Type="http://schemas.openxmlformats.org/officeDocument/2006/relationships/hyperlink" Target="https://pbs.twimg.com/profile_images/703294545195307008/qeCvrX86_normal.jpg" TargetMode="External"/><Relationship Id="rId19025" Type="http://schemas.openxmlformats.org/officeDocument/2006/relationships/hyperlink" Target="https://twitter.com/Jaygrimbo/status/723914002271707136" TargetMode="External"/><Relationship Id="rId25190" Type="http://schemas.openxmlformats.org/officeDocument/2006/relationships/hyperlink" Target="https://twitter.com/allandvd7/status/724425886808809472" TargetMode="External"/><Relationship Id="rId1420" Type="http://schemas.openxmlformats.org/officeDocument/2006/relationships/hyperlink" Target="https://pbs.twimg.com/profile_images/695000806655811584/7lC1MdUr_normal.png" TargetMode="External"/><Relationship Id="rId4990" Type="http://schemas.openxmlformats.org/officeDocument/2006/relationships/hyperlink" Target="https://pbs.twimg.com/profile_images/3340115851/e66ca0844e0bdd79fdeebac3e138ac72_normal.png" TargetMode="External"/><Relationship Id="rId11014" Type="http://schemas.openxmlformats.org/officeDocument/2006/relationships/hyperlink" Target="https://twitter.com/DrSalingerReinh" TargetMode="External"/><Relationship Id="rId14584" Type="http://schemas.openxmlformats.org/officeDocument/2006/relationships/hyperlink" Target="http://dlvr.it/" TargetMode="External"/><Relationship Id="rId15635" Type="http://schemas.openxmlformats.org/officeDocument/2006/relationships/hyperlink" Target="https://twitter.com/TrinosophieBlog/status/723618202702479361" TargetMode="External"/><Relationship Id="rId22851" Type="http://schemas.openxmlformats.org/officeDocument/2006/relationships/hyperlink" Target="https://pbs.twimg.com/profile_images/2845102212/e6d00c6536a63753d987c7b2b263053a_normal.jpeg" TargetMode="External"/><Relationship Id="rId23902" Type="http://schemas.openxmlformats.org/officeDocument/2006/relationships/hyperlink" Target="https://pbs.twimg.com/profile_images/657274911854055424/lvaVj9jL_normal.jpg" TargetMode="External"/><Relationship Id="rId3592" Type="http://schemas.openxmlformats.org/officeDocument/2006/relationships/hyperlink" Target="https://twitter.com/franz_rother/status/723165146550509568" TargetMode="External"/><Relationship Id="rId4643" Type="http://schemas.openxmlformats.org/officeDocument/2006/relationships/hyperlink" Target="https://twitter.com/Catinformacio/status/723184155668815872" TargetMode="External"/><Relationship Id="rId13186" Type="http://schemas.openxmlformats.org/officeDocument/2006/relationships/hyperlink" Target="https://twitter.com/HansTheGerman/status/723538368966086660" TargetMode="External"/><Relationship Id="rId14237" Type="http://schemas.openxmlformats.org/officeDocument/2006/relationships/hyperlink" Target="https://twitter.com/FierroosAlPiso/status/723570658026917888" TargetMode="External"/><Relationship Id="rId21453" Type="http://schemas.openxmlformats.org/officeDocument/2006/relationships/hyperlink" Target="https://twitter.com/Dignity70/status/724149247248097281" TargetMode="External"/><Relationship Id="rId22504" Type="http://schemas.openxmlformats.org/officeDocument/2006/relationships/hyperlink" Target="https://pbs.twimg.com/profile_images/687419637429080064/YhD1MggI_normal.jpg" TargetMode="External"/><Relationship Id="rId2194" Type="http://schemas.openxmlformats.org/officeDocument/2006/relationships/hyperlink" Target="https://twitter.com/panicswitch777" TargetMode="External"/><Relationship Id="rId3245" Type="http://schemas.openxmlformats.org/officeDocument/2006/relationships/hyperlink" Target="https://twitter.com/bikes_vs_cars" TargetMode="External"/><Relationship Id="rId7866" Type="http://schemas.openxmlformats.org/officeDocument/2006/relationships/hyperlink" Target="https://pbs.twimg.com/profile_images/3733051054/5c09b339157da5a288c617fb36711130_normal.png" TargetMode="External"/><Relationship Id="rId18858" Type="http://schemas.openxmlformats.org/officeDocument/2006/relationships/hyperlink" Target="https://pbs.twimg.com/profile_images/709087090550689792/ICYFENhR_normal.jpg" TargetMode="External"/><Relationship Id="rId19909" Type="http://schemas.openxmlformats.org/officeDocument/2006/relationships/hyperlink" Target="https://twitter.com/FranNafarrate" TargetMode="External"/><Relationship Id="rId20055" Type="http://schemas.openxmlformats.org/officeDocument/2006/relationships/hyperlink" Target="https://pbs.twimg.com/profile_images/424893967197433858/iQ86NktX_normal.jpeg" TargetMode="External"/><Relationship Id="rId21106" Type="http://schemas.openxmlformats.org/officeDocument/2006/relationships/hyperlink" Target="https://pbs.twimg.com/profile_images/718820712757215233/LXXndPTS_normal.jpg" TargetMode="External"/><Relationship Id="rId24676" Type="http://schemas.openxmlformats.org/officeDocument/2006/relationships/hyperlink" Target="https://twitter.com/8mP0tatoFTWl2" TargetMode="External"/><Relationship Id="rId166" Type="http://schemas.openxmlformats.org/officeDocument/2006/relationships/hyperlink" Target="https://twitter.com/VCT_Tweets/status/722931662481395712" TargetMode="External"/><Relationship Id="rId6468" Type="http://schemas.openxmlformats.org/officeDocument/2006/relationships/hyperlink" Target="https://twitter.com/TunedByKings/status/723244293088010240" TargetMode="External"/><Relationship Id="rId7519" Type="http://schemas.openxmlformats.org/officeDocument/2006/relationships/hyperlink" Target="https://twitter.com/sfErrlyGamerhM/status/723307850911604736" TargetMode="External"/><Relationship Id="rId8917" Type="http://schemas.openxmlformats.org/officeDocument/2006/relationships/hyperlink" Target="https://pbs.twimg.com/profile_images/697517819697573888/wa-6T68W_normal.jpg" TargetMode="External"/><Relationship Id="rId10847" Type="http://schemas.openxmlformats.org/officeDocument/2006/relationships/hyperlink" Target="https://pbs.twimg.com/profile_images/709537836119289856/ToSxXNcU_normal.jpg" TargetMode="External"/><Relationship Id="rId23278" Type="http://schemas.openxmlformats.org/officeDocument/2006/relationships/hyperlink" Target="https://twitter.com/VWCamperSales/status/724277618455924740" TargetMode="External"/><Relationship Id="rId24329" Type="http://schemas.openxmlformats.org/officeDocument/2006/relationships/hyperlink" Target="https://twitter.com/Horsa44Shoki" TargetMode="External"/><Relationship Id="rId25727" Type="http://schemas.openxmlformats.org/officeDocument/2006/relationships/hyperlink" Target="https://pbs.twimg.com/profile_images/687590151506235392/LImmacKS_normal.jpg" TargetMode="External"/><Relationship Id="rId13320" Type="http://schemas.openxmlformats.org/officeDocument/2006/relationships/hyperlink" Target="https://twitter.com/soyoffroad/status/723543316160110596" TargetMode="External"/><Relationship Id="rId16890" Type="http://schemas.openxmlformats.org/officeDocument/2006/relationships/hyperlink" Target="https://pbs.twimg.com/profile_images/1114332849/41717_100001544730121_1584_n_normal.jpg" TargetMode="External"/><Relationship Id="rId17941" Type="http://schemas.openxmlformats.org/officeDocument/2006/relationships/hyperlink" Target="https://twitter.com/unlmtdsmarttech/status/723836033952047104" TargetMode="External"/><Relationship Id="rId300" Type="http://schemas.openxmlformats.org/officeDocument/2006/relationships/hyperlink" Target="https://pbs.twimg.com/profile_images/378800000572104796/1de43e1cf23efb3f4101c02afad0d3b6_normal.png" TargetMode="External"/><Relationship Id="rId15492" Type="http://schemas.openxmlformats.org/officeDocument/2006/relationships/hyperlink" Target="https://twitter.com/la40K" TargetMode="External"/><Relationship Id="rId16543" Type="http://schemas.openxmlformats.org/officeDocument/2006/relationships/hyperlink" Target="https://twitter.com/bjsommerville" TargetMode="External"/><Relationship Id="rId20939" Type="http://schemas.openxmlformats.org/officeDocument/2006/relationships/hyperlink" Target="https://twitter.com/VWBeetleSales/status/724070122516705280" TargetMode="External"/><Relationship Id="rId24810" Type="http://schemas.openxmlformats.org/officeDocument/2006/relationships/hyperlink" Target="https://pbs.twimg.com/profile_images/534291690027487232/alLDRpbF_normal.jpeg" TargetMode="External"/><Relationship Id="rId5551" Type="http://schemas.openxmlformats.org/officeDocument/2006/relationships/hyperlink" Target="https://twitter.com/DubLuvTuning" TargetMode="External"/><Relationship Id="rId6602" Type="http://schemas.openxmlformats.org/officeDocument/2006/relationships/hyperlink" Target="https://pbs.twimg.com/profile_images/645328399834181632/rWu1bHrC_normal.jpg" TargetMode="External"/><Relationship Id="rId14094" Type="http://schemas.openxmlformats.org/officeDocument/2006/relationships/hyperlink" Target="https://twitter.com/Sevenbey" TargetMode="External"/><Relationship Id="rId15145" Type="http://schemas.openxmlformats.org/officeDocument/2006/relationships/hyperlink" Target="https://pbs.twimg.com/profile_images/422164778639839234/LVnS1q1c_normal.jpeg" TargetMode="External"/><Relationship Id="rId19766" Type="http://schemas.openxmlformats.org/officeDocument/2006/relationships/hyperlink" Target="https://twitter.com/Insta_VWT/status/723956742342774784" TargetMode="External"/><Relationship Id="rId22361" Type="http://schemas.openxmlformats.org/officeDocument/2006/relationships/hyperlink" Target="https://twitter.com/xboxat" TargetMode="External"/><Relationship Id="rId23412" Type="http://schemas.openxmlformats.org/officeDocument/2006/relationships/hyperlink" Target="https://twitter.com/berlinhabercom" TargetMode="External"/><Relationship Id="rId4153" Type="http://schemas.openxmlformats.org/officeDocument/2006/relationships/hyperlink" Target="https://pbs.twimg.com/profile_images/627949001179037696/skEBkS05_normal.jpg" TargetMode="External"/><Relationship Id="rId5204" Type="http://schemas.openxmlformats.org/officeDocument/2006/relationships/hyperlink" Target="https://pbs.twimg.com/profile_images/378800000567040197/ebbaf357a1ef7aec1e1ad1ad0e246683_normal.jpeg" TargetMode="External"/><Relationship Id="rId8774" Type="http://schemas.openxmlformats.org/officeDocument/2006/relationships/hyperlink" Target="https://twitter.com/hameles" TargetMode="External"/><Relationship Id="rId9825" Type="http://schemas.openxmlformats.org/officeDocument/2006/relationships/hyperlink" Target="https://twitter.com/EllisT17" TargetMode="External"/><Relationship Id="rId18368" Type="http://schemas.openxmlformats.org/officeDocument/2006/relationships/hyperlink" Target="https://twitter.com/caryelluk" TargetMode="External"/><Relationship Id="rId19419" Type="http://schemas.openxmlformats.org/officeDocument/2006/relationships/hyperlink" Target="https://pbs.twimg.com/profile_images/719611202129625088/XNXG8FpF_normal.jpg" TargetMode="External"/><Relationship Id="rId22014" Type="http://schemas.openxmlformats.org/officeDocument/2006/relationships/hyperlink" Target="https://twitter.com/dubbusses/status/724194044889411587" TargetMode="External"/><Relationship Id="rId25584" Type="http://schemas.openxmlformats.org/officeDocument/2006/relationships/hyperlink" Target="https://twitter.com/GabyMollaret/status/724449654574841856" TargetMode="External"/><Relationship Id="rId39" Type="http://schemas.openxmlformats.org/officeDocument/2006/relationships/hyperlink" Target="https://pbs.twimg.com/profile_images/718820712757215233/LXXndPTS_normal.jpg" TargetMode="External"/><Relationship Id="rId1814" Type="http://schemas.openxmlformats.org/officeDocument/2006/relationships/hyperlink" Target="https://twitter.com/Marina_Ilona/status/723060386069659648" TargetMode="External"/><Relationship Id="rId7376" Type="http://schemas.openxmlformats.org/officeDocument/2006/relationships/hyperlink" Target="https://twitter.com/annika1061" TargetMode="External"/><Relationship Id="rId8427" Type="http://schemas.openxmlformats.org/officeDocument/2006/relationships/hyperlink" Target="https://pbs.twimg.com/profile_images/715638255304196096/F61efM8c_normal.jpg" TargetMode="External"/><Relationship Id="rId10357" Type="http://schemas.openxmlformats.org/officeDocument/2006/relationships/hyperlink" Target="https://twitter.com/thevolksmusik/status/723470333316083712" TargetMode="External"/><Relationship Id="rId11755" Type="http://schemas.openxmlformats.org/officeDocument/2006/relationships/hyperlink" Target="https://pbs.twimg.com/profile_images/679552623641509888/_vPw9IS2_normal.png" TargetMode="External"/><Relationship Id="rId12806" Type="http://schemas.openxmlformats.org/officeDocument/2006/relationships/hyperlink" Target="https://twitter.com/beetlebug1938/status/723528029834760192" TargetMode="External"/><Relationship Id="rId24186" Type="http://schemas.openxmlformats.org/officeDocument/2006/relationships/hyperlink" Target="https://twitter.com/dubbusses" TargetMode="External"/><Relationship Id="rId25237" Type="http://schemas.openxmlformats.org/officeDocument/2006/relationships/hyperlink" Target="https://twitter.com/dubbusses" TargetMode="External"/><Relationship Id="rId7029" Type="http://schemas.openxmlformats.org/officeDocument/2006/relationships/hyperlink" Target="https://pbs.twimg.com/profile_images/672878354127839232/M7OYc-zx_normal.jpg" TargetMode="External"/><Relationship Id="rId11408" Type="http://schemas.openxmlformats.org/officeDocument/2006/relationships/hyperlink" Target="https://twitter.com/RippedFlower/status/723501884863045632" TargetMode="External"/><Relationship Id="rId14978" Type="http://schemas.openxmlformats.org/officeDocument/2006/relationships/hyperlink" Target="https://pbs.twimg.com/profile_images/703294545195307008/qeCvrX86_normal.jpg" TargetMode="External"/><Relationship Id="rId19900" Type="http://schemas.openxmlformats.org/officeDocument/2006/relationships/hyperlink" Target="https://twitter.com/lauriky78" TargetMode="External"/><Relationship Id="rId2588" Type="http://schemas.openxmlformats.org/officeDocument/2006/relationships/hyperlink" Target="https://twitter.com/kekkocanu10" TargetMode="External"/><Relationship Id="rId3986" Type="http://schemas.openxmlformats.org/officeDocument/2006/relationships/hyperlink" Target="https://twitter.com/danielschwenger/status/723173741522505728" TargetMode="External"/><Relationship Id="rId17451" Type="http://schemas.openxmlformats.org/officeDocument/2006/relationships/hyperlink" Target="https://pbs.twimg.com/profile_images/569834399064424448/pusBZV00_normal.jpeg" TargetMode="External"/><Relationship Id="rId18502" Type="http://schemas.openxmlformats.org/officeDocument/2006/relationships/hyperlink" Target="https://twitter.com/acvwpassion/status/723874232434843648" TargetMode="External"/><Relationship Id="rId20796" Type="http://schemas.openxmlformats.org/officeDocument/2006/relationships/hyperlink" Target="https://twitter.com/1966evo4g63" TargetMode="External"/><Relationship Id="rId21847" Type="http://schemas.openxmlformats.org/officeDocument/2006/relationships/hyperlink" Target="https://twitter.com/VWCamperSales/status/724185154533515264" TargetMode="External"/><Relationship Id="rId3639" Type="http://schemas.openxmlformats.org/officeDocument/2006/relationships/hyperlink" Target="https://twitter.com/oliwkagrochal/status/723166369961922560" TargetMode="External"/><Relationship Id="rId5061" Type="http://schemas.openxmlformats.org/officeDocument/2006/relationships/hyperlink" Target="https://twitter.com/mueller_andi" TargetMode="External"/><Relationship Id="rId6112" Type="http://schemas.openxmlformats.org/officeDocument/2006/relationships/hyperlink" Target="https://twitter.com/bgewehr/status/723230240894509056" TargetMode="External"/><Relationship Id="rId7510" Type="http://schemas.openxmlformats.org/officeDocument/2006/relationships/hyperlink" Target="https://twitter.com/zPDreamweinerW6/status/723307446731726848" TargetMode="External"/><Relationship Id="rId16053" Type="http://schemas.openxmlformats.org/officeDocument/2006/relationships/hyperlink" Target="https://twitter.com/acdcabba/status/723646268258529281" TargetMode="External"/><Relationship Id="rId17104" Type="http://schemas.openxmlformats.org/officeDocument/2006/relationships/hyperlink" Target="https://pbs.twimg.com/profile_images/714531728778477568/-sIm9BK5_normal.jpg" TargetMode="External"/><Relationship Id="rId20449" Type="http://schemas.openxmlformats.org/officeDocument/2006/relationships/hyperlink" Target="https://twitter.com/VWCamperSales" TargetMode="External"/><Relationship Id="rId24320" Type="http://schemas.openxmlformats.org/officeDocument/2006/relationships/hyperlink" Target="https://pbs.twimg.com/profile_images/524355034013007872/20dLVcUJ_normal.jpeg" TargetMode="External"/><Relationship Id="rId9682" Type="http://schemas.openxmlformats.org/officeDocument/2006/relationships/hyperlink" Target="https://twitter.com/VolkswagenPost" TargetMode="External"/><Relationship Id="rId12663" Type="http://schemas.openxmlformats.org/officeDocument/2006/relationships/hyperlink" Target="https://twitter.com/dewunmigabriel/status/723524827324227584" TargetMode="External"/><Relationship Id="rId13714" Type="http://schemas.openxmlformats.org/officeDocument/2006/relationships/hyperlink" Target="https://twitter.com/KanalNuernberg" TargetMode="External"/><Relationship Id="rId19276" Type="http://schemas.openxmlformats.org/officeDocument/2006/relationships/hyperlink" Target="https://twitter.com/beetle_pics" TargetMode="External"/><Relationship Id="rId20930" Type="http://schemas.openxmlformats.org/officeDocument/2006/relationships/hyperlink" Target="https://pbs.twimg.com/profile_images/1441179004/LOGO_AMDA_MORELOS_normal.jpg" TargetMode="External"/><Relationship Id="rId1671" Type="http://schemas.openxmlformats.org/officeDocument/2006/relationships/hyperlink" Target="https://twitter.com/zeitonline_wir/status/723052464350584832" TargetMode="External"/><Relationship Id="rId2722" Type="http://schemas.openxmlformats.org/officeDocument/2006/relationships/hyperlink" Target="https://pbs.twimg.com/profile_images/632301170313285632/51luKl6f_normal.jpg" TargetMode="External"/><Relationship Id="rId8284" Type="http://schemas.openxmlformats.org/officeDocument/2006/relationships/hyperlink" Target="https://twitter.com/ivankoznar/status/723381206427951104" TargetMode="External"/><Relationship Id="rId9335" Type="http://schemas.openxmlformats.org/officeDocument/2006/relationships/hyperlink" Target="https://pbs.twimg.com/profile_images/3719823744/516909e8f990902c7d918e9c659999a9_normal.jpeg" TargetMode="External"/><Relationship Id="rId11265" Type="http://schemas.openxmlformats.org/officeDocument/2006/relationships/hyperlink" Target="https://twitter.com/Banane0711/status/723500086223843328" TargetMode="External"/><Relationship Id="rId12316" Type="http://schemas.openxmlformats.org/officeDocument/2006/relationships/hyperlink" Target="https://pbs.twimg.com/profile_images/712717116500221952/ciEvVo2v_normal.jpg" TargetMode="External"/><Relationship Id="rId25094" Type="http://schemas.openxmlformats.org/officeDocument/2006/relationships/hyperlink" Target="https://pbs.twimg.com/profile_images/685175443654246401/92R4InX-_normal.png" TargetMode="External"/><Relationship Id="rId1324" Type="http://schemas.openxmlformats.org/officeDocument/2006/relationships/hyperlink" Target="https://pbs.twimg.com/profile_images/679552623641509888/_vPw9IS2_normal.png" TargetMode="External"/><Relationship Id="rId4894" Type="http://schemas.openxmlformats.org/officeDocument/2006/relationships/hyperlink" Target="https://twitter.com/PeterConstant/status/723189613217505284" TargetMode="External"/><Relationship Id="rId5945" Type="http://schemas.openxmlformats.org/officeDocument/2006/relationships/hyperlink" Target="https://twitter.com/VolkswagenPost/status/723225040016314372" TargetMode="External"/><Relationship Id="rId14488" Type="http://schemas.openxmlformats.org/officeDocument/2006/relationships/hyperlink" Target="https://twitter.com/FuscaWorld/status/723574734957469697" TargetMode="External"/><Relationship Id="rId15539" Type="http://schemas.openxmlformats.org/officeDocument/2006/relationships/hyperlink" Target="https://twitter.com/Marktzyniker/status/723611905798057984" TargetMode="External"/><Relationship Id="rId15886" Type="http://schemas.openxmlformats.org/officeDocument/2006/relationships/hyperlink" Target="https://twitter.com/Duambyth" TargetMode="External"/><Relationship Id="rId16937" Type="http://schemas.openxmlformats.org/officeDocument/2006/relationships/hyperlink" Target="https://twitter.com/Vantigosf/status/723751712717074432" TargetMode="External"/><Relationship Id="rId30" Type="http://schemas.openxmlformats.org/officeDocument/2006/relationships/hyperlink" Target="https://pbs.twimg.com/profile_images/552612598974132224/ZNRfmfZ7_normal.jpeg" TargetMode="External"/><Relationship Id="rId3496" Type="http://schemas.openxmlformats.org/officeDocument/2006/relationships/hyperlink" Target="https://twitter.com/FannyFacsar/status/723160669852340226" TargetMode="External"/><Relationship Id="rId4547" Type="http://schemas.openxmlformats.org/officeDocument/2006/relationships/hyperlink" Target="https://pbs.twimg.com/profile_images/699336490526965760/0Cvd6KG6_normal.png" TargetMode="External"/><Relationship Id="rId18012" Type="http://schemas.openxmlformats.org/officeDocument/2006/relationships/hyperlink" Target="https://pbs.twimg.com/profile_images/717109195561152512/mv8-ZiHd_normal.jpg" TargetMode="External"/><Relationship Id="rId19410" Type="http://schemas.openxmlformats.org/officeDocument/2006/relationships/hyperlink" Target="https://pbs.twimg.com/profile_images/716028030175600642/XLe3HmvA_normal.jpg" TargetMode="External"/><Relationship Id="rId21357" Type="http://schemas.openxmlformats.org/officeDocument/2006/relationships/hyperlink" Target="https://twitter.com/DubLuvTuning/status/724143193760083968" TargetMode="External"/><Relationship Id="rId22408" Type="http://schemas.openxmlformats.org/officeDocument/2006/relationships/hyperlink" Target="https://twitter.com/AbelLosada" TargetMode="External"/><Relationship Id="rId22755" Type="http://schemas.openxmlformats.org/officeDocument/2006/relationships/hyperlink" Target="https://pbs.twimg.com/profile_images/1913087124/AvW_website_normal.jpg" TargetMode="External"/><Relationship Id="rId23806" Type="http://schemas.openxmlformats.org/officeDocument/2006/relationships/hyperlink" Target="http://dlvr.it/" TargetMode="External"/><Relationship Id="rId2098" Type="http://schemas.openxmlformats.org/officeDocument/2006/relationships/hyperlink" Target="https://twitter.com/NWVT" TargetMode="External"/><Relationship Id="rId3149" Type="http://schemas.openxmlformats.org/officeDocument/2006/relationships/hyperlink" Target="https://twitter.com/Insta_VWT" TargetMode="External"/><Relationship Id="rId7020" Type="http://schemas.openxmlformats.org/officeDocument/2006/relationships/hyperlink" Target="https://pbs.twimg.com/profile_images/584769693493239808/sNuQe6DN_normal.jpg" TargetMode="External"/><Relationship Id="rId9192" Type="http://schemas.openxmlformats.org/officeDocument/2006/relationships/hyperlink" Target="https://twitter.com/parksj86" TargetMode="External"/><Relationship Id="rId10001" Type="http://schemas.openxmlformats.org/officeDocument/2006/relationships/hyperlink" Target="https://twitter.com/VCT_Tweets/status/723457654765588481" TargetMode="External"/><Relationship Id="rId13571" Type="http://schemas.openxmlformats.org/officeDocument/2006/relationships/hyperlink" Target="https://pbs.twimg.com/profile_images/660089641232678912/UzobHOeY_normal.jpg" TargetMode="External"/><Relationship Id="rId14622" Type="http://schemas.openxmlformats.org/officeDocument/2006/relationships/hyperlink" Target="https://twitter.com/KarenEspindola_" TargetMode="External"/><Relationship Id="rId3630" Type="http://schemas.openxmlformats.org/officeDocument/2006/relationships/hyperlink" Target="https://twitter.com/beetlebug1938/status/723166133004713984" TargetMode="External"/><Relationship Id="rId12173" Type="http://schemas.openxmlformats.org/officeDocument/2006/relationships/hyperlink" Target="https://twitter.com/Lebeaucarnews/status/723514474355916800" TargetMode="External"/><Relationship Id="rId13224" Type="http://schemas.openxmlformats.org/officeDocument/2006/relationships/hyperlink" Target="https://twitter.com/fxdx" TargetMode="External"/><Relationship Id="rId16794" Type="http://schemas.openxmlformats.org/officeDocument/2006/relationships/hyperlink" Target="https://twitter.com/nico85045340" TargetMode="External"/><Relationship Id="rId17845" Type="http://schemas.openxmlformats.org/officeDocument/2006/relationships/hyperlink" Target="https://twitter.com/rickfr01" TargetMode="External"/><Relationship Id="rId20440" Type="http://schemas.openxmlformats.org/officeDocument/2006/relationships/hyperlink" Target="https://twitter.com/zallshaaaa" TargetMode="External"/><Relationship Id="rId551" Type="http://schemas.openxmlformats.org/officeDocument/2006/relationships/hyperlink" Target="https://pbs.twimg.com/profile_images/593635412611969025/nh0BGdve_normal.jpg" TargetMode="External"/><Relationship Id="rId1181" Type="http://schemas.openxmlformats.org/officeDocument/2006/relationships/hyperlink" Target="http://media-release.info/" TargetMode="External"/><Relationship Id="rId2232" Type="http://schemas.openxmlformats.org/officeDocument/2006/relationships/hyperlink" Target="http://instock.de/" TargetMode="External"/><Relationship Id="rId6853" Type="http://schemas.openxmlformats.org/officeDocument/2006/relationships/hyperlink" Target="https://pbs.twimg.com/profile_images/378800000631364822/b6d4b61bb44072471372df42ee3cbc24_normal.jpeg" TargetMode="External"/><Relationship Id="rId7904" Type="http://schemas.openxmlformats.org/officeDocument/2006/relationships/hyperlink" Target="https://twitter.com/VolkswagenPost" TargetMode="External"/><Relationship Id="rId15396" Type="http://schemas.openxmlformats.org/officeDocument/2006/relationships/hyperlink" Target="https://pbs.twimg.com/profile_images/717312149060595712/-_JCilfd_normal.jpg" TargetMode="External"/><Relationship Id="rId16447" Type="http://schemas.openxmlformats.org/officeDocument/2006/relationships/hyperlink" Target="http://ctrlq.org/maps/address/" TargetMode="External"/><Relationship Id="rId23663" Type="http://schemas.openxmlformats.org/officeDocument/2006/relationships/hyperlink" Target="https://pbs.twimg.com/profile_images/703294545195307008/qeCvrX86_normal.jpg" TargetMode="External"/><Relationship Id="rId24714" Type="http://schemas.openxmlformats.org/officeDocument/2006/relationships/hyperlink" Target="https://twitter.com/FuscaWorld/status/724385084242046976" TargetMode="External"/><Relationship Id="rId204" Type="http://schemas.openxmlformats.org/officeDocument/2006/relationships/hyperlink" Target="https://pbs.twimg.com/profile_images/663928844462587904/sse66ZqZ_normal.jpg" TargetMode="External"/><Relationship Id="rId5455" Type="http://schemas.openxmlformats.org/officeDocument/2006/relationships/hyperlink" Target="https://twitter.com/phimo_to" TargetMode="External"/><Relationship Id="rId6506" Type="http://schemas.openxmlformats.org/officeDocument/2006/relationships/hyperlink" Target="http://vwt3.net/" TargetMode="External"/><Relationship Id="rId15049" Type="http://schemas.openxmlformats.org/officeDocument/2006/relationships/hyperlink" Target="https://pbs.twimg.com/profile_images/711096343394164736/OI7mC7jB_normal.jpg" TargetMode="External"/><Relationship Id="rId22265" Type="http://schemas.openxmlformats.org/officeDocument/2006/relationships/hyperlink" Target="https://pbs.twimg.com/profile_images/676389713952010240/ei75kZkW_normal.jpg" TargetMode="External"/><Relationship Id="rId23316" Type="http://schemas.openxmlformats.org/officeDocument/2006/relationships/hyperlink" Target="https://pbs.twimg.com/profile_images/3009905788/c20827ae909b5b9adb79478e60b878d3_normal.jpeg" TargetMode="External"/><Relationship Id="rId4057" Type="http://schemas.openxmlformats.org/officeDocument/2006/relationships/hyperlink" Target="https://twitter.com/OLRAK" TargetMode="External"/><Relationship Id="rId5108" Type="http://schemas.openxmlformats.org/officeDocument/2006/relationships/hyperlink" Target="https://pbs.twimg.com/profile_images/704423419648024578/3xzn3sbK_normal.jpg" TargetMode="External"/><Relationship Id="rId8678" Type="http://schemas.openxmlformats.org/officeDocument/2006/relationships/hyperlink" Target="https://twitter.com/woltron2" TargetMode="External"/><Relationship Id="rId9729" Type="http://schemas.openxmlformats.org/officeDocument/2006/relationships/hyperlink" Target="https://twitter.com/handelsblatt" TargetMode="External"/><Relationship Id="rId25488" Type="http://schemas.openxmlformats.org/officeDocument/2006/relationships/hyperlink" Target="https://pbs.twimg.com/profile_images/472298206483607552/UogAMiRI_normal.png" TargetMode="External"/><Relationship Id="rId11659" Type="http://schemas.openxmlformats.org/officeDocument/2006/relationships/hyperlink" Target="https://twitter.com/larrieregarde/status/723505136954388480" TargetMode="External"/><Relationship Id="rId13081" Type="http://schemas.openxmlformats.org/officeDocument/2006/relationships/hyperlink" Target="https://pbs.twimg.com/profile_images/655459836432392192/Vf-KTnJZ_normal.jpg" TargetMode="External"/><Relationship Id="rId15530" Type="http://schemas.openxmlformats.org/officeDocument/2006/relationships/hyperlink" Target="http://dlvr.it/" TargetMode="External"/><Relationship Id="rId1718" Type="http://schemas.openxmlformats.org/officeDocument/2006/relationships/hyperlink" Target="https://pbs.twimg.com/profile_images/459000575602864128/kGiBZUHq_normal.jpeg" TargetMode="External"/><Relationship Id="rId3140" Type="http://schemas.openxmlformats.org/officeDocument/2006/relationships/hyperlink" Target="https://twitter.com/VWCamperSales/status/723144036458991618" TargetMode="External"/><Relationship Id="rId14132" Type="http://schemas.openxmlformats.org/officeDocument/2006/relationships/hyperlink" Target="https://twitter.com/queeniashton_/status/723564802174509058" TargetMode="External"/><Relationship Id="rId18753" Type="http://schemas.openxmlformats.org/officeDocument/2006/relationships/hyperlink" Target="https://pbs.twimg.com/profile_images/710902676310134784/rj4E7WD1_normal.jpg" TargetMode="External"/><Relationship Id="rId19804" Type="http://schemas.openxmlformats.org/officeDocument/2006/relationships/hyperlink" Target="https://pbs.twimg.com/profile_images/627949001179037696/skEBkS05_normal.jpg" TargetMode="External"/><Relationship Id="rId7761" Type="http://schemas.openxmlformats.org/officeDocument/2006/relationships/hyperlink" Target="https://twitter.com/VirginiaNo13/status/723330200898015232" TargetMode="External"/><Relationship Id="rId8812" Type="http://schemas.openxmlformats.org/officeDocument/2006/relationships/hyperlink" Target="https://pbs.twimg.com/profile_images/1542372733/icon13004942018967_normal.jpg" TargetMode="External"/><Relationship Id="rId10742" Type="http://schemas.openxmlformats.org/officeDocument/2006/relationships/hyperlink" Target="https://twitter.com/beetlebug1938" TargetMode="External"/><Relationship Id="rId17355" Type="http://schemas.openxmlformats.org/officeDocument/2006/relationships/hyperlink" Target="https://twitter.com/Wendishwasher" TargetMode="External"/><Relationship Id="rId18406" Type="http://schemas.openxmlformats.org/officeDocument/2006/relationships/hyperlink" Target="https://twitter.com/vwgroup_en/status/723867177162575872" TargetMode="External"/><Relationship Id="rId21001" Type="http://schemas.openxmlformats.org/officeDocument/2006/relationships/hyperlink" Target="https://twitter.com/gustaricar2013" TargetMode="External"/><Relationship Id="rId24571" Type="http://schemas.openxmlformats.org/officeDocument/2006/relationships/hyperlink" Target="https://twitter.com/VeeDubMk1_/status/724372504790355968" TargetMode="External"/><Relationship Id="rId25622" Type="http://schemas.openxmlformats.org/officeDocument/2006/relationships/hyperlink" Target="https://pbs.twimg.com/profile_images/723884843508084739/vk1neEZZ_normal.jpg" TargetMode="External"/><Relationship Id="rId6363" Type="http://schemas.openxmlformats.org/officeDocument/2006/relationships/hyperlink" Target="https://pbs.twimg.com/profile_images/471360227137163264/w2Gvricp_normal.png" TargetMode="External"/><Relationship Id="rId7414" Type="http://schemas.openxmlformats.org/officeDocument/2006/relationships/hyperlink" Target="https://pbs.twimg.com/profile_images/717536418684407808/tt7-L3s9_normal.jpg" TargetMode="External"/><Relationship Id="rId17008" Type="http://schemas.openxmlformats.org/officeDocument/2006/relationships/hyperlink" Target="https://twitter.com/capipaula182" TargetMode="External"/><Relationship Id="rId23173" Type="http://schemas.openxmlformats.org/officeDocument/2006/relationships/hyperlink" Target="https://twitter.com/MartinMosel" TargetMode="External"/><Relationship Id="rId24224" Type="http://schemas.openxmlformats.org/officeDocument/2006/relationships/hyperlink" Target="https://pbs.twimg.com/profile_images/697539834840268800/fIANhnLA_normal.jpg" TargetMode="External"/><Relationship Id="rId2973" Type="http://schemas.openxmlformats.org/officeDocument/2006/relationships/hyperlink" Target="https://twitter.com/DS_1962" TargetMode="External"/><Relationship Id="rId6016" Type="http://schemas.openxmlformats.org/officeDocument/2006/relationships/hyperlink" Target="https://pbs.twimg.com/profile_images/703294545195307008/qeCvrX86_normal.jpg" TargetMode="External"/><Relationship Id="rId9586" Type="http://schemas.openxmlformats.org/officeDocument/2006/relationships/hyperlink" Target="https://twitter.com/mconde_vw/status/723441594314051584" TargetMode="External"/><Relationship Id="rId12567" Type="http://schemas.openxmlformats.org/officeDocument/2006/relationships/hyperlink" Target="https://twitter.com/ErnstvAll/status/723522667253518336" TargetMode="External"/><Relationship Id="rId13618" Type="http://schemas.openxmlformats.org/officeDocument/2006/relationships/hyperlink" Target="https://twitter.com/VWCamperSales/status/723551718361825281" TargetMode="External"/><Relationship Id="rId13965" Type="http://schemas.openxmlformats.org/officeDocument/2006/relationships/hyperlink" Target="https://twitter.com/agy_nes" TargetMode="External"/><Relationship Id="rId945" Type="http://schemas.openxmlformats.org/officeDocument/2006/relationships/hyperlink" Target="https://twitter.com/1phillipsprince/status/723005471909515265" TargetMode="External"/><Relationship Id="rId1575" Type="http://schemas.openxmlformats.org/officeDocument/2006/relationships/hyperlink" Target="https://twitter.com/dw_deutsch/status/723047399631900672" TargetMode="External"/><Relationship Id="rId2626" Type="http://schemas.openxmlformats.org/officeDocument/2006/relationships/hyperlink" Target="https://twitter.com/Nick_Buckland/status/723110365144465408" TargetMode="External"/><Relationship Id="rId8188" Type="http://schemas.openxmlformats.org/officeDocument/2006/relationships/hyperlink" Target="https://twitter.com/SamGodreau/status/723375064503078913" TargetMode="External"/><Relationship Id="rId9239" Type="http://schemas.openxmlformats.org/officeDocument/2006/relationships/hyperlink" Target="https://pbs.twimg.com/profile_images/609626752802009088/UsQorUBS_normal.jpg" TargetMode="External"/><Relationship Id="rId11169" Type="http://schemas.openxmlformats.org/officeDocument/2006/relationships/hyperlink" Target="https://twitter.com/boerseonline" TargetMode="External"/><Relationship Id="rId15040" Type="http://schemas.openxmlformats.org/officeDocument/2006/relationships/hyperlink" Target="https://pbs.twimg.com/profile_images/1610421423/Image2_normal.jpg" TargetMode="External"/><Relationship Id="rId20834" Type="http://schemas.openxmlformats.org/officeDocument/2006/relationships/hyperlink" Target="https://twitter.com/RamsarJrs12/status/724048654038896642" TargetMode="External"/><Relationship Id="rId1228" Type="http://schemas.openxmlformats.org/officeDocument/2006/relationships/hyperlink" Target="https://pbs.twimg.com/profile_images/883241100/_LQ_normal.png" TargetMode="External"/><Relationship Id="rId4798" Type="http://schemas.openxmlformats.org/officeDocument/2006/relationships/hyperlink" Target="https://twitter.com/msnde" TargetMode="External"/><Relationship Id="rId19661" Type="http://schemas.openxmlformats.org/officeDocument/2006/relationships/hyperlink" Target="https://twitter.com/spicyfknrob/status/723945881054121985" TargetMode="External"/><Relationship Id="rId5849" Type="http://schemas.openxmlformats.org/officeDocument/2006/relationships/hyperlink" Target="https://twitter.com/Raven1963Z" TargetMode="External"/><Relationship Id="rId7271" Type="http://schemas.openxmlformats.org/officeDocument/2006/relationships/hyperlink" Target="https://pbs.twimg.com/profile_images/599357023407464449/BL9Bpo6T_normal.jpg" TargetMode="External"/><Relationship Id="rId8322" Type="http://schemas.openxmlformats.org/officeDocument/2006/relationships/hyperlink" Target="https://pbs.twimg.com/profile_images/627949001179037696/skEBkS05_normal.jpg" TargetMode="External"/><Relationship Id="rId9720" Type="http://schemas.openxmlformats.org/officeDocument/2006/relationships/hyperlink" Target="https://twitter.com/doern" TargetMode="External"/><Relationship Id="rId11650" Type="http://schemas.openxmlformats.org/officeDocument/2006/relationships/hyperlink" Target="https://twitter.com/instock_de/status/723504972931960833" TargetMode="External"/><Relationship Id="rId12701" Type="http://schemas.openxmlformats.org/officeDocument/2006/relationships/hyperlink" Target="https://twitter.com/Klimaatcombi" TargetMode="External"/><Relationship Id="rId18263" Type="http://schemas.openxmlformats.org/officeDocument/2006/relationships/hyperlink" Target="https://twitter.com/AlwaysInTheTaxi/status/723858922856165376" TargetMode="External"/><Relationship Id="rId19314" Type="http://schemas.openxmlformats.org/officeDocument/2006/relationships/hyperlink" Target="https://pbs.twimg.com/profile_images/615493650785660928/XHUh6HOk_normal.jpg" TargetMode="External"/><Relationship Id="rId22659" Type="http://schemas.openxmlformats.org/officeDocument/2006/relationships/hyperlink" Target="https://pbs.twimg.com/profile_images/720624990727450625/fuZyPQz5_normal.jpg" TargetMode="External"/><Relationship Id="rId24081" Type="http://schemas.openxmlformats.org/officeDocument/2006/relationships/hyperlink" Target="https://pbs.twimg.com/profile_images/474019501403406336/_4Ns_zdP_normal.jpeg" TargetMode="External"/><Relationship Id="rId10252" Type="http://schemas.openxmlformats.org/officeDocument/2006/relationships/hyperlink" Target="https://pbs.twimg.com/profile_images/2041891215/clessidra_normal.jpg" TargetMode="External"/><Relationship Id="rId11303" Type="http://schemas.openxmlformats.org/officeDocument/2006/relationships/hyperlink" Target="https://pbs.twimg.com/profile_images/669855217513578496/tHE9dIDO_normal.jpg" TargetMode="External"/><Relationship Id="rId14873" Type="http://schemas.openxmlformats.org/officeDocument/2006/relationships/hyperlink" Target="https://twitter.com/DubLuvTuning/status/723585763980513281" TargetMode="External"/><Relationship Id="rId15924" Type="http://schemas.openxmlformats.org/officeDocument/2006/relationships/hyperlink" Target="https://pbs.twimg.com/profile_images/689490163639123968/KvB_Hdux_normal.jpg" TargetMode="External"/><Relationship Id="rId25132" Type="http://schemas.openxmlformats.org/officeDocument/2006/relationships/hyperlink" Target="https://twitter.com/Floppii_Chiara" TargetMode="External"/><Relationship Id="rId3881" Type="http://schemas.openxmlformats.org/officeDocument/2006/relationships/hyperlink" Target="https://pbs.twimg.com/profile_images/669541061711261696/eOfP0YD8_normal.png" TargetMode="External"/><Relationship Id="rId4932" Type="http://schemas.openxmlformats.org/officeDocument/2006/relationships/hyperlink" Target="https://twitter.com/NicoleGeorge951/status/723190756215799809" TargetMode="External"/><Relationship Id="rId9096" Type="http://schemas.openxmlformats.org/officeDocument/2006/relationships/hyperlink" Target="https://pbs.twimg.com/profile_images/638973360169463808/YEbGEWne_normal.jpg" TargetMode="External"/><Relationship Id="rId13475" Type="http://schemas.openxmlformats.org/officeDocument/2006/relationships/hyperlink" Target="https://twitter.com/Snowx2k5" TargetMode="External"/><Relationship Id="rId14526" Type="http://schemas.openxmlformats.org/officeDocument/2006/relationships/hyperlink" Target="https://twitter.com/DubLuvTuning" TargetMode="External"/><Relationship Id="rId20691" Type="http://schemas.openxmlformats.org/officeDocument/2006/relationships/hyperlink" Target="https://twitter.com/VWBeetleSales" TargetMode="External"/><Relationship Id="rId21742" Type="http://schemas.openxmlformats.org/officeDocument/2006/relationships/hyperlink" Target="https://twitter.com/caryelluk" TargetMode="External"/><Relationship Id="rId2483" Type="http://schemas.openxmlformats.org/officeDocument/2006/relationships/hyperlink" Target="https://twitter.com/treibholzfilm/status/723102753598349312" TargetMode="External"/><Relationship Id="rId3534" Type="http://schemas.openxmlformats.org/officeDocument/2006/relationships/hyperlink" Target="https://twitter.com/vwfamilyrd" TargetMode="External"/><Relationship Id="rId12077" Type="http://schemas.openxmlformats.org/officeDocument/2006/relationships/hyperlink" Target="https://twitter.com/BoersenDE" TargetMode="External"/><Relationship Id="rId13128" Type="http://schemas.openxmlformats.org/officeDocument/2006/relationships/hyperlink" Target="http://dlvr.it/" TargetMode="External"/><Relationship Id="rId16698" Type="http://schemas.openxmlformats.org/officeDocument/2006/relationships/hyperlink" Target="https://twitter.com/CindyCallinsky/status/723711842992922624" TargetMode="External"/><Relationship Id="rId17749" Type="http://schemas.openxmlformats.org/officeDocument/2006/relationships/hyperlink" Target="https://twitter.com/nobuhusababa" TargetMode="External"/><Relationship Id="rId20344" Type="http://schemas.openxmlformats.org/officeDocument/2006/relationships/hyperlink" Target="https://twitter.com/ckindel/status/723992640627331072" TargetMode="External"/><Relationship Id="rId24965" Type="http://schemas.openxmlformats.org/officeDocument/2006/relationships/hyperlink" Target="https://twitter.com/VAGFanArg/status/724406692239282176" TargetMode="External"/><Relationship Id="rId455" Type="http://schemas.openxmlformats.org/officeDocument/2006/relationships/hyperlink" Target="https://twitter.com/memlopes" TargetMode="External"/><Relationship Id="rId1085" Type="http://schemas.openxmlformats.org/officeDocument/2006/relationships/hyperlink" Target="https://twitter.com/MasAcuy/status/723016595040292864" TargetMode="External"/><Relationship Id="rId2136" Type="http://schemas.openxmlformats.org/officeDocument/2006/relationships/hyperlink" Target="https://pbs.twimg.com/profile_images/530071272881803264/a_jcCmPZ_normal.png" TargetMode="External"/><Relationship Id="rId6757" Type="http://schemas.openxmlformats.org/officeDocument/2006/relationships/hyperlink" Target="https://twitter.com/LDCcreations" TargetMode="External"/><Relationship Id="rId7808" Type="http://schemas.openxmlformats.org/officeDocument/2006/relationships/hyperlink" Target="https://pbs.twimg.com/profile_images/583322292995772418/_hSKZ3NN_normal.jpg" TargetMode="External"/><Relationship Id="rId19171" Type="http://schemas.openxmlformats.org/officeDocument/2006/relationships/hyperlink" Target="https://twitter.com/haymansafc/status/723921920169631746" TargetMode="External"/><Relationship Id="rId23567" Type="http://schemas.openxmlformats.org/officeDocument/2006/relationships/hyperlink" Target="https://twitter.com/VWCamperSales" TargetMode="External"/><Relationship Id="rId24618" Type="http://schemas.openxmlformats.org/officeDocument/2006/relationships/hyperlink" Target="https://pbs.twimg.com/profile_images/690068229562241028/dtAFj2bm_normal.jpg" TargetMode="External"/><Relationship Id="rId108" Type="http://schemas.openxmlformats.org/officeDocument/2006/relationships/hyperlink" Target="https://twitter.com/APMACanada" TargetMode="External"/><Relationship Id="rId5359" Type="http://schemas.openxmlformats.org/officeDocument/2006/relationships/hyperlink" Target="http://discountbomb.com/" TargetMode="External"/><Relationship Id="rId9230" Type="http://schemas.openxmlformats.org/officeDocument/2006/relationships/hyperlink" Target="https://pbs.twimg.com/profile_images/690311863733751808/JXUoHCV3_normal.jpg" TargetMode="External"/><Relationship Id="rId11160" Type="http://schemas.openxmlformats.org/officeDocument/2006/relationships/hyperlink" Target="https://twitter.com/Scoopic" TargetMode="External"/><Relationship Id="rId22169" Type="http://schemas.openxmlformats.org/officeDocument/2006/relationships/hyperlink" Target="https://twitter.com/CanerAydinnn" TargetMode="External"/><Relationship Id="rId12211" Type="http://schemas.openxmlformats.org/officeDocument/2006/relationships/hyperlink" Target="https://twitter.com/Boersenradar" TargetMode="External"/><Relationship Id="rId15781" Type="http://schemas.openxmlformats.org/officeDocument/2006/relationships/hyperlink" Target="https://pbs.twimg.com/profile_images/703202278979690497/5r_qCw-8_normal.jpg" TargetMode="External"/><Relationship Id="rId16832" Type="http://schemas.openxmlformats.org/officeDocument/2006/relationships/hyperlink" Target="https://pbs.twimg.com/profile_images/1601078439/DSC_0135klein_normal.jpg" TargetMode="External"/><Relationship Id="rId1969" Type="http://schemas.openxmlformats.org/officeDocument/2006/relationships/hyperlink" Target="https://twitter.com/RobsterRound/status/723070802732691456" TargetMode="External"/><Relationship Id="rId5840" Type="http://schemas.openxmlformats.org/officeDocument/2006/relationships/hyperlink" Target="https://twitter.com/SammiLeopold08/status/723219559545753600" TargetMode="External"/><Relationship Id="rId14383" Type="http://schemas.openxmlformats.org/officeDocument/2006/relationships/hyperlink" Target="https://twitter.com/beetlebug1938/status/723573134427885568" TargetMode="External"/><Relationship Id="rId15434" Type="http://schemas.openxmlformats.org/officeDocument/2006/relationships/hyperlink" Target="https://twitter.com/TimSchmuckall/status/723607680590446592" TargetMode="External"/><Relationship Id="rId22650" Type="http://schemas.openxmlformats.org/officeDocument/2006/relationships/hyperlink" Target="https://pbs.twimg.com/profile_images/718803328122007553/V4Kw56ln_normal.jpg" TargetMode="External"/><Relationship Id="rId23701" Type="http://schemas.openxmlformats.org/officeDocument/2006/relationships/hyperlink" Target="https://pbs.twimg.com/profile_images/718820712757215233/LXXndPTS_normal.jpg" TargetMode="External"/><Relationship Id="rId3391" Type="http://schemas.openxmlformats.org/officeDocument/2006/relationships/hyperlink" Target="https://pbs.twimg.com/profile_images/476894592051056640/bqGCxWkq_normal.jpeg" TargetMode="External"/><Relationship Id="rId4442" Type="http://schemas.openxmlformats.org/officeDocument/2006/relationships/hyperlink" Target="https://pbs.twimg.com/profile_images/627949001179037696/skEBkS05_normal.jpg" TargetMode="External"/><Relationship Id="rId10993" Type="http://schemas.openxmlformats.org/officeDocument/2006/relationships/hyperlink" Target="https://twitter.com/nomadartdesign" TargetMode="External"/><Relationship Id="rId14036" Type="http://schemas.openxmlformats.org/officeDocument/2006/relationships/hyperlink" Target="https://twitter.com/Soniicgirl" TargetMode="External"/><Relationship Id="rId18657" Type="http://schemas.openxmlformats.org/officeDocument/2006/relationships/hyperlink" Target="https://twitter.com/TralalaBarb" TargetMode="External"/><Relationship Id="rId19708" Type="http://schemas.openxmlformats.org/officeDocument/2006/relationships/hyperlink" Target="https://pbs.twimg.com/profile_images/1187478980/avabeaks_normal.jpg" TargetMode="External"/><Relationship Id="rId21252" Type="http://schemas.openxmlformats.org/officeDocument/2006/relationships/hyperlink" Target="https://twitter.com/beetlebug1938/status/724133101983698944" TargetMode="External"/><Relationship Id="rId22303" Type="http://schemas.openxmlformats.org/officeDocument/2006/relationships/hyperlink" Target="https://twitter.com/Hoots_mon" TargetMode="External"/><Relationship Id="rId3044" Type="http://schemas.openxmlformats.org/officeDocument/2006/relationships/hyperlink" Target="https://twitter.com/BerHerg/status/723134379774496768" TargetMode="External"/><Relationship Id="rId7665" Type="http://schemas.openxmlformats.org/officeDocument/2006/relationships/hyperlink" Target="https://twitter.com/VWCamperSales" TargetMode="External"/><Relationship Id="rId8716" Type="http://schemas.openxmlformats.org/officeDocument/2006/relationships/hyperlink" Target="https://twitter.com/Kanix007/status/723403064518955009" TargetMode="External"/><Relationship Id="rId10646" Type="http://schemas.openxmlformats.org/officeDocument/2006/relationships/hyperlink" Target="https://twitter.com/DjUenal61" TargetMode="External"/><Relationship Id="rId17259" Type="http://schemas.openxmlformats.org/officeDocument/2006/relationships/hyperlink" Target="https://pbs.twimg.com/profile_images/703294545195307008/qeCvrX86_normal.jpg" TargetMode="External"/><Relationship Id="rId24475" Type="http://schemas.openxmlformats.org/officeDocument/2006/relationships/hyperlink" Target="https://twitter.com/BagOfPeanuts" TargetMode="External"/><Relationship Id="rId25526" Type="http://schemas.openxmlformats.org/officeDocument/2006/relationships/hyperlink" Target="https://twitter.com/axelneuhaus/status/724445488313974789" TargetMode="External"/><Relationship Id="rId6267" Type="http://schemas.openxmlformats.org/officeDocument/2006/relationships/hyperlink" Target="http://dlvr.it/" TargetMode="External"/><Relationship Id="rId7318" Type="http://schemas.openxmlformats.org/officeDocument/2006/relationships/hyperlink" Target="https://twitter.com/patchris/status/723295142715645954" TargetMode="External"/><Relationship Id="rId23077" Type="http://schemas.openxmlformats.org/officeDocument/2006/relationships/hyperlink" Target="https://twitter.com/BlackWolfSynd/status/724267788915879941" TargetMode="External"/><Relationship Id="rId24128" Type="http://schemas.openxmlformats.org/officeDocument/2006/relationships/hyperlink" Target="https://twitter.com/WholeBoardDev/status/724333827921944581" TargetMode="External"/><Relationship Id="rId2877" Type="http://schemas.openxmlformats.org/officeDocument/2006/relationships/hyperlink" Target="https://twitter.com/swanswaygroup" TargetMode="External"/><Relationship Id="rId13869" Type="http://schemas.openxmlformats.org/officeDocument/2006/relationships/hyperlink" Target="https://twitter.com/DavividAuto/status/723557746323427329" TargetMode="External"/><Relationship Id="rId15291" Type="http://schemas.openxmlformats.org/officeDocument/2006/relationships/hyperlink" Target="https://pbs.twimg.com/profile_images/710243539695763456/UeBsM3MU_normal.jpg" TargetMode="External"/><Relationship Id="rId17740" Type="http://schemas.openxmlformats.org/officeDocument/2006/relationships/hyperlink" Target="http://tradecar.ie/" TargetMode="External"/><Relationship Id="rId849" Type="http://schemas.openxmlformats.org/officeDocument/2006/relationships/hyperlink" Target="https://abs.twimg.com/sticky/default_profile_images/default_profile_6_normal.png" TargetMode="External"/><Relationship Id="rId1479" Type="http://schemas.openxmlformats.org/officeDocument/2006/relationships/hyperlink" Target="https://twitter.com/cleantechken" TargetMode="External"/><Relationship Id="rId3928" Type="http://schemas.openxmlformats.org/officeDocument/2006/relationships/hyperlink" Target="https://twitter.com/tom_tadah/status/723172309561810944" TargetMode="External"/><Relationship Id="rId5350" Type="http://schemas.openxmlformats.org/officeDocument/2006/relationships/hyperlink" Target="https://twitter.com/DiscountBomb" TargetMode="External"/><Relationship Id="rId6401" Type="http://schemas.openxmlformats.org/officeDocument/2006/relationships/hyperlink" Target="https://pbs.twimg.com/profile_images/1254132835/3com_normal.jpg" TargetMode="External"/><Relationship Id="rId16342" Type="http://schemas.openxmlformats.org/officeDocument/2006/relationships/hyperlink" Target="https://twitter.com/saudi_carz" TargetMode="External"/><Relationship Id="rId20738" Type="http://schemas.openxmlformats.org/officeDocument/2006/relationships/hyperlink" Target="https://twitter.com/Braulio_Urresti" TargetMode="External"/><Relationship Id="rId22160" Type="http://schemas.openxmlformats.org/officeDocument/2006/relationships/hyperlink" Target="https://twitter.com/ebaycampervans" TargetMode="External"/><Relationship Id="rId5003" Type="http://schemas.openxmlformats.org/officeDocument/2006/relationships/hyperlink" Target="https://twitter.com/Srry_I_ddnt_kno" TargetMode="External"/><Relationship Id="rId9971" Type="http://schemas.openxmlformats.org/officeDocument/2006/relationships/hyperlink" Target="https://twitter.com/theto3k/status/723456277662318592" TargetMode="External"/><Relationship Id="rId12952" Type="http://schemas.openxmlformats.org/officeDocument/2006/relationships/hyperlink" Target="https://twitter.com/Awesome_eu_com/status/723532216777760768" TargetMode="External"/><Relationship Id="rId19565" Type="http://schemas.openxmlformats.org/officeDocument/2006/relationships/hyperlink" Target="https://twitter.com/buran63" TargetMode="External"/><Relationship Id="rId23211" Type="http://schemas.openxmlformats.org/officeDocument/2006/relationships/hyperlink" Target="https://twitter.com/bruno90alvarez" TargetMode="External"/><Relationship Id="rId1960" Type="http://schemas.openxmlformats.org/officeDocument/2006/relationships/hyperlink" Target="https://twitter.com/ichbindasschon/status/723069948675776512" TargetMode="External"/><Relationship Id="rId7175" Type="http://schemas.openxmlformats.org/officeDocument/2006/relationships/hyperlink" Target="http://dlvr.it/" TargetMode="External"/><Relationship Id="rId8573" Type="http://schemas.openxmlformats.org/officeDocument/2006/relationships/hyperlink" Target="https://twitter.com/D0D0_S" TargetMode="External"/><Relationship Id="rId9624" Type="http://schemas.openxmlformats.org/officeDocument/2006/relationships/hyperlink" Target="https://twitter.com/andreafiorello" TargetMode="External"/><Relationship Id="rId11554" Type="http://schemas.openxmlformats.org/officeDocument/2006/relationships/hyperlink" Target="https://twitter.com/Symbol_FR" TargetMode="External"/><Relationship Id="rId12605" Type="http://schemas.openxmlformats.org/officeDocument/2006/relationships/hyperlink" Target="https://twitter.com/HansTheGerman" TargetMode="External"/><Relationship Id="rId18167" Type="http://schemas.openxmlformats.org/officeDocument/2006/relationships/hyperlink" Target="https://twitter.com/Exvtra_uk/status/723847960774217730" TargetMode="External"/><Relationship Id="rId19218" Type="http://schemas.openxmlformats.org/officeDocument/2006/relationships/hyperlink" Target="https://twitter.com/_sea_fox_" TargetMode="External"/><Relationship Id="rId25383" Type="http://schemas.openxmlformats.org/officeDocument/2006/relationships/hyperlink" Target="https://twitter.com/maddymaddog_" TargetMode="External"/><Relationship Id="rId1613" Type="http://schemas.openxmlformats.org/officeDocument/2006/relationships/hyperlink" Target="https://twitter.com/Drey_VH" TargetMode="External"/><Relationship Id="rId8226" Type="http://schemas.openxmlformats.org/officeDocument/2006/relationships/hyperlink" Target="https://twitter.com/Kielia88" TargetMode="External"/><Relationship Id="rId10156" Type="http://schemas.openxmlformats.org/officeDocument/2006/relationships/hyperlink" Target="https://twitter.com/cldiosanz" TargetMode="External"/><Relationship Id="rId11207" Type="http://schemas.openxmlformats.org/officeDocument/2006/relationships/hyperlink" Target="https://twitter.com/mamooo17/status/723499289134116865" TargetMode="External"/><Relationship Id="rId14777" Type="http://schemas.openxmlformats.org/officeDocument/2006/relationships/hyperlink" Target="https://twitter.com/glenmavis/status/723582143956439041" TargetMode="External"/><Relationship Id="rId15828" Type="http://schemas.openxmlformats.org/officeDocument/2006/relationships/hyperlink" Target="https://twitter.com/VidalJimena1/status/723630573168762880" TargetMode="External"/><Relationship Id="rId21993" Type="http://schemas.openxmlformats.org/officeDocument/2006/relationships/hyperlink" Target="https://pbs.twimg.com/profile_images/627949001179037696/skEBkS05_normal.jpg" TargetMode="External"/><Relationship Id="rId25036" Type="http://schemas.openxmlformats.org/officeDocument/2006/relationships/hyperlink" Target="https://twitter.com/dubbusses" TargetMode="External"/><Relationship Id="rId3785" Type="http://schemas.openxmlformats.org/officeDocument/2006/relationships/hyperlink" Target="https://twitter.com/nidabektas" TargetMode="External"/><Relationship Id="rId4836" Type="http://schemas.openxmlformats.org/officeDocument/2006/relationships/hyperlink" Target="https://pbs.twimg.com/profile_images/709353547398303744/t3Y8Osnt_normal.jpg" TargetMode="External"/><Relationship Id="rId13379" Type="http://schemas.openxmlformats.org/officeDocument/2006/relationships/hyperlink" Target="https://twitter.com/milleraef" TargetMode="External"/><Relationship Id="rId17250" Type="http://schemas.openxmlformats.org/officeDocument/2006/relationships/hyperlink" Target="https://twitter.com/aldertings" TargetMode="External"/><Relationship Id="rId18301" Type="http://schemas.openxmlformats.org/officeDocument/2006/relationships/hyperlink" Target="https://twitter.com/fairychav" TargetMode="External"/><Relationship Id="rId20595" Type="http://schemas.openxmlformats.org/officeDocument/2006/relationships/hyperlink" Target="https://pbs.twimg.com/profile_images/718835727027580928/1ssyQ67y_normal.jpg" TargetMode="External"/><Relationship Id="rId21646" Type="http://schemas.openxmlformats.org/officeDocument/2006/relationships/hyperlink" Target="https://twitter.com/WimKweekel" TargetMode="External"/><Relationship Id="rId2387" Type="http://schemas.openxmlformats.org/officeDocument/2006/relationships/hyperlink" Target="http://ctrlq.org/maps/address/" TargetMode="External"/><Relationship Id="rId3438" Type="http://schemas.openxmlformats.org/officeDocument/2006/relationships/hyperlink" Target="https://twitter.com/Scirocco_Tuning" TargetMode="External"/><Relationship Id="rId20248" Type="http://schemas.openxmlformats.org/officeDocument/2006/relationships/hyperlink" Target="https://twitter.com/dejbanlaw" TargetMode="External"/><Relationship Id="rId359" Type="http://schemas.openxmlformats.org/officeDocument/2006/relationships/hyperlink" Target="https://twitter.com/beetlebug1938" TargetMode="External"/><Relationship Id="rId9481" Type="http://schemas.openxmlformats.org/officeDocument/2006/relationships/hyperlink" Target="http://cars.co.za/" TargetMode="External"/><Relationship Id="rId13860" Type="http://schemas.openxmlformats.org/officeDocument/2006/relationships/hyperlink" Target="https://twitter.com/SFrischmuth/status/723557536075489281" TargetMode="External"/><Relationship Id="rId14911" Type="http://schemas.openxmlformats.org/officeDocument/2006/relationships/hyperlink" Target="https://twitter.com/brosefstalin53/status/723586723071037440" TargetMode="External"/><Relationship Id="rId19075" Type="http://schemas.openxmlformats.org/officeDocument/2006/relationships/hyperlink" Target="https://twitter.com/steaithpooch" TargetMode="External"/><Relationship Id="rId24869" Type="http://schemas.openxmlformats.org/officeDocument/2006/relationships/hyperlink" Target="https://twitter.com/steve_ath" TargetMode="External"/><Relationship Id="rId8083" Type="http://schemas.openxmlformats.org/officeDocument/2006/relationships/hyperlink" Target="https://pbs.twimg.com/profile_images/378800000572104796/1de43e1cf23efb3f4101c02afad0d3b6_normal.png" TargetMode="External"/><Relationship Id="rId9134" Type="http://schemas.openxmlformats.org/officeDocument/2006/relationships/hyperlink" Target="http://ctrlq.org/maps/address/" TargetMode="External"/><Relationship Id="rId12462" Type="http://schemas.openxmlformats.org/officeDocument/2006/relationships/hyperlink" Target="https://pbs.twimg.com/profile_images/704718766937149441/7ol1plMg_normal.jpg" TargetMode="External"/><Relationship Id="rId13513" Type="http://schemas.openxmlformats.org/officeDocument/2006/relationships/hyperlink" Target="https://pbs.twimg.com/profile_images/378800000054545648/93408d3300a292cb429205c81cb9206a_normal.png" TargetMode="External"/><Relationship Id="rId840" Type="http://schemas.openxmlformats.org/officeDocument/2006/relationships/hyperlink" Target="https://twitter.com/VWCamperSales" TargetMode="External"/><Relationship Id="rId1470" Type="http://schemas.openxmlformats.org/officeDocument/2006/relationships/hyperlink" Target="https://twitter.com/Pred_cnh" TargetMode="External"/><Relationship Id="rId2521" Type="http://schemas.openxmlformats.org/officeDocument/2006/relationships/hyperlink" Target="https://pbs.twimg.com/profile_images/705780107844067328/e7O4UBNb_normal.jpg" TargetMode="External"/><Relationship Id="rId11064" Type="http://schemas.openxmlformats.org/officeDocument/2006/relationships/hyperlink" Target="https://pbs.twimg.com/profile_images/717085410514571265/YBeow5nq_normal.jpg" TargetMode="External"/><Relationship Id="rId12115" Type="http://schemas.openxmlformats.org/officeDocument/2006/relationships/hyperlink" Target="https://pbs.twimg.com/profile_images/685389507626156032/BXeh3TNv_normal.png" TargetMode="External"/><Relationship Id="rId15685" Type="http://schemas.openxmlformats.org/officeDocument/2006/relationships/hyperlink" Target="https://twitter.com/Watson2706/status/723620466037002240" TargetMode="External"/><Relationship Id="rId16736" Type="http://schemas.openxmlformats.org/officeDocument/2006/relationships/hyperlink" Target="https://twitter.com/davidtellez" TargetMode="External"/><Relationship Id="rId23952" Type="http://schemas.openxmlformats.org/officeDocument/2006/relationships/hyperlink" Target="https://twitter.com/VWCamperSales/status/724321803393372160" TargetMode="External"/><Relationship Id="rId1123" Type="http://schemas.openxmlformats.org/officeDocument/2006/relationships/hyperlink" Target="https://twitter.com/idriveexotic/status/723021106379132928" TargetMode="External"/><Relationship Id="rId4693" Type="http://schemas.openxmlformats.org/officeDocument/2006/relationships/hyperlink" Target="https://twitter.com/jot_el/status/723185556721569792" TargetMode="External"/><Relationship Id="rId5744" Type="http://schemas.openxmlformats.org/officeDocument/2006/relationships/hyperlink" Target="https://twitter.com/bvdvliet" TargetMode="External"/><Relationship Id="rId14287" Type="http://schemas.openxmlformats.org/officeDocument/2006/relationships/hyperlink" Target="https://twitter.com/FlorDeCornuda" TargetMode="External"/><Relationship Id="rId15338" Type="http://schemas.openxmlformats.org/officeDocument/2006/relationships/hyperlink" Target="https://twitter.com/Marktzyniker" TargetMode="External"/><Relationship Id="rId19959" Type="http://schemas.openxmlformats.org/officeDocument/2006/relationships/hyperlink" Target="https://pbs.twimg.com/profile_images/391720090/Copy_of_Put-in-BAy_004_normal.jpg" TargetMode="External"/><Relationship Id="rId22554" Type="http://schemas.openxmlformats.org/officeDocument/2006/relationships/hyperlink" Target="https://twitter.com/genenano/status/724229486510743552" TargetMode="External"/><Relationship Id="rId23605" Type="http://schemas.openxmlformats.org/officeDocument/2006/relationships/hyperlink" Target="https://twitter.com/Jack_Griffin94/status/724299052066738177" TargetMode="External"/><Relationship Id="rId3295" Type="http://schemas.openxmlformats.org/officeDocument/2006/relationships/hyperlink" Target="https://twitter.com/DubLuvTuning/status/723149676942372864" TargetMode="External"/><Relationship Id="rId4346" Type="http://schemas.openxmlformats.org/officeDocument/2006/relationships/hyperlink" Target="https://twitter.com/nordlohner/status/723179524695953409" TargetMode="External"/><Relationship Id="rId8967" Type="http://schemas.openxmlformats.org/officeDocument/2006/relationships/hyperlink" Target="https://twitter.com/bvdvliet/status/723413981252067328" TargetMode="External"/><Relationship Id="rId21156" Type="http://schemas.openxmlformats.org/officeDocument/2006/relationships/hyperlink" Target="https://twitter.com/TetsuoHojo/status/724116922078371841" TargetMode="External"/><Relationship Id="rId22207" Type="http://schemas.openxmlformats.org/officeDocument/2006/relationships/hyperlink" Target="https://pbs.twimg.com/profile_images/562563461171798017/AkHF4keI_normal.png" TargetMode="External"/><Relationship Id="rId7569" Type="http://schemas.openxmlformats.org/officeDocument/2006/relationships/hyperlink" Target="https://twitter.com/rigogereon" TargetMode="External"/><Relationship Id="rId10897" Type="http://schemas.openxmlformats.org/officeDocument/2006/relationships/hyperlink" Target="https://twitter.com/JuveVerlag_RB/status/723489514006650884" TargetMode="External"/><Relationship Id="rId11948" Type="http://schemas.openxmlformats.org/officeDocument/2006/relationships/hyperlink" Target="https://twitter.com/TLZnews" TargetMode="External"/><Relationship Id="rId13370" Type="http://schemas.openxmlformats.org/officeDocument/2006/relationships/hyperlink" Target="https://twitter.com/ELNORTENEGOCIOS" TargetMode="External"/><Relationship Id="rId24379" Type="http://schemas.openxmlformats.org/officeDocument/2006/relationships/hyperlink" Target="https://pbs.twimg.com/profile_images/718835727027580928/1ssyQ67y_normal.jpg" TargetMode="External"/><Relationship Id="rId13023" Type="http://schemas.openxmlformats.org/officeDocument/2006/relationships/hyperlink" Target="https://twitter.com/RickStrickler/status/723533597081260034" TargetMode="External"/><Relationship Id="rId14421" Type="http://schemas.openxmlformats.org/officeDocument/2006/relationships/hyperlink" Target="https://twitter.com/dw_business" TargetMode="External"/><Relationship Id="rId17991" Type="http://schemas.openxmlformats.org/officeDocument/2006/relationships/hyperlink" Target="https://pbs.twimg.com/profile_images/555469100181233664/N58lleuy_normal.png" TargetMode="External"/><Relationship Id="rId350" Type="http://schemas.openxmlformats.org/officeDocument/2006/relationships/hyperlink" Target="https://twitter.com/beetlebug1938" TargetMode="External"/><Relationship Id="rId2031" Type="http://schemas.openxmlformats.org/officeDocument/2006/relationships/hyperlink" Target="https://twitter.com/chefreporterNRW" TargetMode="External"/><Relationship Id="rId16593" Type="http://schemas.openxmlformats.org/officeDocument/2006/relationships/hyperlink" Target="https://pbs.twimg.com/profile_images/2646835465/aa5823578b01b04b7e91d58e8ca88691_normal.jpeg" TargetMode="External"/><Relationship Id="rId17644" Type="http://schemas.openxmlformats.org/officeDocument/2006/relationships/hyperlink" Target="https://twitter.com/carstech42160/status/723812905985036288" TargetMode="External"/><Relationship Id="rId20989" Type="http://schemas.openxmlformats.org/officeDocument/2006/relationships/hyperlink" Target="https://twitter.com/VeeDubMk1_" TargetMode="External"/><Relationship Id="rId24860" Type="http://schemas.openxmlformats.org/officeDocument/2006/relationships/hyperlink" Target="https://twitter.com/DubLuvTuning" TargetMode="External"/><Relationship Id="rId5254" Type="http://schemas.openxmlformats.org/officeDocument/2006/relationships/hyperlink" Target="https://twitter.com/BofBB/status/723198714010046465" TargetMode="External"/><Relationship Id="rId6652" Type="http://schemas.openxmlformats.org/officeDocument/2006/relationships/hyperlink" Target="https://pbs.twimg.com/profile_images/711312097980915712/ozXZdyPp_normal.jpg" TargetMode="External"/><Relationship Id="rId7703" Type="http://schemas.openxmlformats.org/officeDocument/2006/relationships/hyperlink" Target="https://twitter.com/Financial_Orbit" TargetMode="External"/><Relationship Id="rId15195" Type="http://schemas.openxmlformats.org/officeDocument/2006/relationships/hyperlink" Target="https://twitter.com/bryanRis" TargetMode="External"/><Relationship Id="rId16246" Type="http://schemas.openxmlformats.org/officeDocument/2006/relationships/hyperlink" Target="https://pbs.twimg.com/profile_images/530071272881803264/a_jcCmPZ_normal.png" TargetMode="External"/><Relationship Id="rId23462" Type="http://schemas.openxmlformats.org/officeDocument/2006/relationships/hyperlink" Target="https://pbs.twimg.com/profile_images/720219516639322112/irnAQT4-_normal.jpg" TargetMode="External"/><Relationship Id="rId24513" Type="http://schemas.openxmlformats.org/officeDocument/2006/relationships/hyperlink" Target="https://twitter.com/beetlebug1938" TargetMode="External"/><Relationship Id="rId6305" Type="http://schemas.openxmlformats.org/officeDocument/2006/relationships/hyperlink" Target="https://twitter.com/JoseSemanen" TargetMode="External"/><Relationship Id="rId9875" Type="http://schemas.openxmlformats.org/officeDocument/2006/relationships/hyperlink" Target="https://pbs.twimg.com/profile_images/721996706657779713/1ngKuolF_normal.jpg" TargetMode="External"/><Relationship Id="rId12856" Type="http://schemas.openxmlformats.org/officeDocument/2006/relationships/hyperlink" Target="https://pbs.twimg.com/profile_images/491952742551015426/Jwy076--_normal.jpeg" TargetMode="External"/><Relationship Id="rId13907" Type="http://schemas.openxmlformats.org/officeDocument/2006/relationships/hyperlink" Target="https://pbs.twimg.com/profile_images/3012106875/596e712c99a38ec69b925b7f7ab71986_normal.jpeg" TargetMode="External"/><Relationship Id="rId19469" Type="http://schemas.openxmlformats.org/officeDocument/2006/relationships/hyperlink" Target="https://twitter.com/anjelicasjogren/status/723935731899609089" TargetMode="External"/><Relationship Id="rId22064" Type="http://schemas.openxmlformats.org/officeDocument/2006/relationships/hyperlink" Target="https://twitter.com/VeeDubMk1_/status/724198343690326016" TargetMode="External"/><Relationship Id="rId23115" Type="http://schemas.openxmlformats.org/officeDocument/2006/relationships/hyperlink" Target="https://twitter.com/VWCamperSales/status/724269184587161605" TargetMode="External"/><Relationship Id="rId89" Type="http://schemas.openxmlformats.org/officeDocument/2006/relationships/hyperlink" Target="https://twitter.com/Carscoop/status/722924380074827777" TargetMode="External"/><Relationship Id="rId1864" Type="http://schemas.openxmlformats.org/officeDocument/2006/relationships/hyperlink" Target="https://twitter.com/aa_albanian" TargetMode="External"/><Relationship Id="rId2915" Type="http://schemas.openxmlformats.org/officeDocument/2006/relationships/hyperlink" Target="https://pbs.twimg.com/profile_images/1865228787/seat_pp_normal.jpg" TargetMode="External"/><Relationship Id="rId8477" Type="http://schemas.openxmlformats.org/officeDocument/2006/relationships/hyperlink" Target="http://ctrlq.org/maps/address/" TargetMode="External"/><Relationship Id="rId9528" Type="http://schemas.openxmlformats.org/officeDocument/2006/relationships/hyperlink" Target="https://pbs.twimg.com/profile_images/571872729201012736/GOT-p0KX_normal.jpeg" TargetMode="External"/><Relationship Id="rId11458" Type="http://schemas.openxmlformats.org/officeDocument/2006/relationships/hyperlink" Target="https://twitter.com/BBCBusiness" TargetMode="External"/><Relationship Id="rId12509" Type="http://schemas.openxmlformats.org/officeDocument/2006/relationships/hyperlink" Target="https://twitter.com/Frauimspiegel/status/723521286002098176" TargetMode="External"/><Relationship Id="rId25287" Type="http://schemas.openxmlformats.org/officeDocument/2006/relationships/hyperlink" Target="https://pbs.twimg.com/profile_images/617967865413525504/y9t3axe3_normal.jpg" TargetMode="External"/><Relationship Id="rId1517" Type="http://schemas.openxmlformats.org/officeDocument/2006/relationships/hyperlink" Target="http://dlvr.it/" TargetMode="External"/><Relationship Id="rId7079" Type="http://schemas.openxmlformats.org/officeDocument/2006/relationships/hyperlink" Target="https://pbs.twimg.com/profile_images/553276249788129280/CF4iC9q-_normal.jpeg" TargetMode="External"/><Relationship Id="rId19950" Type="http://schemas.openxmlformats.org/officeDocument/2006/relationships/hyperlink" Target="https://pbs.twimg.com/profile_images/545688359964651520/SF3sJ7lv_normal.jpeg" TargetMode="External"/><Relationship Id="rId3689" Type="http://schemas.openxmlformats.org/officeDocument/2006/relationships/hyperlink" Target="https://pbs.twimg.com/profile_images/3228351590/aadb36f2b020cc27adac139aac4a5663_normal.jpeg" TargetMode="External"/><Relationship Id="rId7560" Type="http://schemas.openxmlformats.org/officeDocument/2006/relationships/hyperlink" Target="https://twitter.com/dukecave" TargetMode="External"/><Relationship Id="rId8611" Type="http://schemas.openxmlformats.org/officeDocument/2006/relationships/hyperlink" Target="https://pbs.twimg.com/profile_images/1610421423/Image2_normal.jpg" TargetMode="External"/><Relationship Id="rId17154" Type="http://schemas.openxmlformats.org/officeDocument/2006/relationships/hyperlink" Target="https://pbs.twimg.com/profile_images/723462210484342784/YTUDU9Ir_normal.jpg" TargetMode="External"/><Relationship Id="rId18552" Type="http://schemas.openxmlformats.org/officeDocument/2006/relationships/hyperlink" Target="https://pbs.twimg.com/profile_images/602784795119190016/VyaVwPXK_normal.jpg" TargetMode="External"/><Relationship Id="rId19603" Type="http://schemas.openxmlformats.org/officeDocument/2006/relationships/hyperlink" Target="https://pbs.twimg.com/profile_images/672878354127839232/M7OYc-zx_normal.jpg" TargetMode="External"/><Relationship Id="rId20499" Type="http://schemas.openxmlformats.org/officeDocument/2006/relationships/hyperlink" Target="https://twitter.com/FuscaWorld/status/724003626117636097" TargetMode="External"/><Relationship Id="rId21897" Type="http://schemas.openxmlformats.org/officeDocument/2006/relationships/hyperlink" Target="https://pbs.twimg.com/profile_images/2646835465/aa5823578b01b04b7e91d58e8ca88691_normal.jpeg" TargetMode="External"/><Relationship Id="rId22948" Type="http://schemas.openxmlformats.org/officeDocument/2006/relationships/hyperlink" Target="https://twitter.com/VWCamperSales/status/724259136909664256" TargetMode="External"/><Relationship Id="rId24370" Type="http://schemas.openxmlformats.org/officeDocument/2006/relationships/hyperlink" Target="https://pbs.twimg.com/profile_images/593370265461067776/kPS_IiMg_normal.jpg" TargetMode="External"/><Relationship Id="rId6162" Type="http://schemas.openxmlformats.org/officeDocument/2006/relationships/hyperlink" Target="https://twitter.com/Bankofisland/status/723233339046547457" TargetMode="External"/><Relationship Id="rId7213" Type="http://schemas.openxmlformats.org/officeDocument/2006/relationships/hyperlink" Target="https://twitter.com/IrelandUncut" TargetMode="External"/><Relationship Id="rId10541" Type="http://schemas.openxmlformats.org/officeDocument/2006/relationships/hyperlink" Target="https://twitter.com/VWCamperSales" TargetMode="External"/><Relationship Id="rId18205" Type="http://schemas.openxmlformats.org/officeDocument/2006/relationships/hyperlink" Target="https://twitter.com/VeeDubMk1_" TargetMode="External"/><Relationship Id="rId24023" Type="http://schemas.openxmlformats.org/officeDocument/2006/relationships/hyperlink" Target="https://twitter.com/MalikCandelaria/status/724327330710167552" TargetMode="External"/><Relationship Id="rId25421" Type="http://schemas.openxmlformats.org/officeDocument/2006/relationships/hyperlink" Target="https://twitter.com/vickymotorserv1/status/724438184449306625" TargetMode="External"/><Relationship Id="rId9385" Type="http://schemas.openxmlformats.org/officeDocument/2006/relationships/hyperlink" Target="https://twitter.com/SalihiShejzije" TargetMode="External"/><Relationship Id="rId13764" Type="http://schemas.openxmlformats.org/officeDocument/2006/relationships/hyperlink" Target="https://pbs.twimg.com/profile_images/3274120603/5ceab6a279edd12004a09e2dcd5ae5d8_normal.png" TargetMode="External"/><Relationship Id="rId14815" Type="http://schemas.openxmlformats.org/officeDocument/2006/relationships/hyperlink" Target="https://pbs.twimg.com/profile_images/711174977727422464/IPloOHJg_normal.jpg" TargetMode="External"/><Relationship Id="rId20980" Type="http://schemas.openxmlformats.org/officeDocument/2006/relationships/hyperlink" Target="https://twitter.com/takuya0358" TargetMode="External"/><Relationship Id="rId2772" Type="http://schemas.openxmlformats.org/officeDocument/2006/relationships/hyperlink" Target="https://twitter.com/dw_deutsch/status/723118350402871303" TargetMode="External"/><Relationship Id="rId3823" Type="http://schemas.openxmlformats.org/officeDocument/2006/relationships/hyperlink" Target="https://pbs.twimg.com/profile_images/706784695795769345/XGXgdjww_normal.jpg" TargetMode="External"/><Relationship Id="rId9038" Type="http://schemas.openxmlformats.org/officeDocument/2006/relationships/hyperlink" Target="https://pbs.twimg.com/profile_images/597478620580417538/f-Jf4hXY_normal.jpg" TargetMode="External"/><Relationship Id="rId12366" Type="http://schemas.openxmlformats.org/officeDocument/2006/relationships/hyperlink" Target="https://twitter.com/handelsblatt/status/723518279155896320" TargetMode="External"/><Relationship Id="rId13417" Type="http://schemas.openxmlformats.org/officeDocument/2006/relationships/hyperlink" Target="https://twitter.com/CKPapaBoojumzw/status/723546164004544512" TargetMode="External"/><Relationship Id="rId16987" Type="http://schemas.openxmlformats.org/officeDocument/2006/relationships/hyperlink" Target="https://twitter.com/GermanoDottori" TargetMode="External"/><Relationship Id="rId20633" Type="http://schemas.openxmlformats.org/officeDocument/2006/relationships/hyperlink" Target="https://twitter.com/VCT_Tweets/status/724017605674196995" TargetMode="External"/><Relationship Id="rId744" Type="http://schemas.openxmlformats.org/officeDocument/2006/relationships/hyperlink" Target="https://twitter.com/lamontto/status/722976907571109888" TargetMode="External"/><Relationship Id="rId1374" Type="http://schemas.openxmlformats.org/officeDocument/2006/relationships/hyperlink" Target="https://twitter.com/ItoParedes/status/723038303210053632" TargetMode="External"/><Relationship Id="rId2425" Type="http://schemas.openxmlformats.org/officeDocument/2006/relationships/hyperlink" Target="https://twitter.com/AlexisMautoneRC/status/723100762532761600" TargetMode="External"/><Relationship Id="rId5995" Type="http://schemas.openxmlformats.org/officeDocument/2006/relationships/hyperlink" Target="https://twitter.com/DubLuvTuning/status/723226424342138881" TargetMode="External"/><Relationship Id="rId12019" Type="http://schemas.openxmlformats.org/officeDocument/2006/relationships/hyperlink" Target="https://twitter.com/BrigPeachL4L" TargetMode="External"/><Relationship Id="rId15589" Type="http://schemas.openxmlformats.org/officeDocument/2006/relationships/hyperlink" Target="https://twitter.com/ebaycampervans" TargetMode="External"/><Relationship Id="rId19460" Type="http://schemas.openxmlformats.org/officeDocument/2006/relationships/hyperlink" Target="https://pbs.twimg.com/profile_images/647165170939240448/7EurWj_A_normal.jpg" TargetMode="External"/><Relationship Id="rId23856" Type="http://schemas.openxmlformats.org/officeDocument/2006/relationships/hyperlink" Target="https://twitter.com/ProClipUSA" TargetMode="External"/><Relationship Id="rId24907" Type="http://schemas.openxmlformats.org/officeDocument/2006/relationships/hyperlink" Target="https://twitter.com/FuscaWorld/status/724398753290027008" TargetMode="External"/><Relationship Id="rId80" Type="http://schemas.openxmlformats.org/officeDocument/2006/relationships/hyperlink" Target="https://twitter.com/SergioM47589336/status/722923243867357184" TargetMode="External"/><Relationship Id="rId1027" Type="http://schemas.openxmlformats.org/officeDocument/2006/relationships/hyperlink" Target="https://twitter.com/vaughn_bill/status/723014052398567424" TargetMode="External"/><Relationship Id="rId4597" Type="http://schemas.openxmlformats.org/officeDocument/2006/relationships/hyperlink" Target="https://pbs.twimg.com/profile_images/703294545195307008/qeCvrX86_normal.jpg" TargetMode="External"/><Relationship Id="rId5648" Type="http://schemas.openxmlformats.org/officeDocument/2006/relationships/hyperlink" Target="https://twitter.com/VeeDubMk1_" TargetMode="External"/><Relationship Id="rId18062" Type="http://schemas.openxmlformats.org/officeDocument/2006/relationships/hyperlink" Target="https://twitter.com/zoomit_ir" TargetMode="External"/><Relationship Id="rId19113" Type="http://schemas.openxmlformats.org/officeDocument/2006/relationships/hyperlink" Target="https://twitter.com/_forelgnsavage_" TargetMode="External"/><Relationship Id="rId22458" Type="http://schemas.openxmlformats.org/officeDocument/2006/relationships/hyperlink" Target="https://twitter.com/dubbusses/status/724224292058214401" TargetMode="External"/><Relationship Id="rId23509" Type="http://schemas.openxmlformats.org/officeDocument/2006/relationships/hyperlink" Target="https://twitter.com/thesecretcaddie/status/724294177887014912" TargetMode="External"/><Relationship Id="rId3199" Type="http://schemas.openxmlformats.org/officeDocument/2006/relationships/hyperlink" Target="https://twitter.com/WesHellyar/status/723145181256523776" TargetMode="External"/><Relationship Id="rId7070" Type="http://schemas.openxmlformats.org/officeDocument/2006/relationships/hyperlink" Target="https://twitter.com/VWBeetleSales" TargetMode="External"/><Relationship Id="rId8121" Type="http://schemas.openxmlformats.org/officeDocument/2006/relationships/hyperlink" Target="https://twitter.com/VWBeetleSales" TargetMode="External"/><Relationship Id="rId10051" Type="http://schemas.openxmlformats.org/officeDocument/2006/relationships/hyperlink" Target="https://twitter.com/TeresaMontao" TargetMode="External"/><Relationship Id="rId11102" Type="http://schemas.openxmlformats.org/officeDocument/2006/relationships/hyperlink" Target="https://twitter.com/boersenzeitung" TargetMode="External"/><Relationship Id="rId12500" Type="http://schemas.openxmlformats.org/officeDocument/2006/relationships/hyperlink" Target="https://twitter.com/Kurtzer90/status/723520870455599105" TargetMode="External"/><Relationship Id="rId14672" Type="http://schemas.openxmlformats.org/officeDocument/2006/relationships/hyperlink" Target="https://pbs.twimg.com/profile_images/708317385292451840/hvGxvzeX_normal.jpg" TargetMode="External"/><Relationship Id="rId15723" Type="http://schemas.openxmlformats.org/officeDocument/2006/relationships/hyperlink" Target="https://twitter.com/jitenmistrydj" TargetMode="External"/><Relationship Id="rId2282" Type="http://schemas.openxmlformats.org/officeDocument/2006/relationships/hyperlink" Target="https://pbs.twimg.com/profile_images/703294545195307008/qeCvrX86_normal.jpg" TargetMode="External"/><Relationship Id="rId3680" Type="http://schemas.openxmlformats.org/officeDocument/2006/relationships/hyperlink" Target="https://pbs.twimg.com/profile_images/231479009/logo_dpa_infoline_normal.jpg" TargetMode="External"/><Relationship Id="rId4731" Type="http://schemas.openxmlformats.org/officeDocument/2006/relationships/hyperlink" Target="https://twitter.com/balcis" TargetMode="External"/><Relationship Id="rId13274" Type="http://schemas.openxmlformats.org/officeDocument/2006/relationships/hyperlink" Target="https://twitter.com/Fotobiene/status/723542267122843648" TargetMode="External"/><Relationship Id="rId14325" Type="http://schemas.openxmlformats.org/officeDocument/2006/relationships/hyperlink" Target="https://twitter.com/PTSDandYOU/status/723572586278445056" TargetMode="External"/><Relationship Id="rId17895" Type="http://schemas.openxmlformats.org/officeDocument/2006/relationships/hyperlink" Target="https://pbs.twimg.com/profile_images/710482038583767041/5SUfHRAA_normal.jpg" TargetMode="External"/><Relationship Id="rId18946" Type="http://schemas.openxmlformats.org/officeDocument/2006/relationships/hyperlink" Target="https://twitter.com/about_an_hour/status/723908188756549632" TargetMode="External"/><Relationship Id="rId20490" Type="http://schemas.openxmlformats.org/officeDocument/2006/relationships/hyperlink" Target="https://pbs.twimg.com/profile_images/687475724815474688/Rs3BfuNy_normal.jpg" TargetMode="External"/><Relationship Id="rId21541" Type="http://schemas.openxmlformats.org/officeDocument/2006/relationships/hyperlink" Target="https://twitter.com/JonasHoefgen" TargetMode="External"/><Relationship Id="rId254" Type="http://schemas.openxmlformats.org/officeDocument/2006/relationships/hyperlink" Target="https://twitter.com/moteking25/status/722940476651806723" TargetMode="External"/><Relationship Id="rId3333" Type="http://schemas.openxmlformats.org/officeDocument/2006/relationships/hyperlink" Target="https://pbs.twimg.com/profile_images/676628116488392705/ELc0HmSX_normal.jpg" TargetMode="External"/><Relationship Id="rId7954" Type="http://schemas.openxmlformats.org/officeDocument/2006/relationships/hyperlink" Target="http://dlvr.it/" TargetMode="External"/><Relationship Id="rId10935" Type="http://schemas.openxmlformats.org/officeDocument/2006/relationships/hyperlink" Target="https://twitter.com/techhippie" TargetMode="External"/><Relationship Id="rId16497" Type="http://schemas.openxmlformats.org/officeDocument/2006/relationships/hyperlink" Target="https://twitter.com/JNathanHigdon" TargetMode="External"/><Relationship Id="rId17548" Type="http://schemas.openxmlformats.org/officeDocument/2006/relationships/hyperlink" Target="https://twitter.com/VeeDubMk1_/status/723806075896619008" TargetMode="External"/><Relationship Id="rId20143" Type="http://schemas.openxmlformats.org/officeDocument/2006/relationships/hyperlink" Target="https://twitter.com/tamara_dumas/status/723976741581148161" TargetMode="External"/><Relationship Id="rId24764" Type="http://schemas.openxmlformats.org/officeDocument/2006/relationships/hyperlink" Target="https://pbs.twimg.com/profile_images/627949001179037696/skEBkS05_normal.jpg" TargetMode="External"/><Relationship Id="rId6556" Type="http://schemas.openxmlformats.org/officeDocument/2006/relationships/hyperlink" Target="https://pbs.twimg.com/profile_images/783174143/sigla_twitter_normal.JPG" TargetMode="External"/><Relationship Id="rId7607" Type="http://schemas.openxmlformats.org/officeDocument/2006/relationships/hyperlink" Target="https://twitter.com/tube_c0ffee" TargetMode="External"/><Relationship Id="rId15099" Type="http://schemas.openxmlformats.org/officeDocument/2006/relationships/hyperlink" Target="https://twitter.com/DonnaNunez4864/status/723593736786075653" TargetMode="External"/><Relationship Id="rId23366" Type="http://schemas.openxmlformats.org/officeDocument/2006/relationships/hyperlink" Target="https://twitter.com/RTLRally" TargetMode="External"/><Relationship Id="rId24417" Type="http://schemas.openxmlformats.org/officeDocument/2006/relationships/hyperlink" Target="https://pbs.twimg.com/profile_images/378800000696049513/e66c8406113b01b265417af6dae63ca9_normal.jpeg" TargetMode="External"/><Relationship Id="rId5158" Type="http://schemas.openxmlformats.org/officeDocument/2006/relationships/hyperlink" Target="https://twitter.com/itscz_org/status/723195728546435072" TargetMode="External"/><Relationship Id="rId6209" Type="http://schemas.openxmlformats.org/officeDocument/2006/relationships/hyperlink" Target="https://twitter.com/soenke_iwersen/status/723235063702368256" TargetMode="External"/><Relationship Id="rId9779" Type="http://schemas.openxmlformats.org/officeDocument/2006/relationships/hyperlink" Target="https://pbs.twimg.com/profile_images/2519193895/FLATOUTWRJP_HD_normal.JPG" TargetMode="External"/><Relationship Id="rId12010" Type="http://schemas.openxmlformats.org/officeDocument/2006/relationships/hyperlink" Target="https://twitter.com/DallaCbo" TargetMode="External"/><Relationship Id="rId15580" Type="http://schemas.openxmlformats.org/officeDocument/2006/relationships/hyperlink" Target="https://twitter.com/VolkswagenPost" TargetMode="External"/><Relationship Id="rId23019" Type="http://schemas.openxmlformats.org/officeDocument/2006/relationships/hyperlink" Target="https://twitter.com/ToyneLee/status/724264665757409281" TargetMode="External"/><Relationship Id="rId1768" Type="http://schemas.openxmlformats.org/officeDocument/2006/relationships/hyperlink" Target="https://twitter.com/maritimegallery/status/723055873103253504" TargetMode="External"/><Relationship Id="rId2819" Type="http://schemas.openxmlformats.org/officeDocument/2006/relationships/hyperlink" Target="https://pbs.twimg.com/profile_images/3282181310/09912193e3b2ecc229b9028eb0f19def_normal.jpeg" TargetMode="External"/><Relationship Id="rId14182" Type="http://schemas.openxmlformats.org/officeDocument/2006/relationships/hyperlink" Target="https://twitter.com/PrlmaDonnaProds" TargetMode="External"/><Relationship Id="rId15233" Type="http://schemas.openxmlformats.org/officeDocument/2006/relationships/hyperlink" Target="https://pbs.twimg.com/profile_images/696836114716426241/gyTQKlir_normal.jpg" TargetMode="External"/><Relationship Id="rId16631" Type="http://schemas.openxmlformats.org/officeDocument/2006/relationships/hyperlink" Target="https://twitter.com/Scirocco_Tuning" TargetMode="External"/><Relationship Id="rId3190" Type="http://schemas.openxmlformats.org/officeDocument/2006/relationships/hyperlink" Target="https://twitter.com/Elitet5/status/723144922497470464" TargetMode="External"/><Relationship Id="rId4241" Type="http://schemas.openxmlformats.org/officeDocument/2006/relationships/hyperlink" Target="https://twitter.com/TheMartecGroup" TargetMode="External"/><Relationship Id="rId19854" Type="http://schemas.openxmlformats.org/officeDocument/2006/relationships/hyperlink" Target="https://twitter.com/FabryB_" TargetMode="External"/><Relationship Id="rId21051" Type="http://schemas.openxmlformats.org/officeDocument/2006/relationships/hyperlink" Target="https://pbs.twimg.com/profile_images/705780107844067328/e7O4UBNb_normal.jpg" TargetMode="External"/><Relationship Id="rId22102" Type="http://schemas.openxmlformats.org/officeDocument/2006/relationships/hyperlink" Target="https://twitter.com/OnlineCarReview/status/724200459884335105" TargetMode="External"/><Relationship Id="rId23500" Type="http://schemas.openxmlformats.org/officeDocument/2006/relationships/hyperlink" Target="https://pbs.twimg.com/profile_images/593454474041102336/YZAKB69P_normal.jpg" TargetMode="External"/><Relationship Id="rId7464" Type="http://schemas.openxmlformats.org/officeDocument/2006/relationships/hyperlink" Target="https://twitter.com/Automotormz/status/723305192549048320" TargetMode="External"/><Relationship Id="rId8862" Type="http://schemas.openxmlformats.org/officeDocument/2006/relationships/hyperlink" Target="https://twitter.com/SJudzikowski/status/723409680983171073" TargetMode="External"/><Relationship Id="rId9913" Type="http://schemas.openxmlformats.org/officeDocument/2006/relationships/hyperlink" Target="https://twitter.com/ruv24_de/status/723453844206792705" TargetMode="External"/><Relationship Id="rId10792" Type="http://schemas.openxmlformats.org/officeDocument/2006/relationships/hyperlink" Target="https://pbs.twimg.com/profile_images/668530738350964736/VEdSPpil_normal.jpg" TargetMode="External"/><Relationship Id="rId11843" Type="http://schemas.openxmlformats.org/officeDocument/2006/relationships/hyperlink" Target="https://twitter.com/KeHaber/status/723508732156588034" TargetMode="External"/><Relationship Id="rId18456" Type="http://schemas.openxmlformats.org/officeDocument/2006/relationships/hyperlink" Target="https://twitter.com/MotorHour/status/723869797969174530" TargetMode="External"/><Relationship Id="rId19507" Type="http://schemas.openxmlformats.org/officeDocument/2006/relationships/hyperlink" Target="https://twitter.com/Lindsay_VW" TargetMode="External"/><Relationship Id="rId25672" Type="http://schemas.openxmlformats.org/officeDocument/2006/relationships/hyperlink" Target="https://twitter.com/lovepeace1009/status/724458355301847040" TargetMode="External"/><Relationship Id="rId1902" Type="http://schemas.openxmlformats.org/officeDocument/2006/relationships/hyperlink" Target="https://pbs.twimg.com/profile_images/712271031986167808/28m0atkO_normal.jpg" TargetMode="External"/><Relationship Id="rId6066" Type="http://schemas.openxmlformats.org/officeDocument/2006/relationships/hyperlink" Target="https://twitter.com/grescoe" TargetMode="External"/><Relationship Id="rId7117" Type="http://schemas.openxmlformats.org/officeDocument/2006/relationships/hyperlink" Target="https://twitter.com/IrlPublicBanks/status/723279909544669186" TargetMode="External"/><Relationship Id="rId8515" Type="http://schemas.openxmlformats.org/officeDocument/2006/relationships/hyperlink" Target="https://twitter.com/VWCamperSales/status/723392529010331648" TargetMode="External"/><Relationship Id="rId10445" Type="http://schemas.openxmlformats.org/officeDocument/2006/relationships/hyperlink" Target="https://twitter.com/snoopy_xxl/status/723472902402744320" TargetMode="External"/><Relationship Id="rId17058" Type="http://schemas.openxmlformats.org/officeDocument/2006/relationships/hyperlink" Target="https://twitter.com/VWBeetleSales" TargetMode="External"/><Relationship Id="rId18109" Type="http://schemas.openxmlformats.org/officeDocument/2006/relationships/hyperlink" Target="https://twitter.com/Aboutwheels/status/723845211382767616" TargetMode="External"/><Relationship Id="rId24274" Type="http://schemas.openxmlformats.org/officeDocument/2006/relationships/hyperlink" Target="https://pbs.twimg.com/profile_images/569800899141177344/nVFLMSdb_normal.png" TargetMode="External"/><Relationship Id="rId25325" Type="http://schemas.openxmlformats.org/officeDocument/2006/relationships/hyperlink" Target="https://twitter.com/vwpress_en" TargetMode="External"/><Relationship Id="rId13668" Type="http://schemas.openxmlformats.org/officeDocument/2006/relationships/hyperlink" Target="https://pbs.twimg.com/profile_images/482674748619362305/g-7jPc3m_normal.jpeg" TargetMode="External"/><Relationship Id="rId14719" Type="http://schemas.openxmlformats.org/officeDocument/2006/relationships/hyperlink" Target="https://twitter.com/lumnon" TargetMode="External"/><Relationship Id="rId20884" Type="http://schemas.openxmlformats.org/officeDocument/2006/relationships/hyperlink" Target="https://twitter.com/Pancho_Ragoni" TargetMode="External"/><Relationship Id="rId21935" Type="http://schemas.openxmlformats.org/officeDocument/2006/relationships/hyperlink" Target="https://twitter.com/WillowSpringsUK" TargetMode="External"/><Relationship Id="rId995" Type="http://schemas.openxmlformats.org/officeDocument/2006/relationships/hyperlink" Target="https://pbs.twimg.com/profile_images/1943169885/profile-image_normal.png" TargetMode="External"/><Relationship Id="rId2676" Type="http://schemas.openxmlformats.org/officeDocument/2006/relationships/hyperlink" Target="https://twitter.com/Deejay_1KK/status/723112854166102016" TargetMode="External"/><Relationship Id="rId3727" Type="http://schemas.openxmlformats.org/officeDocument/2006/relationships/hyperlink" Target="https://pbs.twimg.com/profile_images/556255417714503681/B78CvKEX_normal.jpeg" TargetMode="External"/><Relationship Id="rId9289" Type="http://schemas.openxmlformats.org/officeDocument/2006/relationships/hyperlink" Target="https://twitter.com/anura_bandara/status/723429861595877380" TargetMode="External"/><Relationship Id="rId15090" Type="http://schemas.openxmlformats.org/officeDocument/2006/relationships/hyperlink" Target="https://twitter.com/Gosthtot/status/723592775715962880" TargetMode="External"/><Relationship Id="rId16141" Type="http://schemas.openxmlformats.org/officeDocument/2006/relationships/hyperlink" Target="https://twitter.com/VolkswagenPost/status/723651078546444288" TargetMode="External"/><Relationship Id="rId20537" Type="http://schemas.openxmlformats.org/officeDocument/2006/relationships/hyperlink" Target="https://twitter.com/el_wakim" TargetMode="External"/><Relationship Id="rId648" Type="http://schemas.openxmlformats.org/officeDocument/2006/relationships/hyperlink" Target="https://twitter.com/Caaml_Castroo" TargetMode="External"/><Relationship Id="rId1278" Type="http://schemas.openxmlformats.org/officeDocument/2006/relationships/hyperlink" Target="https://pbs.twimg.com/profile_images/602201660635652097/MOKTWd4d_normal.jpg" TargetMode="External"/><Relationship Id="rId2329" Type="http://schemas.openxmlformats.org/officeDocument/2006/relationships/hyperlink" Target="https://twitter.com/AmwalAlGhad_EN/status/723096026270199808" TargetMode="External"/><Relationship Id="rId5899" Type="http://schemas.openxmlformats.org/officeDocument/2006/relationships/hyperlink" Target="https://twitter.com/merriemarie/status/723222740333776897" TargetMode="External"/><Relationship Id="rId6200" Type="http://schemas.openxmlformats.org/officeDocument/2006/relationships/hyperlink" Target="https://twitter.com/GabrielPankow/status/723234881757691909" TargetMode="External"/><Relationship Id="rId9770" Type="http://schemas.openxmlformats.org/officeDocument/2006/relationships/hyperlink" Target="https://twitter.com/Drey_VH" TargetMode="External"/><Relationship Id="rId19364" Type="http://schemas.openxmlformats.org/officeDocument/2006/relationships/hyperlink" Target="https://twitter.com/Miguel_SndvlA" TargetMode="External"/><Relationship Id="rId23010" Type="http://schemas.openxmlformats.org/officeDocument/2006/relationships/hyperlink" Target="https://twitter.com/BEVENUTO/status/724264447133532160" TargetMode="External"/><Relationship Id="rId8372" Type="http://schemas.openxmlformats.org/officeDocument/2006/relationships/hyperlink" Target="https://twitter.com/StaffsVW/status/723385313423302656" TargetMode="External"/><Relationship Id="rId9423" Type="http://schemas.openxmlformats.org/officeDocument/2006/relationships/hyperlink" Target="http://dlvr.it/" TargetMode="External"/><Relationship Id="rId12751" Type="http://schemas.openxmlformats.org/officeDocument/2006/relationships/hyperlink" Target="https://twitter.com/VWBeetleSales/status/723527041174233088" TargetMode="External"/><Relationship Id="rId13802" Type="http://schemas.openxmlformats.org/officeDocument/2006/relationships/hyperlink" Target="https://pbs.twimg.com/profile_images/332725210/n40288936898_1999889_3841923_normal.jpg" TargetMode="External"/><Relationship Id="rId19017" Type="http://schemas.openxmlformats.org/officeDocument/2006/relationships/hyperlink" Target="http://ctrlq.org/maps/address/" TargetMode="External"/><Relationship Id="rId25182" Type="http://schemas.openxmlformats.org/officeDocument/2006/relationships/hyperlink" Target="https://pbs.twimg.com/profile_images/404564714/n219535500723_1136_normal.jpg" TargetMode="External"/><Relationship Id="rId2810" Type="http://schemas.openxmlformats.org/officeDocument/2006/relationships/hyperlink" Target="https://pbs.twimg.com/profile_images/721744365744427008/6HnVLqsd_normal.jpg" TargetMode="External"/><Relationship Id="rId8025" Type="http://schemas.openxmlformats.org/officeDocument/2006/relationships/hyperlink" Target="https://pbs.twimg.com/profile_images/715812919020228608/iTOiCon4_normal.jpg" TargetMode="External"/><Relationship Id="rId11353" Type="http://schemas.openxmlformats.org/officeDocument/2006/relationships/hyperlink" Target="https://twitter.com/LarsJehne" TargetMode="External"/><Relationship Id="rId12404" Type="http://schemas.openxmlformats.org/officeDocument/2006/relationships/hyperlink" Target="https://twitter.com/mu_giwara/status/723519088023105537" TargetMode="External"/><Relationship Id="rId15974" Type="http://schemas.openxmlformats.org/officeDocument/2006/relationships/hyperlink" Target="https://twitter.com/britezmalee/status/723640297352249344" TargetMode="External"/><Relationship Id="rId1412" Type="http://schemas.openxmlformats.org/officeDocument/2006/relationships/hyperlink" Target="https://twitter.com/ItoParedes" TargetMode="External"/><Relationship Id="rId4982" Type="http://schemas.openxmlformats.org/officeDocument/2006/relationships/hyperlink" Target="https://twitter.com/aligerb" TargetMode="External"/><Relationship Id="rId11006" Type="http://schemas.openxmlformats.org/officeDocument/2006/relationships/hyperlink" Target="https://twitter.com/polodrivercom/status/723494491085279232" TargetMode="External"/><Relationship Id="rId14576" Type="http://schemas.openxmlformats.org/officeDocument/2006/relationships/hyperlink" Target="https://twitter.com/tagesschau/status/723575816987267074" TargetMode="External"/><Relationship Id="rId15627" Type="http://schemas.openxmlformats.org/officeDocument/2006/relationships/hyperlink" Target="https://pbs.twimg.com/profile_images/627949001179037696/skEBkS05_normal.jpg" TargetMode="External"/><Relationship Id="rId21792" Type="http://schemas.openxmlformats.org/officeDocument/2006/relationships/hyperlink" Target="https://pbs.twimg.com/profile_images/718835727027580928/1ssyQ67y_normal.jpg" TargetMode="External"/><Relationship Id="rId22843" Type="http://schemas.openxmlformats.org/officeDocument/2006/relationships/hyperlink" Target="https://twitter.com/CaravanFinder" TargetMode="External"/><Relationship Id="rId3584" Type="http://schemas.openxmlformats.org/officeDocument/2006/relationships/hyperlink" Target="https://pbs.twimg.com/profile_images/530071272881803264/a_jcCmPZ_normal.png" TargetMode="External"/><Relationship Id="rId4635" Type="http://schemas.openxmlformats.org/officeDocument/2006/relationships/hyperlink" Target="https://twitter.com/ebaycampervans" TargetMode="External"/><Relationship Id="rId13178" Type="http://schemas.openxmlformats.org/officeDocument/2006/relationships/hyperlink" Target="https://twitter.com/VWBeetleSales" TargetMode="External"/><Relationship Id="rId14229" Type="http://schemas.openxmlformats.org/officeDocument/2006/relationships/hyperlink" Target="https://twitter.com/VWCamperSales" TargetMode="External"/><Relationship Id="rId17799" Type="http://schemas.openxmlformats.org/officeDocument/2006/relationships/hyperlink" Target="https://twitter.com/marcomausf/status/723822978165776384" TargetMode="External"/><Relationship Id="rId18100" Type="http://schemas.openxmlformats.org/officeDocument/2006/relationships/hyperlink" Target="https://pbs.twimg.com/profile_images/524531569906565120/Noxq66xP_normal.jpeg" TargetMode="External"/><Relationship Id="rId20394" Type="http://schemas.openxmlformats.org/officeDocument/2006/relationships/hyperlink" Target="https://pbs.twimg.com/profile_images/663706932805550081/6fH0YlqP_normal.jpg" TargetMode="External"/><Relationship Id="rId21445" Type="http://schemas.openxmlformats.org/officeDocument/2006/relationships/hyperlink" Target="https://pbs.twimg.com/profile_images/718835727027580928/1ssyQ67y_normal.jpg" TargetMode="External"/><Relationship Id="rId158" Type="http://schemas.openxmlformats.org/officeDocument/2006/relationships/hyperlink" Target="https://pbs.twimg.com/profile_images/693095514821255169/T33S6NtY_normal.jpg" TargetMode="External"/><Relationship Id="rId2186" Type="http://schemas.openxmlformats.org/officeDocument/2006/relationships/hyperlink" Target="https://twitter.com/panicswitch777/status/723087481260769280" TargetMode="External"/><Relationship Id="rId3237" Type="http://schemas.openxmlformats.org/officeDocument/2006/relationships/hyperlink" Target="https://twitter.com/sprinter_bc/status/723145793700417538" TargetMode="External"/><Relationship Id="rId7858" Type="http://schemas.openxmlformats.org/officeDocument/2006/relationships/hyperlink" Target="https://twitter.com/twizler557" TargetMode="External"/><Relationship Id="rId8909" Type="http://schemas.openxmlformats.org/officeDocument/2006/relationships/hyperlink" Target="https://twitter.com/darksideoftheeg" TargetMode="External"/><Relationship Id="rId20047" Type="http://schemas.openxmlformats.org/officeDocument/2006/relationships/hyperlink" Target="https://twitter.com/exequielleguiz1" TargetMode="External"/><Relationship Id="rId24668" Type="http://schemas.openxmlformats.org/officeDocument/2006/relationships/hyperlink" Target="https://twitter.com/beetlebug1938/status/724382970354741249" TargetMode="External"/><Relationship Id="rId25719" Type="http://schemas.openxmlformats.org/officeDocument/2006/relationships/hyperlink" Target="https://twitter.com/vwgroup_en" TargetMode="External"/><Relationship Id="rId9280" Type="http://schemas.openxmlformats.org/officeDocument/2006/relationships/hyperlink" Target="https://twitter.com/vwpress_en/status/723429704166862848" TargetMode="External"/><Relationship Id="rId10839" Type="http://schemas.openxmlformats.org/officeDocument/2006/relationships/hyperlink" Target="https://twitter.com/DrummerBrown/status/723487268971810816" TargetMode="External"/><Relationship Id="rId12261" Type="http://schemas.openxmlformats.org/officeDocument/2006/relationships/hyperlink" Target="https://pbs.twimg.com/profile_images/378800000528765970/3ab9f2a00010e9cac08d5ca1638926e9_normal.png" TargetMode="External"/><Relationship Id="rId13312" Type="http://schemas.openxmlformats.org/officeDocument/2006/relationships/hyperlink" Target="https://pbs.twimg.com/profile_images/718820712757215233/LXXndPTS_normal.jpg" TargetMode="External"/><Relationship Id="rId14710" Type="http://schemas.openxmlformats.org/officeDocument/2006/relationships/hyperlink" Target="http://dlvr.it/" TargetMode="External"/><Relationship Id="rId2320" Type="http://schemas.openxmlformats.org/officeDocument/2006/relationships/hyperlink" Target="https://twitter.com/ZzoranNnikolic/status/723095616734162944" TargetMode="External"/><Relationship Id="rId16882" Type="http://schemas.openxmlformats.org/officeDocument/2006/relationships/hyperlink" Target="https://twitter.com/JackyMMontes" TargetMode="External"/><Relationship Id="rId17933" Type="http://schemas.openxmlformats.org/officeDocument/2006/relationships/hyperlink" Target="https://pbs.twimg.com/profile_images/526402558789976065/eXjXgASI_normal.jpeg" TargetMode="External"/><Relationship Id="rId4492" Type="http://schemas.openxmlformats.org/officeDocument/2006/relationships/hyperlink" Target="https://twitter.com/Einstein_MTMP/status/723181806909054976" TargetMode="External"/><Relationship Id="rId5543" Type="http://schemas.openxmlformats.org/officeDocument/2006/relationships/hyperlink" Target="https://twitter.com/pillows_adam/status/723207709231865856" TargetMode="External"/><Relationship Id="rId5890" Type="http://schemas.openxmlformats.org/officeDocument/2006/relationships/hyperlink" Target="https://pbs.twimg.com/profile_images/708415565778395137/CGiWIHQ0_normal.jpg" TargetMode="External"/><Relationship Id="rId6941" Type="http://schemas.openxmlformats.org/officeDocument/2006/relationships/hyperlink" Target="https://twitter.com/JaguarApp/status/723270700656693248" TargetMode="External"/><Relationship Id="rId14086" Type="http://schemas.openxmlformats.org/officeDocument/2006/relationships/hyperlink" Target="https://twitter.com/HillerGabriele/status/723563511977238529" TargetMode="External"/><Relationship Id="rId15484" Type="http://schemas.openxmlformats.org/officeDocument/2006/relationships/hyperlink" Target="https://twitter.com/Nikola_John/status/723608785139449856" TargetMode="External"/><Relationship Id="rId16535" Type="http://schemas.openxmlformats.org/officeDocument/2006/relationships/hyperlink" Target="https://twitter.com/CalgaryToday/status/723695074824040453" TargetMode="External"/><Relationship Id="rId23751" Type="http://schemas.openxmlformats.org/officeDocument/2006/relationships/hyperlink" Target="https://twitter.com/armandoh_8/status/724308496536113152" TargetMode="External"/><Relationship Id="rId24802" Type="http://schemas.openxmlformats.org/officeDocument/2006/relationships/hyperlink" Target="https://twitter.com/684Frhano" TargetMode="External"/><Relationship Id="rId3094" Type="http://schemas.openxmlformats.org/officeDocument/2006/relationships/hyperlink" Target="https://twitter.com/svetnovca/status/723140698220974080" TargetMode="External"/><Relationship Id="rId4145" Type="http://schemas.openxmlformats.org/officeDocument/2006/relationships/hyperlink" Target="https://twitter.com/CALPIRG/status/723177304726233089" TargetMode="External"/><Relationship Id="rId15137" Type="http://schemas.openxmlformats.org/officeDocument/2006/relationships/hyperlink" Target="https://twitter.com/JohnHall_UK/status/723595567134208000" TargetMode="External"/><Relationship Id="rId19758" Type="http://schemas.openxmlformats.org/officeDocument/2006/relationships/hyperlink" Target="https://twitter.com/TheRealBusman73" TargetMode="External"/><Relationship Id="rId22353" Type="http://schemas.openxmlformats.org/officeDocument/2006/relationships/hyperlink" Target="https://twitter.com/feralf/status/724217981585252352" TargetMode="External"/><Relationship Id="rId23404" Type="http://schemas.openxmlformats.org/officeDocument/2006/relationships/hyperlink" Target="https://twitter.com/LulubelleLimoVW/status/724286992608047104" TargetMode="External"/><Relationship Id="rId8766" Type="http://schemas.openxmlformats.org/officeDocument/2006/relationships/hyperlink" Target="https://twitter.com/absieber/status/723405495856300033" TargetMode="External"/><Relationship Id="rId9817" Type="http://schemas.openxmlformats.org/officeDocument/2006/relationships/hyperlink" Target="https://twitter.com/wehrs18/status/723450436406022144" TargetMode="External"/><Relationship Id="rId10696" Type="http://schemas.openxmlformats.org/officeDocument/2006/relationships/hyperlink" Target="https://pbs.twimg.com/profile_images/434425163216474112/KtOuHIkV_normal.jpeg" TargetMode="External"/><Relationship Id="rId11747" Type="http://schemas.openxmlformats.org/officeDocument/2006/relationships/hyperlink" Target="https://twitter.com/wenportuguese" TargetMode="External"/><Relationship Id="rId22006" Type="http://schemas.openxmlformats.org/officeDocument/2006/relationships/hyperlink" Target="https://pbs.twimg.com/profile_images/718820712757215233/LXXndPTS_normal.jpg" TargetMode="External"/><Relationship Id="rId25576" Type="http://schemas.openxmlformats.org/officeDocument/2006/relationships/hyperlink" Target="https://pbs.twimg.com/profile_images/713573399386259456/JwmrbkVy_normal.jpg" TargetMode="External"/><Relationship Id="rId1806" Type="http://schemas.openxmlformats.org/officeDocument/2006/relationships/hyperlink" Target="https://pbs.twimg.com/profile_images/709727688462831616/KG2oHK_4_normal.jpg" TargetMode="External"/><Relationship Id="rId7368" Type="http://schemas.openxmlformats.org/officeDocument/2006/relationships/hyperlink" Target="https://twitter.com/hustead777/status/723298244869001216" TargetMode="External"/><Relationship Id="rId8419" Type="http://schemas.openxmlformats.org/officeDocument/2006/relationships/hyperlink" Target="https://twitter.com/MerlinaAlmendra" TargetMode="External"/><Relationship Id="rId10349" Type="http://schemas.openxmlformats.org/officeDocument/2006/relationships/hyperlink" Target="https://pbs.twimg.com/profile_images/666350173677887489/DlIQXJXf_normal.jpg" TargetMode="External"/><Relationship Id="rId14220" Type="http://schemas.openxmlformats.org/officeDocument/2006/relationships/hyperlink" Target="https://twitter.com/sarahmaho49/status/723569955736838146" TargetMode="External"/><Relationship Id="rId17790" Type="http://schemas.openxmlformats.org/officeDocument/2006/relationships/hyperlink" Target="https://twitter.com/hamdanhamdun/status/723822740482854912" TargetMode="External"/><Relationship Id="rId24178" Type="http://schemas.openxmlformats.org/officeDocument/2006/relationships/hyperlink" Target="http://dlvr.it/" TargetMode="External"/><Relationship Id="rId25229" Type="http://schemas.openxmlformats.org/officeDocument/2006/relationships/hyperlink" Target="https://twitter.com/cmsGOMEX/status/724427848593903618" TargetMode="External"/><Relationship Id="rId3978" Type="http://schemas.openxmlformats.org/officeDocument/2006/relationships/hyperlink" Target="https://pbs.twimg.com/profile_images/716681249511714816/cTserxry_normal.jpg" TargetMode="External"/><Relationship Id="rId8900" Type="http://schemas.openxmlformats.org/officeDocument/2006/relationships/hyperlink" Target="https://twitter.com/Oeli378" TargetMode="External"/><Relationship Id="rId16392" Type="http://schemas.openxmlformats.org/officeDocument/2006/relationships/hyperlink" Target="https://pbs.twimg.com/profile_images/718820712757215233/LXXndPTS_normal.jpg" TargetMode="External"/><Relationship Id="rId17443" Type="http://schemas.openxmlformats.org/officeDocument/2006/relationships/hyperlink" Target="https://twitter.com/schoensteiner" TargetMode="External"/><Relationship Id="rId18841" Type="http://schemas.openxmlformats.org/officeDocument/2006/relationships/hyperlink" Target="https://twitter.com/IrelandGuide" TargetMode="External"/><Relationship Id="rId20788" Type="http://schemas.openxmlformats.org/officeDocument/2006/relationships/hyperlink" Target="https://twitter.com/FuscaWorld/status/724044748244267008" TargetMode="External"/><Relationship Id="rId21839" Type="http://schemas.openxmlformats.org/officeDocument/2006/relationships/hyperlink" Target="https://pbs.twimg.com/profile_images/652871584131092480/QA_B6SBO_normal.jpg" TargetMode="External"/><Relationship Id="rId899" Type="http://schemas.openxmlformats.org/officeDocument/2006/relationships/hyperlink" Target="https://twitter.com/Kittypunk16" TargetMode="External"/><Relationship Id="rId6451" Type="http://schemas.openxmlformats.org/officeDocument/2006/relationships/hyperlink" Target="https://pbs.twimg.com/profile_images/672878354127839232/M7OYc-zx_normal.jpg" TargetMode="External"/><Relationship Id="rId7502" Type="http://schemas.openxmlformats.org/officeDocument/2006/relationships/hyperlink" Target="https://pbs.twimg.com/profile_images/575837850056290307/wsD1EvQx_normal.jpeg" TargetMode="External"/><Relationship Id="rId10830" Type="http://schemas.openxmlformats.org/officeDocument/2006/relationships/hyperlink" Target="https://twitter.com/hansjaaggi/status/723486366156382208" TargetMode="External"/><Relationship Id="rId16045" Type="http://schemas.openxmlformats.org/officeDocument/2006/relationships/hyperlink" Target="https://pbs.twimg.com/profile_images/523219475374821377/s4tVMnBe_normal.jpeg" TargetMode="External"/><Relationship Id="rId23261" Type="http://schemas.openxmlformats.org/officeDocument/2006/relationships/hyperlink" Target="https://pbs.twimg.com/profile_images/715829733720723456/q_UQUrtB_normal.jpg" TargetMode="External"/><Relationship Id="rId24312" Type="http://schemas.openxmlformats.org/officeDocument/2006/relationships/hyperlink" Target="https://twitter.com/VWCamperSales/status/724346951194439682" TargetMode="External"/><Relationship Id="rId25710" Type="http://schemas.openxmlformats.org/officeDocument/2006/relationships/hyperlink" Target="https://twitter.com/mario_skater" TargetMode="External"/><Relationship Id="rId5053" Type="http://schemas.openxmlformats.org/officeDocument/2006/relationships/hyperlink" Target="https://twitter.com/x3m_f/status/723193024617013248" TargetMode="External"/><Relationship Id="rId6104" Type="http://schemas.openxmlformats.org/officeDocument/2006/relationships/hyperlink" Target="https://pbs.twimg.com/profile_images/489747056584445953/3tvslEko_normal.jpeg" TargetMode="External"/><Relationship Id="rId9674" Type="http://schemas.openxmlformats.org/officeDocument/2006/relationships/hyperlink" Target="https://twitter.com/JuanjoMorodo/status/723444861173518336" TargetMode="External"/><Relationship Id="rId8276" Type="http://schemas.openxmlformats.org/officeDocument/2006/relationships/hyperlink" Target="https://pbs.twimg.com/profile_images/231479009/logo_dpa_infoline_normal.jpg" TargetMode="External"/><Relationship Id="rId9327" Type="http://schemas.openxmlformats.org/officeDocument/2006/relationships/hyperlink" Target="https://twitter.com/MiManske" TargetMode="External"/><Relationship Id="rId12655" Type="http://schemas.openxmlformats.org/officeDocument/2006/relationships/hyperlink" Target="https://pbs.twimg.com/profile_images/433240550620147713/gn7IHF5i_normal.jpeg" TargetMode="External"/><Relationship Id="rId13706" Type="http://schemas.openxmlformats.org/officeDocument/2006/relationships/hyperlink" Target="https://twitter.com/iamsalimali/status/723553704662695942" TargetMode="External"/><Relationship Id="rId19268" Type="http://schemas.openxmlformats.org/officeDocument/2006/relationships/hyperlink" Target="https://twitter.com/CHAELlNXI/status/723925592295411712" TargetMode="External"/><Relationship Id="rId20922" Type="http://schemas.openxmlformats.org/officeDocument/2006/relationships/hyperlink" Target="https://twitter.com/seannosoul/status/724064582348750848" TargetMode="External"/><Relationship Id="rId25086" Type="http://schemas.openxmlformats.org/officeDocument/2006/relationships/hyperlink" Target="https://twitter.com/whats_live/status/724418325791531008" TargetMode="External"/><Relationship Id="rId1663" Type="http://schemas.openxmlformats.org/officeDocument/2006/relationships/hyperlink" Target="https://pbs.twimg.com/profile_images/1610421423/Image2_normal.jpg" TargetMode="External"/><Relationship Id="rId2714" Type="http://schemas.openxmlformats.org/officeDocument/2006/relationships/hyperlink" Target="https://twitter.com/Anjake12" TargetMode="External"/><Relationship Id="rId11257" Type="http://schemas.openxmlformats.org/officeDocument/2006/relationships/hyperlink" Target="https://pbs.twimg.com/profile_images/706784695795769345/XGXgdjww_normal.jpg" TargetMode="External"/><Relationship Id="rId12308" Type="http://schemas.openxmlformats.org/officeDocument/2006/relationships/hyperlink" Target="https://twitter.com/GrahameLucas/status/723516906968363008" TargetMode="External"/><Relationship Id="rId15878" Type="http://schemas.openxmlformats.org/officeDocument/2006/relationships/hyperlink" Target="https://twitter.com/PicadasArg/status/723635177524703234" TargetMode="External"/><Relationship Id="rId16929" Type="http://schemas.openxmlformats.org/officeDocument/2006/relationships/hyperlink" Target="https://pbs.twimg.com/profile_images/3462680803/42dfaee63b95cbc2f9c7e115eb8e109b_normal.jpeg" TargetMode="External"/><Relationship Id="rId1316" Type="http://schemas.openxmlformats.org/officeDocument/2006/relationships/hyperlink" Target="https://twitter.com/oleh_matsko" TargetMode="External"/><Relationship Id="rId4886" Type="http://schemas.openxmlformats.org/officeDocument/2006/relationships/hyperlink" Target="https://pbs.twimg.com/profile_images/531688614640365568/U84uXoIT_normal.png" TargetMode="External"/><Relationship Id="rId5937" Type="http://schemas.openxmlformats.org/officeDocument/2006/relationships/hyperlink" Target="https://pbs.twimg.com/profile_images/648511855149780992/OsSjn9Ix_normal.jpg" TargetMode="External"/><Relationship Id="rId18351" Type="http://schemas.openxmlformats.org/officeDocument/2006/relationships/hyperlink" Target="https://twitter.com/fatifit/status/723865245211566080" TargetMode="External"/><Relationship Id="rId19402" Type="http://schemas.openxmlformats.org/officeDocument/2006/relationships/hyperlink" Target="https://twitter.com/FuscaWorld" TargetMode="External"/><Relationship Id="rId21696" Type="http://schemas.openxmlformats.org/officeDocument/2006/relationships/hyperlink" Target="https://pbs.twimg.com/profile_images/1610421423/Image2_normal.jpg" TargetMode="External"/><Relationship Id="rId22747" Type="http://schemas.openxmlformats.org/officeDocument/2006/relationships/hyperlink" Target="https://twitter.com/jake_maves" TargetMode="External"/><Relationship Id="rId22" Type="http://schemas.openxmlformats.org/officeDocument/2006/relationships/hyperlink" Target="https://twitter.com/Scirocco_Tuning" TargetMode="External"/><Relationship Id="rId3488" Type="http://schemas.openxmlformats.org/officeDocument/2006/relationships/hyperlink" Target="https://pbs.twimg.com/profile_images/704630027053375488/mC7xHedR_normal.jpg" TargetMode="External"/><Relationship Id="rId4539" Type="http://schemas.openxmlformats.org/officeDocument/2006/relationships/hyperlink" Target="https://twitter.com/AndyGER" TargetMode="External"/><Relationship Id="rId8410" Type="http://schemas.openxmlformats.org/officeDocument/2006/relationships/hyperlink" Target="https://twitter.com/VWsightings" TargetMode="External"/><Relationship Id="rId10340" Type="http://schemas.openxmlformats.org/officeDocument/2006/relationships/hyperlink" Target="https://pbs.twimg.com/profile_images/531688614640365568/U84uXoIT_normal.png" TargetMode="External"/><Relationship Id="rId18004" Type="http://schemas.openxmlformats.org/officeDocument/2006/relationships/hyperlink" Target="https://twitter.com/BI_Neckartor" TargetMode="External"/><Relationship Id="rId20298" Type="http://schemas.openxmlformats.org/officeDocument/2006/relationships/hyperlink" Target="https://twitter.com/Oqwamjaeger0P/status/723988927833579520" TargetMode="External"/><Relationship Id="rId21349" Type="http://schemas.openxmlformats.org/officeDocument/2006/relationships/hyperlink" Target="https://pbs.twimg.com/profile_images/430364935202164736/BE53SBuw_normal.jpeg" TargetMode="External"/><Relationship Id="rId25220" Type="http://schemas.openxmlformats.org/officeDocument/2006/relationships/hyperlink" Target="https://pbs.twimg.com/profile_images/720623345029423104/TUxoNGEM_normal.jpg" TargetMode="External"/><Relationship Id="rId7012" Type="http://schemas.openxmlformats.org/officeDocument/2006/relationships/hyperlink" Target="https://twitter.com/thedieselarmy" TargetMode="External"/><Relationship Id="rId14961" Type="http://schemas.openxmlformats.org/officeDocument/2006/relationships/hyperlink" Target="https://twitter.com/beetlebug1938/status/723588072861011968" TargetMode="External"/><Relationship Id="rId890" Type="http://schemas.openxmlformats.org/officeDocument/2006/relationships/hyperlink" Target="https://twitter.com/kngeuro" TargetMode="External"/><Relationship Id="rId2571" Type="http://schemas.openxmlformats.org/officeDocument/2006/relationships/hyperlink" Target="https://twitter.com/FrVision/status/723105881034903552" TargetMode="External"/><Relationship Id="rId9184" Type="http://schemas.openxmlformats.org/officeDocument/2006/relationships/hyperlink" Target="https://twitter.com/Insta_VWT/status/723424484829470721" TargetMode="External"/><Relationship Id="rId12165" Type="http://schemas.openxmlformats.org/officeDocument/2006/relationships/hyperlink" Target="https://pbs.twimg.com/profile_images/660779745710227456/hexBAmFh_normal.jpg" TargetMode="External"/><Relationship Id="rId13563" Type="http://schemas.openxmlformats.org/officeDocument/2006/relationships/hyperlink" Target="https://twitter.com/cyberdoc60" TargetMode="External"/><Relationship Id="rId14614" Type="http://schemas.openxmlformats.org/officeDocument/2006/relationships/hyperlink" Target="https://twitter.com/William24442835/status/723576964053868545" TargetMode="External"/><Relationship Id="rId21830" Type="http://schemas.openxmlformats.org/officeDocument/2006/relationships/hyperlink" Target="https://pbs.twimg.com/profile_images/672878354127839232/M7OYc-zx_normal.jpg" TargetMode="External"/><Relationship Id="rId543" Type="http://schemas.openxmlformats.org/officeDocument/2006/relationships/hyperlink" Target="https://twitter.com/graspfltness" TargetMode="External"/><Relationship Id="rId1173" Type="http://schemas.openxmlformats.org/officeDocument/2006/relationships/hyperlink" Target="https://pbs.twimg.com/profile_images/709312840293752832/LFjOEGaT_normal.jpg" TargetMode="External"/><Relationship Id="rId2224" Type="http://schemas.openxmlformats.org/officeDocument/2006/relationships/hyperlink" Target="https://pbs.twimg.com/profile_images/585459329895161857/329eptxM_normal.jpg" TargetMode="External"/><Relationship Id="rId3622" Type="http://schemas.openxmlformats.org/officeDocument/2006/relationships/hyperlink" Target="https://pbs.twimg.com/profile_images/718820712757215233/LXXndPTS_normal.jpg" TargetMode="External"/><Relationship Id="rId13216" Type="http://schemas.openxmlformats.org/officeDocument/2006/relationships/hyperlink" Target="https://twitter.com/DarioRickensdor/status/723539439209857024" TargetMode="External"/><Relationship Id="rId16786" Type="http://schemas.openxmlformats.org/officeDocument/2006/relationships/hyperlink" Target="https://twitter.com/tschmitz_eu/status/723731134669041664" TargetMode="External"/><Relationship Id="rId17837" Type="http://schemas.openxmlformats.org/officeDocument/2006/relationships/hyperlink" Target="https://pbs.twimg.com/profile_images/436183298696425472/YLbEiNAM_normal.jpeg" TargetMode="External"/><Relationship Id="rId20432" Type="http://schemas.openxmlformats.org/officeDocument/2006/relationships/hyperlink" Target="https://twitter.com/amdonahue92/status/723998040227471360" TargetMode="External"/><Relationship Id="rId5794" Type="http://schemas.openxmlformats.org/officeDocument/2006/relationships/hyperlink" Target="https://twitter.com/midaytona/status/723217997385461762" TargetMode="External"/><Relationship Id="rId6845" Type="http://schemas.openxmlformats.org/officeDocument/2006/relationships/hyperlink" Target="https://twitter.com/sk_teo" TargetMode="External"/><Relationship Id="rId15388" Type="http://schemas.openxmlformats.org/officeDocument/2006/relationships/hyperlink" Target="https://twitter.com/Americanbullyhq" TargetMode="External"/><Relationship Id="rId16439" Type="http://schemas.openxmlformats.org/officeDocument/2006/relationships/hyperlink" Target="https://twitter.com/techislet/status/723684197097955329" TargetMode="External"/><Relationship Id="rId23655" Type="http://schemas.openxmlformats.org/officeDocument/2006/relationships/hyperlink" Target="http://dlvr.it/" TargetMode="External"/><Relationship Id="rId24706" Type="http://schemas.openxmlformats.org/officeDocument/2006/relationships/hyperlink" Target="https://pbs.twimg.com/profile_images/705780107844067328/e7O4UBNb_normal.jpg" TargetMode="External"/><Relationship Id="rId4049" Type="http://schemas.openxmlformats.org/officeDocument/2006/relationships/hyperlink" Target="https://twitter.com/RoadandTrack/status/723175322980589568" TargetMode="External"/><Relationship Id="rId4396" Type="http://schemas.openxmlformats.org/officeDocument/2006/relationships/hyperlink" Target="https://twitter.com/mdrde" TargetMode="External"/><Relationship Id="rId5447" Type="http://schemas.openxmlformats.org/officeDocument/2006/relationships/hyperlink" Target="https://twitter.com/DaniDoesLaw/status/723203445533057024" TargetMode="External"/><Relationship Id="rId11998" Type="http://schemas.openxmlformats.org/officeDocument/2006/relationships/hyperlink" Target="https://twitter.com/theblessedhuman" TargetMode="External"/><Relationship Id="rId22257" Type="http://schemas.openxmlformats.org/officeDocument/2006/relationships/hyperlink" Target="https://twitter.com/CDUBiblis" TargetMode="External"/><Relationship Id="rId23308" Type="http://schemas.openxmlformats.org/officeDocument/2006/relationships/hyperlink" Target="https://twitter.com/VeeDubMk1_" TargetMode="External"/><Relationship Id="rId14471" Type="http://schemas.openxmlformats.org/officeDocument/2006/relationships/hyperlink" Target="https://pbs.twimg.com/profile_images/708994757989638144/1AxOzwPm_normal.jpg" TargetMode="External"/><Relationship Id="rId15522" Type="http://schemas.openxmlformats.org/officeDocument/2006/relationships/hyperlink" Target="https://twitter.com/dafLOh" TargetMode="External"/><Relationship Id="rId16920" Type="http://schemas.openxmlformats.org/officeDocument/2006/relationships/hyperlink" Target="https://pbs.twimg.com/profile_images/2452635446/zip0k52fx60doeym2alu_normal.jpeg" TargetMode="External"/><Relationship Id="rId4530" Type="http://schemas.openxmlformats.org/officeDocument/2006/relationships/hyperlink" Target="https://twitter.com/rbpr" TargetMode="External"/><Relationship Id="rId13073" Type="http://schemas.openxmlformats.org/officeDocument/2006/relationships/hyperlink" Target="https://twitter.com/dokape" TargetMode="External"/><Relationship Id="rId14124" Type="http://schemas.openxmlformats.org/officeDocument/2006/relationships/hyperlink" Target="https://twitter.com/DubLuvTuning" TargetMode="External"/><Relationship Id="rId21340" Type="http://schemas.openxmlformats.org/officeDocument/2006/relationships/hyperlink" Target="https://pbs.twimg.com/profile_images/530071272881803264/a_jcCmPZ_normal.png" TargetMode="External"/><Relationship Id="rId2081" Type="http://schemas.openxmlformats.org/officeDocument/2006/relationships/hyperlink" Target="https://twitter.com/michellelove13/status/723080924963975168" TargetMode="External"/><Relationship Id="rId3132" Type="http://schemas.openxmlformats.org/officeDocument/2006/relationships/hyperlink" Target="https://twitter.com/JSYorkshire" TargetMode="External"/><Relationship Id="rId7753" Type="http://schemas.openxmlformats.org/officeDocument/2006/relationships/hyperlink" Target="https://pbs.twimg.com/profile_images/699428030427635712/rPoM_6cM_normal.jpg" TargetMode="External"/><Relationship Id="rId16296" Type="http://schemas.openxmlformats.org/officeDocument/2006/relationships/hyperlink" Target="https://pbs.twimg.com/profile_images/709833135190642690/eUY1fcNe_normal.jpg" TargetMode="External"/><Relationship Id="rId17694" Type="http://schemas.openxmlformats.org/officeDocument/2006/relationships/hyperlink" Target="https://twitter.com/gengh60" TargetMode="External"/><Relationship Id="rId18745" Type="http://schemas.openxmlformats.org/officeDocument/2006/relationships/hyperlink" Target="https://twitter.com/goatandkettle" TargetMode="External"/><Relationship Id="rId6355" Type="http://schemas.openxmlformats.org/officeDocument/2006/relationships/hyperlink" Target="https://twitter.com/kenminesinger" TargetMode="External"/><Relationship Id="rId7406" Type="http://schemas.openxmlformats.org/officeDocument/2006/relationships/hyperlink" Target="https://twitter.com/vwdepo" TargetMode="External"/><Relationship Id="rId8804" Type="http://schemas.openxmlformats.org/officeDocument/2006/relationships/hyperlink" Target="https://twitter.com/CollectHW" TargetMode="External"/><Relationship Id="rId10734" Type="http://schemas.openxmlformats.org/officeDocument/2006/relationships/hyperlink" Target="https://twitter.com/RiskContainment/status/723482462056226816" TargetMode="External"/><Relationship Id="rId17347" Type="http://schemas.openxmlformats.org/officeDocument/2006/relationships/hyperlink" Target="https://pbs.twimg.com/profile_images/378800000218928167/666e84548a432bb1c6f1374f7f6c7f0f_normal.png" TargetMode="External"/><Relationship Id="rId23165" Type="http://schemas.openxmlformats.org/officeDocument/2006/relationships/hyperlink" Target="https://twitter.com/copeyphoto/status/724271716143259650" TargetMode="External"/><Relationship Id="rId24563" Type="http://schemas.openxmlformats.org/officeDocument/2006/relationships/hyperlink" Target="https://pbs.twimg.com/profile_images/615493650785660928/XHUh6HOk_normal.jpg" TargetMode="External"/><Relationship Id="rId25614" Type="http://schemas.openxmlformats.org/officeDocument/2006/relationships/hyperlink" Target="https://twitter.com/George_Rey4/status/724451960259141633" TargetMode="External"/><Relationship Id="rId6008" Type="http://schemas.openxmlformats.org/officeDocument/2006/relationships/hyperlink" Target="https://pbs.twimg.com/profile_images/560638760769974272/gv9puAmO_normal.jpeg" TargetMode="External"/><Relationship Id="rId13957" Type="http://schemas.openxmlformats.org/officeDocument/2006/relationships/hyperlink" Target="https://twitter.com/beluluna61/status/723559809384112128" TargetMode="External"/><Relationship Id="rId24216" Type="http://schemas.openxmlformats.org/officeDocument/2006/relationships/hyperlink" Target="https://twitter.com/bBOLDbLONG" TargetMode="External"/><Relationship Id="rId2965" Type="http://schemas.openxmlformats.org/officeDocument/2006/relationships/hyperlink" Target="https://twitter.com/TrustYourTiming/status/723129030984114176" TargetMode="External"/><Relationship Id="rId9578" Type="http://schemas.openxmlformats.org/officeDocument/2006/relationships/hyperlink" Target="https://twitter.com/tyres4sale_com" TargetMode="External"/><Relationship Id="rId12559" Type="http://schemas.openxmlformats.org/officeDocument/2006/relationships/hyperlink" Target="https://pbs.twimg.com/profile_images/719591616244101121/Qa95u8rF_normal.jpg" TargetMode="External"/><Relationship Id="rId16430" Type="http://schemas.openxmlformats.org/officeDocument/2006/relationships/hyperlink" Target="https://twitter.com/oldcar_photo/status/723683183351488512" TargetMode="External"/><Relationship Id="rId20826" Type="http://schemas.openxmlformats.org/officeDocument/2006/relationships/hyperlink" Target="https://pbs.twimg.com/profile_images/569800899141177344/nVFLMSdb_normal.png" TargetMode="External"/><Relationship Id="rId937" Type="http://schemas.openxmlformats.org/officeDocument/2006/relationships/hyperlink" Target="https://pbs.twimg.com/profile_images/722518700427882496/rsO6Da_T_normal.jpg" TargetMode="External"/><Relationship Id="rId1567" Type="http://schemas.openxmlformats.org/officeDocument/2006/relationships/hyperlink" Target="https://pbs.twimg.com/profile_images/2149695694/hyde_twitter_photo_version_2_normal.jpg" TargetMode="External"/><Relationship Id="rId2618" Type="http://schemas.openxmlformats.org/officeDocument/2006/relationships/hyperlink" Target="https://pbs.twimg.com/profile_images/633346486823190529/bN4Fxs99_normal.jpg" TargetMode="External"/><Relationship Id="rId15032" Type="http://schemas.openxmlformats.org/officeDocument/2006/relationships/hyperlink" Target="https://twitter.com/lautaroalarcon5" TargetMode="External"/><Relationship Id="rId19653" Type="http://schemas.openxmlformats.org/officeDocument/2006/relationships/hyperlink" Target="https://pbs.twimg.com/profile_images/721573146306830337/ZW0NIcS2_normal.jpg" TargetMode="External"/><Relationship Id="rId22998" Type="http://schemas.openxmlformats.org/officeDocument/2006/relationships/hyperlink" Target="https://twitter.com/GrandeCaio/status/724264109827563521" TargetMode="External"/><Relationship Id="rId4040" Type="http://schemas.openxmlformats.org/officeDocument/2006/relationships/hyperlink" Target="https://twitter.com/DSArtDon/status/723175084924379136" TargetMode="External"/><Relationship Id="rId8661" Type="http://schemas.openxmlformats.org/officeDocument/2006/relationships/hyperlink" Target="https://twitter.com/Thomas_Jakob/status/723401022773719040" TargetMode="External"/><Relationship Id="rId9712" Type="http://schemas.openxmlformats.org/officeDocument/2006/relationships/hyperlink" Target="https://twitter.com/hubberme/status/723446283092905984" TargetMode="External"/><Relationship Id="rId10591" Type="http://schemas.openxmlformats.org/officeDocument/2006/relationships/hyperlink" Target="https://twitter.com/StephanKrull/status/723477769355689984" TargetMode="External"/><Relationship Id="rId18255" Type="http://schemas.openxmlformats.org/officeDocument/2006/relationships/hyperlink" Target="https://twitter.com/VWCamperSales/status/723858746191974400" TargetMode="External"/><Relationship Id="rId19306" Type="http://schemas.openxmlformats.org/officeDocument/2006/relationships/hyperlink" Target="https://twitter.com/oldcar_photo" TargetMode="External"/><Relationship Id="rId25471" Type="http://schemas.openxmlformats.org/officeDocument/2006/relationships/hyperlink" Target="https://twitter.com/nomkhita12" TargetMode="External"/><Relationship Id="rId7263" Type="http://schemas.openxmlformats.org/officeDocument/2006/relationships/hyperlink" Target="https://twitter.com/VintageGermanPt" TargetMode="External"/><Relationship Id="rId8314" Type="http://schemas.openxmlformats.org/officeDocument/2006/relationships/hyperlink" Target="https://twitter.com/verkehrsclub/status/723382987446882306" TargetMode="External"/><Relationship Id="rId10244" Type="http://schemas.openxmlformats.org/officeDocument/2006/relationships/hyperlink" Target="https://twitter.com/AlDavoodi" TargetMode="External"/><Relationship Id="rId11642" Type="http://schemas.openxmlformats.org/officeDocument/2006/relationships/hyperlink" Target="https://twitter.com/C_Heinrich_83" TargetMode="External"/><Relationship Id="rId24073" Type="http://schemas.openxmlformats.org/officeDocument/2006/relationships/hyperlink" Target="https://twitter.com/gelmocz" TargetMode="External"/><Relationship Id="rId25124" Type="http://schemas.openxmlformats.org/officeDocument/2006/relationships/hyperlink" Target="https://twitter.com/fakundo_diaz/status/724422394392248320" TargetMode="External"/><Relationship Id="rId1701" Type="http://schemas.openxmlformats.org/officeDocument/2006/relationships/hyperlink" Target="http://faz.net/" TargetMode="External"/><Relationship Id="rId14865" Type="http://schemas.openxmlformats.org/officeDocument/2006/relationships/hyperlink" Target="https://twitter.com/dandoherty1981" TargetMode="External"/><Relationship Id="rId15916" Type="http://schemas.openxmlformats.org/officeDocument/2006/relationships/hyperlink" Target="https://twitter.com/trendingNewsFas/status/723636759020605440" TargetMode="External"/><Relationship Id="rId3873" Type="http://schemas.openxmlformats.org/officeDocument/2006/relationships/hyperlink" Target="https://twitter.com/handelsblatt" TargetMode="External"/><Relationship Id="rId4924" Type="http://schemas.openxmlformats.org/officeDocument/2006/relationships/hyperlink" Target="https://pbs.twimg.com/profile_images/641238966541361152/-oEpQ9XT_normal.png" TargetMode="External"/><Relationship Id="rId9088" Type="http://schemas.openxmlformats.org/officeDocument/2006/relationships/hyperlink" Target="https://twitter.com/AutobahnSales" TargetMode="External"/><Relationship Id="rId13467" Type="http://schemas.openxmlformats.org/officeDocument/2006/relationships/hyperlink" Target="http://dlvr.it/" TargetMode="External"/><Relationship Id="rId14518" Type="http://schemas.openxmlformats.org/officeDocument/2006/relationships/hyperlink" Target="https://twitter.com/brookeamasters/status/723575074004058112" TargetMode="External"/><Relationship Id="rId20683" Type="http://schemas.openxmlformats.org/officeDocument/2006/relationships/hyperlink" Target="https://twitter.com/OnlineCarReview/status/724025628563906560" TargetMode="External"/><Relationship Id="rId21734" Type="http://schemas.openxmlformats.org/officeDocument/2006/relationships/hyperlink" Target="https://pbs.twimg.com/profile_images/689177098968158208/GoFneAhS_normal.jpg" TargetMode="External"/><Relationship Id="rId447" Type="http://schemas.openxmlformats.org/officeDocument/2006/relationships/hyperlink" Target="https://twitter.com/FuscaWorld/status/722959761768087552" TargetMode="External"/><Relationship Id="rId794" Type="http://schemas.openxmlformats.org/officeDocument/2006/relationships/hyperlink" Target="https://pbs.twimg.com/profile_images/649256068443439104/oCfaia9Q_normal.png" TargetMode="External"/><Relationship Id="rId1077" Type="http://schemas.openxmlformats.org/officeDocument/2006/relationships/hyperlink" Target="https://twitter.com/TaitaCap" TargetMode="External"/><Relationship Id="rId2128" Type="http://schemas.openxmlformats.org/officeDocument/2006/relationships/hyperlink" Target="https://twitter.com/AlexanderXV" TargetMode="External"/><Relationship Id="rId2475" Type="http://schemas.openxmlformats.org/officeDocument/2006/relationships/hyperlink" Target="http://ctrlq.org/maps/address/" TargetMode="External"/><Relationship Id="rId3526" Type="http://schemas.openxmlformats.org/officeDocument/2006/relationships/hyperlink" Target="https://twitter.com/cpaul7547/status/723161929485787136" TargetMode="External"/><Relationship Id="rId12069" Type="http://schemas.openxmlformats.org/officeDocument/2006/relationships/hyperlink" Target="https://pbs.twimg.com/profile_images/666962838930485248/ZYF2LkHu_normal.png" TargetMode="External"/><Relationship Id="rId20336" Type="http://schemas.openxmlformats.org/officeDocument/2006/relationships/hyperlink" Target="https://twitter.com/janekglbbons" TargetMode="External"/><Relationship Id="rId24957" Type="http://schemas.openxmlformats.org/officeDocument/2006/relationships/hyperlink" Target="https://twitter.com/VAGFanArg" TargetMode="External"/><Relationship Id="rId5698" Type="http://schemas.openxmlformats.org/officeDocument/2006/relationships/hyperlink" Target="https://pbs.twimg.com/profile_images/713018924590301185/PbWdKP7K_normal.jpg" TargetMode="External"/><Relationship Id="rId6749" Type="http://schemas.openxmlformats.org/officeDocument/2006/relationships/hyperlink" Target="https://twitter.com/vwwhitenoise/status/723256943960305664" TargetMode="External"/><Relationship Id="rId12550" Type="http://schemas.openxmlformats.org/officeDocument/2006/relationships/hyperlink" Target="https://pbs.twimg.com/profile_images/3012106875/596e712c99a38ec69b925b7f7ab71986_normal.jpeg" TargetMode="External"/><Relationship Id="rId13601" Type="http://schemas.openxmlformats.org/officeDocument/2006/relationships/hyperlink" Target="https://pbs.twimg.com/profile_images/702511217793863680/lty8h9vE_normal.jpg" TargetMode="External"/><Relationship Id="rId19163" Type="http://schemas.openxmlformats.org/officeDocument/2006/relationships/hyperlink" Target="https://pbs.twimg.com/profile_images/378800000556304348/f945479287bcda37b179af016ec463b2_normal.png" TargetMode="External"/><Relationship Id="rId23559" Type="http://schemas.openxmlformats.org/officeDocument/2006/relationships/hyperlink" Target="https://pbs.twimg.com/profile_images/703294545195307008/qeCvrX86_normal.jpg" TargetMode="External"/><Relationship Id="rId8171" Type="http://schemas.openxmlformats.org/officeDocument/2006/relationships/hyperlink" Target="https://pbs.twimg.com/profile_images/531837173612285952/71rzDAAY_normal.jpeg" TargetMode="External"/><Relationship Id="rId9222" Type="http://schemas.openxmlformats.org/officeDocument/2006/relationships/hyperlink" Target="https://twitter.com/mz_wirtschaft" TargetMode="External"/><Relationship Id="rId11152" Type="http://schemas.openxmlformats.org/officeDocument/2006/relationships/hyperlink" Target="https://pbs.twimg.com/profile_images/393094957/td_normal.jpg" TargetMode="External"/><Relationship Id="rId12203" Type="http://schemas.openxmlformats.org/officeDocument/2006/relationships/hyperlink" Target="https://twitter.com/unioner23/status/723514881681555457" TargetMode="External"/><Relationship Id="rId1211" Type="http://schemas.openxmlformats.org/officeDocument/2006/relationships/hyperlink" Target="https://twitter.com/apronline" TargetMode="External"/><Relationship Id="rId4781" Type="http://schemas.openxmlformats.org/officeDocument/2006/relationships/hyperlink" Target="https://twitter.com/SerraTVC/status/723187399619170304" TargetMode="External"/><Relationship Id="rId5832" Type="http://schemas.openxmlformats.org/officeDocument/2006/relationships/hyperlink" Target="https://pbs.twimg.com/profile_images/705409156363063296/L-9HeIjW_normal.jpg" TargetMode="External"/><Relationship Id="rId14375" Type="http://schemas.openxmlformats.org/officeDocument/2006/relationships/hyperlink" Target="https://twitter.com/LombardaMotori" TargetMode="External"/><Relationship Id="rId15773" Type="http://schemas.openxmlformats.org/officeDocument/2006/relationships/hyperlink" Target="https://twitter.com/ColdFireLane" TargetMode="External"/><Relationship Id="rId16824" Type="http://schemas.openxmlformats.org/officeDocument/2006/relationships/hyperlink" Target="https://twitter.com/FrankBauHa" TargetMode="External"/><Relationship Id="rId21591" Type="http://schemas.openxmlformats.org/officeDocument/2006/relationships/hyperlink" Target="https://pbs.twimg.com/profile_images/655401728339267586/e71ZAKtu_normal.jpg" TargetMode="External"/><Relationship Id="rId3383" Type="http://schemas.openxmlformats.org/officeDocument/2006/relationships/hyperlink" Target="https://twitter.com/VolkswagenPost" TargetMode="External"/><Relationship Id="rId4434" Type="http://schemas.openxmlformats.org/officeDocument/2006/relationships/hyperlink" Target="https://twitter.com/IFeelPossessed/status/723181086004662273" TargetMode="External"/><Relationship Id="rId14028" Type="http://schemas.openxmlformats.org/officeDocument/2006/relationships/hyperlink" Target="https://twitter.com/SonokHakan/status/723561945417261056" TargetMode="External"/><Relationship Id="rId15426" Type="http://schemas.openxmlformats.org/officeDocument/2006/relationships/hyperlink" Target="https://pbs.twimg.com/profile_images/1169387207/uhu_normal.jpg" TargetMode="External"/><Relationship Id="rId18996" Type="http://schemas.openxmlformats.org/officeDocument/2006/relationships/hyperlink" Target="http://dlvr.it/" TargetMode="External"/><Relationship Id="rId20193" Type="http://schemas.openxmlformats.org/officeDocument/2006/relationships/hyperlink" Target="https://pbs.twimg.com/profile_images/549908720063234051/r3Mc9VAA_normal.jpeg" TargetMode="External"/><Relationship Id="rId21244" Type="http://schemas.openxmlformats.org/officeDocument/2006/relationships/hyperlink" Target="https://pbs.twimg.com/profile_images/463089401011392512/dcYyj0wX_normal.jpeg" TargetMode="External"/><Relationship Id="rId22642" Type="http://schemas.openxmlformats.org/officeDocument/2006/relationships/hyperlink" Target="https://twitter.com/whats_live" TargetMode="External"/><Relationship Id="rId3036" Type="http://schemas.openxmlformats.org/officeDocument/2006/relationships/hyperlink" Target="https://twitter.com/VWBeetleSales" TargetMode="External"/><Relationship Id="rId10985" Type="http://schemas.openxmlformats.org/officeDocument/2006/relationships/hyperlink" Target="http://dlvr.it/" TargetMode="External"/><Relationship Id="rId17598" Type="http://schemas.openxmlformats.org/officeDocument/2006/relationships/hyperlink" Target="https://pbs.twimg.com/profile_images/716208660876144645/X7VuzobY_normal.jpg" TargetMode="External"/><Relationship Id="rId18649" Type="http://schemas.openxmlformats.org/officeDocument/2006/relationships/hyperlink" Target="https://twitter.com/rheinhessenulf/status/723887522951094273" TargetMode="External"/><Relationship Id="rId6259" Type="http://schemas.openxmlformats.org/officeDocument/2006/relationships/hyperlink" Target="https://twitter.com/Bond_MK4/status/723236732716625921" TargetMode="External"/><Relationship Id="rId7657" Type="http://schemas.openxmlformats.org/officeDocument/2006/relationships/hyperlink" Target="https://twitter.com/likee_so/status/723322090343010307" TargetMode="External"/><Relationship Id="rId8708" Type="http://schemas.openxmlformats.org/officeDocument/2006/relationships/hyperlink" Target="https://pbs.twimg.com/profile_images/659295730222280705/W1FqHCVo_normal.jpg" TargetMode="External"/><Relationship Id="rId10638" Type="http://schemas.openxmlformats.org/officeDocument/2006/relationships/hyperlink" Target="https://twitter.com/irenesconcierge/status/723479537363869697" TargetMode="External"/><Relationship Id="rId24467" Type="http://schemas.openxmlformats.org/officeDocument/2006/relationships/hyperlink" Target="https://twitter.com/TetsuoHojo/status/724362285104271360" TargetMode="External"/><Relationship Id="rId25518" Type="http://schemas.openxmlformats.org/officeDocument/2006/relationships/hyperlink" Target="https://pbs.twimg.com/profile_images/652871584131092480/QA_B6SBO_normal.jpg" TargetMode="External"/><Relationship Id="rId12060" Type="http://schemas.openxmlformats.org/officeDocument/2006/relationships/hyperlink" Target="https://pbs.twimg.com/profile_images/477439590232358913/xbZaJ1Ms_normal.jpeg" TargetMode="External"/><Relationship Id="rId13111" Type="http://schemas.openxmlformats.org/officeDocument/2006/relationships/hyperlink" Target="https://twitter.com/M_Wussler" TargetMode="External"/><Relationship Id="rId16681" Type="http://schemas.openxmlformats.org/officeDocument/2006/relationships/hyperlink" Target="https://pbs.twimg.com/profile_images/718820712757215233/LXXndPTS_normal.jpg" TargetMode="External"/><Relationship Id="rId17732" Type="http://schemas.openxmlformats.org/officeDocument/2006/relationships/hyperlink" Target="https://pbs.twimg.com/profile_images/633523835166433280/JHOCIWIs_normal.jpg" TargetMode="External"/><Relationship Id="rId23069" Type="http://schemas.openxmlformats.org/officeDocument/2006/relationships/hyperlink" Target="https://pbs.twimg.com/profile_images/627949001179037696/skEBkS05_normal.jpg" TargetMode="External"/><Relationship Id="rId2869" Type="http://schemas.openxmlformats.org/officeDocument/2006/relationships/hyperlink" Target="https://twitter.com/rotefahnenews/status/723122543553445888" TargetMode="External"/><Relationship Id="rId6740" Type="http://schemas.openxmlformats.org/officeDocument/2006/relationships/hyperlink" Target="https://twitter.com/ListersVW/status/723256401624195072" TargetMode="External"/><Relationship Id="rId15283" Type="http://schemas.openxmlformats.org/officeDocument/2006/relationships/hyperlink" Target="https://twitter.com/INDIZbot" TargetMode="External"/><Relationship Id="rId16334" Type="http://schemas.openxmlformats.org/officeDocument/2006/relationships/hyperlink" Target="https://twitter.com/sohailmalik7/status/723669789646950400" TargetMode="External"/><Relationship Id="rId23550" Type="http://schemas.openxmlformats.org/officeDocument/2006/relationships/hyperlink" Target="https://twitter.com/sandysola34/status/724297231252119554" TargetMode="External"/><Relationship Id="rId24601" Type="http://schemas.openxmlformats.org/officeDocument/2006/relationships/hyperlink" Target="https://twitter.com/Fabio_gonzalezs/status/724375509828796416" TargetMode="External"/><Relationship Id="rId4291" Type="http://schemas.openxmlformats.org/officeDocument/2006/relationships/hyperlink" Target="https://twitter.com/WangsonAdele/status/723178854773350400" TargetMode="External"/><Relationship Id="rId5342" Type="http://schemas.openxmlformats.org/officeDocument/2006/relationships/hyperlink" Target="https://pbs.twimg.com/profile_images/718862192804831232/GtfxmtpL_normal.jpg" TargetMode="External"/><Relationship Id="rId9963" Type="http://schemas.openxmlformats.org/officeDocument/2006/relationships/hyperlink" Target="https://twitter.com/vwfestival" TargetMode="External"/><Relationship Id="rId22152" Type="http://schemas.openxmlformats.org/officeDocument/2006/relationships/hyperlink" Target="https://twitter.com/vagmenhq/status/724205101053816834" TargetMode="External"/><Relationship Id="rId23203" Type="http://schemas.openxmlformats.org/officeDocument/2006/relationships/hyperlink" Target="https://twitter.com/bruno90alvarez/status/724273065249656833" TargetMode="External"/><Relationship Id="rId8565" Type="http://schemas.openxmlformats.org/officeDocument/2006/relationships/hyperlink" Target="https://twitter.com/CarpetsCook/status/723394394846425092" TargetMode="External"/><Relationship Id="rId9616" Type="http://schemas.openxmlformats.org/officeDocument/2006/relationships/hyperlink" Target="https://twitter.com/Elektroflitzer/status/723442674141777921" TargetMode="External"/><Relationship Id="rId11893" Type="http://schemas.openxmlformats.org/officeDocument/2006/relationships/hyperlink" Target="https://twitter.com/startmakkelijk/status/723509555980685313" TargetMode="External"/><Relationship Id="rId12944" Type="http://schemas.openxmlformats.org/officeDocument/2006/relationships/hyperlink" Target="https://pbs.twimg.com/profile_images/667101948429123584/pzpPHONX_normal.jpg" TargetMode="External"/><Relationship Id="rId18159" Type="http://schemas.openxmlformats.org/officeDocument/2006/relationships/hyperlink" Target="https://twitter.com/asriehasnie" TargetMode="External"/><Relationship Id="rId19557" Type="http://schemas.openxmlformats.org/officeDocument/2006/relationships/hyperlink" Target="https://twitter.com/VWsightings/status/723940233541238784" TargetMode="External"/><Relationship Id="rId25375" Type="http://schemas.openxmlformats.org/officeDocument/2006/relationships/hyperlink" Target="https://twitter.com/VCT_Tweets/status/724433182398025728" TargetMode="External"/><Relationship Id="rId1952" Type="http://schemas.openxmlformats.org/officeDocument/2006/relationships/hyperlink" Target="https://pbs.twimg.com/profile_images/2291468552/a3mgrcu9klvlr29qkx9f_normal.jpeg" TargetMode="External"/><Relationship Id="rId7167" Type="http://schemas.openxmlformats.org/officeDocument/2006/relationships/hyperlink" Target="https://twitter.com/VolkswagenPost/status/723282404476116992" TargetMode="External"/><Relationship Id="rId8218" Type="http://schemas.openxmlformats.org/officeDocument/2006/relationships/hyperlink" Target="https://twitter.com/durchblicker_k/status/723378140261715968" TargetMode="External"/><Relationship Id="rId10495" Type="http://schemas.openxmlformats.org/officeDocument/2006/relationships/hyperlink" Target="https://pbs.twimg.com/profile_images/379953371/tree_normal.jpg" TargetMode="External"/><Relationship Id="rId11546" Type="http://schemas.openxmlformats.org/officeDocument/2006/relationships/hyperlink" Target="https://twitter.com/mvdweyer/status/723503328005640192" TargetMode="External"/><Relationship Id="rId25028" Type="http://schemas.openxmlformats.org/officeDocument/2006/relationships/hyperlink" Target="https://twitter.com/bertinosr/status/724412348044169216" TargetMode="External"/><Relationship Id="rId1605" Type="http://schemas.openxmlformats.org/officeDocument/2006/relationships/hyperlink" Target="https://twitter.com/MarkPlackett1/status/723048850684964864" TargetMode="External"/><Relationship Id="rId10148" Type="http://schemas.openxmlformats.org/officeDocument/2006/relationships/hyperlink" Target="https://twitter.com/gruenwolfenergy/status/723464527057149952" TargetMode="External"/><Relationship Id="rId14769" Type="http://schemas.openxmlformats.org/officeDocument/2006/relationships/hyperlink" Target="https://pbs.twimg.com/profile_images/717529579779399680/e1OghXlz_normal.jpg" TargetMode="External"/><Relationship Id="rId18640" Type="http://schemas.openxmlformats.org/officeDocument/2006/relationships/hyperlink" Target="https://twitter.com/LVIaLondres/status/723886504251133952" TargetMode="External"/><Relationship Id="rId21985" Type="http://schemas.openxmlformats.org/officeDocument/2006/relationships/hyperlink" Target="https://twitter.com/MelAllanic/status/724192674220101632" TargetMode="External"/><Relationship Id="rId3777" Type="http://schemas.openxmlformats.org/officeDocument/2006/relationships/hyperlink" Target="https://twitter.com/bayl/status/723169328783204354" TargetMode="External"/><Relationship Id="rId4828" Type="http://schemas.openxmlformats.org/officeDocument/2006/relationships/hyperlink" Target="https://twitter.com/CaplanComms" TargetMode="External"/><Relationship Id="rId16191" Type="http://schemas.openxmlformats.org/officeDocument/2006/relationships/hyperlink" Target="https://twitter.com/kslnewsradio" TargetMode="External"/><Relationship Id="rId17242" Type="http://schemas.openxmlformats.org/officeDocument/2006/relationships/hyperlink" Target="https://twitter.com/Kimmi1337/status/723782629376561153" TargetMode="External"/><Relationship Id="rId20587" Type="http://schemas.openxmlformats.org/officeDocument/2006/relationships/hyperlink" Target="https://twitter.com/HansTheGerman" TargetMode="External"/><Relationship Id="rId21638" Type="http://schemas.openxmlformats.org/officeDocument/2006/relationships/hyperlink" Target="https://pbs.twimg.com/profile_images/675712248791343105/O7wvO-a__normal.jpg" TargetMode="External"/><Relationship Id="rId698" Type="http://schemas.openxmlformats.org/officeDocument/2006/relationships/hyperlink" Target="https://pbs.twimg.com/profile_images/3782942002/d3b9810cf47585074dba6962b97afb55_normal.jpeg" TargetMode="External"/><Relationship Id="rId2379" Type="http://schemas.openxmlformats.org/officeDocument/2006/relationships/hyperlink" Target="https://twitter.com/BusinessTimes/status/723097519782125569" TargetMode="External"/><Relationship Id="rId6250" Type="http://schemas.openxmlformats.org/officeDocument/2006/relationships/hyperlink" Target="https://twitter.com/sbbenevides/status/723236584758370305" TargetMode="External"/><Relationship Id="rId7301" Type="http://schemas.openxmlformats.org/officeDocument/2006/relationships/hyperlink" Target="https://twitter.com/AntonellaB22" TargetMode="External"/><Relationship Id="rId23060" Type="http://schemas.openxmlformats.org/officeDocument/2006/relationships/hyperlink" Target="https://twitter.com/TheVasstechTeam/status/724267196793413632" TargetMode="External"/><Relationship Id="rId24111" Type="http://schemas.openxmlformats.org/officeDocument/2006/relationships/hyperlink" Target="https://twitter.com/jennyalban63" TargetMode="External"/><Relationship Id="rId2860" Type="http://schemas.openxmlformats.org/officeDocument/2006/relationships/hyperlink" Target="https://twitter.com/VWCamperSales" TargetMode="External"/><Relationship Id="rId9473" Type="http://schemas.openxmlformats.org/officeDocument/2006/relationships/hyperlink" Target="https://twitter.com/VWBeetleSales" TargetMode="External"/><Relationship Id="rId12454" Type="http://schemas.openxmlformats.org/officeDocument/2006/relationships/hyperlink" Target="https://twitter.com/mokomokai" TargetMode="External"/><Relationship Id="rId13852" Type="http://schemas.openxmlformats.org/officeDocument/2006/relationships/hyperlink" Target="https://twitter.com/DePieriSrl" TargetMode="External"/><Relationship Id="rId14903" Type="http://schemas.openxmlformats.org/officeDocument/2006/relationships/hyperlink" Target="https://pbs.twimg.com/profile_images/685518722598068224/HbGzWKVA_normal.jpg" TargetMode="External"/><Relationship Id="rId19067" Type="http://schemas.openxmlformats.org/officeDocument/2006/relationships/hyperlink" Target="https://pbs.twimg.com/profile_images/540385316100923392/3OdFDiWd_normal.jpeg" TargetMode="External"/><Relationship Id="rId832" Type="http://schemas.openxmlformats.org/officeDocument/2006/relationships/hyperlink" Target="https://twitter.com/VolkswagenPost/status/722990417495482368" TargetMode="External"/><Relationship Id="rId1462" Type="http://schemas.openxmlformats.org/officeDocument/2006/relationships/hyperlink" Target="https://pbs.twimg.com/profile_images/3228351590/aadb36f2b020cc27adac139aac4a5663_normal.jpeg" TargetMode="External"/><Relationship Id="rId2513" Type="http://schemas.openxmlformats.org/officeDocument/2006/relationships/hyperlink" Target="https://twitter.com/Dirty_Weekender" TargetMode="External"/><Relationship Id="rId3911" Type="http://schemas.openxmlformats.org/officeDocument/2006/relationships/hyperlink" Target="https://pbs.twimg.com/profile_images/722514769450770432/QtLveTR6_normal.jpg" TargetMode="External"/><Relationship Id="rId8075" Type="http://schemas.openxmlformats.org/officeDocument/2006/relationships/hyperlink" Target="https://twitter.com/oldcar_photo" TargetMode="External"/><Relationship Id="rId9126" Type="http://schemas.openxmlformats.org/officeDocument/2006/relationships/hyperlink" Target="https://pbs.twimg.com/profile_images/2373311233/logo_VW_CONCESSIONARIO_normal.jpg" TargetMode="External"/><Relationship Id="rId11056" Type="http://schemas.openxmlformats.org/officeDocument/2006/relationships/hyperlink" Target="https://twitter.com/N0Namen" TargetMode="External"/><Relationship Id="rId12107" Type="http://schemas.openxmlformats.org/officeDocument/2006/relationships/hyperlink" Target="https://twitter.com/PaulMIllerVW" TargetMode="External"/><Relationship Id="rId13505" Type="http://schemas.openxmlformats.org/officeDocument/2006/relationships/hyperlink" Target="https://twitter.com/officialsthill" TargetMode="External"/><Relationship Id="rId20721" Type="http://schemas.openxmlformats.org/officeDocument/2006/relationships/hyperlink" Target="https://twitter.com/Insta_VWT/status/724032266679255040" TargetMode="External"/><Relationship Id="rId1115" Type="http://schemas.openxmlformats.org/officeDocument/2006/relationships/hyperlink" Target="https://twitter.com/steffenbar" TargetMode="External"/><Relationship Id="rId15677" Type="http://schemas.openxmlformats.org/officeDocument/2006/relationships/hyperlink" Target="https://pbs.twimg.com/profile_images/530071272881803264/a_jcCmPZ_normal.png" TargetMode="External"/><Relationship Id="rId16728" Type="http://schemas.openxmlformats.org/officeDocument/2006/relationships/hyperlink" Target="http://dlvr.it/" TargetMode="External"/><Relationship Id="rId22893" Type="http://schemas.openxmlformats.org/officeDocument/2006/relationships/hyperlink" Target="https://twitter.com/HomeMckee/status/724254376332812288" TargetMode="External"/><Relationship Id="rId23944" Type="http://schemas.openxmlformats.org/officeDocument/2006/relationships/hyperlink" Target="https://pbs.twimg.com/profile_images/718835727027580928/1ssyQ67y_normal.jpg" TargetMode="External"/><Relationship Id="rId3287" Type="http://schemas.openxmlformats.org/officeDocument/2006/relationships/hyperlink" Target="https://twitter.com/RJMrim" TargetMode="External"/><Relationship Id="rId4338" Type="http://schemas.openxmlformats.org/officeDocument/2006/relationships/hyperlink" Target="https://twitter.com/VWBeetleSales/status/723179517812965376" TargetMode="External"/><Relationship Id="rId4685" Type="http://schemas.openxmlformats.org/officeDocument/2006/relationships/hyperlink" Target="https://pbs.twimg.com/profile_images/530071272881803264/a_jcCmPZ_normal.png" TargetMode="External"/><Relationship Id="rId5736" Type="http://schemas.openxmlformats.org/officeDocument/2006/relationships/hyperlink" Target="https://twitter.com/kamankoyum/status/723215056532570112" TargetMode="External"/><Relationship Id="rId14279" Type="http://schemas.openxmlformats.org/officeDocument/2006/relationships/hyperlink" Target="https://twitter.com/11LucasDiaz/status/723571325391003648" TargetMode="External"/><Relationship Id="rId18150" Type="http://schemas.openxmlformats.org/officeDocument/2006/relationships/hyperlink" Target="https://twitter.com/81Vosvos" TargetMode="External"/><Relationship Id="rId19201" Type="http://schemas.openxmlformats.org/officeDocument/2006/relationships/hyperlink" Target="https://twitter.com/_sea_fox_" TargetMode="External"/><Relationship Id="rId20097" Type="http://schemas.openxmlformats.org/officeDocument/2006/relationships/hyperlink" Target="https://twitter.com/Barksyfan" TargetMode="External"/><Relationship Id="rId21495" Type="http://schemas.openxmlformats.org/officeDocument/2006/relationships/hyperlink" Target="https://pbs.twimg.com/profile_images/703294545195307008/qeCvrX86_normal.jpg" TargetMode="External"/><Relationship Id="rId22546" Type="http://schemas.openxmlformats.org/officeDocument/2006/relationships/hyperlink" Target="https://pbs.twimg.com/profile_images/644097845818068992/PHIi32Pe_normal.png" TargetMode="External"/><Relationship Id="rId8959" Type="http://schemas.openxmlformats.org/officeDocument/2006/relationships/hyperlink" Target="https://pbs.twimg.com/profile_images/679601052325416960/dCWFENi-_normal.jpg" TargetMode="External"/><Relationship Id="rId10889" Type="http://schemas.openxmlformats.org/officeDocument/2006/relationships/hyperlink" Target="https://pbs.twimg.com/profile_images/524515757250453504/EjT5oPQ8_normal.jpeg" TargetMode="External"/><Relationship Id="rId14760" Type="http://schemas.openxmlformats.org/officeDocument/2006/relationships/hyperlink" Target="https://pbs.twimg.com/profile_images/689764385410191360/zjcXtdHi_normal.jpg" TargetMode="External"/><Relationship Id="rId15811" Type="http://schemas.openxmlformats.org/officeDocument/2006/relationships/hyperlink" Target="https://pbs.twimg.com/profile_images/652871584131092480/QA_B6SBO_normal.jpg" TargetMode="External"/><Relationship Id="rId21148" Type="http://schemas.openxmlformats.org/officeDocument/2006/relationships/hyperlink" Target="https://pbs.twimg.com/profile_images/604605659410235392/k92X94I5_normal.jpg" TargetMode="External"/><Relationship Id="rId13362" Type="http://schemas.openxmlformats.org/officeDocument/2006/relationships/hyperlink" Target="https://twitter.com/dubtoberfest/status/723544808963321858" TargetMode="External"/><Relationship Id="rId14413" Type="http://schemas.openxmlformats.org/officeDocument/2006/relationships/hyperlink" Target="https://pbs.twimg.com/profile_images/647434205853544453/1g3EBIZ1_normal.jpg" TargetMode="External"/><Relationship Id="rId2370" Type="http://schemas.openxmlformats.org/officeDocument/2006/relationships/hyperlink" Target="http://ctrlq.org/maps/address/" TargetMode="External"/><Relationship Id="rId3421" Type="http://schemas.openxmlformats.org/officeDocument/2006/relationships/hyperlink" Target="https://pbs.twimg.com/profile_images/627228859319091200/o4EHzTTr_normal.jpg" TargetMode="External"/><Relationship Id="rId6991" Type="http://schemas.openxmlformats.org/officeDocument/2006/relationships/hyperlink" Target="https://twitter.com/VWCamperSales/status/723274001074655232" TargetMode="External"/><Relationship Id="rId13015" Type="http://schemas.openxmlformats.org/officeDocument/2006/relationships/hyperlink" Target="https://pbs.twimg.com/profile_images/693789742807142400/hHn6G0vl_normal.jpg" TargetMode="External"/><Relationship Id="rId16585" Type="http://schemas.openxmlformats.org/officeDocument/2006/relationships/hyperlink" Target="https://twitter.com/TetsuoHojo" TargetMode="External"/><Relationship Id="rId17983" Type="http://schemas.openxmlformats.org/officeDocument/2006/relationships/hyperlink" Target="https://twitter.com/NetzwerkggS21/status/723839764223406080" TargetMode="External"/><Relationship Id="rId20231" Type="http://schemas.openxmlformats.org/officeDocument/2006/relationships/hyperlink" Target="https://twitter.com/aridonatucci/status/723983233269043200" TargetMode="External"/><Relationship Id="rId342" Type="http://schemas.openxmlformats.org/officeDocument/2006/relationships/hyperlink" Target="https://twitter.com/anchit_roy/status/722948265906466816" TargetMode="External"/><Relationship Id="rId2023" Type="http://schemas.openxmlformats.org/officeDocument/2006/relationships/hyperlink" Target="https://twitter.com/PP_amsterdam/status/723076746980024321" TargetMode="External"/><Relationship Id="rId5593" Type="http://schemas.openxmlformats.org/officeDocument/2006/relationships/hyperlink" Target="http://dlvr.it/" TargetMode="External"/><Relationship Id="rId6644" Type="http://schemas.openxmlformats.org/officeDocument/2006/relationships/hyperlink" Target="https://twitter.com/rmltpie" TargetMode="External"/><Relationship Id="rId15187" Type="http://schemas.openxmlformats.org/officeDocument/2006/relationships/hyperlink" Target="http://dlvr.it/" TargetMode="External"/><Relationship Id="rId16238" Type="http://schemas.openxmlformats.org/officeDocument/2006/relationships/hyperlink" Target="https://twitter.com/damdamok" TargetMode="External"/><Relationship Id="rId17636" Type="http://schemas.openxmlformats.org/officeDocument/2006/relationships/hyperlink" Target="https://pbs.twimg.com/profile_images/702501103846494209/PNsFF5XB_normal.jpg" TargetMode="External"/><Relationship Id="rId23454" Type="http://schemas.openxmlformats.org/officeDocument/2006/relationships/hyperlink" Target="https://twitter.com/coccicab71/status/724289939756716032" TargetMode="External"/><Relationship Id="rId24852" Type="http://schemas.openxmlformats.org/officeDocument/2006/relationships/hyperlink" Target="https://twitter.com/flerceflyerxo/status/724392164986392576" TargetMode="External"/><Relationship Id="rId4195" Type="http://schemas.openxmlformats.org/officeDocument/2006/relationships/hyperlink" Target="https://twitter.com/oldcar_photo/status/723177913940643840" TargetMode="External"/><Relationship Id="rId5246" Type="http://schemas.openxmlformats.org/officeDocument/2006/relationships/hyperlink" Target="https://pbs.twimg.com/profile_images/713148211439992832/hyBOu4t4_normal.jpg" TargetMode="External"/><Relationship Id="rId22056" Type="http://schemas.openxmlformats.org/officeDocument/2006/relationships/hyperlink" Target="https://pbs.twimg.com/profile_images/424893967197433858/iQ86NktX_normal.jpeg" TargetMode="External"/><Relationship Id="rId23107" Type="http://schemas.openxmlformats.org/officeDocument/2006/relationships/hyperlink" Target="https://pbs.twimg.com/profile_images/718820712757215233/LXXndPTS_normal.jpg" TargetMode="External"/><Relationship Id="rId24505" Type="http://schemas.openxmlformats.org/officeDocument/2006/relationships/hyperlink" Target="https://twitter.com/beetlebug1938/status/724367636121956352" TargetMode="External"/><Relationship Id="rId8469" Type="http://schemas.openxmlformats.org/officeDocument/2006/relationships/hyperlink" Target="https://twitter.com/tmoffattndp/status/723390044224942081" TargetMode="External"/><Relationship Id="rId9867" Type="http://schemas.openxmlformats.org/officeDocument/2006/relationships/hyperlink" Target="https://twitter.com/parrish_isiah" TargetMode="External"/><Relationship Id="rId11797" Type="http://schemas.openxmlformats.org/officeDocument/2006/relationships/hyperlink" Target="https://twitter.com/MangeKrull/status/723507706762551296" TargetMode="External"/><Relationship Id="rId12848" Type="http://schemas.openxmlformats.org/officeDocument/2006/relationships/hyperlink" Target="https://twitter.com/sseewolf" TargetMode="External"/><Relationship Id="rId1856" Type="http://schemas.openxmlformats.org/officeDocument/2006/relationships/hyperlink" Target="https://pbs.twimg.com/profile_images/675985665474064384/hFOAQJ2E_normal.png" TargetMode="External"/><Relationship Id="rId2907" Type="http://schemas.openxmlformats.org/officeDocument/2006/relationships/hyperlink" Target="https://twitter.com/esdefren_az" TargetMode="External"/><Relationship Id="rId10399" Type="http://schemas.openxmlformats.org/officeDocument/2006/relationships/hyperlink" Target="https://twitter.com/serenity22/status/723471815436181504" TargetMode="External"/><Relationship Id="rId14270" Type="http://schemas.openxmlformats.org/officeDocument/2006/relationships/hyperlink" Target="https://twitter.com/PaaaaaaulaS2/status/723571217182154752" TargetMode="External"/><Relationship Id="rId15321" Type="http://schemas.openxmlformats.org/officeDocument/2006/relationships/hyperlink" Target="https://twitter.com/ArielWittenberg/status/723603536991379461" TargetMode="External"/><Relationship Id="rId18891" Type="http://schemas.openxmlformats.org/officeDocument/2006/relationships/hyperlink" Target="https://twitter.com/Pedroluise/status/723904187910770688" TargetMode="External"/><Relationship Id="rId19942" Type="http://schemas.openxmlformats.org/officeDocument/2006/relationships/hyperlink" Target="https://twitter.com/CooperOffroad" TargetMode="External"/><Relationship Id="rId25279" Type="http://schemas.openxmlformats.org/officeDocument/2006/relationships/hyperlink" Target="https://twitter.com/vwpress_en" TargetMode="External"/><Relationship Id="rId1509" Type="http://schemas.openxmlformats.org/officeDocument/2006/relationships/hyperlink" Target="https://twitter.com/kipangacap" TargetMode="External"/><Relationship Id="rId8950" Type="http://schemas.openxmlformats.org/officeDocument/2006/relationships/hyperlink" Target="https://pbs.twimg.com/profile_images/460768505382457345/L9RQPBW8_normal.jpeg" TargetMode="External"/><Relationship Id="rId10880" Type="http://schemas.openxmlformats.org/officeDocument/2006/relationships/hyperlink" Target="https://pbs.twimg.com/profile_images/454561394457735168/cYRjvFIb_normal.png" TargetMode="External"/><Relationship Id="rId17493" Type="http://schemas.openxmlformats.org/officeDocument/2006/relationships/hyperlink" Target="https://pbs.twimg.com/profile_images/634351297500721152/M5SEJZND_normal.jpg" TargetMode="External"/><Relationship Id="rId18544" Type="http://schemas.openxmlformats.org/officeDocument/2006/relationships/hyperlink" Target="https://twitter.com/JayRHenley" TargetMode="External"/><Relationship Id="rId21889" Type="http://schemas.openxmlformats.org/officeDocument/2006/relationships/hyperlink" Target="https://twitter.com/TetsuoHojo" TargetMode="External"/><Relationship Id="rId25760" Type="http://schemas.openxmlformats.org/officeDocument/2006/relationships/hyperlink" Target="https://pbs.twimg.com/profile_images/692720660016136193/iach6pOV_normal.jpg" TargetMode="External"/><Relationship Id="rId7552" Type="http://schemas.openxmlformats.org/officeDocument/2006/relationships/hyperlink" Target="https://twitter.com/Adrlana_Mendes/status/723310357457068032" TargetMode="External"/><Relationship Id="rId8603" Type="http://schemas.openxmlformats.org/officeDocument/2006/relationships/hyperlink" Target="https://twitter.com/Jayrimbo" TargetMode="External"/><Relationship Id="rId10533" Type="http://schemas.openxmlformats.org/officeDocument/2006/relationships/hyperlink" Target="https://twitter.com/PolakPavel/status/723475920242257921" TargetMode="External"/><Relationship Id="rId11931" Type="http://schemas.openxmlformats.org/officeDocument/2006/relationships/hyperlink" Target="https://twitter.com/NewsThisSecond/status/723510461824688129" TargetMode="External"/><Relationship Id="rId16095" Type="http://schemas.openxmlformats.org/officeDocument/2006/relationships/hyperlink" Target="https://twitter.com/beetlebug1938" TargetMode="External"/><Relationship Id="rId17146" Type="http://schemas.openxmlformats.org/officeDocument/2006/relationships/hyperlink" Target="https://twitter.com/bodo1962" TargetMode="External"/><Relationship Id="rId24362" Type="http://schemas.openxmlformats.org/officeDocument/2006/relationships/hyperlink" Target="https://twitter.com/frecklesfairy" TargetMode="External"/><Relationship Id="rId25413" Type="http://schemas.openxmlformats.org/officeDocument/2006/relationships/hyperlink" Target="https://pbs.twimg.com/profile_images/613134211919187968/P_pW7EHj_normal.jpg" TargetMode="External"/><Relationship Id="rId6154" Type="http://schemas.openxmlformats.org/officeDocument/2006/relationships/hyperlink" Target="https://pbs.twimg.com/profile_images/3497903431/ae95594a00a0817e860e73da8fef6dca_normal.png" TargetMode="External"/><Relationship Id="rId7205" Type="http://schemas.openxmlformats.org/officeDocument/2006/relationships/hyperlink" Target="https://twitter.com/ballyhea14/status/723286073841995776" TargetMode="External"/><Relationship Id="rId24015" Type="http://schemas.openxmlformats.org/officeDocument/2006/relationships/hyperlink" Target="https://pbs.twimg.com/profile_images/710591486228766720/8dYGKdNm_normal.jpg" TargetMode="External"/><Relationship Id="rId9377" Type="http://schemas.openxmlformats.org/officeDocument/2006/relationships/hyperlink" Target="https://twitter.com/ayondoTrading/status/723432823286190080" TargetMode="External"/><Relationship Id="rId13756" Type="http://schemas.openxmlformats.org/officeDocument/2006/relationships/hyperlink" Target="https://twitter.com/Stony_BS" TargetMode="External"/><Relationship Id="rId14807" Type="http://schemas.openxmlformats.org/officeDocument/2006/relationships/hyperlink" Target="https://twitter.com/VWCamperSales/status/723583673556066305" TargetMode="External"/><Relationship Id="rId20972" Type="http://schemas.openxmlformats.org/officeDocument/2006/relationships/hyperlink" Target="http://dlvr.it/" TargetMode="External"/><Relationship Id="rId736" Type="http://schemas.openxmlformats.org/officeDocument/2006/relationships/hyperlink" Target="https://pbs.twimg.com/profile_images/580741690610311168/xyn37E4I_normal.jpg" TargetMode="External"/><Relationship Id="rId1366" Type="http://schemas.openxmlformats.org/officeDocument/2006/relationships/hyperlink" Target="https://pbs.twimg.com/profile_images/530071272881803264/a_jcCmPZ_normal.png" TargetMode="External"/><Relationship Id="rId2417" Type="http://schemas.openxmlformats.org/officeDocument/2006/relationships/hyperlink" Target="https://pbs.twimg.com/profile_images/713855501222674432/O6YWG-cc_normal.jpg" TargetMode="External"/><Relationship Id="rId2764" Type="http://schemas.openxmlformats.org/officeDocument/2006/relationships/hyperlink" Target="https://pbs.twimg.com/profile_images/703294545195307008/qeCvrX86_normal.jpg" TargetMode="External"/><Relationship Id="rId3815" Type="http://schemas.openxmlformats.org/officeDocument/2006/relationships/hyperlink" Target="https://twitter.com/InesWiese_RHH" TargetMode="External"/><Relationship Id="rId12358" Type="http://schemas.openxmlformats.org/officeDocument/2006/relationships/hyperlink" Target="https://pbs.twimg.com/profile_images/706784695795769345/XGXgdjww_normal.jpg" TargetMode="External"/><Relationship Id="rId13409" Type="http://schemas.openxmlformats.org/officeDocument/2006/relationships/hyperlink" Target="https://pbs.twimg.com/profile_images/673849432094437376/Q6_8GkHW_normal.jpg" TargetMode="External"/><Relationship Id="rId16979" Type="http://schemas.openxmlformats.org/officeDocument/2006/relationships/hyperlink" Target="https://twitter.com/katrinhilger/status/723760531996286976" TargetMode="External"/><Relationship Id="rId20625" Type="http://schemas.openxmlformats.org/officeDocument/2006/relationships/hyperlink" Target="https://pbs.twimg.com/profile_images/424893967197433858/iQ86NktX_normal.jpeg" TargetMode="External"/><Relationship Id="rId1019" Type="http://schemas.openxmlformats.org/officeDocument/2006/relationships/hyperlink" Target="https://pbs.twimg.com/profile_images/706784695795769345/XGXgdjww_normal.jpg" TargetMode="External"/><Relationship Id="rId5987" Type="http://schemas.openxmlformats.org/officeDocument/2006/relationships/hyperlink" Target="https://pbs.twimg.com/profile_images/679171786823622658/ZhhFinF8_normal.jpg" TargetMode="External"/><Relationship Id="rId19452" Type="http://schemas.openxmlformats.org/officeDocument/2006/relationships/hyperlink" Target="https://twitter.com/anjelicasjogren" TargetMode="External"/><Relationship Id="rId22797" Type="http://schemas.openxmlformats.org/officeDocument/2006/relationships/hyperlink" Target="https://twitter.com/techhippie/status/724247268103192576" TargetMode="External"/><Relationship Id="rId23848" Type="http://schemas.openxmlformats.org/officeDocument/2006/relationships/hyperlink" Target="https://twitter.com/VWBeetleSales" TargetMode="External"/><Relationship Id="rId72" Type="http://schemas.openxmlformats.org/officeDocument/2006/relationships/hyperlink" Target="https://pbs.twimg.com/profile_images/559659103723585536/oexmCla7_normal.jpeg" TargetMode="External"/><Relationship Id="rId4589" Type="http://schemas.openxmlformats.org/officeDocument/2006/relationships/hyperlink" Target="http://dlvr.it/" TargetMode="External"/><Relationship Id="rId8460" Type="http://schemas.openxmlformats.org/officeDocument/2006/relationships/hyperlink" Target="https://twitter.com/franz_rother/status/723389528417792001" TargetMode="External"/><Relationship Id="rId9511" Type="http://schemas.openxmlformats.org/officeDocument/2006/relationships/hyperlink" Target="https://twitter.com/beetlebug1938" TargetMode="External"/><Relationship Id="rId10390" Type="http://schemas.openxmlformats.org/officeDocument/2006/relationships/hyperlink" Target="https://twitter.com/HKok74/status/723471635551031297" TargetMode="External"/><Relationship Id="rId11441" Type="http://schemas.openxmlformats.org/officeDocument/2006/relationships/hyperlink" Target="https://pbs.twimg.com/profile_images/699951405545684992/q09s7GrZ_normal.png" TargetMode="External"/><Relationship Id="rId18054" Type="http://schemas.openxmlformats.org/officeDocument/2006/relationships/hyperlink" Target="https://twitter.com/voosvoos/status/723843718554501120" TargetMode="External"/><Relationship Id="rId19105" Type="http://schemas.openxmlformats.org/officeDocument/2006/relationships/hyperlink" Target="https://twitter.com/VWCrystalLake/status/723920102551379968" TargetMode="External"/><Relationship Id="rId21399" Type="http://schemas.openxmlformats.org/officeDocument/2006/relationships/hyperlink" Target="https://twitter.com/umavoltadekombi/status/724146996056064000" TargetMode="External"/><Relationship Id="rId25270" Type="http://schemas.openxmlformats.org/officeDocument/2006/relationships/hyperlink" Target="https://twitter.com/Henry_Ruiz684" TargetMode="External"/><Relationship Id="rId1500" Type="http://schemas.openxmlformats.org/officeDocument/2006/relationships/hyperlink" Target="https://twitter.com/imfree81" TargetMode="External"/><Relationship Id="rId7062" Type="http://schemas.openxmlformats.org/officeDocument/2006/relationships/hyperlink" Target="https://twitter.com/OnlineCarReview/status/723276428276453377" TargetMode="External"/><Relationship Id="rId8113" Type="http://schemas.openxmlformats.org/officeDocument/2006/relationships/hyperlink" Target="https://pbs.twimg.com/profile_images/2133628020/Bild_MH_normal.JPG" TargetMode="External"/><Relationship Id="rId10043" Type="http://schemas.openxmlformats.org/officeDocument/2006/relationships/hyperlink" Target="https://twitter.com/KarSmid/status/723459544060432385" TargetMode="External"/><Relationship Id="rId14664" Type="http://schemas.openxmlformats.org/officeDocument/2006/relationships/hyperlink" Target="https://twitter.com/Burslempottery" TargetMode="External"/><Relationship Id="rId21880" Type="http://schemas.openxmlformats.org/officeDocument/2006/relationships/hyperlink" Target="https://twitter.com/TetsuoHojo" TargetMode="External"/><Relationship Id="rId3672" Type="http://schemas.openxmlformats.org/officeDocument/2006/relationships/hyperlink" Target="https://twitter.com/hb_investigativ" TargetMode="External"/><Relationship Id="rId4723" Type="http://schemas.openxmlformats.org/officeDocument/2006/relationships/hyperlink" Target="https://twitter.com/chrischeuermann/status/723186253928124416" TargetMode="External"/><Relationship Id="rId13266" Type="http://schemas.openxmlformats.org/officeDocument/2006/relationships/hyperlink" Target="https://pbs.twimg.com/profile_images/701000443535749121/En8izo6p_normal.jpg" TargetMode="External"/><Relationship Id="rId14317" Type="http://schemas.openxmlformats.org/officeDocument/2006/relationships/hyperlink" Target="https://pbs.twimg.com/profile_images/677727303858823169/jRsrdcqd_normal.jpg" TargetMode="External"/><Relationship Id="rId15715" Type="http://schemas.openxmlformats.org/officeDocument/2006/relationships/hyperlink" Target="https://twitter.com/jitenmistrydj/status/723621671308025856" TargetMode="External"/><Relationship Id="rId20482" Type="http://schemas.openxmlformats.org/officeDocument/2006/relationships/hyperlink" Target="https://twitter.com/vw_escarabajo/status/724002429994426369" TargetMode="External"/><Relationship Id="rId21533" Type="http://schemas.openxmlformats.org/officeDocument/2006/relationships/hyperlink" Target="https://twitter.com/pizzapickupltd/status/724156580380434432" TargetMode="External"/><Relationship Id="rId22931" Type="http://schemas.openxmlformats.org/officeDocument/2006/relationships/hyperlink" Target="https://twitter.com/marco_paschoal" TargetMode="External"/><Relationship Id="rId593" Type="http://schemas.openxmlformats.org/officeDocument/2006/relationships/hyperlink" Target="https://pbs.twimg.com/profile_images/702511217793863680/lty8h9vE_normal.jpg" TargetMode="External"/><Relationship Id="rId2274" Type="http://schemas.openxmlformats.org/officeDocument/2006/relationships/hyperlink" Target="https://twitter.com/ZoomStocks/status/723092863857238018" TargetMode="External"/><Relationship Id="rId3325" Type="http://schemas.openxmlformats.org/officeDocument/2006/relationships/hyperlink" Target="https://twitter.com/hashtagvanlife" TargetMode="External"/><Relationship Id="rId17887" Type="http://schemas.openxmlformats.org/officeDocument/2006/relationships/hyperlink" Target="https://twitter.com/RochdaleHonda" TargetMode="External"/><Relationship Id="rId18938" Type="http://schemas.openxmlformats.org/officeDocument/2006/relationships/hyperlink" Target="https://twitter.com/Hanningkannnix" TargetMode="External"/><Relationship Id="rId20135" Type="http://schemas.openxmlformats.org/officeDocument/2006/relationships/hyperlink" Target="https://pbs.twimg.com/profile_images/467070942460407808/6mlUcaWL_normal.jpeg" TargetMode="External"/><Relationship Id="rId246" Type="http://schemas.openxmlformats.org/officeDocument/2006/relationships/hyperlink" Target="https://pbs.twimg.com/profile_images/706435215263178752/bvPrLFNY_normal.jpg" TargetMode="External"/><Relationship Id="rId5497" Type="http://schemas.openxmlformats.org/officeDocument/2006/relationships/hyperlink" Target="https://twitter.com/VolkswagenPost" TargetMode="External"/><Relationship Id="rId6548" Type="http://schemas.openxmlformats.org/officeDocument/2006/relationships/hyperlink" Target="https://pbs.twimg.com/profile_images/530071272881803264/a_jcCmPZ_normal.png" TargetMode="External"/><Relationship Id="rId6895" Type="http://schemas.openxmlformats.org/officeDocument/2006/relationships/hyperlink" Target="https://twitter.com/ohioantique/status/723266427969507328" TargetMode="External"/><Relationship Id="rId7946" Type="http://schemas.openxmlformats.org/officeDocument/2006/relationships/hyperlink" Target="https://twitter.com/UniversHorse" TargetMode="External"/><Relationship Id="rId10927" Type="http://schemas.openxmlformats.org/officeDocument/2006/relationships/hyperlink" Target="https://twitter.com/panicswitch777/status/723490956901650437" TargetMode="External"/><Relationship Id="rId16489" Type="http://schemas.openxmlformats.org/officeDocument/2006/relationships/hyperlink" Target="https://twitter.com/AlainMatungulu/status/723688696105590789" TargetMode="External"/><Relationship Id="rId24756" Type="http://schemas.openxmlformats.org/officeDocument/2006/relationships/hyperlink" Target="https://pbs.twimg.com/profile_images/539574770438660096/rMmiOBwV_normal.jpeg" TargetMode="External"/><Relationship Id="rId4099" Type="http://schemas.openxmlformats.org/officeDocument/2006/relationships/hyperlink" Target="https://twitter.com/RayPanneton" TargetMode="External"/><Relationship Id="rId9021" Type="http://schemas.openxmlformats.org/officeDocument/2006/relationships/hyperlink" Target="https://twitter.com/MartinHeine1/status/723417677440516096" TargetMode="External"/><Relationship Id="rId13400" Type="http://schemas.openxmlformats.org/officeDocument/2006/relationships/hyperlink" Target="https://twitter.com/VWBeetleSales" TargetMode="External"/><Relationship Id="rId16970" Type="http://schemas.openxmlformats.org/officeDocument/2006/relationships/hyperlink" Target="https://twitter.com/AnjaKolibri/status/723759798613741568" TargetMode="External"/><Relationship Id="rId23358" Type="http://schemas.openxmlformats.org/officeDocument/2006/relationships/hyperlink" Target="https://twitter.com/RTLRally/status/724283074180210693" TargetMode="External"/><Relationship Id="rId24409" Type="http://schemas.openxmlformats.org/officeDocument/2006/relationships/hyperlink" Target="https://twitter.com/voelker_FDP" TargetMode="External"/><Relationship Id="rId12002" Type="http://schemas.openxmlformats.org/officeDocument/2006/relationships/hyperlink" Target="https://twitter.com/kultur360/status/723511852647505920" TargetMode="External"/><Relationship Id="rId15572" Type="http://schemas.openxmlformats.org/officeDocument/2006/relationships/hyperlink" Target="https://twitter.com/bvdvliet/status/723614292713549825" TargetMode="External"/><Relationship Id="rId16623" Type="http://schemas.openxmlformats.org/officeDocument/2006/relationships/hyperlink" Target="http://dlvr.it/" TargetMode="External"/><Relationship Id="rId1010" Type="http://schemas.openxmlformats.org/officeDocument/2006/relationships/hyperlink" Target="https://twitter.com/RezakwpAuto" TargetMode="External"/><Relationship Id="rId4580" Type="http://schemas.openxmlformats.org/officeDocument/2006/relationships/hyperlink" Target="https://pbs.twimg.com/profile_images/633655869830529024/0gwOAoYF_normal.jpg" TargetMode="External"/><Relationship Id="rId5631" Type="http://schemas.openxmlformats.org/officeDocument/2006/relationships/hyperlink" Target="https://twitter.com/Insta_VWT/status/723211351104098305" TargetMode="External"/><Relationship Id="rId14174" Type="http://schemas.openxmlformats.org/officeDocument/2006/relationships/hyperlink" Target="https://pbs.twimg.com/profile_images/672152270717480960/JZ89oB5C_normal.jpg" TargetMode="External"/><Relationship Id="rId15225" Type="http://schemas.openxmlformats.org/officeDocument/2006/relationships/hyperlink" Target="https://twitter.com/BASFCorporation" TargetMode="External"/><Relationship Id="rId18795" Type="http://schemas.openxmlformats.org/officeDocument/2006/relationships/hyperlink" Target="https://twitter.com/DevinPierson/status/723897179828531201" TargetMode="External"/><Relationship Id="rId21390" Type="http://schemas.openxmlformats.org/officeDocument/2006/relationships/hyperlink" Target="https://twitter.com/NorthWestDubs/status/724146707869609985" TargetMode="External"/><Relationship Id="rId22441" Type="http://schemas.openxmlformats.org/officeDocument/2006/relationships/hyperlink" Target="https://pbs.twimg.com/profile_images/718820712757215233/LXXndPTS_normal.jpg" TargetMode="External"/><Relationship Id="rId4233" Type="http://schemas.openxmlformats.org/officeDocument/2006/relationships/hyperlink" Target="https://twitter.com/VeeDubMk1_/status/723178220812664833" TargetMode="External"/><Relationship Id="rId9905" Type="http://schemas.openxmlformats.org/officeDocument/2006/relationships/hyperlink" Target="https://pbs.twimg.com/profile_images/683738382304948224/-LF06h4p_normal.jpg" TargetMode="External"/><Relationship Id="rId17397" Type="http://schemas.openxmlformats.org/officeDocument/2006/relationships/hyperlink" Target="https://pbs.twimg.com/profile_images/505852375911780352/2-ZN7ue2_normal.jpeg" TargetMode="External"/><Relationship Id="rId19846" Type="http://schemas.openxmlformats.org/officeDocument/2006/relationships/hyperlink" Target="https://twitter.com/RTLRally/status/723961297050714112" TargetMode="External"/><Relationship Id="rId21043" Type="http://schemas.openxmlformats.org/officeDocument/2006/relationships/hyperlink" Target="https://twitter.com/beetlebug1938" TargetMode="External"/><Relationship Id="rId7456" Type="http://schemas.openxmlformats.org/officeDocument/2006/relationships/hyperlink" Target="https://pbs.twimg.com/profile_images/430023681977634816/gBNGcukd_normal.jpeg" TargetMode="External"/><Relationship Id="rId10784" Type="http://schemas.openxmlformats.org/officeDocument/2006/relationships/hyperlink" Target="https://twitter.com/helenachumphrey" TargetMode="External"/><Relationship Id="rId24266" Type="http://schemas.openxmlformats.org/officeDocument/2006/relationships/hyperlink" Target="https://twitter.com/VeeDubMk1_" TargetMode="External"/><Relationship Id="rId7109" Type="http://schemas.openxmlformats.org/officeDocument/2006/relationships/hyperlink" Target="https://pbs.twimg.com/profile_images/511300315228811264/sT0G3pjp_normal.jpeg" TargetMode="External"/><Relationship Id="rId10437" Type="http://schemas.openxmlformats.org/officeDocument/2006/relationships/hyperlink" Target="https://pbs.twimg.com/profile_images/703294545195307008/qeCvrX86_normal.jpg" TargetMode="External"/><Relationship Id="rId16480" Type="http://schemas.openxmlformats.org/officeDocument/2006/relationships/hyperlink" Target="https://twitter.com/NoCarNoFun/status/723687588612177920" TargetMode="External"/><Relationship Id="rId20876" Type="http://schemas.openxmlformats.org/officeDocument/2006/relationships/hyperlink" Target="https://twitter.com/CastineiraDiego/status/724052476232605696" TargetMode="External"/><Relationship Id="rId3719" Type="http://schemas.openxmlformats.org/officeDocument/2006/relationships/hyperlink" Target="https://twitter.com/089stadt" TargetMode="External"/><Relationship Id="rId4090" Type="http://schemas.openxmlformats.org/officeDocument/2006/relationships/hyperlink" Target="https://twitter.com/franz_rother" TargetMode="External"/><Relationship Id="rId16133" Type="http://schemas.openxmlformats.org/officeDocument/2006/relationships/hyperlink" Target="https://pbs.twimg.com/profile_images/709359494128599041/-2u0_Nqv_normal.jpg" TargetMode="External"/><Relationship Id="rId20529" Type="http://schemas.openxmlformats.org/officeDocument/2006/relationships/hyperlink" Target="https://twitter.com/greycatsunite/status/724007161018327040" TargetMode="External"/><Relationship Id="rId9762" Type="http://schemas.openxmlformats.org/officeDocument/2006/relationships/hyperlink" Target="https://twitter.com/VeeriahSajeevan/status/723448050669096960" TargetMode="External"/><Relationship Id="rId12743" Type="http://schemas.openxmlformats.org/officeDocument/2006/relationships/hyperlink" Target="https://pbs.twimg.com/profile_images/644157980531904512/8ABcGAXt_normal.jpg" TargetMode="External"/><Relationship Id="rId19356" Type="http://schemas.openxmlformats.org/officeDocument/2006/relationships/hyperlink" Target="https://twitter.com/FEWOcapecoral/status/723927376753790976" TargetMode="External"/><Relationship Id="rId23002" Type="http://schemas.openxmlformats.org/officeDocument/2006/relationships/hyperlink" Target="https://pbs.twimg.com/profile_images/668555991357747201/lXj39M9o_normal.jpg" TargetMode="External"/><Relationship Id="rId2802" Type="http://schemas.openxmlformats.org/officeDocument/2006/relationships/hyperlink" Target="https://twitter.com/PeterConstant" TargetMode="External"/><Relationship Id="rId9415" Type="http://schemas.openxmlformats.org/officeDocument/2006/relationships/hyperlink" Target="https://twitter.com/weare_van" TargetMode="External"/><Relationship Id="rId10294" Type="http://schemas.openxmlformats.org/officeDocument/2006/relationships/hyperlink" Target="https://pbs.twimg.com/profile_images/530071272881803264/a_jcCmPZ_normal.png" TargetMode="External"/><Relationship Id="rId19009" Type="http://schemas.openxmlformats.org/officeDocument/2006/relationships/hyperlink" Target="https://twitter.com/Rob_der_Waelder/status/723912609880268801" TargetMode="External"/><Relationship Id="rId15966" Type="http://schemas.openxmlformats.org/officeDocument/2006/relationships/hyperlink" Target="https://pbs.twimg.com/profile_images/697059054741536770/bzz3mR4g_normal.png" TargetMode="External"/><Relationship Id="rId3576" Type="http://schemas.openxmlformats.org/officeDocument/2006/relationships/hyperlink" Target="https://twitter.com/urotuning" TargetMode="External"/><Relationship Id="rId15619" Type="http://schemas.openxmlformats.org/officeDocument/2006/relationships/hyperlink" Target="https://twitter.com/kngeuro/status/723617473371590656" TargetMode="External"/><Relationship Id="rId20386" Type="http://schemas.openxmlformats.org/officeDocument/2006/relationships/hyperlink" Target="https://twitter.com/desdepuebla1" TargetMode="External"/><Relationship Id="rId22835" Type="http://schemas.openxmlformats.org/officeDocument/2006/relationships/hyperlink" Target="https://twitter.com/RusselMSVW/status/724251650681085952" TargetMode="External"/><Relationship Id="rId3229" Type="http://schemas.openxmlformats.org/officeDocument/2006/relationships/hyperlink" Target="https://twitter.com/VWCamperSales" TargetMode="External"/><Relationship Id="rId20039" Type="http://schemas.openxmlformats.org/officeDocument/2006/relationships/hyperlink" Target="https://twitter.com/exequielleguiz1/status/723971048434180096" TargetMode="External"/><Relationship Id="rId6799" Type="http://schemas.openxmlformats.org/officeDocument/2006/relationships/hyperlink" Target="https://twitter.com/WettenbergTweet/status/723261055095455744" TargetMode="External"/><Relationship Id="rId14702" Type="http://schemas.openxmlformats.org/officeDocument/2006/relationships/hyperlink" Target="https://twitter.com/Stony_BS/status/723580192036392960" TargetMode="External"/><Relationship Id="rId9272" Type="http://schemas.openxmlformats.org/officeDocument/2006/relationships/hyperlink" Target="https://twitter.com/VWBeetleSales/status/723429664228659200" TargetMode="External"/><Relationship Id="rId12253" Type="http://schemas.openxmlformats.org/officeDocument/2006/relationships/hyperlink" Target="https://twitter.com/1LIVE/status/723516139171647488" TargetMode="External"/><Relationship Id="rId631" Type="http://schemas.openxmlformats.org/officeDocument/2006/relationships/hyperlink" Target="https://twitter.com/_lamShunnKilla/status/722967533486268416" TargetMode="External"/><Relationship Id="rId2312" Type="http://schemas.openxmlformats.org/officeDocument/2006/relationships/hyperlink" Target="https://pbs.twimg.com/profile_images/703294545195307008/qeCvrX86_normal.jpg" TargetMode="External"/><Relationship Id="rId5882" Type="http://schemas.openxmlformats.org/officeDocument/2006/relationships/hyperlink" Target="https://twitter.com/MissMotorMouth/status/723221026666999808" TargetMode="External"/><Relationship Id="rId15476" Type="http://schemas.openxmlformats.org/officeDocument/2006/relationships/hyperlink" Target="https://pbs.twimg.com/profile_images/511655556637921280/dYwH4GcW_normal.jpeg" TargetMode="External"/><Relationship Id="rId17925" Type="http://schemas.openxmlformats.org/officeDocument/2006/relationships/hyperlink" Target="https://twitter.com/ThurlesTown" TargetMode="External"/><Relationship Id="rId22692" Type="http://schemas.openxmlformats.org/officeDocument/2006/relationships/hyperlink" Target="https://twitter.com/dubbusses/status/724239291900137472" TargetMode="External"/><Relationship Id="rId5535" Type="http://schemas.openxmlformats.org/officeDocument/2006/relationships/hyperlink" Target="https://pbs.twimg.com/profile_images/687314255507513346/a83L5Opq_normal.jpg" TargetMode="External"/><Relationship Id="rId15129" Type="http://schemas.openxmlformats.org/officeDocument/2006/relationships/hyperlink" Target="https://pbs.twimg.com/profile_images/536668880203038720/469VmgoM_normal.jpeg" TargetMode="External"/><Relationship Id="rId22345" Type="http://schemas.openxmlformats.org/officeDocument/2006/relationships/hyperlink" Target="https://pbs.twimg.com/profile_images/652871584131092480/QA_B6SBO_normal.jpg" TargetMode="External"/><Relationship Id="rId3086" Type="http://schemas.openxmlformats.org/officeDocument/2006/relationships/hyperlink" Target="https://twitter.com/CarNotaFridge" TargetMode="External"/><Relationship Id="rId8758" Type="http://schemas.openxmlformats.org/officeDocument/2006/relationships/hyperlink" Target="https://pbs.twimg.com/profile_images/657853466384191488/J6vAnfZr_normal.jpg" TargetMode="External"/><Relationship Id="rId18699" Type="http://schemas.openxmlformats.org/officeDocument/2006/relationships/hyperlink" Target="https://twitter.com/VWCamperSales" TargetMode="External"/><Relationship Id="rId11739" Type="http://schemas.openxmlformats.org/officeDocument/2006/relationships/hyperlink" Target="https://twitter.com/Boersenradar/status/723506608471445506" TargetMode="External"/><Relationship Id="rId25568" Type="http://schemas.openxmlformats.org/officeDocument/2006/relationships/hyperlink" Target="https://twitter.com/VolkswagenPost" TargetMode="External"/><Relationship Id="rId14212" Type="http://schemas.openxmlformats.org/officeDocument/2006/relationships/hyperlink" Target="https://pbs.twimg.com/profile_images/711678681090039808/1BAsJz83_normal.jpg" TargetMode="External"/><Relationship Id="rId17782" Type="http://schemas.openxmlformats.org/officeDocument/2006/relationships/hyperlink" Target="https://pbs.twimg.com/profile_images/532621719169548289/VzIKh2mL_normal.jpeg" TargetMode="External"/><Relationship Id="rId141" Type="http://schemas.openxmlformats.org/officeDocument/2006/relationships/hyperlink" Target="https://twitter.com/OnlineCarReview" TargetMode="External"/><Relationship Id="rId7841" Type="http://schemas.openxmlformats.org/officeDocument/2006/relationships/hyperlink" Target="https://twitter.com/Agustina_quinte/status/723333899645009922" TargetMode="External"/><Relationship Id="rId10822" Type="http://schemas.openxmlformats.org/officeDocument/2006/relationships/hyperlink" Target="https://pbs.twimg.com/profile_images/417981422599544833/ZyqPIdAf_normal.png" TargetMode="External"/><Relationship Id="rId17435" Type="http://schemas.openxmlformats.org/officeDocument/2006/relationships/hyperlink" Target="https://twitter.com/Law_Bolthausen/status/723798750309814272" TargetMode="External"/><Relationship Id="rId24651" Type="http://schemas.openxmlformats.org/officeDocument/2006/relationships/hyperlink" Target="https://pbs.twimg.com/profile_images/500414221709213696/nWSfoogh_normal.jpeg" TargetMode="External"/><Relationship Id="rId5392" Type="http://schemas.openxmlformats.org/officeDocument/2006/relationships/hyperlink" Target="https://twitter.com/DialogueFirst" TargetMode="External"/><Relationship Id="rId24304" Type="http://schemas.openxmlformats.org/officeDocument/2006/relationships/hyperlink" Target="https://pbs.twimg.com/profile_images/378800000430951783/0ce25846ceb65087d31e2d52427a241e_normal.jpeg" TargetMode="External"/><Relationship Id="rId5045" Type="http://schemas.openxmlformats.org/officeDocument/2006/relationships/hyperlink" Target="https://pbs.twimg.com/profile_images/539562831142981632/aNGOf_sw_normal.jpeg" TargetMode="External"/><Relationship Id="rId11596" Type="http://schemas.openxmlformats.org/officeDocument/2006/relationships/hyperlink" Target="http://ctrlq.org/maps/address/" TargetMode="External"/><Relationship Id="rId1655" Type="http://schemas.openxmlformats.org/officeDocument/2006/relationships/hyperlink" Target="https://twitter.com/fujiyamapapa" TargetMode="External"/><Relationship Id="rId8268" Type="http://schemas.openxmlformats.org/officeDocument/2006/relationships/hyperlink" Target="https://twitter.com/Ema12_Ok" TargetMode="External"/><Relationship Id="rId11249" Type="http://schemas.openxmlformats.org/officeDocument/2006/relationships/hyperlink" Target="https://twitter.com/hrinfo" TargetMode="External"/><Relationship Id="rId20914" Type="http://schemas.openxmlformats.org/officeDocument/2006/relationships/hyperlink" Target="https://pbs.twimg.com/profile_images/378800000413462416/77238ebae51f5dee8cc6d04cdca98151_normal.jpeg" TargetMode="External"/><Relationship Id="rId25078" Type="http://schemas.openxmlformats.org/officeDocument/2006/relationships/hyperlink" Target="https://pbs.twimg.com/profile_images/705780107844067328/e7O4UBNb_normal.jpg" TargetMode="External"/><Relationship Id="rId1308" Type="http://schemas.openxmlformats.org/officeDocument/2006/relationships/hyperlink" Target="https://pbs.twimg.com/profile_images/567406246412574720/L8XUd18r_normal.png" TargetMode="External"/><Relationship Id="rId19741" Type="http://schemas.openxmlformats.org/officeDocument/2006/relationships/hyperlink" Target="https://twitter.com/dubbusses/status/723952438940717060" TargetMode="External"/><Relationship Id="rId4878" Type="http://schemas.openxmlformats.org/officeDocument/2006/relationships/hyperlink" Target="https://twitter.com/r_kreisel/status/723189359726366720" TargetMode="External"/><Relationship Id="rId9800" Type="http://schemas.openxmlformats.org/officeDocument/2006/relationships/hyperlink" Target="https://pbs.twimg.com/profile_images/627949001179037696/skEBkS05_normal.jpg" TargetMode="External"/><Relationship Id="rId17292" Type="http://schemas.openxmlformats.org/officeDocument/2006/relationships/hyperlink" Target="https://pbs.twimg.com/profile_images/722101790431260672/0vYDkuAk_normal.jpg" TargetMode="External"/><Relationship Id="rId21688" Type="http://schemas.openxmlformats.org/officeDocument/2006/relationships/hyperlink" Target="https://twitter.com/rsnqp" TargetMode="External"/><Relationship Id="rId14" Type="http://schemas.openxmlformats.org/officeDocument/2006/relationships/hyperlink" Target="https://twitter.com/WorldWideStance/status/722919125606014976" TargetMode="External"/><Relationship Id="rId7004" Type="http://schemas.openxmlformats.org/officeDocument/2006/relationships/hyperlink" Target="https://twitter.com/VolkswagenPost/status/723274590865207301" TargetMode="External"/><Relationship Id="rId7351" Type="http://schemas.openxmlformats.org/officeDocument/2006/relationships/hyperlink" Target="https://twitter.com/bgalmar/status/723297499608416257" TargetMode="External"/><Relationship Id="rId10332" Type="http://schemas.openxmlformats.org/officeDocument/2006/relationships/hyperlink" Target="https://twitter.com/unbequemes/status/723469545642532864" TargetMode="External"/><Relationship Id="rId24161" Type="http://schemas.openxmlformats.org/officeDocument/2006/relationships/hyperlink" Target="https://twitter.com/philfritzhelm" TargetMode="External"/><Relationship Id="rId3961" Type="http://schemas.openxmlformats.org/officeDocument/2006/relationships/hyperlink" Target="https://twitter.com/zdmak/status/723173120702447617" TargetMode="External"/><Relationship Id="rId13555" Type="http://schemas.openxmlformats.org/officeDocument/2006/relationships/hyperlink" Target="https://twitter.com/POLITROSO/status/723550342177284097" TargetMode="External"/><Relationship Id="rId20771" Type="http://schemas.openxmlformats.org/officeDocument/2006/relationships/hyperlink" Target="https://pbs.twimg.com/profile_images/653912667745333248/8Bvff339_normal.jpg" TargetMode="External"/><Relationship Id="rId3614" Type="http://schemas.openxmlformats.org/officeDocument/2006/relationships/hyperlink" Target="https://twitter.com/beetlebug1938" TargetMode="External"/><Relationship Id="rId13208" Type="http://schemas.openxmlformats.org/officeDocument/2006/relationships/hyperlink" Target="https://pbs.twimg.com/profile_images/672942753295294464/GspCtXty_normal.jpg" TargetMode="External"/><Relationship Id="rId20424" Type="http://schemas.openxmlformats.org/officeDocument/2006/relationships/hyperlink" Target="https://pbs.twimg.com/profile_images/718835727027580928/1ssyQ67y_normal.jpg" TargetMode="External"/><Relationship Id="rId1165" Type="http://schemas.openxmlformats.org/officeDocument/2006/relationships/hyperlink" Target="https://twitter.com/stoneman_luke/status/723023374390169601" TargetMode="External"/><Relationship Id="rId6837" Type="http://schemas.openxmlformats.org/officeDocument/2006/relationships/hyperlink" Target="https://twitter.com/Burhan_Ashkar/status/723263574404001792" TargetMode="External"/><Relationship Id="rId16778" Type="http://schemas.openxmlformats.org/officeDocument/2006/relationships/hyperlink" Target="https://pbs.twimg.com/profile_images/710523117727145984/7-Pyv2g5_normal.jpg" TargetMode="External"/><Relationship Id="rId19251" Type="http://schemas.openxmlformats.org/officeDocument/2006/relationships/hyperlink" Target="https://twitter.com/VolkswagenofWin" TargetMode="External"/><Relationship Id="rId23994" Type="http://schemas.openxmlformats.org/officeDocument/2006/relationships/hyperlink" Target="https://twitter.com/rajesh12june" TargetMode="External"/><Relationship Id="rId4388" Type="http://schemas.openxmlformats.org/officeDocument/2006/relationships/hyperlink" Target="https://twitter.com/DanBama420/status/723179896613253120" TargetMode="External"/><Relationship Id="rId9310" Type="http://schemas.openxmlformats.org/officeDocument/2006/relationships/hyperlink" Target="https://twitter.com/techhippie/status/723430304673751042" TargetMode="External"/><Relationship Id="rId21198" Type="http://schemas.openxmlformats.org/officeDocument/2006/relationships/hyperlink" Target="https://pbs.twimg.com/profile_images/719093309738770432/-ot7iGIC_normal.jpg" TargetMode="External"/><Relationship Id="rId23647" Type="http://schemas.openxmlformats.org/officeDocument/2006/relationships/hyperlink" Target="https://pbs.twimg.com/profile_images/623965518270038016/EUAbTsHF_normal.jpg" TargetMode="External"/><Relationship Id="rId15861" Type="http://schemas.openxmlformats.org/officeDocument/2006/relationships/hyperlink" Target="https://twitter.com/VWBeetleSales" TargetMode="External"/><Relationship Id="rId5920" Type="http://schemas.openxmlformats.org/officeDocument/2006/relationships/hyperlink" Target="https://twitter.com/OneStepBayond" TargetMode="External"/><Relationship Id="rId15514" Type="http://schemas.openxmlformats.org/officeDocument/2006/relationships/hyperlink" Target="https://twitter.com/Way_Cool_/status/723610429554040832" TargetMode="External"/><Relationship Id="rId22730" Type="http://schemas.openxmlformats.org/officeDocument/2006/relationships/hyperlink" Target="https://twitter.com/wbednarski/status/724243253801963520" TargetMode="External"/><Relationship Id="rId3471" Type="http://schemas.openxmlformats.org/officeDocument/2006/relationships/hyperlink" Target="https://twitter.com/apronline" TargetMode="External"/><Relationship Id="rId13065" Type="http://schemas.openxmlformats.org/officeDocument/2006/relationships/hyperlink" Target="https://pbs.twimg.com/profile_images/591878165796093953/R5Zib4o4_normal.png" TargetMode="External"/><Relationship Id="rId18737" Type="http://schemas.openxmlformats.org/officeDocument/2006/relationships/hyperlink" Target="https://pbs.twimg.com/profile_images/653637535545995264/gHuXQ5Bt_normal.jpg" TargetMode="External"/><Relationship Id="rId20281" Type="http://schemas.openxmlformats.org/officeDocument/2006/relationships/hyperlink" Target="https://pbs.twimg.com/profile_images/712885919171395586/DZuldnRH_normal.jpg" TargetMode="External"/><Relationship Id="rId3124" Type="http://schemas.openxmlformats.org/officeDocument/2006/relationships/hyperlink" Target="https://twitter.com/dwnews/status/723143274597216257" TargetMode="External"/><Relationship Id="rId6694" Type="http://schemas.openxmlformats.org/officeDocument/2006/relationships/hyperlink" Target="https://pbs.twimg.com/profile_images/718717044322148354/2qbm7eME_normal.jpg" TargetMode="External"/><Relationship Id="rId16288" Type="http://schemas.openxmlformats.org/officeDocument/2006/relationships/hyperlink" Target="https://twitter.com/AutobarnVWCS" TargetMode="External"/><Relationship Id="rId25606" Type="http://schemas.openxmlformats.org/officeDocument/2006/relationships/hyperlink" Target="https://pbs.twimg.com/profile_images/530071272881803264/a_jcCmPZ_normal.png" TargetMode="External"/><Relationship Id="rId6347" Type="http://schemas.openxmlformats.org/officeDocument/2006/relationships/hyperlink" Target="https://twitter.com/Spottirektor/status/723240306028732416" TargetMode="External"/><Relationship Id="rId23157" Type="http://schemas.openxmlformats.org/officeDocument/2006/relationships/hyperlink" Target="https://pbs.twimg.com/profile_images/446781974452371456/rqBZF-KN_normal.jpeg" TargetMode="External"/><Relationship Id="rId12898" Type="http://schemas.openxmlformats.org/officeDocument/2006/relationships/hyperlink" Target="https://pbs.twimg.com/profile_images/689577747375616000/WOgspudL_normal.png" TargetMode="External"/><Relationship Id="rId17820" Type="http://schemas.openxmlformats.org/officeDocument/2006/relationships/hyperlink" Target="https://twitter.com/Closed404/status/723825622842257408" TargetMode="External"/><Relationship Id="rId2957" Type="http://schemas.openxmlformats.org/officeDocument/2006/relationships/hyperlink" Target="https://pbs.twimg.com/profile_images/582541186/tw_normal.png" TargetMode="External"/><Relationship Id="rId15371" Type="http://schemas.openxmlformats.org/officeDocument/2006/relationships/hyperlink" Target="https://pbs.twimg.com/profile_images/1169387207/uhu_normal.jpg" TargetMode="External"/><Relationship Id="rId929" Type="http://schemas.openxmlformats.org/officeDocument/2006/relationships/hyperlink" Target="https://twitter.com/DubLuvTuning" TargetMode="External"/><Relationship Id="rId5430" Type="http://schemas.openxmlformats.org/officeDocument/2006/relationships/hyperlink" Target="https://pbs.twimg.com/profile_images/659759648212406273/U0q5I0Qr_normal.jpg" TargetMode="External"/><Relationship Id="rId11981" Type="http://schemas.openxmlformats.org/officeDocument/2006/relationships/hyperlink" Target="https://twitter.com/jamesbmeigs/status/723511408567181312" TargetMode="External"/><Relationship Id="rId15024" Type="http://schemas.openxmlformats.org/officeDocument/2006/relationships/hyperlink" Target="https://twitter.com/Fam2FamHIC/status/723590264149803008" TargetMode="External"/><Relationship Id="rId18594" Type="http://schemas.openxmlformats.org/officeDocument/2006/relationships/hyperlink" Target="https://abs.twimg.com/sticky/default_profile_images/default_profile_0_normal.png" TargetMode="External"/><Relationship Id="rId22240" Type="http://schemas.openxmlformats.org/officeDocument/2006/relationships/hyperlink" Target="https://pbs.twimg.com/profile_images/703294545195307008/qeCvrX86_normal.jpg" TargetMode="External"/><Relationship Id="rId8653" Type="http://schemas.openxmlformats.org/officeDocument/2006/relationships/hyperlink" Target="https://pbs.twimg.com/profile_images/709468057991847936/MtiJQLfP_normal.jpg" TargetMode="External"/><Relationship Id="rId11634" Type="http://schemas.openxmlformats.org/officeDocument/2006/relationships/hyperlink" Target="https://twitter.com/Protonikon/status/723504691594813440" TargetMode="External"/><Relationship Id="rId18247" Type="http://schemas.openxmlformats.org/officeDocument/2006/relationships/hyperlink" Target="https://pbs.twimg.com/profile_images/688893787205074944/EvYVmDGM_normal.jpg" TargetMode="External"/><Relationship Id="rId25463" Type="http://schemas.openxmlformats.org/officeDocument/2006/relationships/hyperlink" Target="https://twitter.com/betycue/status/724440696128577536" TargetMode="External"/><Relationship Id="rId8306" Type="http://schemas.openxmlformats.org/officeDocument/2006/relationships/hyperlink" Target="https://abs.twimg.com/sticky/default_profile_images/default_profile_0_normal.png" TargetMode="External"/><Relationship Id="rId25116" Type="http://schemas.openxmlformats.org/officeDocument/2006/relationships/hyperlink" Target="https://pbs.twimg.com/profile_images/1574591925/image_normal.jpg" TargetMode="External"/><Relationship Id="rId4916" Type="http://schemas.openxmlformats.org/officeDocument/2006/relationships/hyperlink" Target="https://pbs.twimg.com/profile_images/418819311164063745/kMdsvAjG_normal.jpeg" TargetMode="External"/><Relationship Id="rId14857" Type="http://schemas.openxmlformats.org/officeDocument/2006/relationships/hyperlink" Target="https://twitter.com/coccicab71/status/723585445381152768" TargetMode="External"/><Relationship Id="rId17330" Type="http://schemas.openxmlformats.org/officeDocument/2006/relationships/hyperlink" Target="https://twitter.com/Insta_VWT/status/723790964297482240" TargetMode="External"/><Relationship Id="rId786" Type="http://schemas.openxmlformats.org/officeDocument/2006/relationships/hyperlink" Target="https://twitter.com/bluesuezoo/status/722984045148168192" TargetMode="External"/><Relationship Id="rId2467" Type="http://schemas.openxmlformats.org/officeDocument/2006/relationships/hyperlink" Target="https://twitter.com/MH_Customz/status/723102543287599104" TargetMode="External"/><Relationship Id="rId21726" Type="http://schemas.openxmlformats.org/officeDocument/2006/relationships/hyperlink" Target="https://twitter.com/rajesh877" TargetMode="External"/><Relationship Id="rId439" Type="http://schemas.openxmlformats.org/officeDocument/2006/relationships/hyperlink" Target="https://pbs.twimg.com/profile_images/670346825421840384/5FH2v0cM_normal.jpg" TargetMode="External"/><Relationship Id="rId13940" Type="http://schemas.openxmlformats.org/officeDocument/2006/relationships/hyperlink" Target="https://pbs.twimg.com/profile_images/530071272881803264/a_jcCmPZ_normal.png" TargetMode="External"/><Relationship Id="rId24949" Type="http://schemas.openxmlformats.org/officeDocument/2006/relationships/hyperlink" Target="https://twitter.com/CollectHW/status/724405284316299264" TargetMode="External"/><Relationship Id="rId8163" Type="http://schemas.openxmlformats.org/officeDocument/2006/relationships/hyperlink" Target="https://twitter.com/webaraba/status/723373498022789122" TargetMode="External"/><Relationship Id="rId11491" Type="http://schemas.openxmlformats.org/officeDocument/2006/relationships/hyperlink" Target="https://twitter.com/KNXfrank" TargetMode="External"/><Relationship Id="rId1550" Type="http://schemas.openxmlformats.org/officeDocument/2006/relationships/hyperlink" Target="https://twitter.com/PaulbrooksAMG" TargetMode="External"/><Relationship Id="rId11144" Type="http://schemas.openxmlformats.org/officeDocument/2006/relationships/hyperlink" Target="https://twitter.com/TepelmannMentor" TargetMode="External"/><Relationship Id="rId16816" Type="http://schemas.openxmlformats.org/officeDocument/2006/relationships/hyperlink" Target="https://pbs.twimg.com/profile_images/641238966541361152/-oEpQ9XT_normal.png" TargetMode="External"/><Relationship Id="rId1203" Type="http://schemas.openxmlformats.org/officeDocument/2006/relationships/hyperlink" Target="https://twitter.com/rponline/status/723025449543196672" TargetMode="External"/><Relationship Id="rId4773" Type="http://schemas.openxmlformats.org/officeDocument/2006/relationships/hyperlink" Target="https://pbs.twimg.com/profile_images/722023663483138048/HVDEPQwG_normal.jpg" TargetMode="External"/><Relationship Id="rId14367" Type="http://schemas.openxmlformats.org/officeDocument/2006/relationships/hyperlink" Target="http://ctrlq.org/maps/address/" TargetMode="External"/><Relationship Id="rId21583" Type="http://schemas.openxmlformats.org/officeDocument/2006/relationships/hyperlink" Target="https://twitter.com/VWCamperSales/status/724161525846446080" TargetMode="External"/><Relationship Id="rId4426" Type="http://schemas.openxmlformats.org/officeDocument/2006/relationships/hyperlink" Target="https://pbs.twimg.com/profile_images/2595928027/9e5t4gep0bnb2uylzwzb_normal.jpeg" TargetMode="External"/><Relationship Id="rId7996" Type="http://schemas.openxmlformats.org/officeDocument/2006/relationships/hyperlink" Target="https://twitter.com/AdgmanA" TargetMode="External"/><Relationship Id="rId21236" Type="http://schemas.openxmlformats.org/officeDocument/2006/relationships/hyperlink" Target="https://twitter.com/YorkshireTint" TargetMode="External"/><Relationship Id="rId296" Type="http://schemas.openxmlformats.org/officeDocument/2006/relationships/hyperlink" Target="https://twitter.com/PethauBachOG/status/722945249232990208" TargetMode="External"/><Relationship Id="rId7649" Type="http://schemas.openxmlformats.org/officeDocument/2006/relationships/hyperlink" Target="https://pbs.twimg.com/profile_images/2261219336/portada_normal.jpg" TargetMode="External"/><Relationship Id="rId10977" Type="http://schemas.openxmlformats.org/officeDocument/2006/relationships/hyperlink" Target="https://twitter.com/PeninsulaQatar" TargetMode="External"/><Relationship Id="rId24459" Type="http://schemas.openxmlformats.org/officeDocument/2006/relationships/hyperlink" Target="https://twitter.com/Luizesl" TargetMode="External"/><Relationship Id="rId13450" Type="http://schemas.openxmlformats.org/officeDocument/2006/relationships/hyperlink" Target="https://twitter.com/VeeDubMk1_" TargetMode="External"/><Relationship Id="rId1060" Type="http://schemas.openxmlformats.org/officeDocument/2006/relationships/hyperlink" Target="https://twitter.com/kensegovia/status/723015842376470528" TargetMode="External"/><Relationship Id="rId13103" Type="http://schemas.openxmlformats.org/officeDocument/2006/relationships/hyperlink" Target="https://pbs.twimg.com/profile_images/663719521467899904/CkMfp6T-_normal.jpg" TargetMode="External"/><Relationship Id="rId16673" Type="http://schemas.openxmlformats.org/officeDocument/2006/relationships/hyperlink" Target="https://twitter.com/beetlebug1938" TargetMode="External"/><Relationship Id="rId6732" Type="http://schemas.openxmlformats.org/officeDocument/2006/relationships/hyperlink" Target="https://pbs.twimg.com/profile_images/457491035/55178663_normal.jpg" TargetMode="External"/><Relationship Id="rId16326" Type="http://schemas.openxmlformats.org/officeDocument/2006/relationships/hyperlink" Target="https://pbs.twimg.com/profile_images/599357023407464449/BL9Bpo6T_normal.jpg" TargetMode="External"/><Relationship Id="rId19896" Type="http://schemas.openxmlformats.org/officeDocument/2006/relationships/hyperlink" Target="https://pbs.twimg.com/profile_images/454797576051511296/Bgp8_NVp_normal.jpeg" TargetMode="External"/><Relationship Id="rId23542" Type="http://schemas.openxmlformats.org/officeDocument/2006/relationships/hyperlink" Target="https://pbs.twimg.com/profile_images/715943872820559872/KYDnlJMX_normal.jpg" TargetMode="External"/><Relationship Id="rId4283" Type="http://schemas.openxmlformats.org/officeDocument/2006/relationships/hyperlink" Target="https://twitter.com/adamsona" TargetMode="External"/><Relationship Id="rId9955" Type="http://schemas.openxmlformats.org/officeDocument/2006/relationships/hyperlink" Target="https://twitter.com/dw_turkce/status/723455846525624320" TargetMode="External"/><Relationship Id="rId19549" Type="http://schemas.openxmlformats.org/officeDocument/2006/relationships/hyperlink" Target="https://pbs.twimg.com/profile_images/606538524934807552/brKPBufq_normal.jpg" TargetMode="External"/><Relationship Id="rId21093" Type="http://schemas.openxmlformats.org/officeDocument/2006/relationships/hyperlink" Target="https://twitter.com/DubLuvTuning/status/724097719283884032" TargetMode="External"/><Relationship Id="rId9608" Type="http://schemas.openxmlformats.org/officeDocument/2006/relationships/hyperlink" Target="https://pbs.twimg.com/profile_images/682117656502222848/Ge7YeAF3_normal.png" TargetMode="External"/><Relationship Id="rId10487" Type="http://schemas.openxmlformats.org/officeDocument/2006/relationships/hyperlink" Target="https://twitter.com/michaelweiland" TargetMode="External"/><Relationship Id="rId12936" Type="http://schemas.openxmlformats.org/officeDocument/2006/relationships/hyperlink" Target="https://twitter.com/annabel_oelmann" TargetMode="External"/><Relationship Id="rId7159" Type="http://schemas.openxmlformats.org/officeDocument/2006/relationships/hyperlink" Target="https://twitter.com/techhippie" TargetMode="External"/><Relationship Id="rId16183" Type="http://schemas.openxmlformats.org/officeDocument/2006/relationships/hyperlink" Target="https://twitter.com/VWofStockton/status/723654630232719360" TargetMode="External"/><Relationship Id="rId18632" Type="http://schemas.openxmlformats.org/officeDocument/2006/relationships/hyperlink" Target="https://pbs.twimg.com/profile_images/675288954808238080/bhh-agl2_normal.jpg" TargetMode="External"/><Relationship Id="rId3769" Type="http://schemas.openxmlformats.org/officeDocument/2006/relationships/hyperlink" Target="https://pbs.twimg.com/profile_images/679552623641509888/_vPw9IS2_normal.png" TargetMode="External"/><Relationship Id="rId6242" Type="http://schemas.openxmlformats.org/officeDocument/2006/relationships/hyperlink" Target="https://pbs.twimg.com/profile_images/489449552672346114/JWuuQgR__normal.jpeg" TargetMode="External"/><Relationship Id="rId20579" Type="http://schemas.openxmlformats.org/officeDocument/2006/relationships/hyperlink" Target="https://pbs.twimg.com/profile_images/512189796068773888/7GP1qCk4_normal.png" TargetMode="External"/><Relationship Id="rId23052" Type="http://schemas.openxmlformats.org/officeDocument/2006/relationships/hyperlink" Target="https://twitter.com/VWCamperz" TargetMode="External"/><Relationship Id="rId25501" Type="http://schemas.openxmlformats.org/officeDocument/2006/relationships/hyperlink" Target="https://twitter.com/nomkhita12" TargetMode="External"/><Relationship Id="rId12793" Type="http://schemas.openxmlformats.org/officeDocument/2006/relationships/hyperlink" Target="https://twitter.com/beetlebug1938" TargetMode="External"/><Relationship Id="rId2852" Type="http://schemas.openxmlformats.org/officeDocument/2006/relationships/hyperlink" Target="https://pbs.twimg.com/profile_images/719116119676751873/joqZkyAQ_normal.jpg" TargetMode="External"/><Relationship Id="rId9465" Type="http://schemas.openxmlformats.org/officeDocument/2006/relationships/hyperlink" Target="http://dlvr.it/" TargetMode="External"/><Relationship Id="rId12446" Type="http://schemas.openxmlformats.org/officeDocument/2006/relationships/hyperlink" Target="https://twitter.com/Murgpirat/status/723519710034321408" TargetMode="External"/><Relationship Id="rId19059" Type="http://schemas.openxmlformats.org/officeDocument/2006/relationships/hyperlink" Target="https://twitter.com/MetindevrikHot/status/723917567946006530" TargetMode="External"/><Relationship Id="rId824" Type="http://schemas.openxmlformats.org/officeDocument/2006/relationships/hyperlink" Target="https://pbs.twimg.com/profile_images/1444180180/StevenWeisbrot_normal.jpg" TargetMode="External"/><Relationship Id="rId2505" Type="http://schemas.openxmlformats.org/officeDocument/2006/relationships/hyperlink" Target="http://tagesschau.de/" TargetMode="External"/><Relationship Id="rId9118" Type="http://schemas.openxmlformats.org/officeDocument/2006/relationships/hyperlink" Target="https://twitter.com/UsatoAutoSystem/status/723422107204358144" TargetMode="External"/><Relationship Id="rId15669" Type="http://schemas.openxmlformats.org/officeDocument/2006/relationships/hyperlink" Target="https://twitter.com/Leckert_/status/723618985137283072" TargetMode="External"/><Relationship Id="rId22885" Type="http://schemas.openxmlformats.org/officeDocument/2006/relationships/hyperlink" Target="https://pbs.twimg.com/profile_images/723576155173957632/q_TORr6w_normal.jpg" TargetMode="External"/><Relationship Id="rId5728" Type="http://schemas.openxmlformats.org/officeDocument/2006/relationships/hyperlink" Target="https://pbs.twimg.com/profile_images/530071272881803264/a_jcCmPZ_normal.png" TargetMode="External"/><Relationship Id="rId18142" Type="http://schemas.openxmlformats.org/officeDocument/2006/relationships/hyperlink" Target="https://twitter.com/CBSDetroit/status/723846964601716737" TargetMode="External"/><Relationship Id="rId22538" Type="http://schemas.openxmlformats.org/officeDocument/2006/relationships/hyperlink" Target="https://twitter.com/VeeDubMk1_" TargetMode="External"/><Relationship Id="rId3279" Type="http://schemas.openxmlformats.org/officeDocument/2006/relationships/hyperlink" Target="https://twitter.com/OnlineCarReview/status/723149011062906881" TargetMode="External"/><Relationship Id="rId8201" Type="http://schemas.openxmlformats.org/officeDocument/2006/relationships/hyperlink" Target="https://pbs.twimg.com/profile_images/588324718677254145/-y5BbeY4_normal.png" TargetMode="External"/><Relationship Id="rId20089" Type="http://schemas.openxmlformats.org/officeDocument/2006/relationships/hyperlink" Target="https://pbs.twimg.com/profile_images/655401370300739585/29SWPrAt_normal.jpg" TargetMode="External"/><Relationship Id="rId25011" Type="http://schemas.openxmlformats.org/officeDocument/2006/relationships/hyperlink" Target="https://pbs.twimg.com/profile_images/634021831364747264/5vPrL2JH_normal.jpg" TargetMode="External"/><Relationship Id="rId14752" Type="http://schemas.openxmlformats.org/officeDocument/2006/relationships/hyperlink" Target="https://twitter.com/techhippie" TargetMode="External"/><Relationship Id="rId4811" Type="http://schemas.openxmlformats.org/officeDocument/2006/relationships/hyperlink" Target="https://twitter.com/VolkswagenPost/status/723188381883219968" TargetMode="External"/><Relationship Id="rId14405" Type="http://schemas.openxmlformats.org/officeDocument/2006/relationships/hyperlink" Target="https://twitter.com/marcos189sk8/status/723573388665589760" TargetMode="External"/><Relationship Id="rId17975" Type="http://schemas.openxmlformats.org/officeDocument/2006/relationships/hyperlink" Target="https://pbs.twimg.com/profile_images/717430776573403136/n-S0k2X0_normal.jpg" TargetMode="External"/><Relationship Id="rId21621" Type="http://schemas.openxmlformats.org/officeDocument/2006/relationships/hyperlink" Target="https://twitter.com/dubbusses/status/724163846303305728" TargetMode="External"/><Relationship Id="rId681" Type="http://schemas.openxmlformats.org/officeDocument/2006/relationships/hyperlink" Target="https://twitter.com/Kathy_GarclaBri" TargetMode="External"/><Relationship Id="rId2362" Type="http://schemas.openxmlformats.org/officeDocument/2006/relationships/hyperlink" Target="https://pbs.twimg.com/profile_images/608213167496417280/QSxgcLn__normal.png" TargetMode="External"/><Relationship Id="rId17628" Type="http://schemas.openxmlformats.org/officeDocument/2006/relationships/hyperlink" Target="https://pbs.twimg.com/profile_images/709727688462831616/KG2oHK_4_normal.jpg" TargetMode="External"/><Relationship Id="rId24844" Type="http://schemas.openxmlformats.org/officeDocument/2006/relationships/hyperlink" Target="https://pbs.twimg.com/profile_images/703294545195307008/qeCvrX86_normal.jpg" TargetMode="External"/><Relationship Id="rId334" Type="http://schemas.openxmlformats.org/officeDocument/2006/relationships/hyperlink" Target="https://pbs.twimg.com/profile_images/627949001179037696/skEBkS05_normal.jpg" TargetMode="External"/><Relationship Id="rId2015" Type="http://schemas.openxmlformats.org/officeDocument/2006/relationships/hyperlink" Target="https://pbs.twimg.com/profile_images/652191269934993408/5bZKOI8y_normal.jpg" TargetMode="External"/><Relationship Id="rId5585" Type="http://schemas.openxmlformats.org/officeDocument/2006/relationships/hyperlink" Target="https://twitter.com/mvdweyer/status/723210226745376768" TargetMode="External"/><Relationship Id="rId15179" Type="http://schemas.openxmlformats.org/officeDocument/2006/relationships/hyperlink" Target="https://twitter.com/khalifagamal/status/723597479887904768" TargetMode="External"/><Relationship Id="rId22395" Type="http://schemas.openxmlformats.org/officeDocument/2006/relationships/hyperlink" Target="https://pbs.twimg.com/profile_images/544963587069214720/A_lRrcY4_normal.jpeg" TargetMode="External"/><Relationship Id="rId5238" Type="http://schemas.openxmlformats.org/officeDocument/2006/relationships/hyperlink" Target="https://twitter.com/timzim22/status/723198193115258880" TargetMode="External"/><Relationship Id="rId22048" Type="http://schemas.openxmlformats.org/officeDocument/2006/relationships/hyperlink" Target="https://twitter.com/WeAppU" TargetMode="External"/><Relationship Id="rId11789" Type="http://schemas.openxmlformats.org/officeDocument/2006/relationships/hyperlink" Target="https://twitter.com/ophuels" TargetMode="External"/><Relationship Id="rId14262" Type="http://schemas.openxmlformats.org/officeDocument/2006/relationships/hyperlink" Target="https://pbs.twimg.com/profile_images/722886566184620032/svO5v1Q3_normal.jpg" TargetMode="External"/><Relationship Id="rId16711" Type="http://schemas.openxmlformats.org/officeDocument/2006/relationships/hyperlink" Target="https://twitter.com/yamjun/status/723713058225442817" TargetMode="External"/><Relationship Id="rId1848" Type="http://schemas.openxmlformats.org/officeDocument/2006/relationships/hyperlink" Target="https://twitter.com/RhodiumCar" TargetMode="External"/><Relationship Id="rId4321" Type="http://schemas.openxmlformats.org/officeDocument/2006/relationships/hyperlink" Target="https://pbs.twimg.com/profile_images/1200648485/instock_normal.jpg" TargetMode="External"/><Relationship Id="rId19934" Type="http://schemas.openxmlformats.org/officeDocument/2006/relationships/hyperlink" Target="https://twitter.com/JoaquinCantelmi/status/723964279351853056" TargetMode="External"/><Relationship Id="rId21131" Type="http://schemas.openxmlformats.org/officeDocument/2006/relationships/hyperlink" Target="https://twitter.com/FacuRusso46vr" TargetMode="External"/><Relationship Id="rId191" Type="http://schemas.openxmlformats.org/officeDocument/2006/relationships/hyperlink" Target="https://twitter.com/1111Tony/status/722933323794923520" TargetMode="External"/><Relationship Id="rId7891" Type="http://schemas.openxmlformats.org/officeDocument/2006/relationships/hyperlink" Target="https://pbs.twimg.com/profile_images/727062067/JanPartylook1B_W_normal.jpg" TargetMode="External"/><Relationship Id="rId10872" Type="http://schemas.openxmlformats.org/officeDocument/2006/relationships/hyperlink" Target="https://twitter.com/thebugbar" TargetMode="External"/><Relationship Id="rId17485" Type="http://schemas.openxmlformats.org/officeDocument/2006/relationships/hyperlink" Target="https://twitter.com/DavidB46" TargetMode="External"/><Relationship Id="rId5095" Type="http://schemas.openxmlformats.org/officeDocument/2006/relationships/hyperlink" Target="https://twitter.com/todeed_com/status/723194143397146624" TargetMode="External"/><Relationship Id="rId7544" Type="http://schemas.openxmlformats.org/officeDocument/2006/relationships/hyperlink" Target="https://pbs.twimg.com/profile_images/1610421423/Image2_normal.jpg" TargetMode="External"/><Relationship Id="rId10525" Type="http://schemas.openxmlformats.org/officeDocument/2006/relationships/hyperlink" Target="https://pbs.twimg.com/profile_images/682117656502222848/Ge7YeAF3_normal.png" TargetMode="External"/><Relationship Id="rId17138" Type="http://schemas.openxmlformats.org/officeDocument/2006/relationships/hyperlink" Target="https://twitter.com/tjasko/status/723772854421065728" TargetMode="External"/><Relationship Id="rId24354" Type="http://schemas.openxmlformats.org/officeDocument/2006/relationships/hyperlink" Target="https://twitter.com/hashtagvanlife/status/724350051238182912" TargetMode="External"/><Relationship Id="rId13748" Type="http://schemas.openxmlformats.org/officeDocument/2006/relationships/hyperlink" Target="https://twitter.com/MicaiasUriel/status/723554463605264386" TargetMode="External"/><Relationship Id="rId20964" Type="http://schemas.openxmlformats.org/officeDocument/2006/relationships/hyperlink" Target="https://twitter.com/dubbusses/status/724073098102902784" TargetMode="External"/><Relationship Id="rId24007" Type="http://schemas.openxmlformats.org/officeDocument/2006/relationships/hyperlink" Target="https://twitter.com/VWCamperSales/status/724326434290831361" TargetMode="External"/><Relationship Id="rId3807" Type="http://schemas.openxmlformats.org/officeDocument/2006/relationships/hyperlink" Target="https://twitter.com/PeterDanaher/status/723169981995819008" TargetMode="External"/><Relationship Id="rId11299" Type="http://schemas.openxmlformats.org/officeDocument/2006/relationships/hyperlink" Target="https://twitter.com/sinnsturm/status/723500472120782849" TargetMode="External"/><Relationship Id="rId16221" Type="http://schemas.openxmlformats.org/officeDocument/2006/relationships/hyperlink" Target="https://pbs.twimg.com/profile_images/703294545195307008/qeCvrX86_normal.jpg" TargetMode="External"/><Relationship Id="rId20617" Type="http://schemas.openxmlformats.org/officeDocument/2006/relationships/hyperlink" Target="https://twitter.com/joelharwoodlufc" TargetMode="External"/><Relationship Id="rId1358" Type="http://schemas.openxmlformats.org/officeDocument/2006/relationships/hyperlink" Target="https://twitter.com/ManuelaKC" TargetMode="External"/><Relationship Id="rId19791" Type="http://schemas.openxmlformats.org/officeDocument/2006/relationships/hyperlink" Target="https://pbs.twimg.com/profile_images/677916554684719104/lr12_1bS_normal.jpg" TargetMode="External"/><Relationship Id="rId64" Type="http://schemas.openxmlformats.org/officeDocument/2006/relationships/hyperlink" Target="https://twitter.com/quickfoundnet" TargetMode="External"/><Relationship Id="rId9503" Type="http://schemas.openxmlformats.org/officeDocument/2006/relationships/hyperlink" Target="https://twitter.com/beetlebug1938/status/723437467731288065" TargetMode="External"/><Relationship Id="rId9850" Type="http://schemas.openxmlformats.org/officeDocument/2006/relationships/hyperlink" Target="https://twitter.com/FM_Elektro/status/723451647788224512" TargetMode="External"/><Relationship Id="rId12831" Type="http://schemas.openxmlformats.org/officeDocument/2006/relationships/hyperlink" Target="https://pbs.twimg.com/profile_images/443134498884960256/kUuAk8it_normal.jpeg" TargetMode="External"/><Relationship Id="rId19444" Type="http://schemas.openxmlformats.org/officeDocument/2006/relationships/hyperlink" Target="https://twitter.com/BrightonVW/status/723933046085419008" TargetMode="External"/><Relationship Id="rId7054" Type="http://schemas.openxmlformats.org/officeDocument/2006/relationships/hyperlink" Target="http://ctrlq.org/maps/address/" TargetMode="External"/><Relationship Id="rId10382" Type="http://schemas.openxmlformats.org/officeDocument/2006/relationships/hyperlink" Target="https://pbs.twimg.com/profile_images/474178130312044544/-U2TP65D_normal.png" TargetMode="External"/><Relationship Id="rId10035" Type="http://schemas.openxmlformats.org/officeDocument/2006/relationships/hyperlink" Target="https://abs.twimg.com/sticky/default_profile_images/default_profile_5_normal.png" TargetMode="External"/><Relationship Id="rId15707" Type="http://schemas.openxmlformats.org/officeDocument/2006/relationships/hyperlink" Target="https://pbs.twimg.com/profile_images/545688359964651520/SF3sJ7lv_normal.jpeg" TargetMode="External"/><Relationship Id="rId22923" Type="http://schemas.openxmlformats.org/officeDocument/2006/relationships/hyperlink" Target="https://twitter.com/VWCamperSales" TargetMode="External"/><Relationship Id="rId3664" Type="http://schemas.openxmlformats.org/officeDocument/2006/relationships/hyperlink" Target="https://twitter.com/MaartinDk/status/723167049837588480" TargetMode="External"/><Relationship Id="rId13258" Type="http://schemas.openxmlformats.org/officeDocument/2006/relationships/hyperlink" Target="https://twitter.com/VWwaterloo" TargetMode="External"/><Relationship Id="rId20474" Type="http://schemas.openxmlformats.org/officeDocument/2006/relationships/hyperlink" Target="https://pbs.twimg.com/profile_images/615493650785660928/XHUh6HOk_normal.jpg" TargetMode="External"/><Relationship Id="rId3317" Type="http://schemas.openxmlformats.org/officeDocument/2006/relationships/hyperlink" Target="https://twitter.com/Immortaliized/status/723151102523248641" TargetMode="External"/><Relationship Id="rId6887" Type="http://schemas.openxmlformats.org/officeDocument/2006/relationships/hyperlink" Target="https://pbs.twimg.com/profile_images/648939495966949377/YQqr4JhX_normal.jpg" TargetMode="External"/><Relationship Id="rId20127" Type="http://schemas.openxmlformats.org/officeDocument/2006/relationships/hyperlink" Target="https://twitter.com/pa_bu_ro" TargetMode="External"/><Relationship Id="rId23697" Type="http://schemas.openxmlformats.org/officeDocument/2006/relationships/hyperlink" Target="https://twitter.com/beetlebug1938/status/724306737193488384" TargetMode="External"/><Relationship Id="rId9360" Type="http://schemas.openxmlformats.org/officeDocument/2006/relationships/hyperlink" Target="https://pbs.twimg.com/profile_images/703294545195307008/qeCvrX86_normal.jpg" TargetMode="External"/><Relationship Id="rId12341" Type="http://schemas.openxmlformats.org/officeDocument/2006/relationships/hyperlink" Target="https://twitter.com/mucahitkara85" TargetMode="External"/><Relationship Id="rId2400" Type="http://schemas.openxmlformats.org/officeDocument/2006/relationships/hyperlink" Target="https://pbs.twimg.com/profile_images/667033853249363969/AHcASHUk_normal.jpg" TargetMode="External"/><Relationship Id="rId9013" Type="http://schemas.openxmlformats.org/officeDocument/2006/relationships/hyperlink" Target="https://pbs.twimg.com/profile_images/531108045451837442/KHuLHxmU_normal.jpeg" TargetMode="External"/><Relationship Id="rId5970" Type="http://schemas.openxmlformats.org/officeDocument/2006/relationships/hyperlink" Target="https://twitter.com/timo_silver/status/723225639147462656" TargetMode="External"/><Relationship Id="rId15564" Type="http://schemas.openxmlformats.org/officeDocument/2006/relationships/hyperlink" Target="https://pbs.twimg.com/profile_images/378800000370359413/27d11d156d3be2c46ac01016646267e3_normal.jpeg" TargetMode="External"/><Relationship Id="rId22780" Type="http://schemas.openxmlformats.org/officeDocument/2006/relationships/hyperlink" Target="https://twitter.com/VWBeetleSales/status/724245556776685568" TargetMode="External"/><Relationship Id="rId3174" Type="http://schemas.openxmlformats.org/officeDocument/2006/relationships/hyperlink" Target="https://twitter.com/Martin_0607/status/723144466220064768" TargetMode="External"/><Relationship Id="rId5623" Type="http://schemas.openxmlformats.org/officeDocument/2006/relationships/hyperlink" Target="https://twitter.com/JesseKIRO7" TargetMode="External"/><Relationship Id="rId15217" Type="http://schemas.openxmlformats.org/officeDocument/2006/relationships/hyperlink" Target="https://twitter.com/GeologyColin/status/723599122465349632" TargetMode="External"/><Relationship Id="rId18787" Type="http://schemas.openxmlformats.org/officeDocument/2006/relationships/hyperlink" Target="https://pbs.twimg.com/profile_images/530071272881803264/a_jcCmPZ_normal.png" TargetMode="External"/><Relationship Id="rId22433" Type="http://schemas.openxmlformats.org/officeDocument/2006/relationships/hyperlink" Target="https://twitter.com/DiscoverHaku" TargetMode="External"/><Relationship Id="rId8846" Type="http://schemas.openxmlformats.org/officeDocument/2006/relationships/hyperlink" Target="https://twitter.com/drnicnic" TargetMode="External"/><Relationship Id="rId11827" Type="http://schemas.openxmlformats.org/officeDocument/2006/relationships/hyperlink" Target="https://twitter.com/bvdvliet" TargetMode="External"/><Relationship Id="rId25656" Type="http://schemas.openxmlformats.org/officeDocument/2006/relationships/hyperlink" Target="https://twitter.com/80230e4f9e424a1" TargetMode="External"/><Relationship Id="rId6397" Type="http://schemas.openxmlformats.org/officeDocument/2006/relationships/hyperlink" Target="https://twitter.com/PatooBFC/status/723241842616221696" TargetMode="External"/><Relationship Id="rId14300" Type="http://schemas.openxmlformats.org/officeDocument/2006/relationships/hyperlink" Target="https://twitter.com/AlfonsoCamila1" TargetMode="External"/><Relationship Id="rId25309" Type="http://schemas.openxmlformats.org/officeDocument/2006/relationships/hyperlink" Target="https://pbs.twimg.com/profile_images/600477454831120384/fBVmrZou_normal.jpg" TargetMode="External"/><Relationship Id="rId17870" Type="http://schemas.openxmlformats.org/officeDocument/2006/relationships/hyperlink" Target="https://twitter.com/swanswaygroup/status/723829272138240001" TargetMode="External"/><Relationship Id="rId979" Type="http://schemas.openxmlformats.org/officeDocument/2006/relationships/hyperlink" Target="https://twitter.com/LocaldriverUS/status/723010370391011328" TargetMode="External"/><Relationship Id="rId5480" Type="http://schemas.openxmlformats.org/officeDocument/2006/relationships/hyperlink" Target="https://pbs.twimg.com/profile_images/693156293842894848/THX8L389_normal.jpg" TargetMode="External"/><Relationship Id="rId10910" Type="http://schemas.openxmlformats.org/officeDocument/2006/relationships/hyperlink" Target="https://pbs.twimg.com/profile_images/632074492798443520/j3zHKAI2_normal.png" TargetMode="External"/><Relationship Id="rId15074" Type="http://schemas.openxmlformats.org/officeDocument/2006/relationships/hyperlink" Target="https://twitter.com/enripiv" TargetMode="External"/><Relationship Id="rId17523" Type="http://schemas.openxmlformats.org/officeDocument/2006/relationships/hyperlink" Target="https://twitter.com/houdoukyoku/status/723804606451486720" TargetMode="External"/><Relationship Id="rId21919" Type="http://schemas.openxmlformats.org/officeDocument/2006/relationships/hyperlink" Target="https://twitter.com/OldeTeddyBears" TargetMode="External"/><Relationship Id="rId22290" Type="http://schemas.openxmlformats.org/officeDocument/2006/relationships/hyperlink" Target="https://pbs.twimg.com/profile_images/424893967197433858/iQ86NktX_normal.jpeg" TargetMode="External"/><Relationship Id="rId5133" Type="http://schemas.openxmlformats.org/officeDocument/2006/relationships/hyperlink" Target="https://twitter.com/leto769" TargetMode="External"/><Relationship Id="rId11684" Type="http://schemas.openxmlformats.org/officeDocument/2006/relationships/hyperlink" Target="https://twitter.com/ruv24_de/status/723505410787938304" TargetMode="External"/><Relationship Id="rId18297" Type="http://schemas.openxmlformats.org/officeDocument/2006/relationships/hyperlink" Target="https://pbs.twimg.com/profile_images/2591894236/gn9sg1939s9e60ie682s_normal.jpeg" TargetMode="External"/><Relationship Id="rId1743" Type="http://schemas.openxmlformats.org/officeDocument/2006/relationships/hyperlink" Target="https://twitter.com/AFECTADOGRUPOVW" TargetMode="External"/><Relationship Id="rId8009" Type="http://schemas.openxmlformats.org/officeDocument/2006/relationships/hyperlink" Target="https://twitter.com/CaboMace/status/723350516055437314" TargetMode="External"/><Relationship Id="rId8356" Type="http://schemas.openxmlformats.org/officeDocument/2006/relationships/hyperlink" Target="https://twitter.com/beetlebug1938" TargetMode="External"/><Relationship Id="rId11337" Type="http://schemas.openxmlformats.org/officeDocument/2006/relationships/hyperlink" Target="https://pbs.twimg.com/profile_images/632074137289277440/vJykSc8L_normal.png" TargetMode="External"/><Relationship Id="rId25166" Type="http://schemas.openxmlformats.org/officeDocument/2006/relationships/hyperlink" Target="https://twitter.com/dougyfresh_79/status/724424704350507009" TargetMode="External"/><Relationship Id="rId4966" Type="http://schemas.openxmlformats.org/officeDocument/2006/relationships/hyperlink" Target="https://pbs.twimg.com/profile_images/682948856124960769/OEeDCE0w_normal.jpg" TargetMode="External"/><Relationship Id="rId17380" Type="http://schemas.openxmlformats.org/officeDocument/2006/relationships/hyperlink" Target="https://twitter.com/JoJagiello" TargetMode="External"/><Relationship Id="rId21776" Type="http://schemas.openxmlformats.org/officeDocument/2006/relationships/hyperlink" Target="https://twitter.com/beetlebug1938/status/724178444091822080" TargetMode="External"/><Relationship Id="rId4619" Type="http://schemas.openxmlformats.org/officeDocument/2006/relationships/hyperlink" Target="https://pbs.twimg.com/profile_images/378800000399282318/73eadc01d81c5fc6fc4d4044f4e72ca3_normal.jpeg" TargetMode="External"/><Relationship Id="rId10420" Type="http://schemas.openxmlformats.org/officeDocument/2006/relationships/hyperlink" Target="https://twitter.com/MarkCSchneider/status/723472310066417664" TargetMode="External"/><Relationship Id="rId17033" Type="http://schemas.openxmlformats.org/officeDocument/2006/relationships/hyperlink" Target="https://twitter.com/ErnstJandeZwart/status/723764947847536640" TargetMode="External"/><Relationship Id="rId21429" Type="http://schemas.openxmlformats.org/officeDocument/2006/relationships/hyperlink" Target="https://twitter.com/ChristianFrits2/status/724148585500168192" TargetMode="External"/><Relationship Id="rId489" Type="http://schemas.openxmlformats.org/officeDocument/2006/relationships/hyperlink" Target="https://twitter.com/tammysmeall/status/722961167040262148" TargetMode="External"/><Relationship Id="rId13990" Type="http://schemas.openxmlformats.org/officeDocument/2006/relationships/hyperlink" Target="https://pbs.twimg.com/profile_images/705780107844067328/e7O4UBNb_normal.jpg" TargetMode="External"/><Relationship Id="rId24999" Type="http://schemas.openxmlformats.org/officeDocument/2006/relationships/hyperlink" Target="https://pbs.twimg.com/profile_images/634021831364747264/5vPrL2JH_normal.jpg" TargetMode="External"/><Relationship Id="rId13643" Type="http://schemas.openxmlformats.org/officeDocument/2006/relationships/hyperlink" Target="https://twitter.com/BILD_Stuttgart/status/723552250111614976" TargetMode="External"/><Relationship Id="rId1253" Type="http://schemas.openxmlformats.org/officeDocument/2006/relationships/hyperlink" Target="https://twitter.com/cmbautomotive" TargetMode="External"/><Relationship Id="rId3702" Type="http://schemas.openxmlformats.org/officeDocument/2006/relationships/hyperlink" Target="https://pbs.twimg.com/profile_images/722768033307975681/Q0TfBDBg_normal.jpg" TargetMode="External"/><Relationship Id="rId11194" Type="http://schemas.openxmlformats.org/officeDocument/2006/relationships/hyperlink" Target="https://twitter.com/JensHilgenberg/status/723499207861133312" TargetMode="External"/><Relationship Id="rId16866" Type="http://schemas.openxmlformats.org/officeDocument/2006/relationships/hyperlink" Target="https://twitter.com/AldoCarigiet" TargetMode="External"/><Relationship Id="rId20512" Type="http://schemas.openxmlformats.org/officeDocument/2006/relationships/hyperlink" Target="https://twitter.com/miss_hairpin/status/724004227840937986" TargetMode="External"/><Relationship Id="rId6925" Type="http://schemas.openxmlformats.org/officeDocument/2006/relationships/hyperlink" Target="https://pbs.twimg.com/profile_images/477443424241463296/bKWNQp65_normal.jpeg" TargetMode="External"/><Relationship Id="rId16519" Type="http://schemas.openxmlformats.org/officeDocument/2006/relationships/hyperlink" Target="https://twitter.com/DubLuvTuning/status/723692193052024832" TargetMode="External"/><Relationship Id="rId23735" Type="http://schemas.openxmlformats.org/officeDocument/2006/relationships/hyperlink" Target="http://dlvr.it/" TargetMode="External"/><Relationship Id="rId4476" Type="http://schemas.openxmlformats.org/officeDocument/2006/relationships/hyperlink" Target="https://twitter.com/SexenioCDMX" TargetMode="External"/><Relationship Id="rId21286" Type="http://schemas.openxmlformats.org/officeDocument/2006/relationships/hyperlink" Target="https://pbs.twimg.com/profile_images/684525057347981312/TsvQ6-oU_normal.png" TargetMode="External"/><Relationship Id="rId4129" Type="http://schemas.openxmlformats.org/officeDocument/2006/relationships/hyperlink" Target="https://twitter.com/FLI75thm" TargetMode="External"/><Relationship Id="rId7699" Type="http://schemas.openxmlformats.org/officeDocument/2006/relationships/hyperlink" Target="https://pbs.twimg.com/profile_images/583352626793742336/4RgQ3C48_normal.jpg" TargetMode="External"/><Relationship Id="rId13153" Type="http://schemas.openxmlformats.org/officeDocument/2006/relationships/hyperlink" Target="https://twitter.com/techhippie/status/723536434934759424" TargetMode="External"/><Relationship Id="rId15602" Type="http://schemas.openxmlformats.org/officeDocument/2006/relationships/hyperlink" Target="https://twitter.com/thrussellart/status/723615972410687488" TargetMode="External"/><Relationship Id="rId3212" Type="http://schemas.openxmlformats.org/officeDocument/2006/relationships/hyperlink" Target="https://twitter.com/alsopi1/status/723145463852052480" TargetMode="External"/><Relationship Id="rId18825" Type="http://schemas.openxmlformats.org/officeDocument/2006/relationships/hyperlink" Target="https://twitter.com/OnlineCarReview" TargetMode="External"/><Relationship Id="rId20022" Type="http://schemas.openxmlformats.org/officeDocument/2006/relationships/hyperlink" Target="https://twitter.com/laulijayz" TargetMode="External"/><Relationship Id="rId6782" Type="http://schemas.openxmlformats.org/officeDocument/2006/relationships/hyperlink" Target="https://twitter.com/OnlineCarReview/status/723260618648608768" TargetMode="External"/><Relationship Id="rId16376" Type="http://schemas.openxmlformats.org/officeDocument/2006/relationships/hyperlink" Target="https://twitter.com/VolkswagenPost/status/723676687154597889" TargetMode="External"/><Relationship Id="rId23592" Type="http://schemas.openxmlformats.org/officeDocument/2006/relationships/hyperlink" Target="https://twitter.com/Insta_VWT" TargetMode="External"/><Relationship Id="rId6435" Type="http://schemas.openxmlformats.org/officeDocument/2006/relationships/hyperlink" Target="https://pbs.twimg.com/profile_images/424893967197433858/iQ86NktX_normal.jpeg" TargetMode="External"/><Relationship Id="rId12986" Type="http://schemas.openxmlformats.org/officeDocument/2006/relationships/hyperlink" Target="https://pbs.twimg.com/profile_images/378800000609525841/bf683b759226dba86e05743861714a83_normal.jpeg" TargetMode="External"/><Relationship Id="rId16029" Type="http://schemas.openxmlformats.org/officeDocument/2006/relationships/hyperlink" Target="https://twitter.com/Lucchisius/status/723644441295204352" TargetMode="External"/><Relationship Id="rId19599" Type="http://schemas.openxmlformats.org/officeDocument/2006/relationships/hyperlink" Target="https://twitter.com/VeeDubMk1_/status/723941707289636864" TargetMode="External"/><Relationship Id="rId23245" Type="http://schemas.openxmlformats.org/officeDocument/2006/relationships/hyperlink" Target="https://pbs.twimg.com/profile_images/472298206483607552/UogAMiRI_normal.png" TargetMode="External"/><Relationship Id="rId9658" Type="http://schemas.openxmlformats.org/officeDocument/2006/relationships/hyperlink" Target="http://dlvr.it/" TargetMode="External"/><Relationship Id="rId12639" Type="http://schemas.openxmlformats.org/officeDocument/2006/relationships/hyperlink" Target="https://twitter.com/monasterium/status/723524221717098496" TargetMode="External"/><Relationship Id="rId15112" Type="http://schemas.openxmlformats.org/officeDocument/2006/relationships/hyperlink" Target="https://twitter.com/POLITICS_JEDI" TargetMode="External"/><Relationship Id="rId18682" Type="http://schemas.openxmlformats.org/officeDocument/2006/relationships/hyperlink" Target="https://pbs.twimg.com/profile_images/268749427/Bild_061__2__normal.jpg" TargetMode="External"/><Relationship Id="rId8741" Type="http://schemas.openxmlformats.org/officeDocument/2006/relationships/hyperlink" Target="https://twitter.com/MartinTriker" TargetMode="External"/><Relationship Id="rId18335" Type="http://schemas.openxmlformats.org/officeDocument/2006/relationships/hyperlink" Target="https://twitter.com/RoliKlotz/status/723862821948280832" TargetMode="External"/><Relationship Id="rId25551" Type="http://schemas.openxmlformats.org/officeDocument/2006/relationships/hyperlink" Target="https://twitter.com/steven_soshea/status/724447157143613440" TargetMode="External"/><Relationship Id="rId6292" Type="http://schemas.openxmlformats.org/officeDocument/2006/relationships/hyperlink" Target="https://pbs.twimg.com/profile_images/2150289983/logo_facebook_new_normal.jpg" TargetMode="External"/><Relationship Id="rId11722" Type="http://schemas.openxmlformats.org/officeDocument/2006/relationships/hyperlink" Target="https://twitter.com/NetzwerkggS21" TargetMode="External"/><Relationship Id="rId25204" Type="http://schemas.openxmlformats.org/officeDocument/2006/relationships/hyperlink" Target="https://pbs.twimg.com/profile_images/671429217708613632/liLbMQTu_normal.jpg" TargetMode="External"/><Relationship Id="rId14945" Type="http://schemas.openxmlformats.org/officeDocument/2006/relationships/hyperlink" Target="https://twitter.com/longshipdriver" TargetMode="External"/><Relationship Id="rId9168" Type="http://schemas.openxmlformats.org/officeDocument/2006/relationships/hyperlink" Target="https://twitter.com/MDRINFO" TargetMode="External"/><Relationship Id="rId12496" Type="http://schemas.openxmlformats.org/officeDocument/2006/relationships/hyperlink" Target="https://twitter.com/ant2014ant" TargetMode="External"/><Relationship Id="rId21814" Type="http://schemas.openxmlformats.org/officeDocument/2006/relationships/hyperlink" Target="https://twitter.com/FuscaWorld/status/724180427599155200" TargetMode="External"/><Relationship Id="rId874" Type="http://schemas.openxmlformats.org/officeDocument/2006/relationships/hyperlink" Target="https://pbs.twimg.com/profile_images/697515278964543489/ctHQtnZm_normal.jpg" TargetMode="External"/><Relationship Id="rId2555" Type="http://schemas.openxmlformats.org/officeDocument/2006/relationships/hyperlink" Target="https://twitter.com/AaronShamrock" TargetMode="External"/><Relationship Id="rId12149" Type="http://schemas.openxmlformats.org/officeDocument/2006/relationships/hyperlink" Target="https://pbs.twimg.com/profile_images/477551916743143424/ahOuxldj_normal.jpeg" TargetMode="External"/><Relationship Id="rId527" Type="http://schemas.openxmlformats.org/officeDocument/2006/relationships/hyperlink" Target="https://pbs.twimg.com/profile_images/534297088927223808/POk_n10c_normal.jpeg" TargetMode="External"/><Relationship Id="rId2208" Type="http://schemas.openxmlformats.org/officeDocument/2006/relationships/hyperlink" Target="https://twitter.com/techhippie/status/723088233622589440" TargetMode="External"/><Relationship Id="rId5778" Type="http://schemas.openxmlformats.org/officeDocument/2006/relationships/hyperlink" Target="https://twitter.com/k__hris/status/723217081961947137" TargetMode="External"/><Relationship Id="rId18192" Type="http://schemas.openxmlformats.org/officeDocument/2006/relationships/hyperlink" Target="https://pbs.twimg.com/profile_images/689057873352085505/ITqw1MRX_normal.jpg" TargetMode="External"/><Relationship Id="rId22588" Type="http://schemas.openxmlformats.org/officeDocument/2006/relationships/hyperlink" Target="https://pbs.twimg.com/profile_images/571073734903996416/gnQg4gB-_normal.png" TargetMode="External"/><Relationship Id="rId8251" Type="http://schemas.openxmlformats.org/officeDocument/2006/relationships/hyperlink" Target="https://twitter.com/Scirocco_Tuning/status/723379169476767744" TargetMode="External"/><Relationship Id="rId11232" Type="http://schemas.openxmlformats.org/officeDocument/2006/relationships/hyperlink" Target="https://twitter.com/donaukurier/status/723499533913731073" TargetMode="External"/><Relationship Id="rId25061" Type="http://schemas.openxmlformats.org/officeDocument/2006/relationships/hyperlink" Target="https://twitter.com/memlopes" TargetMode="External"/><Relationship Id="rId16904" Type="http://schemas.openxmlformats.org/officeDocument/2006/relationships/hyperlink" Target="https://twitter.com/brennan_gibson/status/723747108738744320" TargetMode="External"/><Relationship Id="rId4861" Type="http://schemas.openxmlformats.org/officeDocument/2006/relationships/hyperlink" Target="https://twitter.com/TerryHatfield3" TargetMode="External"/><Relationship Id="rId14455" Type="http://schemas.openxmlformats.org/officeDocument/2006/relationships/hyperlink" Target="https://twitter.com/Stony_BS/status/723574201072902144" TargetMode="External"/><Relationship Id="rId21671" Type="http://schemas.openxmlformats.org/officeDocument/2006/relationships/hyperlink" Target="https://twitter.com/Joerg_Koper/status/724167728702099456" TargetMode="External"/><Relationship Id="rId384" Type="http://schemas.openxmlformats.org/officeDocument/2006/relationships/hyperlink" Target="https://twitter.com/kenminesinger/status/722952222674255873" TargetMode="External"/><Relationship Id="rId2065" Type="http://schemas.openxmlformats.org/officeDocument/2006/relationships/hyperlink" Target="https://pbs.twimg.com/profile_images/561258913891639296/Hro6CFpW_normal.jpeg" TargetMode="External"/><Relationship Id="rId4514" Type="http://schemas.openxmlformats.org/officeDocument/2006/relationships/hyperlink" Target="https://pbs.twimg.com/profile_images/530281935289851905/gYVTeJZK_normal.jpeg" TargetMode="External"/><Relationship Id="rId14108" Type="http://schemas.openxmlformats.org/officeDocument/2006/relationships/hyperlink" Target="https://pbs.twimg.com/profile_images/652871584131092480/QA_B6SBO_normal.jpg" TargetMode="External"/><Relationship Id="rId17678" Type="http://schemas.openxmlformats.org/officeDocument/2006/relationships/hyperlink" Target="https://pbs.twimg.com/profile_images/582257754296979457/f-cxGOrD_normal.jpg" TargetMode="External"/><Relationship Id="rId21324" Type="http://schemas.openxmlformats.org/officeDocument/2006/relationships/hyperlink" Target="https://twitter.com/Volkstyp2/status/724142012895760384" TargetMode="External"/><Relationship Id="rId24894" Type="http://schemas.openxmlformats.org/officeDocument/2006/relationships/hyperlink" Target="https://twitter.com/dubbusses" TargetMode="External"/><Relationship Id="rId7737" Type="http://schemas.openxmlformats.org/officeDocument/2006/relationships/hyperlink" Target="https://twitter.com/LimandoElPisoPM/status/723329926011727872" TargetMode="External"/><Relationship Id="rId10718" Type="http://schemas.openxmlformats.org/officeDocument/2006/relationships/hyperlink" Target="https://twitter.com/marktzimopoulos" TargetMode="External"/><Relationship Id="rId24547" Type="http://schemas.openxmlformats.org/officeDocument/2006/relationships/hyperlink" Target="https://twitter.com/JesusittoLZS/status/724368792952942592" TargetMode="External"/><Relationship Id="rId5288" Type="http://schemas.openxmlformats.org/officeDocument/2006/relationships/hyperlink" Target="https://pbs.twimg.com/profile_images/651204715607273472/WO_LwRkF_normal.png" TargetMode="External"/><Relationship Id="rId16761" Type="http://schemas.openxmlformats.org/officeDocument/2006/relationships/hyperlink" Target="https://twitter.com/Jochitas/status/723724112875556865" TargetMode="External"/><Relationship Id="rId22098" Type="http://schemas.openxmlformats.org/officeDocument/2006/relationships/hyperlink" Target="https://twitter.com/IG_Yuyake_Club" TargetMode="External"/><Relationship Id="rId1898" Type="http://schemas.openxmlformats.org/officeDocument/2006/relationships/hyperlink" Target="https://twitter.com/Test_Achats/status/723067857840435200" TargetMode="External"/><Relationship Id="rId6820" Type="http://schemas.openxmlformats.org/officeDocument/2006/relationships/hyperlink" Target="https://twitter.com/rahulwraj" TargetMode="External"/><Relationship Id="rId16414" Type="http://schemas.openxmlformats.org/officeDocument/2006/relationships/hyperlink" Target="https://twitter.com/hime__eri" TargetMode="External"/><Relationship Id="rId23630" Type="http://schemas.openxmlformats.org/officeDocument/2006/relationships/hyperlink" Target="https://twitter.com/Hexgazauto" TargetMode="External"/><Relationship Id="rId4371" Type="http://schemas.openxmlformats.org/officeDocument/2006/relationships/hyperlink" Target="https://pbs.twimg.com/profile_images/1944127722/image_normal.jpg" TargetMode="External"/><Relationship Id="rId19984" Type="http://schemas.openxmlformats.org/officeDocument/2006/relationships/hyperlink" Target="https://pbs.twimg.com/profile_images/703294545195307008/qeCvrX86_normal.jpg" TargetMode="External"/><Relationship Id="rId21181" Type="http://schemas.openxmlformats.org/officeDocument/2006/relationships/hyperlink" Target="https://twitter.com/m_v_22" TargetMode="External"/><Relationship Id="rId4024" Type="http://schemas.openxmlformats.org/officeDocument/2006/relationships/hyperlink" Target="https://twitter.com/SocialAutos/status/723174850177675264" TargetMode="External"/><Relationship Id="rId7594" Type="http://schemas.openxmlformats.org/officeDocument/2006/relationships/hyperlink" Target="https://pbs.twimg.com/profile_images/534298880599277568/lhuM0-7E_normal.jpeg" TargetMode="External"/><Relationship Id="rId17188" Type="http://schemas.openxmlformats.org/officeDocument/2006/relationships/hyperlink" Target="https://twitter.com/Jakob_Juergen" TargetMode="External"/><Relationship Id="rId19637" Type="http://schemas.openxmlformats.org/officeDocument/2006/relationships/hyperlink" Target="https://twitter.com/EverCharge/status/723944590403899392" TargetMode="External"/><Relationship Id="rId7247" Type="http://schemas.openxmlformats.org/officeDocument/2006/relationships/hyperlink" Target="https://twitter.com/sandraelleni" TargetMode="External"/><Relationship Id="rId10575" Type="http://schemas.openxmlformats.org/officeDocument/2006/relationships/hyperlink" Target="https://twitter.com/tageblatt_lu" TargetMode="External"/><Relationship Id="rId24057" Type="http://schemas.openxmlformats.org/officeDocument/2006/relationships/hyperlink" Target="https://twitter.com/mydorsetpark/status/724328939884257281" TargetMode="External"/><Relationship Id="rId10228" Type="http://schemas.openxmlformats.org/officeDocument/2006/relationships/hyperlink" Target="https://pbs.twimg.com/profile_images/700048698718425089/bL51SFne_normal.jpg" TargetMode="External"/><Relationship Id="rId13798" Type="http://schemas.openxmlformats.org/officeDocument/2006/relationships/hyperlink" Target="https://twitter.com/frank_wrc/status/723556457548009472" TargetMode="External"/><Relationship Id="rId18720" Type="http://schemas.openxmlformats.org/officeDocument/2006/relationships/hyperlink" Target="https://pbs.twimg.com/profile_images/488719995401027584/VzWWQNs__normal.jpeg" TargetMode="External"/><Relationship Id="rId3857" Type="http://schemas.openxmlformats.org/officeDocument/2006/relationships/hyperlink" Target="https://pbs.twimg.com/profile_images/693744736260210688/UdPi_WWL_normal.jpg" TargetMode="External"/><Relationship Id="rId16271" Type="http://schemas.openxmlformats.org/officeDocument/2006/relationships/hyperlink" Target="http://dlvr.it/" TargetMode="External"/><Relationship Id="rId20667" Type="http://schemas.openxmlformats.org/officeDocument/2006/relationships/hyperlink" Target="https://twitter.com/StarsStanced/status/724023509253513216" TargetMode="External"/><Relationship Id="rId6330" Type="http://schemas.openxmlformats.org/officeDocument/2006/relationships/hyperlink" Target="https://twitter.com/amsonline/status/723239961034526721" TargetMode="External"/><Relationship Id="rId19494" Type="http://schemas.openxmlformats.org/officeDocument/2006/relationships/hyperlink" Target="https://pbs.twimg.com/profile_images/718835727027580928/1ssyQ67y_normal.jpg" TargetMode="External"/><Relationship Id="rId23140" Type="http://schemas.openxmlformats.org/officeDocument/2006/relationships/hyperlink" Target="https://twitter.com/CarterVW/status/724270179874562048" TargetMode="External"/><Relationship Id="rId9553" Type="http://schemas.openxmlformats.org/officeDocument/2006/relationships/hyperlink" Target="https://pbs.twimg.com/profile_images/631089331243978752/Gd2N8SDJ_normal.png" TargetMode="External"/><Relationship Id="rId12881" Type="http://schemas.openxmlformats.org/officeDocument/2006/relationships/hyperlink" Target="https://pbs.twimg.com/profile_images/581095813046255617/fJpRy9Rx_normal.jpg" TargetMode="External"/><Relationship Id="rId19147" Type="http://schemas.openxmlformats.org/officeDocument/2006/relationships/hyperlink" Target="https://pbs.twimg.com/profile_images/644897595442241536/62y226Ai_normal.jpg" TargetMode="External"/><Relationship Id="rId2940" Type="http://schemas.openxmlformats.org/officeDocument/2006/relationships/hyperlink" Target="https://twitter.com/VolkswagenPost" TargetMode="External"/><Relationship Id="rId9206" Type="http://schemas.openxmlformats.org/officeDocument/2006/relationships/hyperlink" Target="https://pbs.twimg.com/profile_images/471294691783098369/x9C02baa_normal.png" TargetMode="External"/><Relationship Id="rId10085" Type="http://schemas.openxmlformats.org/officeDocument/2006/relationships/hyperlink" Target="https://twitter.com/AFECTADOGRUPOVW/status/723461613521670144" TargetMode="External"/><Relationship Id="rId12534" Type="http://schemas.openxmlformats.org/officeDocument/2006/relationships/hyperlink" Target="http://dlvr.it/" TargetMode="External"/><Relationship Id="rId912" Type="http://schemas.openxmlformats.org/officeDocument/2006/relationships/hyperlink" Target="https://twitter.com/CDMC97/status/723000643548385281" TargetMode="External"/><Relationship Id="rId15757" Type="http://schemas.openxmlformats.org/officeDocument/2006/relationships/hyperlink" Target="https://twitter.com/TeutonicReign" TargetMode="External"/><Relationship Id="rId22973" Type="http://schemas.openxmlformats.org/officeDocument/2006/relationships/hyperlink" Target="https://twitter.com/skodaportal/status/724261493919899648" TargetMode="External"/><Relationship Id="rId5816" Type="http://schemas.openxmlformats.org/officeDocument/2006/relationships/hyperlink" Target="https://pbs.twimg.com/profile_images/500952306922553344/e34g4CfG_normal.jpeg" TargetMode="External"/><Relationship Id="rId18230" Type="http://schemas.openxmlformats.org/officeDocument/2006/relationships/hyperlink" Target="https://twitter.com/Onlydriving1" TargetMode="External"/><Relationship Id="rId22626" Type="http://schemas.openxmlformats.org/officeDocument/2006/relationships/hyperlink" Target="https://twitter.com/singhvaibhav361" TargetMode="External"/><Relationship Id="rId3367" Type="http://schemas.openxmlformats.org/officeDocument/2006/relationships/hyperlink" Target="https://pbs.twimg.com/profile_images/587617946538745856/_S5LOe4F_normal.jpg" TargetMode="External"/><Relationship Id="rId14840" Type="http://schemas.openxmlformats.org/officeDocument/2006/relationships/hyperlink" Target="https://twitter.com/Way_Cool_" TargetMode="External"/><Relationship Id="rId20177" Type="http://schemas.openxmlformats.org/officeDocument/2006/relationships/hyperlink" Target="https://twitter.com/PokerAlho46/status/723979507414249472" TargetMode="External"/><Relationship Id="rId12391" Type="http://schemas.openxmlformats.org/officeDocument/2006/relationships/hyperlink" Target="https://twitter.com/MarkCSchneider/status/723518726172205056" TargetMode="External"/><Relationship Id="rId2450" Type="http://schemas.openxmlformats.org/officeDocument/2006/relationships/hyperlink" Target="https://twitter.com/beetlebug1938/status/723101936040456192" TargetMode="External"/><Relationship Id="rId9063" Type="http://schemas.openxmlformats.org/officeDocument/2006/relationships/hyperlink" Target="https://pbs.twimg.com/profile_images/2692048785/d562a201529f797971cc79e8c5dc1699_normal.png" TargetMode="External"/><Relationship Id="rId12044" Type="http://schemas.openxmlformats.org/officeDocument/2006/relationships/hyperlink" Target="https://twitter.com/FAZ_Finance" TargetMode="External"/><Relationship Id="rId422" Type="http://schemas.openxmlformats.org/officeDocument/2006/relationships/hyperlink" Target="https://twitter.com/radioweapon" TargetMode="External"/><Relationship Id="rId2103" Type="http://schemas.openxmlformats.org/officeDocument/2006/relationships/hyperlink" Target="https://pbs.twimg.com/profile_images/16798882/elmar-2_normal.jpg" TargetMode="External"/><Relationship Id="rId5673" Type="http://schemas.openxmlformats.org/officeDocument/2006/relationships/hyperlink" Target="https://twitter.com/VWBeetleSales/status/723212218083340288" TargetMode="External"/><Relationship Id="rId15267" Type="http://schemas.openxmlformats.org/officeDocument/2006/relationships/hyperlink" Target="https://pbs.twimg.com/profile_images/717113433267638272/6igZPcX4_normal.jpg" TargetMode="External"/><Relationship Id="rId17716" Type="http://schemas.openxmlformats.org/officeDocument/2006/relationships/hyperlink" Target="https://twitter.com/Turanlar_2023/status/723818947959726080" TargetMode="External"/><Relationship Id="rId22483" Type="http://schemas.openxmlformats.org/officeDocument/2006/relationships/hyperlink" Target="https://twitter.com/itzokazbocrafts/status/724225198283616256" TargetMode="External"/><Relationship Id="rId24932" Type="http://schemas.openxmlformats.org/officeDocument/2006/relationships/hyperlink" Target="https://twitter.com/VWCamperSales/status/724402990317084672" TargetMode="External"/><Relationship Id="rId5326" Type="http://schemas.openxmlformats.org/officeDocument/2006/relationships/hyperlink" Target="https://twitter.com/AlexWitzleben/status/723199917087318017" TargetMode="External"/><Relationship Id="rId22136" Type="http://schemas.openxmlformats.org/officeDocument/2006/relationships/hyperlink" Target="https://twitter.com/dazvw" TargetMode="External"/><Relationship Id="rId8896" Type="http://schemas.openxmlformats.org/officeDocument/2006/relationships/hyperlink" Target="https://pbs.twimg.com/profile_images/709312415817662464/Q3B9rxhr_normal.jpg" TargetMode="External"/><Relationship Id="rId11877" Type="http://schemas.openxmlformats.org/officeDocument/2006/relationships/hyperlink" Target="https://twitter.com/MikeThePhotog/status/723509438343200768" TargetMode="External"/><Relationship Id="rId1936" Type="http://schemas.openxmlformats.org/officeDocument/2006/relationships/hyperlink" Target="https://pbs.twimg.com/profile_images/593866311987503104/AiMhtNR0_normal.jpg" TargetMode="External"/><Relationship Id="rId8549" Type="http://schemas.openxmlformats.org/officeDocument/2006/relationships/hyperlink" Target="https://twitter.com/theswiss/status/723393817794093056" TargetMode="External"/><Relationship Id="rId14350" Type="http://schemas.openxmlformats.org/officeDocument/2006/relationships/hyperlink" Target="https://pbs.twimg.com/profile_images/603130296016478208/SslEbxgT_normal.jpg" TargetMode="External"/><Relationship Id="rId25359" Type="http://schemas.openxmlformats.org/officeDocument/2006/relationships/hyperlink" Target="https://twitter.com/VolkswagenPost" TargetMode="External"/><Relationship Id="rId14003" Type="http://schemas.openxmlformats.org/officeDocument/2006/relationships/hyperlink" Target="https://twitter.com/ASAPAutoSales23" TargetMode="External"/><Relationship Id="rId17573" Type="http://schemas.openxmlformats.org/officeDocument/2006/relationships/hyperlink" Target="http://dlvr.it/" TargetMode="External"/><Relationship Id="rId21969" Type="http://schemas.openxmlformats.org/officeDocument/2006/relationships/hyperlink" Target="https://twitter.com/Globosus" TargetMode="External"/><Relationship Id="rId7632" Type="http://schemas.openxmlformats.org/officeDocument/2006/relationships/hyperlink" Target="http://motorgiga.com/" TargetMode="External"/><Relationship Id="rId10960" Type="http://schemas.openxmlformats.org/officeDocument/2006/relationships/hyperlink" Target="https://twitter.com/GeyersipOficial/status/723491713424064512" TargetMode="External"/><Relationship Id="rId17226" Type="http://schemas.openxmlformats.org/officeDocument/2006/relationships/hyperlink" Target="https://twitter.com/LucyRigby/status/723781614023659520" TargetMode="External"/><Relationship Id="rId24442" Type="http://schemas.openxmlformats.org/officeDocument/2006/relationships/hyperlink" Target="https://twitter.com/Scirocco_Tuning/status/724358071510818816" TargetMode="External"/><Relationship Id="rId5183" Type="http://schemas.openxmlformats.org/officeDocument/2006/relationships/hyperlink" Target="https://pbs.twimg.com/profile_images/564191903151702016/OXB2zx4u_normal.jpeg" TargetMode="External"/><Relationship Id="rId10613" Type="http://schemas.openxmlformats.org/officeDocument/2006/relationships/hyperlink" Target="https://pbs.twimg.com/profile_images/618543469875740672/9UTnmeyy_normal.png" TargetMode="External"/><Relationship Id="rId13836" Type="http://schemas.openxmlformats.org/officeDocument/2006/relationships/hyperlink" Target="https://twitter.com/HansTheGerman" TargetMode="External"/><Relationship Id="rId1793" Type="http://schemas.openxmlformats.org/officeDocument/2006/relationships/hyperlink" Target="https://twitter.com/zeitonline/status/723057715241693184" TargetMode="External"/><Relationship Id="rId8059" Type="http://schemas.openxmlformats.org/officeDocument/2006/relationships/hyperlink" Target="https://pbs.twimg.com/profile_images/682872326371848192/lky20bTP_normal.jpg" TargetMode="External"/><Relationship Id="rId11387" Type="http://schemas.openxmlformats.org/officeDocument/2006/relationships/hyperlink" Target="https://twitter.com/w_skowronek/status/723501783478349824" TargetMode="External"/><Relationship Id="rId20705" Type="http://schemas.openxmlformats.org/officeDocument/2006/relationships/hyperlink" Target="https://twitter.com/waleoshifowora" TargetMode="External"/><Relationship Id="rId1446" Type="http://schemas.openxmlformats.org/officeDocument/2006/relationships/hyperlink" Target="https://twitter.com/chitchatautos/status/723041095404281856" TargetMode="External"/><Relationship Id="rId19532" Type="http://schemas.openxmlformats.org/officeDocument/2006/relationships/hyperlink" Target="https://twitter.com/diesellibrarian" TargetMode="External"/><Relationship Id="rId23928" Type="http://schemas.openxmlformats.org/officeDocument/2006/relationships/hyperlink" Target="https://twitter.com/beetlebug1938/status/724321419690139652" TargetMode="External"/><Relationship Id="rId4669" Type="http://schemas.openxmlformats.org/officeDocument/2006/relationships/hyperlink" Target="https://pbs.twimg.com/profile_images/3461286994/b5d08f32f3fe123de6674ab786ab8e50_normal.png" TargetMode="External"/><Relationship Id="rId10470" Type="http://schemas.openxmlformats.org/officeDocument/2006/relationships/hyperlink" Target="https://twitter.com/carzinegr/status/723474018905513984" TargetMode="External"/><Relationship Id="rId17083" Type="http://schemas.openxmlformats.org/officeDocument/2006/relationships/hyperlink" Target="https://twitter.com/autoblazmotor" TargetMode="External"/><Relationship Id="rId21479" Type="http://schemas.openxmlformats.org/officeDocument/2006/relationships/hyperlink" Target="https://twitter.com/yggep74" TargetMode="External"/><Relationship Id="rId7142" Type="http://schemas.openxmlformats.org/officeDocument/2006/relationships/hyperlink" Target="https://pbs.twimg.com/profile_images/2065747374/tramapoline_trabopoline_normal.gif" TargetMode="External"/><Relationship Id="rId10123" Type="http://schemas.openxmlformats.org/officeDocument/2006/relationships/hyperlink" Target="https://twitter.com/oe1journale" TargetMode="External"/><Relationship Id="rId13693" Type="http://schemas.openxmlformats.org/officeDocument/2006/relationships/hyperlink" Target="https://twitter.com/Harremanz" TargetMode="External"/><Relationship Id="rId3752" Type="http://schemas.openxmlformats.org/officeDocument/2006/relationships/hyperlink" Target="https://twitter.com/aktuelle_stunde" TargetMode="External"/><Relationship Id="rId13346" Type="http://schemas.openxmlformats.org/officeDocument/2006/relationships/hyperlink" Target="https://twitter.com/oscar_elchara1" TargetMode="External"/><Relationship Id="rId20562" Type="http://schemas.openxmlformats.org/officeDocument/2006/relationships/hyperlink" Target="https://twitter.com/_No_Chill_/status/724009054599782402" TargetMode="External"/><Relationship Id="rId3405" Type="http://schemas.openxmlformats.org/officeDocument/2006/relationships/hyperlink" Target="https://twitter.com/Lucas_esquiivel/status/723156626476269568" TargetMode="External"/><Relationship Id="rId20215" Type="http://schemas.openxmlformats.org/officeDocument/2006/relationships/hyperlink" Target="https://twitter.com/tatymontespr" TargetMode="External"/><Relationship Id="rId6975" Type="http://schemas.openxmlformats.org/officeDocument/2006/relationships/hyperlink" Target="https://twitter.com/JackieLeonard01" TargetMode="External"/><Relationship Id="rId16569" Type="http://schemas.openxmlformats.org/officeDocument/2006/relationships/hyperlink" Target="https://pbs.twimg.com/profile_images/540037751416971264/FUsmNZrb_normal.jpeg" TargetMode="External"/><Relationship Id="rId23785" Type="http://schemas.openxmlformats.org/officeDocument/2006/relationships/hyperlink" Target="https://pbs.twimg.com/profile_images/672878354127839232/M7OYc-zx_normal.jpg" TargetMode="External"/><Relationship Id="rId4179" Type="http://schemas.openxmlformats.org/officeDocument/2006/relationships/hyperlink" Target="https://twitter.com/NetzwerkggS21/status/723177705307414528" TargetMode="External"/><Relationship Id="rId6628" Type="http://schemas.openxmlformats.org/officeDocument/2006/relationships/hyperlink" Target="https://pbs.twimg.com/profile_images/541591945689055232/9Gu8cStJ_normal.png" TargetMode="External"/><Relationship Id="rId19042" Type="http://schemas.openxmlformats.org/officeDocument/2006/relationships/hyperlink" Target="http://ctrlq.org/maps/address/" TargetMode="External"/><Relationship Id="rId23438" Type="http://schemas.openxmlformats.org/officeDocument/2006/relationships/hyperlink" Target="https://twitter.com/Adamnoble81" TargetMode="External"/><Relationship Id="rId9101" Type="http://schemas.openxmlformats.org/officeDocument/2006/relationships/hyperlink" Target="https://twitter.com/Autourtiti/status/723421710398025729" TargetMode="External"/><Relationship Id="rId15652" Type="http://schemas.openxmlformats.org/officeDocument/2006/relationships/hyperlink" Target="http://ctrlq.org/maps/address/" TargetMode="External"/><Relationship Id="rId5711" Type="http://schemas.openxmlformats.org/officeDocument/2006/relationships/hyperlink" Target="https://twitter.com/OnlineCarReview" TargetMode="External"/><Relationship Id="rId15305" Type="http://schemas.openxmlformats.org/officeDocument/2006/relationships/hyperlink" Target="https://twitter.com/beetlebug1938/status/723603126503264256" TargetMode="External"/><Relationship Id="rId22521" Type="http://schemas.openxmlformats.org/officeDocument/2006/relationships/hyperlink" Target="https://twitter.com/VWCamperSales/status/724227658851094528" TargetMode="External"/><Relationship Id="rId3262" Type="http://schemas.openxmlformats.org/officeDocument/2006/relationships/hyperlink" Target="https://pbs.twimg.com/profile_images/690007073774505984/peLfetii_normal.jpg" TargetMode="External"/><Relationship Id="rId18875" Type="http://schemas.openxmlformats.org/officeDocument/2006/relationships/hyperlink" Target="https://twitter.com/simonthurlow71/status/723902936049438720" TargetMode="External"/><Relationship Id="rId20072" Type="http://schemas.openxmlformats.org/officeDocument/2006/relationships/hyperlink" Target="https://twitter.com/Harkonen2" TargetMode="External"/><Relationship Id="rId6485" Type="http://schemas.openxmlformats.org/officeDocument/2006/relationships/hyperlink" Target="https://pbs.twimg.com/profile_images/721815320437067776/Vik2e42H_normal.jpg" TargetMode="External"/><Relationship Id="rId8934" Type="http://schemas.openxmlformats.org/officeDocument/2006/relationships/hyperlink" Target="https://twitter.com/oekomobil/status/723412141944934401" TargetMode="External"/><Relationship Id="rId11915" Type="http://schemas.openxmlformats.org/officeDocument/2006/relationships/hyperlink" Target="https://twitter.com/thomasHuskamp" TargetMode="External"/><Relationship Id="rId16079" Type="http://schemas.openxmlformats.org/officeDocument/2006/relationships/hyperlink" Target="https://twitter.com/kngeuro" TargetMode="External"/><Relationship Id="rId18528" Type="http://schemas.openxmlformats.org/officeDocument/2006/relationships/hyperlink" Target="https://twitter.com/VWBeetleSales/status/723874835609198594" TargetMode="External"/><Relationship Id="rId23295" Type="http://schemas.openxmlformats.org/officeDocument/2006/relationships/hyperlink" Target="https://pbs.twimg.com/profile_images/482299890509578240/8vKC9fS-_normal.jpeg" TargetMode="External"/><Relationship Id="rId25744" Type="http://schemas.openxmlformats.org/officeDocument/2006/relationships/hyperlink" Target="https://twitter.com/nitindas284/status/724469804757700608" TargetMode="External"/><Relationship Id="rId6138" Type="http://schemas.openxmlformats.org/officeDocument/2006/relationships/hyperlink" Target="https://twitter.com/DUBFELLAS/status/723232200641122306" TargetMode="External"/><Relationship Id="rId12689" Type="http://schemas.openxmlformats.org/officeDocument/2006/relationships/hyperlink" Target="https://twitter.com/Pisepampell" TargetMode="External"/><Relationship Id="rId17611" Type="http://schemas.openxmlformats.org/officeDocument/2006/relationships/hyperlink" Target="https://twitter.com/miiloomultipass" TargetMode="External"/><Relationship Id="rId2748" Type="http://schemas.openxmlformats.org/officeDocument/2006/relationships/hyperlink" Target="https://pbs.twimg.com/profile_images/627949001179037696/skEBkS05_normal.jpg" TargetMode="External"/><Relationship Id="rId15162" Type="http://schemas.openxmlformats.org/officeDocument/2006/relationships/hyperlink" Target="https://pbs.twimg.com/profile_images/704318460814364672/WLDosunw_normal.jpg" TargetMode="External"/><Relationship Id="rId5221" Type="http://schemas.openxmlformats.org/officeDocument/2006/relationships/hyperlink" Target="https://twitter.com/DealerCouponsCa" TargetMode="External"/><Relationship Id="rId8791" Type="http://schemas.openxmlformats.org/officeDocument/2006/relationships/hyperlink" Target="https://pbs.twimg.com/profile_images/2679762722/946e3e1372fd9cf7c92ed14c414d3a4a_normal.png" TargetMode="External"/><Relationship Id="rId18385" Type="http://schemas.openxmlformats.org/officeDocument/2006/relationships/hyperlink" Target="https://pbs.twimg.com/profile_images/682117963349135360/IUfZQy35_normal.png" TargetMode="External"/><Relationship Id="rId22031" Type="http://schemas.openxmlformats.org/officeDocument/2006/relationships/hyperlink" Target="https://pbs.twimg.com/profile_images/684099538483818500/mbnscI9S_normal.jpg" TargetMode="External"/><Relationship Id="rId1831" Type="http://schemas.openxmlformats.org/officeDocument/2006/relationships/hyperlink" Target="https://twitter.com/gertschulze" TargetMode="External"/><Relationship Id="rId8444" Type="http://schemas.openxmlformats.org/officeDocument/2006/relationships/hyperlink" Target="https://twitter.com/chpmt" TargetMode="External"/><Relationship Id="rId11425" Type="http://schemas.openxmlformats.org/officeDocument/2006/relationships/hyperlink" Target="https://twitter.com/LupusLotarius" TargetMode="External"/><Relationship Id="rId11772" Type="http://schemas.openxmlformats.org/officeDocument/2006/relationships/hyperlink" Target="https://twitter.com/ihoelt/status/723507187054710785" TargetMode="External"/><Relationship Id="rId18038" Type="http://schemas.openxmlformats.org/officeDocument/2006/relationships/hyperlink" Target="https://twitter.com/FuscaWorld" TargetMode="External"/><Relationship Id="rId25254" Type="http://schemas.openxmlformats.org/officeDocument/2006/relationships/hyperlink" Target="https://pbs.twimg.com/profile_images/1610421423/Image2_normal.jpg" TargetMode="External"/><Relationship Id="rId14995" Type="http://schemas.openxmlformats.org/officeDocument/2006/relationships/hyperlink" Target="https://twitter.com/Logistique01" TargetMode="External"/><Relationship Id="rId12199" Type="http://schemas.openxmlformats.org/officeDocument/2006/relationships/hyperlink" Target="https://twitter.com/unioner23" TargetMode="External"/><Relationship Id="rId14648" Type="http://schemas.openxmlformats.org/officeDocument/2006/relationships/hyperlink" Target="https://pbs.twimg.com/profile_images/709393622156836864/mepc1fVn_normal.jpg" TargetMode="External"/><Relationship Id="rId21864" Type="http://schemas.openxmlformats.org/officeDocument/2006/relationships/hyperlink" Target="https://twitter.com/OldFox1789/status/724186125699559424" TargetMode="External"/><Relationship Id="rId577" Type="http://schemas.openxmlformats.org/officeDocument/2006/relationships/hyperlink" Target="https://twitter.com/HethedudejohndK/status/722966401451880448" TargetMode="External"/><Relationship Id="rId2258" Type="http://schemas.openxmlformats.org/officeDocument/2006/relationships/hyperlink" Target="https://pbs.twimg.com/profile_images/640893185158352896/TMGmsF0r_normal.png" TargetMode="External"/><Relationship Id="rId4707" Type="http://schemas.openxmlformats.org/officeDocument/2006/relationships/hyperlink" Target="https://twitter.com/CarNotaFridge" TargetMode="External"/><Relationship Id="rId17121" Type="http://schemas.openxmlformats.org/officeDocument/2006/relationships/hyperlink" Target="https://twitter.com/Mobkay/status/723771381301780480" TargetMode="External"/><Relationship Id="rId21517" Type="http://schemas.openxmlformats.org/officeDocument/2006/relationships/hyperlink" Target="https://twitter.com/_princesinha_15" TargetMode="External"/><Relationship Id="rId13731" Type="http://schemas.openxmlformats.org/officeDocument/2006/relationships/hyperlink" Target="https://pbs.twimg.com/profile_images/709141383588749312/LDsavna9_normal.jpg" TargetMode="External"/><Relationship Id="rId11282" Type="http://schemas.openxmlformats.org/officeDocument/2006/relationships/hyperlink" Target="https://twitter.com/c_garrels" TargetMode="External"/><Relationship Id="rId20600" Type="http://schemas.openxmlformats.org/officeDocument/2006/relationships/hyperlink" Target="https://twitter.com/dubbusses/status/724012757343977473" TargetMode="External"/><Relationship Id="rId1341" Type="http://schemas.openxmlformats.org/officeDocument/2006/relationships/hyperlink" Target="https://pbs.twimg.com/profile_images/690476388189671424/Y8ZTnKpu_normal.jpg" TargetMode="External"/><Relationship Id="rId16954" Type="http://schemas.openxmlformats.org/officeDocument/2006/relationships/hyperlink" Target="https://twitter.com/tooppermann" TargetMode="External"/><Relationship Id="rId4564" Type="http://schemas.openxmlformats.org/officeDocument/2006/relationships/hyperlink" Target="https://twitter.com/Tonelli22/status/723182473945993216" TargetMode="External"/><Relationship Id="rId14158" Type="http://schemas.openxmlformats.org/officeDocument/2006/relationships/hyperlink" Target="https://twitter.com/MarleHavelin/status/723566102555426816" TargetMode="External"/><Relationship Id="rId16607" Type="http://schemas.openxmlformats.org/officeDocument/2006/relationships/hyperlink" Target="https://twitter.com/iaacanob/status/723700306580779010" TargetMode="External"/><Relationship Id="rId21374" Type="http://schemas.openxmlformats.org/officeDocument/2006/relationships/hyperlink" Target="https://twitter.com/VolkswagenPost" TargetMode="External"/><Relationship Id="rId23823" Type="http://schemas.openxmlformats.org/officeDocument/2006/relationships/hyperlink" Target="https://twitter.com/angelfire_2769/status/724313724400615425" TargetMode="External"/><Relationship Id="rId4217" Type="http://schemas.openxmlformats.org/officeDocument/2006/relationships/hyperlink" Target="https://twitter.com/MarcusCJung" TargetMode="External"/><Relationship Id="rId21027" Type="http://schemas.openxmlformats.org/officeDocument/2006/relationships/hyperlink" Target="https://pbs.twimg.com/profile_images/634021831364747264/5vPrL2JH_normal.jpg" TargetMode="External"/><Relationship Id="rId7787" Type="http://schemas.openxmlformats.org/officeDocument/2006/relationships/hyperlink" Target="https://pbs.twimg.com/profile_images/709097445779709956/3Bq7u6sM_normal.jpg" TargetMode="External"/><Relationship Id="rId10768" Type="http://schemas.openxmlformats.org/officeDocument/2006/relationships/hyperlink" Target="https://pbs.twimg.com/profile_images/722136979505332225/yuEXbKI2_normal.jpg" TargetMode="External"/><Relationship Id="rId24597" Type="http://schemas.openxmlformats.org/officeDocument/2006/relationships/hyperlink" Target="https://twitter.com/maustal" TargetMode="External"/><Relationship Id="rId13241" Type="http://schemas.openxmlformats.org/officeDocument/2006/relationships/hyperlink" Target="https://pbs.twimg.com/profile_images/573248726212325376/60EMO_jJ_normal.jpeg" TargetMode="External"/><Relationship Id="rId18913" Type="http://schemas.openxmlformats.org/officeDocument/2006/relationships/hyperlink" Target="https://twitter.com/Blackzaza243/status/723905422869049344" TargetMode="External"/><Relationship Id="rId3300" Type="http://schemas.openxmlformats.org/officeDocument/2006/relationships/hyperlink" Target="https://twitter.com/CarjojoCorp" TargetMode="External"/><Relationship Id="rId6870" Type="http://schemas.openxmlformats.org/officeDocument/2006/relationships/hyperlink" Target="https://twitter.com/mk1GolfForSale" TargetMode="External"/><Relationship Id="rId16464" Type="http://schemas.openxmlformats.org/officeDocument/2006/relationships/hyperlink" Target="https://twitter.com/FuscaWorld/status/723685653255454720" TargetMode="External"/><Relationship Id="rId20110" Type="http://schemas.openxmlformats.org/officeDocument/2006/relationships/hyperlink" Target="https://twitter.com/StreetFoodUK/status/723976014590840833" TargetMode="External"/><Relationship Id="rId23680" Type="http://schemas.openxmlformats.org/officeDocument/2006/relationships/hyperlink" Target="https://pbs.twimg.com/profile_images/554022334466887680/KlFv5SoO_normal.jpeg" TargetMode="External"/><Relationship Id="rId6523" Type="http://schemas.openxmlformats.org/officeDocument/2006/relationships/hyperlink" Target="https://twitter.com/KNordlichtW/status/723245224944914432" TargetMode="External"/><Relationship Id="rId16117" Type="http://schemas.openxmlformats.org/officeDocument/2006/relationships/hyperlink" Target="https://twitter.com/VolkswagenPost/status/723648730533081088" TargetMode="External"/><Relationship Id="rId19687" Type="http://schemas.openxmlformats.org/officeDocument/2006/relationships/hyperlink" Target="https://twitter.com/VolkswagenPost" TargetMode="External"/><Relationship Id="rId23333" Type="http://schemas.openxmlformats.org/officeDocument/2006/relationships/hyperlink" Target="https://twitter.com/druidznonwo/status/724280478124126213" TargetMode="External"/><Relationship Id="rId4074" Type="http://schemas.openxmlformats.org/officeDocument/2006/relationships/hyperlink" Target="https://pbs.twimg.com/profile_images/657560747271032833/Q4Z58w0-_normal.jpg" TargetMode="External"/><Relationship Id="rId9746" Type="http://schemas.openxmlformats.org/officeDocument/2006/relationships/hyperlink" Target="https://twitter.com/ksta_news/status/723447720573280256" TargetMode="External"/><Relationship Id="rId7297" Type="http://schemas.openxmlformats.org/officeDocument/2006/relationships/hyperlink" Target="https://pbs.twimg.com/profile_images/712105652244627456/WgQ78yCo_normal.jpg" TargetMode="External"/><Relationship Id="rId10278" Type="http://schemas.openxmlformats.org/officeDocument/2006/relationships/hyperlink" Target="https://twitter.com/JumpNRun84/status/723467833229844480" TargetMode="External"/><Relationship Id="rId12727" Type="http://schemas.openxmlformats.org/officeDocument/2006/relationships/hyperlink" Target="https://twitter.com/AllanTschirret/status/723526111553007618" TargetMode="External"/><Relationship Id="rId15200" Type="http://schemas.openxmlformats.org/officeDocument/2006/relationships/hyperlink" Target="https://pbs.twimg.com/profile_images/547784056167886848/5kirDLij_normal.png" TargetMode="External"/><Relationship Id="rId18770" Type="http://schemas.openxmlformats.org/officeDocument/2006/relationships/hyperlink" Target="https://twitter.com/DonnaCBoehme/status/723895200301649920" TargetMode="External"/><Relationship Id="rId11810" Type="http://schemas.openxmlformats.org/officeDocument/2006/relationships/hyperlink" Target="http://dlvr.it/" TargetMode="External"/><Relationship Id="rId18423" Type="http://schemas.openxmlformats.org/officeDocument/2006/relationships/hyperlink" Target="https://pbs.twimg.com/profile_images/1694897534/LukasBouwman_normal.jpg" TargetMode="External"/><Relationship Id="rId22819" Type="http://schemas.openxmlformats.org/officeDocument/2006/relationships/hyperlink" Target="https://twitter.com/luchygonzalez7" TargetMode="External"/><Relationship Id="rId6380" Type="http://schemas.openxmlformats.org/officeDocument/2006/relationships/hyperlink" Target="https://twitter.com/VWBeetleSales" TargetMode="External"/><Relationship Id="rId23190" Type="http://schemas.openxmlformats.org/officeDocument/2006/relationships/hyperlink" Target="https://pbs.twimg.com/profile_images/567103567228837888/ptxVAeYZ_normal.jpeg" TargetMode="External"/><Relationship Id="rId2990" Type="http://schemas.openxmlformats.org/officeDocument/2006/relationships/hyperlink" Target="https://pbs.twimg.com/profile_images/720410079938416640/Kyf-6Ysh_normal.jpg" TargetMode="External"/><Relationship Id="rId6033" Type="http://schemas.openxmlformats.org/officeDocument/2006/relationships/hyperlink" Target="https://twitter.com/rharrisonfries" TargetMode="External"/><Relationship Id="rId12584" Type="http://schemas.openxmlformats.org/officeDocument/2006/relationships/hyperlink" Target="https://pbs.twimg.com/profile_images/2248440235/IMAG0006_normal.jpg" TargetMode="External"/><Relationship Id="rId19197" Type="http://schemas.openxmlformats.org/officeDocument/2006/relationships/hyperlink" Target="https://pbs.twimg.com/profile_images/542918171158511617/A72BLdkG_normal.png" TargetMode="External"/><Relationship Id="rId962" Type="http://schemas.openxmlformats.org/officeDocument/2006/relationships/hyperlink" Target="https://twitter.com/Lucas_esquiivel" TargetMode="External"/><Relationship Id="rId2643" Type="http://schemas.openxmlformats.org/officeDocument/2006/relationships/hyperlink" Target="https://twitter.com/Prinze484" TargetMode="External"/><Relationship Id="rId9256" Type="http://schemas.openxmlformats.org/officeDocument/2006/relationships/hyperlink" Target="https://twitter.com/chdauriac/status/723428674926575616" TargetMode="External"/><Relationship Id="rId12237" Type="http://schemas.openxmlformats.org/officeDocument/2006/relationships/hyperlink" Target="https://twitter.com/Deacon__Blues/status/723515563348267008" TargetMode="External"/><Relationship Id="rId21902" Type="http://schemas.openxmlformats.org/officeDocument/2006/relationships/hyperlink" Target="https://twitter.com/TetsuoHojo/status/724187395944370176" TargetMode="External"/><Relationship Id="rId615" Type="http://schemas.openxmlformats.org/officeDocument/2006/relationships/hyperlink" Target="https://twitter.com/De4nShabs" TargetMode="External"/><Relationship Id="rId17909" Type="http://schemas.openxmlformats.org/officeDocument/2006/relationships/hyperlink" Target="https://twitter.com/Turanlar_2023" TargetMode="External"/><Relationship Id="rId5866" Type="http://schemas.openxmlformats.org/officeDocument/2006/relationships/hyperlink" Target="https://twitter.com/Scirocco_Tuning/status/723220624768937984" TargetMode="External"/><Relationship Id="rId18280" Type="http://schemas.openxmlformats.org/officeDocument/2006/relationships/hyperlink" Target="https://twitter.com/vwpress_de" TargetMode="External"/><Relationship Id="rId22676" Type="http://schemas.openxmlformats.org/officeDocument/2006/relationships/hyperlink" Target="https://twitter.com/beetlebug1938/status/724238933341667329" TargetMode="External"/><Relationship Id="rId5519" Type="http://schemas.openxmlformats.org/officeDocument/2006/relationships/hyperlink" Target="https://pbs.twimg.com/profile_images/716696142139015168/rtYZ9hGF_normal.jpg" TargetMode="External"/><Relationship Id="rId11320" Type="http://schemas.openxmlformats.org/officeDocument/2006/relationships/hyperlink" Target="https://twitter.com/FreeAviator/status/723500913600663552" TargetMode="External"/><Relationship Id="rId14890" Type="http://schemas.openxmlformats.org/officeDocument/2006/relationships/hyperlink" Target="https://twitter.com/HistoricPeriods/status/723586267628339200" TargetMode="External"/><Relationship Id="rId22329" Type="http://schemas.openxmlformats.org/officeDocument/2006/relationships/hyperlink" Target="https://pbs.twimg.com/profile_images/3187379824/d5042982950c153c9ef96bc42e851fab_normal.jpeg" TargetMode="External"/><Relationship Id="rId14543" Type="http://schemas.openxmlformats.org/officeDocument/2006/relationships/hyperlink" Target="https://twitter.com/sempretranquila/status/723575283010383872" TargetMode="External"/><Relationship Id="rId4602" Type="http://schemas.openxmlformats.org/officeDocument/2006/relationships/hyperlink" Target="https://twitter.com/dwnews/status/723183521280323588" TargetMode="External"/><Relationship Id="rId12094" Type="http://schemas.openxmlformats.org/officeDocument/2006/relationships/hyperlink" Target="https://twitter.com/Jeckyll_Havok" TargetMode="External"/><Relationship Id="rId17766" Type="http://schemas.openxmlformats.org/officeDocument/2006/relationships/hyperlink" Target="http://dlvr.it/" TargetMode="External"/><Relationship Id="rId21412" Type="http://schemas.openxmlformats.org/officeDocument/2006/relationships/hyperlink" Target="https://pbs.twimg.com/profile_images/520636460295548931/obBYjqPM_normal.jpeg" TargetMode="External"/><Relationship Id="rId24982" Type="http://schemas.openxmlformats.org/officeDocument/2006/relationships/hyperlink" Target="https://twitter.com/iamsalimali" TargetMode="External"/><Relationship Id="rId472" Type="http://schemas.openxmlformats.org/officeDocument/2006/relationships/hyperlink" Target="https://pbs.twimg.com/profile_images/540633420636778496/e4HMVsPM_normal.jpeg" TargetMode="External"/><Relationship Id="rId2153" Type="http://schemas.openxmlformats.org/officeDocument/2006/relationships/hyperlink" Target="https://twitter.com/wehrs18/status/723084523848638464" TargetMode="External"/><Relationship Id="rId7825" Type="http://schemas.openxmlformats.org/officeDocument/2006/relationships/hyperlink" Target="https://twitter.com/MDBlanchfield" TargetMode="External"/><Relationship Id="rId17419" Type="http://schemas.openxmlformats.org/officeDocument/2006/relationships/hyperlink" Target="https://twitter.com/JoeFeltch" TargetMode="External"/><Relationship Id="rId24635" Type="http://schemas.openxmlformats.org/officeDocument/2006/relationships/hyperlink" Target="https://twitter.com/DubLuvTuning/status/724380455743700993" TargetMode="External"/><Relationship Id="rId125" Type="http://schemas.openxmlformats.org/officeDocument/2006/relationships/hyperlink" Target="https://pbs.twimg.com/profile_images/674772208972111872/j_kUU3s__normal.jpg" TargetMode="External"/><Relationship Id="rId5376" Type="http://schemas.openxmlformats.org/officeDocument/2006/relationships/hyperlink" Target="https://pbs.twimg.com/profile_images/718820712757215233/LXXndPTS_normal.jpg" TargetMode="External"/><Relationship Id="rId10806" Type="http://schemas.openxmlformats.org/officeDocument/2006/relationships/hyperlink" Target="https://twitter.com/MKIVR/status/723485561877467141" TargetMode="External"/><Relationship Id="rId22186" Type="http://schemas.openxmlformats.org/officeDocument/2006/relationships/hyperlink" Target="https://pbs.twimg.com/profile_images/718820712757215233/LXXndPTS_normal.jpg" TargetMode="External"/><Relationship Id="rId5029" Type="http://schemas.openxmlformats.org/officeDocument/2006/relationships/hyperlink" Target="http://dlvr.it/" TargetMode="External"/><Relationship Id="rId8599" Type="http://schemas.openxmlformats.org/officeDocument/2006/relationships/hyperlink" Target="https://pbs.twimg.com/profile_images/378800000572104796/1de43e1cf23efb3f4101c02afad0d3b6_normal.png" TargetMode="External"/><Relationship Id="rId1986" Type="http://schemas.openxmlformats.org/officeDocument/2006/relationships/hyperlink" Target="https://twitter.com/Frank_unternehm" TargetMode="External"/><Relationship Id="rId16502" Type="http://schemas.openxmlformats.org/officeDocument/2006/relationships/hyperlink" Target="https://abs.twimg.com/sticky/default_profile_images/default_profile_0_normal.png" TargetMode="External"/><Relationship Id="rId1639" Type="http://schemas.openxmlformats.org/officeDocument/2006/relationships/hyperlink" Target="https://pbs.twimg.com/profile_images/710929065939755009/-Rgs_z20_normal.jpg" TargetMode="External"/><Relationship Id="rId14053" Type="http://schemas.openxmlformats.org/officeDocument/2006/relationships/hyperlink" Target="https://twitter.com/jamesumpherson/status/723562700878401536" TargetMode="External"/><Relationship Id="rId19725" Type="http://schemas.openxmlformats.org/officeDocument/2006/relationships/hyperlink" Target="https://twitter.com/santi_lopezz30/status/723950624669310976" TargetMode="External"/><Relationship Id="rId4112" Type="http://schemas.openxmlformats.org/officeDocument/2006/relationships/hyperlink" Target="https://twitter.com/pphunky/status/723176617288167426" TargetMode="External"/><Relationship Id="rId7682" Type="http://schemas.openxmlformats.org/officeDocument/2006/relationships/hyperlink" Target="https://twitter.com/RadialTVcom/status/723323645074919424" TargetMode="External"/><Relationship Id="rId10663" Type="http://schemas.openxmlformats.org/officeDocument/2006/relationships/hyperlink" Target="https://pbs.twimg.com/profile_images/714318878332030976/KvGI7HF9_normal.jpg" TargetMode="External"/><Relationship Id="rId17276" Type="http://schemas.openxmlformats.org/officeDocument/2006/relationships/hyperlink" Target="https://twitter.com/Sufiy/status/723786930102636544" TargetMode="External"/><Relationship Id="rId24492" Type="http://schemas.openxmlformats.org/officeDocument/2006/relationships/hyperlink" Target="https://twitter.com/VWCamperSales/status/724365195259191296" TargetMode="External"/><Relationship Id="rId7335" Type="http://schemas.openxmlformats.org/officeDocument/2006/relationships/hyperlink" Target="https://twitter.com/R1Concepts" TargetMode="External"/><Relationship Id="rId10316" Type="http://schemas.openxmlformats.org/officeDocument/2006/relationships/hyperlink" Target="https://twitter.com/alexvr6" TargetMode="External"/><Relationship Id="rId24145" Type="http://schemas.openxmlformats.org/officeDocument/2006/relationships/hyperlink" Target="https://twitter.com/weKitesurf" TargetMode="External"/><Relationship Id="rId13886" Type="http://schemas.openxmlformats.org/officeDocument/2006/relationships/hyperlink" Target="https://pbs.twimg.com/profile_images/378800000210197475/0dc436cb9044eecbb42d45b90630a327_normal.jpeg" TargetMode="External"/><Relationship Id="rId1496" Type="http://schemas.openxmlformats.org/officeDocument/2006/relationships/hyperlink" Target="https://pbs.twimg.com/profile_images/715774572742750208/3hmVtMBE_normal.jpg" TargetMode="External"/><Relationship Id="rId3945" Type="http://schemas.openxmlformats.org/officeDocument/2006/relationships/hyperlink" Target="https://twitter.com/rodelurmatan" TargetMode="External"/><Relationship Id="rId13539" Type="http://schemas.openxmlformats.org/officeDocument/2006/relationships/hyperlink" Target="https://twitter.com/Fifth_Ave_VW" TargetMode="External"/><Relationship Id="rId16012" Type="http://schemas.openxmlformats.org/officeDocument/2006/relationships/hyperlink" Target="https://pbs.twimg.com/profile_images/661670085459886081/ntDsP93E_normal.jpg" TargetMode="External"/><Relationship Id="rId20755" Type="http://schemas.openxmlformats.org/officeDocument/2006/relationships/hyperlink" Target="https://pbs.twimg.com/profile_images/696166674836254720/2dvOBRdF_normal.jpg" TargetMode="External"/><Relationship Id="rId1149" Type="http://schemas.openxmlformats.org/officeDocument/2006/relationships/hyperlink" Target="https://twitter.com/RaiSuedtirol" TargetMode="External"/><Relationship Id="rId19582" Type="http://schemas.openxmlformats.org/officeDocument/2006/relationships/hyperlink" Target="https://pbs.twimg.com/profile_images/378800000572104796/1de43e1cf23efb3f4101c02afad0d3b6_normal.png" TargetMode="External"/><Relationship Id="rId20408" Type="http://schemas.openxmlformats.org/officeDocument/2006/relationships/hyperlink" Target="https://twitter.com/LDCcreations/status/723996698561929216" TargetMode="External"/><Relationship Id="rId23978" Type="http://schemas.openxmlformats.org/officeDocument/2006/relationships/hyperlink" Target="http://dlvr.it/" TargetMode="External"/><Relationship Id="rId7192" Type="http://schemas.openxmlformats.org/officeDocument/2006/relationships/hyperlink" Target="https://twitter.com/EscobarVW" TargetMode="External"/><Relationship Id="rId9641" Type="http://schemas.openxmlformats.org/officeDocument/2006/relationships/hyperlink" Target="https://abs.twimg.com/sticky/default_profile_images/default_profile_4_normal.png" TargetMode="External"/><Relationship Id="rId12622" Type="http://schemas.openxmlformats.org/officeDocument/2006/relationships/hyperlink" Target="https://pbs.twimg.com/profile_images/695355061635932160/5oTfZ6Ac_normal.jpg" TargetMode="External"/><Relationship Id="rId19235" Type="http://schemas.openxmlformats.org/officeDocument/2006/relationships/hyperlink" Target="https://pbs.twimg.com/profile_images/539582537400844288/V0O1qkdR_normal.jpeg" TargetMode="External"/><Relationship Id="rId10173" Type="http://schemas.openxmlformats.org/officeDocument/2006/relationships/hyperlink" Target="https://pbs.twimg.com/profile_images/723202891931115520/8IpDI-Uw_normal.jpg" TargetMode="External"/><Relationship Id="rId15845" Type="http://schemas.openxmlformats.org/officeDocument/2006/relationships/hyperlink" Target="https://twitter.com/beetlebug1938" TargetMode="External"/><Relationship Id="rId5904" Type="http://schemas.openxmlformats.org/officeDocument/2006/relationships/hyperlink" Target="http://ctrlq.org/maps/address/" TargetMode="External"/><Relationship Id="rId13396" Type="http://schemas.openxmlformats.org/officeDocument/2006/relationships/hyperlink" Target="https://pbs.twimg.com/profile_images/378800000572104796/1de43e1cf23efb3f4101c02afad0d3b6_normal.png" TargetMode="External"/><Relationship Id="rId22714" Type="http://schemas.openxmlformats.org/officeDocument/2006/relationships/hyperlink" Target="https://twitter.com/used4x4parts/status/724240845864624130" TargetMode="External"/><Relationship Id="rId3455" Type="http://schemas.openxmlformats.org/officeDocument/2006/relationships/hyperlink" Target="https://pbs.twimg.com/profile_images/661893848235384832/10AOdchX_normal.png" TargetMode="External"/><Relationship Id="rId13049" Type="http://schemas.openxmlformats.org/officeDocument/2006/relationships/hyperlink" Target="https://twitter.com/WesHellyar/status/723534404027478016" TargetMode="External"/><Relationship Id="rId20265" Type="http://schemas.openxmlformats.org/officeDocument/2006/relationships/hyperlink" Target="https://pbs.twimg.com/profile_images/2327285864/Joon537_normal.jpg" TargetMode="External"/><Relationship Id="rId3108" Type="http://schemas.openxmlformats.org/officeDocument/2006/relationships/hyperlink" Target="http://dlvr.it/" TargetMode="External"/><Relationship Id="rId6678" Type="http://schemas.openxmlformats.org/officeDocument/2006/relationships/hyperlink" Target="https://twitter.com/VWCamperSales" TargetMode="External"/><Relationship Id="rId19092" Type="http://schemas.openxmlformats.org/officeDocument/2006/relationships/hyperlink" Target="https://pbs.twimg.com/profile_images/677218792473272320/D3XJHjN8_normal.jpg" TargetMode="External"/><Relationship Id="rId23488" Type="http://schemas.openxmlformats.org/officeDocument/2006/relationships/hyperlink" Target="https://twitter.com/writing_roach" TargetMode="External"/><Relationship Id="rId9151" Type="http://schemas.openxmlformats.org/officeDocument/2006/relationships/hyperlink" Target="https://twitter.com/NegroAutomobili/status/723422163265458177" TargetMode="External"/><Relationship Id="rId12132" Type="http://schemas.openxmlformats.org/officeDocument/2006/relationships/hyperlink" Target="https://twitter.com/BostonGlobe" TargetMode="External"/><Relationship Id="rId17804" Type="http://schemas.openxmlformats.org/officeDocument/2006/relationships/hyperlink" Target="https://twitter.com/ciocirlans" TargetMode="External"/><Relationship Id="rId510" Type="http://schemas.openxmlformats.org/officeDocument/2006/relationships/hyperlink" Target="https://twitter.com/BeginTry" TargetMode="External"/><Relationship Id="rId5761" Type="http://schemas.openxmlformats.org/officeDocument/2006/relationships/hyperlink" Target="https://pbs.twimg.com/profile_images/445121132337713152/P-netA67_normal.jpeg" TargetMode="External"/><Relationship Id="rId15355" Type="http://schemas.openxmlformats.org/officeDocument/2006/relationships/hyperlink" Target="https://twitter.com/Judebram/status/723604744628002817" TargetMode="External"/><Relationship Id="rId22571" Type="http://schemas.openxmlformats.org/officeDocument/2006/relationships/hyperlink" Target="https://pbs.twimg.com/profile_images/703294545195307008/qeCvrX86_normal.jpg" TargetMode="External"/><Relationship Id="rId5414" Type="http://schemas.openxmlformats.org/officeDocument/2006/relationships/hyperlink" Target="https://twitter.com/VWCamperSales" TargetMode="External"/><Relationship Id="rId8984" Type="http://schemas.openxmlformats.org/officeDocument/2006/relationships/hyperlink" Target="https://twitter.com/beetlebug1938" TargetMode="External"/><Relationship Id="rId15008" Type="http://schemas.openxmlformats.org/officeDocument/2006/relationships/hyperlink" Target="https://twitter.com/luchomarinacci/status/723589893822263297" TargetMode="External"/><Relationship Id="rId18578" Type="http://schemas.openxmlformats.org/officeDocument/2006/relationships/hyperlink" Target="https://twitter.com/a_cologne/status/723881096115544064" TargetMode="External"/><Relationship Id="rId22224" Type="http://schemas.openxmlformats.org/officeDocument/2006/relationships/hyperlink" Target="https://pbs.twimg.com/profile_images/699632550373945344/CUA_buIN_normal.jpg" TargetMode="External"/><Relationship Id="rId8637" Type="http://schemas.openxmlformats.org/officeDocument/2006/relationships/hyperlink" Target="https://twitter.com/IlseTV/status/723399574421790722" TargetMode="External"/><Relationship Id="rId11965" Type="http://schemas.openxmlformats.org/officeDocument/2006/relationships/hyperlink" Target="https://twitter.com/lamontto/status/723511230388920320" TargetMode="External"/><Relationship Id="rId25447" Type="http://schemas.openxmlformats.org/officeDocument/2006/relationships/hyperlink" Target="https://twitter.com/MarketScan1" TargetMode="External"/><Relationship Id="rId6188" Type="http://schemas.openxmlformats.org/officeDocument/2006/relationships/hyperlink" Target="http://dlvr.it/" TargetMode="External"/><Relationship Id="rId11618" Type="http://schemas.openxmlformats.org/officeDocument/2006/relationships/hyperlink" Target="https://twitter.com/cducsubt" TargetMode="External"/><Relationship Id="rId17661" Type="http://schemas.openxmlformats.org/officeDocument/2006/relationships/hyperlink" Target="https://twitter.com/Autourtiti" TargetMode="External"/><Relationship Id="rId2798" Type="http://schemas.openxmlformats.org/officeDocument/2006/relationships/hyperlink" Target="https://pbs.twimg.com/profile_images/702511217793863680/lty8h9vE_normal.jpg" TargetMode="External"/><Relationship Id="rId5271" Type="http://schemas.openxmlformats.org/officeDocument/2006/relationships/hyperlink" Target="https://twitter.com/BobCockerham" TargetMode="External"/><Relationship Id="rId7720" Type="http://schemas.openxmlformats.org/officeDocument/2006/relationships/hyperlink" Target="https://pbs.twimg.com/profile_images/378800000109961888/1fe63c1eeb42ea998aeb8b47c703db0c_normal.jpeg" TargetMode="External"/><Relationship Id="rId10701" Type="http://schemas.openxmlformats.org/officeDocument/2006/relationships/hyperlink" Target="https://twitter.com/Adriacaravans/status/723481476071874560" TargetMode="External"/><Relationship Id="rId17314" Type="http://schemas.openxmlformats.org/officeDocument/2006/relationships/hyperlink" Target="https://twitter.com/dabbelu" TargetMode="External"/><Relationship Id="rId24530" Type="http://schemas.openxmlformats.org/officeDocument/2006/relationships/hyperlink" Target="https://pbs.twimg.com/profile_images/718835727027580928/1ssyQ67y_normal.jpg" TargetMode="External"/><Relationship Id="rId13924" Type="http://schemas.openxmlformats.org/officeDocument/2006/relationships/hyperlink" Target="https://twitter.com/KrahMax/status/723558838960545792" TargetMode="External"/><Relationship Id="rId22081" Type="http://schemas.openxmlformats.org/officeDocument/2006/relationships/hyperlink" Target="https://pbs.twimg.com/profile_images/708353303667671040/p6l9LTSb_normal.jpg" TargetMode="External"/><Relationship Id="rId1881" Type="http://schemas.openxmlformats.org/officeDocument/2006/relationships/hyperlink" Target="https://pbs.twimg.com/profile_images/690210351649005568/MsJLMgBm_normal.jpg" TargetMode="External"/><Relationship Id="rId8494" Type="http://schemas.openxmlformats.org/officeDocument/2006/relationships/hyperlink" Target="https://twitter.com/chmeell/status/723390979869302785" TargetMode="External"/><Relationship Id="rId11475" Type="http://schemas.openxmlformats.org/officeDocument/2006/relationships/hyperlink" Target="https://pbs.twimg.com/profile_images/647516492741742592/3rWnLbC6_normal.png" TargetMode="External"/><Relationship Id="rId18088" Type="http://schemas.openxmlformats.org/officeDocument/2006/relationships/hyperlink" Target="https://twitter.com/mattdownstch1/status/723844649400582144" TargetMode="External"/><Relationship Id="rId1534" Type="http://schemas.openxmlformats.org/officeDocument/2006/relationships/hyperlink" Target="https://pbs.twimg.com/profile_images/718041603957473282/OmNS8fO8_normal.jpg" TargetMode="External"/><Relationship Id="rId8147" Type="http://schemas.openxmlformats.org/officeDocument/2006/relationships/hyperlink" Target="https://twitter.com/OnlineCarReview/status/723371890455105536" TargetMode="External"/><Relationship Id="rId11128" Type="http://schemas.openxmlformats.org/officeDocument/2006/relationships/hyperlink" Target="https://pbs.twimg.com/profile_images/613550335307612160/IseYDiEM_normal.jpg" TargetMode="External"/><Relationship Id="rId14698" Type="http://schemas.openxmlformats.org/officeDocument/2006/relationships/hyperlink" Target="https://twitter.com/BalrajGhattaura" TargetMode="External"/><Relationship Id="rId4757" Type="http://schemas.openxmlformats.org/officeDocument/2006/relationships/hyperlink" Target="https://twitter.com/BILD_Reporter/status/723186837859217408" TargetMode="External"/><Relationship Id="rId17171" Type="http://schemas.openxmlformats.org/officeDocument/2006/relationships/hyperlink" Target="https://twitter.com/Insta_VWT/status/723775764567580672" TargetMode="External"/><Relationship Id="rId19620" Type="http://schemas.openxmlformats.org/officeDocument/2006/relationships/hyperlink" Target="https://twitter.com/VWCamperSales/status/723943659532509187" TargetMode="External"/><Relationship Id="rId21567" Type="http://schemas.openxmlformats.org/officeDocument/2006/relationships/hyperlink" Target="https://pbs.twimg.com/profile_images/636137995150692353/SzYQtSNS_normal.jpg" TargetMode="External"/><Relationship Id="rId7230" Type="http://schemas.openxmlformats.org/officeDocument/2006/relationships/hyperlink" Target="https://twitter.com/battleforeurope/status/723288036956459008" TargetMode="External"/><Relationship Id="rId24040" Type="http://schemas.openxmlformats.org/officeDocument/2006/relationships/hyperlink" Target="http://dlvr.it/" TargetMode="External"/><Relationship Id="rId10211" Type="http://schemas.openxmlformats.org/officeDocument/2006/relationships/hyperlink" Target="https://twitter.com/aktuelle_stunde/status/723465901203402752" TargetMode="External"/><Relationship Id="rId13781" Type="http://schemas.openxmlformats.org/officeDocument/2006/relationships/hyperlink" Target="https://twitter.com/morgenlab/status/723556005871771648" TargetMode="External"/><Relationship Id="rId3840" Type="http://schemas.openxmlformats.org/officeDocument/2006/relationships/hyperlink" Target="https://twitter.com/jannikkel6/status/723170543420231680" TargetMode="External"/><Relationship Id="rId13434" Type="http://schemas.openxmlformats.org/officeDocument/2006/relationships/hyperlink" Target="http://ctrlq.org/maps/address/" TargetMode="External"/><Relationship Id="rId20650" Type="http://schemas.openxmlformats.org/officeDocument/2006/relationships/hyperlink" Target="https://pbs.twimg.com/profile_images/722242822301159424/nrziq21L_normal.jpg" TargetMode="External"/><Relationship Id="rId1391" Type="http://schemas.openxmlformats.org/officeDocument/2006/relationships/hyperlink" Target="https://twitter.com/BelleNews" TargetMode="External"/><Relationship Id="rId16657" Type="http://schemas.openxmlformats.org/officeDocument/2006/relationships/hyperlink" Target="https://pbs.twimg.com/profile_images/1315649415/izatwitter_________normal.jpg" TargetMode="External"/><Relationship Id="rId20303" Type="http://schemas.openxmlformats.org/officeDocument/2006/relationships/hyperlink" Target="https://twitter.com/Nexovision" TargetMode="External"/><Relationship Id="rId23873" Type="http://schemas.openxmlformats.org/officeDocument/2006/relationships/hyperlink" Target="https://pbs.twimg.com/profile_images/1606013134/PistonKafalar_logo_normal.jpg" TargetMode="External"/><Relationship Id="rId1044" Type="http://schemas.openxmlformats.org/officeDocument/2006/relationships/hyperlink" Target="https://twitter.com/ivomechels" TargetMode="External"/><Relationship Id="rId6716" Type="http://schemas.openxmlformats.org/officeDocument/2006/relationships/hyperlink" Target="https://pbs.twimg.com/profile_images/493776708323913728/zZI150Dt_normal.png" TargetMode="External"/><Relationship Id="rId19130" Type="http://schemas.openxmlformats.org/officeDocument/2006/relationships/hyperlink" Target="https://pbs.twimg.com/profile_images/539624694534901760/QEJR_4Xl_normal.jpeg" TargetMode="External"/><Relationship Id="rId23526" Type="http://schemas.openxmlformats.org/officeDocument/2006/relationships/hyperlink" Target="https://twitter.com/DivolVW/status/724295866257956864" TargetMode="External"/><Relationship Id="rId4267" Type="http://schemas.openxmlformats.org/officeDocument/2006/relationships/hyperlink" Target="https://pbs.twimg.com/profile_images/641727245841747968/wzxt2q1V_normal.jpg" TargetMode="External"/><Relationship Id="rId9939" Type="http://schemas.openxmlformats.org/officeDocument/2006/relationships/hyperlink" Target="http://instock.de/" TargetMode="External"/><Relationship Id="rId21077" Type="http://schemas.openxmlformats.org/officeDocument/2006/relationships/hyperlink" Target="https://twitter.com/Braulio_Urresti/status/724094397739065348" TargetMode="External"/><Relationship Id="rId15740" Type="http://schemas.openxmlformats.org/officeDocument/2006/relationships/hyperlink" Target="https://pbs.twimg.com/profile_images/83066316/1249401_normal.jpeg" TargetMode="External"/><Relationship Id="rId3350" Type="http://schemas.openxmlformats.org/officeDocument/2006/relationships/hyperlink" Target="https://twitter.com/BlancoGoonzalo/status/723152918728286208" TargetMode="External"/><Relationship Id="rId13291" Type="http://schemas.openxmlformats.org/officeDocument/2006/relationships/hyperlink" Target="https://pbs.twimg.com/profile_images/3369387691/8dd48ed42f95dd55b227e4add94d0632_normal.jpeg" TargetMode="External"/><Relationship Id="rId18963" Type="http://schemas.openxmlformats.org/officeDocument/2006/relationships/hyperlink" Target="https://twitter.com/RobsterRound" TargetMode="External"/><Relationship Id="rId3003" Type="http://schemas.openxmlformats.org/officeDocument/2006/relationships/hyperlink" Target="https://twitter.com/NinjaRemoval/status/723131558010429440" TargetMode="External"/><Relationship Id="rId18616" Type="http://schemas.openxmlformats.org/officeDocument/2006/relationships/hyperlink" Target="https://pbs.twimg.com/profile_images/590138055014670337/F8_y0IBj_normal.jpg" TargetMode="External"/><Relationship Id="rId20160" Type="http://schemas.openxmlformats.org/officeDocument/2006/relationships/hyperlink" Target="https://pbs.twimg.com/profile_images/549908720063234051/r3Mc9VAA_normal.jpeg" TargetMode="External"/><Relationship Id="rId6573" Type="http://schemas.openxmlformats.org/officeDocument/2006/relationships/hyperlink" Target="https://twitter.com/samantha_gilham/status/723246887990616064" TargetMode="External"/><Relationship Id="rId16167" Type="http://schemas.openxmlformats.org/officeDocument/2006/relationships/hyperlink" Target="https://twitter.com/rgoverstreet" TargetMode="External"/><Relationship Id="rId23383" Type="http://schemas.openxmlformats.org/officeDocument/2006/relationships/hyperlink" Target="https://pbs.twimg.com/profile_images/703294545195307008/qeCvrX86_normal.jpg" TargetMode="External"/><Relationship Id="rId6226" Type="http://schemas.openxmlformats.org/officeDocument/2006/relationships/hyperlink" Target="https://twitter.com/K2GNetworking/status/723235670949507087" TargetMode="External"/><Relationship Id="rId9796" Type="http://schemas.openxmlformats.org/officeDocument/2006/relationships/hyperlink" Target="https://pbs.twimg.com/profile_images/703294545195307008/qeCvrX86_normal.jpg" TargetMode="External"/><Relationship Id="rId12777" Type="http://schemas.openxmlformats.org/officeDocument/2006/relationships/hyperlink" Target="http://ctrlq.org/maps/address/" TargetMode="External"/><Relationship Id="rId23036" Type="http://schemas.openxmlformats.org/officeDocument/2006/relationships/hyperlink" Target="https://twitter.com/VWBeetleSales" TargetMode="External"/><Relationship Id="rId2836" Type="http://schemas.openxmlformats.org/officeDocument/2006/relationships/hyperlink" Target="https://twitter.com/DubLuvTuning/status/723121567375437824" TargetMode="External"/><Relationship Id="rId9449" Type="http://schemas.openxmlformats.org/officeDocument/2006/relationships/hyperlink" Target="https://twitter.com/VolkswagenPost/status/723435453945257985" TargetMode="External"/><Relationship Id="rId15250" Type="http://schemas.openxmlformats.org/officeDocument/2006/relationships/hyperlink" Target="https://twitter.com/Mazzariello85/status/723600589389750273" TargetMode="External"/><Relationship Id="rId808" Type="http://schemas.openxmlformats.org/officeDocument/2006/relationships/hyperlink" Target="https://twitter.com/manbitesfilm/status/722986065674424320" TargetMode="External"/><Relationship Id="rId11860" Type="http://schemas.openxmlformats.org/officeDocument/2006/relationships/hyperlink" Target="https://pbs.twimg.com/profile_images/441017002224660480/wMS_0yBK_normal.jpeg" TargetMode="External"/><Relationship Id="rId18473" Type="http://schemas.openxmlformats.org/officeDocument/2006/relationships/hyperlink" Target="https://twitter.com/VWCamperSales" TargetMode="External"/><Relationship Id="rId22869" Type="http://schemas.openxmlformats.org/officeDocument/2006/relationships/hyperlink" Target="https://twitter.com/kan2121/status/724253539963281408" TargetMode="External"/><Relationship Id="rId6083" Type="http://schemas.openxmlformats.org/officeDocument/2006/relationships/hyperlink" Target="https://twitter.com/Mphilpot1/status/723229616790331394" TargetMode="External"/><Relationship Id="rId8532" Type="http://schemas.openxmlformats.org/officeDocument/2006/relationships/hyperlink" Target="https://pbs.twimg.com/profile_images/536822156298948608/pH18GNjo_normal.jpeg" TargetMode="External"/><Relationship Id="rId11513" Type="http://schemas.openxmlformats.org/officeDocument/2006/relationships/hyperlink" Target="https://twitter.com/whyrvalone/status/723503137852518401" TargetMode="External"/><Relationship Id="rId18126" Type="http://schemas.openxmlformats.org/officeDocument/2006/relationships/hyperlink" Target="https://twitter.com/FuscaWorld" TargetMode="External"/><Relationship Id="rId25342" Type="http://schemas.openxmlformats.org/officeDocument/2006/relationships/hyperlink" Target="https://twitter.com/miguelhgo/status/724432087479148544" TargetMode="External"/><Relationship Id="rId14736" Type="http://schemas.openxmlformats.org/officeDocument/2006/relationships/hyperlink" Target="https://pbs.twimg.com/profile_images/715271545690722305/zk42HaIU_normal.jpg" TargetMode="External"/><Relationship Id="rId21952" Type="http://schemas.openxmlformats.org/officeDocument/2006/relationships/hyperlink" Target="https://pbs.twimg.com/profile_images/467757246651174914/-pJF7EvU_normal.jpeg" TargetMode="External"/><Relationship Id="rId2693" Type="http://schemas.openxmlformats.org/officeDocument/2006/relationships/hyperlink" Target="https://pbs.twimg.com/profile_images/580855319364018176/SQZHsdYj_normal.jpg" TargetMode="External"/><Relationship Id="rId12287" Type="http://schemas.openxmlformats.org/officeDocument/2006/relationships/hyperlink" Target="https://twitter.com/markuspieperMEP/status/723516684598927360" TargetMode="External"/><Relationship Id="rId21605" Type="http://schemas.openxmlformats.org/officeDocument/2006/relationships/hyperlink" Target="https://twitter.com/hashtagvanlife/status/724163377803747328" TargetMode="External"/><Relationship Id="rId665" Type="http://schemas.openxmlformats.org/officeDocument/2006/relationships/hyperlink" Target="https://pbs.twimg.com/profile_images/539559893074984961/1N3X2rAJ_normal.jpeg" TargetMode="External"/><Relationship Id="rId2346" Type="http://schemas.openxmlformats.org/officeDocument/2006/relationships/hyperlink" Target="https://twitter.com/DoMarMac" TargetMode="External"/><Relationship Id="rId17959" Type="http://schemas.openxmlformats.org/officeDocument/2006/relationships/hyperlink" Target="https://pbs.twimg.com/profile_images/3677650507/e310667f83e2740eaa9aeed33afb0e6b_normal.jpeg" TargetMode="External"/><Relationship Id="rId318" Type="http://schemas.openxmlformats.org/officeDocument/2006/relationships/hyperlink" Target="https://pbs.twimg.com/profile_images/530071272881803264/a_jcCmPZ_normal.png" TargetMode="External"/><Relationship Id="rId5569" Type="http://schemas.openxmlformats.org/officeDocument/2006/relationships/hyperlink" Target="https://twitter.com/cleanairfrank" TargetMode="External"/><Relationship Id="rId22379" Type="http://schemas.openxmlformats.org/officeDocument/2006/relationships/hyperlink" Target="https://pbs.twimg.com/profile_images/662933534638792704/Dksc_Ut9_normal.jpg" TargetMode="External"/><Relationship Id="rId24828" Type="http://schemas.openxmlformats.org/officeDocument/2006/relationships/hyperlink" Target="https://pbs.twimg.com/profile_images/594571673698865152/Tz1sTKX4_normal.jpg" TargetMode="External"/><Relationship Id="rId8042" Type="http://schemas.openxmlformats.org/officeDocument/2006/relationships/hyperlink" Target="https://twitter.com/CentrevilleVW/status/723354379185729536" TargetMode="External"/><Relationship Id="rId11370" Type="http://schemas.openxmlformats.org/officeDocument/2006/relationships/hyperlink" Target="https://pbs.twimg.com/profile_images/512186271926456320/s-MV33B3_normal.jpeg" TargetMode="External"/><Relationship Id="rId11023" Type="http://schemas.openxmlformats.org/officeDocument/2006/relationships/hyperlink" Target="https://twitter.com/SalihiShejzije" TargetMode="External"/><Relationship Id="rId14593" Type="http://schemas.openxmlformats.org/officeDocument/2006/relationships/hyperlink" Target="https://twitter.com/fan_burnnotice/status/723576218352758784" TargetMode="External"/><Relationship Id="rId23911" Type="http://schemas.openxmlformats.org/officeDocument/2006/relationships/hyperlink" Target="https://pbs.twimg.com/profile_images/689135486544293889/vPAeUEzo_normal.jpg" TargetMode="External"/><Relationship Id="rId4652" Type="http://schemas.openxmlformats.org/officeDocument/2006/relationships/hyperlink" Target="https://twitter.com/scribblerDE/status/723184290075385856" TargetMode="External"/><Relationship Id="rId14246" Type="http://schemas.openxmlformats.org/officeDocument/2006/relationships/hyperlink" Target="https://twitter.com/kevinjamaica111/status/723570842555322369" TargetMode="External"/><Relationship Id="rId19918" Type="http://schemas.openxmlformats.org/officeDocument/2006/relationships/hyperlink" Target="https://twitter.com/nunezjuanc" TargetMode="External"/><Relationship Id="rId21462" Type="http://schemas.openxmlformats.org/officeDocument/2006/relationships/hyperlink" Target="https://twitter.com/lilicedenice/status/724150393698193408" TargetMode="External"/><Relationship Id="rId175" Type="http://schemas.openxmlformats.org/officeDocument/2006/relationships/hyperlink" Target="https://twitter.com/ARAinLA/status/722932447688527872" TargetMode="External"/><Relationship Id="rId4305" Type="http://schemas.openxmlformats.org/officeDocument/2006/relationships/hyperlink" Target="https://twitter.com/DarthSquig" TargetMode="External"/><Relationship Id="rId7875" Type="http://schemas.openxmlformats.org/officeDocument/2006/relationships/hyperlink" Target="https://pbs.twimg.com/profile_images/705780107844067328/e7O4UBNb_normal.jpg" TargetMode="External"/><Relationship Id="rId10856" Type="http://schemas.openxmlformats.org/officeDocument/2006/relationships/hyperlink" Target="https://pbs.twimg.com/profile_images/626150798590902273/qUbM1D-g_normal.jpg" TargetMode="External"/><Relationship Id="rId17469" Type="http://schemas.openxmlformats.org/officeDocument/2006/relationships/hyperlink" Target="https://pbs.twimg.com/profile_images/612158537448472576/bQPPZ83Y_normal.jpg" TargetMode="External"/><Relationship Id="rId21115" Type="http://schemas.openxmlformats.org/officeDocument/2006/relationships/hyperlink" Target="https://pbs.twimg.com/profile_images/2646835465/aa5823578b01b04b7e91d58e8ca88691_normal.jpeg" TargetMode="External"/><Relationship Id="rId24685" Type="http://schemas.openxmlformats.org/officeDocument/2006/relationships/hyperlink" Target="https://twitter.com/Scirocco_Tuning" TargetMode="External"/><Relationship Id="rId7528" Type="http://schemas.openxmlformats.org/officeDocument/2006/relationships/hyperlink" Target="https://twitter.com/Jarlanalovatic/status/723308566690422784" TargetMode="External"/><Relationship Id="rId10509" Type="http://schemas.openxmlformats.org/officeDocument/2006/relationships/hyperlink" Target="http://ctrlq.org/maps/address/" TargetMode="External"/><Relationship Id="rId24338" Type="http://schemas.openxmlformats.org/officeDocument/2006/relationships/hyperlink" Target="https://twitter.com/JamieFlinton" TargetMode="External"/><Relationship Id="rId5079" Type="http://schemas.openxmlformats.org/officeDocument/2006/relationships/hyperlink" Target="https://twitter.com/sip_media" TargetMode="External"/><Relationship Id="rId1689" Type="http://schemas.openxmlformats.org/officeDocument/2006/relationships/hyperlink" Target="https://twitter.com/AvukatQ/status/723053122831028224" TargetMode="External"/><Relationship Id="rId16552" Type="http://schemas.openxmlformats.org/officeDocument/2006/relationships/hyperlink" Target="https://twitter.com/beetlebug1938" TargetMode="External"/><Relationship Id="rId20948" Type="http://schemas.openxmlformats.org/officeDocument/2006/relationships/hyperlink" Target="https://twitter.com/MrMalky" TargetMode="External"/><Relationship Id="rId4162" Type="http://schemas.openxmlformats.org/officeDocument/2006/relationships/hyperlink" Target="https://pbs.twimg.com/profile_images/522759312028884992/6n24auYw_normal.png" TargetMode="External"/><Relationship Id="rId6611" Type="http://schemas.openxmlformats.org/officeDocument/2006/relationships/hyperlink" Target="https://pbs.twimg.com/profile_images/509071000122982400/X7VfGKLE_normal.jpeg" TargetMode="External"/><Relationship Id="rId16205" Type="http://schemas.openxmlformats.org/officeDocument/2006/relationships/hyperlink" Target="https://twitter.com/VWBeetleSales" TargetMode="External"/><Relationship Id="rId19775" Type="http://schemas.openxmlformats.org/officeDocument/2006/relationships/hyperlink" Target="https://twitter.com/VeeDubMk1_/status/723956767269478401" TargetMode="External"/><Relationship Id="rId23421" Type="http://schemas.openxmlformats.org/officeDocument/2006/relationships/hyperlink" Target="https://twitter.com/William24442835/status/724287902830735364" TargetMode="External"/><Relationship Id="rId9834" Type="http://schemas.openxmlformats.org/officeDocument/2006/relationships/hyperlink" Target="https://twitter.com/simonorr32" TargetMode="External"/><Relationship Id="rId12815" Type="http://schemas.openxmlformats.org/officeDocument/2006/relationships/hyperlink" Target="https://twitter.com/vnawrath/status/723528244125949952" TargetMode="External"/><Relationship Id="rId19428" Type="http://schemas.openxmlformats.org/officeDocument/2006/relationships/hyperlink" Target="https://pbs.twimg.com/profile_images/652871584131092480/QA_B6SBO_normal.jpg" TargetMode="External"/><Relationship Id="rId48" Type="http://schemas.openxmlformats.org/officeDocument/2006/relationships/hyperlink" Target="https://pbs.twimg.com/profile_images/718820712757215233/LXXndPTS_normal.jpg" TargetMode="External"/><Relationship Id="rId7385" Type="http://schemas.openxmlformats.org/officeDocument/2006/relationships/hyperlink" Target="https://twitter.com/FloridaEuroAuto" TargetMode="External"/><Relationship Id="rId10366" Type="http://schemas.openxmlformats.org/officeDocument/2006/relationships/hyperlink" Target="https://twitter.com/PatrickMcGee_/status/723470434717540352" TargetMode="External"/><Relationship Id="rId24195" Type="http://schemas.openxmlformats.org/officeDocument/2006/relationships/hyperlink" Target="https://twitter.com/VinniesVVV" TargetMode="External"/><Relationship Id="rId3995" Type="http://schemas.openxmlformats.org/officeDocument/2006/relationships/hyperlink" Target="https://twitter.com/_Ekow_Andoh/status/723174132020580352" TargetMode="External"/><Relationship Id="rId7038" Type="http://schemas.openxmlformats.org/officeDocument/2006/relationships/hyperlink" Target="https://pbs.twimg.com/profile_images/632074492798443520/j3zHKAI2_normal.png" TargetMode="External"/><Relationship Id="rId10019" Type="http://schemas.openxmlformats.org/officeDocument/2006/relationships/hyperlink" Target="https://twitter.com/SNovember_TA/status/723458234347065344" TargetMode="External"/><Relationship Id="rId13589" Type="http://schemas.openxmlformats.org/officeDocument/2006/relationships/hyperlink" Target="https://pbs.twimg.com/profile_images/541519290160386049/ymS0Xkl7_normal.jpeg" TargetMode="External"/><Relationship Id="rId18511" Type="http://schemas.openxmlformats.org/officeDocument/2006/relationships/hyperlink" Target="https://twitter.com/FletcherJonesVW/status/723874321559617536" TargetMode="External"/><Relationship Id="rId3648" Type="http://schemas.openxmlformats.org/officeDocument/2006/relationships/hyperlink" Target="https://twitter.com/VolkerVotsmeier" TargetMode="External"/><Relationship Id="rId16062" Type="http://schemas.openxmlformats.org/officeDocument/2006/relationships/hyperlink" Target="https://twitter.com/andreasw2000/status/723646740755320832" TargetMode="External"/><Relationship Id="rId20458" Type="http://schemas.openxmlformats.org/officeDocument/2006/relationships/hyperlink" Target="https://pbs.twimg.com/profile_images/723790749981126656/ed--OLBT_normal.jpg" TargetMode="External"/><Relationship Id="rId22907" Type="http://schemas.openxmlformats.org/officeDocument/2006/relationships/hyperlink" Target="https://pbs.twimg.com/profile_images/703294545195307008/qeCvrX86_normal.jpg" TargetMode="External"/><Relationship Id="rId1199" Type="http://schemas.openxmlformats.org/officeDocument/2006/relationships/hyperlink" Target="https://twitter.com/rpo_wirtschaft" TargetMode="External"/><Relationship Id="rId6121" Type="http://schemas.openxmlformats.org/officeDocument/2006/relationships/hyperlink" Target="https://twitter.com/VWCamperSales/status/723231382210646016" TargetMode="External"/><Relationship Id="rId9691" Type="http://schemas.openxmlformats.org/officeDocument/2006/relationships/hyperlink" Target="https://twitter.com/Kottem1" TargetMode="External"/><Relationship Id="rId19285" Type="http://schemas.openxmlformats.org/officeDocument/2006/relationships/hyperlink" Target="https://twitter.com/OriginalRadi" TargetMode="External"/><Relationship Id="rId9344" Type="http://schemas.openxmlformats.org/officeDocument/2006/relationships/hyperlink" Target="https://pbs.twimg.com/profile_images/459437340893532161/JWfT0I5C_normal.jpeg" TargetMode="External"/><Relationship Id="rId12672" Type="http://schemas.openxmlformats.org/officeDocument/2006/relationships/hyperlink" Target="https://twitter.com/auxua/status/723524865735688192" TargetMode="External"/><Relationship Id="rId2731" Type="http://schemas.openxmlformats.org/officeDocument/2006/relationships/hyperlink" Target="https://pbs.twimg.com/profile_images/492533556606816256/w2hi5mtM_normal.jpeg" TargetMode="External"/><Relationship Id="rId12325" Type="http://schemas.openxmlformats.org/officeDocument/2006/relationships/hyperlink" Target="https://pbs.twimg.com/profile_images/649200319507755008/yWJYyubW_normal.jpg" TargetMode="External"/><Relationship Id="rId15895" Type="http://schemas.openxmlformats.org/officeDocument/2006/relationships/hyperlink" Target="http://ctrlq.org/maps/address/" TargetMode="External"/><Relationship Id="rId703" Type="http://schemas.openxmlformats.org/officeDocument/2006/relationships/hyperlink" Target="https://twitter.com/ebaycampervans/status/722968486851411968" TargetMode="External"/><Relationship Id="rId5954" Type="http://schemas.openxmlformats.org/officeDocument/2006/relationships/hyperlink" Target="https://twitter.com/Emission_Claims" TargetMode="External"/><Relationship Id="rId15548" Type="http://schemas.openxmlformats.org/officeDocument/2006/relationships/hyperlink" Target="https://twitter.com/nordlohner/status/723612749998231554" TargetMode="External"/><Relationship Id="rId22764" Type="http://schemas.openxmlformats.org/officeDocument/2006/relationships/hyperlink" Target="https://twitter.com/SanRMaadhwa/status/724245059776987137" TargetMode="External"/><Relationship Id="rId5607" Type="http://schemas.openxmlformats.org/officeDocument/2006/relationships/hyperlink" Target="https://pbs.twimg.com/profile_images/508601059866980352/AYlBPmsJ_normal.jpeg" TargetMode="External"/><Relationship Id="rId13099" Type="http://schemas.openxmlformats.org/officeDocument/2006/relationships/hyperlink" Target="http://linkis.com/" TargetMode="External"/><Relationship Id="rId18021" Type="http://schemas.openxmlformats.org/officeDocument/2006/relationships/hyperlink" Target="https://twitter.com/DingosPDR/status/723841773202771968" TargetMode="External"/><Relationship Id="rId22417" Type="http://schemas.openxmlformats.org/officeDocument/2006/relationships/hyperlink" Target="https://pbs.twimg.com/profile_images/704989553413771264/csCZ3zqj_normal.jpg" TargetMode="External"/><Relationship Id="rId3158" Type="http://schemas.openxmlformats.org/officeDocument/2006/relationships/hyperlink" Target="https://twitter.com/VWofLaurel" TargetMode="External"/><Relationship Id="rId12182" Type="http://schemas.openxmlformats.org/officeDocument/2006/relationships/hyperlink" Target="https://twitter.com/notvwcnada/status/723514577623752704" TargetMode="External"/><Relationship Id="rId14631" Type="http://schemas.openxmlformats.org/officeDocument/2006/relationships/hyperlink" Target="https://twitter.com/Insta_VWT" TargetMode="External"/><Relationship Id="rId560" Type="http://schemas.openxmlformats.org/officeDocument/2006/relationships/hyperlink" Target="https://pbs.twimg.com/profile_images/540363354230239232/gFNlJxme_normal.jpeg" TargetMode="External"/><Relationship Id="rId2241" Type="http://schemas.openxmlformats.org/officeDocument/2006/relationships/hyperlink" Target="https://twitter.com/borispucalev" TargetMode="External"/><Relationship Id="rId17854" Type="http://schemas.openxmlformats.org/officeDocument/2006/relationships/hyperlink" Target="https://twitter.com/vwpress_de" TargetMode="External"/><Relationship Id="rId21500" Type="http://schemas.openxmlformats.org/officeDocument/2006/relationships/hyperlink" Target="https://twitter.com/JensHenriksson/status/724152818240724992" TargetMode="External"/><Relationship Id="rId213" Type="http://schemas.openxmlformats.org/officeDocument/2006/relationships/hyperlink" Target="https://pbs.twimg.com/profile_images/702511217793863680/lty8h9vE_normal.jpg" TargetMode="External"/><Relationship Id="rId7913" Type="http://schemas.openxmlformats.org/officeDocument/2006/relationships/hyperlink" Target="https://twitter.com/HartoDeMiMismo" TargetMode="External"/><Relationship Id="rId17507" Type="http://schemas.openxmlformats.org/officeDocument/2006/relationships/hyperlink" Target="https://twitter.com/digitalAngst/status/723803600091254784" TargetMode="External"/><Relationship Id="rId24723" Type="http://schemas.openxmlformats.org/officeDocument/2006/relationships/hyperlink" Target="https://twitter.com/Mrfloyd36/status/724385533447778308" TargetMode="External"/><Relationship Id="rId5464" Type="http://schemas.openxmlformats.org/officeDocument/2006/relationships/hyperlink" Target="https://pbs.twimg.com/profile_images/627949001179037696/skEBkS05_normal.jpg" TargetMode="External"/><Relationship Id="rId15058" Type="http://schemas.openxmlformats.org/officeDocument/2006/relationships/hyperlink" Target="https://pbs.twimg.com/profile_images/489869773597986816/qXB3yWJn_normal.jpeg" TargetMode="External"/><Relationship Id="rId22274" Type="http://schemas.openxmlformats.org/officeDocument/2006/relationships/hyperlink" Target="http://dlvr.it/" TargetMode="External"/><Relationship Id="rId5117" Type="http://schemas.openxmlformats.org/officeDocument/2006/relationships/hyperlink" Target="https://pbs.twimg.com/profile_images/499568960660992003/KqqMP0le_normal.jpeg" TargetMode="External"/><Relationship Id="rId8687" Type="http://schemas.openxmlformats.org/officeDocument/2006/relationships/hyperlink" Target="https://pbs.twimg.com/profile_images/664751224772624384/5z4kQwIv_normal.jpg" TargetMode="External"/><Relationship Id="rId11668" Type="http://schemas.openxmlformats.org/officeDocument/2006/relationships/hyperlink" Target="https://twitter.com/MorSvinka_83/status/723505253598003201" TargetMode="External"/><Relationship Id="rId25497" Type="http://schemas.openxmlformats.org/officeDocument/2006/relationships/hyperlink" Target="https://pbs.twimg.com/profile_images/697165847840698370/-u-vLqUa_normal.jpg" TargetMode="External"/><Relationship Id="rId1727" Type="http://schemas.openxmlformats.org/officeDocument/2006/relationships/hyperlink" Target="https://pbs.twimg.com/profile_images/584030077870018560/aLXqHYI6_normal.jpg" TargetMode="External"/><Relationship Id="rId14141" Type="http://schemas.openxmlformats.org/officeDocument/2006/relationships/hyperlink" Target="https://twitter.com/VWCamperSales/status/723565315255197696" TargetMode="External"/><Relationship Id="rId4200" Type="http://schemas.openxmlformats.org/officeDocument/2006/relationships/hyperlink" Target="https://twitter.com/faznet" TargetMode="External"/><Relationship Id="rId7770" Type="http://schemas.openxmlformats.org/officeDocument/2006/relationships/hyperlink" Target="https://twitter.com/SCGsoflo" TargetMode="External"/><Relationship Id="rId17364" Type="http://schemas.openxmlformats.org/officeDocument/2006/relationships/hyperlink" Target="https://twitter.com/MotorphiliacsTv" TargetMode="External"/><Relationship Id="rId19813" Type="http://schemas.openxmlformats.org/officeDocument/2006/relationships/hyperlink" Target="https://pbs.twimg.com/profile_images/530071272881803264/a_jcCmPZ_normal.png" TargetMode="External"/><Relationship Id="rId21010" Type="http://schemas.openxmlformats.org/officeDocument/2006/relationships/hyperlink" Target="https://twitter.com/matiasnfrutos" TargetMode="External"/><Relationship Id="rId7423" Type="http://schemas.openxmlformats.org/officeDocument/2006/relationships/hyperlink" Target="https://pbs.twimg.com/profile_images/695686144013389824/1F-oOsoj_normal.jpg" TargetMode="External"/><Relationship Id="rId10751" Type="http://schemas.openxmlformats.org/officeDocument/2006/relationships/hyperlink" Target="https://twitter.com/srfnews" TargetMode="External"/><Relationship Id="rId17017" Type="http://schemas.openxmlformats.org/officeDocument/2006/relationships/hyperlink" Target="https://twitter.com/Kittypunk16" TargetMode="External"/><Relationship Id="rId24233" Type="http://schemas.openxmlformats.org/officeDocument/2006/relationships/hyperlink" Target="https://pbs.twimg.com/profile_images/422164778639839234/LVnS1q1c_normal.jpeg" TargetMode="External"/><Relationship Id="rId24580" Type="http://schemas.openxmlformats.org/officeDocument/2006/relationships/hyperlink" Target="https://twitter.com/Braulio_Urresti/status/724374000521109504" TargetMode="External"/><Relationship Id="rId10404" Type="http://schemas.openxmlformats.org/officeDocument/2006/relationships/hyperlink" Target="https://twitter.com/martin_krauss" TargetMode="External"/><Relationship Id="rId13974" Type="http://schemas.openxmlformats.org/officeDocument/2006/relationships/hyperlink" Target="https://twitter.com/benny__flow/status/723560289489281024" TargetMode="External"/><Relationship Id="rId8197" Type="http://schemas.openxmlformats.org/officeDocument/2006/relationships/hyperlink" Target="https://twitter.com/rwosbo/status/723376392583319553" TargetMode="External"/><Relationship Id="rId13627" Type="http://schemas.openxmlformats.org/officeDocument/2006/relationships/hyperlink" Target="https://twitter.com/Tahsinemres" TargetMode="External"/><Relationship Id="rId20843" Type="http://schemas.openxmlformats.org/officeDocument/2006/relationships/hyperlink" Target="https://twitter.com/LeoSannchez22/status/724048905009287168" TargetMode="External"/><Relationship Id="rId1584" Type="http://schemas.openxmlformats.org/officeDocument/2006/relationships/hyperlink" Target="https://twitter.com/aktionaer/status/723047737785118721" TargetMode="External"/><Relationship Id="rId11178" Type="http://schemas.openxmlformats.org/officeDocument/2006/relationships/hyperlink" Target="https://twitter.com/SJ_LOWTEC" TargetMode="External"/><Relationship Id="rId16100" Type="http://schemas.openxmlformats.org/officeDocument/2006/relationships/hyperlink" Target="https://pbs.twimg.com/profile_images/679041403733848064/3170zpfU_normal.jpg" TargetMode="External"/><Relationship Id="rId19670" Type="http://schemas.openxmlformats.org/officeDocument/2006/relationships/hyperlink" Target="https://twitter.com/DubLuvTuning/status/723946316502585345" TargetMode="External"/><Relationship Id="rId1237" Type="http://schemas.openxmlformats.org/officeDocument/2006/relationships/hyperlink" Target="https://pbs.twimg.com/profile_images/540819462514311168/gAcZ1aEd_normal.jpeg" TargetMode="External"/><Relationship Id="rId6909" Type="http://schemas.openxmlformats.org/officeDocument/2006/relationships/hyperlink" Target="https://twitter.com/legal_reader" TargetMode="External"/><Relationship Id="rId19323" Type="http://schemas.openxmlformats.org/officeDocument/2006/relationships/hyperlink" Target="https://pbs.twimg.com/profile_images/424893967197433858/iQ86NktX_normal.jpeg" TargetMode="External"/><Relationship Id="rId23719" Type="http://schemas.openxmlformats.org/officeDocument/2006/relationships/hyperlink" Target="https://pbs.twimg.com/profile_images/718835727027580928/1ssyQ67y_normal.jpg" TargetMode="External"/><Relationship Id="rId7280" Type="http://schemas.openxmlformats.org/officeDocument/2006/relationships/hyperlink" Target="https://pbs.twimg.com/profile_images/574276640261345281/jj9KwVyR_normal.jpeg" TargetMode="External"/><Relationship Id="rId10261" Type="http://schemas.openxmlformats.org/officeDocument/2006/relationships/hyperlink" Target="https://pbs.twimg.com/profile_images/718820712757215233/LXXndPTS_normal.jpg" TargetMode="External"/><Relationship Id="rId12710" Type="http://schemas.openxmlformats.org/officeDocument/2006/relationships/hyperlink" Target="https://twitter.com/auxua" TargetMode="External"/><Relationship Id="rId24090" Type="http://schemas.openxmlformats.org/officeDocument/2006/relationships/hyperlink" Target="https://twitter.com/gdman76/status/724331643696111616" TargetMode="External"/><Relationship Id="rId15933" Type="http://schemas.openxmlformats.org/officeDocument/2006/relationships/hyperlink" Target="https://pbs.twimg.com/profile_images/615493650785660928/XHUh6HOk_normal.jpg" TargetMode="External"/><Relationship Id="rId3890" Type="http://schemas.openxmlformats.org/officeDocument/2006/relationships/hyperlink" Target="https://pbs.twimg.com/profile_images/509789391783337984/0tR1gcFP_normal.jpeg" TargetMode="External"/><Relationship Id="rId13484" Type="http://schemas.openxmlformats.org/officeDocument/2006/relationships/hyperlink" Target="https://twitter.com/erin412" TargetMode="External"/><Relationship Id="rId22802" Type="http://schemas.openxmlformats.org/officeDocument/2006/relationships/hyperlink" Target="https://twitter.com/VWCamperSales" TargetMode="External"/><Relationship Id="rId1094" Type="http://schemas.openxmlformats.org/officeDocument/2006/relationships/hyperlink" Target="https://twitter.com/NurminenTapio" TargetMode="External"/><Relationship Id="rId3543" Type="http://schemas.openxmlformats.org/officeDocument/2006/relationships/hyperlink" Target="https://twitter.com/VWCamperSales" TargetMode="External"/><Relationship Id="rId13137" Type="http://schemas.openxmlformats.org/officeDocument/2006/relationships/hyperlink" Target="https://twitter.com/mycomfor/status/723535937922293761" TargetMode="External"/><Relationship Id="rId18809" Type="http://schemas.openxmlformats.org/officeDocument/2006/relationships/hyperlink" Target="https://twitter.com/Braulio_Urresti" TargetMode="External"/><Relationship Id="rId20353" Type="http://schemas.openxmlformats.org/officeDocument/2006/relationships/hyperlink" Target="https://twitter.com/OnlineCarReview/status/723994090405122048" TargetMode="External"/><Relationship Id="rId6766" Type="http://schemas.openxmlformats.org/officeDocument/2006/relationships/hyperlink" Target="https://twitter.com/JulesBarnell" TargetMode="External"/><Relationship Id="rId19180" Type="http://schemas.openxmlformats.org/officeDocument/2006/relationships/hyperlink" Target="https://twitter.com/hashtagvanlife" TargetMode="External"/><Relationship Id="rId20006" Type="http://schemas.openxmlformats.org/officeDocument/2006/relationships/hyperlink" Target="https://pbs.twimg.com/profile_images/633346486823190529/bN4Fxs99_normal.jpg" TargetMode="External"/><Relationship Id="rId23576" Type="http://schemas.openxmlformats.org/officeDocument/2006/relationships/hyperlink" Target="https://pbs.twimg.com/profile_images/710122631236681728/ii4WJ1om_normal.jpg" TargetMode="External"/><Relationship Id="rId6419" Type="http://schemas.openxmlformats.org/officeDocument/2006/relationships/hyperlink" Target="https://twitter.com/Insta_VWT/status/723242922813079554" TargetMode="External"/><Relationship Id="rId9989" Type="http://schemas.openxmlformats.org/officeDocument/2006/relationships/hyperlink" Target="https://twitter.com/GermaniaOne/status/723457062588583937" TargetMode="External"/><Relationship Id="rId12220" Type="http://schemas.openxmlformats.org/officeDocument/2006/relationships/hyperlink" Target="https://twitter.com/E_I_M_I" TargetMode="External"/><Relationship Id="rId23229" Type="http://schemas.openxmlformats.org/officeDocument/2006/relationships/hyperlink" Target="https://pbs.twimg.com/profile_images/711359756766547970/HXjKioao_normal.jpg" TargetMode="External"/><Relationship Id="rId15790" Type="http://schemas.openxmlformats.org/officeDocument/2006/relationships/hyperlink" Target="https://pbs.twimg.com/profile_images/2909062887/7c498d1abb7c96d9435f9b8a7630f3f1_normal.jpeg" TargetMode="External"/><Relationship Id="rId5502" Type="http://schemas.openxmlformats.org/officeDocument/2006/relationships/hyperlink" Target="https://pbs.twimg.com/profile_images/219318876/Bryan_avatarRGB_normal.jpg" TargetMode="External"/><Relationship Id="rId15443" Type="http://schemas.openxmlformats.org/officeDocument/2006/relationships/hyperlink" Target="https://twitter.com/Kathreinerle/status/723607897368829952" TargetMode="External"/><Relationship Id="rId22312" Type="http://schemas.openxmlformats.org/officeDocument/2006/relationships/hyperlink" Target="https://twitter.com/MorSvinka_83" TargetMode="External"/><Relationship Id="rId3053" Type="http://schemas.openxmlformats.org/officeDocument/2006/relationships/hyperlink" Target="https://twitter.com/Scirocco_Tuning/status/723135351737454592" TargetMode="External"/><Relationship Id="rId18666" Type="http://schemas.openxmlformats.org/officeDocument/2006/relationships/hyperlink" Target="https://pbs.twimg.com/profile_images/723597456596979714/1a2Onsh-_normal.jpg" TargetMode="External"/><Relationship Id="rId6276" Type="http://schemas.openxmlformats.org/officeDocument/2006/relationships/hyperlink" Target="https://twitter.com/Ren_Kalaj/status/723237332896256000" TargetMode="External"/><Relationship Id="rId8725" Type="http://schemas.openxmlformats.org/officeDocument/2006/relationships/hyperlink" Target="https://twitter.com/tazgezwitscher/status/723403735049736192" TargetMode="External"/><Relationship Id="rId11706" Type="http://schemas.openxmlformats.org/officeDocument/2006/relationships/hyperlink" Target="https://pbs.twimg.com/profile_images/1833245422/twitter_yo_normal.jpg" TargetMode="External"/><Relationship Id="rId18319" Type="http://schemas.openxmlformats.org/officeDocument/2006/relationships/hyperlink" Target="https://twitter.com/dafLOh" TargetMode="External"/><Relationship Id="rId23086" Type="http://schemas.openxmlformats.org/officeDocument/2006/relationships/hyperlink" Target="https://twitter.com/KarlRennison/status/724268267465019392" TargetMode="External"/><Relationship Id="rId25535" Type="http://schemas.openxmlformats.org/officeDocument/2006/relationships/hyperlink" Target="https://twitter.com/BohemianBound/status/724446558377369600" TargetMode="External"/><Relationship Id="rId14929" Type="http://schemas.openxmlformats.org/officeDocument/2006/relationships/hyperlink" Target="https://twitter.com/VWCamperSales" TargetMode="External"/><Relationship Id="rId2886" Type="http://schemas.openxmlformats.org/officeDocument/2006/relationships/hyperlink" Target="https://twitter.com/shamereflect" TargetMode="External"/><Relationship Id="rId9499" Type="http://schemas.openxmlformats.org/officeDocument/2006/relationships/hyperlink" Target="https://twitter.com/beetlebug1938" TargetMode="External"/><Relationship Id="rId17402" Type="http://schemas.openxmlformats.org/officeDocument/2006/relationships/hyperlink" Target="https://twitter.com/liverpoolVWCV/status/723796809672323072" TargetMode="External"/><Relationship Id="rId858" Type="http://schemas.openxmlformats.org/officeDocument/2006/relationships/hyperlink" Target="https://pbs.twimg.com/profile_images/3537672406/190f79c88052bd5078e91796fd0fffe1_normal.jpeg" TargetMode="External"/><Relationship Id="rId2539" Type="http://schemas.openxmlformats.org/officeDocument/2006/relationships/hyperlink" Target="https://twitter.com/LombardaMotori" TargetMode="External"/><Relationship Id="rId5012" Type="http://schemas.openxmlformats.org/officeDocument/2006/relationships/hyperlink" Target="https://twitter.com/Marina_Ilona" TargetMode="External"/><Relationship Id="rId8582" Type="http://schemas.openxmlformats.org/officeDocument/2006/relationships/hyperlink" Target="https://twitter.com/f1ngers9" TargetMode="External"/><Relationship Id="rId18176" Type="http://schemas.openxmlformats.org/officeDocument/2006/relationships/hyperlink" Target="https://twitter.com/CornwallBzForum/status/723848731351781376" TargetMode="External"/><Relationship Id="rId25392" Type="http://schemas.openxmlformats.org/officeDocument/2006/relationships/hyperlink" Target="https://twitter.com/Mr_Fanta_Pants" TargetMode="External"/><Relationship Id="rId8235" Type="http://schemas.openxmlformats.org/officeDocument/2006/relationships/hyperlink" Target="https://twitter.com/kazan_life" TargetMode="External"/><Relationship Id="rId11563" Type="http://schemas.openxmlformats.org/officeDocument/2006/relationships/hyperlink" Target="https://twitter.com/Hopliten" TargetMode="External"/><Relationship Id="rId25045" Type="http://schemas.openxmlformats.org/officeDocument/2006/relationships/hyperlink" Target="https://twitter.com/bertinosr" TargetMode="External"/><Relationship Id="rId1622" Type="http://schemas.openxmlformats.org/officeDocument/2006/relationships/hyperlink" Target="https://twitter.com/DammoPhotograph" TargetMode="External"/><Relationship Id="rId11216" Type="http://schemas.openxmlformats.org/officeDocument/2006/relationships/hyperlink" Target="https://twitter.com/KeithNaughton/status/723499437499252737" TargetMode="External"/><Relationship Id="rId14786" Type="http://schemas.openxmlformats.org/officeDocument/2006/relationships/hyperlink" Target="https://twitter.com/deanomsport/status/723582568516452353" TargetMode="External"/><Relationship Id="rId4845" Type="http://schemas.openxmlformats.org/officeDocument/2006/relationships/hyperlink" Target="https://pbs.twimg.com/profile_images/614420938751385600/eHueZzXs_normal.jpg" TargetMode="External"/><Relationship Id="rId14439" Type="http://schemas.openxmlformats.org/officeDocument/2006/relationships/hyperlink" Target="https://twitter.com/kevin_h_1979" TargetMode="External"/><Relationship Id="rId21655" Type="http://schemas.openxmlformats.org/officeDocument/2006/relationships/hyperlink" Target="https://twitter.com/petrichorpam" TargetMode="External"/><Relationship Id="rId2396" Type="http://schemas.openxmlformats.org/officeDocument/2006/relationships/hyperlink" Target="https://twitter.com/DieselGate_es/status/723097915460345856" TargetMode="External"/><Relationship Id="rId21308" Type="http://schemas.openxmlformats.org/officeDocument/2006/relationships/hyperlink" Target="https://twitter.com/StaffsVW" TargetMode="External"/><Relationship Id="rId24878" Type="http://schemas.openxmlformats.org/officeDocument/2006/relationships/hyperlink" Target="https://twitter.com/VWBeetleSales" TargetMode="External"/><Relationship Id="rId368" Type="http://schemas.openxmlformats.org/officeDocument/2006/relationships/hyperlink" Target="https://twitter.com/mgl_8" TargetMode="External"/><Relationship Id="rId2049" Type="http://schemas.openxmlformats.org/officeDocument/2006/relationships/hyperlink" Target="https://twitter.com/foroDGT/status/723078853535641600" TargetMode="External"/><Relationship Id="rId8092" Type="http://schemas.openxmlformats.org/officeDocument/2006/relationships/hyperlink" Target="https://pbs.twimg.com/profile_images/467901662766452736/D8DLJrFs_normal.jpeg" TargetMode="External"/><Relationship Id="rId11073" Type="http://schemas.openxmlformats.org/officeDocument/2006/relationships/hyperlink" Target="https://pbs.twimg.com/profile_images/548874200102879234/jOo5AkMZ_normal.png" TargetMode="External"/><Relationship Id="rId13522" Type="http://schemas.openxmlformats.org/officeDocument/2006/relationships/hyperlink" Target="https://twitter.com/1Feedom/status/723549440246734850" TargetMode="External"/><Relationship Id="rId1132" Type="http://schemas.openxmlformats.org/officeDocument/2006/relationships/hyperlink" Target="https://twitter.com/angelathompson5/status/723021247139962880" TargetMode="External"/><Relationship Id="rId16745" Type="http://schemas.openxmlformats.org/officeDocument/2006/relationships/hyperlink" Target="https://twitter.com/davidtellez" TargetMode="External"/><Relationship Id="rId23961" Type="http://schemas.openxmlformats.org/officeDocument/2006/relationships/hyperlink" Target="https://twitter.com/Mphilpot1" TargetMode="External"/><Relationship Id="rId4355" Type="http://schemas.openxmlformats.org/officeDocument/2006/relationships/hyperlink" Target="https://twitter.com/jallen191/status/723179561177894912" TargetMode="External"/><Relationship Id="rId6804" Type="http://schemas.openxmlformats.org/officeDocument/2006/relationships/hyperlink" Target="https://twitter.com/tomschluet" TargetMode="External"/><Relationship Id="rId14296" Type="http://schemas.openxmlformats.org/officeDocument/2006/relationships/hyperlink" Target="https://twitter.com/VWBeetleSales" TargetMode="External"/><Relationship Id="rId19968" Type="http://schemas.openxmlformats.org/officeDocument/2006/relationships/hyperlink" Target="https://pbs.twimg.com/profile_images/720080378602631172/6vgsuvEQ_normal.jpg" TargetMode="External"/><Relationship Id="rId23614" Type="http://schemas.openxmlformats.org/officeDocument/2006/relationships/hyperlink" Target="https://twitter.com/Speak_EV/status/724299435266707456" TargetMode="External"/><Relationship Id="rId4008" Type="http://schemas.openxmlformats.org/officeDocument/2006/relationships/hyperlink" Target="https://pbs.twimg.com/profile_images/578040776237588480/ExmIRu0n_normal.jpeg" TargetMode="External"/><Relationship Id="rId21165" Type="http://schemas.openxmlformats.org/officeDocument/2006/relationships/hyperlink" Target="https://twitter.com/micabesita/status/724117560074096642" TargetMode="External"/><Relationship Id="rId7578" Type="http://schemas.openxmlformats.org/officeDocument/2006/relationships/hyperlink" Target="https://pbs.twimg.com/profile_images/539605582815453184/zIoNro6J_normal.jpeg" TargetMode="External"/><Relationship Id="rId10559" Type="http://schemas.openxmlformats.org/officeDocument/2006/relationships/hyperlink" Target="https://abs.twimg.com/sticky/default_profile_images/default_profile_0_normal.png" TargetMode="External"/><Relationship Id="rId24388" Type="http://schemas.openxmlformats.org/officeDocument/2006/relationships/hyperlink" Target="https://pbs.twimg.com/profile_images/683800402396102656/9K5xzNgK_normal.jpg" TargetMode="External"/><Relationship Id="rId13032" Type="http://schemas.openxmlformats.org/officeDocument/2006/relationships/hyperlink" Target="https://twitter.com/VWBeetleSales" TargetMode="External"/><Relationship Id="rId20998" Type="http://schemas.openxmlformats.org/officeDocument/2006/relationships/hyperlink" Target="https://twitter.com/FuscaWorld" TargetMode="External"/><Relationship Id="rId6661" Type="http://schemas.openxmlformats.org/officeDocument/2006/relationships/hyperlink" Target="https://abs.twimg.com/sticky/default_profile_images/default_profile_5_normal.png" TargetMode="External"/><Relationship Id="rId16255" Type="http://schemas.openxmlformats.org/officeDocument/2006/relationships/hyperlink" Target="https://pbs.twimg.com/profile_images/722859223089070080/75kCpYCK_normal.jpg" TargetMode="External"/><Relationship Id="rId18704" Type="http://schemas.openxmlformats.org/officeDocument/2006/relationships/hyperlink" Target="https://twitter.com/hirokigb/status/723889707382243328" TargetMode="External"/><Relationship Id="rId23471" Type="http://schemas.openxmlformats.org/officeDocument/2006/relationships/hyperlink" Target="https://pbs.twimg.com/profile_images/723915126089371648/AfcVwe8r_normal.jpg" TargetMode="External"/><Relationship Id="rId6314" Type="http://schemas.openxmlformats.org/officeDocument/2006/relationships/hyperlink" Target="https://twitter.com/eecrtmn" TargetMode="External"/><Relationship Id="rId23124" Type="http://schemas.openxmlformats.org/officeDocument/2006/relationships/hyperlink" Target="https://twitter.com/greenpeace_de" TargetMode="External"/><Relationship Id="rId9884" Type="http://schemas.openxmlformats.org/officeDocument/2006/relationships/hyperlink" Target="https://pbs.twimg.com/profile_images/668824909116809220/Wb-7Gely_normal.jpg" TargetMode="External"/><Relationship Id="rId12865" Type="http://schemas.openxmlformats.org/officeDocument/2006/relationships/hyperlink" Target="https://pbs.twimg.com/profile_images/704420155196116992/QCcpm5r8_normal.jpg" TargetMode="External"/><Relationship Id="rId19478" Type="http://schemas.openxmlformats.org/officeDocument/2006/relationships/hyperlink" Target="https://twitter.com/VWCamperSales" TargetMode="External"/><Relationship Id="rId98" Type="http://schemas.openxmlformats.org/officeDocument/2006/relationships/hyperlink" Target="https://pbs.twimg.com/profile_images/720179724543090688/GalvaHrn_normal.jpg" TargetMode="External"/><Relationship Id="rId2924" Type="http://schemas.openxmlformats.org/officeDocument/2006/relationships/hyperlink" Target="https://pbs.twimg.com/profile_images/632074137289277440/vJykSc8L_normal.png" TargetMode="External"/><Relationship Id="rId7088" Type="http://schemas.openxmlformats.org/officeDocument/2006/relationships/hyperlink" Target="https://pbs.twimg.com/profile_images/705780107844067328/e7O4UBNb_normal.jpg" TargetMode="External"/><Relationship Id="rId9537" Type="http://schemas.openxmlformats.org/officeDocument/2006/relationships/hyperlink" Target="https://pbs.twimg.com/profile_images/717008192346189824/pJ8teK6t_normal.jpg" TargetMode="External"/><Relationship Id="rId12518" Type="http://schemas.openxmlformats.org/officeDocument/2006/relationships/hyperlink" Target="https://twitter.com/mdrde/status/723521652315828224" TargetMode="External"/><Relationship Id="rId10069" Type="http://schemas.openxmlformats.org/officeDocument/2006/relationships/hyperlink" Target="https://twitter.com/mjuntorius" TargetMode="External"/><Relationship Id="rId18561" Type="http://schemas.openxmlformats.org/officeDocument/2006/relationships/hyperlink" Target="https://pbs.twimg.com/profile_images/697011934466420739/Y3xIOWMo_normal.png" TargetMode="External"/><Relationship Id="rId22957" Type="http://schemas.openxmlformats.org/officeDocument/2006/relationships/hyperlink" Target="https://twitter.com/MorSvinka_83" TargetMode="External"/><Relationship Id="rId3698" Type="http://schemas.openxmlformats.org/officeDocument/2006/relationships/hyperlink" Target="https://pbs.twimg.com/profile_images/706784695795769345/XGXgdjww_normal.jpg" TargetMode="External"/><Relationship Id="rId8620" Type="http://schemas.openxmlformats.org/officeDocument/2006/relationships/hyperlink" Target="https://pbs.twimg.com/profile_images/668381091280089088/VH7RN1Om_normal.jpg" TargetMode="External"/><Relationship Id="rId18214" Type="http://schemas.openxmlformats.org/officeDocument/2006/relationships/hyperlink" Target="https://twitter.com/Insta_VWT" TargetMode="External"/><Relationship Id="rId25430" Type="http://schemas.openxmlformats.org/officeDocument/2006/relationships/hyperlink" Target="https://twitter.com/vickymotorserv1/status/724438272525492225" TargetMode="External"/><Relationship Id="rId6171" Type="http://schemas.openxmlformats.org/officeDocument/2006/relationships/hyperlink" Target="https://pbs.twimg.com/profile_images/627949001179037696/skEBkS05_normal.jpg" TargetMode="External"/><Relationship Id="rId11601" Type="http://schemas.openxmlformats.org/officeDocument/2006/relationships/hyperlink" Target="https://twitter.com/dw_business/status/723504242762387457" TargetMode="External"/><Relationship Id="rId2781" Type="http://schemas.openxmlformats.org/officeDocument/2006/relationships/hyperlink" Target="https://twitter.com/WMGLeasing/status/723119136881037312" TargetMode="External"/><Relationship Id="rId9394" Type="http://schemas.openxmlformats.org/officeDocument/2006/relationships/hyperlink" Target="https://twitter.com/vamp_kris2102" TargetMode="External"/><Relationship Id="rId14824" Type="http://schemas.openxmlformats.org/officeDocument/2006/relationships/hyperlink" Target="https://pbs.twimg.com/profile_images/607945158869549056/NV8RBT1d_normal.jpg" TargetMode="External"/><Relationship Id="rId753" Type="http://schemas.openxmlformats.org/officeDocument/2006/relationships/hyperlink" Target="https://twitter.com/OrlandoYurie/status/722980008910815232" TargetMode="External"/><Relationship Id="rId2434" Type="http://schemas.openxmlformats.org/officeDocument/2006/relationships/hyperlink" Target="https://twitter.com/MarkoJokela" TargetMode="External"/><Relationship Id="rId9047" Type="http://schemas.openxmlformats.org/officeDocument/2006/relationships/hyperlink" Target="https://pbs.twimg.com/profile_images/700268249225818113/TUSCd9Sx_normal.jpg" TargetMode="External"/><Relationship Id="rId12028" Type="http://schemas.openxmlformats.org/officeDocument/2006/relationships/hyperlink" Target="https://twitter.com/bvdvliet" TargetMode="External"/><Relationship Id="rId12375" Type="http://schemas.openxmlformats.org/officeDocument/2006/relationships/hyperlink" Target="https://twitter.com/NetzwerkggS21/status/723518361594937344" TargetMode="External"/><Relationship Id="rId406" Type="http://schemas.openxmlformats.org/officeDocument/2006/relationships/hyperlink" Target="https://pbs.twimg.com/profile_images/2906819300/3cdd8998f18f70dae2fed6ded31c19b7_normal.jpeg" TargetMode="External"/><Relationship Id="rId15598" Type="http://schemas.openxmlformats.org/officeDocument/2006/relationships/hyperlink" Target="https://twitter.com/JaviZamariani17" TargetMode="External"/><Relationship Id="rId24916" Type="http://schemas.openxmlformats.org/officeDocument/2006/relationships/hyperlink" Target="https://twitter.com/luuuzcastillo/status/724401054209740802" TargetMode="External"/><Relationship Id="rId5657" Type="http://schemas.openxmlformats.org/officeDocument/2006/relationships/hyperlink" Target="https://twitter.com/SexenioMX" TargetMode="External"/><Relationship Id="rId18071" Type="http://schemas.openxmlformats.org/officeDocument/2006/relationships/hyperlink" Target="https://twitter.com/voosvoos" TargetMode="External"/><Relationship Id="rId22467" Type="http://schemas.openxmlformats.org/officeDocument/2006/relationships/hyperlink" Target="https://twitter.com/FuscaWorld/status/724224445217398784" TargetMode="External"/><Relationship Id="rId8130" Type="http://schemas.openxmlformats.org/officeDocument/2006/relationships/hyperlink" Target="https://pbs.twimg.com/profile_images/702511217793863680/lty8h9vE_normal.jpg" TargetMode="External"/><Relationship Id="rId11111" Type="http://schemas.openxmlformats.org/officeDocument/2006/relationships/hyperlink" Target="https://twitter.com/Fourways_SD" TargetMode="External"/><Relationship Id="rId14681" Type="http://schemas.openxmlformats.org/officeDocument/2006/relationships/hyperlink" Target="https://pbs.twimg.com/profile_images/1829211721/5f3oj1Vv_normal" TargetMode="External"/><Relationship Id="rId4740" Type="http://schemas.openxmlformats.org/officeDocument/2006/relationships/hyperlink" Target="https://pbs.twimg.com/profile_images/627949001179037696/skEBkS05_normal.jpg" TargetMode="External"/><Relationship Id="rId14334" Type="http://schemas.openxmlformats.org/officeDocument/2006/relationships/hyperlink" Target="https://twitter.com/Arianaacoll/status/723572679878434816" TargetMode="External"/><Relationship Id="rId21550" Type="http://schemas.openxmlformats.org/officeDocument/2006/relationships/hyperlink" Target="https://twitter.com/BliouxKirkby" TargetMode="External"/><Relationship Id="rId2291" Type="http://schemas.openxmlformats.org/officeDocument/2006/relationships/hyperlink" Target="https://pbs.twimg.com/profile_images/676313123561717760/xP_QEuHj_normal.png" TargetMode="External"/><Relationship Id="rId21203" Type="http://schemas.openxmlformats.org/officeDocument/2006/relationships/hyperlink" Target="https://twitter.com/Braian_9107/status/724122112903024640" TargetMode="External"/><Relationship Id="rId263" Type="http://schemas.openxmlformats.org/officeDocument/2006/relationships/hyperlink" Target="https://twitter.com/TiagoJNatal/status/722942364743045120" TargetMode="External"/><Relationship Id="rId7963" Type="http://schemas.openxmlformats.org/officeDocument/2006/relationships/hyperlink" Target="https://twitter.com/ebaycampervans" TargetMode="External"/><Relationship Id="rId10944" Type="http://schemas.openxmlformats.org/officeDocument/2006/relationships/hyperlink" Target="https://twitter.com/FelixSchneuwly" TargetMode="External"/><Relationship Id="rId17557" Type="http://schemas.openxmlformats.org/officeDocument/2006/relationships/hyperlink" Target="https://twitter.com/thesecretcaddie/status/723806386719711232" TargetMode="External"/><Relationship Id="rId24773" Type="http://schemas.openxmlformats.org/officeDocument/2006/relationships/hyperlink" Target="https://pbs.twimg.com/profile_images/1689585897/______normal.jpg" TargetMode="External"/><Relationship Id="rId5167" Type="http://schemas.openxmlformats.org/officeDocument/2006/relationships/hyperlink" Target="https://twitter.com/Ziegengewitter/status/723196139260903426" TargetMode="External"/><Relationship Id="rId7616" Type="http://schemas.openxmlformats.org/officeDocument/2006/relationships/hyperlink" Target="https://twitter.com/SexenioCDMX" TargetMode="External"/><Relationship Id="rId24426" Type="http://schemas.openxmlformats.org/officeDocument/2006/relationships/hyperlink" Target="https://twitter.com/oldcar_photo" TargetMode="External"/><Relationship Id="rId16640" Type="http://schemas.openxmlformats.org/officeDocument/2006/relationships/hyperlink" Target="https://twitter.com/oceanshaman" TargetMode="External"/><Relationship Id="rId1777" Type="http://schemas.openxmlformats.org/officeDocument/2006/relationships/hyperlink" Target="https://twitter.com/KSCoghlan/status/723056425971253248" TargetMode="External"/><Relationship Id="rId14191" Type="http://schemas.openxmlformats.org/officeDocument/2006/relationships/hyperlink" Target="https://pbs.twimg.com/profile_images/585736425750007808/71ffEwlw_normal.png" TargetMode="External"/><Relationship Id="rId19863" Type="http://schemas.openxmlformats.org/officeDocument/2006/relationships/hyperlink" Target="https://twitter.com/Gandalfwasme" TargetMode="External"/><Relationship Id="rId4250" Type="http://schemas.openxmlformats.org/officeDocument/2006/relationships/hyperlink" Target="https://twitter.com/campercino_uk" TargetMode="External"/><Relationship Id="rId9922" Type="http://schemas.openxmlformats.org/officeDocument/2006/relationships/hyperlink" Target="https://twitter.com/LiveStudyEnjoy/status/723454204652613632" TargetMode="External"/><Relationship Id="rId19516" Type="http://schemas.openxmlformats.org/officeDocument/2006/relationships/hyperlink" Target="https://twitter.com/RaphaelGonzaga" TargetMode="External"/><Relationship Id="rId21060" Type="http://schemas.openxmlformats.org/officeDocument/2006/relationships/hyperlink" Target="https://pbs.twimg.com/profile_images/683510819431288832/maAlyyTK_normal.jpg" TargetMode="External"/><Relationship Id="rId7473" Type="http://schemas.openxmlformats.org/officeDocument/2006/relationships/hyperlink" Target="https://twitter.com/autosdeoro/status/723305393661702145" TargetMode="External"/><Relationship Id="rId12903" Type="http://schemas.openxmlformats.org/officeDocument/2006/relationships/hyperlink" Target="https://twitter.com/Fat4y" TargetMode="External"/><Relationship Id="rId17067" Type="http://schemas.openxmlformats.org/officeDocument/2006/relationships/hyperlink" Target="https://abs.twimg.com/sticky/default_profile_images/default_profile_6_normal.png" TargetMode="External"/><Relationship Id="rId24283" Type="http://schemas.openxmlformats.org/officeDocument/2006/relationships/hyperlink" Target="https://twitter.com/VWCamperSales/status/724345451923656704" TargetMode="External"/><Relationship Id="rId7126" Type="http://schemas.openxmlformats.org/officeDocument/2006/relationships/hyperlink" Target="https://twitter.com/44cent/status/723280581702881280" TargetMode="External"/><Relationship Id="rId10454" Type="http://schemas.openxmlformats.org/officeDocument/2006/relationships/hyperlink" Target="https://twitter.com/rssternberg/status/723473561592193024" TargetMode="External"/><Relationship Id="rId10107" Type="http://schemas.openxmlformats.org/officeDocument/2006/relationships/hyperlink" Target="https://twitter.com/VWBeetleSales/status/723463123013758977" TargetMode="External"/><Relationship Id="rId13677" Type="http://schemas.openxmlformats.org/officeDocument/2006/relationships/hyperlink" Target="https://twitter.com/LeftonMain/status/723553053102596096" TargetMode="External"/><Relationship Id="rId20893" Type="http://schemas.openxmlformats.org/officeDocument/2006/relationships/hyperlink" Target="https://twitter.com/mytweetmark" TargetMode="External"/><Relationship Id="rId1287" Type="http://schemas.openxmlformats.org/officeDocument/2006/relationships/hyperlink" Target="https://pbs.twimg.com/profile_images/657801345097990144/7uTTqbdA_normal.jpg" TargetMode="External"/><Relationship Id="rId3736" Type="http://schemas.openxmlformats.org/officeDocument/2006/relationships/hyperlink" Target="https://pbs.twimg.com/profile_images/378800000379330396/77552c79299d74516d67ff64d69658a6_normal.jpeg" TargetMode="External"/><Relationship Id="rId16150" Type="http://schemas.openxmlformats.org/officeDocument/2006/relationships/hyperlink" Target="https://twitter.com/acvwpassion/status/723651410420748288" TargetMode="External"/><Relationship Id="rId20546" Type="http://schemas.openxmlformats.org/officeDocument/2006/relationships/hyperlink" Target="https://twitter.com/Rawy_Saba" TargetMode="External"/><Relationship Id="rId6959" Type="http://schemas.openxmlformats.org/officeDocument/2006/relationships/hyperlink" Target="https://twitter.com/woever" TargetMode="External"/><Relationship Id="rId12760" Type="http://schemas.openxmlformats.org/officeDocument/2006/relationships/hyperlink" Target="https://twitter.com/RauchenderColt" TargetMode="External"/><Relationship Id="rId19373" Type="http://schemas.openxmlformats.org/officeDocument/2006/relationships/hyperlink" Target="https://twitter.com/vwpress_de" TargetMode="External"/><Relationship Id="rId23769" Type="http://schemas.openxmlformats.org/officeDocument/2006/relationships/hyperlink" Target="https://twitter.com/MedAgness/status/724310868897488898" TargetMode="External"/><Relationship Id="rId9432" Type="http://schemas.openxmlformats.org/officeDocument/2006/relationships/hyperlink" Target="https://twitter.com/Mphilpot1/status/723434845355941888" TargetMode="External"/><Relationship Id="rId12413" Type="http://schemas.openxmlformats.org/officeDocument/2006/relationships/hyperlink" Target="https://twitter.com/MarkCSchneider/status/723519364541100032" TargetMode="External"/><Relationship Id="rId19026" Type="http://schemas.openxmlformats.org/officeDocument/2006/relationships/hyperlink" Target="https://pbs.twimg.com/profile_images/686988633224654849/PaFzDiqe_normal.jpg" TargetMode="External"/><Relationship Id="rId15983" Type="http://schemas.openxmlformats.org/officeDocument/2006/relationships/hyperlink" Target="https://twitter.com/doin384" TargetMode="External"/><Relationship Id="rId3593" Type="http://schemas.openxmlformats.org/officeDocument/2006/relationships/hyperlink" Target="https://pbs.twimg.com/profile_images/3228351590/aadb36f2b020cc27adac139aac4a5663_normal.jpeg" TargetMode="External"/><Relationship Id="rId13187" Type="http://schemas.openxmlformats.org/officeDocument/2006/relationships/hyperlink" Target="https://pbs.twimg.com/profile_images/3012106875/596e712c99a38ec69b925b7f7ab71986_normal.jpeg" TargetMode="External"/><Relationship Id="rId15636" Type="http://schemas.openxmlformats.org/officeDocument/2006/relationships/hyperlink" Target="https://pbs.twimg.com/profile_images/221996752/detail_trino_normal.jpg" TargetMode="External"/><Relationship Id="rId22852" Type="http://schemas.openxmlformats.org/officeDocument/2006/relationships/hyperlink" Target="http://ctrlq.org/maps/address/" TargetMode="External"/><Relationship Id="rId3246" Type="http://schemas.openxmlformats.org/officeDocument/2006/relationships/hyperlink" Target="https://twitter.com/bikes_vs_cars/status/723146252129431553" TargetMode="External"/><Relationship Id="rId18859" Type="http://schemas.openxmlformats.org/officeDocument/2006/relationships/hyperlink" Target="https://twitter.com/p88nmg" TargetMode="External"/><Relationship Id="rId20056" Type="http://schemas.openxmlformats.org/officeDocument/2006/relationships/hyperlink" Target="https://twitter.com/Insta_VWT" TargetMode="External"/><Relationship Id="rId22505" Type="http://schemas.openxmlformats.org/officeDocument/2006/relationships/hyperlink" Target="https://twitter.com/urosenhagen" TargetMode="External"/><Relationship Id="rId8918" Type="http://schemas.openxmlformats.org/officeDocument/2006/relationships/hyperlink" Target="https://twitter.com/andreasfrey5" TargetMode="External"/><Relationship Id="rId25728" Type="http://schemas.openxmlformats.org/officeDocument/2006/relationships/hyperlink" Target="https://twitter.com/MonogamieRockt" TargetMode="External"/><Relationship Id="rId6469" Type="http://schemas.openxmlformats.org/officeDocument/2006/relationships/hyperlink" Target="https://pbs.twimg.com/profile_images/642433746700926976/3Xm8O3Ee_normal.jpg" TargetMode="External"/><Relationship Id="rId12270" Type="http://schemas.openxmlformats.org/officeDocument/2006/relationships/hyperlink" Target="https://abs.twimg.com/sticky/default_profile_images/default_profile_1_normal.png" TargetMode="External"/><Relationship Id="rId17942" Type="http://schemas.openxmlformats.org/officeDocument/2006/relationships/hyperlink" Target="https://pbs.twimg.com/profile_images/671525031948652544/gPRky3nV_normal.jpg" TargetMode="External"/><Relationship Id="rId23279" Type="http://schemas.openxmlformats.org/officeDocument/2006/relationships/hyperlink" Target="http://dlvr.it/" TargetMode="External"/><Relationship Id="rId15493" Type="http://schemas.openxmlformats.org/officeDocument/2006/relationships/hyperlink" Target="https://twitter.com/la40K/status/723609474704003073" TargetMode="External"/><Relationship Id="rId24811" Type="http://schemas.openxmlformats.org/officeDocument/2006/relationships/hyperlink" Target="https://twitter.com/hanan4788804" TargetMode="External"/><Relationship Id="rId301" Type="http://schemas.openxmlformats.org/officeDocument/2006/relationships/hyperlink" Target="https://twitter.com/OnlineCarReview" TargetMode="External"/><Relationship Id="rId5552" Type="http://schemas.openxmlformats.org/officeDocument/2006/relationships/hyperlink" Target="https://twitter.com/DubLuvTuning/status/723208030955933696" TargetMode="External"/><Relationship Id="rId15146" Type="http://schemas.openxmlformats.org/officeDocument/2006/relationships/hyperlink" Target="https://twitter.com/Mphilpot1" TargetMode="External"/><Relationship Id="rId22362" Type="http://schemas.openxmlformats.org/officeDocument/2006/relationships/hyperlink" Target="https://twitter.com/xboxat/status/724219696921362432" TargetMode="External"/><Relationship Id="rId5205" Type="http://schemas.openxmlformats.org/officeDocument/2006/relationships/hyperlink" Target="https://twitter.com/raulubian" TargetMode="External"/><Relationship Id="rId8775" Type="http://schemas.openxmlformats.org/officeDocument/2006/relationships/hyperlink" Target="https://twitter.com/hameles/status/723405904335376384" TargetMode="External"/><Relationship Id="rId18369" Type="http://schemas.openxmlformats.org/officeDocument/2006/relationships/hyperlink" Target="https://twitter.com/caryelluk/status/723865996121886720" TargetMode="External"/><Relationship Id="rId22015" Type="http://schemas.openxmlformats.org/officeDocument/2006/relationships/hyperlink" Target="https://pbs.twimg.com/profile_images/718835727027580928/1ssyQ67y_normal.jpg" TargetMode="External"/><Relationship Id="rId25585" Type="http://schemas.openxmlformats.org/officeDocument/2006/relationships/hyperlink" Target="https://pbs.twimg.com/profile_images/720787210778316800/szlhwBwO_normal.jpg" TargetMode="External"/><Relationship Id="rId8428" Type="http://schemas.openxmlformats.org/officeDocument/2006/relationships/hyperlink" Target="https://twitter.com/VWsightings" TargetMode="External"/><Relationship Id="rId11756" Type="http://schemas.openxmlformats.org/officeDocument/2006/relationships/hyperlink" Target="https://twitter.com/STEEL5757" TargetMode="External"/><Relationship Id="rId25238" Type="http://schemas.openxmlformats.org/officeDocument/2006/relationships/hyperlink" Target="https://twitter.com/dubbusses/status/724428059856756736" TargetMode="External"/><Relationship Id="rId1815" Type="http://schemas.openxmlformats.org/officeDocument/2006/relationships/hyperlink" Target="https://pbs.twimg.com/profile_images/692310744122179588/mSQOWSau_normal.jpg" TargetMode="External"/><Relationship Id="rId11409" Type="http://schemas.openxmlformats.org/officeDocument/2006/relationships/hyperlink" Target="https://pbs.twimg.com/profile_images/505852375911780352/2-ZN7ue2_normal.jpeg" TargetMode="External"/><Relationship Id="rId14979" Type="http://schemas.openxmlformats.org/officeDocument/2006/relationships/hyperlink" Target="https://twitter.com/FuscaWorld" TargetMode="External"/><Relationship Id="rId19901" Type="http://schemas.openxmlformats.org/officeDocument/2006/relationships/hyperlink" Target="https://twitter.com/lauriky78/status/723963131152728064" TargetMode="External"/><Relationship Id="rId17452" Type="http://schemas.openxmlformats.org/officeDocument/2006/relationships/hyperlink" Target="https://twitter.com/ErnstvAll" TargetMode="External"/><Relationship Id="rId21848" Type="http://schemas.openxmlformats.org/officeDocument/2006/relationships/hyperlink" Target="http://dlvr.it/" TargetMode="External"/><Relationship Id="rId2589" Type="http://schemas.openxmlformats.org/officeDocument/2006/relationships/hyperlink" Target="https://twitter.com/kekkocanu10/status/723107403718336512" TargetMode="External"/><Relationship Id="rId7511" Type="http://schemas.openxmlformats.org/officeDocument/2006/relationships/hyperlink" Target="https://pbs.twimg.com/profile_images/575851834176208896/fD4Qh4E7_normal.jpeg" TargetMode="External"/><Relationship Id="rId17105" Type="http://schemas.openxmlformats.org/officeDocument/2006/relationships/hyperlink" Target="https://twitter.com/molisukun" TargetMode="External"/><Relationship Id="rId24321" Type="http://schemas.openxmlformats.org/officeDocument/2006/relationships/hyperlink" Target="http://ctrlq.org/maps/address/" TargetMode="External"/><Relationship Id="rId5062" Type="http://schemas.openxmlformats.org/officeDocument/2006/relationships/hyperlink" Target="https://twitter.com/mueller_andi/status/723193298504978434" TargetMode="External"/><Relationship Id="rId1672" Type="http://schemas.openxmlformats.org/officeDocument/2006/relationships/hyperlink" Target="https://pbs.twimg.com/profile_images/587542294913556480/VN9ydDdE_normal.jpg" TargetMode="External"/><Relationship Id="rId8285" Type="http://schemas.openxmlformats.org/officeDocument/2006/relationships/hyperlink" Target="https://abs.twimg.com/sticky/default_profile_images/default_profile_0_normal.png" TargetMode="External"/><Relationship Id="rId11266" Type="http://schemas.openxmlformats.org/officeDocument/2006/relationships/hyperlink" Target="https://pbs.twimg.com/profile_images/1488674331/schofer4_normal.jpg" TargetMode="External"/><Relationship Id="rId13715" Type="http://schemas.openxmlformats.org/officeDocument/2006/relationships/hyperlink" Target="https://twitter.com/KanalNuernberg/status/723554089410387968" TargetMode="External"/><Relationship Id="rId20931" Type="http://schemas.openxmlformats.org/officeDocument/2006/relationships/hyperlink" Target="https://twitter.com/VWBeetleSales" TargetMode="External"/><Relationship Id="rId25095" Type="http://schemas.openxmlformats.org/officeDocument/2006/relationships/hyperlink" Target="https://twitter.com/cmsGOMEX" TargetMode="External"/><Relationship Id="rId1325" Type="http://schemas.openxmlformats.org/officeDocument/2006/relationships/hyperlink" Target="https://twitter.com/reutersBenHir" TargetMode="External"/><Relationship Id="rId16938" Type="http://schemas.openxmlformats.org/officeDocument/2006/relationships/hyperlink" Target="https://pbs.twimg.com/profile_images/378800000324328510/d07282df6f49ca608372edd52852d8f3_normal.jpeg" TargetMode="External"/><Relationship Id="rId4895" Type="http://schemas.openxmlformats.org/officeDocument/2006/relationships/hyperlink" Target="https://abs.twimg.com/sticky/default_profile_images/default_profile_5_normal.png" TargetMode="External"/><Relationship Id="rId14489" Type="http://schemas.openxmlformats.org/officeDocument/2006/relationships/hyperlink" Target="https://pbs.twimg.com/profile_images/705780107844067328/e7O4UBNb_normal.jpg" TargetMode="External"/><Relationship Id="rId19411" Type="http://schemas.openxmlformats.org/officeDocument/2006/relationships/hyperlink" Target="https://twitter.com/Tbonds69" TargetMode="External"/><Relationship Id="rId23807" Type="http://schemas.openxmlformats.org/officeDocument/2006/relationships/hyperlink" Target="https://pbs.twimg.com/profile_images/703294545195307008/qeCvrX86_normal.jpg" TargetMode="External"/><Relationship Id="rId31" Type="http://schemas.openxmlformats.org/officeDocument/2006/relationships/hyperlink" Target="https://twitter.com/jckronbauer" TargetMode="External"/><Relationship Id="rId2099" Type="http://schemas.openxmlformats.org/officeDocument/2006/relationships/hyperlink" Target="https://twitter.com/NWVT/status/723081934008684544" TargetMode="External"/><Relationship Id="rId4548" Type="http://schemas.openxmlformats.org/officeDocument/2006/relationships/hyperlink" Target="https://twitter.com/AndyGER" TargetMode="External"/><Relationship Id="rId7021" Type="http://schemas.openxmlformats.org/officeDocument/2006/relationships/hyperlink" Target="https://twitter.com/inesfpereira95" TargetMode="External"/><Relationship Id="rId21358" Type="http://schemas.openxmlformats.org/officeDocument/2006/relationships/hyperlink" Target="https://pbs.twimg.com/profile_images/378800000572104796/1de43e1cf23efb3f4101c02afad0d3b6_normal.png" TargetMode="External"/><Relationship Id="rId10002" Type="http://schemas.openxmlformats.org/officeDocument/2006/relationships/hyperlink" Target="https://pbs.twimg.com/profile_images/569800899141177344/nVFLMSdb_normal.png" TargetMode="External"/><Relationship Id="rId13572" Type="http://schemas.openxmlformats.org/officeDocument/2006/relationships/hyperlink" Target="https://twitter.com/VolkswagenPost" TargetMode="External"/><Relationship Id="rId3631" Type="http://schemas.openxmlformats.org/officeDocument/2006/relationships/hyperlink" Target="https://pbs.twimg.com/profile_images/718820712757215233/LXXndPTS_normal.jpg" TargetMode="External"/><Relationship Id="rId13225" Type="http://schemas.openxmlformats.org/officeDocument/2006/relationships/hyperlink" Target="https://twitter.com/fxdx/status/723539797290131458" TargetMode="External"/><Relationship Id="rId20441" Type="http://schemas.openxmlformats.org/officeDocument/2006/relationships/hyperlink" Target="https://twitter.com/zallshaaaa/status/723998997703233537" TargetMode="External"/><Relationship Id="rId1182" Type="http://schemas.openxmlformats.org/officeDocument/2006/relationships/hyperlink" Target="https://twitter.com/media_release/status/723024347707760640" TargetMode="External"/><Relationship Id="rId6854" Type="http://schemas.openxmlformats.org/officeDocument/2006/relationships/hyperlink" Target="https://twitter.com/beetlebug1938" TargetMode="External"/><Relationship Id="rId16448" Type="http://schemas.openxmlformats.org/officeDocument/2006/relationships/hyperlink" Target="https://twitter.com/RamziBerrabia" TargetMode="External"/><Relationship Id="rId16795" Type="http://schemas.openxmlformats.org/officeDocument/2006/relationships/hyperlink" Target="https://twitter.com/nico85045340/status/723732225213227008" TargetMode="External"/><Relationship Id="rId23664" Type="http://schemas.openxmlformats.org/officeDocument/2006/relationships/hyperlink" Target="https://twitter.com/VWBeetleSales" TargetMode="External"/><Relationship Id="rId6507" Type="http://schemas.openxmlformats.org/officeDocument/2006/relationships/hyperlink" Target="https://twitter.com/Todo_VWT3/status/723244998225960960" TargetMode="External"/><Relationship Id="rId23317" Type="http://schemas.openxmlformats.org/officeDocument/2006/relationships/hyperlink" Target="https://twitter.com/ziromr" TargetMode="External"/><Relationship Id="rId4058" Type="http://schemas.openxmlformats.org/officeDocument/2006/relationships/hyperlink" Target="https://twitter.com/OLRAK/status/723175459295485956" TargetMode="External"/><Relationship Id="rId15531" Type="http://schemas.openxmlformats.org/officeDocument/2006/relationships/hyperlink" Target="https://pbs.twimg.com/profile_images/627949001179037696/skEBkS05_normal.jpg" TargetMode="External"/><Relationship Id="rId13082" Type="http://schemas.openxmlformats.org/officeDocument/2006/relationships/hyperlink" Target="https://twitter.com/traumspruch" TargetMode="External"/><Relationship Id="rId18754" Type="http://schemas.openxmlformats.org/officeDocument/2006/relationships/hyperlink" Target="https://twitter.com/Burtbros" TargetMode="External"/><Relationship Id="rId22400" Type="http://schemas.openxmlformats.org/officeDocument/2006/relationships/hyperlink" Target="https://twitter.com/seiya_tomtom/status/724221973019000833" TargetMode="External"/><Relationship Id="rId3141" Type="http://schemas.openxmlformats.org/officeDocument/2006/relationships/hyperlink" Target="http://dlvr.it/" TargetMode="External"/><Relationship Id="rId8813" Type="http://schemas.openxmlformats.org/officeDocument/2006/relationships/hyperlink" Target="https://twitter.com/bvdvliet" TargetMode="External"/><Relationship Id="rId18407" Type="http://schemas.openxmlformats.org/officeDocument/2006/relationships/hyperlink" Target="https://pbs.twimg.com/profile_images/666952430177935362/T46eVne2_normal.png" TargetMode="External"/><Relationship Id="rId25623" Type="http://schemas.openxmlformats.org/officeDocument/2006/relationships/hyperlink" Target="https://twitter.com/edyrivera74" TargetMode="External"/><Relationship Id="rId6364" Type="http://schemas.openxmlformats.org/officeDocument/2006/relationships/hyperlink" Target="https://twitter.com/SebastianAxel22" TargetMode="External"/><Relationship Id="rId23174" Type="http://schemas.openxmlformats.org/officeDocument/2006/relationships/hyperlink" Target="https://twitter.com/MartinMosel/status/724272510209019905" TargetMode="External"/><Relationship Id="rId6017" Type="http://schemas.openxmlformats.org/officeDocument/2006/relationships/hyperlink" Target="https://twitter.com/VWBeetleSales" TargetMode="External"/><Relationship Id="rId9587" Type="http://schemas.openxmlformats.org/officeDocument/2006/relationships/hyperlink" Target="https://pbs.twimg.com/profile_images/2779433989/ea5b9884fc97d178dceb738ac5e50ac2_normal.png" TargetMode="External"/><Relationship Id="rId2974" Type="http://schemas.openxmlformats.org/officeDocument/2006/relationships/hyperlink" Target="https://twitter.com/DS_1962/status/723129404969218049" TargetMode="External"/><Relationship Id="rId12568" Type="http://schemas.openxmlformats.org/officeDocument/2006/relationships/hyperlink" Target="https://pbs.twimg.com/profile_images/722924621301956608/WYrNe6po_normal.jpg" TargetMode="External"/><Relationship Id="rId946" Type="http://schemas.openxmlformats.org/officeDocument/2006/relationships/hyperlink" Target="https://pbs.twimg.com/profile_images/3227674119/2a2fa2d73f09b9d265a29833d5cbf338_normal.jpeg" TargetMode="External"/><Relationship Id="rId2627" Type="http://schemas.openxmlformats.org/officeDocument/2006/relationships/hyperlink" Target="https://pbs.twimg.com/profile_images/718944783939579904/yhlqqgZE_normal.jpg" TargetMode="External"/><Relationship Id="rId5100" Type="http://schemas.openxmlformats.org/officeDocument/2006/relationships/hyperlink" Target="https://twitter.com/vanessablum" TargetMode="External"/><Relationship Id="rId15041" Type="http://schemas.openxmlformats.org/officeDocument/2006/relationships/hyperlink" Target="https://twitter.com/JoergRupp" TargetMode="External"/><Relationship Id="rId8670" Type="http://schemas.openxmlformats.org/officeDocument/2006/relationships/hyperlink" Target="https://twitter.com/techhippie/status/723401383555158016" TargetMode="External"/><Relationship Id="rId11651" Type="http://schemas.openxmlformats.org/officeDocument/2006/relationships/hyperlink" Target="https://pbs.twimg.com/profile_images/1200648485/instock_normal.jpg" TargetMode="External"/><Relationship Id="rId18264" Type="http://schemas.openxmlformats.org/officeDocument/2006/relationships/hyperlink" Target="https://pbs.twimg.com/profile_images/558311466282270721/qSeyoc7L_normal.jpeg" TargetMode="External"/><Relationship Id="rId25480" Type="http://schemas.openxmlformats.org/officeDocument/2006/relationships/hyperlink" Target="https://twitter.com/DubLuvTuning" TargetMode="External"/><Relationship Id="rId1710" Type="http://schemas.openxmlformats.org/officeDocument/2006/relationships/hyperlink" Target="https://twitter.com/1stMiniMerlin" TargetMode="External"/><Relationship Id="rId8323" Type="http://schemas.openxmlformats.org/officeDocument/2006/relationships/hyperlink" Target="https://twitter.com/Oedlaender" TargetMode="External"/><Relationship Id="rId11304" Type="http://schemas.openxmlformats.org/officeDocument/2006/relationships/hyperlink" Target="https://twitter.com/agy_nes" TargetMode="External"/><Relationship Id="rId25133" Type="http://schemas.openxmlformats.org/officeDocument/2006/relationships/hyperlink" Target="https://twitter.com/Floppii_Chiara/status/724423128470925312" TargetMode="External"/><Relationship Id="rId4933" Type="http://schemas.openxmlformats.org/officeDocument/2006/relationships/hyperlink" Target="https://pbs.twimg.com/profile_images/541560508802158592/txuMsYDy_normal.jpeg" TargetMode="External"/><Relationship Id="rId14527" Type="http://schemas.openxmlformats.org/officeDocument/2006/relationships/hyperlink" Target="https://twitter.com/DubLuvTuning/status/723575193743011840" TargetMode="External"/><Relationship Id="rId14874" Type="http://schemas.openxmlformats.org/officeDocument/2006/relationships/hyperlink" Target="https://pbs.twimg.com/profile_images/378800000572104796/1de43e1cf23efb3f4101c02afad0d3b6_normal.png" TargetMode="External"/><Relationship Id="rId2484" Type="http://schemas.openxmlformats.org/officeDocument/2006/relationships/hyperlink" Target="https://pbs.twimg.com/profile_images/644482436257185792/immN1agH_normal.jpg" TargetMode="External"/><Relationship Id="rId9097" Type="http://schemas.openxmlformats.org/officeDocument/2006/relationships/hyperlink" Target="https://twitter.com/Vital_Hydro" TargetMode="External"/><Relationship Id="rId12078" Type="http://schemas.openxmlformats.org/officeDocument/2006/relationships/hyperlink" Target="https://twitter.com/BoersenDE/status/723512721107382273" TargetMode="External"/><Relationship Id="rId17000" Type="http://schemas.openxmlformats.org/officeDocument/2006/relationships/hyperlink" Target="https://twitter.com/MoniShantiRani/status/723761570317250560" TargetMode="External"/><Relationship Id="rId21743" Type="http://schemas.openxmlformats.org/officeDocument/2006/relationships/hyperlink" Target="https://twitter.com/caryelluk/status/724176261279453186" TargetMode="External"/><Relationship Id="rId456" Type="http://schemas.openxmlformats.org/officeDocument/2006/relationships/hyperlink" Target="https://twitter.com/memlopes/status/722960226693971969" TargetMode="External"/><Relationship Id="rId2137" Type="http://schemas.openxmlformats.org/officeDocument/2006/relationships/hyperlink" Target="https://twitter.com/VolkswagenPost" TargetMode="External"/><Relationship Id="rId24966" Type="http://schemas.openxmlformats.org/officeDocument/2006/relationships/hyperlink" Target="https://pbs.twimg.com/profile_images/667876096088653825/FOW14Ke4_normal.jpg" TargetMode="External"/><Relationship Id="rId109" Type="http://schemas.openxmlformats.org/officeDocument/2006/relationships/hyperlink" Target="https://twitter.com/APMACanada/status/722927975314911235" TargetMode="External"/><Relationship Id="rId7809" Type="http://schemas.openxmlformats.org/officeDocument/2006/relationships/hyperlink" Target="https://twitter.com/thunderdan667" TargetMode="External"/><Relationship Id="rId8180" Type="http://schemas.openxmlformats.org/officeDocument/2006/relationships/hyperlink" Target="https://pbs.twimg.com/profile_images/558265124927307778/DDhPIZmj_normal.jpeg" TargetMode="External"/><Relationship Id="rId13610" Type="http://schemas.openxmlformats.org/officeDocument/2006/relationships/hyperlink" Target="https://pbs.twimg.com/profile_images/459701984342200322/w1eWV8Sz_normal.jpeg" TargetMode="External"/><Relationship Id="rId24619" Type="http://schemas.openxmlformats.org/officeDocument/2006/relationships/hyperlink" Target="https://twitter.com/dapper013" TargetMode="External"/><Relationship Id="rId11161" Type="http://schemas.openxmlformats.org/officeDocument/2006/relationships/hyperlink" Target="https://twitter.com/Scoopic/status/723498543412043780" TargetMode="External"/><Relationship Id="rId16833" Type="http://schemas.openxmlformats.org/officeDocument/2006/relationships/hyperlink" Target="https://twitter.com/VolkswagenPost" TargetMode="External"/><Relationship Id="rId1220" Type="http://schemas.openxmlformats.org/officeDocument/2006/relationships/hyperlink" Target="https://twitter.com/PedroJ_Cuestas" TargetMode="External"/><Relationship Id="rId4790" Type="http://schemas.openxmlformats.org/officeDocument/2006/relationships/hyperlink" Target="https://twitter.com/celiacernadas/status/723187829665198087" TargetMode="External"/><Relationship Id="rId14384" Type="http://schemas.openxmlformats.org/officeDocument/2006/relationships/hyperlink" Target="https://pbs.twimg.com/profile_images/718820712757215233/LXXndPTS_normal.jpg" TargetMode="External"/><Relationship Id="rId23702" Type="http://schemas.openxmlformats.org/officeDocument/2006/relationships/hyperlink" Target="https://twitter.com/beetlebug1938" TargetMode="External"/><Relationship Id="rId4443" Type="http://schemas.openxmlformats.org/officeDocument/2006/relationships/hyperlink" Target="https://twitter.com/emilyrusch" TargetMode="External"/><Relationship Id="rId14037" Type="http://schemas.openxmlformats.org/officeDocument/2006/relationships/hyperlink" Target="https://twitter.com/Soniicgirl/status/723562184995946497" TargetMode="External"/><Relationship Id="rId21253" Type="http://schemas.openxmlformats.org/officeDocument/2006/relationships/hyperlink" Target="https://pbs.twimg.com/profile_images/718820712757215233/LXXndPTS_normal.jpg" TargetMode="External"/><Relationship Id="rId7666" Type="http://schemas.openxmlformats.org/officeDocument/2006/relationships/hyperlink" Target="https://twitter.com/VWCamperSales/status/723322969192206336" TargetMode="External"/><Relationship Id="rId10994" Type="http://schemas.openxmlformats.org/officeDocument/2006/relationships/hyperlink" Target="https://twitter.com/nomadartdesign/status/723493860375183361" TargetMode="External"/><Relationship Id="rId19709" Type="http://schemas.openxmlformats.org/officeDocument/2006/relationships/hyperlink" Target="https://twitter.com/dapper013" TargetMode="External"/><Relationship Id="rId24476" Type="http://schemas.openxmlformats.org/officeDocument/2006/relationships/hyperlink" Target="https://twitter.com/BagOfPeanuts/status/724363010031099904" TargetMode="External"/><Relationship Id="rId7319" Type="http://schemas.openxmlformats.org/officeDocument/2006/relationships/hyperlink" Target="https://pbs.twimg.com/profile_images/344513261566623547/c484ef0ff4779639016dcdc1f39ffaed_normal.jpeg" TargetMode="External"/><Relationship Id="rId10647" Type="http://schemas.openxmlformats.org/officeDocument/2006/relationships/hyperlink" Target="https://twitter.com/DjUenal61/status/723479799604383745" TargetMode="External"/><Relationship Id="rId24129" Type="http://schemas.openxmlformats.org/officeDocument/2006/relationships/hyperlink" Target="https://pbs.twimg.com/profile_images/378800000579233793/f15ee730284d492efb956f07b9b1e01f_normal.jpeg" TargetMode="External"/><Relationship Id="rId13120" Type="http://schemas.openxmlformats.org/officeDocument/2006/relationships/hyperlink" Target="https://twitter.com/Sole_bany" TargetMode="External"/><Relationship Id="rId16690" Type="http://schemas.openxmlformats.org/officeDocument/2006/relationships/hyperlink" Target="https://pbs.twimg.com/profile_images/718820712757215233/LXXndPTS_normal.jpg" TargetMode="External"/><Relationship Id="rId3929" Type="http://schemas.openxmlformats.org/officeDocument/2006/relationships/hyperlink" Target="https://abs.twimg.com/sticky/default_profile_images/default_profile_1_normal.png" TargetMode="External"/><Relationship Id="rId16343" Type="http://schemas.openxmlformats.org/officeDocument/2006/relationships/hyperlink" Target="https://twitter.com/saudi_carz/status/723670098519703552" TargetMode="External"/><Relationship Id="rId20739" Type="http://schemas.openxmlformats.org/officeDocument/2006/relationships/hyperlink" Target="https://twitter.com/Braulio_Urresti/status/724034013300690944" TargetMode="External"/><Relationship Id="rId6402" Type="http://schemas.openxmlformats.org/officeDocument/2006/relationships/hyperlink" Target="https://twitter.com/thechronoduo" TargetMode="External"/><Relationship Id="rId9972" Type="http://schemas.openxmlformats.org/officeDocument/2006/relationships/hyperlink" Target="https://pbs.twimg.com/profile_images/636436857983758336/vRwcQ43Z_normal.jpg" TargetMode="External"/><Relationship Id="rId19566" Type="http://schemas.openxmlformats.org/officeDocument/2006/relationships/hyperlink" Target="https://twitter.com/buran63/status/723940496339513346" TargetMode="External"/><Relationship Id="rId23212" Type="http://schemas.openxmlformats.org/officeDocument/2006/relationships/hyperlink" Target="https://twitter.com/bruno90alvarez/status/724273502786846721" TargetMode="External"/><Relationship Id="rId9625" Type="http://schemas.openxmlformats.org/officeDocument/2006/relationships/hyperlink" Target="https://twitter.com/andreafiorello/status/723442877032861696" TargetMode="External"/><Relationship Id="rId12606" Type="http://schemas.openxmlformats.org/officeDocument/2006/relationships/hyperlink" Target="https://twitter.com/HansTheGerman/status/723523465463103488" TargetMode="External"/><Relationship Id="rId12953" Type="http://schemas.openxmlformats.org/officeDocument/2006/relationships/hyperlink" Target="https://pbs.twimg.com/profile_images/682567064658259968/q3TCimOc_normal.jpg" TargetMode="External"/><Relationship Id="rId19219" Type="http://schemas.openxmlformats.org/officeDocument/2006/relationships/hyperlink" Target="https://twitter.com/_sea_fox_/status/723922605338705921" TargetMode="External"/><Relationship Id="rId7176" Type="http://schemas.openxmlformats.org/officeDocument/2006/relationships/hyperlink" Target="https://pbs.twimg.com/profile_images/627949001179037696/skEBkS05_normal.jpg" TargetMode="External"/><Relationship Id="rId10157" Type="http://schemas.openxmlformats.org/officeDocument/2006/relationships/hyperlink" Target="https://twitter.com/cldiosanz/status/723464777037701120" TargetMode="External"/><Relationship Id="rId3786" Type="http://schemas.openxmlformats.org/officeDocument/2006/relationships/hyperlink" Target="https://twitter.com/nidabektas/status/723169578239426562" TargetMode="External"/><Relationship Id="rId15829" Type="http://schemas.openxmlformats.org/officeDocument/2006/relationships/hyperlink" Target="https://pbs.twimg.com/profile_images/718998805060927488/ds5qOEpX_normal.jpg" TargetMode="External"/><Relationship Id="rId3439" Type="http://schemas.openxmlformats.org/officeDocument/2006/relationships/hyperlink" Target="https://twitter.com/Scirocco_Tuning/status/723158670570348544" TargetMode="External"/><Relationship Id="rId18302" Type="http://schemas.openxmlformats.org/officeDocument/2006/relationships/hyperlink" Target="https://twitter.com/fairychav/status/723859827332681728" TargetMode="External"/><Relationship Id="rId20249" Type="http://schemas.openxmlformats.org/officeDocument/2006/relationships/hyperlink" Target="https://twitter.com/dejbanlaw/status/723985458447802369" TargetMode="External"/><Relationship Id="rId20596" Type="http://schemas.openxmlformats.org/officeDocument/2006/relationships/hyperlink" Target="https://twitter.com/booksbyjoy" TargetMode="External"/><Relationship Id="rId14912" Type="http://schemas.openxmlformats.org/officeDocument/2006/relationships/hyperlink" Target="https://pbs.twimg.com/profile_images/714459923313213440/hqlB0K0j_normal.jpg" TargetMode="External"/><Relationship Id="rId9482" Type="http://schemas.openxmlformats.org/officeDocument/2006/relationships/hyperlink" Target="https://twitter.com/CarsSouthAfrica/status/723436690790965248" TargetMode="External"/><Relationship Id="rId12463" Type="http://schemas.openxmlformats.org/officeDocument/2006/relationships/hyperlink" Target="https://twitter.com/RippedFlower" TargetMode="External"/><Relationship Id="rId19076" Type="http://schemas.openxmlformats.org/officeDocument/2006/relationships/hyperlink" Target="https://twitter.com/steaithpooch/status/723918675267473408" TargetMode="External"/><Relationship Id="rId841" Type="http://schemas.openxmlformats.org/officeDocument/2006/relationships/hyperlink" Target="https://twitter.com/VWCamperSales/status/722990524257325056" TargetMode="External"/><Relationship Id="rId2522" Type="http://schemas.openxmlformats.org/officeDocument/2006/relationships/hyperlink" Target="https://twitter.com/zeitonline_wir" TargetMode="External"/><Relationship Id="rId9135" Type="http://schemas.openxmlformats.org/officeDocument/2006/relationships/hyperlink" Target="https://twitter.com/UsatoAutoSystem" TargetMode="External"/><Relationship Id="rId12116" Type="http://schemas.openxmlformats.org/officeDocument/2006/relationships/hyperlink" Target="https://twitter.com/TaronPuri" TargetMode="External"/><Relationship Id="rId15686" Type="http://schemas.openxmlformats.org/officeDocument/2006/relationships/hyperlink" Target="https://pbs.twimg.com/profile_images/299490659/Hr._Watson_normal.jpg" TargetMode="External"/><Relationship Id="rId5745" Type="http://schemas.openxmlformats.org/officeDocument/2006/relationships/hyperlink" Target="https://twitter.com/bvdvliet/status/723215560981536769" TargetMode="External"/><Relationship Id="rId15339" Type="http://schemas.openxmlformats.org/officeDocument/2006/relationships/hyperlink" Target="https://twitter.com/Marktzyniker/status/723604109589385216" TargetMode="External"/><Relationship Id="rId22555" Type="http://schemas.openxmlformats.org/officeDocument/2006/relationships/hyperlink" Target="https://pbs.twimg.com/profile_images/1610695149/peace4_normal.PNG" TargetMode="External"/><Relationship Id="rId3296" Type="http://schemas.openxmlformats.org/officeDocument/2006/relationships/hyperlink" Target="https://pbs.twimg.com/profile_images/378800000572104796/1de43e1cf23efb3f4101c02afad0d3b6_normal.png" TargetMode="External"/><Relationship Id="rId22208" Type="http://schemas.openxmlformats.org/officeDocument/2006/relationships/hyperlink" Target="https://twitter.com/DenbyCampervans" TargetMode="External"/><Relationship Id="rId8968" Type="http://schemas.openxmlformats.org/officeDocument/2006/relationships/hyperlink" Target="https://pbs.twimg.com/profile_images/378800000747750946/394d9f0f5e6dde5137683d9c98c5c8a9_normal.jpeg" TargetMode="External"/><Relationship Id="rId11949" Type="http://schemas.openxmlformats.org/officeDocument/2006/relationships/hyperlink" Target="https://twitter.com/TLZnews/status/723510920064950272" TargetMode="External"/><Relationship Id="rId14422" Type="http://schemas.openxmlformats.org/officeDocument/2006/relationships/hyperlink" Target="https://twitter.com/dw_business/status/723573612796465152" TargetMode="External"/><Relationship Id="rId17992" Type="http://schemas.openxmlformats.org/officeDocument/2006/relationships/hyperlink" Target="https://twitter.com/DubLuvTuning" TargetMode="External"/><Relationship Id="rId17645" Type="http://schemas.openxmlformats.org/officeDocument/2006/relationships/hyperlink" Target="https://pbs.twimg.com/profile_images/709727688462831616/KG2oHK_4_normal.jpg" TargetMode="External"/><Relationship Id="rId24861" Type="http://schemas.openxmlformats.org/officeDocument/2006/relationships/hyperlink" Target="https://twitter.com/DubLuvTuning/status/724393710667096064" TargetMode="External"/><Relationship Id="rId351" Type="http://schemas.openxmlformats.org/officeDocument/2006/relationships/hyperlink" Target="https://twitter.com/beetlebug1938/status/722950133231534080" TargetMode="External"/><Relationship Id="rId2032" Type="http://schemas.openxmlformats.org/officeDocument/2006/relationships/hyperlink" Target="https://twitter.com/chefreporterNRW/status/723078270745468932" TargetMode="External"/><Relationship Id="rId7704" Type="http://schemas.openxmlformats.org/officeDocument/2006/relationships/hyperlink" Target="https://twitter.com/Financial_Orbit/status/723324404361506816" TargetMode="External"/><Relationship Id="rId15196" Type="http://schemas.openxmlformats.org/officeDocument/2006/relationships/hyperlink" Target="https://twitter.com/bryanRis/status/723598382724448258" TargetMode="External"/><Relationship Id="rId24514" Type="http://schemas.openxmlformats.org/officeDocument/2006/relationships/hyperlink" Target="https://twitter.com/beetlebug1938/status/724367673061199872" TargetMode="External"/><Relationship Id="rId5255" Type="http://schemas.openxmlformats.org/officeDocument/2006/relationships/hyperlink" Target="https://pbs.twimg.com/profile_images/3686614487/04c0554ed5e05dd48a8d924a6d576f5c_normal.jpeg" TargetMode="External"/><Relationship Id="rId22065" Type="http://schemas.openxmlformats.org/officeDocument/2006/relationships/hyperlink" Target="https://pbs.twimg.com/profile_images/672878354127839232/M7OYc-zx_normal.jpg" TargetMode="External"/><Relationship Id="rId1865" Type="http://schemas.openxmlformats.org/officeDocument/2006/relationships/hyperlink" Target="https://twitter.com/aa_albanian/status/723064161593257984" TargetMode="External"/><Relationship Id="rId8478" Type="http://schemas.openxmlformats.org/officeDocument/2006/relationships/hyperlink" Target="https://twitter.com/RodionMarx" TargetMode="External"/><Relationship Id="rId13908" Type="http://schemas.openxmlformats.org/officeDocument/2006/relationships/hyperlink" Target="https://twitter.com/DuisburgAndreas" TargetMode="External"/><Relationship Id="rId25288" Type="http://schemas.openxmlformats.org/officeDocument/2006/relationships/hyperlink" Target="http://ctrlq.org/maps/address/" TargetMode="External"/><Relationship Id="rId1518" Type="http://schemas.openxmlformats.org/officeDocument/2006/relationships/hyperlink" Target="https://pbs.twimg.com/profile_images/627949001179037696/skEBkS05_normal.jpg" TargetMode="External"/><Relationship Id="rId11459" Type="http://schemas.openxmlformats.org/officeDocument/2006/relationships/hyperlink" Target="https://twitter.com/BBCBusiness/status/723502561895034880" TargetMode="External"/><Relationship Id="rId19951" Type="http://schemas.openxmlformats.org/officeDocument/2006/relationships/hyperlink" Target="https://twitter.com/bneilbel" TargetMode="External"/><Relationship Id="rId19604" Type="http://schemas.openxmlformats.org/officeDocument/2006/relationships/hyperlink" Target="https://twitter.com/Kittyh21" TargetMode="External"/><Relationship Id="rId21898" Type="http://schemas.openxmlformats.org/officeDocument/2006/relationships/hyperlink" Target="https://twitter.com/TetsuoHojo" TargetMode="External"/><Relationship Id="rId7561" Type="http://schemas.openxmlformats.org/officeDocument/2006/relationships/hyperlink" Target="https://twitter.com/dukecave/status/723313113315975169" TargetMode="External"/><Relationship Id="rId10542" Type="http://schemas.openxmlformats.org/officeDocument/2006/relationships/hyperlink" Target="https://twitter.com/VWCamperSales/status/723476223460962305" TargetMode="External"/><Relationship Id="rId17155" Type="http://schemas.openxmlformats.org/officeDocument/2006/relationships/hyperlink" Target="https://twitter.com/bodo1962" TargetMode="External"/><Relationship Id="rId24371" Type="http://schemas.openxmlformats.org/officeDocument/2006/relationships/hyperlink" Target="https://twitter.com/beetlebug1938" TargetMode="External"/><Relationship Id="rId7214" Type="http://schemas.openxmlformats.org/officeDocument/2006/relationships/hyperlink" Target="https://twitter.com/IrelandUncut/status/723286549157281793" TargetMode="External"/><Relationship Id="rId13765" Type="http://schemas.openxmlformats.org/officeDocument/2006/relationships/hyperlink" Target="https://twitter.com/henhman" TargetMode="External"/><Relationship Id="rId20981" Type="http://schemas.openxmlformats.org/officeDocument/2006/relationships/hyperlink" Target="https://twitter.com/takuya0358/status/724076487230386176" TargetMode="External"/><Relationship Id="rId24024" Type="http://schemas.openxmlformats.org/officeDocument/2006/relationships/hyperlink" Target="https://pbs.twimg.com/profile_images/714232920647581697/ve_Jd5Zg_normal.jpg" TargetMode="External"/><Relationship Id="rId3824" Type="http://schemas.openxmlformats.org/officeDocument/2006/relationships/hyperlink" Target="https://twitter.com/Radio_Hamburg" TargetMode="External"/><Relationship Id="rId13418" Type="http://schemas.openxmlformats.org/officeDocument/2006/relationships/hyperlink" Target="https://pbs.twimg.com/profile_images/575807672219361280/Ch-RGehm_normal.jpeg" TargetMode="External"/><Relationship Id="rId20634" Type="http://schemas.openxmlformats.org/officeDocument/2006/relationships/hyperlink" Target="https://pbs.twimg.com/profile_images/569800899141177344/nVFLMSdb_normal.png" TargetMode="External"/><Relationship Id="rId1375" Type="http://schemas.openxmlformats.org/officeDocument/2006/relationships/hyperlink" Target="https://pbs.twimg.com/profile_images/1602774074/IMG_0924_normal.JPG" TargetMode="External"/><Relationship Id="rId16988" Type="http://schemas.openxmlformats.org/officeDocument/2006/relationships/hyperlink" Target="https://twitter.com/GermanoDottori/status/723760858753544192" TargetMode="External"/><Relationship Id="rId81" Type="http://schemas.openxmlformats.org/officeDocument/2006/relationships/hyperlink" Target="https://pbs.twimg.com/profile_images/651732570611318784/Pzh_eCAY_normal.jpg" TargetMode="External"/><Relationship Id="rId1028" Type="http://schemas.openxmlformats.org/officeDocument/2006/relationships/hyperlink" Target="https://pbs.twimg.com/profile_images/567750100772855808/YTBbVSSU_normal.jpeg" TargetMode="External"/><Relationship Id="rId4598" Type="http://schemas.openxmlformats.org/officeDocument/2006/relationships/hyperlink" Target="https://twitter.com/philippvetter" TargetMode="External"/><Relationship Id="rId9520" Type="http://schemas.openxmlformats.org/officeDocument/2006/relationships/hyperlink" Target="https://twitter.com/beetlebug1938" TargetMode="External"/><Relationship Id="rId19114" Type="http://schemas.openxmlformats.org/officeDocument/2006/relationships/hyperlink" Target="https://twitter.com/_forelgnsavage_/status/723920346018111488" TargetMode="External"/><Relationship Id="rId19461" Type="http://schemas.openxmlformats.org/officeDocument/2006/relationships/hyperlink" Target="https://twitter.com/acvwpassion" TargetMode="External"/><Relationship Id="rId23857" Type="http://schemas.openxmlformats.org/officeDocument/2006/relationships/hyperlink" Target="https://twitter.com/ProClipUSA/status/724315732092149760" TargetMode="External"/><Relationship Id="rId7071" Type="http://schemas.openxmlformats.org/officeDocument/2006/relationships/hyperlink" Target="https://twitter.com/VWBeetleSales/status/723277403657625602" TargetMode="External"/><Relationship Id="rId12501" Type="http://schemas.openxmlformats.org/officeDocument/2006/relationships/hyperlink" Target="https://pbs.twimg.com/profile_images/463700870073286657/N6mCbx-y_normal.png" TargetMode="External"/><Relationship Id="rId10052" Type="http://schemas.openxmlformats.org/officeDocument/2006/relationships/hyperlink" Target="https://twitter.com/TeresaMontao/status/723459905521328128" TargetMode="External"/><Relationship Id="rId15724" Type="http://schemas.openxmlformats.org/officeDocument/2006/relationships/hyperlink" Target="https://twitter.com/jitenmistrydj/status/723622132291350528" TargetMode="External"/><Relationship Id="rId22940" Type="http://schemas.openxmlformats.org/officeDocument/2006/relationships/hyperlink" Target="https://twitter.com/VWBeetleSales" TargetMode="External"/><Relationship Id="rId3681" Type="http://schemas.openxmlformats.org/officeDocument/2006/relationships/hyperlink" Target="https://twitter.com/handelsblatt" TargetMode="External"/><Relationship Id="rId13275" Type="http://schemas.openxmlformats.org/officeDocument/2006/relationships/hyperlink" Target="https://pbs.twimg.com/profile_images/476894592051056640/bqGCxWkq_normal.jpeg" TargetMode="External"/><Relationship Id="rId18947" Type="http://schemas.openxmlformats.org/officeDocument/2006/relationships/hyperlink" Target="https://pbs.twimg.com/profile_images/630957953588137984/-wxD0vGV_normal.jpg" TargetMode="External"/><Relationship Id="rId20491" Type="http://schemas.openxmlformats.org/officeDocument/2006/relationships/hyperlink" Target="https://twitter.com/Logistique01" TargetMode="External"/><Relationship Id="rId3334" Type="http://schemas.openxmlformats.org/officeDocument/2006/relationships/hyperlink" Target="https://twitter.com/rickehansen" TargetMode="External"/><Relationship Id="rId16498" Type="http://schemas.openxmlformats.org/officeDocument/2006/relationships/hyperlink" Target="https://twitter.com/JNathanHigdon/status/723689021264695296" TargetMode="External"/><Relationship Id="rId20144" Type="http://schemas.openxmlformats.org/officeDocument/2006/relationships/hyperlink" Target="https://pbs.twimg.com/profile_images/711584559029227522/5-2TZ7Ao_normal.jpg" TargetMode="External"/><Relationship Id="rId6557" Type="http://schemas.openxmlformats.org/officeDocument/2006/relationships/hyperlink" Target="https://twitter.com/FraGepWelz" TargetMode="External"/><Relationship Id="rId23367" Type="http://schemas.openxmlformats.org/officeDocument/2006/relationships/hyperlink" Target="https://twitter.com/RTLRally/status/724283611164348416" TargetMode="External"/><Relationship Id="rId9030" Type="http://schemas.openxmlformats.org/officeDocument/2006/relationships/hyperlink" Target="https://twitter.com/SkySamantha" TargetMode="External"/><Relationship Id="rId12011" Type="http://schemas.openxmlformats.org/officeDocument/2006/relationships/hyperlink" Target="https://twitter.com/DallaCbo/status/723511983799193601" TargetMode="External"/><Relationship Id="rId15581" Type="http://schemas.openxmlformats.org/officeDocument/2006/relationships/hyperlink" Target="https://twitter.com/VolkswagenPost/status/723614837952135169" TargetMode="External"/><Relationship Id="rId3191" Type="http://schemas.openxmlformats.org/officeDocument/2006/relationships/hyperlink" Target="https://pbs.twimg.com/profile_images/431166006807904256/QQuD9iZE_normal.jpeg" TargetMode="External"/><Relationship Id="rId5640" Type="http://schemas.openxmlformats.org/officeDocument/2006/relationships/hyperlink" Target="https://twitter.com/HansjorgN/status/723211549213622272" TargetMode="External"/><Relationship Id="rId15234" Type="http://schemas.openxmlformats.org/officeDocument/2006/relationships/hyperlink" Target="https://twitter.com/MikeSoraghan" TargetMode="External"/><Relationship Id="rId22450" Type="http://schemas.openxmlformats.org/officeDocument/2006/relationships/hyperlink" Target="https://pbs.twimg.com/profile_images/718835727027580928/1ssyQ67y_normal.jpg" TargetMode="External"/><Relationship Id="rId8863" Type="http://schemas.openxmlformats.org/officeDocument/2006/relationships/hyperlink" Target="https://pbs.twimg.com/profile_images/2926889758/6c12a00a945f3cc781b09cdea18c5686_normal.jpeg" TargetMode="External"/><Relationship Id="rId11844" Type="http://schemas.openxmlformats.org/officeDocument/2006/relationships/hyperlink" Target="https://pbs.twimg.com/profile_images/459689326192754688/oud17SKn_normal.png" TargetMode="External"/><Relationship Id="rId18457" Type="http://schemas.openxmlformats.org/officeDocument/2006/relationships/hyperlink" Target="https://pbs.twimg.com/profile_images/552044021774700544/M3FC3arM_normal.jpeg" TargetMode="External"/><Relationship Id="rId22103" Type="http://schemas.openxmlformats.org/officeDocument/2006/relationships/hyperlink" Target="https://pbs.twimg.com/profile_images/652871584131092480/QA_B6SBO_normal.jpg" TargetMode="External"/><Relationship Id="rId25673" Type="http://schemas.openxmlformats.org/officeDocument/2006/relationships/hyperlink" Target="https://pbs.twimg.com/profile_images/646875510249684993/JrL2aKF-_normal.jpg" TargetMode="External"/><Relationship Id="rId1903" Type="http://schemas.openxmlformats.org/officeDocument/2006/relationships/hyperlink" Target="https://twitter.com/frugalmaniac" TargetMode="External"/><Relationship Id="rId8516" Type="http://schemas.openxmlformats.org/officeDocument/2006/relationships/hyperlink" Target="http://dlvr.it/" TargetMode="External"/><Relationship Id="rId25326" Type="http://schemas.openxmlformats.org/officeDocument/2006/relationships/hyperlink" Target="https://twitter.com/vwpress_en/status/724431184114139139" TargetMode="External"/><Relationship Id="rId6067" Type="http://schemas.openxmlformats.org/officeDocument/2006/relationships/hyperlink" Target="https://twitter.com/grescoe/status/723229186077392899" TargetMode="External"/><Relationship Id="rId996" Type="http://schemas.openxmlformats.org/officeDocument/2006/relationships/hyperlink" Target="https://twitter.com/furqan_satcom" TargetMode="External"/><Relationship Id="rId2677" Type="http://schemas.openxmlformats.org/officeDocument/2006/relationships/hyperlink" Target="https://pbs.twimg.com/profile_images/688805610838687744/Stm6eG31_normal.jpg" TargetMode="External"/><Relationship Id="rId15091" Type="http://schemas.openxmlformats.org/officeDocument/2006/relationships/hyperlink" Target="https://pbs.twimg.com/profile_images/556251546715820033/l5Ixj297_normal.jpeg" TargetMode="External"/><Relationship Id="rId17540" Type="http://schemas.openxmlformats.org/officeDocument/2006/relationships/hyperlink" Target="https://pbs.twimg.com/profile_images/658982987573407744/n_n0LSWB_normal.png" TargetMode="External"/><Relationship Id="rId21936" Type="http://schemas.openxmlformats.org/officeDocument/2006/relationships/hyperlink" Target="https://twitter.com/WillowSpringsUK/status/724189960425869313" TargetMode="External"/><Relationship Id="rId649" Type="http://schemas.openxmlformats.org/officeDocument/2006/relationships/hyperlink" Target="https://twitter.com/Caaml_Castroo/status/722967646480785408" TargetMode="External"/><Relationship Id="rId5150" Type="http://schemas.openxmlformats.org/officeDocument/2006/relationships/hyperlink" Target="https://pbs.twimg.com/profile_images/1646660459/cropped_pic_normal.jpg" TargetMode="External"/><Relationship Id="rId8373" Type="http://schemas.openxmlformats.org/officeDocument/2006/relationships/hyperlink" Target="https://pbs.twimg.com/profile_images/689180646653202432/IDgTGC30_normal.jpg" TargetMode="External"/><Relationship Id="rId13803" Type="http://schemas.openxmlformats.org/officeDocument/2006/relationships/hyperlink" Target="https://twitter.com/Fefe_crc" TargetMode="External"/><Relationship Id="rId1760" Type="http://schemas.openxmlformats.org/officeDocument/2006/relationships/hyperlink" Target="https://pbs.twimg.com/profile_images/694644745558212608/y4VKK2aP_normal.jpg" TargetMode="External"/><Relationship Id="rId8026" Type="http://schemas.openxmlformats.org/officeDocument/2006/relationships/hyperlink" Target="https://twitter.com/beetlebug1938" TargetMode="External"/><Relationship Id="rId11354" Type="http://schemas.openxmlformats.org/officeDocument/2006/relationships/hyperlink" Target="https://twitter.com/LarsJehne/status/723501373019533312" TargetMode="External"/><Relationship Id="rId25183" Type="http://schemas.openxmlformats.org/officeDocument/2006/relationships/hyperlink" Target="https://twitter.com/vwpress_en" TargetMode="External"/><Relationship Id="rId1413" Type="http://schemas.openxmlformats.org/officeDocument/2006/relationships/hyperlink" Target="https://twitter.com/ItoParedes/status/723040458352545792" TargetMode="External"/><Relationship Id="rId4983" Type="http://schemas.openxmlformats.org/officeDocument/2006/relationships/hyperlink" Target="https://twitter.com/aligerb/status/723191614437515264" TargetMode="External"/><Relationship Id="rId11007" Type="http://schemas.openxmlformats.org/officeDocument/2006/relationships/hyperlink" Target="https://pbs.twimg.com/profile_images/462266691305488384/nZV5thLJ_normal.jpeg" TargetMode="External"/><Relationship Id="rId14577" Type="http://schemas.openxmlformats.org/officeDocument/2006/relationships/hyperlink" Target="http://tagesschau.de/" TargetMode="External"/><Relationship Id="rId21793" Type="http://schemas.openxmlformats.org/officeDocument/2006/relationships/hyperlink" Target="https://twitter.com/dubbusses" TargetMode="External"/><Relationship Id="rId4636" Type="http://schemas.openxmlformats.org/officeDocument/2006/relationships/hyperlink" Target="https://twitter.com/ebaycampervans/status/723184003688210433" TargetMode="External"/><Relationship Id="rId17050" Type="http://schemas.openxmlformats.org/officeDocument/2006/relationships/hyperlink" Target="https://twitter.com/ragingbull44/status/723766553611763712" TargetMode="External"/><Relationship Id="rId21446" Type="http://schemas.openxmlformats.org/officeDocument/2006/relationships/hyperlink" Target="https://twitter.com/dubbusses" TargetMode="External"/><Relationship Id="rId2187" Type="http://schemas.openxmlformats.org/officeDocument/2006/relationships/hyperlink" Target="https://pbs.twimg.com/profile_images/661248829682024449/IlOGOPEg_normal.jpg" TargetMode="External"/><Relationship Id="rId7859" Type="http://schemas.openxmlformats.org/officeDocument/2006/relationships/hyperlink" Target="https://twitter.com/twizler557/status/723335306737414145" TargetMode="External"/><Relationship Id="rId24669" Type="http://schemas.openxmlformats.org/officeDocument/2006/relationships/hyperlink" Target="https://pbs.twimg.com/profile_images/718820712757215233/LXXndPTS_normal.jpg" TargetMode="External"/><Relationship Id="rId159" Type="http://schemas.openxmlformats.org/officeDocument/2006/relationships/hyperlink" Target="https://twitter.com/VCT_Tweets" TargetMode="External"/><Relationship Id="rId13660" Type="http://schemas.openxmlformats.org/officeDocument/2006/relationships/hyperlink" Target="https://twitter.com/HansTheGerman" TargetMode="External"/><Relationship Id="rId1270" Type="http://schemas.openxmlformats.org/officeDocument/2006/relationships/hyperlink" Target="https://twitter.com/donaukurier/status/723030506057531392" TargetMode="External"/><Relationship Id="rId13313" Type="http://schemas.openxmlformats.org/officeDocument/2006/relationships/hyperlink" Target="https://twitter.com/beetlebug1938" TargetMode="External"/><Relationship Id="rId16883" Type="http://schemas.openxmlformats.org/officeDocument/2006/relationships/hyperlink" Target="https://twitter.com/JackyMMontes/status/723744077917904896" TargetMode="External"/><Relationship Id="rId6942" Type="http://schemas.openxmlformats.org/officeDocument/2006/relationships/hyperlink" Target="https://pbs.twimg.com/profile_images/685533265101492224/RLrGcdgd_normal.png" TargetMode="External"/><Relationship Id="rId16536" Type="http://schemas.openxmlformats.org/officeDocument/2006/relationships/hyperlink" Target="https://pbs.twimg.com/profile_images/588461871558107137/9m-nVvMW_normal.png" TargetMode="External"/><Relationship Id="rId23752" Type="http://schemas.openxmlformats.org/officeDocument/2006/relationships/hyperlink" Target="https://pbs.twimg.com/profile_images/705187561182928896/xgmxzzBU_normal.jpg" TargetMode="External"/><Relationship Id="rId4493" Type="http://schemas.openxmlformats.org/officeDocument/2006/relationships/hyperlink" Target="https://pbs.twimg.com/profile_images/710571670709243905/MpmsNXj6_normal.jpg" TargetMode="External"/><Relationship Id="rId14087" Type="http://schemas.openxmlformats.org/officeDocument/2006/relationships/hyperlink" Target="https://pbs.twimg.com/profile_images/476736464894849024/nkKCplko_normal.jpeg" TargetMode="External"/><Relationship Id="rId19759" Type="http://schemas.openxmlformats.org/officeDocument/2006/relationships/hyperlink" Target="https://twitter.com/TheRealBusman73/status/723955051857907714" TargetMode="External"/><Relationship Id="rId23405" Type="http://schemas.openxmlformats.org/officeDocument/2006/relationships/hyperlink" Target="https://pbs.twimg.com/profile_images/697539834840268800/fIANhnLA_normal.jpg" TargetMode="External"/><Relationship Id="rId4146" Type="http://schemas.openxmlformats.org/officeDocument/2006/relationships/hyperlink" Target="https://pbs.twimg.com/profile_images/652625032246530048/mn0-PwJ4_normal.jpg" TargetMode="External"/><Relationship Id="rId9818" Type="http://schemas.openxmlformats.org/officeDocument/2006/relationships/hyperlink" Target="https://pbs.twimg.com/profile_images/687314255507513346/a83L5Opq_normal.jpg" TargetMode="External"/><Relationship Id="rId10697" Type="http://schemas.openxmlformats.org/officeDocument/2006/relationships/hyperlink" Target="https://twitter.com/RobertsBlog" TargetMode="External"/><Relationship Id="rId7369" Type="http://schemas.openxmlformats.org/officeDocument/2006/relationships/hyperlink" Target="https://pbs.twimg.com/profile_images/669349487127588864/VW9W5XnT_normal.jpg" TargetMode="External"/><Relationship Id="rId13170" Type="http://schemas.openxmlformats.org/officeDocument/2006/relationships/hyperlink" Target="https://pbs.twimg.com/profile_images/581130479954452480/Bn544jnu_normal.jpg" TargetMode="External"/><Relationship Id="rId24179" Type="http://schemas.openxmlformats.org/officeDocument/2006/relationships/hyperlink" Target="https://pbs.twimg.com/profile_images/627949001179037696/skEBkS05_normal.jpg" TargetMode="External"/><Relationship Id="rId18842" Type="http://schemas.openxmlformats.org/officeDocument/2006/relationships/hyperlink" Target="https://twitter.com/IrelandGuide/status/723899750425174016" TargetMode="External"/><Relationship Id="rId3979" Type="http://schemas.openxmlformats.org/officeDocument/2006/relationships/hyperlink" Target="https://twitter.com/Stony_BS" TargetMode="External"/><Relationship Id="rId6452" Type="http://schemas.openxmlformats.org/officeDocument/2006/relationships/hyperlink" Target="https://twitter.com/eber_staltari" TargetMode="External"/><Relationship Id="rId8901" Type="http://schemas.openxmlformats.org/officeDocument/2006/relationships/hyperlink" Target="https://twitter.com/Oeli378/status/723410743727521792" TargetMode="External"/><Relationship Id="rId16393" Type="http://schemas.openxmlformats.org/officeDocument/2006/relationships/hyperlink" Target="https://twitter.com/rplantt" TargetMode="External"/><Relationship Id="rId20789" Type="http://schemas.openxmlformats.org/officeDocument/2006/relationships/hyperlink" Target="https://pbs.twimg.com/profile_images/705780107844067328/e7O4UBNb_normal.jpg" TargetMode="External"/><Relationship Id="rId25711" Type="http://schemas.openxmlformats.org/officeDocument/2006/relationships/hyperlink" Target="https://twitter.com/mario_skater/status/724465477850902528" TargetMode="External"/><Relationship Id="rId6105" Type="http://schemas.openxmlformats.org/officeDocument/2006/relationships/hyperlink" Target="https://twitter.com/Bewickwren" TargetMode="External"/><Relationship Id="rId16046" Type="http://schemas.openxmlformats.org/officeDocument/2006/relationships/hyperlink" Target="https://twitter.com/MepadiL" TargetMode="External"/><Relationship Id="rId23262" Type="http://schemas.openxmlformats.org/officeDocument/2006/relationships/hyperlink" Target="https://twitter.com/Lostforlive15" TargetMode="External"/><Relationship Id="rId9675" Type="http://schemas.openxmlformats.org/officeDocument/2006/relationships/hyperlink" Target="https://pbs.twimg.com/profile_images/1202564418/Juanjo_normal.jpg" TargetMode="External"/><Relationship Id="rId12656" Type="http://schemas.openxmlformats.org/officeDocument/2006/relationships/hyperlink" Target="https://twitter.com/juergen_p" TargetMode="External"/><Relationship Id="rId19269" Type="http://schemas.openxmlformats.org/officeDocument/2006/relationships/hyperlink" Target="https://pbs.twimg.com/profile_images/534255093902614528/5lsOxWj6_normal.jpeg" TargetMode="External"/><Relationship Id="rId2715" Type="http://schemas.openxmlformats.org/officeDocument/2006/relationships/hyperlink" Target="https://twitter.com/Anjake12/status/723114681754365952" TargetMode="External"/><Relationship Id="rId9328" Type="http://schemas.openxmlformats.org/officeDocument/2006/relationships/hyperlink" Target="https://twitter.com/MiManske/status/723430636606775296" TargetMode="External"/><Relationship Id="rId12309" Type="http://schemas.openxmlformats.org/officeDocument/2006/relationships/hyperlink" Target="http://linkis.com/" TargetMode="External"/><Relationship Id="rId15879" Type="http://schemas.openxmlformats.org/officeDocument/2006/relationships/hyperlink" Target="https://pbs.twimg.com/profile_images/713573399386259456/JwmrbkVy_normal.jpg" TargetMode="External"/><Relationship Id="rId5938" Type="http://schemas.openxmlformats.org/officeDocument/2006/relationships/hyperlink" Target="https://twitter.com/UpShiftDigital" TargetMode="External"/><Relationship Id="rId18352" Type="http://schemas.openxmlformats.org/officeDocument/2006/relationships/hyperlink" Target="https://pbs.twimg.com/profile_images/430210521586208768/09mPdrlt_normal.jpeg" TargetMode="External"/><Relationship Id="rId22748" Type="http://schemas.openxmlformats.org/officeDocument/2006/relationships/hyperlink" Target="https://twitter.com/jake_maves/status/724243732875350016" TargetMode="External"/><Relationship Id="rId3489" Type="http://schemas.openxmlformats.org/officeDocument/2006/relationships/hyperlink" Target="https://twitter.com/FilthyFitment" TargetMode="External"/><Relationship Id="rId8411" Type="http://schemas.openxmlformats.org/officeDocument/2006/relationships/hyperlink" Target="https://twitter.com/VWsightings/status/723386701238800388" TargetMode="External"/><Relationship Id="rId18005" Type="http://schemas.openxmlformats.org/officeDocument/2006/relationships/hyperlink" Target="https://twitter.com/BI_Neckartor/status/723841556533358592" TargetMode="External"/><Relationship Id="rId20299" Type="http://schemas.openxmlformats.org/officeDocument/2006/relationships/hyperlink" Target="https://pbs.twimg.com/profile_images/575833403951468544/Zh-Ln_go_normal.jpeg" TargetMode="External"/><Relationship Id="rId25221" Type="http://schemas.openxmlformats.org/officeDocument/2006/relationships/hyperlink" Target="https://twitter.com/DeeZeeX" TargetMode="External"/><Relationship Id="rId14962" Type="http://schemas.openxmlformats.org/officeDocument/2006/relationships/hyperlink" Target="https://pbs.twimg.com/profile_images/718820712757215233/LXXndPTS_normal.jpg" TargetMode="External"/><Relationship Id="rId9185" Type="http://schemas.openxmlformats.org/officeDocument/2006/relationships/hyperlink" Target="https://pbs.twimg.com/profile_images/424893967197433858/iQ86NktX_normal.jpeg" TargetMode="External"/><Relationship Id="rId14615" Type="http://schemas.openxmlformats.org/officeDocument/2006/relationships/hyperlink" Target="https://pbs.twimg.com/profile_images/721149184863301632/jpODuwW-_normal.jpg" TargetMode="External"/><Relationship Id="rId21831" Type="http://schemas.openxmlformats.org/officeDocument/2006/relationships/hyperlink" Target="https://twitter.com/Tamara_DeCaluwe" TargetMode="External"/><Relationship Id="rId891" Type="http://schemas.openxmlformats.org/officeDocument/2006/relationships/hyperlink" Target="https://twitter.com/kngeuro/status/722998391802892288" TargetMode="External"/><Relationship Id="rId2572" Type="http://schemas.openxmlformats.org/officeDocument/2006/relationships/hyperlink" Target="https://pbs.twimg.com/profile_images/655324200245272576/n6_8jlJ2_normal.jpg" TargetMode="External"/><Relationship Id="rId12166" Type="http://schemas.openxmlformats.org/officeDocument/2006/relationships/hyperlink" Target="https://twitter.com/SteffenSoeffner" TargetMode="External"/><Relationship Id="rId17838" Type="http://schemas.openxmlformats.org/officeDocument/2006/relationships/hyperlink" Target="https://twitter.com/clachaf" TargetMode="External"/><Relationship Id="rId544" Type="http://schemas.openxmlformats.org/officeDocument/2006/relationships/hyperlink" Target="https://twitter.com/graspfltness/status/722964507572752384" TargetMode="External"/><Relationship Id="rId2225" Type="http://schemas.openxmlformats.org/officeDocument/2006/relationships/hyperlink" Target="https://twitter.com/tyres4sale_com" TargetMode="External"/><Relationship Id="rId5795" Type="http://schemas.openxmlformats.org/officeDocument/2006/relationships/hyperlink" Target="https://pbs.twimg.com/profile_images/524665042696806400/kZlDvA2y_normal.png" TargetMode="External"/><Relationship Id="rId15389" Type="http://schemas.openxmlformats.org/officeDocument/2006/relationships/hyperlink" Target="https://twitter.com/Americanbullyhq/status/723605955326423040" TargetMode="External"/><Relationship Id="rId24707" Type="http://schemas.openxmlformats.org/officeDocument/2006/relationships/hyperlink" Target="https://twitter.com/FuscaWorld" TargetMode="External"/><Relationship Id="rId5448" Type="http://schemas.openxmlformats.org/officeDocument/2006/relationships/hyperlink" Target="https://pbs.twimg.com/profile_images/344513261582006061/50328e850180d572828ba6dae632886e_normal.png" TargetMode="External"/><Relationship Id="rId22258" Type="http://schemas.openxmlformats.org/officeDocument/2006/relationships/hyperlink" Target="https://twitter.com/CDUBiblis/status/724211863811178496" TargetMode="External"/><Relationship Id="rId11999" Type="http://schemas.openxmlformats.org/officeDocument/2006/relationships/hyperlink" Target="https://twitter.com/theblessedhuman/status/723511783059660800" TargetMode="External"/><Relationship Id="rId16921" Type="http://schemas.openxmlformats.org/officeDocument/2006/relationships/hyperlink" Target="https://twitter.com/CaTurfPros" TargetMode="External"/><Relationship Id="rId4531" Type="http://schemas.openxmlformats.org/officeDocument/2006/relationships/hyperlink" Target="https://twitter.com/rbpr/status/723182188536041475" TargetMode="External"/><Relationship Id="rId14472" Type="http://schemas.openxmlformats.org/officeDocument/2006/relationships/hyperlink" Target="https://twitter.com/e13Kiki" TargetMode="External"/><Relationship Id="rId2082" Type="http://schemas.openxmlformats.org/officeDocument/2006/relationships/hyperlink" Target="https://pbs.twimg.com/profile_images/583236161679818752/orli-VFP_normal.jpg" TargetMode="External"/><Relationship Id="rId14125" Type="http://schemas.openxmlformats.org/officeDocument/2006/relationships/hyperlink" Target="https://twitter.com/DubLuvTuning/status/723564536108847104" TargetMode="External"/><Relationship Id="rId17695" Type="http://schemas.openxmlformats.org/officeDocument/2006/relationships/hyperlink" Target="https://twitter.com/gengh60/status/723816998229172224" TargetMode="External"/><Relationship Id="rId21341" Type="http://schemas.openxmlformats.org/officeDocument/2006/relationships/hyperlink" Target="https://twitter.com/VolkswagenPost" TargetMode="External"/><Relationship Id="rId7754" Type="http://schemas.openxmlformats.org/officeDocument/2006/relationships/hyperlink" Target="https://twitter.com/Gonzaperalta9" TargetMode="External"/><Relationship Id="rId10735" Type="http://schemas.openxmlformats.org/officeDocument/2006/relationships/hyperlink" Target="https://pbs.twimg.com/profile_images/875846983/Twitter_normal.JPG" TargetMode="External"/><Relationship Id="rId17348" Type="http://schemas.openxmlformats.org/officeDocument/2006/relationships/hyperlink" Target="https://twitter.com/SantaPodRaceway" TargetMode="External"/><Relationship Id="rId24564" Type="http://schemas.openxmlformats.org/officeDocument/2006/relationships/hyperlink" Target="https://twitter.com/MiltonKeyn_es" TargetMode="External"/><Relationship Id="rId7407" Type="http://schemas.openxmlformats.org/officeDocument/2006/relationships/hyperlink" Target="https://twitter.com/vwdepo/status/723300713275744256" TargetMode="External"/><Relationship Id="rId24217" Type="http://schemas.openxmlformats.org/officeDocument/2006/relationships/hyperlink" Target="https://twitter.com/bBOLDbLONG/status/724338846964563968" TargetMode="External"/><Relationship Id="rId13958" Type="http://schemas.openxmlformats.org/officeDocument/2006/relationships/hyperlink" Target="https://pbs.twimg.com/profile_images/603925200019845120/Li9wf9hL_normal.jpg" TargetMode="External"/><Relationship Id="rId16431" Type="http://schemas.openxmlformats.org/officeDocument/2006/relationships/hyperlink" Target="https://pbs.twimg.com/profile_images/615493650785660928/XHUh6HOk_normal.jpg" TargetMode="External"/><Relationship Id="rId20827" Type="http://schemas.openxmlformats.org/officeDocument/2006/relationships/hyperlink" Target="https://twitter.com/FrancoAguus" TargetMode="External"/><Relationship Id="rId1568" Type="http://schemas.openxmlformats.org/officeDocument/2006/relationships/hyperlink" Target="https://twitter.com/MoneyguruGr" TargetMode="External"/><Relationship Id="rId23300" Type="http://schemas.openxmlformats.org/officeDocument/2006/relationships/hyperlink" Target="https://twitter.com/PiratchenLukai/status/724278865443622912" TargetMode="External"/><Relationship Id="rId4041" Type="http://schemas.openxmlformats.org/officeDocument/2006/relationships/hyperlink" Target="https://pbs.twimg.com/profile_images/664507758708989952/8167DJgD_normal.jpg" TargetMode="External"/><Relationship Id="rId19654" Type="http://schemas.openxmlformats.org/officeDocument/2006/relationships/hyperlink" Target="https://twitter.com/Kudos_To_You" TargetMode="External"/><Relationship Id="rId7264" Type="http://schemas.openxmlformats.org/officeDocument/2006/relationships/hyperlink" Target="https://twitter.com/VintageGermanPt/status/723290828953800705" TargetMode="External"/><Relationship Id="rId9713" Type="http://schemas.openxmlformats.org/officeDocument/2006/relationships/hyperlink" Target="https://pbs.twimg.com/profile_images/658982987573407744/n_n0LSWB_normal.png" TargetMode="External"/><Relationship Id="rId10592" Type="http://schemas.openxmlformats.org/officeDocument/2006/relationships/hyperlink" Target="https://pbs.twimg.com/profile_images/561650835038298112/jX4E_neH_normal.jpeg" TargetMode="External"/><Relationship Id="rId19307" Type="http://schemas.openxmlformats.org/officeDocument/2006/relationships/hyperlink" Target="https://twitter.com/oldcar_photo/status/723926450919841792" TargetMode="External"/><Relationship Id="rId24074" Type="http://schemas.openxmlformats.org/officeDocument/2006/relationships/hyperlink" Target="https://twitter.com/gelmocz/status/724330425779286017" TargetMode="External"/><Relationship Id="rId10245" Type="http://schemas.openxmlformats.org/officeDocument/2006/relationships/hyperlink" Target="https://twitter.com/AlDavoodi/status/723466993224044544" TargetMode="External"/><Relationship Id="rId15917" Type="http://schemas.openxmlformats.org/officeDocument/2006/relationships/hyperlink" Target="https://pbs.twimg.com/profile_images/722688047255527424/4zRdbppc_normal.jpg" TargetMode="External"/><Relationship Id="rId3874" Type="http://schemas.openxmlformats.org/officeDocument/2006/relationships/hyperlink" Target="https://twitter.com/handelsblatt/status/723171211107246080" TargetMode="External"/><Relationship Id="rId13468" Type="http://schemas.openxmlformats.org/officeDocument/2006/relationships/hyperlink" Target="https://pbs.twimg.com/profile_images/627949001179037696/skEBkS05_normal.jpg" TargetMode="External"/><Relationship Id="rId20684" Type="http://schemas.openxmlformats.org/officeDocument/2006/relationships/hyperlink" Target="https://pbs.twimg.com/profile_images/652871584131092480/QA_B6SBO_normal.jpg" TargetMode="External"/><Relationship Id="rId3527" Type="http://schemas.openxmlformats.org/officeDocument/2006/relationships/hyperlink" Target="https://pbs.twimg.com/profile_images/3705435656/90d60ece05d7734690b85c0cb40089e0_normal.jpeg" TargetMode="External"/><Relationship Id="rId20337" Type="http://schemas.openxmlformats.org/officeDocument/2006/relationships/hyperlink" Target="https://twitter.com/janekglbbons/status/723992216599969792" TargetMode="External"/><Relationship Id="rId1078" Type="http://schemas.openxmlformats.org/officeDocument/2006/relationships/hyperlink" Target="https://twitter.com/TaitaCap/status/723016505298923520" TargetMode="External"/><Relationship Id="rId6000" Type="http://schemas.openxmlformats.org/officeDocument/2006/relationships/hyperlink" Target="https://twitter.com/SmartSanta" TargetMode="External"/><Relationship Id="rId9570" Type="http://schemas.openxmlformats.org/officeDocument/2006/relationships/hyperlink" Target="https://twitter.com/swanswaygroup/status/723440711933132801" TargetMode="External"/><Relationship Id="rId19164" Type="http://schemas.openxmlformats.org/officeDocument/2006/relationships/hyperlink" Target="https://twitter.com/St0psch1ld" TargetMode="External"/><Relationship Id="rId9223" Type="http://schemas.openxmlformats.org/officeDocument/2006/relationships/hyperlink" Target="https://twitter.com/mz_wirtschaft/status/723427260120752130" TargetMode="External"/><Relationship Id="rId12551" Type="http://schemas.openxmlformats.org/officeDocument/2006/relationships/hyperlink" Target="https://twitter.com/BayrleU" TargetMode="External"/><Relationship Id="rId2610" Type="http://schemas.openxmlformats.org/officeDocument/2006/relationships/hyperlink" Target="https://twitter.com/Klaus_Mueller" TargetMode="External"/><Relationship Id="rId12204" Type="http://schemas.openxmlformats.org/officeDocument/2006/relationships/hyperlink" Target="https://pbs.twimg.com/profile_images/615547498736787456/mTnCWWyP_normal.jpg" TargetMode="External"/><Relationship Id="rId15774" Type="http://schemas.openxmlformats.org/officeDocument/2006/relationships/hyperlink" Target="https://twitter.com/ColdFireLane/status/723623917924036608" TargetMode="External"/><Relationship Id="rId22990" Type="http://schemas.openxmlformats.org/officeDocument/2006/relationships/hyperlink" Target="https://pbs.twimg.com/profile_images/711340116552368128/bG7us_KA_normal.jpg" TargetMode="External"/><Relationship Id="rId5833" Type="http://schemas.openxmlformats.org/officeDocument/2006/relationships/hyperlink" Target="https://twitter.com/schworervw" TargetMode="External"/><Relationship Id="rId15427" Type="http://schemas.openxmlformats.org/officeDocument/2006/relationships/hyperlink" Target="https://twitter.com/Stony_BS" TargetMode="External"/><Relationship Id="rId18997" Type="http://schemas.openxmlformats.org/officeDocument/2006/relationships/hyperlink" Target="https://pbs.twimg.com/profile_images/627949001179037696/skEBkS05_normal.jpg" TargetMode="External"/><Relationship Id="rId22643" Type="http://schemas.openxmlformats.org/officeDocument/2006/relationships/hyperlink" Target="https://twitter.com/whats_live/status/724236713552437248" TargetMode="External"/><Relationship Id="rId3037" Type="http://schemas.openxmlformats.org/officeDocument/2006/relationships/hyperlink" Target="https://twitter.com/VWBeetleSales/status/723133710812368897" TargetMode="External"/><Relationship Id="rId3384" Type="http://schemas.openxmlformats.org/officeDocument/2006/relationships/hyperlink" Target="https://twitter.com/VolkswagenPost/status/723154694919561216" TargetMode="External"/><Relationship Id="rId20194" Type="http://schemas.openxmlformats.org/officeDocument/2006/relationships/hyperlink" Target="https://twitter.com/Jeremyhughes20G" TargetMode="External"/><Relationship Id="rId8709" Type="http://schemas.openxmlformats.org/officeDocument/2006/relationships/hyperlink" Target="https://twitter.com/dialz16" TargetMode="External"/><Relationship Id="rId14510" Type="http://schemas.openxmlformats.org/officeDocument/2006/relationships/hyperlink" Target="https://pbs.twimg.com/profile_images/657519862038831104/cRJqTT4t_normal.png" TargetMode="External"/><Relationship Id="rId25519" Type="http://schemas.openxmlformats.org/officeDocument/2006/relationships/hyperlink" Target="https://twitter.com/OnlineCarReview" TargetMode="External"/><Relationship Id="rId9080" Type="http://schemas.openxmlformats.org/officeDocument/2006/relationships/hyperlink" Target="https://twitter.com/roansub/status/723421236164874240" TargetMode="External"/><Relationship Id="rId12061" Type="http://schemas.openxmlformats.org/officeDocument/2006/relationships/hyperlink" Target="https://twitter.com/sinnsturm" TargetMode="External"/><Relationship Id="rId2120" Type="http://schemas.openxmlformats.org/officeDocument/2006/relationships/hyperlink" Target="https://twitter.com/ChrisJBCarroll/status/723083419656310784" TargetMode="External"/><Relationship Id="rId5690" Type="http://schemas.openxmlformats.org/officeDocument/2006/relationships/hyperlink" Target="https://twitter.com/LukeDorbin" TargetMode="External"/><Relationship Id="rId15284" Type="http://schemas.openxmlformats.org/officeDocument/2006/relationships/hyperlink" Target="https://twitter.com/INDIZbot/status/723602715922804736" TargetMode="External"/><Relationship Id="rId17733" Type="http://schemas.openxmlformats.org/officeDocument/2006/relationships/hyperlink" Target="https://twitter.com/RA762" TargetMode="External"/><Relationship Id="rId5343" Type="http://schemas.openxmlformats.org/officeDocument/2006/relationships/hyperlink" Target="https://twitter.com/MarylandPIRG" TargetMode="External"/><Relationship Id="rId22153" Type="http://schemas.openxmlformats.org/officeDocument/2006/relationships/hyperlink" Target="https://pbs.twimg.com/profile_images/446781974452371456/rqBZF-KN_normal.jpeg" TargetMode="External"/><Relationship Id="rId24602" Type="http://schemas.openxmlformats.org/officeDocument/2006/relationships/hyperlink" Target="https://pbs.twimg.com/profile_images/700934646029279232/ZBynIyxT_normal.jpg" TargetMode="External"/><Relationship Id="rId11894" Type="http://schemas.openxmlformats.org/officeDocument/2006/relationships/hyperlink" Target="http://dlvr.it/" TargetMode="External"/><Relationship Id="rId1953" Type="http://schemas.openxmlformats.org/officeDocument/2006/relationships/hyperlink" Target="https://twitter.com/Logistique01" TargetMode="External"/><Relationship Id="rId8566" Type="http://schemas.openxmlformats.org/officeDocument/2006/relationships/hyperlink" Target="https://pbs.twimg.com/profile_images/709868725307101186/HmWlkwj__normal.jpg" TargetMode="External"/><Relationship Id="rId11547" Type="http://schemas.openxmlformats.org/officeDocument/2006/relationships/hyperlink" Target="https://pbs.twimg.com/profile_images/489747056584445953/3tvslEko_normal.jpeg" TargetMode="External"/><Relationship Id="rId25376" Type="http://schemas.openxmlformats.org/officeDocument/2006/relationships/hyperlink" Target="https://pbs.twimg.com/profile_images/569800899141177344/nVFLMSdb_normal.png" TargetMode="External"/><Relationship Id="rId1606" Type="http://schemas.openxmlformats.org/officeDocument/2006/relationships/hyperlink" Target="https://pbs.twimg.com/profile_images/378800000145293528/2e1ca65f88bf272a2c3cbd223ffb91bc_normal.jpeg" TargetMode="External"/><Relationship Id="rId8219" Type="http://schemas.openxmlformats.org/officeDocument/2006/relationships/hyperlink" Target="https://pbs.twimg.com/profile_images/2307593524/dloj6foxbskuo2rma5ds_normal.jpeg" TargetMode="External"/><Relationship Id="rId14020" Type="http://schemas.openxmlformats.org/officeDocument/2006/relationships/hyperlink" Target="https://pbs.twimg.com/profile_images/535814697090437121/TPDCbTEw_normal.jpeg" TargetMode="External"/><Relationship Id="rId17590" Type="http://schemas.openxmlformats.org/officeDocument/2006/relationships/hyperlink" Target="https://twitter.com/KarlySykes" TargetMode="External"/><Relationship Id="rId21986" Type="http://schemas.openxmlformats.org/officeDocument/2006/relationships/hyperlink" Target="https://pbs.twimg.com/profile_images/681801758574796804/YPfq6rQd_normal.jpg" TargetMode="External"/><Relationship Id="rId25029" Type="http://schemas.openxmlformats.org/officeDocument/2006/relationships/hyperlink" Target="https://pbs.twimg.com/profile_images/666453014614446080/7wESjl0P_normal.jpg" TargetMode="External"/><Relationship Id="rId4829" Type="http://schemas.openxmlformats.org/officeDocument/2006/relationships/hyperlink" Target="https://twitter.com/CaplanComms/status/723188584094650370" TargetMode="External"/><Relationship Id="rId17243" Type="http://schemas.openxmlformats.org/officeDocument/2006/relationships/hyperlink" Target="https://pbs.twimg.com/profile_images/378800000201063638/1ae962d11e41e24e82e653b160a93333_normal.jpeg" TargetMode="External"/><Relationship Id="rId21639" Type="http://schemas.openxmlformats.org/officeDocument/2006/relationships/hyperlink" Target="https://twitter.com/VWCamperSales" TargetMode="External"/><Relationship Id="rId699" Type="http://schemas.openxmlformats.org/officeDocument/2006/relationships/hyperlink" Target="https://twitter.com/DaddyBearForex" TargetMode="External"/><Relationship Id="rId7302" Type="http://schemas.openxmlformats.org/officeDocument/2006/relationships/hyperlink" Target="https://twitter.com/AntonellaB22/status/723293986794921984" TargetMode="External"/><Relationship Id="rId10630" Type="http://schemas.openxmlformats.org/officeDocument/2006/relationships/hyperlink" Target="https://twitter.com/AbbeyLeasing" TargetMode="External"/><Relationship Id="rId24112" Type="http://schemas.openxmlformats.org/officeDocument/2006/relationships/hyperlink" Target="https://twitter.com/jennyalban63/status/724332962272169985" TargetMode="External"/><Relationship Id="rId13853" Type="http://schemas.openxmlformats.org/officeDocument/2006/relationships/hyperlink" Target="https://twitter.com/DePieriSrl/status/723557507071877120" TargetMode="External"/><Relationship Id="rId3912" Type="http://schemas.openxmlformats.org/officeDocument/2006/relationships/hyperlink" Target="https://twitter.com/LashVW" TargetMode="External"/><Relationship Id="rId8076" Type="http://schemas.openxmlformats.org/officeDocument/2006/relationships/hyperlink" Target="https://twitter.com/oldcar_photo/status/723364038449623044" TargetMode="External"/><Relationship Id="rId13506" Type="http://schemas.openxmlformats.org/officeDocument/2006/relationships/hyperlink" Target="https://twitter.com/officialsthill/status/723548945222393856" TargetMode="External"/><Relationship Id="rId20722" Type="http://schemas.openxmlformats.org/officeDocument/2006/relationships/hyperlink" Target="https://pbs.twimg.com/profile_images/424893967197433858/iQ86NktX_normal.jpeg" TargetMode="External"/><Relationship Id="rId1116" Type="http://schemas.openxmlformats.org/officeDocument/2006/relationships/hyperlink" Target="https://twitter.com/steffenbar/status/723020599216496640" TargetMode="External"/><Relationship Id="rId1463" Type="http://schemas.openxmlformats.org/officeDocument/2006/relationships/hyperlink" Target="https://twitter.com/ingenieur_de" TargetMode="External"/><Relationship Id="rId11057" Type="http://schemas.openxmlformats.org/officeDocument/2006/relationships/hyperlink" Target="https://twitter.com/N0Namen/status/723495961029414912" TargetMode="External"/><Relationship Id="rId16729" Type="http://schemas.openxmlformats.org/officeDocument/2006/relationships/hyperlink" Target="https://pbs.twimg.com/profile_images/627949001179037696/skEBkS05_normal.jpg" TargetMode="External"/><Relationship Id="rId23945" Type="http://schemas.openxmlformats.org/officeDocument/2006/relationships/hyperlink" Target="https://twitter.com/dubbusses" TargetMode="External"/><Relationship Id="rId4686" Type="http://schemas.openxmlformats.org/officeDocument/2006/relationships/hyperlink" Target="https://twitter.com/VolkswagenPost" TargetMode="External"/><Relationship Id="rId19202" Type="http://schemas.openxmlformats.org/officeDocument/2006/relationships/hyperlink" Target="https://twitter.com/_sea_fox_/status/723922246083985408" TargetMode="External"/><Relationship Id="rId21496" Type="http://schemas.openxmlformats.org/officeDocument/2006/relationships/hyperlink" Target="https://twitter.com/rajesh12june" TargetMode="External"/><Relationship Id="rId4339" Type="http://schemas.openxmlformats.org/officeDocument/2006/relationships/hyperlink" Target="http://dlvr.it/" TargetMode="External"/><Relationship Id="rId10140" Type="http://schemas.openxmlformats.org/officeDocument/2006/relationships/hyperlink" Target="https://pbs.twimg.com/profile_images/649519091892531200/gFXmbSPM_normal.jpg" TargetMode="External"/><Relationship Id="rId21149" Type="http://schemas.openxmlformats.org/officeDocument/2006/relationships/hyperlink" Target="https://twitter.com/DPocock1969" TargetMode="External"/><Relationship Id="rId13363" Type="http://schemas.openxmlformats.org/officeDocument/2006/relationships/hyperlink" Target="https://pbs.twimg.com/profile_images/582903436158586880/9BOOA3zQ_normal.jpg" TargetMode="External"/><Relationship Id="rId15812" Type="http://schemas.openxmlformats.org/officeDocument/2006/relationships/hyperlink" Target="https://twitter.com/sonysasongko" TargetMode="External"/><Relationship Id="rId3422" Type="http://schemas.openxmlformats.org/officeDocument/2006/relationships/hyperlink" Target="https://twitter.com/Lolaa_Fierrera" TargetMode="External"/><Relationship Id="rId13016" Type="http://schemas.openxmlformats.org/officeDocument/2006/relationships/hyperlink" Target="https://twitter.com/u98" TargetMode="External"/><Relationship Id="rId20232" Type="http://schemas.openxmlformats.org/officeDocument/2006/relationships/hyperlink" Target="https://pbs.twimg.com/profile_images/1090546545/aritwitter_normal.JPG" TargetMode="External"/><Relationship Id="rId6992" Type="http://schemas.openxmlformats.org/officeDocument/2006/relationships/hyperlink" Target="http://dlvr.it/" TargetMode="External"/><Relationship Id="rId16586" Type="http://schemas.openxmlformats.org/officeDocument/2006/relationships/hyperlink" Target="https://twitter.com/TetsuoHojo/status/723697441761951744" TargetMode="External"/><Relationship Id="rId4196" Type="http://schemas.openxmlformats.org/officeDocument/2006/relationships/hyperlink" Target="https://pbs.twimg.com/profile_images/615493650785660928/XHUh6HOk_normal.jpg" TargetMode="External"/><Relationship Id="rId6645" Type="http://schemas.openxmlformats.org/officeDocument/2006/relationships/hyperlink" Target="https://twitter.com/rmltpie/status/723249616242790401" TargetMode="External"/><Relationship Id="rId16239" Type="http://schemas.openxmlformats.org/officeDocument/2006/relationships/hyperlink" Target="https://twitter.com/damdamok/status/723660445039640577" TargetMode="External"/><Relationship Id="rId23455" Type="http://schemas.openxmlformats.org/officeDocument/2006/relationships/hyperlink" Target="https://pbs.twimg.com/profile_images/3728536184/f8618f162b51e72519303cccedbec92b_normal.jpeg" TargetMode="External"/><Relationship Id="rId9868" Type="http://schemas.openxmlformats.org/officeDocument/2006/relationships/hyperlink" Target="https://twitter.com/parrish_isiah/status/723452366045896704" TargetMode="External"/><Relationship Id="rId12849" Type="http://schemas.openxmlformats.org/officeDocument/2006/relationships/hyperlink" Target="https://twitter.com/sseewolf/status/723529336222023681" TargetMode="External"/><Relationship Id="rId23108" Type="http://schemas.openxmlformats.org/officeDocument/2006/relationships/hyperlink" Target="https://twitter.com/beetlebug1938" TargetMode="External"/><Relationship Id="rId2908" Type="http://schemas.openxmlformats.org/officeDocument/2006/relationships/hyperlink" Target="https://twitter.com/esdefren_az/status/723124082741399558" TargetMode="External"/><Relationship Id="rId15322" Type="http://schemas.openxmlformats.org/officeDocument/2006/relationships/hyperlink" Target="https://pbs.twimg.com/profile_images/621357463225372672/jxGm9Tba_normal.jpg" TargetMode="External"/><Relationship Id="rId8951" Type="http://schemas.openxmlformats.org/officeDocument/2006/relationships/hyperlink" Target="https://twitter.com/Taykra" TargetMode="External"/><Relationship Id="rId18892" Type="http://schemas.openxmlformats.org/officeDocument/2006/relationships/hyperlink" Target="https://pbs.twimg.com/profile_images/1261310428/twitter_normal.JPG" TargetMode="External"/><Relationship Id="rId8604" Type="http://schemas.openxmlformats.org/officeDocument/2006/relationships/hyperlink" Target="https://twitter.com/Jayrimbo/status/723398155459416066" TargetMode="External"/><Relationship Id="rId11932" Type="http://schemas.openxmlformats.org/officeDocument/2006/relationships/hyperlink" Target="https://pbs.twimg.com/profile_images/681312369147023361/lTcrXeou_normal.jpg" TargetMode="External"/><Relationship Id="rId16096" Type="http://schemas.openxmlformats.org/officeDocument/2006/relationships/hyperlink" Target="https://twitter.com/beetlebug1938/status/723648332795617284" TargetMode="External"/><Relationship Id="rId18545" Type="http://schemas.openxmlformats.org/officeDocument/2006/relationships/hyperlink" Target="https://twitter.com/JayRHenley/status/723876462156197888" TargetMode="External"/><Relationship Id="rId25761" Type="http://schemas.openxmlformats.org/officeDocument/2006/relationships/hyperlink" Target="https://twitter.com/RSTOKAR" TargetMode="External"/><Relationship Id="rId6155" Type="http://schemas.openxmlformats.org/officeDocument/2006/relationships/hyperlink" Target="https://twitter.com/WhistleIRL" TargetMode="External"/><Relationship Id="rId25414" Type="http://schemas.openxmlformats.org/officeDocument/2006/relationships/hyperlink" Target="https://twitter.com/vickymotorserv1" TargetMode="External"/><Relationship Id="rId9378" Type="http://schemas.openxmlformats.org/officeDocument/2006/relationships/hyperlink" Target="https://pbs.twimg.com/profile_images/484339112711696384/MpNzWd-__normal.png" TargetMode="External"/><Relationship Id="rId14808" Type="http://schemas.openxmlformats.org/officeDocument/2006/relationships/hyperlink" Target="http://dlvr.it/" TargetMode="External"/><Relationship Id="rId2765" Type="http://schemas.openxmlformats.org/officeDocument/2006/relationships/hyperlink" Target="https://twitter.com/maria26915" TargetMode="External"/><Relationship Id="rId12359" Type="http://schemas.openxmlformats.org/officeDocument/2006/relationships/hyperlink" Target="https://twitter.com/BREAKING_EIL" TargetMode="External"/><Relationship Id="rId737" Type="http://schemas.openxmlformats.org/officeDocument/2006/relationships/hyperlink" Target="https://twitter.com/debossgarage" TargetMode="External"/><Relationship Id="rId2418" Type="http://schemas.openxmlformats.org/officeDocument/2006/relationships/hyperlink" Target="https://twitter.com/ThomasGleee" TargetMode="External"/><Relationship Id="rId5988" Type="http://schemas.openxmlformats.org/officeDocument/2006/relationships/hyperlink" Target="https://twitter.com/Julikind66" TargetMode="External"/><Relationship Id="rId22798" Type="http://schemas.openxmlformats.org/officeDocument/2006/relationships/hyperlink" Target="https://pbs.twimg.com/profile_images/702511217793863680/lty8h9vE_normal.jpg" TargetMode="External"/><Relationship Id="rId8461" Type="http://schemas.openxmlformats.org/officeDocument/2006/relationships/hyperlink" Target="https://pbs.twimg.com/profile_images/3228351590/aadb36f2b020cc27adac139aac4a5663_normal.jpeg" TargetMode="External"/><Relationship Id="rId11442" Type="http://schemas.openxmlformats.org/officeDocument/2006/relationships/hyperlink" Target="https://twitter.com/WirtschaftDE" TargetMode="External"/><Relationship Id="rId18055" Type="http://schemas.openxmlformats.org/officeDocument/2006/relationships/hyperlink" Target="https://pbs.twimg.com/profile_images/668437116981018625/BA3Ui4qQ_normal.jpg" TargetMode="External"/><Relationship Id="rId25271" Type="http://schemas.openxmlformats.org/officeDocument/2006/relationships/hyperlink" Target="https://twitter.com/Henry_Ruiz684/status/724429116859019265" TargetMode="External"/><Relationship Id="rId1501" Type="http://schemas.openxmlformats.org/officeDocument/2006/relationships/hyperlink" Target="https://twitter.com/imfree81/status/723043974735376384" TargetMode="External"/><Relationship Id="rId8114" Type="http://schemas.openxmlformats.org/officeDocument/2006/relationships/hyperlink" Target="https://twitter.com/following_jobs" TargetMode="External"/><Relationship Id="rId14665" Type="http://schemas.openxmlformats.org/officeDocument/2006/relationships/hyperlink" Target="https://twitter.com/Burslempottery/status/723579358259089408" TargetMode="External"/><Relationship Id="rId21881" Type="http://schemas.openxmlformats.org/officeDocument/2006/relationships/hyperlink" Target="https://twitter.com/TetsuoHojo/status/724187080935362560" TargetMode="External"/><Relationship Id="rId594" Type="http://schemas.openxmlformats.org/officeDocument/2006/relationships/hyperlink" Target="https://twitter.com/techhippie" TargetMode="External"/><Relationship Id="rId2275" Type="http://schemas.openxmlformats.org/officeDocument/2006/relationships/hyperlink" Target="https://pbs.twimg.com/profile_images/692688034601443328/Xvlk-vez_normal.png" TargetMode="External"/><Relationship Id="rId4724" Type="http://schemas.openxmlformats.org/officeDocument/2006/relationships/hyperlink" Target="https://pbs.twimg.com/profile_images/2766141912/ebd0673f92c3644c0f77722e82cb98cd_normal.jpeg" TargetMode="External"/><Relationship Id="rId14318" Type="http://schemas.openxmlformats.org/officeDocument/2006/relationships/hyperlink" Target="https://twitter.com/kpeterlBW" TargetMode="External"/><Relationship Id="rId17888" Type="http://schemas.openxmlformats.org/officeDocument/2006/relationships/hyperlink" Target="https://twitter.com/RochdaleHonda/status/723830532023279617" TargetMode="External"/><Relationship Id="rId21534" Type="http://schemas.openxmlformats.org/officeDocument/2006/relationships/hyperlink" Target="https://pbs.twimg.com/profile_images/703666975021654018/wFXXPWaE_normal.jpg" TargetMode="External"/><Relationship Id="rId247" Type="http://schemas.openxmlformats.org/officeDocument/2006/relationships/hyperlink" Target="https://twitter.com/EV_laadpalen" TargetMode="External"/><Relationship Id="rId7947" Type="http://schemas.openxmlformats.org/officeDocument/2006/relationships/hyperlink" Target="https://twitter.com/UniversHorse/status/723343557768187905" TargetMode="External"/><Relationship Id="rId10928" Type="http://schemas.openxmlformats.org/officeDocument/2006/relationships/hyperlink" Target="https://pbs.twimg.com/profile_images/661248829682024449/IlOGOPEg_normal.jpg" TargetMode="External"/><Relationship Id="rId24757" Type="http://schemas.openxmlformats.org/officeDocument/2006/relationships/hyperlink" Target="https://twitter.com/VWCamperSales" TargetMode="External"/><Relationship Id="rId5498" Type="http://schemas.openxmlformats.org/officeDocument/2006/relationships/hyperlink" Target="https://twitter.com/VolkswagenPost/status/723205339684962304" TargetMode="External"/><Relationship Id="rId13401" Type="http://schemas.openxmlformats.org/officeDocument/2006/relationships/hyperlink" Target="https://twitter.com/VWBeetleSales/status/723545791248261123" TargetMode="External"/><Relationship Id="rId16971" Type="http://schemas.openxmlformats.org/officeDocument/2006/relationships/hyperlink" Target="https://pbs.twimg.com/profile_images/653465042441007104/DzFCw-KA_normal.jpg" TargetMode="External"/><Relationship Id="rId1011" Type="http://schemas.openxmlformats.org/officeDocument/2006/relationships/hyperlink" Target="https://twitter.com/RezakwpAuto/status/723012264018763780" TargetMode="External"/><Relationship Id="rId4581" Type="http://schemas.openxmlformats.org/officeDocument/2006/relationships/hyperlink" Target="https://twitter.com/celiacernadas" TargetMode="External"/><Relationship Id="rId14175" Type="http://schemas.openxmlformats.org/officeDocument/2006/relationships/hyperlink" Target="http://ctrlq.org/maps/address/" TargetMode="External"/><Relationship Id="rId16624" Type="http://schemas.openxmlformats.org/officeDocument/2006/relationships/hyperlink" Target="https://pbs.twimg.com/profile_images/599709666017435648/r0vhT_9C_normal.png" TargetMode="External"/><Relationship Id="rId21391" Type="http://schemas.openxmlformats.org/officeDocument/2006/relationships/hyperlink" Target="https://pbs.twimg.com/profile_images/3325520037/cf2027069deae5dc44e82172d33a6683_normal.jpeg" TargetMode="External"/><Relationship Id="rId23840" Type="http://schemas.openxmlformats.org/officeDocument/2006/relationships/hyperlink" Target="https://pbs.twimg.com/profile_images/702254024741916672/aYHsBFb4_normal.jpg" TargetMode="External"/><Relationship Id="rId4234" Type="http://schemas.openxmlformats.org/officeDocument/2006/relationships/hyperlink" Target="https://pbs.twimg.com/profile_images/672878354127839232/M7OYc-zx_normal.jpg" TargetMode="External"/><Relationship Id="rId19847" Type="http://schemas.openxmlformats.org/officeDocument/2006/relationships/hyperlink" Target="https://pbs.twimg.com/profile_images/711506516294041600/1fr0IryT_normal.jpg" TargetMode="External"/><Relationship Id="rId21044" Type="http://schemas.openxmlformats.org/officeDocument/2006/relationships/hyperlink" Target="https://twitter.com/beetlebug1938/status/724087740283887616" TargetMode="External"/><Relationship Id="rId7457" Type="http://schemas.openxmlformats.org/officeDocument/2006/relationships/hyperlink" Target="https://twitter.com/mangogemini" TargetMode="External"/><Relationship Id="rId9906" Type="http://schemas.openxmlformats.org/officeDocument/2006/relationships/hyperlink" Target="https://twitter.com/vw8valve" TargetMode="External"/><Relationship Id="rId10785" Type="http://schemas.openxmlformats.org/officeDocument/2006/relationships/hyperlink" Target="https://twitter.com/helenachumphrey/status/723484702145929216" TargetMode="External"/><Relationship Id="rId17398" Type="http://schemas.openxmlformats.org/officeDocument/2006/relationships/hyperlink" Target="https://twitter.com/swanswaygroup" TargetMode="External"/><Relationship Id="rId10438" Type="http://schemas.openxmlformats.org/officeDocument/2006/relationships/hyperlink" Target="https://twitter.com/mvdweyer" TargetMode="External"/><Relationship Id="rId18930" Type="http://schemas.openxmlformats.org/officeDocument/2006/relationships/hyperlink" Target="https://twitter.com/worcpic/status/723906551187181568" TargetMode="External"/><Relationship Id="rId24267" Type="http://schemas.openxmlformats.org/officeDocument/2006/relationships/hyperlink" Target="https://twitter.com/VeeDubMk1_/status/724341982387122177" TargetMode="External"/><Relationship Id="rId16481" Type="http://schemas.openxmlformats.org/officeDocument/2006/relationships/hyperlink" Target="https://pbs.twimg.com/profile_images/583355386759114753/UFl8HGQg_normal.jpg" TargetMode="External"/><Relationship Id="rId20877" Type="http://schemas.openxmlformats.org/officeDocument/2006/relationships/hyperlink" Target="https://pbs.twimg.com/profile_images/716359068965797888/zGBPoYQw_normal.jpg" TargetMode="External"/><Relationship Id="rId6540" Type="http://schemas.openxmlformats.org/officeDocument/2006/relationships/hyperlink" Target="https://twitter.com/OnlineCarReview" TargetMode="External"/><Relationship Id="rId16134" Type="http://schemas.openxmlformats.org/officeDocument/2006/relationships/hyperlink" Target="https://twitter.com/TejedaLucas" TargetMode="External"/><Relationship Id="rId23350" Type="http://schemas.openxmlformats.org/officeDocument/2006/relationships/hyperlink" Target="https://pbs.twimg.com/profile_images/651741743885484033/cqMKQO9J_normal.jpg" TargetMode="External"/><Relationship Id="rId4091" Type="http://schemas.openxmlformats.org/officeDocument/2006/relationships/hyperlink" Target="https://twitter.com/franz_rother/status/723175955687038977" TargetMode="External"/><Relationship Id="rId9763" Type="http://schemas.openxmlformats.org/officeDocument/2006/relationships/hyperlink" Target="https://pbs.twimg.com/profile_images/707275776802992128/pkIli-Ub_normal.jpg" TargetMode="External"/><Relationship Id="rId19357" Type="http://schemas.openxmlformats.org/officeDocument/2006/relationships/hyperlink" Target="https://pbs.twimg.com/profile_images/3521940270/1347ff6f18e2de72bfacc03eb83abe89_normal.jpeg" TargetMode="External"/><Relationship Id="rId23003" Type="http://schemas.openxmlformats.org/officeDocument/2006/relationships/hyperlink" Target="https://twitter.com/BEVENUTO" TargetMode="External"/><Relationship Id="rId9416" Type="http://schemas.openxmlformats.org/officeDocument/2006/relationships/hyperlink" Target="https://twitter.com/weare_van/status/723434209730170882" TargetMode="External"/><Relationship Id="rId10295" Type="http://schemas.openxmlformats.org/officeDocument/2006/relationships/hyperlink" Target="https://twitter.com/Bateman_Man" TargetMode="External"/><Relationship Id="rId12744" Type="http://schemas.openxmlformats.org/officeDocument/2006/relationships/hyperlink" Target="https://twitter.com/BerHerg" TargetMode="External"/><Relationship Id="rId2803" Type="http://schemas.openxmlformats.org/officeDocument/2006/relationships/hyperlink" Target="https://twitter.com/PeterConstant/status/723119840580395009" TargetMode="External"/><Relationship Id="rId15967" Type="http://schemas.openxmlformats.org/officeDocument/2006/relationships/hyperlink" Target="https://twitter.com/AgusMarielOk" TargetMode="External"/><Relationship Id="rId18440" Type="http://schemas.openxmlformats.org/officeDocument/2006/relationships/hyperlink" Target="https://twitter.com/Realvelo" TargetMode="External"/><Relationship Id="rId22836" Type="http://schemas.openxmlformats.org/officeDocument/2006/relationships/hyperlink" Target="https://pbs.twimg.com/profile_images/1858400192/Russel_Logo_rgb__normal.png" TargetMode="External"/><Relationship Id="rId3577" Type="http://schemas.openxmlformats.org/officeDocument/2006/relationships/hyperlink" Target="https://twitter.com/urotuning/status/723164865335009280" TargetMode="External"/><Relationship Id="rId20387" Type="http://schemas.openxmlformats.org/officeDocument/2006/relationships/hyperlink" Target="https://twitter.com/desdepuebla1/status/723994931094806528" TargetMode="External"/><Relationship Id="rId6050" Type="http://schemas.openxmlformats.org/officeDocument/2006/relationships/hyperlink" Target="https://pbs.twimg.com/profile_images/709899019116527616/I4YWGzym_normal.jpg" TargetMode="External"/><Relationship Id="rId2660" Type="http://schemas.openxmlformats.org/officeDocument/2006/relationships/hyperlink" Target="http://autoconception.com/" TargetMode="External"/><Relationship Id="rId9273" Type="http://schemas.openxmlformats.org/officeDocument/2006/relationships/hyperlink" Target="http://dlvr.it/" TargetMode="External"/><Relationship Id="rId12254" Type="http://schemas.openxmlformats.org/officeDocument/2006/relationships/hyperlink" Target="https://pbs.twimg.com/profile_images/672544452158844929/3FIfxzIE_normal.jpg" TargetMode="External"/><Relationship Id="rId14703" Type="http://schemas.openxmlformats.org/officeDocument/2006/relationships/hyperlink" Target="https://pbs.twimg.com/profile_images/668091779313500160/ZepxnJcI_normal.jpg" TargetMode="External"/><Relationship Id="rId632" Type="http://schemas.openxmlformats.org/officeDocument/2006/relationships/hyperlink" Target="https://pbs.twimg.com/profile_images/594576957766938628/bo7inS3P_normal.jpg" TargetMode="External"/><Relationship Id="rId2313" Type="http://schemas.openxmlformats.org/officeDocument/2006/relationships/hyperlink" Target="https://twitter.com/wintonsauto" TargetMode="External"/><Relationship Id="rId17926" Type="http://schemas.openxmlformats.org/officeDocument/2006/relationships/hyperlink" Target="https://twitter.com/ThurlesTown/status/723834186000437248" TargetMode="External"/><Relationship Id="rId5536" Type="http://schemas.openxmlformats.org/officeDocument/2006/relationships/hyperlink" Target="https://twitter.com/acvwpassion" TargetMode="External"/><Relationship Id="rId5883" Type="http://schemas.openxmlformats.org/officeDocument/2006/relationships/hyperlink" Target="https://pbs.twimg.com/profile_images/651837891195224064/B8YUfVej_normal.jpg" TargetMode="External"/><Relationship Id="rId15477" Type="http://schemas.openxmlformats.org/officeDocument/2006/relationships/hyperlink" Target="https://twitter.com/Marktzyniker" TargetMode="External"/><Relationship Id="rId22693" Type="http://schemas.openxmlformats.org/officeDocument/2006/relationships/hyperlink" Target="https://pbs.twimg.com/profile_images/718835727027580928/1ssyQ67y_normal.jpg" TargetMode="External"/><Relationship Id="rId3087" Type="http://schemas.openxmlformats.org/officeDocument/2006/relationships/hyperlink" Target="https://twitter.com/CarNotaFridge/status/723139610914643969" TargetMode="External"/><Relationship Id="rId22346" Type="http://schemas.openxmlformats.org/officeDocument/2006/relationships/hyperlink" Target="https://twitter.com/Mphilpot1" TargetMode="External"/><Relationship Id="rId8759" Type="http://schemas.openxmlformats.org/officeDocument/2006/relationships/hyperlink" Target="https://twitter.com/DLFNachrichten" TargetMode="External"/><Relationship Id="rId14560" Type="http://schemas.openxmlformats.org/officeDocument/2006/relationships/hyperlink" Target="https://twitter.com/kinoptika" TargetMode="External"/><Relationship Id="rId25569" Type="http://schemas.openxmlformats.org/officeDocument/2006/relationships/hyperlink" Target="https://twitter.com/VolkswagenPost/status/724448848983298049" TargetMode="External"/><Relationship Id="rId14213" Type="http://schemas.openxmlformats.org/officeDocument/2006/relationships/hyperlink" Target="https://twitter.com/GeorgAlbrecht1" TargetMode="External"/><Relationship Id="rId17783" Type="http://schemas.openxmlformats.org/officeDocument/2006/relationships/hyperlink" Target="https://twitter.com/jayne_stackp" TargetMode="External"/><Relationship Id="rId2170" Type="http://schemas.openxmlformats.org/officeDocument/2006/relationships/hyperlink" Target="https://twitter.com/CarLiquidation" TargetMode="External"/><Relationship Id="rId7842" Type="http://schemas.openxmlformats.org/officeDocument/2006/relationships/hyperlink" Target="https://pbs.twimg.com/profile_images/713916477133492225/jz6Bu9L6_normal.jpg" TargetMode="External"/><Relationship Id="rId17436" Type="http://schemas.openxmlformats.org/officeDocument/2006/relationships/hyperlink" Target="https://pbs.twimg.com/profile_images/709389204506198017/vgmyEiD5_normal.jpg" TargetMode="External"/><Relationship Id="rId24652" Type="http://schemas.openxmlformats.org/officeDocument/2006/relationships/hyperlink" Target="https://twitter.com/beetlebug1938" TargetMode="External"/><Relationship Id="rId142" Type="http://schemas.openxmlformats.org/officeDocument/2006/relationships/hyperlink" Target="https://twitter.com/OnlineCarReview/status/722929995446759424" TargetMode="External"/><Relationship Id="rId5393" Type="http://schemas.openxmlformats.org/officeDocument/2006/relationships/hyperlink" Target="https://twitter.com/DialogueFirst/status/723202424765181954" TargetMode="External"/><Relationship Id="rId10823" Type="http://schemas.openxmlformats.org/officeDocument/2006/relationships/hyperlink" Target="https://twitter.com/FrVision" TargetMode="External"/><Relationship Id="rId24305" Type="http://schemas.openxmlformats.org/officeDocument/2006/relationships/hyperlink" Target="https://twitter.com/Insta_VWT" TargetMode="External"/><Relationship Id="rId5046" Type="http://schemas.openxmlformats.org/officeDocument/2006/relationships/hyperlink" Target="https://twitter.com/CarNewsBit" TargetMode="External"/><Relationship Id="rId8269" Type="http://schemas.openxmlformats.org/officeDocument/2006/relationships/hyperlink" Target="https://twitter.com/Ema12_Ok/status/723379897989627906" TargetMode="External"/><Relationship Id="rId11597" Type="http://schemas.openxmlformats.org/officeDocument/2006/relationships/hyperlink" Target="https://twitter.com/APA_LEMONAID" TargetMode="External"/><Relationship Id="rId20915" Type="http://schemas.openxmlformats.org/officeDocument/2006/relationships/hyperlink" Target="https://twitter.com/happywes" TargetMode="External"/><Relationship Id="rId25079" Type="http://schemas.openxmlformats.org/officeDocument/2006/relationships/hyperlink" Target="https://twitter.com/ActorRglover" TargetMode="External"/><Relationship Id="rId1656" Type="http://schemas.openxmlformats.org/officeDocument/2006/relationships/hyperlink" Target="https://twitter.com/fujiyamapapa/status/723051187742724096" TargetMode="External"/><Relationship Id="rId14070" Type="http://schemas.openxmlformats.org/officeDocument/2006/relationships/hyperlink" Target="https://twitter.com/JoHammonia" TargetMode="External"/><Relationship Id="rId19742" Type="http://schemas.openxmlformats.org/officeDocument/2006/relationships/hyperlink" Target="https://pbs.twimg.com/profile_images/718835727027580928/1ssyQ67y_normal.jpg" TargetMode="External"/><Relationship Id="rId1309" Type="http://schemas.openxmlformats.org/officeDocument/2006/relationships/hyperlink" Target="https://twitter.com/ksta_news" TargetMode="External"/><Relationship Id="rId4879" Type="http://schemas.openxmlformats.org/officeDocument/2006/relationships/hyperlink" Target="https://pbs.twimg.com/profile_images/527052537992470529/T_xUcDO1_normal.jpeg" TargetMode="External"/><Relationship Id="rId9801" Type="http://schemas.openxmlformats.org/officeDocument/2006/relationships/hyperlink" Target="https://twitter.com/brett687" TargetMode="External"/><Relationship Id="rId10680" Type="http://schemas.openxmlformats.org/officeDocument/2006/relationships/hyperlink" Target="https://twitter.com/fxcalmettes/status/723480720170188800" TargetMode="External"/><Relationship Id="rId17293" Type="http://schemas.openxmlformats.org/officeDocument/2006/relationships/hyperlink" Target="https://twitter.com/alemannoEU" TargetMode="External"/><Relationship Id="rId21689" Type="http://schemas.openxmlformats.org/officeDocument/2006/relationships/hyperlink" Target="https://twitter.com/rsnqp/status/724168247050805252" TargetMode="External"/><Relationship Id="rId15" Type="http://schemas.openxmlformats.org/officeDocument/2006/relationships/hyperlink" Target="https://pbs.twimg.com/profile_images/600380442336960513/FHH3lN5S_normal.jpg" TargetMode="External"/><Relationship Id="rId7352" Type="http://schemas.openxmlformats.org/officeDocument/2006/relationships/hyperlink" Target="https://pbs.twimg.com/profile_images/582945205080354817/pwnImdu0_normal.jpg" TargetMode="External"/><Relationship Id="rId10333" Type="http://schemas.openxmlformats.org/officeDocument/2006/relationships/hyperlink" Target="https://pbs.twimg.com/profile_images/537398927629492224/-gaJbNL2_normal.jpeg" TargetMode="External"/><Relationship Id="rId24162" Type="http://schemas.openxmlformats.org/officeDocument/2006/relationships/hyperlink" Target="https://twitter.com/philfritzhelm/status/724336394282373121" TargetMode="External"/><Relationship Id="rId7005" Type="http://schemas.openxmlformats.org/officeDocument/2006/relationships/hyperlink" Target="https://pbs.twimg.com/profile_images/530071272881803264/a_jcCmPZ_normal.png" TargetMode="External"/><Relationship Id="rId3615" Type="http://schemas.openxmlformats.org/officeDocument/2006/relationships/hyperlink" Target="https://twitter.com/beetlebug1938/status/723166036384731136" TargetMode="External"/><Relationship Id="rId3962" Type="http://schemas.openxmlformats.org/officeDocument/2006/relationships/hyperlink" Target="https://pbs.twimg.com/profile_images/573248726212325376/60EMO_jJ_normal.jpeg" TargetMode="External"/><Relationship Id="rId13556" Type="http://schemas.openxmlformats.org/officeDocument/2006/relationships/hyperlink" Target="https://pbs.twimg.com/profile_images/709094810204938241/urgAFsxo_normal.jpg" TargetMode="External"/><Relationship Id="rId20772" Type="http://schemas.openxmlformats.org/officeDocument/2006/relationships/hyperlink" Target="https://twitter.com/Scirocco_Tuning" TargetMode="External"/><Relationship Id="rId1166" Type="http://schemas.openxmlformats.org/officeDocument/2006/relationships/hyperlink" Target="https://pbs.twimg.com/profile_images/644913065356562432/M0SOn6fS_normal.jpg" TargetMode="External"/><Relationship Id="rId13209" Type="http://schemas.openxmlformats.org/officeDocument/2006/relationships/hyperlink" Target="https://twitter.com/ukoepke" TargetMode="External"/><Relationship Id="rId16779" Type="http://schemas.openxmlformats.org/officeDocument/2006/relationships/hyperlink" Target="https://twitter.com/tschmitz_eu" TargetMode="External"/><Relationship Id="rId20425" Type="http://schemas.openxmlformats.org/officeDocument/2006/relationships/hyperlink" Target="https://twitter.com/LusinaMatias" TargetMode="External"/><Relationship Id="rId23995" Type="http://schemas.openxmlformats.org/officeDocument/2006/relationships/hyperlink" Target="https://twitter.com/rajesh12june/status/724325418975793153" TargetMode="External"/><Relationship Id="rId4389" Type="http://schemas.openxmlformats.org/officeDocument/2006/relationships/hyperlink" Target="https://pbs.twimg.com/profile_images/637891439343484928/orseP7gi_normal.jpg" TargetMode="External"/><Relationship Id="rId6838" Type="http://schemas.openxmlformats.org/officeDocument/2006/relationships/hyperlink" Target="https://pbs.twimg.com/profile_images/559611103865368576/7Zmbvgsg_normal.jpeg" TargetMode="External"/><Relationship Id="rId19252" Type="http://schemas.openxmlformats.org/officeDocument/2006/relationships/hyperlink" Target="https://twitter.com/VolkswagenofWin/status/723924400383254528" TargetMode="External"/><Relationship Id="rId23648" Type="http://schemas.openxmlformats.org/officeDocument/2006/relationships/hyperlink" Target="http://ctrlq.org/maps/address/" TargetMode="External"/><Relationship Id="rId9311" Type="http://schemas.openxmlformats.org/officeDocument/2006/relationships/hyperlink" Target="https://pbs.twimg.com/profile_images/702511217793863680/lty8h9vE_normal.jpg" TargetMode="External"/><Relationship Id="rId10190" Type="http://schemas.openxmlformats.org/officeDocument/2006/relationships/hyperlink" Target="https://twitter.com/sadiqgajimi/status/723465320200056833" TargetMode="External"/><Relationship Id="rId15862" Type="http://schemas.openxmlformats.org/officeDocument/2006/relationships/hyperlink" Target="https://twitter.com/VWBeetleSales/status/723634007821283330" TargetMode="External"/><Relationship Id="rId21199" Type="http://schemas.openxmlformats.org/officeDocument/2006/relationships/hyperlink" Target="https://twitter.com/Maxipichichi" TargetMode="External"/><Relationship Id="rId5921" Type="http://schemas.openxmlformats.org/officeDocument/2006/relationships/hyperlink" Target="https://twitter.com/OneStepBayond/status/723223898037358592" TargetMode="External"/><Relationship Id="rId15515" Type="http://schemas.openxmlformats.org/officeDocument/2006/relationships/hyperlink" Target="https://pbs.twimg.com/profile_images/708280127025598464/akwVZYwc_normal.jpg" TargetMode="External"/><Relationship Id="rId22731" Type="http://schemas.openxmlformats.org/officeDocument/2006/relationships/hyperlink" Target="https://pbs.twimg.com/profile_images/2701944186/644516f611721f03f016f84ed773aac2_normal.png" TargetMode="External"/><Relationship Id="rId3472" Type="http://schemas.openxmlformats.org/officeDocument/2006/relationships/hyperlink" Target="https://twitter.com/apronline/status/723160163708854273" TargetMode="External"/><Relationship Id="rId13066" Type="http://schemas.openxmlformats.org/officeDocument/2006/relationships/hyperlink" Target="https://twitter.com/VWCamperSales" TargetMode="External"/><Relationship Id="rId20282" Type="http://schemas.openxmlformats.org/officeDocument/2006/relationships/hyperlink" Target="https://twitter.com/almadabriian" TargetMode="External"/><Relationship Id="rId3125" Type="http://schemas.openxmlformats.org/officeDocument/2006/relationships/hyperlink" Target="https://pbs.twimg.com/profile_images/608213167496417280/QSxgcLn__normal.png" TargetMode="External"/><Relationship Id="rId6695" Type="http://schemas.openxmlformats.org/officeDocument/2006/relationships/hyperlink" Target="https://twitter.com/IaraaSofia" TargetMode="External"/><Relationship Id="rId16289" Type="http://schemas.openxmlformats.org/officeDocument/2006/relationships/hyperlink" Target="https://twitter.com/AutobarnVWCS/status/723665261979656192" TargetMode="External"/><Relationship Id="rId18738" Type="http://schemas.openxmlformats.org/officeDocument/2006/relationships/hyperlink" Target="https://twitter.com/VWBeetleSales" TargetMode="External"/><Relationship Id="rId6348" Type="http://schemas.openxmlformats.org/officeDocument/2006/relationships/hyperlink" Target="https://pbs.twimg.com/profile_images/721448687625445376/NQOVGjOJ_normal.jpg" TargetMode="External"/><Relationship Id="rId23158" Type="http://schemas.openxmlformats.org/officeDocument/2006/relationships/hyperlink" Target="https://twitter.com/EpicDubs" TargetMode="External"/><Relationship Id="rId25607" Type="http://schemas.openxmlformats.org/officeDocument/2006/relationships/hyperlink" Target="https://twitter.com/breedveldusa" TargetMode="External"/><Relationship Id="rId12899" Type="http://schemas.openxmlformats.org/officeDocument/2006/relationships/hyperlink" Target="https://twitter.com/nettechnews" TargetMode="External"/><Relationship Id="rId17821" Type="http://schemas.openxmlformats.org/officeDocument/2006/relationships/hyperlink" Target="https://pbs.twimg.com/profile_images/709739067857113088/rpApXjKW_normal.jpg" TargetMode="External"/><Relationship Id="rId2958" Type="http://schemas.openxmlformats.org/officeDocument/2006/relationships/hyperlink" Target="https://twitter.com/LVIaLondres" TargetMode="External"/><Relationship Id="rId15372" Type="http://schemas.openxmlformats.org/officeDocument/2006/relationships/hyperlink" Target="https://twitter.com/nocki61" TargetMode="External"/><Relationship Id="rId5431" Type="http://schemas.openxmlformats.org/officeDocument/2006/relationships/hyperlink" Target="https://twitter.com/ChuckLane1" TargetMode="External"/><Relationship Id="rId15025" Type="http://schemas.openxmlformats.org/officeDocument/2006/relationships/hyperlink" Target="https://pbs.twimg.com/profile_images/1565666442/2_normal.jpg" TargetMode="External"/><Relationship Id="rId18595" Type="http://schemas.openxmlformats.org/officeDocument/2006/relationships/hyperlink" Target="https://twitter.com/VolkswagenPost" TargetMode="External"/><Relationship Id="rId22241" Type="http://schemas.openxmlformats.org/officeDocument/2006/relationships/hyperlink" Target="https://twitter.com/MJJENNINGS1987" TargetMode="External"/><Relationship Id="rId8654" Type="http://schemas.openxmlformats.org/officeDocument/2006/relationships/hyperlink" Target="https://twitter.com/ZetsusHotDog" TargetMode="External"/><Relationship Id="rId11982" Type="http://schemas.openxmlformats.org/officeDocument/2006/relationships/hyperlink" Target="https://pbs.twimg.com/profile_images/461317320447500289/1fliRWXl_normal.jpeg" TargetMode="External"/><Relationship Id="rId18248" Type="http://schemas.openxmlformats.org/officeDocument/2006/relationships/hyperlink" Target="https://twitter.com/Soullehhin" TargetMode="External"/><Relationship Id="rId25464" Type="http://schemas.openxmlformats.org/officeDocument/2006/relationships/hyperlink" Target="https://pbs.twimg.com/profile_images/716756633997541376/KQjHyHpX_normal.jpg" TargetMode="External"/><Relationship Id="rId8307" Type="http://schemas.openxmlformats.org/officeDocument/2006/relationships/hyperlink" Target="https://twitter.com/RB_K_" TargetMode="External"/><Relationship Id="rId11635" Type="http://schemas.openxmlformats.org/officeDocument/2006/relationships/hyperlink" Target="https://abs.twimg.com/sticky/default_profile_images/default_profile_2_normal.png" TargetMode="External"/><Relationship Id="rId25117" Type="http://schemas.openxmlformats.org/officeDocument/2006/relationships/hyperlink" Target="https://twitter.com/whats_live" TargetMode="External"/><Relationship Id="rId14858" Type="http://schemas.openxmlformats.org/officeDocument/2006/relationships/hyperlink" Target="https://pbs.twimg.com/profile_images/3728536184/f8618f162b51e72519303cccedbec92b_normal.jpeg" TargetMode="External"/><Relationship Id="rId4917" Type="http://schemas.openxmlformats.org/officeDocument/2006/relationships/hyperlink" Target="https://twitter.com/johnvoelcker" TargetMode="External"/><Relationship Id="rId17331" Type="http://schemas.openxmlformats.org/officeDocument/2006/relationships/hyperlink" Target="https://pbs.twimg.com/profile_images/424893967197433858/iQ86NktX_normal.jpeg" TargetMode="External"/><Relationship Id="rId21727" Type="http://schemas.openxmlformats.org/officeDocument/2006/relationships/hyperlink" Target="https://twitter.com/rajesh877/status/724173246648733696" TargetMode="External"/><Relationship Id="rId787" Type="http://schemas.openxmlformats.org/officeDocument/2006/relationships/hyperlink" Target="https://pbs.twimg.com/profile_images/378800000770511910/f2717d32a14082fef01983978a41d3be_normal.jpeg" TargetMode="External"/><Relationship Id="rId2468" Type="http://schemas.openxmlformats.org/officeDocument/2006/relationships/hyperlink" Target="https://pbs.twimg.com/profile_images/698629997234417665/Asfz3TvT_normal.jpg" TargetMode="External"/><Relationship Id="rId13941" Type="http://schemas.openxmlformats.org/officeDocument/2006/relationships/hyperlink" Target="https://twitter.com/RainerRogge" TargetMode="External"/><Relationship Id="rId24200" Type="http://schemas.openxmlformats.org/officeDocument/2006/relationships/hyperlink" Target="https://pbs.twimg.com/profile_images/712338804879790080/NZD5MPUU_normal.jpg" TargetMode="External"/><Relationship Id="rId11492" Type="http://schemas.openxmlformats.org/officeDocument/2006/relationships/hyperlink" Target="https://twitter.com/KNXfrank/status/723502996840013824" TargetMode="External"/><Relationship Id="rId20810" Type="http://schemas.openxmlformats.org/officeDocument/2006/relationships/hyperlink" Target="https://twitter.com/Lucascanob_/status/724047416165564416" TargetMode="External"/><Relationship Id="rId1551" Type="http://schemas.openxmlformats.org/officeDocument/2006/relationships/hyperlink" Target="https://twitter.com/PaulbrooksAMG/status/723046282290450432" TargetMode="External"/><Relationship Id="rId8164" Type="http://schemas.openxmlformats.org/officeDocument/2006/relationships/hyperlink" Target="http://webaraba.com/" TargetMode="External"/><Relationship Id="rId11145" Type="http://schemas.openxmlformats.org/officeDocument/2006/relationships/hyperlink" Target="https://twitter.com/TepelmannMentor/status/723498053408284673" TargetMode="External"/><Relationship Id="rId1204" Type="http://schemas.openxmlformats.org/officeDocument/2006/relationships/hyperlink" Target="https://pbs.twimg.com/profile_images/691967023258210304/J22K4Bad_normal.png" TargetMode="External"/><Relationship Id="rId4774" Type="http://schemas.openxmlformats.org/officeDocument/2006/relationships/hyperlink" Target="https://twitter.com/metricausa" TargetMode="External"/><Relationship Id="rId14368" Type="http://schemas.openxmlformats.org/officeDocument/2006/relationships/hyperlink" Target="https://twitter.com/LombardaMotori" TargetMode="External"/><Relationship Id="rId16817" Type="http://schemas.openxmlformats.org/officeDocument/2006/relationships/hyperlink" Target="https://twitter.com/autoinsight_app" TargetMode="External"/><Relationship Id="rId21584" Type="http://schemas.openxmlformats.org/officeDocument/2006/relationships/hyperlink" Target="http://dlvr.it/" TargetMode="External"/><Relationship Id="rId4427" Type="http://schemas.openxmlformats.org/officeDocument/2006/relationships/hyperlink" Target="https://twitter.com/034Motorsport" TargetMode="External"/><Relationship Id="rId21237" Type="http://schemas.openxmlformats.org/officeDocument/2006/relationships/hyperlink" Target="https://twitter.com/YorkshireTint/status/724130934874882048" TargetMode="External"/><Relationship Id="rId297" Type="http://schemas.openxmlformats.org/officeDocument/2006/relationships/hyperlink" Target="https://pbs.twimg.com/profile_images/722900359384064000/Fa4h47eT_normal.jpg" TargetMode="External"/><Relationship Id="rId7997" Type="http://schemas.openxmlformats.org/officeDocument/2006/relationships/hyperlink" Target="https://twitter.com/AdgmanA/status/723347611634249729" TargetMode="External"/><Relationship Id="rId10978" Type="http://schemas.openxmlformats.org/officeDocument/2006/relationships/hyperlink" Target="https://twitter.com/PeninsulaQatar/status/723492634942156800" TargetMode="External"/><Relationship Id="rId15900" Type="http://schemas.openxmlformats.org/officeDocument/2006/relationships/hyperlink" Target="https://twitter.com/PumpTheMovie/status/723636289195536384" TargetMode="External"/><Relationship Id="rId13451" Type="http://schemas.openxmlformats.org/officeDocument/2006/relationships/hyperlink" Target="https://twitter.com/VeeDubMk1_/status/723547975952281602" TargetMode="External"/><Relationship Id="rId3510" Type="http://schemas.openxmlformats.org/officeDocument/2006/relationships/hyperlink" Target="https://twitter.com/lemberglaw" TargetMode="External"/><Relationship Id="rId13104" Type="http://schemas.openxmlformats.org/officeDocument/2006/relationships/hyperlink" Target="https://twitter.com/NetzwerkggS21" TargetMode="External"/><Relationship Id="rId16674" Type="http://schemas.openxmlformats.org/officeDocument/2006/relationships/hyperlink" Target="https://twitter.com/beetlebug1938/status/723710532772106240" TargetMode="External"/><Relationship Id="rId20320" Type="http://schemas.openxmlformats.org/officeDocument/2006/relationships/hyperlink" Target="https://pbs.twimg.com/profile_images/599357023407464449/BL9Bpo6T_normal.jpg" TargetMode="External"/><Relationship Id="rId23890" Type="http://schemas.openxmlformats.org/officeDocument/2006/relationships/hyperlink" Target="https://twitter.com/MakarenaFra" TargetMode="External"/><Relationship Id="rId1061" Type="http://schemas.openxmlformats.org/officeDocument/2006/relationships/hyperlink" Target="https://pbs.twimg.com/profile_images/2913473301/cb78ad4fd93b205a7e987ba1d345a438_normal.jpeg" TargetMode="External"/><Relationship Id="rId6733" Type="http://schemas.openxmlformats.org/officeDocument/2006/relationships/hyperlink" Target="https://twitter.com/Shanepkavanagh" TargetMode="External"/><Relationship Id="rId16327" Type="http://schemas.openxmlformats.org/officeDocument/2006/relationships/hyperlink" Target="https://twitter.com/_Payaso__" TargetMode="External"/><Relationship Id="rId23543" Type="http://schemas.openxmlformats.org/officeDocument/2006/relationships/hyperlink" Target="https://twitter.com/RachelArac" TargetMode="External"/><Relationship Id="rId4284" Type="http://schemas.openxmlformats.org/officeDocument/2006/relationships/hyperlink" Target="https://twitter.com/adamsona/status/723178798326386688" TargetMode="External"/><Relationship Id="rId9956" Type="http://schemas.openxmlformats.org/officeDocument/2006/relationships/hyperlink" Target="https://pbs.twimg.com/profile_images/461426238695821313/4ece1u66_normal.png" TargetMode="External"/><Relationship Id="rId19897" Type="http://schemas.openxmlformats.org/officeDocument/2006/relationships/hyperlink" Target="https://twitter.com/mrodrireus" TargetMode="External"/><Relationship Id="rId21094" Type="http://schemas.openxmlformats.org/officeDocument/2006/relationships/hyperlink" Target="https://pbs.twimg.com/profile_images/378800000572104796/1de43e1cf23efb3f4101c02afad0d3b6_normal.png" TargetMode="External"/><Relationship Id="rId9609" Type="http://schemas.openxmlformats.org/officeDocument/2006/relationships/hyperlink" Target="https://twitter.com/VolkswagenPost" TargetMode="External"/><Relationship Id="rId12937" Type="http://schemas.openxmlformats.org/officeDocument/2006/relationships/hyperlink" Target="https://twitter.com/annabel_oelmann/status/723531961910829057" TargetMode="External"/><Relationship Id="rId10488" Type="http://schemas.openxmlformats.org/officeDocument/2006/relationships/hyperlink" Target="https://twitter.com/michaelweiland/status/723474570796236801" TargetMode="External"/><Relationship Id="rId15410" Type="http://schemas.openxmlformats.org/officeDocument/2006/relationships/hyperlink" Target="https://twitter.com/Marktzyniker/status/723606831684263937" TargetMode="External"/><Relationship Id="rId18980" Type="http://schemas.openxmlformats.org/officeDocument/2006/relationships/hyperlink" Target="https://twitter.com/iksa1009/status/723911021388156928" TargetMode="External"/><Relationship Id="rId3020" Type="http://schemas.openxmlformats.org/officeDocument/2006/relationships/hyperlink" Target="https://pbs.twimg.com/profile_images/652871584131092480/QA_B6SBO_normal.jpg" TargetMode="External"/><Relationship Id="rId18633" Type="http://schemas.openxmlformats.org/officeDocument/2006/relationships/hyperlink" Target="https://twitter.com/nurdersven" TargetMode="External"/><Relationship Id="rId6590" Type="http://schemas.openxmlformats.org/officeDocument/2006/relationships/hyperlink" Target="https://pbs.twimg.com/profile_images/627949001179037696/skEBkS05_normal.jpg" TargetMode="External"/><Relationship Id="rId16184" Type="http://schemas.openxmlformats.org/officeDocument/2006/relationships/hyperlink" Target="https://pbs.twimg.com/profile_images/688094284558422016/VHQCApoO_normal.jpg" TargetMode="External"/><Relationship Id="rId25502" Type="http://schemas.openxmlformats.org/officeDocument/2006/relationships/hyperlink" Target="https://twitter.com/nomkhita12/status/724444691572371456" TargetMode="External"/><Relationship Id="rId6243" Type="http://schemas.openxmlformats.org/officeDocument/2006/relationships/hyperlink" Target="https://twitter.com/AutoNewsTV" TargetMode="External"/><Relationship Id="rId12794" Type="http://schemas.openxmlformats.org/officeDocument/2006/relationships/hyperlink" Target="https://twitter.com/beetlebug1938/status/723527949815783424" TargetMode="External"/><Relationship Id="rId23053" Type="http://schemas.openxmlformats.org/officeDocument/2006/relationships/hyperlink" Target="https://twitter.com/VWCamperz/status/724266997123563520" TargetMode="External"/><Relationship Id="rId2853" Type="http://schemas.openxmlformats.org/officeDocument/2006/relationships/hyperlink" Target="https://twitter.com/radiotool" TargetMode="External"/><Relationship Id="rId9466" Type="http://schemas.openxmlformats.org/officeDocument/2006/relationships/hyperlink" Target="https://pbs.twimg.com/profile_images/627949001179037696/skEBkS05_normal.jpg" TargetMode="External"/><Relationship Id="rId12447" Type="http://schemas.openxmlformats.org/officeDocument/2006/relationships/hyperlink" Target="https://pbs.twimg.com/profile_images/633404179340464128/r2aQ_hAU_normal.jpg" TargetMode="External"/><Relationship Id="rId825" Type="http://schemas.openxmlformats.org/officeDocument/2006/relationships/hyperlink" Target="https://twitter.com/VolkswagenPost" TargetMode="External"/><Relationship Id="rId2506" Type="http://schemas.openxmlformats.org/officeDocument/2006/relationships/hyperlink" Target="https://pbs.twimg.com/profile_images/531688614640365568/U84uXoIT_normal.png" TargetMode="External"/><Relationship Id="rId9119" Type="http://schemas.openxmlformats.org/officeDocument/2006/relationships/hyperlink" Target="https://pbs.twimg.com/profile_images/614723809590018048/IWZnUTnV_normal.jpg" TargetMode="External"/><Relationship Id="rId18490" Type="http://schemas.openxmlformats.org/officeDocument/2006/relationships/hyperlink" Target="https://twitter.com/SAMBeastDavid/status/723872868837240832" TargetMode="External"/><Relationship Id="rId22886" Type="http://schemas.openxmlformats.org/officeDocument/2006/relationships/hyperlink" Target="https://twitter.com/dubbusses" TargetMode="External"/><Relationship Id="rId5729" Type="http://schemas.openxmlformats.org/officeDocument/2006/relationships/hyperlink" Target="https://twitter.com/bvdvliet" TargetMode="External"/><Relationship Id="rId8202" Type="http://schemas.openxmlformats.org/officeDocument/2006/relationships/hyperlink" Target="https://twitter.com/WobIntosh" TargetMode="External"/><Relationship Id="rId11530" Type="http://schemas.openxmlformats.org/officeDocument/2006/relationships/hyperlink" Target="https://twitter.com/VCT_Tweets" TargetMode="External"/><Relationship Id="rId18143" Type="http://schemas.openxmlformats.org/officeDocument/2006/relationships/hyperlink" Target="https://pbs.twimg.com/profile_images/3495327835/97a74b07f81dbe41b12b527f8c7fc52c_normal.jpeg" TargetMode="External"/><Relationship Id="rId22539" Type="http://schemas.openxmlformats.org/officeDocument/2006/relationships/hyperlink" Target="https://twitter.com/VeeDubMk1_/status/724228617752981507" TargetMode="External"/><Relationship Id="rId14753" Type="http://schemas.openxmlformats.org/officeDocument/2006/relationships/hyperlink" Target="https://twitter.com/techhippie/status/723581538881949696" TargetMode="External"/><Relationship Id="rId25012" Type="http://schemas.openxmlformats.org/officeDocument/2006/relationships/hyperlink" Target="https://twitter.com/SuranClub" TargetMode="External"/><Relationship Id="rId4812" Type="http://schemas.openxmlformats.org/officeDocument/2006/relationships/hyperlink" Target="https://pbs.twimg.com/profile_images/530071272881803264/a_jcCmPZ_normal.png" TargetMode="External"/><Relationship Id="rId14406" Type="http://schemas.openxmlformats.org/officeDocument/2006/relationships/hyperlink" Target="https://pbs.twimg.com/profile_images/720741719206203392/UF7FjEYv_normal.jpg" TargetMode="External"/><Relationship Id="rId21622" Type="http://schemas.openxmlformats.org/officeDocument/2006/relationships/hyperlink" Target="https://pbs.twimg.com/profile_images/718835727027580928/1ssyQ67y_normal.jpg" TargetMode="External"/><Relationship Id="rId682" Type="http://schemas.openxmlformats.org/officeDocument/2006/relationships/hyperlink" Target="https://twitter.com/Kathy_GarclaBri/status/722968050841096192" TargetMode="External"/><Relationship Id="rId2363" Type="http://schemas.openxmlformats.org/officeDocument/2006/relationships/hyperlink" Target="https://twitter.com/treibholzfilm" TargetMode="External"/><Relationship Id="rId17976" Type="http://schemas.openxmlformats.org/officeDocument/2006/relationships/hyperlink" Target="https://twitter.com/PaulMillerAG" TargetMode="External"/><Relationship Id="rId335" Type="http://schemas.openxmlformats.org/officeDocument/2006/relationships/hyperlink" Target="https://twitter.com/Appy_GeekMEX" TargetMode="External"/><Relationship Id="rId2016" Type="http://schemas.openxmlformats.org/officeDocument/2006/relationships/hyperlink" Target="https://twitter.com/BILD_Reporter" TargetMode="External"/><Relationship Id="rId5586" Type="http://schemas.openxmlformats.org/officeDocument/2006/relationships/hyperlink" Target="https://pbs.twimg.com/profile_images/489747056584445953/3tvslEko_normal.jpeg" TargetMode="External"/><Relationship Id="rId17629" Type="http://schemas.openxmlformats.org/officeDocument/2006/relationships/hyperlink" Target="https://twitter.com/NetzwerkggS21" TargetMode="External"/><Relationship Id="rId22396" Type="http://schemas.openxmlformats.org/officeDocument/2006/relationships/hyperlink" Target="https://twitter.com/mvdweyer" TargetMode="External"/><Relationship Id="rId24845" Type="http://schemas.openxmlformats.org/officeDocument/2006/relationships/hyperlink" Target="https://twitter.com/VGTG12" TargetMode="External"/><Relationship Id="rId5239" Type="http://schemas.openxmlformats.org/officeDocument/2006/relationships/hyperlink" Target="https://abs.twimg.com/sticky/default_profile_images/default_profile_4_normal.png" TargetMode="External"/><Relationship Id="rId11040" Type="http://schemas.openxmlformats.org/officeDocument/2006/relationships/hyperlink" Target="https://pbs.twimg.com/profile_images/664042740334903296/QuAZGTTR_normal.jpg" TargetMode="External"/><Relationship Id="rId22049" Type="http://schemas.openxmlformats.org/officeDocument/2006/relationships/hyperlink" Target="https://twitter.com/WeAppU/status/724197729929408513" TargetMode="External"/><Relationship Id="rId16712" Type="http://schemas.openxmlformats.org/officeDocument/2006/relationships/hyperlink" Target="https://pbs.twimg.com/profile_images/1383765110/yamjun-_300_normal.jpg" TargetMode="External"/><Relationship Id="rId1849" Type="http://schemas.openxmlformats.org/officeDocument/2006/relationships/hyperlink" Target="https://twitter.com/RhodiumCar/status/723062744467927040" TargetMode="External"/><Relationship Id="rId14263" Type="http://schemas.openxmlformats.org/officeDocument/2006/relationships/hyperlink" Target="https://twitter.com/emanuelakerman1" TargetMode="External"/><Relationship Id="rId19935" Type="http://schemas.openxmlformats.org/officeDocument/2006/relationships/hyperlink" Target="https://pbs.twimg.com/profile_images/712305493759434752/vTv8-04u_normal.jpg" TargetMode="External"/><Relationship Id="rId192" Type="http://schemas.openxmlformats.org/officeDocument/2006/relationships/hyperlink" Target="https://pbs.twimg.com/profile_images/710089607652593666/xKw1qnN2_normal.jpg" TargetMode="External"/><Relationship Id="rId4322" Type="http://schemas.openxmlformats.org/officeDocument/2006/relationships/hyperlink" Target="https://twitter.com/ksolo56" TargetMode="External"/><Relationship Id="rId7892" Type="http://schemas.openxmlformats.org/officeDocument/2006/relationships/hyperlink" Target="https://twitter.com/NormReevesVW" TargetMode="External"/><Relationship Id="rId10873" Type="http://schemas.openxmlformats.org/officeDocument/2006/relationships/hyperlink" Target="https://twitter.com/thebugbar/status/723488648113606656" TargetMode="External"/><Relationship Id="rId17486" Type="http://schemas.openxmlformats.org/officeDocument/2006/relationships/hyperlink" Target="https://twitter.com/DavidB46/status/723802339476406272" TargetMode="External"/><Relationship Id="rId21132" Type="http://schemas.openxmlformats.org/officeDocument/2006/relationships/hyperlink" Target="https://twitter.com/FacuRusso46vr/status/724106770994614272" TargetMode="External"/><Relationship Id="rId7545" Type="http://schemas.openxmlformats.org/officeDocument/2006/relationships/hyperlink" Target="https://twitter.com/2112greg" TargetMode="External"/><Relationship Id="rId10526" Type="http://schemas.openxmlformats.org/officeDocument/2006/relationships/hyperlink" Target="https://twitter.com/bayl" TargetMode="External"/><Relationship Id="rId17139" Type="http://schemas.openxmlformats.org/officeDocument/2006/relationships/hyperlink" Target="https://pbs.twimg.com/profile_images/537493150416125952/V9FSvv1i_normal.jpeg" TargetMode="External"/><Relationship Id="rId24355" Type="http://schemas.openxmlformats.org/officeDocument/2006/relationships/hyperlink" Target="https://pbs.twimg.com/profile_images/653637535545995264/gHuXQ5Bt_normal.jpg" TargetMode="External"/><Relationship Id="rId5096" Type="http://schemas.openxmlformats.org/officeDocument/2006/relationships/hyperlink" Target="https://pbs.twimg.com/profile_images/531921848032698368/e6JpWMNX_normal.png" TargetMode="External"/><Relationship Id="rId24008" Type="http://schemas.openxmlformats.org/officeDocument/2006/relationships/hyperlink" Target="http://dlvr.it/" TargetMode="External"/><Relationship Id="rId13749" Type="http://schemas.openxmlformats.org/officeDocument/2006/relationships/hyperlink" Target="https://pbs.twimg.com/profile_images/716896035671580672/EmIuVgoK_normal.jpg" TargetMode="External"/><Relationship Id="rId20965" Type="http://schemas.openxmlformats.org/officeDocument/2006/relationships/hyperlink" Target="https://pbs.twimg.com/profile_images/718835727027580928/1ssyQ67y_normal.jpg" TargetMode="External"/><Relationship Id="rId1359" Type="http://schemas.openxmlformats.org/officeDocument/2006/relationships/hyperlink" Target="https://twitter.com/ManuelaKC/status/723038044442509313" TargetMode="External"/><Relationship Id="rId3808" Type="http://schemas.openxmlformats.org/officeDocument/2006/relationships/hyperlink" Target="https://pbs.twimg.com/profile_images/548839137605087232/8CSTk0Bz_normal.jpeg" TargetMode="External"/><Relationship Id="rId16222" Type="http://schemas.openxmlformats.org/officeDocument/2006/relationships/hyperlink" Target="https://twitter.com/VWBeetleSales" TargetMode="External"/><Relationship Id="rId19792" Type="http://schemas.openxmlformats.org/officeDocument/2006/relationships/hyperlink" Target="https://twitter.com/VolkswagenPost" TargetMode="External"/><Relationship Id="rId20618" Type="http://schemas.openxmlformats.org/officeDocument/2006/relationships/hyperlink" Target="https://twitter.com/joelharwoodlufc/status/724015954976464896" TargetMode="External"/><Relationship Id="rId9851" Type="http://schemas.openxmlformats.org/officeDocument/2006/relationships/hyperlink" Target="https://pbs.twimg.com/profile_images/699912588302426112/2kZQzAuA_normal.jpg" TargetMode="External"/><Relationship Id="rId12832" Type="http://schemas.openxmlformats.org/officeDocument/2006/relationships/hyperlink" Target="http://ctrlq.org/maps/address/" TargetMode="External"/><Relationship Id="rId19445" Type="http://schemas.openxmlformats.org/officeDocument/2006/relationships/hyperlink" Target="https://pbs.twimg.com/profile_images/475566543200591872/LlXTxHkb_normal.jpeg" TargetMode="External"/><Relationship Id="rId65" Type="http://schemas.openxmlformats.org/officeDocument/2006/relationships/hyperlink" Target="https://twitter.com/quickfoundnet/status/722922193655435265" TargetMode="External"/><Relationship Id="rId9504" Type="http://schemas.openxmlformats.org/officeDocument/2006/relationships/hyperlink" Target="https://pbs.twimg.com/profile_images/718820712757215233/LXXndPTS_normal.jpg" TargetMode="External"/><Relationship Id="rId10383" Type="http://schemas.openxmlformats.org/officeDocument/2006/relationships/hyperlink" Target="https://twitter.com/backroomspin" TargetMode="External"/><Relationship Id="rId7055" Type="http://schemas.openxmlformats.org/officeDocument/2006/relationships/hyperlink" Target="https://twitter.com/margokissy" TargetMode="External"/><Relationship Id="rId10036" Type="http://schemas.openxmlformats.org/officeDocument/2006/relationships/hyperlink" Target="https://twitter.com/eMobOnline" TargetMode="External"/><Relationship Id="rId3665" Type="http://schemas.openxmlformats.org/officeDocument/2006/relationships/hyperlink" Target="https://pbs.twimg.com/profile_images/720756791525711872/8ZCEEyUb_normal.jpg" TargetMode="External"/><Relationship Id="rId13259" Type="http://schemas.openxmlformats.org/officeDocument/2006/relationships/hyperlink" Target="https://twitter.com/VWwaterloo/status/723541282761617408" TargetMode="External"/><Relationship Id="rId15708" Type="http://schemas.openxmlformats.org/officeDocument/2006/relationships/hyperlink" Target="https://twitter.com/golfturkiye" TargetMode="External"/><Relationship Id="rId20475" Type="http://schemas.openxmlformats.org/officeDocument/2006/relationships/hyperlink" Target="https://twitter.com/AlvaroSPalomino" TargetMode="External"/><Relationship Id="rId22924" Type="http://schemas.openxmlformats.org/officeDocument/2006/relationships/hyperlink" Target="https://twitter.com/VWCamperSales/status/724257365973856257" TargetMode="External"/><Relationship Id="rId3318" Type="http://schemas.openxmlformats.org/officeDocument/2006/relationships/hyperlink" Target="https://pbs.twimg.com/profile_images/705621568781570048/95--t7AT_normal.jpg" TargetMode="External"/><Relationship Id="rId6888" Type="http://schemas.openxmlformats.org/officeDocument/2006/relationships/hyperlink" Target="https://twitter.com/FuscaWorld" TargetMode="External"/><Relationship Id="rId20128" Type="http://schemas.openxmlformats.org/officeDocument/2006/relationships/hyperlink" Target="https://twitter.com/pa_bu_ro/status/723976291792371712" TargetMode="External"/><Relationship Id="rId9361" Type="http://schemas.openxmlformats.org/officeDocument/2006/relationships/hyperlink" Target="https://twitter.com/conkers3" TargetMode="External"/><Relationship Id="rId23698" Type="http://schemas.openxmlformats.org/officeDocument/2006/relationships/hyperlink" Target="https://pbs.twimg.com/profile_images/718820712757215233/LXXndPTS_normal.jpg" TargetMode="External"/><Relationship Id="rId9014" Type="http://schemas.openxmlformats.org/officeDocument/2006/relationships/hyperlink" Target="https://twitter.com/TerraInstitute1" TargetMode="External"/><Relationship Id="rId12342" Type="http://schemas.openxmlformats.org/officeDocument/2006/relationships/hyperlink" Target="https://twitter.com/mucahitkara85/status/723517682692308992" TargetMode="External"/><Relationship Id="rId720" Type="http://schemas.openxmlformats.org/officeDocument/2006/relationships/hyperlink" Target="https://pbs.twimg.com/profile_images/632371610276622336/i9dfhe5Q_normal.jpg" TargetMode="External"/><Relationship Id="rId2401" Type="http://schemas.openxmlformats.org/officeDocument/2006/relationships/hyperlink" Target="https://twitter.com/Zaur_705" TargetMode="External"/><Relationship Id="rId5971" Type="http://schemas.openxmlformats.org/officeDocument/2006/relationships/hyperlink" Target="https://pbs.twimg.com/profile_images/693159275590451200/ckf61OxT_normal.jpg" TargetMode="External"/><Relationship Id="rId15565" Type="http://schemas.openxmlformats.org/officeDocument/2006/relationships/hyperlink" Target="https://twitter.com/guidobraun" TargetMode="External"/><Relationship Id="rId22781" Type="http://schemas.openxmlformats.org/officeDocument/2006/relationships/hyperlink" Target="http://dlvr.it/" TargetMode="External"/><Relationship Id="rId5624" Type="http://schemas.openxmlformats.org/officeDocument/2006/relationships/hyperlink" Target="https://twitter.com/JesseKIRO7/status/723211067346825216" TargetMode="External"/><Relationship Id="rId15218" Type="http://schemas.openxmlformats.org/officeDocument/2006/relationships/hyperlink" Target="https://pbs.twimg.com/profile_images/633033646891372544/JCCEg4t2_normal.jpg" TargetMode="External"/><Relationship Id="rId18788" Type="http://schemas.openxmlformats.org/officeDocument/2006/relationships/hyperlink" Target="https://twitter.com/VeeDubMk1_" TargetMode="External"/><Relationship Id="rId22434" Type="http://schemas.openxmlformats.org/officeDocument/2006/relationships/hyperlink" Target="https://twitter.com/DiscoverHaku/status/724223894584975360" TargetMode="External"/><Relationship Id="rId3175" Type="http://schemas.openxmlformats.org/officeDocument/2006/relationships/hyperlink" Target="https://pbs.twimg.com/profile_images/693135738511216640/ZmX5wPdy_normal.jpg" TargetMode="External"/><Relationship Id="rId8847" Type="http://schemas.openxmlformats.org/officeDocument/2006/relationships/hyperlink" Target="https://twitter.com/drnicnic/status/723409033281982464" TargetMode="External"/><Relationship Id="rId25657" Type="http://schemas.openxmlformats.org/officeDocument/2006/relationships/hyperlink" Target="https://twitter.com/80230e4f9e424a1/status/724456637419933696" TargetMode="External"/><Relationship Id="rId6398" Type="http://schemas.openxmlformats.org/officeDocument/2006/relationships/hyperlink" Target="https://pbs.twimg.com/profile_images/722421409373384704/I7QGl5WZ_normal.jpg" TargetMode="External"/><Relationship Id="rId11828" Type="http://schemas.openxmlformats.org/officeDocument/2006/relationships/hyperlink" Target="https://twitter.com/bvdvliet/status/723508567618248704" TargetMode="External"/><Relationship Id="rId14301" Type="http://schemas.openxmlformats.org/officeDocument/2006/relationships/hyperlink" Target="https://twitter.com/AlfonsoCamila1/status/723571891798196224" TargetMode="External"/><Relationship Id="rId17871" Type="http://schemas.openxmlformats.org/officeDocument/2006/relationships/hyperlink" Target="https://pbs.twimg.com/profile_images/552037189328982016/r65JRGTS_normal.jpeg" TargetMode="External"/><Relationship Id="rId230" Type="http://schemas.openxmlformats.org/officeDocument/2006/relationships/hyperlink" Target="https://twitter.com/AleGomezFabio/status/722938302077140992" TargetMode="External"/><Relationship Id="rId7930" Type="http://schemas.openxmlformats.org/officeDocument/2006/relationships/hyperlink" Target="https://pbs.twimg.com/profile_images/697457689341906944/T7z--JsC_normal.jpg" TargetMode="External"/><Relationship Id="rId10911" Type="http://schemas.openxmlformats.org/officeDocument/2006/relationships/hyperlink" Target="https://twitter.com/ErikDurr" TargetMode="External"/><Relationship Id="rId17524" Type="http://schemas.openxmlformats.org/officeDocument/2006/relationships/hyperlink" Target="https://pbs.twimg.com/profile_images/580938982151745536/Ojfkm1Nr_normal.jpg" TargetMode="External"/><Relationship Id="rId24740" Type="http://schemas.openxmlformats.org/officeDocument/2006/relationships/hyperlink" Target="https://pbs.twimg.com/profile_images/690547073096114176/1IV0sQqb_normal.jpg" TargetMode="External"/><Relationship Id="rId5481" Type="http://schemas.openxmlformats.org/officeDocument/2006/relationships/hyperlink" Target="https://twitter.com/carcomplaints" TargetMode="External"/><Relationship Id="rId15075" Type="http://schemas.openxmlformats.org/officeDocument/2006/relationships/hyperlink" Target="https://twitter.com/enripiv/status/723592253520916480" TargetMode="External"/><Relationship Id="rId22291" Type="http://schemas.openxmlformats.org/officeDocument/2006/relationships/hyperlink" Target="https://twitter.com/Insta_VWT" TargetMode="External"/><Relationship Id="rId5134" Type="http://schemas.openxmlformats.org/officeDocument/2006/relationships/hyperlink" Target="https://twitter.com/leto769/status/723195020304605185" TargetMode="External"/><Relationship Id="rId11685" Type="http://schemas.openxmlformats.org/officeDocument/2006/relationships/hyperlink" Target="https://pbs.twimg.com/profile_images/461143330147954688/HZO45eNS_normal.jpeg" TargetMode="External"/><Relationship Id="rId18298" Type="http://schemas.openxmlformats.org/officeDocument/2006/relationships/hyperlink" Target="https://twitter.com/1JulianMartinez" TargetMode="External"/><Relationship Id="rId1744" Type="http://schemas.openxmlformats.org/officeDocument/2006/relationships/hyperlink" Target="https://twitter.com/AFECTADOGRUPOVW/status/723055175707987968" TargetMode="External"/><Relationship Id="rId8357" Type="http://schemas.openxmlformats.org/officeDocument/2006/relationships/hyperlink" Target="https://twitter.com/beetlebug1938/status/723384380429733888" TargetMode="External"/><Relationship Id="rId11338" Type="http://schemas.openxmlformats.org/officeDocument/2006/relationships/hyperlink" Target="https://twitter.com/noz_el" TargetMode="External"/><Relationship Id="rId25167" Type="http://schemas.openxmlformats.org/officeDocument/2006/relationships/hyperlink" Target="https://pbs.twimg.com/profile_images/645778032838492167/ootRftiU_normal.jpg" TargetMode="External"/><Relationship Id="rId4967" Type="http://schemas.openxmlformats.org/officeDocument/2006/relationships/hyperlink" Target="https://twitter.com/rlndwbr" TargetMode="External"/><Relationship Id="rId17381" Type="http://schemas.openxmlformats.org/officeDocument/2006/relationships/hyperlink" Target="https://twitter.com/JoJagiello/status/723795839253094400" TargetMode="External"/><Relationship Id="rId19830" Type="http://schemas.openxmlformats.org/officeDocument/2006/relationships/hyperlink" Target="https://twitter.com/BaCuadros" TargetMode="External"/><Relationship Id="rId7440" Type="http://schemas.openxmlformats.org/officeDocument/2006/relationships/hyperlink" Target="https://twitter.com/oldcar_photo/status/723303873360867328" TargetMode="External"/><Relationship Id="rId17034" Type="http://schemas.openxmlformats.org/officeDocument/2006/relationships/hyperlink" Target="https://pbs.twimg.com/profile_images/1808210858/Maledives1_normal.jpg" TargetMode="External"/><Relationship Id="rId21777" Type="http://schemas.openxmlformats.org/officeDocument/2006/relationships/hyperlink" Target="https://pbs.twimg.com/profile_images/718820712757215233/LXXndPTS_normal.jpg" TargetMode="External"/><Relationship Id="rId24250" Type="http://schemas.openxmlformats.org/officeDocument/2006/relationships/hyperlink" Target="https://twitter.com/VWCamperSales/status/724340665857888257" TargetMode="External"/><Relationship Id="rId10421" Type="http://schemas.openxmlformats.org/officeDocument/2006/relationships/hyperlink" Target="https://pbs.twimg.com/profile_images/706784695795769345/XGXgdjww_normal.jpg" TargetMode="External"/><Relationship Id="rId13991" Type="http://schemas.openxmlformats.org/officeDocument/2006/relationships/hyperlink" Target="https://twitter.com/ltsMnorita" TargetMode="External"/><Relationship Id="rId13644" Type="http://schemas.openxmlformats.org/officeDocument/2006/relationships/hyperlink" Target="https://pbs.twimg.com/profile_images/641845648430628864/aixuf0mp_normal.jpg" TargetMode="External"/><Relationship Id="rId20860" Type="http://schemas.openxmlformats.org/officeDocument/2006/relationships/hyperlink" Target="https://twitter.com/agussnaavaarro" TargetMode="External"/><Relationship Id="rId3703" Type="http://schemas.openxmlformats.org/officeDocument/2006/relationships/hyperlink" Target="https://twitter.com/nbcbayarea" TargetMode="External"/><Relationship Id="rId11195" Type="http://schemas.openxmlformats.org/officeDocument/2006/relationships/hyperlink" Target="https://pbs.twimg.com/profile_images/618330156940271616/pUMK1tlR_normal.jpg" TargetMode="External"/><Relationship Id="rId16867" Type="http://schemas.openxmlformats.org/officeDocument/2006/relationships/hyperlink" Target="https://twitter.com/AldoCarigiet/status/723743466908475392" TargetMode="External"/><Relationship Id="rId20513" Type="http://schemas.openxmlformats.org/officeDocument/2006/relationships/hyperlink" Target="https://pbs.twimg.com/profile_images/713945344418164738/F20KdC47_normal.jpg" TargetMode="External"/><Relationship Id="rId1254" Type="http://schemas.openxmlformats.org/officeDocument/2006/relationships/hyperlink" Target="https://twitter.com/cmbautomotive/status/723028042784841728" TargetMode="External"/><Relationship Id="rId6926" Type="http://schemas.openxmlformats.org/officeDocument/2006/relationships/hyperlink" Target="https://twitter.com/FAZ_Wirtschaft" TargetMode="External"/><Relationship Id="rId19340" Type="http://schemas.openxmlformats.org/officeDocument/2006/relationships/hyperlink" Target="https://twitter.com/VCT_Tweets/status/723927163750211584" TargetMode="External"/><Relationship Id="rId23736" Type="http://schemas.openxmlformats.org/officeDocument/2006/relationships/hyperlink" Target="https://pbs.twimg.com/profile_images/627949001179037696/skEBkS05_normal.jpg" TargetMode="External"/><Relationship Id="rId4477" Type="http://schemas.openxmlformats.org/officeDocument/2006/relationships/hyperlink" Target="https://twitter.com/SexenioCDMX/status/723181764806512640" TargetMode="External"/><Relationship Id="rId21287" Type="http://schemas.openxmlformats.org/officeDocument/2006/relationships/hyperlink" Target="https://twitter.com/abcdefghmiokxyz" TargetMode="External"/><Relationship Id="rId15950" Type="http://schemas.openxmlformats.org/officeDocument/2006/relationships/hyperlink" Target="https://twitter.com/LimandoElPisoPM/status/723639007876358144" TargetMode="External"/><Relationship Id="rId15603" Type="http://schemas.openxmlformats.org/officeDocument/2006/relationships/hyperlink" Target="https://pbs.twimg.com/profile_images/550908495487594496/BhwnGVzf_normal.jpeg" TargetMode="External"/><Relationship Id="rId3560" Type="http://schemas.openxmlformats.org/officeDocument/2006/relationships/hyperlink" Target="https://twitter.com/CedricGracia/status/723163816964558849" TargetMode="External"/><Relationship Id="rId13154" Type="http://schemas.openxmlformats.org/officeDocument/2006/relationships/hyperlink" Target="https://pbs.twimg.com/profile_images/702511217793863680/lty8h9vE_normal.jpg" TargetMode="External"/><Relationship Id="rId18826" Type="http://schemas.openxmlformats.org/officeDocument/2006/relationships/hyperlink" Target="https://twitter.com/OnlineCarReview/status/723899196940509184" TargetMode="External"/><Relationship Id="rId20370" Type="http://schemas.openxmlformats.org/officeDocument/2006/relationships/hyperlink" Target="https://pbs.twimg.com/profile_images/416951767482380288/0F-CgFbE_normal.jpeg" TargetMode="External"/><Relationship Id="rId3213" Type="http://schemas.openxmlformats.org/officeDocument/2006/relationships/hyperlink" Target="https://pbs.twimg.com/profile_images/722939606061158402/0mK_jA0z_normal.jpg" TargetMode="External"/><Relationship Id="rId6783" Type="http://schemas.openxmlformats.org/officeDocument/2006/relationships/hyperlink" Target="https://pbs.twimg.com/profile_images/652871584131092480/QA_B6SBO_normal.jpg" TargetMode="External"/><Relationship Id="rId16377" Type="http://schemas.openxmlformats.org/officeDocument/2006/relationships/hyperlink" Target="https://pbs.twimg.com/profile_images/530071272881803264/a_jcCmPZ_normal.png" TargetMode="External"/><Relationship Id="rId20023" Type="http://schemas.openxmlformats.org/officeDocument/2006/relationships/hyperlink" Target="https://twitter.com/laulijayz/status/723969707431346176" TargetMode="External"/><Relationship Id="rId23593" Type="http://schemas.openxmlformats.org/officeDocument/2006/relationships/hyperlink" Target="https://twitter.com/Insta_VWT/status/724298429313232896" TargetMode="External"/><Relationship Id="rId6436" Type="http://schemas.openxmlformats.org/officeDocument/2006/relationships/hyperlink" Target="https://twitter.com/Insta_VWT" TargetMode="External"/><Relationship Id="rId23246" Type="http://schemas.openxmlformats.org/officeDocument/2006/relationships/hyperlink" Target="https://twitter.com/CheckeredFlagVW" TargetMode="External"/><Relationship Id="rId9659" Type="http://schemas.openxmlformats.org/officeDocument/2006/relationships/hyperlink" Target="https://pbs.twimg.com/profile_images/627949001179037696/skEBkS05_normal.jpg" TargetMode="External"/><Relationship Id="rId12987" Type="http://schemas.openxmlformats.org/officeDocument/2006/relationships/hyperlink" Target="https://twitter.com/Patentingenieur" TargetMode="External"/><Relationship Id="rId15460" Type="http://schemas.openxmlformats.org/officeDocument/2006/relationships/hyperlink" Target="https://twitter.com/Insta_VWT/status/723608075337265153" TargetMode="External"/><Relationship Id="rId15113" Type="http://schemas.openxmlformats.org/officeDocument/2006/relationships/hyperlink" Target="https://twitter.com/POLITICS_JEDI/status/723594391978385408" TargetMode="External"/><Relationship Id="rId3070" Type="http://schemas.openxmlformats.org/officeDocument/2006/relationships/hyperlink" Target="https://twitter.com/Russ_und_Klima" TargetMode="External"/><Relationship Id="rId18683" Type="http://schemas.openxmlformats.org/officeDocument/2006/relationships/hyperlink" Target="https://twitter.com/Dex_Morgan96" TargetMode="External"/><Relationship Id="rId6293" Type="http://schemas.openxmlformats.org/officeDocument/2006/relationships/hyperlink" Target="https://twitter.com/kakabimbo" TargetMode="External"/><Relationship Id="rId8742" Type="http://schemas.openxmlformats.org/officeDocument/2006/relationships/hyperlink" Target="https://twitter.com/MartinTriker/status/723404304850161664" TargetMode="External"/><Relationship Id="rId11723" Type="http://schemas.openxmlformats.org/officeDocument/2006/relationships/hyperlink" Target="https://twitter.com/NetzwerkggS21/status/723505977098678272" TargetMode="External"/><Relationship Id="rId18336" Type="http://schemas.openxmlformats.org/officeDocument/2006/relationships/hyperlink" Target="https://pbs.twimg.com/profile_images/619148914692784128/10nel41m_normal.jpg" TargetMode="External"/><Relationship Id="rId25552" Type="http://schemas.openxmlformats.org/officeDocument/2006/relationships/hyperlink" Target="https://pbs.twimg.com/profile_images/706220927973879808/hzV98Nkg_normal.jpg" TargetMode="External"/><Relationship Id="rId14946" Type="http://schemas.openxmlformats.org/officeDocument/2006/relationships/hyperlink" Target="https://twitter.com/longshipdriver/status/723587652562333696" TargetMode="External"/><Relationship Id="rId25205" Type="http://schemas.openxmlformats.org/officeDocument/2006/relationships/hyperlink" Target="https://twitter.com/vwpress_en" TargetMode="External"/><Relationship Id="rId12497" Type="http://schemas.openxmlformats.org/officeDocument/2006/relationships/hyperlink" Target="https://twitter.com/ant2014ant/status/723520789388120064" TargetMode="External"/><Relationship Id="rId21815" Type="http://schemas.openxmlformats.org/officeDocument/2006/relationships/hyperlink" Target="https://pbs.twimg.com/profile_images/705780107844067328/e7O4UBNb_normal.jpg" TargetMode="External"/><Relationship Id="rId875" Type="http://schemas.openxmlformats.org/officeDocument/2006/relationships/hyperlink" Target="https://twitter.com/sarahkaiserrr" TargetMode="External"/><Relationship Id="rId2556" Type="http://schemas.openxmlformats.org/officeDocument/2006/relationships/hyperlink" Target="https://twitter.com/AaronShamrock/status/723105338342273025" TargetMode="External"/><Relationship Id="rId9169" Type="http://schemas.openxmlformats.org/officeDocument/2006/relationships/hyperlink" Target="https://twitter.com/MDRINFO/status/723423039476502529" TargetMode="External"/><Relationship Id="rId528" Type="http://schemas.openxmlformats.org/officeDocument/2006/relationships/hyperlink" Target="https://twitter.com/Scoia_B" TargetMode="External"/><Relationship Id="rId2209" Type="http://schemas.openxmlformats.org/officeDocument/2006/relationships/hyperlink" Target="https://pbs.twimg.com/profile_images/702511217793863680/lty8h9vE_normal.jpg" TargetMode="External"/><Relationship Id="rId5779" Type="http://schemas.openxmlformats.org/officeDocument/2006/relationships/hyperlink" Target="https://pbs.twimg.com/profile_images/720567202877980672/VTXiEXaY_normal.jpg" TargetMode="External"/><Relationship Id="rId18193" Type="http://schemas.openxmlformats.org/officeDocument/2006/relationships/hyperlink" Target="https://twitter.com/peterlfoster" TargetMode="External"/><Relationship Id="rId22589" Type="http://schemas.openxmlformats.org/officeDocument/2006/relationships/hyperlink" Target="https://twitter.com/FussballTheke" TargetMode="External"/><Relationship Id="rId8252" Type="http://schemas.openxmlformats.org/officeDocument/2006/relationships/hyperlink" Target="https://pbs.twimg.com/profile_images/1610421423/Image2_normal.jpg" TargetMode="External"/><Relationship Id="rId11580" Type="http://schemas.openxmlformats.org/officeDocument/2006/relationships/hyperlink" Target="https://pbs.twimg.com/profile_images/529226389971427328/R4qUNsga_normal.jpeg" TargetMode="External"/><Relationship Id="rId25062" Type="http://schemas.openxmlformats.org/officeDocument/2006/relationships/hyperlink" Target="https://twitter.com/memlopes/status/724414950861594624" TargetMode="External"/><Relationship Id="rId11233" Type="http://schemas.openxmlformats.org/officeDocument/2006/relationships/hyperlink" Target="https://pbs.twimg.com/profile_images/453883735738310657/v_R7tMWg_normal.jpeg" TargetMode="External"/><Relationship Id="rId16905" Type="http://schemas.openxmlformats.org/officeDocument/2006/relationships/hyperlink" Target="https://pbs.twimg.com/profile_images/723745639977390080/ZJh-wkZu_normal.jpg" TargetMode="External"/><Relationship Id="rId4862" Type="http://schemas.openxmlformats.org/officeDocument/2006/relationships/hyperlink" Target="https://twitter.com/TerryHatfield3/status/723189227962306561" TargetMode="External"/><Relationship Id="rId14456" Type="http://schemas.openxmlformats.org/officeDocument/2006/relationships/hyperlink" Target="https://pbs.twimg.com/profile_images/668091779313500160/ZepxnJcI_normal.jpg" TargetMode="External"/><Relationship Id="rId21672" Type="http://schemas.openxmlformats.org/officeDocument/2006/relationships/hyperlink" Target="https://pbs.twimg.com/profile_images/434788311308054528/SqZ-cQzT_normal.jpeg" TargetMode="External"/><Relationship Id="rId4515" Type="http://schemas.openxmlformats.org/officeDocument/2006/relationships/hyperlink" Target="https://twitter.com/Tonelli22" TargetMode="External"/><Relationship Id="rId14109" Type="http://schemas.openxmlformats.org/officeDocument/2006/relationships/hyperlink" Target="https://twitter.com/OnlineCarReview" TargetMode="External"/><Relationship Id="rId17679" Type="http://schemas.openxmlformats.org/officeDocument/2006/relationships/hyperlink" Target="https://twitter.com/SupermanDan01" TargetMode="External"/><Relationship Id="rId21325" Type="http://schemas.openxmlformats.org/officeDocument/2006/relationships/hyperlink" Target="https://pbs.twimg.com/profile_images/430364935202164736/BE53SBuw_normal.jpeg" TargetMode="External"/><Relationship Id="rId24895" Type="http://schemas.openxmlformats.org/officeDocument/2006/relationships/hyperlink" Target="https://twitter.com/dubbusses/status/724397775564247040" TargetMode="External"/><Relationship Id="rId385" Type="http://schemas.openxmlformats.org/officeDocument/2006/relationships/hyperlink" Target="https://pbs.twimg.com/profile_images/653964889468243968/EqURjf02_normal.png" TargetMode="External"/><Relationship Id="rId2066" Type="http://schemas.openxmlformats.org/officeDocument/2006/relationships/hyperlink" Target="https://twitter.com/brinthusha" TargetMode="External"/><Relationship Id="rId7738" Type="http://schemas.openxmlformats.org/officeDocument/2006/relationships/hyperlink" Target="https://pbs.twimg.com/profile_images/710591486228766720/8dYGKdNm_normal.jpg" TargetMode="External"/><Relationship Id="rId24548" Type="http://schemas.openxmlformats.org/officeDocument/2006/relationships/hyperlink" Target="https://pbs.twimg.com/profile_images/681196623205154817/jNfWQKj__normal.jpg" TargetMode="External"/><Relationship Id="rId5289" Type="http://schemas.openxmlformats.org/officeDocument/2006/relationships/hyperlink" Target="https://twitter.com/mediaadgroup" TargetMode="External"/><Relationship Id="rId10719" Type="http://schemas.openxmlformats.org/officeDocument/2006/relationships/hyperlink" Target="https://twitter.com/marktzimopoulos/status/723481735544078338" TargetMode="External"/><Relationship Id="rId11090" Type="http://schemas.openxmlformats.org/officeDocument/2006/relationships/hyperlink" Target="http://deutschland.de/" TargetMode="External"/><Relationship Id="rId22099" Type="http://schemas.openxmlformats.org/officeDocument/2006/relationships/hyperlink" Target="https://twitter.com/IG_Yuyake_Club/status/724199985273704448" TargetMode="External"/><Relationship Id="rId16762" Type="http://schemas.openxmlformats.org/officeDocument/2006/relationships/hyperlink" Target="https://pbs.twimg.com/profile_images/594267818842988544/ZJUVlxJG_normal.jpg" TargetMode="External"/><Relationship Id="rId1899" Type="http://schemas.openxmlformats.org/officeDocument/2006/relationships/hyperlink" Target="https://pbs.twimg.com/profile_images/717651142327607296/1uRZ3jg3_normal.jpg" TargetMode="External"/><Relationship Id="rId4372" Type="http://schemas.openxmlformats.org/officeDocument/2006/relationships/hyperlink" Target="https://twitter.com/brucenilles" TargetMode="External"/><Relationship Id="rId6821" Type="http://schemas.openxmlformats.org/officeDocument/2006/relationships/hyperlink" Target="https://twitter.com/rahulwraj/status/723262598356078592" TargetMode="External"/><Relationship Id="rId16415" Type="http://schemas.openxmlformats.org/officeDocument/2006/relationships/hyperlink" Target="https://twitter.com/hime__eri/status/723682202228166656" TargetMode="External"/><Relationship Id="rId19985" Type="http://schemas.openxmlformats.org/officeDocument/2006/relationships/hyperlink" Target="https://twitter.com/dubbusses" TargetMode="External"/><Relationship Id="rId21182" Type="http://schemas.openxmlformats.org/officeDocument/2006/relationships/hyperlink" Target="https://twitter.com/m_v_22/status/724120037083107328" TargetMode="External"/><Relationship Id="rId23631" Type="http://schemas.openxmlformats.org/officeDocument/2006/relationships/hyperlink" Target="https://twitter.com/Hexgazauto/status/724300675824410624" TargetMode="External"/><Relationship Id="rId4025" Type="http://schemas.openxmlformats.org/officeDocument/2006/relationships/hyperlink" Target="http://paper.li/" TargetMode="External"/><Relationship Id="rId19638" Type="http://schemas.openxmlformats.org/officeDocument/2006/relationships/hyperlink" Target="https://pbs.twimg.com/profile_images/662690618221555712/8SCotH6T_normal.jpg" TargetMode="External"/><Relationship Id="rId7595" Type="http://schemas.openxmlformats.org/officeDocument/2006/relationships/hyperlink" Target="https://twitter.com/JayPilot87" TargetMode="External"/><Relationship Id="rId10576" Type="http://schemas.openxmlformats.org/officeDocument/2006/relationships/hyperlink" Target="https://twitter.com/tageblatt_lu/status/723477364731207680" TargetMode="External"/><Relationship Id="rId17189" Type="http://schemas.openxmlformats.org/officeDocument/2006/relationships/hyperlink" Target="https://twitter.com/Jakob_Juergen/status/723778070780493825" TargetMode="External"/><Relationship Id="rId7248" Type="http://schemas.openxmlformats.org/officeDocument/2006/relationships/hyperlink" Target="https://twitter.com/sandraelleni/status/723289919087628288" TargetMode="External"/><Relationship Id="rId10229" Type="http://schemas.openxmlformats.org/officeDocument/2006/relationships/hyperlink" Target="https://twitter.com/VCD_Nordost" TargetMode="External"/><Relationship Id="rId13799" Type="http://schemas.openxmlformats.org/officeDocument/2006/relationships/hyperlink" Target="https://pbs.twimg.com/profile_images/556669044300853248/dIL6Pm-3_normal.jpeg" TargetMode="External"/><Relationship Id="rId24058" Type="http://schemas.openxmlformats.org/officeDocument/2006/relationships/hyperlink" Target="https://pbs.twimg.com/profile_images/378800000867203791/cP6lbxsc_normal.jpeg" TargetMode="External"/><Relationship Id="rId3858" Type="http://schemas.openxmlformats.org/officeDocument/2006/relationships/hyperlink" Target="https://twitter.com/Frontal21" TargetMode="External"/><Relationship Id="rId16272" Type="http://schemas.openxmlformats.org/officeDocument/2006/relationships/hyperlink" Target="https://pbs.twimg.com/profile_images/627949001179037696/skEBkS05_normal.jpg" TargetMode="External"/><Relationship Id="rId18721" Type="http://schemas.openxmlformats.org/officeDocument/2006/relationships/hyperlink" Target="https://twitter.com/Nyck_frank" TargetMode="External"/><Relationship Id="rId20668" Type="http://schemas.openxmlformats.org/officeDocument/2006/relationships/hyperlink" Target="https://pbs.twimg.com/profile_images/723311268904480769/gKfy_hcj_normal.jpg" TargetMode="External"/><Relationship Id="rId6331" Type="http://schemas.openxmlformats.org/officeDocument/2006/relationships/hyperlink" Target="https://pbs.twimg.com/profile_images/458901987019333632/7FGKPDVB_normal.png" TargetMode="External"/><Relationship Id="rId23141" Type="http://schemas.openxmlformats.org/officeDocument/2006/relationships/hyperlink" Target="https://pbs.twimg.com/profile_images/693260133237809152/JUVeKYdq_normal.jpg" TargetMode="External"/><Relationship Id="rId12882" Type="http://schemas.openxmlformats.org/officeDocument/2006/relationships/hyperlink" Target="https://twitter.com/VWBeetleSales" TargetMode="External"/><Relationship Id="rId19495" Type="http://schemas.openxmlformats.org/officeDocument/2006/relationships/hyperlink" Target="https://twitter.com/dubbusses" TargetMode="External"/><Relationship Id="rId2941" Type="http://schemas.openxmlformats.org/officeDocument/2006/relationships/hyperlink" Target="https://twitter.com/VolkswagenPost/status/723127393808949248" TargetMode="External"/><Relationship Id="rId9207" Type="http://schemas.openxmlformats.org/officeDocument/2006/relationships/hyperlink" Target="https://twitter.com/ME262P" TargetMode="External"/><Relationship Id="rId9554" Type="http://schemas.openxmlformats.org/officeDocument/2006/relationships/hyperlink" Target="https://twitter.com/carworld_uk" TargetMode="External"/><Relationship Id="rId12535" Type="http://schemas.openxmlformats.org/officeDocument/2006/relationships/hyperlink" Target="https://pbs.twimg.com/profile_images/703294545195307008/qeCvrX86_normal.jpg" TargetMode="External"/><Relationship Id="rId19148" Type="http://schemas.openxmlformats.org/officeDocument/2006/relationships/hyperlink" Target="http://ctrlq.org/maps/address/" TargetMode="External"/><Relationship Id="rId913" Type="http://schemas.openxmlformats.org/officeDocument/2006/relationships/hyperlink" Target="https://pbs.twimg.com/profile_images/721360494548819968/019Dh54Q_normal.jpg" TargetMode="External"/><Relationship Id="rId10086" Type="http://schemas.openxmlformats.org/officeDocument/2006/relationships/hyperlink" Target="https://pbs.twimg.com/profile_images/649519091892531200/gFXmbSPM_normal.jpg" TargetMode="External"/><Relationship Id="rId15758" Type="http://schemas.openxmlformats.org/officeDocument/2006/relationships/hyperlink" Target="https://twitter.com/TeutonicReign/status/723623125661945857" TargetMode="External"/><Relationship Id="rId22974" Type="http://schemas.openxmlformats.org/officeDocument/2006/relationships/hyperlink" Target="https://pbs.twimg.com/profile_images/647121901115047937/0qUdbU3T_normal.jpg" TargetMode="External"/><Relationship Id="rId5817" Type="http://schemas.openxmlformats.org/officeDocument/2006/relationships/hyperlink" Target="https://twitter.com/SMWA_SN" TargetMode="External"/><Relationship Id="rId18231" Type="http://schemas.openxmlformats.org/officeDocument/2006/relationships/hyperlink" Target="https://twitter.com/Onlydriving1/status/723852369600106496" TargetMode="External"/><Relationship Id="rId22627" Type="http://schemas.openxmlformats.org/officeDocument/2006/relationships/hyperlink" Target="https://twitter.com/singhvaibhav361/status/724235427264122882" TargetMode="External"/><Relationship Id="rId3368" Type="http://schemas.openxmlformats.org/officeDocument/2006/relationships/hyperlink" Target="https://twitter.com/visit_dresden" TargetMode="External"/><Relationship Id="rId20178" Type="http://schemas.openxmlformats.org/officeDocument/2006/relationships/hyperlink" Target="https://pbs.twimg.com/profile_images/711929912421171201/7A3MicSM_normal.jpg" TargetMode="External"/><Relationship Id="rId25100" Type="http://schemas.openxmlformats.org/officeDocument/2006/relationships/hyperlink" Target="https://pbs.twimg.com/profile_images/1097159230/logo_normal.jpg" TargetMode="External"/><Relationship Id="rId12392" Type="http://schemas.openxmlformats.org/officeDocument/2006/relationships/hyperlink" Target="https://pbs.twimg.com/profile_images/706784695795769345/XGXgdjww_normal.jpg" TargetMode="External"/><Relationship Id="rId14841" Type="http://schemas.openxmlformats.org/officeDocument/2006/relationships/hyperlink" Target="https://twitter.com/Way_Cool_/status/723584727630925824" TargetMode="External"/><Relationship Id="rId770" Type="http://schemas.openxmlformats.org/officeDocument/2006/relationships/hyperlink" Target="https://twitter.com/beetlebug1938" TargetMode="External"/><Relationship Id="rId2451" Type="http://schemas.openxmlformats.org/officeDocument/2006/relationships/hyperlink" Target="https://pbs.twimg.com/profile_images/718820712757215233/LXXndPTS_normal.jpg" TargetMode="External"/><Relationship Id="rId4900" Type="http://schemas.openxmlformats.org/officeDocument/2006/relationships/hyperlink" Target="https://twitter.com/Catinformacio/status/723189700660322304" TargetMode="External"/><Relationship Id="rId9064" Type="http://schemas.openxmlformats.org/officeDocument/2006/relationships/hyperlink" Target="https://twitter.com/hugobassey" TargetMode="External"/><Relationship Id="rId12045" Type="http://schemas.openxmlformats.org/officeDocument/2006/relationships/hyperlink" Target="http://fazfinance.net/" TargetMode="External"/><Relationship Id="rId21710" Type="http://schemas.openxmlformats.org/officeDocument/2006/relationships/hyperlink" Target="https://twitter.com/DelfinaMolinaF" TargetMode="External"/><Relationship Id="rId423" Type="http://schemas.openxmlformats.org/officeDocument/2006/relationships/hyperlink" Target="https://twitter.com/radioweapon/status/722957426153005056" TargetMode="External"/><Relationship Id="rId2104" Type="http://schemas.openxmlformats.org/officeDocument/2006/relationships/hyperlink" Target="https://twitter.com/ADAC" TargetMode="External"/><Relationship Id="rId17717" Type="http://schemas.openxmlformats.org/officeDocument/2006/relationships/hyperlink" Target="https://pbs.twimg.com/profile_images/714918565263118336/WWTsR5W__normal.jpg" TargetMode="External"/><Relationship Id="rId24933" Type="http://schemas.openxmlformats.org/officeDocument/2006/relationships/hyperlink" Target="http://dlvr.it/" TargetMode="External"/><Relationship Id="rId5674" Type="http://schemas.openxmlformats.org/officeDocument/2006/relationships/hyperlink" Target="http://dlvr.it/" TargetMode="External"/><Relationship Id="rId15268" Type="http://schemas.openxmlformats.org/officeDocument/2006/relationships/hyperlink" Target="https://twitter.com/bjjarenaSA" TargetMode="External"/><Relationship Id="rId22484" Type="http://schemas.openxmlformats.org/officeDocument/2006/relationships/hyperlink" Target="https://pbs.twimg.com/profile_images/711669875094192130/rEQzJ6iw_normal.jpg" TargetMode="External"/><Relationship Id="rId5327" Type="http://schemas.openxmlformats.org/officeDocument/2006/relationships/hyperlink" Target="https://pbs.twimg.com/profile_images/1913087124/AvW_website_normal.jpg" TargetMode="External"/><Relationship Id="rId8897" Type="http://schemas.openxmlformats.org/officeDocument/2006/relationships/hyperlink" Target="https://twitter.com/bvdvliet" TargetMode="External"/><Relationship Id="rId11878" Type="http://schemas.openxmlformats.org/officeDocument/2006/relationships/hyperlink" Target="https://pbs.twimg.com/profile_images/666595220910383104/PJlZl0mh_normal.jpg" TargetMode="External"/><Relationship Id="rId22137" Type="http://schemas.openxmlformats.org/officeDocument/2006/relationships/hyperlink" Target="https://twitter.com/dazvw/status/724202739568357377" TargetMode="External"/><Relationship Id="rId1937" Type="http://schemas.openxmlformats.org/officeDocument/2006/relationships/hyperlink" Target="https://twitter.com/FAZ_Finance" TargetMode="External"/><Relationship Id="rId14351" Type="http://schemas.openxmlformats.org/officeDocument/2006/relationships/hyperlink" Target="https://twitter.com/InteressantesIG" TargetMode="External"/><Relationship Id="rId16800" Type="http://schemas.openxmlformats.org/officeDocument/2006/relationships/hyperlink" Target="https://twitter.com/bodo1962" TargetMode="External"/><Relationship Id="rId4410" Type="http://schemas.openxmlformats.org/officeDocument/2006/relationships/hyperlink" Target="http://t.co/5fD1A6RwFj" TargetMode="External"/><Relationship Id="rId14004" Type="http://schemas.openxmlformats.org/officeDocument/2006/relationships/hyperlink" Target="https://twitter.com/ASAPAutoSales23/status/723561051074207744" TargetMode="External"/><Relationship Id="rId21220" Type="http://schemas.openxmlformats.org/officeDocument/2006/relationships/hyperlink" Target="https://twitter.com/Low_Performer" TargetMode="External"/><Relationship Id="rId280" Type="http://schemas.openxmlformats.org/officeDocument/2006/relationships/hyperlink" Target="https://twitter.com/VolkswagenPost" TargetMode="External"/><Relationship Id="rId7980" Type="http://schemas.openxmlformats.org/officeDocument/2006/relationships/hyperlink" Target="https://abs.twimg.com/sticky/default_profile_images/default_profile_0_normal.png" TargetMode="External"/><Relationship Id="rId10961" Type="http://schemas.openxmlformats.org/officeDocument/2006/relationships/hyperlink" Target="https://pbs.twimg.com/profile_images/723218593823891456/LolKqq8k_normal.jpg" TargetMode="External"/><Relationship Id="rId17574" Type="http://schemas.openxmlformats.org/officeDocument/2006/relationships/hyperlink" Target="https://pbs.twimg.com/profile_images/627949001179037696/skEBkS05_normal.jpg" TargetMode="External"/><Relationship Id="rId24790" Type="http://schemas.openxmlformats.org/officeDocument/2006/relationships/hyperlink" Target="https://twitter.com/Blissalonia/status/724387822526828544" TargetMode="External"/><Relationship Id="rId5184" Type="http://schemas.openxmlformats.org/officeDocument/2006/relationships/hyperlink" Target="https://twitter.com/dapper013" TargetMode="External"/><Relationship Id="rId7633" Type="http://schemas.openxmlformats.org/officeDocument/2006/relationships/hyperlink" Target="https://twitter.com/motorgiga/status/723317834961420289" TargetMode="External"/><Relationship Id="rId10614" Type="http://schemas.openxmlformats.org/officeDocument/2006/relationships/hyperlink" Target="https://twitter.com/Marchfelderin" TargetMode="External"/><Relationship Id="rId17227" Type="http://schemas.openxmlformats.org/officeDocument/2006/relationships/hyperlink" Target="https://pbs.twimg.com/profile_images/612919811543330816/-VdcKGWw_normal.jpg" TargetMode="External"/><Relationship Id="rId24443" Type="http://schemas.openxmlformats.org/officeDocument/2006/relationships/hyperlink" Target="https://pbs.twimg.com/profile_images/1610421423/Image2_normal.jpg" TargetMode="External"/><Relationship Id="rId13837" Type="http://schemas.openxmlformats.org/officeDocument/2006/relationships/hyperlink" Target="https://twitter.com/HansTheGerman/status/723557253232648193" TargetMode="External"/><Relationship Id="rId1794" Type="http://schemas.openxmlformats.org/officeDocument/2006/relationships/hyperlink" Target="https://pbs.twimg.com/profile_images/702423578608852994/zVbR9TA1_normal.jpg" TargetMode="External"/><Relationship Id="rId11388" Type="http://schemas.openxmlformats.org/officeDocument/2006/relationships/hyperlink" Target="https://pbs.twimg.com/profile_images/1250773130/sko_normal.JPG" TargetMode="External"/><Relationship Id="rId16310" Type="http://schemas.openxmlformats.org/officeDocument/2006/relationships/hyperlink" Target="https://twitter.com/isazozoaga/status/723667932346114050" TargetMode="External"/><Relationship Id="rId19880" Type="http://schemas.openxmlformats.org/officeDocument/2006/relationships/hyperlink" Target="https://twitter.com/JoMoWRC/status/723962465504116736" TargetMode="External"/><Relationship Id="rId20706" Type="http://schemas.openxmlformats.org/officeDocument/2006/relationships/hyperlink" Target="https://twitter.com/waleoshifowora/status/724030139366006784" TargetMode="External"/><Relationship Id="rId1447" Type="http://schemas.openxmlformats.org/officeDocument/2006/relationships/hyperlink" Target="https://pbs.twimg.com/profile_images/721905387130105858/l1HV6rxa_normal.jpg" TargetMode="External"/><Relationship Id="rId19533" Type="http://schemas.openxmlformats.org/officeDocument/2006/relationships/hyperlink" Target="https://twitter.com/diesellibrarian/status/723939057516965891" TargetMode="External"/><Relationship Id="rId7490" Type="http://schemas.openxmlformats.org/officeDocument/2006/relationships/hyperlink" Target="https://pbs.twimg.com/profile_images/627949001179037696/skEBkS05_normal.jpg" TargetMode="External"/><Relationship Id="rId12920" Type="http://schemas.openxmlformats.org/officeDocument/2006/relationships/hyperlink" Target="https://pbs.twimg.com/profile_images/705587805116833794/e8ULE3CK_normal.jpg" TargetMode="External"/><Relationship Id="rId17084" Type="http://schemas.openxmlformats.org/officeDocument/2006/relationships/hyperlink" Target="https://twitter.com/autoblazmotor/status/723769201148735488" TargetMode="External"/><Relationship Id="rId23929" Type="http://schemas.openxmlformats.org/officeDocument/2006/relationships/hyperlink" Target="https://pbs.twimg.com/profile_images/718820712757215233/LXXndPTS_normal.jpg" TargetMode="External"/><Relationship Id="rId7143" Type="http://schemas.openxmlformats.org/officeDocument/2006/relationships/hyperlink" Target="https://twitter.com/danemiomar" TargetMode="External"/><Relationship Id="rId10124" Type="http://schemas.openxmlformats.org/officeDocument/2006/relationships/hyperlink" Target="https://twitter.com/oe1journale/status/723463548639272960" TargetMode="External"/><Relationship Id="rId10471" Type="http://schemas.openxmlformats.org/officeDocument/2006/relationships/hyperlink" Target="https://pbs.twimg.com/profile_images/378800000450313296/f85f6bc6a24b110d5677a432857ca2ff_normal.jpeg" TargetMode="External"/><Relationship Id="rId13694" Type="http://schemas.openxmlformats.org/officeDocument/2006/relationships/hyperlink" Target="https://twitter.com/Harremanz/status/723553324600033280" TargetMode="External"/><Relationship Id="rId3753" Type="http://schemas.openxmlformats.org/officeDocument/2006/relationships/hyperlink" Target="https://twitter.com/aktuelle_stunde/status/723168791677411328" TargetMode="External"/><Relationship Id="rId13347" Type="http://schemas.openxmlformats.org/officeDocument/2006/relationships/hyperlink" Target="https://twitter.com/oscar_elchara1/status/723544428854398976" TargetMode="External"/><Relationship Id="rId20563" Type="http://schemas.openxmlformats.org/officeDocument/2006/relationships/hyperlink" Target="https://pbs.twimg.com/profile_images/624839694933581824/2o5BuK1c_normal.jpg" TargetMode="External"/><Relationship Id="rId3406" Type="http://schemas.openxmlformats.org/officeDocument/2006/relationships/hyperlink" Target="https://pbs.twimg.com/profile_images/693277089785577473/8EuV76Ni_normal.png" TargetMode="External"/><Relationship Id="rId6976" Type="http://schemas.openxmlformats.org/officeDocument/2006/relationships/hyperlink" Target="https://twitter.com/JackieLeonard01/status/723273096845729793" TargetMode="External"/><Relationship Id="rId19390" Type="http://schemas.openxmlformats.org/officeDocument/2006/relationships/hyperlink" Target="https://twitter.com/FuscaWorld/status/723929196419026944" TargetMode="External"/><Relationship Id="rId20216" Type="http://schemas.openxmlformats.org/officeDocument/2006/relationships/hyperlink" Target="https://twitter.com/tatymontespr/status/723981927833726976" TargetMode="External"/><Relationship Id="rId23786" Type="http://schemas.openxmlformats.org/officeDocument/2006/relationships/hyperlink" Target="https://twitter.com/VeeDubMk1_" TargetMode="External"/><Relationship Id="rId6629" Type="http://schemas.openxmlformats.org/officeDocument/2006/relationships/hyperlink" Target="https://twitter.com/acklaw" TargetMode="External"/><Relationship Id="rId12430" Type="http://schemas.openxmlformats.org/officeDocument/2006/relationships/hyperlink" Target="https://twitter.com/ElderSpook" TargetMode="External"/><Relationship Id="rId19043" Type="http://schemas.openxmlformats.org/officeDocument/2006/relationships/hyperlink" Target="https://twitter.com/dejbanlaw" TargetMode="External"/><Relationship Id="rId23439" Type="http://schemas.openxmlformats.org/officeDocument/2006/relationships/hyperlink" Target="https://twitter.com/Adamnoble81/status/724288822499008513" TargetMode="External"/><Relationship Id="rId9102" Type="http://schemas.openxmlformats.org/officeDocument/2006/relationships/hyperlink" Target="https://pbs.twimg.com/profile_images/378800000756387886/c547a918bcad5d95a42507361c94d2fa_normal.png" TargetMode="External"/><Relationship Id="rId15653" Type="http://schemas.openxmlformats.org/officeDocument/2006/relationships/hyperlink" Target="https://twitter.com/businessblogged" TargetMode="External"/><Relationship Id="rId3263" Type="http://schemas.openxmlformats.org/officeDocument/2006/relationships/hyperlink" Target="https://twitter.com/mairaargaras" TargetMode="External"/><Relationship Id="rId5712" Type="http://schemas.openxmlformats.org/officeDocument/2006/relationships/hyperlink" Target="https://twitter.com/OnlineCarReview/status/723214148151074817" TargetMode="External"/><Relationship Id="rId15306" Type="http://schemas.openxmlformats.org/officeDocument/2006/relationships/hyperlink" Target="https://pbs.twimg.com/profile_images/718820712757215233/LXXndPTS_normal.jpg" TargetMode="External"/><Relationship Id="rId18876" Type="http://schemas.openxmlformats.org/officeDocument/2006/relationships/hyperlink" Target="https://pbs.twimg.com/profile_images/654907317943668737/YsHV2Z3n_normal.jpg" TargetMode="External"/><Relationship Id="rId20073" Type="http://schemas.openxmlformats.org/officeDocument/2006/relationships/hyperlink" Target="https://twitter.com/Harkonen2/status/723974168002342914" TargetMode="External"/><Relationship Id="rId22522" Type="http://schemas.openxmlformats.org/officeDocument/2006/relationships/hyperlink" Target="http://dlvr.it/" TargetMode="External"/><Relationship Id="rId8935" Type="http://schemas.openxmlformats.org/officeDocument/2006/relationships/hyperlink" Target="https://pbs.twimg.com/profile_images/703329620259688448/RfdFkFzI_normal.jpg" TargetMode="External"/><Relationship Id="rId11916" Type="http://schemas.openxmlformats.org/officeDocument/2006/relationships/hyperlink" Target="https://twitter.com/thomasHuskamp/status/723510006046461952" TargetMode="External"/><Relationship Id="rId18529" Type="http://schemas.openxmlformats.org/officeDocument/2006/relationships/hyperlink" Target="http://dlvr.it/" TargetMode="External"/><Relationship Id="rId25745" Type="http://schemas.openxmlformats.org/officeDocument/2006/relationships/hyperlink" Target="https://pbs.twimg.com/profile_images/706903756676276224/pQh_XehM_normal.jpg" TargetMode="External"/><Relationship Id="rId6139" Type="http://schemas.openxmlformats.org/officeDocument/2006/relationships/hyperlink" Target="https://pbs.twimg.com/profile_images/721254513668190208/kmSuQ9oX_normal.jpg" TargetMode="External"/><Relationship Id="rId6486" Type="http://schemas.openxmlformats.org/officeDocument/2006/relationships/hyperlink" Target="https://twitter.com/heutejournal" TargetMode="External"/><Relationship Id="rId23296" Type="http://schemas.openxmlformats.org/officeDocument/2006/relationships/hyperlink" Target="https://twitter.com/oldcar_photo" TargetMode="External"/><Relationship Id="rId17612" Type="http://schemas.openxmlformats.org/officeDocument/2006/relationships/hyperlink" Target="https://twitter.com/miiloomultipass/status/723809838812172288" TargetMode="External"/><Relationship Id="rId2749" Type="http://schemas.openxmlformats.org/officeDocument/2006/relationships/hyperlink" Target="https://twitter.com/yog2uk" TargetMode="External"/><Relationship Id="rId15163" Type="http://schemas.openxmlformats.org/officeDocument/2006/relationships/hyperlink" Target="https://twitter.com/VolkswagenPost" TargetMode="External"/><Relationship Id="rId5222" Type="http://schemas.openxmlformats.org/officeDocument/2006/relationships/hyperlink" Target="http://dealercoupons.ca/" TargetMode="External"/><Relationship Id="rId8792" Type="http://schemas.openxmlformats.org/officeDocument/2006/relationships/hyperlink" Target="https://twitter.com/TGotmar" TargetMode="External"/><Relationship Id="rId18386" Type="http://schemas.openxmlformats.org/officeDocument/2006/relationships/hyperlink" Target="https://twitter.com/VeeDubMk1_" TargetMode="External"/><Relationship Id="rId22032" Type="http://schemas.openxmlformats.org/officeDocument/2006/relationships/hyperlink" Target="https://twitter.com/VWCamperSales" TargetMode="External"/><Relationship Id="rId8445" Type="http://schemas.openxmlformats.org/officeDocument/2006/relationships/hyperlink" Target="https://twitter.com/chpmt/status/723388567100088320" TargetMode="External"/><Relationship Id="rId11773" Type="http://schemas.openxmlformats.org/officeDocument/2006/relationships/hyperlink" Target="https://pbs.twimg.com/profile_images/718763389472911360/SuBCVaEu_normal.jpg" TargetMode="External"/><Relationship Id="rId18039" Type="http://schemas.openxmlformats.org/officeDocument/2006/relationships/hyperlink" Target="https://twitter.com/FuscaWorld/status/723843385434488832" TargetMode="External"/><Relationship Id="rId25255" Type="http://schemas.openxmlformats.org/officeDocument/2006/relationships/hyperlink" Target="https://twitter.com/WestCoastAuto16" TargetMode="External"/><Relationship Id="rId1832" Type="http://schemas.openxmlformats.org/officeDocument/2006/relationships/hyperlink" Target="https://twitter.com/gertschulze/status/723061428287115264" TargetMode="External"/><Relationship Id="rId11426" Type="http://schemas.openxmlformats.org/officeDocument/2006/relationships/hyperlink" Target="https://twitter.com/LupusLotarius/status/723502034746380288" TargetMode="External"/><Relationship Id="rId14996" Type="http://schemas.openxmlformats.org/officeDocument/2006/relationships/hyperlink" Target="https://twitter.com/Logistique01/status/723589037450129408" TargetMode="External"/><Relationship Id="rId14649" Type="http://schemas.openxmlformats.org/officeDocument/2006/relationships/hyperlink" Target="https://twitter.com/Stony_BS" TargetMode="External"/><Relationship Id="rId21865" Type="http://schemas.openxmlformats.org/officeDocument/2006/relationships/hyperlink" Target="https://pbs.twimg.com/profile_images/660172992136224768/kyd2qeq6_normal.jpg" TargetMode="External"/><Relationship Id="rId4708" Type="http://schemas.openxmlformats.org/officeDocument/2006/relationships/hyperlink" Target="https://twitter.com/CarNotaFridge/status/723185894253989888" TargetMode="External"/><Relationship Id="rId17122" Type="http://schemas.openxmlformats.org/officeDocument/2006/relationships/hyperlink" Target="https://pbs.twimg.com/profile_images/378800000697620600/f8e7249e5c51121bbf503fd7cc4d5ab6_normal.jpeg" TargetMode="External"/><Relationship Id="rId21518" Type="http://schemas.openxmlformats.org/officeDocument/2006/relationships/hyperlink" Target="https://twitter.com/_princesinha_15/status/724154888746340352" TargetMode="External"/><Relationship Id="rId578" Type="http://schemas.openxmlformats.org/officeDocument/2006/relationships/hyperlink" Target="https://pbs.twimg.com/profile_images/575849222290870273/cidU1uD3_normal.jpeg" TargetMode="External"/><Relationship Id="rId2259" Type="http://schemas.openxmlformats.org/officeDocument/2006/relationships/hyperlink" Target="https://twitter.com/MeinAuto" TargetMode="External"/><Relationship Id="rId11283" Type="http://schemas.openxmlformats.org/officeDocument/2006/relationships/hyperlink" Target="https://twitter.com/c_garrels/status/723500262804054016" TargetMode="External"/><Relationship Id="rId13732" Type="http://schemas.openxmlformats.org/officeDocument/2006/relationships/hyperlink" Target="https://twitter.com/19Dolphin39" TargetMode="External"/><Relationship Id="rId1342" Type="http://schemas.openxmlformats.org/officeDocument/2006/relationships/hyperlink" Target="https://twitter.com/StZ_NEWS" TargetMode="External"/><Relationship Id="rId16955" Type="http://schemas.openxmlformats.org/officeDocument/2006/relationships/hyperlink" Target="https://twitter.com/tooppermann/status/723757125802008576" TargetMode="External"/><Relationship Id="rId20601" Type="http://schemas.openxmlformats.org/officeDocument/2006/relationships/hyperlink" Target="https://pbs.twimg.com/profile_images/718835727027580928/1ssyQ67y_normal.jpg" TargetMode="External"/><Relationship Id="rId16608" Type="http://schemas.openxmlformats.org/officeDocument/2006/relationships/hyperlink" Target="https://pbs.twimg.com/profile_images/722930747762458624/zQs5yuFJ_normal.jpg" TargetMode="External"/><Relationship Id="rId23824" Type="http://schemas.openxmlformats.org/officeDocument/2006/relationships/hyperlink" Target="https://pbs.twimg.com/profile_images/2769239639/8dc6d3b0d2aafd6b43885eb66c0340a5_normal.jpeg" TargetMode="External"/><Relationship Id="rId4565" Type="http://schemas.openxmlformats.org/officeDocument/2006/relationships/hyperlink" Target="https://pbs.twimg.com/profile_images/722256787009859584/vkuTNBGF_normal.jpg" TargetMode="External"/><Relationship Id="rId14159" Type="http://schemas.openxmlformats.org/officeDocument/2006/relationships/hyperlink" Target="https://pbs.twimg.com/profile_images/541564836874682368/zHw_HUdl_normal.jpeg" TargetMode="External"/><Relationship Id="rId21375" Type="http://schemas.openxmlformats.org/officeDocument/2006/relationships/hyperlink" Target="https://twitter.com/VolkswagenPost/status/724144579499446273" TargetMode="External"/><Relationship Id="rId4218" Type="http://schemas.openxmlformats.org/officeDocument/2006/relationships/hyperlink" Target="https://twitter.com/MarcusCJung/status/723178084564918272" TargetMode="External"/><Relationship Id="rId7788" Type="http://schemas.openxmlformats.org/officeDocument/2006/relationships/hyperlink" Target="https://twitter.com/Ivo_newells" TargetMode="External"/><Relationship Id="rId10769" Type="http://schemas.openxmlformats.org/officeDocument/2006/relationships/hyperlink" Target="https://twitter.com/CayleThompson" TargetMode="External"/><Relationship Id="rId21028" Type="http://schemas.openxmlformats.org/officeDocument/2006/relationships/hyperlink" Target="https://twitter.com/Matiasparra97" TargetMode="External"/><Relationship Id="rId24598" Type="http://schemas.openxmlformats.org/officeDocument/2006/relationships/hyperlink" Target="https://twitter.com/maustal/status/724375038602797062" TargetMode="External"/><Relationship Id="rId13242" Type="http://schemas.openxmlformats.org/officeDocument/2006/relationships/hyperlink" Target="https://twitter.com/NetzwerkggS21" TargetMode="External"/><Relationship Id="rId3301" Type="http://schemas.openxmlformats.org/officeDocument/2006/relationships/hyperlink" Target="https://twitter.com/CarjojoCorp/status/723150440645427201" TargetMode="External"/><Relationship Id="rId6871" Type="http://schemas.openxmlformats.org/officeDocument/2006/relationships/hyperlink" Target="https://twitter.com/mk1GolfForSale/status/723265085884366848" TargetMode="External"/><Relationship Id="rId16465" Type="http://schemas.openxmlformats.org/officeDocument/2006/relationships/hyperlink" Target="https://pbs.twimg.com/profile_images/705780107844067328/e7O4UBNb_normal.jpg" TargetMode="External"/><Relationship Id="rId18914" Type="http://schemas.openxmlformats.org/officeDocument/2006/relationships/hyperlink" Target="https://pbs.twimg.com/profile_images/625601731204915200/oAMR0Cpo_normal.jpg" TargetMode="External"/><Relationship Id="rId20111" Type="http://schemas.openxmlformats.org/officeDocument/2006/relationships/hyperlink" Target="https://pbs.twimg.com/profile_images/705279619977469952/983oprAu_normal.jpg" TargetMode="External"/><Relationship Id="rId23681" Type="http://schemas.openxmlformats.org/officeDocument/2006/relationships/hyperlink" Target="https://twitter.com/daniel_beye" TargetMode="External"/><Relationship Id="rId6524" Type="http://schemas.openxmlformats.org/officeDocument/2006/relationships/hyperlink" Target="https://pbs.twimg.com/profile_images/712334466585333760/rN4Fnyef_normal.jpg" TargetMode="External"/><Relationship Id="rId16118" Type="http://schemas.openxmlformats.org/officeDocument/2006/relationships/hyperlink" Target="https://pbs.twimg.com/profile_images/530071272881803264/a_jcCmPZ_normal.png" TargetMode="External"/><Relationship Id="rId23334" Type="http://schemas.openxmlformats.org/officeDocument/2006/relationships/hyperlink" Target="https://pbs.twimg.com/profile_images/566251827340279808/an78GGmh_normal.jpeg" TargetMode="External"/><Relationship Id="rId4075" Type="http://schemas.openxmlformats.org/officeDocument/2006/relationships/hyperlink" Target="https://twitter.com/NikiTurleyBH" TargetMode="External"/><Relationship Id="rId19688" Type="http://schemas.openxmlformats.org/officeDocument/2006/relationships/hyperlink" Target="https://twitter.com/VolkswagenPost/status/723947775004549120" TargetMode="External"/><Relationship Id="rId7298" Type="http://schemas.openxmlformats.org/officeDocument/2006/relationships/hyperlink" Target="https://twitter.com/desfilando_bajo" TargetMode="External"/><Relationship Id="rId9747" Type="http://schemas.openxmlformats.org/officeDocument/2006/relationships/hyperlink" Target="https://pbs.twimg.com/profile_images/2323790201/ctdn7vtih30fwf5dcx8z_normal.jpeg" TargetMode="External"/><Relationship Id="rId12728" Type="http://schemas.openxmlformats.org/officeDocument/2006/relationships/hyperlink" Target="https://pbs.twimg.com/profile_images/663000824222785536/5NaF4ZUY_normal.jpg" TargetMode="External"/><Relationship Id="rId10279" Type="http://schemas.openxmlformats.org/officeDocument/2006/relationships/hyperlink" Target="https://abs.twimg.com/sticky/default_profile_images/default_profile_2_normal.png" TargetMode="External"/><Relationship Id="rId15201" Type="http://schemas.openxmlformats.org/officeDocument/2006/relationships/hyperlink" Target="https://twitter.com/GeologyColin" TargetMode="External"/><Relationship Id="rId18771" Type="http://schemas.openxmlformats.org/officeDocument/2006/relationships/hyperlink" Target="https://pbs.twimg.com/profile_images/459344691729661953/ivwQqiW6_normal.jpeg" TargetMode="External"/><Relationship Id="rId8830" Type="http://schemas.openxmlformats.org/officeDocument/2006/relationships/hyperlink" Target="https://pbs.twimg.com/profile_images/438619338942062592/OBEQvg6R_normal.jpeg" TargetMode="External"/><Relationship Id="rId18424" Type="http://schemas.openxmlformats.org/officeDocument/2006/relationships/hyperlink" Target="https://twitter.com/eRplusP" TargetMode="External"/><Relationship Id="rId25640" Type="http://schemas.openxmlformats.org/officeDocument/2006/relationships/hyperlink" Target="https://pbs.twimg.com/profile_images/722873847901368322/RNCtrBPj_normal.jpg" TargetMode="External"/><Relationship Id="rId6381" Type="http://schemas.openxmlformats.org/officeDocument/2006/relationships/hyperlink" Target="https://twitter.com/VWBeetleSales/status/723241433210068992" TargetMode="External"/><Relationship Id="rId11811" Type="http://schemas.openxmlformats.org/officeDocument/2006/relationships/hyperlink" Target="https://pbs.twimg.com/profile_images/627949001179037696/skEBkS05_normal.jpg" TargetMode="External"/><Relationship Id="rId23191" Type="http://schemas.openxmlformats.org/officeDocument/2006/relationships/hyperlink" Target="https://twitter.com/VWBeetleSales" TargetMode="External"/><Relationship Id="rId6034" Type="http://schemas.openxmlformats.org/officeDocument/2006/relationships/hyperlink" Target="https://twitter.com/rharrisonfries/status/723228083529105408" TargetMode="External"/><Relationship Id="rId19198" Type="http://schemas.openxmlformats.org/officeDocument/2006/relationships/hyperlink" Target="https://twitter.com/OnlyCarrera" TargetMode="External"/><Relationship Id="rId2991" Type="http://schemas.openxmlformats.org/officeDocument/2006/relationships/hyperlink" Target="https://twitter.com/VWCamperSales" TargetMode="External"/><Relationship Id="rId9257" Type="http://schemas.openxmlformats.org/officeDocument/2006/relationships/hyperlink" Target="https://pbs.twimg.com/profile_images/719437056619978752/TQFA0u7S_normal.jpg" TargetMode="External"/><Relationship Id="rId12585" Type="http://schemas.openxmlformats.org/officeDocument/2006/relationships/hyperlink" Target="https://twitter.com/MargaretFranci" TargetMode="External"/><Relationship Id="rId21903" Type="http://schemas.openxmlformats.org/officeDocument/2006/relationships/hyperlink" Target="https://pbs.twimg.com/profile_images/2646835465/aa5823578b01b04b7e91d58e8ca88691_normal.jpeg" TargetMode="External"/><Relationship Id="rId963" Type="http://schemas.openxmlformats.org/officeDocument/2006/relationships/hyperlink" Target="https://twitter.com/Lucas_esquiivel/status/723006647891841024" TargetMode="External"/><Relationship Id="rId2644" Type="http://schemas.openxmlformats.org/officeDocument/2006/relationships/hyperlink" Target="https://twitter.com/Prinze484/status/723111871566348288" TargetMode="External"/><Relationship Id="rId12238" Type="http://schemas.openxmlformats.org/officeDocument/2006/relationships/hyperlink" Target="https://pbs.twimg.com/profile_images/699630686404214785/Yv79eCNk_normal.jpg" TargetMode="External"/><Relationship Id="rId616" Type="http://schemas.openxmlformats.org/officeDocument/2006/relationships/hyperlink" Target="https://twitter.com/De4nShabs/status/722967352283942912" TargetMode="External"/><Relationship Id="rId5867" Type="http://schemas.openxmlformats.org/officeDocument/2006/relationships/hyperlink" Target="https://pbs.twimg.com/profile_images/1610421423/Image2_normal.jpg" TargetMode="External"/><Relationship Id="rId18281" Type="http://schemas.openxmlformats.org/officeDocument/2006/relationships/hyperlink" Target="https://twitter.com/vwpress_de/status/723859340210372608" TargetMode="External"/><Relationship Id="rId22677" Type="http://schemas.openxmlformats.org/officeDocument/2006/relationships/hyperlink" Target="https://pbs.twimg.com/profile_images/718820712757215233/LXXndPTS_normal.jpg" TargetMode="External"/><Relationship Id="rId8340" Type="http://schemas.openxmlformats.org/officeDocument/2006/relationships/hyperlink" Target="https://pbs.twimg.com/profile_images/506526749669093376/KljjxBrL_normal.jpeg" TargetMode="External"/><Relationship Id="rId11321" Type="http://schemas.openxmlformats.org/officeDocument/2006/relationships/hyperlink" Target="https://pbs.twimg.com/profile_images/1419994733/4E0E0FFE-C113-45F7-9CDB-8901DE8B7F4F_normal" TargetMode="External"/><Relationship Id="rId14891" Type="http://schemas.openxmlformats.org/officeDocument/2006/relationships/hyperlink" Target="https://pbs.twimg.com/profile_images/701108111709495296/L5YkkOqj_normal.png" TargetMode="External"/><Relationship Id="rId25150" Type="http://schemas.openxmlformats.org/officeDocument/2006/relationships/hyperlink" Target="https://twitter.com/cxc4155" TargetMode="External"/><Relationship Id="rId4950" Type="http://schemas.openxmlformats.org/officeDocument/2006/relationships/hyperlink" Target="https://twitter.com/_lLoveTini/status/723190962697179136" TargetMode="External"/><Relationship Id="rId14544" Type="http://schemas.openxmlformats.org/officeDocument/2006/relationships/hyperlink" Target="https://pbs.twimg.com/profile_images/714254271735336961/PdFBoQ2A_normal.jpg" TargetMode="External"/><Relationship Id="rId21760" Type="http://schemas.openxmlformats.org/officeDocument/2006/relationships/hyperlink" Target="https://twitter.com/charl_folife" TargetMode="External"/><Relationship Id="rId4603" Type="http://schemas.openxmlformats.org/officeDocument/2006/relationships/hyperlink" Target="https://pbs.twimg.com/profile_images/608213167496417280/QSxgcLn__normal.png" TargetMode="External"/><Relationship Id="rId12095" Type="http://schemas.openxmlformats.org/officeDocument/2006/relationships/hyperlink" Target="https://twitter.com/Jeckyll_Havok/status/723512805773705216" TargetMode="External"/><Relationship Id="rId21413" Type="http://schemas.openxmlformats.org/officeDocument/2006/relationships/hyperlink" Target="https://twitter.com/dw_business" TargetMode="External"/><Relationship Id="rId473" Type="http://schemas.openxmlformats.org/officeDocument/2006/relationships/hyperlink" Target="https://twitter.com/ianjbarlow" TargetMode="External"/><Relationship Id="rId2154" Type="http://schemas.openxmlformats.org/officeDocument/2006/relationships/hyperlink" Target="https://pbs.twimg.com/profile_images/687314255507513346/a83L5Opq_normal.jpg" TargetMode="External"/><Relationship Id="rId17767" Type="http://schemas.openxmlformats.org/officeDocument/2006/relationships/hyperlink" Target="https://pbs.twimg.com/profile_images/627949001179037696/skEBkS05_normal.jpg" TargetMode="External"/><Relationship Id="rId24983" Type="http://schemas.openxmlformats.org/officeDocument/2006/relationships/hyperlink" Target="https://twitter.com/iamsalimali/status/724408230856822785" TargetMode="External"/><Relationship Id="rId126" Type="http://schemas.openxmlformats.org/officeDocument/2006/relationships/hyperlink" Target="https://twitter.com/murphloomis" TargetMode="External"/><Relationship Id="rId5377" Type="http://schemas.openxmlformats.org/officeDocument/2006/relationships/hyperlink" Target="https://twitter.com/Holdensmum" TargetMode="External"/><Relationship Id="rId7826" Type="http://schemas.openxmlformats.org/officeDocument/2006/relationships/hyperlink" Target="https://twitter.com/MDBlanchfield/status/723333517086588928" TargetMode="External"/><Relationship Id="rId10807" Type="http://schemas.openxmlformats.org/officeDocument/2006/relationships/hyperlink" Target="https://pbs.twimg.com/profile_images/717932064897675264/kdc4V-6b_normal.jpg" TargetMode="External"/><Relationship Id="rId22187" Type="http://schemas.openxmlformats.org/officeDocument/2006/relationships/hyperlink" Target="https://twitter.com/beetlebug1938" TargetMode="External"/><Relationship Id="rId24636" Type="http://schemas.openxmlformats.org/officeDocument/2006/relationships/hyperlink" Target="https://pbs.twimg.com/profile_images/378800000572104796/1de43e1cf23efb3f4101c02afad0d3b6_normal.png" TargetMode="External"/><Relationship Id="rId16850" Type="http://schemas.openxmlformats.org/officeDocument/2006/relationships/hyperlink" Target="https://pbs.twimg.com/profile_images/604605659410235392/k92X94I5_normal.jpg" TargetMode="External"/><Relationship Id="rId1987" Type="http://schemas.openxmlformats.org/officeDocument/2006/relationships/hyperlink" Target="https://twitter.com/Frank_unternehm/status/723073298121252864" TargetMode="External"/><Relationship Id="rId16503" Type="http://schemas.openxmlformats.org/officeDocument/2006/relationships/hyperlink" Target="https://twitter.com/0a48e0f5698e460" TargetMode="External"/><Relationship Id="rId4460" Type="http://schemas.openxmlformats.org/officeDocument/2006/relationships/hyperlink" Target="https://pbs.twimg.com/profile_images/2620197512/image_normal.jpg" TargetMode="External"/><Relationship Id="rId14054" Type="http://schemas.openxmlformats.org/officeDocument/2006/relationships/hyperlink" Target="https://pbs.twimg.com/profile_images/722160035036471296/3FpYIDgG_normal.jpg" TargetMode="External"/><Relationship Id="rId21270" Type="http://schemas.openxmlformats.org/officeDocument/2006/relationships/hyperlink" Target="https://twitter.com/dubbusses/status/724133665249329152" TargetMode="External"/><Relationship Id="rId4113" Type="http://schemas.openxmlformats.org/officeDocument/2006/relationships/hyperlink" Target="https://pbs.twimg.com/profile_images/1190749746/image_normal.jpg" TargetMode="External"/><Relationship Id="rId7683" Type="http://schemas.openxmlformats.org/officeDocument/2006/relationships/hyperlink" Target="https://pbs.twimg.com/profile_images/524247355084636160/OzYcsa1O_normal.jpeg" TargetMode="External"/><Relationship Id="rId17277" Type="http://schemas.openxmlformats.org/officeDocument/2006/relationships/hyperlink" Target="https://pbs.twimg.com/profile_images/292857657/GreenGrowth_normal.jpg" TargetMode="External"/><Relationship Id="rId19726" Type="http://schemas.openxmlformats.org/officeDocument/2006/relationships/hyperlink" Target="https://pbs.twimg.com/profile_images/710675920013692928/zisdubTr_normal.jpg" TargetMode="External"/><Relationship Id="rId24493" Type="http://schemas.openxmlformats.org/officeDocument/2006/relationships/hyperlink" Target="http://dlvr.it/" TargetMode="External"/><Relationship Id="rId7336" Type="http://schemas.openxmlformats.org/officeDocument/2006/relationships/hyperlink" Target="https://twitter.com/R1Concepts/status/723296510339866625" TargetMode="External"/><Relationship Id="rId10664" Type="http://schemas.openxmlformats.org/officeDocument/2006/relationships/hyperlink" Target="https://twitter.com/Houndsandpeople" TargetMode="External"/><Relationship Id="rId24146" Type="http://schemas.openxmlformats.org/officeDocument/2006/relationships/hyperlink" Target="https://twitter.com/weKitesurf/status/724335306548338689" TargetMode="External"/><Relationship Id="rId10317" Type="http://schemas.openxmlformats.org/officeDocument/2006/relationships/hyperlink" Target="https://twitter.com/alexvr6/status/723469289114624000" TargetMode="External"/><Relationship Id="rId13887" Type="http://schemas.openxmlformats.org/officeDocument/2006/relationships/hyperlink" Target="https://twitter.com/riversidevw" TargetMode="External"/><Relationship Id="rId3946" Type="http://schemas.openxmlformats.org/officeDocument/2006/relationships/hyperlink" Target="https://twitter.com/rodelurmatan/status/723172643923349504" TargetMode="External"/><Relationship Id="rId16360" Type="http://schemas.openxmlformats.org/officeDocument/2006/relationships/hyperlink" Target="https://twitter.com/TheNewDailyAu" TargetMode="External"/><Relationship Id="rId20756" Type="http://schemas.openxmlformats.org/officeDocument/2006/relationships/hyperlink" Target="https://twitter.com/urotuning" TargetMode="External"/><Relationship Id="rId1497" Type="http://schemas.openxmlformats.org/officeDocument/2006/relationships/hyperlink" Target="https://twitter.com/MiManske" TargetMode="External"/><Relationship Id="rId16013" Type="http://schemas.openxmlformats.org/officeDocument/2006/relationships/hyperlink" Target="https://twitter.com/maatyleonel" TargetMode="External"/><Relationship Id="rId19583" Type="http://schemas.openxmlformats.org/officeDocument/2006/relationships/hyperlink" Target="https://twitter.com/VolkswagenPost" TargetMode="External"/><Relationship Id="rId20409" Type="http://schemas.openxmlformats.org/officeDocument/2006/relationships/hyperlink" Target="https://pbs.twimg.com/profile_images/3546807418/358648ceafebcd1bc86c677256332c33_normal.jpeg" TargetMode="External"/><Relationship Id="rId23979" Type="http://schemas.openxmlformats.org/officeDocument/2006/relationships/hyperlink" Target="https://pbs.twimg.com/profile_images/703294545195307008/qeCvrX86_normal.jpg" TargetMode="External"/><Relationship Id="rId9642" Type="http://schemas.openxmlformats.org/officeDocument/2006/relationships/hyperlink" Target="https://twitter.com/bitcoinagile" TargetMode="External"/><Relationship Id="rId12623" Type="http://schemas.openxmlformats.org/officeDocument/2006/relationships/hyperlink" Target="https://twitter.com/RecorderTweets" TargetMode="External"/><Relationship Id="rId12970" Type="http://schemas.openxmlformats.org/officeDocument/2006/relationships/hyperlink" Target="https://twitter.com/doern/status/723532543736332289" TargetMode="External"/><Relationship Id="rId19236" Type="http://schemas.openxmlformats.org/officeDocument/2006/relationships/hyperlink" Target="https://twitter.com/sami19981" TargetMode="External"/><Relationship Id="rId7193" Type="http://schemas.openxmlformats.org/officeDocument/2006/relationships/hyperlink" Target="https://twitter.com/EscobarVW/status/723285190764720129" TargetMode="External"/><Relationship Id="rId10174" Type="http://schemas.openxmlformats.org/officeDocument/2006/relationships/hyperlink" Target="https://twitter.com/aktuelle_stunde" TargetMode="External"/><Relationship Id="rId13397" Type="http://schemas.openxmlformats.org/officeDocument/2006/relationships/hyperlink" Target="https://twitter.com/iamdoo" TargetMode="External"/><Relationship Id="rId15846" Type="http://schemas.openxmlformats.org/officeDocument/2006/relationships/hyperlink" Target="https://twitter.com/beetlebug1938/status/723633047590019072" TargetMode="External"/><Relationship Id="rId3456" Type="http://schemas.openxmlformats.org/officeDocument/2006/relationships/hyperlink" Target="https://twitter.com/PortalAlemania" TargetMode="External"/><Relationship Id="rId5905" Type="http://schemas.openxmlformats.org/officeDocument/2006/relationships/hyperlink" Target="https://twitter.com/wingston" TargetMode="External"/><Relationship Id="rId20266" Type="http://schemas.openxmlformats.org/officeDocument/2006/relationships/hyperlink" Target="https://twitter.com/VeeDubMk1_" TargetMode="External"/><Relationship Id="rId22715" Type="http://schemas.openxmlformats.org/officeDocument/2006/relationships/hyperlink" Target="https://abs.twimg.com/sticky/default_profile_images/default_profile_5_normal.png" TargetMode="External"/><Relationship Id="rId3109" Type="http://schemas.openxmlformats.org/officeDocument/2006/relationships/hyperlink" Target="https://pbs.twimg.com/profile_images/627949001179037696/skEBkS05_normal.jpg" TargetMode="External"/><Relationship Id="rId6679" Type="http://schemas.openxmlformats.org/officeDocument/2006/relationships/hyperlink" Target="https://twitter.com/VWCamperSales/status/723252127607353344" TargetMode="External"/><Relationship Id="rId12480" Type="http://schemas.openxmlformats.org/officeDocument/2006/relationships/hyperlink" Target="https://pbs.twimg.com/profile_images/687314255507513346/a83L5Opq_normal.jpg" TargetMode="External"/><Relationship Id="rId19093" Type="http://schemas.openxmlformats.org/officeDocument/2006/relationships/hyperlink" Target="https://twitter.com/crozen1" TargetMode="External"/><Relationship Id="rId23489" Type="http://schemas.openxmlformats.org/officeDocument/2006/relationships/hyperlink" Target="https://twitter.com/writing_roach/status/724292216278159360" TargetMode="External"/><Relationship Id="rId9152" Type="http://schemas.openxmlformats.org/officeDocument/2006/relationships/hyperlink" Target="https://pbs.twimg.com/profile_images/2373311233/logo_VW_CONCESSIONARIO_normal.jpg" TargetMode="External"/><Relationship Id="rId12133" Type="http://schemas.openxmlformats.org/officeDocument/2006/relationships/hyperlink" Target="https://twitter.com/BostonGlobe/status/723513568948281344" TargetMode="External"/><Relationship Id="rId511" Type="http://schemas.openxmlformats.org/officeDocument/2006/relationships/hyperlink" Target="https://twitter.com/BeginTry/status/722963787322552321" TargetMode="External"/><Relationship Id="rId5762" Type="http://schemas.openxmlformats.org/officeDocument/2006/relationships/hyperlink" Target="https://twitter.com/VolkswagenPost" TargetMode="External"/><Relationship Id="rId15356" Type="http://schemas.openxmlformats.org/officeDocument/2006/relationships/hyperlink" Target="https://pbs.twimg.com/profile_images/1620230727/portrait_of_jools_3_small_normal.jpg" TargetMode="External"/><Relationship Id="rId17805" Type="http://schemas.openxmlformats.org/officeDocument/2006/relationships/hyperlink" Target="https://twitter.com/ciocirlans/status/723824059331567616" TargetMode="External"/><Relationship Id="rId22572" Type="http://schemas.openxmlformats.org/officeDocument/2006/relationships/hyperlink" Target="https://twitter.com/VWBeetleSales" TargetMode="External"/><Relationship Id="rId5415" Type="http://schemas.openxmlformats.org/officeDocument/2006/relationships/hyperlink" Target="https://twitter.com/VWCamperSales/status/723202662779346944" TargetMode="External"/><Relationship Id="rId15009" Type="http://schemas.openxmlformats.org/officeDocument/2006/relationships/hyperlink" Target="https://pbs.twimg.com/profile_images/722125617907503104/KuNX67lM_normal.jpg" TargetMode="External"/><Relationship Id="rId22225" Type="http://schemas.openxmlformats.org/officeDocument/2006/relationships/hyperlink" Target="https://twitter.com/GoodGarageGroup" TargetMode="External"/><Relationship Id="rId8638" Type="http://schemas.openxmlformats.org/officeDocument/2006/relationships/hyperlink" Target="https://pbs.twimg.com/profile_images/637698864691159041/ps7J2zNx_normal.jpg" TargetMode="External"/><Relationship Id="rId8985" Type="http://schemas.openxmlformats.org/officeDocument/2006/relationships/hyperlink" Target="https://twitter.com/beetlebug1938/status/723414541787242496" TargetMode="External"/><Relationship Id="rId11966" Type="http://schemas.openxmlformats.org/officeDocument/2006/relationships/hyperlink" Target="https://pbs.twimg.com/profile_images/653334158484357120/pjDnQtCN_normal.jpg" TargetMode="External"/><Relationship Id="rId18579" Type="http://schemas.openxmlformats.org/officeDocument/2006/relationships/hyperlink" Target="https://pbs.twimg.com/profile_images/665794155369668608/801u7DY1_normal.png" TargetMode="External"/><Relationship Id="rId6189" Type="http://schemas.openxmlformats.org/officeDocument/2006/relationships/hyperlink" Target="https://pbs.twimg.com/profile_images/703294545195307008/qeCvrX86_normal.jpg" TargetMode="External"/><Relationship Id="rId11619" Type="http://schemas.openxmlformats.org/officeDocument/2006/relationships/hyperlink" Target="https://twitter.com/cducsubt/status/723504336182075393" TargetMode="External"/><Relationship Id="rId25448" Type="http://schemas.openxmlformats.org/officeDocument/2006/relationships/hyperlink" Target="https://twitter.com/MarketScan1/status/724439723247210496" TargetMode="External"/><Relationship Id="rId17662" Type="http://schemas.openxmlformats.org/officeDocument/2006/relationships/hyperlink" Target="https://twitter.com/Autourtiti/status/723814450009124864" TargetMode="External"/><Relationship Id="rId2799" Type="http://schemas.openxmlformats.org/officeDocument/2006/relationships/hyperlink" Target="https://twitter.com/pphunky" TargetMode="External"/><Relationship Id="rId7721" Type="http://schemas.openxmlformats.org/officeDocument/2006/relationships/hyperlink" Target="https://twitter.com/hoysoyale" TargetMode="External"/><Relationship Id="rId10702" Type="http://schemas.openxmlformats.org/officeDocument/2006/relationships/hyperlink" Target="https://pbs.twimg.com/profile_images/418719708670468096/tPzJiLw7_normal.png" TargetMode="External"/><Relationship Id="rId17315" Type="http://schemas.openxmlformats.org/officeDocument/2006/relationships/hyperlink" Target="https://twitter.com/dabbelu/status/723790307163267072" TargetMode="External"/><Relationship Id="rId24531" Type="http://schemas.openxmlformats.org/officeDocument/2006/relationships/hyperlink" Target="https://twitter.com/dubbusses" TargetMode="External"/><Relationship Id="rId5272" Type="http://schemas.openxmlformats.org/officeDocument/2006/relationships/hyperlink" Target="https://twitter.com/BobCockerham/status/723199237396135936" TargetMode="External"/><Relationship Id="rId22082" Type="http://schemas.openxmlformats.org/officeDocument/2006/relationships/hyperlink" Target="https://twitter.com/vwroc" TargetMode="External"/><Relationship Id="rId1882" Type="http://schemas.openxmlformats.org/officeDocument/2006/relationships/hyperlink" Target="https://twitter.com/samiamebarki1" TargetMode="External"/><Relationship Id="rId8495" Type="http://schemas.openxmlformats.org/officeDocument/2006/relationships/hyperlink" Target="https://pbs.twimg.com/profile_images/696457503098404864/QH0ZaraQ_normal.jpg" TargetMode="External"/><Relationship Id="rId11476" Type="http://schemas.openxmlformats.org/officeDocument/2006/relationships/hyperlink" Target="https://twitter.com/frankmottek" TargetMode="External"/><Relationship Id="rId13925" Type="http://schemas.openxmlformats.org/officeDocument/2006/relationships/hyperlink" Target="https://pbs.twimg.com/profile_images/3612453508/dcbac1b4aa4a09a930c8e6626941b5ec_normal.jpeg" TargetMode="External"/><Relationship Id="rId18089" Type="http://schemas.openxmlformats.org/officeDocument/2006/relationships/hyperlink" Target="https://pbs.twimg.com/profile_images/722061901673447424/Dg_EuKrF_normal.jpg" TargetMode="External"/><Relationship Id="rId1535" Type="http://schemas.openxmlformats.org/officeDocument/2006/relationships/hyperlink" Target="https://twitter.com/ivomechels" TargetMode="External"/><Relationship Id="rId8148" Type="http://schemas.openxmlformats.org/officeDocument/2006/relationships/hyperlink" Target="https://pbs.twimg.com/profile_images/652871584131092480/QA_B6SBO_normal.jpg" TargetMode="External"/><Relationship Id="rId11129" Type="http://schemas.openxmlformats.org/officeDocument/2006/relationships/hyperlink" Target="https://twitter.com/beetlebug1938" TargetMode="External"/><Relationship Id="rId14699" Type="http://schemas.openxmlformats.org/officeDocument/2006/relationships/hyperlink" Target="https://twitter.com/BalrajGhattaura/status/723580111648362496" TargetMode="External"/><Relationship Id="rId19621" Type="http://schemas.openxmlformats.org/officeDocument/2006/relationships/hyperlink" Target="http://dlvr.it/" TargetMode="External"/><Relationship Id="rId4758" Type="http://schemas.openxmlformats.org/officeDocument/2006/relationships/hyperlink" Target="https://pbs.twimg.com/profile_images/578542636140781568/2T_ukEU0_normal.jpeg" TargetMode="External"/><Relationship Id="rId17172" Type="http://schemas.openxmlformats.org/officeDocument/2006/relationships/hyperlink" Target="https://pbs.twimg.com/profile_images/424893967197433858/iQ86NktX_normal.jpeg" TargetMode="External"/><Relationship Id="rId21568" Type="http://schemas.openxmlformats.org/officeDocument/2006/relationships/hyperlink" Target="https://twitter.com/MissFlusi" TargetMode="External"/><Relationship Id="rId7231" Type="http://schemas.openxmlformats.org/officeDocument/2006/relationships/hyperlink" Target="https://pbs.twimg.com/profile_images/421696344185503744/QuPb6MQO_normal.jpeg" TargetMode="External"/><Relationship Id="rId10212" Type="http://schemas.openxmlformats.org/officeDocument/2006/relationships/hyperlink" Target="https://pbs.twimg.com/profile_images/488939589520740353/HVTIWICi_normal.jpeg" TargetMode="External"/><Relationship Id="rId13782" Type="http://schemas.openxmlformats.org/officeDocument/2006/relationships/hyperlink" Target="https://pbs.twimg.com/profile_images/661960916595040256/ttNTdvq1_normal.png" TargetMode="External"/><Relationship Id="rId24041" Type="http://schemas.openxmlformats.org/officeDocument/2006/relationships/hyperlink" Target="https://pbs.twimg.com/profile_images/703294545195307008/qeCvrX86_normal.jpg" TargetMode="External"/><Relationship Id="rId3841" Type="http://schemas.openxmlformats.org/officeDocument/2006/relationships/hyperlink" Target="https://pbs.twimg.com/profile_images/588735849979842560/-5qGoCul_normal.png" TargetMode="External"/><Relationship Id="rId13435" Type="http://schemas.openxmlformats.org/officeDocument/2006/relationships/hyperlink" Target="https://twitter.com/UdoSiev" TargetMode="External"/><Relationship Id="rId20651" Type="http://schemas.openxmlformats.org/officeDocument/2006/relationships/hyperlink" Target="https://twitter.com/thunderdan667" TargetMode="External"/><Relationship Id="rId1392" Type="http://schemas.openxmlformats.org/officeDocument/2006/relationships/hyperlink" Target="https://twitter.com/BelleNews/status/723039297151098880" TargetMode="External"/><Relationship Id="rId20304" Type="http://schemas.openxmlformats.org/officeDocument/2006/relationships/hyperlink" Target="https://twitter.com/Nexovision/status/723989381120282624" TargetMode="External"/><Relationship Id="rId1045" Type="http://schemas.openxmlformats.org/officeDocument/2006/relationships/hyperlink" Target="https://twitter.com/ivomechels/status/723015355698806785" TargetMode="External"/><Relationship Id="rId16658" Type="http://schemas.openxmlformats.org/officeDocument/2006/relationships/hyperlink" Target="https://twitter.com/Ronalley1" TargetMode="External"/><Relationship Id="rId19131" Type="http://schemas.openxmlformats.org/officeDocument/2006/relationships/hyperlink" Target="https://twitter.com/_sea_fox_" TargetMode="External"/><Relationship Id="rId23874" Type="http://schemas.openxmlformats.org/officeDocument/2006/relationships/hyperlink" Target="https://twitter.com/Luko8525" TargetMode="External"/><Relationship Id="rId4268" Type="http://schemas.openxmlformats.org/officeDocument/2006/relationships/hyperlink" Target="https://twitter.com/doublefelix7" TargetMode="External"/><Relationship Id="rId6717" Type="http://schemas.openxmlformats.org/officeDocument/2006/relationships/hyperlink" Target="https://twitter.com/arod3921" TargetMode="External"/><Relationship Id="rId21078" Type="http://schemas.openxmlformats.org/officeDocument/2006/relationships/hyperlink" Target="https://abs.twimg.com/sticky/default_profile_images/default_profile_5_normal.png" TargetMode="External"/><Relationship Id="rId23527" Type="http://schemas.openxmlformats.org/officeDocument/2006/relationships/hyperlink" Target="https://pbs.twimg.com/profile_images/436160266900754432/pou9Jilw_normal.jpeg" TargetMode="External"/><Relationship Id="rId15741" Type="http://schemas.openxmlformats.org/officeDocument/2006/relationships/hyperlink" Target="https://twitter.com/RMLandscapes" TargetMode="External"/><Relationship Id="rId5800" Type="http://schemas.openxmlformats.org/officeDocument/2006/relationships/hyperlink" Target="https://twitter.com/EveeNaveyraa/status/723218223701864448" TargetMode="External"/><Relationship Id="rId13292" Type="http://schemas.openxmlformats.org/officeDocument/2006/relationships/hyperlink" Target="https://twitter.com/rogerwilc00" TargetMode="External"/><Relationship Id="rId18964" Type="http://schemas.openxmlformats.org/officeDocument/2006/relationships/hyperlink" Target="https://twitter.com/RobsterRound/status/723910050494984192" TargetMode="External"/><Relationship Id="rId22610" Type="http://schemas.openxmlformats.org/officeDocument/2006/relationships/hyperlink" Target="https://pbs.twimg.com/profile_images/638947231144509440/iP1-exrN_normal.jpg" TargetMode="External"/><Relationship Id="rId3351" Type="http://schemas.openxmlformats.org/officeDocument/2006/relationships/hyperlink" Target="https://pbs.twimg.com/profile_images/688188016326623232/CRrQy5_H_normal.jpg" TargetMode="External"/><Relationship Id="rId18617" Type="http://schemas.openxmlformats.org/officeDocument/2006/relationships/hyperlink" Target="https://twitter.com/manumuncki" TargetMode="External"/><Relationship Id="rId20161" Type="http://schemas.openxmlformats.org/officeDocument/2006/relationships/hyperlink" Target="https://twitter.com/maxrace" TargetMode="External"/><Relationship Id="rId3004" Type="http://schemas.openxmlformats.org/officeDocument/2006/relationships/hyperlink" Target="https://pbs.twimg.com/profile_images/596424269996896256/HlGX8sy-_normal.png" TargetMode="External"/><Relationship Id="rId6574" Type="http://schemas.openxmlformats.org/officeDocument/2006/relationships/hyperlink" Target="https://pbs.twimg.com/profile_images/653644308806008832/owqrn47b_normal.jpg" TargetMode="External"/><Relationship Id="rId16168" Type="http://schemas.openxmlformats.org/officeDocument/2006/relationships/hyperlink" Target="https://twitter.com/rgoverstreet/status/723652988108046337" TargetMode="External"/><Relationship Id="rId23384" Type="http://schemas.openxmlformats.org/officeDocument/2006/relationships/hyperlink" Target="https://twitter.com/VWCamperSales" TargetMode="External"/><Relationship Id="rId6227" Type="http://schemas.openxmlformats.org/officeDocument/2006/relationships/hyperlink" Target="https://pbs.twimg.com/profile_images/569820801503731712/wBv8eVs3_normal.jpeg" TargetMode="External"/><Relationship Id="rId9797" Type="http://schemas.openxmlformats.org/officeDocument/2006/relationships/hyperlink" Target="https://twitter.com/VWCamperSales" TargetMode="External"/><Relationship Id="rId23037" Type="http://schemas.openxmlformats.org/officeDocument/2006/relationships/hyperlink" Target="https://twitter.com/VWBeetleSales/status/724265909351665665" TargetMode="External"/><Relationship Id="rId12778" Type="http://schemas.openxmlformats.org/officeDocument/2006/relationships/hyperlink" Target="https://twitter.com/myCarbe" TargetMode="External"/><Relationship Id="rId17700" Type="http://schemas.openxmlformats.org/officeDocument/2006/relationships/hyperlink" Target="https://twitter.com/StefanDiResta" TargetMode="External"/><Relationship Id="rId2837" Type="http://schemas.openxmlformats.org/officeDocument/2006/relationships/hyperlink" Target="https://pbs.twimg.com/profile_images/378800000572104796/1de43e1cf23efb3f4101c02afad0d3b6_normal.png" TargetMode="External"/><Relationship Id="rId15251" Type="http://schemas.openxmlformats.org/officeDocument/2006/relationships/hyperlink" Target="https://pbs.twimg.com/profile_images/674351179346874368/ndLl0nUN_normal.jpg" TargetMode="External"/><Relationship Id="rId809" Type="http://schemas.openxmlformats.org/officeDocument/2006/relationships/hyperlink" Target="https://pbs.twimg.com/profile_images/1257298211/image_normal.jpg" TargetMode="External"/><Relationship Id="rId5310" Type="http://schemas.openxmlformats.org/officeDocument/2006/relationships/hyperlink" Target="https://twitter.com/Michael_Vasanth" TargetMode="External"/><Relationship Id="rId8880" Type="http://schemas.openxmlformats.org/officeDocument/2006/relationships/hyperlink" Target="https://twitter.com/panicswitch777/status/723410113432686593" TargetMode="External"/><Relationship Id="rId11861" Type="http://schemas.openxmlformats.org/officeDocument/2006/relationships/hyperlink" Target="https://twitter.com/Sufiy" TargetMode="External"/><Relationship Id="rId18474" Type="http://schemas.openxmlformats.org/officeDocument/2006/relationships/hyperlink" Target="https://twitter.com/VWCamperSales/status/723871079521914880" TargetMode="External"/><Relationship Id="rId22120" Type="http://schemas.openxmlformats.org/officeDocument/2006/relationships/hyperlink" Target="https://pbs.twimg.com/profile_images/571872729201012736/GOT-p0KX_normal.jpeg" TargetMode="External"/><Relationship Id="rId25690" Type="http://schemas.openxmlformats.org/officeDocument/2006/relationships/hyperlink" Target="https://twitter.com/Vantigosf/status/724463239065563136" TargetMode="External"/><Relationship Id="rId1920" Type="http://schemas.openxmlformats.org/officeDocument/2006/relationships/hyperlink" Target="https://twitter.com/DirkEllisVW/status/723068527104667648" TargetMode="External"/><Relationship Id="rId8533" Type="http://schemas.openxmlformats.org/officeDocument/2006/relationships/hyperlink" Target="https://twitter.com/TradeCFDs" TargetMode="External"/><Relationship Id="rId11514" Type="http://schemas.openxmlformats.org/officeDocument/2006/relationships/hyperlink" Target="https://pbs.twimg.com/profile_images/271601887/whyrvalone0906_normal.gif" TargetMode="External"/><Relationship Id="rId18127" Type="http://schemas.openxmlformats.org/officeDocument/2006/relationships/hyperlink" Target="https://twitter.com/FuscaWorld/status/723846143717838848" TargetMode="External"/><Relationship Id="rId25343" Type="http://schemas.openxmlformats.org/officeDocument/2006/relationships/hyperlink" Target="https://pbs.twimg.com/profile_images/543080167674216449/54KKcJ2w_normal.jpeg" TargetMode="External"/><Relationship Id="rId6084" Type="http://schemas.openxmlformats.org/officeDocument/2006/relationships/hyperlink" Target="https://pbs.twimg.com/profile_images/422164778639839234/LVnS1q1c_normal.jpeg" TargetMode="External"/><Relationship Id="rId2694" Type="http://schemas.openxmlformats.org/officeDocument/2006/relationships/hyperlink" Target="https://twitter.com/therealautoblog" TargetMode="External"/><Relationship Id="rId12288" Type="http://schemas.openxmlformats.org/officeDocument/2006/relationships/hyperlink" Target="https://pbs.twimg.com/profile_images/557479172256194561/6F1rsS4X_normal.jpeg" TargetMode="External"/><Relationship Id="rId14737" Type="http://schemas.openxmlformats.org/officeDocument/2006/relationships/hyperlink" Target="https://twitter.com/VWofGG" TargetMode="External"/><Relationship Id="rId17210" Type="http://schemas.openxmlformats.org/officeDocument/2006/relationships/hyperlink" Target="https://twitter.com/GastonStuttgart" TargetMode="External"/><Relationship Id="rId21953" Type="http://schemas.openxmlformats.org/officeDocument/2006/relationships/hyperlink" Target="https://twitter.com/AutoExpress" TargetMode="External"/><Relationship Id="rId666" Type="http://schemas.openxmlformats.org/officeDocument/2006/relationships/hyperlink" Target="https://twitter.com/__BOMBSHEiLbby" TargetMode="External"/><Relationship Id="rId2347" Type="http://schemas.openxmlformats.org/officeDocument/2006/relationships/hyperlink" Target="https://twitter.com/DoMarMac/status/723096761464664064" TargetMode="External"/><Relationship Id="rId21606" Type="http://schemas.openxmlformats.org/officeDocument/2006/relationships/hyperlink" Target="https://pbs.twimg.com/profile_images/653637535545995264/gHuXQ5Bt_normal.jpg" TargetMode="External"/><Relationship Id="rId319" Type="http://schemas.openxmlformats.org/officeDocument/2006/relationships/hyperlink" Target="https://twitter.com/VolkswagenPost" TargetMode="External"/><Relationship Id="rId8390" Type="http://schemas.openxmlformats.org/officeDocument/2006/relationships/hyperlink" Target="https://twitter.com/compliancespain/status/723385816026771458" TargetMode="External"/><Relationship Id="rId13820" Type="http://schemas.openxmlformats.org/officeDocument/2006/relationships/hyperlink" Target="https://pbs.twimg.com/profile_images/3116586215/f622565f955bd627859a80f9c8b39cae_normal.jpeg" TargetMode="External"/><Relationship Id="rId24829" Type="http://schemas.openxmlformats.org/officeDocument/2006/relationships/hyperlink" Target="https://twitter.com/Ur_marlia" TargetMode="External"/><Relationship Id="rId8043" Type="http://schemas.openxmlformats.org/officeDocument/2006/relationships/hyperlink" Target="https://t.co/52jiTzQ5oQ" TargetMode="External"/><Relationship Id="rId11371" Type="http://schemas.openxmlformats.org/officeDocument/2006/relationships/hyperlink" Target="https://twitter.com/vwsurat" TargetMode="External"/><Relationship Id="rId1430" Type="http://schemas.openxmlformats.org/officeDocument/2006/relationships/hyperlink" Target="https://twitter.com/franz_rother" TargetMode="External"/><Relationship Id="rId11024" Type="http://schemas.openxmlformats.org/officeDocument/2006/relationships/hyperlink" Target="https://twitter.com/SalihiShejzije/status/723494989938962432" TargetMode="External"/><Relationship Id="rId14594" Type="http://schemas.openxmlformats.org/officeDocument/2006/relationships/hyperlink" Target="https://pbs.twimg.com/profile_images/686286262773387264/YnzLLxvO_normal.jpg" TargetMode="External"/><Relationship Id="rId23912" Type="http://schemas.openxmlformats.org/officeDocument/2006/relationships/hyperlink" Target="https://twitter.com/Rosenow" TargetMode="External"/><Relationship Id="rId4653" Type="http://schemas.openxmlformats.org/officeDocument/2006/relationships/hyperlink" Target="https://pbs.twimg.com/profile_images/641984272950251520/57p0i6WY_normal.jpg" TargetMode="External"/><Relationship Id="rId14247" Type="http://schemas.openxmlformats.org/officeDocument/2006/relationships/hyperlink" Target="https://pbs.twimg.com/profile_images/692954438294700032/btbx0_sR_normal.jpg" TargetMode="External"/><Relationship Id="rId21463" Type="http://schemas.openxmlformats.org/officeDocument/2006/relationships/hyperlink" Target="https://pbs.twimg.com/profile_images/718361509907324928/5Ekd53Eu_normal.jpg" TargetMode="External"/><Relationship Id="rId4306" Type="http://schemas.openxmlformats.org/officeDocument/2006/relationships/hyperlink" Target="https://twitter.com/DarthSquig/status/723179166456250369" TargetMode="External"/><Relationship Id="rId7876" Type="http://schemas.openxmlformats.org/officeDocument/2006/relationships/hyperlink" Target="https://twitter.com/FuscaWorld" TargetMode="External"/><Relationship Id="rId19919" Type="http://schemas.openxmlformats.org/officeDocument/2006/relationships/hyperlink" Target="https://twitter.com/nunezjuanc/status/723963659840569344" TargetMode="External"/><Relationship Id="rId21116" Type="http://schemas.openxmlformats.org/officeDocument/2006/relationships/hyperlink" Target="https://twitter.com/TetsuoHojo" TargetMode="External"/><Relationship Id="rId24686" Type="http://schemas.openxmlformats.org/officeDocument/2006/relationships/hyperlink" Target="https://twitter.com/Scirocco_Tuning/status/724383566851915776" TargetMode="External"/><Relationship Id="rId176" Type="http://schemas.openxmlformats.org/officeDocument/2006/relationships/hyperlink" Target="https://pbs.twimg.com/profile_images/716275254285377537/osAIJRRC_normal.jpg" TargetMode="External"/><Relationship Id="rId7529" Type="http://schemas.openxmlformats.org/officeDocument/2006/relationships/hyperlink" Target="https://pbs.twimg.com/profile_images/594591729979817984/zJOFgKiU_normal.jpg" TargetMode="External"/><Relationship Id="rId10857" Type="http://schemas.openxmlformats.org/officeDocument/2006/relationships/hyperlink" Target="https://twitter.com/rosco1407" TargetMode="External"/><Relationship Id="rId24339" Type="http://schemas.openxmlformats.org/officeDocument/2006/relationships/hyperlink" Target="https://twitter.com/JamieFlinton/status/724348762659950592" TargetMode="External"/><Relationship Id="rId13330" Type="http://schemas.openxmlformats.org/officeDocument/2006/relationships/hyperlink" Target="https://pbs.twimg.com/profile_images/2416217270/6vmtlo7m644v6jwaux83_normal.jpeg" TargetMode="External"/><Relationship Id="rId16553" Type="http://schemas.openxmlformats.org/officeDocument/2006/relationships/hyperlink" Target="https://twitter.com/beetlebug1938/status/723695405133893634" TargetMode="External"/><Relationship Id="rId20949" Type="http://schemas.openxmlformats.org/officeDocument/2006/relationships/hyperlink" Target="https://twitter.com/MrMalky/status/724072340078899201" TargetMode="External"/><Relationship Id="rId6612" Type="http://schemas.openxmlformats.org/officeDocument/2006/relationships/hyperlink" Target="https://twitter.com/Julliooos" TargetMode="External"/><Relationship Id="rId16206" Type="http://schemas.openxmlformats.org/officeDocument/2006/relationships/hyperlink" Target="https://twitter.com/VWBeetleSales/status/723657402235514881" TargetMode="External"/><Relationship Id="rId19776" Type="http://schemas.openxmlformats.org/officeDocument/2006/relationships/hyperlink" Target="https://pbs.twimg.com/profile_images/672878354127839232/M7OYc-zx_normal.jpg" TargetMode="External"/><Relationship Id="rId23422" Type="http://schemas.openxmlformats.org/officeDocument/2006/relationships/hyperlink" Target="https://pbs.twimg.com/profile_images/724246833908867073/ZHG0-icg_normal.jpg" TargetMode="External"/><Relationship Id="rId4163" Type="http://schemas.openxmlformats.org/officeDocument/2006/relationships/hyperlink" Target="https://twitter.com/mimosa416" TargetMode="External"/><Relationship Id="rId9835" Type="http://schemas.openxmlformats.org/officeDocument/2006/relationships/hyperlink" Target="https://twitter.com/simonorr32/status/723451120220143616" TargetMode="External"/><Relationship Id="rId19429" Type="http://schemas.openxmlformats.org/officeDocument/2006/relationships/hyperlink" Target="https://twitter.com/Mphilpot1" TargetMode="External"/><Relationship Id="rId49" Type="http://schemas.openxmlformats.org/officeDocument/2006/relationships/hyperlink" Target="https://twitter.com/FuscaWorld" TargetMode="External"/><Relationship Id="rId7386" Type="http://schemas.openxmlformats.org/officeDocument/2006/relationships/hyperlink" Target="https://twitter.com/FloridaEuroAuto/status/723300342155337728" TargetMode="External"/><Relationship Id="rId10367" Type="http://schemas.openxmlformats.org/officeDocument/2006/relationships/hyperlink" Target="https://pbs.twimg.com/profile_images/669245387790663680/KLgnSs_3_normal.jpg" TargetMode="External"/><Relationship Id="rId12816" Type="http://schemas.openxmlformats.org/officeDocument/2006/relationships/hyperlink" Target="https://pbs.twimg.com/profile_images/547093512940826624/H_Lo8fkm_normal.png" TargetMode="External"/><Relationship Id="rId24196" Type="http://schemas.openxmlformats.org/officeDocument/2006/relationships/hyperlink" Target="https://twitter.com/VinniesVVV/status/724337520251678722" TargetMode="External"/><Relationship Id="rId7039" Type="http://schemas.openxmlformats.org/officeDocument/2006/relationships/hyperlink" Target="https://twitter.com/Kreisblatt" TargetMode="External"/><Relationship Id="rId3996" Type="http://schemas.openxmlformats.org/officeDocument/2006/relationships/hyperlink" Target="https://pbs.twimg.com/profile_images/697469194976120832/RSWHvLNo_normal.jpg" TargetMode="External"/><Relationship Id="rId16063" Type="http://schemas.openxmlformats.org/officeDocument/2006/relationships/hyperlink" Target="https://pbs.twimg.com/profile_images/638350661038526464/K_N5HRKD_normal.jpg" TargetMode="External"/><Relationship Id="rId18512" Type="http://schemas.openxmlformats.org/officeDocument/2006/relationships/hyperlink" Target="https://pbs.twimg.com/profile_images/583306350760984576/2RP-_qOY_normal.jpg" TargetMode="External"/><Relationship Id="rId22908" Type="http://schemas.openxmlformats.org/officeDocument/2006/relationships/hyperlink" Target="https://twitter.com/acvwpassion" TargetMode="External"/><Relationship Id="rId3649" Type="http://schemas.openxmlformats.org/officeDocument/2006/relationships/hyperlink" Target="https://twitter.com/VolkerVotsmeier/status/723166485686956032" TargetMode="External"/><Relationship Id="rId6122" Type="http://schemas.openxmlformats.org/officeDocument/2006/relationships/hyperlink" Target="http://dlvr.it/" TargetMode="External"/><Relationship Id="rId20459" Type="http://schemas.openxmlformats.org/officeDocument/2006/relationships/hyperlink" Target="https://twitter.com/Kazimirovic104" TargetMode="External"/><Relationship Id="rId9692" Type="http://schemas.openxmlformats.org/officeDocument/2006/relationships/hyperlink" Target="https://twitter.com/Kottem1/status/723445360824217604" TargetMode="External"/><Relationship Id="rId12673" Type="http://schemas.openxmlformats.org/officeDocument/2006/relationships/hyperlink" Target="https://pbs.twimg.com/profile_images/378800000774936351/14379b24a7c1998879eb9cc017fdf15c_normal.png" TargetMode="External"/><Relationship Id="rId19286" Type="http://schemas.openxmlformats.org/officeDocument/2006/relationships/hyperlink" Target="https://twitter.com/OriginalRadi/status/723926122782687234" TargetMode="External"/><Relationship Id="rId2732" Type="http://schemas.openxmlformats.org/officeDocument/2006/relationships/hyperlink" Target="https://twitter.com/LaurenMolloy7" TargetMode="External"/><Relationship Id="rId9345" Type="http://schemas.openxmlformats.org/officeDocument/2006/relationships/hyperlink" Target="https://twitter.com/LionelMaugain" TargetMode="External"/><Relationship Id="rId12326" Type="http://schemas.openxmlformats.org/officeDocument/2006/relationships/hyperlink" Target="https://twitter.com/JungeInnenstadt" TargetMode="External"/><Relationship Id="rId15896" Type="http://schemas.openxmlformats.org/officeDocument/2006/relationships/hyperlink" Target="https://twitter.com/BigBlizz" TargetMode="External"/><Relationship Id="rId704" Type="http://schemas.openxmlformats.org/officeDocument/2006/relationships/hyperlink" Target="https://pbs.twimg.com/profile_images/599357023407464449/BL9Bpo6T_normal.jpg" TargetMode="External"/><Relationship Id="rId5955" Type="http://schemas.openxmlformats.org/officeDocument/2006/relationships/hyperlink" Target="https://twitter.com/Emission_Claims/status/723225205804535808" TargetMode="External"/><Relationship Id="rId15549" Type="http://schemas.openxmlformats.org/officeDocument/2006/relationships/hyperlink" Target="https://pbs.twimg.com/profile_images/689490163639123968/KvB_Hdux_normal.jpg" TargetMode="External"/><Relationship Id="rId22765" Type="http://schemas.openxmlformats.org/officeDocument/2006/relationships/hyperlink" Target="https://pbs.twimg.com/profile_images/679504135125778432/O4eV8Rwx_normal.jpg" TargetMode="External"/><Relationship Id="rId5608" Type="http://schemas.openxmlformats.org/officeDocument/2006/relationships/hyperlink" Target="https://twitter.com/Boersenradar" TargetMode="External"/><Relationship Id="rId18022" Type="http://schemas.openxmlformats.org/officeDocument/2006/relationships/hyperlink" Target="https://pbs.twimg.com/profile_images/2777446765/3a79c1e9433e5fd3f5b82dcba18e9c95_normal.jpeg" TargetMode="External"/><Relationship Id="rId22418" Type="http://schemas.openxmlformats.org/officeDocument/2006/relationships/hyperlink" Target="https://twitter.com/vwgroup_de" TargetMode="External"/><Relationship Id="rId3159" Type="http://schemas.openxmlformats.org/officeDocument/2006/relationships/hyperlink" Target="https://twitter.com/VWofLaurel/status/723144300003995648" TargetMode="External"/><Relationship Id="rId14632" Type="http://schemas.openxmlformats.org/officeDocument/2006/relationships/hyperlink" Target="https://twitter.com/Insta_VWT/status/723577730084818944" TargetMode="External"/><Relationship Id="rId12183" Type="http://schemas.openxmlformats.org/officeDocument/2006/relationships/hyperlink" Target="https://pbs.twimg.com/profile_images/674571656635879424/H_n51PWF_normal.jpg" TargetMode="External"/><Relationship Id="rId17855" Type="http://schemas.openxmlformats.org/officeDocument/2006/relationships/hyperlink" Target="https://twitter.com/vwpress_de/status/723828984698511360" TargetMode="External"/><Relationship Id="rId21501" Type="http://schemas.openxmlformats.org/officeDocument/2006/relationships/hyperlink" Target="https://pbs.twimg.com/profile_images/150238881/DSC_1610_normal.jpg" TargetMode="External"/><Relationship Id="rId561" Type="http://schemas.openxmlformats.org/officeDocument/2006/relationships/hyperlink" Target="https://twitter.com/LoyalBoy_Flness" TargetMode="External"/><Relationship Id="rId2242" Type="http://schemas.openxmlformats.org/officeDocument/2006/relationships/hyperlink" Target="https://twitter.com/borispucalev/status/723090824339329024" TargetMode="External"/><Relationship Id="rId7914" Type="http://schemas.openxmlformats.org/officeDocument/2006/relationships/hyperlink" Target="https://twitter.com/HartoDeMiMismo/status/723341404248891392" TargetMode="External"/><Relationship Id="rId17508" Type="http://schemas.openxmlformats.org/officeDocument/2006/relationships/hyperlink" Target="https://pbs.twimg.com/profile_images/1575203828/Kaminekobitingcat_normal.PNG" TargetMode="External"/><Relationship Id="rId24724" Type="http://schemas.openxmlformats.org/officeDocument/2006/relationships/hyperlink" Target="https://pbs.twimg.com/profile_images/534255724994387969/00d0F_xN_normal.jpeg" TargetMode="External"/><Relationship Id="rId214" Type="http://schemas.openxmlformats.org/officeDocument/2006/relationships/hyperlink" Target="https://twitter.com/techhippie" TargetMode="External"/><Relationship Id="rId5465" Type="http://schemas.openxmlformats.org/officeDocument/2006/relationships/hyperlink" Target="https://twitter.com/VWCamperSales" TargetMode="External"/><Relationship Id="rId15059" Type="http://schemas.openxmlformats.org/officeDocument/2006/relationships/hyperlink" Target="https://twitter.com/ProfJohnix" TargetMode="External"/><Relationship Id="rId22275" Type="http://schemas.openxmlformats.org/officeDocument/2006/relationships/hyperlink" Target="https://pbs.twimg.com/profile_images/627949001179037696/skEBkS05_normal.jpg" TargetMode="External"/><Relationship Id="rId5118" Type="http://schemas.openxmlformats.org/officeDocument/2006/relationships/hyperlink" Target="https://twitter.com/VWPuyallup" TargetMode="External"/><Relationship Id="rId8688" Type="http://schemas.openxmlformats.org/officeDocument/2006/relationships/hyperlink" Target="https://twitter.com/VivaRedd" TargetMode="External"/><Relationship Id="rId25498" Type="http://schemas.openxmlformats.org/officeDocument/2006/relationships/hyperlink" Target="https://twitter.com/jgitaum" TargetMode="External"/><Relationship Id="rId11669" Type="http://schemas.openxmlformats.org/officeDocument/2006/relationships/hyperlink" Target="https://pbs.twimg.com/profile_images/2208847688/Untitled-2_normal.jpg" TargetMode="External"/><Relationship Id="rId1728" Type="http://schemas.openxmlformats.org/officeDocument/2006/relationships/hyperlink" Target="https://twitter.com/EFEverde" TargetMode="External"/><Relationship Id="rId4201" Type="http://schemas.openxmlformats.org/officeDocument/2006/relationships/hyperlink" Target="http://faz.net/" TargetMode="External"/><Relationship Id="rId14142" Type="http://schemas.openxmlformats.org/officeDocument/2006/relationships/hyperlink" Target="http://dlvr.it/" TargetMode="External"/><Relationship Id="rId19814" Type="http://schemas.openxmlformats.org/officeDocument/2006/relationships/hyperlink" Target="https://twitter.com/VolkswagenPost" TargetMode="External"/><Relationship Id="rId21011" Type="http://schemas.openxmlformats.org/officeDocument/2006/relationships/hyperlink" Target="https://twitter.com/matiasnfrutos/status/724081094149177344" TargetMode="External"/><Relationship Id="rId7771" Type="http://schemas.openxmlformats.org/officeDocument/2006/relationships/hyperlink" Target="https://twitter.com/SCGsoflo/status/723330511603560448" TargetMode="External"/><Relationship Id="rId10752" Type="http://schemas.openxmlformats.org/officeDocument/2006/relationships/hyperlink" Target="https://twitter.com/srfnews/status/723483078593662977" TargetMode="External"/><Relationship Id="rId17365" Type="http://schemas.openxmlformats.org/officeDocument/2006/relationships/hyperlink" Target="https://twitter.com/MotorphiliacsTv/status/723794449571049473" TargetMode="External"/><Relationship Id="rId24581" Type="http://schemas.openxmlformats.org/officeDocument/2006/relationships/hyperlink" Target="https://abs.twimg.com/sticky/default_profile_images/default_profile_5_normal.png" TargetMode="External"/><Relationship Id="rId7424" Type="http://schemas.openxmlformats.org/officeDocument/2006/relationships/hyperlink" Target="https://twitter.com/expatfriendly" TargetMode="External"/><Relationship Id="rId10405" Type="http://schemas.openxmlformats.org/officeDocument/2006/relationships/hyperlink" Target="https://twitter.com/martin_krauss/status/723471901557940225" TargetMode="External"/><Relationship Id="rId13975" Type="http://schemas.openxmlformats.org/officeDocument/2006/relationships/hyperlink" Target="https://pbs.twimg.com/profile_images/615834327209897984/8GKZrpQd_normal.jpg" TargetMode="External"/><Relationship Id="rId17018" Type="http://schemas.openxmlformats.org/officeDocument/2006/relationships/hyperlink" Target="https://twitter.com/Kittypunk16/status/723763276664975361" TargetMode="External"/><Relationship Id="rId24234" Type="http://schemas.openxmlformats.org/officeDocument/2006/relationships/hyperlink" Target="https://twitter.com/Mphilpot1" TargetMode="External"/><Relationship Id="rId13628" Type="http://schemas.openxmlformats.org/officeDocument/2006/relationships/hyperlink" Target="https://twitter.com/Tahsinemres/status/723551909546610688" TargetMode="External"/><Relationship Id="rId20844" Type="http://schemas.openxmlformats.org/officeDocument/2006/relationships/hyperlink" Target="https://pbs.twimg.com/profile_images/655809632808603648/Db8WUfss_normal.jpg" TargetMode="External"/><Relationship Id="rId1585" Type="http://schemas.openxmlformats.org/officeDocument/2006/relationships/hyperlink" Target="https://pbs.twimg.com/profile_images/679552623641509888/_vPw9IS2_normal.png" TargetMode="External"/><Relationship Id="rId8198" Type="http://schemas.openxmlformats.org/officeDocument/2006/relationships/hyperlink" Target="https://pbs.twimg.com/profile_images/708299192247013377/uanh21I8_normal.jpg" TargetMode="External"/><Relationship Id="rId11179" Type="http://schemas.openxmlformats.org/officeDocument/2006/relationships/hyperlink" Target="https://twitter.com/SJ_LOWTEC/status/723498861256413187" TargetMode="External"/><Relationship Id="rId16101" Type="http://schemas.openxmlformats.org/officeDocument/2006/relationships/hyperlink" Target="https://twitter.com/beetlebug1938" TargetMode="External"/><Relationship Id="rId1238" Type="http://schemas.openxmlformats.org/officeDocument/2006/relationships/hyperlink" Target="https://twitter.com/Glaur2Laurent" TargetMode="External"/><Relationship Id="rId19671" Type="http://schemas.openxmlformats.org/officeDocument/2006/relationships/hyperlink" Target="https://pbs.twimg.com/profile_images/378800000572104796/1de43e1cf23efb3f4101c02afad0d3b6_normal.png" TargetMode="External"/><Relationship Id="rId7281" Type="http://schemas.openxmlformats.org/officeDocument/2006/relationships/hyperlink" Target="https://twitter.com/OnlineCarReview" TargetMode="External"/><Relationship Id="rId9730" Type="http://schemas.openxmlformats.org/officeDocument/2006/relationships/hyperlink" Target="https://twitter.com/handelsblatt/status/723447371040849920" TargetMode="External"/><Relationship Id="rId12711" Type="http://schemas.openxmlformats.org/officeDocument/2006/relationships/hyperlink" Target="https://twitter.com/auxua/status/723525686955261954" TargetMode="External"/><Relationship Id="rId19324" Type="http://schemas.openxmlformats.org/officeDocument/2006/relationships/hyperlink" Target="https://twitter.com/Insta_VWT" TargetMode="External"/><Relationship Id="rId24091" Type="http://schemas.openxmlformats.org/officeDocument/2006/relationships/hyperlink" Target="https://pbs.twimg.com/profile_images/3101432433/4c5dd9107600b4b9539827327d846eee_normal.jpeg" TargetMode="External"/><Relationship Id="rId10262" Type="http://schemas.openxmlformats.org/officeDocument/2006/relationships/hyperlink" Target="https://twitter.com/beetlebug1938" TargetMode="External"/><Relationship Id="rId15934" Type="http://schemas.openxmlformats.org/officeDocument/2006/relationships/hyperlink" Target="https://twitter.com/hansen_renate" TargetMode="External"/><Relationship Id="rId3891" Type="http://schemas.openxmlformats.org/officeDocument/2006/relationships/hyperlink" Target="https://twitter.com/tooppermann" TargetMode="External"/><Relationship Id="rId13485" Type="http://schemas.openxmlformats.org/officeDocument/2006/relationships/hyperlink" Target="https://twitter.com/erin412/status/723548645187006466" TargetMode="External"/><Relationship Id="rId22803" Type="http://schemas.openxmlformats.org/officeDocument/2006/relationships/hyperlink" Target="https://twitter.com/VWCamperSales/status/724247341285314560" TargetMode="External"/><Relationship Id="rId3544" Type="http://schemas.openxmlformats.org/officeDocument/2006/relationships/hyperlink" Target="https://twitter.com/VWCamperSales/status/723163019149111296" TargetMode="External"/><Relationship Id="rId13138" Type="http://schemas.openxmlformats.org/officeDocument/2006/relationships/hyperlink" Target="https://pbs.twimg.com/profile_images/1254132835/3com_normal.jpg" TargetMode="External"/><Relationship Id="rId20354" Type="http://schemas.openxmlformats.org/officeDocument/2006/relationships/hyperlink" Target="https://pbs.twimg.com/profile_images/652871584131092480/QA_B6SBO_normal.jpg" TargetMode="External"/><Relationship Id="rId1095" Type="http://schemas.openxmlformats.org/officeDocument/2006/relationships/hyperlink" Target="https://twitter.com/NurminenTapio/status/723017500141694976" TargetMode="External"/><Relationship Id="rId6767" Type="http://schemas.openxmlformats.org/officeDocument/2006/relationships/hyperlink" Target="https://twitter.com/JulesBarnell/status/723259094157676549" TargetMode="External"/><Relationship Id="rId19181" Type="http://schemas.openxmlformats.org/officeDocument/2006/relationships/hyperlink" Target="https://twitter.com/hashtagvanlife/status/723922111518105600" TargetMode="External"/><Relationship Id="rId20007" Type="http://schemas.openxmlformats.org/officeDocument/2006/relationships/hyperlink" Target="https://twitter.com/BILDamSONNTAG" TargetMode="External"/><Relationship Id="rId23577" Type="http://schemas.openxmlformats.org/officeDocument/2006/relationships/hyperlink" Target="https://twitter.com/kapitao" TargetMode="External"/><Relationship Id="rId9240" Type="http://schemas.openxmlformats.org/officeDocument/2006/relationships/hyperlink" Target="https://twitter.com/Scirocco_Tuning" TargetMode="External"/><Relationship Id="rId12221" Type="http://schemas.openxmlformats.org/officeDocument/2006/relationships/hyperlink" Target="https://twitter.com/E_I_M_I/status/723515315418718213" TargetMode="External"/><Relationship Id="rId15791" Type="http://schemas.openxmlformats.org/officeDocument/2006/relationships/hyperlink" Target="https://twitter.com/HOWJORD" TargetMode="External"/><Relationship Id="rId5850" Type="http://schemas.openxmlformats.org/officeDocument/2006/relationships/hyperlink" Target="https://twitter.com/Raven1963Z/status/723220035343278081" TargetMode="External"/><Relationship Id="rId15444" Type="http://schemas.openxmlformats.org/officeDocument/2006/relationships/hyperlink" Target="https://pbs.twimg.com/profile_images/723450768179646464/koBI5Xqg_normal.jpg" TargetMode="External"/><Relationship Id="rId22660" Type="http://schemas.openxmlformats.org/officeDocument/2006/relationships/hyperlink" Target="https://twitter.com/KarlRennison" TargetMode="External"/><Relationship Id="rId3054" Type="http://schemas.openxmlformats.org/officeDocument/2006/relationships/hyperlink" Target="https://pbs.twimg.com/profile_images/1610421423/Image2_normal.jpg" TargetMode="External"/><Relationship Id="rId5503" Type="http://schemas.openxmlformats.org/officeDocument/2006/relationships/hyperlink" Target="https://twitter.com/JosBosboom_" TargetMode="External"/><Relationship Id="rId18667" Type="http://schemas.openxmlformats.org/officeDocument/2006/relationships/hyperlink" Target="https://twitter.com/TheWhiskyLynx" TargetMode="External"/><Relationship Id="rId22313" Type="http://schemas.openxmlformats.org/officeDocument/2006/relationships/hyperlink" Target="https://twitter.com/MorSvinka_83/status/724214001018781696" TargetMode="External"/><Relationship Id="rId8726" Type="http://schemas.openxmlformats.org/officeDocument/2006/relationships/hyperlink" Target="https://pbs.twimg.com/profile_images/454280998159532032/Pq43tr1F_normal.png" TargetMode="External"/><Relationship Id="rId11707" Type="http://schemas.openxmlformats.org/officeDocument/2006/relationships/hyperlink" Target="https://twitter.com/DoMarMac" TargetMode="External"/><Relationship Id="rId25536" Type="http://schemas.openxmlformats.org/officeDocument/2006/relationships/hyperlink" Target="https://pbs.twimg.com/profile_images/608057018268663810/c6gpbrUA_normal.png" TargetMode="External"/><Relationship Id="rId6277" Type="http://schemas.openxmlformats.org/officeDocument/2006/relationships/hyperlink" Target="https://pbs.twimg.com/profile_images/714246529108852737/o3XRHwtB_normal.jpg" TargetMode="External"/><Relationship Id="rId23087" Type="http://schemas.openxmlformats.org/officeDocument/2006/relationships/hyperlink" Target="https://pbs.twimg.com/profile_images/722326876560232450/OO8bJXZX_normal.jpg" TargetMode="External"/><Relationship Id="rId2887" Type="http://schemas.openxmlformats.org/officeDocument/2006/relationships/hyperlink" Target="https://twitter.com/shamereflect/status/723122769332867072" TargetMode="External"/><Relationship Id="rId17750" Type="http://schemas.openxmlformats.org/officeDocument/2006/relationships/hyperlink" Target="https://twitter.com/nobuhusababa/status/723821050388049920" TargetMode="External"/><Relationship Id="rId859" Type="http://schemas.openxmlformats.org/officeDocument/2006/relationships/hyperlink" Target="https://twitter.com/mnyabere" TargetMode="External"/><Relationship Id="rId5360" Type="http://schemas.openxmlformats.org/officeDocument/2006/relationships/hyperlink" Target="https://twitter.com/DiscountBomb/status/723200518382718976" TargetMode="External"/><Relationship Id="rId17403" Type="http://schemas.openxmlformats.org/officeDocument/2006/relationships/hyperlink" Target="https://pbs.twimg.com/profile_images/488711520251944960/yGYPawOw_normal.jpeg" TargetMode="External"/><Relationship Id="rId22170" Type="http://schemas.openxmlformats.org/officeDocument/2006/relationships/hyperlink" Target="https://twitter.com/CanerAydinnn/status/724207023198486528" TargetMode="External"/><Relationship Id="rId5013" Type="http://schemas.openxmlformats.org/officeDocument/2006/relationships/hyperlink" Target="https://twitter.com/Marina_Ilona/status/723192472617279488" TargetMode="External"/><Relationship Id="rId1970" Type="http://schemas.openxmlformats.org/officeDocument/2006/relationships/hyperlink" Target="https://pbs.twimg.com/profile_images/719093309738770432/-ot7iGIC_normal.jpg" TargetMode="External"/><Relationship Id="rId8583" Type="http://schemas.openxmlformats.org/officeDocument/2006/relationships/hyperlink" Target="https://twitter.com/f1ngers9/status/723396216596254720" TargetMode="External"/><Relationship Id="rId11564" Type="http://schemas.openxmlformats.org/officeDocument/2006/relationships/hyperlink" Target="https://twitter.com/Hopliten/status/723503629819224068" TargetMode="External"/><Relationship Id="rId18177" Type="http://schemas.openxmlformats.org/officeDocument/2006/relationships/hyperlink" Target="https://pbs.twimg.com/profile_images/3120330421/18166a7606798b1cd07c5596ffc4001f_normal.png" TargetMode="External"/><Relationship Id="rId25393" Type="http://schemas.openxmlformats.org/officeDocument/2006/relationships/hyperlink" Target="https://twitter.com/Mr_Fanta_Pants/status/724435062570127361" TargetMode="External"/><Relationship Id="rId1623" Type="http://schemas.openxmlformats.org/officeDocument/2006/relationships/hyperlink" Target="https://twitter.com/DammoPhotograph/status/723049539758751744" TargetMode="External"/><Relationship Id="rId8236" Type="http://schemas.openxmlformats.org/officeDocument/2006/relationships/hyperlink" Target="https://twitter.com/kazan_life/status/723378465005662208" TargetMode="External"/><Relationship Id="rId11217" Type="http://schemas.openxmlformats.org/officeDocument/2006/relationships/hyperlink" Target="https://pbs.twimg.com/profile_images/2229013879/glenLakePhoto_normal.jpg" TargetMode="External"/><Relationship Id="rId14787" Type="http://schemas.openxmlformats.org/officeDocument/2006/relationships/hyperlink" Target="https://pbs.twimg.com/profile_images/653310353653297153/bYVyhn8J_normal.jpg" TargetMode="External"/><Relationship Id="rId25046" Type="http://schemas.openxmlformats.org/officeDocument/2006/relationships/hyperlink" Target="https://twitter.com/bertinosr/status/724413383924051968" TargetMode="External"/><Relationship Id="rId4846" Type="http://schemas.openxmlformats.org/officeDocument/2006/relationships/hyperlink" Target="https://twitter.com/epicurebeauty" TargetMode="External"/><Relationship Id="rId17260" Type="http://schemas.openxmlformats.org/officeDocument/2006/relationships/hyperlink" Target="https://twitter.com/ThibMcQueen" TargetMode="External"/><Relationship Id="rId21656" Type="http://schemas.openxmlformats.org/officeDocument/2006/relationships/hyperlink" Target="https://twitter.com/petrichorpam/status/724165769047633920" TargetMode="External"/><Relationship Id="rId2397" Type="http://schemas.openxmlformats.org/officeDocument/2006/relationships/hyperlink" Target="https://pbs.twimg.com/profile_images/659086897868861440/czPvIhsj_normal.png" TargetMode="External"/><Relationship Id="rId21309" Type="http://schemas.openxmlformats.org/officeDocument/2006/relationships/hyperlink" Target="https://twitter.com/StaffsVW/status/724139589481291776" TargetMode="External"/><Relationship Id="rId369" Type="http://schemas.openxmlformats.org/officeDocument/2006/relationships/hyperlink" Target="https://twitter.com/mgl_8/status/722950369127579653" TargetMode="External"/><Relationship Id="rId10300" Type="http://schemas.openxmlformats.org/officeDocument/2006/relationships/hyperlink" Target="https://pbs.twimg.com/profile_images/511848912550776832/8Zp5T2mo_normal.jpeg" TargetMode="External"/><Relationship Id="rId13870" Type="http://schemas.openxmlformats.org/officeDocument/2006/relationships/hyperlink" Target="https://pbs.twimg.com/profile_images/3327758026/27857cfcaea6b0da08253f667355784c_normal.jpeg" TargetMode="External"/><Relationship Id="rId24879" Type="http://schemas.openxmlformats.org/officeDocument/2006/relationships/hyperlink" Target="https://twitter.com/VWBeetleSales/status/724396145561083904" TargetMode="External"/><Relationship Id="rId1480" Type="http://schemas.openxmlformats.org/officeDocument/2006/relationships/hyperlink" Target="https://twitter.com/cleantechken/status/723042937723060224" TargetMode="External"/><Relationship Id="rId8093" Type="http://schemas.openxmlformats.org/officeDocument/2006/relationships/hyperlink" Target="https://twitter.com/Foertsch" TargetMode="External"/><Relationship Id="rId13523" Type="http://schemas.openxmlformats.org/officeDocument/2006/relationships/hyperlink" Target="https://pbs.twimg.com/profile_images/603357236874850304/6etULKc2_normal.jpg" TargetMode="External"/><Relationship Id="rId1133" Type="http://schemas.openxmlformats.org/officeDocument/2006/relationships/hyperlink" Target="https://pbs.twimg.com/profile_images/721594748243480576/gUBd3roe_normal.jpg" TargetMode="External"/><Relationship Id="rId11074" Type="http://schemas.openxmlformats.org/officeDocument/2006/relationships/hyperlink" Target="https://twitter.com/JoeAlvarezUK" TargetMode="External"/><Relationship Id="rId16746" Type="http://schemas.openxmlformats.org/officeDocument/2006/relationships/hyperlink" Target="https://twitter.com/davidtellez/status/723722322121732096" TargetMode="External"/><Relationship Id="rId23962" Type="http://schemas.openxmlformats.org/officeDocument/2006/relationships/hyperlink" Target="https://twitter.com/Mphilpot1/status/724323200239169536" TargetMode="External"/><Relationship Id="rId6805" Type="http://schemas.openxmlformats.org/officeDocument/2006/relationships/hyperlink" Target="https://twitter.com/tomschluet/status/723261210129518593" TargetMode="External"/><Relationship Id="rId14297" Type="http://schemas.openxmlformats.org/officeDocument/2006/relationships/hyperlink" Target="https://twitter.com/VWBeetleSales/status/723571852229013504" TargetMode="External"/><Relationship Id="rId19969" Type="http://schemas.openxmlformats.org/officeDocument/2006/relationships/hyperlink" Target="https://twitter.com/bneilbel" TargetMode="External"/><Relationship Id="rId23615" Type="http://schemas.openxmlformats.org/officeDocument/2006/relationships/hyperlink" Target="https://pbs.twimg.com/profile_images/378800000383656962/389f4a2062ec3c75e130fd84590d969c_normal.png" TargetMode="External"/><Relationship Id="rId4356" Type="http://schemas.openxmlformats.org/officeDocument/2006/relationships/hyperlink" Target="https://pbs.twimg.com/profile_images/720541135949688832/utGATvGP_normal.jpg" TargetMode="External"/><Relationship Id="rId21166" Type="http://schemas.openxmlformats.org/officeDocument/2006/relationships/hyperlink" Target="https://pbs.twimg.com/profile_images/721557347945066496/35TI-Y5q_normal.jpg" TargetMode="External"/><Relationship Id="rId4009" Type="http://schemas.openxmlformats.org/officeDocument/2006/relationships/hyperlink" Target="https://twitter.com/MPrez76" TargetMode="External"/><Relationship Id="rId7579" Type="http://schemas.openxmlformats.org/officeDocument/2006/relationships/hyperlink" Target="https://twitter.com/kngeuro" TargetMode="External"/><Relationship Id="rId13380" Type="http://schemas.openxmlformats.org/officeDocument/2006/relationships/hyperlink" Target="https://twitter.com/milleraef/status/723544963145969664" TargetMode="External"/><Relationship Id="rId24389" Type="http://schemas.openxmlformats.org/officeDocument/2006/relationships/hyperlink" Target="https://twitter.com/VWCamperSales" TargetMode="External"/><Relationship Id="rId13033" Type="http://schemas.openxmlformats.org/officeDocument/2006/relationships/hyperlink" Target="https://twitter.com/VWBeetleSales/status/723533861385195520" TargetMode="External"/><Relationship Id="rId18705" Type="http://schemas.openxmlformats.org/officeDocument/2006/relationships/hyperlink" Target="https://pbs.twimg.com/profile_images/721754944324239361/D_NZR4B1_normal.jpg" TargetMode="External"/><Relationship Id="rId20999" Type="http://schemas.openxmlformats.org/officeDocument/2006/relationships/hyperlink" Target="https://twitter.com/FuscaWorld/status/724080353623810048" TargetMode="External"/><Relationship Id="rId6662" Type="http://schemas.openxmlformats.org/officeDocument/2006/relationships/hyperlink" Target="https://twitter.com/mcj66" TargetMode="External"/><Relationship Id="rId16256" Type="http://schemas.openxmlformats.org/officeDocument/2006/relationships/hyperlink" Target="https://twitter.com/VWBeetleSales" TargetMode="External"/><Relationship Id="rId23472" Type="http://schemas.openxmlformats.org/officeDocument/2006/relationships/hyperlink" Target="https://twitter.com/Tschompot" TargetMode="External"/><Relationship Id="rId6315" Type="http://schemas.openxmlformats.org/officeDocument/2006/relationships/hyperlink" Target="https://twitter.com/eecrtmn/status/723239121351794689" TargetMode="External"/><Relationship Id="rId9885" Type="http://schemas.openxmlformats.org/officeDocument/2006/relationships/hyperlink" Target="https://twitter.com/EricTheCarGuy" TargetMode="External"/><Relationship Id="rId12866" Type="http://schemas.openxmlformats.org/officeDocument/2006/relationships/hyperlink" Target="https://twitter.com/goennen" TargetMode="External"/><Relationship Id="rId19479" Type="http://schemas.openxmlformats.org/officeDocument/2006/relationships/hyperlink" Target="https://twitter.com/VWCamperSales/status/723935759024029696" TargetMode="External"/><Relationship Id="rId23125" Type="http://schemas.openxmlformats.org/officeDocument/2006/relationships/hyperlink" Target="https://twitter.com/greenpeace_de/status/724269677124395012" TargetMode="External"/><Relationship Id="rId99" Type="http://schemas.openxmlformats.org/officeDocument/2006/relationships/hyperlink" Target="https://twitter.com/vwdepo" TargetMode="External"/><Relationship Id="rId2925" Type="http://schemas.openxmlformats.org/officeDocument/2006/relationships/hyperlink" Target="https://twitter.com/noz_el" TargetMode="External"/><Relationship Id="rId9538" Type="http://schemas.openxmlformats.org/officeDocument/2006/relationships/hyperlink" Target="https://twitter.com/Racewars_org" TargetMode="External"/><Relationship Id="rId12519" Type="http://schemas.openxmlformats.org/officeDocument/2006/relationships/hyperlink" Target="https://pbs.twimg.com/profile_images/1815194206/twitter-icon-mdr-180_normal.png" TargetMode="External"/><Relationship Id="rId7089" Type="http://schemas.openxmlformats.org/officeDocument/2006/relationships/hyperlink" Target="https://twitter.com/deanomsport" TargetMode="External"/><Relationship Id="rId18562" Type="http://schemas.openxmlformats.org/officeDocument/2006/relationships/hyperlink" Target="https://twitter.com/chrispillennews" TargetMode="External"/><Relationship Id="rId3699" Type="http://schemas.openxmlformats.org/officeDocument/2006/relationships/hyperlink" Target="https://twitter.com/StephChuang" TargetMode="External"/><Relationship Id="rId8621" Type="http://schemas.openxmlformats.org/officeDocument/2006/relationships/hyperlink" Target="https://twitter.com/deanomsport" TargetMode="External"/><Relationship Id="rId18215" Type="http://schemas.openxmlformats.org/officeDocument/2006/relationships/hyperlink" Target="https://twitter.com/Insta_VWT/status/723851411491053568" TargetMode="External"/><Relationship Id="rId22958" Type="http://schemas.openxmlformats.org/officeDocument/2006/relationships/hyperlink" Target="https://twitter.com/MorSvinka_83/status/724260175205507073" TargetMode="External"/><Relationship Id="rId25431" Type="http://schemas.openxmlformats.org/officeDocument/2006/relationships/hyperlink" Target="https://pbs.twimg.com/profile_images/613134211919187968/P_pW7EHj_normal.jpg" TargetMode="External"/><Relationship Id="rId6172" Type="http://schemas.openxmlformats.org/officeDocument/2006/relationships/hyperlink" Target="https://twitter.com/VWCamperSales" TargetMode="External"/><Relationship Id="rId11602" Type="http://schemas.openxmlformats.org/officeDocument/2006/relationships/hyperlink" Target="https://pbs.twimg.com/profile_images/474178130312044544/-U2TP65D_normal.png" TargetMode="External"/><Relationship Id="rId9395" Type="http://schemas.openxmlformats.org/officeDocument/2006/relationships/hyperlink" Target="https://twitter.com/vamp_kris2102/status/723433452834459648" TargetMode="External"/><Relationship Id="rId14825" Type="http://schemas.openxmlformats.org/officeDocument/2006/relationships/hyperlink" Target="https://twitter.com/Chat_Atkins" TargetMode="External"/><Relationship Id="rId2782" Type="http://schemas.openxmlformats.org/officeDocument/2006/relationships/hyperlink" Target="https://pbs.twimg.com/profile_images/710494317421400064/KSQWG4Kw_normal.jpg" TargetMode="External"/><Relationship Id="rId9048" Type="http://schemas.openxmlformats.org/officeDocument/2006/relationships/hyperlink" Target="https://twitter.com/instock_de" TargetMode="External"/><Relationship Id="rId12376" Type="http://schemas.openxmlformats.org/officeDocument/2006/relationships/hyperlink" Target="http://www.infooffensive.de/" TargetMode="External"/><Relationship Id="rId754" Type="http://schemas.openxmlformats.org/officeDocument/2006/relationships/hyperlink" Target="https://pbs.twimg.com/profile_images/717565742518894592/4GC2w_GN_normal.jpg" TargetMode="External"/><Relationship Id="rId2435" Type="http://schemas.openxmlformats.org/officeDocument/2006/relationships/hyperlink" Target="https://twitter.com/MarkoJokela/status/723101733560422403" TargetMode="External"/><Relationship Id="rId12029" Type="http://schemas.openxmlformats.org/officeDocument/2006/relationships/hyperlink" Target="https://twitter.com/bvdvliet/status/723512364134469632" TargetMode="External"/><Relationship Id="rId15599" Type="http://schemas.openxmlformats.org/officeDocument/2006/relationships/hyperlink" Target="https://twitter.com/JaviZamariani17/status/723615952030580736" TargetMode="External"/><Relationship Id="rId24917" Type="http://schemas.openxmlformats.org/officeDocument/2006/relationships/hyperlink" Target="https://pbs.twimg.com/profile_images/722904363627319296/ShKAzyQI_normal.jpg" TargetMode="External"/><Relationship Id="rId407" Type="http://schemas.openxmlformats.org/officeDocument/2006/relationships/hyperlink" Target="https://twitter.com/junior1980rodr" TargetMode="External"/><Relationship Id="rId5658" Type="http://schemas.openxmlformats.org/officeDocument/2006/relationships/hyperlink" Target="https://twitter.com/SexenioMX/status/723211984536117249" TargetMode="External"/><Relationship Id="rId18072" Type="http://schemas.openxmlformats.org/officeDocument/2006/relationships/hyperlink" Target="https://twitter.com/voosvoos/status/723844133056569344" TargetMode="External"/><Relationship Id="rId22468" Type="http://schemas.openxmlformats.org/officeDocument/2006/relationships/hyperlink" Target="https://pbs.twimg.com/profile_images/705780107844067328/e7O4UBNb_normal.jpg" TargetMode="External"/><Relationship Id="rId8131" Type="http://schemas.openxmlformats.org/officeDocument/2006/relationships/hyperlink" Target="https://twitter.com/techhippie" TargetMode="External"/><Relationship Id="rId11112" Type="http://schemas.openxmlformats.org/officeDocument/2006/relationships/hyperlink" Target="https://twitter.com/Fourways_SD/status/723497841004412928" TargetMode="External"/><Relationship Id="rId14682" Type="http://schemas.openxmlformats.org/officeDocument/2006/relationships/hyperlink" Target="http://ctrlq.org/maps/address/" TargetMode="External"/><Relationship Id="rId2292" Type="http://schemas.openxmlformats.org/officeDocument/2006/relationships/hyperlink" Target="https://twitter.com/dailynewsdns" TargetMode="External"/><Relationship Id="rId4741" Type="http://schemas.openxmlformats.org/officeDocument/2006/relationships/hyperlink" Target="https://twitter.com/UAimports" TargetMode="External"/><Relationship Id="rId14335" Type="http://schemas.openxmlformats.org/officeDocument/2006/relationships/hyperlink" Target="https://pbs.twimg.com/profile_images/702515731230019584/y8s-VOIo_normal.jpg" TargetMode="External"/><Relationship Id="rId21551" Type="http://schemas.openxmlformats.org/officeDocument/2006/relationships/hyperlink" Target="https://twitter.com/BliouxKirkby/status/724158652354048000" TargetMode="External"/><Relationship Id="rId264" Type="http://schemas.openxmlformats.org/officeDocument/2006/relationships/hyperlink" Target="https://pbs.twimg.com/profile_images/643597052790861824/YcZv_OD3_normal.jpg" TargetMode="External"/><Relationship Id="rId7964" Type="http://schemas.openxmlformats.org/officeDocument/2006/relationships/hyperlink" Target="https://twitter.com/ebaycampervans/status/723345460455317504" TargetMode="External"/><Relationship Id="rId10945" Type="http://schemas.openxmlformats.org/officeDocument/2006/relationships/hyperlink" Target="https://twitter.com/FelixSchneuwly/status/723491329972559872" TargetMode="External"/><Relationship Id="rId17558" Type="http://schemas.openxmlformats.org/officeDocument/2006/relationships/hyperlink" Target="https://pbs.twimg.com/profile_images/657274911854055424/lvaVj9jL_normal.jpg" TargetMode="External"/><Relationship Id="rId21204" Type="http://schemas.openxmlformats.org/officeDocument/2006/relationships/hyperlink" Target="https://pbs.twimg.com/profile_images/664288528667418624/Mx05DUhU_normal.jpg" TargetMode="External"/><Relationship Id="rId24774" Type="http://schemas.openxmlformats.org/officeDocument/2006/relationships/hyperlink" Target="https://twitter.com/SULTA46N" TargetMode="External"/><Relationship Id="rId7617" Type="http://schemas.openxmlformats.org/officeDocument/2006/relationships/hyperlink" Target="https://twitter.com/SexenioCDMX/status/723316916333334529" TargetMode="External"/><Relationship Id="rId24427" Type="http://schemas.openxmlformats.org/officeDocument/2006/relationships/hyperlink" Target="https://twitter.com/oldcar_photo/status/724357124697010177" TargetMode="External"/><Relationship Id="rId5168" Type="http://schemas.openxmlformats.org/officeDocument/2006/relationships/hyperlink" Target="https://pbs.twimg.com/profile_images/3274120603/5ceab6a279edd12004a09e2dcd5ae5d8_normal.png" TargetMode="External"/><Relationship Id="rId16641" Type="http://schemas.openxmlformats.org/officeDocument/2006/relationships/hyperlink" Target="https://twitter.com/oceanshaman/status/723707546305847296" TargetMode="External"/><Relationship Id="rId1778" Type="http://schemas.openxmlformats.org/officeDocument/2006/relationships/hyperlink" Target="https://pbs.twimg.com/profile_images/500457594234736640/JfyXymKL_normal.jpeg" TargetMode="External"/><Relationship Id="rId6700" Type="http://schemas.openxmlformats.org/officeDocument/2006/relationships/hyperlink" Target="https://pbs.twimg.com/profile_images/709058129393291264/47ZDCq7j_normal.jpg" TargetMode="External"/><Relationship Id="rId14192" Type="http://schemas.openxmlformats.org/officeDocument/2006/relationships/hyperlink" Target="https://twitter.com/TheI_Investors" TargetMode="External"/><Relationship Id="rId23510" Type="http://schemas.openxmlformats.org/officeDocument/2006/relationships/hyperlink" Target="https://pbs.twimg.com/profile_images/657274911854055424/lvaVj9jL_normal.jpg" TargetMode="External"/><Relationship Id="rId4251" Type="http://schemas.openxmlformats.org/officeDocument/2006/relationships/hyperlink" Target="https://twitter.com/campercino_uk/status/723178400433745920" TargetMode="External"/><Relationship Id="rId19864" Type="http://schemas.openxmlformats.org/officeDocument/2006/relationships/hyperlink" Target="https://twitter.com/Gandalfwasme/status/723961749918101506" TargetMode="External"/><Relationship Id="rId21061" Type="http://schemas.openxmlformats.org/officeDocument/2006/relationships/hyperlink" Target="https://twitter.com/EVWestDotCom" TargetMode="External"/><Relationship Id="rId7474" Type="http://schemas.openxmlformats.org/officeDocument/2006/relationships/hyperlink" Target="https://pbs.twimg.com/profile_images/1134604562/Logo_Autos_de_Oro_02_normal.jpg" TargetMode="External"/><Relationship Id="rId9923" Type="http://schemas.openxmlformats.org/officeDocument/2006/relationships/hyperlink" Target="https://pbs.twimg.com/profile_images/691591397321891840/1KKAE0Rf_normal.jpg" TargetMode="External"/><Relationship Id="rId12904" Type="http://schemas.openxmlformats.org/officeDocument/2006/relationships/hyperlink" Target="https://twitter.com/Fat4y/status/723531064724062208" TargetMode="External"/><Relationship Id="rId17068" Type="http://schemas.openxmlformats.org/officeDocument/2006/relationships/hyperlink" Target="https://twitter.com/COURAGE_COMM" TargetMode="External"/><Relationship Id="rId19517" Type="http://schemas.openxmlformats.org/officeDocument/2006/relationships/hyperlink" Target="https://twitter.com/RaphaelGonzaga/status/723938481072910336" TargetMode="External"/><Relationship Id="rId24284" Type="http://schemas.openxmlformats.org/officeDocument/2006/relationships/hyperlink" Target="http://dlvr.it/" TargetMode="External"/><Relationship Id="rId7127" Type="http://schemas.openxmlformats.org/officeDocument/2006/relationships/hyperlink" Target="https://pbs.twimg.com/profile_images/1556214775/IMG00783-20110909-0916_normal.JPG" TargetMode="External"/><Relationship Id="rId10455" Type="http://schemas.openxmlformats.org/officeDocument/2006/relationships/hyperlink" Target="https://pbs.twimg.com/profile_images/467671095793823744/pZBuDDrt_normal.jpeg" TargetMode="External"/><Relationship Id="rId10108" Type="http://schemas.openxmlformats.org/officeDocument/2006/relationships/hyperlink" Target="http://dlvr.it/" TargetMode="External"/><Relationship Id="rId13678" Type="http://schemas.openxmlformats.org/officeDocument/2006/relationships/hyperlink" Target="https://pbs.twimg.com/profile_images/1880990972/religion-and-politics-no-right-turn_normal.jpg" TargetMode="External"/><Relationship Id="rId18600" Type="http://schemas.openxmlformats.org/officeDocument/2006/relationships/hyperlink" Target="https://pbs.twimg.com/profile_images/530071272881803264/a_jcCmPZ_normal.png" TargetMode="External"/><Relationship Id="rId20894" Type="http://schemas.openxmlformats.org/officeDocument/2006/relationships/hyperlink" Target="https://twitter.com/mytweetmark/status/724058099280011265" TargetMode="External"/><Relationship Id="rId3737" Type="http://schemas.openxmlformats.org/officeDocument/2006/relationships/hyperlink" Target="https://twitter.com/Aethonaia" TargetMode="External"/><Relationship Id="rId16151" Type="http://schemas.openxmlformats.org/officeDocument/2006/relationships/hyperlink" Target="https://pbs.twimg.com/profile_images/545688359964651520/SF3sJ7lv_normal.jpeg" TargetMode="External"/><Relationship Id="rId20547" Type="http://schemas.openxmlformats.org/officeDocument/2006/relationships/hyperlink" Target="https://twitter.com/Rawy_Saba/status/724007975203950592" TargetMode="External"/><Relationship Id="rId1288" Type="http://schemas.openxmlformats.org/officeDocument/2006/relationships/hyperlink" Target="https://twitter.com/VolkerVotsmeier" TargetMode="External"/><Relationship Id="rId6210" Type="http://schemas.openxmlformats.org/officeDocument/2006/relationships/hyperlink" Target="https://pbs.twimg.com/profile_images/592687726245367808/Q5Lg2WSe_normal.jpg" TargetMode="External"/><Relationship Id="rId9780" Type="http://schemas.openxmlformats.org/officeDocument/2006/relationships/hyperlink" Target="https://twitter.com/5aliN" TargetMode="External"/><Relationship Id="rId19374" Type="http://schemas.openxmlformats.org/officeDocument/2006/relationships/hyperlink" Target="https://twitter.com/vwpress_de/status/723928654384910336" TargetMode="External"/><Relationship Id="rId23020" Type="http://schemas.openxmlformats.org/officeDocument/2006/relationships/hyperlink" Target="https://pbs.twimg.com/profile_images/454543285798047744/98uU9pnt_normal.jpeg" TargetMode="External"/><Relationship Id="rId9433" Type="http://schemas.openxmlformats.org/officeDocument/2006/relationships/hyperlink" Target="https://pbs.twimg.com/profile_images/422164778639839234/LVnS1q1c_normal.jpeg" TargetMode="External"/><Relationship Id="rId12761" Type="http://schemas.openxmlformats.org/officeDocument/2006/relationships/hyperlink" Target="https://twitter.com/RauchenderColt/status/723527574824095744" TargetMode="External"/><Relationship Id="rId19027" Type="http://schemas.openxmlformats.org/officeDocument/2006/relationships/hyperlink" Target="https://twitter.com/felix_pig" TargetMode="External"/><Relationship Id="rId2820" Type="http://schemas.openxmlformats.org/officeDocument/2006/relationships/hyperlink" Target="https://twitter.com/MarkoJokela" TargetMode="External"/><Relationship Id="rId12414" Type="http://schemas.openxmlformats.org/officeDocument/2006/relationships/hyperlink" Target="https://pbs.twimg.com/profile_images/706784695795769345/XGXgdjww_normal.jpg" TargetMode="External"/><Relationship Id="rId15984" Type="http://schemas.openxmlformats.org/officeDocument/2006/relationships/hyperlink" Target="https://twitter.com/doin384/status/723640647559819264" TargetMode="External"/><Relationship Id="rId15637" Type="http://schemas.openxmlformats.org/officeDocument/2006/relationships/hyperlink" Target="https://twitter.com/DubLuvTuning" TargetMode="External"/><Relationship Id="rId22853" Type="http://schemas.openxmlformats.org/officeDocument/2006/relationships/hyperlink" Target="https://twitter.com/KMDTuning" TargetMode="External"/><Relationship Id="rId3594" Type="http://schemas.openxmlformats.org/officeDocument/2006/relationships/hyperlink" Target="https://twitter.com/jenkers_en" TargetMode="External"/><Relationship Id="rId13188" Type="http://schemas.openxmlformats.org/officeDocument/2006/relationships/hyperlink" Target="https://twitter.com/CyM00n" TargetMode="External"/><Relationship Id="rId18110" Type="http://schemas.openxmlformats.org/officeDocument/2006/relationships/hyperlink" Target="https://pbs.twimg.com/profile_images/425018361852854272/odnnWFLd_normal.jpeg" TargetMode="External"/><Relationship Id="rId22506" Type="http://schemas.openxmlformats.org/officeDocument/2006/relationships/hyperlink" Target="https://twitter.com/urosenhagen/status/724227001494736896" TargetMode="External"/><Relationship Id="rId3247" Type="http://schemas.openxmlformats.org/officeDocument/2006/relationships/hyperlink" Target="https://pbs.twimg.com/profile_images/378800000418599621/7e5eb885f760734c14d5b951deacc01b_normal.jpeg" TargetMode="External"/><Relationship Id="rId8919" Type="http://schemas.openxmlformats.org/officeDocument/2006/relationships/hyperlink" Target="https://twitter.com/andreasfrey5/status/723411499801169920" TargetMode="External"/><Relationship Id="rId20057" Type="http://schemas.openxmlformats.org/officeDocument/2006/relationships/hyperlink" Target="https://twitter.com/Insta_VWT/status/723971922107731968" TargetMode="External"/><Relationship Id="rId25729" Type="http://schemas.openxmlformats.org/officeDocument/2006/relationships/hyperlink" Target="https://twitter.com/MonogamieRockt/status/724468259815350272" TargetMode="External"/><Relationship Id="rId9290" Type="http://schemas.openxmlformats.org/officeDocument/2006/relationships/hyperlink" Target="https://pbs.twimg.com/profile_images/620914141826449408/sUP7INra_normal.jpg" TargetMode="External"/><Relationship Id="rId12271" Type="http://schemas.openxmlformats.org/officeDocument/2006/relationships/hyperlink" Target="https://twitter.com/patburd" TargetMode="External"/><Relationship Id="rId14720" Type="http://schemas.openxmlformats.org/officeDocument/2006/relationships/hyperlink" Target="https://twitter.com/lumnon/status/723580711257706496" TargetMode="External"/><Relationship Id="rId2330" Type="http://schemas.openxmlformats.org/officeDocument/2006/relationships/hyperlink" Target="https://pbs.twimg.com/profile_images/1874504895/amwal1_normal.jpg" TargetMode="External"/><Relationship Id="rId17943" Type="http://schemas.openxmlformats.org/officeDocument/2006/relationships/hyperlink" Target="https://twitter.com/VeeDubMk1_" TargetMode="External"/><Relationship Id="rId302" Type="http://schemas.openxmlformats.org/officeDocument/2006/relationships/hyperlink" Target="https://twitter.com/OnlineCarReview/status/722945619082354688" TargetMode="External"/><Relationship Id="rId5553" Type="http://schemas.openxmlformats.org/officeDocument/2006/relationships/hyperlink" Target="https://pbs.twimg.com/profile_images/378800000572104796/1de43e1cf23efb3f4101c02afad0d3b6_normal.png" TargetMode="External"/><Relationship Id="rId15147" Type="http://schemas.openxmlformats.org/officeDocument/2006/relationships/hyperlink" Target="https://twitter.com/Mphilpot1/status/723595794046054401" TargetMode="External"/><Relationship Id="rId15494" Type="http://schemas.openxmlformats.org/officeDocument/2006/relationships/hyperlink" Target="https://pbs.twimg.com/profile_images/721544673790140417/LHUMRCDA_normal.jpg" TargetMode="External"/><Relationship Id="rId22363" Type="http://schemas.openxmlformats.org/officeDocument/2006/relationships/hyperlink" Target="https://pbs.twimg.com/profile_images/587578640772292608/wW-wFGSi_normal.jpg" TargetMode="External"/><Relationship Id="rId24812" Type="http://schemas.openxmlformats.org/officeDocument/2006/relationships/hyperlink" Target="https://twitter.com/hanan4788804/status/724389186418184192" TargetMode="External"/><Relationship Id="rId5206" Type="http://schemas.openxmlformats.org/officeDocument/2006/relationships/hyperlink" Target="https://twitter.com/raulubian/status/723197469044183040" TargetMode="External"/><Relationship Id="rId22016" Type="http://schemas.openxmlformats.org/officeDocument/2006/relationships/hyperlink" Target="https://twitter.com/vwpalmspringspr" TargetMode="External"/><Relationship Id="rId8776" Type="http://schemas.openxmlformats.org/officeDocument/2006/relationships/hyperlink" Target="https://pbs.twimg.com/profile_images/720884007152394240/OWYVobwN_normal.jpg" TargetMode="External"/><Relationship Id="rId11757" Type="http://schemas.openxmlformats.org/officeDocument/2006/relationships/hyperlink" Target="https://twitter.com/STEEL5757/status/723507020532473860" TargetMode="External"/><Relationship Id="rId25586" Type="http://schemas.openxmlformats.org/officeDocument/2006/relationships/hyperlink" Target="https://twitter.com/gregrose" TargetMode="External"/><Relationship Id="rId1816" Type="http://schemas.openxmlformats.org/officeDocument/2006/relationships/hyperlink" Target="https://twitter.com/vwpress_en" TargetMode="External"/><Relationship Id="rId8429" Type="http://schemas.openxmlformats.org/officeDocument/2006/relationships/hyperlink" Target="https://twitter.com/VWsightings/status/723387739958173696" TargetMode="External"/><Relationship Id="rId14230" Type="http://schemas.openxmlformats.org/officeDocument/2006/relationships/hyperlink" Target="https://twitter.com/VWCamperSales/status/723570222301515776" TargetMode="External"/><Relationship Id="rId25239" Type="http://schemas.openxmlformats.org/officeDocument/2006/relationships/hyperlink" Target="https://pbs.twimg.com/profile_images/718835727027580928/1ssyQ67y_normal.jpg" TargetMode="External"/><Relationship Id="rId17453" Type="http://schemas.openxmlformats.org/officeDocument/2006/relationships/hyperlink" Target="https://twitter.com/ErnstvAll/status/723799690639187969" TargetMode="External"/><Relationship Id="rId19902" Type="http://schemas.openxmlformats.org/officeDocument/2006/relationships/hyperlink" Target="https://pbs.twimg.com/profile_images/706238230367244288/v80wwtFx_normal.jpg" TargetMode="External"/><Relationship Id="rId21849" Type="http://schemas.openxmlformats.org/officeDocument/2006/relationships/hyperlink" Target="https://pbs.twimg.com/profile_images/627949001179037696/skEBkS05_normal.jpg" TargetMode="External"/><Relationship Id="rId7512" Type="http://schemas.openxmlformats.org/officeDocument/2006/relationships/hyperlink" Target="https://twitter.com/GuidoSagredo" TargetMode="External"/><Relationship Id="rId10840" Type="http://schemas.openxmlformats.org/officeDocument/2006/relationships/hyperlink" Target="https://pbs.twimg.com/profile_images/1258200843/image_normal.jpg" TargetMode="External"/><Relationship Id="rId17106" Type="http://schemas.openxmlformats.org/officeDocument/2006/relationships/hyperlink" Target="https://twitter.com/molisukun/status/723770046669950976" TargetMode="External"/><Relationship Id="rId24322" Type="http://schemas.openxmlformats.org/officeDocument/2006/relationships/hyperlink" Target="https://twitter.com/PizzaMoto" TargetMode="External"/><Relationship Id="rId5063" Type="http://schemas.openxmlformats.org/officeDocument/2006/relationships/hyperlink" Target="https://pbs.twimg.com/profile_images/581458224513077249/G_D2tx_4_normal.png" TargetMode="External"/><Relationship Id="rId8286" Type="http://schemas.openxmlformats.org/officeDocument/2006/relationships/hyperlink" Target="https://twitter.com/pehuen14" TargetMode="External"/><Relationship Id="rId13716" Type="http://schemas.openxmlformats.org/officeDocument/2006/relationships/hyperlink" Target="https://pbs.twimg.com/profile_images/625625084015865856/wmMWsXDL_normal.png" TargetMode="External"/><Relationship Id="rId20932" Type="http://schemas.openxmlformats.org/officeDocument/2006/relationships/hyperlink" Target="https://twitter.com/VWBeetleSales/status/724068363064889344" TargetMode="External"/><Relationship Id="rId25096" Type="http://schemas.openxmlformats.org/officeDocument/2006/relationships/hyperlink" Target="https://twitter.com/cmsGOMEX/status/724419347951833092" TargetMode="External"/><Relationship Id="rId1673" Type="http://schemas.openxmlformats.org/officeDocument/2006/relationships/hyperlink" Target="https://twitter.com/remootapp" TargetMode="External"/><Relationship Id="rId11267" Type="http://schemas.openxmlformats.org/officeDocument/2006/relationships/hyperlink" Target="https://twitter.com/wehrs18" TargetMode="External"/><Relationship Id="rId16939" Type="http://schemas.openxmlformats.org/officeDocument/2006/relationships/hyperlink" Target="https://twitter.com/vintagevwdita" TargetMode="External"/><Relationship Id="rId1326" Type="http://schemas.openxmlformats.org/officeDocument/2006/relationships/hyperlink" Target="https://twitter.com/reutersBenHir/status/723035796169576452" TargetMode="External"/><Relationship Id="rId4896" Type="http://schemas.openxmlformats.org/officeDocument/2006/relationships/hyperlink" Target="https://twitter.com/Dewickie" TargetMode="External"/><Relationship Id="rId19412" Type="http://schemas.openxmlformats.org/officeDocument/2006/relationships/hyperlink" Target="https://twitter.com/Tbonds69/status/723930143656448000" TargetMode="External"/><Relationship Id="rId23808" Type="http://schemas.openxmlformats.org/officeDocument/2006/relationships/hyperlink" Target="https://twitter.com/Insta_VWT" TargetMode="External"/><Relationship Id="rId32" Type="http://schemas.openxmlformats.org/officeDocument/2006/relationships/hyperlink" Target="https://twitter.com/jckronbauer/status/722920360593727488" TargetMode="External"/><Relationship Id="rId4549" Type="http://schemas.openxmlformats.org/officeDocument/2006/relationships/hyperlink" Target="https://twitter.com/AndyGER/status/723182241707372547" TargetMode="External"/><Relationship Id="rId10350" Type="http://schemas.openxmlformats.org/officeDocument/2006/relationships/hyperlink" Target="https://twitter.com/katjalosch" TargetMode="External"/><Relationship Id="rId21359" Type="http://schemas.openxmlformats.org/officeDocument/2006/relationships/hyperlink" Target="https://twitter.com/miljanbojo" TargetMode="External"/><Relationship Id="rId7022" Type="http://schemas.openxmlformats.org/officeDocument/2006/relationships/hyperlink" Target="https://twitter.com/inesfpereira95/status/723274983766630400" TargetMode="External"/><Relationship Id="rId10003" Type="http://schemas.openxmlformats.org/officeDocument/2006/relationships/hyperlink" Target="https://twitter.com/willi_haentjes" TargetMode="External"/><Relationship Id="rId3632" Type="http://schemas.openxmlformats.org/officeDocument/2006/relationships/hyperlink" Target="https://twitter.com/KateGalbraith" TargetMode="External"/><Relationship Id="rId13226" Type="http://schemas.openxmlformats.org/officeDocument/2006/relationships/hyperlink" Target="https://pbs.twimg.com/profile_images/1242530988/Avatar_fxdx_bird_pp3_normal.jpeg" TargetMode="External"/><Relationship Id="rId13573" Type="http://schemas.openxmlformats.org/officeDocument/2006/relationships/hyperlink" Target="https://twitter.com/VolkswagenPost/status/723550796147769344" TargetMode="External"/><Relationship Id="rId1183" Type="http://schemas.openxmlformats.org/officeDocument/2006/relationships/hyperlink" Target="https://pbs.twimg.com/profile_images/547849775983239168/FVCeQMac_normal.jpeg" TargetMode="External"/><Relationship Id="rId16796" Type="http://schemas.openxmlformats.org/officeDocument/2006/relationships/hyperlink" Target="https://pbs.twimg.com/profile_images/723348796898443268/buY9RlRR_normal.jpg" TargetMode="External"/><Relationship Id="rId20442" Type="http://schemas.openxmlformats.org/officeDocument/2006/relationships/hyperlink" Target="https://pbs.twimg.com/profile_images/541539301130240000/0Vmv4HRE_normal.jpeg" TargetMode="External"/><Relationship Id="rId6855" Type="http://schemas.openxmlformats.org/officeDocument/2006/relationships/hyperlink" Target="https://twitter.com/beetlebug1938/status/723264940405055488" TargetMode="External"/><Relationship Id="rId16449" Type="http://schemas.openxmlformats.org/officeDocument/2006/relationships/hyperlink" Target="https://twitter.com/RamziBerrabia/status/723684951690993664" TargetMode="External"/><Relationship Id="rId23665" Type="http://schemas.openxmlformats.org/officeDocument/2006/relationships/hyperlink" Target="https://twitter.com/VWBeetleSales/status/724305300958797824" TargetMode="External"/><Relationship Id="rId4059" Type="http://schemas.openxmlformats.org/officeDocument/2006/relationships/hyperlink" Target="https://pbs.twimg.com/profile_images/669723690934927360/3WA7fMwa_normal.jpg" TargetMode="External"/><Relationship Id="rId6508" Type="http://schemas.openxmlformats.org/officeDocument/2006/relationships/hyperlink" Target="https://pbs.twimg.com/profile_images/583709260737073152/sOVkJINy_normal.jpg" TargetMode="External"/><Relationship Id="rId23318" Type="http://schemas.openxmlformats.org/officeDocument/2006/relationships/hyperlink" Target="https://twitter.com/ziromr/status/724279565896523776" TargetMode="External"/><Relationship Id="rId15532" Type="http://schemas.openxmlformats.org/officeDocument/2006/relationships/hyperlink" Target="https://twitter.com/Mphilpot1" TargetMode="External"/><Relationship Id="rId13083" Type="http://schemas.openxmlformats.org/officeDocument/2006/relationships/hyperlink" Target="https://twitter.com/traumspruch/status/723534980081692672" TargetMode="External"/><Relationship Id="rId22401" Type="http://schemas.openxmlformats.org/officeDocument/2006/relationships/hyperlink" Target="https://pbs.twimg.com/profile_images/570885814364553216/Yk9sK-t4_normal.jpeg" TargetMode="External"/><Relationship Id="rId3142" Type="http://schemas.openxmlformats.org/officeDocument/2006/relationships/hyperlink" Target="https://pbs.twimg.com/profile_images/627949001179037696/skEBkS05_normal.jpg" TargetMode="External"/><Relationship Id="rId18755" Type="http://schemas.openxmlformats.org/officeDocument/2006/relationships/hyperlink" Target="https://twitter.com/Burtbros/status/723893992820224001" TargetMode="External"/><Relationship Id="rId6365" Type="http://schemas.openxmlformats.org/officeDocument/2006/relationships/hyperlink" Target="https://twitter.com/SebastianAxel22/status/723240926823456768" TargetMode="External"/><Relationship Id="rId8814" Type="http://schemas.openxmlformats.org/officeDocument/2006/relationships/hyperlink" Target="https://twitter.com/bvdvliet/status/723408506305421312" TargetMode="External"/><Relationship Id="rId18408" Type="http://schemas.openxmlformats.org/officeDocument/2006/relationships/hyperlink" Target="https://twitter.com/Scirocco_Tuning" TargetMode="External"/><Relationship Id="rId23175" Type="http://schemas.openxmlformats.org/officeDocument/2006/relationships/hyperlink" Target="https://pbs.twimg.com/profile_images/704407814253445121/0tv5-Ca7_normal.jpg" TargetMode="External"/><Relationship Id="rId25624" Type="http://schemas.openxmlformats.org/officeDocument/2006/relationships/hyperlink" Target="https://twitter.com/edyrivera74/status/724452410077405184" TargetMode="External"/><Relationship Id="rId6018" Type="http://schemas.openxmlformats.org/officeDocument/2006/relationships/hyperlink" Target="https://twitter.com/VWBeetleSales/status/723227449987715073" TargetMode="External"/><Relationship Id="rId2975" Type="http://schemas.openxmlformats.org/officeDocument/2006/relationships/hyperlink" Target="https://pbs.twimg.com/profile_images/722467945360859139/6OG2p13n_normal.jpg" TargetMode="External"/><Relationship Id="rId9588" Type="http://schemas.openxmlformats.org/officeDocument/2006/relationships/hyperlink" Target="https://twitter.com/Insta_VWT" TargetMode="External"/><Relationship Id="rId12569" Type="http://schemas.openxmlformats.org/officeDocument/2006/relationships/hyperlink" Target="https://twitter.com/VWCamperSales" TargetMode="External"/><Relationship Id="rId947" Type="http://schemas.openxmlformats.org/officeDocument/2006/relationships/hyperlink" Target="https://twitter.com/VWsightings" TargetMode="External"/><Relationship Id="rId2628" Type="http://schemas.openxmlformats.org/officeDocument/2006/relationships/hyperlink" Target="https://twitter.com/modautomotive" TargetMode="External"/><Relationship Id="rId15042" Type="http://schemas.openxmlformats.org/officeDocument/2006/relationships/hyperlink" Target="https://twitter.com/JoergRupp/status/723590949465669633" TargetMode="External"/><Relationship Id="rId5101" Type="http://schemas.openxmlformats.org/officeDocument/2006/relationships/hyperlink" Target="https://twitter.com/vanessablum/status/723194340470870016" TargetMode="External"/><Relationship Id="rId8671" Type="http://schemas.openxmlformats.org/officeDocument/2006/relationships/hyperlink" Target="https://pbs.twimg.com/profile_images/702511217793863680/lty8h9vE_normal.jpg" TargetMode="External"/><Relationship Id="rId18265" Type="http://schemas.openxmlformats.org/officeDocument/2006/relationships/hyperlink" Target="https://twitter.com/swanswaygroup" TargetMode="External"/><Relationship Id="rId25481" Type="http://schemas.openxmlformats.org/officeDocument/2006/relationships/hyperlink" Target="https://twitter.com/DubLuvTuning/status/724442631103733761" TargetMode="External"/><Relationship Id="rId1711" Type="http://schemas.openxmlformats.org/officeDocument/2006/relationships/hyperlink" Target="https://twitter.com/1stMiniMerlin/status/723054212649615361" TargetMode="External"/><Relationship Id="rId8324" Type="http://schemas.openxmlformats.org/officeDocument/2006/relationships/hyperlink" Target="https://twitter.com/Oedlaender/status/723383198227394560" TargetMode="External"/><Relationship Id="rId11652" Type="http://schemas.openxmlformats.org/officeDocument/2006/relationships/hyperlink" Target="https://twitter.com/MDRINFO" TargetMode="External"/><Relationship Id="rId25134" Type="http://schemas.openxmlformats.org/officeDocument/2006/relationships/hyperlink" Target="https://pbs.twimg.com/profile_images/721334921982296065/-8sj1MgA_normal.jpg" TargetMode="External"/><Relationship Id="rId11305" Type="http://schemas.openxmlformats.org/officeDocument/2006/relationships/hyperlink" Target="https://twitter.com/agy_nes/status/723500792175534080" TargetMode="External"/><Relationship Id="rId14875" Type="http://schemas.openxmlformats.org/officeDocument/2006/relationships/hyperlink" Target="https://twitter.com/Repupilli_Azul" TargetMode="External"/><Relationship Id="rId2485" Type="http://schemas.openxmlformats.org/officeDocument/2006/relationships/hyperlink" Target="http://ctrlq.org/maps/address/" TargetMode="External"/><Relationship Id="rId4934" Type="http://schemas.openxmlformats.org/officeDocument/2006/relationships/hyperlink" Target="https://twitter.com/wnurnews" TargetMode="External"/><Relationship Id="rId9098" Type="http://schemas.openxmlformats.org/officeDocument/2006/relationships/hyperlink" Target="https://twitter.com/Vital_Hydro/status/723421596577206273" TargetMode="External"/><Relationship Id="rId14528" Type="http://schemas.openxmlformats.org/officeDocument/2006/relationships/hyperlink" Target="https://pbs.twimg.com/profile_images/378800000572104796/1de43e1cf23efb3f4101c02afad0d3b6_normal.png" TargetMode="External"/><Relationship Id="rId21744" Type="http://schemas.openxmlformats.org/officeDocument/2006/relationships/hyperlink" Target="https://pbs.twimg.com/profile_images/715332329019994114/CunHJsKm_normal.jpg" TargetMode="External"/><Relationship Id="rId457" Type="http://schemas.openxmlformats.org/officeDocument/2006/relationships/hyperlink" Target="https://pbs.twimg.com/profile_images/615595547915849728/59myu3d6_normal.jpg" TargetMode="External"/><Relationship Id="rId2138" Type="http://schemas.openxmlformats.org/officeDocument/2006/relationships/hyperlink" Target="https://twitter.com/VolkswagenPost/status/723084411965571072" TargetMode="External"/><Relationship Id="rId12079" Type="http://schemas.openxmlformats.org/officeDocument/2006/relationships/hyperlink" Target="http://dlvr.it/" TargetMode="External"/><Relationship Id="rId17001" Type="http://schemas.openxmlformats.org/officeDocument/2006/relationships/hyperlink" Target="https://pbs.twimg.com/profile_images/2199952127/sorrisino_normal.jpg" TargetMode="External"/><Relationship Id="rId24967" Type="http://schemas.openxmlformats.org/officeDocument/2006/relationships/hyperlink" Target="https://twitter.com/VAGFanArg" TargetMode="External"/><Relationship Id="rId13611" Type="http://schemas.openxmlformats.org/officeDocument/2006/relationships/hyperlink" Target="https://twitter.com/BS_Verkehr" TargetMode="External"/><Relationship Id="rId8181" Type="http://schemas.openxmlformats.org/officeDocument/2006/relationships/hyperlink" Target="https://twitter.com/heikolossie" TargetMode="External"/><Relationship Id="rId11162" Type="http://schemas.openxmlformats.org/officeDocument/2006/relationships/hyperlink" Target="https://pbs.twimg.com/profile_images/705389200435118080/5zVKUS7f_normal.jpg" TargetMode="External"/><Relationship Id="rId1221" Type="http://schemas.openxmlformats.org/officeDocument/2006/relationships/hyperlink" Target="https://twitter.com/PedroJ_Cuestas/status/723026455177879552" TargetMode="External"/><Relationship Id="rId4791" Type="http://schemas.openxmlformats.org/officeDocument/2006/relationships/hyperlink" Target="https://pbs.twimg.com/profile_images/691097936181215232/Ocy36TIb_normal.jpg" TargetMode="External"/><Relationship Id="rId14385" Type="http://schemas.openxmlformats.org/officeDocument/2006/relationships/hyperlink" Target="https://twitter.com/beetlebug1938" TargetMode="External"/><Relationship Id="rId16834" Type="http://schemas.openxmlformats.org/officeDocument/2006/relationships/hyperlink" Target="https://twitter.com/VolkswagenPost/status/723740441997242368" TargetMode="External"/><Relationship Id="rId4444" Type="http://schemas.openxmlformats.org/officeDocument/2006/relationships/hyperlink" Target="https://twitter.com/emilyrusch/status/723181220587143169" TargetMode="External"/><Relationship Id="rId14038" Type="http://schemas.openxmlformats.org/officeDocument/2006/relationships/hyperlink" Target="https://pbs.twimg.com/profile_images/722201299857575937/dvvu2o89_normal.jpg" TargetMode="External"/><Relationship Id="rId21254" Type="http://schemas.openxmlformats.org/officeDocument/2006/relationships/hyperlink" Target="https://twitter.com/beetlebug1938" TargetMode="External"/><Relationship Id="rId23703" Type="http://schemas.openxmlformats.org/officeDocument/2006/relationships/hyperlink" Target="https://twitter.com/beetlebug1938/status/724306768415887360" TargetMode="External"/><Relationship Id="rId10995" Type="http://schemas.openxmlformats.org/officeDocument/2006/relationships/hyperlink" Target="https://pbs.twimg.com/profile_images/471225993034620928/uvrpaB6T_normal.jpeg" TargetMode="External"/><Relationship Id="rId7667" Type="http://schemas.openxmlformats.org/officeDocument/2006/relationships/hyperlink" Target="http://dlvr.it/" TargetMode="External"/><Relationship Id="rId10648" Type="http://schemas.openxmlformats.org/officeDocument/2006/relationships/hyperlink" Target="https://pbs.twimg.com/profile_images/719990440708173824/OLxVFpIZ_normal.jpg" TargetMode="External"/><Relationship Id="rId24477" Type="http://schemas.openxmlformats.org/officeDocument/2006/relationships/hyperlink" Target="https://pbs.twimg.com/profile_images/1333987626/squir_normal.jpg" TargetMode="External"/><Relationship Id="rId13121" Type="http://schemas.openxmlformats.org/officeDocument/2006/relationships/hyperlink" Target="https://twitter.com/Sole_bany/status/723535766475948033" TargetMode="External"/><Relationship Id="rId16691" Type="http://schemas.openxmlformats.org/officeDocument/2006/relationships/hyperlink" Target="https://twitter.com/Tweets4Yoga" TargetMode="External"/><Relationship Id="rId6750" Type="http://schemas.openxmlformats.org/officeDocument/2006/relationships/hyperlink" Target="https://pbs.twimg.com/profile_images/683766725440069632/YLcblOdW_normal.jpg" TargetMode="External"/><Relationship Id="rId16344" Type="http://schemas.openxmlformats.org/officeDocument/2006/relationships/hyperlink" Target="https://pbs.twimg.com/profile_images/669116837360246784/ej1M5xaG_normal.jpg" TargetMode="External"/><Relationship Id="rId23560" Type="http://schemas.openxmlformats.org/officeDocument/2006/relationships/hyperlink" Target="https://twitter.com/techhippie" TargetMode="External"/><Relationship Id="rId6403" Type="http://schemas.openxmlformats.org/officeDocument/2006/relationships/hyperlink" Target="https://twitter.com/thechronoduo/status/723242200973336578" TargetMode="External"/><Relationship Id="rId9973" Type="http://schemas.openxmlformats.org/officeDocument/2006/relationships/hyperlink" Target="https://twitter.com/becky1363" TargetMode="External"/><Relationship Id="rId19567" Type="http://schemas.openxmlformats.org/officeDocument/2006/relationships/hyperlink" Target="https://pbs.twimg.com/profile_images/645328399834181632/rWu1bHrC_normal.jpg" TargetMode="External"/><Relationship Id="rId23213" Type="http://schemas.openxmlformats.org/officeDocument/2006/relationships/hyperlink" Target="https://pbs.twimg.com/profile_images/567103567228837888/ptxVAeYZ_normal.jpeg" TargetMode="External"/><Relationship Id="rId9626" Type="http://schemas.openxmlformats.org/officeDocument/2006/relationships/hyperlink" Target="https://pbs.twimg.com/profile_images/530315974344323072/zJAHiLD5_normal.jpeg" TargetMode="External"/><Relationship Id="rId12954" Type="http://schemas.openxmlformats.org/officeDocument/2006/relationships/hyperlink" Target="https://twitter.com/OnlineCarReview" TargetMode="External"/><Relationship Id="rId7177" Type="http://schemas.openxmlformats.org/officeDocument/2006/relationships/hyperlink" Target="https://twitter.com/Hermosuraterr" TargetMode="External"/><Relationship Id="rId12607" Type="http://schemas.openxmlformats.org/officeDocument/2006/relationships/hyperlink" Target="https://pbs.twimg.com/profile_images/3012106875/596e712c99a38ec69b925b7f7ab71986_normal.jpeg" TargetMode="External"/><Relationship Id="rId10158" Type="http://schemas.openxmlformats.org/officeDocument/2006/relationships/hyperlink" Target="https://pbs.twimg.com/profile_images/702139785926877184/8xU3hRg0_normal.jpg" TargetMode="External"/><Relationship Id="rId18650" Type="http://schemas.openxmlformats.org/officeDocument/2006/relationships/hyperlink" Target="https://pbs.twimg.com/profile_images/635899193148600320/JKHbj8eH_normal.png" TargetMode="External"/><Relationship Id="rId3787" Type="http://schemas.openxmlformats.org/officeDocument/2006/relationships/hyperlink" Target="https://pbs.twimg.com/profile_images/378800000340113147/3ba2d92f1d1724ff10f9c8da3cbb5e56_normal.jpeg" TargetMode="External"/><Relationship Id="rId18303" Type="http://schemas.openxmlformats.org/officeDocument/2006/relationships/hyperlink" Target="https://pbs.twimg.com/profile_images/1874724197/me_normal.jpg" TargetMode="External"/><Relationship Id="rId20597" Type="http://schemas.openxmlformats.org/officeDocument/2006/relationships/hyperlink" Target="https://twitter.com/booksbyjoy/status/724012747168448512" TargetMode="External"/><Relationship Id="rId6260" Type="http://schemas.openxmlformats.org/officeDocument/2006/relationships/hyperlink" Target="https://pbs.twimg.com/profile_images/720593061823299584/uee56JpH_normal.jpg" TargetMode="External"/><Relationship Id="rId23070" Type="http://schemas.openxmlformats.org/officeDocument/2006/relationships/hyperlink" Target="https://twitter.com/paulachuter" TargetMode="External"/><Relationship Id="rId2870" Type="http://schemas.openxmlformats.org/officeDocument/2006/relationships/hyperlink" Target="https://pbs.twimg.com/profile_images/607397136/image_normal.gif" TargetMode="External"/><Relationship Id="rId9483" Type="http://schemas.openxmlformats.org/officeDocument/2006/relationships/hyperlink" Target="https://pbs.twimg.com/profile_images/2201076564/profile-ro_normal.jpg" TargetMode="External"/><Relationship Id="rId12464" Type="http://schemas.openxmlformats.org/officeDocument/2006/relationships/hyperlink" Target="https://twitter.com/RippedFlower/status/723519903332884480" TargetMode="External"/><Relationship Id="rId14913" Type="http://schemas.openxmlformats.org/officeDocument/2006/relationships/hyperlink" Target="https://twitter.com/RainerRogge" TargetMode="External"/><Relationship Id="rId19077" Type="http://schemas.openxmlformats.org/officeDocument/2006/relationships/hyperlink" Target="https://pbs.twimg.com/profile_images/540345345029701632/41M7HyZS_normal.jpeg" TargetMode="External"/><Relationship Id="rId842" Type="http://schemas.openxmlformats.org/officeDocument/2006/relationships/hyperlink" Target="http://dlvr.it/" TargetMode="External"/><Relationship Id="rId2523" Type="http://schemas.openxmlformats.org/officeDocument/2006/relationships/hyperlink" Target="https://twitter.com/zeitonline_wir/status/723104240588230656" TargetMode="External"/><Relationship Id="rId9136" Type="http://schemas.openxmlformats.org/officeDocument/2006/relationships/hyperlink" Target="https://twitter.com/UsatoAutoSystem/status/723422121372700672" TargetMode="External"/><Relationship Id="rId12117" Type="http://schemas.openxmlformats.org/officeDocument/2006/relationships/hyperlink" Target="https://twitter.com/TaronPuri/status/723513443454738432" TargetMode="External"/><Relationship Id="rId15687" Type="http://schemas.openxmlformats.org/officeDocument/2006/relationships/hyperlink" Target="https://twitter.com/rheto" TargetMode="External"/><Relationship Id="rId3297" Type="http://schemas.openxmlformats.org/officeDocument/2006/relationships/hyperlink" Target="https://twitter.com/Tarcil" TargetMode="External"/><Relationship Id="rId5746" Type="http://schemas.openxmlformats.org/officeDocument/2006/relationships/hyperlink" Target="https://pbs.twimg.com/profile_images/378800000747750946/394d9f0f5e6dde5137683d9c98c5c8a9_normal.jpeg" TargetMode="External"/><Relationship Id="rId18160" Type="http://schemas.openxmlformats.org/officeDocument/2006/relationships/hyperlink" Target="https://twitter.com/asriehasnie/status/723847888762114048" TargetMode="External"/><Relationship Id="rId22556" Type="http://schemas.openxmlformats.org/officeDocument/2006/relationships/hyperlink" Target="https://twitter.com/VWDRC" TargetMode="External"/><Relationship Id="rId8969" Type="http://schemas.openxmlformats.org/officeDocument/2006/relationships/hyperlink" Target="https://twitter.com/BarryDesignWeb" TargetMode="External"/><Relationship Id="rId11200" Type="http://schemas.openxmlformats.org/officeDocument/2006/relationships/hyperlink" Target="https://twitter.com/VWBeetleSales/status/723499240593326082" TargetMode="External"/><Relationship Id="rId14770" Type="http://schemas.openxmlformats.org/officeDocument/2006/relationships/hyperlink" Target="https://twitter.com/Zusehrverkuerzt" TargetMode="External"/><Relationship Id="rId22209" Type="http://schemas.openxmlformats.org/officeDocument/2006/relationships/hyperlink" Target="https://twitter.com/DenbyCampervans/status/724208841404108800" TargetMode="External"/><Relationship Id="rId14423" Type="http://schemas.openxmlformats.org/officeDocument/2006/relationships/hyperlink" Target="https://pbs.twimg.com/profile_images/474178130312044544/-U2TP65D_normal.png" TargetMode="External"/><Relationship Id="rId2380" Type="http://schemas.openxmlformats.org/officeDocument/2006/relationships/hyperlink" Target="https://pbs.twimg.com/profile_images/641091558503124992/tQG2jH6x_normal.png" TargetMode="External"/><Relationship Id="rId17646" Type="http://schemas.openxmlformats.org/officeDocument/2006/relationships/hyperlink" Target="https://twitter.com/IPKlaus" TargetMode="External"/><Relationship Id="rId17993" Type="http://schemas.openxmlformats.org/officeDocument/2006/relationships/hyperlink" Target="https://twitter.com/DubLuvTuning/status/723840496137809921" TargetMode="External"/><Relationship Id="rId24862" Type="http://schemas.openxmlformats.org/officeDocument/2006/relationships/hyperlink" Target="https://pbs.twimg.com/profile_images/378800000572104796/1de43e1cf23efb3f4101c02afad0d3b6_normal.png" TargetMode="External"/><Relationship Id="rId352" Type="http://schemas.openxmlformats.org/officeDocument/2006/relationships/hyperlink" Target="https://pbs.twimg.com/profile_images/718820712757215233/LXXndPTS_normal.jpg" TargetMode="External"/><Relationship Id="rId2033" Type="http://schemas.openxmlformats.org/officeDocument/2006/relationships/hyperlink" Target="https://pbs.twimg.com/profile_images/439735434776940544/23u_i7Km_normal.jpeg" TargetMode="External"/><Relationship Id="rId7705" Type="http://schemas.openxmlformats.org/officeDocument/2006/relationships/hyperlink" Target="https://pbs.twimg.com/profile_images/378800000739982710/6d3d69a95d8636c04033ccecb17d6235_normal.png" TargetMode="External"/><Relationship Id="rId15197" Type="http://schemas.openxmlformats.org/officeDocument/2006/relationships/hyperlink" Target="https://pbs.twimg.com/profile_images/378800000333683495/1b735d7df89d5667eeeb3eaa48617f9d_normal.jpeg" TargetMode="External"/><Relationship Id="rId24515" Type="http://schemas.openxmlformats.org/officeDocument/2006/relationships/hyperlink" Target="https://pbs.twimg.com/profile_images/718820712757215233/LXXndPTS_normal.jpg" TargetMode="External"/><Relationship Id="rId5256" Type="http://schemas.openxmlformats.org/officeDocument/2006/relationships/hyperlink" Target="https://twitter.com/AlexWitzleben" TargetMode="External"/><Relationship Id="rId22066" Type="http://schemas.openxmlformats.org/officeDocument/2006/relationships/hyperlink" Target="https://twitter.com/VeeDubMk1_" TargetMode="External"/><Relationship Id="rId8479" Type="http://schemas.openxmlformats.org/officeDocument/2006/relationships/hyperlink" Target="https://twitter.com/RodionMarx/status/723390729624510464" TargetMode="External"/><Relationship Id="rId13909" Type="http://schemas.openxmlformats.org/officeDocument/2006/relationships/hyperlink" Target="https://twitter.com/DuisburgAndreas/status/723558436840050688" TargetMode="External"/><Relationship Id="rId25289" Type="http://schemas.openxmlformats.org/officeDocument/2006/relationships/hyperlink" Target="https://twitter.com/OnlineCarReview" TargetMode="External"/><Relationship Id="rId1866" Type="http://schemas.openxmlformats.org/officeDocument/2006/relationships/hyperlink" Target="https://pbs.twimg.com/profile_images/499187225486061568/3-sPmpp6_normal.jpeg" TargetMode="External"/><Relationship Id="rId14280" Type="http://schemas.openxmlformats.org/officeDocument/2006/relationships/hyperlink" Target="https://pbs.twimg.com/profile_images/722105874236502017/_UHxBLQ-_normal.jpg" TargetMode="External"/><Relationship Id="rId19952" Type="http://schemas.openxmlformats.org/officeDocument/2006/relationships/hyperlink" Target="https://twitter.com/bneilbel/status/723964921004871681" TargetMode="External"/><Relationship Id="rId1519" Type="http://schemas.openxmlformats.org/officeDocument/2006/relationships/hyperlink" Target="https://twitter.com/VWCamperSales" TargetMode="External"/><Relationship Id="rId10890" Type="http://schemas.openxmlformats.org/officeDocument/2006/relationships/hyperlink" Target="https://twitter.com/aurorasentinel" TargetMode="External"/><Relationship Id="rId19605" Type="http://schemas.openxmlformats.org/officeDocument/2006/relationships/hyperlink" Target="https://twitter.com/Kittyh21/status/723941810230464513" TargetMode="External"/><Relationship Id="rId21899" Type="http://schemas.openxmlformats.org/officeDocument/2006/relationships/hyperlink" Target="https://twitter.com/TetsuoHojo/status/724187339396804608" TargetMode="External"/><Relationship Id="rId7562" Type="http://schemas.openxmlformats.org/officeDocument/2006/relationships/hyperlink" Target="https://pbs.twimg.com/profile_images/647389824538640384/A1wxqrcJ_normal.jpg" TargetMode="External"/><Relationship Id="rId10543" Type="http://schemas.openxmlformats.org/officeDocument/2006/relationships/hyperlink" Target="http://dlvr.it/" TargetMode="External"/><Relationship Id="rId17156" Type="http://schemas.openxmlformats.org/officeDocument/2006/relationships/hyperlink" Target="https://twitter.com/bodo1962/status/723774756496019456" TargetMode="External"/><Relationship Id="rId24372" Type="http://schemas.openxmlformats.org/officeDocument/2006/relationships/hyperlink" Target="https://twitter.com/beetlebug1938/status/724352749052289026" TargetMode="External"/><Relationship Id="rId7215" Type="http://schemas.openxmlformats.org/officeDocument/2006/relationships/hyperlink" Target="https://pbs.twimg.com/profile_images/718457079418208258/dKesHuLS_normal.jpg" TargetMode="External"/><Relationship Id="rId24025" Type="http://schemas.openxmlformats.org/officeDocument/2006/relationships/hyperlink" Target="https://twitter.com/ClassActionsLaw" TargetMode="External"/><Relationship Id="rId13766" Type="http://schemas.openxmlformats.org/officeDocument/2006/relationships/hyperlink" Target="https://twitter.com/henhman/status/723555637637054464" TargetMode="External"/><Relationship Id="rId20982" Type="http://schemas.openxmlformats.org/officeDocument/2006/relationships/hyperlink" Target="https://pbs.twimg.com/profile_images/719108127975559168/4cScEnwR_normal.jpg" TargetMode="External"/><Relationship Id="rId1376" Type="http://schemas.openxmlformats.org/officeDocument/2006/relationships/hyperlink" Target="https://twitter.com/Mk1GolfOC" TargetMode="External"/><Relationship Id="rId3825" Type="http://schemas.openxmlformats.org/officeDocument/2006/relationships/hyperlink" Target="https://twitter.com/Radio_Hamburg/status/723170128968470528" TargetMode="External"/><Relationship Id="rId13419" Type="http://schemas.openxmlformats.org/officeDocument/2006/relationships/hyperlink" Target="https://twitter.com/Stony_BS" TargetMode="External"/><Relationship Id="rId16989" Type="http://schemas.openxmlformats.org/officeDocument/2006/relationships/hyperlink" Target="https://pbs.twimg.com/profile_images/687621594584330240/n-hbnRI9_normal.jpg" TargetMode="External"/><Relationship Id="rId20635" Type="http://schemas.openxmlformats.org/officeDocument/2006/relationships/hyperlink" Target="https://twitter.com/AlfredoMaza23" TargetMode="External"/><Relationship Id="rId1029" Type="http://schemas.openxmlformats.org/officeDocument/2006/relationships/hyperlink" Target="https://twitter.com/SPIEGELONLINE" TargetMode="External"/><Relationship Id="rId19462" Type="http://schemas.openxmlformats.org/officeDocument/2006/relationships/hyperlink" Target="https://twitter.com/acvwpassion/status/723934666932277249" TargetMode="External"/><Relationship Id="rId23858" Type="http://schemas.openxmlformats.org/officeDocument/2006/relationships/hyperlink" Target="https://pbs.twimg.com/profile_images/459073369661399040/NmPzTH6B_normal.png" TargetMode="External"/><Relationship Id="rId82" Type="http://schemas.openxmlformats.org/officeDocument/2006/relationships/hyperlink" Target="https://twitter.com/cuco996" TargetMode="External"/><Relationship Id="rId4599" Type="http://schemas.openxmlformats.org/officeDocument/2006/relationships/hyperlink" Target="https://twitter.com/philippvetter/status/723183303860211712" TargetMode="External"/><Relationship Id="rId7072" Type="http://schemas.openxmlformats.org/officeDocument/2006/relationships/hyperlink" Target="http://dlvr.it/" TargetMode="External"/><Relationship Id="rId9521" Type="http://schemas.openxmlformats.org/officeDocument/2006/relationships/hyperlink" Target="https://twitter.com/beetlebug1938/status/723437589357711360" TargetMode="External"/><Relationship Id="rId12502" Type="http://schemas.openxmlformats.org/officeDocument/2006/relationships/hyperlink" Target="https://twitter.com/dapper013" TargetMode="External"/><Relationship Id="rId19115" Type="http://schemas.openxmlformats.org/officeDocument/2006/relationships/hyperlink" Target="https://pbs.twimg.com/profile_images/534291201810530304/JWs1t6r9_normal.jpeg" TargetMode="External"/><Relationship Id="rId10053" Type="http://schemas.openxmlformats.org/officeDocument/2006/relationships/hyperlink" Target="https://pbs.twimg.com/profile_images/637232896336625664/dpO-f4Mn_normal.png" TargetMode="External"/><Relationship Id="rId15725" Type="http://schemas.openxmlformats.org/officeDocument/2006/relationships/hyperlink" Target="https://pbs.twimg.com/profile_images/689245762694311937/sYUFvr0i_normal.jpg" TargetMode="External"/><Relationship Id="rId3682" Type="http://schemas.openxmlformats.org/officeDocument/2006/relationships/hyperlink" Target="https://twitter.com/handelsblatt/status/723167450557235200" TargetMode="External"/><Relationship Id="rId13276" Type="http://schemas.openxmlformats.org/officeDocument/2006/relationships/hyperlink" Target="https://twitter.com/dermaschinist" TargetMode="External"/><Relationship Id="rId20492" Type="http://schemas.openxmlformats.org/officeDocument/2006/relationships/hyperlink" Target="https://twitter.com/Logistique01/status/724003148981886976" TargetMode="External"/><Relationship Id="rId22941" Type="http://schemas.openxmlformats.org/officeDocument/2006/relationships/hyperlink" Target="https://twitter.com/VWBeetleSales/status/724258875520606209" TargetMode="External"/><Relationship Id="rId3335" Type="http://schemas.openxmlformats.org/officeDocument/2006/relationships/hyperlink" Target="https://twitter.com/rickehansen/status/723152095084322816" TargetMode="External"/><Relationship Id="rId16499" Type="http://schemas.openxmlformats.org/officeDocument/2006/relationships/hyperlink" Target="https://pbs.twimg.com/profile_images/722388923767525376/7KvgtvmA_normal.jpg" TargetMode="External"/><Relationship Id="rId18948" Type="http://schemas.openxmlformats.org/officeDocument/2006/relationships/hyperlink" Target="https://twitter.com/autofrei_leben" TargetMode="External"/><Relationship Id="rId20145" Type="http://schemas.openxmlformats.org/officeDocument/2006/relationships/hyperlink" Target="https://twitter.com/Rustyandroses" TargetMode="External"/><Relationship Id="rId6558" Type="http://schemas.openxmlformats.org/officeDocument/2006/relationships/hyperlink" Target="https://twitter.com/FraGepWelz/status/723245928103161858" TargetMode="External"/><Relationship Id="rId23368" Type="http://schemas.openxmlformats.org/officeDocument/2006/relationships/hyperlink" Target="https://pbs.twimg.com/profile_images/711506516294041600/1fr0IryT_normal.jpg" TargetMode="External"/><Relationship Id="rId9031" Type="http://schemas.openxmlformats.org/officeDocument/2006/relationships/hyperlink" Target="https://twitter.com/SkySamantha/status/723418094933176322" TargetMode="External"/><Relationship Id="rId12012" Type="http://schemas.openxmlformats.org/officeDocument/2006/relationships/hyperlink" Target="https://pbs.twimg.com/profile_images/720500526656438272/Vawanuuu_normal.jpg" TargetMode="External"/><Relationship Id="rId15582" Type="http://schemas.openxmlformats.org/officeDocument/2006/relationships/hyperlink" Target="https://pbs.twimg.com/profile_images/530071272881803264/a_jcCmPZ_normal.png" TargetMode="External"/><Relationship Id="rId24900" Type="http://schemas.openxmlformats.org/officeDocument/2006/relationships/hyperlink" Target="https://twitter.com/dubbusses" TargetMode="External"/><Relationship Id="rId5641" Type="http://schemas.openxmlformats.org/officeDocument/2006/relationships/hyperlink" Target="https://pbs.twimg.com/profile_images/537281757238677504/KlchrVbl_normal.jpeg" TargetMode="External"/><Relationship Id="rId15235" Type="http://schemas.openxmlformats.org/officeDocument/2006/relationships/hyperlink" Target="https://twitter.com/MikeSoraghan/status/723600132831367168" TargetMode="External"/><Relationship Id="rId22451" Type="http://schemas.openxmlformats.org/officeDocument/2006/relationships/hyperlink" Target="https://twitter.com/dubbusses" TargetMode="External"/><Relationship Id="rId3192" Type="http://schemas.openxmlformats.org/officeDocument/2006/relationships/hyperlink" Target="https://twitter.com/Way_Cool_" TargetMode="External"/><Relationship Id="rId8864" Type="http://schemas.openxmlformats.org/officeDocument/2006/relationships/hyperlink" Target="https://twitter.com/Frontal21" TargetMode="External"/><Relationship Id="rId18458" Type="http://schemas.openxmlformats.org/officeDocument/2006/relationships/hyperlink" Target="https://twitter.com/JeremySpira" TargetMode="External"/><Relationship Id="rId22104" Type="http://schemas.openxmlformats.org/officeDocument/2006/relationships/hyperlink" Target="https://twitter.com/Mphilpot1" TargetMode="External"/><Relationship Id="rId25674" Type="http://schemas.openxmlformats.org/officeDocument/2006/relationships/hyperlink" Target="https://twitter.com/vwmaniacs" TargetMode="External"/><Relationship Id="rId8517" Type="http://schemas.openxmlformats.org/officeDocument/2006/relationships/hyperlink" Target="https://pbs.twimg.com/profile_images/627949001179037696/skEBkS05_normal.jpg" TargetMode="External"/><Relationship Id="rId11845" Type="http://schemas.openxmlformats.org/officeDocument/2006/relationships/hyperlink" Target="https://twitter.com/repub9989" TargetMode="External"/><Relationship Id="rId25327" Type="http://schemas.openxmlformats.org/officeDocument/2006/relationships/hyperlink" Target="https://pbs.twimg.com/profile_images/682117963349135360/IUfZQy35_normal.png" TargetMode="External"/><Relationship Id="rId1904" Type="http://schemas.openxmlformats.org/officeDocument/2006/relationships/hyperlink" Target="https://twitter.com/frugalmaniac/status/723068097725403136" TargetMode="External"/><Relationship Id="rId6068" Type="http://schemas.openxmlformats.org/officeDocument/2006/relationships/hyperlink" Target="https://pbs.twimg.com/profile_images/378800000515338736/4e02fa12e266219ca317069fedc2251d_normal.jpeg" TargetMode="External"/><Relationship Id="rId17541" Type="http://schemas.openxmlformats.org/officeDocument/2006/relationships/hyperlink" Target="https://twitter.com/UKPMR" TargetMode="External"/><Relationship Id="rId21937" Type="http://schemas.openxmlformats.org/officeDocument/2006/relationships/hyperlink" Target="https://pbs.twimg.com/profile_images/654670077661310976/E0rYy0cM_normal.png" TargetMode="External"/><Relationship Id="rId997" Type="http://schemas.openxmlformats.org/officeDocument/2006/relationships/hyperlink" Target="https://twitter.com/furqan_satcom/status/723010868531744768" TargetMode="External"/><Relationship Id="rId2678" Type="http://schemas.openxmlformats.org/officeDocument/2006/relationships/hyperlink" Target="http://ctrlq.org/maps/address/" TargetMode="External"/><Relationship Id="rId5151" Type="http://schemas.openxmlformats.org/officeDocument/2006/relationships/hyperlink" Target="https://twitter.com/riversidevw" TargetMode="External"/><Relationship Id="rId7600" Type="http://schemas.openxmlformats.org/officeDocument/2006/relationships/hyperlink" Target="https://pbs.twimg.com/profile_images/443258859092578304/uvPzzzTx_normal.png" TargetMode="External"/><Relationship Id="rId15092" Type="http://schemas.openxmlformats.org/officeDocument/2006/relationships/hyperlink" Target="https://twitter.com/VCT_Tweets" TargetMode="External"/><Relationship Id="rId24410" Type="http://schemas.openxmlformats.org/officeDocument/2006/relationships/hyperlink" Target="https://twitter.com/voelker_FDP/status/724354930564325377" TargetMode="External"/><Relationship Id="rId13804" Type="http://schemas.openxmlformats.org/officeDocument/2006/relationships/hyperlink" Target="https://twitter.com/Fefe_crc/status/723556474274893824" TargetMode="External"/><Relationship Id="rId1761" Type="http://schemas.openxmlformats.org/officeDocument/2006/relationships/hyperlink" Target="https://twitter.com/shiryaevdomaneg" TargetMode="External"/><Relationship Id="rId8374" Type="http://schemas.openxmlformats.org/officeDocument/2006/relationships/hyperlink" Target="https://twitter.com/VWsightings" TargetMode="External"/><Relationship Id="rId11355" Type="http://schemas.openxmlformats.org/officeDocument/2006/relationships/hyperlink" Target="https://pbs.twimg.com/profile_images/704704527031730178/Sob6o86X_normal.jpg" TargetMode="External"/><Relationship Id="rId25184" Type="http://schemas.openxmlformats.org/officeDocument/2006/relationships/hyperlink" Target="https://twitter.com/vwpress_en/status/724425675533357056" TargetMode="External"/><Relationship Id="rId1414" Type="http://schemas.openxmlformats.org/officeDocument/2006/relationships/hyperlink" Target="https://pbs.twimg.com/profile_images/1602774074/IMG_0924_normal.JPG" TargetMode="External"/><Relationship Id="rId4984" Type="http://schemas.openxmlformats.org/officeDocument/2006/relationships/hyperlink" Target="https://pbs.twimg.com/profile_images/717529579779399680/e1OghXlz_normal.jpg" TargetMode="External"/><Relationship Id="rId8027" Type="http://schemas.openxmlformats.org/officeDocument/2006/relationships/hyperlink" Target="https://twitter.com/beetlebug1938/status/723354074373054464" TargetMode="External"/><Relationship Id="rId11008" Type="http://schemas.openxmlformats.org/officeDocument/2006/relationships/hyperlink" Target="https://twitter.com/LenaHR2" TargetMode="External"/><Relationship Id="rId14578" Type="http://schemas.openxmlformats.org/officeDocument/2006/relationships/hyperlink" Target="https://pbs.twimg.com/profile_images/531688614640365568/U84uXoIT_normal.png" TargetMode="External"/><Relationship Id="rId4637" Type="http://schemas.openxmlformats.org/officeDocument/2006/relationships/hyperlink" Target="https://pbs.twimg.com/profile_images/599357023407464449/BL9Bpo6T_normal.jpg" TargetMode="External"/><Relationship Id="rId17051" Type="http://schemas.openxmlformats.org/officeDocument/2006/relationships/hyperlink" Target="https://pbs.twimg.com/profile_images/690447630548242432/EOCV79PX_normal.jpg" TargetMode="External"/><Relationship Id="rId19500" Type="http://schemas.openxmlformats.org/officeDocument/2006/relationships/hyperlink" Target="https://pbs.twimg.com/profile_images/718835727027580928/1ssyQ67y_normal.jpg" TargetMode="External"/><Relationship Id="rId21447" Type="http://schemas.openxmlformats.org/officeDocument/2006/relationships/hyperlink" Target="https://twitter.com/dubbusses/status/724148746452381696" TargetMode="External"/><Relationship Id="rId21794" Type="http://schemas.openxmlformats.org/officeDocument/2006/relationships/hyperlink" Target="https://twitter.com/dubbusses/status/724179070905397253" TargetMode="External"/><Relationship Id="rId2188" Type="http://schemas.openxmlformats.org/officeDocument/2006/relationships/hyperlink" Target="https://twitter.com/MarkCSchneider" TargetMode="External"/><Relationship Id="rId7110" Type="http://schemas.openxmlformats.org/officeDocument/2006/relationships/hyperlink" Target="https://twitter.com/Nord_DesignLA" TargetMode="External"/><Relationship Id="rId13661" Type="http://schemas.openxmlformats.org/officeDocument/2006/relationships/hyperlink" Target="https://twitter.com/HansTheGerman/status/723552460401434625" TargetMode="External"/><Relationship Id="rId3720" Type="http://schemas.openxmlformats.org/officeDocument/2006/relationships/hyperlink" Target="https://twitter.com/089stadt/status/723168326353051648" TargetMode="External"/><Relationship Id="rId13314" Type="http://schemas.openxmlformats.org/officeDocument/2006/relationships/hyperlink" Target="https://twitter.com/beetlebug1938/status/723543156772495361" TargetMode="External"/><Relationship Id="rId16884" Type="http://schemas.openxmlformats.org/officeDocument/2006/relationships/hyperlink" Target="https://pbs.twimg.com/profile_images/701891172998864896/MWTDgukB_normal.png" TargetMode="External"/><Relationship Id="rId20530" Type="http://schemas.openxmlformats.org/officeDocument/2006/relationships/hyperlink" Target="https://pbs.twimg.com/profile_images/602306844804059136/7pyX-l_A_normal.jpg" TargetMode="External"/><Relationship Id="rId1271" Type="http://schemas.openxmlformats.org/officeDocument/2006/relationships/hyperlink" Target="https://pbs.twimg.com/profile_images/453883735738310657/v_R7tMWg_normal.jpeg" TargetMode="External"/><Relationship Id="rId6943" Type="http://schemas.openxmlformats.org/officeDocument/2006/relationships/hyperlink" Target="https://twitter.com/FernandoLessaRN" TargetMode="External"/><Relationship Id="rId16537" Type="http://schemas.openxmlformats.org/officeDocument/2006/relationships/hyperlink" Target="https://twitter.com/NewsTalk770" TargetMode="External"/><Relationship Id="rId23753" Type="http://schemas.openxmlformats.org/officeDocument/2006/relationships/hyperlink" Target="https://twitter.com/2002_juana" TargetMode="External"/><Relationship Id="rId4494" Type="http://schemas.openxmlformats.org/officeDocument/2006/relationships/hyperlink" Target="https://twitter.com/RodriMachado15" TargetMode="External"/><Relationship Id="rId14088" Type="http://schemas.openxmlformats.org/officeDocument/2006/relationships/hyperlink" Target="https://twitter.com/coralisalondra3" TargetMode="External"/><Relationship Id="rId19010" Type="http://schemas.openxmlformats.org/officeDocument/2006/relationships/hyperlink" Target="https://pbs.twimg.com/profile_images/378800000556673342/6f2f945a7e34f9ede6f4e200ccb89af2_normal.jpeg" TargetMode="External"/><Relationship Id="rId23406" Type="http://schemas.openxmlformats.org/officeDocument/2006/relationships/hyperlink" Target="https://twitter.com/NorthWestDubs" TargetMode="External"/><Relationship Id="rId4147" Type="http://schemas.openxmlformats.org/officeDocument/2006/relationships/hyperlink" Target="https://twitter.com/GuzmanDiiego" TargetMode="External"/><Relationship Id="rId9819" Type="http://schemas.openxmlformats.org/officeDocument/2006/relationships/hyperlink" Target="https://twitter.com/yhuberty" TargetMode="External"/><Relationship Id="rId10698" Type="http://schemas.openxmlformats.org/officeDocument/2006/relationships/hyperlink" Target="https://twitter.com/RobertsBlog/status/723481346530775044" TargetMode="External"/><Relationship Id="rId15620" Type="http://schemas.openxmlformats.org/officeDocument/2006/relationships/hyperlink" Target="https://pbs.twimg.com/profile_images/570375988065935360/ooT_Nq7x_normal.jpeg" TargetMode="External"/><Relationship Id="rId13171" Type="http://schemas.openxmlformats.org/officeDocument/2006/relationships/hyperlink" Target="https://twitter.com/lormayna" TargetMode="External"/><Relationship Id="rId18843" Type="http://schemas.openxmlformats.org/officeDocument/2006/relationships/hyperlink" Target="https://pbs.twimg.com/profile_images/720940325179650048/RXNUe3fZ_normal.jpg" TargetMode="External"/><Relationship Id="rId3230" Type="http://schemas.openxmlformats.org/officeDocument/2006/relationships/hyperlink" Target="https://twitter.com/VWCamperSales/status/723145653652590597" TargetMode="External"/><Relationship Id="rId8902" Type="http://schemas.openxmlformats.org/officeDocument/2006/relationships/hyperlink" Target="https://pbs.twimg.com/profile_images/445440803906002944/ewbdWuzC_normal.jpeg" TargetMode="External"/><Relationship Id="rId16394" Type="http://schemas.openxmlformats.org/officeDocument/2006/relationships/hyperlink" Target="https://twitter.com/rplantt/status/723678716002447361" TargetMode="External"/><Relationship Id="rId20040" Type="http://schemas.openxmlformats.org/officeDocument/2006/relationships/hyperlink" Target="https://pbs.twimg.com/profile_images/722584639395729409/6xOQLAoP_normal.jpg" TargetMode="External"/><Relationship Id="rId25712" Type="http://schemas.openxmlformats.org/officeDocument/2006/relationships/hyperlink" Target="https://pbs.twimg.com/profile_images/718430597354532864/PZG1fgJb_normal.jpg" TargetMode="External"/><Relationship Id="rId6453" Type="http://schemas.openxmlformats.org/officeDocument/2006/relationships/hyperlink" Target="https://twitter.com/eber_staltari/status/723243510225375232" TargetMode="External"/><Relationship Id="rId16047" Type="http://schemas.openxmlformats.org/officeDocument/2006/relationships/hyperlink" Target="https://twitter.com/MepadiL/status/723645724261408769" TargetMode="External"/><Relationship Id="rId23263" Type="http://schemas.openxmlformats.org/officeDocument/2006/relationships/hyperlink" Target="https://twitter.com/Lostforlive15/status/724276450375950337" TargetMode="External"/><Relationship Id="rId6106" Type="http://schemas.openxmlformats.org/officeDocument/2006/relationships/hyperlink" Target="https://twitter.com/Bewickwren/status/723230145687871488" TargetMode="External"/><Relationship Id="rId9676" Type="http://schemas.openxmlformats.org/officeDocument/2006/relationships/hyperlink" Target="https://twitter.com/nicolettamanzio" TargetMode="External"/><Relationship Id="rId2716" Type="http://schemas.openxmlformats.org/officeDocument/2006/relationships/hyperlink" Target="https://pbs.twimg.com/profile_images/720700937740935169/acYmA4IX_normal.jpg" TargetMode="External"/><Relationship Id="rId9329" Type="http://schemas.openxmlformats.org/officeDocument/2006/relationships/hyperlink" Target="https://pbs.twimg.com/profile_images/652191269934993408/5bZKOI8y_normal.jpg" TargetMode="External"/><Relationship Id="rId12657" Type="http://schemas.openxmlformats.org/officeDocument/2006/relationships/hyperlink" Target="https://twitter.com/juergen_p/status/723524735640997889" TargetMode="External"/><Relationship Id="rId15130" Type="http://schemas.openxmlformats.org/officeDocument/2006/relationships/hyperlink" Target="https://twitter.com/j_sturmberg" TargetMode="External"/><Relationship Id="rId5939" Type="http://schemas.openxmlformats.org/officeDocument/2006/relationships/hyperlink" Target="https://twitter.com/UpShiftDigital/status/723224963772211201" TargetMode="External"/><Relationship Id="rId11740" Type="http://schemas.openxmlformats.org/officeDocument/2006/relationships/hyperlink" Target="https://pbs.twimg.com/profile_images/648862182936047616/p6o1BlmC_normal.jpg" TargetMode="External"/><Relationship Id="rId18353" Type="http://schemas.openxmlformats.org/officeDocument/2006/relationships/hyperlink" Target="https://twitter.com/wdanielsen" TargetMode="External"/><Relationship Id="rId22749" Type="http://schemas.openxmlformats.org/officeDocument/2006/relationships/hyperlink" Target="https://pbs.twimg.com/profile_images/724114800272355328/PbhxROt4_normal.jpg" TargetMode="External"/><Relationship Id="rId8412" Type="http://schemas.openxmlformats.org/officeDocument/2006/relationships/hyperlink" Target="https://pbs.twimg.com/profile_images/378800000854855954/0d555726054b01e3c9d6b5241432dc4a_normal.jpeg" TargetMode="External"/><Relationship Id="rId14963" Type="http://schemas.openxmlformats.org/officeDocument/2006/relationships/hyperlink" Target="https://twitter.com/beetlebug1938" TargetMode="External"/><Relationship Id="rId18006" Type="http://schemas.openxmlformats.org/officeDocument/2006/relationships/hyperlink" Target="https://pbs.twimg.com/profile_images/691295347436552194/n11nMbJK_normal.jpg" TargetMode="External"/><Relationship Id="rId25222" Type="http://schemas.openxmlformats.org/officeDocument/2006/relationships/hyperlink" Target="https://twitter.com/DeeZeeX/status/724427732554108928" TargetMode="External"/><Relationship Id="rId14616" Type="http://schemas.openxmlformats.org/officeDocument/2006/relationships/hyperlink" Target="https://twitter.com/yoga_and_more" TargetMode="External"/><Relationship Id="rId21832" Type="http://schemas.openxmlformats.org/officeDocument/2006/relationships/hyperlink" Target="https://twitter.com/Tamara_DeCaluwe/status/724183937665392640" TargetMode="External"/><Relationship Id="rId892" Type="http://schemas.openxmlformats.org/officeDocument/2006/relationships/hyperlink" Target="https://pbs.twimg.com/profile_images/570375988065935360/ooT_Nq7x_normal.jpeg" TargetMode="External"/><Relationship Id="rId2573" Type="http://schemas.openxmlformats.org/officeDocument/2006/relationships/hyperlink" Target="https://twitter.com/EvvoNewBeetles" TargetMode="External"/><Relationship Id="rId9186" Type="http://schemas.openxmlformats.org/officeDocument/2006/relationships/hyperlink" Target="https://twitter.com/Insta_VWT" TargetMode="External"/><Relationship Id="rId12167" Type="http://schemas.openxmlformats.org/officeDocument/2006/relationships/hyperlink" Target="https://twitter.com/SteffenSoeffner/status/723514256788983808" TargetMode="External"/><Relationship Id="rId545" Type="http://schemas.openxmlformats.org/officeDocument/2006/relationships/hyperlink" Target="https://pbs.twimg.com/profile_images/540387283837648896/IaElcjvk_normal.jpeg" TargetMode="External"/><Relationship Id="rId2226" Type="http://schemas.openxmlformats.org/officeDocument/2006/relationships/hyperlink" Target="https://twitter.com/tyres4sale_com/status/723089759875125249" TargetMode="External"/><Relationship Id="rId5796" Type="http://schemas.openxmlformats.org/officeDocument/2006/relationships/hyperlink" Target="https://twitter.com/PoweredToysandB" TargetMode="External"/><Relationship Id="rId17839" Type="http://schemas.openxmlformats.org/officeDocument/2006/relationships/hyperlink" Target="https://twitter.com/clachaf/status/723827416741892096" TargetMode="External"/><Relationship Id="rId5449" Type="http://schemas.openxmlformats.org/officeDocument/2006/relationships/hyperlink" Target="https://twitter.com/Pianoede" TargetMode="External"/><Relationship Id="rId22259" Type="http://schemas.openxmlformats.org/officeDocument/2006/relationships/hyperlink" Target="https://abs.twimg.com/sticky/default_profile_images/default_profile_2_normal.png" TargetMode="External"/><Relationship Id="rId24708" Type="http://schemas.openxmlformats.org/officeDocument/2006/relationships/hyperlink" Target="https://twitter.com/FuscaWorld/status/724385080370683904" TargetMode="External"/><Relationship Id="rId11250" Type="http://schemas.openxmlformats.org/officeDocument/2006/relationships/hyperlink" Target="https://twitter.com/hrinfo/status/723499929239474176" TargetMode="External"/><Relationship Id="rId16922" Type="http://schemas.openxmlformats.org/officeDocument/2006/relationships/hyperlink" Target="https://twitter.com/CaTurfPros/status/723749560502374401" TargetMode="External"/><Relationship Id="rId14473" Type="http://schemas.openxmlformats.org/officeDocument/2006/relationships/hyperlink" Target="https://twitter.com/e13Kiki/status/723574666405785600" TargetMode="External"/><Relationship Id="rId4532" Type="http://schemas.openxmlformats.org/officeDocument/2006/relationships/hyperlink" Target="https://pbs.twimg.com/profile_images/1875408305/RB2004_bigger_normal.jpg" TargetMode="External"/><Relationship Id="rId14126" Type="http://schemas.openxmlformats.org/officeDocument/2006/relationships/hyperlink" Target="https://pbs.twimg.com/profile_images/378800000572104796/1de43e1cf23efb3f4101c02afad0d3b6_normal.png" TargetMode="External"/><Relationship Id="rId17696" Type="http://schemas.openxmlformats.org/officeDocument/2006/relationships/hyperlink" Target="https://pbs.twimg.com/profile_images/482674748619362305/g-7jPc3m_normal.jpeg" TargetMode="External"/><Relationship Id="rId21342" Type="http://schemas.openxmlformats.org/officeDocument/2006/relationships/hyperlink" Target="https://twitter.com/VolkswagenPost/status/724142478144770048" TargetMode="External"/><Relationship Id="rId2083" Type="http://schemas.openxmlformats.org/officeDocument/2006/relationships/hyperlink" Target="https://twitter.com/michellelove13" TargetMode="External"/><Relationship Id="rId7755" Type="http://schemas.openxmlformats.org/officeDocument/2006/relationships/hyperlink" Target="https://twitter.com/Gonzaperalta9/status/723330171118444544" TargetMode="External"/><Relationship Id="rId17349" Type="http://schemas.openxmlformats.org/officeDocument/2006/relationships/hyperlink" Target="https://twitter.com/SantaPodRaceway/status/723792518022873088" TargetMode="External"/><Relationship Id="rId24565" Type="http://schemas.openxmlformats.org/officeDocument/2006/relationships/hyperlink" Target="https://twitter.com/MiltonKeyn_es/status/724372316038266881" TargetMode="External"/><Relationship Id="rId7408" Type="http://schemas.openxmlformats.org/officeDocument/2006/relationships/hyperlink" Target="https://pbs.twimg.com/profile_images/3378184537/c20ae9a7a410821b4f189c34a63380f7_normal.png" TargetMode="External"/><Relationship Id="rId10736" Type="http://schemas.openxmlformats.org/officeDocument/2006/relationships/hyperlink" Target="https://twitter.com/chronsucks" TargetMode="External"/><Relationship Id="rId24218" Type="http://schemas.openxmlformats.org/officeDocument/2006/relationships/hyperlink" Target="https://pbs.twimg.com/profile_images/708353303667671040/p6l9LTSb_normal.jpg" TargetMode="External"/><Relationship Id="rId13959" Type="http://schemas.openxmlformats.org/officeDocument/2006/relationships/hyperlink" Target="https://twitter.com/Automobilwoche" TargetMode="External"/><Relationship Id="rId1569" Type="http://schemas.openxmlformats.org/officeDocument/2006/relationships/hyperlink" Target="https://twitter.com/MoneyguruGr/status/723047232929304576" TargetMode="External"/><Relationship Id="rId16432" Type="http://schemas.openxmlformats.org/officeDocument/2006/relationships/hyperlink" Target="https://twitter.com/VCT_Tweets" TargetMode="External"/><Relationship Id="rId20828" Type="http://schemas.openxmlformats.org/officeDocument/2006/relationships/hyperlink" Target="https://twitter.com/FrancoAguus/status/724048177582714880" TargetMode="External"/><Relationship Id="rId4042" Type="http://schemas.openxmlformats.org/officeDocument/2006/relationships/hyperlink" Target="https://twitter.com/pcbritz" TargetMode="External"/><Relationship Id="rId19655" Type="http://schemas.openxmlformats.org/officeDocument/2006/relationships/hyperlink" Target="https://twitter.com/Kudos_To_You/status/723945484826599425" TargetMode="External"/><Relationship Id="rId23301" Type="http://schemas.openxmlformats.org/officeDocument/2006/relationships/hyperlink" Target="https://pbs.twimg.com/profile_images/2980701149/1e99eebe286037564b8c6b96d36c4b6d_normal.png" TargetMode="External"/><Relationship Id="rId9714" Type="http://schemas.openxmlformats.org/officeDocument/2006/relationships/hyperlink" Target="https://twitter.com/CityIndex" TargetMode="External"/><Relationship Id="rId10593" Type="http://schemas.openxmlformats.org/officeDocument/2006/relationships/hyperlink" Target="https://twitter.com/DubLuvTuning" TargetMode="External"/><Relationship Id="rId19308" Type="http://schemas.openxmlformats.org/officeDocument/2006/relationships/hyperlink" Target="https://pbs.twimg.com/profile_images/615493650785660928/XHUh6HOk_normal.jpg" TargetMode="External"/><Relationship Id="rId7265" Type="http://schemas.openxmlformats.org/officeDocument/2006/relationships/hyperlink" Target="https://pbs.twimg.com/profile_images/710240802551635969/4XYQFs8c_normal.jpg" TargetMode="External"/><Relationship Id="rId10246" Type="http://schemas.openxmlformats.org/officeDocument/2006/relationships/hyperlink" Target="https://pbs.twimg.com/profile_images/604287979302080512/X6Fywnto_normal.jpg" TargetMode="External"/><Relationship Id="rId24075" Type="http://schemas.openxmlformats.org/officeDocument/2006/relationships/hyperlink" Target="https://pbs.twimg.com/profile_images/591464863592894465/NqqnPA98_normal.jpg" TargetMode="External"/><Relationship Id="rId3875" Type="http://schemas.openxmlformats.org/officeDocument/2006/relationships/hyperlink" Target="https://pbs.twimg.com/profile_images/562563461171798017/AkHF4keI_normal.png" TargetMode="External"/><Relationship Id="rId13469" Type="http://schemas.openxmlformats.org/officeDocument/2006/relationships/hyperlink" Target="https://twitter.com/Sumsi_" TargetMode="External"/><Relationship Id="rId15918" Type="http://schemas.openxmlformats.org/officeDocument/2006/relationships/hyperlink" Target="https://twitter.com/MerlinaAlmendra" TargetMode="External"/><Relationship Id="rId20685" Type="http://schemas.openxmlformats.org/officeDocument/2006/relationships/hyperlink" Target="https://twitter.com/celinosouza" TargetMode="External"/><Relationship Id="rId3528" Type="http://schemas.openxmlformats.org/officeDocument/2006/relationships/hyperlink" Target="https://twitter.com/paredes_fina" TargetMode="External"/><Relationship Id="rId20338" Type="http://schemas.openxmlformats.org/officeDocument/2006/relationships/hyperlink" Target="https://pbs.twimg.com/profile_images/534267709093990400/jaRfmyBl_normal.jpeg" TargetMode="External"/><Relationship Id="rId1079" Type="http://schemas.openxmlformats.org/officeDocument/2006/relationships/hyperlink" Target="https://pbs.twimg.com/profile_images/441861706751291392/Z-HgWtQW_normal.png" TargetMode="External"/><Relationship Id="rId6001" Type="http://schemas.openxmlformats.org/officeDocument/2006/relationships/hyperlink" Target="https://twitter.com/SmartSanta/status/723227039105318912" TargetMode="External"/><Relationship Id="rId9571" Type="http://schemas.openxmlformats.org/officeDocument/2006/relationships/hyperlink" Target="https://pbs.twimg.com/profile_images/552037189328982016/r65JRGTS_normal.jpeg" TargetMode="External"/><Relationship Id="rId9224" Type="http://schemas.openxmlformats.org/officeDocument/2006/relationships/hyperlink" Target="https://pbs.twimg.com/profile_images/649586851238572032/GK0i6M1k_normal.png" TargetMode="External"/><Relationship Id="rId12552" Type="http://schemas.openxmlformats.org/officeDocument/2006/relationships/hyperlink" Target="https://twitter.com/BayrleU/status/723522452563890177" TargetMode="External"/><Relationship Id="rId19165" Type="http://schemas.openxmlformats.org/officeDocument/2006/relationships/hyperlink" Target="https://twitter.com/St0psch1ld/status/723921796009975808" TargetMode="External"/><Relationship Id="rId930" Type="http://schemas.openxmlformats.org/officeDocument/2006/relationships/hyperlink" Target="https://twitter.com/DubLuvTuning/status/723003255324848128" TargetMode="External"/><Relationship Id="rId2611" Type="http://schemas.openxmlformats.org/officeDocument/2006/relationships/hyperlink" Target="https://twitter.com/Klaus_Mueller/status/723109285807403008" TargetMode="External"/><Relationship Id="rId12205" Type="http://schemas.openxmlformats.org/officeDocument/2006/relationships/hyperlink" Target="https://twitter.com/woistcoco" TargetMode="External"/><Relationship Id="rId15775" Type="http://schemas.openxmlformats.org/officeDocument/2006/relationships/hyperlink" Target="https://pbs.twimg.com/profile_images/714930427740467201/CILH2iAE_normal.jpg" TargetMode="External"/><Relationship Id="rId22991" Type="http://schemas.openxmlformats.org/officeDocument/2006/relationships/hyperlink" Target="https://twitter.com/funkia35" TargetMode="External"/><Relationship Id="rId5834" Type="http://schemas.openxmlformats.org/officeDocument/2006/relationships/hyperlink" Target="https://twitter.com/schworervw/status/723219495028809728" TargetMode="External"/><Relationship Id="rId15428" Type="http://schemas.openxmlformats.org/officeDocument/2006/relationships/hyperlink" Target="https://twitter.com/Stony_BS/status/723607610080022528" TargetMode="External"/><Relationship Id="rId18998" Type="http://schemas.openxmlformats.org/officeDocument/2006/relationships/hyperlink" Target="https://twitter.com/NetzwerkggS21" TargetMode="External"/><Relationship Id="rId22644" Type="http://schemas.openxmlformats.org/officeDocument/2006/relationships/hyperlink" Target="https://pbs.twimg.com/profile_images/600965523518566400/l0bcJH8l_normal.jpg" TargetMode="External"/><Relationship Id="rId3385" Type="http://schemas.openxmlformats.org/officeDocument/2006/relationships/hyperlink" Target="https://pbs.twimg.com/profile_images/530071272881803264/a_jcCmPZ_normal.png" TargetMode="External"/><Relationship Id="rId20195" Type="http://schemas.openxmlformats.org/officeDocument/2006/relationships/hyperlink" Target="https://twitter.com/Jeremyhughes20G/status/723980386213076993" TargetMode="External"/><Relationship Id="rId3038" Type="http://schemas.openxmlformats.org/officeDocument/2006/relationships/hyperlink" Target="http://dlvr.it/" TargetMode="External"/><Relationship Id="rId9081" Type="http://schemas.openxmlformats.org/officeDocument/2006/relationships/hyperlink" Target="https://pbs.twimg.com/profile_images/638973360169463808/YEbGEWne_normal.jpg" TargetMode="External"/><Relationship Id="rId12062" Type="http://schemas.openxmlformats.org/officeDocument/2006/relationships/hyperlink" Target="https://twitter.com/sinnsturm/status/723512553511497728" TargetMode="External"/><Relationship Id="rId14511" Type="http://schemas.openxmlformats.org/officeDocument/2006/relationships/hyperlink" Target="https://twitter.com/EHcars" TargetMode="External"/><Relationship Id="rId440" Type="http://schemas.openxmlformats.org/officeDocument/2006/relationships/hyperlink" Target="https://twitter.com/Rymilledge32" TargetMode="External"/><Relationship Id="rId2121" Type="http://schemas.openxmlformats.org/officeDocument/2006/relationships/hyperlink" Target="https://pbs.twimg.com/profile_images/378800000461582138/dea3b11d48a7b41fa52ff65a08ce5a0c_normal.jpeg" TargetMode="External"/><Relationship Id="rId17734" Type="http://schemas.openxmlformats.org/officeDocument/2006/relationships/hyperlink" Target="https://twitter.com/RA762/status/723820772112752640" TargetMode="External"/><Relationship Id="rId24950" Type="http://schemas.openxmlformats.org/officeDocument/2006/relationships/hyperlink" Target="https://pbs.twimg.com/profile_images/522469771573350400/e5WjUwRr_normal.png" TargetMode="External"/><Relationship Id="rId5691" Type="http://schemas.openxmlformats.org/officeDocument/2006/relationships/hyperlink" Target="https://twitter.com/LukeDorbin/status/723212769932226560" TargetMode="External"/><Relationship Id="rId15285" Type="http://schemas.openxmlformats.org/officeDocument/2006/relationships/hyperlink" Target="https://pbs.twimg.com/profile_images/645716711723925506/t5G0qOS6_normal.jpg" TargetMode="External"/><Relationship Id="rId24603" Type="http://schemas.openxmlformats.org/officeDocument/2006/relationships/hyperlink" Target="https://twitter.com/quantlabs" TargetMode="External"/><Relationship Id="rId5344" Type="http://schemas.openxmlformats.org/officeDocument/2006/relationships/hyperlink" Target="https://twitter.com/MarylandPIRG/status/723200371896782848" TargetMode="External"/><Relationship Id="rId11895" Type="http://schemas.openxmlformats.org/officeDocument/2006/relationships/hyperlink" Target="https://pbs.twimg.com/profile_images/556562408542445568/pKWad79S_normal.png" TargetMode="External"/><Relationship Id="rId22154" Type="http://schemas.openxmlformats.org/officeDocument/2006/relationships/hyperlink" Target="https://twitter.com/weare_van" TargetMode="External"/><Relationship Id="rId1954" Type="http://schemas.openxmlformats.org/officeDocument/2006/relationships/hyperlink" Target="https://twitter.com/Logistique01/status/723069517098704896" TargetMode="External"/><Relationship Id="rId8567" Type="http://schemas.openxmlformats.org/officeDocument/2006/relationships/hyperlink" Target="https://twitter.com/bindermichi" TargetMode="External"/><Relationship Id="rId11548" Type="http://schemas.openxmlformats.org/officeDocument/2006/relationships/hyperlink" Target="https://twitter.com/IngoHiller" TargetMode="External"/><Relationship Id="rId25377" Type="http://schemas.openxmlformats.org/officeDocument/2006/relationships/hyperlink" Target="https://twitter.com/vwpress_en" TargetMode="External"/><Relationship Id="rId1607" Type="http://schemas.openxmlformats.org/officeDocument/2006/relationships/hyperlink" Target="https://twitter.com/MrConso" TargetMode="External"/><Relationship Id="rId14021" Type="http://schemas.openxmlformats.org/officeDocument/2006/relationships/hyperlink" Target="https://twitter.com/Steckelton" TargetMode="External"/><Relationship Id="rId7650" Type="http://schemas.openxmlformats.org/officeDocument/2006/relationships/hyperlink" Target="https://twitter.com/MoveRally" TargetMode="External"/><Relationship Id="rId17591" Type="http://schemas.openxmlformats.org/officeDocument/2006/relationships/hyperlink" Target="https://twitter.com/KarlySykes/status/723808423188529152" TargetMode="External"/><Relationship Id="rId21987" Type="http://schemas.openxmlformats.org/officeDocument/2006/relationships/hyperlink" Target="https://twitter.com/PrimeRacing1" TargetMode="External"/><Relationship Id="rId7303" Type="http://schemas.openxmlformats.org/officeDocument/2006/relationships/hyperlink" Target="https://pbs.twimg.com/profile_images/716770296963981312/PV5UfpW3_normal.jpg" TargetMode="External"/><Relationship Id="rId10631" Type="http://schemas.openxmlformats.org/officeDocument/2006/relationships/hyperlink" Target="https://twitter.com/AbbeyLeasing/status/723479335978545152" TargetMode="External"/><Relationship Id="rId17244" Type="http://schemas.openxmlformats.org/officeDocument/2006/relationships/hyperlink" Target="https://twitter.com/MJLMcClelland" TargetMode="External"/><Relationship Id="rId24460" Type="http://schemas.openxmlformats.org/officeDocument/2006/relationships/hyperlink" Target="https://twitter.com/Luizesl/status/724361276718223361" TargetMode="External"/><Relationship Id="rId13854" Type="http://schemas.openxmlformats.org/officeDocument/2006/relationships/hyperlink" Target="https://pbs.twimg.com/profile_images/685114290660093952/jpPe-8BQ_normal.jpg" TargetMode="External"/><Relationship Id="rId24113" Type="http://schemas.openxmlformats.org/officeDocument/2006/relationships/hyperlink" Target="https://abs.twimg.com/sticky/default_profile_images/default_profile_6_normal.png" TargetMode="External"/><Relationship Id="rId3913" Type="http://schemas.openxmlformats.org/officeDocument/2006/relationships/hyperlink" Target="https://twitter.com/LashVW/status/723171997614772224" TargetMode="External"/><Relationship Id="rId8077" Type="http://schemas.openxmlformats.org/officeDocument/2006/relationships/hyperlink" Target="https://pbs.twimg.com/profile_images/615493650785660928/XHUh6HOk_normal.jpg" TargetMode="External"/><Relationship Id="rId13507" Type="http://schemas.openxmlformats.org/officeDocument/2006/relationships/hyperlink" Target="https://pbs.twimg.com/profile_images/710902013379403776/pwT_GfMg_normal.jpg" TargetMode="External"/><Relationship Id="rId20723" Type="http://schemas.openxmlformats.org/officeDocument/2006/relationships/hyperlink" Target="https://twitter.com/Insta_VWT" TargetMode="External"/><Relationship Id="rId1464" Type="http://schemas.openxmlformats.org/officeDocument/2006/relationships/hyperlink" Target="http://ingenieur.de/" TargetMode="External"/><Relationship Id="rId11058" Type="http://schemas.openxmlformats.org/officeDocument/2006/relationships/hyperlink" Target="https://pbs.twimg.com/profile_images/1176009351/internetIcon_normal.gif" TargetMode="External"/><Relationship Id="rId19550" Type="http://schemas.openxmlformats.org/officeDocument/2006/relationships/hyperlink" Target="https://twitter.com/LRDValeting" TargetMode="External"/><Relationship Id="rId23946" Type="http://schemas.openxmlformats.org/officeDocument/2006/relationships/hyperlink" Target="https://twitter.com/dubbusses/status/724321675882446848" TargetMode="External"/><Relationship Id="rId1117" Type="http://schemas.openxmlformats.org/officeDocument/2006/relationships/hyperlink" Target="https://t.co/KU3Yz0NXot" TargetMode="External"/><Relationship Id="rId4687" Type="http://schemas.openxmlformats.org/officeDocument/2006/relationships/hyperlink" Target="https://twitter.com/VolkswagenPost/status/723185501029699584" TargetMode="External"/><Relationship Id="rId19203" Type="http://schemas.openxmlformats.org/officeDocument/2006/relationships/hyperlink" Target="https://pbs.twimg.com/profile_images/644897595442241536/62y226Ai_normal.jpg" TargetMode="External"/><Relationship Id="rId21497" Type="http://schemas.openxmlformats.org/officeDocument/2006/relationships/hyperlink" Target="https://twitter.com/rajesh12june/status/724152807608225792" TargetMode="External"/><Relationship Id="rId7160" Type="http://schemas.openxmlformats.org/officeDocument/2006/relationships/hyperlink" Target="https://twitter.com/techhippie/status/723282145234526209" TargetMode="External"/><Relationship Id="rId10141" Type="http://schemas.openxmlformats.org/officeDocument/2006/relationships/hyperlink" Target="https://twitter.com/Matt_Barbera2" TargetMode="External"/><Relationship Id="rId15813" Type="http://schemas.openxmlformats.org/officeDocument/2006/relationships/hyperlink" Target="https://twitter.com/sonysasongko/status/723628581260128256" TargetMode="External"/><Relationship Id="rId3770" Type="http://schemas.openxmlformats.org/officeDocument/2006/relationships/hyperlink" Target="https://twitter.com/BBCBusiness" TargetMode="External"/><Relationship Id="rId13364" Type="http://schemas.openxmlformats.org/officeDocument/2006/relationships/hyperlink" Target="https://twitter.com/Verinesvelo" TargetMode="External"/><Relationship Id="rId20580" Type="http://schemas.openxmlformats.org/officeDocument/2006/relationships/hyperlink" Target="https://twitter.com/nitromex" TargetMode="External"/><Relationship Id="rId3423" Type="http://schemas.openxmlformats.org/officeDocument/2006/relationships/hyperlink" Target="https://twitter.com/Lolaa_Fierrera/status/723157831499825152" TargetMode="External"/><Relationship Id="rId6993" Type="http://schemas.openxmlformats.org/officeDocument/2006/relationships/hyperlink" Target="https://pbs.twimg.com/profile_images/627949001179037696/skEBkS05_normal.jpg" TargetMode="External"/><Relationship Id="rId13017" Type="http://schemas.openxmlformats.org/officeDocument/2006/relationships/hyperlink" Target="https://twitter.com/u98/status/723533318243934208" TargetMode="External"/><Relationship Id="rId16587" Type="http://schemas.openxmlformats.org/officeDocument/2006/relationships/hyperlink" Target="https://pbs.twimg.com/profile_images/2646835465/aa5823578b01b04b7e91d58e8ca88691_normal.jpeg" TargetMode="External"/><Relationship Id="rId20233" Type="http://schemas.openxmlformats.org/officeDocument/2006/relationships/hyperlink" Target="https://twitter.com/Scirocco_Tuning" TargetMode="External"/><Relationship Id="rId6646" Type="http://schemas.openxmlformats.org/officeDocument/2006/relationships/hyperlink" Target="https://pbs.twimg.com/profile_images/707344213738848256/sAMc8HcG_normal.jpg" TargetMode="External"/><Relationship Id="rId19060" Type="http://schemas.openxmlformats.org/officeDocument/2006/relationships/hyperlink" Target="https://pbs.twimg.com/profile_images/681212978528649216/CCxhjhHP_normal.jpg" TargetMode="External"/><Relationship Id="rId23456" Type="http://schemas.openxmlformats.org/officeDocument/2006/relationships/hyperlink" Target="https://twitter.com/ConfitesUK" TargetMode="External"/><Relationship Id="rId4197" Type="http://schemas.openxmlformats.org/officeDocument/2006/relationships/hyperlink" Target="https://twitter.com/_snid" TargetMode="External"/><Relationship Id="rId9869" Type="http://schemas.openxmlformats.org/officeDocument/2006/relationships/hyperlink" Target="https://pbs.twimg.com/profile_images/717767756104409088/FwQrD584_normal.jpg" TargetMode="External"/><Relationship Id="rId12100" Type="http://schemas.openxmlformats.org/officeDocument/2006/relationships/hyperlink" Target="https://twitter.com/franke_media" TargetMode="External"/><Relationship Id="rId23109" Type="http://schemas.openxmlformats.org/officeDocument/2006/relationships/hyperlink" Target="https://twitter.com/beetlebug1938/status/724269076227473408" TargetMode="External"/><Relationship Id="rId15670" Type="http://schemas.openxmlformats.org/officeDocument/2006/relationships/hyperlink" Target="https://www.facebook.com/leon." TargetMode="External"/><Relationship Id="rId2909" Type="http://schemas.openxmlformats.org/officeDocument/2006/relationships/hyperlink" Target="https://pbs.twimg.com/profile_images/722036542416556034/a5ulwDIW_normal.jpg" TargetMode="External"/><Relationship Id="rId3280" Type="http://schemas.openxmlformats.org/officeDocument/2006/relationships/hyperlink" Target="https://pbs.twimg.com/profile_images/652871584131092480/QA_B6SBO_normal.jpg" TargetMode="External"/><Relationship Id="rId15323" Type="http://schemas.openxmlformats.org/officeDocument/2006/relationships/hyperlink" Target="https://twitter.com/jai_verdancy" TargetMode="External"/><Relationship Id="rId18893" Type="http://schemas.openxmlformats.org/officeDocument/2006/relationships/hyperlink" Target="https://twitter.com/tuningblog_eu" TargetMode="External"/><Relationship Id="rId20090" Type="http://schemas.openxmlformats.org/officeDocument/2006/relationships/hyperlink" Target="https://twitter.com/TheLovebusWedCo" TargetMode="External"/><Relationship Id="rId8952" Type="http://schemas.openxmlformats.org/officeDocument/2006/relationships/hyperlink" Target="https://twitter.com/Taykra/status/723412546066087937" TargetMode="External"/><Relationship Id="rId11933" Type="http://schemas.openxmlformats.org/officeDocument/2006/relationships/hyperlink" Target="https://twitter.com/Fotobiene" TargetMode="External"/><Relationship Id="rId18546" Type="http://schemas.openxmlformats.org/officeDocument/2006/relationships/hyperlink" Target="https://pbs.twimg.com/profile_images/683188363030085633/DHnXAkxL_normal.jpg" TargetMode="External"/><Relationship Id="rId25762" Type="http://schemas.openxmlformats.org/officeDocument/2006/relationships/hyperlink" Target="https://twitter.com/RSTOKAR/status/724470377959817216" TargetMode="External"/><Relationship Id="rId6156" Type="http://schemas.openxmlformats.org/officeDocument/2006/relationships/hyperlink" Target="https://twitter.com/WhistleIRL/status/723232851714555906" TargetMode="External"/><Relationship Id="rId8605" Type="http://schemas.openxmlformats.org/officeDocument/2006/relationships/hyperlink" Target="https://pbs.twimg.com/profile_images/719276237852643332/JHIB8NHt_normal.jpg" TargetMode="External"/><Relationship Id="rId16097" Type="http://schemas.openxmlformats.org/officeDocument/2006/relationships/hyperlink" Target="https://pbs.twimg.com/profile_images/718820712757215233/LXXndPTS_normal.jpg" TargetMode="External"/><Relationship Id="rId25415" Type="http://schemas.openxmlformats.org/officeDocument/2006/relationships/hyperlink" Target="https://twitter.com/vickymotorserv1/status/724438067860246528" TargetMode="External"/><Relationship Id="rId14809" Type="http://schemas.openxmlformats.org/officeDocument/2006/relationships/hyperlink" Target="https://pbs.twimg.com/profile_images/627949001179037696/skEBkS05_normal.jpg" TargetMode="External"/><Relationship Id="rId2766" Type="http://schemas.openxmlformats.org/officeDocument/2006/relationships/hyperlink" Target="https://twitter.com/maria26915/status/723117845450731520" TargetMode="External"/><Relationship Id="rId9379" Type="http://schemas.openxmlformats.org/officeDocument/2006/relationships/hyperlink" Target="https://twitter.com/sagaron62" TargetMode="External"/><Relationship Id="rId15180" Type="http://schemas.openxmlformats.org/officeDocument/2006/relationships/hyperlink" Target="https://pbs.twimg.com/profile_images/673216512782688256/MWMPpBm__normal.jpg" TargetMode="External"/><Relationship Id="rId738" Type="http://schemas.openxmlformats.org/officeDocument/2006/relationships/hyperlink" Target="https://twitter.com/debossgarage/status/722976490409721857" TargetMode="External"/><Relationship Id="rId2419" Type="http://schemas.openxmlformats.org/officeDocument/2006/relationships/hyperlink" Target="https://twitter.com/ThomasGleee/status/723100522299969536" TargetMode="External"/><Relationship Id="rId5989" Type="http://schemas.openxmlformats.org/officeDocument/2006/relationships/hyperlink" Target="https://twitter.com/Julikind66/status/723226115096064001" TargetMode="External"/><Relationship Id="rId22799" Type="http://schemas.openxmlformats.org/officeDocument/2006/relationships/hyperlink" Target="https://twitter.com/techhippie" TargetMode="External"/><Relationship Id="rId8462" Type="http://schemas.openxmlformats.org/officeDocument/2006/relationships/hyperlink" Target="https://twitter.com/NZZ" TargetMode="External"/><Relationship Id="rId11790" Type="http://schemas.openxmlformats.org/officeDocument/2006/relationships/hyperlink" Target="https://twitter.com/ophuels/status/723507653033467904" TargetMode="External"/><Relationship Id="rId18056" Type="http://schemas.openxmlformats.org/officeDocument/2006/relationships/hyperlink" Target="https://twitter.com/voosvoos" TargetMode="External"/><Relationship Id="rId25272" Type="http://schemas.openxmlformats.org/officeDocument/2006/relationships/hyperlink" Target="https://pbs.twimg.com/profile_images/717792856149078016/yRMIDscz_normal.jpg" TargetMode="External"/><Relationship Id="rId8115" Type="http://schemas.openxmlformats.org/officeDocument/2006/relationships/hyperlink" Target="https://twitter.com/following_jobs/status/723370626858160128" TargetMode="External"/><Relationship Id="rId11443" Type="http://schemas.openxmlformats.org/officeDocument/2006/relationships/hyperlink" Target="https://twitter.com/WirtschaftDE/status/723502154808315905" TargetMode="External"/><Relationship Id="rId1502" Type="http://schemas.openxmlformats.org/officeDocument/2006/relationships/hyperlink" Target="https://pbs.twimg.com/profile_images/1859860496/image_normal.jpg" TargetMode="External"/><Relationship Id="rId14666" Type="http://schemas.openxmlformats.org/officeDocument/2006/relationships/hyperlink" Target="https://pbs.twimg.com/profile_images/461151199/owl_photoshop_normal.jpg" TargetMode="External"/><Relationship Id="rId21882" Type="http://schemas.openxmlformats.org/officeDocument/2006/relationships/hyperlink" Target="https://pbs.twimg.com/profile_images/2646835465/aa5823578b01b04b7e91d58e8ca88691_normal.jpeg" TargetMode="External"/><Relationship Id="rId4725" Type="http://schemas.openxmlformats.org/officeDocument/2006/relationships/hyperlink" Target="https://twitter.com/DubLuvTuning" TargetMode="External"/><Relationship Id="rId14319" Type="http://schemas.openxmlformats.org/officeDocument/2006/relationships/hyperlink" Target="https://twitter.com/kpeterlBW/status/723572418393022465" TargetMode="External"/><Relationship Id="rId17889" Type="http://schemas.openxmlformats.org/officeDocument/2006/relationships/hyperlink" Target="https://pbs.twimg.com/profile_images/488709218304663552/ImY8iitu_normal.jpeg" TargetMode="External"/><Relationship Id="rId21535" Type="http://schemas.openxmlformats.org/officeDocument/2006/relationships/hyperlink" Target="https://twitter.com/VolkswagenPost" TargetMode="External"/><Relationship Id="rId595" Type="http://schemas.openxmlformats.org/officeDocument/2006/relationships/hyperlink" Target="https://twitter.com/techhippie/status/722967028479479808" TargetMode="External"/><Relationship Id="rId2276" Type="http://schemas.openxmlformats.org/officeDocument/2006/relationships/hyperlink" Target="https://twitter.com/infamyreborn92" TargetMode="External"/><Relationship Id="rId7948" Type="http://schemas.openxmlformats.org/officeDocument/2006/relationships/hyperlink" Target="https://pbs.twimg.com/profile_images/693249020827799552/YPz35zAd_normal.jpg" TargetMode="External"/><Relationship Id="rId24758" Type="http://schemas.openxmlformats.org/officeDocument/2006/relationships/hyperlink" Target="https://twitter.com/VWCamperSales/status/724386837477748737" TargetMode="External"/><Relationship Id="rId248" Type="http://schemas.openxmlformats.org/officeDocument/2006/relationships/hyperlink" Target="https://twitter.com/EV_laadpalen/status/722939975571009536" TargetMode="External"/><Relationship Id="rId5499" Type="http://schemas.openxmlformats.org/officeDocument/2006/relationships/hyperlink" Target="https://pbs.twimg.com/profile_images/530071272881803264/a_jcCmPZ_normal.png" TargetMode="External"/><Relationship Id="rId10929" Type="http://schemas.openxmlformats.org/officeDocument/2006/relationships/hyperlink" Target="https://twitter.com/vwpress_de" TargetMode="External"/><Relationship Id="rId13402" Type="http://schemas.openxmlformats.org/officeDocument/2006/relationships/hyperlink" Target="http://dlvr.it/" TargetMode="External"/><Relationship Id="rId16972" Type="http://schemas.openxmlformats.org/officeDocument/2006/relationships/hyperlink" Target="https://twitter.com/GermanIOD" TargetMode="External"/><Relationship Id="rId1012" Type="http://schemas.openxmlformats.org/officeDocument/2006/relationships/hyperlink" Target="https://pbs.twimg.com/profile_images/644228348651159552/w05y-L9C_normal.jpg" TargetMode="External"/><Relationship Id="rId16625" Type="http://schemas.openxmlformats.org/officeDocument/2006/relationships/hyperlink" Target="https://twitter.com/MiasmaXIII" TargetMode="External"/><Relationship Id="rId23841" Type="http://schemas.openxmlformats.org/officeDocument/2006/relationships/hyperlink" Target="https://twitter.com/WakefieldLovers" TargetMode="External"/><Relationship Id="rId4235" Type="http://schemas.openxmlformats.org/officeDocument/2006/relationships/hyperlink" Target="https://twitter.com/VeeDubMk1_" TargetMode="External"/><Relationship Id="rId4582" Type="http://schemas.openxmlformats.org/officeDocument/2006/relationships/hyperlink" Target="https://twitter.com/celiacernadas/status/723183131931475968" TargetMode="External"/><Relationship Id="rId14176" Type="http://schemas.openxmlformats.org/officeDocument/2006/relationships/hyperlink" Target="https://twitter.com/maimaman_n" TargetMode="External"/><Relationship Id="rId19848" Type="http://schemas.openxmlformats.org/officeDocument/2006/relationships/hyperlink" Target="https://twitter.com/anlofa" TargetMode="External"/><Relationship Id="rId21392" Type="http://schemas.openxmlformats.org/officeDocument/2006/relationships/hyperlink" Target="https://twitter.com/Saluting_Pole" TargetMode="External"/><Relationship Id="rId9907" Type="http://schemas.openxmlformats.org/officeDocument/2006/relationships/hyperlink" Target="https://twitter.com/vw8valve/status/723453747825758208" TargetMode="External"/><Relationship Id="rId10786" Type="http://schemas.openxmlformats.org/officeDocument/2006/relationships/hyperlink" Target="https://pbs.twimg.com/profile_images/697210669771419648/O7a-8quV_normal.jpg" TargetMode="External"/><Relationship Id="rId17399" Type="http://schemas.openxmlformats.org/officeDocument/2006/relationships/hyperlink" Target="https://twitter.com/swanswaygroup/status/723796809626214400" TargetMode="External"/><Relationship Id="rId21045" Type="http://schemas.openxmlformats.org/officeDocument/2006/relationships/hyperlink" Target="https://pbs.twimg.com/profile_images/718820712757215233/LXXndPTS_normal.jpg" TargetMode="External"/><Relationship Id="rId7458" Type="http://schemas.openxmlformats.org/officeDocument/2006/relationships/hyperlink" Target="https://twitter.com/mangogemini/status/723305023870894080" TargetMode="External"/><Relationship Id="rId10439" Type="http://schemas.openxmlformats.org/officeDocument/2006/relationships/hyperlink" Target="https://twitter.com/mvdweyer/status/723472872530927616" TargetMode="External"/><Relationship Id="rId24268" Type="http://schemas.openxmlformats.org/officeDocument/2006/relationships/hyperlink" Target="https://pbs.twimg.com/profile_images/672878354127839232/M7OYc-zx_normal.jpg" TargetMode="External"/><Relationship Id="rId16482" Type="http://schemas.openxmlformats.org/officeDocument/2006/relationships/hyperlink" Target="https://twitter.com/bjsommerville" TargetMode="External"/><Relationship Id="rId18931" Type="http://schemas.openxmlformats.org/officeDocument/2006/relationships/hyperlink" Target="https://pbs.twimg.com/profile_images/684112090534129664/WS5GkOt1_normal.png" TargetMode="External"/><Relationship Id="rId6541" Type="http://schemas.openxmlformats.org/officeDocument/2006/relationships/hyperlink" Target="https://twitter.com/OnlineCarReview/status/723245432818671616" TargetMode="External"/><Relationship Id="rId16135" Type="http://schemas.openxmlformats.org/officeDocument/2006/relationships/hyperlink" Target="https://twitter.com/TejedaLucas/status/723650594020425728" TargetMode="External"/><Relationship Id="rId20878" Type="http://schemas.openxmlformats.org/officeDocument/2006/relationships/hyperlink" Target="https://twitter.com/davidmanu_98" TargetMode="External"/><Relationship Id="rId23351" Type="http://schemas.openxmlformats.org/officeDocument/2006/relationships/hyperlink" Target="https://twitter.com/AutoExpress" TargetMode="External"/><Relationship Id="rId4092" Type="http://schemas.openxmlformats.org/officeDocument/2006/relationships/hyperlink" Target="https://pbs.twimg.com/profile_images/3228351590/aadb36f2b020cc27adac139aac4a5663_normal.jpeg" TargetMode="External"/><Relationship Id="rId23004" Type="http://schemas.openxmlformats.org/officeDocument/2006/relationships/hyperlink" Target="https://twitter.com/BEVENUTO/status/724264337712537601" TargetMode="External"/><Relationship Id="rId9764" Type="http://schemas.openxmlformats.org/officeDocument/2006/relationships/hyperlink" Target="https://twitter.com/specialistveh" TargetMode="External"/><Relationship Id="rId12745" Type="http://schemas.openxmlformats.org/officeDocument/2006/relationships/hyperlink" Target="https://twitter.com/BerHerg/status/723526934735536128" TargetMode="External"/><Relationship Id="rId19358" Type="http://schemas.openxmlformats.org/officeDocument/2006/relationships/hyperlink" Target="https://twitter.com/officewerk" TargetMode="External"/><Relationship Id="rId2804" Type="http://schemas.openxmlformats.org/officeDocument/2006/relationships/hyperlink" Target="https://abs.twimg.com/sticky/default_profile_images/default_profile_5_normal.png" TargetMode="External"/><Relationship Id="rId9417" Type="http://schemas.openxmlformats.org/officeDocument/2006/relationships/hyperlink" Target="https://pbs.twimg.com/profile_images/707176643509538817/-s_VKgK4_normal.jpg" TargetMode="External"/><Relationship Id="rId10296" Type="http://schemas.openxmlformats.org/officeDocument/2006/relationships/hyperlink" Target="https://twitter.com/Bateman_Man/status/723468622920818688" TargetMode="External"/><Relationship Id="rId15968" Type="http://schemas.openxmlformats.org/officeDocument/2006/relationships/hyperlink" Target="https://twitter.com/AgusMarielOk/status/723640111662006272" TargetMode="External"/><Relationship Id="rId18441" Type="http://schemas.openxmlformats.org/officeDocument/2006/relationships/hyperlink" Target="https://twitter.com/Realvelo/status/723868570493571073" TargetMode="External"/><Relationship Id="rId22837" Type="http://schemas.openxmlformats.org/officeDocument/2006/relationships/hyperlink" Target="https://twitter.com/RusselVWMD" TargetMode="External"/><Relationship Id="rId3578" Type="http://schemas.openxmlformats.org/officeDocument/2006/relationships/hyperlink" Target="https://pbs.twimg.com/profile_images/652593086124527616/onf0J8iL_normal.png" TargetMode="External"/><Relationship Id="rId8500" Type="http://schemas.openxmlformats.org/officeDocument/2006/relationships/hyperlink" Target="https://twitter.com/moinmoinsager/status/723391031568277505" TargetMode="External"/><Relationship Id="rId20388" Type="http://schemas.openxmlformats.org/officeDocument/2006/relationships/hyperlink" Target="https://pbs.twimg.com/profile_images/459765540337119232/b35P2TUL_normal.jpeg" TargetMode="External"/><Relationship Id="rId25310" Type="http://schemas.openxmlformats.org/officeDocument/2006/relationships/hyperlink" Target="https://twitter.com/vwpress_en" TargetMode="External"/><Relationship Id="rId6051" Type="http://schemas.openxmlformats.org/officeDocument/2006/relationships/hyperlink" Target="https://twitter.com/svenghali23" TargetMode="External"/><Relationship Id="rId9274" Type="http://schemas.openxmlformats.org/officeDocument/2006/relationships/hyperlink" Target="https://pbs.twimg.com/profile_images/703294545195307008/qeCvrX86_normal.jpg" TargetMode="External"/><Relationship Id="rId14704" Type="http://schemas.openxmlformats.org/officeDocument/2006/relationships/hyperlink" Target="https://twitter.com/VWBeetleSales" TargetMode="External"/><Relationship Id="rId21920" Type="http://schemas.openxmlformats.org/officeDocument/2006/relationships/hyperlink" Target="https://twitter.com/OldeTeddyBears/status/724188513827217408" TargetMode="External"/><Relationship Id="rId633" Type="http://schemas.openxmlformats.org/officeDocument/2006/relationships/hyperlink" Target="https://twitter.com/lEnmanuelSoy" TargetMode="External"/><Relationship Id="rId980" Type="http://schemas.openxmlformats.org/officeDocument/2006/relationships/hyperlink" Target="https://pbs.twimg.com/profile_images/3276572864/7e19a331bf93c7acc57143c7e1a7904d_normal.jpeg" TargetMode="External"/><Relationship Id="rId2314" Type="http://schemas.openxmlformats.org/officeDocument/2006/relationships/hyperlink" Target="https://twitter.com/wintonsauto/status/723095313188167680" TargetMode="External"/><Relationship Id="rId2661" Type="http://schemas.openxmlformats.org/officeDocument/2006/relationships/hyperlink" Target="https://twitter.com/AutoConception/status/723112106615181313" TargetMode="External"/><Relationship Id="rId12255" Type="http://schemas.openxmlformats.org/officeDocument/2006/relationships/hyperlink" Target="https://twitter.com/WowbaggerXX7" TargetMode="External"/><Relationship Id="rId17927" Type="http://schemas.openxmlformats.org/officeDocument/2006/relationships/hyperlink" Target="https://pbs.twimg.com/profile_images/674370430694739972/w8axnsYU_normal.jpg" TargetMode="External"/><Relationship Id="rId5884" Type="http://schemas.openxmlformats.org/officeDocument/2006/relationships/hyperlink" Target="https://twitter.com/DaSperb" TargetMode="External"/><Relationship Id="rId15478" Type="http://schemas.openxmlformats.org/officeDocument/2006/relationships/hyperlink" Target="https://twitter.com/Marktzyniker/status/723608569493512192" TargetMode="External"/><Relationship Id="rId22694" Type="http://schemas.openxmlformats.org/officeDocument/2006/relationships/hyperlink" Target="https://twitter.com/dubbusses" TargetMode="External"/><Relationship Id="rId3088" Type="http://schemas.openxmlformats.org/officeDocument/2006/relationships/hyperlink" Target="https://pbs.twimg.com/profile_images/1622195010/TEBNYC062011_normal.jpg" TargetMode="External"/><Relationship Id="rId5537" Type="http://schemas.openxmlformats.org/officeDocument/2006/relationships/hyperlink" Target="https://twitter.com/acvwpassion/status/723207199045066752" TargetMode="External"/><Relationship Id="rId22347" Type="http://schemas.openxmlformats.org/officeDocument/2006/relationships/hyperlink" Target="https://twitter.com/Mphilpot1/status/724217410199281665" TargetMode="External"/><Relationship Id="rId8010" Type="http://schemas.openxmlformats.org/officeDocument/2006/relationships/hyperlink" Target="https://pbs.twimg.com/profile_images/721878890063355905/4KmdUKQ8_normal.jpg" TargetMode="External"/><Relationship Id="rId14561" Type="http://schemas.openxmlformats.org/officeDocument/2006/relationships/hyperlink" Target="https://twitter.com/kinoptika/status/723575493132349440" TargetMode="External"/><Relationship Id="rId4620" Type="http://schemas.openxmlformats.org/officeDocument/2006/relationships/hyperlink" Target="https://twitter.com/DubLuvTuning" TargetMode="External"/><Relationship Id="rId14214" Type="http://schemas.openxmlformats.org/officeDocument/2006/relationships/hyperlink" Target="https://twitter.com/GeorgAlbrecht1/status/723569324305334272" TargetMode="External"/><Relationship Id="rId21430" Type="http://schemas.openxmlformats.org/officeDocument/2006/relationships/hyperlink" Target="https://pbs.twimg.com/profile_images/609211270642946049/7ONMt_yL_normal.jpg" TargetMode="External"/><Relationship Id="rId490" Type="http://schemas.openxmlformats.org/officeDocument/2006/relationships/hyperlink" Target="https://pbs.twimg.com/profile_images/442823868361633792/SiajxK49_normal.jpeg" TargetMode="External"/><Relationship Id="rId2171" Type="http://schemas.openxmlformats.org/officeDocument/2006/relationships/hyperlink" Target="https://twitter.com/CarLiquidation/status/723085902348611584" TargetMode="External"/><Relationship Id="rId17784" Type="http://schemas.openxmlformats.org/officeDocument/2006/relationships/hyperlink" Target="https://twitter.com/jayne_stackp/status/723822366602698753" TargetMode="External"/><Relationship Id="rId143" Type="http://schemas.openxmlformats.org/officeDocument/2006/relationships/hyperlink" Target="https://pbs.twimg.com/profile_images/652871584131092480/QA_B6SBO_normal.jpg" TargetMode="External"/><Relationship Id="rId5394" Type="http://schemas.openxmlformats.org/officeDocument/2006/relationships/hyperlink" Target="https://pbs.twimg.com/profile_images/2390316345/6km6qzeunm01bvdnlyqk_normal.jpeg" TargetMode="External"/><Relationship Id="rId7843" Type="http://schemas.openxmlformats.org/officeDocument/2006/relationships/hyperlink" Target="https://twitter.com/CaduCardosoFlw" TargetMode="External"/><Relationship Id="rId10824" Type="http://schemas.openxmlformats.org/officeDocument/2006/relationships/hyperlink" Target="https://twitter.com/FrVision/status/723486185893580800" TargetMode="External"/><Relationship Id="rId17437" Type="http://schemas.openxmlformats.org/officeDocument/2006/relationships/hyperlink" Target="https://twitter.com/thomrosenhagen" TargetMode="External"/><Relationship Id="rId24653" Type="http://schemas.openxmlformats.org/officeDocument/2006/relationships/hyperlink" Target="https://twitter.com/beetlebug1938/status/724382870958149632" TargetMode="External"/><Relationship Id="rId5047" Type="http://schemas.openxmlformats.org/officeDocument/2006/relationships/hyperlink" Target="https://twitter.com/CarNewsBit/status/723192981386227712" TargetMode="External"/><Relationship Id="rId24306" Type="http://schemas.openxmlformats.org/officeDocument/2006/relationships/hyperlink" Target="https://twitter.com/Insta_VWT/status/724346554895753216" TargetMode="External"/><Relationship Id="rId11598" Type="http://schemas.openxmlformats.org/officeDocument/2006/relationships/hyperlink" Target="https://twitter.com/APA_LEMONAID/status/723504233446805504" TargetMode="External"/><Relationship Id="rId16520" Type="http://schemas.openxmlformats.org/officeDocument/2006/relationships/hyperlink" Target="https://pbs.twimg.com/profile_images/378800000572104796/1de43e1cf23efb3f4101c02afad0d3b6_normal.png" TargetMode="External"/><Relationship Id="rId20916" Type="http://schemas.openxmlformats.org/officeDocument/2006/relationships/hyperlink" Target="https://twitter.com/happywes/status/724064081229967360" TargetMode="External"/><Relationship Id="rId1657" Type="http://schemas.openxmlformats.org/officeDocument/2006/relationships/hyperlink" Target="https://pbs.twimg.com/profile_images/2268638548/m2eO5C0G_normal" TargetMode="External"/><Relationship Id="rId14071" Type="http://schemas.openxmlformats.org/officeDocument/2006/relationships/hyperlink" Target="https://twitter.com/JoHammonia/status/723563242598064128" TargetMode="External"/><Relationship Id="rId4130" Type="http://schemas.openxmlformats.org/officeDocument/2006/relationships/hyperlink" Target="https://twitter.com/FLI75thm/status/723177054896816128" TargetMode="External"/><Relationship Id="rId9802" Type="http://schemas.openxmlformats.org/officeDocument/2006/relationships/hyperlink" Target="https://twitter.com/brett687/status/723449823156797443" TargetMode="External"/><Relationship Id="rId17294" Type="http://schemas.openxmlformats.org/officeDocument/2006/relationships/hyperlink" Target="https://twitter.com/alemannoEU/status/723787380713512960" TargetMode="External"/><Relationship Id="rId19743" Type="http://schemas.openxmlformats.org/officeDocument/2006/relationships/hyperlink" Target="https://twitter.com/dubbusses" TargetMode="External"/><Relationship Id="rId16" Type="http://schemas.openxmlformats.org/officeDocument/2006/relationships/hyperlink" Target="https://twitter.com/Wise_PLLC" TargetMode="External"/><Relationship Id="rId7353" Type="http://schemas.openxmlformats.org/officeDocument/2006/relationships/hyperlink" Target="https://twitter.com/NicolasTetrault" TargetMode="External"/><Relationship Id="rId10681" Type="http://schemas.openxmlformats.org/officeDocument/2006/relationships/hyperlink" Target="https://pbs.twimg.com/profile_images/378800000512113269/a3f258ad366041bc344fc73f4d82c86b_normal.jpeg" TargetMode="External"/><Relationship Id="rId24163" Type="http://schemas.openxmlformats.org/officeDocument/2006/relationships/hyperlink" Target="https://pbs.twimg.com/profile_images/417530116156432384/_mFhSwvP_normal.jpeg" TargetMode="External"/><Relationship Id="rId7006" Type="http://schemas.openxmlformats.org/officeDocument/2006/relationships/hyperlink" Target="https://twitter.com/Insta_VWT" TargetMode="External"/><Relationship Id="rId10334" Type="http://schemas.openxmlformats.org/officeDocument/2006/relationships/hyperlink" Target="https://twitter.com/AlexanderDuevel" TargetMode="External"/><Relationship Id="rId3963" Type="http://schemas.openxmlformats.org/officeDocument/2006/relationships/hyperlink" Target="https://twitter.com/MagpieFields" TargetMode="External"/><Relationship Id="rId13557" Type="http://schemas.openxmlformats.org/officeDocument/2006/relationships/hyperlink" Target="https://twitter.com/NathanHillp1" TargetMode="External"/><Relationship Id="rId20773" Type="http://schemas.openxmlformats.org/officeDocument/2006/relationships/hyperlink" Target="https://twitter.com/Scirocco_Tuning/status/724043294104248320" TargetMode="External"/><Relationship Id="rId3616" Type="http://schemas.openxmlformats.org/officeDocument/2006/relationships/hyperlink" Target="https://pbs.twimg.com/profile_images/718820712757215233/LXXndPTS_normal.jpg" TargetMode="External"/><Relationship Id="rId16030" Type="http://schemas.openxmlformats.org/officeDocument/2006/relationships/hyperlink" Target="https://pbs.twimg.com/profile_images/620720275085258752/RHLkT3gP_normal.jpg" TargetMode="External"/><Relationship Id="rId20426" Type="http://schemas.openxmlformats.org/officeDocument/2006/relationships/hyperlink" Target="https://twitter.com/LusinaMatias/status/723997904550150148" TargetMode="External"/><Relationship Id="rId23996" Type="http://schemas.openxmlformats.org/officeDocument/2006/relationships/hyperlink" Target="https://pbs.twimg.com/profile_images/621995740177379328/YJAQstq5_normal.jpg" TargetMode="External"/><Relationship Id="rId1167" Type="http://schemas.openxmlformats.org/officeDocument/2006/relationships/hyperlink" Target="https://twitter.com/VWBeetleSales" TargetMode="External"/><Relationship Id="rId6839" Type="http://schemas.openxmlformats.org/officeDocument/2006/relationships/hyperlink" Target="https://twitter.com/KellerRohrback" TargetMode="External"/><Relationship Id="rId12640" Type="http://schemas.openxmlformats.org/officeDocument/2006/relationships/hyperlink" Target="https://pbs.twimg.com/profile_images/723256543500750848/z3umc0Bz_normal.jpg" TargetMode="External"/><Relationship Id="rId19253" Type="http://schemas.openxmlformats.org/officeDocument/2006/relationships/hyperlink" Target="https://pbs.twimg.com/profile_images/705746830928117760/59j-NWpU_normal.jpg" TargetMode="External"/><Relationship Id="rId23649" Type="http://schemas.openxmlformats.org/officeDocument/2006/relationships/hyperlink" Target="https://twitter.com/VWCamperSales" TargetMode="External"/><Relationship Id="rId9312" Type="http://schemas.openxmlformats.org/officeDocument/2006/relationships/hyperlink" Target="https://twitter.com/kasamui" TargetMode="External"/><Relationship Id="rId10191" Type="http://schemas.openxmlformats.org/officeDocument/2006/relationships/hyperlink" Target="https://pbs.twimg.com/profile_images/494941834117124096/NS5KR51W_normal.jpeg" TargetMode="External"/><Relationship Id="rId15863" Type="http://schemas.openxmlformats.org/officeDocument/2006/relationships/hyperlink" Target="http://dlvr.it/" TargetMode="External"/><Relationship Id="rId3473" Type="http://schemas.openxmlformats.org/officeDocument/2006/relationships/hyperlink" Target="https://pbs.twimg.com/profile_images/1249555569/apr_twitter_normal.jpg" TargetMode="External"/><Relationship Id="rId5922" Type="http://schemas.openxmlformats.org/officeDocument/2006/relationships/hyperlink" Target="https://pbs.twimg.com/profile_images/685102900184485888/rhqb81-h_normal.jpg" TargetMode="External"/><Relationship Id="rId13067" Type="http://schemas.openxmlformats.org/officeDocument/2006/relationships/hyperlink" Target="https://twitter.com/VWCamperSales/status/723534597447802880" TargetMode="External"/><Relationship Id="rId15516" Type="http://schemas.openxmlformats.org/officeDocument/2006/relationships/hyperlink" Target="https://twitter.com/Speak_EV" TargetMode="External"/><Relationship Id="rId20283" Type="http://schemas.openxmlformats.org/officeDocument/2006/relationships/hyperlink" Target="https://twitter.com/almadabriian/status/723987512025354240" TargetMode="External"/><Relationship Id="rId22732" Type="http://schemas.openxmlformats.org/officeDocument/2006/relationships/hyperlink" Target="https://twitter.com/javper27" TargetMode="External"/><Relationship Id="rId3126" Type="http://schemas.openxmlformats.org/officeDocument/2006/relationships/hyperlink" Target="https://twitter.com/benkymens" TargetMode="External"/><Relationship Id="rId18739" Type="http://schemas.openxmlformats.org/officeDocument/2006/relationships/hyperlink" Target="https://twitter.com/VWBeetleSales/status/723891947765538817" TargetMode="External"/><Relationship Id="rId6696" Type="http://schemas.openxmlformats.org/officeDocument/2006/relationships/hyperlink" Target="https://twitter.com/IaraaSofia/status/723253467142344705" TargetMode="External"/><Relationship Id="rId25608" Type="http://schemas.openxmlformats.org/officeDocument/2006/relationships/hyperlink" Target="https://twitter.com/breedveldusa/status/724451273764929536" TargetMode="External"/><Relationship Id="rId6349" Type="http://schemas.openxmlformats.org/officeDocument/2006/relationships/hyperlink" Target="https://twitter.com/HermanCookVW" TargetMode="External"/><Relationship Id="rId12150" Type="http://schemas.openxmlformats.org/officeDocument/2006/relationships/hyperlink" Target="https://twitter.com/Der_Oberhauser" TargetMode="External"/><Relationship Id="rId23159" Type="http://schemas.openxmlformats.org/officeDocument/2006/relationships/hyperlink" Target="https://twitter.com/EpicDubs/status/724271517702447104" TargetMode="External"/><Relationship Id="rId2959" Type="http://schemas.openxmlformats.org/officeDocument/2006/relationships/hyperlink" Target="https://twitter.com/LVIaLondres/status/723128264986910720" TargetMode="External"/><Relationship Id="rId15373" Type="http://schemas.openxmlformats.org/officeDocument/2006/relationships/hyperlink" Target="https://twitter.com/nocki61/status/723605520494546951" TargetMode="External"/><Relationship Id="rId17822" Type="http://schemas.openxmlformats.org/officeDocument/2006/relationships/hyperlink" Target="https://twitter.com/devangelista647" TargetMode="External"/><Relationship Id="rId5432" Type="http://schemas.openxmlformats.org/officeDocument/2006/relationships/hyperlink" Target="https://twitter.com/ChuckLane1/status/723203098441719810" TargetMode="External"/><Relationship Id="rId15026" Type="http://schemas.openxmlformats.org/officeDocument/2006/relationships/hyperlink" Target="https://twitter.com/Tonelli22" TargetMode="External"/><Relationship Id="rId22242" Type="http://schemas.openxmlformats.org/officeDocument/2006/relationships/hyperlink" Target="https://twitter.com/MJJENNINGS1987/status/724211073189056513" TargetMode="External"/><Relationship Id="rId8655" Type="http://schemas.openxmlformats.org/officeDocument/2006/relationships/hyperlink" Target="https://twitter.com/ZetsusHotDog/status/723400606170247168" TargetMode="External"/><Relationship Id="rId11983" Type="http://schemas.openxmlformats.org/officeDocument/2006/relationships/hyperlink" Target="https://twitter.com/AgnewVolkswagen" TargetMode="External"/><Relationship Id="rId18249" Type="http://schemas.openxmlformats.org/officeDocument/2006/relationships/hyperlink" Target="https://twitter.com/Soullehhin/status/723857264491134977" TargetMode="External"/><Relationship Id="rId18596" Type="http://schemas.openxmlformats.org/officeDocument/2006/relationships/hyperlink" Target="https://twitter.com/VolkswagenPost/status/723882719713722369" TargetMode="External"/><Relationship Id="rId8308" Type="http://schemas.openxmlformats.org/officeDocument/2006/relationships/hyperlink" Target="https://twitter.com/RB_K_/status/723382215267082240" TargetMode="External"/><Relationship Id="rId11636" Type="http://schemas.openxmlformats.org/officeDocument/2006/relationships/hyperlink" Target="https://twitter.com/har155" TargetMode="External"/><Relationship Id="rId25118" Type="http://schemas.openxmlformats.org/officeDocument/2006/relationships/hyperlink" Target="https://twitter.com/whats_live/status/724420834329268224" TargetMode="External"/><Relationship Id="rId25465" Type="http://schemas.openxmlformats.org/officeDocument/2006/relationships/hyperlink" Target="https://twitter.com/AutoVerdict" TargetMode="External"/><Relationship Id="rId14859" Type="http://schemas.openxmlformats.org/officeDocument/2006/relationships/hyperlink" Target="https://twitter.com/kurtseinitz" TargetMode="External"/><Relationship Id="rId4918" Type="http://schemas.openxmlformats.org/officeDocument/2006/relationships/hyperlink" Target="https://twitter.com/johnvoelcker/status/723190401331396610" TargetMode="External"/><Relationship Id="rId17332" Type="http://schemas.openxmlformats.org/officeDocument/2006/relationships/hyperlink" Target="https://twitter.com/Insta_VWT" TargetMode="External"/><Relationship Id="rId21728" Type="http://schemas.openxmlformats.org/officeDocument/2006/relationships/hyperlink" Target="https://pbs.twimg.com/profile_images/690068229562241028/dtAFj2bm_normal.jpg" TargetMode="External"/><Relationship Id="rId788" Type="http://schemas.openxmlformats.org/officeDocument/2006/relationships/hyperlink" Target="https://twitter.com/VWCamperSales" TargetMode="External"/><Relationship Id="rId2469" Type="http://schemas.openxmlformats.org/officeDocument/2006/relationships/hyperlink" Target="https://twitter.com/c_garrels" TargetMode="External"/><Relationship Id="rId24201" Type="http://schemas.openxmlformats.org/officeDocument/2006/relationships/hyperlink" Target="https://twitter.com/VolkswagenPost" TargetMode="External"/><Relationship Id="rId11493" Type="http://schemas.openxmlformats.org/officeDocument/2006/relationships/hyperlink" Target="https://pbs.twimg.com/profile_images/613903727175467008/xiBI18z2_normal.jpg" TargetMode="External"/><Relationship Id="rId13942" Type="http://schemas.openxmlformats.org/officeDocument/2006/relationships/hyperlink" Target="https://twitter.com/RainerRogge/status/723559438246940672" TargetMode="External"/><Relationship Id="rId1552" Type="http://schemas.openxmlformats.org/officeDocument/2006/relationships/hyperlink" Target="https://pbs.twimg.com/profile_images/622455357219176448/1ysvnVP5_normal.jpg" TargetMode="External"/><Relationship Id="rId8165" Type="http://schemas.openxmlformats.org/officeDocument/2006/relationships/hyperlink" Target="https://pbs.twimg.com/profile_images/641238966541361152/-oEpQ9XT_normal.png" TargetMode="External"/><Relationship Id="rId11146" Type="http://schemas.openxmlformats.org/officeDocument/2006/relationships/hyperlink" Target="https://pbs.twimg.com/profile_images/703995356049252353/5FP6lekY_normal.jpg" TargetMode="External"/><Relationship Id="rId20811" Type="http://schemas.openxmlformats.org/officeDocument/2006/relationships/hyperlink" Target="https://pbs.twimg.com/profile_images/723315631039352832/VcTMp6jG_normal.jpg" TargetMode="External"/><Relationship Id="rId1205" Type="http://schemas.openxmlformats.org/officeDocument/2006/relationships/hyperlink" Target="https://twitter.com/ohchisock" TargetMode="External"/><Relationship Id="rId16818" Type="http://schemas.openxmlformats.org/officeDocument/2006/relationships/hyperlink" Target="https://twitter.com/autoinsight_app/status/723736936641355776" TargetMode="External"/><Relationship Id="rId4775" Type="http://schemas.openxmlformats.org/officeDocument/2006/relationships/hyperlink" Target="https://twitter.com/metricausa/status/723187371248775168" TargetMode="External"/><Relationship Id="rId14369" Type="http://schemas.openxmlformats.org/officeDocument/2006/relationships/hyperlink" Target="https://twitter.com/LombardaMotori/status/723573113280188417" TargetMode="External"/><Relationship Id="rId21585" Type="http://schemas.openxmlformats.org/officeDocument/2006/relationships/hyperlink" Target="https://pbs.twimg.com/profile_images/627949001179037696/skEBkS05_normal.jpg" TargetMode="External"/><Relationship Id="rId298" Type="http://schemas.openxmlformats.org/officeDocument/2006/relationships/hyperlink" Target="https://twitter.com/DubLuvTuning" TargetMode="External"/><Relationship Id="rId4428" Type="http://schemas.openxmlformats.org/officeDocument/2006/relationships/hyperlink" Target="https://twitter.com/034Motorsport/status/723180943473827840" TargetMode="External"/><Relationship Id="rId7998" Type="http://schemas.openxmlformats.org/officeDocument/2006/relationships/hyperlink" Target="https://pbs.twimg.com/profile_images/717472604702052357/yTPUaVAZ_normal.jpg" TargetMode="External"/><Relationship Id="rId10979" Type="http://schemas.openxmlformats.org/officeDocument/2006/relationships/hyperlink" Target="https://pbs.twimg.com/profile_images/694418345488179200/N_UTQBFl_normal.jpg" TargetMode="External"/><Relationship Id="rId21238" Type="http://schemas.openxmlformats.org/officeDocument/2006/relationships/hyperlink" Target="https://pbs.twimg.com/profile_images/423546768706371584/JzuP2NWD_normal.jpeg" TargetMode="External"/><Relationship Id="rId13452" Type="http://schemas.openxmlformats.org/officeDocument/2006/relationships/hyperlink" Target="https://pbs.twimg.com/profile_images/672878354127839232/M7OYc-zx_normal.jpg" TargetMode="External"/><Relationship Id="rId15901" Type="http://schemas.openxmlformats.org/officeDocument/2006/relationships/hyperlink" Target="https://pbs.twimg.com/profile_images/508998286783438848/ZRUQeEUc_normal.jpeg" TargetMode="External"/><Relationship Id="rId3511" Type="http://schemas.openxmlformats.org/officeDocument/2006/relationships/hyperlink" Target="https://twitter.com/lemberglaw/status/723161438672572420" TargetMode="External"/><Relationship Id="rId13105" Type="http://schemas.openxmlformats.org/officeDocument/2006/relationships/hyperlink" Target="https://twitter.com/NetzwerkggS21/status/723535487890235393" TargetMode="External"/><Relationship Id="rId20321" Type="http://schemas.openxmlformats.org/officeDocument/2006/relationships/hyperlink" Target="https://twitter.com/LeoRogeris" TargetMode="External"/><Relationship Id="rId1062" Type="http://schemas.openxmlformats.org/officeDocument/2006/relationships/hyperlink" Target="https://twitter.com/Chio_Vilchis" TargetMode="External"/><Relationship Id="rId6734" Type="http://schemas.openxmlformats.org/officeDocument/2006/relationships/hyperlink" Target="https://twitter.com/Shanepkavanagh/status/723255567817531393" TargetMode="External"/><Relationship Id="rId16675" Type="http://schemas.openxmlformats.org/officeDocument/2006/relationships/hyperlink" Target="https://pbs.twimg.com/profile_images/718820712757215233/LXXndPTS_normal.jpg" TargetMode="External"/><Relationship Id="rId23891" Type="http://schemas.openxmlformats.org/officeDocument/2006/relationships/hyperlink" Target="https://twitter.com/MakarenaFra/status/724319144586416128" TargetMode="External"/><Relationship Id="rId4285" Type="http://schemas.openxmlformats.org/officeDocument/2006/relationships/hyperlink" Target="https://pbs.twimg.com/profile_images/3401568079/1f8937c689f8267ed02ebe9edc3c2739_normal.jpeg" TargetMode="External"/><Relationship Id="rId16328" Type="http://schemas.openxmlformats.org/officeDocument/2006/relationships/hyperlink" Target="https://twitter.com/_Payaso__/status/723669165488394240" TargetMode="External"/><Relationship Id="rId19898" Type="http://schemas.openxmlformats.org/officeDocument/2006/relationships/hyperlink" Target="https://twitter.com/mrodrireus/status/723963013171150848" TargetMode="External"/><Relationship Id="rId21095" Type="http://schemas.openxmlformats.org/officeDocument/2006/relationships/hyperlink" Target="https://twitter.com/capipaula182" TargetMode="External"/><Relationship Id="rId23544" Type="http://schemas.openxmlformats.org/officeDocument/2006/relationships/hyperlink" Target="https://twitter.com/RachelArac/status/724296507365703685" TargetMode="External"/><Relationship Id="rId9957" Type="http://schemas.openxmlformats.org/officeDocument/2006/relationships/hyperlink" Target="https://twitter.com/Scirocco_Tuning" TargetMode="External"/><Relationship Id="rId12938" Type="http://schemas.openxmlformats.org/officeDocument/2006/relationships/hyperlink" Target="https://pbs.twimg.com/profile_images/703662889006194690/MKt1CtHx_normal.jpg" TargetMode="External"/><Relationship Id="rId10489" Type="http://schemas.openxmlformats.org/officeDocument/2006/relationships/hyperlink" Target="https://pbs.twimg.com/profile_images/72891323/IMG_7859_DxO_normal.jpg" TargetMode="External"/><Relationship Id="rId15411" Type="http://schemas.openxmlformats.org/officeDocument/2006/relationships/hyperlink" Target="https://pbs.twimg.com/profile_images/1169387207/uhu_normal.jpg" TargetMode="External"/><Relationship Id="rId18981" Type="http://schemas.openxmlformats.org/officeDocument/2006/relationships/hyperlink" Target="https://pbs.twimg.com/profile_images/718624022561300480/OI27YgLi_normal.jpg" TargetMode="External"/><Relationship Id="rId18634" Type="http://schemas.openxmlformats.org/officeDocument/2006/relationships/hyperlink" Target="https://twitter.com/nurdersven/status/723886174528483331" TargetMode="External"/><Relationship Id="rId3021" Type="http://schemas.openxmlformats.org/officeDocument/2006/relationships/hyperlink" Target="https://twitter.com/OnlineCarReview" TargetMode="External"/><Relationship Id="rId6591" Type="http://schemas.openxmlformats.org/officeDocument/2006/relationships/hyperlink" Target="https://twitter.com/SexenioMX" TargetMode="External"/><Relationship Id="rId16185" Type="http://schemas.openxmlformats.org/officeDocument/2006/relationships/hyperlink" Target="https://twitter.com/RamiBurgos" TargetMode="External"/><Relationship Id="rId25503" Type="http://schemas.openxmlformats.org/officeDocument/2006/relationships/hyperlink" Target="https://pbs.twimg.com/profile_images/378800000341166778/f53681e83985bbd49e5ff4ae1267bf66_normal.jpeg" TargetMode="External"/><Relationship Id="rId6244" Type="http://schemas.openxmlformats.org/officeDocument/2006/relationships/hyperlink" Target="https://twitter.com/AutoNewsTV/status/723236433742450688" TargetMode="External"/><Relationship Id="rId23054" Type="http://schemas.openxmlformats.org/officeDocument/2006/relationships/hyperlink" Target="https://pbs.twimg.com/profile_images/722172141303631872/p8wQTeNf_normal.jpg" TargetMode="External"/><Relationship Id="rId9467" Type="http://schemas.openxmlformats.org/officeDocument/2006/relationships/hyperlink" Target="https://twitter.com/mightybuyer" TargetMode="External"/><Relationship Id="rId12795" Type="http://schemas.openxmlformats.org/officeDocument/2006/relationships/hyperlink" Target="https://pbs.twimg.com/profile_images/718820712757215233/LXXndPTS_normal.jpg" TargetMode="External"/><Relationship Id="rId2854" Type="http://schemas.openxmlformats.org/officeDocument/2006/relationships/hyperlink" Target="https://twitter.com/radiotool/status/723122164593876993" TargetMode="External"/><Relationship Id="rId12448" Type="http://schemas.openxmlformats.org/officeDocument/2006/relationships/hyperlink" Target="https://twitter.com/mokomokai" TargetMode="External"/><Relationship Id="rId826" Type="http://schemas.openxmlformats.org/officeDocument/2006/relationships/hyperlink" Target="https://twitter.com/VolkswagenPost/status/722990415410917381" TargetMode="External"/><Relationship Id="rId2507" Type="http://schemas.openxmlformats.org/officeDocument/2006/relationships/hyperlink" Target="https://twitter.com/oh1984" TargetMode="External"/><Relationship Id="rId18491" Type="http://schemas.openxmlformats.org/officeDocument/2006/relationships/hyperlink" Target="https://pbs.twimg.com/profile_images/653304712834469890/V9tqCgWT_normal.jpg" TargetMode="External"/><Relationship Id="rId22887" Type="http://schemas.openxmlformats.org/officeDocument/2006/relationships/hyperlink" Target="https://twitter.com/dubbusses/status/724254351154384905" TargetMode="External"/><Relationship Id="rId8550" Type="http://schemas.openxmlformats.org/officeDocument/2006/relationships/hyperlink" Target="https://pbs.twimg.com/profile_images/595356435099328513/7555H9eh_normal.jpg" TargetMode="External"/><Relationship Id="rId11531" Type="http://schemas.openxmlformats.org/officeDocument/2006/relationships/hyperlink" Target="https://twitter.com/VCT_Tweets/status/723503229456277504" TargetMode="External"/><Relationship Id="rId18144" Type="http://schemas.openxmlformats.org/officeDocument/2006/relationships/hyperlink" Target="https://twitter.com/WWJ950" TargetMode="External"/><Relationship Id="rId25360" Type="http://schemas.openxmlformats.org/officeDocument/2006/relationships/hyperlink" Target="https://twitter.com/VolkswagenPost/status/724432732864946178" TargetMode="External"/><Relationship Id="rId8203" Type="http://schemas.openxmlformats.org/officeDocument/2006/relationships/hyperlink" Target="https://twitter.com/WobIntosh/status/723377203807842305" TargetMode="External"/><Relationship Id="rId25013" Type="http://schemas.openxmlformats.org/officeDocument/2006/relationships/hyperlink" Target="https://twitter.com/SuranClub/status/724409142664933376" TargetMode="External"/><Relationship Id="rId4813" Type="http://schemas.openxmlformats.org/officeDocument/2006/relationships/hyperlink" Target="https://twitter.com/MhvonS" TargetMode="External"/><Relationship Id="rId14754" Type="http://schemas.openxmlformats.org/officeDocument/2006/relationships/hyperlink" Target="https://pbs.twimg.com/profile_images/702511217793863680/lty8h9vE_normal.jpg" TargetMode="External"/><Relationship Id="rId21970" Type="http://schemas.openxmlformats.org/officeDocument/2006/relationships/hyperlink" Target="https://twitter.com/Globosus/status/724192040305745920" TargetMode="External"/><Relationship Id="rId683" Type="http://schemas.openxmlformats.org/officeDocument/2006/relationships/hyperlink" Target="https://pbs.twimg.com/profile_images/539583451138359297/0bXaMGer_normal.png" TargetMode="External"/><Relationship Id="rId2364" Type="http://schemas.openxmlformats.org/officeDocument/2006/relationships/hyperlink" Target="https://twitter.com/treibholzfilm/status/723097223911841792" TargetMode="External"/><Relationship Id="rId14407" Type="http://schemas.openxmlformats.org/officeDocument/2006/relationships/hyperlink" Target="https://twitter.com/sroski" TargetMode="External"/><Relationship Id="rId17977" Type="http://schemas.openxmlformats.org/officeDocument/2006/relationships/hyperlink" Target="https://twitter.com/PaulMillerAG/status/723839125929881602" TargetMode="External"/><Relationship Id="rId21623" Type="http://schemas.openxmlformats.org/officeDocument/2006/relationships/hyperlink" Target="https://twitter.com/JulikaBrand" TargetMode="External"/><Relationship Id="rId336" Type="http://schemas.openxmlformats.org/officeDocument/2006/relationships/hyperlink" Target="https://twitter.com/Appy_GeekMEX/status/722947882072936448" TargetMode="External"/><Relationship Id="rId2017" Type="http://schemas.openxmlformats.org/officeDocument/2006/relationships/hyperlink" Target="https://twitter.com/BILD_Reporter/status/723076374110605312" TargetMode="External"/><Relationship Id="rId5587" Type="http://schemas.openxmlformats.org/officeDocument/2006/relationships/hyperlink" Target="https://twitter.com/becomeagoogler" TargetMode="External"/><Relationship Id="rId24846" Type="http://schemas.openxmlformats.org/officeDocument/2006/relationships/hyperlink" Target="https://twitter.com/VGTG12/status/724391484573634561" TargetMode="External"/><Relationship Id="rId8060" Type="http://schemas.openxmlformats.org/officeDocument/2006/relationships/hyperlink" Target="https://twitter.com/Scirocco_Tuning" TargetMode="External"/><Relationship Id="rId22397" Type="http://schemas.openxmlformats.org/officeDocument/2006/relationships/hyperlink" Target="https://twitter.com/mvdweyer/status/724221645867589633" TargetMode="External"/><Relationship Id="rId11041" Type="http://schemas.openxmlformats.org/officeDocument/2006/relationships/hyperlink" Target="https://twitter.com/HelloLouKitty" TargetMode="External"/><Relationship Id="rId16713" Type="http://schemas.openxmlformats.org/officeDocument/2006/relationships/hyperlink" Target="https://twitter.com/bigbobblehats" TargetMode="External"/><Relationship Id="rId1100" Type="http://schemas.openxmlformats.org/officeDocument/2006/relationships/hyperlink" Target="https://twitter.com/AmBeautifulShow" TargetMode="External"/><Relationship Id="rId4670" Type="http://schemas.openxmlformats.org/officeDocument/2006/relationships/hyperlink" Target="https://twitter.com/EricRitter" TargetMode="External"/><Relationship Id="rId14264" Type="http://schemas.openxmlformats.org/officeDocument/2006/relationships/hyperlink" Target="https://twitter.com/emanuelakerman1/status/723571103155785729" TargetMode="External"/><Relationship Id="rId21480" Type="http://schemas.openxmlformats.org/officeDocument/2006/relationships/hyperlink" Target="https://twitter.com/yggep74/status/724151991904157696" TargetMode="External"/><Relationship Id="rId4323" Type="http://schemas.openxmlformats.org/officeDocument/2006/relationships/hyperlink" Target="https://twitter.com/ksolo56/status/723179313365966848" TargetMode="External"/><Relationship Id="rId7893" Type="http://schemas.openxmlformats.org/officeDocument/2006/relationships/hyperlink" Target="https://twitter.com/NormReevesVW/status/723338545318907905" TargetMode="External"/><Relationship Id="rId17487" Type="http://schemas.openxmlformats.org/officeDocument/2006/relationships/hyperlink" Target="https://pbs.twimg.com/profile_images/701016168740610048/_rqIqQSf_normal.jpg" TargetMode="External"/><Relationship Id="rId19936" Type="http://schemas.openxmlformats.org/officeDocument/2006/relationships/hyperlink" Target="https://twitter.com/Cari_Leiva" TargetMode="External"/><Relationship Id="rId21133" Type="http://schemas.openxmlformats.org/officeDocument/2006/relationships/hyperlink" Target="https://pbs.twimg.com/profile_images/712783822279032832/E8Ejivyg_normal.jpg" TargetMode="External"/><Relationship Id="rId193" Type="http://schemas.openxmlformats.org/officeDocument/2006/relationships/hyperlink" Target="https://twitter.com/JahiirHdez" TargetMode="External"/><Relationship Id="rId7546" Type="http://schemas.openxmlformats.org/officeDocument/2006/relationships/hyperlink" Target="https://twitter.com/2112greg/status/723309826453852161" TargetMode="External"/><Relationship Id="rId10874" Type="http://schemas.openxmlformats.org/officeDocument/2006/relationships/hyperlink" Target="https://pbs.twimg.com/profile_images/2811019625/854e59145fe44a1333afd6f8facf095d_normal.jpeg" TargetMode="External"/><Relationship Id="rId24356" Type="http://schemas.openxmlformats.org/officeDocument/2006/relationships/hyperlink" Target="https://twitter.com/TheBeatlesHub" TargetMode="External"/><Relationship Id="rId5097" Type="http://schemas.openxmlformats.org/officeDocument/2006/relationships/hyperlink" Target="https://twitter.com/derchotv" TargetMode="External"/><Relationship Id="rId10527" Type="http://schemas.openxmlformats.org/officeDocument/2006/relationships/hyperlink" Target="https://twitter.com/bayl/status/723475806786322432" TargetMode="External"/><Relationship Id="rId24009" Type="http://schemas.openxmlformats.org/officeDocument/2006/relationships/hyperlink" Target="https://pbs.twimg.com/profile_images/627949001179037696/skEBkS05_normal.jpg" TargetMode="External"/><Relationship Id="rId13000" Type="http://schemas.openxmlformats.org/officeDocument/2006/relationships/hyperlink" Target="http://ctrlq.org/maps/address/" TargetMode="External"/><Relationship Id="rId16570" Type="http://schemas.openxmlformats.org/officeDocument/2006/relationships/hyperlink" Target="https://twitter.com/TetsuoHojo" TargetMode="External"/><Relationship Id="rId20966" Type="http://schemas.openxmlformats.org/officeDocument/2006/relationships/hyperlink" Target="https://twitter.com/VWBeetleSales" TargetMode="External"/><Relationship Id="rId3809" Type="http://schemas.openxmlformats.org/officeDocument/2006/relationships/hyperlink" Target="https://twitter.com/dk_tuning" TargetMode="External"/><Relationship Id="rId16223" Type="http://schemas.openxmlformats.org/officeDocument/2006/relationships/hyperlink" Target="https://twitter.com/VWBeetleSales/status/723658925438996480" TargetMode="External"/><Relationship Id="rId19793" Type="http://schemas.openxmlformats.org/officeDocument/2006/relationships/hyperlink" Target="https://twitter.com/VolkswagenPost/status/723957407597113344" TargetMode="External"/><Relationship Id="rId20619" Type="http://schemas.openxmlformats.org/officeDocument/2006/relationships/hyperlink" Target="https://pbs.twimg.com/profile_images/639192854527655942/f6A7MvV__normal.jpg" TargetMode="External"/><Relationship Id="rId4180" Type="http://schemas.openxmlformats.org/officeDocument/2006/relationships/hyperlink" Target="http://www.infooffensive.de/" TargetMode="External"/><Relationship Id="rId9852" Type="http://schemas.openxmlformats.org/officeDocument/2006/relationships/hyperlink" Target="https://twitter.com/CarSniff" TargetMode="External"/><Relationship Id="rId19446" Type="http://schemas.openxmlformats.org/officeDocument/2006/relationships/hyperlink" Target="https://twitter.com/Feliher6Felipe" TargetMode="External"/><Relationship Id="rId66" Type="http://schemas.openxmlformats.org/officeDocument/2006/relationships/hyperlink" Target="https://pbs.twimg.com/profile_images/448914739268034560/9ke9iLLn_normal.jpeg" TargetMode="External"/><Relationship Id="rId9505" Type="http://schemas.openxmlformats.org/officeDocument/2006/relationships/hyperlink" Target="https://twitter.com/beetlebug1938" TargetMode="External"/><Relationship Id="rId10384" Type="http://schemas.openxmlformats.org/officeDocument/2006/relationships/hyperlink" Target="https://twitter.com/backroomspin/status/723471386447122432" TargetMode="External"/><Relationship Id="rId12833" Type="http://schemas.openxmlformats.org/officeDocument/2006/relationships/hyperlink" Target="https://twitter.com/GayosoIvann" TargetMode="External"/><Relationship Id="rId7056" Type="http://schemas.openxmlformats.org/officeDocument/2006/relationships/hyperlink" Target="https://twitter.com/margokissy/status/723276242091384832" TargetMode="External"/><Relationship Id="rId10037" Type="http://schemas.openxmlformats.org/officeDocument/2006/relationships/hyperlink" Target="https://twitter.com/eMobOnline/status/723459059198877698" TargetMode="External"/><Relationship Id="rId3666" Type="http://schemas.openxmlformats.org/officeDocument/2006/relationships/hyperlink" Target="https://twitter.com/Cognisant2000" TargetMode="External"/><Relationship Id="rId15709" Type="http://schemas.openxmlformats.org/officeDocument/2006/relationships/hyperlink" Target="https://twitter.com/golfturkiye/status/723621579637317632" TargetMode="External"/><Relationship Id="rId16080" Type="http://schemas.openxmlformats.org/officeDocument/2006/relationships/hyperlink" Target="https://twitter.com/kngeuro/status/723647696175652864" TargetMode="External"/><Relationship Id="rId22925" Type="http://schemas.openxmlformats.org/officeDocument/2006/relationships/hyperlink" Target="http://dlvr.it/" TargetMode="External"/><Relationship Id="rId3319" Type="http://schemas.openxmlformats.org/officeDocument/2006/relationships/hyperlink" Target="https://twitter.com/techhippie" TargetMode="External"/><Relationship Id="rId20476" Type="http://schemas.openxmlformats.org/officeDocument/2006/relationships/hyperlink" Target="https://twitter.com/AlvaroSPalomino/status/724001995384823808" TargetMode="External"/><Relationship Id="rId6889" Type="http://schemas.openxmlformats.org/officeDocument/2006/relationships/hyperlink" Target="https://twitter.com/FuscaWorld/status/723266419748679680" TargetMode="External"/><Relationship Id="rId12690" Type="http://schemas.openxmlformats.org/officeDocument/2006/relationships/hyperlink" Target="https://twitter.com/Pisepampell/status/723525286801887232" TargetMode="External"/><Relationship Id="rId20129" Type="http://schemas.openxmlformats.org/officeDocument/2006/relationships/hyperlink" Target="https://pbs.twimg.com/profile_images/713946789037142020/KTGceYeg_normal.jpg" TargetMode="External"/><Relationship Id="rId23699" Type="http://schemas.openxmlformats.org/officeDocument/2006/relationships/hyperlink" Target="https://twitter.com/beetlebug1938" TargetMode="External"/><Relationship Id="rId9362" Type="http://schemas.openxmlformats.org/officeDocument/2006/relationships/hyperlink" Target="https://twitter.com/conkers3/status/723431690803126277" TargetMode="External"/><Relationship Id="rId12343" Type="http://schemas.openxmlformats.org/officeDocument/2006/relationships/hyperlink" Target="https://pbs.twimg.com/profile_images/581483594796933120/2NMk7cPY_normal.jpg" TargetMode="External"/><Relationship Id="rId721" Type="http://schemas.openxmlformats.org/officeDocument/2006/relationships/hyperlink" Target="https://twitter.com/wikatu" TargetMode="External"/><Relationship Id="rId2402" Type="http://schemas.openxmlformats.org/officeDocument/2006/relationships/hyperlink" Target="https://twitter.com/Zaur_705/status/723099473539293184" TargetMode="External"/><Relationship Id="rId5972" Type="http://schemas.openxmlformats.org/officeDocument/2006/relationships/hyperlink" Target="https://twitter.com/miica_laera" TargetMode="External"/><Relationship Id="rId9015" Type="http://schemas.openxmlformats.org/officeDocument/2006/relationships/hyperlink" Target="https://twitter.com/TerraInstitute1/status/723416656496627712" TargetMode="External"/><Relationship Id="rId15566" Type="http://schemas.openxmlformats.org/officeDocument/2006/relationships/hyperlink" Target="https://twitter.com/guidobraun/status/723613977389981701" TargetMode="External"/><Relationship Id="rId22782" Type="http://schemas.openxmlformats.org/officeDocument/2006/relationships/hyperlink" Target="https://pbs.twimg.com/profile_images/703294545195307008/qeCvrX86_normal.jpg" TargetMode="External"/><Relationship Id="rId5625" Type="http://schemas.openxmlformats.org/officeDocument/2006/relationships/hyperlink" Target="https://pbs.twimg.com/profile_images/591529940299845632/uZ1KE1uO_normal.jpg" TargetMode="External"/><Relationship Id="rId15219" Type="http://schemas.openxmlformats.org/officeDocument/2006/relationships/hyperlink" Target="https://twitter.com/SJeanWrites" TargetMode="External"/><Relationship Id="rId22435" Type="http://schemas.openxmlformats.org/officeDocument/2006/relationships/hyperlink" Target="https://pbs.twimg.com/profile_images/598032084771348480/ycXInumA_normal.png" TargetMode="External"/><Relationship Id="rId3176" Type="http://schemas.openxmlformats.org/officeDocument/2006/relationships/hyperlink" Target="https://twitter.com/KarlHarenbrock" TargetMode="External"/><Relationship Id="rId18789" Type="http://schemas.openxmlformats.org/officeDocument/2006/relationships/hyperlink" Target="https://twitter.com/VeeDubMk1_/status/723896604684619776" TargetMode="External"/><Relationship Id="rId6399" Type="http://schemas.openxmlformats.org/officeDocument/2006/relationships/hyperlink" Target="https://twitter.com/mycomfor" TargetMode="External"/><Relationship Id="rId8848" Type="http://schemas.openxmlformats.org/officeDocument/2006/relationships/hyperlink" Target="https://pbs.twimg.com/profile_images/378800000497561937/9240096a6e2301504ecc798a461ad54b_normal.jpeg" TargetMode="External"/><Relationship Id="rId11829" Type="http://schemas.openxmlformats.org/officeDocument/2006/relationships/hyperlink" Target="https://pbs.twimg.com/profile_images/378800000747750946/394d9f0f5e6dde5137683d9c98c5c8a9_normal.jpeg" TargetMode="External"/><Relationship Id="rId25658" Type="http://schemas.openxmlformats.org/officeDocument/2006/relationships/hyperlink" Target="https://pbs.twimg.com/profile_images/715865125589221377/LL-u_qje_normal.jpg" TargetMode="External"/><Relationship Id="rId14302" Type="http://schemas.openxmlformats.org/officeDocument/2006/relationships/hyperlink" Target="https://pbs.twimg.com/profile_images/721395136190685185/7AfvVxmI_normal.jpg" TargetMode="External"/><Relationship Id="rId17872" Type="http://schemas.openxmlformats.org/officeDocument/2006/relationships/hyperlink" Target="https://twitter.com/ebaycampervans" TargetMode="External"/><Relationship Id="rId7931" Type="http://schemas.openxmlformats.org/officeDocument/2006/relationships/hyperlink" Target="https://twitter.com/jayyyylew" TargetMode="External"/><Relationship Id="rId17525" Type="http://schemas.openxmlformats.org/officeDocument/2006/relationships/hyperlink" Target="https://twitter.com/Tahsinemres" TargetMode="External"/><Relationship Id="rId24741" Type="http://schemas.openxmlformats.org/officeDocument/2006/relationships/hyperlink" Target="http://ctrlq.org/maps/address/" TargetMode="External"/><Relationship Id="rId231" Type="http://schemas.openxmlformats.org/officeDocument/2006/relationships/hyperlink" Target="https://pbs.twimg.com/profile_images/677190735326797824/thtg9vaL_normal.jpg" TargetMode="External"/><Relationship Id="rId5482" Type="http://schemas.openxmlformats.org/officeDocument/2006/relationships/hyperlink" Target="http://carcomplaints.com/" TargetMode="External"/><Relationship Id="rId10912" Type="http://schemas.openxmlformats.org/officeDocument/2006/relationships/hyperlink" Target="https://twitter.com/ErikDurr/status/723490293450985472" TargetMode="External"/><Relationship Id="rId15076" Type="http://schemas.openxmlformats.org/officeDocument/2006/relationships/hyperlink" Target="https://pbs.twimg.com/profile_images/683976813064941568/4M6noO5e_normal.jpg" TargetMode="External"/><Relationship Id="rId22292" Type="http://schemas.openxmlformats.org/officeDocument/2006/relationships/hyperlink" Target="https://twitter.com/Insta_VWT/status/724213387455016960" TargetMode="External"/><Relationship Id="rId5135" Type="http://schemas.openxmlformats.org/officeDocument/2006/relationships/hyperlink" Target="https://pbs.twimg.com/profile_images/722192780756414464/-kd2pSKL_normal.jpg" TargetMode="External"/><Relationship Id="rId18299" Type="http://schemas.openxmlformats.org/officeDocument/2006/relationships/hyperlink" Target="https://twitter.com/1JulianMartinez/status/723859809628499969" TargetMode="External"/><Relationship Id="rId8358" Type="http://schemas.openxmlformats.org/officeDocument/2006/relationships/hyperlink" Target="https://pbs.twimg.com/profile_images/718820712757215233/LXXndPTS_normal.jpg" TargetMode="External"/><Relationship Id="rId11686" Type="http://schemas.openxmlformats.org/officeDocument/2006/relationships/hyperlink" Target="https://twitter.com/OCherokee" TargetMode="External"/><Relationship Id="rId25168" Type="http://schemas.openxmlformats.org/officeDocument/2006/relationships/hyperlink" Target="https://twitter.com/cmsGOMEX" TargetMode="External"/><Relationship Id="rId1745" Type="http://schemas.openxmlformats.org/officeDocument/2006/relationships/hyperlink" Target="https://pbs.twimg.com/profile_images/649519091892531200/gFXmbSPM_normal.jpg" TargetMode="External"/><Relationship Id="rId11339" Type="http://schemas.openxmlformats.org/officeDocument/2006/relationships/hyperlink" Target="https://twitter.com/noz_el/status/723501094538719232" TargetMode="External"/><Relationship Id="rId19831" Type="http://schemas.openxmlformats.org/officeDocument/2006/relationships/hyperlink" Target="https://twitter.com/BaCuadros/status/723961016510480385" TargetMode="External"/><Relationship Id="rId4968" Type="http://schemas.openxmlformats.org/officeDocument/2006/relationships/hyperlink" Target="https://twitter.com/rlndwbr/status/723191397671682048" TargetMode="External"/><Relationship Id="rId17382" Type="http://schemas.openxmlformats.org/officeDocument/2006/relationships/hyperlink" Target="https://pbs.twimg.com/profile_images/701477016030289921/prD-N92q_normal.jpg" TargetMode="External"/><Relationship Id="rId21778" Type="http://schemas.openxmlformats.org/officeDocument/2006/relationships/hyperlink" Target="https://twitter.com/dubbusses" TargetMode="External"/><Relationship Id="rId7441" Type="http://schemas.openxmlformats.org/officeDocument/2006/relationships/hyperlink" Target="https://pbs.twimg.com/profile_images/615493650785660928/XHUh6HOk_normal.jpg" TargetMode="External"/><Relationship Id="rId10422" Type="http://schemas.openxmlformats.org/officeDocument/2006/relationships/hyperlink" Target="https://twitter.com/bayl" TargetMode="External"/><Relationship Id="rId13992" Type="http://schemas.openxmlformats.org/officeDocument/2006/relationships/hyperlink" Target="https://twitter.com/ltsMnorita/status/723560790322741248" TargetMode="External"/><Relationship Id="rId17035" Type="http://schemas.openxmlformats.org/officeDocument/2006/relationships/hyperlink" Target="http://ctrlq.org/maps/address/" TargetMode="External"/><Relationship Id="rId24251" Type="http://schemas.openxmlformats.org/officeDocument/2006/relationships/hyperlink" Target="http://dlvr.it/" TargetMode="External"/><Relationship Id="rId13645" Type="http://schemas.openxmlformats.org/officeDocument/2006/relationships/hyperlink" Target="https://twitter.com/BILD_Muenchen" TargetMode="External"/><Relationship Id="rId20861" Type="http://schemas.openxmlformats.org/officeDocument/2006/relationships/hyperlink" Target="https://twitter.com/agussnaavaarro/status/724049702820429824" TargetMode="External"/><Relationship Id="rId3704" Type="http://schemas.openxmlformats.org/officeDocument/2006/relationships/hyperlink" Target="https://twitter.com/nbcbayarea/status/723168044973850627" TargetMode="External"/><Relationship Id="rId11196" Type="http://schemas.openxmlformats.org/officeDocument/2006/relationships/hyperlink" Target="https://twitter.com/MichaelNdri" TargetMode="External"/><Relationship Id="rId20514" Type="http://schemas.openxmlformats.org/officeDocument/2006/relationships/hyperlink" Target="https://twitter.com/SantaPodRaceway" TargetMode="External"/><Relationship Id="rId1255" Type="http://schemas.openxmlformats.org/officeDocument/2006/relationships/hyperlink" Target="https://pbs.twimg.com/profile_images/611551355707240448/Nv7_c41P_normal.jpg" TargetMode="External"/><Relationship Id="rId16868" Type="http://schemas.openxmlformats.org/officeDocument/2006/relationships/hyperlink" Target="https://abs.twimg.com/sticky/default_profile_images/default_profile_1_normal.png" TargetMode="External"/><Relationship Id="rId4478" Type="http://schemas.openxmlformats.org/officeDocument/2006/relationships/hyperlink" Target="https://pbs.twimg.com/profile_images/693156293842894848/THX8L389_normal.jpg" TargetMode="External"/><Relationship Id="rId6927" Type="http://schemas.openxmlformats.org/officeDocument/2006/relationships/hyperlink" Target="https://twitter.com/FAZ_Wirtschaft/status/723270261731155968" TargetMode="External"/><Relationship Id="rId9400" Type="http://schemas.openxmlformats.org/officeDocument/2006/relationships/hyperlink" Target="https://twitter.com/Horst1941" TargetMode="External"/><Relationship Id="rId19341" Type="http://schemas.openxmlformats.org/officeDocument/2006/relationships/hyperlink" Target="https://pbs.twimg.com/profile_images/569800899141177344/nVFLMSdb_normal.png" TargetMode="External"/><Relationship Id="rId21288" Type="http://schemas.openxmlformats.org/officeDocument/2006/relationships/hyperlink" Target="https://twitter.com/abcdefghmiokxyz/status/724137870273859584" TargetMode="External"/><Relationship Id="rId23737" Type="http://schemas.openxmlformats.org/officeDocument/2006/relationships/hyperlink" Target="https://twitter.com/VWCamperSales" TargetMode="External"/><Relationship Id="rId15951" Type="http://schemas.openxmlformats.org/officeDocument/2006/relationships/hyperlink" Target="https://pbs.twimg.com/profile_images/710591486228766720/8dYGKdNm_normal.jpg" TargetMode="External"/><Relationship Id="rId15604" Type="http://schemas.openxmlformats.org/officeDocument/2006/relationships/hyperlink" Target="http://ctrlq.org/maps/address/" TargetMode="External"/><Relationship Id="rId22820" Type="http://schemas.openxmlformats.org/officeDocument/2006/relationships/hyperlink" Target="https://twitter.com/luchygonzalez7/status/724248701997322241" TargetMode="External"/><Relationship Id="rId3561" Type="http://schemas.openxmlformats.org/officeDocument/2006/relationships/hyperlink" Target="https://pbs.twimg.com/profile_images/3217712064/cf244c7a705a5d0a3b9c21c8cb5ee9ee_normal.jpeg" TargetMode="External"/><Relationship Id="rId13155" Type="http://schemas.openxmlformats.org/officeDocument/2006/relationships/hyperlink" Target="https://twitter.com/techhippie" TargetMode="External"/><Relationship Id="rId20371" Type="http://schemas.openxmlformats.org/officeDocument/2006/relationships/hyperlink" Target="https://twitter.com/TroyLangford1" TargetMode="External"/><Relationship Id="rId3214" Type="http://schemas.openxmlformats.org/officeDocument/2006/relationships/hyperlink" Target="https://twitter.com/Luchyokk" TargetMode="External"/><Relationship Id="rId6784" Type="http://schemas.openxmlformats.org/officeDocument/2006/relationships/hyperlink" Target="https://twitter.com/VolkswagenPost" TargetMode="External"/><Relationship Id="rId16378" Type="http://schemas.openxmlformats.org/officeDocument/2006/relationships/hyperlink" Target="https://twitter.com/VolkswagenPost" TargetMode="External"/><Relationship Id="rId18827" Type="http://schemas.openxmlformats.org/officeDocument/2006/relationships/hyperlink" Target="https://pbs.twimg.com/profile_images/652871584131092480/QA_B6SBO_normal.jpg" TargetMode="External"/><Relationship Id="rId20024" Type="http://schemas.openxmlformats.org/officeDocument/2006/relationships/hyperlink" Target="https://pbs.twimg.com/profile_images/714356148984553472/3i1jJYkN_normal.jpg" TargetMode="External"/><Relationship Id="rId23594" Type="http://schemas.openxmlformats.org/officeDocument/2006/relationships/hyperlink" Target="https://pbs.twimg.com/profile_images/424893967197433858/iQ86NktX_normal.jpeg" TargetMode="External"/><Relationship Id="rId6437" Type="http://schemas.openxmlformats.org/officeDocument/2006/relationships/hyperlink" Target="https://twitter.com/Insta_VWT/status/723242967650172930" TargetMode="External"/><Relationship Id="rId23247" Type="http://schemas.openxmlformats.org/officeDocument/2006/relationships/hyperlink" Target="https://twitter.com/CheckeredFlagVW/status/724275592171016192" TargetMode="External"/><Relationship Id="rId12988" Type="http://schemas.openxmlformats.org/officeDocument/2006/relationships/hyperlink" Target="https://twitter.com/Patentingenieur/status/723532705460289537" TargetMode="External"/><Relationship Id="rId17910" Type="http://schemas.openxmlformats.org/officeDocument/2006/relationships/hyperlink" Target="https://twitter.com/Turanlar_2023/status/723832316162899968" TargetMode="External"/><Relationship Id="rId15461" Type="http://schemas.openxmlformats.org/officeDocument/2006/relationships/hyperlink" Target="https://pbs.twimg.com/profile_images/424893967197433858/iQ86NktX_normal.jpeg" TargetMode="External"/><Relationship Id="rId3071" Type="http://schemas.openxmlformats.org/officeDocument/2006/relationships/hyperlink" Target="https://twitter.com/Russ_und_Klima/status/723137917900582918" TargetMode="External"/><Relationship Id="rId5520" Type="http://schemas.openxmlformats.org/officeDocument/2006/relationships/hyperlink" Target="https://twitter.com/Carscoop" TargetMode="External"/><Relationship Id="rId15114" Type="http://schemas.openxmlformats.org/officeDocument/2006/relationships/hyperlink" Target="https://pbs.twimg.com/profile_images/696084845211074562/Cn9CCNQa_normal.jpg" TargetMode="External"/><Relationship Id="rId18684" Type="http://schemas.openxmlformats.org/officeDocument/2006/relationships/hyperlink" Target="https://twitter.com/Dex_Morgan96/status/723889023224274944" TargetMode="External"/><Relationship Id="rId22330" Type="http://schemas.openxmlformats.org/officeDocument/2006/relationships/hyperlink" Target="https://twitter.com/VWCamperSales" TargetMode="External"/><Relationship Id="rId8743" Type="http://schemas.openxmlformats.org/officeDocument/2006/relationships/hyperlink" Target="https://pbs.twimg.com/profile_images/679601052325416960/dCWFENi-_normal.jpg" TargetMode="External"/><Relationship Id="rId11724" Type="http://schemas.openxmlformats.org/officeDocument/2006/relationships/hyperlink" Target="http://www.infooffensive.de/" TargetMode="External"/><Relationship Id="rId18337" Type="http://schemas.openxmlformats.org/officeDocument/2006/relationships/hyperlink" Target="https://twitter.com/cherubimu" TargetMode="External"/><Relationship Id="rId25553" Type="http://schemas.openxmlformats.org/officeDocument/2006/relationships/hyperlink" Target="https://twitter.com/OrneCalamante" TargetMode="External"/><Relationship Id="rId6294" Type="http://schemas.openxmlformats.org/officeDocument/2006/relationships/hyperlink" Target="https://twitter.com/kakabimbo/status/723238494689198081" TargetMode="External"/><Relationship Id="rId25206" Type="http://schemas.openxmlformats.org/officeDocument/2006/relationships/hyperlink" Target="https://twitter.com/vwpress_en/status/724426278879789056" TargetMode="External"/><Relationship Id="rId12498" Type="http://schemas.openxmlformats.org/officeDocument/2006/relationships/hyperlink" Target="https://pbs.twimg.com/profile_images/590874983687188481/yxUz-_MP_normal.jpg" TargetMode="External"/><Relationship Id="rId14947" Type="http://schemas.openxmlformats.org/officeDocument/2006/relationships/hyperlink" Target="https://pbs.twimg.com/profile_images/2688871973/17923af03e83ba9d96439300ef4d4e1d_normal.jpeg" TargetMode="External"/><Relationship Id="rId876" Type="http://schemas.openxmlformats.org/officeDocument/2006/relationships/hyperlink" Target="https://twitter.com/sarahkaiserrr/status/722996033916014592" TargetMode="External"/><Relationship Id="rId2557" Type="http://schemas.openxmlformats.org/officeDocument/2006/relationships/hyperlink" Target="https://pbs.twimg.com/profile_images/723119904141000704/OBGf_2Ph_normal.jpg" TargetMode="External"/><Relationship Id="rId17420" Type="http://schemas.openxmlformats.org/officeDocument/2006/relationships/hyperlink" Target="https://twitter.com/JoeFeltch/status/723797926577889280" TargetMode="External"/><Relationship Id="rId21816" Type="http://schemas.openxmlformats.org/officeDocument/2006/relationships/hyperlink" Target="https://twitter.com/FuscaWorld" TargetMode="External"/><Relationship Id="rId529" Type="http://schemas.openxmlformats.org/officeDocument/2006/relationships/hyperlink" Target="https://twitter.com/Scoia_B/status/722964443714465792" TargetMode="External"/><Relationship Id="rId5030" Type="http://schemas.openxmlformats.org/officeDocument/2006/relationships/hyperlink" Target="https://pbs.twimg.com/profile_images/627949001179037696/skEBkS05_normal.jpg" TargetMode="External"/><Relationship Id="rId11581" Type="http://schemas.openxmlformats.org/officeDocument/2006/relationships/hyperlink" Target="https://twitter.com/Dreisessel_AM" TargetMode="External"/><Relationship Id="rId18194" Type="http://schemas.openxmlformats.org/officeDocument/2006/relationships/hyperlink" Target="https://twitter.com/peterlfoster/status/723850681656958977" TargetMode="External"/><Relationship Id="rId1640" Type="http://schemas.openxmlformats.org/officeDocument/2006/relationships/hyperlink" Target="https://twitter.com/Gavlarr78" TargetMode="External"/><Relationship Id="rId8253" Type="http://schemas.openxmlformats.org/officeDocument/2006/relationships/hyperlink" Target="https://twitter.com/yasaimeijin0240" TargetMode="External"/><Relationship Id="rId11234" Type="http://schemas.openxmlformats.org/officeDocument/2006/relationships/hyperlink" Target="https://twitter.com/rbbinforadio" TargetMode="External"/><Relationship Id="rId25063" Type="http://schemas.openxmlformats.org/officeDocument/2006/relationships/hyperlink" Target="https://pbs.twimg.com/profile_images/615595547915849728/59myu3d6_normal.jpg" TargetMode="External"/><Relationship Id="rId4863" Type="http://schemas.openxmlformats.org/officeDocument/2006/relationships/hyperlink" Target="https://pbs.twimg.com/profile_images/2269660943/fffmkk7gq9f90g1ahnyg_normal.jpeg" TargetMode="External"/><Relationship Id="rId14457" Type="http://schemas.openxmlformats.org/officeDocument/2006/relationships/hyperlink" Target="https://twitter.com/themoosemind" TargetMode="External"/><Relationship Id="rId16906" Type="http://schemas.openxmlformats.org/officeDocument/2006/relationships/hyperlink" Target="https://twitter.com/furqan_satcom" TargetMode="External"/><Relationship Id="rId21673" Type="http://schemas.openxmlformats.org/officeDocument/2006/relationships/hyperlink" Target="https://twitter.com/rockettoplay" TargetMode="External"/><Relationship Id="rId4516" Type="http://schemas.openxmlformats.org/officeDocument/2006/relationships/hyperlink" Target="https://twitter.com/Tonelli22/status/723182080105037824" TargetMode="External"/><Relationship Id="rId21326" Type="http://schemas.openxmlformats.org/officeDocument/2006/relationships/hyperlink" Target="https://twitter.com/travelbot666" TargetMode="External"/><Relationship Id="rId386" Type="http://schemas.openxmlformats.org/officeDocument/2006/relationships/hyperlink" Target="https://twitter.com/treatertweeter" TargetMode="External"/><Relationship Id="rId2067" Type="http://schemas.openxmlformats.org/officeDocument/2006/relationships/hyperlink" Target="https://twitter.com/brinthusha/status/723079666282582017" TargetMode="External"/><Relationship Id="rId7739" Type="http://schemas.openxmlformats.org/officeDocument/2006/relationships/hyperlink" Target="https://twitter.com/oldcjs" TargetMode="External"/><Relationship Id="rId24896" Type="http://schemas.openxmlformats.org/officeDocument/2006/relationships/hyperlink" Target="https://pbs.twimg.com/profile_images/718835727027580928/1ssyQ67y_normal.jpg" TargetMode="External"/><Relationship Id="rId11091" Type="http://schemas.openxmlformats.org/officeDocument/2006/relationships/hyperlink" Target="https://twitter.com/de_deutschland/status/723497043474407424" TargetMode="External"/><Relationship Id="rId13540" Type="http://schemas.openxmlformats.org/officeDocument/2006/relationships/hyperlink" Target="https://twitter.com/Fifth_Ave_VW/status/723549933626748928" TargetMode="External"/><Relationship Id="rId24549" Type="http://schemas.openxmlformats.org/officeDocument/2006/relationships/hyperlink" Target="https://twitter.com/DJHeero" TargetMode="External"/><Relationship Id="rId1150" Type="http://schemas.openxmlformats.org/officeDocument/2006/relationships/hyperlink" Target="https://twitter.com/RaiSuedtirol/status/723022828317085697" TargetMode="External"/><Relationship Id="rId16763" Type="http://schemas.openxmlformats.org/officeDocument/2006/relationships/hyperlink" Target="https://twitter.com/VolkswagenPost" TargetMode="External"/><Relationship Id="rId6822" Type="http://schemas.openxmlformats.org/officeDocument/2006/relationships/hyperlink" Target="https://pbs.twimg.com/profile_images/2019162570/RRAJ_headshot_edit_normal.jpg" TargetMode="External"/><Relationship Id="rId16416" Type="http://schemas.openxmlformats.org/officeDocument/2006/relationships/hyperlink" Target="https://pbs.twimg.com/profile_images/679327429643513856/MKIspi1j_normal.jpg" TargetMode="External"/><Relationship Id="rId19986" Type="http://schemas.openxmlformats.org/officeDocument/2006/relationships/hyperlink" Target="https://twitter.com/dubbusses/status/723967550313377792" TargetMode="External"/><Relationship Id="rId23632" Type="http://schemas.openxmlformats.org/officeDocument/2006/relationships/hyperlink" Target="https://abs.twimg.com/sticky/default_profile_images/default_profile_3_normal.png" TargetMode="External"/><Relationship Id="rId4373" Type="http://schemas.openxmlformats.org/officeDocument/2006/relationships/hyperlink" Target="https://twitter.com/brucenilles/status/723179666505228290" TargetMode="External"/><Relationship Id="rId19639" Type="http://schemas.openxmlformats.org/officeDocument/2006/relationships/hyperlink" Target="https://twitter.com/hashtagvanlife" TargetMode="External"/><Relationship Id="rId21183" Type="http://schemas.openxmlformats.org/officeDocument/2006/relationships/hyperlink" Target="https://pbs.twimg.com/profile_images/2860849215/c806820e608c6d14839e5721d065717f_normal.jpeg" TargetMode="External"/><Relationship Id="rId4026" Type="http://schemas.openxmlformats.org/officeDocument/2006/relationships/hyperlink" Target="https://pbs.twimg.com/profile_images/378800000830360955/5fb295e74c438beb9dd7777a56295953_normal.jpeg" TargetMode="External"/><Relationship Id="rId7596" Type="http://schemas.openxmlformats.org/officeDocument/2006/relationships/hyperlink" Target="https://twitter.com/JayPilot87/status/723316399565881344" TargetMode="External"/><Relationship Id="rId10577" Type="http://schemas.openxmlformats.org/officeDocument/2006/relationships/hyperlink" Target="https://pbs.twimg.com/profile_images/525196810566905857/IqsZ5IFD_normal.jpeg" TargetMode="External"/><Relationship Id="rId7249" Type="http://schemas.openxmlformats.org/officeDocument/2006/relationships/hyperlink" Target="https://pbs.twimg.com/profile_images/457654961531125760/YCdjkxyv_normal.jpeg" TargetMode="External"/><Relationship Id="rId13050" Type="http://schemas.openxmlformats.org/officeDocument/2006/relationships/hyperlink" Target="https://pbs.twimg.com/profile_images/651826175686348800/Ayt2FVOc_normal.jpg" TargetMode="External"/><Relationship Id="rId24059" Type="http://schemas.openxmlformats.org/officeDocument/2006/relationships/hyperlink" Target="https://twitter.com/andrealbarello" TargetMode="External"/><Relationship Id="rId18722" Type="http://schemas.openxmlformats.org/officeDocument/2006/relationships/hyperlink" Target="https://twitter.com/Nyck_frank/status/723890689101045760" TargetMode="External"/><Relationship Id="rId3859" Type="http://schemas.openxmlformats.org/officeDocument/2006/relationships/hyperlink" Target="https://twitter.com/Frontal21/status/723170802938474496" TargetMode="External"/><Relationship Id="rId16273" Type="http://schemas.openxmlformats.org/officeDocument/2006/relationships/hyperlink" Target="https://twitter.com/FuscaWorld" TargetMode="External"/><Relationship Id="rId20669" Type="http://schemas.openxmlformats.org/officeDocument/2006/relationships/hyperlink" Target="https://twitter.com/APWCares" TargetMode="External"/><Relationship Id="rId6332" Type="http://schemas.openxmlformats.org/officeDocument/2006/relationships/hyperlink" Target="https://twitter.com/VWCamperSales" TargetMode="External"/><Relationship Id="rId12883" Type="http://schemas.openxmlformats.org/officeDocument/2006/relationships/hyperlink" Target="https://twitter.com/VWBeetleSales/status/723530579522674688" TargetMode="External"/><Relationship Id="rId19496" Type="http://schemas.openxmlformats.org/officeDocument/2006/relationships/hyperlink" Target="https://twitter.com/dubbusses/status/723937324715913217" TargetMode="External"/><Relationship Id="rId23142" Type="http://schemas.openxmlformats.org/officeDocument/2006/relationships/hyperlink" Target="https://twitter.com/2662a7" TargetMode="External"/><Relationship Id="rId2942" Type="http://schemas.openxmlformats.org/officeDocument/2006/relationships/hyperlink" Target="https://pbs.twimg.com/profile_images/530071272881803264/a_jcCmPZ_normal.png" TargetMode="External"/><Relationship Id="rId9555" Type="http://schemas.openxmlformats.org/officeDocument/2006/relationships/hyperlink" Target="https://twitter.com/carworld_uk/status/723440098457481218" TargetMode="External"/><Relationship Id="rId12536" Type="http://schemas.openxmlformats.org/officeDocument/2006/relationships/hyperlink" Target="https://twitter.com/ollitsch09" TargetMode="External"/><Relationship Id="rId19149" Type="http://schemas.openxmlformats.org/officeDocument/2006/relationships/hyperlink" Target="https://twitter.com/StaceyJane212" TargetMode="External"/><Relationship Id="rId914" Type="http://schemas.openxmlformats.org/officeDocument/2006/relationships/hyperlink" Target="https://twitter.com/Gagan10cuAn" TargetMode="External"/><Relationship Id="rId9208" Type="http://schemas.openxmlformats.org/officeDocument/2006/relationships/hyperlink" Target="https://twitter.com/ME262P/status/723425315955970048" TargetMode="External"/><Relationship Id="rId10087" Type="http://schemas.openxmlformats.org/officeDocument/2006/relationships/hyperlink" Target="https://twitter.com/Ch4r32" TargetMode="External"/><Relationship Id="rId5818" Type="http://schemas.openxmlformats.org/officeDocument/2006/relationships/hyperlink" Target="https://twitter.com/SMWA_SN/status/723218784950075392" TargetMode="External"/><Relationship Id="rId15759" Type="http://schemas.openxmlformats.org/officeDocument/2006/relationships/hyperlink" Target="https://pbs.twimg.com/profile_images/717491915541884928/AWPLnitB_normal.jpg" TargetMode="External"/><Relationship Id="rId18232" Type="http://schemas.openxmlformats.org/officeDocument/2006/relationships/hyperlink" Target="https://pbs.twimg.com/profile_images/494041717373300736/H07jZb4u_normal.jpeg" TargetMode="External"/><Relationship Id="rId22975" Type="http://schemas.openxmlformats.org/officeDocument/2006/relationships/hyperlink" Target="https://twitter.com/dantefactor" TargetMode="External"/><Relationship Id="rId3369" Type="http://schemas.openxmlformats.org/officeDocument/2006/relationships/hyperlink" Target="https://twitter.com/visit_dresden/status/723154038582190080" TargetMode="External"/><Relationship Id="rId20179" Type="http://schemas.openxmlformats.org/officeDocument/2006/relationships/hyperlink" Target="https://twitter.com/kagayaki_2012" TargetMode="External"/><Relationship Id="rId22628" Type="http://schemas.openxmlformats.org/officeDocument/2006/relationships/hyperlink" Target="https://pbs.twimg.com/profile_images/719492454529904640/NVvwO7d6_normal.jpg" TargetMode="External"/><Relationship Id="rId25101" Type="http://schemas.openxmlformats.org/officeDocument/2006/relationships/hyperlink" Target="https://twitter.com/cmsGOMEX" TargetMode="External"/><Relationship Id="rId14842" Type="http://schemas.openxmlformats.org/officeDocument/2006/relationships/hyperlink" Target="https://pbs.twimg.com/profile_images/708280127025598464/akwVZYwc_normal.jpg" TargetMode="External"/><Relationship Id="rId4901" Type="http://schemas.openxmlformats.org/officeDocument/2006/relationships/hyperlink" Target="https://pbs.twimg.com/profile_images/536851001144143874/ZkA1n-PI_normal.png" TargetMode="External"/><Relationship Id="rId9065" Type="http://schemas.openxmlformats.org/officeDocument/2006/relationships/hyperlink" Target="https://twitter.com/hugobassey/status/723420694801842177" TargetMode="External"/><Relationship Id="rId12393" Type="http://schemas.openxmlformats.org/officeDocument/2006/relationships/hyperlink" Target="https://twitter.com/Mike_LaJoice" TargetMode="External"/><Relationship Id="rId21711" Type="http://schemas.openxmlformats.org/officeDocument/2006/relationships/hyperlink" Target="https://twitter.com/DelfinaMolinaF/status/724171906811871232" TargetMode="External"/><Relationship Id="rId771" Type="http://schemas.openxmlformats.org/officeDocument/2006/relationships/hyperlink" Target="https://twitter.com/beetlebug1938/status/722980542988357632" TargetMode="External"/><Relationship Id="rId2452" Type="http://schemas.openxmlformats.org/officeDocument/2006/relationships/hyperlink" Target="https://twitter.com/beetlebug1938" TargetMode="External"/><Relationship Id="rId12046" Type="http://schemas.openxmlformats.org/officeDocument/2006/relationships/hyperlink" Target="https://twitter.com/FAZ_Finance/status/723512529989832704" TargetMode="External"/><Relationship Id="rId17718" Type="http://schemas.openxmlformats.org/officeDocument/2006/relationships/hyperlink" Target="https://twitter.com/VolkswagenPost" TargetMode="External"/><Relationship Id="rId24934" Type="http://schemas.openxmlformats.org/officeDocument/2006/relationships/hyperlink" Target="https://pbs.twimg.com/profile_images/627949001179037696/skEBkS05_normal.jpg" TargetMode="External"/><Relationship Id="rId424" Type="http://schemas.openxmlformats.org/officeDocument/2006/relationships/hyperlink" Target="https://pbs.twimg.com/profile_images/687805683958349825/KlBTeF-A_normal.jpg" TargetMode="External"/><Relationship Id="rId2105" Type="http://schemas.openxmlformats.org/officeDocument/2006/relationships/hyperlink" Target="https://twitter.com/ADAC/status/723082530723889152" TargetMode="External"/><Relationship Id="rId5675" Type="http://schemas.openxmlformats.org/officeDocument/2006/relationships/hyperlink" Target="https://pbs.twimg.com/profile_images/703294545195307008/qeCvrX86_normal.jpg" TargetMode="External"/><Relationship Id="rId15269" Type="http://schemas.openxmlformats.org/officeDocument/2006/relationships/hyperlink" Target="https://twitter.com/bjjarenaSA/status/723601979914772483" TargetMode="External"/><Relationship Id="rId22485" Type="http://schemas.openxmlformats.org/officeDocument/2006/relationships/hyperlink" Target="https://twitter.com/morewirralcusts" TargetMode="External"/><Relationship Id="rId5328" Type="http://schemas.openxmlformats.org/officeDocument/2006/relationships/hyperlink" Target="https://twitter.com/et_angel" TargetMode="External"/><Relationship Id="rId8898" Type="http://schemas.openxmlformats.org/officeDocument/2006/relationships/hyperlink" Target="https://twitter.com/bvdvliet/status/723410582657867776" TargetMode="External"/><Relationship Id="rId22138" Type="http://schemas.openxmlformats.org/officeDocument/2006/relationships/hyperlink" Target="https://pbs.twimg.com/profile_images/3095803063/6d0b0cd10bd2f076a374a11a88bb7c2e_normal.jpeg" TargetMode="External"/><Relationship Id="rId11879" Type="http://schemas.openxmlformats.org/officeDocument/2006/relationships/hyperlink" Target="https://twitter.com/Lebeaucarnews" TargetMode="External"/><Relationship Id="rId16801" Type="http://schemas.openxmlformats.org/officeDocument/2006/relationships/hyperlink" Target="https://twitter.com/bodo1962/status/723734953041780736" TargetMode="External"/><Relationship Id="rId1938" Type="http://schemas.openxmlformats.org/officeDocument/2006/relationships/hyperlink" Target="http://fazfinance.net/" TargetMode="External"/><Relationship Id="rId14352" Type="http://schemas.openxmlformats.org/officeDocument/2006/relationships/hyperlink" Target="https://twitter.com/InteressantesIG/status/723572948406284288" TargetMode="External"/><Relationship Id="rId281" Type="http://schemas.openxmlformats.org/officeDocument/2006/relationships/hyperlink" Target="https://twitter.com/VolkswagenPost/status/722942890519982080" TargetMode="External"/><Relationship Id="rId4411" Type="http://schemas.openxmlformats.org/officeDocument/2006/relationships/hyperlink" Target="https://pbs.twimg.com/profile_images/609682170458804225/WAAXyFob_normal.jpg" TargetMode="External"/><Relationship Id="rId7981" Type="http://schemas.openxmlformats.org/officeDocument/2006/relationships/hyperlink" Target="https://twitter.com/AdgmanA" TargetMode="External"/><Relationship Id="rId10962" Type="http://schemas.openxmlformats.org/officeDocument/2006/relationships/hyperlink" Target="https://twitter.com/Uhrus" TargetMode="External"/><Relationship Id="rId14005" Type="http://schemas.openxmlformats.org/officeDocument/2006/relationships/hyperlink" Target="https://pbs.twimg.com/profile_images/652241792293691392/pNutIKYH_normal.png" TargetMode="External"/><Relationship Id="rId17575" Type="http://schemas.openxmlformats.org/officeDocument/2006/relationships/hyperlink" Target="https://twitter.com/LRDValeting" TargetMode="External"/><Relationship Id="rId21221" Type="http://schemas.openxmlformats.org/officeDocument/2006/relationships/hyperlink" Target="https://twitter.com/Low_Performer/status/724126231860535296" TargetMode="External"/><Relationship Id="rId24791" Type="http://schemas.openxmlformats.org/officeDocument/2006/relationships/hyperlink" Target="https://pbs.twimg.com/profile_images/723310007136059396/5UXgVQzj_normal.jpg" TargetMode="External"/><Relationship Id="rId7634" Type="http://schemas.openxmlformats.org/officeDocument/2006/relationships/hyperlink" Target="https://pbs.twimg.com/profile_images/512189796068773888/7GP1qCk4_normal.png" TargetMode="External"/><Relationship Id="rId10615" Type="http://schemas.openxmlformats.org/officeDocument/2006/relationships/hyperlink" Target="https://twitter.com/Marchfelderin/status/723478832867643396" TargetMode="External"/><Relationship Id="rId17228" Type="http://schemas.openxmlformats.org/officeDocument/2006/relationships/hyperlink" Target="https://twitter.com/AmitBadal" TargetMode="External"/><Relationship Id="rId24444" Type="http://schemas.openxmlformats.org/officeDocument/2006/relationships/hyperlink" Target="https://twitter.com/turnepf" TargetMode="External"/><Relationship Id="rId5185" Type="http://schemas.openxmlformats.org/officeDocument/2006/relationships/hyperlink" Target="https://twitter.com/dapper013/status/723196908316037120" TargetMode="External"/><Relationship Id="rId1795" Type="http://schemas.openxmlformats.org/officeDocument/2006/relationships/hyperlink" Target="https://twitter.com/techhippie" TargetMode="External"/><Relationship Id="rId11389" Type="http://schemas.openxmlformats.org/officeDocument/2006/relationships/hyperlink" Target="https://twitter.com/doberah" TargetMode="External"/><Relationship Id="rId13838" Type="http://schemas.openxmlformats.org/officeDocument/2006/relationships/hyperlink" Target="https://pbs.twimg.com/profile_images/3012106875/596e712c99a38ec69b925b7f7ab71986_normal.jpeg" TargetMode="External"/><Relationship Id="rId16311" Type="http://schemas.openxmlformats.org/officeDocument/2006/relationships/hyperlink" Target="https://pbs.twimg.com/profile_images/447441718514700288/peakR1oV_normal.jpeg" TargetMode="External"/><Relationship Id="rId1448" Type="http://schemas.openxmlformats.org/officeDocument/2006/relationships/hyperlink" Target="https://twitter.com/OnlyFerrariPics" TargetMode="External"/><Relationship Id="rId19881" Type="http://schemas.openxmlformats.org/officeDocument/2006/relationships/hyperlink" Target="https://pbs.twimg.com/profile_images/688319995579887616/aJ58T7Ve_normal.jpg" TargetMode="External"/><Relationship Id="rId20707" Type="http://schemas.openxmlformats.org/officeDocument/2006/relationships/hyperlink" Target="https://pbs.twimg.com/profile_images/434840517017608192/Ntw9BKy5_normal.jpeg" TargetMode="External"/><Relationship Id="rId7491" Type="http://schemas.openxmlformats.org/officeDocument/2006/relationships/hyperlink" Target="https://twitter.com/iGSebbattHJ" TargetMode="External"/><Relationship Id="rId9940" Type="http://schemas.openxmlformats.org/officeDocument/2006/relationships/hyperlink" Target="https://twitter.com/instock_de/status/723454618177556480" TargetMode="External"/><Relationship Id="rId12921" Type="http://schemas.openxmlformats.org/officeDocument/2006/relationships/hyperlink" Target="https://twitter.com/TractatusArtium" TargetMode="External"/><Relationship Id="rId17085" Type="http://schemas.openxmlformats.org/officeDocument/2006/relationships/hyperlink" Target="https://pbs.twimg.com/profile_images/422353139384061953/SHo7byiA_normal.png" TargetMode="External"/><Relationship Id="rId19534" Type="http://schemas.openxmlformats.org/officeDocument/2006/relationships/hyperlink" Target="https://pbs.twimg.com/profile_images/648991159876890625/XgxPumHq_normal.png" TargetMode="External"/><Relationship Id="rId7144" Type="http://schemas.openxmlformats.org/officeDocument/2006/relationships/hyperlink" Target="https://twitter.com/danemiomar/status/723281167080935424" TargetMode="External"/><Relationship Id="rId10472" Type="http://schemas.openxmlformats.org/officeDocument/2006/relationships/hyperlink" Target="https://twitter.com/Mat_Struwe" TargetMode="External"/><Relationship Id="rId10125" Type="http://schemas.openxmlformats.org/officeDocument/2006/relationships/hyperlink" Target="http://swat.io/" TargetMode="External"/><Relationship Id="rId13695" Type="http://schemas.openxmlformats.org/officeDocument/2006/relationships/hyperlink" Target="https://pbs.twimg.com/profile_images/591703632497790976/NSuH5_02_normal.jpg" TargetMode="External"/><Relationship Id="rId3754" Type="http://schemas.openxmlformats.org/officeDocument/2006/relationships/hyperlink" Target="https://pbs.twimg.com/profile_images/488939589520740353/HVTIWICi_normal.jpeg" TargetMode="External"/><Relationship Id="rId13348" Type="http://schemas.openxmlformats.org/officeDocument/2006/relationships/hyperlink" Target="https://pbs.twimg.com/profile_images/580763987173732353/vlbyJFgG_normal.jpg" TargetMode="External"/><Relationship Id="rId20564" Type="http://schemas.openxmlformats.org/officeDocument/2006/relationships/hyperlink" Target="https://twitter.com/andreacora66" TargetMode="External"/><Relationship Id="rId3407" Type="http://schemas.openxmlformats.org/officeDocument/2006/relationships/hyperlink" Target="https://twitter.com/WowbaggerXX7" TargetMode="External"/><Relationship Id="rId6977" Type="http://schemas.openxmlformats.org/officeDocument/2006/relationships/hyperlink" Target="https://pbs.twimg.com/profile_images/1646660459/cropped_pic_normal.jpg" TargetMode="External"/><Relationship Id="rId19391" Type="http://schemas.openxmlformats.org/officeDocument/2006/relationships/hyperlink" Target="https://pbs.twimg.com/profile_images/705780107844067328/e7O4UBNb_normal.jpg" TargetMode="External"/><Relationship Id="rId20217" Type="http://schemas.openxmlformats.org/officeDocument/2006/relationships/hyperlink" Target="https://pbs.twimg.com/profile_images/1625824638/1dfsf2_normal.jpg" TargetMode="External"/><Relationship Id="rId23787" Type="http://schemas.openxmlformats.org/officeDocument/2006/relationships/hyperlink" Target="https://twitter.com/VeeDubMk1_/status/724311143599214592" TargetMode="External"/><Relationship Id="rId9450" Type="http://schemas.openxmlformats.org/officeDocument/2006/relationships/hyperlink" Target="https://pbs.twimg.com/profile_images/530071272881803264/a_jcCmPZ_normal.png" TargetMode="External"/><Relationship Id="rId19044" Type="http://schemas.openxmlformats.org/officeDocument/2006/relationships/hyperlink" Target="https://twitter.com/dejbanlaw/status/723915893655240704" TargetMode="External"/><Relationship Id="rId9103" Type="http://schemas.openxmlformats.org/officeDocument/2006/relationships/hyperlink" Target="https://twitter.com/Autourtiti" TargetMode="External"/><Relationship Id="rId12431" Type="http://schemas.openxmlformats.org/officeDocument/2006/relationships/hyperlink" Target="https://twitter.com/ElderSpook/status/723519508888064002" TargetMode="External"/><Relationship Id="rId15654" Type="http://schemas.openxmlformats.org/officeDocument/2006/relationships/hyperlink" Target="https://twitter.com/businessblogged/status/723618440137723904" TargetMode="External"/><Relationship Id="rId22870" Type="http://schemas.openxmlformats.org/officeDocument/2006/relationships/hyperlink" Target="https://pbs.twimg.com/profile_images/722579397442535424/syR-FFVF_normal.jpg" TargetMode="External"/><Relationship Id="rId5713" Type="http://schemas.openxmlformats.org/officeDocument/2006/relationships/hyperlink" Target="https://pbs.twimg.com/profile_images/652871584131092480/QA_B6SBO_normal.jpg" TargetMode="External"/><Relationship Id="rId15307" Type="http://schemas.openxmlformats.org/officeDocument/2006/relationships/hyperlink" Target="https://twitter.com/VWCamperSales" TargetMode="External"/><Relationship Id="rId18877" Type="http://schemas.openxmlformats.org/officeDocument/2006/relationships/hyperlink" Target="https://twitter.com/APA_LEMONAID" TargetMode="External"/><Relationship Id="rId22523" Type="http://schemas.openxmlformats.org/officeDocument/2006/relationships/hyperlink" Target="https://pbs.twimg.com/profile_images/627949001179037696/skEBkS05_normal.jpg" TargetMode="External"/><Relationship Id="rId3264" Type="http://schemas.openxmlformats.org/officeDocument/2006/relationships/hyperlink" Target="https://twitter.com/mairaargaras/status/723148226212315136" TargetMode="External"/><Relationship Id="rId8936" Type="http://schemas.openxmlformats.org/officeDocument/2006/relationships/hyperlink" Target="https://twitter.com/EnergieDevlpmt" TargetMode="External"/><Relationship Id="rId20074" Type="http://schemas.openxmlformats.org/officeDocument/2006/relationships/hyperlink" Target="https://pbs.twimg.com/profile_images/2209657884/Francesc_Ferrer_i_Gu_rdia_normal.jpg" TargetMode="External"/><Relationship Id="rId25746" Type="http://schemas.openxmlformats.org/officeDocument/2006/relationships/hyperlink" Target="https://twitter.com/JamilMamedov" TargetMode="External"/><Relationship Id="rId6487" Type="http://schemas.openxmlformats.org/officeDocument/2006/relationships/hyperlink" Target="https://twitter.com/heutejournal/status/723244527029485569" TargetMode="External"/><Relationship Id="rId11917" Type="http://schemas.openxmlformats.org/officeDocument/2006/relationships/hyperlink" Target="https://pbs.twimg.com/profile_images/563269725921099776/t6eqAhPT_normal.jpeg" TargetMode="External"/><Relationship Id="rId23297" Type="http://schemas.openxmlformats.org/officeDocument/2006/relationships/hyperlink" Target="https://twitter.com/oldcar_photo/status/724278773336694784" TargetMode="External"/><Relationship Id="rId17960" Type="http://schemas.openxmlformats.org/officeDocument/2006/relationships/hyperlink" Target="https://twitter.com/Braulio_Urresti" TargetMode="External"/><Relationship Id="rId2000" Type="http://schemas.openxmlformats.org/officeDocument/2006/relationships/hyperlink" Target="https://pbs.twimg.com/profile_images/719454005991071744/coeXnXYF_normal.jpg" TargetMode="External"/><Relationship Id="rId5570" Type="http://schemas.openxmlformats.org/officeDocument/2006/relationships/hyperlink" Target="https://twitter.com/cleanairfrank/status/723209206401093636" TargetMode="External"/><Relationship Id="rId15164" Type="http://schemas.openxmlformats.org/officeDocument/2006/relationships/hyperlink" Target="https://twitter.com/VolkswagenPost/status/723596365809500160" TargetMode="External"/><Relationship Id="rId17613" Type="http://schemas.openxmlformats.org/officeDocument/2006/relationships/hyperlink" Target="https://pbs.twimg.com/profile_images/719028005406842880/7WaXV5hM_normal.jpg" TargetMode="External"/><Relationship Id="rId22380" Type="http://schemas.openxmlformats.org/officeDocument/2006/relationships/hyperlink" Target="https://twitter.com/keithpp" TargetMode="External"/><Relationship Id="rId5223" Type="http://schemas.openxmlformats.org/officeDocument/2006/relationships/hyperlink" Target="https://twitter.com/DealerCouponsCa/status/723197626674458626" TargetMode="External"/><Relationship Id="rId22033" Type="http://schemas.openxmlformats.org/officeDocument/2006/relationships/hyperlink" Target="https://twitter.com/VWCamperSales/status/724196473198366721" TargetMode="External"/><Relationship Id="rId8793" Type="http://schemas.openxmlformats.org/officeDocument/2006/relationships/hyperlink" Target="https://twitter.com/TGotmar/status/723407064932839424" TargetMode="External"/><Relationship Id="rId11774" Type="http://schemas.openxmlformats.org/officeDocument/2006/relationships/hyperlink" Target="https://twitter.com/ZDFhannover" TargetMode="External"/><Relationship Id="rId18387" Type="http://schemas.openxmlformats.org/officeDocument/2006/relationships/hyperlink" Target="https://twitter.com/VeeDubMk1_/status/723866535543078912" TargetMode="External"/><Relationship Id="rId1833" Type="http://schemas.openxmlformats.org/officeDocument/2006/relationships/hyperlink" Target="https://pbs.twimg.com/profile_images/705027169228099584/Ql9hI--__normal.jpg" TargetMode="External"/><Relationship Id="rId8446" Type="http://schemas.openxmlformats.org/officeDocument/2006/relationships/hyperlink" Target="https://pbs.twimg.com/profile_images/468143992463695872/lMlyvasw_normal.jpeg" TargetMode="External"/><Relationship Id="rId11427" Type="http://schemas.openxmlformats.org/officeDocument/2006/relationships/hyperlink" Target="http://dlvr.it/" TargetMode="External"/><Relationship Id="rId14997" Type="http://schemas.openxmlformats.org/officeDocument/2006/relationships/hyperlink" Target="https://pbs.twimg.com/profile_images/3497903431/ae95594a00a0817e860e73da8fef6dca_normal.png" TargetMode="External"/><Relationship Id="rId25256" Type="http://schemas.openxmlformats.org/officeDocument/2006/relationships/hyperlink" Target="https://twitter.com/WestCoastAuto16/status/724428737513574402" TargetMode="External"/><Relationship Id="rId17470" Type="http://schemas.openxmlformats.org/officeDocument/2006/relationships/hyperlink" Target="https://twitter.com/kasperschrijft" TargetMode="External"/><Relationship Id="rId21866" Type="http://schemas.openxmlformats.org/officeDocument/2006/relationships/hyperlink" Target="https://twitter.com/techhippie" TargetMode="External"/><Relationship Id="rId4709" Type="http://schemas.openxmlformats.org/officeDocument/2006/relationships/hyperlink" Target="https://pbs.twimg.com/profile_images/1622195010/TEBNYC062011_normal.jpg" TargetMode="External"/><Relationship Id="rId17123" Type="http://schemas.openxmlformats.org/officeDocument/2006/relationships/hyperlink" Target="https://twitter.com/OnlyCarrera" TargetMode="External"/><Relationship Id="rId21519" Type="http://schemas.openxmlformats.org/officeDocument/2006/relationships/hyperlink" Target="https://pbs.twimg.com/profile_images/721732844565983232/i7oXhUd2_normal.jpg" TargetMode="External"/><Relationship Id="rId579" Type="http://schemas.openxmlformats.org/officeDocument/2006/relationships/hyperlink" Target="https://twitter.com/ghcj" TargetMode="External"/><Relationship Id="rId5080" Type="http://schemas.openxmlformats.org/officeDocument/2006/relationships/hyperlink" Target="https://twitter.com/sip_media/status/723193746926514176" TargetMode="External"/><Relationship Id="rId10510" Type="http://schemas.openxmlformats.org/officeDocument/2006/relationships/hyperlink" Target="https://twitter.com/DHZ_Handwerk" TargetMode="External"/><Relationship Id="rId13733" Type="http://schemas.openxmlformats.org/officeDocument/2006/relationships/hyperlink" Target="https://twitter.com/19Dolphin39/status/723554273867390977" TargetMode="External"/><Relationship Id="rId1690" Type="http://schemas.openxmlformats.org/officeDocument/2006/relationships/hyperlink" Target="https://pbs.twimg.com/profile_images/720601303387254784/GSc_bEtz_normal.jpg" TargetMode="External"/><Relationship Id="rId11284" Type="http://schemas.openxmlformats.org/officeDocument/2006/relationships/hyperlink" Target="https://pbs.twimg.com/profile_images/669855217513578496/tHE9dIDO_normal.jpg" TargetMode="External"/><Relationship Id="rId16956" Type="http://schemas.openxmlformats.org/officeDocument/2006/relationships/hyperlink" Target="https://pbs.twimg.com/profile_images/569498266786877440/eYP0jdWw_normal.jpeg" TargetMode="External"/><Relationship Id="rId20602" Type="http://schemas.openxmlformats.org/officeDocument/2006/relationships/hyperlink" Target="https://twitter.com/dubbusses" TargetMode="External"/><Relationship Id="rId1343" Type="http://schemas.openxmlformats.org/officeDocument/2006/relationships/hyperlink" Target="https://twitter.com/StZ_NEWS/status/723036711429758976" TargetMode="External"/><Relationship Id="rId16609" Type="http://schemas.openxmlformats.org/officeDocument/2006/relationships/hyperlink" Target="https://twitter.com/Vivu012" TargetMode="External"/><Relationship Id="rId23825" Type="http://schemas.openxmlformats.org/officeDocument/2006/relationships/hyperlink" Target="http://ctrlq.org/maps/address/" TargetMode="External"/><Relationship Id="rId4566" Type="http://schemas.openxmlformats.org/officeDocument/2006/relationships/hyperlink" Target="https://twitter.com/Tonelli22" TargetMode="External"/><Relationship Id="rId21376" Type="http://schemas.openxmlformats.org/officeDocument/2006/relationships/hyperlink" Target="https://pbs.twimg.com/profile_images/530071272881803264/a_jcCmPZ_normal.png" TargetMode="External"/><Relationship Id="rId4219" Type="http://schemas.openxmlformats.org/officeDocument/2006/relationships/hyperlink" Target="https://pbs.twimg.com/profile_images/658684970106507264/fAjFcyfX_normal.jpg" TargetMode="External"/><Relationship Id="rId7789" Type="http://schemas.openxmlformats.org/officeDocument/2006/relationships/hyperlink" Target="https://twitter.com/Ivo_newells/status/723331070578532353" TargetMode="External"/><Relationship Id="rId10020" Type="http://schemas.openxmlformats.org/officeDocument/2006/relationships/hyperlink" Target="https://pbs.twimg.com/profile_images/641589533696491520/z_Rxec7o_normal.jpg" TargetMode="External"/><Relationship Id="rId13590" Type="http://schemas.openxmlformats.org/officeDocument/2006/relationships/hyperlink" Target="https://twitter.com/andreascseh" TargetMode="External"/><Relationship Id="rId21029" Type="http://schemas.openxmlformats.org/officeDocument/2006/relationships/hyperlink" Target="https://twitter.com/Matiasparra97/status/724083310117433344" TargetMode="External"/><Relationship Id="rId24599" Type="http://schemas.openxmlformats.org/officeDocument/2006/relationships/hyperlink" Target="https://pbs.twimg.com/profile_images/1176034618/euCC_normal.jpg" TargetMode="External"/><Relationship Id="rId13243" Type="http://schemas.openxmlformats.org/officeDocument/2006/relationships/hyperlink" Target="https://twitter.com/NetzwerkggS21/status/723540284055891969" TargetMode="External"/><Relationship Id="rId3302" Type="http://schemas.openxmlformats.org/officeDocument/2006/relationships/hyperlink" Target="https://pbs.twimg.com/profile_images/708422551605620736/X-RALn8W_normal.jpg" TargetMode="External"/><Relationship Id="rId18915" Type="http://schemas.openxmlformats.org/officeDocument/2006/relationships/hyperlink" Target="https://twitter.com/dianaclaire" TargetMode="External"/><Relationship Id="rId20112" Type="http://schemas.openxmlformats.org/officeDocument/2006/relationships/hyperlink" Target="https://twitter.com/ErikDurr" TargetMode="External"/><Relationship Id="rId6872" Type="http://schemas.openxmlformats.org/officeDocument/2006/relationships/hyperlink" Target="https://pbs.twimg.com/profile_images/3279995885/2c9f035864a3ab529eb3144a61e4dfa9_normal.jpeg" TargetMode="External"/><Relationship Id="rId16466" Type="http://schemas.openxmlformats.org/officeDocument/2006/relationships/hyperlink" Target="https://twitter.com/FuscaWorld" TargetMode="External"/><Relationship Id="rId23682" Type="http://schemas.openxmlformats.org/officeDocument/2006/relationships/hyperlink" Target="https://twitter.com/daniel_beye/status/724306100737191936" TargetMode="External"/><Relationship Id="rId4076" Type="http://schemas.openxmlformats.org/officeDocument/2006/relationships/hyperlink" Target="https://twitter.com/NikiTurleyBH/status/723175798115581952" TargetMode="External"/><Relationship Id="rId6525" Type="http://schemas.openxmlformats.org/officeDocument/2006/relationships/hyperlink" Target="https://twitter.com/talk910" TargetMode="External"/><Relationship Id="rId16119" Type="http://schemas.openxmlformats.org/officeDocument/2006/relationships/hyperlink" Target="https://twitter.com/mickk1954" TargetMode="External"/><Relationship Id="rId19689" Type="http://schemas.openxmlformats.org/officeDocument/2006/relationships/hyperlink" Target="https://pbs.twimg.com/profile_images/530071272881803264/a_jcCmPZ_normal.png" TargetMode="External"/><Relationship Id="rId23335" Type="http://schemas.openxmlformats.org/officeDocument/2006/relationships/hyperlink" Target="https://twitter.com/NetzwerkggS21" TargetMode="External"/><Relationship Id="rId9748" Type="http://schemas.openxmlformats.org/officeDocument/2006/relationships/hyperlink" Target="https://twitter.com/handelsblatt" TargetMode="External"/><Relationship Id="rId12729" Type="http://schemas.openxmlformats.org/officeDocument/2006/relationships/hyperlink" Target="https://twitter.com/rogerwilc00" TargetMode="External"/><Relationship Id="rId7299" Type="http://schemas.openxmlformats.org/officeDocument/2006/relationships/hyperlink" Target="https://twitter.com/desfilando_bajo/status/723293973855502337" TargetMode="External"/><Relationship Id="rId15202" Type="http://schemas.openxmlformats.org/officeDocument/2006/relationships/hyperlink" Target="https://twitter.com/GeologyColin/status/723598798816055296" TargetMode="External"/><Relationship Id="rId18772" Type="http://schemas.openxmlformats.org/officeDocument/2006/relationships/hyperlink" Target="https://twitter.com/VWBeetleSales" TargetMode="External"/><Relationship Id="rId6382" Type="http://schemas.openxmlformats.org/officeDocument/2006/relationships/hyperlink" Target="http://dlvr.it/" TargetMode="External"/><Relationship Id="rId8831" Type="http://schemas.openxmlformats.org/officeDocument/2006/relationships/hyperlink" Target="https://twitter.com/iViewing" TargetMode="External"/><Relationship Id="rId11812" Type="http://schemas.openxmlformats.org/officeDocument/2006/relationships/hyperlink" Target="https://twitter.com/Minister_Remmel" TargetMode="External"/><Relationship Id="rId18425" Type="http://schemas.openxmlformats.org/officeDocument/2006/relationships/hyperlink" Target="https://twitter.com/eRplusP/status/723867848486039553" TargetMode="External"/><Relationship Id="rId23192" Type="http://schemas.openxmlformats.org/officeDocument/2006/relationships/hyperlink" Target="https://twitter.com/VWBeetleSales/status/724272711355113474" TargetMode="External"/><Relationship Id="rId25641" Type="http://schemas.openxmlformats.org/officeDocument/2006/relationships/hyperlink" Target="https://twitter.com/TheRemixStudio" TargetMode="External"/><Relationship Id="rId6035" Type="http://schemas.openxmlformats.org/officeDocument/2006/relationships/hyperlink" Target="https://pbs.twimg.com/profile_images/693887752278937600/WwshKElQ_normal.png" TargetMode="External"/><Relationship Id="rId2992" Type="http://schemas.openxmlformats.org/officeDocument/2006/relationships/hyperlink" Target="https://twitter.com/VWCamperSales/status/723130943041466368" TargetMode="External"/><Relationship Id="rId9258" Type="http://schemas.openxmlformats.org/officeDocument/2006/relationships/hyperlink" Target="https://twitter.com/sciubidu" TargetMode="External"/><Relationship Id="rId12586" Type="http://schemas.openxmlformats.org/officeDocument/2006/relationships/hyperlink" Target="https://twitter.com/MargaretFranci/status/723523024520015872" TargetMode="External"/><Relationship Id="rId19199" Type="http://schemas.openxmlformats.org/officeDocument/2006/relationships/hyperlink" Target="https://twitter.com/OnlyCarrera/status/723922162227253248" TargetMode="External"/><Relationship Id="rId21904" Type="http://schemas.openxmlformats.org/officeDocument/2006/relationships/hyperlink" Target="https://twitter.com/VolkswagenCZ" TargetMode="External"/><Relationship Id="rId964" Type="http://schemas.openxmlformats.org/officeDocument/2006/relationships/hyperlink" Target="https://pbs.twimg.com/profile_images/693277089785577473/8EuV76Ni_normal.png" TargetMode="External"/><Relationship Id="rId2645" Type="http://schemas.openxmlformats.org/officeDocument/2006/relationships/hyperlink" Target="https://pbs.twimg.com/profile_images/515113940322250752/9fqy5PIg_normal.jpeg" TargetMode="External"/><Relationship Id="rId12239" Type="http://schemas.openxmlformats.org/officeDocument/2006/relationships/hyperlink" Target="https://twitter.com/weserkurier" TargetMode="External"/><Relationship Id="rId617" Type="http://schemas.openxmlformats.org/officeDocument/2006/relationships/hyperlink" Target="https://pbs.twimg.com/profile_images/541540793627205632/O4JShlmM_normal.jpeg" TargetMode="External"/><Relationship Id="rId5868" Type="http://schemas.openxmlformats.org/officeDocument/2006/relationships/hyperlink" Target="https://twitter.com/BaxterVW_LV" TargetMode="External"/><Relationship Id="rId18282" Type="http://schemas.openxmlformats.org/officeDocument/2006/relationships/hyperlink" Target="https://pbs.twimg.com/profile_images/682117656502222848/Ge7YeAF3_normal.png" TargetMode="External"/><Relationship Id="rId22678" Type="http://schemas.openxmlformats.org/officeDocument/2006/relationships/hyperlink" Target="https://twitter.com/CoryBarrios" TargetMode="External"/><Relationship Id="rId8341" Type="http://schemas.openxmlformats.org/officeDocument/2006/relationships/hyperlink" Target="https://twitter.com/danjohns88" TargetMode="External"/><Relationship Id="rId11322" Type="http://schemas.openxmlformats.org/officeDocument/2006/relationships/hyperlink" Target="https://twitter.com/VWCamperSales" TargetMode="External"/><Relationship Id="rId25151" Type="http://schemas.openxmlformats.org/officeDocument/2006/relationships/hyperlink" Target="https://twitter.com/cxc4155/status/724423727178358784" TargetMode="External"/><Relationship Id="rId14892" Type="http://schemas.openxmlformats.org/officeDocument/2006/relationships/hyperlink" Target="https://twitter.com/helensarmstrong" TargetMode="External"/><Relationship Id="rId4951" Type="http://schemas.openxmlformats.org/officeDocument/2006/relationships/hyperlink" Target="https://pbs.twimg.com/profile_images/539633066374082560/7LVEoXTT_normal.png" TargetMode="External"/><Relationship Id="rId12096" Type="http://schemas.openxmlformats.org/officeDocument/2006/relationships/hyperlink" Target="https://pbs.twimg.com/profile_images/378800000710740517/1000cb6389261c0c59042a37668a6ccf_normal.jpeg" TargetMode="External"/><Relationship Id="rId14545" Type="http://schemas.openxmlformats.org/officeDocument/2006/relationships/hyperlink" Target="https://twitter.com/Addi_Poes" TargetMode="External"/><Relationship Id="rId21761" Type="http://schemas.openxmlformats.org/officeDocument/2006/relationships/hyperlink" Target="https://twitter.com/charl_folife/status/724178033913929728" TargetMode="External"/><Relationship Id="rId474" Type="http://schemas.openxmlformats.org/officeDocument/2006/relationships/hyperlink" Target="https://twitter.com/ianjbarlow/status/722960865578766337" TargetMode="External"/><Relationship Id="rId2155" Type="http://schemas.openxmlformats.org/officeDocument/2006/relationships/hyperlink" Target="https://twitter.com/ErnstNordholt" TargetMode="External"/><Relationship Id="rId4604" Type="http://schemas.openxmlformats.org/officeDocument/2006/relationships/hyperlink" Target="https://twitter.com/JClaesz" TargetMode="External"/><Relationship Id="rId17768" Type="http://schemas.openxmlformats.org/officeDocument/2006/relationships/hyperlink" Target="https://twitter.com/richgoodingcom" TargetMode="External"/><Relationship Id="rId21414" Type="http://schemas.openxmlformats.org/officeDocument/2006/relationships/hyperlink" Target="https://twitter.com/dw_business/status/724147871205888002" TargetMode="External"/><Relationship Id="rId24984" Type="http://schemas.openxmlformats.org/officeDocument/2006/relationships/hyperlink" Target="https://pbs.twimg.com/profile_images/649956232673947649/sXDhUyad_normal.jpg" TargetMode="External"/><Relationship Id="rId127" Type="http://schemas.openxmlformats.org/officeDocument/2006/relationships/hyperlink" Target="https://twitter.com/murphloomis/status/722929843680198657" TargetMode="External"/><Relationship Id="rId7827" Type="http://schemas.openxmlformats.org/officeDocument/2006/relationships/hyperlink" Target="https://pbs.twimg.com/profile_images/717361645454905344/eSYXksup_normal.jpg" TargetMode="External"/><Relationship Id="rId10808" Type="http://schemas.openxmlformats.org/officeDocument/2006/relationships/hyperlink" Target="https://twitter.com/deutch_az" TargetMode="External"/><Relationship Id="rId24637" Type="http://schemas.openxmlformats.org/officeDocument/2006/relationships/hyperlink" Target="https://twitter.com/dejbanlaw" TargetMode="External"/><Relationship Id="rId5378" Type="http://schemas.openxmlformats.org/officeDocument/2006/relationships/hyperlink" Target="https://twitter.com/Holdensmum/status/723200816274792449" TargetMode="External"/><Relationship Id="rId22188" Type="http://schemas.openxmlformats.org/officeDocument/2006/relationships/hyperlink" Target="https://twitter.com/beetlebug1938/status/724208605969453056" TargetMode="External"/><Relationship Id="rId1988" Type="http://schemas.openxmlformats.org/officeDocument/2006/relationships/hyperlink" Target="https://pbs.twimg.com/profile_images/708224790017003520/AQu5hT8M_normal.jpg" TargetMode="External"/><Relationship Id="rId16851" Type="http://schemas.openxmlformats.org/officeDocument/2006/relationships/hyperlink" Target="https://twitter.com/CFPhotography1" TargetMode="External"/><Relationship Id="rId4461" Type="http://schemas.openxmlformats.org/officeDocument/2006/relationships/hyperlink" Target="https://twitter.com/rbpr" TargetMode="External"/><Relationship Id="rId6910" Type="http://schemas.openxmlformats.org/officeDocument/2006/relationships/hyperlink" Target="https://twitter.com/legal_reader/status/723268869092196352" TargetMode="External"/><Relationship Id="rId14055" Type="http://schemas.openxmlformats.org/officeDocument/2006/relationships/hyperlink" Target="https://twitter.com/paulvkessel" TargetMode="External"/><Relationship Id="rId16504" Type="http://schemas.openxmlformats.org/officeDocument/2006/relationships/hyperlink" Target="https://twitter.com/0a48e0f5698e460/status/723690040455389184" TargetMode="External"/><Relationship Id="rId21271" Type="http://schemas.openxmlformats.org/officeDocument/2006/relationships/hyperlink" Target="https://pbs.twimg.com/profile_images/718835727027580928/1ssyQ67y_normal.jpg" TargetMode="External"/><Relationship Id="rId23720" Type="http://schemas.openxmlformats.org/officeDocument/2006/relationships/hyperlink" Target="https://twitter.com/dubbusses" TargetMode="External"/><Relationship Id="rId4114" Type="http://schemas.openxmlformats.org/officeDocument/2006/relationships/hyperlink" Target="https://twitter.com/GavinoGaray" TargetMode="External"/><Relationship Id="rId19727" Type="http://schemas.openxmlformats.org/officeDocument/2006/relationships/hyperlink" Target="https://twitter.com/VWBeetleSales" TargetMode="External"/><Relationship Id="rId7337" Type="http://schemas.openxmlformats.org/officeDocument/2006/relationships/hyperlink" Target="https://pbs.twimg.com/profile_images/459036891749158912/Dgc1GPgR_normal.jpeg" TargetMode="External"/><Relationship Id="rId7684" Type="http://schemas.openxmlformats.org/officeDocument/2006/relationships/hyperlink" Target="https://twitter.com/OnlineCarReview" TargetMode="External"/><Relationship Id="rId10665" Type="http://schemas.openxmlformats.org/officeDocument/2006/relationships/hyperlink" Target="https://twitter.com/Houndsandpeople/status/723480388203470848" TargetMode="External"/><Relationship Id="rId17278" Type="http://schemas.openxmlformats.org/officeDocument/2006/relationships/hyperlink" Target="https://twitter.com/Sufiy" TargetMode="External"/><Relationship Id="rId24494" Type="http://schemas.openxmlformats.org/officeDocument/2006/relationships/hyperlink" Target="https://pbs.twimg.com/profile_images/627949001179037696/skEBkS05_normal.jpg" TargetMode="External"/><Relationship Id="rId10318" Type="http://schemas.openxmlformats.org/officeDocument/2006/relationships/hyperlink" Target="https://pbs.twimg.com/profile_images/2912658072/1f991d7955047f34a717b2c4ba41e0f7_normal.jpeg" TargetMode="External"/><Relationship Id="rId13888" Type="http://schemas.openxmlformats.org/officeDocument/2006/relationships/hyperlink" Target="https://twitter.com/riversidevw/status/723558026494488576" TargetMode="External"/><Relationship Id="rId18810" Type="http://schemas.openxmlformats.org/officeDocument/2006/relationships/hyperlink" Target="https://twitter.com/Braulio_Urresti/status/723898253633310721" TargetMode="External"/><Relationship Id="rId24147" Type="http://schemas.openxmlformats.org/officeDocument/2006/relationships/hyperlink" Target="https://pbs.twimg.com/profile_images/636161307826368512/hvccmb9X_normal.jpg" TargetMode="External"/><Relationship Id="rId3947" Type="http://schemas.openxmlformats.org/officeDocument/2006/relationships/hyperlink" Target="https://pbs.twimg.com/profile_images/722293771489021952/0XUEFKIG_normal.jpg" TargetMode="External"/><Relationship Id="rId16361" Type="http://schemas.openxmlformats.org/officeDocument/2006/relationships/hyperlink" Target="https://twitter.com/TheNewDailyAu/status/723673234013442048" TargetMode="External"/><Relationship Id="rId20757" Type="http://schemas.openxmlformats.org/officeDocument/2006/relationships/hyperlink" Target="https://twitter.com/urotuning/status/724040320602787840" TargetMode="External"/><Relationship Id="rId1498" Type="http://schemas.openxmlformats.org/officeDocument/2006/relationships/hyperlink" Target="https://twitter.com/MiManske/status/723043906384883714" TargetMode="External"/><Relationship Id="rId6420" Type="http://schemas.openxmlformats.org/officeDocument/2006/relationships/hyperlink" Target="https://pbs.twimg.com/profile_images/424893967197433858/iQ86NktX_normal.jpeg" TargetMode="External"/><Relationship Id="rId9990" Type="http://schemas.openxmlformats.org/officeDocument/2006/relationships/hyperlink" Target="https://pbs.twimg.com/profile_images/689107326742192128/_uhCMtae_normal.png" TargetMode="External"/><Relationship Id="rId16014" Type="http://schemas.openxmlformats.org/officeDocument/2006/relationships/hyperlink" Target="https://twitter.com/maatyleonel/status/723643011003981829" TargetMode="External"/><Relationship Id="rId19584" Type="http://schemas.openxmlformats.org/officeDocument/2006/relationships/hyperlink" Target="https://twitter.com/VolkswagenPost/status/723941246574694400" TargetMode="External"/><Relationship Id="rId23230" Type="http://schemas.openxmlformats.org/officeDocument/2006/relationships/hyperlink" Target="https://twitter.com/VWCamperSales" TargetMode="External"/><Relationship Id="rId9643" Type="http://schemas.openxmlformats.org/officeDocument/2006/relationships/hyperlink" Target="https://twitter.com/bitcoinagile/status/723443849884917760" TargetMode="External"/><Relationship Id="rId12971" Type="http://schemas.openxmlformats.org/officeDocument/2006/relationships/hyperlink" Target="https://pbs.twimg.com/profile_images/657853466384191488/J6vAnfZr_normal.jpg" TargetMode="External"/><Relationship Id="rId19237" Type="http://schemas.openxmlformats.org/officeDocument/2006/relationships/hyperlink" Target="https://twitter.com/sami19981/status/723923401329414144" TargetMode="External"/><Relationship Id="rId7194" Type="http://schemas.openxmlformats.org/officeDocument/2006/relationships/hyperlink" Target="https://pbs.twimg.com/profile_images/378800000017673536/e0a08b4394acdb3e39cee11cbec39455_normal.jpeg" TargetMode="External"/><Relationship Id="rId10175" Type="http://schemas.openxmlformats.org/officeDocument/2006/relationships/hyperlink" Target="https://twitter.com/aktuelle_stunde/status/723465164058664960" TargetMode="External"/><Relationship Id="rId12624" Type="http://schemas.openxmlformats.org/officeDocument/2006/relationships/hyperlink" Target="https://twitter.com/RecorderTweets/status/723524020721881088" TargetMode="External"/><Relationship Id="rId15847" Type="http://schemas.openxmlformats.org/officeDocument/2006/relationships/hyperlink" Target="https://pbs.twimg.com/profile_images/718820712757215233/LXXndPTS_normal.jpg" TargetMode="External"/><Relationship Id="rId5906" Type="http://schemas.openxmlformats.org/officeDocument/2006/relationships/hyperlink" Target="https://twitter.com/wingston/status/723222788660559872" TargetMode="External"/><Relationship Id="rId13398" Type="http://schemas.openxmlformats.org/officeDocument/2006/relationships/hyperlink" Target="https://twitter.com/iamdoo/status/723545664408289280" TargetMode="External"/><Relationship Id="rId18320" Type="http://schemas.openxmlformats.org/officeDocument/2006/relationships/hyperlink" Target="https://twitter.com/dafLOh/status/723860966757285888" TargetMode="External"/><Relationship Id="rId22716" Type="http://schemas.openxmlformats.org/officeDocument/2006/relationships/hyperlink" Target="https://twitter.com/TommyWolff" TargetMode="External"/><Relationship Id="rId3457" Type="http://schemas.openxmlformats.org/officeDocument/2006/relationships/hyperlink" Target="https://twitter.com/PortalAlemania/status/723159427629506563" TargetMode="External"/><Relationship Id="rId20267" Type="http://schemas.openxmlformats.org/officeDocument/2006/relationships/hyperlink" Target="https://twitter.com/VeeDubMk1_/status/723986973573128193" TargetMode="External"/><Relationship Id="rId12481" Type="http://schemas.openxmlformats.org/officeDocument/2006/relationships/hyperlink" Target="https://twitter.com/xox0291" TargetMode="External"/><Relationship Id="rId14930" Type="http://schemas.openxmlformats.org/officeDocument/2006/relationships/hyperlink" Target="https://twitter.com/VWCamperSales/status/723587220259524609" TargetMode="External"/><Relationship Id="rId19094" Type="http://schemas.openxmlformats.org/officeDocument/2006/relationships/hyperlink" Target="https://twitter.com/crozen1/status/723919786640596993" TargetMode="External"/><Relationship Id="rId2540" Type="http://schemas.openxmlformats.org/officeDocument/2006/relationships/hyperlink" Target="https://twitter.com/LombardaMotori/status/723104526115442688" TargetMode="External"/><Relationship Id="rId9153" Type="http://schemas.openxmlformats.org/officeDocument/2006/relationships/hyperlink" Target="https://twitter.com/NegroAutomobili" TargetMode="External"/><Relationship Id="rId12134" Type="http://schemas.openxmlformats.org/officeDocument/2006/relationships/hyperlink" Target="https://pbs.twimg.com/profile_images/586570157734019072/Qxz1LIIM_normal.png" TargetMode="External"/><Relationship Id="rId512" Type="http://schemas.openxmlformats.org/officeDocument/2006/relationships/hyperlink" Target="https://pbs.twimg.com/profile_images/663770205378736128/N0Ut9uE0_normal.jpg" TargetMode="External"/><Relationship Id="rId17806" Type="http://schemas.openxmlformats.org/officeDocument/2006/relationships/hyperlink" Target="https://pbs.twimg.com/profile_images/477029152441110528/11WmXfGi_normal.jpeg" TargetMode="External"/><Relationship Id="rId5763" Type="http://schemas.openxmlformats.org/officeDocument/2006/relationships/hyperlink" Target="https://twitter.com/VolkswagenPost/status/723216460961710081" TargetMode="External"/><Relationship Id="rId15357" Type="http://schemas.openxmlformats.org/officeDocument/2006/relationships/hyperlink" Target="https://twitter.com/SuranClub" TargetMode="External"/><Relationship Id="rId22573" Type="http://schemas.openxmlformats.org/officeDocument/2006/relationships/hyperlink" Target="https://twitter.com/VWBeetleSales/status/724231188244647940" TargetMode="External"/><Relationship Id="rId5416" Type="http://schemas.openxmlformats.org/officeDocument/2006/relationships/hyperlink" Target="http://dlvr.it/" TargetMode="External"/><Relationship Id="rId8986" Type="http://schemas.openxmlformats.org/officeDocument/2006/relationships/hyperlink" Target="https://pbs.twimg.com/profile_images/718820712757215233/LXXndPTS_normal.jpg" TargetMode="External"/><Relationship Id="rId11967" Type="http://schemas.openxmlformats.org/officeDocument/2006/relationships/hyperlink" Target="https://twitter.com/finanzmarktwelt" TargetMode="External"/><Relationship Id="rId22226" Type="http://schemas.openxmlformats.org/officeDocument/2006/relationships/hyperlink" Target="https://twitter.com/GoodGarageGroup/status/724210530941079552" TargetMode="External"/><Relationship Id="rId8639" Type="http://schemas.openxmlformats.org/officeDocument/2006/relationships/hyperlink" Target="https://twitter.com/katycollins" TargetMode="External"/><Relationship Id="rId14440" Type="http://schemas.openxmlformats.org/officeDocument/2006/relationships/hyperlink" Target="https://twitter.com/kevin_h_1979/status/723573881806684160" TargetMode="External"/><Relationship Id="rId25449" Type="http://schemas.openxmlformats.org/officeDocument/2006/relationships/hyperlink" Target="https://pbs.twimg.com/profile_images/639811780269572096/jg3ztkQP_normal.png" TargetMode="External"/><Relationship Id="rId17663" Type="http://schemas.openxmlformats.org/officeDocument/2006/relationships/hyperlink" Target="https://pbs.twimg.com/profile_images/378800000756387886/c547a918bcad5d95a42507361c94d2fa_normal.png" TargetMode="External"/><Relationship Id="rId2050" Type="http://schemas.openxmlformats.org/officeDocument/2006/relationships/hyperlink" Target="https://pbs.twimg.com/profile_images/2596469392/rrzwjd2fhczd13316a2h_normal.png" TargetMode="External"/><Relationship Id="rId7722" Type="http://schemas.openxmlformats.org/officeDocument/2006/relationships/hyperlink" Target="https://twitter.com/hoysoyale/status/723328790672199680" TargetMode="External"/><Relationship Id="rId17316" Type="http://schemas.openxmlformats.org/officeDocument/2006/relationships/hyperlink" Target="https://pbs.twimg.com/profile_images/686473888356810752/N1q7fthz_normal.jpg" TargetMode="External"/><Relationship Id="rId24532" Type="http://schemas.openxmlformats.org/officeDocument/2006/relationships/hyperlink" Target="https://twitter.com/dubbusses/status/724367946244567040" TargetMode="External"/><Relationship Id="rId5273" Type="http://schemas.openxmlformats.org/officeDocument/2006/relationships/hyperlink" Target="https://pbs.twimg.com/profile_images/658086464819822593/DHjx1zuP_normal.jpg" TargetMode="External"/><Relationship Id="rId10703" Type="http://schemas.openxmlformats.org/officeDocument/2006/relationships/hyperlink" Target="https://twitter.com/GACCColorado" TargetMode="External"/><Relationship Id="rId22083" Type="http://schemas.openxmlformats.org/officeDocument/2006/relationships/hyperlink" Target="https://twitter.com/vwroc/status/724198893467144192" TargetMode="External"/><Relationship Id="rId8496" Type="http://schemas.openxmlformats.org/officeDocument/2006/relationships/hyperlink" Target="https://twitter.com/vwdepo" TargetMode="External"/><Relationship Id="rId13926" Type="http://schemas.openxmlformats.org/officeDocument/2006/relationships/hyperlink" Target="https://twitter.com/MonteZuba" TargetMode="External"/><Relationship Id="rId1883" Type="http://schemas.openxmlformats.org/officeDocument/2006/relationships/hyperlink" Target="https://twitter.com/samiamebarki1/status/723065291580690432" TargetMode="External"/><Relationship Id="rId8149" Type="http://schemas.openxmlformats.org/officeDocument/2006/relationships/hyperlink" Target="https://twitter.com/OnlineCarReview" TargetMode="External"/><Relationship Id="rId11477" Type="http://schemas.openxmlformats.org/officeDocument/2006/relationships/hyperlink" Target="https://twitter.com/frankmottek/status/723502787737186309" TargetMode="External"/><Relationship Id="rId1536" Type="http://schemas.openxmlformats.org/officeDocument/2006/relationships/hyperlink" Target="https://twitter.com/ivomechels/status/723045203918094336" TargetMode="External"/><Relationship Id="rId19622" Type="http://schemas.openxmlformats.org/officeDocument/2006/relationships/hyperlink" Target="https://pbs.twimg.com/profile_images/627949001179037696/skEBkS05_normal.jpg" TargetMode="External"/><Relationship Id="rId4759" Type="http://schemas.openxmlformats.org/officeDocument/2006/relationships/hyperlink" Target="https://twitter.com/KeyStone_Search" TargetMode="External"/><Relationship Id="rId10560" Type="http://schemas.openxmlformats.org/officeDocument/2006/relationships/hyperlink" Target="https://twitter.com/ColourCr" TargetMode="External"/><Relationship Id="rId17173" Type="http://schemas.openxmlformats.org/officeDocument/2006/relationships/hyperlink" Target="https://twitter.com/Insta_VWT" TargetMode="External"/><Relationship Id="rId21569" Type="http://schemas.openxmlformats.org/officeDocument/2006/relationships/hyperlink" Target="https://twitter.com/MissFlusi/status/724161415825776640" TargetMode="External"/><Relationship Id="rId7232" Type="http://schemas.openxmlformats.org/officeDocument/2006/relationships/hyperlink" Target="https://twitter.com/isazozoaga" TargetMode="External"/><Relationship Id="rId10213" Type="http://schemas.openxmlformats.org/officeDocument/2006/relationships/hyperlink" Target="https://twitter.com/chri_koe" TargetMode="External"/><Relationship Id="rId24042" Type="http://schemas.openxmlformats.org/officeDocument/2006/relationships/hyperlink" Target="https://twitter.com/VWCamperSales" TargetMode="External"/><Relationship Id="rId13783" Type="http://schemas.openxmlformats.org/officeDocument/2006/relationships/hyperlink" Target="https://twitter.com/danielcuervo" TargetMode="External"/><Relationship Id="rId1393" Type="http://schemas.openxmlformats.org/officeDocument/2006/relationships/hyperlink" Target="https://pbs.twimg.com/profile_images/2150289983/logo_facebook_new_normal.jpg" TargetMode="External"/><Relationship Id="rId3842" Type="http://schemas.openxmlformats.org/officeDocument/2006/relationships/hyperlink" Target="https://twitter.com/DasRechtsportal" TargetMode="External"/><Relationship Id="rId13436" Type="http://schemas.openxmlformats.org/officeDocument/2006/relationships/hyperlink" Target="https://twitter.com/UdoSiev/status/723547506810970112" TargetMode="External"/><Relationship Id="rId20652" Type="http://schemas.openxmlformats.org/officeDocument/2006/relationships/hyperlink" Target="https://twitter.com/thunderdan667/status/724020006648971265" TargetMode="External"/><Relationship Id="rId1046" Type="http://schemas.openxmlformats.org/officeDocument/2006/relationships/hyperlink" Target="https://pbs.twimg.com/profile_images/1348837821/IvoMechels03_normal.jpg" TargetMode="External"/><Relationship Id="rId16659" Type="http://schemas.openxmlformats.org/officeDocument/2006/relationships/hyperlink" Target="https://twitter.com/Ronalley1/status/723709423739396096" TargetMode="External"/><Relationship Id="rId20305" Type="http://schemas.openxmlformats.org/officeDocument/2006/relationships/hyperlink" Target="https://pbs.twimg.com/profile_images/440902226756632576/9PgGXUUP_normal.jpeg" TargetMode="External"/><Relationship Id="rId23875" Type="http://schemas.openxmlformats.org/officeDocument/2006/relationships/hyperlink" Target="https://twitter.com/Luko8525/status/724317438045753344" TargetMode="External"/><Relationship Id="rId6718" Type="http://schemas.openxmlformats.org/officeDocument/2006/relationships/hyperlink" Target="https://twitter.com/arod3921/status/723254919562551296" TargetMode="External"/><Relationship Id="rId19132" Type="http://schemas.openxmlformats.org/officeDocument/2006/relationships/hyperlink" Target="https://twitter.com/_sea_fox_/status/723920977256701952" TargetMode="External"/><Relationship Id="rId23528" Type="http://schemas.openxmlformats.org/officeDocument/2006/relationships/hyperlink" Target="https://twitter.com/Sebodacious" TargetMode="External"/><Relationship Id="rId4269" Type="http://schemas.openxmlformats.org/officeDocument/2006/relationships/hyperlink" Target="https://twitter.com/doublefelix7/status/723178629748805632" TargetMode="External"/><Relationship Id="rId10070" Type="http://schemas.openxmlformats.org/officeDocument/2006/relationships/hyperlink" Target="https://twitter.com/mjuntorius/status/723460794298585088" TargetMode="External"/><Relationship Id="rId15742" Type="http://schemas.openxmlformats.org/officeDocument/2006/relationships/hyperlink" Target="https://twitter.com/RMLandscapes/status/723622795658309632" TargetMode="External"/><Relationship Id="rId21079" Type="http://schemas.openxmlformats.org/officeDocument/2006/relationships/hyperlink" Target="https://twitter.com/VolkswagenPost" TargetMode="External"/><Relationship Id="rId5801" Type="http://schemas.openxmlformats.org/officeDocument/2006/relationships/hyperlink" Target="https://pbs.twimg.com/profile_images/717842897396219905/v1FD6_yv_normal.jpg" TargetMode="External"/><Relationship Id="rId13293" Type="http://schemas.openxmlformats.org/officeDocument/2006/relationships/hyperlink" Target="https://twitter.com/rogerwilc00/status/723542884293685248" TargetMode="External"/><Relationship Id="rId22611" Type="http://schemas.openxmlformats.org/officeDocument/2006/relationships/hyperlink" Target="https://twitter.com/caryelluk" TargetMode="External"/><Relationship Id="rId3352" Type="http://schemas.openxmlformats.org/officeDocument/2006/relationships/hyperlink" Target="https://twitter.com/cashlos_Rosales" TargetMode="External"/><Relationship Id="rId18965" Type="http://schemas.openxmlformats.org/officeDocument/2006/relationships/hyperlink" Target="https://pbs.twimg.com/profile_images/719093309738770432/-ot7iGIC_normal.jpg" TargetMode="External"/><Relationship Id="rId20162" Type="http://schemas.openxmlformats.org/officeDocument/2006/relationships/hyperlink" Target="https://twitter.com/maxrace/status/723978604477059072" TargetMode="External"/><Relationship Id="rId3005" Type="http://schemas.openxmlformats.org/officeDocument/2006/relationships/hyperlink" Target="https://twitter.com/VWBeetleSales" TargetMode="External"/><Relationship Id="rId6575" Type="http://schemas.openxmlformats.org/officeDocument/2006/relationships/hyperlink" Target="https://twitter.com/BeginTry" TargetMode="External"/><Relationship Id="rId16169" Type="http://schemas.openxmlformats.org/officeDocument/2006/relationships/hyperlink" Target="https://pbs.twimg.com/profile_images/511300315228811264/sT0G3pjp_normal.jpeg" TargetMode="External"/><Relationship Id="rId18618" Type="http://schemas.openxmlformats.org/officeDocument/2006/relationships/hyperlink" Target="https://twitter.com/manumuncki/status/723884695864381441" TargetMode="External"/><Relationship Id="rId23385" Type="http://schemas.openxmlformats.org/officeDocument/2006/relationships/hyperlink" Target="https://twitter.com/VWCamperSales/status/724284553712398336" TargetMode="External"/><Relationship Id="rId6228" Type="http://schemas.openxmlformats.org/officeDocument/2006/relationships/hyperlink" Target="https://twitter.com/VWShawty" TargetMode="External"/><Relationship Id="rId23038" Type="http://schemas.openxmlformats.org/officeDocument/2006/relationships/hyperlink" Target="http://dlvr.it/" TargetMode="External"/><Relationship Id="rId9798" Type="http://schemas.openxmlformats.org/officeDocument/2006/relationships/hyperlink" Target="https://twitter.com/VWCamperSales/status/723449795788972032" TargetMode="External"/><Relationship Id="rId12779" Type="http://schemas.openxmlformats.org/officeDocument/2006/relationships/hyperlink" Target="http://mycar.be/" TargetMode="External"/><Relationship Id="rId17701" Type="http://schemas.openxmlformats.org/officeDocument/2006/relationships/hyperlink" Target="https://twitter.com/StefanDiResta/status/723817485036822528" TargetMode="External"/><Relationship Id="rId2838" Type="http://schemas.openxmlformats.org/officeDocument/2006/relationships/hyperlink" Target="https://twitter.com/CordwallisGroup" TargetMode="External"/><Relationship Id="rId15252" Type="http://schemas.openxmlformats.org/officeDocument/2006/relationships/hyperlink" Target="https://twitter.com/splittywedding" TargetMode="External"/><Relationship Id="rId5311" Type="http://schemas.openxmlformats.org/officeDocument/2006/relationships/hyperlink" Target="https://twitter.com/Michael_Vasanth/status/723199719963529216" TargetMode="External"/><Relationship Id="rId8881" Type="http://schemas.openxmlformats.org/officeDocument/2006/relationships/hyperlink" Target="https://pbs.twimg.com/profile_images/661248829682024449/IlOGOPEg_normal.jpg" TargetMode="External"/><Relationship Id="rId18475" Type="http://schemas.openxmlformats.org/officeDocument/2006/relationships/hyperlink" Target="http://dlvr.it/" TargetMode="External"/><Relationship Id="rId22121" Type="http://schemas.openxmlformats.org/officeDocument/2006/relationships/hyperlink" Target="https://twitter.com/HHMNE" TargetMode="External"/><Relationship Id="rId25691" Type="http://schemas.openxmlformats.org/officeDocument/2006/relationships/hyperlink" Target="https://pbs.twimg.com/profile_images/378800000324328510/d07282df6f49ca608372edd52852d8f3_normal.jpeg" TargetMode="External"/><Relationship Id="rId8534" Type="http://schemas.openxmlformats.org/officeDocument/2006/relationships/hyperlink" Target="https://twitter.com/TradeCFDs/status/723393365778141184" TargetMode="External"/><Relationship Id="rId11862" Type="http://schemas.openxmlformats.org/officeDocument/2006/relationships/hyperlink" Target="https://twitter.com/Sufiy/status/723509016987611137" TargetMode="External"/><Relationship Id="rId18128" Type="http://schemas.openxmlformats.org/officeDocument/2006/relationships/hyperlink" Target="https://pbs.twimg.com/profile_images/705780107844067328/e7O4UBNb_normal.jpg" TargetMode="External"/><Relationship Id="rId25344" Type="http://schemas.openxmlformats.org/officeDocument/2006/relationships/hyperlink" Target="https://twitter.com/Casperventer" TargetMode="External"/><Relationship Id="rId1921" Type="http://schemas.openxmlformats.org/officeDocument/2006/relationships/hyperlink" Target="https://pbs.twimg.com/profile_images/677140771783450624/9_7T_mk7_normal.jpg" TargetMode="External"/><Relationship Id="rId6085" Type="http://schemas.openxmlformats.org/officeDocument/2006/relationships/hyperlink" Target="https://twitter.com/VWCamperSales" TargetMode="External"/><Relationship Id="rId11515" Type="http://schemas.openxmlformats.org/officeDocument/2006/relationships/hyperlink" Target="https://twitter.com/BREAKING_EIL" TargetMode="External"/><Relationship Id="rId14738" Type="http://schemas.openxmlformats.org/officeDocument/2006/relationships/hyperlink" Target="https://twitter.com/VWofGG/status/723581146135728129" TargetMode="External"/><Relationship Id="rId21954" Type="http://schemas.openxmlformats.org/officeDocument/2006/relationships/hyperlink" Target="https://twitter.com/AutoExpress/status/724191208990367744" TargetMode="External"/><Relationship Id="rId2695" Type="http://schemas.openxmlformats.org/officeDocument/2006/relationships/hyperlink" Target="http://autoblog.com/" TargetMode="External"/><Relationship Id="rId12289" Type="http://schemas.openxmlformats.org/officeDocument/2006/relationships/hyperlink" Target="https://twitter.com/BR24" TargetMode="External"/><Relationship Id="rId17211" Type="http://schemas.openxmlformats.org/officeDocument/2006/relationships/hyperlink" Target="https://twitter.com/GastonStuttgart/status/723780785338241024" TargetMode="External"/><Relationship Id="rId21607" Type="http://schemas.openxmlformats.org/officeDocument/2006/relationships/hyperlink" Target="https://twitter.com/VWBeetleSales" TargetMode="External"/><Relationship Id="rId667" Type="http://schemas.openxmlformats.org/officeDocument/2006/relationships/hyperlink" Target="https://twitter.com/__BOMBSHEiLbby/status/722967903406948352" TargetMode="External"/><Relationship Id="rId2348" Type="http://schemas.openxmlformats.org/officeDocument/2006/relationships/hyperlink" Target="https://pbs.twimg.com/profile_images/1833245422/twitter_yo_normal.jpg" TargetMode="External"/><Relationship Id="rId13821" Type="http://schemas.openxmlformats.org/officeDocument/2006/relationships/hyperlink" Target="https://twitter.com/alsopi1" TargetMode="External"/><Relationship Id="rId8391" Type="http://schemas.openxmlformats.org/officeDocument/2006/relationships/hyperlink" Target="https://pbs.twimg.com/profile_images/710732581768175616/TbmxVh8S_normal.jpg" TargetMode="External"/><Relationship Id="rId11372" Type="http://schemas.openxmlformats.org/officeDocument/2006/relationships/hyperlink" Target="https://twitter.com/vwsurat/status/723501597603450886" TargetMode="External"/><Relationship Id="rId1431" Type="http://schemas.openxmlformats.org/officeDocument/2006/relationships/hyperlink" Target="https://twitter.com/franz_rother/status/723040799013912576" TargetMode="External"/><Relationship Id="rId8044" Type="http://schemas.openxmlformats.org/officeDocument/2006/relationships/hyperlink" Target="https://pbs.twimg.com/profile_images/378800000370512972/8e701edb60495fdf1d2feaddfe68e2fe_normal.jpeg" TargetMode="External"/><Relationship Id="rId11025" Type="http://schemas.openxmlformats.org/officeDocument/2006/relationships/hyperlink" Target="https://pbs.twimg.com/profile_images/704001047216447488/5a1ozl-l_normal.jpg" TargetMode="External"/><Relationship Id="rId14595" Type="http://schemas.openxmlformats.org/officeDocument/2006/relationships/hyperlink" Target="https://twitter.com/vwdepo" TargetMode="External"/><Relationship Id="rId4654" Type="http://schemas.openxmlformats.org/officeDocument/2006/relationships/hyperlink" Target="https://twitter.com/SantaPodRaceway" TargetMode="External"/><Relationship Id="rId14248" Type="http://schemas.openxmlformats.org/officeDocument/2006/relationships/hyperlink" Target="https://twitter.com/LuuuuuuuuVega" TargetMode="External"/><Relationship Id="rId21464" Type="http://schemas.openxmlformats.org/officeDocument/2006/relationships/hyperlink" Target="https://twitter.com/FuscaWorld" TargetMode="External"/><Relationship Id="rId23913" Type="http://schemas.openxmlformats.org/officeDocument/2006/relationships/hyperlink" Target="https://twitter.com/Rosenow/status/724321235547623425" TargetMode="External"/><Relationship Id="rId4307" Type="http://schemas.openxmlformats.org/officeDocument/2006/relationships/hyperlink" Target="https://pbs.twimg.com/profile_images/1783348997/Hanomag_normal.jpg" TargetMode="External"/><Relationship Id="rId21117" Type="http://schemas.openxmlformats.org/officeDocument/2006/relationships/hyperlink" Target="https://twitter.com/TetsuoHojo/status/724104284766236674" TargetMode="External"/><Relationship Id="rId177" Type="http://schemas.openxmlformats.org/officeDocument/2006/relationships/hyperlink" Target="https://twitter.com/Lindsay_VW" TargetMode="External"/><Relationship Id="rId7877" Type="http://schemas.openxmlformats.org/officeDocument/2006/relationships/hyperlink" Target="https://twitter.com/FuscaWorld/status/723336166423027713" TargetMode="External"/><Relationship Id="rId10858" Type="http://schemas.openxmlformats.org/officeDocument/2006/relationships/hyperlink" Target="https://twitter.com/rosco1407/status/723488071535198208" TargetMode="External"/><Relationship Id="rId24687" Type="http://schemas.openxmlformats.org/officeDocument/2006/relationships/hyperlink" Target="https://pbs.twimg.com/profile_images/1610421423/Image2_normal.jpg" TargetMode="External"/><Relationship Id="rId13331" Type="http://schemas.openxmlformats.org/officeDocument/2006/relationships/hyperlink" Target="https://twitter.com/automotora" TargetMode="External"/><Relationship Id="rId6960" Type="http://schemas.openxmlformats.org/officeDocument/2006/relationships/hyperlink" Target="https://twitter.com/woever/status/723271629502054400" TargetMode="External"/><Relationship Id="rId16554" Type="http://schemas.openxmlformats.org/officeDocument/2006/relationships/hyperlink" Target="https://pbs.twimg.com/profile_images/718820712757215233/LXXndPTS_normal.jpg" TargetMode="External"/><Relationship Id="rId20200" Type="http://schemas.openxmlformats.org/officeDocument/2006/relationships/hyperlink" Target="https://twitter.com/tatymontespr" TargetMode="External"/><Relationship Id="rId23770" Type="http://schemas.openxmlformats.org/officeDocument/2006/relationships/hyperlink" Target="https://pbs.twimg.com/profile_images/631084316802482176/y_wtMQWR_normal.png" TargetMode="External"/><Relationship Id="rId6613" Type="http://schemas.openxmlformats.org/officeDocument/2006/relationships/hyperlink" Target="https://twitter.com/Julliooos/status/723247907416203264" TargetMode="External"/><Relationship Id="rId16207" Type="http://schemas.openxmlformats.org/officeDocument/2006/relationships/hyperlink" Target="http://dlvr.it/" TargetMode="External"/><Relationship Id="rId23423" Type="http://schemas.openxmlformats.org/officeDocument/2006/relationships/hyperlink" Target="https://twitter.com/StageFrightAmps" TargetMode="External"/><Relationship Id="rId4164" Type="http://schemas.openxmlformats.org/officeDocument/2006/relationships/hyperlink" Target="https://twitter.com/mimosa416/status/723177444732076032" TargetMode="External"/><Relationship Id="rId9836" Type="http://schemas.openxmlformats.org/officeDocument/2006/relationships/hyperlink" Target="https://pbs.twimg.com/profile_images/676523495229161482/y8f99TxO_normal.jpg" TargetMode="External"/><Relationship Id="rId19777" Type="http://schemas.openxmlformats.org/officeDocument/2006/relationships/hyperlink" Target="https://twitter.com/VeeDubMk1_" TargetMode="External"/><Relationship Id="rId7387" Type="http://schemas.openxmlformats.org/officeDocument/2006/relationships/hyperlink" Target="https://abs.twimg.com/sticky/default_profile_images/default_profile_3_normal.png" TargetMode="External"/><Relationship Id="rId12817" Type="http://schemas.openxmlformats.org/officeDocument/2006/relationships/hyperlink" Target="https://twitter.com/_graciosa" TargetMode="External"/><Relationship Id="rId24197" Type="http://schemas.openxmlformats.org/officeDocument/2006/relationships/hyperlink" Target="https://pbs.twimg.com/profile_images/549553130539450370/dyUuqEk-_normal.png" TargetMode="External"/><Relationship Id="rId10368" Type="http://schemas.openxmlformats.org/officeDocument/2006/relationships/hyperlink" Target="https://twitter.com/ina_n72" TargetMode="External"/><Relationship Id="rId18860" Type="http://schemas.openxmlformats.org/officeDocument/2006/relationships/hyperlink" Target="https://twitter.com/p88nmg/status/723901648167428097" TargetMode="External"/><Relationship Id="rId3997" Type="http://schemas.openxmlformats.org/officeDocument/2006/relationships/hyperlink" Target="https://twitter.com/cyberdoc60" TargetMode="External"/><Relationship Id="rId11900" Type="http://schemas.openxmlformats.org/officeDocument/2006/relationships/hyperlink" Target="https://twitter.com/youngin_uk" TargetMode="External"/><Relationship Id="rId18513" Type="http://schemas.openxmlformats.org/officeDocument/2006/relationships/hyperlink" Target="https://twitter.com/fjchicago" TargetMode="External"/><Relationship Id="rId22909" Type="http://schemas.openxmlformats.org/officeDocument/2006/relationships/hyperlink" Target="https://twitter.com/acvwpassion/status/724255643885002752" TargetMode="External"/><Relationship Id="rId6470" Type="http://schemas.openxmlformats.org/officeDocument/2006/relationships/hyperlink" Target="https://twitter.com/dw_hindi" TargetMode="External"/><Relationship Id="rId16064" Type="http://schemas.openxmlformats.org/officeDocument/2006/relationships/hyperlink" Target="https://twitter.com/CharlieSEvans" TargetMode="External"/><Relationship Id="rId23280" Type="http://schemas.openxmlformats.org/officeDocument/2006/relationships/hyperlink" Target="https://pbs.twimg.com/profile_images/627949001179037696/skEBkS05_normal.jpg" TargetMode="External"/><Relationship Id="rId6123" Type="http://schemas.openxmlformats.org/officeDocument/2006/relationships/hyperlink" Target="https://pbs.twimg.com/profile_images/627949001179037696/skEBkS05_normal.jpg" TargetMode="External"/><Relationship Id="rId9693" Type="http://schemas.openxmlformats.org/officeDocument/2006/relationships/hyperlink" Target="https://pbs.twimg.com/profile_images/720950683390906368/nQPvrHmi_normal.jpg" TargetMode="External"/><Relationship Id="rId12674" Type="http://schemas.openxmlformats.org/officeDocument/2006/relationships/hyperlink" Target="https://twitter.com/vzbv" TargetMode="External"/><Relationship Id="rId19287" Type="http://schemas.openxmlformats.org/officeDocument/2006/relationships/hyperlink" Target="https://pbs.twimg.com/profile_images/378800000596512650/cc5e665134d5974580c24c8b4433bc4f_normal.jpeg" TargetMode="External"/><Relationship Id="rId2733" Type="http://schemas.openxmlformats.org/officeDocument/2006/relationships/hyperlink" Target="https://twitter.com/LaurenMolloy7/status/723116049139290112" TargetMode="External"/><Relationship Id="rId9346" Type="http://schemas.openxmlformats.org/officeDocument/2006/relationships/hyperlink" Target="https://twitter.com/LionelMaugain/status/723430950831411201" TargetMode="External"/><Relationship Id="rId12327" Type="http://schemas.openxmlformats.org/officeDocument/2006/relationships/hyperlink" Target="https://twitter.com/JungeInnenstadt/status/723517329330573312" TargetMode="External"/><Relationship Id="rId705" Type="http://schemas.openxmlformats.org/officeDocument/2006/relationships/hyperlink" Target="https://twitter.com/the1dynasty" TargetMode="External"/><Relationship Id="rId15897" Type="http://schemas.openxmlformats.org/officeDocument/2006/relationships/hyperlink" Target="https://twitter.com/BigBlizz/status/723636151421145088" TargetMode="External"/><Relationship Id="rId5956" Type="http://schemas.openxmlformats.org/officeDocument/2006/relationships/hyperlink" Target="https://pbs.twimg.com/profile_images/652482665900285952/jeA6rKOi_normal.jpg" TargetMode="External"/><Relationship Id="rId18370" Type="http://schemas.openxmlformats.org/officeDocument/2006/relationships/hyperlink" Target="https://pbs.twimg.com/profile_images/715332329019994114/CunHJsKm_normal.jpg" TargetMode="External"/><Relationship Id="rId22766" Type="http://schemas.openxmlformats.org/officeDocument/2006/relationships/hyperlink" Target="https://twitter.com/AlexWitzleben" TargetMode="External"/><Relationship Id="rId5609" Type="http://schemas.openxmlformats.org/officeDocument/2006/relationships/hyperlink" Target="https://twitter.com/Boersenradar/status/723210857878970368" TargetMode="External"/><Relationship Id="rId11410" Type="http://schemas.openxmlformats.org/officeDocument/2006/relationships/hyperlink" Target="https://twitter.com/HansTheGerman" TargetMode="External"/><Relationship Id="rId14980" Type="http://schemas.openxmlformats.org/officeDocument/2006/relationships/hyperlink" Target="https://twitter.com/FuscaWorld/status/723588471860912128" TargetMode="External"/><Relationship Id="rId18023" Type="http://schemas.openxmlformats.org/officeDocument/2006/relationships/hyperlink" Target="https://twitter.com/ORAC_2200" TargetMode="External"/><Relationship Id="rId22419" Type="http://schemas.openxmlformats.org/officeDocument/2006/relationships/hyperlink" Target="https://twitter.com/vwgroup_de/status/724223228424626176" TargetMode="External"/><Relationship Id="rId14633" Type="http://schemas.openxmlformats.org/officeDocument/2006/relationships/hyperlink" Target="https://pbs.twimg.com/profile_images/424893967197433858/iQ86NktX_normal.jpeg" TargetMode="External"/><Relationship Id="rId2590" Type="http://schemas.openxmlformats.org/officeDocument/2006/relationships/hyperlink" Target="https://pbs.twimg.com/profile_images/665582079892131841/703-QxKz_normal.jpg" TargetMode="External"/><Relationship Id="rId12184" Type="http://schemas.openxmlformats.org/officeDocument/2006/relationships/hyperlink" Target="https://twitter.com/Duped" TargetMode="External"/><Relationship Id="rId21502" Type="http://schemas.openxmlformats.org/officeDocument/2006/relationships/hyperlink" Target="https://twitter.com/RFN19" TargetMode="External"/><Relationship Id="rId562" Type="http://schemas.openxmlformats.org/officeDocument/2006/relationships/hyperlink" Target="https://twitter.com/LoyalBoy_Flness/status/722964606902276096" TargetMode="External"/><Relationship Id="rId2243" Type="http://schemas.openxmlformats.org/officeDocument/2006/relationships/hyperlink" Target="https://pbs.twimg.com/profile_images/650255677798109184/qalFxc71_normal.jpg" TargetMode="External"/><Relationship Id="rId7915" Type="http://schemas.openxmlformats.org/officeDocument/2006/relationships/hyperlink" Target="https://pbs.twimg.com/profile_images/715295724624224256/bnUPV-CW_normal.jpg" TargetMode="External"/><Relationship Id="rId17856" Type="http://schemas.openxmlformats.org/officeDocument/2006/relationships/hyperlink" Target="https://pbs.twimg.com/profile_images/682117656502222848/Ge7YeAF3_normal.png" TargetMode="External"/><Relationship Id="rId215" Type="http://schemas.openxmlformats.org/officeDocument/2006/relationships/hyperlink" Target="https://twitter.com/techhippie/status/722937829127516160" TargetMode="External"/><Relationship Id="rId5466" Type="http://schemas.openxmlformats.org/officeDocument/2006/relationships/hyperlink" Target="https://twitter.com/VWCamperSales/status/723204183487209474" TargetMode="External"/><Relationship Id="rId17509" Type="http://schemas.openxmlformats.org/officeDocument/2006/relationships/hyperlink" Target="https://twitter.com/CastleCoastCamp" TargetMode="External"/><Relationship Id="rId22276" Type="http://schemas.openxmlformats.org/officeDocument/2006/relationships/hyperlink" Target="https://twitter.com/hddoger" TargetMode="External"/><Relationship Id="rId24725" Type="http://schemas.openxmlformats.org/officeDocument/2006/relationships/hyperlink" Target="https://twitter.com/ZaFaDo72" TargetMode="External"/><Relationship Id="rId5119" Type="http://schemas.openxmlformats.org/officeDocument/2006/relationships/hyperlink" Target="https://twitter.com/VWPuyallup/status/723194678409986048" TargetMode="External"/><Relationship Id="rId8689" Type="http://schemas.openxmlformats.org/officeDocument/2006/relationships/hyperlink" Target="https://twitter.com/VivaRedd/status/723402312543133696" TargetMode="External"/><Relationship Id="rId14490" Type="http://schemas.openxmlformats.org/officeDocument/2006/relationships/hyperlink" Target="https://twitter.com/chrzescinski" TargetMode="External"/><Relationship Id="rId25499" Type="http://schemas.openxmlformats.org/officeDocument/2006/relationships/hyperlink" Target="https://twitter.com/jgitaum/status/724444615529603072" TargetMode="External"/><Relationship Id="rId1729" Type="http://schemas.openxmlformats.org/officeDocument/2006/relationships/hyperlink" Target="https://twitter.com/EFEverde/status/723054427397980160" TargetMode="External"/><Relationship Id="rId14143" Type="http://schemas.openxmlformats.org/officeDocument/2006/relationships/hyperlink" Target="https://pbs.twimg.com/profile_images/627949001179037696/skEBkS05_normal.jpg" TargetMode="External"/><Relationship Id="rId19815" Type="http://schemas.openxmlformats.org/officeDocument/2006/relationships/hyperlink" Target="https://twitter.com/VolkswagenPost/status/723960087866429440" TargetMode="External"/><Relationship Id="rId4202" Type="http://schemas.openxmlformats.org/officeDocument/2006/relationships/hyperlink" Target="https://twitter.com/faznet/status/723177984740352003" TargetMode="External"/><Relationship Id="rId7772" Type="http://schemas.openxmlformats.org/officeDocument/2006/relationships/hyperlink" Target="https://pbs.twimg.com/profile_images/717892743075340288/Xxt7RaLM_normal.jpg" TargetMode="External"/><Relationship Id="rId10753" Type="http://schemas.openxmlformats.org/officeDocument/2006/relationships/hyperlink" Target="https://pbs.twimg.com/profile_images/471294691783098369/x9C02baa_normal.png" TargetMode="External"/><Relationship Id="rId17366" Type="http://schemas.openxmlformats.org/officeDocument/2006/relationships/hyperlink" Target="https://pbs.twimg.com/profile_images/701133680937291776/4TSsJk3y_normal.jpg" TargetMode="External"/><Relationship Id="rId21012" Type="http://schemas.openxmlformats.org/officeDocument/2006/relationships/hyperlink" Target="https://pbs.twimg.com/profile_images/724000830257545216/yXcEDJ4J_normal.jpg" TargetMode="External"/><Relationship Id="rId24582" Type="http://schemas.openxmlformats.org/officeDocument/2006/relationships/hyperlink" Target="https://twitter.com/JenniPii" TargetMode="External"/><Relationship Id="rId7425" Type="http://schemas.openxmlformats.org/officeDocument/2006/relationships/hyperlink" Target="https://twitter.com/expatfriendly/status/723302144464543745" TargetMode="External"/><Relationship Id="rId10406" Type="http://schemas.openxmlformats.org/officeDocument/2006/relationships/hyperlink" Target="https://pbs.twimg.com/profile_images/3170588366/3c75f3bfd718fd64684ee6a8a971769a_normal.jpeg" TargetMode="External"/><Relationship Id="rId17019" Type="http://schemas.openxmlformats.org/officeDocument/2006/relationships/hyperlink" Target="https://pbs.twimg.com/profile_images/680948958844338176/k8qFUheG_normal.png" TargetMode="External"/><Relationship Id="rId24235" Type="http://schemas.openxmlformats.org/officeDocument/2006/relationships/hyperlink" Target="https://twitter.com/Mphilpot1/status/724339596432035841" TargetMode="External"/><Relationship Id="rId13976" Type="http://schemas.openxmlformats.org/officeDocument/2006/relationships/hyperlink" Target="https://twitter.com/JuergenGust" TargetMode="External"/><Relationship Id="rId1586" Type="http://schemas.openxmlformats.org/officeDocument/2006/relationships/hyperlink" Target="https://twitter.com/bigphilgj" TargetMode="External"/><Relationship Id="rId8199" Type="http://schemas.openxmlformats.org/officeDocument/2006/relationships/hyperlink" Target="https://twitter.com/jenkers_en" TargetMode="External"/><Relationship Id="rId13629" Type="http://schemas.openxmlformats.org/officeDocument/2006/relationships/hyperlink" Target="https://pbs.twimg.com/profile_images/712639850218962946/ix5EU-Ne_normal.jpg" TargetMode="External"/><Relationship Id="rId20845" Type="http://schemas.openxmlformats.org/officeDocument/2006/relationships/hyperlink" Target="https://twitter.com/MiqueasC01" TargetMode="External"/><Relationship Id="rId1239" Type="http://schemas.openxmlformats.org/officeDocument/2006/relationships/hyperlink" Target="https://twitter.com/Glaur2Laurent/status/723027575401025536" TargetMode="External"/><Relationship Id="rId16102" Type="http://schemas.openxmlformats.org/officeDocument/2006/relationships/hyperlink" Target="https://twitter.com/beetlebug1938/status/723648344996872192" TargetMode="External"/><Relationship Id="rId19672" Type="http://schemas.openxmlformats.org/officeDocument/2006/relationships/hyperlink" Target="https://twitter.com/DubLuvTuning" TargetMode="External"/><Relationship Id="rId9731" Type="http://schemas.openxmlformats.org/officeDocument/2006/relationships/hyperlink" Target="https://pbs.twimg.com/profile_images/562563461171798017/AkHF4keI_normal.png" TargetMode="External"/><Relationship Id="rId12712" Type="http://schemas.openxmlformats.org/officeDocument/2006/relationships/hyperlink" Target="https://pbs.twimg.com/profile_images/378800000774936351/14379b24a7c1998879eb9cc017fdf15c_normal.png" TargetMode="External"/><Relationship Id="rId19325" Type="http://schemas.openxmlformats.org/officeDocument/2006/relationships/hyperlink" Target="https://twitter.com/Insta_VWT/status/723926650677764098" TargetMode="External"/><Relationship Id="rId7282" Type="http://schemas.openxmlformats.org/officeDocument/2006/relationships/hyperlink" Target="https://twitter.com/OnlineCarReview/status/723292343101591552" TargetMode="External"/><Relationship Id="rId10263" Type="http://schemas.openxmlformats.org/officeDocument/2006/relationships/hyperlink" Target="https://twitter.com/beetlebug1938/status/723467457936121860" TargetMode="External"/><Relationship Id="rId24092" Type="http://schemas.openxmlformats.org/officeDocument/2006/relationships/hyperlink" Target="https://twitter.com/AdamoAdamos" TargetMode="External"/><Relationship Id="rId3892" Type="http://schemas.openxmlformats.org/officeDocument/2006/relationships/hyperlink" Target="https://twitter.com/tooppermann/status/723171404783431680" TargetMode="External"/><Relationship Id="rId13486" Type="http://schemas.openxmlformats.org/officeDocument/2006/relationships/hyperlink" Target="https://pbs.twimg.com/profile_images/638156152006688769/EdWB5H3Z_normal.jpg" TargetMode="External"/><Relationship Id="rId15935" Type="http://schemas.openxmlformats.org/officeDocument/2006/relationships/hyperlink" Target="https://twitter.com/hansen_renate/status/723638068687806464" TargetMode="External"/><Relationship Id="rId3545" Type="http://schemas.openxmlformats.org/officeDocument/2006/relationships/hyperlink" Target="http://dlvr.it/" TargetMode="External"/><Relationship Id="rId13139" Type="http://schemas.openxmlformats.org/officeDocument/2006/relationships/hyperlink" Target="https://twitter.com/DaveMichiganTEC" TargetMode="External"/><Relationship Id="rId20355" Type="http://schemas.openxmlformats.org/officeDocument/2006/relationships/hyperlink" Target="https://twitter.com/OnlineCarReview" TargetMode="External"/><Relationship Id="rId22804" Type="http://schemas.openxmlformats.org/officeDocument/2006/relationships/hyperlink" Target="http://dlvr.it/" TargetMode="External"/><Relationship Id="rId1096" Type="http://schemas.openxmlformats.org/officeDocument/2006/relationships/hyperlink" Target="https://pbs.twimg.com/profile_images/723022210781351936/8F5B1xB5_normal.jpg" TargetMode="External"/><Relationship Id="rId19182" Type="http://schemas.openxmlformats.org/officeDocument/2006/relationships/hyperlink" Target="https://pbs.twimg.com/profile_images/653637535545995264/gHuXQ5Bt_normal.jpg" TargetMode="External"/><Relationship Id="rId20008" Type="http://schemas.openxmlformats.org/officeDocument/2006/relationships/hyperlink" Target="https://twitter.com/BILDamSONNTAG/status/723968469880836096" TargetMode="External"/><Relationship Id="rId6768" Type="http://schemas.openxmlformats.org/officeDocument/2006/relationships/hyperlink" Target="https://pbs.twimg.com/profile_images/722524189538840576/VDwLEEEh_normal.jpg" TargetMode="External"/><Relationship Id="rId9241" Type="http://schemas.openxmlformats.org/officeDocument/2006/relationships/hyperlink" Target="https://twitter.com/Scirocco_Tuning/status/723427988075765760" TargetMode="External"/><Relationship Id="rId23578" Type="http://schemas.openxmlformats.org/officeDocument/2006/relationships/hyperlink" Target="https://twitter.com/kapitao/status/724298048667553792" TargetMode="External"/><Relationship Id="rId12222" Type="http://schemas.openxmlformats.org/officeDocument/2006/relationships/hyperlink" Target="https://pbs.twimg.com/profile_images/378800000062766177/d7e0a152f4d290bcf505d552894fa3ad_normal.jpeg" TargetMode="External"/><Relationship Id="rId15792" Type="http://schemas.openxmlformats.org/officeDocument/2006/relationships/hyperlink" Target="https://twitter.com/HOWJORD/status/723627070853656576" TargetMode="External"/><Relationship Id="rId600" Type="http://schemas.openxmlformats.org/officeDocument/2006/relationships/hyperlink" Target="https://twitter.com/techhippie" TargetMode="External"/><Relationship Id="rId5851" Type="http://schemas.openxmlformats.org/officeDocument/2006/relationships/hyperlink" Target="https://pbs.twimg.com/profile_images/1345767411/WAAAAHHHH____klein_2011-04-30_normal.jpg" TargetMode="External"/><Relationship Id="rId15445" Type="http://schemas.openxmlformats.org/officeDocument/2006/relationships/hyperlink" Target="https://twitter.com/ZDFhannover" TargetMode="External"/><Relationship Id="rId22661" Type="http://schemas.openxmlformats.org/officeDocument/2006/relationships/hyperlink" Target="https://twitter.com/KarlRennison/status/724237762635943936" TargetMode="External"/><Relationship Id="rId5504" Type="http://schemas.openxmlformats.org/officeDocument/2006/relationships/hyperlink" Target="https://twitter.com/JosBosboom_/status/723206210955055105" TargetMode="External"/><Relationship Id="rId18668" Type="http://schemas.openxmlformats.org/officeDocument/2006/relationships/hyperlink" Target="https://twitter.com/TheWhiskyLynx/status/723888166097305600" TargetMode="External"/><Relationship Id="rId22314" Type="http://schemas.openxmlformats.org/officeDocument/2006/relationships/hyperlink" Target="https://pbs.twimg.com/profile_images/2208847688/Untitled-2_normal.jpg" TargetMode="External"/><Relationship Id="rId3055" Type="http://schemas.openxmlformats.org/officeDocument/2006/relationships/hyperlink" Target="https://twitter.com/vwpress_de" TargetMode="External"/><Relationship Id="rId8727" Type="http://schemas.openxmlformats.org/officeDocument/2006/relationships/hyperlink" Target="https://twitter.com/VWCamperSales" TargetMode="External"/><Relationship Id="rId25537" Type="http://schemas.openxmlformats.org/officeDocument/2006/relationships/hyperlink" Target="https://twitter.com/BOSSSIWELL" TargetMode="External"/><Relationship Id="rId6278" Type="http://schemas.openxmlformats.org/officeDocument/2006/relationships/hyperlink" Target="https://twitter.com/ebaycampervans" TargetMode="External"/><Relationship Id="rId11708" Type="http://schemas.openxmlformats.org/officeDocument/2006/relationships/hyperlink" Target="https://twitter.com/DoMarMac/status/723505798429704192" TargetMode="External"/><Relationship Id="rId23088" Type="http://schemas.openxmlformats.org/officeDocument/2006/relationships/hyperlink" Target="https://twitter.com/_C4productions_" TargetMode="External"/><Relationship Id="rId17751" Type="http://schemas.openxmlformats.org/officeDocument/2006/relationships/hyperlink" Target="https://pbs.twimg.com/profile_images/450834272803241984/vlcIO6UH_normal.jpeg" TargetMode="External"/><Relationship Id="rId110" Type="http://schemas.openxmlformats.org/officeDocument/2006/relationships/hyperlink" Target="https://pbs.twimg.com/profile_images/707247826615595009/ypTyp3v8_normal.jpg" TargetMode="External"/><Relationship Id="rId2888" Type="http://schemas.openxmlformats.org/officeDocument/2006/relationships/hyperlink" Target="https://pbs.twimg.com/profile_images/598485163241267200/wFl-W3I2_normal.jpg" TargetMode="External"/><Relationship Id="rId7810" Type="http://schemas.openxmlformats.org/officeDocument/2006/relationships/hyperlink" Target="https://twitter.com/thunderdan667/status/723332111915163648" TargetMode="External"/><Relationship Id="rId17404" Type="http://schemas.openxmlformats.org/officeDocument/2006/relationships/hyperlink" Target="https://twitter.com/HarudEge" TargetMode="External"/><Relationship Id="rId24620" Type="http://schemas.openxmlformats.org/officeDocument/2006/relationships/hyperlink" Target="https://twitter.com/dapper013/status/724378036431388674" TargetMode="External"/><Relationship Id="rId5361" Type="http://schemas.openxmlformats.org/officeDocument/2006/relationships/hyperlink" Target="https://pbs.twimg.com/profile_images/2709204996/b880460acdc869254288bfc2187d0176_normal.jpeg" TargetMode="External"/><Relationship Id="rId22171" Type="http://schemas.openxmlformats.org/officeDocument/2006/relationships/hyperlink" Target="https://pbs.twimg.com/profile_images/704838507693535232/IBa0yd2d_normal.jpg" TargetMode="External"/><Relationship Id="rId1971" Type="http://schemas.openxmlformats.org/officeDocument/2006/relationships/hyperlink" Target="https://twitter.com/NifsaLsilll" TargetMode="External"/><Relationship Id="rId5014" Type="http://schemas.openxmlformats.org/officeDocument/2006/relationships/hyperlink" Target="https://pbs.twimg.com/profile_images/692310744122179588/mSQOWSau_normal.jpg" TargetMode="External"/><Relationship Id="rId8584" Type="http://schemas.openxmlformats.org/officeDocument/2006/relationships/hyperlink" Target="https://pbs.twimg.com/profile_images/561943529971134465/KNsCPwb6_normal.jpeg" TargetMode="External"/><Relationship Id="rId11565" Type="http://schemas.openxmlformats.org/officeDocument/2006/relationships/hyperlink" Target="https://pbs.twimg.com/profile_images/674334047712100352/gCp94avW_normal.png" TargetMode="External"/><Relationship Id="rId18178" Type="http://schemas.openxmlformats.org/officeDocument/2006/relationships/hyperlink" Target="https://twitter.com/M_Draeger" TargetMode="External"/><Relationship Id="rId25394" Type="http://schemas.openxmlformats.org/officeDocument/2006/relationships/hyperlink" Target="https://pbs.twimg.com/profile_images/698071617818132481/U7NE7DWc_normal.jpg" TargetMode="External"/><Relationship Id="rId1624" Type="http://schemas.openxmlformats.org/officeDocument/2006/relationships/hyperlink" Target="https://pbs.twimg.com/profile_images/3637114988/814547479e176ca9b59f1fb8f90c6f38_normal.jpeg" TargetMode="External"/><Relationship Id="rId8237" Type="http://schemas.openxmlformats.org/officeDocument/2006/relationships/hyperlink" Target="https://pbs.twimg.com/profile_images/570586193205547008/21HlPE6T_normal.jpeg" TargetMode="External"/><Relationship Id="rId11218" Type="http://schemas.openxmlformats.org/officeDocument/2006/relationships/hyperlink" Target="https://twitter.com/handelsblatt" TargetMode="External"/><Relationship Id="rId25047" Type="http://schemas.openxmlformats.org/officeDocument/2006/relationships/hyperlink" Target="https://pbs.twimg.com/profile_images/666453014614446080/7wESjl0P_normal.jpg" TargetMode="External"/><Relationship Id="rId14788" Type="http://schemas.openxmlformats.org/officeDocument/2006/relationships/hyperlink" Target="https://twitter.com/FraaanBetancurt" TargetMode="External"/><Relationship Id="rId17261" Type="http://schemas.openxmlformats.org/officeDocument/2006/relationships/hyperlink" Target="https://twitter.com/ThibMcQueen/status/723785557910937600" TargetMode="External"/><Relationship Id="rId19710" Type="http://schemas.openxmlformats.org/officeDocument/2006/relationships/hyperlink" Target="https://twitter.com/dapper013/status/723949701410729984" TargetMode="External"/><Relationship Id="rId2398" Type="http://schemas.openxmlformats.org/officeDocument/2006/relationships/hyperlink" Target="https://twitter.com/skribjohn" TargetMode="External"/><Relationship Id="rId4847" Type="http://schemas.openxmlformats.org/officeDocument/2006/relationships/hyperlink" Target="https://twitter.com/epicurebeauty/status/723188949053804544" TargetMode="External"/><Relationship Id="rId7320" Type="http://schemas.openxmlformats.org/officeDocument/2006/relationships/hyperlink" Target="https://twitter.com/Benitezzok" TargetMode="External"/><Relationship Id="rId21657" Type="http://schemas.openxmlformats.org/officeDocument/2006/relationships/hyperlink" Target="https://pbs.twimg.com/profile_images/724040319298195456/O41pQ7tc_normal.jpg" TargetMode="External"/><Relationship Id="rId24130" Type="http://schemas.openxmlformats.org/officeDocument/2006/relationships/hyperlink" Target="https://twitter.com/mouadennadir" TargetMode="External"/><Relationship Id="rId10301" Type="http://schemas.openxmlformats.org/officeDocument/2006/relationships/hyperlink" Target="https://twitter.com/FuscaWorld" TargetMode="External"/><Relationship Id="rId13871" Type="http://schemas.openxmlformats.org/officeDocument/2006/relationships/hyperlink" Target="https://twitter.com/VWBeetleSales" TargetMode="External"/><Relationship Id="rId3930" Type="http://schemas.openxmlformats.org/officeDocument/2006/relationships/hyperlink" Target="https://twitter.com/mueller_mw" TargetMode="External"/><Relationship Id="rId8094" Type="http://schemas.openxmlformats.org/officeDocument/2006/relationships/hyperlink" Target="https://twitter.com/Foertsch/status/723366556311281666" TargetMode="External"/><Relationship Id="rId13524" Type="http://schemas.openxmlformats.org/officeDocument/2006/relationships/hyperlink" Target="https://twitter.com/FuscaWorld" TargetMode="External"/><Relationship Id="rId20740" Type="http://schemas.openxmlformats.org/officeDocument/2006/relationships/hyperlink" Target="https://abs.twimg.com/sticky/default_profile_images/default_profile_5_normal.png" TargetMode="External"/><Relationship Id="rId1481" Type="http://schemas.openxmlformats.org/officeDocument/2006/relationships/hyperlink" Target="https://pbs.twimg.com/profile_images/1303110064/ken_crop_normal.jpg" TargetMode="External"/><Relationship Id="rId11075" Type="http://schemas.openxmlformats.org/officeDocument/2006/relationships/hyperlink" Target="https://twitter.com/JoeAlvarezUK/status/723496534352998400" TargetMode="External"/><Relationship Id="rId16747" Type="http://schemas.openxmlformats.org/officeDocument/2006/relationships/hyperlink" Target="https://pbs.twimg.com/profile_images/700445723104407552/1a_55IZR_normal.jpg" TargetMode="External"/><Relationship Id="rId23963" Type="http://schemas.openxmlformats.org/officeDocument/2006/relationships/hyperlink" Target="https://pbs.twimg.com/profile_images/422164778639839234/LVnS1q1c_normal.jpeg" TargetMode="External"/><Relationship Id="rId1134" Type="http://schemas.openxmlformats.org/officeDocument/2006/relationships/hyperlink" Target="https://twitter.com/TheNewsBritain" TargetMode="External"/><Relationship Id="rId6806" Type="http://schemas.openxmlformats.org/officeDocument/2006/relationships/hyperlink" Target="https://pbs.twimg.com/profile_images/696975560199770113/4VFBcMZv_normal.jpg" TargetMode="External"/><Relationship Id="rId14298" Type="http://schemas.openxmlformats.org/officeDocument/2006/relationships/hyperlink" Target="http://dlvr.it/" TargetMode="External"/><Relationship Id="rId19220" Type="http://schemas.openxmlformats.org/officeDocument/2006/relationships/hyperlink" Target="https://pbs.twimg.com/profile_images/644897595442241536/62y226Ai_normal.jpg" TargetMode="External"/><Relationship Id="rId23616" Type="http://schemas.openxmlformats.org/officeDocument/2006/relationships/hyperlink" Target="https://twitter.com/POLITROSO" TargetMode="External"/><Relationship Id="rId4357" Type="http://schemas.openxmlformats.org/officeDocument/2006/relationships/hyperlink" Target="https://twitter.com/napletonvolksu1" TargetMode="External"/><Relationship Id="rId21167" Type="http://schemas.openxmlformats.org/officeDocument/2006/relationships/hyperlink" Target="https://twitter.com/VWBeetleSales" TargetMode="External"/><Relationship Id="rId15830" Type="http://schemas.openxmlformats.org/officeDocument/2006/relationships/hyperlink" Target="https://twitter.com/Stadtpirat" TargetMode="External"/><Relationship Id="rId13381" Type="http://schemas.openxmlformats.org/officeDocument/2006/relationships/hyperlink" Target="https://pbs.twimg.com/profile_images/652551275108769794/9UYDcLxp_normal.jpg" TargetMode="External"/><Relationship Id="rId3440" Type="http://schemas.openxmlformats.org/officeDocument/2006/relationships/hyperlink" Target="https://pbs.twimg.com/profile_images/1610421423/Image2_normal.jpg" TargetMode="External"/><Relationship Id="rId13034" Type="http://schemas.openxmlformats.org/officeDocument/2006/relationships/hyperlink" Target="http://dlvr.it/" TargetMode="External"/><Relationship Id="rId18706" Type="http://schemas.openxmlformats.org/officeDocument/2006/relationships/hyperlink" Target="https://twitter.com/SouthCentreVW" TargetMode="External"/><Relationship Id="rId20250" Type="http://schemas.openxmlformats.org/officeDocument/2006/relationships/hyperlink" Target="https://pbs.twimg.com/profile_images/676465930424082432/zT-RyXf4_normal.jpg" TargetMode="External"/><Relationship Id="rId6663" Type="http://schemas.openxmlformats.org/officeDocument/2006/relationships/hyperlink" Target="https://twitter.com/mcj66/status/723251423622893568" TargetMode="External"/><Relationship Id="rId16257" Type="http://schemas.openxmlformats.org/officeDocument/2006/relationships/hyperlink" Target="https://twitter.com/VWBeetleSales/status/723662083426918401" TargetMode="External"/><Relationship Id="rId23473" Type="http://schemas.openxmlformats.org/officeDocument/2006/relationships/hyperlink" Target="https://twitter.com/Tschompot/status/724291428269043712" TargetMode="External"/><Relationship Id="rId6316" Type="http://schemas.openxmlformats.org/officeDocument/2006/relationships/hyperlink" Target="https://pbs.twimg.com/profile_images/714771824026984449/USx_-_kf_normal.jpg" TargetMode="External"/><Relationship Id="rId9886" Type="http://schemas.openxmlformats.org/officeDocument/2006/relationships/hyperlink" Target="https://twitter.com/EricTheCarGuy/status/723452993174155264" TargetMode="External"/><Relationship Id="rId23126" Type="http://schemas.openxmlformats.org/officeDocument/2006/relationships/hyperlink" Target="https://pbs.twimg.com/profile_images/721995664054489088/aeQdvryV_normal.jpg" TargetMode="External"/><Relationship Id="rId9539" Type="http://schemas.openxmlformats.org/officeDocument/2006/relationships/hyperlink" Target="https://twitter.com/Racewars_org/status/723438918410993665" TargetMode="External"/><Relationship Id="rId12867" Type="http://schemas.openxmlformats.org/officeDocument/2006/relationships/hyperlink" Target="https://twitter.com/goennen/status/723529860409339904" TargetMode="External"/><Relationship Id="rId15340" Type="http://schemas.openxmlformats.org/officeDocument/2006/relationships/hyperlink" Target="https://pbs.twimg.com/profile_images/1169387207/uhu_normal.jpg" TargetMode="External"/><Relationship Id="rId2926" Type="http://schemas.openxmlformats.org/officeDocument/2006/relationships/hyperlink" Target="https://twitter.com/noz_el/status/723126164244574208" TargetMode="External"/><Relationship Id="rId11950" Type="http://schemas.openxmlformats.org/officeDocument/2006/relationships/hyperlink" Target="https://pbs.twimg.com/profile_images/562239128348000256/ROjHz0Gd_normal.jpeg" TargetMode="External"/><Relationship Id="rId18563" Type="http://schemas.openxmlformats.org/officeDocument/2006/relationships/hyperlink" Target="https://twitter.com/chrispillennews/status/723879186482475008" TargetMode="External"/><Relationship Id="rId22959" Type="http://schemas.openxmlformats.org/officeDocument/2006/relationships/hyperlink" Target="https://pbs.twimg.com/profile_images/2208847688/Untitled-2_normal.jpg" TargetMode="External"/><Relationship Id="rId6173" Type="http://schemas.openxmlformats.org/officeDocument/2006/relationships/hyperlink" Target="https://twitter.com/VWCamperSales/status/723233392196653056" TargetMode="External"/><Relationship Id="rId8622" Type="http://schemas.openxmlformats.org/officeDocument/2006/relationships/hyperlink" Target="https://twitter.com/deanomsport/status/723398802539847680" TargetMode="External"/><Relationship Id="rId11603" Type="http://schemas.openxmlformats.org/officeDocument/2006/relationships/hyperlink" Target="https://twitter.com/heldini" TargetMode="External"/><Relationship Id="rId18216" Type="http://schemas.openxmlformats.org/officeDocument/2006/relationships/hyperlink" Target="https://pbs.twimg.com/profile_images/424893967197433858/iQ86NktX_normal.jpeg" TargetMode="External"/><Relationship Id="rId25432" Type="http://schemas.openxmlformats.org/officeDocument/2006/relationships/hyperlink" Target="https://twitter.com/vickymotorserv1" TargetMode="External"/><Relationship Id="rId14826" Type="http://schemas.openxmlformats.org/officeDocument/2006/relationships/hyperlink" Target="https://twitter.com/Chat_Atkins/status/723584241653657600" TargetMode="External"/><Relationship Id="rId2783" Type="http://schemas.openxmlformats.org/officeDocument/2006/relationships/hyperlink" Target="https://twitter.com/dermaschinist" TargetMode="External"/><Relationship Id="rId9396" Type="http://schemas.openxmlformats.org/officeDocument/2006/relationships/hyperlink" Target="https://pbs.twimg.com/profile_images/506828098864558080/mVheZCwt_normal.jpeg" TargetMode="External"/><Relationship Id="rId12377" Type="http://schemas.openxmlformats.org/officeDocument/2006/relationships/hyperlink" Target="https://pbs.twimg.com/profile_images/378800000528765970/3ab9f2a00010e9cac08d5ca1638926e9_normal.png" TargetMode="External"/><Relationship Id="rId755" Type="http://schemas.openxmlformats.org/officeDocument/2006/relationships/hyperlink" Target="https://twitter.com/Doubleupblood" TargetMode="External"/><Relationship Id="rId2436" Type="http://schemas.openxmlformats.org/officeDocument/2006/relationships/hyperlink" Target="https://pbs.twimg.com/profile_images/432785601452982272/RWDE1b--_normal.jpeg" TargetMode="External"/><Relationship Id="rId9049" Type="http://schemas.openxmlformats.org/officeDocument/2006/relationships/hyperlink" Target="http://instock.de/" TargetMode="External"/><Relationship Id="rId408" Type="http://schemas.openxmlformats.org/officeDocument/2006/relationships/hyperlink" Target="https://twitter.com/junior1980rodr/status/722956076937674753" TargetMode="External"/><Relationship Id="rId5659" Type="http://schemas.openxmlformats.org/officeDocument/2006/relationships/hyperlink" Target="https://pbs.twimg.com/profile_images/700415860230397952/tCGmCj6M_normal.jpg" TargetMode="External"/><Relationship Id="rId18073" Type="http://schemas.openxmlformats.org/officeDocument/2006/relationships/hyperlink" Target="https://pbs.twimg.com/profile_images/668437116981018625/BA3Ui4qQ_normal.jpg" TargetMode="External"/><Relationship Id="rId22469" Type="http://schemas.openxmlformats.org/officeDocument/2006/relationships/hyperlink" Target="https://twitter.com/VWCamperSales" TargetMode="External"/><Relationship Id="rId24918" Type="http://schemas.openxmlformats.org/officeDocument/2006/relationships/hyperlink" Target="https://twitter.com/misspetrolhead" TargetMode="External"/><Relationship Id="rId8132" Type="http://schemas.openxmlformats.org/officeDocument/2006/relationships/hyperlink" Target="https://twitter.com/techhippie/status/723371357333905409" TargetMode="External"/><Relationship Id="rId11460" Type="http://schemas.openxmlformats.org/officeDocument/2006/relationships/hyperlink" Target="https://pbs.twimg.com/profile_images/631839981611388932/vD22OUWu_normal.png" TargetMode="External"/><Relationship Id="rId11113" Type="http://schemas.openxmlformats.org/officeDocument/2006/relationships/hyperlink" Target="https://pbs.twimg.com/profile_images/573096506472808448/daICke8C_normal.png" TargetMode="External"/><Relationship Id="rId14683" Type="http://schemas.openxmlformats.org/officeDocument/2006/relationships/hyperlink" Target="https://twitter.com/authormrmike059" TargetMode="External"/><Relationship Id="rId4742" Type="http://schemas.openxmlformats.org/officeDocument/2006/relationships/hyperlink" Target="https://twitter.com/UAimports/status/723186419875872768" TargetMode="External"/><Relationship Id="rId14336" Type="http://schemas.openxmlformats.org/officeDocument/2006/relationships/hyperlink" Target="https://twitter.com/DenbyCampervans" TargetMode="External"/><Relationship Id="rId21552" Type="http://schemas.openxmlformats.org/officeDocument/2006/relationships/hyperlink" Target="https://pbs.twimg.com/profile_images/551677443036413952/rpDchzFG_normal.jpeg" TargetMode="External"/><Relationship Id="rId2293" Type="http://schemas.openxmlformats.org/officeDocument/2006/relationships/hyperlink" Target="https://twitter.com/dailynewsdns/status/723093967412301824" TargetMode="External"/><Relationship Id="rId7965" Type="http://schemas.openxmlformats.org/officeDocument/2006/relationships/hyperlink" Target="https://pbs.twimg.com/profile_images/599357023407464449/BL9Bpo6T_normal.jpg" TargetMode="External"/><Relationship Id="rId17559" Type="http://schemas.openxmlformats.org/officeDocument/2006/relationships/hyperlink" Target="https://twitter.com/Deejaywilliams" TargetMode="External"/><Relationship Id="rId21205" Type="http://schemas.openxmlformats.org/officeDocument/2006/relationships/hyperlink" Target="https://twitter.com/Duambyth" TargetMode="External"/><Relationship Id="rId24775" Type="http://schemas.openxmlformats.org/officeDocument/2006/relationships/hyperlink" Target="https://twitter.com/SULTA46N/status/724387076528037888" TargetMode="External"/><Relationship Id="rId265" Type="http://schemas.openxmlformats.org/officeDocument/2006/relationships/hyperlink" Target="https://twitter.com/svperi_" TargetMode="External"/><Relationship Id="rId7618" Type="http://schemas.openxmlformats.org/officeDocument/2006/relationships/hyperlink" Target="https://pbs.twimg.com/profile_images/693156293842894848/THX8L389_normal.jpg" TargetMode="External"/><Relationship Id="rId10946" Type="http://schemas.openxmlformats.org/officeDocument/2006/relationships/hyperlink" Target="https://pbs.twimg.com/profile_images/610799699436683264/-ylDwi2J_normal.jpg" TargetMode="External"/><Relationship Id="rId24428" Type="http://schemas.openxmlformats.org/officeDocument/2006/relationships/hyperlink" Target="https://pbs.twimg.com/profile_images/615493650785660928/XHUh6HOk_normal.jpg" TargetMode="External"/><Relationship Id="rId5169" Type="http://schemas.openxmlformats.org/officeDocument/2006/relationships/hyperlink" Target="https://twitter.com/countUP" TargetMode="External"/><Relationship Id="rId16642" Type="http://schemas.openxmlformats.org/officeDocument/2006/relationships/hyperlink" Target="https://pbs.twimg.com/profile_images/675825917944549380/s1onEWok_normal.jpg" TargetMode="External"/><Relationship Id="rId1779" Type="http://schemas.openxmlformats.org/officeDocument/2006/relationships/hyperlink" Target="https://twitter.com/ME262P" TargetMode="External"/><Relationship Id="rId4252" Type="http://schemas.openxmlformats.org/officeDocument/2006/relationships/hyperlink" Target="https://pbs.twimg.com/profile_images/695303050580385793/wXS47Pgy_normal.jpg" TargetMode="External"/><Relationship Id="rId6701" Type="http://schemas.openxmlformats.org/officeDocument/2006/relationships/hyperlink" Target="https://twitter.com/cris_drudi" TargetMode="External"/><Relationship Id="rId14193" Type="http://schemas.openxmlformats.org/officeDocument/2006/relationships/hyperlink" Target="https://twitter.com/TheI_Investors/status/723568038415572993" TargetMode="External"/><Relationship Id="rId19865" Type="http://schemas.openxmlformats.org/officeDocument/2006/relationships/hyperlink" Target="https://pbs.twimg.com/profile_images/2633049619/5553f14b2531e78260c667ecc0ecc3eb_normal.jpeg" TargetMode="External"/><Relationship Id="rId23511" Type="http://schemas.openxmlformats.org/officeDocument/2006/relationships/hyperlink" Target="https://twitter.com/sandysola34" TargetMode="External"/><Relationship Id="rId9924" Type="http://schemas.openxmlformats.org/officeDocument/2006/relationships/hyperlink" Target="https://twitter.com/klaus_koester" TargetMode="External"/><Relationship Id="rId12905" Type="http://schemas.openxmlformats.org/officeDocument/2006/relationships/hyperlink" Target="https://pbs.twimg.com/profile_images/701348099290218496/iXTmp1jH_normal.jpg" TargetMode="External"/><Relationship Id="rId19518" Type="http://schemas.openxmlformats.org/officeDocument/2006/relationships/hyperlink" Target="https://pbs.twimg.com/profile_images/378800000102139594/245ffca726e4dda0c3ed9eb7bfdb91e7_normal.jpeg" TargetMode="External"/><Relationship Id="rId21062" Type="http://schemas.openxmlformats.org/officeDocument/2006/relationships/hyperlink" Target="https://twitter.com/EVWestDotCom/status/724090715534450688" TargetMode="External"/><Relationship Id="rId7475" Type="http://schemas.openxmlformats.org/officeDocument/2006/relationships/hyperlink" Target="https://twitter.com/ArentFoxAuto" TargetMode="External"/><Relationship Id="rId10456" Type="http://schemas.openxmlformats.org/officeDocument/2006/relationships/hyperlink" Target="https://twitter.com/RA762" TargetMode="External"/><Relationship Id="rId17069" Type="http://schemas.openxmlformats.org/officeDocument/2006/relationships/hyperlink" Target="https://twitter.com/COURAGE_COMM/status/723768208277266433" TargetMode="External"/><Relationship Id="rId24285" Type="http://schemas.openxmlformats.org/officeDocument/2006/relationships/hyperlink" Target="https://pbs.twimg.com/profile_images/627949001179037696/skEBkS05_normal.jpg" TargetMode="External"/><Relationship Id="rId7128" Type="http://schemas.openxmlformats.org/officeDocument/2006/relationships/hyperlink" Target="https://twitter.com/DubLuvTuning" TargetMode="External"/><Relationship Id="rId10109" Type="http://schemas.openxmlformats.org/officeDocument/2006/relationships/hyperlink" Target="https://pbs.twimg.com/profile_images/703294545195307008/qeCvrX86_normal.jpg" TargetMode="External"/><Relationship Id="rId13679" Type="http://schemas.openxmlformats.org/officeDocument/2006/relationships/hyperlink" Target="https://twitter.com/seemann34" TargetMode="External"/><Relationship Id="rId20895" Type="http://schemas.openxmlformats.org/officeDocument/2006/relationships/hyperlink" Target="https://pbs.twimg.com/profile_images/723486812656656384/Gik7F7Wc_normal.jpg" TargetMode="External"/><Relationship Id="rId3738" Type="http://schemas.openxmlformats.org/officeDocument/2006/relationships/hyperlink" Target="https://twitter.com/Aethonaia/status/723168598240321536" TargetMode="External"/><Relationship Id="rId16152" Type="http://schemas.openxmlformats.org/officeDocument/2006/relationships/hyperlink" Target="https://twitter.com/rplantt" TargetMode="External"/><Relationship Id="rId18601" Type="http://schemas.openxmlformats.org/officeDocument/2006/relationships/hyperlink" Target="https://twitter.com/juliawimbush" TargetMode="External"/><Relationship Id="rId20548" Type="http://schemas.openxmlformats.org/officeDocument/2006/relationships/hyperlink" Target="https://pbs.twimg.com/profile_images/513050073849008128/PKRhFxe3_normal.jpeg" TargetMode="External"/><Relationship Id="rId1289" Type="http://schemas.openxmlformats.org/officeDocument/2006/relationships/hyperlink" Target="https://twitter.com/VolkerVotsmeier/status/723032551971909634" TargetMode="External"/><Relationship Id="rId6211" Type="http://schemas.openxmlformats.org/officeDocument/2006/relationships/hyperlink" Target="https://twitter.com/VWCamperSales" TargetMode="External"/><Relationship Id="rId23021" Type="http://schemas.openxmlformats.org/officeDocument/2006/relationships/hyperlink" Target="https://twitter.com/CheeperSteeper" TargetMode="External"/><Relationship Id="rId9781" Type="http://schemas.openxmlformats.org/officeDocument/2006/relationships/hyperlink" Target="https://twitter.com/5aliN/status/723448916977528832" TargetMode="External"/><Relationship Id="rId12762" Type="http://schemas.openxmlformats.org/officeDocument/2006/relationships/hyperlink" Target="https://pbs.twimg.com/profile_images/662757783494926336/g_HgfE7j_normal.jpg" TargetMode="External"/><Relationship Id="rId19375" Type="http://schemas.openxmlformats.org/officeDocument/2006/relationships/hyperlink" Target="https://pbs.twimg.com/profile_images/682117656502222848/Ge7YeAF3_normal.png" TargetMode="External"/><Relationship Id="rId2821" Type="http://schemas.openxmlformats.org/officeDocument/2006/relationships/hyperlink" Target="https://twitter.com/MarkoJokela/status/723121107709075456" TargetMode="External"/><Relationship Id="rId9434" Type="http://schemas.openxmlformats.org/officeDocument/2006/relationships/hyperlink" Target="https://twitter.com/gellis18" TargetMode="External"/><Relationship Id="rId12415" Type="http://schemas.openxmlformats.org/officeDocument/2006/relationships/hyperlink" Target="https://twitter.com/dgauche" TargetMode="External"/><Relationship Id="rId15985" Type="http://schemas.openxmlformats.org/officeDocument/2006/relationships/hyperlink" Target="https://pbs.twimg.com/profile_images/722248646604013569/kvvRmbIE_normal.jpg" TargetMode="External"/><Relationship Id="rId19028" Type="http://schemas.openxmlformats.org/officeDocument/2006/relationships/hyperlink" Target="https://twitter.com/felix_pig/status/723914067795152896" TargetMode="External"/><Relationship Id="rId15638" Type="http://schemas.openxmlformats.org/officeDocument/2006/relationships/hyperlink" Target="https://twitter.com/DubLuvTuning/status/723618289323249664" TargetMode="External"/><Relationship Id="rId22854" Type="http://schemas.openxmlformats.org/officeDocument/2006/relationships/hyperlink" Target="https://twitter.com/KMDTuning/status/724252065577488385" TargetMode="External"/><Relationship Id="rId3595" Type="http://schemas.openxmlformats.org/officeDocument/2006/relationships/hyperlink" Target="https://twitter.com/jenkers_en/status/723165412544942080" TargetMode="External"/><Relationship Id="rId13189" Type="http://schemas.openxmlformats.org/officeDocument/2006/relationships/hyperlink" Target="https://twitter.com/CyM00n/status/723538376507449344" TargetMode="External"/><Relationship Id="rId18111" Type="http://schemas.openxmlformats.org/officeDocument/2006/relationships/hyperlink" Target="https://twitter.com/InstaHotNow1" TargetMode="External"/><Relationship Id="rId22507" Type="http://schemas.openxmlformats.org/officeDocument/2006/relationships/hyperlink" Target="https://pbs.twimg.com/profile_images/1270146087/Schildkr_te_normal.jpg" TargetMode="External"/><Relationship Id="rId3248" Type="http://schemas.openxmlformats.org/officeDocument/2006/relationships/hyperlink" Target="https://twitter.com/alsternerd" TargetMode="External"/><Relationship Id="rId20058" Type="http://schemas.openxmlformats.org/officeDocument/2006/relationships/hyperlink" Target="https://pbs.twimg.com/profile_images/424893967197433858/iQ86NktX_normal.jpeg" TargetMode="External"/><Relationship Id="rId9291" Type="http://schemas.openxmlformats.org/officeDocument/2006/relationships/hyperlink" Target="https://twitter.com/virtualmotorpix" TargetMode="External"/><Relationship Id="rId14721" Type="http://schemas.openxmlformats.org/officeDocument/2006/relationships/hyperlink" Target="https://pbs.twimg.com/profile_images/1485945406/207925_113294028751758_100002134839482_119781_4289885_n_normal.jpg" TargetMode="External"/><Relationship Id="rId650" Type="http://schemas.openxmlformats.org/officeDocument/2006/relationships/hyperlink" Target="https://pbs.twimg.com/profile_images/539618617701462016/FEGxTnUy_normal.jpeg" TargetMode="External"/><Relationship Id="rId2331" Type="http://schemas.openxmlformats.org/officeDocument/2006/relationships/hyperlink" Target="https://twitter.com/shamereflect" TargetMode="External"/><Relationship Id="rId12272" Type="http://schemas.openxmlformats.org/officeDocument/2006/relationships/hyperlink" Target="https://twitter.com/patburd/status/723516507007766528" TargetMode="External"/><Relationship Id="rId17944" Type="http://schemas.openxmlformats.org/officeDocument/2006/relationships/hyperlink" Target="https://twitter.com/VeeDubMk1_/status/723836201967456257" TargetMode="External"/><Relationship Id="rId303" Type="http://schemas.openxmlformats.org/officeDocument/2006/relationships/hyperlink" Target="https://pbs.twimg.com/profile_images/652871584131092480/QA_B6SBO_normal.jpg" TargetMode="External"/><Relationship Id="rId15495" Type="http://schemas.openxmlformats.org/officeDocument/2006/relationships/hyperlink" Target="https://twitter.com/ianb1550" TargetMode="External"/><Relationship Id="rId24813" Type="http://schemas.openxmlformats.org/officeDocument/2006/relationships/hyperlink" Target="https://pbs.twimg.com/profile_images/539534088613670913/gO3BghJX_normal.jpeg" TargetMode="External"/><Relationship Id="rId5554" Type="http://schemas.openxmlformats.org/officeDocument/2006/relationships/hyperlink" Target="https://twitter.com/pillows_adam" TargetMode="External"/><Relationship Id="rId15148" Type="http://schemas.openxmlformats.org/officeDocument/2006/relationships/hyperlink" Target="https://pbs.twimg.com/profile_images/422164778639839234/LVnS1q1c_normal.jpeg" TargetMode="External"/><Relationship Id="rId22364" Type="http://schemas.openxmlformats.org/officeDocument/2006/relationships/hyperlink" Target="https://twitter.com/VWBeetleSales" TargetMode="External"/><Relationship Id="rId5207" Type="http://schemas.openxmlformats.org/officeDocument/2006/relationships/hyperlink" Target="https://pbs.twimg.com/profile_images/1756710768/image_normal.jpg" TargetMode="External"/><Relationship Id="rId8777" Type="http://schemas.openxmlformats.org/officeDocument/2006/relationships/hyperlink" Target="https://twitter.com/amsonline" TargetMode="External"/><Relationship Id="rId11758" Type="http://schemas.openxmlformats.org/officeDocument/2006/relationships/hyperlink" Target="https://pbs.twimg.com/profile_images/536778472937373696/4a_Txa8m_normal.jpeg" TargetMode="External"/><Relationship Id="rId22017" Type="http://schemas.openxmlformats.org/officeDocument/2006/relationships/hyperlink" Target="https://twitter.com/vwpalmspringspr/status/724194581143646209" TargetMode="External"/><Relationship Id="rId25587" Type="http://schemas.openxmlformats.org/officeDocument/2006/relationships/hyperlink" Target="https://twitter.com/gregrose/status/724449957122564097" TargetMode="External"/><Relationship Id="rId1817" Type="http://schemas.openxmlformats.org/officeDocument/2006/relationships/hyperlink" Target="https://twitter.com/vwpress_en/status/723060477010546688" TargetMode="External"/><Relationship Id="rId14231" Type="http://schemas.openxmlformats.org/officeDocument/2006/relationships/hyperlink" Target="http://dlvr.it/" TargetMode="External"/><Relationship Id="rId19903" Type="http://schemas.openxmlformats.org/officeDocument/2006/relationships/hyperlink" Target="https://twitter.com/majkStyle" TargetMode="External"/><Relationship Id="rId21100" Type="http://schemas.openxmlformats.org/officeDocument/2006/relationships/hyperlink" Target="https://pbs.twimg.com/profile_images/688149856313933824/GRZ7k9BQ_normal.jpg" TargetMode="External"/><Relationship Id="rId160" Type="http://schemas.openxmlformats.org/officeDocument/2006/relationships/hyperlink" Target="https://twitter.com/VCT_Tweets/status/722931640859762688" TargetMode="External"/><Relationship Id="rId7860" Type="http://schemas.openxmlformats.org/officeDocument/2006/relationships/hyperlink" Target="https://pbs.twimg.com/profile_images/630477470240604160/cWOnCrEZ_normal.jpg" TargetMode="External"/><Relationship Id="rId10841" Type="http://schemas.openxmlformats.org/officeDocument/2006/relationships/hyperlink" Target="https://twitter.com/VWBeetleSales" TargetMode="External"/><Relationship Id="rId17454" Type="http://schemas.openxmlformats.org/officeDocument/2006/relationships/hyperlink" Target="https://pbs.twimg.com/profile_images/722924621301956608/WYrNe6po_normal.jpg" TargetMode="External"/><Relationship Id="rId24670" Type="http://schemas.openxmlformats.org/officeDocument/2006/relationships/hyperlink" Target="https://twitter.com/beetlebug1938" TargetMode="External"/><Relationship Id="rId5064" Type="http://schemas.openxmlformats.org/officeDocument/2006/relationships/hyperlink" Target="https://twitter.com/sociokomm" TargetMode="External"/><Relationship Id="rId7513" Type="http://schemas.openxmlformats.org/officeDocument/2006/relationships/hyperlink" Target="https://twitter.com/GuidoSagredo/status/723307477236895744" TargetMode="External"/><Relationship Id="rId17107" Type="http://schemas.openxmlformats.org/officeDocument/2006/relationships/hyperlink" Target="https://pbs.twimg.com/profile_images/472019695189491712/cx9z_iBS_normal.jpeg" TargetMode="External"/><Relationship Id="rId24323" Type="http://schemas.openxmlformats.org/officeDocument/2006/relationships/hyperlink" Target="https://twitter.com/PizzaMoto/status/724347911253942273" TargetMode="External"/><Relationship Id="rId13717" Type="http://schemas.openxmlformats.org/officeDocument/2006/relationships/hyperlink" Target="https://twitter.com/VolkswagenPost" TargetMode="External"/><Relationship Id="rId20933" Type="http://schemas.openxmlformats.org/officeDocument/2006/relationships/hyperlink" Target="http://dlvr.it/" TargetMode="External"/><Relationship Id="rId1674" Type="http://schemas.openxmlformats.org/officeDocument/2006/relationships/hyperlink" Target="https://twitter.com/remootapp/status/723052721348198400" TargetMode="External"/><Relationship Id="rId8287" Type="http://schemas.openxmlformats.org/officeDocument/2006/relationships/hyperlink" Target="https://twitter.com/pehuen14/status/723381332361908224" TargetMode="External"/><Relationship Id="rId11268" Type="http://schemas.openxmlformats.org/officeDocument/2006/relationships/hyperlink" Target="https://twitter.com/wehrs18/status/723500136689729537" TargetMode="External"/><Relationship Id="rId19760" Type="http://schemas.openxmlformats.org/officeDocument/2006/relationships/hyperlink" Target="https://pbs.twimg.com/profile_images/1821898729/image_normal.jpg" TargetMode="External"/><Relationship Id="rId25097" Type="http://schemas.openxmlformats.org/officeDocument/2006/relationships/hyperlink" Target="https://pbs.twimg.com/profile_images/472298206483607552/UogAMiRI_normal.png" TargetMode="External"/><Relationship Id="rId1327" Type="http://schemas.openxmlformats.org/officeDocument/2006/relationships/hyperlink" Target="https://pbs.twimg.com/profile_images/668968842/Venice_pic_normal.jpg" TargetMode="External"/><Relationship Id="rId4897" Type="http://schemas.openxmlformats.org/officeDocument/2006/relationships/hyperlink" Target="https://twitter.com/Dewickie/status/723189695191105537" TargetMode="External"/><Relationship Id="rId19413" Type="http://schemas.openxmlformats.org/officeDocument/2006/relationships/hyperlink" Target="https://pbs.twimg.com/profile_images/720256156069814272/xwSW5czP_normal.jpg" TargetMode="External"/><Relationship Id="rId33" Type="http://schemas.openxmlformats.org/officeDocument/2006/relationships/hyperlink" Target="https://pbs.twimg.com/profile_images/632680953865981952/RcuZey8Q_normal.jpg" TargetMode="External"/><Relationship Id="rId7370" Type="http://schemas.openxmlformats.org/officeDocument/2006/relationships/hyperlink" Target="https://twitter.com/DLFNachrichten" TargetMode="External"/><Relationship Id="rId12800" Type="http://schemas.openxmlformats.org/officeDocument/2006/relationships/hyperlink" Target="https://twitter.com/beetlebug1938/status/723527959009714176" TargetMode="External"/><Relationship Id="rId23809" Type="http://schemas.openxmlformats.org/officeDocument/2006/relationships/hyperlink" Target="https://twitter.com/Insta_VWT/status/724313232681406464" TargetMode="External"/><Relationship Id="rId24180" Type="http://schemas.openxmlformats.org/officeDocument/2006/relationships/hyperlink" Target="https://twitter.com/dubbusses" TargetMode="External"/><Relationship Id="rId7023" Type="http://schemas.openxmlformats.org/officeDocument/2006/relationships/hyperlink" Target="https://pbs.twimg.com/profile_images/711013597888045056/1Hc5ik2p_normal.jpg" TargetMode="External"/><Relationship Id="rId10351" Type="http://schemas.openxmlformats.org/officeDocument/2006/relationships/hyperlink" Target="https://twitter.com/katjalosch/status/723470296594939904" TargetMode="External"/><Relationship Id="rId3980" Type="http://schemas.openxmlformats.org/officeDocument/2006/relationships/hyperlink" Target="https://twitter.com/Stony_BS/status/723173456511037440" TargetMode="External"/><Relationship Id="rId10004" Type="http://schemas.openxmlformats.org/officeDocument/2006/relationships/hyperlink" Target="https://twitter.com/willi_haentjes/status/723457746989920256" TargetMode="External"/><Relationship Id="rId13574" Type="http://schemas.openxmlformats.org/officeDocument/2006/relationships/hyperlink" Target="https://pbs.twimg.com/profile_images/530071272881803264/a_jcCmPZ_normal.png" TargetMode="External"/><Relationship Id="rId20790" Type="http://schemas.openxmlformats.org/officeDocument/2006/relationships/hyperlink" Target="https://twitter.com/jenkspl64" TargetMode="External"/><Relationship Id="rId1184" Type="http://schemas.openxmlformats.org/officeDocument/2006/relationships/hyperlink" Target="https://twitter.com/SummerOfTuning" TargetMode="External"/><Relationship Id="rId3633" Type="http://schemas.openxmlformats.org/officeDocument/2006/relationships/hyperlink" Target="https://twitter.com/KateGalbraith/status/723166266765107200" TargetMode="External"/><Relationship Id="rId13227" Type="http://schemas.openxmlformats.org/officeDocument/2006/relationships/hyperlink" Target="https://twitter.com/zdmak" TargetMode="External"/><Relationship Id="rId16797" Type="http://schemas.openxmlformats.org/officeDocument/2006/relationships/hyperlink" Target="https://twitter.com/skywalker5005" TargetMode="External"/><Relationship Id="rId20443" Type="http://schemas.openxmlformats.org/officeDocument/2006/relationships/hyperlink" Target="https://twitter.com/fo_sag" TargetMode="External"/><Relationship Id="rId6856" Type="http://schemas.openxmlformats.org/officeDocument/2006/relationships/hyperlink" Target="https://pbs.twimg.com/profile_images/718820712757215233/LXXndPTS_normal.jpg" TargetMode="External"/><Relationship Id="rId19270" Type="http://schemas.openxmlformats.org/officeDocument/2006/relationships/hyperlink" Target="https://twitter.com/dazvw" TargetMode="External"/><Relationship Id="rId23666" Type="http://schemas.openxmlformats.org/officeDocument/2006/relationships/hyperlink" Target="http://dlvr.it/" TargetMode="External"/><Relationship Id="rId6509" Type="http://schemas.openxmlformats.org/officeDocument/2006/relationships/hyperlink" Target="https://twitter.com/Todo_VWT3" TargetMode="External"/><Relationship Id="rId12310" Type="http://schemas.openxmlformats.org/officeDocument/2006/relationships/hyperlink" Target="https://pbs.twimg.com/profile_images/550005315048333314/YipuE0ON_normal.jpeg" TargetMode="External"/><Relationship Id="rId23319" Type="http://schemas.openxmlformats.org/officeDocument/2006/relationships/hyperlink" Target="https://pbs.twimg.com/profile_images/666755495747825664/juRDyfXs_normal.png" TargetMode="External"/><Relationship Id="rId15880" Type="http://schemas.openxmlformats.org/officeDocument/2006/relationships/hyperlink" Target="https://twitter.com/J_A_Goodwin" TargetMode="External"/><Relationship Id="rId3490" Type="http://schemas.openxmlformats.org/officeDocument/2006/relationships/hyperlink" Target="https://twitter.com/FilthyFitment/status/723160548611780609" TargetMode="External"/><Relationship Id="rId13084" Type="http://schemas.openxmlformats.org/officeDocument/2006/relationships/hyperlink" Target="https://pbs.twimg.com/profile_images/1550395425/aya_normal.jpg" TargetMode="External"/><Relationship Id="rId15533" Type="http://schemas.openxmlformats.org/officeDocument/2006/relationships/hyperlink" Target="https://twitter.com/Mphilpot1/status/723611450615320576" TargetMode="External"/><Relationship Id="rId3143" Type="http://schemas.openxmlformats.org/officeDocument/2006/relationships/hyperlink" Target="https://twitter.com/oldcar_photo" TargetMode="External"/><Relationship Id="rId18756" Type="http://schemas.openxmlformats.org/officeDocument/2006/relationships/hyperlink" Target="https://pbs.twimg.com/profile_images/443500704578031616/l1PNCdBj_normal.jpeg" TargetMode="External"/><Relationship Id="rId22402" Type="http://schemas.openxmlformats.org/officeDocument/2006/relationships/hyperlink" Target="https://twitter.com/Teresaribera" TargetMode="External"/><Relationship Id="rId8815" Type="http://schemas.openxmlformats.org/officeDocument/2006/relationships/hyperlink" Target="https://pbs.twimg.com/profile_images/378800000747750946/394d9f0f5e6dde5137683d9c98c5c8a9_normal.jpeg" TargetMode="External"/><Relationship Id="rId18409" Type="http://schemas.openxmlformats.org/officeDocument/2006/relationships/hyperlink" Target="https://twitter.com/Scirocco_Tuning/status/723867187916754945" TargetMode="External"/><Relationship Id="rId25625" Type="http://schemas.openxmlformats.org/officeDocument/2006/relationships/hyperlink" Target="https://pbs.twimg.com/profile_images/721901030309552129/YXZz-ruu_normal.jpg" TargetMode="External"/><Relationship Id="rId6366" Type="http://schemas.openxmlformats.org/officeDocument/2006/relationships/hyperlink" Target="https://pbs.twimg.com/profile_images/722546011785314304/6t5bGvMX_normal.jpg" TargetMode="External"/><Relationship Id="rId23176" Type="http://schemas.openxmlformats.org/officeDocument/2006/relationships/hyperlink" Target="https://twitter.com/CllrLyleDavy" TargetMode="External"/><Relationship Id="rId2976" Type="http://schemas.openxmlformats.org/officeDocument/2006/relationships/hyperlink" Target="https://twitter.com/nolenje" TargetMode="External"/><Relationship Id="rId6019" Type="http://schemas.openxmlformats.org/officeDocument/2006/relationships/hyperlink" Target="http://dlvr.it/" TargetMode="External"/><Relationship Id="rId9589" Type="http://schemas.openxmlformats.org/officeDocument/2006/relationships/hyperlink" Target="https://twitter.com/Insta_VWT/status/723442110947446784" TargetMode="External"/><Relationship Id="rId15390" Type="http://schemas.openxmlformats.org/officeDocument/2006/relationships/hyperlink" Target="https://pbs.twimg.com/profile_images/707459640758571008/LmPB7EIn_normal.jpg" TargetMode="External"/><Relationship Id="rId948" Type="http://schemas.openxmlformats.org/officeDocument/2006/relationships/hyperlink" Target="https://twitter.com/VWsightings/status/723005774822268928" TargetMode="External"/><Relationship Id="rId2629" Type="http://schemas.openxmlformats.org/officeDocument/2006/relationships/hyperlink" Target="https://twitter.com/modautomotive/status/723110490407342080" TargetMode="External"/><Relationship Id="rId15043" Type="http://schemas.openxmlformats.org/officeDocument/2006/relationships/hyperlink" Target="https://pbs.twimg.com/profile_images/627119186943344644/ABqY0Py5_normal.jpg" TargetMode="External"/><Relationship Id="rId5102" Type="http://schemas.openxmlformats.org/officeDocument/2006/relationships/hyperlink" Target="https://pbs.twimg.com/profile_images/647228813428944896/jzdL4KmK_normal.jpg" TargetMode="External"/><Relationship Id="rId8672" Type="http://schemas.openxmlformats.org/officeDocument/2006/relationships/hyperlink" Target="https://twitter.com/StaceJake" TargetMode="External"/><Relationship Id="rId18266" Type="http://schemas.openxmlformats.org/officeDocument/2006/relationships/hyperlink" Target="https://twitter.com/swanswaygroup/status/723858972516728832" TargetMode="External"/><Relationship Id="rId25482" Type="http://schemas.openxmlformats.org/officeDocument/2006/relationships/hyperlink" Target="https://pbs.twimg.com/profile_images/378800000572104796/1de43e1cf23efb3f4101c02afad0d3b6_normal.png" TargetMode="External"/><Relationship Id="rId8325" Type="http://schemas.openxmlformats.org/officeDocument/2006/relationships/hyperlink" Target="https://pbs.twimg.com/profile_images/2405638481/IMG00116-20120313-1506_normal.jpg" TargetMode="External"/><Relationship Id="rId11653" Type="http://schemas.openxmlformats.org/officeDocument/2006/relationships/hyperlink" Target="https://twitter.com/MDRINFO/status/723505076065677312" TargetMode="External"/><Relationship Id="rId25135" Type="http://schemas.openxmlformats.org/officeDocument/2006/relationships/hyperlink" Target="https://twitter.com/enano_81" TargetMode="External"/><Relationship Id="rId1712" Type="http://schemas.openxmlformats.org/officeDocument/2006/relationships/hyperlink" Target="https://pbs.twimg.com/profile_images/665983049436233728/ISdbk2zE_normal.png" TargetMode="External"/><Relationship Id="rId11306" Type="http://schemas.openxmlformats.org/officeDocument/2006/relationships/hyperlink" Target="https://pbs.twimg.com/profile_images/721572226600943616/rLXy7VpS_normal.jpg" TargetMode="External"/><Relationship Id="rId14876" Type="http://schemas.openxmlformats.org/officeDocument/2006/relationships/hyperlink" Target="https://twitter.com/Repupilli_Azul/status/723585837905096705" TargetMode="External"/><Relationship Id="rId4935" Type="http://schemas.openxmlformats.org/officeDocument/2006/relationships/hyperlink" Target="https://twitter.com/wnurnews/status/723190791871467520" TargetMode="External"/><Relationship Id="rId9099" Type="http://schemas.openxmlformats.org/officeDocument/2006/relationships/hyperlink" Target="https://pbs.twimg.com/profile_images/527543470005964800/j2iA1fA8_normal.jpeg" TargetMode="External"/><Relationship Id="rId14529" Type="http://schemas.openxmlformats.org/officeDocument/2006/relationships/hyperlink" Target="https://twitter.com/anja_urbschat" TargetMode="External"/><Relationship Id="rId21745" Type="http://schemas.openxmlformats.org/officeDocument/2006/relationships/hyperlink" Target="https://twitter.com/GolfitIt" TargetMode="External"/><Relationship Id="rId2486" Type="http://schemas.openxmlformats.org/officeDocument/2006/relationships/hyperlink" Target="https://twitter.com/Iteration23" TargetMode="External"/><Relationship Id="rId17002" Type="http://schemas.openxmlformats.org/officeDocument/2006/relationships/hyperlink" Target="https://twitter.com/FuscaWorld" TargetMode="External"/><Relationship Id="rId24968" Type="http://schemas.openxmlformats.org/officeDocument/2006/relationships/hyperlink" Target="https://twitter.com/VAGFanArg/status/724407174059950080" TargetMode="External"/><Relationship Id="rId458" Type="http://schemas.openxmlformats.org/officeDocument/2006/relationships/hyperlink" Target="https://twitter.com/EuroshopVW" TargetMode="External"/><Relationship Id="rId2139" Type="http://schemas.openxmlformats.org/officeDocument/2006/relationships/hyperlink" Target="https://pbs.twimg.com/profile_images/530071272881803264/a_jcCmPZ_normal.png" TargetMode="External"/><Relationship Id="rId8182" Type="http://schemas.openxmlformats.org/officeDocument/2006/relationships/hyperlink" Target="https://twitter.com/heikolossie/status/723374965353893889" TargetMode="External"/><Relationship Id="rId11163" Type="http://schemas.openxmlformats.org/officeDocument/2006/relationships/hyperlink" Target="https://twitter.com/sabinahasanova7" TargetMode="External"/><Relationship Id="rId13612" Type="http://schemas.openxmlformats.org/officeDocument/2006/relationships/hyperlink" Target="https://twitter.com/BS_Verkehr/status/723551687697403904" TargetMode="External"/><Relationship Id="rId1222" Type="http://schemas.openxmlformats.org/officeDocument/2006/relationships/hyperlink" Target="https://pbs.twimg.com/profile_images/691874663518097409/iKVhggqL_normal.jpg" TargetMode="External"/><Relationship Id="rId16835" Type="http://schemas.openxmlformats.org/officeDocument/2006/relationships/hyperlink" Target="https://pbs.twimg.com/profile_images/530071272881803264/a_jcCmPZ_normal.png" TargetMode="External"/><Relationship Id="rId4792" Type="http://schemas.openxmlformats.org/officeDocument/2006/relationships/hyperlink" Target="https://twitter.com/Sagenwirmalso" TargetMode="External"/><Relationship Id="rId14386" Type="http://schemas.openxmlformats.org/officeDocument/2006/relationships/hyperlink" Target="https://twitter.com/beetlebug1938/status/723573140664791042" TargetMode="External"/><Relationship Id="rId23704" Type="http://schemas.openxmlformats.org/officeDocument/2006/relationships/hyperlink" Target="https://pbs.twimg.com/profile_images/718820712757215233/LXXndPTS_normal.jpg" TargetMode="External"/><Relationship Id="rId4445" Type="http://schemas.openxmlformats.org/officeDocument/2006/relationships/hyperlink" Target="https://pbs.twimg.com/profile_images/649282853226745858/VsTbEl77_normal.jpg" TargetMode="External"/><Relationship Id="rId10996" Type="http://schemas.openxmlformats.org/officeDocument/2006/relationships/hyperlink" Target="https://twitter.com/HpGregory" TargetMode="External"/><Relationship Id="rId14039" Type="http://schemas.openxmlformats.org/officeDocument/2006/relationships/hyperlink" Target="https://twitter.com/sszonke" TargetMode="External"/><Relationship Id="rId21255" Type="http://schemas.openxmlformats.org/officeDocument/2006/relationships/hyperlink" Target="https://twitter.com/beetlebug1938/status/724133126017024000" TargetMode="External"/><Relationship Id="rId7668" Type="http://schemas.openxmlformats.org/officeDocument/2006/relationships/hyperlink" Target="https://pbs.twimg.com/profile_images/627949001179037696/skEBkS05_normal.jpg" TargetMode="External"/><Relationship Id="rId10649" Type="http://schemas.openxmlformats.org/officeDocument/2006/relationships/hyperlink" Target="https://twitter.com/borsakahini" TargetMode="External"/><Relationship Id="rId24478" Type="http://schemas.openxmlformats.org/officeDocument/2006/relationships/hyperlink" Target="https://twitter.com/deanomsport" TargetMode="External"/><Relationship Id="rId13122" Type="http://schemas.openxmlformats.org/officeDocument/2006/relationships/hyperlink" Target="https://pbs.twimg.com/profile_images/721089358372200450/OVkiPdxQ_normal.jpg" TargetMode="External"/><Relationship Id="rId6751" Type="http://schemas.openxmlformats.org/officeDocument/2006/relationships/hyperlink" Target="https://twitter.com/ENGautoevents" TargetMode="External"/><Relationship Id="rId16345" Type="http://schemas.openxmlformats.org/officeDocument/2006/relationships/hyperlink" Target="https://twitter.com/KMennerFineArt" TargetMode="External"/><Relationship Id="rId16692" Type="http://schemas.openxmlformats.org/officeDocument/2006/relationships/hyperlink" Target="https://twitter.com/Tweets4Yoga/status/723710576657092612" TargetMode="External"/><Relationship Id="rId23561" Type="http://schemas.openxmlformats.org/officeDocument/2006/relationships/hyperlink" Target="https://twitter.com/techhippie/status/724297257214947328" TargetMode="External"/><Relationship Id="rId6404" Type="http://schemas.openxmlformats.org/officeDocument/2006/relationships/hyperlink" Target="https://pbs.twimg.com/profile_images/707295482314358784/nCD4dA4j_normal.jpg" TargetMode="External"/><Relationship Id="rId23214" Type="http://schemas.openxmlformats.org/officeDocument/2006/relationships/hyperlink" Target="https://twitter.com/naturewilds" TargetMode="External"/><Relationship Id="rId9974" Type="http://schemas.openxmlformats.org/officeDocument/2006/relationships/hyperlink" Target="https://twitter.com/becky1363/status/723456488375771136" TargetMode="External"/><Relationship Id="rId12955" Type="http://schemas.openxmlformats.org/officeDocument/2006/relationships/hyperlink" Target="https://twitter.com/OnlineCarReview/status/723532263565103105" TargetMode="External"/><Relationship Id="rId19568" Type="http://schemas.openxmlformats.org/officeDocument/2006/relationships/hyperlink" Target="https://twitter.com/ldnsecuritysynd" TargetMode="External"/><Relationship Id="rId7178" Type="http://schemas.openxmlformats.org/officeDocument/2006/relationships/hyperlink" Target="https://twitter.com/Hermosuraterr/status/723282850162855936" TargetMode="External"/><Relationship Id="rId9627" Type="http://schemas.openxmlformats.org/officeDocument/2006/relationships/hyperlink" Target="https://twitter.com/AutoNewsEurope" TargetMode="External"/><Relationship Id="rId12608" Type="http://schemas.openxmlformats.org/officeDocument/2006/relationships/hyperlink" Target="https://twitter.com/DaveTrowel" TargetMode="External"/><Relationship Id="rId10159" Type="http://schemas.openxmlformats.org/officeDocument/2006/relationships/hyperlink" Target="https://twitter.com/dubengeldu" TargetMode="External"/><Relationship Id="rId18651" Type="http://schemas.openxmlformats.org/officeDocument/2006/relationships/hyperlink" Target="https://twitter.com/DerLuggas" TargetMode="External"/><Relationship Id="rId3788" Type="http://schemas.openxmlformats.org/officeDocument/2006/relationships/hyperlink" Target="https://twitter.com/Ruchser" TargetMode="External"/><Relationship Id="rId8710" Type="http://schemas.openxmlformats.org/officeDocument/2006/relationships/hyperlink" Target="https://twitter.com/dialz16/status/723403006486552576" TargetMode="External"/><Relationship Id="rId18304" Type="http://schemas.openxmlformats.org/officeDocument/2006/relationships/hyperlink" Target="https://twitter.com/1JulianMartinez" TargetMode="External"/><Relationship Id="rId20598" Type="http://schemas.openxmlformats.org/officeDocument/2006/relationships/hyperlink" Target="https://abs.twimg.com/sticky/default_profile_images/default_profile_2_normal.png" TargetMode="External"/><Relationship Id="rId25520" Type="http://schemas.openxmlformats.org/officeDocument/2006/relationships/hyperlink" Target="https://twitter.com/OnlineCarReview/status/724445299675000833" TargetMode="External"/><Relationship Id="rId6261" Type="http://schemas.openxmlformats.org/officeDocument/2006/relationships/hyperlink" Target="https://twitter.com/VWCamperSales" TargetMode="External"/><Relationship Id="rId23071" Type="http://schemas.openxmlformats.org/officeDocument/2006/relationships/hyperlink" Target="https://twitter.com/paulachuter/status/724267575794884608" TargetMode="External"/><Relationship Id="rId9484" Type="http://schemas.openxmlformats.org/officeDocument/2006/relationships/hyperlink" Target="https://twitter.com/twittonium" TargetMode="External"/><Relationship Id="rId14914" Type="http://schemas.openxmlformats.org/officeDocument/2006/relationships/hyperlink" Target="https://twitter.com/RainerRogge/status/723586793048793089" TargetMode="External"/><Relationship Id="rId19078" Type="http://schemas.openxmlformats.org/officeDocument/2006/relationships/hyperlink" Target="https://twitter.com/gjPandaBouseKe" TargetMode="External"/><Relationship Id="rId2871" Type="http://schemas.openxmlformats.org/officeDocument/2006/relationships/hyperlink" Target="https://twitter.com/ae_cuellar" TargetMode="External"/><Relationship Id="rId9137" Type="http://schemas.openxmlformats.org/officeDocument/2006/relationships/hyperlink" Target="https://pbs.twimg.com/profile_images/614723809590018048/IWZnUTnV_normal.jpg" TargetMode="External"/><Relationship Id="rId12465" Type="http://schemas.openxmlformats.org/officeDocument/2006/relationships/hyperlink" Target="https://pbs.twimg.com/profile_images/505852375911780352/2-ZN7ue2_normal.jpeg" TargetMode="External"/><Relationship Id="rId843" Type="http://schemas.openxmlformats.org/officeDocument/2006/relationships/hyperlink" Target="https://pbs.twimg.com/profile_images/627949001179037696/skEBkS05_normal.jpg" TargetMode="External"/><Relationship Id="rId2524" Type="http://schemas.openxmlformats.org/officeDocument/2006/relationships/hyperlink" Target="https://pbs.twimg.com/profile_images/587542294913556480/VN9ydDdE_normal.jpg" TargetMode="External"/><Relationship Id="rId12118" Type="http://schemas.openxmlformats.org/officeDocument/2006/relationships/hyperlink" Target="https://pbs.twimg.com/profile_images/412695382473183232/8AYqYk5z_normal.jpeg" TargetMode="External"/><Relationship Id="rId15688" Type="http://schemas.openxmlformats.org/officeDocument/2006/relationships/hyperlink" Target="https://twitter.com/rheto/status/723620475121885184" TargetMode="External"/><Relationship Id="rId5747" Type="http://schemas.openxmlformats.org/officeDocument/2006/relationships/hyperlink" Target="https://twitter.com/Ricardpiccolojr" TargetMode="External"/><Relationship Id="rId18161" Type="http://schemas.openxmlformats.org/officeDocument/2006/relationships/hyperlink" Target="https://pbs.twimg.com/profile_images/718453650218061824/qMyM9nm2_normal.jpg" TargetMode="External"/><Relationship Id="rId22557" Type="http://schemas.openxmlformats.org/officeDocument/2006/relationships/hyperlink" Target="https://twitter.com/VWDRC/status/724230179128676352" TargetMode="External"/><Relationship Id="rId3298" Type="http://schemas.openxmlformats.org/officeDocument/2006/relationships/hyperlink" Target="https://twitter.com/Tarcil/status/723150113892233216" TargetMode="External"/><Relationship Id="rId8220" Type="http://schemas.openxmlformats.org/officeDocument/2006/relationships/hyperlink" Target="https://twitter.com/roem1212" TargetMode="External"/><Relationship Id="rId11201" Type="http://schemas.openxmlformats.org/officeDocument/2006/relationships/hyperlink" Target="http://dlvr.it/" TargetMode="External"/><Relationship Id="rId25030" Type="http://schemas.openxmlformats.org/officeDocument/2006/relationships/hyperlink" Target="https://twitter.com/Lil_Lorii" TargetMode="External"/><Relationship Id="rId4830" Type="http://schemas.openxmlformats.org/officeDocument/2006/relationships/hyperlink" Target="https://pbs.twimg.com/profile_images/722527417584123906/lqqlrdfb_normal.jpg" TargetMode="External"/><Relationship Id="rId14424" Type="http://schemas.openxmlformats.org/officeDocument/2006/relationships/hyperlink" Target="https://twitter.com/RayGoldbaer" TargetMode="External"/><Relationship Id="rId14771" Type="http://schemas.openxmlformats.org/officeDocument/2006/relationships/hyperlink" Target="https://twitter.com/Zusehrverkuerzt/status/723581906101669889" TargetMode="External"/><Relationship Id="rId2381" Type="http://schemas.openxmlformats.org/officeDocument/2006/relationships/hyperlink" Target="https://twitter.com/helkearo" TargetMode="External"/><Relationship Id="rId17994" Type="http://schemas.openxmlformats.org/officeDocument/2006/relationships/hyperlink" Target="https://pbs.twimg.com/profile_images/378800000572104796/1de43e1cf23efb3f4101c02afad0d3b6_normal.png" TargetMode="External"/><Relationship Id="rId21640" Type="http://schemas.openxmlformats.org/officeDocument/2006/relationships/hyperlink" Target="https://twitter.com/VWCamperSales/status/724165250182860800" TargetMode="External"/><Relationship Id="rId353" Type="http://schemas.openxmlformats.org/officeDocument/2006/relationships/hyperlink" Target="https://twitter.com/beetlebug1938" TargetMode="External"/><Relationship Id="rId2034" Type="http://schemas.openxmlformats.org/officeDocument/2006/relationships/hyperlink" Target="https://twitter.com/VWBeetleSales" TargetMode="External"/><Relationship Id="rId15198" Type="http://schemas.openxmlformats.org/officeDocument/2006/relationships/hyperlink" Target="https://twitter.com/JrekAutocare" TargetMode="External"/><Relationship Id="rId17647" Type="http://schemas.openxmlformats.org/officeDocument/2006/relationships/hyperlink" Target="https://twitter.com/IPKlaus/status/723812919163662336" TargetMode="External"/><Relationship Id="rId24863" Type="http://schemas.openxmlformats.org/officeDocument/2006/relationships/hyperlink" Target="https://twitter.com/EeZeEpEe" TargetMode="External"/><Relationship Id="rId5257" Type="http://schemas.openxmlformats.org/officeDocument/2006/relationships/hyperlink" Target="https://twitter.com/AlexWitzleben/status/723198843601309696" TargetMode="External"/><Relationship Id="rId7706" Type="http://schemas.openxmlformats.org/officeDocument/2006/relationships/hyperlink" Target="https://twitter.com/beto_rh6" TargetMode="External"/><Relationship Id="rId22067" Type="http://schemas.openxmlformats.org/officeDocument/2006/relationships/hyperlink" Target="https://twitter.com/VeeDubMk1_/status/724198348878692352" TargetMode="External"/><Relationship Id="rId24516" Type="http://schemas.openxmlformats.org/officeDocument/2006/relationships/hyperlink" Target="https://twitter.com/beetlebug1938" TargetMode="External"/><Relationship Id="rId16730" Type="http://schemas.openxmlformats.org/officeDocument/2006/relationships/hyperlink" Target="https://twitter.com/vagcafe" TargetMode="External"/><Relationship Id="rId1867" Type="http://schemas.openxmlformats.org/officeDocument/2006/relationships/hyperlink" Target="https://twitter.com/LiseDeshautel" TargetMode="External"/><Relationship Id="rId14281" Type="http://schemas.openxmlformats.org/officeDocument/2006/relationships/hyperlink" Target="https://twitter.com/VolkswagenPost" TargetMode="External"/><Relationship Id="rId4340" Type="http://schemas.openxmlformats.org/officeDocument/2006/relationships/hyperlink" Target="https://pbs.twimg.com/profile_images/703294545195307008/qeCvrX86_normal.jpg" TargetMode="External"/><Relationship Id="rId19953" Type="http://schemas.openxmlformats.org/officeDocument/2006/relationships/hyperlink" Target="https://pbs.twimg.com/profile_images/391720090/Copy_of_Put-in-BAy_004_normal.jpg" TargetMode="External"/><Relationship Id="rId21150" Type="http://schemas.openxmlformats.org/officeDocument/2006/relationships/hyperlink" Target="https://twitter.com/DPocock1969/status/724113989337264128" TargetMode="External"/><Relationship Id="rId7563" Type="http://schemas.openxmlformats.org/officeDocument/2006/relationships/hyperlink" Target="https://twitter.com/rigogereon" TargetMode="External"/><Relationship Id="rId10891" Type="http://schemas.openxmlformats.org/officeDocument/2006/relationships/hyperlink" Target="https://twitter.com/aurorasentinel/status/723489384780189696" TargetMode="External"/><Relationship Id="rId17157" Type="http://schemas.openxmlformats.org/officeDocument/2006/relationships/hyperlink" Target="https://pbs.twimg.com/profile_images/439706141728051201/GQgdrA5p_normal.jpeg" TargetMode="External"/><Relationship Id="rId19606" Type="http://schemas.openxmlformats.org/officeDocument/2006/relationships/hyperlink" Target="https://pbs.twimg.com/profile_images/566973113330860032/NoKIjbWz_normal.jpeg" TargetMode="External"/><Relationship Id="rId24373" Type="http://schemas.openxmlformats.org/officeDocument/2006/relationships/hyperlink" Target="https://pbs.twimg.com/profile_images/718820712757215233/LXXndPTS_normal.jpg" TargetMode="External"/><Relationship Id="rId7216" Type="http://schemas.openxmlformats.org/officeDocument/2006/relationships/hyperlink" Target="https://twitter.com/VAGFanArg" TargetMode="External"/><Relationship Id="rId10544" Type="http://schemas.openxmlformats.org/officeDocument/2006/relationships/hyperlink" Target="https://pbs.twimg.com/profile_images/627949001179037696/skEBkS05_normal.jpg" TargetMode="External"/><Relationship Id="rId24026" Type="http://schemas.openxmlformats.org/officeDocument/2006/relationships/hyperlink" Target="https://twitter.com/ClassActionsLaw/status/724327369985667076" TargetMode="External"/><Relationship Id="rId13767" Type="http://schemas.openxmlformats.org/officeDocument/2006/relationships/hyperlink" Target="https://pbs.twimg.com/profile_images/627943951555776512/6QzftyKz_normal.jpg" TargetMode="External"/><Relationship Id="rId20983" Type="http://schemas.openxmlformats.org/officeDocument/2006/relationships/hyperlink" Target="https://twitter.com/oldcar_photo" TargetMode="External"/><Relationship Id="rId3826" Type="http://schemas.openxmlformats.org/officeDocument/2006/relationships/hyperlink" Target="https://pbs.twimg.com/profile_images/2783902857/c37fa6228daf6d6b8bbc7d51d761aac3_normal.jpeg" TargetMode="External"/><Relationship Id="rId16240" Type="http://schemas.openxmlformats.org/officeDocument/2006/relationships/hyperlink" Target="https://pbs.twimg.com/profile_images/716686215861420032/nElCGDlo_normal.jpg" TargetMode="External"/><Relationship Id="rId20636" Type="http://schemas.openxmlformats.org/officeDocument/2006/relationships/hyperlink" Target="https://twitter.com/AlfredoMaza23/status/724017890899402752" TargetMode="External"/><Relationship Id="rId1377" Type="http://schemas.openxmlformats.org/officeDocument/2006/relationships/hyperlink" Target="https://twitter.com/Mk1GolfOC/status/723038623206137856" TargetMode="External"/><Relationship Id="rId19463" Type="http://schemas.openxmlformats.org/officeDocument/2006/relationships/hyperlink" Target="https://pbs.twimg.com/profile_images/545688359964651520/SF3sJ7lv_normal.jpeg" TargetMode="External"/><Relationship Id="rId23859" Type="http://schemas.openxmlformats.org/officeDocument/2006/relationships/hyperlink" Target="https://twitter.com/acvwpassion" TargetMode="External"/><Relationship Id="rId83" Type="http://schemas.openxmlformats.org/officeDocument/2006/relationships/hyperlink" Target="https://twitter.com/cuco996/status/722923570540756992" TargetMode="External"/><Relationship Id="rId9522" Type="http://schemas.openxmlformats.org/officeDocument/2006/relationships/hyperlink" Target="https://pbs.twimg.com/profile_images/718820712757215233/LXXndPTS_normal.jpg" TargetMode="External"/><Relationship Id="rId12503" Type="http://schemas.openxmlformats.org/officeDocument/2006/relationships/hyperlink" Target="https://twitter.com/dapper013/status/723521087812841473" TargetMode="External"/><Relationship Id="rId12850" Type="http://schemas.openxmlformats.org/officeDocument/2006/relationships/hyperlink" Target="https://pbs.twimg.com/profile_images/1660488645/icon_seewolf_normal.gif" TargetMode="External"/><Relationship Id="rId19116" Type="http://schemas.openxmlformats.org/officeDocument/2006/relationships/hyperlink" Target="https://twitter.com/handelsblatt" TargetMode="External"/><Relationship Id="rId7073" Type="http://schemas.openxmlformats.org/officeDocument/2006/relationships/hyperlink" Target="https://pbs.twimg.com/profile_images/703294545195307008/qeCvrX86_normal.jpg" TargetMode="External"/><Relationship Id="rId10054" Type="http://schemas.openxmlformats.org/officeDocument/2006/relationships/hyperlink" Target="https://twitter.com/MarkCSchneider" TargetMode="External"/><Relationship Id="rId3683" Type="http://schemas.openxmlformats.org/officeDocument/2006/relationships/hyperlink" Target="https://pbs.twimg.com/profile_images/562563461171798017/AkHF4keI_normal.png" TargetMode="External"/><Relationship Id="rId15726" Type="http://schemas.openxmlformats.org/officeDocument/2006/relationships/hyperlink" Target="https://twitter.com/cotillo1" TargetMode="External"/><Relationship Id="rId22942" Type="http://schemas.openxmlformats.org/officeDocument/2006/relationships/hyperlink" Target="http://dlvr.it/" TargetMode="External"/><Relationship Id="rId3336" Type="http://schemas.openxmlformats.org/officeDocument/2006/relationships/hyperlink" Target="https://pbs.twimg.com/profile_images/523268538182557696/FTujGmJu_normal.jpeg" TargetMode="External"/><Relationship Id="rId13277" Type="http://schemas.openxmlformats.org/officeDocument/2006/relationships/hyperlink" Target="https://twitter.com/dermaschinist/status/723542331815788544" TargetMode="External"/><Relationship Id="rId18949" Type="http://schemas.openxmlformats.org/officeDocument/2006/relationships/hyperlink" Target="https://twitter.com/autofrei_leben/status/723908408991199233" TargetMode="External"/><Relationship Id="rId20146" Type="http://schemas.openxmlformats.org/officeDocument/2006/relationships/hyperlink" Target="https://twitter.com/Rustyandroses/status/723976809033945089" TargetMode="External"/><Relationship Id="rId20493" Type="http://schemas.openxmlformats.org/officeDocument/2006/relationships/hyperlink" Target="https://pbs.twimg.com/profile_images/3497903431/ae95594a00a0817e860e73da8fef6dca_normal.png" TargetMode="External"/><Relationship Id="rId6559" Type="http://schemas.openxmlformats.org/officeDocument/2006/relationships/hyperlink" Target="https://pbs.twimg.com/profile_images/710880311568179200/IIIxDFOj_normal.jpg" TargetMode="External"/><Relationship Id="rId12360" Type="http://schemas.openxmlformats.org/officeDocument/2006/relationships/hyperlink" Target="https://twitter.com/BREAKING_EIL/status/723518241868517376" TargetMode="External"/><Relationship Id="rId23369" Type="http://schemas.openxmlformats.org/officeDocument/2006/relationships/hyperlink" Target="https://twitter.com/hameles" TargetMode="External"/><Relationship Id="rId9032" Type="http://schemas.openxmlformats.org/officeDocument/2006/relationships/hyperlink" Target="https://pbs.twimg.com/profile_images/620549642619604992/XHq5uP9P_normal.jpg" TargetMode="External"/><Relationship Id="rId12013" Type="http://schemas.openxmlformats.org/officeDocument/2006/relationships/hyperlink" Target="https://twitter.com/MDRINFO" TargetMode="External"/><Relationship Id="rId15583" Type="http://schemas.openxmlformats.org/officeDocument/2006/relationships/hyperlink" Target="https://twitter.com/dhenneton" TargetMode="External"/><Relationship Id="rId5642" Type="http://schemas.openxmlformats.org/officeDocument/2006/relationships/hyperlink" Target="https://twitter.com/VeeDubMk1_" TargetMode="External"/><Relationship Id="rId15236" Type="http://schemas.openxmlformats.org/officeDocument/2006/relationships/hyperlink" Target="https://pbs.twimg.com/profile_images/2645630553/fbdcd569c7cbd83bba874e8d65c5b303_normal.jpeg" TargetMode="External"/><Relationship Id="rId22452" Type="http://schemas.openxmlformats.org/officeDocument/2006/relationships/hyperlink" Target="https://twitter.com/dubbusses/status/724224251503493120" TargetMode="External"/><Relationship Id="rId24901" Type="http://schemas.openxmlformats.org/officeDocument/2006/relationships/hyperlink" Target="https://twitter.com/dubbusses/status/724397810754433026" TargetMode="External"/><Relationship Id="rId3193" Type="http://schemas.openxmlformats.org/officeDocument/2006/relationships/hyperlink" Target="https://twitter.com/Way_Cool_/status/723144952297959424" TargetMode="External"/><Relationship Id="rId22105" Type="http://schemas.openxmlformats.org/officeDocument/2006/relationships/hyperlink" Target="https://twitter.com/Mphilpot1/status/724200939054194693" TargetMode="External"/><Relationship Id="rId8865" Type="http://schemas.openxmlformats.org/officeDocument/2006/relationships/hyperlink" Target="https://twitter.com/Frontal21/status/723409807999258624" TargetMode="External"/><Relationship Id="rId11846" Type="http://schemas.openxmlformats.org/officeDocument/2006/relationships/hyperlink" Target="https://twitter.com/repub9989/status/723508791455698944" TargetMode="External"/><Relationship Id="rId18459" Type="http://schemas.openxmlformats.org/officeDocument/2006/relationships/hyperlink" Target="https://twitter.com/JeremySpira/status/723869885382692864" TargetMode="External"/><Relationship Id="rId25675" Type="http://schemas.openxmlformats.org/officeDocument/2006/relationships/hyperlink" Target="https://twitter.com/vwmaniacs/status/724458857196490752" TargetMode="External"/><Relationship Id="rId1905" Type="http://schemas.openxmlformats.org/officeDocument/2006/relationships/hyperlink" Target="https://pbs.twimg.com/profile_images/459437340893532161/JWfT0I5C_normal.jpeg" TargetMode="External"/><Relationship Id="rId6069" Type="http://schemas.openxmlformats.org/officeDocument/2006/relationships/hyperlink" Target="https://twitter.com/VWBeetleSales" TargetMode="External"/><Relationship Id="rId8518" Type="http://schemas.openxmlformats.org/officeDocument/2006/relationships/hyperlink" Target="https://twitter.com/boerseARD" TargetMode="External"/><Relationship Id="rId25328" Type="http://schemas.openxmlformats.org/officeDocument/2006/relationships/hyperlink" Target="https://twitter.com/vwpress_en" TargetMode="External"/><Relationship Id="rId17542" Type="http://schemas.openxmlformats.org/officeDocument/2006/relationships/hyperlink" Target="https://twitter.com/UKPMR/status/723805991469457409" TargetMode="External"/><Relationship Id="rId21938" Type="http://schemas.openxmlformats.org/officeDocument/2006/relationships/hyperlink" Target="https://twitter.com/sonjafusher" TargetMode="External"/><Relationship Id="rId998" Type="http://schemas.openxmlformats.org/officeDocument/2006/relationships/hyperlink" Target="https://pbs.twimg.com/profile_images/709439945719554049/EsfOsVRH_normal.jpg" TargetMode="External"/><Relationship Id="rId2679" Type="http://schemas.openxmlformats.org/officeDocument/2006/relationships/hyperlink" Target="https://twitter.com/Tkarera" TargetMode="External"/><Relationship Id="rId7601" Type="http://schemas.openxmlformats.org/officeDocument/2006/relationships/hyperlink" Target="https://twitter.com/n4yf_n" TargetMode="External"/><Relationship Id="rId15093" Type="http://schemas.openxmlformats.org/officeDocument/2006/relationships/hyperlink" Target="https://twitter.com/VCT_Tweets/status/723593363769950208" TargetMode="External"/><Relationship Id="rId24411" Type="http://schemas.openxmlformats.org/officeDocument/2006/relationships/hyperlink" Target="https://pbs.twimg.com/profile_images/666960980535025665/JuwRTAXG_normal.jpg" TargetMode="External"/><Relationship Id="rId5152" Type="http://schemas.openxmlformats.org/officeDocument/2006/relationships/hyperlink" Target="https://twitter.com/riversidevw/status/723195436635402242" TargetMode="External"/><Relationship Id="rId1762" Type="http://schemas.openxmlformats.org/officeDocument/2006/relationships/hyperlink" Target="https://twitter.com/shiryaevdomaneg/status/723055591325728768" TargetMode="External"/><Relationship Id="rId8375" Type="http://schemas.openxmlformats.org/officeDocument/2006/relationships/hyperlink" Target="https://twitter.com/VWsightings/status/723385485880487936" TargetMode="External"/><Relationship Id="rId13805" Type="http://schemas.openxmlformats.org/officeDocument/2006/relationships/hyperlink" Target="https://pbs.twimg.com/profile_images/708317385292451840/hvGxvzeX_normal.jpg" TargetMode="External"/><Relationship Id="rId25185" Type="http://schemas.openxmlformats.org/officeDocument/2006/relationships/hyperlink" Target="https://pbs.twimg.com/profile_images/682117963349135360/IUfZQy35_normal.png" TargetMode="External"/><Relationship Id="rId1415" Type="http://schemas.openxmlformats.org/officeDocument/2006/relationships/hyperlink" Target="https://twitter.com/mikespence" TargetMode="External"/><Relationship Id="rId8028" Type="http://schemas.openxmlformats.org/officeDocument/2006/relationships/hyperlink" Target="https://pbs.twimg.com/profile_images/718820712757215233/LXXndPTS_normal.jpg" TargetMode="External"/><Relationship Id="rId11009" Type="http://schemas.openxmlformats.org/officeDocument/2006/relationships/hyperlink" Target="https://twitter.com/LenaHR2/status/723494791342895104" TargetMode="External"/><Relationship Id="rId11356" Type="http://schemas.openxmlformats.org/officeDocument/2006/relationships/hyperlink" Target="https://twitter.com/Yozila" TargetMode="External"/><Relationship Id="rId4985" Type="http://schemas.openxmlformats.org/officeDocument/2006/relationships/hyperlink" Target="https://twitter.com/BirkiBear" TargetMode="External"/><Relationship Id="rId14579" Type="http://schemas.openxmlformats.org/officeDocument/2006/relationships/hyperlink" Target="https://twitter.com/photogera" TargetMode="External"/><Relationship Id="rId19501" Type="http://schemas.openxmlformats.org/officeDocument/2006/relationships/hyperlink" Target="https://twitter.com/dubbusses" TargetMode="External"/><Relationship Id="rId21795" Type="http://schemas.openxmlformats.org/officeDocument/2006/relationships/hyperlink" Target="https://pbs.twimg.com/profile_images/718835727027580928/1ssyQ67y_normal.jpg" TargetMode="External"/><Relationship Id="rId2189" Type="http://schemas.openxmlformats.org/officeDocument/2006/relationships/hyperlink" Target="https://twitter.com/MarkCSchneider/status/723087657060818944" TargetMode="External"/><Relationship Id="rId4638" Type="http://schemas.openxmlformats.org/officeDocument/2006/relationships/hyperlink" Target="https://twitter.com/twineich" TargetMode="External"/><Relationship Id="rId17052" Type="http://schemas.openxmlformats.org/officeDocument/2006/relationships/hyperlink" Target="https://twitter.com/twizler557" TargetMode="External"/><Relationship Id="rId21448" Type="http://schemas.openxmlformats.org/officeDocument/2006/relationships/hyperlink" Target="https://pbs.twimg.com/profile_images/718835727027580928/1ssyQ67y_normal.jpg" TargetMode="External"/><Relationship Id="rId7111" Type="http://schemas.openxmlformats.org/officeDocument/2006/relationships/hyperlink" Target="https://twitter.com/Nord_DesignLA/status/723279627381182465" TargetMode="External"/><Relationship Id="rId13662" Type="http://schemas.openxmlformats.org/officeDocument/2006/relationships/hyperlink" Target="https://pbs.twimg.com/profile_images/3012106875/596e712c99a38ec69b925b7f7ab71986_normal.jpeg" TargetMode="External"/><Relationship Id="rId3721" Type="http://schemas.openxmlformats.org/officeDocument/2006/relationships/hyperlink" Target="https://pbs.twimg.com/profile_images/1785128505/munich_normal.png" TargetMode="External"/><Relationship Id="rId13315" Type="http://schemas.openxmlformats.org/officeDocument/2006/relationships/hyperlink" Target="https://pbs.twimg.com/profile_images/718820712757215233/LXXndPTS_normal.jpg" TargetMode="External"/><Relationship Id="rId20531" Type="http://schemas.openxmlformats.org/officeDocument/2006/relationships/hyperlink" Target="https://twitter.com/Speak_EV" TargetMode="External"/><Relationship Id="rId1272" Type="http://schemas.openxmlformats.org/officeDocument/2006/relationships/hyperlink" Target="https://twitter.com/VWBeetleSales" TargetMode="External"/><Relationship Id="rId16885" Type="http://schemas.openxmlformats.org/officeDocument/2006/relationships/hyperlink" Target="https://twitter.com/wendy_2parra" TargetMode="External"/><Relationship Id="rId4495" Type="http://schemas.openxmlformats.org/officeDocument/2006/relationships/hyperlink" Target="https://twitter.com/RodriMachado15/status/723181816623042560" TargetMode="External"/><Relationship Id="rId6944" Type="http://schemas.openxmlformats.org/officeDocument/2006/relationships/hyperlink" Target="https://twitter.com/FernandoLessaRN/status/723270734970155008" TargetMode="External"/><Relationship Id="rId14089" Type="http://schemas.openxmlformats.org/officeDocument/2006/relationships/hyperlink" Target="https://twitter.com/coralisalondra3/status/723563549935562752" TargetMode="External"/><Relationship Id="rId16538" Type="http://schemas.openxmlformats.org/officeDocument/2006/relationships/hyperlink" Target="https://twitter.com/NewsTalk770/status/723695076237545472" TargetMode="External"/><Relationship Id="rId19011" Type="http://schemas.openxmlformats.org/officeDocument/2006/relationships/hyperlink" Target="https://twitter.com/vismonvan" TargetMode="External"/><Relationship Id="rId23754" Type="http://schemas.openxmlformats.org/officeDocument/2006/relationships/hyperlink" Target="https://twitter.com/2002_juana/status/724308633622818816" TargetMode="External"/><Relationship Id="rId4148" Type="http://schemas.openxmlformats.org/officeDocument/2006/relationships/hyperlink" Target="https://twitter.com/GuzmanDiiego/status/723177362955866113" TargetMode="External"/><Relationship Id="rId23407" Type="http://schemas.openxmlformats.org/officeDocument/2006/relationships/hyperlink" Target="https://twitter.com/NorthWestDubs/status/724287125512921089" TargetMode="External"/><Relationship Id="rId10699" Type="http://schemas.openxmlformats.org/officeDocument/2006/relationships/hyperlink" Target="https://pbs.twimg.com/profile_images/241933023/cropped-lingenems3_normal.jpg" TargetMode="External"/><Relationship Id="rId15621" Type="http://schemas.openxmlformats.org/officeDocument/2006/relationships/hyperlink" Target="https://twitter.com/ThorntonFirm" TargetMode="External"/><Relationship Id="rId13172" Type="http://schemas.openxmlformats.org/officeDocument/2006/relationships/hyperlink" Target="https://twitter.com/lormayna/status/723537496223715328" TargetMode="External"/><Relationship Id="rId18844" Type="http://schemas.openxmlformats.org/officeDocument/2006/relationships/hyperlink" Target="https://twitter.com/SAGutah" TargetMode="External"/><Relationship Id="rId3231" Type="http://schemas.openxmlformats.org/officeDocument/2006/relationships/hyperlink" Target="http://dlvr.it/" TargetMode="External"/><Relationship Id="rId8903" Type="http://schemas.openxmlformats.org/officeDocument/2006/relationships/hyperlink" Target="https://twitter.com/Beau_AveryxOx" TargetMode="External"/><Relationship Id="rId16395" Type="http://schemas.openxmlformats.org/officeDocument/2006/relationships/hyperlink" Target="https://pbs.twimg.com/profile_images/459064818557661184/91o9tza1_normal.jpeg" TargetMode="External"/><Relationship Id="rId20041" Type="http://schemas.openxmlformats.org/officeDocument/2006/relationships/hyperlink" Target="https://twitter.com/rip_curle" TargetMode="External"/><Relationship Id="rId25713" Type="http://schemas.openxmlformats.org/officeDocument/2006/relationships/hyperlink" Target="https://twitter.com/mario_skater" TargetMode="External"/><Relationship Id="rId6454" Type="http://schemas.openxmlformats.org/officeDocument/2006/relationships/hyperlink" Target="https://pbs.twimg.com/profile_images/718193415020683264/VgFx9S8W_normal.jpg" TargetMode="External"/><Relationship Id="rId16048" Type="http://schemas.openxmlformats.org/officeDocument/2006/relationships/hyperlink" Target="https://pbs.twimg.com/profile_images/720894601167380480/dZDpPybl_normal.jpg" TargetMode="External"/><Relationship Id="rId23264" Type="http://schemas.openxmlformats.org/officeDocument/2006/relationships/hyperlink" Target="https://pbs.twimg.com/profile_images/697894625302941696/tZHvGLVU_normal.jpg" TargetMode="External"/><Relationship Id="rId6107" Type="http://schemas.openxmlformats.org/officeDocument/2006/relationships/hyperlink" Target="https://pbs.twimg.com/profile_images/1277624031/Landscape_2009_Snow_Sept_IMG_4227_normal.jpg" TargetMode="External"/><Relationship Id="rId9677" Type="http://schemas.openxmlformats.org/officeDocument/2006/relationships/hyperlink" Target="https://twitter.com/nicolettamanzio/status/723444981495517184" TargetMode="External"/><Relationship Id="rId12658" Type="http://schemas.openxmlformats.org/officeDocument/2006/relationships/hyperlink" Target="https://pbs.twimg.com/profile_images/617071435937353728/o2OhSPML_normal.jpg" TargetMode="External"/><Relationship Id="rId2717" Type="http://schemas.openxmlformats.org/officeDocument/2006/relationships/hyperlink" Target="https://twitter.com/eRevalue" TargetMode="External"/><Relationship Id="rId15131" Type="http://schemas.openxmlformats.org/officeDocument/2006/relationships/hyperlink" Target="https://twitter.com/j_sturmberg/status/723595429556944896" TargetMode="External"/><Relationship Id="rId8760" Type="http://schemas.openxmlformats.org/officeDocument/2006/relationships/hyperlink" Target="https://twitter.com/DLFNachrichten/status/723405268705402880" TargetMode="External"/><Relationship Id="rId11741" Type="http://schemas.openxmlformats.org/officeDocument/2006/relationships/hyperlink" Target="https://twitter.com/imifos" TargetMode="External"/><Relationship Id="rId18354" Type="http://schemas.openxmlformats.org/officeDocument/2006/relationships/hyperlink" Target="https://twitter.com/wdanielsen/status/723865370277371904" TargetMode="External"/><Relationship Id="rId22000" Type="http://schemas.openxmlformats.org/officeDocument/2006/relationships/hyperlink" Target="https://pbs.twimg.com/profile_images/718820712757215233/LXXndPTS_normal.jpg" TargetMode="External"/><Relationship Id="rId25570" Type="http://schemas.openxmlformats.org/officeDocument/2006/relationships/hyperlink" Target="https://pbs.twimg.com/profile_images/530071272881803264/a_jcCmPZ_normal.png" TargetMode="External"/><Relationship Id="rId1800" Type="http://schemas.openxmlformats.org/officeDocument/2006/relationships/hyperlink" Target="https://pbs.twimg.com/profile_images/702511217793863680/lty8h9vE_normal.jpg" TargetMode="External"/><Relationship Id="rId8413" Type="http://schemas.openxmlformats.org/officeDocument/2006/relationships/hyperlink" Target="https://twitter.com/mvdweyer" TargetMode="External"/><Relationship Id="rId18007" Type="http://schemas.openxmlformats.org/officeDocument/2006/relationships/hyperlink" Target="https://twitter.com/BecksNutt" TargetMode="External"/><Relationship Id="rId25223" Type="http://schemas.openxmlformats.org/officeDocument/2006/relationships/hyperlink" Target="https://pbs.twimg.com/profile_images/720623345029423104/TUxoNGEM_normal.jpg" TargetMode="External"/><Relationship Id="rId14964" Type="http://schemas.openxmlformats.org/officeDocument/2006/relationships/hyperlink" Target="https://twitter.com/beetlebug1938/status/723588091966033920" TargetMode="External"/><Relationship Id="rId893" Type="http://schemas.openxmlformats.org/officeDocument/2006/relationships/hyperlink" Target="https://twitter.com/JWalkVA" TargetMode="External"/><Relationship Id="rId2574" Type="http://schemas.openxmlformats.org/officeDocument/2006/relationships/hyperlink" Target="https://twitter.com/EvvoNewBeetles/status/723105976249929728" TargetMode="External"/><Relationship Id="rId9187" Type="http://schemas.openxmlformats.org/officeDocument/2006/relationships/hyperlink" Target="https://twitter.com/Insta_VWT/status/723424492156915712" TargetMode="External"/><Relationship Id="rId12168" Type="http://schemas.openxmlformats.org/officeDocument/2006/relationships/hyperlink" Target="https://pbs.twimg.com/profile_images/477551916743143424/ahOuxldj_normal.jpeg" TargetMode="External"/><Relationship Id="rId14617" Type="http://schemas.openxmlformats.org/officeDocument/2006/relationships/hyperlink" Target="https://twitter.com/yoga_and_more/status/723577166630363136" TargetMode="External"/><Relationship Id="rId21833" Type="http://schemas.openxmlformats.org/officeDocument/2006/relationships/hyperlink" Target="https://pbs.twimg.com/profile_images/602768406224441344/37bYfus9_normal.jpg" TargetMode="External"/><Relationship Id="rId546" Type="http://schemas.openxmlformats.org/officeDocument/2006/relationships/hyperlink" Target="https://twitter.com/92_hss" TargetMode="External"/><Relationship Id="rId2227" Type="http://schemas.openxmlformats.org/officeDocument/2006/relationships/hyperlink" Target="https://pbs.twimg.com/profile_images/621239347208192000/wXN4MLBs_normal.jpg" TargetMode="External"/><Relationship Id="rId5797" Type="http://schemas.openxmlformats.org/officeDocument/2006/relationships/hyperlink" Target="https://twitter.com/PoweredToysandB/status/723218187928670209" TargetMode="External"/><Relationship Id="rId8270" Type="http://schemas.openxmlformats.org/officeDocument/2006/relationships/hyperlink" Target="https://pbs.twimg.com/profile_images/638012262159110144/bZElucv6_normal.jpg" TargetMode="External"/><Relationship Id="rId13700" Type="http://schemas.openxmlformats.org/officeDocument/2006/relationships/hyperlink" Target="https://twitter.com/kirillklip/status/723553485682282498" TargetMode="External"/><Relationship Id="rId24709" Type="http://schemas.openxmlformats.org/officeDocument/2006/relationships/hyperlink" Target="https://pbs.twimg.com/profile_images/705780107844067328/e7O4UBNb_normal.jpg" TargetMode="External"/><Relationship Id="rId11251" Type="http://schemas.openxmlformats.org/officeDocument/2006/relationships/hyperlink" Target="https://pbs.twimg.com/profile_images/531837173612285952/71rzDAAY_normal.jpeg" TargetMode="External"/><Relationship Id="rId16923" Type="http://schemas.openxmlformats.org/officeDocument/2006/relationships/hyperlink" Target="https://pbs.twimg.com/profile_images/630981227038687233/IBQOxT_a_normal.png" TargetMode="External"/><Relationship Id="rId25080" Type="http://schemas.openxmlformats.org/officeDocument/2006/relationships/hyperlink" Target="https://twitter.com/ActorRglover/status/724418194421604352" TargetMode="External"/><Relationship Id="rId1310" Type="http://schemas.openxmlformats.org/officeDocument/2006/relationships/hyperlink" Target="http://ksta.de/" TargetMode="External"/><Relationship Id="rId4880" Type="http://schemas.openxmlformats.org/officeDocument/2006/relationships/hyperlink" Target="https://twitter.com/WDR" TargetMode="External"/><Relationship Id="rId14474" Type="http://schemas.openxmlformats.org/officeDocument/2006/relationships/hyperlink" Target="https://pbs.twimg.com/profile_images/720258066680324096/etKSGBp0_normal.jpg" TargetMode="External"/><Relationship Id="rId21690" Type="http://schemas.openxmlformats.org/officeDocument/2006/relationships/hyperlink" Target="https://pbs.twimg.com/profile_images/724081256648986625/qK2drvxO_normal.jpg" TargetMode="External"/><Relationship Id="rId4533" Type="http://schemas.openxmlformats.org/officeDocument/2006/relationships/hyperlink" Target="https://twitter.com/volcombug" TargetMode="External"/><Relationship Id="rId14127" Type="http://schemas.openxmlformats.org/officeDocument/2006/relationships/hyperlink" Target="https://twitter.com/WinfriedFelser" TargetMode="External"/><Relationship Id="rId17697" Type="http://schemas.openxmlformats.org/officeDocument/2006/relationships/hyperlink" Target="https://twitter.com/hddoger" TargetMode="External"/><Relationship Id="rId21343" Type="http://schemas.openxmlformats.org/officeDocument/2006/relationships/hyperlink" Target="https://pbs.twimg.com/profile_images/530071272881803264/a_jcCmPZ_normal.png" TargetMode="External"/><Relationship Id="rId2084" Type="http://schemas.openxmlformats.org/officeDocument/2006/relationships/hyperlink" Target="https://twitter.com/michellelove13/status/723080941741203456" TargetMode="External"/><Relationship Id="rId7756" Type="http://schemas.openxmlformats.org/officeDocument/2006/relationships/hyperlink" Target="https://pbs.twimg.com/profile_images/700168585902223361/wQVm7sxg_normal.jpg" TargetMode="External"/><Relationship Id="rId24566" Type="http://schemas.openxmlformats.org/officeDocument/2006/relationships/hyperlink" Target="https://pbs.twimg.com/profile_images/2998353133/f894c36e6a0e46f416e2290de4e3d9f8_normal.png" TargetMode="External"/><Relationship Id="rId7409" Type="http://schemas.openxmlformats.org/officeDocument/2006/relationships/hyperlink" Target="https://twitter.com/hashtagvanlife" TargetMode="External"/><Relationship Id="rId10737" Type="http://schemas.openxmlformats.org/officeDocument/2006/relationships/hyperlink" Target="https://twitter.com/chronsucks/status/723482465193627648" TargetMode="External"/><Relationship Id="rId24219" Type="http://schemas.openxmlformats.org/officeDocument/2006/relationships/hyperlink" Target="https://twitter.com/freddiezblogs" TargetMode="External"/><Relationship Id="rId13210" Type="http://schemas.openxmlformats.org/officeDocument/2006/relationships/hyperlink" Target="https://twitter.com/ukoepke/status/723539210230194177" TargetMode="External"/><Relationship Id="rId16780" Type="http://schemas.openxmlformats.org/officeDocument/2006/relationships/hyperlink" Target="https://twitter.com/tschmitz_eu/status/723730506647482369" TargetMode="External"/><Relationship Id="rId16433" Type="http://schemas.openxmlformats.org/officeDocument/2006/relationships/hyperlink" Target="https://twitter.com/VCT_Tweets/status/723683653503574016" TargetMode="External"/><Relationship Id="rId20829" Type="http://schemas.openxmlformats.org/officeDocument/2006/relationships/hyperlink" Target="https://pbs.twimg.com/profile_images/721771238360612865/05hmYcad_normal.jpg" TargetMode="External"/><Relationship Id="rId4390" Type="http://schemas.openxmlformats.org/officeDocument/2006/relationships/hyperlink" Target="https://twitter.com/zeeshan_shah_dc" TargetMode="External"/><Relationship Id="rId19656" Type="http://schemas.openxmlformats.org/officeDocument/2006/relationships/hyperlink" Target="https://pbs.twimg.com/profile_images/722885411622690818/9xe1mfDl_normal.jpg" TargetMode="External"/><Relationship Id="rId23302" Type="http://schemas.openxmlformats.org/officeDocument/2006/relationships/hyperlink" Target="https://twitter.com/lucioogo" TargetMode="External"/><Relationship Id="rId4043" Type="http://schemas.openxmlformats.org/officeDocument/2006/relationships/hyperlink" Target="https://twitter.com/pcbritz/status/723175103966654464" TargetMode="External"/><Relationship Id="rId9715" Type="http://schemas.openxmlformats.org/officeDocument/2006/relationships/hyperlink" Target="https://twitter.com/CityIndex/status/723446290462445568" TargetMode="External"/><Relationship Id="rId10594" Type="http://schemas.openxmlformats.org/officeDocument/2006/relationships/hyperlink" Target="https://twitter.com/DubLuvTuning/status/723477781502406656" TargetMode="External"/><Relationship Id="rId19309" Type="http://schemas.openxmlformats.org/officeDocument/2006/relationships/hyperlink" Target="https://twitter.com/oldcar_photo" TargetMode="External"/><Relationship Id="rId7266" Type="http://schemas.openxmlformats.org/officeDocument/2006/relationships/hyperlink" Target="https://twitter.com/KeithDPatch" TargetMode="External"/><Relationship Id="rId10247" Type="http://schemas.openxmlformats.org/officeDocument/2006/relationships/hyperlink" Target="https://twitter.com/APA_LEMONAID" TargetMode="External"/><Relationship Id="rId24076" Type="http://schemas.openxmlformats.org/officeDocument/2006/relationships/hyperlink" Target="https://twitter.com/dazvw" TargetMode="External"/><Relationship Id="rId15919" Type="http://schemas.openxmlformats.org/officeDocument/2006/relationships/hyperlink" Target="https://twitter.com/MerlinaAlmendra/status/723636866881298432" TargetMode="External"/><Relationship Id="rId3876" Type="http://schemas.openxmlformats.org/officeDocument/2006/relationships/hyperlink" Target="https://twitter.com/JMLarena" TargetMode="External"/><Relationship Id="rId16290" Type="http://schemas.openxmlformats.org/officeDocument/2006/relationships/hyperlink" Target="https://pbs.twimg.com/profile_images/537269183315058688/xeIPssfD_normal.png" TargetMode="External"/><Relationship Id="rId20686" Type="http://schemas.openxmlformats.org/officeDocument/2006/relationships/hyperlink" Target="https://twitter.com/celinosouza/status/724026830554984449" TargetMode="External"/><Relationship Id="rId3529" Type="http://schemas.openxmlformats.org/officeDocument/2006/relationships/hyperlink" Target="https://twitter.com/paredes_fina/status/723162113003425792" TargetMode="External"/><Relationship Id="rId6002" Type="http://schemas.openxmlformats.org/officeDocument/2006/relationships/hyperlink" Target="https://pbs.twimg.com/profile_images/605053791889686528/XT0dbCZN_normal.jpg" TargetMode="External"/><Relationship Id="rId20339" Type="http://schemas.openxmlformats.org/officeDocument/2006/relationships/hyperlink" Target="https://twitter.com/VWCamperSales" TargetMode="External"/><Relationship Id="rId9572" Type="http://schemas.openxmlformats.org/officeDocument/2006/relationships/hyperlink" Target="https://twitter.com/crewevw" TargetMode="External"/><Relationship Id="rId12553" Type="http://schemas.openxmlformats.org/officeDocument/2006/relationships/hyperlink" Target="https://pbs.twimg.com/profile_images/563085898670411776/v47_gzDm_normal.jpeg" TargetMode="External"/><Relationship Id="rId19166" Type="http://schemas.openxmlformats.org/officeDocument/2006/relationships/hyperlink" Target="https://pbs.twimg.com/profile_images/695663013412630535/XgD9AbrJ_normal.jpg" TargetMode="External"/><Relationship Id="rId931" Type="http://schemas.openxmlformats.org/officeDocument/2006/relationships/hyperlink" Target="https://pbs.twimg.com/profile_images/378800000572104796/1de43e1cf23efb3f4101c02afad0d3b6_normal.png" TargetMode="External"/><Relationship Id="rId2612" Type="http://schemas.openxmlformats.org/officeDocument/2006/relationships/hyperlink" Target="https://pbs.twimg.com/profile_images/461785939711258624/FzsPRmqR_normal.jpeg" TargetMode="External"/><Relationship Id="rId9225" Type="http://schemas.openxmlformats.org/officeDocument/2006/relationships/hyperlink" Target="https://twitter.com/Test_Achats" TargetMode="External"/><Relationship Id="rId12206" Type="http://schemas.openxmlformats.org/officeDocument/2006/relationships/hyperlink" Target="https://twitter.com/woistcoco/status/723515025353224194" TargetMode="External"/><Relationship Id="rId15776" Type="http://schemas.openxmlformats.org/officeDocument/2006/relationships/hyperlink" Target="https://twitter.com/NimzoIndisch" TargetMode="External"/><Relationship Id="rId5835" Type="http://schemas.openxmlformats.org/officeDocument/2006/relationships/hyperlink" Target="https://pbs.twimg.com/profile_images/697509509221261316/IzMgjtS0_normal.jpg" TargetMode="External"/><Relationship Id="rId15429" Type="http://schemas.openxmlformats.org/officeDocument/2006/relationships/hyperlink" Target="https://pbs.twimg.com/profile_images/668091779313500160/ZepxnJcI_normal.jpg" TargetMode="External"/><Relationship Id="rId22645" Type="http://schemas.openxmlformats.org/officeDocument/2006/relationships/hyperlink" Target="https://twitter.com/motosniper" TargetMode="External"/><Relationship Id="rId22992" Type="http://schemas.openxmlformats.org/officeDocument/2006/relationships/hyperlink" Target="https://twitter.com/funkia35/status/724263434003570690" TargetMode="External"/><Relationship Id="rId3386" Type="http://schemas.openxmlformats.org/officeDocument/2006/relationships/hyperlink" Target="https://twitter.com/Dahie" TargetMode="External"/><Relationship Id="rId18999" Type="http://schemas.openxmlformats.org/officeDocument/2006/relationships/hyperlink" Target="https://twitter.com/NetzwerkggS21/status/723912027387904000" TargetMode="External"/><Relationship Id="rId20196" Type="http://schemas.openxmlformats.org/officeDocument/2006/relationships/hyperlink" Target="https://pbs.twimg.com/profile_images/723879215695728640/LAvTTSrs_normal.jpg" TargetMode="External"/><Relationship Id="rId3039" Type="http://schemas.openxmlformats.org/officeDocument/2006/relationships/hyperlink" Target="https://pbs.twimg.com/profile_images/703294545195307008/qeCvrX86_normal.jpg" TargetMode="External"/><Relationship Id="rId9082" Type="http://schemas.openxmlformats.org/officeDocument/2006/relationships/hyperlink" Target="https://twitter.com/InstaKirov" TargetMode="External"/><Relationship Id="rId14512" Type="http://schemas.openxmlformats.org/officeDocument/2006/relationships/hyperlink" Target="https://twitter.com/EHcars/status/723575055414906880" TargetMode="External"/><Relationship Id="rId12063" Type="http://schemas.openxmlformats.org/officeDocument/2006/relationships/hyperlink" Target="https://pbs.twimg.com/profile_images/720591880484995072/AvRSABLv_normal.jpg" TargetMode="External"/><Relationship Id="rId17735" Type="http://schemas.openxmlformats.org/officeDocument/2006/relationships/hyperlink" Target="https://pbs.twimg.com/profile_images/573831072540033025/_s73MpGg_normal.jpeg" TargetMode="External"/><Relationship Id="rId24951" Type="http://schemas.openxmlformats.org/officeDocument/2006/relationships/hyperlink" Target="https://twitter.com/lawrencemodern" TargetMode="External"/><Relationship Id="rId441" Type="http://schemas.openxmlformats.org/officeDocument/2006/relationships/hyperlink" Target="https://twitter.com/Rymilledge32/status/722959257897832449" TargetMode="External"/><Relationship Id="rId2122" Type="http://schemas.openxmlformats.org/officeDocument/2006/relationships/hyperlink" Target="https://twitter.com/Wir_Koeln" TargetMode="External"/><Relationship Id="rId5692" Type="http://schemas.openxmlformats.org/officeDocument/2006/relationships/hyperlink" Target="https://pbs.twimg.com/profile_images/614541065987706880/OCFYP1z8_normal.jpg" TargetMode="External"/><Relationship Id="rId15286" Type="http://schemas.openxmlformats.org/officeDocument/2006/relationships/hyperlink" Target="https://twitter.com/HermanCookVW" TargetMode="External"/><Relationship Id="rId24604" Type="http://schemas.openxmlformats.org/officeDocument/2006/relationships/hyperlink" Target="https://twitter.com/quantlabs/status/724375668839030784" TargetMode="External"/><Relationship Id="rId5345" Type="http://schemas.openxmlformats.org/officeDocument/2006/relationships/hyperlink" Target="https://pbs.twimg.com/profile_images/3699617939/8efaf21ccb2c1c45462210652dea40c3_normal.png" TargetMode="External"/><Relationship Id="rId22155" Type="http://schemas.openxmlformats.org/officeDocument/2006/relationships/hyperlink" Target="https://twitter.com/weare_van/status/724205598481494016" TargetMode="External"/><Relationship Id="rId8568" Type="http://schemas.openxmlformats.org/officeDocument/2006/relationships/hyperlink" Target="https://twitter.com/bindermichi/status/723395322530000896" TargetMode="External"/><Relationship Id="rId11896" Type="http://schemas.openxmlformats.org/officeDocument/2006/relationships/hyperlink" Target="https://twitter.com/JosBosboom_" TargetMode="External"/><Relationship Id="rId25378" Type="http://schemas.openxmlformats.org/officeDocument/2006/relationships/hyperlink" Target="https://twitter.com/vwpress_en/status/724433842224914432" TargetMode="External"/><Relationship Id="rId1955" Type="http://schemas.openxmlformats.org/officeDocument/2006/relationships/hyperlink" Target="https://pbs.twimg.com/profile_images/3497903431/ae95594a00a0817e860e73da8fef6dca_normal.png" TargetMode="External"/><Relationship Id="rId11549" Type="http://schemas.openxmlformats.org/officeDocument/2006/relationships/hyperlink" Target="https://twitter.com/IngoHiller/status/723503390593015809" TargetMode="External"/><Relationship Id="rId1608" Type="http://schemas.openxmlformats.org/officeDocument/2006/relationships/hyperlink" Target="https://twitter.com/MrConso/status/723048873854382084" TargetMode="External"/><Relationship Id="rId14022" Type="http://schemas.openxmlformats.org/officeDocument/2006/relationships/hyperlink" Target="https://twitter.com/Steckelton/status/723561858934906881" TargetMode="External"/><Relationship Id="rId17592" Type="http://schemas.openxmlformats.org/officeDocument/2006/relationships/hyperlink" Target="https://pbs.twimg.com/profile_images/718178524369199106/vkYbys3h_normal.jpg" TargetMode="External"/><Relationship Id="rId21988" Type="http://schemas.openxmlformats.org/officeDocument/2006/relationships/hyperlink" Target="https://twitter.com/PrimeRacing1/status/724192766788513792" TargetMode="External"/><Relationship Id="rId7651" Type="http://schemas.openxmlformats.org/officeDocument/2006/relationships/hyperlink" Target="https://twitter.com/MoveRally/status/723321661836169216" TargetMode="External"/><Relationship Id="rId10632" Type="http://schemas.openxmlformats.org/officeDocument/2006/relationships/hyperlink" Target="https://pbs.twimg.com/profile_images/647052084446150656/1FTvGXVr_normal.png" TargetMode="External"/><Relationship Id="rId17245" Type="http://schemas.openxmlformats.org/officeDocument/2006/relationships/hyperlink" Target="https://twitter.com/MJLMcClelland/status/723782987528192000" TargetMode="External"/><Relationship Id="rId24461" Type="http://schemas.openxmlformats.org/officeDocument/2006/relationships/hyperlink" Target="https://pbs.twimg.com/profile_images/676169510861348865/EqdTIKd2_normal.jpg" TargetMode="External"/><Relationship Id="rId7304" Type="http://schemas.openxmlformats.org/officeDocument/2006/relationships/hyperlink" Target="https://twitter.com/VWBeetleSales" TargetMode="External"/><Relationship Id="rId24114" Type="http://schemas.openxmlformats.org/officeDocument/2006/relationships/hyperlink" Target="https://twitter.com/espritdesign" TargetMode="External"/><Relationship Id="rId3914" Type="http://schemas.openxmlformats.org/officeDocument/2006/relationships/hyperlink" Target="https://pbs.twimg.com/profile_images/378800000082888816/deaf339872b103bd6f769366228f123b_normal.jpeg" TargetMode="External"/><Relationship Id="rId13508" Type="http://schemas.openxmlformats.org/officeDocument/2006/relationships/hyperlink" Target="https://twitter.com/JuveVerlag_uba" TargetMode="External"/><Relationship Id="rId13855" Type="http://schemas.openxmlformats.org/officeDocument/2006/relationships/hyperlink" Target="http://ctrlq.org/maps/address/" TargetMode="External"/><Relationship Id="rId20724" Type="http://schemas.openxmlformats.org/officeDocument/2006/relationships/hyperlink" Target="https://twitter.com/Insta_VWT/status/724032272802963456" TargetMode="External"/><Relationship Id="rId1465" Type="http://schemas.openxmlformats.org/officeDocument/2006/relationships/hyperlink" Target="https://twitter.com/ingenieur_de/status/723042057871220736" TargetMode="External"/><Relationship Id="rId8078" Type="http://schemas.openxmlformats.org/officeDocument/2006/relationships/hyperlink" Target="https://twitter.com/DubLuvTuning" TargetMode="External"/><Relationship Id="rId11059" Type="http://schemas.openxmlformats.org/officeDocument/2006/relationships/hyperlink" Target="https://twitter.com/LenaHR2" TargetMode="External"/><Relationship Id="rId1118" Type="http://schemas.openxmlformats.org/officeDocument/2006/relationships/hyperlink" Target="https://pbs.twimg.com/profile_images/715650786756313088/PPQ1ZdFd_normal.jpg" TargetMode="External"/><Relationship Id="rId4688" Type="http://schemas.openxmlformats.org/officeDocument/2006/relationships/hyperlink" Target="https://pbs.twimg.com/profile_images/530071272881803264/a_jcCmPZ_normal.png" TargetMode="External"/><Relationship Id="rId19551" Type="http://schemas.openxmlformats.org/officeDocument/2006/relationships/hyperlink" Target="https://twitter.com/LRDValeting/status/723940092390289409" TargetMode="External"/><Relationship Id="rId21498" Type="http://schemas.openxmlformats.org/officeDocument/2006/relationships/hyperlink" Target="https://pbs.twimg.com/profile_images/621995740177379328/YJAQstq5_normal.jpg" TargetMode="External"/><Relationship Id="rId23947" Type="http://schemas.openxmlformats.org/officeDocument/2006/relationships/hyperlink" Target="https://pbs.twimg.com/profile_images/718835727027580928/1ssyQ67y_normal.jpg" TargetMode="External"/><Relationship Id="rId7161" Type="http://schemas.openxmlformats.org/officeDocument/2006/relationships/hyperlink" Target="https://pbs.twimg.com/profile_images/702511217793863680/lty8h9vE_normal.jpg" TargetMode="External"/><Relationship Id="rId9610" Type="http://schemas.openxmlformats.org/officeDocument/2006/relationships/hyperlink" Target="https://twitter.com/VolkswagenPost/status/723442653690531840" TargetMode="External"/><Relationship Id="rId19204" Type="http://schemas.openxmlformats.org/officeDocument/2006/relationships/hyperlink" Target="http://ctrlq.org/maps/address/" TargetMode="External"/><Relationship Id="rId10142" Type="http://schemas.openxmlformats.org/officeDocument/2006/relationships/hyperlink" Target="https://twitter.com/Matt_Barbera2/status/723464065713053696" TargetMode="External"/><Relationship Id="rId15814" Type="http://schemas.openxmlformats.org/officeDocument/2006/relationships/hyperlink" Target="https://pbs.twimg.com/profile_images/713267632351219715/uYZyD2GT_normal.jpg" TargetMode="External"/><Relationship Id="rId3771" Type="http://schemas.openxmlformats.org/officeDocument/2006/relationships/hyperlink" Target="https://twitter.com/BBCBusiness/status/723169192678174720" TargetMode="External"/><Relationship Id="rId13365" Type="http://schemas.openxmlformats.org/officeDocument/2006/relationships/hyperlink" Target="https://twitter.com/Verinesvelo/status/723544835353939968" TargetMode="External"/><Relationship Id="rId20581" Type="http://schemas.openxmlformats.org/officeDocument/2006/relationships/hyperlink" Target="https://twitter.com/nitromex/status/724012305625825280" TargetMode="External"/><Relationship Id="rId3424" Type="http://schemas.openxmlformats.org/officeDocument/2006/relationships/hyperlink" Target="https://pbs.twimg.com/profile_images/722291661661958144/00EAfHcT_normal.jpg" TargetMode="External"/><Relationship Id="rId6994" Type="http://schemas.openxmlformats.org/officeDocument/2006/relationships/hyperlink" Target="https://twitter.com/shawadli" TargetMode="External"/><Relationship Id="rId13018" Type="http://schemas.openxmlformats.org/officeDocument/2006/relationships/hyperlink" Target="https://pbs.twimg.com/profile_images/718346062797369344/yMfeKd4-_normal.jpg" TargetMode="External"/><Relationship Id="rId16588" Type="http://schemas.openxmlformats.org/officeDocument/2006/relationships/hyperlink" Target="https://twitter.com/TetsuoHojo" TargetMode="External"/><Relationship Id="rId20234" Type="http://schemas.openxmlformats.org/officeDocument/2006/relationships/hyperlink" Target="https://twitter.com/Scirocco_Tuning/status/723983417822576640" TargetMode="External"/><Relationship Id="rId6647" Type="http://schemas.openxmlformats.org/officeDocument/2006/relationships/hyperlink" Target="https://twitter.com/r_kreisel" TargetMode="External"/><Relationship Id="rId19061" Type="http://schemas.openxmlformats.org/officeDocument/2006/relationships/hyperlink" Target="http://ctrlq.org/maps/address/" TargetMode="External"/><Relationship Id="rId23457" Type="http://schemas.openxmlformats.org/officeDocument/2006/relationships/hyperlink" Target="https://twitter.com/ConfitesUK/status/724290216912162817" TargetMode="External"/><Relationship Id="rId4198" Type="http://schemas.openxmlformats.org/officeDocument/2006/relationships/hyperlink" Target="https://twitter.com/_snid/status/723177974921490432" TargetMode="External"/><Relationship Id="rId9120" Type="http://schemas.openxmlformats.org/officeDocument/2006/relationships/hyperlink" Target="https://twitter.com/NegroAutomobili" TargetMode="External"/><Relationship Id="rId12101" Type="http://schemas.openxmlformats.org/officeDocument/2006/relationships/hyperlink" Target="http://franke-media.net/" TargetMode="External"/><Relationship Id="rId15671" Type="http://schemas.openxmlformats.org/officeDocument/2006/relationships/hyperlink" Target="https://pbs.twimg.com/profile_images/685097576874553344/Zgllsr-x_normal.jpg" TargetMode="External"/><Relationship Id="rId5730" Type="http://schemas.openxmlformats.org/officeDocument/2006/relationships/hyperlink" Target="https://twitter.com/bvdvliet/status/723214435863683072" TargetMode="External"/><Relationship Id="rId15324" Type="http://schemas.openxmlformats.org/officeDocument/2006/relationships/hyperlink" Target="https://twitter.com/jai_verdancy/status/723603566489792512" TargetMode="External"/><Relationship Id="rId18894" Type="http://schemas.openxmlformats.org/officeDocument/2006/relationships/hyperlink" Target="https://twitter.com/tuningblog_eu/status/723904283398250496" TargetMode="External"/><Relationship Id="rId22540" Type="http://schemas.openxmlformats.org/officeDocument/2006/relationships/hyperlink" Target="https://pbs.twimg.com/profile_images/672878354127839232/M7OYc-zx_normal.jpg" TargetMode="External"/><Relationship Id="rId3281" Type="http://schemas.openxmlformats.org/officeDocument/2006/relationships/hyperlink" Target="https://twitter.com/kngeuro" TargetMode="External"/><Relationship Id="rId8953" Type="http://schemas.openxmlformats.org/officeDocument/2006/relationships/hyperlink" Target="https://pbs.twimg.com/profile_images/678306300988669952/Ur4m2gN8_normal.jpg" TargetMode="External"/><Relationship Id="rId18547" Type="http://schemas.openxmlformats.org/officeDocument/2006/relationships/hyperlink" Target="https://twitter.com/VolkswagenPost" TargetMode="External"/><Relationship Id="rId20091" Type="http://schemas.openxmlformats.org/officeDocument/2006/relationships/hyperlink" Target="https://twitter.com/TheLovebusWedCo/status/723975306592264193" TargetMode="External"/><Relationship Id="rId25763" Type="http://schemas.openxmlformats.org/officeDocument/2006/relationships/hyperlink" Target="https://pbs.twimg.com/profile_images/3282181310/09912193e3b2ecc229b9028eb0f19def_normal.jpeg" TargetMode="External"/><Relationship Id="rId8606" Type="http://schemas.openxmlformats.org/officeDocument/2006/relationships/hyperlink" Target="https://twitter.com/egghat" TargetMode="External"/><Relationship Id="rId11934" Type="http://schemas.openxmlformats.org/officeDocument/2006/relationships/hyperlink" Target="https://twitter.com/Fotobiene/status/723510483546976256" TargetMode="External"/><Relationship Id="rId16098" Type="http://schemas.openxmlformats.org/officeDocument/2006/relationships/hyperlink" Target="https://twitter.com/santhi_vergara" TargetMode="External"/><Relationship Id="rId25416" Type="http://schemas.openxmlformats.org/officeDocument/2006/relationships/hyperlink" Target="https://pbs.twimg.com/profile_images/613134211919187968/P_pW7EHj_normal.jpg" TargetMode="External"/><Relationship Id="rId6157" Type="http://schemas.openxmlformats.org/officeDocument/2006/relationships/hyperlink" Target="https://pbs.twimg.com/profile_images/691870974602510336/o9vGGzM3_normal.jpg" TargetMode="External"/><Relationship Id="rId2767" Type="http://schemas.openxmlformats.org/officeDocument/2006/relationships/hyperlink" Target="https://pbs.twimg.com/profile_images/696261703361761280/aFAtBJW5_normal.jpg" TargetMode="External"/><Relationship Id="rId15181" Type="http://schemas.openxmlformats.org/officeDocument/2006/relationships/hyperlink" Target="https://twitter.com/VWBeetleSales" TargetMode="External"/><Relationship Id="rId17630" Type="http://schemas.openxmlformats.org/officeDocument/2006/relationships/hyperlink" Target="https://twitter.com/NetzwerkggS21/status/723811296186081280" TargetMode="External"/><Relationship Id="rId739" Type="http://schemas.openxmlformats.org/officeDocument/2006/relationships/hyperlink" Target="https://pbs.twimg.com/profile_images/567812071895490560/PohK6H-Y_normal.png" TargetMode="External"/><Relationship Id="rId5240" Type="http://schemas.openxmlformats.org/officeDocument/2006/relationships/hyperlink" Target="https://twitter.com/NetzwerkggS21" TargetMode="External"/><Relationship Id="rId22050" Type="http://schemas.openxmlformats.org/officeDocument/2006/relationships/hyperlink" Target="https://pbs.twimg.com/profile_images/423172910321115136/pLbNvGzE_normal.jpeg" TargetMode="External"/><Relationship Id="rId11791" Type="http://schemas.openxmlformats.org/officeDocument/2006/relationships/hyperlink" Target="https://pbs.twimg.com/profile_images/545515043761037312/gp4mWkRD_normal.jpeg" TargetMode="External"/><Relationship Id="rId1850" Type="http://schemas.openxmlformats.org/officeDocument/2006/relationships/hyperlink" Target="https://pbs.twimg.com/profile_images/523083731729252352/lckhEXci_normal.png" TargetMode="External"/><Relationship Id="rId8463" Type="http://schemas.openxmlformats.org/officeDocument/2006/relationships/hyperlink" Target="https://twitter.com/NZZ/status/723389612018692096" TargetMode="External"/><Relationship Id="rId11444" Type="http://schemas.openxmlformats.org/officeDocument/2006/relationships/hyperlink" Target="http://dlvr.it/" TargetMode="External"/><Relationship Id="rId18057" Type="http://schemas.openxmlformats.org/officeDocument/2006/relationships/hyperlink" Target="https://twitter.com/voosvoos/status/723843841325993984" TargetMode="External"/><Relationship Id="rId25273" Type="http://schemas.openxmlformats.org/officeDocument/2006/relationships/hyperlink" Target="https://twitter.com/Iamasad92" TargetMode="External"/><Relationship Id="rId1503" Type="http://schemas.openxmlformats.org/officeDocument/2006/relationships/hyperlink" Target="https://twitter.com/moniquegoyens" TargetMode="External"/><Relationship Id="rId8116" Type="http://schemas.openxmlformats.org/officeDocument/2006/relationships/hyperlink" Target="https://pbs.twimg.com/profile_images/556834076418527235/Y36uC3QC_normal.png" TargetMode="External"/><Relationship Id="rId14667" Type="http://schemas.openxmlformats.org/officeDocument/2006/relationships/hyperlink" Target="https://twitter.com/RaZeRiel" TargetMode="External"/><Relationship Id="rId21883" Type="http://schemas.openxmlformats.org/officeDocument/2006/relationships/hyperlink" Target="https://twitter.com/BarbaraKimmel" TargetMode="External"/><Relationship Id="rId4726" Type="http://schemas.openxmlformats.org/officeDocument/2006/relationships/hyperlink" Target="https://twitter.com/DubLuvTuning/status/723186281434492928" TargetMode="External"/><Relationship Id="rId17140" Type="http://schemas.openxmlformats.org/officeDocument/2006/relationships/hyperlink" Target="https://twitter.com/ffamilymedicine" TargetMode="External"/><Relationship Id="rId21536" Type="http://schemas.openxmlformats.org/officeDocument/2006/relationships/hyperlink" Target="https://twitter.com/VolkswagenPost/status/724156975236280320" TargetMode="External"/><Relationship Id="rId596" Type="http://schemas.openxmlformats.org/officeDocument/2006/relationships/hyperlink" Target="https://pbs.twimg.com/profile_images/702511217793863680/lty8h9vE_normal.jpg" TargetMode="External"/><Relationship Id="rId2277" Type="http://schemas.openxmlformats.org/officeDocument/2006/relationships/hyperlink" Target="https://twitter.com/infamyreborn92/status/723092925677199360" TargetMode="External"/><Relationship Id="rId249" Type="http://schemas.openxmlformats.org/officeDocument/2006/relationships/hyperlink" Target="https://pbs.twimg.com/profile_images/689196240744099840/iDXqLAHV_normal.jpg" TargetMode="External"/><Relationship Id="rId7949" Type="http://schemas.openxmlformats.org/officeDocument/2006/relationships/hyperlink" Target="https://twitter.com/chronsucks" TargetMode="External"/><Relationship Id="rId13750" Type="http://schemas.openxmlformats.org/officeDocument/2006/relationships/hyperlink" Target="https://twitter.com/gimodefaveri" TargetMode="External"/><Relationship Id="rId24759" Type="http://schemas.openxmlformats.org/officeDocument/2006/relationships/hyperlink" Target="http://dlvr.it/" TargetMode="External"/><Relationship Id="rId13403" Type="http://schemas.openxmlformats.org/officeDocument/2006/relationships/hyperlink" Target="https://pbs.twimg.com/profile_images/703294545195307008/qeCvrX86_normal.jpg" TargetMode="External"/><Relationship Id="rId16973" Type="http://schemas.openxmlformats.org/officeDocument/2006/relationships/hyperlink" Target="https://twitter.com/GermanIOD/status/723759930637955072" TargetMode="External"/><Relationship Id="rId1013" Type="http://schemas.openxmlformats.org/officeDocument/2006/relationships/hyperlink" Target="http://ctrlq.org/maps/address/" TargetMode="External"/><Relationship Id="rId1360" Type="http://schemas.openxmlformats.org/officeDocument/2006/relationships/hyperlink" Target="https://pbs.twimg.com/profile_images/3272805912/cc8e643d4da4f63d27bc817e690d7d74_normal.jpeg" TargetMode="External"/><Relationship Id="rId16626" Type="http://schemas.openxmlformats.org/officeDocument/2006/relationships/hyperlink" Target="https://twitter.com/MiasmaXIII/status/723703674447515652" TargetMode="External"/><Relationship Id="rId23842" Type="http://schemas.openxmlformats.org/officeDocument/2006/relationships/hyperlink" Target="https://twitter.com/WakefieldLovers/status/724315024827752448" TargetMode="External"/><Relationship Id="rId4583" Type="http://schemas.openxmlformats.org/officeDocument/2006/relationships/hyperlink" Target="https://pbs.twimg.com/profile_images/691097936181215232/Ocy36TIb_normal.jpg" TargetMode="External"/><Relationship Id="rId14177" Type="http://schemas.openxmlformats.org/officeDocument/2006/relationships/hyperlink" Target="https://twitter.com/maimaman_n/status/723567512034656260" TargetMode="External"/><Relationship Id="rId19849" Type="http://schemas.openxmlformats.org/officeDocument/2006/relationships/hyperlink" Target="https://twitter.com/anlofa/status/723961355884175360" TargetMode="External"/><Relationship Id="rId21393" Type="http://schemas.openxmlformats.org/officeDocument/2006/relationships/hyperlink" Target="https://twitter.com/Saluting_Pole/status/724146793651392512" TargetMode="External"/><Relationship Id="rId4236" Type="http://schemas.openxmlformats.org/officeDocument/2006/relationships/hyperlink" Target="https://twitter.com/VeeDubMk1_/status/723178228781862912" TargetMode="External"/><Relationship Id="rId9908" Type="http://schemas.openxmlformats.org/officeDocument/2006/relationships/hyperlink" Target="https://pbs.twimg.com/profile_images/614981295773384708/sXMDZxDO_normal.jpg" TargetMode="External"/><Relationship Id="rId21046" Type="http://schemas.openxmlformats.org/officeDocument/2006/relationships/hyperlink" Target="https://twitter.com/dubbusses" TargetMode="External"/><Relationship Id="rId7459" Type="http://schemas.openxmlformats.org/officeDocument/2006/relationships/hyperlink" Target="https://pbs.twimg.com/profile_images/454052818148536320/hevKbI29_normal.jpeg" TargetMode="External"/><Relationship Id="rId10787" Type="http://schemas.openxmlformats.org/officeDocument/2006/relationships/hyperlink" Target="https://twitter.com/beuc" TargetMode="External"/><Relationship Id="rId13260" Type="http://schemas.openxmlformats.org/officeDocument/2006/relationships/hyperlink" Target="https://pbs.twimg.com/profile_images/378800000304359644/b4a7ca4814d7f1bf6ad3b81ad5c37f5c_normal.jpeg" TargetMode="External"/><Relationship Id="rId24269" Type="http://schemas.openxmlformats.org/officeDocument/2006/relationships/hyperlink" Target="https://twitter.com/AMERMUSCLE289" TargetMode="External"/><Relationship Id="rId18932" Type="http://schemas.openxmlformats.org/officeDocument/2006/relationships/hyperlink" Target="https://twitter.com/CastrolArg" TargetMode="External"/><Relationship Id="rId16483" Type="http://schemas.openxmlformats.org/officeDocument/2006/relationships/hyperlink" Target="https://twitter.com/bjsommerville/status/723687962894966784" TargetMode="External"/><Relationship Id="rId20879" Type="http://schemas.openxmlformats.org/officeDocument/2006/relationships/hyperlink" Target="https://twitter.com/davidmanu_98/status/724053917835902976" TargetMode="External"/><Relationship Id="rId4093" Type="http://schemas.openxmlformats.org/officeDocument/2006/relationships/hyperlink" Target="https://twitter.com/KeyoKage" TargetMode="External"/><Relationship Id="rId6542" Type="http://schemas.openxmlformats.org/officeDocument/2006/relationships/hyperlink" Target="https://pbs.twimg.com/profile_images/652871584131092480/QA_B6SBO_normal.jpg" TargetMode="External"/><Relationship Id="rId16136" Type="http://schemas.openxmlformats.org/officeDocument/2006/relationships/hyperlink" Target="https://pbs.twimg.com/profile_images/683018809431687169/FZVED1pg_normal.jpg" TargetMode="External"/><Relationship Id="rId23352" Type="http://schemas.openxmlformats.org/officeDocument/2006/relationships/hyperlink" Target="https://twitter.com/AutoExpress/status/724282516790611968" TargetMode="External"/><Relationship Id="rId9765" Type="http://schemas.openxmlformats.org/officeDocument/2006/relationships/hyperlink" Target="https://twitter.com/specialistveh/status/723448084139667458" TargetMode="External"/><Relationship Id="rId12746" Type="http://schemas.openxmlformats.org/officeDocument/2006/relationships/hyperlink" Target="https://pbs.twimg.com/profile_images/1648827386/image_normal.jpg" TargetMode="External"/><Relationship Id="rId19359" Type="http://schemas.openxmlformats.org/officeDocument/2006/relationships/hyperlink" Target="https://twitter.com/officewerk/status/723927405522497537" TargetMode="External"/><Relationship Id="rId23005" Type="http://schemas.openxmlformats.org/officeDocument/2006/relationships/hyperlink" Target="https://pbs.twimg.com/profile_images/1372304064/DSC04986_normal.JPG" TargetMode="External"/><Relationship Id="rId2805" Type="http://schemas.openxmlformats.org/officeDocument/2006/relationships/hyperlink" Target="https://twitter.com/Decafinator" TargetMode="External"/><Relationship Id="rId9418" Type="http://schemas.openxmlformats.org/officeDocument/2006/relationships/hyperlink" Target="https://twitter.com/vintagevwdita" TargetMode="External"/><Relationship Id="rId10297" Type="http://schemas.openxmlformats.org/officeDocument/2006/relationships/hyperlink" Target="https://pbs.twimg.com/profile_images/716905526735536128/xbi7mpTE_normal.jpg" TargetMode="External"/><Relationship Id="rId15969" Type="http://schemas.openxmlformats.org/officeDocument/2006/relationships/hyperlink" Target="https://pbs.twimg.com/profile_images/723355436389306371/VmFtgXEL_normal.jpg" TargetMode="External"/><Relationship Id="rId3579" Type="http://schemas.openxmlformats.org/officeDocument/2006/relationships/hyperlink" Target="https://twitter.com/jrosevear" TargetMode="External"/><Relationship Id="rId8501" Type="http://schemas.openxmlformats.org/officeDocument/2006/relationships/hyperlink" Target="https://pbs.twimg.com/profile_images/717944874469863425/i7wKlrn-_normal.jpg" TargetMode="External"/><Relationship Id="rId18442" Type="http://schemas.openxmlformats.org/officeDocument/2006/relationships/hyperlink" Target="https://pbs.twimg.com/profile_images/709396884683694080/_ELzZ3WD_normal.jpg" TargetMode="External"/><Relationship Id="rId20389" Type="http://schemas.openxmlformats.org/officeDocument/2006/relationships/hyperlink" Target="https://twitter.com/FuscaWorld" TargetMode="External"/><Relationship Id="rId22838" Type="http://schemas.openxmlformats.org/officeDocument/2006/relationships/hyperlink" Target="https://twitter.com/RusselVWMD/status/724251700140322817" TargetMode="External"/><Relationship Id="rId6052" Type="http://schemas.openxmlformats.org/officeDocument/2006/relationships/hyperlink" Target="https://twitter.com/svenghali23/status/723228319915773953" TargetMode="External"/><Relationship Id="rId25311" Type="http://schemas.openxmlformats.org/officeDocument/2006/relationships/hyperlink" Target="https://twitter.com/vwpress_en/status/724430467848609792" TargetMode="External"/><Relationship Id="rId9275" Type="http://schemas.openxmlformats.org/officeDocument/2006/relationships/hyperlink" Target="https://twitter.com/VWBeetleSales" TargetMode="External"/><Relationship Id="rId14705" Type="http://schemas.openxmlformats.org/officeDocument/2006/relationships/hyperlink" Target="https://twitter.com/VWBeetleSales/status/723580405593440256" TargetMode="External"/><Relationship Id="rId21921" Type="http://schemas.openxmlformats.org/officeDocument/2006/relationships/hyperlink" Target="https://pbs.twimg.com/profile_images/723031215289319424/hJ1B3oVk_normal.jpg" TargetMode="External"/><Relationship Id="rId981" Type="http://schemas.openxmlformats.org/officeDocument/2006/relationships/hyperlink" Target="https://twitter.com/Ismoke_weed" TargetMode="External"/><Relationship Id="rId2662" Type="http://schemas.openxmlformats.org/officeDocument/2006/relationships/hyperlink" Target="https://pbs.twimg.com/profile_images/1629189820/YouTubeIcon_normal.png" TargetMode="External"/><Relationship Id="rId12256" Type="http://schemas.openxmlformats.org/officeDocument/2006/relationships/hyperlink" Target="https://twitter.com/WowbaggerXX7/status/723516199980642306" TargetMode="External"/><Relationship Id="rId17928" Type="http://schemas.openxmlformats.org/officeDocument/2006/relationships/hyperlink" Target="https://twitter.com/GonZaa_mdq" TargetMode="External"/><Relationship Id="rId634" Type="http://schemas.openxmlformats.org/officeDocument/2006/relationships/hyperlink" Target="https://twitter.com/lEnmanuelSoy/status/722967546987724801" TargetMode="External"/><Relationship Id="rId2315" Type="http://schemas.openxmlformats.org/officeDocument/2006/relationships/hyperlink" Target="https://pbs.twimg.com/profile_images/436538745232568320/WdIrwRnz_normal.jpeg" TargetMode="External"/><Relationship Id="rId5885" Type="http://schemas.openxmlformats.org/officeDocument/2006/relationships/hyperlink" Target="https://twitter.com/DaSperb/status/723221362916098048" TargetMode="External"/><Relationship Id="rId15479" Type="http://schemas.openxmlformats.org/officeDocument/2006/relationships/hyperlink" Target="https://pbs.twimg.com/profile_images/1169387207/uhu_normal.jpg" TargetMode="External"/><Relationship Id="rId22695" Type="http://schemas.openxmlformats.org/officeDocument/2006/relationships/hyperlink" Target="https://twitter.com/dubbusses/status/724239356454682625" TargetMode="External"/><Relationship Id="rId5538" Type="http://schemas.openxmlformats.org/officeDocument/2006/relationships/hyperlink" Target="https://pbs.twimg.com/profile_images/545688359964651520/SF3sJ7lv_normal.jpeg" TargetMode="External"/><Relationship Id="rId22348" Type="http://schemas.openxmlformats.org/officeDocument/2006/relationships/hyperlink" Target="https://pbs.twimg.com/profile_images/422164778639839234/LVnS1q1c_normal.jpeg" TargetMode="External"/><Relationship Id="rId3089" Type="http://schemas.openxmlformats.org/officeDocument/2006/relationships/hyperlink" Target="https://twitter.com/VWBeetleSales" TargetMode="External"/><Relationship Id="rId8011" Type="http://schemas.openxmlformats.org/officeDocument/2006/relationships/hyperlink" Target="https://twitter.com/financetwitting" TargetMode="External"/><Relationship Id="rId14562" Type="http://schemas.openxmlformats.org/officeDocument/2006/relationships/hyperlink" Target="https://pbs.twimg.com/profile_images/510673988003966976/6Ggzktuf_normal.png" TargetMode="External"/><Relationship Id="rId491" Type="http://schemas.openxmlformats.org/officeDocument/2006/relationships/hyperlink" Target="https://twitter.com/leocastillo_RA" TargetMode="External"/><Relationship Id="rId2172" Type="http://schemas.openxmlformats.org/officeDocument/2006/relationships/hyperlink" Target="https://pbs.twimg.com/profile_images/646922543052521472/aLakJI0K_normal.png" TargetMode="External"/><Relationship Id="rId4621" Type="http://schemas.openxmlformats.org/officeDocument/2006/relationships/hyperlink" Target="https://twitter.com/DubLuvTuning/status/723183807956979712" TargetMode="External"/><Relationship Id="rId14215" Type="http://schemas.openxmlformats.org/officeDocument/2006/relationships/hyperlink" Target="https://pbs.twimg.com/profile_images/624857513989701632/nGTBvzYR_normal.jpg" TargetMode="External"/><Relationship Id="rId17785" Type="http://schemas.openxmlformats.org/officeDocument/2006/relationships/hyperlink" Target="https://pbs.twimg.com/profile_images/717738032267395072/SEHS-S39_normal.jpg" TargetMode="External"/><Relationship Id="rId21431" Type="http://schemas.openxmlformats.org/officeDocument/2006/relationships/hyperlink" Target="https://twitter.com/Brhoomv" TargetMode="External"/><Relationship Id="rId144" Type="http://schemas.openxmlformats.org/officeDocument/2006/relationships/hyperlink" Target="https://twitter.com/Insta_VWT" TargetMode="External"/><Relationship Id="rId7844" Type="http://schemas.openxmlformats.org/officeDocument/2006/relationships/hyperlink" Target="https://twitter.com/CaduCardosoFlw/status/723334022882054144" TargetMode="External"/><Relationship Id="rId10825" Type="http://schemas.openxmlformats.org/officeDocument/2006/relationships/hyperlink" Target="https://pbs.twimg.com/profile_images/655324200245272576/n6_8jlJ2_normal.jpg" TargetMode="External"/><Relationship Id="rId17438" Type="http://schemas.openxmlformats.org/officeDocument/2006/relationships/hyperlink" Target="https://twitter.com/thomrosenhagen/status/723798875866279937" TargetMode="External"/><Relationship Id="rId24654" Type="http://schemas.openxmlformats.org/officeDocument/2006/relationships/hyperlink" Target="https://pbs.twimg.com/profile_images/718820712757215233/LXXndPTS_normal.jpg" TargetMode="External"/><Relationship Id="rId5395" Type="http://schemas.openxmlformats.org/officeDocument/2006/relationships/hyperlink" Target="https://twitter.com/MarkusIkarus" TargetMode="External"/><Relationship Id="rId24307" Type="http://schemas.openxmlformats.org/officeDocument/2006/relationships/hyperlink" Target="https://pbs.twimg.com/profile_images/424893967197433858/iQ86NktX_normal.jpeg" TargetMode="External"/><Relationship Id="rId5048" Type="http://schemas.openxmlformats.org/officeDocument/2006/relationships/hyperlink" Target="https://abs.twimg.com/sticky/default_profile_images/default_profile_5_normal.png" TargetMode="External"/><Relationship Id="rId11599" Type="http://schemas.openxmlformats.org/officeDocument/2006/relationships/hyperlink" Target="https://pbs.twimg.com/profile_images/1535844911/Logo_normal.png" TargetMode="External"/><Relationship Id="rId1658" Type="http://schemas.openxmlformats.org/officeDocument/2006/relationships/hyperlink" Target="https://twitter.com/richardfoster1" TargetMode="External"/><Relationship Id="rId14072" Type="http://schemas.openxmlformats.org/officeDocument/2006/relationships/hyperlink" Target="https://pbs.twimg.com/profile_images/696813255466029056/c1kb5BWS_normal.jpg" TargetMode="External"/><Relationship Id="rId16521" Type="http://schemas.openxmlformats.org/officeDocument/2006/relationships/hyperlink" Target="https://twitter.com/OnlineCarReview" TargetMode="External"/><Relationship Id="rId20917" Type="http://schemas.openxmlformats.org/officeDocument/2006/relationships/hyperlink" Target="https://pbs.twimg.com/profile_images/605139878154625024/JqxtO8c-_normal.jpg" TargetMode="External"/><Relationship Id="rId4131" Type="http://schemas.openxmlformats.org/officeDocument/2006/relationships/hyperlink" Target="https://pbs.twimg.com/profile_images/1157454131/FL75_normal.png" TargetMode="External"/><Relationship Id="rId19744" Type="http://schemas.openxmlformats.org/officeDocument/2006/relationships/hyperlink" Target="https://twitter.com/dubbusses/status/723952458456829952" TargetMode="External"/><Relationship Id="rId7354" Type="http://schemas.openxmlformats.org/officeDocument/2006/relationships/hyperlink" Target="https://twitter.com/NicolasTetrault/status/723297534433759234" TargetMode="External"/><Relationship Id="rId9803" Type="http://schemas.openxmlformats.org/officeDocument/2006/relationships/hyperlink" Target="https://pbs.twimg.com/profile_images/563275727810752514/bwvq74zt_normal.jpeg" TargetMode="External"/><Relationship Id="rId10682" Type="http://schemas.openxmlformats.org/officeDocument/2006/relationships/hyperlink" Target="https://twitter.com/thebugbar" TargetMode="External"/><Relationship Id="rId17295" Type="http://schemas.openxmlformats.org/officeDocument/2006/relationships/hyperlink" Target="https://pbs.twimg.com/profile_images/716615654770667520/9yQz2MjC_normal.jpg" TargetMode="External"/><Relationship Id="rId17" Type="http://schemas.openxmlformats.org/officeDocument/2006/relationships/hyperlink" Target="https://twitter.com/Wise_PLLC/status/722919162847178752" TargetMode="External"/><Relationship Id="rId7007" Type="http://schemas.openxmlformats.org/officeDocument/2006/relationships/hyperlink" Target="https://twitter.com/Insta_VWT/status/723274762135474176" TargetMode="External"/><Relationship Id="rId10335" Type="http://schemas.openxmlformats.org/officeDocument/2006/relationships/hyperlink" Target="https://twitter.com/AlexanderDuevel/status/723469650642776064" TargetMode="External"/><Relationship Id="rId24164" Type="http://schemas.openxmlformats.org/officeDocument/2006/relationships/hyperlink" Target="https://twitter.com/beetlebug1938" TargetMode="External"/><Relationship Id="rId3964" Type="http://schemas.openxmlformats.org/officeDocument/2006/relationships/hyperlink" Target="https://twitter.com/MagpieFields/status/723173148846338048" TargetMode="External"/><Relationship Id="rId13558" Type="http://schemas.openxmlformats.org/officeDocument/2006/relationships/hyperlink" Target="https://twitter.com/NathanHillp1/status/723550387073105922" TargetMode="External"/><Relationship Id="rId20774" Type="http://schemas.openxmlformats.org/officeDocument/2006/relationships/hyperlink" Target="https://pbs.twimg.com/profile_images/1610421423/Image2_normal.jpg" TargetMode="External"/><Relationship Id="rId1" Type="http://schemas.openxmlformats.org/officeDocument/2006/relationships/hyperlink" Target="https://twitter.com/dont_blink1" TargetMode="External"/><Relationship Id="rId3617" Type="http://schemas.openxmlformats.org/officeDocument/2006/relationships/hyperlink" Target="https://twitter.com/beetlebug1938" TargetMode="External"/><Relationship Id="rId16031" Type="http://schemas.openxmlformats.org/officeDocument/2006/relationships/hyperlink" Target="https://twitter.com/Orne_Dalfonso" TargetMode="External"/><Relationship Id="rId20427" Type="http://schemas.openxmlformats.org/officeDocument/2006/relationships/hyperlink" Target="https://pbs.twimg.com/profile_images/723340492340121600/YW3LHsNb_normal.jpg" TargetMode="External"/><Relationship Id="rId23997" Type="http://schemas.openxmlformats.org/officeDocument/2006/relationships/hyperlink" Target="https://twitter.com/rajesh12june" TargetMode="External"/><Relationship Id="rId1168" Type="http://schemas.openxmlformats.org/officeDocument/2006/relationships/hyperlink" Target="https://twitter.com/VWBeetleSales/status/723023729794539521" TargetMode="External"/><Relationship Id="rId9660" Type="http://schemas.openxmlformats.org/officeDocument/2006/relationships/hyperlink" Target="https://twitter.com/LittleCountry_M" TargetMode="External"/><Relationship Id="rId19254" Type="http://schemas.openxmlformats.org/officeDocument/2006/relationships/hyperlink" Target="https://twitter.com/Ct2peteMX" TargetMode="External"/><Relationship Id="rId9313" Type="http://schemas.openxmlformats.org/officeDocument/2006/relationships/hyperlink" Target="https://twitter.com/kasamui/status/723430341952737284" TargetMode="External"/><Relationship Id="rId10192" Type="http://schemas.openxmlformats.org/officeDocument/2006/relationships/hyperlink" Target="https://twitter.com/TuttOSuLinuX" TargetMode="External"/><Relationship Id="rId12641" Type="http://schemas.openxmlformats.org/officeDocument/2006/relationships/hyperlink" Target="https://twitter.com/AchillePrick" TargetMode="External"/><Relationship Id="rId2700" Type="http://schemas.openxmlformats.org/officeDocument/2006/relationships/hyperlink" Target="https://twitter.com/5BIEG_PL/status/723114029904842753" TargetMode="External"/><Relationship Id="rId15864" Type="http://schemas.openxmlformats.org/officeDocument/2006/relationships/hyperlink" Target="https://pbs.twimg.com/profile_images/703294545195307008/qeCvrX86_normal.jpg" TargetMode="External"/><Relationship Id="rId5923" Type="http://schemas.openxmlformats.org/officeDocument/2006/relationships/hyperlink" Target="https://twitter.com/FrenchMaple" TargetMode="External"/><Relationship Id="rId15517" Type="http://schemas.openxmlformats.org/officeDocument/2006/relationships/hyperlink" Target="https://twitter.com/Speak_EV/status/723610496641957890" TargetMode="External"/><Relationship Id="rId22733" Type="http://schemas.openxmlformats.org/officeDocument/2006/relationships/hyperlink" Target="https://twitter.com/javper27/status/724243285674348547" TargetMode="External"/><Relationship Id="rId3474" Type="http://schemas.openxmlformats.org/officeDocument/2006/relationships/hyperlink" Target="https://twitter.com/J0ann3" TargetMode="External"/><Relationship Id="rId13068" Type="http://schemas.openxmlformats.org/officeDocument/2006/relationships/hyperlink" Target="http://dlvr.it/" TargetMode="External"/><Relationship Id="rId20284" Type="http://schemas.openxmlformats.org/officeDocument/2006/relationships/hyperlink" Target="https://pbs.twimg.com/profile_images/722161754839654400/YIH3Kxy7_normal.jpg" TargetMode="External"/><Relationship Id="rId3127" Type="http://schemas.openxmlformats.org/officeDocument/2006/relationships/hyperlink" Target="https://twitter.com/benkymens/status/723143610502258688" TargetMode="External"/><Relationship Id="rId6697" Type="http://schemas.openxmlformats.org/officeDocument/2006/relationships/hyperlink" Target="https://pbs.twimg.com/profile_images/717727020042555392/9TxnW1Dh_normal.jpg" TargetMode="External"/><Relationship Id="rId25609" Type="http://schemas.openxmlformats.org/officeDocument/2006/relationships/hyperlink" Target="https://pbs.twimg.com/profile_images/674866085213130752/qAlZEGhV_normal.jpg" TargetMode="External"/><Relationship Id="rId9170" Type="http://schemas.openxmlformats.org/officeDocument/2006/relationships/hyperlink" Target="https://pbs.twimg.com/profile_images/2289706087/q66ajanznpfm87cybp5p_normal.jpeg" TargetMode="External"/><Relationship Id="rId12151" Type="http://schemas.openxmlformats.org/officeDocument/2006/relationships/hyperlink" Target="https://twitter.com/Der_Oberhauser/status/723513838016974849" TargetMode="External"/><Relationship Id="rId14600" Type="http://schemas.openxmlformats.org/officeDocument/2006/relationships/hyperlink" Target="https://pbs.twimg.com/profile_images/710929065939755009/-Rgs_z20_normal.jpg" TargetMode="External"/><Relationship Id="rId2210" Type="http://schemas.openxmlformats.org/officeDocument/2006/relationships/hyperlink" Target="https://twitter.com/techhippie" TargetMode="External"/><Relationship Id="rId17823" Type="http://schemas.openxmlformats.org/officeDocument/2006/relationships/hyperlink" Target="https://twitter.com/devangelista647/status/723826093975719937" TargetMode="External"/><Relationship Id="rId5433" Type="http://schemas.openxmlformats.org/officeDocument/2006/relationships/hyperlink" Target="https://pbs.twimg.com/profile_images/659759648212406273/U0q5I0Qr_normal.jpg" TargetMode="External"/><Relationship Id="rId5780" Type="http://schemas.openxmlformats.org/officeDocument/2006/relationships/hyperlink" Target="https://twitter.com/ArcadiaComunica" TargetMode="External"/><Relationship Id="rId15374" Type="http://schemas.openxmlformats.org/officeDocument/2006/relationships/hyperlink" Target="https://pbs.twimg.com/profile_images/715593945368117248/JXqy1gxb_normal.jpg" TargetMode="External"/><Relationship Id="rId22590" Type="http://schemas.openxmlformats.org/officeDocument/2006/relationships/hyperlink" Target="https://twitter.com/FussballTheke/status/724232364654731264" TargetMode="External"/><Relationship Id="rId11984" Type="http://schemas.openxmlformats.org/officeDocument/2006/relationships/hyperlink" Target="https://twitter.com/AgnewVolkswagen/status/723511440779317248" TargetMode="External"/><Relationship Id="rId15027" Type="http://schemas.openxmlformats.org/officeDocument/2006/relationships/hyperlink" Target="https://twitter.com/Tonelli22/status/723590476255891456" TargetMode="External"/><Relationship Id="rId18597" Type="http://schemas.openxmlformats.org/officeDocument/2006/relationships/hyperlink" Target="https://pbs.twimg.com/profile_images/530071272881803264/a_jcCmPZ_normal.png" TargetMode="External"/><Relationship Id="rId22243" Type="http://schemas.openxmlformats.org/officeDocument/2006/relationships/hyperlink" Target="https://pbs.twimg.com/profile_images/693572579727130624/6g1279ui_normal.jpg" TargetMode="External"/><Relationship Id="rId8656" Type="http://schemas.openxmlformats.org/officeDocument/2006/relationships/hyperlink" Target="https://pbs.twimg.com/profile_images/674695329724375040/S_GDHQ3B_normal.png" TargetMode="External"/><Relationship Id="rId11637" Type="http://schemas.openxmlformats.org/officeDocument/2006/relationships/hyperlink" Target="https://twitter.com/har155/status/723504763330015233" TargetMode="External"/><Relationship Id="rId25466" Type="http://schemas.openxmlformats.org/officeDocument/2006/relationships/hyperlink" Target="https://twitter.com/AutoVerdict/status/724441888854519808" TargetMode="External"/><Relationship Id="rId8309" Type="http://schemas.openxmlformats.org/officeDocument/2006/relationships/hyperlink" Target="https://pbs.twimg.com/profile_images/723167962220220416/9s3JitJp_normal.jpg" TargetMode="External"/><Relationship Id="rId14110" Type="http://schemas.openxmlformats.org/officeDocument/2006/relationships/hyperlink" Target="https://twitter.com/OnlineCarReview/status/723564357540450305" TargetMode="External"/><Relationship Id="rId17680" Type="http://schemas.openxmlformats.org/officeDocument/2006/relationships/hyperlink" Target="https://twitter.com/SupermanDan01/status/723815757319036928" TargetMode="External"/><Relationship Id="rId25119" Type="http://schemas.openxmlformats.org/officeDocument/2006/relationships/hyperlink" Target="https://pbs.twimg.com/profile_images/600965523518566400/l0bcJH8l_normal.jpg" TargetMode="External"/><Relationship Id="rId4919" Type="http://schemas.openxmlformats.org/officeDocument/2006/relationships/hyperlink" Target="https://pbs.twimg.com/profile_images/2136613539/JV-headshot_normal.jpg" TargetMode="External"/><Relationship Id="rId17333" Type="http://schemas.openxmlformats.org/officeDocument/2006/relationships/hyperlink" Target="https://twitter.com/Insta_VWT/status/723790984316882944" TargetMode="External"/><Relationship Id="rId21729" Type="http://schemas.openxmlformats.org/officeDocument/2006/relationships/hyperlink" Target="https://twitter.com/rajesh877" TargetMode="External"/><Relationship Id="rId789" Type="http://schemas.openxmlformats.org/officeDocument/2006/relationships/hyperlink" Target="https://twitter.com/VWCamperSales/status/722984096876498944" TargetMode="External"/><Relationship Id="rId5290" Type="http://schemas.openxmlformats.org/officeDocument/2006/relationships/hyperlink" Target="https://twitter.com/mediaadgroup/status/723199446457012224" TargetMode="External"/><Relationship Id="rId10720" Type="http://schemas.openxmlformats.org/officeDocument/2006/relationships/hyperlink" Target="https://pbs.twimg.com/profile_images/519260450966732800/UKt2i1k8_normal.jpeg" TargetMode="External"/><Relationship Id="rId24202" Type="http://schemas.openxmlformats.org/officeDocument/2006/relationships/hyperlink" Target="https://twitter.com/VolkswagenPost/status/724338146851229696" TargetMode="External"/><Relationship Id="rId13943" Type="http://schemas.openxmlformats.org/officeDocument/2006/relationships/hyperlink" Target="https://pbs.twimg.com/profile_images/592417094983102464/xowRMPEE_normal.jpg" TargetMode="External"/><Relationship Id="rId8166" Type="http://schemas.openxmlformats.org/officeDocument/2006/relationships/hyperlink" Target="https://twitter.com/MarkusStrenzl" TargetMode="External"/><Relationship Id="rId11494" Type="http://schemas.openxmlformats.org/officeDocument/2006/relationships/hyperlink" Target="https://twitter.com/maryv85" TargetMode="External"/><Relationship Id="rId20812" Type="http://schemas.openxmlformats.org/officeDocument/2006/relationships/hyperlink" Target="https://twitter.com/Braandon_0" TargetMode="External"/><Relationship Id="rId1553" Type="http://schemas.openxmlformats.org/officeDocument/2006/relationships/hyperlink" Target="https://twitter.com/twittonium" TargetMode="External"/><Relationship Id="rId11147" Type="http://schemas.openxmlformats.org/officeDocument/2006/relationships/hyperlink" Target="https://twitter.com/doern" TargetMode="External"/><Relationship Id="rId16819" Type="http://schemas.openxmlformats.org/officeDocument/2006/relationships/hyperlink" Target="https://pbs.twimg.com/profile_images/719587346165817345/_yenBawf_normal.jpg" TargetMode="External"/><Relationship Id="rId1206" Type="http://schemas.openxmlformats.org/officeDocument/2006/relationships/hyperlink" Target="https://twitter.com/ohchisock/status/723025597417578496" TargetMode="External"/><Relationship Id="rId4776" Type="http://schemas.openxmlformats.org/officeDocument/2006/relationships/hyperlink" Target="https://pbs.twimg.com/profile_images/3701280874/727d39d4750c86cc2b21322974b47189_normal.jpeg" TargetMode="External"/><Relationship Id="rId17190" Type="http://schemas.openxmlformats.org/officeDocument/2006/relationships/hyperlink" Target="https://pbs.twimg.com/profile_images/509638486991712256/yNj2TcZe_normal.jpeg" TargetMode="External"/><Relationship Id="rId21586" Type="http://schemas.openxmlformats.org/officeDocument/2006/relationships/hyperlink" Target="https://twitter.com/McGeiz" TargetMode="External"/><Relationship Id="rId4429" Type="http://schemas.openxmlformats.org/officeDocument/2006/relationships/hyperlink" Target="https://pbs.twimg.com/profile_images/1762425632/034_ETGP_09_1080p_v4_Small_normal.jpg" TargetMode="External"/><Relationship Id="rId7999" Type="http://schemas.openxmlformats.org/officeDocument/2006/relationships/hyperlink" Target="https://twitter.com/AdgmanA" TargetMode="External"/><Relationship Id="rId10230" Type="http://schemas.openxmlformats.org/officeDocument/2006/relationships/hyperlink" Target="https://twitter.com/VCD_Nordost/status/723466332637900800" TargetMode="External"/><Relationship Id="rId21239" Type="http://schemas.openxmlformats.org/officeDocument/2006/relationships/hyperlink" Target="https://twitter.com/CarSniff" TargetMode="External"/><Relationship Id="rId299" Type="http://schemas.openxmlformats.org/officeDocument/2006/relationships/hyperlink" Target="https://twitter.com/DubLuvTuning/status/722945265850785792" TargetMode="External"/><Relationship Id="rId15902" Type="http://schemas.openxmlformats.org/officeDocument/2006/relationships/hyperlink" Target="https://twitter.com/GreggCesaroni" TargetMode="External"/><Relationship Id="rId3512" Type="http://schemas.openxmlformats.org/officeDocument/2006/relationships/hyperlink" Target="https://pbs.twimg.com/profile_images/514874399703322624/pqgpNd2g_normal.jpeg" TargetMode="External"/><Relationship Id="rId13453" Type="http://schemas.openxmlformats.org/officeDocument/2006/relationships/hyperlink" Target="https://twitter.com/VeeDubMk1_" TargetMode="External"/><Relationship Id="rId1063" Type="http://schemas.openxmlformats.org/officeDocument/2006/relationships/hyperlink" Target="https://twitter.com/Chio_Vilchis/status/723015955736059908" TargetMode="External"/><Relationship Id="rId13106" Type="http://schemas.openxmlformats.org/officeDocument/2006/relationships/hyperlink" Target="http://www.infooffensive.de/" TargetMode="External"/><Relationship Id="rId16676" Type="http://schemas.openxmlformats.org/officeDocument/2006/relationships/hyperlink" Target="https://twitter.com/Tweets4Yoga" TargetMode="External"/><Relationship Id="rId20322" Type="http://schemas.openxmlformats.org/officeDocument/2006/relationships/hyperlink" Target="https://twitter.com/LeoRogeris/status/723990385534603264" TargetMode="External"/><Relationship Id="rId23892" Type="http://schemas.openxmlformats.org/officeDocument/2006/relationships/hyperlink" Target="https://pbs.twimg.com/profile_images/715670762955403264/29LKzfpL_normal.jpg" TargetMode="External"/><Relationship Id="rId4286" Type="http://schemas.openxmlformats.org/officeDocument/2006/relationships/hyperlink" Target="https://twitter.com/smoothblinkhost" TargetMode="External"/><Relationship Id="rId6735" Type="http://schemas.openxmlformats.org/officeDocument/2006/relationships/hyperlink" Target="https://pbs.twimg.com/profile_images/617710830730264576/hBgLKJmE_normal.jpg" TargetMode="External"/><Relationship Id="rId16329" Type="http://schemas.openxmlformats.org/officeDocument/2006/relationships/hyperlink" Target="https://pbs.twimg.com/profile_images/672077684932009985/G8MLPDJT_normal.jpg" TargetMode="External"/><Relationship Id="rId19899" Type="http://schemas.openxmlformats.org/officeDocument/2006/relationships/hyperlink" Target="https://pbs.twimg.com/profile_images/666290978303696898/QbmF7kVR_normal.jpg" TargetMode="External"/><Relationship Id="rId23545" Type="http://schemas.openxmlformats.org/officeDocument/2006/relationships/hyperlink" Target="https://pbs.twimg.com/profile_images/694291235704537089/iwXOtusm_normal.jpg" TargetMode="External"/><Relationship Id="rId9958" Type="http://schemas.openxmlformats.org/officeDocument/2006/relationships/hyperlink" Target="https://twitter.com/Scirocco_Tuning/status/723455876162564096" TargetMode="External"/><Relationship Id="rId12939" Type="http://schemas.openxmlformats.org/officeDocument/2006/relationships/hyperlink" Target="https://twitter.com/DLFNachrichten" TargetMode="External"/><Relationship Id="rId21096" Type="http://schemas.openxmlformats.org/officeDocument/2006/relationships/hyperlink" Target="https://twitter.com/capipaula182/status/724097856416657408" TargetMode="External"/><Relationship Id="rId15412" Type="http://schemas.openxmlformats.org/officeDocument/2006/relationships/hyperlink" Target="https://twitter.com/vwdepo" TargetMode="External"/><Relationship Id="rId18982" Type="http://schemas.openxmlformats.org/officeDocument/2006/relationships/hyperlink" Target="https://twitter.com/G5xbk" TargetMode="External"/><Relationship Id="rId3022" Type="http://schemas.openxmlformats.org/officeDocument/2006/relationships/hyperlink" Target="https://twitter.com/OnlineCarReview/status/723132697313337344" TargetMode="External"/><Relationship Id="rId6592" Type="http://schemas.openxmlformats.org/officeDocument/2006/relationships/hyperlink" Target="https://twitter.com/SexenioMX/status/723247215133609988" TargetMode="External"/><Relationship Id="rId16186" Type="http://schemas.openxmlformats.org/officeDocument/2006/relationships/hyperlink" Target="https://twitter.com/RamiBurgos/status/723654717851721731" TargetMode="External"/><Relationship Id="rId18635" Type="http://schemas.openxmlformats.org/officeDocument/2006/relationships/hyperlink" Target="https://pbs.twimg.com/profile_images/490872931334254592/bn6LDMXT_normal.jpeg" TargetMode="External"/><Relationship Id="rId6245" Type="http://schemas.openxmlformats.org/officeDocument/2006/relationships/hyperlink" Target="https://pbs.twimg.com/profile_images/526742022435000320/iBw--_RM_normal.jpeg" TargetMode="External"/><Relationship Id="rId23055" Type="http://schemas.openxmlformats.org/officeDocument/2006/relationships/hyperlink" Target="https://twitter.com/SeniorOnline" TargetMode="External"/><Relationship Id="rId25504" Type="http://schemas.openxmlformats.org/officeDocument/2006/relationships/hyperlink" Target="https://twitter.com/DubLuvTuning" TargetMode="External"/><Relationship Id="rId12796" Type="http://schemas.openxmlformats.org/officeDocument/2006/relationships/hyperlink" Target="https://twitter.com/sidpatankar" TargetMode="External"/><Relationship Id="rId2855" Type="http://schemas.openxmlformats.org/officeDocument/2006/relationships/hyperlink" Target="https://pbs.twimg.com/profile_images/618632809339432960/eMmhsqgG_normal.jpg" TargetMode="External"/><Relationship Id="rId9468" Type="http://schemas.openxmlformats.org/officeDocument/2006/relationships/hyperlink" Target="https://twitter.com/mightybuyer/status/723436516295364608" TargetMode="External"/><Relationship Id="rId12449" Type="http://schemas.openxmlformats.org/officeDocument/2006/relationships/hyperlink" Target="https://twitter.com/mokomokai/status/723519751717154816" TargetMode="External"/><Relationship Id="rId827" Type="http://schemas.openxmlformats.org/officeDocument/2006/relationships/hyperlink" Target="https://pbs.twimg.com/profile_images/530071272881803264/a_jcCmPZ_normal.png" TargetMode="External"/><Relationship Id="rId2508" Type="http://schemas.openxmlformats.org/officeDocument/2006/relationships/hyperlink" Target="https://twitter.com/oh1984/status/723103626235920385" TargetMode="External"/><Relationship Id="rId18492" Type="http://schemas.openxmlformats.org/officeDocument/2006/relationships/hyperlink" Target="https://twitter.com/swanswaygroup" TargetMode="External"/><Relationship Id="rId22888" Type="http://schemas.openxmlformats.org/officeDocument/2006/relationships/hyperlink" Target="https://pbs.twimg.com/profile_images/718835727027580928/1ssyQ67y_normal.jpg" TargetMode="External"/><Relationship Id="rId8551" Type="http://schemas.openxmlformats.org/officeDocument/2006/relationships/hyperlink" Target="https://twitter.com/JoachimHeck" TargetMode="External"/><Relationship Id="rId18145" Type="http://schemas.openxmlformats.org/officeDocument/2006/relationships/hyperlink" Target="https://twitter.com/WWJ950/status/723846965864189952" TargetMode="External"/><Relationship Id="rId25361" Type="http://schemas.openxmlformats.org/officeDocument/2006/relationships/hyperlink" Target="https://pbs.twimg.com/profile_images/530071272881803264/a_jcCmPZ_normal.png" TargetMode="External"/><Relationship Id="rId8204" Type="http://schemas.openxmlformats.org/officeDocument/2006/relationships/hyperlink" Target="https://pbs.twimg.com/profile_images/712032573929754625/WbaMFsk__normal.jpg" TargetMode="External"/><Relationship Id="rId11532" Type="http://schemas.openxmlformats.org/officeDocument/2006/relationships/hyperlink" Target="https://pbs.twimg.com/profile_images/569800899141177344/nVFLMSdb_normal.png" TargetMode="External"/><Relationship Id="rId25014" Type="http://schemas.openxmlformats.org/officeDocument/2006/relationships/hyperlink" Target="https://pbs.twimg.com/profile_images/634021831364747264/5vPrL2JH_normal.jpg" TargetMode="External"/><Relationship Id="rId14755" Type="http://schemas.openxmlformats.org/officeDocument/2006/relationships/hyperlink" Target="https://twitter.com/GermanIOD" TargetMode="External"/><Relationship Id="rId21971" Type="http://schemas.openxmlformats.org/officeDocument/2006/relationships/hyperlink" Target="https://pbs.twimg.com/profile_images/709716092139270144/PlNxVsny_normal.jpg" TargetMode="External"/><Relationship Id="rId684" Type="http://schemas.openxmlformats.org/officeDocument/2006/relationships/hyperlink" Target="https://twitter.com/lrajcohen" TargetMode="External"/><Relationship Id="rId2365" Type="http://schemas.openxmlformats.org/officeDocument/2006/relationships/hyperlink" Target="https://pbs.twimg.com/profile_images/644482436257185792/immN1agH_normal.jpg" TargetMode="External"/><Relationship Id="rId4814" Type="http://schemas.openxmlformats.org/officeDocument/2006/relationships/hyperlink" Target="https://twitter.com/MhvonS/status/723188392528338944" TargetMode="External"/><Relationship Id="rId14408" Type="http://schemas.openxmlformats.org/officeDocument/2006/relationships/hyperlink" Target="https://twitter.com/sroski/status/723573407007313920" TargetMode="External"/><Relationship Id="rId17978" Type="http://schemas.openxmlformats.org/officeDocument/2006/relationships/hyperlink" Target="https://pbs.twimg.com/profile_images/441617884725276672/SnZtRMvP_normal.jpeg" TargetMode="External"/><Relationship Id="rId21624" Type="http://schemas.openxmlformats.org/officeDocument/2006/relationships/hyperlink" Target="https://twitter.com/JulikaBrand/status/724163852737351680" TargetMode="External"/><Relationship Id="rId337" Type="http://schemas.openxmlformats.org/officeDocument/2006/relationships/hyperlink" Target="https://pbs.twimg.com/profile_images/679764111144566784/ajCap2wo_normal.png" TargetMode="External"/><Relationship Id="rId2018" Type="http://schemas.openxmlformats.org/officeDocument/2006/relationships/hyperlink" Target="https://pbs.twimg.com/profile_images/578542636140781568/2T_ukEU0_normal.jpeg" TargetMode="External"/><Relationship Id="rId24847" Type="http://schemas.openxmlformats.org/officeDocument/2006/relationships/hyperlink" Target="https://pbs.twimg.com/profile_images/723000661034426368/4TOAb3D8_normal.jpg" TargetMode="External"/><Relationship Id="rId5588" Type="http://schemas.openxmlformats.org/officeDocument/2006/relationships/hyperlink" Target="https://twitter.com/becomeagoogler/status/723210319816962048" TargetMode="External"/><Relationship Id="rId22398" Type="http://schemas.openxmlformats.org/officeDocument/2006/relationships/hyperlink" Target="https://pbs.twimg.com/profile_images/489747056584445953/3tvslEko_normal.jpeg" TargetMode="External"/><Relationship Id="rId8061" Type="http://schemas.openxmlformats.org/officeDocument/2006/relationships/hyperlink" Target="https://twitter.com/Scirocco_Tuning/status/723357982830919680" TargetMode="External"/><Relationship Id="rId11042" Type="http://schemas.openxmlformats.org/officeDocument/2006/relationships/hyperlink" Target="https://twitter.com/HelloLouKitty/status/723495236035465218" TargetMode="External"/><Relationship Id="rId1101" Type="http://schemas.openxmlformats.org/officeDocument/2006/relationships/hyperlink" Target="https://twitter.com/AmBeautifulShow/status/723019203792375808" TargetMode="External"/><Relationship Id="rId4671" Type="http://schemas.openxmlformats.org/officeDocument/2006/relationships/hyperlink" Target="https://twitter.com/EricRitter/status/723185088171749376" TargetMode="External"/><Relationship Id="rId14265" Type="http://schemas.openxmlformats.org/officeDocument/2006/relationships/hyperlink" Target="https://pbs.twimg.com/profile_images/719930527059484672/UgWs2JMj_normal.jpg" TargetMode="External"/><Relationship Id="rId16714" Type="http://schemas.openxmlformats.org/officeDocument/2006/relationships/hyperlink" Target="https://twitter.com/bigbobblehats/status/723715083281547264" TargetMode="External"/><Relationship Id="rId21481" Type="http://schemas.openxmlformats.org/officeDocument/2006/relationships/hyperlink" Target="https://pbs.twimg.com/profile_images/3503620879/70f6c39813a3680aaed9f3a618b9f973_normal.jpeg" TargetMode="External"/><Relationship Id="rId23930" Type="http://schemas.openxmlformats.org/officeDocument/2006/relationships/hyperlink" Target="https://twitter.com/beetlebug1938" TargetMode="External"/><Relationship Id="rId4324" Type="http://schemas.openxmlformats.org/officeDocument/2006/relationships/hyperlink" Target="https://pbs.twimg.com/profile_images/2187518786/novitec-rosso-ferrari-458-spider-hr-02_normal.jpg" TargetMode="External"/><Relationship Id="rId19937" Type="http://schemas.openxmlformats.org/officeDocument/2006/relationships/hyperlink" Target="https://twitter.com/Cari_Leiva/status/723964374294138882" TargetMode="External"/><Relationship Id="rId21134" Type="http://schemas.openxmlformats.org/officeDocument/2006/relationships/hyperlink" Target="https://twitter.com/abd_haas" TargetMode="External"/><Relationship Id="rId194" Type="http://schemas.openxmlformats.org/officeDocument/2006/relationships/hyperlink" Target="https://twitter.com/JahiirHdez/status/722933572277907456" TargetMode="External"/><Relationship Id="rId7894" Type="http://schemas.openxmlformats.org/officeDocument/2006/relationships/hyperlink" Target="https://pbs.twimg.com/profile_images/694604675467862022/ibJV65AC_normal.jpg" TargetMode="External"/><Relationship Id="rId10875" Type="http://schemas.openxmlformats.org/officeDocument/2006/relationships/hyperlink" Target="https://twitter.com/GecoGordon" TargetMode="External"/><Relationship Id="rId17488" Type="http://schemas.openxmlformats.org/officeDocument/2006/relationships/hyperlink" Target="https://twitter.com/slsmicha" TargetMode="External"/><Relationship Id="rId5098" Type="http://schemas.openxmlformats.org/officeDocument/2006/relationships/hyperlink" Target="https://twitter.com/derchotv/status/723194303577751552" TargetMode="External"/><Relationship Id="rId7547" Type="http://schemas.openxmlformats.org/officeDocument/2006/relationships/hyperlink" Target="https://pbs.twimg.com/profile_images/503024530361962496/n-EQlw93_normal.jpeg" TargetMode="External"/><Relationship Id="rId10528" Type="http://schemas.openxmlformats.org/officeDocument/2006/relationships/hyperlink" Target="https://pbs.twimg.com/profile_images/438619338942062592/OBEQvg6R_normal.jpeg" TargetMode="External"/><Relationship Id="rId24357" Type="http://schemas.openxmlformats.org/officeDocument/2006/relationships/hyperlink" Target="https://twitter.com/TheBeatlesHub/status/724350113276133376" TargetMode="External"/><Relationship Id="rId13001" Type="http://schemas.openxmlformats.org/officeDocument/2006/relationships/hyperlink" Target="https://twitter.com/ChristophNoack" TargetMode="External"/><Relationship Id="rId16571" Type="http://schemas.openxmlformats.org/officeDocument/2006/relationships/hyperlink" Target="https://twitter.com/TetsuoHojo/status/723695615482302464" TargetMode="External"/><Relationship Id="rId20967" Type="http://schemas.openxmlformats.org/officeDocument/2006/relationships/hyperlink" Target="https://twitter.com/VWBeetleSales/status/724073526680911872" TargetMode="External"/><Relationship Id="rId6630" Type="http://schemas.openxmlformats.org/officeDocument/2006/relationships/hyperlink" Target="https://twitter.com/acklaw/status/723248826170105856" TargetMode="External"/><Relationship Id="rId16224" Type="http://schemas.openxmlformats.org/officeDocument/2006/relationships/hyperlink" Target="http://dlvr.it/" TargetMode="External"/><Relationship Id="rId23440" Type="http://schemas.openxmlformats.org/officeDocument/2006/relationships/hyperlink" Target="https://pbs.twimg.com/profile_images/722914832924688384/aGUfJV7g_normal.jpg" TargetMode="External"/><Relationship Id="rId4181" Type="http://schemas.openxmlformats.org/officeDocument/2006/relationships/hyperlink" Target="https://pbs.twimg.com/profile_images/378800000528765970/3ab9f2a00010e9cac08d5ca1638926e9_normal.png" TargetMode="External"/><Relationship Id="rId9853" Type="http://schemas.openxmlformats.org/officeDocument/2006/relationships/hyperlink" Target="https://twitter.com/CarSniff/status/723451659880271872" TargetMode="External"/><Relationship Id="rId19447" Type="http://schemas.openxmlformats.org/officeDocument/2006/relationships/hyperlink" Target="https://twitter.com/Feliher6Felipe/status/723933061038006272" TargetMode="External"/><Relationship Id="rId19794" Type="http://schemas.openxmlformats.org/officeDocument/2006/relationships/hyperlink" Target="https://pbs.twimg.com/profile_images/530071272881803264/a_jcCmPZ_normal.png" TargetMode="External"/><Relationship Id="rId67" Type="http://schemas.openxmlformats.org/officeDocument/2006/relationships/hyperlink" Target="https://twitter.com/Watercolorhere" TargetMode="External"/><Relationship Id="rId9506" Type="http://schemas.openxmlformats.org/officeDocument/2006/relationships/hyperlink" Target="https://twitter.com/beetlebug1938/status/723437482314854400" TargetMode="External"/><Relationship Id="rId12834" Type="http://schemas.openxmlformats.org/officeDocument/2006/relationships/hyperlink" Target="https://twitter.com/GayosoIvann/status/723529016133689344" TargetMode="External"/><Relationship Id="rId7057" Type="http://schemas.openxmlformats.org/officeDocument/2006/relationships/hyperlink" Target="https://pbs.twimg.com/profile_images/670723011155218433/qhXqNx8m_normal.jpg" TargetMode="External"/><Relationship Id="rId10385" Type="http://schemas.openxmlformats.org/officeDocument/2006/relationships/hyperlink" Target="https://pbs.twimg.com/profile_images/581837489461178368/KiSWrhrG_normal.png" TargetMode="External"/><Relationship Id="rId10038" Type="http://schemas.openxmlformats.org/officeDocument/2006/relationships/hyperlink" Target="https://pbs.twimg.com/profile_images/542767146820829184/FQICfA62_normal.jpeg" TargetMode="External"/><Relationship Id="rId18530" Type="http://schemas.openxmlformats.org/officeDocument/2006/relationships/hyperlink" Target="https://pbs.twimg.com/profile_images/703294545195307008/qeCvrX86_normal.jpg" TargetMode="External"/><Relationship Id="rId22926" Type="http://schemas.openxmlformats.org/officeDocument/2006/relationships/hyperlink" Target="https://pbs.twimg.com/profile_images/627949001179037696/skEBkS05_normal.jpg" TargetMode="External"/><Relationship Id="rId3667" Type="http://schemas.openxmlformats.org/officeDocument/2006/relationships/hyperlink" Target="https://twitter.com/Cognisant2000/status/723167075921883136" TargetMode="External"/><Relationship Id="rId16081" Type="http://schemas.openxmlformats.org/officeDocument/2006/relationships/hyperlink" Target="https://pbs.twimg.com/profile_images/570375988065935360/ooT_Nq7x_normal.jpeg" TargetMode="External"/><Relationship Id="rId20477" Type="http://schemas.openxmlformats.org/officeDocument/2006/relationships/hyperlink" Target="https://abs.twimg.com/sticky/default_profile_images/default_profile_0_normal.png" TargetMode="External"/><Relationship Id="rId6140" Type="http://schemas.openxmlformats.org/officeDocument/2006/relationships/hyperlink" Target="https://twitter.com/BarneysBull" TargetMode="External"/><Relationship Id="rId12691" Type="http://schemas.openxmlformats.org/officeDocument/2006/relationships/hyperlink" Target="https://pbs.twimg.com/profile_images/711308346037501952/zocf3Fba_normal.jpg" TargetMode="External"/><Relationship Id="rId2750" Type="http://schemas.openxmlformats.org/officeDocument/2006/relationships/hyperlink" Target="https://twitter.com/yog2uk/status/723117000277430272" TargetMode="External"/><Relationship Id="rId9363" Type="http://schemas.openxmlformats.org/officeDocument/2006/relationships/hyperlink" Target="https://pbs.twimg.com/profile_images/3601856046/89deb5d36c9951092d953fa6050d5fbc_normal.jpeg" TargetMode="External"/><Relationship Id="rId12344" Type="http://schemas.openxmlformats.org/officeDocument/2006/relationships/hyperlink" Target="https://twitter.com/DubLuvTuning" TargetMode="External"/><Relationship Id="rId722" Type="http://schemas.openxmlformats.org/officeDocument/2006/relationships/hyperlink" Target="https://twitter.com/wikatu/status/722971068453900289" TargetMode="External"/><Relationship Id="rId2403" Type="http://schemas.openxmlformats.org/officeDocument/2006/relationships/hyperlink" Target="https://pbs.twimg.com/profile_images/701745532595613696/EjnEYipt_normal.jpg" TargetMode="External"/><Relationship Id="rId9016" Type="http://schemas.openxmlformats.org/officeDocument/2006/relationships/hyperlink" Target="https://pbs.twimg.com/profile_images/1777666313/Terra_normal.jpg" TargetMode="External"/><Relationship Id="rId5973" Type="http://schemas.openxmlformats.org/officeDocument/2006/relationships/hyperlink" Target="https://twitter.com/miica_laera/status/723225640271511554" TargetMode="External"/><Relationship Id="rId15567" Type="http://schemas.openxmlformats.org/officeDocument/2006/relationships/hyperlink" Target="https://pbs.twimg.com/profile_images/687739723931119616/rWX3ayZq_normal.jpg" TargetMode="External"/><Relationship Id="rId22783" Type="http://schemas.openxmlformats.org/officeDocument/2006/relationships/hyperlink" Target="https://twitter.com/VWCamperSales" TargetMode="External"/><Relationship Id="rId3177" Type="http://schemas.openxmlformats.org/officeDocument/2006/relationships/hyperlink" Target="https://twitter.com/KarlHarenbrock/status/723144540287295488" TargetMode="External"/><Relationship Id="rId5626" Type="http://schemas.openxmlformats.org/officeDocument/2006/relationships/hyperlink" Target="https://twitter.com/VWCamperSales" TargetMode="External"/><Relationship Id="rId18040" Type="http://schemas.openxmlformats.org/officeDocument/2006/relationships/hyperlink" Target="https://pbs.twimg.com/profile_images/705780107844067328/e7O4UBNb_normal.jpg" TargetMode="External"/><Relationship Id="rId22436" Type="http://schemas.openxmlformats.org/officeDocument/2006/relationships/hyperlink" Target="https://twitter.com/beetlebug1938" TargetMode="External"/><Relationship Id="rId8849" Type="http://schemas.openxmlformats.org/officeDocument/2006/relationships/hyperlink" Target="https://twitter.com/conkers3" TargetMode="External"/><Relationship Id="rId14650" Type="http://schemas.openxmlformats.org/officeDocument/2006/relationships/hyperlink" Target="https://twitter.com/Stony_BS/status/723578677573877760" TargetMode="External"/><Relationship Id="rId25659" Type="http://schemas.openxmlformats.org/officeDocument/2006/relationships/hyperlink" Target="https://twitter.com/tomaszapata2" TargetMode="External"/><Relationship Id="rId14303" Type="http://schemas.openxmlformats.org/officeDocument/2006/relationships/hyperlink" Target="https://twitter.com/ra_howl" TargetMode="External"/><Relationship Id="rId2260" Type="http://schemas.openxmlformats.org/officeDocument/2006/relationships/hyperlink" Target="http://meinauto.de/" TargetMode="External"/><Relationship Id="rId7932" Type="http://schemas.openxmlformats.org/officeDocument/2006/relationships/hyperlink" Target="https://twitter.com/jayyyylew/status/723342998239588352" TargetMode="External"/><Relationship Id="rId17873" Type="http://schemas.openxmlformats.org/officeDocument/2006/relationships/hyperlink" Target="https://twitter.com/ebaycampervans/status/723829608873750529" TargetMode="External"/><Relationship Id="rId232" Type="http://schemas.openxmlformats.org/officeDocument/2006/relationships/hyperlink" Target="https://twitter.com/fusca_elite_br" TargetMode="External"/><Relationship Id="rId5483" Type="http://schemas.openxmlformats.org/officeDocument/2006/relationships/hyperlink" Target="https://twitter.com/carcomplaints/status/723204432322826240" TargetMode="External"/><Relationship Id="rId10913" Type="http://schemas.openxmlformats.org/officeDocument/2006/relationships/hyperlink" Target="https://pbs.twimg.com/profile_images/624226571474202624/LucRDb7k_normal.jpg" TargetMode="External"/><Relationship Id="rId15077" Type="http://schemas.openxmlformats.org/officeDocument/2006/relationships/hyperlink" Target="https://twitter.com/ThomasThePommes" TargetMode="External"/><Relationship Id="rId17526" Type="http://schemas.openxmlformats.org/officeDocument/2006/relationships/hyperlink" Target="https://twitter.com/Tahsinemres/status/723804779122593792" TargetMode="External"/><Relationship Id="rId22293" Type="http://schemas.openxmlformats.org/officeDocument/2006/relationships/hyperlink" Target="https://pbs.twimg.com/profile_images/424893967197433858/iQ86NktX_normal.jpeg" TargetMode="External"/><Relationship Id="rId24742" Type="http://schemas.openxmlformats.org/officeDocument/2006/relationships/hyperlink" Target="https://twitter.com/speedhappens" TargetMode="External"/><Relationship Id="rId5136" Type="http://schemas.openxmlformats.org/officeDocument/2006/relationships/hyperlink" Target="https://twitter.com/pepmariavila" TargetMode="External"/><Relationship Id="rId8359" Type="http://schemas.openxmlformats.org/officeDocument/2006/relationships/hyperlink" Target="https://twitter.com/berlinwerbung" TargetMode="External"/><Relationship Id="rId11687" Type="http://schemas.openxmlformats.org/officeDocument/2006/relationships/hyperlink" Target="https://twitter.com/OCherokee/status/723505467658399744" TargetMode="External"/><Relationship Id="rId25169" Type="http://schemas.openxmlformats.org/officeDocument/2006/relationships/hyperlink" Target="https://twitter.com/cmsGOMEX/status/724424717143269376" TargetMode="External"/><Relationship Id="rId1746" Type="http://schemas.openxmlformats.org/officeDocument/2006/relationships/hyperlink" Target="https://twitter.com/DennisDost" TargetMode="External"/><Relationship Id="rId14160" Type="http://schemas.openxmlformats.org/officeDocument/2006/relationships/hyperlink" Target="https://twitter.com/abronstadnlj" TargetMode="External"/><Relationship Id="rId19832" Type="http://schemas.openxmlformats.org/officeDocument/2006/relationships/hyperlink" Target="https://pbs.twimg.com/profile_images/3440349262/59758fc2d4ef13f0864497716fa9d8e3_normal.jpeg" TargetMode="External"/><Relationship Id="rId4969" Type="http://schemas.openxmlformats.org/officeDocument/2006/relationships/hyperlink" Target="https://pbs.twimg.com/profile_images/663838045880393728/qlhD2tfi_normal.jpg" TargetMode="External"/><Relationship Id="rId10770" Type="http://schemas.openxmlformats.org/officeDocument/2006/relationships/hyperlink" Target="https://twitter.com/CayleThompson/status/723484133037481985" TargetMode="External"/><Relationship Id="rId17383" Type="http://schemas.openxmlformats.org/officeDocument/2006/relationships/hyperlink" Target="https://twitter.com/FennellMarcus" TargetMode="External"/><Relationship Id="rId21779" Type="http://schemas.openxmlformats.org/officeDocument/2006/relationships/hyperlink" Target="https://twitter.com/dubbusses/status/724178959932510208" TargetMode="External"/><Relationship Id="rId7442" Type="http://schemas.openxmlformats.org/officeDocument/2006/relationships/hyperlink" Target="https://twitter.com/dejbanlaw" TargetMode="External"/><Relationship Id="rId10423" Type="http://schemas.openxmlformats.org/officeDocument/2006/relationships/hyperlink" Target="https://twitter.com/bayl/status/723472327695020032" TargetMode="External"/><Relationship Id="rId17036" Type="http://schemas.openxmlformats.org/officeDocument/2006/relationships/hyperlink" Target="https://twitter.com/HunkyAlley" TargetMode="External"/><Relationship Id="rId24252" Type="http://schemas.openxmlformats.org/officeDocument/2006/relationships/hyperlink" Target="https://pbs.twimg.com/profile_images/627949001179037696/skEBkS05_normal.jpg" TargetMode="External"/><Relationship Id="rId13993" Type="http://schemas.openxmlformats.org/officeDocument/2006/relationships/hyperlink" Target="https://pbs.twimg.com/profile_images/539533854718300160/y57f289p_normal.jpeg" TargetMode="External"/><Relationship Id="rId11197" Type="http://schemas.openxmlformats.org/officeDocument/2006/relationships/hyperlink" Target="https://twitter.com/MichaelNdri/status/723499213066215424" TargetMode="External"/><Relationship Id="rId13646" Type="http://schemas.openxmlformats.org/officeDocument/2006/relationships/hyperlink" Target="https://twitter.com/BILD_Muenchen/status/723552250128392193" TargetMode="External"/><Relationship Id="rId20862" Type="http://schemas.openxmlformats.org/officeDocument/2006/relationships/hyperlink" Target="https://pbs.twimg.com/profile_images/719992610824302593/gTWo5WQ5_normal.jpg" TargetMode="External"/><Relationship Id="rId1256" Type="http://schemas.openxmlformats.org/officeDocument/2006/relationships/hyperlink" Target="https://twitter.com/deutch_az" TargetMode="External"/><Relationship Id="rId3705" Type="http://schemas.openxmlformats.org/officeDocument/2006/relationships/hyperlink" Target="https://pbs.twimg.com/profile_images/459486317982674944/U6v1KsKl_normal.jpeg" TargetMode="External"/><Relationship Id="rId16869" Type="http://schemas.openxmlformats.org/officeDocument/2006/relationships/hyperlink" Target="https://twitter.com/carloooove1000" TargetMode="External"/><Relationship Id="rId20515" Type="http://schemas.openxmlformats.org/officeDocument/2006/relationships/hyperlink" Target="https://twitter.com/SantaPodRaceway/status/724004408867061760" TargetMode="External"/><Relationship Id="rId6928" Type="http://schemas.openxmlformats.org/officeDocument/2006/relationships/hyperlink" Target="http://faz.net/" TargetMode="External"/><Relationship Id="rId19342" Type="http://schemas.openxmlformats.org/officeDocument/2006/relationships/hyperlink" Target="https://twitter.com/ArtlstLucyChen" TargetMode="External"/><Relationship Id="rId23738" Type="http://schemas.openxmlformats.org/officeDocument/2006/relationships/hyperlink" Target="https://twitter.com/VWCamperSales/status/724306943284670465" TargetMode="External"/><Relationship Id="rId4479" Type="http://schemas.openxmlformats.org/officeDocument/2006/relationships/hyperlink" Target="https://twitter.com/SexenioMX" TargetMode="External"/><Relationship Id="rId9401" Type="http://schemas.openxmlformats.org/officeDocument/2006/relationships/hyperlink" Target="https://twitter.com/Horst1941/status/723433577132621824" TargetMode="External"/><Relationship Id="rId10280" Type="http://schemas.openxmlformats.org/officeDocument/2006/relationships/hyperlink" Target="https://twitter.com/hakandeliduman" TargetMode="External"/><Relationship Id="rId21289" Type="http://schemas.openxmlformats.org/officeDocument/2006/relationships/hyperlink" Target="https://pbs.twimg.com/profile_images/720573378889814016/NgpA-9lN_normal.jpg" TargetMode="External"/><Relationship Id="rId15952" Type="http://schemas.openxmlformats.org/officeDocument/2006/relationships/hyperlink" Target="https://twitter.com/GSracer69" TargetMode="External"/><Relationship Id="rId3562" Type="http://schemas.openxmlformats.org/officeDocument/2006/relationships/hyperlink" Target="https://twitter.com/nakulshetty88" TargetMode="External"/><Relationship Id="rId13156" Type="http://schemas.openxmlformats.org/officeDocument/2006/relationships/hyperlink" Target="https://twitter.com/techhippie/status/723536460209643521" TargetMode="External"/><Relationship Id="rId15605" Type="http://schemas.openxmlformats.org/officeDocument/2006/relationships/hyperlink" Target="https://twitter.com/facundoalmeira" TargetMode="External"/><Relationship Id="rId20372" Type="http://schemas.openxmlformats.org/officeDocument/2006/relationships/hyperlink" Target="https://twitter.com/TroyLangford1/status/723994608414429184" TargetMode="External"/><Relationship Id="rId22821" Type="http://schemas.openxmlformats.org/officeDocument/2006/relationships/hyperlink" Target="https://pbs.twimg.com/profile_images/486691396855025665/ObwudZ61_normal.jpeg" TargetMode="External"/><Relationship Id="rId3215" Type="http://schemas.openxmlformats.org/officeDocument/2006/relationships/hyperlink" Target="https://twitter.com/Luchyokk/status/723145486127996928" TargetMode="External"/><Relationship Id="rId6785" Type="http://schemas.openxmlformats.org/officeDocument/2006/relationships/hyperlink" Target="https://twitter.com/VolkswagenPost/status/723260725565612033" TargetMode="External"/><Relationship Id="rId18828" Type="http://schemas.openxmlformats.org/officeDocument/2006/relationships/hyperlink" Target="https://twitter.com/Floppii_Chiara" TargetMode="External"/><Relationship Id="rId20025" Type="http://schemas.openxmlformats.org/officeDocument/2006/relationships/hyperlink" Target="https://twitter.com/maxiavalos3" TargetMode="External"/><Relationship Id="rId6438" Type="http://schemas.openxmlformats.org/officeDocument/2006/relationships/hyperlink" Target="https://pbs.twimg.com/profile_images/424893967197433858/iQ86NktX_normal.jpeg" TargetMode="External"/><Relationship Id="rId16379" Type="http://schemas.openxmlformats.org/officeDocument/2006/relationships/hyperlink" Target="https://twitter.com/VolkswagenPost/status/723676687993462785" TargetMode="External"/><Relationship Id="rId23595" Type="http://schemas.openxmlformats.org/officeDocument/2006/relationships/hyperlink" Target="https://twitter.com/mamulavaca" TargetMode="External"/><Relationship Id="rId12989" Type="http://schemas.openxmlformats.org/officeDocument/2006/relationships/hyperlink" Target="https://pbs.twimg.com/profile_images/682872326371848192/lky20bTP_normal.jpg" TargetMode="External"/><Relationship Id="rId17911" Type="http://schemas.openxmlformats.org/officeDocument/2006/relationships/hyperlink" Target="https://pbs.twimg.com/profile_images/714918565263118336/WWTsR5W__normal.jpg" TargetMode="External"/><Relationship Id="rId23248" Type="http://schemas.openxmlformats.org/officeDocument/2006/relationships/hyperlink" Target="https://pbs.twimg.com/profile_images/559752996410507264/2Wfh6T_a_normal.jpeg" TargetMode="External"/><Relationship Id="rId15462" Type="http://schemas.openxmlformats.org/officeDocument/2006/relationships/hyperlink" Target="https://twitter.com/S_Galimberti" TargetMode="External"/><Relationship Id="rId5521" Type="http://schemas.openxmlformats.org/officeDocument/2006/relationships/hyperlink" Target="https://twitter.com/Carscoop/status/723206455487164416" TargetMode="External"/><Relationship Id="rId15115" Type="http://schemas.openxmlformats.org/officeDocument/2006/relationships/hyperlink" Target="https://twitter.com/EitelStefan" TargetMode="External"/><Relationship Id="rId18685" Type="http://schemas.openxmlformats.org/officeDocument/2006/relationships/hyperlink" Target="https://pbs.twimg.com/profile_images/711135089388818432/uvAjv_9K_normal.jpg" TargetMode="External"/><Relationship Id="rId22331" Type="http://schemas.openxmlformats.org/officeDocument/2006/relationships/hyperlink" Target="https://twitter.com/VWCamperSales/status/724216116134858752" TargetMode="External"/><Relationship Id="rId3072" Type="http://schemas.openxmlformats.org/officeDocument/2006/relationships/hyperlink" Target="https://pbs.twimg.com/profile_images/306827227/Logo_Russfrei_normal.jpg" TargetMode="External"/><Relationship Id="rId8744" Type="http://schemas.openxmlformats.org/officeDocument/2006/relationships/hyperlink" Target="https://twitter.com/LGlimm" TargetMode="External"/><Relationship Id="rId18338" Type="http://schemas.openxmlformats.org/officeDocument/2006/relationships/hyperlink" Target="https://twitter.com/cherubimu/status/723863688885735424" TargetMode="External"/><Relationship Id="rId25554" Type="http://schemas.openxmlformats.org/officeDocument/2006/relationships/hyperlink" Target="https://twitter.com/OrneCalamante/status/724447918074286080" TargetMode="External"/><Relationship Id="rId6295" Type="http://schemas.openxmlformats.org/officeDocument/2006/relationships/hyperlink" Target="https://pbs.twimg.com/profile_images/624231079898152960/enOWT84U_normal.jpg" TargetMode="External"/><Relationship Id="rId11725" Type="http://schemas.openxmlformats.org/officeDocument/2006/relationships/hyperlink" Target="https://pbs.twimg.com/profile_images/378800000528765970/3ab9f2a00010e9cac08d5ca1638926e9_normal.png" TargetMode="External"/><Relationship Id="rId25207" Type="http://schemas.openxmlformats.org/officeDocument/2006/relationships/hyperlink" Target="https://pbs.twimg.com/profile_images/682117963349135360/IUfZQy35_normal.png" TargetMode="External"/><Relationship Id="rId14948" Type="http://schemas.openxmlformats.org/officeDocument/2006/relationships/hyperlink" Target="https://twitter.com/kingblaise_" TargetMode="External"/><Relationship Id="rId12499" Type="http://schemas.openxmlformats.org/officeDocument/2006/relationships/hyperlink" Target="https://twitter.com/Kurtzer90" TargetMode="External"/><Relationship Id="rId17421" Type="http://schemas.openxmlformats.org/officeDocument/2006/relationships/hyperlink" Target="https://pbs.twimg.com/profile_images/2576163313/empty_normal.jpg" TargetMode="External"/><Relationship Id="rId21817" Type="http://schemas.openxmlformats.org/officeDocument/2006/relationships/hyperlink" Target="https://twitter.com/FuscaWorld/status/724180429834690560" TargetMode="External"/><Relationship Id="rId877" Type="http://schemas.openxmlformats.org/officeDocument/2006/relationships/hyperlink" Target="https://pbs.twimg.com/profile_images/713802957674913792/3gNtGi6a_normal.jpg" TargetMode="External"/><Relationship Id="rId2558" Type="http://schemas.openxmlformats.org/officeDocument/2006/relationships/hyperlink" Target="https://twitter.com/HolloConsultant" TargetMode="External"/><Relationship Id="rId5031" Type="http://schemas.openxmlformats.org/officeDocument/2006/relationships/hyperlink" Target="https://twitter.com/celiacernadas" TargetMode="External"/><Relationship Id="rId11582" Type="http://schemas.openxmlformats.org/officeDocument/2006/relationships/hyperlink" Target="https://twitter.com/Dreisessel_AM/status/723503889698447360" TargetMode="External"/><Relationship Id="rId18195" Type="http://schemas.openxmlformats.org/officeDocument/2006/relationships/hyperlink" Target="https://pbs.twimg.com/profile_images/2999449482/b2656ef7bb2deb53c433a514f80848aa_normal.jpeg" TargetMode="External"/><Relationship Id="rId1641" Type="http://schemas.openxmlformats.org/officeDocument/2006/relationships/hyperlink" Target="https://twitter.com/Gavlarr78/status/723050390003023872" TargetMode="External"/><Relationship Id="rId8254" Type="http://schemas.openxmlformats.org/officeDocument/2006/relationships/hyperlink" Target="https://twitter.com/yasaimeijin0240/status/723379519101370368" TargetMode="External"/><Relationship Id="rId11235" Type="http://schemas.openxmlformats.org/officeDocument/2006/relationships/hyperlink" Target="https://twitter.com/rbbinforadio/status/723499537151758337" TargetMode="External"/><Relationship Id="rId20900" Type="http://schemas.openxmlformats.org/officeDocument/2006/relationships/hyperlink" Target="https://twitter.com/HunkyAlley/status/724060035765161984" TargetMode="External"/><Relationship Id="rId25064" Type="http://schemas.openxmlformats.org/officeDocument/2006/relationships/hyperlink" Target="https://twitter.com/FuscaWorld" TargetMode="External"/><Relationship Id="rId4864" Type="http://schemas.openxmlformats.org/officeDocument/2006/relationships/hyperlink" Target="https://twitter.com/EmmettBrown1955" TargetMode="External"/><Relationship Id="rId16907" Type="http://schemas.openxmlformats.org/officeDocument/2006/relationships/hyperlink" Target="https://twitter.com/furqan_satcom/status/723747250522873856" TargetMode="External"/><Relationship Id="rId4517" Type="http://schemas.openxmlformats.org/officeDocument/2006/relationships/hyperlink" Target="https://pbs.twimg.com/profile_images/722256787009859584/vkuTNBGF_normal.jpg" TargetMode="External"/><Relationship Id="rId14458" Type="http://schemas.openxmlformats.org/officeDocument/2006/relationships/hyperlink" Target="https://twitter.com/themoosemind/status/723574206101880832" TargetMode="External"/><Relationship Id="rId21674" Type="http://schemas.openxmlformats.org/officeDocument/2006/relationships/hyperlink" Target="https://twitter.com/rockettoplay/status/724167833790353408" TargetMode="External"/><Relationship Id="rId387" Type="http://schemas.openxmlformats.org/officeDocument/2006/relationships/hyperlink" Target="https://twitter.com/treatertweeter/status/722952465717583872" TargetMode="External"/><Relationship Id="rId2068" Type="http://schemas.openxmlformats.org/officeDocument/2006/relationships/hyperlink" Target="https://pbs.twimg.com/profile_images/717759338954276865/kYeKWhbD_normal.jpg" TargetMode="External"/><Relationship Id="rId21327" Type="http://schemas.openxmlformats.org/officeDocument/2006/relationships/hyperlink" Target="https://twitter.com/travelbot666/status/724142024706953216" TargetMode="External"/><Relationship Id="rId24897" Type="http://schemas.openxmlformats.org/officeDocument/2006/relationships/hyperlink" Target="https://twitter.com/MaureLuciana" TargetMode="External"/><Relationship Id="rId13541" Type="http://schemas.openxmlformats.org/officeDocument/2006/relationships/hyperlink" Target="https://pbs.twimg.com/profile_images/2036860818/Logo_idea_normal.png" TargetMode="External"/><Relationship Id="rId3600" Type="http://schemas.openxmlformats.org/officeDocument/2006/relationships/hyperlink" Target="https://twitter.com/Carscoop" TargetMode="External"/><Relationship Id="rId11092" Type="http://schemas.openxmlformats.org/officeDocument/2006/relationships/hyperlink" Target="https://pbs.twimg.com/profile_images/2552706320/omzk9t23vkp4a2mf4vtd_normal.jpeg" TargetMode="External"/><Relationship Id="rId16764" Type="http://schemas.openxmlformats.org/officeDocument/2006/relationships/hyperlink" Target="https://twitter.com/VolkswagenPost/status/723724661289263105" TargetMode="External"/><Relationship Id="rId20410" Type="http://schemas.openxmlformats.org/officeDocument/2006/relationships/hyperlink" Target="https://twitter.com/terl_mor" TargetMode="External"/><Relationship Id="rId23980" Type="http://schemas.openxmlformats.org/officeDocument/2006/relationships/hyperlink" Target="https://twitter.com/VWBeetleSales" TargetMode="External"/><Relationship Id="rId1151" Type="http://schemas.openxmlformats.org/officeDocument/2006/relationships/hyperlink" Target="https://pbs.twimg.com/profile_images/378800000827989310/a59e804b88caad138f48bd62e7a05b93_normal.jpeg" TargetMode="External"/><Relationship Id="rId6823" Type="http://schemas.openxmlformats.org/officeDocument/2006/relationships/hyperlink" Target="https://twitter.com/VWCamperSales" TargetMode="External"/><Relationship Id="rId16417" Type="http://schemas.openxmlformats.org/officeDocument/2006/relationships/hyperlink" Target="https://twitter.com/cuco996" TargetMode="External"/><Relationship Id="rId23633" Type="http://schemas.openxmlformats.org/officeDocument/2006/relationships/hyperlink" Target="https://twitter.com/Fernand24650964" TargetMode="External"/><Relationship Id="rId4374" Type="http://schemas.openxmlformats.org/officeDocument/2006/relationships/hyperlink" Target="https://pbs.twimg.com/profile_images/717214720055443457/QPIdZYtQ_normal.jpg" TargetMode="External"/><Relationship Id="rId19987" Type="http://schemas.openxmlformats.org/officeDocument/2006/relationships/hyperlink" Target="https://pbs.twimg.com/profile_images/718835727027580928/1ssyQ67y_normal.jpg" TargetMode="External"/><Relationship Id="rId21184" Type="http://schemas.openxmlformats.org/officeDocument/2006/relationships/hyperlink" Target="https://twitter.com/micabesita" TargetMode="External"/><Relationship Id="rId4027" Type="http://schemas.openxmlformats.org/officeDocument/2006/relationships/hyperlink" Target="https://twitter.com/rgsmith46" TargetMode="External"/><Relationship Id="rId7597" Type="http://schemas.openxmlformats.org/officeDocument/2006/relationships/hyperlink" Target="https://pbs.twimg.com/profile_images/492062532773765120/qJtb2Fvz_normal.jpeg" TargetMode="External"/><Relationship Id="rId10578" Type="http://schemas.openxmlformats.org/officeDocument/2006/relationships/hyperlink" Target="https://twitter.com/ThielsChristian" TargetMode="External"/><Relationship Id="rId15500" Type="http://schemas.openxmlformats.org/officeDocument/2006/relationships/hyperlink" Target="https://pbs.twimg.com/profile_images/69751619/manfred-bartl_normal.jpg" TargetMode="External"/><Relationship Id="rId13051" Type="http://schemas.openxmlformats.org/officeDocument/2006/relationships/hyperlink" Target="https://twitter.com/DucatiSalesGuy" TargetMode="External"/><Relationship Id="rId18723" Type="http://schemas.openxmlformats.org/officeDocument/2006/relationships/hyperlink" Target="https://pbs.twimg.com/profile_images/713869890470486020/kPjXKpBg_normal.jpg" TargetMode="External"/><Relationship Id="rId3110" Type="http://schemas.openxmlformats.org/officeDocument/2006/relationships/hyperlink" Target="https://twitter.com/VWCamperSales" TargetMode="External"/><Relationship Id="rId6680" Type="http://schemas.openxmlformats.org/officeDocument/2006/relationships/hyperlink" Target="http://dlvr.it/" TargetMode="External"/><Relationship Id="rId16274" Type="http://schemas.openxmlformats.org/officeDocument/2006/relationships/hyperlink" Target="https://twitter.com/FuscaWorld/status/723663648275750912" TargetMode="External"/><Relationship Id="rId23490" Type="http://schemas.openxmlformats.org/officeDocument/2006/relationships/hyperlink" Target="https://pbs.twimg.com/profile_images/723251063491571712/mNQ_28rk_normal.jpg" TargetMode="External"/><Relationship Id="rId6333" Type="http://schemas.openxmlformats.org/officeDocument/2006/relationships/hyperlink" Target="https://twitter.com/VWCamperSales/status/723240046346657793" TargetMode="External"/><Relationship Id="rId19497" Type="http://schemas.openxmlformats.org/officeDocument/2006/relationships/hyperlink" Target="https://pbs.twimg.com/profile_images/718835727027580928/1ssyQ67y_normal.jpg" TargetMode="External"/><Relationship Id="rId23143" Type="http://schemas.openxmlformats.org/officeDocument/2006/relationships/hyperlink" Target="https://twitter.com/2662a7/status/724270186237452288" TargetMode="External"/><Relationship Id="rId9556" Type="http://schemas.openxmlformats.org/officeDocument/2006/relationships/hyperlink" Target="https://pbs.twimg.com/profile_images/425929548199231488/Xai3vHX2_normal.jpeg" TargetMode="External"/><Relationship Id="rId12884" Type="http://schemas.openxmlformats.org/officeDocument/2006/relationships/hyperlink" Target="http://dlvr.it/" TargetMode="External"/><Relationship Id="rId915" Type="http://schemas.openxmlformats.org/officeDocument/2006/relationships/hyperlink" Target="https://twitter.com/Gagan10cuAn/status/723001029789396992" TargetMode="External"/><Relationship Id="rId2943" Type="http://schemas.openxmlformats.org/officeDocument/2006/relationships/hyperlink" Target="https://twitter.com/VolkswagenPost" TargetMode="External"/><Relationship Id="rId9209" Type="http://schemas.openxmlformats.org/officeDocument/2006/relationships/hyperlink" Target="https://pbs.twimg.com/profile_images/534347903415091200/7vSjzA4l_normal.jpeg" TargetMode="External"/><Relationship Id="rId10088" Type="http://schemas.openxmlformats.org/officeDocument/2006/relationships/hyperlink" Target="https://twitter.com/Ch4r32/status/723461694089994240" TargetMode="External"/><Relationship Id="rId12537" Type="http://schemas.openxmlformats.org/officeDocument/2006/relationships/hyperlink" Target="https://twitter.com/ollitsch09/status/723522231163297792" TargetMode="External"/><Relationship Id="rId15010" Type="http://schemas.openxmlformats.org/officeDocument/2006/relationships/hyperlink" Target="https://twitter.com/notyourcountry" TargetMode="External"/><Relationship Id="rId18580" Type="http://schemas.openxmlformats.org/officeDocument/2006/relationships/hyperlink" Target="https://twitter.com/chantaljcs" TargetMode="External"/><Relationship Id="rId22976" Type="http://schemas.openxmlformats.org/officeDocument/2006/relationships/hyperlink" Target="https://twitter.com/dantefactor/status/724261961039515648" TargetMode="External"/><Relationship Id="rId5819" Type="http://schemas.openxmlformats.org/officeDocument/2006/relationships/hyperlink" Target="https://pbs.twimg.com/profile_images/597697532958011392/kZeBXJZV_normal.png" TargetMode="External"/><Relationship Id="rId6190" Type="http://schemas.openxmlformats.org/officeDocument/2006/relationships/hyperlink" Target="https://twitter.com/ALONSOQUIJANO21" TargetMode="External"/><Relationship Id="rId11620" Type="http://schemas.openxmlformats.org/officeDocument/2006/relationships/hyperlink" Target="https://pbs.twimg.com/profile_images/2527256269/ursvsnoadffhlpb3yaek_normal.png" TargetMode="External"/><Relationship Id="rId18233" Type="http://schemas.openxmlformats.org/officeDocument/2006/relationships/hyperlink" Target="https://twitter.com/Shereen_Shabnam" TargetMode="External"/><Relationship Id="rId22629" Type="http://schemas.openxmlformats.org/officeDocument/2006/relationships/hyperlink" Target="https://twitter.com/VWCamperSales" TargetMode="External"/><Relationship Id="rId14843" Type="http://schemas.openxmlformats.org/officeDocument/2006/relationships/hyperlink" Target="https://twitter.com/kurtseinitz" TargetMode="External"/><Relationship Id="rId25102" Type="http://schemas.openxmlformats.org/officeDocument/2006/relationships/hyperlink" Target="https://twitter.com/cmsGOMEX/status/724420031950532609" TargetMode="External"/><Relationship Id="rId4902" Type="http://schemas.openxmlformats.org/officeDocument/2006/relationships/hyperlink" Target="https://twitter.com/kudascheffa" TargetMode="External"/><Relationship Id="rId12394" Type="http://schemas.openxmlformats.org/officeDocument/2006/relationships/hyperlink" Target="https://twitter.com/Mike_LaJoice/status/723518848457052161" TargetMode="External"/><Relationship Id="rId21712" Type="http://schemas.openxmlformats.org/officeDocument/2006/relationships/hyperlink" Target="https://abs.twimg.com/sticky/default_profile_images/default_profile_2_normal.png" TargetMode="External"/><Relationship Id="rId772" Type="http://schemas.openxmlformats.org/officeDocument/2006/relationships/hyperlink" Target="https://pbs.twimg.com/profile_images/718820712757215233/LXXndPTS_normal.jpg" TargetMode="External"/><Relationship Id="rId2453" Type="http://schemas.openxmlformats.org/officeDocument/2006/relationships/hyperlink" Target="https://twitter.com/beetlebug1938/status/723101943862796288" TargetMode="External"/><Relationship Id="rId9066" Type="http://schemas.openxmlformats.org/officeDocument/2006/relationships/hyperlink" Target="https://pbs.twimg.com/profile_images/700268249225818113/TUSCd9Sx_normal.jpg" TargetMode="External"/><Relationship Id="rId12047" Type="http://schemas.openxmlformats.org/officeDocument/2006/relationships/hyperlink" Target="http://faz.net/" TargetMode="External"/><Relationship Id="rId425" Type="http://schemas.openxmlformats.org/officeDocument/2006/relationships/hyperlink" Target="https://twitter.com/VAGFanArg" TargetMode="External"/><Relationship Id="rId2106" Type="http://schemas.openxmlformats.org/officeDocument/2006/relationships/hyperlink" Target="https://pbs.twimg.com/profile_images/1064577918/Logo_340_tcm11-225485_normal.jpg" TargetMode="External"/><Relationship Id="rId5676" Type="http://schemas.openxmlformats.org/officeDocument/2006/relationships/hyperlink" Target="https://twitter.com/VWBeetleSales" TargetMode="External"/><Relationship Id="rId17719" Type="http://schemas.openxmlformats.org/officeDocument/2006/relationships/hyperlink" Target="https://twitter.com/VolkswagenPost/status/723819063160369152" TargetMode="External"/><Relationship Id="rId18090" Type="http://schemas.openxmlformats.org/officeDocument/2006/relationships/hyperlink" Target="https://twitter.com/DubLuvTuning" TargetMode="External"/><Relationship Id="rId22486" Type="http://schemas.openxmlformats.org/officeDocument/2006/relationships/hyperlink" Target="https://twitter.com/morewirralcusts/status/724225597925384192" TargetMode="External"/><Relationship Id="rId24935" Type="http://schemas.openxmlformats.org/officeDocument/2006/relationships/hyperlink" Target="https://twitter.com/VWCamperSales" TargetMode="External"/><Relationship Id="rId5329" Type="http://schemas.openxmlformats.org/officeDocument/2006/relationships/hyperlink" Target="https://twitter.com/et_angel/status/723200040345415680" TargetMode="External"/><Relationship Id="rId22139" Type="http://schemas.openxmlformats.org/officeDocument/2006/relationships/hyperlink" Target="https://twitter.com/nicolasnanchen1" TargetMode="External"/><Relationship Id="rId8899" Type="http://schemas.openxmlformats.org/officeDocument/2006/relationships/hyperlink" Target="https://pbs.twimg.com/profile_images/378800000747750946/394d9f0f5e6dde5137683d9c98c5c8a9_normal.jpeg" TargetMode="External"/><Relationship Id="rId11130" Type="http://schemas.openxmlformats.org/officeDocument/2006/relationships/hyperlink" Target="https://twitter.com/beetlebug1938/status/723497938937323520" TargetMode="External"/><Relationship Id="rId16802" Type="http://schemas.openxmlformats.org/officeDocument/2006/relationships/hyperlink" Target="https://pbs.twimg.com/profile_images/439706141728051201/GQgdrA5p_normal.jpeg" TargetMode="External"/><Relationship Id="rId1939" Type="http://schemas.openxmlformats.org/officeDocument/2006/relationships/hyperlink" Target="https://twitter.com/FAZ_Finance/status/723069339881095168" TargetMode="External"/><Relationship Id="rId14353" Type="http://schemas.openxmlformats.org/officeDocument/2006/relationships/hyperlink" Target="https://pbs.twimg.com/profile_images/615649526586703873/vMsQrfJ2_normal.jpg" TargetMode="External"/><Relationship Id="rId4412" Type="http://schemas.openxmlformats.org/officeDocument/2006/relationships/hyperlink" Target="https://twitter.com/dw_wirtschaft" TargetMode="External"/><Relationship Id="rId7982" Type="http://schemas.openxmlformats.org/officeDocument/2006/relationships/hyperlink" Target="https://twitter.com/AdgmanA/status/723347562137280512" TargetMode="External"/><Relationship Id="rId14006" Type="http://schemas.openxmlformats.org/officeDocument/2006/relationships/hyperlink" Target="https://twitter.com/AK75_Andi" TargetMode="External"/><Relationship Id="rId17576" Type="http://schemas.openxmlformats.org/officeDocument/2006/relationships/hyperlink" Target="https://twitter.com/LRDValeting/status/723808253629620225" TargetMode="External"/><Relationship Id="rId21222" Type="http://schemas.openxmlformats.org/officeDocument/2006/relationships/hyperlink" Target="https://pbs.twimg.com/profile_images/682854166298013696/1apuSJ1I_normal.jpg" TargetMode="External"/><Relationship Id="rId24792" Type="http://schemas.openxmlformats.org/officeDocument/2006/relationships/hyperlink" Target="https://twitter.com/VWBeetleSales" TargetMode="External"/><Relationship Id="rId282" Type="http://schemas.openxmlformats.org/officeDocument/2006/relationships/hyperlink" Target="https://pbs.twimg.com/profile_images/530071272881803264/a_jcCmPZ_normal.png" TargetMode="External"/><Relationship Id="rId7635" Type="http://schemas.openxmlformats.org/officeDocument/2006/relationships/hyperlink" Target="https://twitter.com/Dulcerengel" TargetMode="External"/><Relationship Id="rId10963" Type="http://schemas.openxmlformats.org/officeDocument/2006/relationships/hyperlink" Target="https://twitter.com/Uhrus/status/723491731098996736" TargetMode="External"/><Relationship Id="rId17229" Type="http://schemas.openxmlformats.org/officeDocument/2006/relationships/hyperlink" Target="https://twitter.com/AmitBadal/status/723782045919485953" TargetMode="External"/><Relationship Id="rId24445" Type="http://schemas.openxmlformats.org/officeDocument/2006/relationships/hyperlink" Target="https://twitter.com/turnepf/status/724359293366095872" TargetMode="External"/><Relationship Id="rId5186" Type="http://schemas.openxmlformats.org/officeDocument/2006/relationships/hyperlink" Target="https://pbs.twimg.com/profile_images/704424786777280513/YQVkJF57_normal.jpg" TargetMode="External"/><Relationship Id="rId10616" Type="http://schemas.openxmlformats.org/officeDocument/2006/relationships/hyperlink" Target="https://pbs.twimg.com/profile_images/613817532944920576/HqzDszeo_normal.jpg" TargetMode="External"/><Relationship Id="rId13839" Type="http://schemas.openxmlformats.org/officeDocument/2006/relationships/hyperlink" Target="https://twitter.com/panicswitch777" TargetMode="External"/><Relationship Id="rId1449" Type="http://schemas.openxmlformats.org/officeDocument/2006/relationships/hyperlink" Target="https://twitter.com/OnlyFerrariPics/status/723041150316216320" TargetMode="External"/><Relationship Id="rId1796" Type="http://schemas.openxmlformats.org/officeDocument/2006/relationships/hyperlink" Target="https://twitter.com/techhippie/status/723057730890641408" TargetMode="External"/><Relationship Id="rId16312" Type="http://schemas.openxmlformats.org/officeDocument/2006/relationships/hyperlink" Target="https://twitter.com/Scirocco_Tuning" TargetMode="External"/><Relationship Id="rId19882" Type="http://schemas.openxmlformats.org/officeDocument/2006/relationships/hyperlink" Target="https://twitter.com/andym1908" TargetMode="External"/><Relationship Id="rId20708" Type="http://schemas.openxmlformats.org/officeDocument/2006/relationships/hyperlink" Target="https://twitter.com/SrC_WRC" TargetMode="External"/><Relationship Id="rId9941" Type="http://schemas.openxmlformats.org/officeDocument/2006/relationships/hyperlink" Target="https://pbs.twimg.com/profile_images/1200648485/instock_normal.jpg" TargetMode="External"/><Relationship Id="rId12922" Type="http://schemas.openxmlformats.org/officeDocument/2006/relationships/hyperlink" Target="https://twitter.com/TractatusArtium/status/723531445214535681" TargetMode="External"/><Relationship Id="rId19535" Type="http://schemas.openxmlformats.org/officeDocument/2006/relationships/hyperlink" Target="https://twitter.com/VWsightings" TargetMode="External"/><Relationship Id="rId7492" Type="http://schemas.openxmlformats.org/officeDocument/2006/relationships/hyperlink" Target="https://twitter.com/iGSebbattHJ/status/723306379214200832" TargetMode="External"/><Relationship Id="rId10473" Type="http://schemas.openxmlformats.org/officeDocument/2006/relationships/hyperlink" Target="https://twitter.com/Mat_Struwe/status/723474185511657474" TargetMode="External"/><Relationship Id="rId17086" Type="http://schemas.openxmlformats.org/officeDocument/2006/relationships/hyperlink" Target="https://twitter.com/SvOstrow" TargetMode="External"/><Relationship Id="rId7145" Type="http://schemas.openxmlformats.org/officeDocument/2006/relationships/hyperlink" Target="http://t.co/ZKe2B5utKI" TargetMode="External"/><Relationship Id="rId10126" Type="http://schemas.openxmlformats.org/officeDocument/2006/relationships/hyperlink" Target="https://pbs.twimg.com/profile_images/378800000190598515/0ec3ca5a29efb0275fcedc5ecc178493_normal.png" TargetMode="External"/><Relationship Id="rId13696" Type="http://schemas.openxmlformats.org/officeDocument/2006/relationships/hyperlink" Target="https://twitter.com/vagmenhq" TargetMode="External"/><Relationship Id="rId3755" Type="http://schemas.openxmlformats.org/officeDocument/2006/relationships/hyperlink" Target="https://twitter.com/andym1908" TargetMode="External"/><Relationship Id="rId13349" Type="http://schemas.openxmlformats.org/officeDocument/2006/relationships/hyperlink" Target="https://twitter.com/aktuelle_stunde" TargetMode="External"/><Relationship Id="rId20565" Type="http://schemas.openxmlformats.org/officeDocument/2006/relationships/hyperlink" Target="https://twitter.com/andreacora66/status/724009819502424064" TargetMode="External"/><Relationship Id="rId3408" Type="http://schemas.openxmlformats.org/officeDocument/2006/relationships/hyperlink" Target="https://twitter.com/WowbaggerXX7/status/723156818222964736" TargetMode="External"/><Relationship Id="rId20218" Type="http://schemas.openxmlformats.org/officeDocument/2006/relationships/hyperlink" Target="https://twitter.com/AlexisContr10" TargetMode="External"/><Relationship Id="rId6978" Type="http://schemas.openxmlformats.org/officeDocument/2006/relationships/hyperlink" Target="https://twitter.com/CossettoNahu" TargetMode="External"/><Relationship Id="rId19392" Type="http://schemas.openxmlformats.org/officeDocument/2006/relationships/hyperlink" Target="https://twitter.com/Kw0aT" TargetMode="External"/><Relationship Id="rId23788" Type="http://schemas.openxmlformats.org/officeDocument/2006/relationships/hyperlink" Target="https://pbs.twimg.com/profile_images/672878354127839232/M7OYc-zx_normal.jpg" TargetMode="External"/><Relationship Id="rId9104" Type="http://schemas.openxmlformats.org/officeDocument/2006/relationships/hyperlink" Target="https://twitter.com/Autourtiti/status/723421713162113024" TargetMode="External"/><Relationship Id="rId9451" Type="http://schemas.openxmlformats.org/officeDocument/2006/relationships/hyperlink" Target="https://twitter.com/MiManske" TargetMode="External"/><Relationship Id="rId12432" Type="http://schemas.openxmlformats.org/officeDocument/2006/relationships/hyperlink" Target="https://pbs.twimg.com/profile_images/2634940473/7d8ea12c1c843f4e963e4553fbf7d1d8_normal.jpeg" TargetMode="External"/><Relationship Id="rId19045" Type="http://schemas.openxmlformats.org/officeDocument/2006/relationships/hyperlink" Target="https://pbs.twimg.com/profile_images/676465930424082432/zT-RyXf4_normal.jpg" TargetMode="External"/><Relationship Id="rId810" Type="http://schemas.openxmlformats.org/officeDocument/2006/relationships/hyperlink" Target="https://twitter.com/Michael_Vasanth" TargetMode="External"/><Relationship Id="rId15655" Type="http://schemas.openxmlformats.org/officeDocument/2006/relationships/hyperlink" Target="https://pbs.twimg.com/profile_images/722104677656104961/0KuQLGIH_normal.jpg" TargetMode="External"/><Relationship Id="rId22871" Type="http://schemas.openxmlformats.org/officeDocument/2006/relationships/hyperlink" Target="https://twitter.com/CaffeTiraMiSu" TargetMode="External"/><Relationship Id="rId5714" Type="http://schemas.openxmlformats.org/officeDocument/2006/relationships/hyperlink" Target="https://twitter.com/VolkswagenPost" TargetMode="External"/><Relationship Id="rId15308" Type="http://schemas.openxmlformats.org/officeDocument/2006/relationships/hyperlink" Target="https://twitter.com/VWCamperSales/status/723603231696252930" TargetMode="External"/><Relationship Id="rId22524" Type="http://schemas.openxmlformats.org/officeDocument/2006/relationships/hyperlink" Target="https://twitter.com/VWBeetleSales" TargetMode="External"/><Relationship Id="rId3265" Type="http://schemas.openxmlformats.org/officeDocument/2006/relationships/hyperlink" Target="https://pbs.twimg.com/profile_images/722636584831610880/WUR1le85_normal.jpg" TargetMode="External"/><Relationship Id="rId8937" Type="http://schemas.openxmlformats.org/officeDocument/2006/relationships/hyperlink" Target="https://twitter.com/EnergieDevlpmt/status/723412148026646529" TargetMode="External"/><Relationship Id="rId18878" Type="http://schemas.openxmlformats.org/officeDocument/2006/relationships/hyperlink" Target="https://twitter.com/APA_LEMONAID/status/723903075359043584" TargetMode="External"/><Relationship Id="rId20075" Type="http://schemas.openxmlformats.org/officeDocument/2006/relationships/hyperlink" Target="https://twitter.com/50Gny" TargetMode="External"/><Relationship Id="rId25747" Type="http://schemas.openxmlformats.org/officeDocument/2006/relationships/hyperlink" Target="https://twitter.com/JamilMamedov/status/724469835699236865" TargetMode="External"/><Relationship Id="rId6488" Type="http://schemas.openxmlformats.org/officeDocument/2006/relationships/hyperlink" Target="https://pbs.twimg.com/profile_images/477091436634988544/4TdZMAIm_normal.png" TargetMode="External"/><Relationship Id="rId11918" Type="http://schemas.openxmlformats.org/officeDocument/2006/relationships/hyperlink" Target="https://twitter.com/joaopbicho" TargetMode="External"/><Relationship Id="rId23298" Type="http://schemas.openxmlformats.org/officeDocument/2006/relationships/hyperlink" Target="https://pbs.twimg.com/profile_images/615493650785660928/XHUh6HOk_normal.jpg" TargetMode="External"/><Relationship Id="rId17961" Type="http://schemas.openxmlformats.org/officeDocument/2006/relationships/hyperlink" Target="https://twitter.com/Braulio_Urresti/status/723837944033849344" TargetMode="External"/><Relationship Id="rId320" Type="http://schemas.openxmlformats.org/officeDocument/2006/relationships/hyperlink" Target="https://twitter.com/VolkswagenPost/status/722945780827328514" TargetMode="External"/><Relationship Id="rId2001" Type="http://schemas.openxmlformats.org/officeDocument/2006/relationships/hyperlink" Target="https://twitter.com/axelneuhaus" TargetMode="External"/><Relationship Id="rId17614" Type="http://schemas.openxmlformats.org/officeDocument/2006/relationships/hyperlink" Target="https://twitter.com/Racing_Aces" TargetMode="External"/><Relationship Id="rId24830" Type="http://schemas.openxmlformats.org/officeDocument/2006/relationships/hyperlink" Target="https://twitter.com/Ur_marlia/status/724390624254898176" TargetMode="External"/><Relationship Id="rId5571" Type="http://schemas.openxmlformats.org/officeDocument/2006/relationships/hyperlink" Target="https://pbs.twimg.com/profile_images/597164225/Frank_O_Donnell_head_shot__3__normal.jpg" TargetMode="External"/><Relationship Id="rId15165" Type="http://schemas.openxmlformats.org/officeDocument/2006/relationships/hyperlink" Target="https://pbs.twimg.com/profile_images/530071272881803264/a_jcCmPZ_normal.png" TargetMode="External"/><Relationship Id="rId22381" Type="http://schemas.openxmlformats.org/officeDocument/2006/relationships/hyperlink" Target="https://twitter.com/keithpp/status/724220831572873216" TargetMode="External"/><Relationship Id="rId5224" Type="http://schemas.openxmlformats.org/officeDocument/2006/relationships/hyperlink" Target="https://pbs.twimg.com/profile_images/1584218147/dealercoupons.ca_square_logo_normal.jpg" TargetMode="External"/><Relationship Id="rId8794" Type="http://schemas.openxmlformats.org/officeDocument/2006/relationships/hyperlink" Target="https://pbs.twimg.com/profile_images/378800000672586174/96c91a1755d0155d307483d48ec1c301_normal.jpeg" TargetMode="External"/><Relationship Id="rId11775" Type="http://schemas.openxmlformats.org/officeDocument/2006/relationships/hyperlink" Target="https://twitter.com/ZDFhannover/status/723507298912579585" TargetMode="External"/><Relationship Id="rId18388" Type="http://schemas.openxmlformats.org/officeDocument/2006/relationships/hyperlink" Target="https://pbs.twimg.com/profile_images/672878354127839232/M7OYc-zx_normal.jpg" TargetMode="External"/><Relationship Id="rId22034" Type="http://schemas.openxmlformats.org/officeDocument/2006/relationships/hyperlink" Target="http://dlvr.it/" TargetMode="External"/><Relationship Id="rId1834" Type="http://schemas.openxmlformats.org/officeDocument/2006/relationships/hyperlink" Target="https://twitter.com/mvdweyer" TargetMode="External"/><Relationship Id="rId8447" Type="http://schemas.openxmlformats.org/officeDocument/2006/relationships/hyperlink" Target="https://twitter.com/vintagevwdita" TargetMode="External"/><Relationship Id="rId11428" Type="http://schemas.openxmlformats.org/officeDocument/2006/relationships/hyperlink" Target="https://pbs.twimg.com/profile_images/713093865125888000/4e7LoTjO_normal.jpg" TargetMode="External"/><Relationship Id="rId25257" Type="http://schemas.openxmlformats.org/officeDocument/2006/relationships/hyperlink" Target="https://pbs.twimg.com/profile_images/721557150284132352/uKRC8h7s_normal.jpg" TargetMode="External"/><Relationship Id="rId14998" Type="http://schemas.openxmlformats.org/officeDocument/2006/relationships/hyperlink" Target="https://twitter.com/beuc" TargetMode="External"/><Relationship Id="rId19920" Type="http://schemas.openxmlformats.org/officeDocument/2006/relationships/hyperlink" Target="https://pbs.twimg.com/profile_images/629451247087714305/Uq5bS8GX_normal.jpg" TargetMode="External"/><Relationship Id="rId17471" Type="http://schemas.openxmlformats.org/officeDocument/2006/relationships/hyperlink" Target="https://twitter.com/kasperschrijft/status/723800864515862528" TargetMode="External"/><Relationship Id="rId21867" Type="http://schemas.openxmlformats.org/officeDocument/2006/relationships/hyperlink" Target="https://twitter.com/techhippie/status/724186866744958977" TargetMode="External"/><Relationship Id="rId5081" Type="http://schemas.openxmlformats.org/officeDocument/2006/relationships/hyperlink" Target="https://pbs.twimg.com/profile_images/1933484874/Portrait_Sissi_Pitzer_2011_normal.jpg" TargetMode="External"/><Relationship Id="rId7530" Type="http://schemas.openxmlformats.org/officeDocument/2006/relationships/hyperlink" Target="https://twitter.com/11LucasDiaz" TargetMode="External"/><Relationship Id="rId10511" Type="http://schemas.openxmlformats.org/officeDocument/2006/relationships/hyperlink" Target="https://twitter.com/DHZ_Handwerk/status/723475174570491904" TargetMode="External"/><Relationship Id="rId17124" Type="http://schemas.openxmlformats.org/officeDocument/2006/relationships/hyperlink" Target="https://twitter.com/OnlyCarrera/status/723771411312070656" TargetMode="External"/><Relationship Id="rId24340" Type="http://schemas.openxmlformats.org/officeDocument/2006/relationships/hyperlink" Target="https://pbs.twimg.com/profile_images/650680852427468800/3m6-Nu2C_normal.png" TargetMode="External"/><Relationship Id="rId13734" Type="http://schemas.openxmlformats.org/officeDocument/2006/relationships/hyperlink" Target="https://pbs.twimg.com/profile_images/564126176168259584/3fOeBaq-_normal.jpeg" TargetMode="External"/><Relationship Id="rId20950" Type="http://schemas.openxmlformats.org/officeDocument/2006/relationships/hyperlink" Target="https://pbs.twimg.com/profile_images/691736292934184961/CyrC0_Hw_normal.jpg" TargetMode="External"/><Relationship Id="rId1691" Type="http://schemas.openxmlformats.org/officeDocument/2006/relationships/hyperlink" Target="https://twitter.com/CarsNewsTV" TargetMode="External"/><Relationship Id="rId11285" Type="http://schemas.openxmlformats.org/officeDocument/2006/relationships/hyperlink" Target="https://twitter.com/kuerzel_td" TargetMode="External"/><Relationship Id="rId20603" Type="http://schemas.openxmlformats.org/officeDocument/2006/relationships/hyperlink" Target="https://twitter.com/dubbusses/status/724012766785343488" TargetMode="External"/><Relationship Id="rId1344" Type="http://schemas.openxmlformats.org/officeDocument/2006/relationships/hyperlink" Target="https://pbs.twimg.com/profile_images/2161429802/stz_gross_normal.jpg" TargetMode="External"/><Relationship Id="rId16957" Type="http://schemas.openxmlformats.org/officeDocument/2006/relationships/hyperlink" Target="https://twitter.com/goetageblatt" TargetMode="External"/><Relationship Id="rId19430" Type="http://schemas.openxmlformats.org/officeDocument/2006/relationships/hyperlink" Target="https://twitter.com/Mphilpot1/status/723931625768120320" TargetMode="External"/><Relationship Id="rId50" Type="http://schemas.openxmlformats.org/officeDocument/2006/relationships/hyperlink" Target="https://twitter.com/FuscaWorld/status/722921243725443072" TargetMode="External"/><Relationship Id="rId4567" Type="http://schemas.openxmlformats.org/officeDocument/2006/relationships/hyperlink" Target="https://twitter.com/Tonelli22/status/723182620679540736" TargetMode="External"/><Relationship Id="rId21377" Type="http://schemas.openxmlformats.org/officeDocument/2006/relationships/hyperlink" Target="https://twitter.com/sgdigitalpr" TargetMode="External"/><Relationship Id="rId23826" Type="http://schemas.openxmlformats.org/officeDocument/2006/relationships/hyperlink" Target="https://twitter.com/hashtagvanlife" TargetMode="External"/><Relationship Id="rId7040" Type="http://schemas.openxmlformats.org/officeDocument/2006/relationships/hyperlink" Target="https://twitter.com/Kreisblatt/status/723275544775786496" TargetMode="External"/><Relationship Id="rId10021" Type="http://schemas.openxmlformats.org/officeDocument/2006/relationships/hyperlink" Target="https://twitter.com/EIV_Bayreuth" TargetMode="External"/><Relationship Id="rId13591" Type="http://schemas.openxmlformats.org/officeDocument/2006/relationships/hyperlink" Target="https://twitter.com/andreascseh/status/723551565101957123" TargetMode="External"/><Relationship Id="rId3650" Type="http://schemas.openxmlformats.org/officeDocument/2006/relationships/hyperlink" Target="https://pbs.twimg.com/profile_images/507897198911053824/7OqYAonJ_normal.jpeg" TargetMode="External"/><Relationship Id="rId13244" Type="http://schemas.openxmlformats.org/officeDocument/2006/relationships/hyperlink" Target="http://www.infooffensive.de/" TargetMode="External"/><Relationship Id="rId18916" Type="http://schemas.openxmlformats.org/officeDocument/2006/relationships/hyperlink" Target="https://twitter.com/dianaclaire/status/723905650103824384" TargetMode="External"/><Relationship Id="rId20460" Type="http://schemas.openxmlformats.org/officeDocument/2006/relationships/hyperlink" Target="https://twitter.com/Kazimirovic104/status/723999470770372610" TargetMode="External"/><Relationship Id="rId3303" Type="http://schemas.openxmlformats.org/officeDocument/2006/relationships/hyperlink" Target="https://twitter.com/CamiGoyecheaOk" TargetMode="External"/><Relationship Id="rId6873" Type="http://schemas.openxmlformats.org/officeDocument/2006/relationships/hyperlink" Target="https://twitter.com/jallegra" TargetMode="External"/><Relationship Id="rId16467" Type="http://schemas.openxmlformats.org/officeDocument/2006/relationships/hyperlink" Target="https://twitter.com/FuscaWorld/status/723685655298080768" TargetMode="External"/><Relationship Id="rId20113" Type="http://schemas.openxmlformats.org/officeDocument/2006/relationships/hyperlink" Target="https://twitter.com/ErikDurr/status/723976052104675329" TargetMode="External"/><Relationship Id="rId23683" Type="http://schemas.openxmlformats.org/officeDocument/2006/relationships/hyperlink" Target="https://pbs.twimg.com/profile_images/378800000324279257/969738a224b608b0a6a28a59642fe9e1_normal.jpeg" TargetMode="External"/><Relationship Id="rId6526" Type="http://schemas.openxmlformats.org/officeDocument/2006/relationships/hyperlink" Target="https://twitter.com/talk910/status/723245231211053056" TargetMode="External"/><Relationship Id="rId23336" Type="http://schemas.openxmlformats.org/officeDocument/2006/relationships/hyperlink" Target="https://twitter.com/NetzwerkggS21/status/724280672110678018" TargetMode="External"/><Relationship Id="rId4077" Type="http://schemas.openxmlformats.org/officeDocument/2006/relationships/hyperlink" Target="https://pbs.twimg.com/profile_images/721848392230576130/FrhD8kGT_normal.jpg" TargetMode="External"/><Relationship Id="rId9749" Type="http://schemas.openxmlformats.org/officeDocument/2006/relationships/hyperlink" Target="https://twitter.com/handelsblatt/status/723447726164176897" TargetMode="External"/><Relationship Id="rId15550" Type="http://schemas.openxmlformats.org/officeDocument/2006/relationships/hyperlink" Target="https://twitter.com/caroswg" TargetMode="External"/><Relationship Id="rId3160" Type="http://schemas.openxmlformats.org/officeDocument/2006/relationships/hyperlink" Target="https://pbs.twimg.com/profile_images/707556127202881537/wxyyuNEr_normal.jpg" TargetMode="External"/><Relationship Id="rId15203" Type="http://schemas.openxmlformats.org/officeDocument/2006/relationships/hyperlink" Target="https://pbs.twimg.com/profile_images/633033646891372544/JCCEg4t2_normal.jpg" TargetMode="External"/><Relationship Id="rId18773" Type="http://schemas.openxmlformats.org/officeDocument/2006/relationships/hyperlink" Target="https://twitter.com/VWBeetleSales/status/723895340919705600" TargetMode="External"/><Relationship Id="rId8832" Type="http://schemas.openxmlformats.org/officeDocument/2006/relationships/hyperlink" Target="https://twitter.com/iViewing/status/723408703395766272" TargetMode="External"/><Relationship Id="rId11813" Type="http://schemas.openxmlformats.org/officeDocument/2006/relationships/hyperlink" Target="https://twitter.com/Minister_Remmel/status/723507963281977344" TargetMode="External"/><Relationship Id="rId18426" Type="http://schemas.openxmlformats.org/officeDocument/2006/relationships/hyperlink" Target="https://pbs.twimg.com/profile_images/714108792821125120/h6F9y3Al_normal.jpg" TargetMode="External"/><Relationship Id="rId25642" Type="http://schemas.openxmlformats.org/officeDocument/2006/relationships/hyperlink" Target="https://twitter.com/TheRemixStudio/status/724454795751227393" TargetMode="External"/><Relationship Id="rId6036" Type="http://schemas.openxmlformats.org/officeDocument/2006/relationships/hyperlink" Target="https://twitter.com/VWCamperSales" TargetMode="External"/><Relationship Id="rId6383" Type="http://schemas.openxmlformats.org/officeDocument/2006/relationships/hyperlink" Target="https://pbs.twimg.com/profile_images/703294545195307008/qeCvrX86_normal.jpg" TargetMode="External"/><Relationship Id="rId23193" Type="http://schemas.openxmlformats.org/officeDocument/2006/relationships/hyperlink" Target="http://dlvr.it/" TargetMode="External"/><Relationship Id="rId2993" Type="http://schemas.openxmlformats.org/officeDocument/2006/relationships/hyperlink" Target="http://dlvr.it/" TargetMode="External"/><Relationship Id="rId12587" Type="http://schemas.openxmlformats.org/officeDocument/2006/relationships/hyperlink" Target="http://dlvr.it/" TargetMode="External"/><Relationship Id="rId965" Type="http://schemas.openxmlformats.org/officeDocument/2006/relationships/hyperlink" Target="https://twitter.com/davebaxtersa" TargetMode="External"/><Relationship Id="rId2646" Type="http://schemas.openxmlformats.org/officeDocument/2006/relationships/hyperlink" Target="https://twitter.com/NetzwerkggS21" TargetMode="External"/><Relationship Id="rId9259" Type="http://schemas.openxmlformats.org/officeDocument/2006/relationships/hyperlink" Target="https://twitter.com/sciubidu/status/723429022546325504" TargetMode="External"/><Relationship Id="rId15060" Type="http://schemas.openxmlformats.org/officeDocument/2006/relationships/hyperlink" Target="https://twitter.com/ProfJohnix/status/723591498768486400" TargetMode="External"/><Relationship Id="rId21905" Type="http://schemas.openxmlformats.org/officeDocument/2006/relationships/hyperlink" Target="https://twitter.com/VolkswagenCZ/status/724187418174337024" TargetMode="External"/><Relationship Id="rId618" Type="http://schemas.openxmlformats.org/officeDocument/2006/relationships/hyperlink" Target="https://twitter.com/m4ssagepeng" TargetMode="External"/><Relationship Id="rId5869" Type="http://schemas.openxmlformats.org/officeDocument/2006/relationships/hyperlink" Target="https://twitter.com/BaxterVW_LV/status/723220652560257024" TargetMode="External"/><Relationship Id="rId18283" Type="http://schemas.openxmlformats.org/officeDocument/2006/relationships/hyperlink" Target="https://twitter.com/ECC_SouthC" TargetMode="External"/><Relationship Id="rId8342" Type="http://schemas.openxmlformats.org/officeDocument/2006/relationships/hyperlink" Target="https://twitter.com/danjohns88/status/723383795374657536" TargetMode="External"/><Relationship Id="rId11670" Type="http://schemas.openxmlformats.org/officeDocument/2006/relationships/hyperlink" Target="https://twitter.com/NetzwerkggS21" TargetMode="External"/><Relationship Id="rId22679" Type="http://schemas.openxmlformats.org/officeDocument/2006/relationships/hyperlink" Target="https://twitter.com/CoryBarrios/status/724239005966020614" TargetMode="External"/><Relationship Id="rId25152" Type="http://schemas.openxmlformats.org/officeDocument/2006/relationships/hyperlink" Target="https://abs.twimg.com/sticky/default_profile_images/default_profile_0_normal.png" TargetMode="External"/><Relationship Id="rId11323" Type="http://schemas.openxmlformats.org/officeDocument/2006/relationships/hyperlink" Target="https://twitter.com/VWCamperSales/status/723500921980768259" TargetMode="External"/><Relationship Id="rId14893" Type="http://schemas.openxmlformats.org/officeDocument/2006/relationships/hyperlink" Target="https://twitter.com/helensarmstrong/status/723586318354251776" TargetMode="External"/><Relationship Id="rId4952" Type="http://schemas.openxmlformats.org/officeDocument/2006/relationships/hyperlink" Target="https://twitter.com/ronixact" TargetMode="External"/><Relationship Id="rId14546" Type="http://schemas.openxmlformats.org/officeDocument/2006/relationships/hyperlink" Target="https://twitter.com/Addi_Poes/status/723575305634492416" TargetMode="External"/><Relationship Id="rId21762" Type="http://schemas.openxmlformats.org/officeDocument/2006/relationships/hyperlink" Target="https://pbs.twimg.com/profile_images/429873948008796160/hYqNEDSv_normal.png" TargetMode="External"/><Relationship Id="rId4605" Type="http://schemas.openxmlformats.org/officeDocument/2006/relationships/hyperlink" Target="https://twitter.com/JClaesz/status/723183535633235969" TargetMode="External"/><Relationship Id="rId12097" Type="http://schemas.openxmlformats.org/officeDocument/2006/relationships/hyperlink" Target="https://twitter.com/azystone" TargetMode="External"/><Relationship Id="rId17769" Type="http://schemas.openxmlformats.org/officeDocument/2006/relationships/hyperlink" Target="https://twitter.com/richgoodingcom/status/723821804893167620" TargetMode="External"/><Relationship Id="rId21415" Type="http://schemas.openxmlformats.org/officeDocument/2006/relationships/hyperlink" Target="https://pbs.twimg.com/profile_images/474178130312044544/-U2TP65D_normal.png" TargetMode="External"/><Relationship Id="rId24985" Type="http://schemas.openxmlformats.org/officeDocument/2006/relationships/hyperlink" Target="https://twitter.com/SuranClub" TargetMode="External"/><Relationship Id="rId475" Type="http://schemas.openxmlformats.org/officeDocument/2006/relationships/hyperlink" Target="https://pbs.twimg.com/profile_images/540633420636778496/e4HMVsPM_normal.jpeg" TargetMode="External"/><Relationship Id="rId2156" Type="http://schemas.openxmlformats.org/officeDocument/2006/relationships/hyperlink" Target="https://twitter.com/ErnstNordholt/status/723084663229575168" TargetMode="External"/><Relationship Id="rId7828" Type="http://schemas.openxmlformats.org/officeDocument/2006/relationships/hyperlink" Target="https://twitter.com/oldcar_photo" TargetMode="External"/><Relationship Id="rId24638" Type="http://schemas.openxmlformats.org/officeDocument/2006/relationships/hyperlink" Target="https://twitter.com/dejbanlaw/status/724381698968809474" TargetMode="External"/><Relationship Id="rId128" Type="http://schemas.openxmlformats.org/officeDocument/2006/relationships/hyperlink" Target="https://pbs.twimg.com/profile_images/708651707534745600/qkQs_f1L_normal.jpg" TargetMode="External"/><Relationship Id="rId5379" Type="http://schemas.openxmlformats.org/officeDocument/2006/relationships/hyperlink" Target="https://pbs.twimg.com/profile_images/651206534425280518/pG33UzgX_normal.png" TargetMode="External"/><Relationship Id="rId10809" Type="http://schemas.openxmlformats.org/officeDocument/2006/relationships/hyperlink" Target="https://twitter.com/deutch_az/status/723485567116259329" TargetMode="External"/><Relationship Id="rId11180" Type="http://schemas.openxmlformats.org/officeDocument/2006/relationships/hyperlink" Target="https://pbs.twimg.com/profile_images/2598553252/qoojuj09m53kdh24r09y_normal.jpeg" TargetMode="External"/><Relationship Id="rId22189" Type="http://schemas.openxmlformats.org/officeDocument/2006/relationships/hyperlink" Target="https://pbs.twimg.com/profile_images/718820712757215233/LXXndPTS_normal.jpg" TargetMode="External"/><Relationship Id="rId16852" Type="http://schemas.openxmlformats.org/officeDocument/2006/relationships/hyperlink" Target="https://twitter.com/CFPhotography1/status/723742841856495616" TargetMode="External"/><Relationship Id="rId1989" Type="http://schemas.openxmlformats.org/officeDocument/2006/relationships/hyperlink" Target="https://twitter.com/Emission_Claims" TargetMode="External"/><Relationship Id="rId6911" Type="http://schemas.openxmlformats.org/officeDocument/2006/relationships/hyperlink" Target="https://pbs.twimg.com/profile_images/576461773282238464/yardQFwS_normal.jpeg" TargetMode="External"/><Relationship Id="rId16505" Type="http://schemas.openxmlformats.org/officeDocument/2006/relationships/hyperlink" Target="https://pbs.twimg.com/profile_images/553582082568364032/7ORuzIIY_normal.jpeg" TargetMode="External"/><Relationship Id="rId23721" Type="http://schemas.openxmlformats.org/officeDocument/2006/relationships/hyperlink" Target="https://twitter.com/dubbusses/status/724306867317514241" TargetMode="External"/><Relationship Id="rId4462" Type="http://schemas.openxmlformats.org/officeDocument/2006/relationships/hyperlink" Target="https://twitter.com/rbpr/status/723181370411884545" TargetMode="External"/><Relationship Id="rId14056" Type="http://schemas.openxmlformats.org/officeDocument/2006/relationships/hyperlink" Target="https://twitter.com/paulvkessel/status/723562780381614080" TargetMode="External"/><Relationship Id="rId19728" Type="http://schemas.openxmlformats.org/officeDocument/2006/relationships/hyperlink" Target="https://twitter.com/VWBeetleSales/status/723950714834182145" TargetMode="External"/><Relationship Id="rId21272" Type="http://schemas.openxmlformats.org/officeDocument/2006/relationships/hyperlink" Target="https://twitter.com/dubbusses" TargetMode="External"/><Relationship Id="rId4115" Type="http://schemas.openxmlformats.org/officeDocument/2006/relationships/hyperlink" Target="https://twitter.com/GavinoGaray/status/723176749933023232" TargetMode="External"/><Relationship Id="rId7685" Type="http://schemas.openxmlformats.org/officeDocument/2006/relationships/hyperlink" Target="https://twitter.com/OnlineCarReview/status/723323727811727360" TargetMode="External"/><Relationship Id="rId10666" Type="http://schemas.openxmlformats.org/officeDocument/2006/relationships/hyperlink" Target="https://pbs.twimg.com/profile_images/477119238809743360/lPTKpsdU_normal.jpeg" TargetMode="External"/><Relationship Id="rId17279" Type="http://schemas.openxmlformats.org/officeDocument/2006/relationships/hyperlink" Target="https://twitter.com/Sufiy/status/723786982405603328" TargetMode="External"/><Relationship Id="rId24495" Type="http://schemas.openxmlformats.org/officeDocument/2006/relationships/hyperlink" Target="https://twitter.com/OnlineCarReview" TargetMode="External"/><Relationship Id="rId7338" Type="http://schemas.openxmlformats.org/officeDocument/2006/relationships/hyperlink" Target="https://twitter.com/raochoa1974" TargetMode="External"/><Relationship Id="rId10319" Type="http://schemas.openxmlformats.org/officeDocument/2006/relationships/hyperlink" Target="https://twitter.com/lars_scho" TargetMode="External"/><Relationship Id="rId24148" Type="http://schemas.openxmlformats.org/officeDocument/2006/relationships/hyperlink" Target="https://twitter.com/VWCamperSales" TargetMode="External"/><Relationship Id="rId3948" Type="http://schemas.openxmlformats.org/officeDocument/2006/relationships/hyperlink" Target="https://twitter.com/YorkieAH" TargetMode="External"/><Relationship Id="rId13889" Type="http://schemas.openxmlformats.org/officeDocument/2006/relationships/hyperlink" Target="https://pbs.twimg.com/profile_images/672153171607744512/19k3O2VA_normal.png" TargetMode="External"/><Relationship Id="rId16362" Type="http://schemas.openxmlformats.org/officeDocument/2006/relationships/hyperlink" Target="https://pbs.twimg.com/profile_images/539549629847584769/3to5Was6_normal.png" TargetMode="External"/><Relationship Id="rId18811" Type="http://schemas.openxmlformats.org/officeDocument/2006/relationships/hyperlink" Target="https://abs.twimg.com/sticky/default_profile_images/default_profile_5_normal.png" TargetMode="External"/><Relationship Id="rId1499" Type="http://schemas.openxmlformats.org/officeDocument/2006/relationships/hyperlink" Target="https://pbs.twimg.com/profile_images/652191269934993408/5bZKOI8y_normal.jpg" TargetMode="External"/><Relationship Id="rId6421" Type="http://schemas.openxmlformats.org/officeDocument/2006/relationships/hyperlink" Target="https://twitter.com/Insta_VWT" TargetMode="External"/><Relationship Id="rId16015" Type="http://schemas.openxmlformats.org/officeDocument/2006/relationships/hyperlink" Target="https://pbs.twimg.com/profile_images/639370047413207040/EBpQjmXr_normal.jpg" TargetMode="External"/><Relationship Id="rId20758" Type="http://schemas.openxmlformats.org/officeDocument/2006/relationships/hyperlink" Target="https://pbs.twimg.com/profile_images/652593086124527616/onf0J8iL_normal.png" TargetMode="External"/><Relationship Id="rId23231" Type="http://schemas.openxmlformats.org/officeDocument/2006/relationships/hyperlink" Target="https://twitter.com/VWCamperSales/status/724274596770287616" TargetMode="External"/><Relationship Id="rId9991" Type="http://schemas.openxmlformats.org/officeDocument/2006/relationships/hyperlink" Target="https://twitter.com/DCarrionF" TargetMode="External"/><Relationship Id="rId12972" Type="http://schemas.openxmlformats.org/officeDocument/2006/relationships/hyperlink" Target="https://twitter.com/Marco_Cerdio" TargetMode="External"/><Relationship Id="rId19585" Type="http://schemas.openxmlformats.org/officeDocument/2006/relationships/hyperlink" Target="https://pbs.twimg.com/profile_images/530071272881803264/a_jcCmPZ_normal.png" TargetMode="External"/><Relationship Id="rId7195" Type="http://schemas.openxmlformats.org/officeDocument/2006/relationships/hyperlink" Target="https://twitter.com/kngeuro" TargetMode="External"/><Relationship Id="rId9644" Type="http://schemas.openxmlformats.org/officeDocument/2006/relationships/hyperlink" Target="https://pbs.twimg.com/profile_images/463897635380682753/ZLmcIFL2_normal.png" TargetMode="External"/><Relationship Id="rId12625" Type="http://schemas.openxmlformats.org/officeDocument/2006/relationships/hyperlink" Target="https://pbs.twimg.com/profile_images/572482317193474048/RjdWJzV5_normal.png" TargetMode="External"/><Relationship Id="rId19238" Type="http://schemas.openxmlformats.org/officeDocument/2006/relationships/hyperlink" Target="https://pbs.twimg.com/profile_images/697165847840698370/-u-vLqUa_normal.jpg" TargetMode="External"/><Relationship Id="rId10176" Type="http://schemas.openxmlformats.org/officeDocument/2006/relationships/hyperlink" Target="https://pbs.twimg.com/profile_images/488939589520740353/HVTIWICi_normal.jpeg" TargetMode="External"/><Relationship Id="rId15848" Type="http://schemas.openxmlformats.org/officeDocument/2006/relationships/hyperlink" Target="https://twitter.com/beetlebug1938" TargetMode="External"/><Relationship Id="rId5907" Type="http://schemas.openxmlformats.org/officeDocument/2006/relationships/hyperlink" Target="https://pbs.twimg.com/profile_images/3537672406/190f79c88052bd5078e91796fd0fffe1_normal.jpeg" TargetMode="External"/><Relationship Id="rId13399" Type="http://schemas.openxmlformats.org/officeDocument/2006/relationships/hyperlink" Target="https://pbs.twimg.com/profile_images/686568020286648320/u_Il9e0m_normal.jpg" TargetMode="External"/><Relationship Id="rId18321" Type="http://schemas.openxmlformats.org/officeDocument/2006/relationships/hyperlink" Target="https://pbs.twimg.com/profile_images/595593595459137536/bMPN9gqV_normal.jpg" TargetMode="External"/><Relationship Id="rId22717" Type="http://schemas.openxmlformats.org/officeDocument/2006/relationships/hyperlink" Target="https://twitter.com/TommyWolff/status/724240967948075009" TargetMode="External"/><Relationship Id="rId3458" Type="http://schemas.openxmlformats.org/officeDocument/2006/relationships/hyperlink" Target="https://pbs.twimg.com/profile_images/667101652479029249/acksmKgE_normal.png" TargetMode="External"/><Relationship Id="rId20268" Type="http://schemas.openxmlformats.org/officeDocument/2006/relationships/hyperlink" Target="https://pbs.twimg.com/profile_images/672878354127839232/M7OYc-zx_normal.jpg" TargetMode="External"/><Relationship Id="rId14931" Type="http://schemas.openxmlformats.org/officeDocument/2006/relationships/hyperlink" Target="http://dlvr.it/" TargetMode="External"/><Relationship Id="rId19095" Type="http://schemas.openxmlformats.org/officeDocument/2006/relationships/hyperlink" Target="http://linkis.com/" TargetMode="External"/><Relationship Id="rId9154" Type="http://schemas.openxmlformats.org/officeDocument/2006/relationships/hyperlink" Target="https://twitter.com/NegroAutomobili/status/723422182857023488" TargetMode="External"/><Relationship Id="rId12482" Type="http://schemas.openxmlformats.org/officeDocument/2006/relationships/hyperlink" Target="https://twitter.com/xox0291/status/723520524190507009" TargetMode="External"/><Relationship Id="rId21800" Type="http://schemas.openxmlformats.org/officeDocument/2006/relationships/hyperlink" Target="https://twitter.com/dubbusses/status/724179107689406464" TargetMode="External"/><Relationship Id="rId860" Type="http://schemas.openxmlformats.org/officeDocument/2006/relationships/hyperlink" Target="https://twitter.com/mnyabere/status/722994289353981953" TargetMode="External"/><Relationship Id="rId2541" Type="http://schemas.openxmlformats.org/officeDocument/2006/relationships/hyperlink" Target="https://pbs.twimg.com/profile_images/558298291985608704/57n8APEK_normal.jpeg" TargetMode="External"/><Relationship Id="rId12135" Type="http://schemas.openxmlformats.org/officeDocument/2006/relationships/hyperlink" Target="https://twitter.com/BR24" TargetMode="External"/><Relationship Id="rId17807" Type="http://schemas.openxmlformats.org/officeDocument/2006/relationships/hyperlink" Target="https://twitter.com/bryanRis" TargetMode="External"/><Relationship Id="rId513" Type="http://schemas.openxmlformats.org/officeDocument/2006/relationships/hyperlink" Target="https://twitter.com/sateibank" TargetMode="External"/><Relationship Id="rId5764" Type="http://schemas.openxmlformats.org/officeDocument/2006/relationships/hyperlink" Target="https://pbs.twimg.com/profile_images/530071272881803264/a_jcCmPZ_normal.png" TargetMode="External"/><Relationship Id="rId15358" Type="http://schemas.openxmlformats.org/officeDocument/2006/relationships/hyperlink" Target="https://twitter.com/SuranClub/status/723604746246848513" TargetMode="External"/><Relationship Id="rId22574" Type="http://schemas.openxmlformats.org/officeDocument/2006/relationships/hyperlink" Target="http://dlvr.it/" TargetMode="External"/><Relationship Id="rId5417" Type="http://schemas.openxmlformats.org/officeDocument/2006/relationships/hyperlink" Target="https://pbs.twimg.com/profile_images/627949001179037696/skEBkS05_normal.jpg" TargetMode="External"/><Relationship Id="rId8987" Type="http://schemas.openxmlformats.org/officeDocument/2006/relationships/hyperlink" Target="https://twitter.com/beetlebug1938" TargetMode="External"/><Relationship Id="rId22227" Type="http://schemas.openxmlformats.org/officeDocument/2006/relationships/hyperlink" Target="https://pbs.twimg.com/profile_images/697021927953719296/tTyDaZfQ_normal.png" TargetMode="External"/><Relationship Id="rId11968" Type="http://schemas.openxmlformats.org/officeDocument/2006/relationships/hyperlink" Target="http://finanzmarktwelt.de/" TargetMode="External"/><Relationship Id="rId14441" Type="http://schemas.openxmlformats.org/officeDocument/2006/relationships/hyperlink" Target="https://pbs.twimg.com/profile_images/717522214258663426/_jvM6g7j_normal.jpg" TargetMode="External"/><Relationship Id="rId4500" Type="http://schemas.openxmlformats.org/officeDocument/2006/relationships/hyperlink" Target="https://twitter.com/EinsteinLaw" TargetMode="External"/><Relationship Id="rId21310" Type="http://schemas.openxmlformats.org/officeDocument/2006/relationships/hyperlink" Target="https://pbs.twimg.com/profile_images/689180646653202432/IDgTGC30_normal.jpg" TargetMode="External"/><Relationship Id="rId370" Type="http://schemas.openxmlformats.org/officeDocument/2006/relationships/hyperlink" Target="https://pbs.twimg.com/profile_images/707665258375221248/5ouE9r6w_normal.jpg" TargetMode="External"/><Relationship Id="rId2051" Type="http://schemas.openxmlformats.org/officeDocument/2006/relationships/hyperlink" Target="https://twitter.com/presroi" TargetMode="External"/><Relationship Id="rId17664" Type="http://schemas.openxmlformats.org/officeDocument/2006/relationships/hyperlink" Target="https://twitter.com/JustitiaAbusi" TargetMode="External"/><Relationship Id="rId24880" Type="http://schemas.openxmlformats.org/officeDocument/2006/relationships/hyperlink" Target="http://dlvr.it/" TargetMode="External"/><Relationship Id="rId5274" Type="http://schemas.openxmlformats.org/officeDocument/2006/relationships/hyperlink" Target="https://twitter.com/vapinggeekgirl" TargetMode="External"/><Relationship Id="rId7723" Type="http://schemas.openxmlformats.org/officeDocument/2006/relationships/hyperlink" Target="https://pbs.twimg.com/profile_images/721510431978729472/DHrfLwEE_normal.jpg" TargetMode="External"/><Relationship Id="rId10704" Type="http://schemas.openxmlformats.org/officeDocument/2006/relationships/hyperlink" Target="https://twitter.com/GACCColorado/status/723481481125965826" TargetMode="External"/><Relationship Id="rId17317" Type="http://schemas.openxmlformats.org/officeDocument/2006/relationships/hyperlink" Target="https://twitter.com/CastleCoastCamp" TargetMode="External"/><Relationship Id="rId22084" Type="http://schemas.openxmlformats.org/officeDocument/2006/relationships/hyperlink" Target="https://pbs.twimg.com/profile_images/543503900939014144/cn60bbIx_normal.jpeg" TargetMode="External"/><Relationship Id="rId24533" Type="http://schemas.openxmlformats.org/officeDocument/2006/relationships/hyperlink" Target="https://pbs.twimg.com/profile_images/718835727027580928/1ssyQ67y_normal.jpg" TargetMode="External"/><Relationship Id="rId13927" Type="http://schemas.openxmlformats.org/officeDocument/2006/relationships/hyperlink" Target="https://twitter.com/MonteZuba/status/723559020984950784" TargetMode="External"/><Relationship Id="rId1884" Type="http://schemas.openxmlformats.org/officeDocument/2006/relationships/hyperlink" Target="https://pbs.twimg.com/profile_images/2346135175/qykofyyqb1o1mchiek3d_normal.jpeg" TargetMode="External"/><Relationship Id="rId8497" Type="http://schemas.openxmlformats.org/officeDocument/2006/relationships/hyperlink" Target="https://twitter.com/vwdepo/status/723390984990560257" TargetMode="External"/><Relationship Id="rId11478" Type="http://schemas.openxmlformats.org/officeDocument/2006/relationships/hyperlink" Target="https://pbs.twimg.com/profile_images/3405799394/86d435069a7a58cd7dd0751b0a8c98a5_normal.jpeg" TargetMode="External"/><Relationship Id="rId16400" Type="http://schemas.openxmlformats.org/officeDocument/2006/relationships/hyperlink" Target="https://twitter.com/robertmarere/status/723679343021531136" TargetMode="External"/><Relationship Id="rId1537" Type="http://schemas.openxmlformats.org/officeDocument/2006/relationships/hyperlink" Target="https://pbs.twimg.com/profile_images/1348837821/IvoMechels03_normal.jpg" TargetMode="External"/><Relationship Id="rId19970" Type="http://schemas.openxmlformats.org/officeDocument/2006/relationships/hyperlink" Target="https://twitter.com/bneilbel/status/723965421750243332" TargetMode="External"/><Relationship Id="rId4010" Type="http://schemas.openxmlformats.org/officeDocument/2006/relationships/hyperlink" Target="https://twitter.com/MPrez76/status/723174637732016128" TargetMode="External"/><Relationship Id="rId7580" Type="http://schemas.openxmlformats.org/officeDocument/2006/relationships/hyperlink" Target="https://twitter.com/kngeuro/status/723315401963102208" TargetMode="External"/><Relationship Id="rId17174" Type="http://schemas.openxmlformats.org/officeDocument/2006/relationships/hyperlink" Target="https://twitter.com/Insta_VWT/status/723775769701408768" TargetMode="External"/><Relationship Id="rId19623" Type="http://schemas.openxmlformats.org/officeDocument/2006/relationships/hyperlink" Target="https://twitter.com/TheHippieVanMan" TargetMode="External"/><Relationship Id="rId24390" Type="http://schemas.openxmlformats.org/officeDocument/2006/relationships/hyperlink" Target="https://twitter.com/VWCamperSales/status/724353619324067840" TargetMode="External"/><Relationship Id="rId7233" Type="http://schemas.openxmlformats.org/officeDocument/2006/relationships/hyperlink" Target="https://twitter.com/isazozoaga/status/723288057638584322" TargetMode="External"/><Relationship Id="rId10561" Type="http://schemas.openxmlformats.org/officeDocument/2006/relationships/hyperlink" Target="https://twitter.com/ColourCr/status/723476991282937856" TargetMode="External"/><Relationship Id="rId24043" Type="http://schemas.openxmlformats.org/officeDocument/2006/relationships/hyperlink" Target="https://twitter.com/VWCamperSales/status/724328200306708486" TargetMode="External"/><Relationship Id="rId10214" Type="http://schemas.openxmlformats.org/officeDocument/2006/relationships/hyperlink" Target="https://twitter.com/chri_koe/status/723466113095442432" TargetMode="External"/><Relationship Id="rId13784" Type="http://schemas.openxmlformats.org/officeDocument/2006/relationships/hyperlink" Target="https://twitter.com/danielcuervo/status/723556077028163585" TargetMode="External"/><Relationship Id="rId3843" Type="http://schemas.openxmlformats.org/officeDocument/2006/relationships/hyperlink" Target="https://twitter.com/DasRechtsportal/status/723170629759836160" TargetMode="External"/><Relationship Id="rId13437" Type="http://schemas.openxmlformats.org/officeDocument/2006/relationships/hyperlink" Target="https://pbs.twimg.com/profile_images/2807357036/4f9efa6b869ec08e89b70ba39d2c8e18_normal.jpeg" TargetMode="External"/><Relationship Id="rId20653" Type="http://schemas.openxmlformats.org/officeDocument/2006/relationships/hyperlink" Target="https://pbs.twimg.com/profile_images/722242822301159424/nrziq21L_normal.jpg" TargetMode="External"/><Relationship Id="rId1394" Type="http://schemas.openxmlformats.org/officeDocument/2006/relationships/hyperlink" Target="https://twitter.com/mvdweyer" TargetMode="External"/><Relationship Id="rId19480" Type="http://schemas.openxmlformats.org/officeDocument/2006/relationships/hyperlink" Target="http://dlvr.it/" TargetMode="External"/><Relationship Id="rId20306" Type="http://schemas.openxmlformats.org/officeDocument/2006/relationships/hyperlink" Target="https://twitter.com/wilwardle" TargetMode="External"/><Relationship Id="rId23876" Type="http://schemas.openxmlformats.org/officeDocument/2006/relationships/hyperlink" Target="https://pbs.twimg.com/profile_images/511618472971730944/Kvi3OOwG_normal.jpeg" TargetMode="External"/><Relationship Id="rId1047" Type="http://schemas.openxmlformats.org/officeDocument/2006/relationships/hyperlink" Target="https://twitter.com/vaughn_bill" TargetMode="External"/><Relationship Id="rId6719" Type="http://schemas.openxmlformats.org/officeDocument/2006/relationships/hyperlink" Target="https://pbs.twimg.com/profile_images/520242051342811136/eehjHMLz_normal.jpeg" TargetMode="External"/><Relationship Id="rId12520" Type="http://schemas.openxmlformats.org/officeDocument/2006/relationships/hyperlink" Target="https://twitter.com/RacingPuma" TargetMode="External"/><Relationship Id="rId19133" Type="http://schemas.openxmlformats.org/officeDocument/2006/relationships/hyperlink" Target="https://pbs.twimg.com/profile_images/644897595442241536/62y226Ai_normal.jpg" TargetMode="External"/><Relationship Id="rId23529" Type="http://schemas.openxmlformats.org/officeDocument/2006/relationships/hyperlink" Target="https://twitter.com/Sebodacious/status/724296207162548224" TargetMode="External"/><Relationship Id="rId7090" Type="http://schemas.openxmlformats.org/officeDocument/2006/relationships/hyperlink" Target="https://twitter.com/deanomsport/status/723277969226129409" TargetMode="External"/><Relationship Id="rId10071" Type="http://schemas.openxmlformats.org/officeDocument/2006/relationships/hyperlink" Target="https://pbs.twimg.com/profile_images/555342220551663616/Pm-FgpvF_normal.png" TargetMode="External"/><Relationship Id="rId13294" Type="http://schemas.openxmlformats.org/officeDocument/2006/relationships/hyperlink" Target="https://pbs.twimg.com/profile_images/721449536795840512/vY3zlT7W_normal.jpg" TargetMode="External"/><Relationship Id="rId15743" Type="http://schemas.openxmlformats.org/officeDocument/2006/relationships/hyperlink" Target="https://pbs.twimg.com/profile_images/652938947216191488/cqnXokBS_normal.jpg" TargetMode="External"/><Relationship Id="rId3353" Type="http://schemas.openxmlformats.org/officeDocument/2006/relationships/hyperlink" Target="https://twitter.com/cashlos_Rosales/status/723153138518085634" TargetMode="External"/><Relationship Id="rId5802" Type="http://schemas.openxmlformats.org/officeDocument/2006/relationships/hyperlink" Target="https://twitter.com/NADAUpdate" TargetMode="External"/><Relationship Id="rId18966" Type="http://schemas.openxmlformats.org/officeDocument/2006/relationships/hyperlink" Target="https://twitter.com/BoxesRadio" TargetMode="External"/><Relationship Id="rId20163" Type="http://schemas.openxmlformats.org/officeDocument/2006/relationships/hyperlink" Target="https://pbs.twimg.com/profile_images/567734231561166849/UpmaHk-K_normal.jpeg" TargetMode="External"/><Relationship Id="rId22612" Type="http://schemas.openxmlformats.org/officeDocument/2006/relationships/hyperlink" Target="https://twitter.com/caryelluk/status/724234648155381760" TargetMode="External"/><Relationship Id="rId3006" Type="http://schemas.openxmlformats.org/officeDocument/2006/relationships/hyperlink" Target="https://twitter.com/VWBeetleSales/status/723132074983444480" TargetMode="External"/><Relationship Id="rId18619" Type="http://schemas.openxmlformats.org/officeDocument/2006/relationships/hyperlink" Target="https://pbs.twimg.com/profile_images/423811151109976064/7Vsor0Pi_normal.png" TargetMode="External"/><Relationship Id="rId6576" Type="http://schemas.openxmlformats.org/officeDocument/2006/relationships/hyperlink" Target="https://twitter.com/BeginTry/status/723246940763394048" TargetMode="External"/><Relationship Id="rId23386" Type="http://schemas.openxmlformats.org/officeDocument/2006/relationships/hyperlink" Target="http://dlvr.it/" TargetMode="External"/><Relationship Id="rId6229" Type="http://schemas.openxmlformats.org/officeDocument/2006/relationships/hyperlink" Target="https://twitter.com/VWShawty/status/723235903750070272" TargetMode="External"/><Relationship Id="rId9799" Type="http://schemas.openxmlformats.org/officeDocument/2006/relationships/hyperlink" Target="http://dlvr.it/" TargetMode="External"/><Relationship Id="rId12030" Type="http://schemas.openxmlformats.org/officeDocument/2006/relationships/hyperlink" Target="https://pbs.twimg.com/profile_images/378800000747750946/394d9f0f5e6dde5137683d9c98c5c8a9_normal.jpeg" TargetMode="External"/><Relationship Id="rId23039" Type="http://schemas.openxmlformats.org/officeDocument/2006/relationships/hyperlink" Target="https://pbs.twimg.com/profile_images/703294545195307008/qeCvrX86_normal.jpg" TargetMode="External"/><Relationship Id="rId2839" Type="http://schemas.openxmlformats.org/officeDocument/2006/relationships/hyperlink" Target="https://twitter.com/CordwallisGroup/status/723121607783272449" TargetMode="External"/><Relationship Id="rId15253" Type="http://schemas.openxmlformats.org/officeDocument/2006/relationships/hyperlink" Target="https://twitter.com/splittywedding/status/723601030433353728" TargetMode="External"/><Relationship Id="rId17702" Type="http://schemas.openxmlformats.org/officeDocument/2006/relationships/hyperlink" Target="https://pbs.twimg.com/profile_images/3518949462/7aeba110699c42ab49154931fc3b3e93_normal.jpeg" TargetMode="External"/><Relationship Id="rId5312" Type="http://schemas.openxmlformats.org/officeDocument/2006/relationships/hyperlink" Target="https://pbs.twimg.com/profile_images/693447250224087040/au64Cdjo_normal.jpg" TargetMode="External"/><Relationship Id="rId22122" Type="http://schemas.openxmlformats.org/officeDocument/2006/relationships/hyperlink" Target="https://twitter.com/HHMNE/status/724201930923380736" TargetMode="External"/><Relationship Id="rId8535" Type="http://schemas.openxmlformats.org/officeDocument/2006/relationships/hyperlink" Target="https://pbs.twimg.com/profile_images/1914014310/Logo_normal.jpg" TargetMode="External"/><Relationship Id="rId8882" Type="http://schemas.openxmlformats.org/officeDocument/2006/relationships/hyperlink" Target="https://twitter.com/EsterDiazCortes" TargetMode="External"/><Relationship Id="rId11863" Type="http://schemas.openxmlformats.org/officeDocument/2006/relationships/hyperlink" Target="https://pbs.twimg.com/profile_images/292857657/GreenGrowth_normal.jpg" TargetMode="External"/><Relationship Id="rId18476" Type="http://schemas.openxmlformats.org/officeDocument/2006/relationships/hyperlink" Target="https://pbs.twimg.com/profile_images/627949001179037696/skEBkS05_normal.jpg" TargetMode="External"/><Relationship Id="rId25692" Type="http://schemas.openxmlformats.org/officeDocument/2006/relationships/hyperlink" Target="https://twitter.com/Vital_Hydro" TargetMode="External"/><Relationship Id="rId1922" Type="http://schemas.openxmlformats.org/officeDocument/2006/relationships/hyperlink" Target="https://twitter.com/VolkswagenPost" TargetMode="External"/><Relationship Id="rId6086" Type="http://schemas.openxmlformats.org/officeDocument/2006/relationships/hyperlink" Target="https://twitter.com/VWCamperSales/status/723229750563463170" TargetMode="External"/><Relationship Id="rId11516" Type="http://schemas.openxmlformats.org/officeDocument/2006/relationships/hyperlink" Target="https://twitter.com/BREAKING_EIL/status/723503142701260801" TargetMode="External"/><Relationship Id="rId18129" Type="http://schemas.openxmlformats.org/officeDocument/2006/relationships/hyperlink" Target="https://twitter.com/FuscaWorld" TargetMode="External"/><Relationship Id="rId25345" Type="http://schemas.openxmlformats.org/officeDocument/2006/relationships/hyperlink" Target="https://twitter.com/Casperventer/status/724432164507385856" TargetMode="External"/><Relationship Id="rId14739" Type="http://schemas.openxmlformats.org/officeDocument/2006/relationships/hyperlink" Target="https://pbs.twimg.com/profile_images/3503160267/b8e1e70e006fa9b9e777b8f236d61c3d_normal.jpeg" TargetMode="External"/><Relationship Id="rId21955" Type="http://schemas.openxmlformats.org/officeDocument/2006/relationships/hyperlink" Target="https://pbs.twimg.com/profile_images/378800000673633859/9729e4c280465095c6f835c9f6b36378_normal.jpeg" TargetMode="External"/><Relationship Id="rId2696" Type="http://schemas.openxmlformats.org/officeDocument/2006/relationships/hyperlink" Target="https://twitter.com/therealautoblog/status/723113816813408256" TargetMode="External"/><Relationship Id="rId17212" Type="http://schemas.openxmlformats.org/officeDocument/2006/relationships/hyperlink" Target="https://pbs.twimg.com/profile_images/683456597855698946/1JvQCYTP_normal.jpg" TargetMode="External"/><Relationship Id="rId21608" Type="http://schemas.openxmlformats.org/officeDocument/2006/relationships/hyperlink" Target="https://twitter.com/VWBeetleSales/status/724163490890424320" TargetMode="External"/><Relationship Id="rId668" Type="http://schemas.openxmlformats.org/officeDocument/2006/relationships/hyperlink" Target="https://pbs.twimg.com/profile_images/594587097240973312/P8uIFMEX_normal.jpg" TargetMode="External"/><Relationship Id="rId2349" Type="http://schemas.openxmlformats.org/officeDocument/2006/relationships/hyperlink" Target="https://twitter.com/DoMarMac" TargetMode="External"/><Relationship Id="rId8392" Type="http://schemas.openxmlformats.org/officeDocument/2006/relationships/hyperlink" Target="https://twitter.com/JanRH86" TargetMode="External"/><Relationship Id="rId11373" Type="http://schemas.openxmlformats.org/officeDocument/2006/relationships/hyperlink" Target="https://pbs.twimg.com/profile_images/701785142256250881/I0BGOKBz_normal.png" TargetMode="External"/><Relationship Id="rId13822" Type="http://schemas.openxmlformats.org/officeDocument/2006/relationships/hyperlink" Target="https://twitter.com/alsopi1/status/723556914492223488" TargetMode="External"/><Relationship Id="rId1432" Type="http://schemas.openxmlformats.org/officeDocument/2006/relationships/hyperlink" Target="https://pbs.twimg.com/profile_images/3228351590/aadb36f2b020cc27adac139aac4a5663_normal.jpeg" TargetMode="External"/><Relationship Id="rId8045" Type="http://schemas.openxmlformats.org/officeDocument/2006/relationships/hyperlink" Target="https://twitter.com/ruloaldave" TargetMode="External"/><Relationship Id="rId11026" Type="http://schemas.openxmlformats.org/officeDocument/2006/relationships/hyperlink" Target="https://twitter.com/3dwheelcustoms" TargetMode="External"/><Relationship Id="rId14596" Type="http://schemas.openxmlformats.org/officeDocument/2006/relationships/hyperlink" Target="https://twitter.com/vwdepo/status/723576405645205504" TargetMode="External"/><Relationship Id="rId23914" Type="http://schemas.openxmlformats.org/officeDocument/2006/relationships/hyperlink" Target="https://pbs.twimg.com/profile_images/254756335/Head_normal.jpg" TargetMode="External"/><Relationship Id="rId4655" Type="http://schemas.openxmlformats.org/officeDocument/2006/relationships/hyperlink" Target="https://twitter.com/SantaPodRaceway/status/723184366914965509" TargetMode="External"/><Relationship Id="rId14249" Type="http://schemas.openxmlformats.org/officeDocument/2006/relationships/hyperlink" Target="https://twitter.com/LuuuuuuuuVega/status/723570900512198656" TargetMode="External"/><Relationship Id="rId21465" Type="http://schemas.openxmlformats.org/officeDocument/2006/relationships/hyperlink" Target="https://twitter.com/FuscaWorld/status/724150741431160832" TargetMode="External"/><Relationship Id="rId178" Type="http://schemas.openxmlformats.org/officeDocument/2006/relationships/hyperlink" Target="https://twitter.com/Lindsay_VW/status/722932557319430145" TargetMode="External"/><Relationship Id="rId4308" Type="http://schemas.openxmlformats.org/officeDocument/2006/relationships/hyperlink" Target="https://twitter.com/VWCamperSales" TargetMode="External"/><Relationship Id="rId7878" Type="http://schemas.openxmlformats.org/officeDocument/2006/relationships/hyperlink" Target="https://pbs.twimg.com/profile_images/705780107844067328/e7O4UBNb_normal.jpg" TargetMode="External"/><Relationship Id="rId10859" Type="http://schemas.openxmlformats.org/officeDocument/2006/relationships/hyperlink" Target="https://pbs.twimg.com/profile_images/647389023208636417/IRzMwcS4_normal.jpg" TargetMode="External"/><Relationship Id="rId21118" Type="http://schemas.openxmlformats.org/officeDocument/2006/relationships/hyperlink" Target="https://pbs.twimg.com/profile_images/2646835465/aa5823578b01b04b7e91d58e8ca88691_normal.jpeg" TargetMode="External"/><Relationship Id="rId24688" Type="http://schemas.openxmlformats.org/officeDocument/2006/relationships/hyperlink" Target="https://twitter.com/zwear9" TargetMode="External"/><Relationship Id="rId13332" Type="http://schemas.openxmlformats.org/officeDocument/2006/relationships/hyperlink" Target="https://twitter.com/automotora/status/723543473350184960" TargetMode="External"/><Relationship Id="rId20201" Type="http://schemas.openxmlformats.org/officeDocument/2006/relationships/hyperlink" Target="https://twitter.com/tatymontespr/status/723981553928282112" TargetMode="External"/><Relationship Id="rId6961" Type="http://schemas.openxmlformats.org/officeDocument/2006/relationships/hyperlink" Target="https://pbs.twimg.com/profile_images/457491035/55178663_normal.jpg" TargetMode="External"/><Relationship Id="rId16555" Type="http://schemas.openxmlformats.org/officeDocument/2006/relationships/hyperlink" Target="https://twitter.com/beetlebug1938" TargetMode="External"/><Relationship Id="rId23771" Type="http://schemas.openxmlformats.org/officeDocument/2006/relationships/hyperlink" Target="https://twitter.com/Insta_VWT" TargetMode="External"/><Relationship Id="rId4165" Type="http://schemas.openxmlformats.org/officeDocument/2006/relationships/hyperlink" Target="https://pbs.twimg.com/profile_images/1613397544/imagesCAR4XFH4_normal.jpg" TargetMode="External"/><Relationship Id="rId6614" Type="http://schemas.openxmlformats.org/officeDocument/2006/relationships/hyperlink" Target="https://pbs.twimg.com/profile_images/649256068443439104/oCfaia9Q_normal.png" TargetMode="External"/><Relationship Id="rId16208" Type="http://schemas.openxmlformats.org/officeDocument/2006/relationships/hyperlink" Target="https://pbs.twimg.com/profile_images/703294545195307008/qeCvrX86_normal.jpg" TargetMode="External"/><Relationship Id="rId19778" Type="http://schemas.openxmlformats.org/officeDocument/2006/relationships/hyperlink" Target="https://twitter.com/VeeDubMk1_/status/723956771983888384" TargetMode="External"/><Relationship Id="rId23424" Type="http://schemas.openxmlformats.org/officeDocument/2006/relationships/hyperlink" Target="https://twitter.com/StageFrightAmps/status/724288115087544320" TargetMode="External"/><Relationship Id="rId9837" Type="http://schemas.openxmlformats.org/officeDocument/2006/relationships/hyperlink" Target="https://twitter.com/zeitonline" TargetMode="External"/><Relationship Id="rId12818" Type="http://schemas.openxmlformats.org/officeDocument/2006/relationships/hyperlink" Target="https://twitter.com/_graciosa/status/723528287033675776" TargetMode="External"/><Relationship Id="rId7388" Type="http://schemas.openxmlformats.org/officeDocument/2006/relationships/hyperlink" Target="https://twitter.com/BeemerPros" TargetMode="External"/><Relationship Id="rId10369" Type="http://schemas.openxmlformats.org/officeDocument/2006/relationships/hyperlink" Target="https://twitter.com/ina_n72/status/723470461892452356" TargetMode="External"/><Relationship Id="rId18861" Type="http://schemas.openxmlformats.org/officeDocument/2006/relationships/hyperlink" Target="https://pbs.twimg.com/profile_images/682245507620683776/B3w9Ij5R_normal.jpg" TargetMode="External"/><Relationship Id="rId24198" Type="http://schemas.openxmlformats.org/officeDocument/2006/relationships/hyperlink" Target="https://twitter.com/nata_sale" TargetMode="External"/><Relationship Id="rId3998" Type="http://schemas.openxmlformats.org/officeDocument/2006/relationships/hyperlink" Target="https://twitter.com/cyberdoc60/status/723174229592686592" TargetMode="External"/><Relationship Id="rId8920" Type="http://schemas.openxmlformats.org/officeDocument/2006/relationships/hyperlink" Target="https://pbs.twimg.com/profile_images/3563929982/6ac34e03a48d926be2a448693ba17dff_normal.jpeg" TargetMode="External"/><Relationship Id="rId18514" Type="http://schemas.openxmlformats.org/officeDocument/2006/relationships/hyperlink" Target="https://twitter.com/fjchicago/status/723874334817837056" TargetMode="External"/><Relationship Id="rId25730" Type="http://schemas.openxmlformats.org/officeDocument/2006/relationships/hyperlink" Target="https://pbs.twimg.com/profile_images/602761581538222080/_uT8yozJ_normal.jpg" TargetMode="External"/><Relationship Id="rId6471" Type="http://schemas.openxmlformats.org/officeDocument/2006/relationships/hyperlink" Target="https://twitter.com/dw_hindi/status/723244302227410948" TargetMode="External"/><Relationship Id="rId11901" Type="http://schemas.openxmlformats.org/officeDocument/2006/relationships/hyperlink" Target="https://twitter.com/youngin_uk/status/723509624704516096" TargetMode="External"/><Relationship Id="rId16065" Type="http://schemas.openxmlformats.org/officeDocument/2006/relationships/hyperlink" Target="https://twitter.com/CharlieSEvans/status/723646810561105920" TargetMode="External"/><Relationship Id="rId23281" Type="http://schemas.openxmlformats.org/officeDocument/2006/relationships/hyperlink" Target="https://twitter.com/saimisim_pasta" TargetMode="External"/><Relationship Id="rId6124" Type="http://schemas.openxmlformats.org/officeDocument/2006/relationships/hyperlink" Target="https://twitter.com/KNordlichtW" TargetMode="External"/><Relationship Id="rId9694" Type="http://schemas.openxmlformats.org/officeDocument/2006/relationships/hyperlink" Target="https://twitter.com/networkimages" TargetMode="External"/><Relationship Id="rId19288" Type="http://schemas.openxmlformats.org/officeDocument/2006/relationships/hyperlink" Target="https://twitter.com/mexlbrony" TargetMode="External"/><Relationship Id="rId9347" Type="http://schemas.openxmlformats.org/officeDocument/2006/relationships/hyperlink" Target="https://pbs.twimg.com/profile_images/701317392778051584/QRK70qit_normal.jpg" TargetMode="External"/><Relationship Id="rId12675" Type="http://schemas.openxmlformats.org/officeDocument/2006/relationships/hyperlink" Target="https://twitter.com/vzbv/status/723524866721366017" TargetMode="External"/><Relationship Id="rId2734" Type="http://schemas.openxmlformats.org/officeDocument/2006/relationships/hyperlink" Target="https://pbs.twimg.com/profile_images/723139895712161793/8ypTS_GM_normal.jpg" TargetMode="External"/><Relationship Id="rId12328" Type="http://schemas.openxmlformats.org/officeDocument/2006/relationships/hyperlink" Target="https://pbs.twimg.com/profile_images/648058308/461223_1234460921503l_normal.jpg" TargetMode="External"/><Relationship Id="rId15898" Type="http://schemas.openxmlformats.org/officeDocument/2006/relationships/hyperlink" Target="https://pbs.twimg.com/profile_images/668693186898972672/N82WtbM8_normal.jpg" TargetMode="External"/><Relationship Id="rId706" Type="http://schemas.openxmlformats.org/officeDocument/2006/relationships/hyperlink" Target="https://twitter.com/the1dynasty/status/722968719324930049" TargetMode="External"/><Relationship Id="rId5957" Type="http://schemas.openxmlformats.org/officeDocument/2006/relationships/hyperlink" Target="https://twitter.com/coolspringsvw" TargetMode="External"/><Relationship Id="rId18371" Type="http://schemas.openxmlformats.org/officeDocument/2006/relationships/hyperlink" Target="https://twitter.com/vwpress_de" TargetMode="External"/><Relationship Id="rId22767" Type="http://schemas.openxmlformats.org/officeDocument/2006/relationships/hyperlink" Target="https://twitter.com/AlexWitzleben/status/724245289817772033" TargetMode="External"/><Relationship Id="rId8430" Type="http://schemas.openxmlformats.org/officeDocument/2006/relationships/hyperlink" Target="https://pbs.twimg.com/profile_images/378800000854855954/0d555726054b01e3c9d6b5241432dc4a_normal.jpeg" TargetMode="External"/><Relationship Id="rId11411" Type="http://schemas.openxmlformats.org/officeDocument/2006/relationships/hyperlink" Target="https://twitter.com/HansTheGerman/status/723501936830492672" TargetMode="External"/><Relationship Id="rId18024" Type="http://schemas.openxmlformats.org/officeDocument/2006/relationships/hyperlink" Target="https://twitter.com/ORAC_2200/status/723842918524526592" TargetMode="External"/><Relationship Id="rId25240" Type="http://schemas.openxmlformats.org/officeDocument/2006/relationships/hyperlink" Target="https://twitter.com/DeeZeeX" TargetMode="External"/><Relationship Id="rId14981" Type="http://schemas.openxmlformats.org/officeDocument/2006/relationships/hyperlink" Target="https://pbs.twimg.com/profile_images/705780107844067328/e7O4UBNb_normal.jpg" TargetMode="External"/><Relationship Id="rId2591" Type="http://schemas.openxmlformats.org/officeDocument/2006/relationships/hyperlink" Target="https://twitter.com/BioFares" TargetMode="External"/><Relationship Id="rId12185" Type="http://schemas.openxmlformats.org/officeDocument/2006/relationships/hyperlink" Target="https://twitter.com/Duped/status/723514644393000960" TargetMode="External"/><Relationship Id="rId14634" Type="http://schemas.openxmlformats.org/officeDocument/2006/relationships/hyperlink" Target="https://twitter.com/schwerlastprofi" TargetMode="External"/><Relationship Id="rId21850" Type="http://schemas.openxmlformats.org/officeDocument/2006/relationships/hyperlink" Target="https://twitter.com/franke_media" TargetMode="External"/><Relationship Id="rId563" Type="http://schemas.openxmlformats.org/officeDocument/2006/relationships/hyperlink" Target="https://pbs.twimg.com/profile_images/534269939948220416/vqcFp_cA_normal.jpeg" TargetMode="External"/><Relationship Id="rId2244" Type="http://schemas.openxmlformats.org/officeDocument/2006/relationships/hyperlink" Target="https://twitter.com/burt_jessica" TargetMode="External"/><Relationship Id="rId17857" Type="http://schemas.openxmlformats.org/officeDocument/2006/relationships/hyperlink" Target="https://twitter.com/VolkswagenCZ" TargetMode="External"/><Relationship Id="rId21503" Type="http://schemas.openxmlformats.org/officeDocument/2006/relationships/hyperlink" Target="https://twitter.com/RFN19/status/724152947353878528" TargetMode="External"/><Relationship Id="rId216" Type="http://schemas.openxmlformats.org/officeDocument/2006/relationships/hyperlink" Target="https://pbs.twimg.com/profile_images/702511217793863680/lty8h9vE_normal.jpg" TargetMode="External"/><Relationship Id="rId7916" Type="http://schemas.openxmlformats.org/officeDocument/2006/relationships/hyperlink" Target="https://twitter.com/candeebussetto" TargetMode="External"/><Relationship Id="rId24726" Type="http://schemas.openxmlformats.org/officeDocument/2006/relationships/hyperlink" Target="https://twitter.com/ZaFaDo72/status/724385702239035393" TargetMode="External"/><Relationship Id="rId5467" Type="http://schemas.openxmlformats.org/officeDocument/2006/relationships/hyperlink" Target="http://dlvr.it/" TargetMode="External"/><Relationship Id="rId16940" Type="http://schemas.openxmlformats.org/officeDocument/2006/relationships/hyperlink" Target="https://twitter.com/vintagevwdita/status/723752624911200257" TargetMode="External"/><Relationship Id="rId22277" Type="http://schemas.openxmlformats.org/officeDocument/2006/relationships/hyperlink" Target="https://twitter.com/hddoger/status/724212887040847873" TargetMode="External"/><Relationship Id="rId14491" Type="http://schemas.openxmlformats.org/officeDocument/2006/relationships/hyperlink" Target="https://twitter.com/chrzescinski/status/723574735385300992" TargetMode="External"/><Relationship Id="rId4550" Type="http://schemas.openxmlformats.org/officeDocument/2006/relationships/hyperlink" Target="https://pbs.twimg.com/profile_images/722397159664934912/FokUg6EX_normal.jpg" TargetMode="External"/><Relationship Id="rId14144" Type="http://schemas.openxmlformats.org/officeDocument/2006/relationships/hyperlink" Target="https://twitter.com/DailyOli" TargetMode="External"/><Relationship Id="rId21360" Type="http://schemas.openxmlformats.org/officeDocument/2006/relationships/hyperlink" Target="https://twitter.com/miljanbojo/status/724143314912591872" TargetMode="External"/><Relationship Id="rId4203" Type="http://schemas.openxmlformats.org/officeDocument/2006/relationships/hyperlink" Target="https://pbs.twimg.com/profile_images/477438671151304705/8XlAQ509_normal.jpeg" TargetMode="External"/><Relationship Id="rId7773" Type="http://schemas.openxmlformats.org/officeDocument/2006/relationships/hyperlink" Target="https://twitter.com/NachoSarate" TargetMode="External"/><Relationship Id="rId17367" Type="http://schemas.openxmlformats.org/officeDocument/2006/relationships/hyperlink" Target="https://twitter.com/NetzwerkggS21" TargetMode="External"/><Relationship Id="rId19816" Type="http://schemas.openxmlformats.org/officeDocument/2006/relationships/hyperlink" Target="https://pbs.twimg.com/profile_images/530071272881803264/a_jcCmPZ_normal.png" TargetMode="External"/><Relationship Id="rId21013" Type="http://schemas.openxmlformats.org/officeDocument/2006/relationships/hyperlink" Target="https://twitter.com/SuranClub" TargetMode="External"/><Relationship Id="rId24583" Type="http://schemas.openxmlformats.org/officeDocument/2006/relationships/hyperlink" Target="https://twitter.com/JenniPii/status/724374012386770945" TargetMode="External"/><Relationship Id="rId7426" Type="http://schemas.openxmlformats.org/officeDocument/2006/relationships/hyperlink" Target="https://pbs.twimg.com/profile_images/667650886903164928/Jl6AR59p_normal.jpg" TargetMode="External"/><Relationship Id="rId10754" Type="http://schemas.openxmlformats.org/officeDocument/2006/relationships/hyperlink" Target="https://twitter.com/JSCarSpares" TargetMode="External"/><Relationship Id="rId24236" Type="http://schemas.openxmlformats.org/officeDocument/2006/relationships/hyperlink" Target="https://pbs.twimg.com/profile_images/422164778639839234/LVnS1q1c_normal.jpeg" TargetMode="External"/><Relationship Id="rId10407" Type="http://schemas.openxmlformats.org/officeDocument/2006/relationships/hyperlink" Target="https://twitter.com/WowbaggerXX7" TargetMode="External"/><Relationship Id="rId13977" Type="http://schemas.openxmlformats.org/officeDocument/2006/relationships/hyperlink" Target="https://twitter.com/JuergenGust/status/723560356988235776" TargetMode="External"/><Relationship Id="rId16450" Type="http://schemas.openxmlformats.org/officeDocument/2006/relationships/hyperlink" Target="https://pbs.twimg.com/profile_images/512410499753840640/71x55KFh_normal.jpeg" TargetMode="External"/><Relationship Id="rId20846" Type="http://schemas.openxmlformats.org/officeDocument/2006/relationships/hyperlink" Target="https://twitter.com/MiqueasC01/status/724049033615032321" TargetMode="External"/><Relationship Id="rId1587" Type="http://schemas.openxmlformats.org/officeDocument/2006/relationships/hyperlink" Target="https://twitter.com/bigphilgj/status/723048470391754752" TargetMode="External"/><Relationship Id="rId16103" Type="http://schemas.openxmlformats.org/officeDocument/2006/relationships/hyperlink" Target="https://pbs.twimg.com/profile_images/718820712757215233/LXXndPTS_normal.jpg" TargetMode="External"/><Relationship Id="rId19673" Type="http://schemas.openxmlformats.org/officeDocument/2006/relationships/hyperlink" Target="https://twitter.com/DubLuvTuning/status/723946318293512193" TargetMode="External"/><Relationship Id="rId4060" Type="http://schemas.openxmlformats.org/officeDocument/2006/relationships/hyperlink" Target="https://twitter.com/WienerZeitung" TargetMode="External"/><Relationship Id="rId9732" Type="http://schemas.openxmlformats.org/officeDocument/2006/relationships/hyperlink" Target="https://twitter.com/handelsblatt" TargetMode="External"/><Relationship Id="rId19326" Type="http://schemas.openxmlformats.org/officeDocument/2006/relationships/hyperlink" Target="https://pbs.twimg.com/profile_images/424893967197433858/iQ86NktX_normal.jpeg" TargetMode="External"/><Relationship Id="rId7283" Type="http://schemas.openxmlformats.org/officeDocument/2006/relationships/hyperlink" Target="https://pbs.twimg.com/profile_images/652871584131092480/QA_B6SBO_normal.jpg" TargetMode="External"/><Relationship Id="rId10264" Type="http://schemas.openxmlformats.org/officeDocument/2006/relationships/hyperlink" Target="https://pbs.twimg.com/profile_images/718820712757215233/LXXndPTS_normal.jpg" TargetMode="External"/><Relationship Id="rId12713" Type="http://schemas.openxmlformats.org/officeDocument/2006/relationships/hyperlink" Target="https://twitter.com/VWCamperSales" TargetMode="External"/><Relationship Id="rId24093" Type="http://schemas.openxmlformats.org/officeDocument/2006/relationships/hyperlink" Target="https://twitter.com/AdamoAdamos/status/724331763074473984" TargetMode="External"/><Relationship Id="rId15936" Type="http://schemas.openxmlformats.org/officeDocument/2006/relationships/hyperlink" Target="https://pbs.twimg.com/profile_images/3626549563/d95a4821a3987f8c50f45ab3cca4ef81_normal.jpeg" TargetMode="External"/><Relationship Id="rId3893" Type="http://schemas.openxmlformats.org/officeDocument/2006/relationships/hyperlink" Target="https://pbs.twimg.com/profile_images/569498266786877440/eYP0jdWw_normal.jpeg" TargetMode="External"/><Relationship Id="rId13487" Type="http://schemas.openxmlformats.org/officeDocument/2006/relationships/hyperlink" Target="https://twitter.com/SayitMatt" TargetMode="External"/><Relationship Id="rId22805" Type="http://schemas.openxmlformats.org/officeDocument/2006/relationships/hyperlink" Target="https://pbs.twimg.com/profile_images/627949001179037696/skEBkS05_normal.jpg" TargetMode="External"/><Relationship Id="rId1097" Type="http://schemas.openxmlformats.org/officeDocument/2006/relationships/hyperlink" Target="https://twitter.com/CarlEReid" TargetMode="External"/><Relationship Id="rId3546" Type="http://schemas.openxmlformats.org/officeDocument/2006/relationships/hyperlink" Target="https://pbs.twimg.com/profile_images/627949001179037696/skEBkS05_normal.jpg" TargetMode="External"/><Relationship Id="rId20356" Type="http://schemas.openxmlformats.org/officeDocument/2006/relationships/hyperlink" Target="https://twitter.com/OnlineCarReview/status/723994091298529280" TargetMode="External"/><Relationship Id="rId6769" Type="http://schemas.openxmlformats.org/officeDocument/2006/relationships/hyperlink" Target="https://twitter.com/ohioantique" TargetMode="External"/><Relationship Id="rId12570" Type="http://schemas.openxmlformats.org/officeDocument/2006/relationships/hyperlink" Target="https://twitter.com/VWCamperSales/status/723522677512663041" TargetMode="External"/><Relationship Id="rId19183" Type="http://schemas.openxmlformats.org/officeDocument/2006/relationships/hyperlink" Target="https://twitter.com/SYirmi" TargetMode="External"/><Relationship Id="rId20009" Type="http://schemas.openxmlformats.org/officeDocument/2006/relationships/hyperlink" Target="https://pbs.twimg.com/profile_images/672408750104408064/xmmnmOye_normal.png" TargetMode="External"/><Relationship Id="rId23579" Type="http://schemas.openxmlformats.org/officeDocument/2006/relationships/hyperlink" Target="https://pbs.twimg.com/profile_images/2886113716/f2da1f1adf432acf9e6bfc8f660169ac_normal.jpeg" TargetMode="External"/><Relationship Id="rId9242" Type="http://schemas.openxmlformats.org/officeDocument/2006/relationships/hyperlink" Target="https://pbs.twimg.com/profile_images/1610421423/Image2_normal.jpg" TargetMode="External"/><Relationship Id="rId12223" Type="http://schemas.openxmlformats.org/officeDocument/2006/relationships/hyperlink" Target="https://twitter.com/arndissler" TargetMode="External"/><Relationship Id="rId15793" Type="http://schemas.openxmlformats.org/officeDocument/2006/relationships/hyperlink" Target="https://pbs.twimg.com/profile_images/714551994892099585/WQdxJrAC_normal.jpg" TargetMode="External"/><Relationship Id="rId601" Type="http://schemas.openxmlformats.org/officeDocument/2006/relationships/hyperlink" Target="https://twitter.com/techhippie/status/722967047143989248" TargetMode="External"/><Relationship Id="rId5852" Type="http://schemas.openxmlformats.org/officeDocument/2006/relationships/hyperlink" Target="https://twitter.com/_vinadvisor" TargetMode="External"/><Relationship Id="rId15446" Type="http://schemas.openxmlformats.org/officeDocument/2006/relationships/hyperlink" Target="https://twitter.com/ZDFhannover/status/723607939429326848" TargetMode="External"/><Relationship Id="rId22662" Type="http://schemas.openxmlformats.org/officeDocument/2006/relationships/hyperlink" Target="https://pbs.twimg.com/profile_images/722326876560232450/OO8bJXZX_normal.jpg" TargetMode="External"/><Relationship Id="rId5505" Type="http://schemas.openxmlformats.org/officeDocument/2006/relationships/hyperlink" Target="http://dlvr.it/" TargetMode="External"/><Relationship Id="rId22315" Type="http://schemas.openxmlformats.org/officeDocument/2006/relationships/hyperlink" Target="https://twitter.com/anjelicasjogren" TargetMode="External"/><Relationship Id="rId3056" Type="http://schemas.openxmlformats.org/officeDocument/2006/relationships/hyperlink" Target="https://twitter.com/vwpress_de/status/723135916462747648" TargetMode="External"/><Relationship Id="rId18669" Type="http://schemas.openxmlformats.org/officeDocument/2006/relationships/hyperlink" Target="https://pbs.twimg.com/profile_images/701050474045251585/RSM5NM6y_normal.jpg" TargetMode="External"/><Relationship Id="rId6279" Type="http://schemas.openxmlformats.org/officeDocument/2006/relationships/hyperlink" Target="https://twitter.com/ebaycampervans/status/723237367901876224" TargetMode="External"/><Relationship Id="rId8728" Type="http://schemas.openxmlformats.org/officeDocument/2006/relationships/hyperlink" Target="https://twitter.com/VWCamperSales/status/723403983436402689" TargetMode="External"/><Relationship Id="rId11709" Type="http://schemas.openxmlformats.org/officeDocument/2006/relationships/hyperlink" Target="https://pbs.twimg.com/profile_images/1833245422/twitter_yo_normal.jpg" TargetMode="External"/><Relationship Id="rId23089" Type="http://schemas.openxmlformats.org/officeDocument/2006/relationships/hyperlink" Target="https://twitter.com/_C4productions_/status/724268312322932737" TargetMode="External"/><Relationship Id="rId25538" Type="http://schemas.openxmlformats.org/officeDocument/2006/relationships/hyperlink" Target="https://twitter.com/BOSSSIWELL/status/724446695715684352" TargetMode="External"/><Relationship Id="rId12080" Type="http://schemas.openxmlformats.org/officeDocument/2006/relationships/hyperlink" Target="https://pbs.twimg.com/profile_images/2666244260/d6d9049abbaccec91bf56e27e933d7ba_normal.png" TargetMode="External"/><Relationship Id="rId17752" Type="http://schemas.openxmlformats.org/officeDocument/2006/relationships/hyperlink" Target="https://twitter.com/Insta_VWT" TargetMode="External"/><Relationship Id="rId2889" Type="http://schemas.openxmlformats.org/officeDocument/2006/relationships/hyperlink" Target="https://twitter.com/SloughSwapmeet" TargetMode="External"/><Relationship Id="rId7811" Type="http://schemas.openxmlformats.org/officeDocument/2006/relationships/hyperlink" Target="https://pbs.twimg.com/profile_images/722242822301159424/nrziq21L_normal.jpg" TargetMode="External"/><Relationship Id="rId17405" Type="http://schemas.openxmlformats.org/officeDocument/2006/relationships/hyperlink" Target="https://twitter.com/HarudEge/status/723797080964272128" TargetMode="External"/><Relationship Id="rId24621" Type="http://schemas.openxmlformats.org/officeDocument/2006/relationships/hyperlink" Target="https://pbs.twimg.com/profile_images/704424786777280513/YQVkJF57_normal.jpg" TargetMode="External"/><Relationship Id="rId111" Type="http://schemas.openxmlformats.org/officeDocument/2006/relationships/hyperlink" Target="https://twitter.com/CNBC" TargetMode="External"/><Relationship Id="rId5362" Type="http://schemas.openxmlformats.org/officeDocument/2006/relationships/hyperlink" Target="https://twitter.com/AlexWitzleben" TargetMode="External"/><Relationship Id="rId22172" Type="http://schemas.openxmlformats.org/officeDocument/2006/relationships/hyperlink" Target="https://twitter.com/F_Hubik" TargetMode="External"/><Relationship Id="rId5015" Type="http://schemas.openxmlformats.org/officeDocument/2006/relationships/hyperlink" Target="https://twitter.com/urban_aid" TargetMode="External"/><Relationship Id="rId8585" Type="http://schemas.openxmlformats.org/officeDocument/2006/relationships/hyperlink" Target="https://twitter.com/steve101078" TargetMode="External"/><Relationship Id="rId18179" Type="http://schemas.openxmlformats.org/officeDocument/2006/relationships/hyperlink" Target="https://twitter.com/M_Draeger/status/723848743842394112" TargetMode="External"/><Relationship Id="rId25395" Type="http://schemas.openxmlformats.org/officeDocument/2006/relationships/hyperlink" Target="https://twitter.com/iam_saurabh_" TargetMode="External"/><Relationship Id="rId1972" Type="http://schemas.openxmlformats.org/officeDocument/2006/relationships/hyperlink" Target="https://twitter.com/NifsaLsilll/status/723071290773401600" TargetMode="External"/><Relationship Id="rId8238" Type="http://schemas.openxmlformats.org/officeDocument/2006/relationships/hyperlink" Target="https://twitter.com/ch_heinemann" TargetMode="External"/><Relationship Id="rId11566" Type="http://schemas.openxmlformats.org/officeDocument/2006/relationships/hyperlink" Target="https://twitter.com/Test_Achats" TargetMode="External"/><Relationship Id="rId25048" Type="http://schemas.openxmlformats.org/officeDocument/2006/relationships/hyperlink" Target="https://twitter.com/OnlineCarReview" TargetMode="External"/><Relationship Id="rId1625" Type="http://schemas.openxmlformats.org/officeDocument/2006/relationships/hyperlink" Target="https://twitter.com/MoneyguruGr" TargetMode="External"/><Relationship Id="rId11219" Type="http://schemas.openxmlformats.org/officeDocument/2006/relationships/hyperlink" Target="https://twitter.com/handelsblatt/status/723499447422992384" TargetMode="External"/><Relationship Id="rId14789" Type="http://schemas.openxmlformats.org/officeDocument/2006/relationships/hyperlink" Target="https://twitter.com/FraaanBetancurt/status/723582588804280321" TargetMode="External"/><Relationship Id="rId19711" Type="http://schemas.openxmlformats.org/officeDocument/2006/relationships/hyperlink" Target="https://pbs.twimg.com/profile_images/704424786777280513/YQVkJF57_normal.jpg" TargetMode="External"/><Relationship Id="rId4848" Type="http://schemas.openxmlformats.org/officeDocument/2006/relationships/hyperlink" Target="https://pbs.twimg.com/profile_images/721817644626755585/gv_O7BfX_normal.jpg" TargetMode="External"/><Relationship Id="rId17262" Type="http://schemas.openxmlformats.org/officeDocument/2006/relationships/hyperlink" Target="https://pbs.twimg.com/profile_images/431119006146113536/_vKP0rbw_normal.jpeg" TargetMode="External"/><Relationship Id="rId21658" Type="http://schemas.openxmlformats.org/officeDocument/2006/relationships/hyperlink" Target="https://twitter.com/KlaasBrongers" TargetMode="External"/><Relationship Id="rId2399" Type="http://schemas.openxmlformats.org/officeDocument/2006/relationships/hyperlink" Target="https://twitter.com/skribjohn/status/723099149487497217" TargetMode="External"/><Relationship Id="rId7321" Type="http://schemas.openxmlformats.org/officeDocument/2006/relationships/hyperlink" Target="https://twitter.com/Benitezzok/status/723295151477673984" TargetMode="External"/><Relationship Id="rId10302" Type="http://schemas.openxmlformats.org/officeDocument/2006/relationships/hyperlink" Target="https://twitter.com/FuscaWorld/status/723468784720293888" TargetMode="External"/><Relationship Id="rId13872" Type="http://schemas.openxmlformats.org/officeDocument/2006/relationships/hyperlink" Target="https://twitter.com/VWBeetleSales/status/723557750731481088" TargetMode="External"/><Relationship Id="rId24131" Type="http://schemas.openxmlformats.org/officeDocument/2006/relationships/hyperlink" Target="https://twitter.com/mouadennadir/status/724334019077394432" TargetMode="External"/><Relationship Id="rId3931" Type="http://schemas.openxmlformats.org/officeDocument/2006/relationships/hyperlink" Target="https://twitter.com/mueller_mw/status/723172393074712578" TargetMode="External"/><Relationship Id="rId13525" Type="http://schemas.openxmlformats.org/officeDocument/2006/relationships/hyperlink" Target="https://twitter.com/FuscaWorld/status/723549493170429952" TargetMode="External"/><Relationship Id="rId20741" Type="http://schemas.openxmlformats.org/officeDocument/2006/relationships/hyperlink" Target="https://twitter.com/pblaauw" TargetMode="External"/><Relationship Id="rId1482" Type="http://schemas.openxmlformats.org/officeDocument/2006/relationships/hyperlink" Target="https://twitter.com/lasao5" TargetMode="External"/><Relationship Id="rId8095" Type="http://schemas.openxmlformats.org/officeDocument/2006/relationships/hyperlink" Target="https://pbs.twimg.com/profile_images/1749690946/22456_108425865839213_100000153999675_221102_5400174_n_normal.jpg" TargetMode="External"/><Relationship Id="rId11076" Type="http://schemas.openxmlformats.org/officeDocument/2006/relationships/hyperlink" Target="https://pbs.twimg.com/profile_images/607156834680635392/lFKtXFch_normal.jpg" TargetMode="External"/><Relationship Id="rId1135" Type="http://schemas.openxmlformats.org/officeDocument/2006/relationships/hyperlink" Target="https://twitter.com/TheNewsBritain/status/723021432175747072" TargetMode="External"/><Relationship Id="rId14299" Type="http://schemas.openxmlformats.org/officeDocument/2006/relationships/hyperlink" Target="https://pbs.twimg.com/profile_images/703294545195307008/qeCvrX86_normal.jpg" TargetMode="External"/><Relationship Id="rId16748" Type="http://schemas.openxmlformats.org/officeDocument/2006/relationships/hyperlink" Target="https://twitter.com/24HoursOfLeMons" TargetMode="External"/><Relationship Id="rId23964" Type="http://schemas.openxmlformats.org/officeDocument/2006/relationships/hyperlink" Target="https://twitter.com/Yellow_Car_Shop" TargetMode="External"/><Relationship Id="rId4358" Type="http://schemas.openxmlformats.org/officeDocument/2006/relationships/hyperlink" Target="https://twitter.com/napletonvolksu1/status/723179574931152896" TargetMode="External"/><Relationship Id="rId6807" Type="http://schemas.openxmlformats.org/officeDocument/2006/relationships/hyperlink" Target="https://twitter.com/VRwatchingU" TargetMode="External"/><Relationship Id="rId19221" Type="http://schemas.openxmlformats.org/officeDocument/2006/relationships/hyperlink" Target="https://twitter.com/NickJB0721" TargetMode="External"/><Relationship Id="rId21168" Type="http://schemas.openxmlformats.org/officeDocument/2006/relationships/hyperlink" Target="https://twitter.com/VWBeetleSales/status/724117577455169538" TargetMode="External"/><Relationship Id="rId23617" Type="http://schemas.openxmlformats.org/officeDocument/2006/relationships/hyperlink" Target="https://twitter.com/POLITROSO/status/724299842831421440" TargetMode="External"/><Relationship Id="rId15831" Type="http://schemas.openxmlformats.org/officeDocument/2006/relationships/hyperlink" Target="https://twitter.com/Stadtpirat/status/723631387329306624" TargetMode="External"/><Relationship Id="rId13382" Type="http://schemas.openxmlformats.org/officeDocument/2006/relationships/hyperlink" Target="https://twitter.com/jond4130" TargetMode="External"/><Relationship Id="rId22700" Type="http://schemas.openxmlformats.org/officeDocument/2006/relationships/hyperlink" Target="https://twitter.com/AdgmanA" TargetMode="External"/><Relationship Id="rId3441" Type="http://schemas.openxmlformats.org/officeDocument/2006/relationships/hyperlink" Target="https://twitter.com/Autokiste" TargetMode="External"/><Relationship Id="rId13035" Type="http://schemas.openxmlformats.org/officeDocument/2006/relationships/hyperlink" Target="https://pbs.twimg.com/profile_images/703294545195307008/qeCvrX86_normal.jpg" TargetMode="External"/><Relationship Id="rId20251" Type="http://schemas.openxmlformats.org/officeDocument/2006/relationships/hyperlink" Target="https://twitter.com/vwdepo" TargetMode="External"/><Relationship Id="rId6664" Type="http://schemas.openxmlformats.org/officeDocument/2006/relationships/hyperlink" Target="https://pbs.twimg.com/profile_images/697799650431074304/WVOJ2bXi_normal.jpg" TargetMode="External"/><Relationship Id="rId16258" Type="http://schemas.openxmlformats.org/officeDocument/2006/relationships/hyperlink" Target="http://dlvr.it/" TargetMode="External"/><Relationship Id="rId18707" Type="http://schemas.openxmlformats.org/officeDocument/2006/relationships/hyperlink" Target="https://twitter.com/SouthCentreVW/status/723890036513509376" TargetMode="External"/><Relationship Id="rId23474" Type="http://schemas.openxmlformats.org/officeDocument/2006/relationships/hyperlink" Target="https://pbs.twimg.com/profile_images/577149877454397440/aD-cSKzv_normal.jpeg" TargetMode="External"/><Relationship Id="rId6317" Type="http://schemas.openxmlformats.org/officeDocument/2006/relationships/hyperlink" Target="https://twitter.com/Scirocco_Tuning" TargetMode="External"/><Relationship Id="rId9887" Type="http://schemas.openxmlformats.org/officeDocument/2006/relationships/hyperlink" Target="https://pbs.twimg.com/profile_images/687368109/WrenchEYE3Avitar_normal.jpg" TargetMode="External"/><Relationship Id="rId23127" Type="http://schemas.openxmlformats.org/officeDocument/2006/relationships/hyperlink" Target="https://twitter.com/dubbusses" TargetMode="External"/><Relationship Id="rId12868" Type="http://schemas.openxmlformats.org/officeDocument/2006/relationships/hyperlink" Target="https://pbs.twimg.com/profile_images/706199243351060480/efABpL4I_normal.jpg" TargetMode="External"/><Relationship Id="rId2927" Type="http://schemas.openxmlformats.org/officeDocument/2006/relationships/hyperlink" Target="https://pbs.twimg.com/profile_images/632074492798443520/j3zHKAI2_normal.png" TargetMode="External"/><Relationship Id="rId15341" Type="http://schemas.openxmlformats.org/officeDocument/2006/relationships/hyperlink" Target="https://twitter.com/VWBeetleSales" TargetMode="External"/><Relationship Id="rId5400" Type="http://schemas.openxmlformats.org/officeDocument/2006/relationships/hyperlink" Target="https://pbs.twimg.com/profile_images/606373311799508992/2yQr5s8G_normal.jpg" TargetMode="External"/><Relationship Id="rId8970" Type="http://schemas.openxmlformats.org/officeDocument/2006/relationships/hyperlink" Target="https://twitter.com/BarryDesignWeb/status/723413992387936256" TargetMode="External"/><Relationship Id="rId11951" Type="http://schemas.openxmlformats.org/officeDocument/2006/relationships/hyperlink" Target="https://twitter.com/VWCamperSales" TargetMode="External"/><Relationship Id="rId18564" Type="http://schemas.openxmlformats.org/officeDocument/2006/relationships/hyperlink" Target="https://pbs.twimg.com/profile_images/589041144027357185/LMeiK-X6_normal.jpg" TargetMode="External"/><Relationship Id="rId22210" Type="http://schemas.openxmlformats.org/officeDocument/2006/relationships/hyperlink" Target="https://pbs.twimg.com/profile_images/489353066819248128/cxv60hiW_normal.png" TargetMode="External"/><Relationship Id="rId8623" Type="http://schemas.openxmlformats.org/officeDocument/2006/relationships/hyperlink" Target="https://pbs.twimg.com/profile_images/653310353653297153/bYVyhn8J_normal.jpg" TargetMode="External"/><Relationship Id="rId11604" Type="http://schemas.openxmlformats.org/officeDocument/2006/relationships/hyperlink" Target="https://twitter.com/heldini/status/723504242980470784" TargetMode="External"/><Relationship Id="rId18217" Type="http://schemas.openxmlformats.org/officeDocument/2006/relationships/hyperlink" Target="https://twitter.com/motorhappy" TargetMode="External"/><Relationship Id="rId25433" Type="http://schemas.openxmlformats.org/officeDocument/2006/relationships/hyperlink" Target="https://twitter.com/vickymotorserv1/status/724438285955698688" TargetMode="External"/><Relationship Id="rId6174" Type="http://schemas.openxmlformats.org/officeDocument/2006/relationships/hyperlink" Target="http://dlvr.it/" TargetMode="External"/><Relationship Id="rId2784" Type="http://schemas.openxmlformats.org/officeDocument/2006/relationships/hyperlink" Target="https://twitter.com/dermaschinist/status/723119161606574081" TargetMode="External"/><Relationship Id="rId9397" Type="http://schemas.openxmlformats.org/officeDocument/2006/relationships/hyperlink" Target="https://twitter.com/CemilGenc_WDC" TargetMode="External"/><Relationship Id="rId12378" Type="http://schemas.openxmlformats.org/officeDocument/2006/relationships/hyperlink" Target="https://twitter.com/MKreutzfeldt" TargetMode="External"/><Relationship Id="rId14827" Type="http://schemas.openxmlformats.org/officeDocument/2006/relationships/hyperlink" Target="https://pbs.twimg.com/profile_images/3494760705/823323f6d432b61b688163ae7d9d9dda_normal.jpeg" TargetMode="External"/><Relationship Id="rId756" Type="http://schemas.openxmlformats.org/officeDocument/2006/relationships/hyperlink" Target="https://twitter.com/Doubleupblood/status/722980281922117632" TargetMode="External"/><Relationship Id="rId2437" Type="http://schemas.openxmlformats.org/officeDocument/2006/relationships/hyperlink" Target="https://twitter.com/aus_business" TargetMode="External"/><Relationship Id="rId17300" Type="http://schemas.openxmlformats.org/officeDocument/2006/relationships/hyperlink" Target="https://twitter.com/alemannoEU/status/723788114683170816" TargetMode="External"/><Relationship Id="rId409" Type="http://schemas.openxmlformats.org/officeDocument/2006/relationships/hyperlink" Target="https://pbs.twimg.com/profile_images/677356460255350785/VfTigLv2_normal.jpg" TargetMode="External"/><Relationship Id="rId13910" Type="http://schemas.openxmlformats.org/officeDocument/2006/relationships/hyperlink" Target="https://pbs.twimg.com/profile_images/712642815306702849/PCFg2XhV_normal.jpg" TargetMode="External"/><Relationship Id="rId24919" Type="http://schemas.openxmlformats.org/officeDocument/2006/relationships/hyperlink" Target="https://twitter.com/misspetrolhead/status/724401638342049793" TargetMode="External"/><Relationship Id="rId8480" Type="http://schemas.openxmlformats.org/officeDocument/2006/relationships/hyperlink" Target="https://pbs.twimg.com/profile_images/1231132206/27384_1725624887_167_q_normal.jpg" TargetMode="External"/><Relationship Id="rId11461" Type="http://schemas.openxmlformats.org/officeDocument/2006/relationships/hyperlink" Target="https://twitter.com/PeteArmstrong" TargetMode="External"/><Relationship Id="rId18074" Type="http://schemas.openxmlformats.org/officeDocument/2006/relationships/hyperlink" Target="https://twitter.com/GianMarcoSolas" TargetMode="External"/><Relationship Id="rId25290" Type="http://schemas.openxmlformats.org/officeDocument/2006/relationships/hyperlink" Target="https://twitter.com/OnlineCarReview/status/724429805261721601" TargetMode="External"/><Relationship Id="rId1520" Type="http://schemas.openxmlformats.org/officeDocument/2006/relationships/hyperlink" Target="https://twitter.com/VWCamperSales/status/723044376025255936" TargetMode="External"/><Relationship Id="rId8133" Type="http://schemas.openxmlformats.org/officeDocument/2006/relationships/hyperlink" Target="https://pbs.twimg.com/profile_images/702511217793863680/lty8h9vE_normal.jpg" TargetMode="External"/><Relationship Id="rId11114" Type="http://schemas.openxmlformats.org/officeDocument/2006/relationships/hyperlink" Target="https://twitter.com/buran63" TargetMode="External"/><Relationship Id="rId14684" Type="http://schemas.openxmlformats.org/officeDocument/2006/relationships/hyperlink" Target="https://twitter.com/authormrmike059/status/723579927983980544" TargetMode="External"/><Relationship Id="rId4743" Type="http://schemas.openxmlformats.org/officeDocument/2006/relationships/hyperlink" Target="https://pbs.twimg.com/profile_images/378800000348226431/5ecdd1e54f9479e0545e239d17942701_normal.jpeg" TargetMode="External"/><Relationship Id="rId14337" Type="http://schemas.openxmlformats.org/officeDocument/2006/relationships/hyperlink" Target="https://twitter.com/DenbyCampervans/status/723572696307646465" TargetMode="External"/><Relationship Id="rId21553" Type="http://schemas.openxmlformats.org/officeDocument/2006/relationships/hyperlink" Target="https://twitter.com/HansTheGerman" TargetMode="External"/><Relationship Id="rId2294" Type="http://schemas.openxmlformats.org/officeDocument/2006/relationships/hyperlink" Target="http://wordpress.com/" TargetMode="External"/><Relationship Id="rId21206" Type="http://schemas.openxmlformats.org/officeDocument/2006/relationships/hyperlink" Target="https://twitter.com/Duambyth/status/724122129290149888" TargetMode="External"/><Relationship Id="rId266" Type="http://schemas.openxmlformats.org/officeDocument/2006/relationships/hyperlink" Target="https://twitter.com/svperi_/status/722942420254638080" TargetMode="External"/><Relationship Id="rId7619" Type="http://schemas.openxmlformats.org/officeDocument/2006/relationships/hyperlink" Target="https://twitter.com/ReynaldiLucas" TargetMode="External"/><Relationship Id="rId7966" Type="http://schemas.openxmlformats.org/officeDocument/2006/relationships/hyperlink" Target="https://twitter.com/CaaioMonteiro" TargetMode="External"/><Relationship Id="rId10947" Type="http://schemas.openxmlformats.org/officeDocument/2006/relationships/hyperlink" Target="https://twitter.com/hansjaaggi" TargetMode="External"/><Relationship Id="rId24776" Type="http://schemas.openxmlformats.org/officeDocument/2006/relationships/hyperlink" Target="https://pbs.twimg.com/profile_images/539527472778608640/RdeRNr1S_normal.jpeg" TargetMode="External"/><Relationship Id="rId13420" Type="http://schemas.openxmlformats.org/officeDocument/2006/relationships/hyperlink" Target="https://twitter.com/Stony_BS/status/723546220355043329" TargetMode="External"/><Relationship Id="rId16990" Type="http://schemas.openxmlformats.org/officeDocument/2006/relationships/hyperlink" Target="https://twitter.com/katrinhilger" TargetMode="External"/><Relationship Id="rId24429" Type="http://schemas.openxmlformats.org/officeDocument/2006/relationships/hyperlink" Target="https://twitter.com/VeeDubMk1_" TargetMode="External"/><Relationship Id="rId1030" Type="http://schemas.openxmlformats.org/officeDocument/2006/relationships/hyperlink" Target="https://twitter.com/SPIEGELONLINE/status/723014404552441856" TargetMode="External"/><Relationship Id="rId16643" Type="http://schemas.openxmlformats.org/officeDocument/2006/relationships/hyperlink" Target="https://twitter.com/vixizewyryt" TargetMode="External"/><Relationship Id="rId6702" Type="http://schemas.openxmlformats.org/officeDocument/2006/relationships/hyperlink" Target="https://twitter.com/cris_drudi/status/723253683266396160" TargetMode="External"/><Relationship Id="rId14194" Type="http://schemas.openxmlformats.org/officeDocument/2006/relationships/hyperlink" Target="https://pbs.twimg.com/profile_images/683682913934807040/ZSOWIYBt_normal.jpg" TargetMode="External"/><Relationship Id="rId19866" Type="http://schemas.openxmlformats.org/officeDocument/2006/relationships/hyperlink" Target="https://twitter.com/VWBeetleSales" TargetMode="External"/><Relationship Id="rId23512" Type="http://schemas.openxmlformats.org/officeDocument/2006/relationships/hyperlink" Target="https://twitter.com/sandysola34/status/724294441125580800" TargetMode="External"/><Relationship Id="rId4253" Type="http://schemas.openxmlformats.org/officeDocument/2006/relationships/hyperlink" Target="https://twitter.com/adr4517" TargetMode="External"/><Relationship Id="rId9925" Type="http://schemas.openxmlformats.org/officeDocument/2006/relationships/hyperlink" Target="https://twitter.com/klaus_koester/status/723454367131688960" TargetMode="External"/><Relationship Id="rId19519" Type="http://schemas.openxmlformats.org/officeDocument/2006/relationships/hyperlink" Target="https://twitter.com/DubLuvTuning" TargetMode="External"/><Relationship Id="rId21063" Type="http://schemas.openxmlformats.org/officeDocument/2006/relationships/hyperlink" Target="https://pbs.twimg.com/profile_images/1584405366/EVW_shield_75x65_normal.png" TargetMode="External"/><Relationship Id="rId7476" Type="http://schemas.openxmlformats.org/officeDocument/2006/relationships/hyperlink" Target="https://twitter.com/ArentFoxAuto/status/723305409549758464" TargetMode="External"/><Relationship Id="rId10457" Type="http://schemas.openxmlformats.org/officeDocument/2006/relationships/hyperlink" Target="https://twitter.com/RA762/status/723473564569980929" TargetMode="External"/><Relationship Id="rId12906" Type="http://schemas.openxmlformats.org/officeDocument/2006/relationships/hyperlink" Target="https://twitter.com/johnmonkuk" TargetMode="External"/><Relationship Id="rId24286" Type="http://schemas.openxmlformats.org/officeDocument/2006/relationships/hyperlink" Target="https://twitter.com/drivingsales" TargetMode="External"/><Relationship Id="rId7129" Type="http://schemas.openxmlformats.org/officeDocument/2006/relationships/hyperlink" Target="https://twitter.com/DubLuvTuning/status/723280848942993408" TargetMode="External"/><Relationship Id="rId18602" Type="http://schemas.openxmlformats.org/officeDocument/2006/relationships/hyperlink" Target="https://twitter.com/juliawimbush/status/723882817696980994" TargetMode="External"/><Relationship Id="rId20896" Type="http://schemas.openxmlformats.org/officeDocument/2006/relationships/hyperlink" Target="https://twitter.com/ChefSweetcrunch" TargetMode="External"/><Relationship Id="rId3739" Type="http://schemas.openxmlformats.org/officeDocument/2006/relationships/hyperlink" Target="https://pbs.twimg.com/profile_images/456425310192291840/EItuhA9j_normal.jpeg" TargetMode="External"/><Relationship Id="rId16153" Type="http://schemas.openxmlformats.org/officeDocument/2006/relationships/hyperlink" Target="https://twitter.com/rplantt/status/723651926013947904" TargetMode="External"/><Relationship Id="rId20549" Type="http://schemas.openxmlformats.org/officeDocument/2006/relationships/hyperlink" Target="https://twitter.com/w_Ame7_NEWs" TargetMode="External"/><Relationship Id="rId6212" Type="http://schemas.openxmlformats.org/officeDocument/2006/relationships/hyperlink" Target="https://twitter.com/VWCamperSales/status/723235122539958272" TargetMode="External"/><Relationship Id="rId9782" Type="http://schemas.openxmlformats.org/officeDocument/2006/relationships/hyperlink" Target="https://pbs.twimg.com/profile_images/1993548720/DSC05277a_normal.jpg" TargetMode="External"/><Relationship Id="rId12763" Type="http://schemas.openxmlformats.org/officeDocument/2006/relationships/hyperlink" Target="https://twitter.com/myCarbe" TargetMode="External"/><Relationship Id="rId19376" Type="http://schemas.openxmlformats.org/officeDocument/2006/relationships/hyperlink" Target="https://twitter.com/VWCamperSales" TargetMode="External"/><Relationship Id="rId23022" Type="http://schemas.openxmlformats.org/officeDocument/2006/relationships/hyperlink" Target="https://twitter.com/CheeperSteeper/status/724265096810213376" TargetMode="External"/><Relationship Id="rId2822" Type="http://schemas.openxmlformats.org/officeDocument/2006/relationships/hyperlink" Target="https://pbs.twimg.com/profile_images/432785601452982272/RWDE1b--_normal.jpeg" TargetMode="External"/><Relationship Id="rId9435" Type="http://schemas.openxmlformats.org/officeDocument/2006/relationships/hyperlink" Target="https://twitter.com/gellis18/status/723434873084481536" TargetMode="External"/><Relationship Id="rId12416" Type="http://schemas.openxmlformats.org/officeDocument/2006/relationships/hyperlink" Target="https://twitter.com/dgauche/status/723519370077605889" TargetMode="External"/><Relationship Id="rId19029" Type="http://schemas.openxmlformats.org/officeDocument/2006/relationships/hyperlink" Target="https://pbs.twimg.com/profile_images/378800000817281664/8d452fa185db6be015743c4f6da0e6e1_normal.jpeg" TargetMode="External"/><Relationship Id="rId15986" Type="http://schemas.openxmlformats.org/officeDocument/2006/relationships/hyperlink" Target="https://twitter.com/FrancoBerlin1" TargetMode="External"/><Relationship Id="rId3596" Type="http://schemas.openxmlformats.org/officeDocument/2006/relationships/hyperlink" Target="https://pbs.twimg.com/profile_images/588324718677254145/-y5BbeY4_normal.png" TargetMode="External"/><Relationship Id="rId15639" Type="http://schemas.openxmlformats.org/officeDocument/2006/relationships/hyperlink" Target="https://pbs.twimg.com/profile_images/378800000572104796/1de43e1cf23efb3f4101c02afad0d3b6_normal.png" TargetMode="External"/><Relationship Id="rId18112" Type="http://schemas.openxmlformats.org/officeDocument/2006/relationships/hyperlink" Target="https://twitter.com/InstaHotNow1/status/723845645350498304" TargetMode="External"/><Relationship Id="rId22855" Type="http://schemas.openxmlformats.org/officeDocument/2006/relationships/hyperlink" Target="https://pbs.twimg.com/profile_images/561260741269811200/T_HN8Plv_normal.jpeg" TargetMode="External"/><Relationship Id="rId3249" Type="http://schemas.openxmlformats.org/officeDocument/2006/relationships/hyperlink" Target="https://twitter.com/alsternerd/status/723146353384280064" TargetMode="External"/><Relationship Id="rId20059" Type="http://schemas.openxmlformats.org/officeDocument/2006/relationships/hyperlink" Target="https://twitter.com/MSM_Marion" TargetMode="External"/><Relationship Id="rId22508" Type="http://schemas.openxmlformats.org/officeDocument/2006/relationships/hyperlink" Target="https://twitter.com/tywcc" TargetMode="External"/><Relationship Id="rId9292" Type="http://schemas.openxmlformats.org/officeDocument/2006/relationships/hyperlink" Target="https://twitter.com/virtualmotorpix/status/723429865051947008" TargetMode="External"/><Relationship Id="rId14722" Type="http://schemas.openxmlformats.org/officeDocument/2006/relationships/hyperlink" Target="https://twitter.com/DriveEv" TargetMode="External"/><Relationship Id="rId12273" Type="http://schemas.openxmlformats.org/officeDocument/2006/relationships/hyperlink" Target="https://pbs.twimg.com/profile_images/705043067687063553/6b7Abz4A_normal.jpg" TargetMode="External"/><Relationship Id="rId17945" Type="http://schemas.openxmlformats.org/officeDocument/2006/relationships/hyperlink" Target="https://pbs.twimg.com/profile_images/672878354127839232/M7OYc-zx_normal.jpg" TargetMode="External"/><Relationship Id="rId651" Type="http://schemas.openxmlformats.org/officeDocument/2006/relationships/hyperlink" Target="https://twitter.com/alfredlsdope" TargetMode="External"/><Relationship Id="rId2332" Type="http://schemas.openxmlformats.org/officeDocument/2006/relationships/hyperlink" Target="https://twitter.com/shamereflect/status/723096268893900800" TargetMode="External"/><Relationship Id="rId15496" Type="http://schemas.openxmlformats.org/officeDocument/2006/relationships/hyperlink" Target="https://twitter.com/ianb1550/status/723609507516035073" TargetMode="External"/><Relationship Id="rId24814" Type="http://schemas.openxmlformats.org/officeDocument/2006/relationships/hyperlink" Target="https://twitter.com/MllesNewlove" TargetMode="External"/><Relationship Id="rId304" Type="http://schemas.openxmlformats.org/officeDocument/2006/relationships/hyperlink" Target="https://twitter.com/OnlineCarReview" TargetMode="External"/><Relationship Id="rId5555" Type="http://schemas.openxmlformats.org/officeDocument/2006/relationships/hyperlink" Target="https://twitter.com/pillows_adam/status/723208110035329024" TargetMode="External"/><Relationship Id="rId15149" Type="http://schemas.openxmlformats.org/officeDocument/2006/relationships/hyperlink" Target="https://twitter.com/CraigBennett3" TargetMode="External"/><Relationship Id="rId22365" Type="http://schemas.openxmlformats.org/officeDocument/2006/relationships/hyperlink" Target="https://twitter.com/VWBeetleSales/status/724219866534682624" TargetMode="External"/><Relationship Id="rId5208" Type="http://schemas.openxmlformats.org/officeDocument/2006/relationships/hyperlink" Target="https://twitter.com/SeaJaysdetailin" TargetMode="External"/><Relationship Id="rId8778" Type="http://schemas.openxmlformats.org/officeDocument/2006/relationships/hyperlink" Target="https://twitter.com/amsonline/status/723406032920141826" TargetMode="External"/><Relationship Id="rId22018" Type="http://schemas.openxmlformats.org/officeDocument/2006/relationships/hyperlink" Target="https://pbs.twimg.com/profile_images/722518700427882496/rsO6Da_T_normal.jpg" TargetMode="External"/><Relationship Id="rId25588" Type="http://schemas.openxmlformats.org/officeDocument/2006/relationships/hyperlink" Target="https://pbs.twimg.com/profile_images/718587719580913668/vPZpdW4U_normal.jpg" TargetMode="External"/><Relationship Id="rId11759" Type="http://schemas.openxmlformats.org/officeDocument/2006/relationships/hyperlink" Target="https://twitter.com/MattFux" TargetMode="External"/><Relationship Id="rId1818" Type="http://schemas.openxmlformats.org/officeDocument/2006/relationships/hyperlink" Target="https://pbs.twimg.com/profile_images/682117963349135360/IUfZQy35_normal.png" TargetMode="External"/><Relationship Id="rId14232" Type="http://schemas.openxmlformats.org/officeDocument/2006/relationships/hyperlink" Target="https://pbs.twimg.com/profile_images/627949001179037696/skEBkS05_normal.jpg" TargetMode="External"/><Relationship Id="rId19904" Type="http://schemas.openxmlformats.org/officeDocument/2006/relationships/hyperlink" Target="https://twitter.com/majkStyle/status/723963158038233088" TargetMode="External"/><Relationship Id="rId161" Type="http://schemas.openxmlformats.org/officeDocument/2006/relationships/hyperlink" Target="https://pbs.twimg.com/profile_images/569800899141177344/nVFLMSdb_normal.png" TargetMode="External"/><Relationship Id="rId7861" Type="http://schemas.openxmlformats.org/officeDocument/2006/relationships/hyperlink" Target="https://twitter.com/Belen_Monzonn" TargetMode="External"/><Relationship Id="rId10842" Type="http://schemas.openxmlformats.org/officeDocument/2006/relationships/hyperlink" Target="https://twitter.com/VWBeetleSales/status/723487548899622912" TargetMode="External"/><Relationship Id="rId17455" Type="http://schemas.openxmlformats.org/officeDocument/2006/relationships/hyperlink" Target="https://twitter.com/HurstView1" TargetMode="External"/><Relationship Id="rId21101" Type="http://schemas.openxmlformats.org/officeDocument/2006/relationships/hyperlink" Target="https://twitter.com/andresito24301" TargetMode="External"/><Relationship Id="rId24671" Type="http://schemas.openxmlformats.org/officeDocument/2006/relationships/hyperlink" Target="https://twitter.com/beetlebug1938/status/724382982291767297" TargetMode="External"/><Relationship Id="rId7514" Type="http://schemas.openxmlformats.org/officeDocument/2006/relationships/hyperlink" Target="https://pbs.twimg.com/profile_images/664425631657156608/FPLRsPf7_normal.jpg" TargetMode="External"/><Relationship Id="rId17108" Type="http://schemas.openxmlformats.org/officeDocument/2006/relationships/hyperlink" Target="https://twitter.com/MRauleac" TargetMode="External"/><Relationship Id="rId24324" Type="http://schemas.openxmlformats.org/officeDocument/2006/relationships/hyperlink" Target="https://pbs.twimg.com/profile_images/459754327150972928/X6V7wHEO_normal.jpeg" TargetMode="External"/><Relationship Id="rId5065" Type="http://schemas.openxmlformats.org/officeDocument/2006/relationships/hyperlink" Target="https://twitter.com/sociokomm/status/723193562867896320" TargetMode="External"/><Relationship Id="rId1675" Type="http://schemas.openxmlformats.org/officeDocument/2006/relationships/hyperlink" Target="https://pbs.twimg.com/profile_images/565798050342260736/Nkumd_zj_normal.png" TargetMode="External"/><Relationship Id="rId8288" Type="http://schemas.openxmlformats.org/officeDocument/2006/relationships/hyperlink" Target="https://pbs.twimg.com/profile_images/682643085910736896/3tYj3xq1_normal.jpg" TargetMode="External"/><Relationship Id="rId11269" Type="http://schemas.openxmlformats.org/officeDocument/2006/relationships/hyperlink" Target="https://pbs.twimg.com/profile_images/687314255507513346/a83L5Opq_normal.jpg" TargetMode="External"/><Relationship Id="rId13718" Type="http://schemas.openxmlformats.org/officeDocument/2006/relationships/hyperlink" Target="https://twitter.com/VolkswagenPost/status/723554094535839748" TargetMode="External"/><Relationship Id="rId20934" Type="http://schemas.openxmlformats.org/officeDocument/2006/relationships/hyperlink" Target="https://pbs.twimg.com/profile_images/703294545195307008/qeCvrX86_normal.jpg" TargetMode="External"/><Relationship Id="rId25098" Type="http://schemas.openxmlformats.org/officeDocument/2006/relationships/hyperlink" Target="https://twitter.com/tweetexperte" TargetMode="External"/><Relationship Id="rId1328" Type="http://schemas.openxmlformats.org/officeDocument/2006/relationships/hyperlink" Target="https://twitter.com/VWCamperSales" TargetMode="External"/><Relationship Id="rId19761" Type="http://schemas.openxmlformats.org/officeDocument/2006/relationships/hyperlink" Target="https://twitter.com/Syrupshits" TargetMode="External"/><Relationship Id="rId4898" Type="http://schemas.openxmlformats.org/officeDocument/2006/relationships/hyperlink" Target="https://pbs.twimg.com/profile_images/718137079163650053/d5AO9qjF_normal.jpg" TargetMode="External"/><Relationship Id="rId7371" Type="http://schemas.openxmlformats.org/officeDocument/2006/relationships/hyperlink" Target="https://twitter.com/DLFNachrichten/status/723298251651297280" TargetMode="External"/><Relationship Id="rId9820" Type="http://schemas.openxmlformats.org/officeDocument/2006/relationships/hyperlink" Target="https://twitter.com/yhuberty/status/723450496200130560" TargetMode="External"/><Relationship Id="rId12801" Type="http://schemas.openxmlformats.org/officeDocument/2006/relationships/hyperlink" Target="https://pbs.twimg.com/profile_images/718820712757215233/LXXndPTS_normal.jpg" TargetMode="External"/><Relationship Id="rId19414" Type="http://schemas.openxmlformats.org/officeDocument/2006/relationships/hyperlink" Target="https://twitter.com/Lindsay_VW" TargetMode="External"/><Relationship Id="rId24181" Type="http://schemas.openxmlformats.org/officeDocument/2006/relationships/hyperlink" Target="https://twitter.com/dubbusses/status/724337137907318792" TargetMode="External"/><Relationship Id="rId34" Type="http://schemas.openxmlformats.org/officeDocument/2006/relationships/hyperlink" Target="https://twitter.com/beetlebug1938" TargetMode="External"/><Relationship Id="rId7024" Type="http://schemas.openxmlformats.org/officeDocument/2006/relationships/hyperlink" Target="https://twitter.com/MDBlanchfield" TargetMode="External"/><Relationship Id="rId10352" Type="http://schemas.openxmlformats.org/officeDocument/2006/relationships/hyperlink" Target="https://pbs.twimg.com/profile_images/425236817864974336/C2f777A1_normal.jpeg" TargetMode="External"/><Relationship Id="rId3981" Type="http://schemas.openxmlformats.org/officeDocument/2006/relationships/hyperlink" Target="https://pbs.twimg.com/profile_images/668091779313500160/ZepxnJcI_normal.jpg" TargetMode="External"/><Relationship Id="rId10005" Type="http://schemas.openxmlformats.org/officeDocument/2006/relationships/hyperlink" Target="https://pbs.twimg.com/profile_images/631826061446246400/nn2ngg0v_normal.jpg" TargetMode="External"/><Relationship Id="rId13575" Type="http://schemas.openxmlformats.org/officeDocument/2006/relationships/hyperlink" Target="https://twitter.com/VolkswagenPost" TargetMode="External"/><Relationship Id="rId20791" Type="http://schemas.openxmlformats.org/officeDocument/2006/relationships/hyperlink" Target="https://twitter.com/jenkspl64/status/724045107284971520" TargetMode="External"/><Relationship Id="rId3634" Type="http://schemas.openxmlformats.org/officeDocument/2006/relationships/hyperlink" Target="https://pbs.twimg.com/profile_images/742861504/KG_normal.jpg" TargetMode="External"/><Relationship Id="rId13228" Type="http://schemas.openxmlformats.org/officeDocument/2006/relationships/hyperlink" Target="https://twitter.com/zdmak/status/723540070599397376" TargetMode="External"/><Relationship Id="rId16798" Type="http://schemas.openxmlformats.org/officeDocument/2006/relationships/hyperlink" Target="https://twitter.com/skywalker5005/status/723733561224867840" TargetMode="External"/><Relationship Id="rId20444" Type="http://schemas.openxmlformats.org/officeDocument/2006/relationships/hyperlink" Target="https://twitter.com/fo_sag/status/723999028636205056" TargetMode="External"/><Relationship Id="rId1185" Type="http://schemas.openxmlformats.org/officeDocument/2006/relationships/hyperlink" Target="https://twitter.com/SummerOfTuning/status/723024437075947520" TargetMode="External"/><Relationship Id="rId6857" Type="http://schemas.openxmlformats.org/officeDocument/2006/relationships/hyperlink" Target="https://twitter.com/VWBeetleSales" TargetMode="External"/><Relationship Id="rId19271" Type="http://schemas.openxmlformats.org/officeDocument/2006/relationships/hyperlink" Target="https://twitter.com/dazvw/status/723925754732371969" TargetMode="External"/><Relationship Id="rId23667" Type="http://schemas.openxmlformats.org/officeDocument/2006/relationships/hyperlink" Target="https://pbs.twimg.com/profile_images/703294545195307008/qeCvrX86_normal.jpg" TargetMode="External"/><Relationship Id="rId9330" Type="http://schemas.openxmlformats.org/officeDocument/2006/relationships/hyperlink" Target="https://twitter.com/BujangJalang_" TargetMode="External"/><Relationship Id="rId12311" Type="http://schemas.openxmlformats.org/officeDocument/2006/relationships/hyperlink" Target="https://twitter.com/fzerfass" TargetMode="External"/><Relationship Id="rId15881" Type="http://schemas.openxmlformats.org/officeDocument/2006/relationships/hyperlink" Target="https://twitter.com/J_A_Goodwin/status/723635613493161985" TargetMode="External"/><Relationship Id="rId5940" Type="http://schemas.openxmlformats.org/officeDocument/2006/relationships/hyperlink" Target="https://pbs.twimg.com/profile_images/132050727/upshift-avatar_normal.png" TargetMode="External"/><Relationship Id="rId15534" Type="http://schemas.openxmlformats.org/officeDocument/2006/relationships/hyperlink" Target="https://pbs.twimg.com/profile_images/422164778639839234/LVnS1q1c_normal.jpeg" TargetMode="External"/><Relationship Id="rId22750" Type="http://schemas.openxmlformats.org/officeDocument/2006/relationships/hyperlink" Target="https://twitter.com/VCT_Tweets" TargetMode="External"/><Relationship Id="rId3491" Type="http://schemas.openxmlformats.org/officeDocument/2006/relationships/hyperlink" Target="https://pbs.twimg.com/profile_images/717914776274354176/xI6HAzkq_normal.jpg" TargetMode="External"/><Relationship Id="rId13085" Type="http://schemas.openxmlformats.org/officeDocument/2006/relationships/hyperlink" Target="https://twitter.com/PatrickNordhoff" TargetMode="External"/><Relationship Id="rId18757" Type="http://schemas.openxmlformats.org/officeDocument/2006/relationships/hyperlink" Target="https://twitter.com/GPAssetFinance" TargetMode="External"/><Relationship Id="rId22403" Type="http://schemas.openxmlformats.org/officeDocument/2006/relationships/hyperlink" Target="https://twitter.com/Teresaribera/status/724222246357741568" TargetMode="External"/><Relationship Id="rId3144" Type="http://schemas.openxmlformats.org/officeDocument/2006/relationships/hyperlink" Target="https://twitter.com/oldcar_photo/status/723144090586591233" TargetMode="External"/><Relationship Id="rId8816" Type="http://schemas.openxmlformats.org/officeDocument/2006/relationships/hyperlink" Target="https://twitter.com/1lotscalper_fx" TargetMode="External"/><Relationship Id="rId25626" Type="http://schemas.openxmlformats.org/officeDocument/2006/relationships/hyperlink" Target="https://twitter.com/HuntingtonPicks" TargetMode="External"/><Relationship Id="rId6367" Type="http://schemas.openxmlformats.org/officeDocument/2006/relationships/hyperlink" Target="https://twitter.com/Covhour" TargetMode="External"/><Relationship Id="rId23177" Type="http://schemas.openxmlformats.org/officeDocument/2006/relationships/hyperlink" Target="https://twitter.com/CllrLyleDavy/status/724272536607948800" TargetMode="External"/><Relationship Id="rId17840" Type="http://schemas.openxmlformats.org/officeDocument/2006/relationships/hyperlink" Target="https://pbs.twimg.com/profile_images/458963386147934208/n6yx4LOp_normal.jpeg" TargetMode="External"/><Relationship Id="rId2977" Type="http://schemas.openxmlformats.org/officeDocument/2006/relationships/hyperlink" Target="https://twitter.com/nolenje/status/723129700390940672" TargetMode="External"/><Relationship Id="rId5450" Type="http://schemas.openxmlformats.org/officeDocument/2006/relationships/hyperlink" Target="https://twitter.com/Pianoede/status/723203734973616128" TargetMode="External"/><Relationship Id="rId15044" Type="http://schemas.openxmlformats.org/officeDocument/2006/relationships/hyperlink" Target="https://twitter.com/Gurupro" TargetMode="External"/><Relationship Id="rId15391" Type="http://schemas.openxmlformats.org/officeDocument/2006/relationships/hyperlink" Target="https://twitter.com/bilanmagazine" TargetMode="External"/><Relationship Id="rId22260" Type="http://schemas.openxmlformats.org/officeDocument/2006/relationships/hyperlink" Target="https://twitter.com/Scirocco_Tuning" TargetMode="External"/><Relationship Id="rId949" Type="http://schemas.openxmlformats.org/officeDocument/2006/relationships/hyperlink" Target="https://pbs.twimg.com/profile_images/378800000854855954/0d555726054b01e3c9d6b5241432dc4a_normal.jpeg" TargetMode="External"/><Relationship Id="rId5103" Type="http://schemas.openxmlformats.org/officeDocument/2006/relationships/hyperlink" Target="https://twitter.com/RecorderTweets" TargetMode="External"/><Relationship Id="rId8673" Type="http://schemas.openxmlformats.org/officeDocument/2006/relationships/hyperlink" Target="https://twitter.com/StaceJake/status/723401636073197570" TargetMode="External"/><Relationship Id="rId11654" Type="http://schemas.openxmlformats.org/officeDocument/2006/relationships/hyperlink" Target="https://pbs.twimg.com/profile_images/2289706087/q66ajanznpfm87cybp5p_normal.jpeg" TargetMode="External"/><Relationship Id="rId18267" Type="http://schemas.openxmlformats.org/officeDocument/2006/relationships/hyperlink" Target="https://pbs.twimg.com/profile_images/552037189328982016/r65JRGTS_normal.jpeg" TargetMode="External"/><Relationship Id="rId25483" Type="http://schemas.openxmlformats.org/officeDocument/2006/relationships/hyperlink" Target="https://twitter.com/brhodes1997" TargetMode="External"/><Relationship Id="rId1713" Type="http://schemas.openxmlformats.org/officeDocument/2006/relationships/hyperlink" Target="https://twitter.com/AFECTADOGRUPOVW" TargetMode="External"/><Relationship Id="rId8326" Type="http://schemas.openxmlformats.org/officeDocument/2006/relationships/hyperlink" Target="https://twitter.com/ivankoznar" TargetMode="External"/><Relationship Id="rId11307" Type="http://schemas.openxmlformats.org/officeDocument/2006/relationships/hyperlink" Target="https://twitter.com/punjabimodern1" TargetMode="External"/><Relationship Id="rId14877" Type="http://schemas.openxmlformats.org/officeDocument/2006/relationships/hyperlink" Target="https://pbs.twimg.com/profile_images/722995209903169536/IRFOZNS2_normal.jpg" TargetMode="External"/><Relationship Id="rId25136" Type="http://schemas.openxmlformats.org/officeDocument/2006/relationships/hyperlink" Target="https://twitter.com/enano_81/status/724423171726671872" TargetMode="External"/><Relationship Id="rId4936" Type="http://schemas.openxmlformats.org/officeDocument/2006/relationships/hyperlink" Target="https://pbs.twimg.com/profile_images/654027844952133632/fMu2jQQm_normal.jpg" TargetMode="External"/><Relationship Id="rId17350" Type="http://schemas.openxmlformats.org/officeDocument/2006/relationships/hyperlink" Target="https://pbs.twimg.com/profile_images/378800000801365829/e9f28f8996ff7f098d9b8a1840e76f50_normal.png" TargetMode="External"/><Relationship Id="rId21746" Type="http://schemas.openxmlformats.org/officeDocument/2006/relationships/hyperlink" Target="https://twitter.com/GolfitIt/status/724176378334183424" TargetMode="External"/><Relationship Id="rId2487" Type="http://schemas.openxmlformats.org/officeDocument/2006/relationships/hyperlink" Target="https://twitter.com/Iteration23/status/723102893683822592" TargetMode="External"/><Relationship Id="rId17003" Type="http://schemas.openxmlformats.org/officeDocument/2006/relationships/hyperlink" Target="https://twitter.com/FuscaWorld/status/723761597672464384" TargetMode="External"/><Relationship Id="rId459" Type="http://schemas.openxmlformats.org/officeDocument/2006/relationships/hyperlink" Target="https://twitter.com/EuroshopVW/status/722960413277577216" TargetMode="External"/><Relationship Id="rId13960" Type="http://schemas.openxmlformats.org/officeDocument/2006/relationships/hyperlink" Target="https://twitter.com/Automobilwoche/status/723559853558513664" TargetMode="External"/><Relationship Id="rId24969" Type="http://schemas.openxmlformats.org/officeDocument/2006/relationships/hyperlink" Target="https://pbs.twimg.com/profile_images/667876096088653825/FOW14Ke4_normal.jpg" TargetMode="External"/><Relationship Id="rId8183" Type="http://schemas.openxmlformats.org/officeDocument/2006/relationships/hyperlink" Target="https://pbs.twimg.com/profile_images/2586380116/image_normal.jpg" TargetMode="External"/><Relationship Id="rId13613" Type="http://schemas.openxmlformats.org/officeDocument/2006/relationships/hyperlink" Target="https://pbs.twimg.com/profile_images/522759312028884992/6n24auYw_normal.png" TargetMode="External"/><Relationship Id="rId1570" Type="http://schemas.openxmlformats.org/officeDocument/2006/relationships/hyperlink" Target="https://pbs.twimg.com/profile_images/378800000532695479/bc3f9d473554281643b5e76aa3306944_normal.jpeg" TargetMode="External"/><Relationship Id="rId11164" Type="http://schemas.openxmlformats.org/officeDocument/2006/relationships/hyperlink" Target="https://twitter.com/sabinahasanova7/status/723498586177191936" TargetMode="External"/><Relationship Id="rId16836" Type="http://schemas.openxmlformats.org/officeDocument/2006/relationships/hyperlink" Target="https://twitter.com/BlogCarsPassion" TargetMode="External"/><Relationship Id="rId1223" Type="http://schemas.openxmlformats.org/officeDocument/2006/relationships/hyperlink" Target="https://twitter.com/Werner__Venter" TargetMode="External"/><Relationship Id="rId4793" Type="http://schemas.openxmlformats.org/officeDocument/2006/relationships/hyperlink" Target="https://twitter.com/Sagenwirmalso/status/723187927807889408" TargetMode="External"/><Relationship Id="rId14387" Type="http://schemas.openxmlformats.org/officeDocument/2006/relationships/hyperlink" Target="https://pbs.twimg.com/profile_images/718820712757215233/LXXndPTS_normal.jpg" TargetMode="External"/><Relationship Id="rId23705" Type="http://schemas.openxmlformats.org/officeDocument/2006/relationships/hyperlink" Target="https://twitter.com/beetlebug1938" TargetMode="External"/><Relationship Id="rId4446" Type="http://schemas.openxmlformats.org/officeDocument/2006/relationships/hyperlink" Target="https://twitter.com/tstephensvw" TargetMode="External"/><Relationship Id="rId21256" Type="http://schemas.openxmlformats.org/officeDocument/2006/relationships/hyperlink" Target="https://pbs.twimg.com/profile_images/718820712757215233/LXXndPTS_normal.jpg" TargetMode="External"/><Relationship Id="rId7669" Type="http://schemas.openxmlformats.org/officeDocument/2006/relationships/hyperlink" Target="https://twitter.com/DLFNachrichten" TargetMode="External"/><Relationship Id="rId10997" Type="http://schemas.openxmlformats.org/officeDocument/2006/relationships/hyperlink" Target="https://twitter.com/HpGregory/status/723494057750716416" TargetMode="External"/><Relationship Id="rId24479" Type="http://schemas.openxmlformats.org/officeDocument/2006/relationships/hyperlink" Target="https://twitter.com/deanomsport/status/724363600471724032" TargetMode="External"/><Relationship Id="rId13123" Type="http://schemas.openxmlformats.org/officeDocument/2006/relationships/hyperlink" Target="https://twitter.com/BonBruteTruand" TargetMode="External"/><Relationship Id="rId13470" Type="http://schemas.openxmlformats.org/officeDocument/2006/relationships/hyperlink" Target="https://twitter.com/Sumsi_/status/723548445206827008" TargetMode="External"/><Relationship Id="rId1080" Type="http://schemas.openxmlformats.org/officeDocument/2006/relationships/hyperlink" Target="https://twitter.com/calerliu" TargetMode="External"/><Relationship Id="rId16693" Type="http://schemas.openxmlformats.org/officeDocument/2006/relationships/hyperlink" Target="https://pbs.twimg.com/profile_images/638327600486719488/Z-1qM3qs_normal.jpg" TargetMode="External"/><Relationship Id="rId6752" Type="http://schemas.openxmlformats.org/officeDocument/2006/relationships/hyperlink" Target="https://twitter.com/ENGautoevents/status/723257335938985984" TargetMode="External"/><Relationship Id="rId16346" Type="http://schemas.openxmlformats.org/officeDocument/2006/relationships/hyperlink" Target="https://twitter.com/KMennerFineArt/status/723670135219712000" TargetMode="External"/><Relationship Id="rId23562" Type="http://schemas.openxmlformats.org/officeDocument/2006/relationships/hyperlink" Target="https://pbs.twimg.com/profile_images/702511217793863680/lty8h9vE_normal.jpg" TargetMode="External"/><Relationship Id="rId6405" Type="http://schemas.openxmlformats.org/officeDocument/2006/relationships/hyperlink" Target="https://twitter.com/Thompson_VW" TargetMode="External"/><Relationship Id="rId9975" Type="http://schemas.openxmlformats.org/officeDocument/2006/relationships/hyperlink" Target="https://pbs.twimg.com/profile_images/720645057452355584/gMtuN1tX_normal.jpg" TargetMode="External"/><Relationship Id="rId12956" Type="http://schemas.openxmlformats.org/officeDocument/2006/relationships/hyperlink" Target="https://pbs.twimg.com/profile_images/652871584131092480/QA_B6SBO_normal.jpg" TargetMode="External"/><Relationship Id="rId19569" Type="http://schemas.openxmlformats.org/officeDocument/2006/relationships/hyperlink" Target="https://twitter.com/ldnsecuritysynd/status/723940680263962624" TargetMode="External"/><Relationship Id="rId23215" Type="http://schemas.openxmlformats.org/officeDocument/2006/relationships/hyperlink" Target="https://twitter.com/naturewilds/status/724273663147696128" TargetMode="External"/><Relationship Id="rId9628" Type="http://schemas.openxmlformats.org/officeDocument/2006/relationships/hyperlink" Target="https://twitter.com/AutoNewsEurope/status/723442877083213824" TargetMode="External"/><Relationship Id="rId12609" Type="http://schemas.openxmlformats.org/officeDocument/2006/relationships/hyperlink" Target="https://twitter.com/DaveTrowel/status/723523588473626624" TargetMode="External"/><Relationship Id="rId7179" Type="http://schemas.openxmlformats.org/officeDocument/2006/relationships/hyperlink" Target="https://pbs.twimg.com/profile_images/695214565102129153/bpGeoCoy_normal.jpg" TargetMode="External"/><Relationship Id="rId3789" Type="http://schemas.openxmlformats.org/officeDocument/2006/relationships/hyperlink" Target="https://twitter.com/Ruchser/status/723169595348135936" TargetMode="External"/><Relationship Id="rId18652" Type="http://schemas.openxmlformats.org/officeDocument/2006/relationships/hyperlink" Target="https://twitter.com/DerLuggas/status/723887554496442368" TargetMode="External"/><Relationship Id="rId20599" Type="http://schemas.openxmlformats.org/officeDocument/2006/relationships/hyperlink" Target="https://twitter.com/dubbusses" TargetMode="External"/><Relationship Id="rId6262" Type="http://schemas.openxmlformats.org/officeDocument/2006/relationships/hyperlink" Target="https://twitter.com/VWCamperSales/status/723236888052523008" TargetMode="External"/><Relationship Id="rId8711" Type="http://schemas.openxmlformats.org/officeDocument/2006/relationships/hyperlink" Target="https://pbs.twimg.com/profile_images/663751331430141952/pqnM4ICz_normal.jpg" TargetMode="External"/><Relationship Id="rId18305" Type="http://schemas.openxmlformats.org/officeDocument/2006/relationships/hyperlink" Target="https://twitter.com/1JulianMartinez/status/723859938729181184" TargetMode="External"/><Relationship Id="rId23072" Type="http://schemas.openxmlformats.org/officeDocument/2006/relationships/hyperlink" Target="https://pbs.twimg.com/profile_images/704757606351572993/F8cQ-_EW_normal.jpg" TargetMode="External"/><Relationship Id="rId25521" Type="http://schemas.openxmlformats.org/officeDocument/2006/relationships/hyperlink" Target="https://pbs.twimg.com/profile_images/652871584131092480/QA_B6SBO_normal.jpg" TargetMode="External"/><Relationship Id="rId14915" Type="http://schemas.openxmlformats.org/officeDocument/2006/relationships/hyperlink" Target="https://pbs.twimg.com/profile_images/592417094983102464/xowRMPEE_normal.jpg" TargetMode="External"/><Relationship Id="rId2872" Type="http://schemas.openxmlformats.org/officeDocument/2006/relationships/hyperlink" Target="https://twitter.com/ae_cuellar/status/723122549295570944" TargetMode="External"/><Relationship Id="rId9485" Type="http://schemas.openxmlformats.org/officeDocument/2006/relationships/hyperlink" Target="https://twitter.com/twittonium/status/723436939383173121" TargetMode="External"/><Relationship Id="rId12466" Type="http://schemas.openxmlformats.org/officeDocument/2006/relationships/hyperlink" Target="https://twitter.com/mokomokai" TargetMode="External"/><Relationship Id="rId19079" Type="http://schemas.openxmlformats.org/officeDocument/2006/relationships/hyperlink" Target="https://twitter.com/gjPandaBouseKe/status/723918791386779648" TargetMode="External"/><Relationship Id="rId844" Type="http://schemas.openxmlformats.org/officeDocument/2006/relationships/hyperlink" Target="https://twitter.com/FilipKekusz" TargetMode="External"/><Relationship Id="rId2525" Type="http://schemas.openxmlformats.org/officeDocument/2006/relationships/hyperlink" Target="https://twitter.com/AlGrossnickle" TargetMode="External"/><Relationship Id="rId9138" Type="http://schemas.openxmlformats.org/officeDocument/2006/relationships/hyperlink" Target="https://twitter.com/UsatoAutoSystem" TargetMode="External"/><Relationship Id="rId12119" Type="http://schemas.openxmlformats.org/officeDocument/2006/relationships/hyperlink" Target="https://twitter.com/gauer99" TargetMode="External"/><Relationship Id="rId15689" Type="http://schemas.openxmlformats.org/officeDocument/2006/relationships/hyperlink" Target="https://pbs.twimg.com/profile_images/1157883957/Twitter_rheto_normal.jpg" TargetMode="External"/><Relationship Id="rId5748" Type="http://schemas.openxmlformats.org/officeDocument/2006/relationships/hyperlink" Target="https://twitter.com/Ricardpiccolojr/status/723215585807577089" TargetMode="External"/><Relationship Id="rId18162" Type="http://schemas.openxmlformats.org/officeDocument/2006/relationships/hyperlink" Target="https://twitter.com/HeadBistro" TargetMode="External"/><Relationship Id="rId22558" Type="http://schemas.openxmlformats.org/officeDocument/2006/relationships/hyperlink" Target="https://pbs.twimg.com/profile_images/1120599693/vwdrc-new-logo_normal.jpg" TargetMode="External"/><Relationship Id="rId3299" Type="http://schemas.openxmlformats.org/officeDocument/2006/relationships/hyperlink" Target="https://pbs.twimg.com/profile_images/556765567663603712/LglvzIPk_normal.jpeg" TargetMode="External"/><Relationship Id="rId8221" Type="http://schemas.openxmlformats.org/officeDocument/2006/relationships/hyperlink" Target="https://twitter.com/roem1212/status/723378190094229504" TargetMode="External"/><Relationship Id="rId11202" Type="http://schemas.openxmlformats.org/officeDocument/2006/relationships/hyperlink" Target="https://pbs.twimg.com/profile_images/703294545195307008/qeCvrX86_normal.jpg" TargetMode="External"/><Relationship Id="rId25031" Type="http://schemas.openxmlformats.org/officeDocument/2006/relationships/hyperlink" Target="https://twitter.com/Lil_Lorii/status/724412817571377153" TargetMode="External"/><Relationship Id="rId14772" Type="http://schemas.openxmlformats.org/officeDocument/2006/relationships/hyperlink" Target="https://pbs.twimg.com/profile_images/689764385410191360/zjcXtdHi_normal.jpg" TargetMode="External"/><Relationship Id="rId2382" Type="http://schemas.openxmlformats.org/officeDocument/2006/relationships/hyperlink" Target="https://twitter.com/helkearo/status/723097584198242304" TargetMode="External"/><Relationship Id="rId4831" Type="http://schemas.openxmlformats.org/officeDocument/2006/relationships/hyperlink" Target="https://twitter.com/franzsch2" TargetMode="External"/><Relationship Id="rId14425" Type="http://schemas.openxmlformats.org/officeDocument/2006/relationships/hyperlink" Target="https://twitter.com/RayGoldbaer/status/723573710385459200" TargetMode="External"/><Relationship Id="rId17995" Type="http://schemas.openxmlformats.org/officeDocument/2006/relationships/hyperlink" Target="https://twitter.com/maximarquezok" TargetMode="External"/><Relationship Id="rId21641" Type="http://schemas.openxmlformats.org/officeDocument/2006/relationships/hyperlink" Target="http://dlvr.it/" TargetMode="External"/><Relationship Id="rId354" Type="http://schemas.openxmlformats.org/officeDocument/2006/relationships/hyperlink" Target="https://twitter.com/beetlebug1938/status/722950139111948289" TargetMode="External"/><Relationship Id="rId2035" Type="http://schemas.openxmlformats.org/officeDocument/2006/relationships/hyperlink" Target="https://twitter.com/VWBeetleSales/status/723078345345224704" TargetMode="External"/><Relationship Id="rId17648" Type="http://schemas.openxmlformats.org/officeDocument/2006/relationships/hyperlink" Target="https://pbs.twimg.com/profile_images/1643829292/gilgenbach_negativ_normal.jpg" TargetMode="External"/><Relationship Id="rId24864" Type="http://schemas.openxmlformats.org/officeDocument/2006/relationships/hyperlink" Target="https://twitter.com/EeZeEpEe/status/724393934710013952" TargetMode="External"/><Relationship Id="rId7707" Type="http://schemas.openxmlformats.org/officeDocument/2006/relationships/hyperlink" Target="https://twitter.com/beto_rh6/status/723324723283693568" TargetMode="External"/><Relationship Id="rId15199" Type="http://schemas.openxmlformats.org/officeDocument/2006/relationships/hyperlink" Target="https://twitter.com/JrekAutocare/status/723598633476694017" TargetMode="External"/><Relationship Id="rId24517" Type="http://schemas.openxmlformats.org/officeDocument/2006/relationships/hyperlink" Target="https://twitter.com/beetlebug1938/status/724367682028638208" TargetMode="External"/><Relationship Id="rId5258" Type="http://schemas.openxmlformats.org/officeDocument/2006/relationships/hyperlink" Target="https://pbs.twimg.com/profile_images/1913087124/AvW_website_normal.jpg" TargetMode="External"/><Relationship Id="rId22068" Type="http://schemas.openxmlformats.org/officeDocument/2006/relationships/hyperlink" Target="https://pbs.twimg.com/profile_images/672878354127839232/M7OYc-zx_normal.jpg" TargetMode="External"/><Relationship Id="rId1868" Type="http://schemas.openxmlformats.org/officeDocument/2006/relationships/hyperlink" Target="https://twitter.com/LiseDeshautel/status/723064191557337088" TargetMode="External"/><Relationship Id="rId14282" Type="http://schemas.openxmlformats.org/officeDocument/2006/relationships/hyperlink" Target="https://twitter.com/VolkswagenPost/status/723571437622185984" TargetMode="External"/><Relationship Id="rId16731" Type="http://schemas.openxmlformats.org/officeDocument/2006/relationships/hyperlink" Target="https://twitter.com/vagcafe/status/723721118864019456" TargetMode="External"/><Relationship Id="rId4341" Type="http://schemas.openxmlformats.org/officeDocument/2006/relationships/hyperlink" Target="https://twitter.com/VWBeetleSales" TargetMode="External"/><Relationship Id="rId19954" Type="http://schemas.openxmlformats.org/officeDocument/2006/relationships/hyperlink" Target="https://twitter.com/ctrangoni" TargetMode="External"/><Relationship Id="rId21151" Type="http://schemas.openxmlformats.org/officeDocument/2006/relationships/hyperlink" Target="https://pbs.twimg.com/profile_images/722414837112926208/qDYpjKZY_normal.jpg" TargetMode="External"/><Relationship Id="rId23600" Type="http://schemas.openxmlformats.org/officeDocument/2006/relationships/hyperlink" Target="https://pbs.twimg.com/profile_images/710122631236681728/ii4WJ1om_normal.jpg" TargetMode="External"/><Relationship Id="rId10892" Type="http://schemas.openxmlformats.org/officeDocument/2006/relationships/hyperlink" Target="https://pbs.twimg.com/profile_images/632951983209476096/aMWtpptN_normal.jpg" TargetMode="External"/><Relationship Id="rId19607" Type="http://schemas.openxmlformats.org/officeDocument/2006/relationships/hyperlink" Target="https://twitter.com/B83ART" TargetMode="External"/><Relationship Id="rId7564" Type="http://schemas.openxmlformats.org/officeDocument/2006/relationships/hyperlink" Target="https://twitter.com/rigogereon/status/723313227774476288" TargetMode="External"/><Relationship Id="rId10545" Type="http://schemas.openxmlformats.org/officeDocument/2006/relationships/hyperlink" Target="https://twitter.com/nzrosie1" TargetMode="External"/><Relationship Id="rId17158" Type="http://schemas.openxmlformats.org/officeDocument/2006/relationships/hyperlink" Target="https://twitter.com/suma_we" TargetMode="External"/><Relationship Id="rId24374" Type="http://schemas.openxmlformats.org/officeDocument/2006/relationships/hyperlink" Target="https://twitter.com/dubbusses" TargetMode="External"/><Relationship Id="rId7217" Type="http://schemas.openxmlformats.org/officeDocument/2006/relationships/hyperlink" Target="https://twitter.com/VAGFanArg/status/723286598805274624" TargetMode="External"/><Relationship Id="rId13768" Type="http://schemas.openxmlformats.org/officeDocument/2006/relationships/hyperlink" Target="https://twitter.com/miguel_jaimes14" TargetMode="External"/><Relationship Id="rId20984" Type="http://schemas.openxmlformats.org/officeDocument/2006/relationships/hyperlink" Target="https://twitter.com/oldcar_photo/status/724077611010408448" TargetMode="External"/><Relationship Id="rId24027" Type="http://schemas.openxmlformats.org/officeDocument/2006/relationships/hyperlink" Target="https://pbs.twimg.com/profile_images/471351230212501504/x8Z0ncVJ_normal.jpeg" TargetMode="External"/><Relationship Id="rId3827" Type="http://schemas.openxmlformats.org/officeDocument/2006/relationships/hyperlink" Target="https://twitter.com/franz_rother" TargetMode="External"/><Relationship Id="rId16241" Type="http://schemas.openxmlformats.org/officeDocument/2006/relationships/hyperlink" Target="https://twitter.com/Fabio_gonzalezs" TargetMode="External"/><Relationship Id="rId20637" Type="http://schemas.openxmlformats.org/officeDocument/2006/relationships/hyperlink" Target="https://pbs.twimg.com/profile_images/562314571428679680/5vkStNXp_normal.jpeg" TargetMode="External"/><Relationship Id="rId1378" Type="http://schemas.openxmlformats.org/officeDocument/2006/relationships/hyperlink" Target="https://pbs.twimg.com/profile_images/502398043379859459/MXV7u33Q_normal.jpeg" TargetMode="External"/><Relationship Id="rId6300" Type="http://schemas.openxmlformats.org/officeDocument/2006/relationships/hyperlink" Target="https://twitter.com/PC_360/status/723238670258585600" TargetMode="External"/><Relationship Id="rId9870" Type="http://schemas.openxmlformats.org/officeDocument/2006/relationships/hyperlink" Target="https://twitter.com/x3m_f" TargetMode="External"/><Relationship Id="rId19464" Type="http://schemas.openxmlformats.org/officeDocument/2006/relationships/hyperlink" Target="https://twitter.com/ChrisJ0404" TargetMode="External"/><Relationship Id="rId23110" Type="http://schemas.openxmlformats.org/officeDocument/2006/relationships/hyperlink" Target="https://pbs.twimg.com/profile_images/718820712757215233/LXXndPTS_normal.jpg" TargetMode="External"/><Relationship Id="rId84" Type="http://schemas.openxmlformats.org/officeDocument/2006/relationships/hyperlink" Target="https://pbs.twimg.com/profile_images/1623055213/download_normal.jpg" TargetMode="External"/><Relationship Id="rId9523" Type="http://schemas.openxmlformats.org/officeDocument/2006/relationships/hyperlink" Target="https://twitter.com/TalaQaraeen" TargetMode="External"/><Relationship Id="rId12851" Type="http://schemas.openxmlformats.org/officeDocument/2006/relationships/hyperlink" Target="https://twitter.com/LarryRoeschVW" TargetMode="External"/><Relationship Id="rId19117" Type="http://schemas.openxmlformats.org/officeDocument/2006/relationships/hyperlink" Target="https://twitter.com/handelsblatt/status/723920475387236352" TargetMode="External"/><Relationship Id="rId2910" Type="http://schemas.openxmlformats.org/officeDocument/2006/relationships/hyperlink" Target="https://twitter.com/saudi_carz" TargetMode="External"/><Relationship Id="rId7074" Type="http://schemas.openxmlformats.org/officeDocument/2006/relationships/hyperlink" Target="https://twitter.com/itzcel58Dolan" TargetMode="External"/><Relationship Id="rId12504" Type="http://schemas.openxmlformats.org/officeDocument/2006/relationships/hyperlink" Target="https://pbs.twimg.com/profile_images/704424786777280513/YQVkJF57_normal.jpg" TargetMode="External"/><Relationship Id="rId10055" Type="http://schemas.openxmlformats.org/officeDocument/2006/relationships/hyperlink" Target="https://twitter.com/MarkCSchneider/status/723460245108994048" TargetMode="External"/><Relationship Id="rId15727" Type="http://schemas.openxmlformats.org/officeDocument/2006/relationships/hyperlink" Target="https://twitter.com/cotillo1/status/723622376735387648" TargetMode="External"/><Relationship Id="rId22943" Type="http://schemas.openxmlformats.org/officeDocument/2006/relationships/hyperlink" Target="https://pbs.twimg.com/profile_images/703294545195307008/qeCvrX86_normal.jpg" TargetMode="External"/><Relationship Id="rId3684" Type="http://schemas.openxmlformats.org/officeDocument/2006/relationships/hyperlink" Target="https://twitter.com/aktionaer" TargetMode="External"/><Relationship Id="rId13278" Type="http://schemas.openxmlformats.org/officeDocument/2006/relationships/hyperlink" Target="https://pbs.twimg.com/profile_images/2990215932/3d67f4dbdf71510d4c8e81b422b73de8_normal.jpeg" TargetMode="External"/><Relationship Id="rId18200" Type="http://schemas.openxmlformats.org/officeDocument/2006/relationships/hyperlink" Target="https://twitter.com/OnlineCarReview/status/723850907578834953" TargetMode="External"/><Relationship Id="rId20494" Type="http://schemas.openxmlformats.org/officeDocument/2006/relationships/hyperlink" Target="https://twitter.com/VWBeetleSales" TargetMode="External"/><Relationship Id="rId3337" Type="http://schemas.openxmlformats.org/officeDocument/2006/relationships/hyperlink" Target="https://twitter.com/hashtagvanlife" TargetMode="External"/><Relationship Id="rId20147" Type="http://schemas.openxmlformats.org/officeDocument/2006/relationships/hyperlink" Target="https://pbs.twimg.com/profile_images/667831305875378177/4ZrgN1Qw_normal.jpg" TargetMode="External"/><Relationship Id="rId9380" Type="http://schemas.openxmlformats.org/officeDocument/2006/relationships/hyperlink" Target="https://twitter.com/sagaron62/status/723432937903943680" TargetMode="External"/><Relationship Id="rId12361" Type="http://schemas.openxmlformats.org/officeDocument/2006/relationships/hyperlink" Target="https://pbs.twimg.com/profile_images/694544968380211200/WqH7tnjz_normal.png" TargetMode="External"/><Relationship Id="rId14810" Type="http://schemas.openxmlformats.org/officeDocument/2006/relationships/hyperlink" Target="https://twitter.com/LucasBarra22" TargetMode="External"/><Relationship Id="rId2420" Type="http://schemas.openxmlformats.org/officeDocument/2006/relationships/hyperlink" Target="https://pbs.twimg.com/profile_images/626773115566206976/VmLXjrX1_normal.jpg" TargetMode="External"/><Relationship Id="rId9033" Type="http://schemas.openxmlformats.org/officeDocument/2006/relationships/hyperlink" Target="https://twitter.com/MHubertus" TargetMode="External"/><Relationship Id="rId12014" Type="http://schemas.openxmlformats.org/officeDocument/2006/relationships/hyperlink" Target="https://twitter.com/MDRINFO/status/723512017886306305" TargetMode="External"/><Relationship Id="rId5990" Type="http://schemas.openxmlformats.org/officeDocument/2006/relationships/hyperlink" Target="https://pbs.twimg.com/profile_images/633346351221342208/RyQCzZwY_normal.jpg" TargetMode="External"/><Relationship Id="rId15584" Type="http://schemas.openxmlformats.org/officeDocument/2006/relationships/hyperlink" Target="https://twitter.com/dhenneton/status/723614876661350400" TargetMode="External"/><Relationship Id="rId24902" Type="http://schemas.openxmlformats.org/officeDocument/2006/relationships/hyperlink" Target="https://pbs.twimg.com/profile_images/718835727027580928/1ssyQ67y_normal.jpg" TargetMode="External"/><Relationship Id="rId3194" Type="http://schemas.openxmlformats.org/officeDocument/2006/relationships/hyperlink" Target="https://pbs.twimg.com/profile_images/708280127025598464/akwVZYwc_normal.jpg" TargetMode="External"/><Relationship Id="rId5643" Type="http://schemas.openxmlformats.org/officeDocument/2006/relationships/hyperlink" Target="https://twitter.com/VeeDubMk1_/status/723211589025976320" TargetMode="External"/><Relationship Id="rId15237" Type="http://schemas.openxmlformats.org/officeDocument/2006/relationships/hyperlink" Target="https://twitter.com/macbeth1208" TargetMode="External"/><Relationship Id="rId22453" Type="http://schemas.openxmlformats.org/officeDocument/2006/relationships/hyperlink" Target="https://pbs.twimg.com/profile_images/718835727027580928/1ssyQ67y_normal.jpg" TargetMode="External"/><Relationship Id="rId8866" Type="http://schemas.openxmlformats.org/officeDocument/2006/relationships/hyperlink" Target="https://pbs.twimg.com/profile_images/2783814203/4b5dc0bf52ddee4fe7fcfee4cb816dea_normal.jpeg" TargetMode="External"/><Relationship Id="rId11847" Type="http://schemas.openxmlformats.org/officeDocument/2006/relationships/hyperlink" Target="https://pbs.twimg.com/profile_images/720671504011259904/f2m-klyu_normal.jpg" TargetMode="External"/><Relationship Id="rId22106" Type="http://schemas.openxmlformats.org/officeDocument/2006/relationships/hyperlink" Target="https://pbs.twimg.com/profile_images/422164778639839234/LVnS1q1c_normal.jpeg" TargetMode="External"/><Relationship Id="rId25676" Type="http://schemas.openxmlformats.org/officeDocument/2006/relationships/hyperlink" Target="https://pbs.twimg.com/profile_images/2188709653/420231_385567048140178_106973562666196_1378230_25473722_n_normal.jpg" TargetMode="External"/><Relationship Id="rId1906" Type="http://schemas.openxmlformats.org/officeDocument/2006/relationships/hyperlink" Target="https://twitter.com/Testaankoop" TargetMode="External"/><Relationship Id="rId8519" Type="http://schemas.openxmlformats.org/officeDocument/2006/relationships/hyperlink" Target="https://twitter.com/boerseARD/status/723392680869294081" TargetMode="External"/><Relationship Id="rId14320" Type="http://schemas.openxmlformats.org/officeDocument/2006/relationships/hyperlink" Target="https://pbs.twimg.com/profile_images/566236112876609536/C9Mw_KoX_normal.jpeg" TargetMode="External"/><Relationship Id="rId25329" Type="http://schemas.openxmlformats.org/officeDocument/2006/relationships/hyperlink" Target="https://twitter.com/vwpress_en/status/724431488658345984" TargetMode="External"/><Relationship Id="rId17543" Type="http://schemas.openxmlformats.org/officeDocument/2006/relationships/hyperlink" Target="https://pbs.twimg.com/profile_images/706187927102103553/JgY5rgCP_normal.jpg" TargetMode="External"/><Relationship Id="rId17890" Type="http://schemas.openxmlformats.org/officeDocument/2006/relationships/hyperlink" Target="https://twitter.com/Fat4y" TargetMode="External"/><Relationship Id="rId999" Type="http://schemas.openxmlformats.org/officeDocument/2006/relationships/hyperlink" Target="https://twitter.com/TobiasKestin" TargetMode="External"/><Relationship Id="rId7602" Type="http://schemas.openxmlformats.org/officeDocument/2006/relationships/hyperlink" Target="https://twitter.com/n4yf_n/status/723316696463867904" TargetMode="External"/><Relationship Id="rId10930" Type="http://schemas.openxmlformats.org/officeDocument/2006/relationships/hyperlink" Target="https://twitter.com/vwpress_de/status/723491057812516867" TargetMode="External"/><Relationship Id="rId15094" Type="http://schemas.openxmlformats.org/officeDocument/2006/relationships/hyperlink" Target="https://pbs.twimg.com/profile_images/569800899141177344/nVFLMSdb_normal.png" TargetMode="External"/><Relationship Id="rId21939" Type="http://schemas.openxmlformats.org/officeDocument/2006/relationships/hyperlink" Target="https://twitter.com/sonjafusher/status/724190557036273664" TargetMode="External"/><Relationship Id="rId24412" Type="http://schemas.openxmlformats.org/officeDocument/2006/relationships/hyperlink" Target="https://twitter.com/thevdubhub" TargetMode="External"/><Relationship Id="rId5153" Type="http://schemas.openxmlformats.org/officeDocument/2006/relationships/hyperlink" Target="https://pbs.twimg.com/profile_images/672153171607744512/19k3O2VA_normal.png" TargetMode="External"/><Relationship Id="rId8376" Type="http://schemas.openxmlformats.org/officeDocument/2006/relationships/hyperlink" Target="https://pbs.twimg.com/profile_images/378800000854855954/0d555726054b01e3c9d6b5241432dc4a_normal.jpeg" TargetMode="External"/><Relationship Id="rId13806" Type="http://schemas.openxmlformats.org/officeDocument/2006/relationships/hyperlink" Target="https://twitter.com/dw_business" TargetMode="External"/><Relationship Id="rId25186" Type="http://schemas.openxmlformats.org/officeDocument/2006/relationships/hyperlink" Target="https://twitter.com/SUPERFMELECTRO" TargetMode="External"/><Relationship Id="rId1763" Type="http://schemas.openxmlformats.org/officeDocument/2006/relationships/hyperlink" Target="https://pbs.twimg.com/profile_images/707311591440699393/hNBW2eth_normal.jpg" TargetMode="External"/><Relationship Id="rId8029" Type="http://schemas.openxmlformats.org/officeDocument/2006/relationships/hyperlink" Target="https://twitter.com/beetlebug1938" TargetMode="External"/><Relationship Id="rId11357" Type="http://schemas.openxmlformats.org/officeDocument/2006/relationships/hyperlink" Target="https://twitter.com/Yozila/status/723501398680281089" TargetMode="External"/><Relationship Id="rId1416" Type="http://schemas.openxmlformats.org/officeDocument/2006/relationships/hyperlink" Target="https://twitter.com/mikespence/status/723040493207171073" TargetMode="External"/><Relationship Id="rId4986" Type="http://schemas.openxmlformats.org/officeDocument/2006/relationships/hyperlink" Target="https://twitter.com/BirkiBear/status/723191656317595648" TargetMode="External"/><Relationship Id="rId19502" Type="http://schemas.openxmlformats.org/officeDocument/2006/relationships/hyperlink" Target="https://twitter.com/dubbusses/status/723937387450085376" TargetMode="External"/><Relationship Id="rId21796" Type="http://schemas.openxmlformats.org/officeDocument/2006/relationships/hyperlink" Target="https://twitter.com/dubbusses" TargetMode="External"/><Relationship Id="rId4639" Type="http://schemas.openxmlformats.org/officeDocument/2006/relationships/hyperlink" Target="https://twitter.com/twineich/status/723184072403628033" TargetMode="External"/><Relationship Id="rId10440" Type="http://schemas.openxmlformats.org/officeDocument/2006/relationships/hyperlink" Target="https://pbs.twimg.com/profile_images/489747056584445953/3tvslEko_normal.jpeg" TargetMode="External"/><Relationship Id="rId17053" Type="http://schemas.openxmlformats.org/officeDocument/2006/relationships/hyperlink" Target="https://twitter.com/twizler557/status/723766786932363264" TargetMode="External"/><Relationship Id="rId21449" Type="http://schemas.openxmlformats.org/officeDocument/2006/relationships/hyperlink" Target="https://twitter.com/dubbusses" TargetMode="External"/><Relationship Id="rId7112" Type="http://schemas.openxmlformats.org/officeDocument/2006/relationships/hyperlink" Target="https://pbs.twimg.com/profile_images/719691258831052800/NgqFK_yC_normal.jpg" TargetMode="External"/><Relationship Id="rId13663" Type="http://schemas.openxmlformats.org/officeDocument/2006/relationships/hyperlink" Target="https://twitter.com/HansTheGerman" TargetMode="External"/><Relationship Id="rId1273" Type="http://schemas.openxmlformats.org/officeDocument/2006/relationships/hyperlink" Target="https://twitter.com/VWBeetleSales/status/723030532490022912" TargetMode="External"/><Relationship Id="rId3722" Type="http://schemas.openxmlformats.org/officeDocument/2006/relationships/hyperlink" Target="https://twitter.com/die_socke" TargetMode="External"/><Relationship Id="rId13316" Type="http://schemas.openxmlformats.org/officeDocument/2006/relationships/hyperlink" Target="https://twitter.com/campercino_uk" TargetMode="External"/><Relationship Id="rId16886" Type="http://schemas.openxmlformats.org/officeDocument/2006/relationships/hyperlink" Target="https://twitter.com/wendy_2parra/status/723745247361114112" TargetMode="External"/><Relationship Id="rId20532" Type="http://schemas.openxmlformats.org/officeDocument/2006/relationships/hyperlink" Target="https://twitter.com/Speak_EV/status/724007540456083460" TargetMode="External"/><Relationship Id="rId6945" Type="http://schemas.openxmlformats.org/officeDocument/2006/relationships/hyperlink" Target="https://pbs.twimg.com/profile_images/659869597953359873/TCD1XHoY_normal.jpg" TargetMode="External"/><Relationship Id="rId16539" Type="http://schemas.openxmlformats.org/officeDocument/2006/relationships/hyperlink" Target="https://pbs.twimg.com/profile_images/687712068523302912/RhuOJR3M_normal.jpg" TargetMode="External"/><Relationship Id="rId23755" Type="http://schemas.openxmlformats.org/officeDocument/2006/relationships/hyperlink" Target="https://pbs.twimg.com/profile_images/722075082542182401/K00rlFJm_normal.jpg" TargetMode="External"/><Relationship Id="rId4496" Type="http://schemas.openxmlformats.org/officeDocument/2006/relationships/hyperlink" Target="https://pbs.twimg.com/profile_images/720808785275723781/lvAei3oI_normal.jpg" TargetMode="External"/><Relationship Id="rId19012" Type="http://schemas.openxmlformats.org/officeDocument/2006/relationships/hyperlink" Target="https://twitter.com/vismonvan/status/723912892605673472" TargetMode="External"/><Relationship Id="rId23408" Type="http://schemas.openxmlformats.org/officeDocument/2006/relationships/hyperlink" Target="https://pbs.twimg.com/profile_images/3325520037/cf2027069deae5dc44e82172d33a6683_normal.jpeg" TargetMode="External"/><Relationship Id="rId4149" Type="http://schemas.openxmlformats.org/officeDocument/2006/relationships/hyperlink" Target="https://pbs.twimg.com/profile_images/603499430898184192/wl3kABJd_normal.jpg" TargetMode="External"/><Relationship Id="rId15622" Type="http://schemas.openxmlformats.org/officeDocument/2006/relationships/hyperlink" Target="https://twitter.com/ThorntonFirm/status/723617512387129345" TargetMode="External"/><Relationship Id="rId13173" Type="http://schemas.openxmlformats.org/officeDocument/2006/relationships/hyperlink" Target="https://pbs.twimg.com/profile_images/620385716/io_cappello_normal.jpg" TargetMode="External"/><Relationship Id="rId3232" Type="http://schemas.openxmlformats.org/officeDocument/2006/relationships/hyperlink" Target="https://pbs.twimg.com/profile_images/627949001179037696/skEBkS05_normal.jpg" TargetMode="External"/><Relationship Id="rId16396" Type="http://schemas.openxmlformats.org/officeDocument/2006/relationships/hyperlink" Target="https://twitter.com/SantiGutie" TargetMode="External"/><Relationship Id="rId18845" Type="http://schemas.openxmlformats.org/officeDocument/2006/relationships/hyperlink" Target="https://twitter.com/SAGutah/status/723900130349309952" TargetMode="External"/><Relationship Id="rId20042" Type="http://schemas.openxmlformats.org/officeDocument/2006/relationships/hyperlink" Target="https://twitter.com/rip_curle/status/723971101001392130" TargetMode="External"/><Relationship Id="rId6455" Type="http://schemas.openxmlformats.org/officeDocument/2006/relationships/hyperlink" Target="https://twitter.com/aquaero" TargetMode="External"/><Relationship Id="rId8904" Type="http://schemas.openxmlformats.org/officeDocument/2006/relationships/hyperlink" Target="https://twitter.com/Beau_AveryxOx/status/723410891878764544" TargetMode="External"/><Relationship Id="rId16049" Type="http://schemas.openxmlformats.org/officeDocument/2006/relationships/hyperlink" Target="https://twitter.com/emerald_Max" TargetMode="External"/><Relationship Id="rId23265" Type="http://schemas.openxmlformats.org/officeDocument/2006/relationships/hyperlink" Target="https://twitter.com/wildcat_real" TargetMode="External"/><Relationship Id="rId25714" Type="http://schemas.openxmlformats.org/officeDocument/2006/relationships/hyperlink" Target="https://twitter.com/mario_skater/status/724465499690643457" TargetMode="External"/><Relationship Id="rId6108" Type="http://schemas.openxmlformats.org/officeDocument/2006/relationships/hyperlink" Target="https://twitter.com/suchitgupta60" TargetMode="External"/><Relationship Id="rId9678" Type="http://schemas.openxmlformats.org/officeDocument/2006/relationships/hyperlink" Target="https://pbs.twimg.com/profile_images/719138351425658881/kX6nf0Jy_normal.jpg" TargetMode="External"/><Relationship Id="rId12659" Type="http://schemas.openxmlformats.org/officeDocument/2006/relationships/hyperlink" Target="https://twitter.com/shortymatic" TargetMode="External"/><Relationship Id="rId2718" Type="http://schemas.openxmlformats.org/officeDocument/2006/relationships/hyperlink" Target="https://twitter.com/eRevalue/status/723114825404940288" TargetMode="External"/><Relationship Id="rId15132" Type="http://schemas.openxmlformats.org/officeDocument/2006/relationships/hyperlink" Target="https://pbs.twimg.com/profile_images/536668880203038720/469VmgoM_normal.jpeg" TargetMode="External"/><Relationship Id="rId8761" Type="http://schemas.openxmlformats.org/officeDocument/2006/relationships/hyperlink" Target="https://pbs.twimg.com/profile_images/669541061711261696/eOfP0YD8_normal.png" TargetMode="External"/><Relationship Id="rId18355" Type="http://schemas.openxmlformats.org/officeDocument/2006/relationships/hyperlink" Target="https://pbs.twimg.com/profile_images/2943135410/38516e91d9e49960d752aaecb0eb5fed_normal.jpeg" TargetMode="External"/><Relationship Id="rId22001" Type="http://schemas.openxmlformats.org/officeDocument/2006/relationships/hyperlink" Target="https://twitter.com/beetlebug1938" TargetMode="External"/><Relationship Id="rId25571" Type="http://schemas.openxmlformats.org/officeDocument/2006/relationships/hyperlink" Target="https://twitter.com/Scirocco_Tuning" TargetMode="External"/><Relationship Id="rId8414" Type="http://schemas.openxmlformats.org/officeDocument/2006/relationships/hyperlink" Target="https://twitter.com/mvdweyer/status/723387099139837952" TargetMode="External"/><Relationship Id="rId11742" Type="http://schemas.openxmlformats.org/officeDocument/2006/relationships/hyperlink" Target="https://twitter.com/imifos/status/723506700037304322" TargetMode="External"/><Relationship Id="rId18008" Type="http://schemas.openxmlformats.org/officeDocument/2006/relationships/hyperlink" Target="https://twitter.com/BecksNutt/status/723841580998791171" TargetMode="External"/><Relationship Id="rId25224" Type="http://schemas.openxmlformats.org/officeDocument/2006/relationships/hyperlink" Target="https://twitter.com/CHUCHOZ" TargetMode="External"/><Relationship Id="rId1801" Type="http://schemas.openxmlformats.org/officeDocument/2006/relationships/hyperlink" Target="https://twitter.com/soundsofawesome" TargetMode="External"/><Relationship Id="rId14965" Type="http://schemas.openxmlformats.org/officeDocument/2006/relationships/hyperlink" Target="https://pbs.twimg.com/profile_images/718820712757215233/LXXndPTS_normal.jpg" TargetMode="External"/><Relationship Id="rId9188" Type="http://schemas.openxmlformats.org/officeDocument/2006/relationships/hyperlink" Target="https://pbs.twimg.com/profile_images/424893967197433858/iQ86NktX_normal.jpeg" TargetMode="External"/><Relationship Id="rId14618" Type="http://schemas.openxmlformats.org/officeDocument/2006/relationships/hyperlink" Target="https://pbs.twimg.com/profile_images/671622043377512449/urTZ7prg_normal.jpg" TargetMode="External"/><Relationship Id="rId21834" Type="http://schemas.openxmlformats.org/officeDocument/2006/relationships/hyperlink" Target="https://twitter.com/TheOomDiff" TargetMode="External"/><Relationship Id="rId894" Type="http://schemas.openxmlformats.org/officeDocument/2006/relationships/hyperlink" Target="https://twitter.com/JWalkVA/status/722998743272939521" TargetMode="External"/><Relationship Id="rId2575" Type="http://schemas.openxmlformats.org/officeDocument/2006/relationships/hyperlink" Target="https://pbs.twimg.com/profile_images/633346486823190529/bN4Fxs99_normal.jpg" TargetMode="External"/><Relationship Id="rId12169" Type="http://schemas.openxmlformats.org/officeDocument/2006/relationships/hyperlink" Target="https://twitter.com/iMarcuso" TargetMode="External"/><Relationship Id="rId547" Type="http://schemas.openxmlformats.org/officeDocument/2006/relationships/hyperlink" Target="https://twitter.com/92_hss/status/722964515114065921" TargetMode="External"/><Relationship Id="rId2228" Type="http://schemas.openxmlformats.org/officeDocument/2006/relationships/hyperlink" Target="https://twitter.com/ME262P" TargetMode="External"/><Relationship Id="rId5798" Type="http://schemas.openxmlformats.org/officeDocument/2006/relationships/hyperlink" Target="https://pbs.twimg.com/profile_images/527673330686386176/z1tG_a54_normal.jpeg" TargetMode="External"/><Relationship Id="rId13701" Type="http://schemas.openxmlformats.org/officeDocument/2006/relationships/hyperlink" Target="https://pbs.twimg.com/profile_images/716972542871908352/YA5lUDGS_normal.jpg" TargetMode="External"/><Relationship Id="rId8271" Type="http://schemas.openxmlformats.org/officeDocument/2006/relationships/hyperlink" Target="https://twitter.com/clayton_phillip" TargetMode="External"/><Relationship Id="rId11252" Type="http://schemas.openxmlformats.org/officeDocument/2006/relationships/hyperlink" Target="https://twitter.com/s_janssen" TargetMode="External"/><Relationship Id="rId25081" Type="http://schemas.openxmlformats.org/officeDocument/2006/relationships/hyperlink" Target="https://pbs.twimg.com/profile_images/574252580101976064/ScPGXllt_normal.jpeg" TargetMode="External"/><Relationship Id="rId1311" Type="http://schemas.openxmlformats.org/officeDocument/2006/relationships/hyperlink" Target="https://twitter.com/ksta_news/status/723034533256421376" TargetMode="External"/><Relationship Id="rId4881" Type="http://schemas.openxmlformats.org/officeDocument/2006/relationships/hyperlink" Target="https://twitter.com/WDR/status/723189421688811520" TargetMode="External"/><Relationship Id="rId14475" Type="http://schemas.openxmlformats.org/officeDocument/2006/relationships/hyperlink" Target="https://twitter.com/copeyphoto" TargetMode="External"/><Relationship Id="rId16924" Type="http://schemas.openxmlformats.org/officeDocument/2006/relationships/hyperlink" Target="https://twitter.com/jenpetersen12" TargetMode="External"/><Relationship Id="rId4534" Type="http://schemas.openxmlformats.org/officeDocument/2006/relationships/hyperlink" Target="https://twitter.com/volcombug/status/723182204050804736" TargetMode="External"/><Relationship Id="rId14128" Type="http://schemas.openxmlformats.org/officeDocument/2006/relationships/hyperlink" Target="https://twitter.com/WinfriedFelser/status/723564594480951296" TargetMode="External"/><Relationship Id="rId21344" Type="http://schemas.openxmlformats.org/officeDocument/2006/relationships/hyperlink" Target="https://twitter.com/vwpress_en" TargetMode="External"/><Relationship Id="rId21691" Type="http://schemas.openxmlformats.org/officeDocument/2006/relationships/hyperlink" Target="https://twitter.com/BBattmer" TargetMode="External"/><Relationship Id="rId2085" Type="http://schemas.openxmlformats.org/officeDocument/2006/relationships/hyperlink" Target="https://pbs.twimg.com/profile_images/583236161679818752/orli-VFP_normal.jpg" TargetMode="External"/><Relationship Id="rId17698" Type="http://schemas.openxmlformats.org/officeDocument/2006/relationships/hyperlink" Target="https://twitter.com/hddoger/status/723817477742956545" TargetMode="External"/><Relationship Id="rId7757" Type="http://schemas.openxmlformats.org/officeDocument/2006/relationships/hyperlink" Target="https://twitter.com/Maikel_Ser" TargetMode="External"/><Relationship Id="rId10738" Type="http://schemas.openxmlformats.org/officeDocument/2006/relationships/hyperlink" Target="https://abs.twimg.com/sticky/default_profile_images/default_profile_0_normal.png" TargetMode="External"/><Relationship Id="rId24567" Type="http://schemas.openxmlformats.org/officeDocument/2006/relationships/hyperlink" Target="https://twitter.com/VeeDubMk1_" TargetMode="External"/><Relationship Id="rId13211" Type="http://schemas.openxmlformats.org/officeDocument/2006/relationships/hyperlink" Target="https://pbs.twimg.com/profile_images/617758971861037056/Nj6rNKM3_normal.jpg" TargetMode="External"/><Relationship Id="rId16781" Type="http://schemas.openxmlformats.org/officeDocument/2006/relationships/hyperlink" Target="https://pbs.twimg.com/profile_images/721235286269804544/nZY31tY3_normal.jpg" TargetMode="External"/><Relationship Id="rId6840" Type="http://schemas.openxmlformats.org/officeDocument/2006/relationships/hyperlink" Target="https://twitter.com/KellerRohrback/status/723263814834130944" TargetMode="External"/><Relationship Id="rId16434" Type="http://schemas.openxmlformats.org/officeDocument/2006/relationships/hyperlink" Target="https://pbs.twimg.com/profile_images/569800899141177344/nVFLMSdb_normal.png" TargetMode="External"/><Relationship Id="rId23650" Type="http://schemas.openxmlformats.org/officeDocument/2006/relationships/hyperlink" Target="https://twitter.com/VWCamperSales/status/724303670414692352" TargetMode="External"/><Relationship Id="rId4391" Type="http://schemas.openxmlformats.org/officeDocument/2006/relationships/hyperlink" Target="https://twitter.com/zeeshan_shah_dc/status/723179923351937024" TargetMode="External"/><Relationship Id="rId23303" Type="http://schemas.openxmlformats.org/officeDocument/2006/relationships/hyperlink" Target="https://twitter.com/lucioogo/status/724278986575110144" TargetMode="External"/><Relationship Id="rId4044" Type="http://schemas.openxmlformats.org/officeDocument/2006/relationships/hyperlink" Target="https://pbs.twimg.com/profile_images/722823782017200130/VreCKi-k_normal.jpg" TargetMode="External"/><Relationship Id="rId19657" Type="http://schemas.openxmlformats.org/officeDocument/2006/relationships/hyperlink" Target="https://twitter.com/AliSco72" TargetMode="External"/><Relationship Id="rId7267" Type="http://schemas.openxmlformats.org/officeDocument/2006/relationships/hyperlink" Target="https://twitter.com/KeithDPatch/status/723291226489917441" TargetMode="External"/><Relationship Id="rId9716" Type="http://schemas.openxmlformats.org/officeDocument/2006/relationships/hyperlink" Target="https://pbs.twimg.com/profile_images/532459673710915584/uhjS6JEV_normal.jpeg" TargetMode="External"/><Relationship Id="rId10595" Type="http://schemas.openxmlformats.org/officeDocument/2006/relationships/hyperlink" Target="https://pbs.twimg.com/profile_images/378800000572104796/1de43e1cf23efb3f4101c02afad0d3b6_normal.png" TargetMode="External"/><Relationship Id="rId24077" Type="http://schemas.openxmlformats.org/officeDocument/2006/relationships/hyperlink" Target="https://twitter.com/dazvw/status/724330939493527552" TargetMode="External"/><Relationship Id="rId10248" Type="http://schemas.openxmlformats.org/officeDocument/2006/relationships/hyperlink" Target="https://twitter.com/APA_LEMONAID/status/723467135285100544" TargetMode="External"/><Relationship Id="rId18740" Type="http://schemas.openxmlformats.org/officeDocument/2006/relationships/hyperlink" Target="http://dlvr.it/" TargetMode="External"/><Relationship Id="rId3877" Type="http://schemas.openxmlformats.org/officeDocument/2006/relationships/hyperlink" Target="https://twitter.com/JMLarena/status/723171232057798656" TargetMode="External"/><Relationship Id="rId16291" Type="http://schemas.openxmlformats.org/officeDocument/2006/relationships/hyperlink" Target="https://twitter.com/ORattorney" TargetMode="External"/><Relationship Id="rId20687" Type="http://schemas.openxmlformats.org/officeDocument/2006/relationships/hyperlink" Target="https://pbs.twimg.com/profile_images/711991193530269696/FO50W-xr_normal.jpg" TargetMode="External"/><Relationship Id="rId6350" Type="http://schemas.openxmlformats.org/officeDocument/2006/relationships/hyperlink" Target="https://twitter.com/HermanCookVW/status/723240357522223104" TargetMode="External"/><Relationship Id="rId23160" Type="http://schemas.openxmlformats.org/officeDocument/2006/relationships/hyperlink" Target="https://pbs.twimg.com/profile_images/378800000561125590/774aef16fb42fd8d8fd3233c77313b21_normal.jpeg" TargetMode="External"/><Relationship Id="rId2960" Type="http://schemas.openxmlformats.org/officeDocument/2006/relationships/hyperlink" Target="https://pbs.twimg.com/profile_images/620156890274766848/QTu02poy_normal.jpg" TargetMode="External"/><Relationship Id="rId6003" Type="http://schemas.openxmlformats.org/officeDocument/2006/relationships/hyperlink" Target="https://twitter.com/ABC7News" TargetMode="External"/><Relationship Id="rId9573" Type="http://schemas.openxmlformats.org/officeDocument/2006/relationships/hyperlink" Target="https://twitter.com/crewevw/status/723440711945740289" TargetMode="External"/><Relationship Id="rId19167" Type="http://schemas.openxmlformats.org/officeDocument/2006/relationships/hyperlink" Target="https://twitter.com/franccco6" TargetMode="External"/><Relationship Id="rId932" Type="http://schemas.openxmlformats.org/officeDocument/2006/relationships/hyperlink" Target="https://twitter.com/CHORO_Q022" TargetMode="External"/><Relationship Id="rId2613" Type="http://schemas.openxmlformats.org/officeDocument/2006/relationships/hyperlink" Target="https://twitter.com/EvvoNewBeetles" TargetMode="External"/><Relationship Id="rId9226" Type="http://schemas.openxmlformats.org/officeDocument/2006/relationships/hyperlink" Target="https://twitter.com/Test_Achats/status/723427316647370752" TargetMode="External"/><Relationship Id="rId12207" Type="http://schemas.openxmlformats.org/officeDocument/2006/relationships/hyperlink" Target="https://pbs.twimg.com/profile_images/632627323481796608/t6bZcdi6_normal.jpg" TargetMode="External"/><Relationship Id="rId12554" Type="http://schemas.openxmlformats.org/officeDocument/2006/relationships/hyperlink" Target="https://twitter.com/actuauto" TargetMode="External"/><Relationship Id="rId15777" Type="http://schemas.openxmlformats.org/officeDocument/2006/relationships/hyperlink" Target="https://twitter.com/NimzoIndisch/status/723623980637261824" TargetMode="External"/><Relationship Id="rId22993" Type="http://schemas.openxmlformats.org/officeDocument/2006/relationships/hyperlink" Target="https://pbs.twimg.com/profile_images/723983143783555072/DmILdSd6_normal.jpg" TargetMode="External"/><Relationship Id="rId3387" Type="http://schemas.openxmlformats.org/officeDocument/2006/relationships/hyperlink" Target="https://twitter.com/Dahie/status/723155122058993664" TargetMode="External"/><Relationship Id="rId5836" Type="http://schemas.openxmlformats.org/officeDocument/2006/relationships/hyperlink" Target="https://twitter.com/dknightvaleting" TargetMode="External"/><Relationship Id="rId18250" Type="http://schemas.openxmlformats.org/officeDocument/2006/relationships/hyperlink" Target="https://pbs.twimg.com/profile_images/675828432056352768/HeAvTTHu_normal.jpg" TargetMode="External"/><Relationship Id="rId22646" Type="http://schemas.openxmlformats.org/officeDocument/2006/relationships/hyperlink" Target="https://twitter.com/motosniper/status/724237262674878464" TargetMode="External"/><Relationship Id="rId14860" Type="http://schemas.openxmlformats.org/officeDocument/2006/relationships/hyperlink" Target="https://twitter.com/kurtseinitz/status/723585486367932416" TargetMode="External"/><Relationship Id="rId20197" Type="http://schemas.openxmlformats.org/officeDocument/2006/relationships/hyperlink" Target="https://twitter.com/vagmenhq" TargetMode="External"/><Relationship Id="rId14513" Type="http://schemas.openxmlformats.org/officeDocument/2006/relationships/hyperlink" Target="https://pbs.twimg.com/profile_images/619590752906149888/gOJBR12k_normal.jpg" TargetMode="External"/><Relationship Id="rId2470" Type="http://schemas.openxmlformats.org/officeDocument/2006/relationships/hyperlink" Target="https://twitter.com/c_garrels/status/723102599096856576" TargetMode="External"/><Relationship Id="rId9083" Type="http://schemas.openxmlformats.org/officeDocument/2006/relationships/hyperlink" Target="https://twitter.com/InstaKirov/status/723421242338897920" TargetMode="External"/><Relationship Id="rId12064" Type="http://schemas.openxmlformats.org/officeDocument/2006/relationships/hyperlink" Target="https://twitter.com/markuspieperMEP" TargetMode="External"/><Relationship Id="rId442" Type="http://schemas.openxmlformats.org/officeDocument/2006/relationships/hyperlink" Target="https://pbs.twimg.com/profile_images/686683642509307904/1_1fP8j4_normal.jpg" TargetMode="External"/><Relationship Id="rId2123" Type="http://schemas.openxmlformats.org/officeDocument/2006/relationships/hyperlink" Target="https://twitter.com/Wir_Koeln/status/723083483904651264" TargetMode="External"/><Relationship Id="rId5693" Type="http://schemas.openxmlformats.org/officeDocument/2006/relationships/hyperlink" Target="https://twitter.com/iMexico_" TargetMode="External"/><Relationship Id="rId15287" Type="http://schemas.openxmlformats.org/officeDocument/2006/relationships/hyperlink" Target="https://twitter.com/HermanCookVW/status/723602754464276480" TargetMode="External"/><Relationship Id="rId17736" Type="http://schemas.openxmlformats.org/officeDocument/2006/relationships/hyperlink" Target="https://twitter.com/VivaParess" TargetMode="External"/><Relationship Id="rId24952" Type="http://schemas.openxmlformats.org/officeDocument/2006/relationships/hyperlink" Target="https://twitter.com/lawrencemodern/status/724405796138835969" TargetMode="External"/><Relationship Id="rId5346" Type="http://schemas.openxmlformats.org/officeDocument/2006/relationships/hyperlink" Target="https://twitter.com/DiscountBomb" TargetMode="External"/><Relationship Id="rId22156" Type="http://schemas.openxmlformats.org/officeDocument/2006/relationships/hyperlink" Target="https://pbs.twimg.com/profile_images/707176643509538817/-s_VKgK4_normal.jpg" TargetMode="External"/><Relationship Id="rId24605" Type="http://schemas.openxmlformats.org/officeDocument/2006/relationships/hyperlink" Target="https://pbs.twimg.com/profile_images/1217919246/quantlabs-square_normal.jpg" TargetMode="External"/><Relationship Id="rId11897" Type="http://schemas.openxmlformats.org/officeDocument/2006/relationships/hyperlink" Target="https://twitter.com/JosBosboom_/status/723509559860436992" TargetMode="External"/><Relationship Id="rId1956" Type="http://schemas.openxmlformats.org/officeDocument/2006/relationships/hyperlink" Target="https://twitter.com/deutch_az" TargetMode="External"/><Relationship Id="rId8569" Type="http://schemas.openxmlformats.org/officeDocument/2006/relationships/hyperlink" Target="https://pbs.twimg.com/profile_images/679777790124765184/4xKwz4P0_normal.jpg" TargetMode="External"/><Relationship Id="rId14370" Type="http://schemas.openxmlformats.org/officeDocument/2006/relationships/hyperlink" Target="https://pbs.twimg.com/profile_images/558298291985608704/57n8APEK_normal.jpeg" TargetMode="External"/><Relationship Id="rId25379" Type="http://schemas.openxmlformats.org/officeDocument/2006/relationships/hyperlink" Target="https://pbs.twimg.com/profile_images/682117963349135360/IUfZQy35_normal.png" TargetMode="External"/><Relationship Id="rId1609" Type="http://schemas.openxmlformats.org/officeDocument/2006/relationships/hyperlink" Target="https://pbs.twimg.com/profile_images/722773279921041409/jcBYmqDu_normal.jpg" TargetMode="External"/><Relationship Id="rId14023" Type="http://schemas.openxmlformats.org/officeDocument/2006/relationships/hyperlink" Target="https://pbs.twimg.com/profile_images/717476207235895296/eWZQTtWr_normal.jpg" TargetMode="External"/><Relationship Id="rId17593" Type="http://schemas.openxmlformats.org/officeDocument/2006/relationships/hyperlink" Target="https://twitter.com/old_style_car" TargetMode="External"/><Relationship Id="rId21989" Type="http://schemas.openxmlformats.org/officeDocument/2006/relationships/hyperlink" Target="https://pbs.twimg.com/profile_images/722857526384017408/xErAUy8z_normal.jpg" TargetMode="External"/><Relationship Id="rId7652" Type="http://schemas.openxmlformats.org/officeDocument/2006/relationships/hyperlink" Target="https://pbs.twimg.com/profile_images/2261219336/portada_normal.jpg" TargetMode="External"/><Relationship Id="rId10980" Type="http://schemas.openxmlformats.org/officeDocument/2006/relationships/hyperlink" Target="https://twitter.com/JosefineJanert" TargetMode="External"/><Relationship Id="rId17246" Type="http://schemas.openxmlformats.org/officeDocument/2006/relationships/hyperlink" Target="https://pbs.twimg.com/profile_images/704774903451537408/9loZbTSA_normal.jpg" TargetMode="External"/><Relationship Id="rId24462" Type="http://schemas.openxmlformats.org/officeDocument/2006/relationships/hyperlink" Target="https://twitter.com/VWBeetleSales" TargetMode="External"/><Relationship Id="rId7305" Type="http://schemas.openxmlformats.org/officeDocument/2006/relationships/hyperlink" Target="https://twitter.com/VWBeetleSales/status/723294692620664832" TargetMode="External"/><Relationship Id="rId10633" Type="http://schemas.openxmlformats.org/officeDocument/2006/relationships/hyperlink" Target="https://twitter.com/VWCamperSales" TargetMode="External"/><Relationship Id="rId24115" Type="http://schemas.openxmlformats.org/officeDocument/2006/relationships/hyperlink" Target="https://twitter.com/espritdesign/status/724333090714341377" TargetMode="External"/><Relationship Id="rId13856" Type="http://schemas.openxmlformats.org/officeDocument/2006/relationships/hyperlink" Target="https://twitter.com/reds33385" TargetMode="External"/><Relationship Id="rId1466" Type="http://schemas.openxmlformats.org/officeDocument/2006/relationships/hyperlink" Target="https://pbs.twimg.com/profile_images/464294575624839168/2yUa4yUA_normal.png" TargetMode="External"/><Relationship Id="rId3915" Type="http://schemas.openxmlformats.org/officeDocument/2006/relationships/hyperlink" Target="https://twitter.com/zdmak" TargetMode="External"/><Relationship Id="rId8079" Type="http://schemas.openxmlformats.org/officeDocument/2006/relationships/hyperlink" Target="https://twitter.com/DubLuvTuning/status/723364378339221505" TargetMode="External"/><Relationship Id="rId13509" Type="http://schemas.openxmlformats.org/officeDocument/2006/relationships/hyperlink" Target="https://twitter.com/JuveVerlag_uba/status/723548993184215041" TargetMode="External"/><Relationship Id="rId20725" Type="http://schemas.openxmlformats.org/officeDocument/2006/relationships/hyperlink" Target="https://pbs.twimg.com/profile_images/424893967197433858/iQ86NktX_normal.jpeg" TargetMode="External"/><Relationship Id="rId1119" Type="http://schemas.openxmlformats.org/officeDocument/2006/relationships/hyperlink" Target="https://twitter.com/Ryan911T" TargetMode="External"/><Relationship Id="rId19552" Type="http://schemas.openxmlformats.org/officeDocument/2006/relationships/hyperlink" Target="https://pbs.twimg.com/profile_images/644448469177008129/NawOBHy6_normal.jpg" TargetMode="External"/><Relationship Id="rId23948" Type="http://schemas.openxmlformats.org/officeDocument/2006/relationships/hyperlink" Target="https://twitter.com/dubbusses" TargetMode="External"/><Relationship Id="rId4689" Type="http://schemas.openxmlformats.org/officeDocument/2006/relationships/hyperlink" Target="https://twitter.com/OntarioCanuck" TargetMode="External"/><Relationship Id="rId9611" Type="http://schemas.openxmlformats.org/officeDocument/2006/relationships/hyperlink" Target="https://pbs.twimg.com/profile_images/530071272881803264/a_jcCmPZ_normal.png" TargetMode="External"/><Relationship Id="rId10490" Type="http://schemas.openxmlformats.org/officeDocument/2006/relationships/hyperlink" Target="https://twitter.com/dirkkreuter" TargetMode="External"/><Relationship Id="rId19205" Type="http://schemas.openxmlformats.org/officeDocument/2006/relationships/hyperlink" Target="https://twitter.com/likehealthyfood" TargetMode="External"/><Relationship Id="rId21499" Type="http://schemas.openxmlformats.org/officeDocument/2006/relationships/hyperlink" Target="https://twitter.com/JensHenriksson" TargetMode="External"/><Relationship Id="rId7162" Type="http://schemas.openxmlformats.org/officeDocument/2006/relationships/hyperlink" Target="https://twitter.com/JoanneMHurley" TargetMode="External"/><Relationship Id="rId10143" Type="http://schemas.openxmlformats.org/officeDocument/2006/relationships/hyperlink" Target="https://pbs.twimg.com/profile_images/722247394377777152/68jeiqXN_normal.jpg" TargetMode="External"/><Relationship Id="rId3772" Type="http://schemas.openxmlformats.org/officeDocument/2006/relationships/hyperlink" Target="https://pbs.twimg.com/profile_images/631839981611388932/vD22OUWu_normal.png" TargetMode="External"/><Relationship Id="rId13366" Type="http://schemas.openxmlformats.org/officeDocument/2006/relationships/hyperlink" Target="https://pbs.twimg.com/profile_images/378800000138621583/02e8100f0462d64417fc57fde00e505a_normal.jpeg" TargetMode="External"/><Relationship Id="rId15815" Type="http://schemas.openxmlformats.org/officeDocument/2006/relationships/hyperlink" Target="https://twitter.com/VidalJimena1" TargetMode="External"/><Relationship Id="rId20582" Type="http://schemas.openxmlformats.org/officeDocument/2006/relationships/hyperlink" Target="https://pbs.twimg.com/profile_images/1385008895/avatar_normal.JPEG" TargetMode="External"/><Relationship Id="rId3425" Type="http://schemas.openxmlformats.org/officeDocument/2006/relationships/hyperlink" Target="https://twitter.com/SimziiN" TargetMode="External"/><Relationship Id="rId13019" Type="http://schemas.openxmlformats.org/officeDocument/2006/relationships/hyperlink" Target="https://twitter.com/angulosiete" TargetMode="External"/><Relationship Id="rId20235" Type="http://schemas.openxmlformats.org/officeDocument/2006/relationships/hyperlink" Target="https://pbs.twimg.com/profile_images/1610421423/Image2_normal.jpg" TargetMode="External"/><Relationship Id="rId6995" Type="http://schemas.openxmlformats.org/officeDocument/2006/relationships/hyperlink" Target="https://twitter.com/shawadli/status/723274099561123840" TargetMode="External"/><Relationship Id="rId16589" Type="http://schemas.openxmlformats.org/officeDocument/2006/relationships/hyperlink" Target="https://twitter.com/TetsuoHojo/status/723697456962097152" TargetMode="External"/><Relationship Id="rId4199" Type="http://schemas.openxmlformats.org/officeDocument/2006/relationships/hyperlink" Target="https://pbs.twimg.com/profile_images/655011782356922368/moVyMdJP_normal.jpg" TargetMode="External"/><Relationship Id="rId6648" Type="http://schemas.openxmlformats.org/officeDocument/2006/relationships/hyperlink" Target="https://twitter.com/r_kreisel/status/723250265000955906" TargetMode="External"/><Relationship Id="rId9121" Type="http://schemas.openxmlformats.org/officeDocument/2006/relationships/hyperlink" Target="https://twitter.com/NegroAutomobili/status/723422109091811329" TargetMode="External"/><Relationship Id="rId19062" Type="http://schemas.openxmlformats.org/officeDocument/2006/relationships/hyperlink" Target="https://twitter.com/Capricillo" TargetMode="External"/><Relationship Id="rId23458" Type="http://schemas.openxmlformats.org/officeDocument/2006/relationships/hyperlink" Target="https://pbs.twimg.com/profile_images/678914229802504192/IMKzgGkJ_normal.jpg" TargetMode="External"/><Relationship Id="rId12102" Type="http://schemas.openxmlformats.org/officeDocument/2006/relationships/hyperlink" Target="https://twitter.com/franke_media/status/723513095390375936" TargetMode="External"/><Relationship Id="rId15672" Type="http://schemas.openxmlformats.org/officeDocument/2006/relationships/hyperlink" Target="https://twitter.com/PeterJanEngelen" TargetMode="External"/><Relationship Id="rId5731" Type="http://schemas.openxmlformats.org/officeDocument/2006/relationships/hyperlink" Target="https://pbs.twimg.com/profile_images/378800000747750946/394d9f0f5e6dde5137683d9c98c5c8a9_normal.jpeg" TargetMode="External"/><Relationship Id="rId15325" Type="http://schemas.openxmlformats.org/officeDocument/2006/relationships/hyperlink" Target="https://pbs.twimg.com/profile_images/716173043266027520/Z2jmYUX5_normal.jpg" TargetMode="External"/><Relationship Id="rId18895" Type="http://schemas.openxmlformats.org/officeDocument/2006/relationships/hyperlink" Target="https://pbs.twimg.com/profile_images/690404245024174084/pS8IAyFZ_normal.png" TargetMode="External"/><Relationship Id="rId22541" Type="http://schemas.openxmlformats.org/officeDocument/2006/relationships/hyperlink" Target="https://twitter.com/VeeDubMk1_" TargetMode="External"/><Relationship Id="rId3282" Type="http://schemas.openxmlformats.org/officeDocument/2006/relationships/hyperlink" Target="https://twitter.com/kngeuro/status/723149373962473472" TargetMode="External"/><Relationship Id="rId8954" Type="http://schemas.openxmlformats.org/officeDocument/2006/relationships/hyperlink" Target="https://twitter.com/LSP_skills" TargetMode="External"/><Relationship Id="rId18548" Type="http://schemas.openxmlformats.org/officeDocument/2006/relationships/hyperlink" Target="https://twitter.com/VolkswagenPost/status/723877252535050242" TargetMode="External"/><Relationship Id="rId20092" Type="http://schemas.openxmlformats.org/officeDocument/2006/relationships/hyperlink" Target="https://pbs.twimg.com/profile_images/467070942460407808/6mlUcaWL_normal.jpeg" TargetMode="External"/><Relationship Id="rId8607" Type="http://schemas.openxmlformats.org/officeDocument/2006/relationships/hyperlink" Target="https://twitter.com/egghat/status/723398393930752000" TargetMode="External"/><Relationship Id="rId11935" Type="http://schemas.openxmlformats.org/officeDocument/2006/relationships/hyperlink" Target="https://pbs.twimg.com/profile_images/476894592051056640/bqGCxWkq_normal.jpeg" TargetMode="External"/><Relationship Id="rId16099" Type="http://schemas.openxmlformats.org/officeDocument/2006/relationships/hyperlink" Target="https://twitter.com/santhi_vergara/status/723648336360689664" TargetMode="External"/><Relationship Id="rId25417" Type="http://schemas.openxmlformats.org/officeDocument/2006/relationships/hyperlink" Target="https://twitter.com/vickymotorserv1" TargetMode="External"/><Relationship Id="rId6158" Type="http://schemas.openxmlformats.org/officeDocument/2006/relationships/hyperlink" Target="https://twitter.com/dimitris_avdis" TargetMode="External"/><Relationship Id="rId17631" Type="http://schemas.openxmlformats.org/officeDocument/2006/relationships/hyperlink" Target="http://www.infooffensive.de/" TargetMode="External"/><Relationship Id="rId2768" Type="http://schemas.openxmlformats.org/officeDocument/2006/relationships/hyperlink" Target="https://twitter.com/TheCarCentre" TargetMode="External"/><Relationship Id="rId15182" Type="http://schemas.openxmlformats.org/officeDocument/2006/relationships/hyperlink" Target="https://twitter.com/VWBeetleSales/status/723597770456633345" TargetMode="External"/><Relationship Id="rId24500" Type="http://schemas.openxmlformats.org/officeDocument/2006/relationships/hyperlink" Target="https://pbs.twimg.com/profile_images/652871584131092480/QA_B6SBO_normal.jpg" TargetMode="External"/><Relationship Id="rId5241" Type="http://schemas.openxmlformats.org/officeDocument/2006/relationships/hyperlink" Target="https://twitter.com/NetzwerkggS21/status/723198193740062721" TargetMode="External"/><Relationship Id="rId11792" Type="http://schemas.openxmlformats.org/officeDocument/2006/relationships/hyperlink" Target="https://twitter.com/VWBeetleSales" TargetMode="External"/><Relationship Id="rId22051" Type="http://schemas.openxmlformats.org/officeDocument/2006/relationships/hyperlink" Target="https://twitter.com/Insta_VWT" TargetMode="External"/><Relationship Id="rId1851" Type="http://schemas.openxmlformats.org/officeDocument/2006/relationships/hyperlink" Target="https://twitter.com/DirkEllisVW" TargetMode="External"/><Relationship Id="rId8464" Type="http://schemas.openxmlformats.org/officeDocument/2006/relationships/hyperlink" Target="https://pbs.twimg.com/profile_images/723414537479720960/4Szs1UCn_normal.jpg" TargetMode="External"/><Relationship Id="rId11445" Type="http://schemas.openxmlformats.org/officeDocument/2006/relationships/hyperlink" Target="https://pbs.twimg.com/profile_images/2666156173/1dc1dfd9105a77b870914368c039ba9e_normal.png" TargetMode="External"/><Relationship Id="rId18058" Type="http://schemas.openxmlformats.org/officeDocument/2006/relationships/hyperlink" Target="https://pbs.twimg.com/profile_images/668437116981018625/BA3Ui4qQ_normal.jpg" TargetMode="External"/><Relationship Id="rId25274" Type="http://schemas.openxmlformats.org/officeDocument/2006/relationships/hyperlink" Target="https://twitter.com/Iamasad92/status/724429330873458688" TargetMode="External"/><Relationship Id="rId1504" Type="http://schemas.openxmlformats.org/officeDocument/2006/relationships/hyperlink" Target="https://twitter.com/moniquegoyens/status/723044034021728256" TargetMode="External"/><Relationship Id="rId8117" Type="http://schemas.openxmlformats.org/officeDocument/2006/relationships/hyperlink" Target="https://twitter.com/VWBeetleSales" TargetMode="External"/><Relationship Id="rId14668" Type="http://schemas.openxmlformats.org/officeDocument/2006/relationships/hyperlink" Target="https://twitter.com/RaZeRiel/status/723579375057289217" TargetMode="External"/><Relationship Id="rId21884" Type="http://schemas.openxmlformats.org/officeDocument/2006/relationships/hyperlink" Target="https://twitter.com/BarbaraKimmel/status/724187094671863808" TargetMode="External"/><Relationship Id="rId597" Type="http://schemas.openxmlformats.org/officeDocument/2006/relationships/hyperlink" Target="https://twitter.com/techhippie" TargetMode="External"/><Relationship Id="rId2278" Type="http://schemas.openxmlformats.org/officeDocument/2006/relationships/hyperlink" Target="https://pbs.twimg.com/profile_images/643476793425534976/p8cfxOAu_normal.jpg" TargetMode="External"/><Relationship Id="rId4727" Type="http://schemas.openxmlformats.org/officeDocument/2006/relationships/hyperlink" Target="https://pbs.twimg.com/profile_images/378800000572104796/1de43e1cf23efb3f4101c02afad0d3b6_normal.png" TargetMode="External"/><Relationship Id="rId7200" Type="http://schemas.openxmlformats.org/officeDocument/2006/relationships/hyperlink" Target="https://pbs.twimg.com/profile_images/705432428991619072/OaK50uXS_normal.jpg" TargetMode="External"/><Relationship Id="rId17141" Type="http://schemas.openxmlformats.org/officeDocument/2006/relationships/hyperlink" Target="https://twitter.com/ffamilymedicine/status/723773151188914178" TargetMode="External"/><Relationship Id="rId21537" Type="http://schemas.openxmlformats.org/officeDocument/2006/relationships/hyperlink" Target="https://pbs.twimg.com/profile_images/530071272881803264/a_jcCmPZ_normal.png" TargetMode="External"/><Relationship Id="rId13751" Type="http://schemas.openxmlformats.org/officeDocument/2006/relationships/hyperlink" Target="https://twitter.com/gimodefaveri/status/723554492692619265" TargetMode="External"/><Relationship Id="rId24010" Type="http://schemas.openxmlformats.org/officeDocument/2006/relationships/hyperlink" Target="https://twitter.com/HR_Nicki" TargetMode="External"/><Relationship Id="rId3810" Type="http://schemas.openxmlformats.org/officeDocument/2006/relationships/hyperlink" Target="https://twitter.com/dk_tuning/status/723170061351968771" TargetMode="External"/><Relationship Id="rId13404" Type="http://schemas.openxmlformats.org/officeDocument/2006/relationships/hyperlink" Target="https://twitter.com/anadin325" TargetMode="External"/><Relationship Id="rId16974" Type="http://schemas.openxmlformats.org/officeDocument/2006/relationships/hyperlink" Target="https://pbs.twimg.com/profile_images/637652033793851392/sK5pDpLB_normal.png" TargetMode="External"/><Relationship Id="rId20620" Type="http://schemas.openxmlformats.org/officeDocument/2006/relationships/hyperlink" Target="https://twitter.com/DonChocorrol" TargetMode="External"/><Relationship Id="rId1361" Type="http://schemas.openxmlformats.org/officeDocument/2006/relationships/hyperlink" Target="https://twitter.com/databaseDNA" TargetMode="External"/><Relationship Id="rId16627" Type="http://schemas.openxmlformats.org/officeDocument/2006/relationships/hyperlink" Target="https://pbs.twimg.com/profile_images/721824276865814528/ERktkiLE_normal.jpg" TargetMode="External"/><Relationship Id="rId23843" Type="http://schemas.openxmlformats.org/officeDocument/2006/relationships/hyperlink" Target="https://pbs.twimg.com/profile_images/619103605270933504/yq7GKMTs_normal.jpg" TargetMode="External"/><Relationship Id="rId1014" Type="http://schemas.openxmlformats.org/officeDocument/2006/relationships/hyperlink" Target="https://twitter.com/cginoffice" TargetMode="External"/><Relationship Id="rId4584" Type="http://schemas.openxmlformats.org/officeDocument/2006/relationships/hyperlink" Target="https://twitter.com/Klaus_Mueller" TargetMode="External"/><Relationship Id="rId14178" Type="http://schemas.openxmlformats.org/officeDocument/2006/relationships/hyperlink" Target="https://pbs.twimg.com/profile_images/720944147549548545/MzH9ePDo_normal.jpg" TargetMode="External"/><Relationship Id="rId19100" Type="http://schemas.openxmlformats.org/officeDocument/2006/relationships/hyperlink" Target="https://pbs.twimg.com/profile_images/627949001179037696/skEBkS05_normal.jpg" TargetMode="External"/><Relationship Id="rId21394" Type="http://schemas.openxmlformats.org/officeDocument/2006/relationships/hyperlink" Target="https://pbs.twimg.com/profile_images/475577159851843585/l8Q32jOP_normal.jpeg" TargetMode="External"/><Relationship Id="rId4237" Type="http://schemas.openxmlformats.org/officeDocument/2006/relationships/hyperlink" Target="https://pbs.twimg.com/profile_images/672878354127839232/M7OYc-zx_normal.jpg" TargetMode="External"/><Relationship Id="rId21047" Type="http://schemas.openxmlformats.org/officeDocument/2006/relationships/hyperlink" Target="https://twitter.com/dubbusses/status/724088275204452352" TargetMode="External"/><Relationship Id="rId9909" Type="http://schemas.openxmlformats.org/officeDocument/2006/relationships/hyperlink" Target="https://twitter.com/wdr5" TargetMode="External"/><Relationship Id="rId10788" Type="http://schemas.openxmlformats.org/officeDocument/2006/relationships/hyperlink" Target="https://twitter.com/beuc/status/723485011433811969" TargetMode="External"/><Relationship Id="rId15710" Type="http://schemas.openxmlformats.org/officeDocument/2006/relationships/hyperlink" Target="https://pbs.twimg.com/profile_images/2908590566/828967841f09b515ee36e3dfccea4d28_normal.png" TargetMode="External"/><Relationship Id="rId13261" Type="http://schemas.openxmlformats.org/officeDocument/2006/relationships/hyperlink" Target="https://twitter.com/kking67" TargetMode="External"/><Relationship Id="rId18933" Type="http://schemas.openxmlformats.org/officeDocument/2006/relationships/hyperlink" Target="https://twitter.com/CastrolArg/status/723907068193845248" TargetMode="External"/><Relationship Id="rId3320" Type="http://schemas.openxmlformats.org/officeDocument/2006/relationships/hyperlink" Target="https://twitter.com/techhippie/status/723151746831388672" TargetMode="External"/><Relationship Id="rId6890" Type="http://schemas.openxmlformats.org/officeDocument/2006/relationships/hyperlink" Target="https://pbs.twimg.com/profile_images/705780107844067328/e7O4UBNb_normal.jpg" TargetMode="External"/><Relationship Id="rId16484" Type="http://schemas.openxmlformats.org/officeDocument/2006/relationships/hyperlink" Target="https://pbs.twimg.com/profile_images/3725967723/1cb19fcb397118623a9866ecb7fd9b52_normal.jpeg" TargetMode="External"/><Relationship Id="rId20130" Type="http://schemas.openxmlformats.org/officeDocument/2006/relationships/hyperlink" Target="https://twitter.com/guido_ciocca" TargetMode="External"/><Relationship Id="rId6543" Type="http://schemas.openxmlformats.org/officeDocument/2006/relationships/hyperlink" Target="https://twitter.com/OnlineCarReview" TargetMode="External"/><Relationship Id="rId16137" Type="http://schemas.openxmlformats.org/officeDocument/2006/relationships/hyperlink" Target="https://twitter.com/YO_CATERINA" TargetMode="External"/><Relationship Id="rId23353" Type="http://schemas.openxmlformats.org/officeDocument/2006/relationships/hyperlink" Target="https://pbs.twimg.com/profile_images/378800000673633859/9729e4c280465095c6f835c9f6b36378_normal.jpeg" TargetMode="External"/><Relationship Id="rId4094" Type="http://schemas.openxmlformats.org/officeDocument/2006/relationships/hyperlink" Target="https://twitter.com/KeyoKage/status/723176069247959040" TargetMode="External"/><Relationship Id="rId9766" Type="http://schemas.openxmlformats.org/officeDocument/2006/relationships/hyperlink" Target="https://pbs.twimg.com/profile_images/722053762462912512/Eh0JxrRS_normal.jpg" TargetMode="External"/><Relationship Id="rId23006" Type="http://schemas.openxmlformats.org/officeDocument/2006/relationships/hyperlink" Target="https://twitter.com/BEVENUTO" TargetMode="External"/><Relationship Id="rId9419" Type="http://schemas.openxmlformats.org/officeDocument/2006/relationships/hyperlink" Target="https://twitter.com/vintagevwdita/status/723434242592493569" TargetMode="External"/><Relationship Id="rId10298" Type="http://schemas.openxmlformats.org/officeDocument/2006/relationships/hyperlink" Target="https://twitter.com/Smashy86" TargetMode="External"/><Relationship Id="rId12747" Type="http://schemas.openxmlformats.org/officeDocument/2006/relationships/hyperlink" Target="https://twitter.com/RainerLoveiam" TargetMode="External"/><Relationship Id="rId2806" Type="http://schemas.openxmlformats.org/officeDocument/2006/relationships/hyperlink" Target="https://twitter.com/Decafinator/status/723119846167203840" TargetMode="External"/><Relationship Id="rId15220" Type="http://schemas.openxmlformats.org/officeDocument/2006/relationships/hyperlink" Target="https://twitter.com/SJeanWrites/status/723599141411127297" TargetMode="External"/><Relationship Id="rId18790" Type="http://schemas.openxmlformats.org/officeDocument/2006/relationships/hyperlink" Target="https://pbs.twimg.com/profile_images/672878354127839232/M7OYc-zx_normal.jpg" TargetMode="External"/><Relationship Id="rId11830" Type="http://schemas.openxmlformats.org/officeDocument/2006/relationships/hyperlink" Target="https://twitter.com/ALuizCosta" TargetMode="External"/><Relationship Id="rId18443" Type="http://schemas.openxmlformats.org/officeDocument/2006/relationships/hyperlink" Target="https://twitter.com/JamesDerom" TargetMode="External"/><Relationship Id="rId22839" Type="http://schemas.openxmlformats.org/officeDocument/2006/relationships/hyperlink" Target="https://pbs.twimg.com/profile_images/474992711737409536/2oObMl2q_normal.jpeg" TargetMode="External"/><Relationship Id="rId6053" Type="http://schemas.openxmlformats.org/officeDocument/2006/relationships/hyperlink" Target="https://pbs.twimg.com/profile_images/463013654271520768/bYzIYP2g_normal.jpeg" TargetMode="External"/><Relationship Id="rId8502" Type="http://schemas.openxmlformats.org/officeDocument/2006/relationships/hyperlink" Target="https://twitter.com/AshleyBest" TargetMode="External"/><Relationship Id="rId25312" Type="http://schemas.openxmlformats.org/officeDocument/2006/relationships/hyperlink" Target="https://pbs.twimg.com/profile_images/682117963349135360/IUfZQy35_normal.png" TargetMode="External"/><Relationship Id="rId14706" Type="http://schemas.openxmlformats.org/officeDocument/2006/relationships/hyperlink" Target="http://dlvr.it/" TargetMode="External"/><Relationship Id="rId21922" Type="http://schemas.openxmlformats.org/officeDocument/2006/relationships/hyperlink" Target="https://twitter.com/mausraster" TargetMode="External"/><Relationship Id="rId982" Type="http://schemas.openxmlformats.org/officeDocument/2006/relationships/hyperlink" Target="https://twitter.com/Ismoke_weed/status/723010603984543744" TargetMode="External"/><Relationship Id="rId2663" Type="http://schemas.openxmlformats.org/officeDocument/2006/relationships/hyperlink" Target="https://twitter.com/sleepinggiantpa" TargetMode="External"/><Relationship Id="rId9276" Type="http://schemas.openxmlformats.org/officeDocument/2006/relationships/hyperlink" Target="https://twitter.com/VWBeetleSales/status/723429668041302017" TargetMode="External"/><Relationship Id="rId12257" Type="http://schemas.openxmlformats.org/officeDocument/2006/relationships/hyperlink" Target="https://pbs.twimg.com/profile_images/543163066599219200/dUy-AYOX_normal.jpeg" TargetMode="External"/><Relationship Id="rId635" Type="http://schemas.openxmlformats.org/officeDocument/2006/relationships/hyperlink" Target="https://pbs.twimg.com/profile_images/539623645472382976/nUD-8CHL_normal.jpeg" TargetMode="External"/><Relationship Id="rId2316" Type="http://schemas.openxmlformats.org/officeDocument/2006/relationships/hyperlink" Target="https://twitter.com/Verzaehler" TargetMode="External"/><Relationship Id="rId5886" Type="http://schemas.openxmlformats.org/officeDocument/2006/relationships/hyperlink" Target="https://pbs.twimg.com/profile_images/714501299555971072/gLZPQUZw_normal.jpg" TargetMode="External"/><Relationship Id="rId17929" Type="http://schemas.openxmlformats.org/officeDocument/2006/relationships/hyperlink" Target="https://twitter.com/GonZaa_mdq/status/723835097858891776" TargetMode="External"/><Relationship Id="rId22696" Type="http://schemas.openxmlformats.org/officeDocument/2006/relationships/hyperlink" Target="https://pbs.twimg.com/profile_images/718835727027580928/1ssyQ67y_normal.jpg" TargetMode="External"/><Relationship Id="rId5539" Type="http://schemas.openxmlformats.org/officeDocument/2006/relationships/hyperlink" Target="https://twitter.com/lamontto" TargetMode="External"/><Relationship Id="rId22349" Type="http://schemas.openxmlformats.org/officeDocument/2006/relationships/hyperlink" Target="https://twitter.com/SouthVW" TargetMode="External"/><Relationship Id="rId8012" Type="http://schemas.openxmlformats.org/officeDocument/2006/relationships/hyperlink" Target="https://twitter.com/financetwitting/status/723351099759955970" TargetMode="External"/><Relationship Id="rId11340" Type="http://schemas.openxmlformats.org/officeDocument/2006/relationships/hyperlink" Target="https://pbs.twimg.com/profile_images/632074492798443520/j3zHKAI2_normal.png" TargetMode="External"/><Relationship Id="rId14563" Type="http://schemas.openxmlformats.org/officeDocument/2006/relationships/hyperlink" Target="https://twitter.com/holminger" TargetMode="External"/><Relationship Id="rId4622" Type="http://schemas.openxmlformats.org/officeDocument/2006/relationships/hyperlink" Target="https://pbs.twimg.com/profile_images/378800000572104796/1de43e1cf23efb3f4101c02afad0d3b6_normal.png" TargetMode="External"/><Relationship Id="rId14216" Type="http://schemas.openxmlformats.org/officeDocument/2006/relationships/hyperlink" Target="https://twitter.com/CounterCorp" TargetMode="External"/><Relationship Id="rId17786" Type="http://schemas.openxmlformats.org/officeDocument/2006/relationships/hyperlink" Target="https://twitter.com/jayne_stackp" TargetMode="External"/><Relationship Id="rId21432" Type="http://schemas.openxmlformats.org/officeDocument/2006/relationships/hyperlink" Target="https://twitter.com/Brhoomv/status/724148622108049408" TargetMode="External"/><Relationship Id="rId492" Type="http://schemas.openxmlformats.org/officeDocument/2006/relationships/hyperlink" Target="https://twitter.com/leocastillo_RA/status/722961254399152128" TargetMode="External"/><Relationship Id="rId2173" Type="http://schemas.openxmlformats.org/officeDocument/2006/relationships/hyperlink" Target="https://twitter.com/TowleTompkins" TargetMode="External"/><Relationship Id="rId7845" Type="http://schemas.openxmlformats.org/officeDocument/2006/relationships/hyperlink" Target="https://pbs.twimg.com/profile_images/721116781276999686/vEzYqsti_normal.jpg" TargetMode="External"/><Relationship Id="rId17439" Type="http://schemas.openxmlformats.org/officeDocument/2006/relationships/hyperlink" Target="https://pbs.twimg.com/profile_images/378800000151023854/ce37258684d7baa3221cfae274336c26_normal.jpeg" TargetMode="External"/><Relationship Id="rId24655" Type="http://schemas.openxmlformats.org/officeDocument/2006/relationships/hyperlink" Target="https://twitter.com/beetlebug1938" TargetMode="External"/><Relationship Id="rId145" Type="http://schemas.openxmlformats.org/officeDocument/2006/relationships/hyperlink" Target="https://twitter.com/Insta_VWT/status/722930230516695040" TargetMode="External"/><Relationship Id="rId5396" Type="http://schemas.openxmlformats.org/officeDocument/2006/relationships/hyperlink" Target="https://twitter.com/MarkusIkarus/status/723202434659700736" TargetMode="External"/><Relationship Id="rId10826" Type="http://schemas.openxmlformats.org/officeDocument/2006/relationships/hyperlink" Target="https://twitter.com/avariluna" TargetMode="External"/><Relationship Id="rId24308" Type="http://schemas.openxmlformats.org/officeDocument/2006/relationships/hyperlink" Target="https://twitter.com/Insta_VWT" TargetMode="External"/><Relationship Id="rId5049" Type="http://schemas.openxmlformats.org/officeDocument/2006/relationships/hyperlink" Target="https://twitter.com/larskllnt" TargetMode="External"/><Relationship Id="rId16522" Type="http://schemas.openxmlformats.org/officeDocument/2006/relationships/hyperlink" Target="https://twitter.com/OnlineCarReview/status/723692759446523908" TargetMode="External"/><Relationship Id="rId20918" Type="http://schemas.openxmlformats.org/officeDocument/2006/relationships/hyperlink" Target="https://twitter.com/hgvdriversdiary" TargetMode="External"/><Relationship Id="rId1659" Type="http://schemas.openxmlformats.org/officeDocument/2006/relationships/hyperlink" Target="https://twitter.com/richardfoster1/status/723051728254427136" TargetMode="External"/><Relationship Id="rId4132" Type="http://schemas.openxmlformats.org/officeDocument/2006/relationships/hyperlink" Target="https://twitter.com/dwnews" TargetMode="External"/><Relationship Id="rId14073" Type="http://schemas.openxmlformats.org/officeDocument/2006/relationships/hyperlink" Target="https://twitter.com/StohlmanAuto" TargetMode="External"/><Relationship Id="rId19745" Type="http://schemas.openxmlformats.org/officeDocument/2006/relationships/hyperlink" Target="https://pbs.twimg.com/profile_images/718835727027580928/1ssyQ67y_normal.jpg" TargetMode="External"/><Relationship Id="rId9804" Type="http://schemas.openxmlformats.org/officeDocument/2006/relationships/hyperlink" Target="https://twitter.com/Shaznimohamed" TargetMode="External"/><Relationship Id="rId10683" Type="http://schemas.openxmlformats.org/officeDocument/2006/relationships/hyperlink" Target="https://twitter.com/thebugbar/status/723480731712929792" TargetMode="External"/><Relationship Id="rId17296" Type="http://schemas.openxmlformats.org/officeDocument/2006/relationships/hyperlink" Target="https://twitter.com/CastleCoastCamp" TargetMode="External"/><Relationship Id="rId18" Type="http://schemas.openxmlformats.org/officeDocument/2006/relationships/hyperlink" Target="https://pbs.twimg.com/profile_images/459480339438501888/EnQu9AcQ_normal.png" TargetMode="External"/><Relationship Id="rId7355" Type="http://schemas.openxmlformats.org/officeDocument/2006/relationships/hyperlink" Target="http://linkis.com/" TargetMode="External"/><Relationship Id="rId10336" Type="http://schemas.openxmlformats.org/officeDocument/2006/relationships/hyperlink" Target="https://pbs.twimg.com/profile_images/420682882730831872/nB7QO20Z_normal.jpeg" TargetMode="External"/><Relationship Id="rId24165" Type="http://schemas.openxmlformats.org/officeDocument/2006/relationships/hyperlink" Target="https://twitter.com/beetlebug1938/status/724336426867908608" TargetMode="External"/><Relationship Id="rId3965" Type="http://schemas.openxmlformats.org/officeDocument/2006/relationships/hyperlink" Target="https://pbs.twimg.com/profile_images/668867936208031744/3E1Dt1Ld_normal.jpg" TargetMode="External"/><Relationship Id="rId7008" Type="http://schemas.openxmlformats.org/officeDocument/2006/relationships/hyperlink" Target="https://pbs.twimg.com/profile_images/424893967197433858/iQ86NktX_normal.jpeg" TargetMode="External"/><Relationship Id="rId13559" Type="http://schemas.openxmlformats.org/officeDocument/2006/relationships/hyperlink" Target="https://pbs.twimg.com/profile_images/671639134956482560/gDLXHWaw_normal.jpg" TargetMode="External"/><Relationship Id="rId3618" Type="http://schemas.openxmlformats.org/officeDocument/2006/relationships/hyperlink" Target="https://twitter.com/beetlebug1938/status/723166050947338240" TargetMode="External"/><Relationship Id="rId16032" Type="http://schemas.openxmlformats.org/officeDocument/2006/relationships/hyperlink" Target="https://twitter.com/Orne_Dalfonso/status/723644461822128129" TargetMode="External"/><Relationship Id="rId20428" Type="http://schemas.openxmlformats.org/officeDocument/2006/relationships/hyperlink" Target="https://twitter.com/mk5_jetta" TargetMode="External"/><Relationship Id="rId20775" Type="http://schemas.openxmlformats.org/officeDocument/2006/relationships/hyperlink" Target="https://twitter.com/diiribas" TargetMode="External"/><Relationship Id="rId2" Type="http://schemas.openxmlformats.org/officeDocument/2006/relationships/hyperlink" Target="https://twitter.com/dont_blink1/status/722917360798027776" TargetMode="External"/><Relationship Id="rId1169" Type="http://schemas.openxmlformats.org/officeDocument/2006/relationships/hyperlink" Target="http://dlvr.it/" TargetMode="External"/><Relationship Id="rId23998" Type="http://schemas.openxmlformats.org/officeDocument/2006/relationships/hyperlink" Target="https://twitter.com/rajesh12june/status/724325437120385024" TargetMode="External"/><Relationship Id="rId9661" Type="http://schemas.openxmlformats.org/officeDocument/2006/relationships/hyperlink" Target="https://twitter.com/LittleCountry_M/status/723444584978640896" TargetMode="External"/><Relationship Id="rId12642" Type="http://schemas.openxmlformats.org/officeDocument/2006/relationships/hyperlink" Target="https://twitter.com/AchillePrick/status/723524263118954497" TargetMode="External"/><Relationship Id="rId19255" Type="http://schemas.openxmlformats.org/officeDocument/2006/relationships/hyperlink" Target="https://twitter.com/Ct2peteMX/status/723924526350897152" TargetMode="External"/><Relationship Id="rId2701" Type="http://schemas.openxmlformats.org/officeDocument/2006/relationships/hyperlink" Target="https://pbs.twimg.com/profile_images/693146533311684608/uuwVBrx__normal.png" TargetMode="External"/><Relationship Id="rId9314" Type="http://schemas.openxmlformats.org/officeDocument/2006/relationships/hyperlink" Target="https://pbs.twimg.com/profile_images/1110615804/kBqfF_normal.jpg" TargetMode="External"/><Relationship Id="rId10193" Type="http://schemas.openxmlformats.org/officeDocument/2006/relationships/hyperlink" Target="https://twitter.com/TuttOSuLinuX/status/723465407030505473" TargetMode="External"/><Relationship Id="rId15865" Type="http://schemas.openxmlformats.org/officeDocument/2006/relationships/hyperlink" Target="https://twitter.com/Madenza_" TargetMode="External"/><Relationship Id="rId5924" Type="http://schemas.openxmlformats.org/officeDocument/2006/relationships/hyperlink" Target="https://twitter.com/FrenchMaple/status/723224169870061569" TargetMode="External"/><Relationship Id="rId15518" Type="http://schemas.openxmlformats.org/officeDocument/2006/relationships/hyperlink" Target="https://pbs.twimg.com/profile_images/378800000383656962/389f4a2062ec3c75e130fd84590d969c_normal.png" TargetMode="External"/><Relationship Id="rId22734" Type="http://schemas.openxmlformats.org/officeDocument/2006/relationships/hyperlink" Target="https://pbs.twimg.com/profile_images/701457964675117057/Qh4IaxxH_normal.jpg" TargetMode="External"/><Relationship Id="rId3475" Type="http://schemas.openxmlformats.org/officeDocument/2006/relationships/hyperlink" Target="https://twitter.com/J0ann3/status/723160258466603009" TargetMode="External"/><Relationship Id="rId13069" Type="http://schemas.openxmlformats.org/officeDocument/2006/relationships/hyperlink" Target="https://pbs.twimg.com/profile_images/627949001179037696/skEBkS05_normal.jpg" TargetMode="External"/><Relationship Id="rId20285" Type="http://schemas.openxmlformats.org/officeDocument/2006/relationships/hyperlink" Target="https://twitter.com/thecoffeebus" TargetMode="External"/><Relationship Id="rId3128" Type="http://schemas.openxmlformats.org/officeDocument/2006/relationships/hyperlink" Target="https://pbs.twimg.com/profile_images/723239346351013888/wzCCXB_d_normal.jpg" TargetMode="External"/><Relationship Id="rId6698" Type="http://schemas.openxmlformats.org/officeDocument/2006/relationships/hyperlink" Target="https://twitter.com/ausrutherford" TargetMode="External"/><Relationship Id="rId9171" Type="http://schemas.openxmlformats.org/officeDocument/2006/relationships/hyperlink" Target="https://twitter.com/vzbv" TargetMode="External"/><Relationship Id="rId14601" Type="http://schemas.openxmlformats.org/officeDocument/2006/relationships/hyperlink" Target="https://twitter.com/c6rainer" TargetMode="External"/><Relationship Id="rId530" Type="http://schemas.openxmlformats.org/officeDocument/2006/relationships/hyperlink" Target="https://pbs.twimg.com/profile_images/541515485410775041/9oeSd8D2_normal.jpeg" TargetMode="External"/><Relationship Id="rId2211" Type="http://schemas.openxmlformats.org/officeDocument/2006/relationships/hyperlink" Target="https://twitter.com/techhippie/status/723088259874729984" TargetMode="External"/><Relationship Id="rId12152" Type="http://schemas.openxmlformats.org/officeDocument/2006/relationships/hyperlink" Target="https://pbs.twimg.com/profile_images/718484155055652864/AuUDmGKZ_normal.jpg" TargetMode="External"/><Relationship Id="rId17824" Type="http://schemas.openxmlformats.org/officeDocument/2006/relationships/hyperlink" Target="https://pbs.twimg.com/profile_images/584325151564537857/gURNr4OQ_normal.jpg" TargetMode="External"/><Relationship Id="rId5781" Type="http://schemas.openxmlformats.org/officeDocument/2006/relationships/hyperlink" Target="https://twitter.com/ArcadiaComunica/status/723217370290917377" TargetMode="External"/><Relationship Id="rId15375" Type="http://schemas.openxmlformats.org/officeDocument/2006/relationships/hyperlink" Target="https://twitter.com/vwbusman72" TargetMode="External"/><Relationship Id="rId22591" Type="http://schemas.openxmlformats.org/officeDocument/2006/relationships/hyperlink" Target="https://pbs.twimg.com/profile_images/475985801822863360/iBVkZA_H_normal.jpeg" TargetMode="External"/><Relationship Id="rId5434" Type="http://schemas.openxmlformats.org/officeDocument/2006/relationships/hyperlink" Target="https://twitter.com/KneecapMedia" TargetMode="External"/><Relationship Id="rId15028" Type="http://schemas.openxmlformats.org/officeDocument/2006/relationships/hyperlink" Target="https://pbs.twimg.com/profile_images/722256787009859584/vkuTNBGF_normal.jpg" TargetMode="External"/><Relationship Id="rId18598" Type="http://schemas.openxmlformats.org/officeDocument/2006/relationships/hyperlink" Target="https://twitter.com/VolkswagenPost" TargetMode="External"/><Relationship Id="rId22244" Type="http://schemas.openxmlformats.org/officeDocument/2006/relationships/hyperlink" Target="https://twitter.com/plenum_vf" TargetMode="External"/><Relationship Id="rId8657" Type="http://schemas.openxmlformats.org/officeDocument/2006/relationships/hyperlink" Target="https://twitter.com/elenagergen" TargetMode="External"/><Relationship Id="rId11638" Type="http://schemas.openxmlformats.org/officeDocument/2006/relationships/hyperlink" Target="https://pbs.twimg.com/profile_images/598204778066223104/T3e5yqH5_normal.png" TargetMode="External"/><Relationship Id="rId11985" Type="http://schemas.openxmlformats.org/officeDocument/2006/relationships/hyperlink" Target="https://pbs.twimg.com/profile_images/679619253075611648/u3su4Yxp_normal.jpg" TargetMode="External"/><Relationship Id="rId25467" Type="http://schemas.openxmlformats.org/officeDocument/2006/relationships/hyperlink" Target="https://pbs.twimg.com/profile_images/599226705513820160/hFySz3DC_normal.jpg" TargetMode="External"/><Relationship Id="rId14111" Type="http://schemas.openxmlformats.org/officeDocument/2006/relationships/hyperlink" Target="https://pbs.twimg.com/profile_images/652871584131092480/QA_B6SBO_normal.jpg" TargetMode="External"/><Relationship Id="rId17681" Type="http://schemas.openxmlformats.org/officeDocument/2006/relationships/hyperlink" Target="https://pbs.twimg.com/profile_images/508713944819957762/PmgOmWa9_normal.jpeg" TargetMode="External"/><Relationship Id="rId5291" Type="http://schemas.openxmlformats.org/officeDocument/2006/relationships/hyperlink" Target="https://pbs.twimg.com/profile_images/651204715607273472/WO_LwRkF_normal.png" TargetMode="External"/><Relationship Id="rId7740" Type="http://schemas.openxmlformats.org/officeDocument/2006/relationships/hyperlink" Target="https://twitter.com/oldcjs/status/723329994605379584" TargetMode="External"/><Relationship Id="rId10721" Type="http://schemas.openxmlformats.org/officeDocument/2006/relationships/hyperlink" Target="https://twitter.com/amsonline" TargetMode="External"/><Relationship Id="rId17334" Type="http://schemas.openxmlformats.org/officeDocument/2006/relationships/hyperlink" Target="https://pbs.twimg.com/profile_images/424893967197433858/iQ86NktX_normal.jpeg" TargetMode="External"/><Relationship Id="rId24550" Type="http://schemas.openxmlformats.org/officeDocument/2006/relationships/hyperlink" Target="https://twitter.com/DJHeero/status/724369600310169600" TargetMode="External"/><Relationship Id="rId13944" Type="http://schemas.openxmlformats.org/officeDocument/2006/relationships/hyperlink" Target="https://twitter.com/zuputu" TargetMode="External"/><Relationship Id="rId24203" Type="http://schemas.openxmlformats.org/officeDocument/2006/relationships/hyperlink" Target="https://pbs.twimg.com/profile_images/530071272881803264/a_jcCmPZ_normal.png" TargetMode="External"/><Relationship Id="rId11495" Type="http://schemas.openxmlformats.org/officeDocument/2006/relationships/hyperlink" Target="https://twitter.com/maryv85/status/723503009649577985" TargetMode="External"/><Relationship Id="rId20813" Type="http://schemas.openxmlformats.org/officeDocument/2006/relationships/hyperlink" Target="https://twitter.com/Braandon_0/status/724047530997256192" TargetMode="External"/><Relationship Id="rId1554" Type="http://schemas.openxmlformats.org/officeDocument/2006/relationships/hyperlink" Target="https://twitter.com/twittonium/status/723046363441696769" TargetMode="External"/><Relationship Id="rId8167" Type="http://schemas.openxmlformats.org/officeDocument/2006/relationships/hyperlink" Target="https://twitter.com/MarkusStrenzl/status/723373806820024320" TargetMode="External"/><Relationship Id="rId11148" Type="http://schemas.openxmlformats.org/officeDocument/2006/relationships/hyperlink" Target="https://twitter.com/doern/status/723498283323297792" TargetMode="External"/><Relationship Id="rId1207" Type="http://schemas.openxmlformats.org/officeDocument/2006/relationships/hyperlink" Target="https://pbs.twimg.com/profile_images/722506002373963776/G7islOV8_normal.jpg" TargetMode="External"/><Relationship Id="rId4777" Type="http://schemas.openxmlformats.org/officeDocument/2006/relationships/hyperlink" Target="https://twitter.com/chapmanphilly" TargetMode="External"/><Relationship Id="rId17191" Type="http://schemas.openxmlformats.org/officeDocument/2006/relationships/hyperlink" Target="https://twitter.com/VWBeetleSales" TargetMode="External"/><Relationship Id="rId19640" Type="http://schemas.openxmlformats.org/officeDocument/2006/relationships/hyperlink" Target="https://twitter.com/hashtagvanlife/status/723944748688543744" TargetMode="External"/><Relationship Id="rId21587" Type="http://schemas.openxmlformats.org/officeDocument/2006/relationships/hyperlink" Target="https://twitter.com/McGeiz/status/724161776443645953" TargetMode="External"/><Relationship Id="rId7250" Type="http://schemas.openxmlformats.org/officeDocument/2006/relationships/hyperlink" Target="https://twitter.com/VWBeetleSales" TargetMode="External"/><Relationship Id="rId24060" Type="http://schemas.openxmlformats.org/officeDocument/2006/relationships/hyperlink" Target="https://twitter.com/andrealbarello/status/724329306554556420" TargetMode="External"/><Relationship Id="rId10231" Type="http://schemas.openxmlformats.org/officeDocument/2006/relationships/hyperlink" Target="https://pbs.twimg.com/profile_images/1829299134/logo_vcd_nordost_normal.jpg" TargetMode="External"/><Relationship Id="rId15903" Type="http://schemas.openxmlformats.org/officeDocument/2006/relationships/hyperlink" Target="https://twitter.com/GreggCesaroni/status/723636417960747010" TargetMode="External"/><Relationship Id="rId3860" Type="http://schemas.openxmlformats.org/officeDocument/2006/relationships/hyperlink" Target="https://pbs.twimg.com/profile_images/2783814203/4b5dc0bf52ddee4fe7fcfee4cb816dea_normal.jpeg" TargetMode="External"/><Relationship Id="rId13454" Type="http://schemas.openxmlformats.org/officeDocument/2006/relationships/hyperlink" Target="https://twitter.com/VeeDubMk1_/status/723547983221035008" TargetMode="External"/><Relationship Id="rId20670" Type="http://schemas.openxmlformats.org/officeDocument/2006/relationships/hyperlink" Target="https://twitter.com/APWCares/status/724023825881534465" TargetMode="External"/><Relationship Id="rId3513" Type="http://schemas.openxmlformats.org/officeDocument/2006/relationships/hyperlink" Target="https://twitter.com/TurboBlankets" TargetMode="External"/><Relationship Id="rId13107" Type="http://schemas.openxmlformats.org/officeDocument/2006/relationships/hyperlink" Target="https://pbs.twimg.com/profile_images/378800000528765970/3ab9f2a00010e9cac08d5ca1638926e9_normal.png" TargetMode="External"/><Relationship Id="rId16677" Type="http://schemas.openxmlformats.org/officeDocument/2006/relationships/hyperlink" Target="https://twitter.com/Tweets4Yoga/status/723710542871977984" TargetMode="External"/><Relationship Id="rId20323" Type="http://schemas.openxmlformats.org/officeDocument/2006/relationships/hyperlink" Target="https://pbs.twimg.com/profile_images/695736685959737346/91Zk4k_M_normal.jpg" TargetMode="External"/><Relationship Id="rId23893" Type="http://schemas.openxmlformats.org/officeDocument/2006/relationships/hyperlink" Target="https://twitter.com/VWCamperSales" TargetMode="External"/><Relationship Id="rId1064" Type="http://schemas.openxmlformats.org/officeDocument/2006/relationships/hyperlink" Target="https://pbs.twimg.com/profile_images/691338329158057984/bHr__ZZL_normal.jpg" TargetMode="External"/><Relationship Id="rId6736" Type="http://schemas.openxmlformats.org/officeDocument/2006/relationships/hyperlink" Target="https://twitter.com/ObliviousMoron" TargetMode="External"/><Relationship Id="rId19150" Type="http://schemas.openxmlformats.org/officeDocument/2006/relationships/hyperlink" Target="https://twitter.com/StaceyJane212/status/723921559748907011" TargetMode="External"/><Relationship Id="rId23546" Type="http://schemas.openxmlformats.org/officeDocument/2006/relationships/hyperlink" Target="https://twitter.com/bingo_patb" TargetMode="External"/><Relationship Id="rId4287" Type="http://schemas.openxmlformats.org/officeDocument/2006/relationships/hyperlink" Target="https://twitter.com/smoothblinkhost/status/723178811508977664" TargetMode="External"/><Relationship Id="rId9959" Type="http://schemas.openxmlformats.org/officeDocument/2006/relationships/hyperlink" Target="https://pbs.twimg.com/profile_images/1610421423/Image2_normal.jpg" TargetMode="External"/><Relationship Id="rId21097" Type="http://schemas.openxmlformats.org/officeDocument/2006/relationships/hyperlink" Target="https://pbs.twimg.com/profile_images/645241660574695424/KLJds9rL_normal.jpg" TargetMode="External"/><Relationship Id="rId15760" Type="http://schemas.openxmlformats.org/officeDocument/2006/relationships/hyperlink" Target="https://twitter.com/wingston" TargetMode="External"/><Relationship Id="rId3370" Type="http://schemas.openxmlformats.org/officeDocument/2006/relationships/hyperlink" Target="https://pbs.twimg.com/profile_images/468741202754273280/0A6LRzkF_normal.png" TargetMode="External"/><Relationship Id="rId15413" Type="http://schemas.openxmlformats.org/officeDocument/2006/relationships/hyperlink" Target="https://twitter.com/vwdepo/status/723606838114172929" TargetMode="External"/><Relationship Id="rId18983" Type="http://schemas.openxmlformats.org/officeDocument/2006/relationships/hyperlink" Target="https://twitter.com/G5xbk/status/723911112828301312" TargetMode="External"/><Relationship Id="rId20180" Type="http://schemas.openxmlformats.org/officeDocument/2006/relationships/hyperlink" Target="https://twitter.com/kagayaki_2012/status/723979563517104129" TargetMode="External"/><Relationship Id="rId3023" Type="http://schemas.openxmlformats.org/officeDocument/2006/relationships/hyperlink" Target="https://pbs.twimg.com/profile_images/652871584131092480/QA_B6SBO_normal.jpg" TargetMode="External"/><Relationship Id="rId18636" Type="http://schemas.openxmlformats.org/officeDocument/2006/relationships/hyperlink" Target="https://twitter.com/wintonsauto" TargetMode="External"/><Relationship Id="rId6593" Type="http://schemas.openxmlformats.org/officeDocument/2006/relationships/hyperlink" Target="https://pbs.twimg.com/profile_images/700415860230397952/tCGmCj6M_normal.jpg" TargetMode="External"/><Relationship Id="rId16187" Type="http://schemas.openxmlformats.org/officeDocument/2006/relationships/hyperlink" Target="https://pbs.twimg.com/profile_images/637079566859767812/tkxkGxL8_normal.jpg" TargetMode="External"/><Relationship Id="rId25505" Type="http://schemas.openxmlformats.org/officeDocument/2006/relationships/hyperlink" Target="https://twitter.com/DubLuvTuning/status/724444859399045121" TargetMode="External"/><Relationship Id="rId6246" Type="http://schemas.openxmlformats.org/officeDocument/2006/relationships/hyperlink" Target="https://twitter.com/VolkswagenPost" TargetMode="External"/><Relationship Id="rId12797" Type="http://schemas.openxmlformats.org/officeDocument/2006/relationships/hyperlink" Target="https://twitter.com/sidpatankar/status/723527956719521792" TargetMode="External"/><Relationship Id="rId23056" Type="http://schemas.openxmlformats.org/officeDocument/2006/relationships/hyperlink" Target="http://senior.com/" TargetMode="External"/><Relationship Id="rId2856" Type="http://schemas.openxmlformats.org/officeDocument/2006/relationships/hyperlink" Target="https://twitter.com/VWCamperSales" TargetMode="External"/><Relationship Id="rId9469" Type="http://schemas.openxmlformats.org/officeDocument/2006/relationships/hyperlink" Target="https://pbs.twimg.com/profile_images/2755794784/46a2040b4700be620b431b6865fb340d_normal.jpeg" TargetMode="External"/><Relationship Id="rId15270" Type="http://schemas.openxmlformats.org/officeDocument/2006/relationships/hyperlink" Target="https://pbs.twimg.com/profile_images/656932194305245184/iQCtXaXg_normal.png" TargetMode="External"/><Relationship Id="rId828" Type="http://schemas.openxmlformats.org/officeDocument/2006/relationships/hyperlink" Target="https://twitter.com/VolkswagenPost" TargetMode="External"/><Relationship Id="rId2509" Type="http://schemas.openxmlformats.org/officeDocument/2006/relationships/hyperlink" Target="https://pbs.twimg.com/profile_images/700972629222535168/o3dpe-y1_normal.png" TargetMode="External"/><Relationship Id="rId8552" Type="http://schemas.openxmlformats.org/officeDocument/2006/relationships/hyperlink" Target="https://twitter.com/JoachimHeck/status/723394060908523520" TargetMode="External"/><Relationship Id="rId11880" Type="http://schemas.openxmlformats.org/officeDocument/2006/relationships/hyperlink" Target="https://twitter.com/Lebeaucarnews/status/723509441274982402" TargetMode="External"/><Relationship Id="rId18146" Type="http://schemas.openxmlformats.org/officeDocument/2006/relationships/hyperlink" Target="https://pbs.twimg.com/profile_images/2652043886/466bedb70eab21210898bbb81cbcd08f_normal.png" TargetMode="External"/><Relationship Id="rId18493" Type="http://schemas.openxmlformats.org/officeDocument/2006/relationships/hyperlink" Target="https://twitter.com/swanswaygroup/status/723873315220148225" TargetMode="External"/><Relationship Id="rId22889" Type="http://schemas.openxmlformats.org/officeDocument/2006/relationships/hyperlink" Target="https://twitter.com/dubbusses" TargetMode="External"/><Relationship Id="rId8205" Type="http://schemas.openxmlformats.org/officeDocument/2006/relationships/hyperlink" Target="http://ctrlq.org/maps/address/" TargetMode="External"/><Relationship Id="rId11533" Type="http://schemas.openxmlformats.org/officeDocument/2006/relationships/hyperlink" Target="https://twitter.com/zeitonline_wir" TargetMode="External"/><Relationship Id="rId25015" Type="http://schemas.openxmlformats.org/officeDocument/2006/relationships/hyperlink" Target="https://twitter.com/bertinosr" TargetMode="External"/><Relationship Id="rId25362" Type="http://schemas.openxmlformats.org/officeDocument/2006/relationships/hyperlink" Target="https://twitter.com/VolkswagenPost" TargetMode="External"/><Relationship Id="rId14756" Type="http://schemas.openxmlformats.org/officeDocument/2006/relationships/hyperlink" Target="https://twitter.com/GermanIOD/status/723581547752894464" TargetMode="External"/><Relationship Id="rId21972" Type="http://schemas.openxmlformats.org/officeDocument/2006/relationships/hyperlink" Target="https://twitter.com/mertbekci" TargetMode="External"/><Relationship Id="rId4815" Type="http://schemas.openxmlformats.org/officeDocument/2006/relationships/hyperlink" Target="https://abs.twimg.com/sticky/default_profile_images/default_profile_6_normal.png" TargetMode="External"/><Relationship Id="rId14409" Type="http://schemas.openxmlformats.org/officeDocument/2006/relationships/hyperlink" Target="https://t.co/7hbzi91943" TargetMode="External"/><Relationship Id="rId17979" Type="http://schemas.openxmlformats.org/officeDocument/2006/relationships/hyperlink" Target="https://twitter.com/dosummitgood" TargetMode="External"/><Relationship Id="rId21625" Type="http://schemas.openxmlformats.org/officeDocument/2006/relationships/hyperlink" Target="https://pbs.twimg.com/profile_images/663455849206169601/9s3yzE9j_normal.jpg" TargetMode="External"/><Relationship Id="rId685" Type="http://schemas.openxmlformats.org/officeDocument/2006/relationships/hyperlink" Target="https://twitter.com/lrajcohen/status/722968082344452096" TargetMode="External"/><Relationship Id="rId2366" Type="http://schemas.openxmlformats.org/officeDocument/2006/relationships/hyperlink" Target="http://ctrlq.org/maps/address/" TargetMode="External"/><Relationship Id="rId24848" Type="http://schemas.openxmlformats.org/officeDocument/2006/relationships/hyperlink" Target="https://twitter.com/alizaki94" TargetMode="External"/><Relationship Id="rId338" Type="http://schemas.openxmlformats.org/officeDocument/2006/relationships/hyperlink" Target="https://twitter.com/MavrickHnter" TargetMode="External"/><Relationship Id="rId2019" Type="http://schemas.openxmlformats.org/officeDocument/2006/relationships/hyperlink" Target="https://twitter.com/PiratenNH" TargetMode="External"/><Relationship Id="rId5589" Type="http://schemas.openxmlformats.org/officeDocument/2006/relationships/hyperlink" Target="https://t.co/lmj5Ik41H7" TargetMode="External"/><Relationship Id="rId11390" Type="http://schemas.openxmlformats.org/officeDocument/2006/relationships/hyperlink" Target="https://twitter.com/doberah/status/723501788024938496" TargetMode="External"/><Relationship Id="rId22399" Type="http://schemas.openxmlformats.org/officeDocument/2006/relationships/hyperlink" Target="https://twitter.com/seiya_tomtom" TargetMode="External"/><Relationship Id="rId8062" Type="http://schemas.openxmlformats.org/officeDocument/2006/relationships/hyperlink" Target="https://pbs.twimg.com/profile_images/1610421423/Image2_normal.jpg" TargetMode="External"/><Relationship Id="rId11043" Type="http://schemas.openxmlformats.org/officeDocument/2006/relationships/hyperlink" Target="https://pbs.twimg.com/profile_images/693403089211105280/sACniTJ__normal.jpg" TargetMode="External"/><Relationship Id="rId1102" Type="http://schemas.openxmlformats.org/officeDocument/2006/relationships/hyperlink" Target="https://pbs.twimg.com/profile_images/701247809287286785/ZAA-TgHg_normal.jpg" TargetMode="External"/><Relationship Id="rId16715" Type="http://schemas.openxmlformats.org/officeDocument/2006/relationships/hyperlink" Target="https://pbs.twimg.com/profile_images/1147531135/Bus_Card_Logo_normal.jpg" TargetMode="External"/><Relationship Id="rId23931" Type="http://schemas.openxmlformats.org/officeDocument/2006/relationships/hyperlink" Target="https://twitter.com/beetlebug1938/status/724321430230450176" TargetMode="External"/><Relationship Id="rId4672" Type="http://schemas.openxmlformats.org/officeDocument/2006/relationships/hyperlink" Target="https://pbs.twimg.com/profile_images/674572079707070464/FyMvIgJp_normal.jpg" TargetMode="External"/><Relationship Id="rId14266" Type="http://schemas.openxmlformats.org/officeDocument/2006/relationships/hyperlink" Target="https://twitter.com/tomwookieford" TargetMode="External"/><Relationship Id="rId19938" Type="http://schemas.openxmlformats.org/officeDocument/2006/relationships/hyperlink" Target="https://pbs.twimg.com/profile_images/692144043954978818/xEphL9kI_normal.jpg" TargetMode="External"/><Relationship Id="rId21482" Type="http://schemas.openxmlformats.org/officeDocument/2006/relationships/hyperlink" Target="https://twitter.com/Scirocco_Tuning" TargetMode="External"/><Relationship Id="rId195" Type="http://schemas.openxmlformats.org/officeDocument/2006/relationships/hyperlink" Target="https://pbs.twimg.com/profile_images/717367617393004544/YoABeH1n_normal.jpg" TargetMode="External"/><Relationship Id="rId4325" Type="http://schemas.openxmlformats.org/officeDocument/2006/relationships/hyperlink" Target="https://twitter.com/WashAutoPress" TargetMode="External"/><Relationship Id="rId7895" Type="http://schemas.openxmlformats.org/officeDocument/2006/relationships/hyperlink" Target="https://twitter.com/skakurega" TargetMode="External"/><Relationship Id="rId10876" Type="http://schemas.openxmlformats.org/officeDocument/2006/relationships/hyperlink" Target="https://twitter.com/GecoGordon/status/723488709660700673" TargetMode="External"/><Relationship Id="rId17489" Type="http://schemas.openxmlformats.org/officeDocument/2006/relationships/hyperlink" Target="https://twitter.com/slsmicha/status/723802397986926592" TargetMode="External"/><Relationship Id="rId21135" Type="http://schemas.openxmlformats.org/officeDocument/2006/relationships/hyperlink" Target="https://twitter.com/abd_haas/status/724107835274092544" TargetMode="External"/><Relationship Id="rId7548" Type="http://schemas.openxmlformats.org/officeDocument/2006/relationships/hyperlink" Target="https://twitter.com/Orne_Dalfonso" TargetMode="External"/><Relationship Id="rId10529" Type="http://schemas.openxmlformats.org/officeDocument/2006/relationships/hyperlink" Target="https://twitter.com/golfturkiye" TargetMode="External"/><Relationship Id="rId24358" Type="http://schemas.openxmlformats.org/officeDocument/2006/relationships/hyperlink" Target="https://pbs.twimg.com/profile_images/713881327737634816/9Tw74fe7_normal.jpg" TargetMode="External"/><Relationship Id="rId5099" Type="http://schemas.openxmlformats.org/officeDocument/2006/relationships/hyperlink" Target="https://pbs.twimg.com/profile_images/714538405372231680/V37hm1RX_normal.jpg" TargetMode="External"/><Relationship Id="rId13002" Type="http://schemas.openxmlformats.org/officeDocument/2006/relationships/hyperlink" Target="https://twitter.com/ChristophNoack/status/723533013649334273" TargetMode="External"/><Relationship Id="rId6631" Type="http://schemas.openxmlformats.org/officeDocument/2006/relationships/hyperlink" Target="https://pbs.twimg.com/profile_images/668932725567393792/sbSqGxTp_normal.jpg" TargetMode="External"/><Relationship Id="rId16572" Type="http://schemas.openxmlformats.org/officeDocument/2006/relationships/hyperlink" Target="https://pbs.twimg.com/profile_images/2646835465/aa5823578b01b04b7e91d58e8ca88691_normal.jpeg" TargetMode="External"/><Relationship Id="rId20968" Type="http://schemas.openxmlformats.org/officeDocument/2006/relationships/hyperlink" Target="http://dlvr.it/" TargetMode="External"/><Relationship Id="rId4182" Type="http://schemas.openxmlformats.org/officeDocument/2006/relationships/hyperlink" Target="https://twitter.com/BungerKCBS" TargetMode="External"/><Relationship Id="rId16225" Type="http://schemas.openxmlformats.org/officeDocument/2006/relationships/hyperlink" Target="https://pbs.twimg.com/profile_images/703294545195307008/qeCvrX86_normal.jpg" TargetMode="External"/><Relationship Id="rId19795" Type="http://schemas.openxmlformats.org/officeDocument/2006/relationships/hyperlink" Target="https://twitter.com/AutoExpress" TargetMode="External"/><Relationship Id="rId23441" Type="http://schemas.openxmlformats.org/officeDocument/2006/relationships/hyperlink" Target="https://twitter.com/a_cologne" TargetMode="External"/><Relationship Id="rId9854" Type="http://schemas.openxmlformats.org/officeDocument/2006/relationships/hyperlink" Target="https://pbs.twimg.com/profile_images/789711681/s2_normal.bmp" TargetMode="External"/><Relationship Id="rId12835" Type="http://schemas.openxmlformats.org/officeDocument/2006/relationships/hyperlink" Target="https://pbs.twimg.com/profile_images/709425905895149568/a5mHZrMz_normal.jpg" TargetMode="External"/><Relationship Id="rId19448" Type="http://schemas.openxmlformats.org/officeDocument/2006/relationships/hyperlink" Target="https://pbs.twimg.com/profile_images/684728793500487680/Z8zQkEhj_normal.jpg" TargetMode="External"/><Relationship Id="rId68" Type="http://schemas.openxmlformats.org/officeDocument/2006/relationships/hyperlink" Target="https://twitter.com/Watercolorhere/status/722922705129906176" TargetMode="External"/><Relationship Id="rId7058" Type="http://schemas.openxmlformats.org/officeDocument/2006/relationships/hyperlink" Target="https://twitter.com/tatymontespr" TargetMode="External"/><Relationship Id="rId9507" Type="http://schemas.openxmlformats.org/officeDocument/2006/relationships/hyperlink" Target="https://pbs.twimg.com/profile_images/718820712757215233/LXXndPTS_normal.jpg" TargetMode="External"/><Relationship Id="rId10386" Type="http://schemas.openxmlformats.org/officeDocument/2006/relationships/hyperlink" Target="https://twitter.com/Mat_Struwe" TargetMode="External"/><Relationship Id="rId10039" Type="http://schemas.openxmlformats.org/officeDocument/2006/relationships/hyperlink" Target="https://twitter.com/JoHammonia" TargetMode="External"/><Relationship Id="rId18531" Type="http://schemas.openxmlformats.org/officeDocument/2006/relationships/hyperlink" Target="https://twitter.com/krazykayjun" TargetMode="External"/><Relationship Id="rId22927" Type="http://schemas.openxmlformats.org/officeDocument/2006/relationships/hyperlink" Target="https://twitter.com/robb757" TargetMode="External"/><Relationship Id="rId3668" Type="http://schemas.openxmlformats.org/officeDocument/2006/relationships/hyperlink" Target="https://pbs.twimg.com/profile_images/479652486806904832/u9M5aNOk_normal.jpeg" TargetMode="External"/><Relationship Id="rId16082" Type="http://schemas.openxmlformats.org/officeDocument/2006/relationships/hyperlink" Target="https://twitter.com/BaliBarber" TargetMode="External"/><Relationship Id="rId20478" Type="http://schemas.openxmlformats.org/officeDocument/2006/relationships/hyperlink" Target="https://twitter.com/VeeDubMk1_" TargetMode="External"/><Relationship Id="rId25400" Type="http://schemas.openxmlformats.org/officeDocument/2006/relationships/hyperlink" Target="https://pbs.twimg.com/profile_images/709162212259008512/y7mmMD-g_normal.jpg" TargetMode="External"/><Relationship Id="rId6141" Type="http://schemas.openxmlformats.org/officeDocument/2006/relationships/hyperlink" Target="https://twitter.com/BarneysBull/status/723232206412480514" TargetMode="External"/><Relationship Id="rId9364" Type="http://schemas.openxmlformats.org/officeDocument/2006/relationships/hyperlink" Target="https://twitter.com/Kabam1Petra" TargetMode="External"/><Relationship Id="rId12692" Type="http://schemas.openxmlformats.org/officeDocument/2006/relationships/hyperlink" Target="https://twitter.com/carstech42160" TargetMode="External"/><Relationship Id="rId2751" Type="http://schemas.openxmlformats.org/officeDocument/2006/relationships/hyperlink" Target="https://pbs.twimg.com/profile_images/702752945155264512/xL5DpDRh_normal.jpg" TargetMode="External"/><Relationship Id="rId9017" Type="http://schemas.openxmlformats.org/officeDocument/2006/relationships/hyperlink" Target="https://twitter.com/Hostyourparty" TargetMode="External"/><Relationship Id="rId12345" Type="http://schemas.openxmlformats.org/officeDocument/2006/relationships/hyperlink" Target="https://twitter.com/DubLuvTuning/status/723517695849799682" TargetMode="External"/><Relationship Id="rId723" Type="http://schemas.openxmlformats.org/officeDocument/2006/relationships/hyperlink" Target="https://pbs.twimg.com/profile_images/1844337440/test_normal.gif" TargetMode="External"/><Relationship Id="rId2404" Type="http://schemas.openxmlformats.org/officeDocument/2006/relationships/hyperlink" Target="https://twitter.com/VWBeetleSales" TargetMode="External"/><Relationship Id="rId5974" Type="http://schemas.openxmlformats.org/officeDocument/2006/relationships/hyperlink" Target="https://pbs.twimg.com/profile_images/718283690980323328/0FMfjUn9_normal.jpg" TargetMode="External"/><Relationship Id="rId15568" Type="http://schemas.openxmlformats.org/officeDocument/2006/relationships/hyperlink" Target="https://twitter.com/herrenloserHund" TargetMode="External"/><Relationship Id="rId22784" Type="http://schemas.openxmlformats.org/officeDocument/2006/relationships/hyperlink" Target="https://twitter.com/VWCamperSales/status/724245559687553024" TargetMode="External"/><Relationship Id="rId5627" Type="http://schemas.openxmlformats.org/officeDocument/2006/relationships/hyperlink" Target="https://twitter.com/VWCamperSales/status/723211243641667584" TargetMode="External"/><Relationship Id="rId18041" Type="http://schemas.openxmlformats.org/officeDocument/2006/relationships/hyperlink" Target="https://twitter.com/FuscaWorld" TargetMode="External"/><Relationship Id="rId22437" Type="http://schemas.openxmlformats.org/officeDocument/2006/relationships/hyperlink" Target="https://twitter.com/beetlebug1938/status/724223955905712128" TargetMode="External"/><Relationship Id="rId3178" Type="http://schemas.openxmlformats.org/officeDocument/2006/relationships/hyperlink" Target="https://pbs.twimg.com/profile_images/672388164602982402/VUyn5Uy1_normal.jpg" TargetMode="External"/><Relationship Id="rId8100" Type="http://schemas.openxmlformats.org/officeDocument/2006/relationships/hyperlink" Target="https://twitter.com/autobrokersweb/status/723368769767100418" TargetMode="External"/><Relationship Id="rId4710" Type="http://schemas.openxmlformats.org/officeDocument/2006/relationships/hyperlink" Target="https://twitter.com/ArtistOfKouroo" TargetMode="External"/><Relationship Id="rId14651" Type="http://schemas.openxmlformats.org/officeDocument/2006/relationships/hyperlink" Target="https://pbs.twimg.com/profile_images/668091779313500160/ZepxnJcI_normal.jpg" TargetMode="External"/><Relationship Id="rId580" Type="http://schemas.openxmlformats.org/officeDocument/2006/relationships/hyperlink" Target="https://twitter.com/ghcj/status/722966411887288320" TargetMode="External"/><Relationship Id="rId2261" Type="http://schemas.openxmlformats.org/officeDocument/2006/relationships/hyperlink" Target="https://twitter.com/MeinAuto/status/723091512356155392" TargetMode="External"/><Relationship Id="rId14304" Type="http://schemas.openxmlformats.org/officeDocument/2006/relationships/hyperlink" Target="https://twitter.com/ra_howl/status/723571907732320256" TargetMode="External"/><Relationship Id="rId17874" Type="http://schemas.openxmlformats.org/officeDocument/2006/relationships/hyperlink" Target="https://pbs.twimg.com/profile_images/599357023407464449/BL9Bpo6T_normal.jpg" TargetMode="External"/><Relationship Id="rId21520" Type="http://schemas.openxmlformats.org/officeDocument/2006/relationships/hyperlink" Target="https://twitter.com/pizzapickupltd" TargetMode="External"/><Relationship Id="rId233" Type="http://schemas.openxmlformats.org/officeDocument/2006/relationships/hyperlink" Target="https://twitter.com/fusca_elite_br/status/722938468721004544" TargetMode="External"/><Relationship Id="rId5484" Type="http://schemas.openxmlformats.org/officeDocument/2006/relationships/hyperlink" Target="https://pbs.twimg.com/profile_images/3535266328/abfd0da49fc5d31e6636027a78686e93_normal.png" TargetMode="External"/><Relationship Id="rId7933" Type="http://schemas.openxmlformats.org/officeDocument/2006/relationships/hyperlink" Target="https://pbs.twimg.com/profile_images/640035730660569088/IWp003Ep_normal.jpg" TargetMode="External"/><Relationship Id="rId10914" Type="http://schemas.openxmlformats.org/officeDocument/2006/relationships/hyperlink" Target="https://twitter.com/believebecca" TargetMode="External"/><Relationship Id="rId17527" Type="http://schemas.openxmlformats.org/officeDocument/2006/relationships/hyperlink" Target="https://pbs.twimg.com/profile_images/712639850218962946/ix5EU-Ne_normal.jpg" TargetMode="External"/><Relationship Id="rId24743" Type="http://schemas.openxmlformats.org/officeDocument/2006/relationships/hyperlink" Target="https://twitter.com/speedhappens/status/724386409507770370" TargetMode="External"/><Relationship Id="rId5137" Type="http://schemas.openxmlformats.org/officeDocument/2006/relationships/hyperlink" Target="https://twitter.com/pepmariavila/status/723195032564543489" TargetMode="External"/><Relationship Id="rId15078" Type="http://schemas.openxmlformats.org/officeDocument/2006/relationships/hyperlink" Target="https://twitter.com/ThomasThePommes/status/723592555749871616" TargetMode="External"/><Relationship Id="rId22294" Type="http://schemas.openxmlformats.org/officeDocument/2006/relationships/hyperlink" Target="https://twitter.com/FuscaWorld" TargetMode="External"/><Relationship Id="rId11688" Type="http://schemas.openxmlformats.org/officeDocument/2006/relationships/hyperlink" Target="https://pbs.twimg.com/profile_images/704506168157188097/RiQczRHn_normal.jpg" TargetMode="External"/><Relationship Id="rId16610" Type="http://schemas.openxmlformats.org/officeDocument/2006/relationships/hyperlink" Target="https://twitter.com/Vivu012/status/723700680188420096" TargetMode="External"/><Relationship Id="rId1747" Type="http://schemas.openxmlformats.org/officeDocument/2006/relationships/hyperlink" Target="https://twitter.com/DennisDost/status/723055279550672897" TargetMode="External"/><Relationship Id="rId14161" Type="http://schemas.openxmlformats.org/officeDocument/2006/relationships/hyperlink" Target="https://twitter.com/abronstadnlj/status/723566301613031426" TargetMode="External"/><Relationship Id="rId4220" Type="http://schemas.openxmlformats.org/officeDocument/2006/relationships/hyperlink" Target="https://twitter.com/Tarela" TargetMode="External"/><Relationship Id="rId7790" Type="http://schemas.openxmlformats.org/officeDocument/2006/relationships/hyperlink" Target="https://pbs.twimg.com/profile_images/721400546226216960/7Ki-DrLK_normal.jpg" TargetMode="External"/><Relationship Id="rId17384" Type="http://schemas.openxmlformats.org/officeDocument/2006/relationships/hyperlink" Target="https://twitter.com/FennellMarcus/status/723795897121951744" TargetMode="External"/><Relationship Id="rId19833" Type="http://schemas.openxmlformats.org/officeDocument/2006/relationships/hyperlink" Target="https://twitter.com/LeoDesimone6" TargetMode="External"/><Relationship Id="rId21030" Type="http://schemas.openxmlformats.org/officeDocument/2006/relationships/hyperlink" Target="https://pbs.twimg.com/profile_images/709199302057435136/vi-tZfhL_normal.jpg" TargetMode="External"/><Relationship Id="rId7443" Type="http://schemas.openxmlformats.org/officeDocument/2006/relationships/hyperlink" Target="https://twitter.com/dejbanlaw/status/723304201426587648" TargetMode="External"/><Relationship Id="rId10771" Type="http://schemas.openxmlformats.org/officeDocument/2006/relationships/hyperlink" Target="https://pbs.twimg.com/profile_images/716995882105712642/kGYcr4G-_normal.jpg" TargetMode="External"/><Relationship Id="rId17037" Type="http://schemas.openxmlformats.org/officeDocument/2006/relationships/hyperlink" Target="https://twitter.com/HunkyAlley/status/723765182657343488" TargetMode="External"/><Relationship Id="rId24253" Type="http://schemas.openxmlformats.org/officeDocument/2006/relationships/hyperlink" Target="https://twitter.com/Supa_cdq_dj" TargetMode="External"/><Relationship Id="rId10424" Type="http://schemas.openxmlformats.org/officeDocument/2006/relationships/hyperlink" Target="https://pbs.twimg.com/profile_images/438619338942062592/OBEQvg6R_normal.jpeg" TargetMode="External"/><Relationship Id="rId13994" Type="http://schemas.openxmlformats.org/officeDocument/2006/relationships/hyperlink" Target="https://twitter.com/acvwpassion" TargetMode="External"/><Relationship Id="rId13647" Type="http://schemas.openxmlformats.org/officeDocument/2006/relationships/hyperlink" Target="https://pbs.twimg.com/profile_images/641845459527536640/LiA4956L_normal.jpg" TargetMode="External"/><Relationship Id="rId20863" Type="http://schemas.openxmlformats.org/officeDocument/2006/relationships/hyperlink" Target="https://twitter.com/gimena_barela" TargetMode="External"/><Relationship Id="rId3706" Type="http://schemas.openxmlformats.org/officeDocument/2006/relationships/hyperlink" Target="https://twitter.com/Fat4y" TargetMode="External"/><Relationship Id="rId11198" Type="http://schemas.openxmlformats.org/officeDocument/2006/relationships/hyperlink" Target="https://pbs.twimg.com/profile_images/2275736241/0wxdwpqqkero82c7tj5z_normal.jpeg" TargetMode="External"/><Relationship Id="rId16120" Type="http://schemas.openxmlformats.org/officeDocument/2006/relationships/hyperlink" Target="https://twitter.com/mickk1954/status/723649247502061568" TargetMode="External"/><Relationship Id="rId19690" Type="http://schemas.openxmlformats.org/officeDocument/2006/relationships/hyperlink" Target="https://twitter.com/TheHippieVanMan" TargetMode="External"/><Relationship Id="rId20516" Type="http://schemas.openxmlformats.org/officeDocument/2006/relationships/hyperlink" Target="https://pbs.twimg.com/profile_images/378800000801365829/e9f28f8996ff7f098d9b8a1840e76f50_normal.png" TargetMode="External"/><Relationship Id="rId1257" Type="http://schemas.openxmlformats.org/officeDocument/2006/relationships/hyperlink" Target="https://twitter.com/deutch_az/status/723028249639444480" TargetMode="External"/><Relationship Id="rId6929" Type="http://schemas.openxmlformats.org/officeDocument/2006/relationships/hyperlink" Target="https://pbs.twimg.com/profile_images/477440204932796419/Ubdok5z2_normal.jpeg" TargetMode="External"/><Relationship Id="rId19343" Type="http://schemas.openxmlformats.org/officeDocument/2006/relationships/hyperlink" Target="https://twitter.com/ArtlstLucyChen/status/723927177377525760" TargetMode="External"/><Relationship Id="rId23739" Type="http://schemas.openxmlformats.org/officeDocument/2006/relationships/hyperlink" Target="http://dlvr.it/" TargetMode="External"/><Relationship Id="rId9402" Type="http://schemas.openxmlformats.org/officeDocument/2006/relationships/hyperlink" Target="https://pbs.twimg.com/profile_images/477014576001589248/U9HDLmZK_normal.jpeg" TargetMode="External"/><Relationship Id="rId10281" Type="http://schemas.openxmlformats.org/officeDocument/2006/relationships/hyperlink" Target="https://twitter.com/hakandeliduman/status/723467987479597057" TargetMode="External"/><Relationship Id="rId12730" Type="http://schemas.openxmlformats.org/officeDocument/2006/relationships/hyperlink" Target="https://twitter.com/rogerwilc00/status/723526448108179456" TargetMode="External"/><Relationship Id="rId15953" Type="http://schemas.openxmlformats.org/officeDocument/2006/relationships/hyperlink" Target="https://twitter.com/GSracer69/status/723639114734678016" TargetMode="External"/><Relationship Id="rId3563" Type="http://schemas.openxmlformats.org/officeDocument/2006/relationships/hyperlink" Target="https://twitter.com/nakulshetty88/status/723164139850440704" TargetMode="External"/><Relationship Id="rId15606" Type="http://schemas.openxmlformats.org/officeDocument/2006/relationships/hyperlink" Target="https://twitter.com/facundoalmeira/status/723616032531841024" TargetMode="External"/><Relationship Id="rId22822" Type="http://schemas.openxmlformats.org/officeDocument/2006/relationships/hyperlink" Target="https://twitter.com/OnlineCarReview" TargetMode="External"/><Relationship Id="rId3216" Type="http://schemas.openxmlformats.org/officeDocument/2006/relationships/hyperlink" Target="https://pbs.twimg.com/profile_images/675866578760634369/Wu-DqRQO_normal.jpg" TargetMode="External"/><Relationship Id="rId13157" Type="http://schemas.openxmlformats.org/officeDocument/2006/relationships/hyperlink" Target="https://pbs.twimg.com/profile_images/702511217793863680/lty8h9vE_normal.jpg" TargetMode="External"/><Relationship Id="rId18829" Type="http://schemas.openxmlformats.org/officeDocument/2006/relationships/hyperlink" Target="https://twitter.com/Floppii_Chiara/status/723899277152534528" TargetMode="External"/><Relationship Id="rId20373" Type="http://schemas.openxmlformats.org/officeDocument/2006/relationships/hyperlink" Target="https://pbs.twimg.com/profile_images/512791531128750080/twojGp5p_normal.jpeg" TargetMode="External"/><Relationship Id="rId6786" Type="http://schemas.openxmlformats.org/officeDocument/2006/relationships/hyperlink" Target="https://pbs.twimg.com/profile_images/530071272881803264/a_jcCmPZ_normal.png" TargetMode="External"/><Relationship Id="rId20026" Type="http://schemas.openxmlformats.org/officeDocument/2006/relationships/hyperlink" Target="https://twitter.com/maxiavalos3/status/723969813442260993" TargetMode="External"/><Relationship Id="rId23596" Type="http://schemas.openxmlformats.org/officeDocument/2006/relationships/hyperlink" Target="https://twitter.com/mamulavaca/status/724298441837268992" TargetMode="External"/><Relationship Id="rId6439" Type="http://schemas.openxmlformats.org/officeDocument/2006/relationships/hyperlink" Target="https://twitter.com/Insta_VWT" TargetMode="External"/><Relationship Id="rId12240" Type="http://schemas.openxmlformats.org/officeDocument/2006/relationships/hyperlink" Target="https://twitter.com/weserkurier/status/723515592754532352" TargetMode="External"/><Relationship Id="rId23249" Type="http://schemas.openxmlformats.org/officeDocument/2006/relationships/hyperlink" Target="https://twitter.com/cmsGOMEX" TargetMode="External"/><Relationship Id="rId15463" Type="http://schemas.openxmlformats.org/officeDocument/2006/relationships/hyperlink" Target="https://twitter.com/S_Galimberti/status/723608133990526976" TargetMode="External"/><Relationship Id="rId17912" Type="http://schemas.openxmlformats.org/officeDocument/2006/relationships/hyperlink" Target="https://twitter.com/VolkswagenPost" TargetMode="External"/><Relationship Id="rId5522" Type="http://schemas.openxmlformats.org/officeDocument/2006/relationships/hyperlink" Target="http://dlvr.it/" TargetMode="External"/><Relationship Id="rId15116" Type="http://schemas.openxmlformats.org/officeDocument/2006/relationships/hyperlink" Target="https://twitter.com/EitelStefan/status/723594654764113920" TargetMode="External"/><Relationship Id="rId22332" Type="http://schemas.openxmlformats.org/officeDocument/2006/relationships/hyperlink" Target="http://dlvr.it/" TargetMode="External"/><Relationship Id="rId3073" Type="http://schemas.openxmlformats.org/officeDocument/2006/relationships/hyperlink" Target="https://twitter.com/TheMutti" TargetMode="External"/><Relationship Id="rId18686" Type="http://schemas.openxmlformats.org/officeDocument/2006/relationships/hyperlink" Target="https://twitter.com/CarterVW" TargetMode="External"/><Relationship Id="rId6296" Type="http://schemas.openxmlformats.org/officeDocument/2006/relationships/hyperlink" Target="https://twitter.com/Klickvieh" TargetMode="External"/><Relationship Id="rId8745" Type="http://schemas.openxmlformats.org/officeDocument/2006/relationships/hyperlink" Target="https://twitter.com/LGlimm/status/723404449813651456" TargetMode="External"/><Relationship Id="rId11726" Type="http://schemas.openxmlformats.org/officeDocument/2006/relationships/hyperlink" Target="https://twitter.com/KURIERat" TargetMode="External"/><Relationship Id="rId18339" Type="http://schemas.openxmlformats.org/officeDocument/2006/relationships/hyperlink" Target="https://pbs.twimg.com/profile_images/630675955007270912/iceoiWn7_normal.jpg" TargetMode="External"/><Relationship Id="rId25555" Type="http://schemas.openxmlformats.org/officeDocument/2006/relationships/hyperlink" Target="https://pbs.twimg.com/profile_images/714132167471837184/zo4AQ9-0_normal.jpg" TargetMode="External"/><Relationship Id="rId14949" Type="http://schemas.openxmlformats.org/officeDocument/2006/relationships/hyperlink" Target="https://twitter.com/kingblaise_/status/723587682392223746" TargetMode="External"/><Relationship Id="rId25208" Type="http://schemas.openxmlformats.org/officeDocument/2006/relationships/hyperlink" Target="https://twitter.com/VWCamperSales" TargetMode="External"/><Relationship Id="rId17422" Type="http://schemas.openxmlformats.org/officeDocument/2006/relationships/hyperlink" Target="https://twitter.com/BavariaWatch" TargetMode="External"/><Relationship Id="rId21818" Type="http://schemas.openxmlformats.org/officeDocument/2006/relationships/hyperlink" Target="https://pbs.twimg.com/profile_images/705780107844067328/e7O4UBNb_normal.jpg" TargetMode="External"/><Relationship Id="rId878" Type="http://schemas.openxmlformats.org/officeDocument/2006/relationships/hyperlink" Target="https://twitter.com/sarahkaiserrr" TargetMode="External"/><Relationship Id="rId2559" Type="http://schemas.openxmlformats.org/officeDocument/2006/relationships/hyperlink" Target="https://twitter.com/HolloConsultant/status/723105628672110592" TargetMode="External"/><Relationship Id="rId5032" Type="http://schemas.openxmlformats.org/officeDocument/2006/relationships/hyperlink" Target="https://twitter.com/celiacernadas/status/723192725118447616" TargetMode="External"/><Relationship Id="rId18196" Type="http://schemas.openxmlformats.org/officeDocument/2006/relationships/hyperlink" Target="https://twitter.com/nbjustin" TargetMode="External"/><Relationship Id="rId8255" Type="http://schemas.openxmlformats.org/officeDocument/2006/relationships/hyperlink" Target="https://pbs.twimg.com/profile_images/701960953902952448/mGr3TmMc_normal.jpg" TargetMode="External"/><Relationship Id="rId11583" Type="http://schemas.openxmlformats.org/officeDocument/2006/relationships/hyperlink" Target="https://pbs.twimg.com/profile_images/686276072120414208/nhKLB-ej_normal.jpg" TargetMode="External"/><Relationship Id="rId20901" Type="http://schemas.openxmlformats.org/officeDocument/2006/relationships/hyperlink" Target="https://pbs.twimg.com/profile_images/617967865413525504/y9t3axe3_normal.jpg" TargetMode="External"/><Relationship Id="rId25065" Type="http://schemas.openxmlformats.org/officeDocument/2006/relationships/hyperlink" Target="https://twitter.com/FuscaWorld/status/724415251735826433" TargetMode="External"/><Relationship Id="rId1642" Type="http://schemas.openxmlformats.org/officeDocument/2006/relationships/hyperlink" Target="https://pbs.twimg.com/profile_images/709097571046854656/IwOIbe2__normal.jpg" TargetMode="External"/><Relationship Id="rId11236" Type="http://schemas.openxmlformats.org/officeDocument/2006/relationships/hyperlink" Target="https://pbs.twimg.com/profile_images/666962838930485248/ZYF2LkHu_normal.png" TargetMode="External"/><Relationship Id="rId16908" Type="http://schemas.openxmlformats.org/officeDocument/2006/relationships/hyperlink" Target="https://pbs.twimg.com/profile_images/709439945719554049/EsfOsVRH_normal.jpg" TargetMode="External"/><Relationship Id="rId4865" Type="http://schemas.openxmlformats.org/officeDocument/2006/relationships/hyperlink" Target="https://twitter.com/EmmettBrown1955/status/723189297549959169" TargetMode="External"/><Relationship Id="rId14459" Type="http://schemas.openxmlformats.org/officeDocument/2006/relationships/hyperlink" Target="https://pbs.twimg.com/profile_images/1548456046/Martin_Thoma_web_thumb_normal.jpg" TargetMode="External"/><Relationship Id="rId21675" Type="http://schemas.openxmlformats.org/officeDocument/2006/relationships/hyperlink" Target="https://pbs.twimg.com/profile_images/717669252359127041/POZiKojj_normal.jpg" TargetMode="External"/><Relationship Id="rId388" Type="http://schemas.openxmlformats.org/officeDocument/2006/relationships/hyperlink" Target="https://pbs.twimg.com/profile_images/483846203830837248/JmwSWSme_normal.jpeg" TargetMode="External"/><Relationship Id="rId2069" Type="http://schemas.openxmlformats.org/officeDocument/2006/relationships/hyperlink" Target="https://twitter.com/jamesak47" TargetMode="External"/><Relationship Id="rId4518" Type="http://schemas.openxmlformats.org/officeDocument/2006/relationships/hyperlink" Target="https://twitter.com/daniel_st_unam" TargetMode="External"/><Relationship Id="rId21328" Type="http://schemas.openxmlformats.org/officeDocument/2006/relationships/hyperlink" Target="https://abs.twimg.com/sticky/default_profile_images/default_profile_5_normal.png" TargetMode="External"/><Relationship Id="rId24898" Type="http://schemas.openxmlformats.org/officeDocument/2006/relationships/hyperlink" Target="https://twitter.com/MaureLuciana/status/724397791573905408" TargetMode="External"/><Relationship Id="rId13542" Type="http://schemas.openxmlformats.org/officeDocument/2006/relationships/hyperlink" Target="https://twitter.com/alexserrano720" TargetMode="External"/><Relationship Id="rId3601" Type="http://schemas.openxmlformats.org/officeDocument/2006/relationships/hyperlink" Target="https://twitter.com/Carscoop/status/723165707354042368" TargetMode="External"/><Relationship Id="rId11093" Type="http://schemas.openxmlformats.org/officeDocument/2006/relationships/hyperlink" Target="https://twitter.com/doern" TargetMode="External"/><Relationship Id="rId20411" Type="http://schemas.openxmlformats.org/officeDocument/2006/relationships/hyperlink" Target="https://twitter.com/terl_mor/status/723996887313973248" TargetMode="External"/><Relationship Id="rId1152" Type="http://schemas.openxmlformats.org/officeDocument/2006/relationships/hyperlink" Target="https://twitter.com/Stahlhammer" TargetMode="External"/><Relationship Id="rId16765" Type="http://schemas.openxmlformats.org/officeDocument/2006/relationships/hyperlink" Target="https://pbs.twimg.com/profile_images/530071272881803264/a_jcCmPZ_normal.png" TargetMode="External"/><Relationship Id="rId23981" Type="http://schemas.openxmlformats.org/officeDocument/2006/relationships/hyperlink" Target="https://twitter.com/VWBeetleSales/status/724324814308012032" TargetMode="External"/><Relationship Id="rId4375" Type="http://schemas.openxmlformats.org/officeDocument/2006/relationships/hyperlink" Target="https://twitter.com/ARD_BaB" TargetMode="External"/><Relationship Id="rId6824" Type="http://schemas.openxmlformats.org/officeDocument/2006/relationships/hyperlink" Target="https://twitter.com/VWCamperSales/status/723262599291248640" TargetMode="External"/><Relationship Id="rId16418" Type="http://schemas.openxmlformats.org/officeDocument/2006/relationships/hyperlink" Target="https://twitter.com/cuco996/status/723682806942052353" TargetMode="External"/><Relationship Id="rId19988" Type="http://schemas.openxmlformats.org/officeDocument/2006/relationships/hyperlink" Target="https://twitter.com/dubbusses" TargetMode="External"/><Relationship Id="rId21185" Type="http://schemas.openxmlformats.org/officeDocument/2006/relationships/hyperlink" Target="https://twitter.com/micabesita/status/724120368408059904" TargetMode="External"/><Relationship Id="rId23634" Type="http://schemas.openxmlformats.org/officeDocument/2006/relationships/hyperlink" Target="https://twitter.com/Fernand24650964/status/724301702686511104" TargetMode="External"/><Relationship Id="rId4028" Type="http://schemas.openxmlformats.org/officeDocument/2006/relationships/hyperlink" Target="https://twitter.com/rgsmith46/status/723174865180626948" TargetMode="External"/><Relationship Id="rId7598" Type="http://schemas.openxmlformats.org/officeDocument/2006/relationships/hyperlink" Target="https://twitter.com/ENLACEPUEBLA" TargetMode="External"/><Relationship Id="rId10579" Type="http://schemas.openxmlformats.org/officeDocument/2006/relationships/hyperlink" Target="https://twitter.com/ThielsChristian/status/723477472273149952" TargetMode="External"/><Relationship Id="rId15501" Type="http://schemas.openxmlformats.org/officeDocument/2006/relationships/hyperlink" Target="https://twitter.com/sophiastrelli" TargetMode="External"/><Relationship Id="rId13052" Type="http://schemas.openxmlformats.org/officeDocument/2006/relationships/hyperlink" Target="https://twitter.com/DucatiSalesGuy/status/723534408527925248" TargetMode="External"/><Relationship Id="rId18724" Type="http://schemas.openxmlformats.org/officeDocument/2006/relationships/hyperlink" Target="https://twitter.com/joergeickhoff" TargetMode="External"/><Relationship Id="rId3111" Type="http://schemas.openxmlformats.org/officeDocument/2006/relationships/hyperlink" Target="https://twitter.com/VWCamperSales/status/723142553009184769" TargetMode="External"/><Relationship Id="rId6681" Type="http://schemas.openxmlformats.org/officeDocument/2006/relationships/hyperlink" Target="https://pbs.twimg.com/profile_images/627949001179037696/skEBkS05_normal.jpg" TargetMode="External"/><Relationship Id="rId16275" Type="http://schemas.openxmlformats.org/officeDocument/2006/relationships/hyperlink" Target="https://pbs.twimg.com/profile_images/705780107844067328/e7O4UBNb_normal.jpg" TargetMode="External"/><Relationship Id="rId23491" Type="http://schemas.openxmlformats.org/officeDocument/2006/relationships/hyperlink" Target="https://twitter.com/VWCamperSales" TargetMode="External"/><Relationship Id="rId6334" Type="http://schemas.openxmlformats.org/officeDocument/2006/relationships/hyperlink" Target="http://dlvr.it/" TargetMode="External"/><Relationship Id="rId23144" Type="http://schemas.openxmlformats.org/officeDocument/2006/relationships/hyperlink" Target="https://pbs.twimg.com/profile_images/705354502669340672/-6lVjHiv_normal.jpg" TargetMode="External"/><Relationship Id="rId9557" Type="http://schemas.openxmlformats.org/officeDocument/2006/relationships/hyperlink" Target="https://twitter.com/Newell_Palmer" TargetMode="External"/><Relationship Id="rId12885" Type="http://schemas.openxmlformats.org/officeDocument/2006/relationships/hyperlink" Target="https://pbs.twimg.com/profile_images/703294545195307008/qeCvrX86_normal.jpg" TargetMode="External"/><Relationship Id="rId19498" Type="http://schemas.openxmlformats.org/officeDocument/2006/relationships/hyperlink" Target="https://twitter.com/dubbusses" TargetMode="External"/><Relationship Id="rId2944" Type="http://schemas.openxmlformats.org/officeDocument/2006/relationships/hyperlink" Target="https://twitter.com/VolkswagenPost/status/723127394626863104" TargetMode="External"/><Relationship Id="rId12538" Type="http://schemas.openxmlformats.org/officeDocument/2006/relationships/hyperlink" Target="https://pbs.twimg.com/profile_images/655026824540528642/89ysiAGi_normal.jpg" TargetMode="External"/><Relationship Id="rId916" Type="http://schemas.openxmlformats.org/officeDocument/2006/relationships/hyperlink" Target="https://pbs.twimg.com/profile_images/682976399867641856/z7wCgoPX_normal.jpg" TargetMode="External"/><Relationship Id="rId10089" Type="http://schemas.openxmlformats.org/officeDocument/2006/relationships/hyperlink" Target="https://pbs.twimg.com/profile_images/661245109216915456/IYc4wvrt_normal.jpg" TargetMode="External"/><Relationship Id="rId15011" Type="http://schemas.openxmlformats.org/officeDocument/2006/relationships/hyperlink" Target="https://twitter.com/notyourcountry/status/723589954132037632" TargetMode="External"/><Relationship Id="rId18581" Type="http://schemas.openxmlformats.org/officeDocument/2006/relationships/hyperlink" Target="https://twitter.com/chantaljcs/status/723881357693333504" TargetMode="External"/><Relationship Id="rId22977" Type="http://schemas.openxmlformats.org/officeDocument/2006/relationships/hyperlink" Target="https://pbs.twimg.com/profile_images/681235768312991744/ETCplp9D_normal.jpg" TargetMode="External"/><Relationship Id="rId8640" Type="http://schemas.openxmlformats.org/officeDocument/2006/relationships/hyperlink" Target="https://twitter.com/katycollins/status/723399747675942912" TargetMode="External"/><Relationship Id="rId11621" Type="http://schemas.openxmlformats.org/officeDocument/2006/relationships/hyperlink" Target="https://twitter.com/ILCtsxv" TargetMode="External"/><Relationship Id="rId18234" Type="http://schemas.openxmlformats.org/officeDocument/2006/relationships/hyperlink" Target="https://twitter.com/Shereen_Shabnam/status/723852465997799425" TargetMode="External"/><Relationship Id="rId25450" Type="http://schemas.openxmlformats.org/officeDocument/2006/relationships/hyperlink" Target="https://twitter.com/TheHippieVanMan" TargetMode="External"/><Relationship Id="rId6191" Type="http://schemas.openxmlformats.org/officeDocument/2006/relationships/hyperlink" Target="https://twitter.com/ALONSOQUIJANO21/status/723234403128844289" TargetMode="External"/><Relationship Id="rId25103" Type="http://schemas.openxmlformats.org/officeDocument/2006/relationships/hyperlink" Target="https://pbs.twimg.com/profile_images/472298206483607552/UogAMiRI_normal.png" TargetMode="External"/><Relationship Id="rId12395" Type="http://schemas.openxmlformats.org/officeDocument/2006/relationships/hyperlink" Target="https://pbs.twimg.com/profile_images/633276567108489216/1e2exrfA_normal.jpg" TargetMode="External"/><Relationship Id="rId14844" Type="http://schemas.openxmlformats.org/officeDocument/2006/relationships/hyperlink" Target="https://twitter.com/kurtseinitz/status/723584906106945536" TargetMode="External"/><Relationship Id="rId773" Type="http://schemas.openxmlformats.org/officeDocument/2006/relationships/hyperlink" Target="https://twitter.com/mellin_walter" TargetMode="External"/><Relationship Id="rId2454" Type="http://schemas.openxmlformats.org/officeDocument/2006/relationships/hyperlink" Target="https://pbs.twimg.com/profile_images/718820712757215233/LXXndPTS_normal.jpg" TargetMode="External"/><Relationship Id="rId4903" Type="http://schemas.openxmlformats.org/officeDocument/2006/relationships/hyperlink" Target="https://twitter.com/kudascheffa/status/723189858357764096" TargetMode="External"/><Relationship Id="rId9067" Type="http://schemas.openxmlformats.org/officeDocument/2006/relationships/hyperlink" Target="https://twitter.com/roansub" TargetMode="External"/><Relationship Id="rId12048" Type="http://schemas.openxmlformats.org/officeDocument/2006/relationships/hyperlink" Target="https://pbs.twimg.com/profile_images/477443424241463296/bKWNQp65_normal.jpeg" TargetMode="External"/><Relationship Id="rId21713" Type="http://schemas.openxmlformats.org/officeDocument/2006/relationships/hyperlink" Target="https://twitter.com/VWBeetleSales" TargetMode="External"/><Relationship Id="rId426" Type="http://schemas.openxmlformats.org/officeDocument/2006/relationships/hyperlink" Target="https://twitter.com/VAGFanArg/status/722957466753851392" TargetMode="External"/><Relationship Id="rId2107" Type="http://schemas.openxmlformats.org/officeDocument/2006/relationships/hyperlink" Target="https://twitter.com/VCT_Tweets" TargetMode="External"/><Relationship Id="rId24936" Type="http://schemas.openxmlformats.org/officeDocument/2006/relationships/hyperlink" Target="https://twitter.com/VWCamperSales/status/724402993286643712" TargetMode="External"/><Relationship Id="rId5677" Type="http://schemas.openxmlformats.org/officeDocument/2006/relationships/hyperlink" Target="https://twitter.com/VWBeetleSales/status/723212225188532224" TargetMode="External"/><Relationship Id="rId18091" Type="http://schemas.openxmlformats.org/officeDocument/2006/relationships/hyperlink" Target="https://twitter.com/DubLuvTuning/status/723844799481188352" TargetMode="External"/><Relationship Id="rId22487" Type="http://schemas.openxmlformats.org/officeDocument/2006/relationships/hyperlink" Target="https://pbs.twimg.com/profile_images/698654679564165125/_vTuPOJN_normal.jpg" TargetMode="External"/><Relationship Id="rId8150" Type="http://schemas.openxmlformats.org/officeDocument/2006/relationships/hyperlink" Target="https://twitter.com/OnlineCarReview/status/723371891340115972" TargetMode="External"/><Relationship Id="rId11131" Type="http://schemas.openxmlformats.org/officeDocument/2006/relationships/hyperlink" Target="https://pbs.twimg.com/profile_images/718820712757215233/LXXndPTS_normal.jpg" TargetMode="External"/><Relationship Id="rId4760" Type="http://schemas.openxmlformats.org/officeDocument/2006/relationships/hyperlink" Target="https://twitter.com/KeyStone_Search/status/723186951826722816" TargetMode="External"/><Relationship Id="rId14354" Type="http://schemas.openxmlformats.org/officeDocument/2006/relationships/hyperlink" Target="https://twitter.com/beetlebug1938" TargetMode="External"/><Relationship Id="rId16803" Type="http://schemas.openxmlformats.org/officeDocument/2006/relationships/hyperlink" Target="https://twitter.com/bodo1962" TargetMode="External"/><Relationship Id="rId21570" Type="http://schemas.openxmlformats.org/officeDocument/2006/relationships/hyperlink" Target="https://pbs.twimg.com/profile_images/708723135009464320/Ppp2D2rz_normal.jpg" TargetMode="External"/><Relationship Id="rId4413" Type="http://schemas.openxmlformats.org/officeDocument/2006/relationships/hyperlink" Target="https://twitter.com/dw_wirtschaft/status/723180409886924800" TargetMode="External"/><Relationship Id="rId7983" Type="http://schemas.openxmlformats.org/officeDocument/2006/relationships/hyperlink" Target="https://pbs.twimg.com/profile_images/717472604702052357/yTPUaVAZ_normal.jpg" TargetMode="External"/><Relationship Id="rId14007" Type="http://schemas.openxmlformats.org/officeDocument/2006/relationships/hyperlink" Target="https://twitter.com/AK75_Andi/status/723561247959031808" TargetMode="External"/><Relationship Id="rId21223" Type="http://schemas.openxmlformats.org/officeDocument/2006/relationships/hyperlink" Target="https://twitter.com/er__in" TargetMode="External"/><Relationship Id="rId283" Type="http://schemas.openxmlformats.org/officeDocument/2006/relationships/hyperlink" Target="https://twitter.com/businessanglr" TargetMode="External"/><Relationship Id="rId7636" Type="http://schemas.openxmlformats.org/officeDocument/2006/relationships/hyperlink" Target="https://twitter.com/Dulcerengel/status/723318846862594050" TargetMode="External"/><Relationship Id="rId10964" Type="http://schemas.openxmlformats.org/officeDocument/2006/relationships/hyperlink" Target="https://pbs.twimg.com/profile_images/579993878238875648/Z0OO22kj_normal.jpg" TargetMode="External"/><Relationship Id="rId17577" Type="http://schemas.openxmlformats.org/officeDocument/2006/relationships/hyperlink" Target="https://pbs.twimg.com/profile_images/644448469177008129/NawOBHy6_normal.jpg" TargetMode="External"/><Relationship Id="rId24793" Type="http://schemas.openxmlformats.org/officeDocument/2006/relationships/hyperlink" Target="https://twitter.com/VWBeetleSales/status/724387839551533056" TargetMode="External"/><Relationship Id="rId5187" Type="http://schemas.openxmlformats.org/officeDocument/2006/relationships/hyperlink" Target="https://twitter.com/cmbautomotive" TargetMode="External"/><Relationship Id="rId10617" Type="http://schemas.openxmlformats.org/officeDocument/2006/relationships/hyperlink" Target="https://twitter.com/Funny1963" TargetMode="External"/><Relationship Id="rId24446" Type="http://schemas.openxmlformats.org/officeDocument/2006/relationships/hyperlink" Target="https://pbs.twimg.com/profile_images/627133965678284801/iTZJ7h3G_normal.jpg" TargetMode="External"/><Relationship Id="rId16660" Type="http://schemas.openxmlformats.org/officeDocument/2006/relationships/hyperlink" Target="https://pbs.twimg.com/profile_images/630198293826420736/tHb553bt_normal.jpg" TargetMode="External"/><Relationship Id="rId1797" Type="http://schemas.openxmlformats.org/officeDocument/2006/relationships/hyperlink" Target="https://pbs.twimg.com/profile_images/702511217793863680/lty8h9vE_normal.jpg" TargetMode="External"/><Relationship Id="rId16313" Type="http://schemas.openxmlformats.org/officeDocument/2006/relationships/hyperlink" Target="https://twitter.com/Scirocco_Tuning/status/723668196511866880" TargetMode="External"/><Relationship Id="rId19883" Type="http://schemas.openxmlformats.org/officeDocument/2006/relationships/hyperlink" Target="https://twitter.com/andym1908/status/723962709641973768" TargetMode="External"/><Relationship Id="rId20709" Type="http://schemas.openxmlformats.org/officeDocument/2006/relationships/hyperlink" Target="https://twitter.com/SrC_WRC/status/724030464332316673" TargetMode="External"/><Relationship Id="rId4270" Type="http://schemas.openxmlformats.org/officeDocument/2006/relationships/hyperlink" Target="https://pbs.twimg.com/profile_images/378800000755674736/92a02f0ee27f7109ec8a8d88ce898410_normal.jpeg" TargetMode="External"/><Relationship Id="rId9942" Type="http://schemas.openxmlformats.org/officeDocument/2006/relationships/hyperlink" Target="https://twitter.com/MarkCSchneider" TargetMode="External"/><Relationship Id="rId19536" Type="http://schemas.openxmlformats.org/officeDocument/2006/relationships/hyperlink" Target="https://twitter.com/VWsightings/status/723939301583667200" TargetMode="External"/><Relationship Id="rId21080" Type="http://schemas.openxmlformats.org/officeDocument/2006/relationships/hyperlink" Target="https://twitter.com/VolkswagenPost/status/724095071306584065" TargetMode="External"/><Relationship Id="rId7493" Type="http://schemas.openxmlformats.org/officeDocument/2006/relationships/hyperlink" Target="https://pbs.twimg.com/profile_images/575829688179814400/luBsWnil_normal.jpeg" TargetMode="External"/><Relationship Id="rId10474" Type="http://schemas.openxmlformats.org/officeDocument/2006/relationships/hyperlink" Target="https://pbs.twimg.com/profile_images/524294614946045952/UDyQTUuk_normal.jpeg" TargetMode="External"/><Relationship Id="rId12923" Type="http://schemas.openxmlformats.org/officeDocument/2006/relationships/hyperlink" Target="https://pbs.twimg.com/profile_images/2133628020/Bild_MH_normal.JPG" TargetMode="External"/><Relationship Id="rId17087" Type="http://schemas.openxmlformats.org/officeDocument/2006/relationships/hyperlink" Target="https://twitter.com/SvOstrow/status/723769584680050688" TargetMode="External"/><Relationship Id="rId7146" Type="http://schemas.openxmlformats.org/officeDocument/2006/relationships/hyperlink" Target="https://pbs.twimg.com/profile_images/537299833904971776/HgnIilLZ_normal.jpeg" TargetMode="External"/><Relationship Id="rId10127" Type="http://schemas.openxmlformats.org/officeDocument/2006/relationships/hyperlink" Target="https://twitter.com/oe1journale" TargetMode="External"/><Relationship Id="rId13697" Type="http://schemas.openxmlformats.org/officeDocument/2006/relationships/hyperlink" Target="https://twitter.com/vagmenhq/status/723553392061243392" TargetMode="External"/><Relationship Id="rId3756" Type="http://schemas.openxmlformats.org/officeDocument/2006/relationships/hyperlink" Target="https://twitter.com/andym1908/status/723168886762409984" TargetMode="External"/><Relationship Id="rId16170" Type="http://schemas.openxmlformats.org/officeDocument/2006/relationships/hyperlink" Target="https://twitter.com/VeeDubMk1_" TargetMode="External"/><Relationship Id="rId20566" Type="http://schemas.openxmlformats.org/officeDocument/2006/relationships/hyperlink" Target="https://pbs.twimg.com/profile_images/642753638511833088/hQVcoI0Z_normal.jpg" TargetMode="External"/><Relationship Id="rId3409" Type="http://schemas.openxmlformats.org/officeDocument/2006/relationships/hyperlink" Target="https://pbs.twimg.com/profile_images/543163066599219200/dUy-AYOX_normal.jpeg" TargetMode="External"/><Relationship Id="rId6979" Type="http://schemas.openxmlformats.org/officeDocument/2006/relationships/hyperlink" Target="https://twitter.com/CossettoNahu/status/723273350546644992" TargetMode="External"/><Relationship Id="rId12780" Type="http://schemas.openxmlformats.org/officeDocument/2006/relationships/hyperlink" Target="https://twitter.com/myCarbe/status/723527598639353856" TargetMode="External"/><Relationship Id="rId19393" Type="http://schemas.openxmlformats.org/officeDocument/2006/relationships/hyperlink" Target="https://twitter.com/Kw0aT/status/723929198004305920" TargetMode="External"/><Relationship Id="rId20219" Type="http://schemas.openxmlformats.org/officeDocument/2006/relationships/hyperlink" Target="https://twitter.com/AlexisContr10/status/723982384295755777" TargetMode="External"/><Relationship Id="rId23789" Type="http://schemas.openxmlformats.org/officeDocument/2006/relationships/hyperlink" Target="https://twitter.com/Gina_Festa" TargetMode="External"/><Relationship Id="rId9452" Type="http://schemas.openxmlformats.org/officeDocument/2006/relationships/hyperlink" Target="https://twitter.com/MiManske/status/723435483154391041" TargetMode="External"/><Relationship Id="rId12433" Type="http://schemas.openxmlformats.org/officeDocument/2006/relationships/hyperlink" Target="https://twitter.com/selmissary" TargetMode="External"/><Relationship Id="rId19046" Type="http://schemas.openxmlformats.org/officeDocument/2006/relationships/hyperlink" Target="https://twitter.com/VotelTravels" TargetMode="External"/><Relationship Id="rId811" Type="http://schemas.openxmlformats.org/officeDocument/2006/relationships/hyperlink" Target="https://twitter.com/Michael_Vasanth/status/722986730773721088" TargetMode="External"/><Relationship Id="rId9105" Type="http://schemas.openxmlformats.org/officeDocument/2006/relationships/hyperlink" Target="https://pbs.twimg.com/profile_images/378800000756387886/c547a918bcad5d95a42507361c94d2fa_normal.png" TargetMode="External"/><Relationship Id="rId5715" Type="http://schemas.openxmlformats.org/officeDocument/2006/relationships/hyperlink" Target="https://twitter.com/VolkswagenPost/status/723214206418317313" TargetMode="External"/><Relationship Id="rId15309" Type="http://schemas.openxmlformats.org/officeDocument/2006/relationships/hyperlink" Target="http://dlvr.it/" TargetMode="External"/><Relationship Id="rId15656" Type="http://schemas.openxmlformats.org/officeDocument/2006/relationships/hyperlink" Target="https://twitter.com/beetlebug1938" TargetMode="External"/><Relationship Id="rId22872" Type="http://schemas.openxmlformats.org/officeDocument/2006/relationships/hyperlink" Target="https://twitter.com/CaffeTiraMiSu/status/724253761623986177" TargetMode="External"/><Relationship Id="rId3266" Type="http://schemas.openxmlformats.org/officeDocument/2006/relationships/hyperlink" Target="https://twitter.com/BtoBolz" TargetMode="External"/><Relationship Id="rId18879" Type="http://schemas.openxmlformats.org/officeDocument/2006/relationships/hyperlink" Target="https://pbs.twimg.com/profile_images/1535844911/Logo_normal.png" TargetMode="External"/><Relationship Id="rId20076" Type="http://schemas.openxmlformats.org/officeDocument/2006/relationships/hyperlink" Target="https://twitter.com/50Gny/status/723974519468228608" TargetMode="External"/><Relationship Id="rId22525" Type="http://schemas.openxmlformats.org/officeDocument/2006/relationships/hyperlink" Target="https://twitter.com/VWBeetleSales/status/724227672151216128" TargetMode="External"/><Relationship Id="rId6489" Type="http://schemas.openxmlformats.org/officeDocument/2006/relationships/hyperlink" Target="https://twitter.com/AutoVerdict" TargetMode="External"/><Relationship Id="rId8938" Type="http://schemas.openxmlformats.org/officeDocument/2006/relationships/hyperlink" Target="https://pbs.twimg.com/profile_images/671802073848090624/NQemr0iG_normal.png" TargetMode="External"/><Relationship Id="rId11919" Type="http://schemas.openxmlformats.org/officeDocument/2006/relationships/hyperlink" Target="https://twitter.com/joaopbicho/status/723510060576583680" TargetMode="External"/><Relationship Id="rId25748" Type="http://schemas.openxmlformats.org/officeDocument/2006/relationships/hyperlink" Target="https://pbs.twimg.com/profile_images/687887984222449665/wZPB7e4r_normal.jpg" TargetMode="External"/><Relationship Id="rId12290" Type="http://schemas.openxmlformats.org/officeDocument/2006/relationships/hyperlink" Target="https://twitter.com/BR24/status/723516704408653824" TargetMode="External"/><Relationship Id="rId17962" Type="http://schemas.openxmlformats.org/officeDocument/2006/relationships/hyperlink" Target="https://abs.twimg.com/sticky/default_profile_images/default_profile_5_normal.png" TargetMode="External"/><Relationship Id="rId23299" Type="http://schemas.openxmlformats.org/officeDocument/2006/relationships/hyperlink" Target="https://twitter.com/PiratchenLukai" TargetMode="External"/><Relationship Id="rId17615" Type="http://schemas.openxmlformats.org/officeDocument/2006/relationships/hyperlink" Target="https://twitter.com/Racing_Aces/status/723809847964241920" TargetMode="External"/><Relationship Id="rId24831" Type="http://schemas.openxmlformats.org/officeDocument/2006/relationships/hyperlink" Target="https://pbs.twimg.com/profile_images/539526910968356864/bO_WyqhX_normal.jpeg" TargetMode="External"/><Relationship Id="rId321" Type="http://schemas.openxmlformats.org/officeDocument/2006/relationships/hyperlink" Target="https://pbs.twimg.com/profile_images/530071272881803264/a_jcCmPZ_normal.png" TargetMode="External"/><Relationship Id="rId2002" Type="http://schemas.openxmlformats.org/officeDocument/2006/relationships/hyperlink" Target="https://twitter.com/axelneuhaus/status/723075179732148224" TargetMode="External"/><Relationship Id="rId5572" Type="http://schemas.openxmlformats.org/officeDocument/2006/relationships/hyperlink" Target="https://twitter.com/WowbaggerXX7" TargetMode="External"/><Relationship Id="rId15166" Type="http://schemas.openxmlformats.org/officeDocument/2006/relationships/hyperlink" Target="https://twitter.com/VolkswagenPost" TargetMode="External"/><Relationship Id="rId22382" Type="http://schemas.openxmlformats.org/officeDocument/2006/relationships/hyperlink" Target="https://pbs.twimg.com/profile_images/378800000718898779/cd0ae7e67c37cf4fa245a7aeeb0082dc_normal.jpeg" TargetMode="External"/><Relationship Id="rId5225" Type="http://schemas.openxmlformats.org/officeDocument/2006/relationships/hyperlink" Target="https://twitter.com/OnlineCarReview" TargetMode="External"/><Relationship Id="rId8795" Type="http://schemas.openxmlformats.org/officeDocument/2006/relationships/hyperlink" Target="https://twitter.com/Lennetaler" TargetMode="External"/><Relationship Id="rId18389" Type="http://schemas.openxmlformats.org/officeDocument/2006/relationships/hyperlink" Target="https://twitter.com/dft" TargetMode="External"/><Relationship Id="rId22035" Type="http://schemas.openxmlformats.org/officeDocument/2006/relationships/hyperlink" Target="https://pbs.twimg.com/profile_images/627949001179037696/skEBkS05_normal.jpg" TargetMode="External"/><Relationship Id="rId8448" Type="http://schemas.openxmlformats.org/officeDocument/2006/relationships/hyperlink" Target="https://twitter.com/vintagevwdita/status/723388880364302336" TargetMode="External"/><Relationship Id="rId11776" Type="http://schemas.openxmlformats.org/officeDocument/2006/relationships/hyperlink" Target="https://pbs.twimg.com/profile_images/606071164478308352/Bpbe55iE_normal.png" TargetMode="External"/><Relationship Id="rId25258" Type="http://schemas.openxmlformats.org/officeDocument/2006/relationships/hyperlink" Target="https://twitter.com/perks_tre" TargetMode="External"/><Relationship Id="rId1835" Type="http://schemas.openxmlformats.org/officeDocument/2006/relationships/hyperlink" Target="https://twitter.com/mvdweyer/status/723061474344587264" TargetMode="External"/><Relationship Id="rId11429" Type="http://schemas.openxmlformats.org/officeDocument/2006/relationships/hyperlink" Target="https://twitter.com/BoersenDE" TargetMode="External"/><Relationship Id="rId14999" Type="http://schemas.openxmlformats.org/officeDocument/2006/relationships/hyperlink" Target="https://twitter.com/beuc/status/723589078151782401" TargetMode="External"/><Relationship Id="rId19921" Type="http://schemas.openxmlformats.org/officeDocument/2006/relationships/hyperlink" Target="https://twitter.com/SamuuNieto22" TargetMode="External"/><Relationship Id="rId17472" Type="http://schemas.openxmlformats.org/officeDocument/2006/relationships/hyperlink" Target="https://pbs.twimg.com/profile_images/2931620919/b471227e8e789068badfd2d08541c067_normal.jpeg" TargetMode="External"/><Relationship Id="rId21868" Type="http://schemas.openxmlformats.org/officeDocument/2006/relationships/hyperlink" Target="https://pbs.twimg.com/profile_images/702511217793863680/lty8h9vE_normal.jpg" TargetMode="External"/><Relationship Id="rId7531" Type="http://schemas.openxmlformats.org/officeDocument/2006/relationships/hyperlink" Target="https://twitter.com/11LucasDiaz/status/723309083760177154" TargetMode="External"/><Relationship Id="rId10512" Type="http://schemas.openxmlformats.org/officeDocument/2006/relationships/hyperlink" Target="https://pbs.twimg.com/profile_images/463651158213406720/Extqdo-p_normal.png" TargetMode="External"/><Relationship Id="rId17125" Type="http://schemas.openxmlformats.org/officeDocument/2006/relationships/hyperlink" Target="https://pbs.twimg.com/profile_images/542918171158511617/A72BLdkG_normal.png" TargetMode="External"/><Relationship Id="rId24341" Type="http://schemas.openxmlformats.org/officeDocument/2006/relationships/hyperlink" Target="https://twitter.com/klassikautos" TargetMode="External"/><Relationship Id="rId5082" Type="http://schemas.openxmlformats.org/officeDocument/2006/relationships/hyperlink" Target="https://twitter.com/Titoo_Castro" TargetMode="External"/><Relationship Id="rId1692" Type="http://schemas.openxmlformats.org/officeDocument/2006/relationships/hyperlink" Target="https://twitter.com/CarsNewsTV/status/723053189109547008" TargetMode="External"/><Relationship Id="rId11286" Type="http://schemas.openxmlformats.org/officeDocument/2006/relationships/hyperlink" Target="https://twitter.com/kuerzel_td/status/723500284366995457" TargetMode="External"/><Relationship Id="rId13735" Type="http://schemas.openxmlformats.org/officeDocument/2006/relationships/hyperlink" Target="https://twitter.com/beluluna61" TargetMode="External"/><Relationship Id="rId20951" Type="http://schemas.openxmlformats.org/officeDocument/2006/relationships/hyperlink" Target="https://twitter.com/privilegimports" TargetMode="External"/><Relationship Id="rId1345" Type="http://schemas.openxmlformats.org/officeDocument/2006/relationships/hyperlink" Target="https://twitter.com/tgc_bs" TargetMode="External"/><Relationship Id="rId16958" Type="http://schemas.openxmlformats.org/officeDocument/2006/relationships/hyperlink" Target="https://twitter.com/goetageblatt/status/723757406719713280" TargetMode="External"/><Relationship Id="rId20604" Type="http://schemas.openxmlformats.org/officeDocument/2006/relationships/hyperlink" Target="https://pbs.twimg.com/profile_images/718835727027580928/1ssyQ67y_normal.jpg" TargetMode="External"/><Relationship Id="rId4568" Type="http://schemas.openxmlformats.org/officeDocument/2006/relationships/hyperlink" Target="https://pbs.twimg.com/profile_images/722256787009859584/vkuTNBGF_normal.jpg" TargetMode="External"/><Relationship Id="rId19431" Type="http://schemas.openxmlformats.org/officeDocument/2006/relationships/hyperlink" Target="https://pbs.twimg.com/profile_images/422164778639839234/LVnS1q1c_normal.jpeg" TargetMode="External"/><Relationship Id="rId23827" Type="http://schemas.openxmlformats.org/officeDocument/2006/relationships/hyperlink" Target="https://twitter.com/hashtagvanlife/status/724314576406339584" TargetMode="External"/><Relationship Id="rId51" Type="http://schemas.openxmlformats.org/officeDocument/2006/relationships/hyperlink" Target="https://pbs.twimg.com/profile_images/705780107844067328/e7O4UBNb_normal.jpg" TargetMode="External"/><Relationship Id="rId7041" Type="http://schemas.openxmlformats.org/officeDocument/2006/relationships/hyperlink" Target="https://pbs.twimg.com/profile_images/686552473713176576/k6pa-F9W_normal.jpg" TargetMode="External"/><Relationship Id="rId21378" Type="http://schemas.openxmlformats.org/officeDocument/2006/relationships/hyperlink" Target="https://twitter.com/sgdigitalpr/status/724145431475691520" TargetMode="External"/><Relationship Id="rId10022" Type="http://schemas.openxmlformats.org/officeDocument/2006/relationships/hyperlink" Target="https://twitter.com/EIV_Bayreuth/status/723458430233616384" TargetMode="External"/><Relationship Id="rId13592" Type="http://schemas.openxmlformats.org/officeDocument/2006/relationships/hyperlink" Target="https://pbs.twimg.com/profile_images/378800000774067942/b9d3d12e3eaf41d9ded5745b4f419902_normal.jpeg" TargetMode="External"/><Relationship Id="rId22910" Type="http://schemas.openxmlformats.org/officeDocument/2006/relationships/hyperlink" Target="https://pbs.twimg.com/profile_images/545688359964651520/SF3sJ7lv_normal.jpeg" TargetMode="External"/><Relationship Id="rId3651" Type="http://schemas.openxmlformats.org/officeDocument/2006/relationships/hyperlink" Target="https://twitter.com/NiicoleBeleen" TargetMode="External"/><Relationship Id="rId13245" Type="http://schemas.openxmlformats.org/officeDocument/2006/relationships/hyperlink" Target="https://pbs.twimg.com/profile_images/378800000528765970/3ab9f2a00010e9cac08d5ca1638926e9_normal.png" TargetMode="External"/><Relationship Id="rId20461" Type="http://schemas.openxmlformats.org/officeDocument/2006/relationships/hyperlink" Target="https://pbs.twimg.com/profile_images/677572613162536962/UIfN8-NR_normal.jpg" TargetMode="External"/><Relationship Id="rId3304" Type="http://schemas.openxmlformats.org/officeDocument/2006/relationships/hyperlink" Target="https://twitter.com/CamiGoyecheaOk/status/723150604881788928" TargetMode="External"/><Relationship Id="rId6874" Type="http://schemas.openxmlformats.org/officeDocument/2006/relationships/hyperlink" Target="https://twitter.com/jallegra/status/723265116960071681" TargetMode="External"/><Relationship Id="rId16468" Type="http://schemas.openxmlformats.org/officeDocument/2006/relationships/hyperlink" Target="https://pbs.twimg.com/profile_images/705780107844067328/e7O4UBNb_normal.jpg" TargetMode="External"/><Relationship Id="rId18917" Type="http://schemas.openxmlformats.org/officeDocument/2006/relationships/hyperlink" Target="https://pbs.twimg.com/profile_images/459358138043355136/zOl5UAF2_normal.jpeg" TargetMode="External"/><Relationship Id="rId20114" Type="http://schemas.openxmlformats.org/officeDocument/2006/relationships/hyperlink" Target="https://pbs.twimg.com/profile_images/624226571474202624/LucRDb7k_normal.jpg" TargetMode="External"/><Relationship Id="rId23684" Type="http://schemas.openxmlformats.org/officeDocument/2006/relationships/hyperlink" Target="https://twitter.com/Fernandez_Diego" TargetMode="External"/><Relationship Id="rId6527" Type="http://schemas.openxmlformats.org/officeDocument/2006/relationships/hyperlink" Target="https://pbs.twimg.com/profile_images/3461286994/b5d08f32f3fe123de6674ab786ab8e50_normal.png" TargetMode="External"/><Relationship Id="rId23337" Type="http://schemas.openxmlformats.org/officeDocument/2006/relationships/hyperlink" Target="http://www.infooffensive.de/" TargetMode="External"/><Relationship Id="rId4078" Type="http://schemas.openxmlformats.org/officeDocument/2006/relationships/hyperlink" Target="https://twitter.com/x3m_f" TargetMode="External"/><Relationship Id="rId9000" Type="http://schemas.openxmlformats.org/officeDocument/2006/relationships/hyperlink" Target="https://twitter.com/NDRnds/status/723415843313315843" TargetMode="External"/><Relationship Id="rId15551" Type="http://schemas.openxmlformats.org/officeDocument/2006/relationships/hyperlink" Target="https://twitter.com/caroswg/status/723612805925097472" TargetMode="External"/><Relationship Id="rId5610" Type="http://schemas.openxmlformats.org/officeDocument/2006/relationships/hyperlink" Target="https://pbs.twimg.com/profile_images/648862182936047616/p6o1BlmC_normal.jpg" TargetMode="External"/><Relationship Id="rId15204" Type="http://schemas.openxmlformats.org/officeDocument/2006/relationships/hyperlink" Target="https://twitter.com/CatsandCars007" TargetMode="External"/><Relationship Id="rId18774" Type="http://schemas.openxmlformats.org/officeDocument/2006/relationships/hyperlink" Target="http://dlvr.it/" TargetMode="External"/><Relationship Id="rId22420" Type="http://schemas.openxmlformats.org/officeDocument/2006/relationships/hyperlink" Target="https://pbs.twimg.com/profile_images/666952128108363777/FL78g9n-_normal.png" TargetMode="External"/><Relationship Id="rId3161" Type="http://schemas.openxmlformats.org/officeDocument/2006/relationships/hyperlink" Target="https://twitter.com/Insta_VWT" TargetMode="External"/><Relationship Id="rId8833" Type="http://schemas.openxmlformats.org/officeDocument/2006/relationships/hyperlink" Target="https://pbs.twimg.com/profile_images/562896994444660736/WXXcgjVw_normal.png" TargetMode="External"/><Relationship Id="rId18427" Type="http://schemas.openxmlformats.org/officeDocument/2006/relationships/hyperlink" Target="https://twitter.com/eRplusP" TargetMode="External"/><Relationship Id="rId25643" Type="http://schemas.openxmlformats.org/officeDocument/2006/relationships/hyperlink" Target="https://pbs.twimg.com/profile_images/723725278611034112/4Fd5AYQP_normal.jpg" TargetMode="External"/><Relationship Id="rId6384" Type="http://schemas.openxmlformats.org/officeDocument/2006/relationships/hyperlink" Target="https://twitter.com/RETROPOT" TargetMode="External"/><Relationship Id="rId11814" Type="http://schemas.openxmlformats.org/officeDocument/2006/relationships/hyperlink" Target="https://pbs.twimg.com/profile_images/684159552300933120/g_PX7ed9_normal.jpg" TargetMode="External"/><Relationship Id="rId23194" Type="http://schemas.openxmlformats.org/officeDocument/2006/relationships/hyperlink" Target="https://pbs.twimg.com/profile_images/703294545195307008/qeCvrX86_normal.jpg" TargetMode="External"/><Relationship Id="rId6037" Type="http://schemas.openxmlformats.org/officeDocument/2006/relationships/hyperlink" Target="https://twitter.com/VWCamperSales/status/723228092626391040" TargetMode="External"/><Relationship Id="rId966" Type="http://schemas.openxmlformats.org/officeDocument/2006/relationships/hyperlink" Target="https://twitter.com/davebaxtersa/status/723006959893504000" TargetMode="External"/><Relationship Id="rId2647" Type="http://schemas.openxmlformats.org/officeDocument/2006/relationships/hyperlink" Target="https://twitter.com/NetzwerkggS21/status/723111884786814977" TargetMode="External"/><Relationship Id="rId2994" Type="http://schemas.openxmlformats.org/officeDocument/2006/relationships/hyperlink" Target="https://pbs.twimg.com/profile_images/627949001179037696/skEBkS05_normal.jpg" TargetMode="External"/><Relationship Id="rId12588" Type="http://schemas.openxmlformats.org/officeDocument/2006/relationships/hyperlink" Target="https://pbs.twimg.com/profile_images/859575922/12023668553935076_normal.jpg" TargetMode="External"/><Relationship Id="rId15061" Type="http://schemas.openxmlformats.org/officeDocument/2006/relationships/hyperlink" Target="https://pbs.twimg.com/profile_images/1579595684/johnix-selbstportrait-80x100_normal.jpg" TargetMode="External"/><Relationship Id="rId17510" Type="http://schemas.openxmlformats.org/officeDocument/2006/relationships/hyperlink" Target="https://twitter.com/CastleCoastCamp/status/723803602997940226" TargetMode="External"/><Relationship Id="rId21906" Type="http://schemas.openxmlformats.org/officeDocument/2006/relationships/hyperlink" Target="https://pbs.twimg.com/profile_images/689102170717839360/y5b-XDuX_normal.jpg" TargetMode="External"/><Relationship Id="rId619" Type="http://schemas.openxmlformats.org/officeDocument/2006/relationships/hyperlink" Target="https://twitter.com/m4ssagepeng/status/722967369832894464" TargetMode="External"/><Relationship Id="rId5120" Type="http://schemas.openxmlformats.org/officeDocument/2006/relationships/hyperlink" Target="https://pbs.twimg.com/profile_images/435934668228001792/Jra00BM-_normal.jpeg" TargetMode="External"/><Relationship Id="rId8690" Type="http://schemas.openxmlformats.org/officeDocument/2006/relationships/hyperlink" Target="https://pbs.twimg.com/profile_images/551428279262257153/nmSvHIJ7_normal.jpeg" TargetMode="External"/><Relationship Id="rId11671" Type="http://schemas.openxmlformats.org/officeDocument/2006/relationships/hyperlink" Target="https://twitter.com/NetzwerkggS21/status/723505254747242497" TargetMode="External"/><Relationship Id="rId18284" Type="http://schemas.openxmlformats.org/officeDocument/2006/relationships/hyperlink" Target="https://twitter.com/ECC_SouthC/status/723859345574891520" TargetMode="External"/><Relationship Id="rId1730" Type="http://schemas.openxmlformats.org/officeDocument/2006/relationships/hyperlink" Target="https://pbs.twimg.com/profile_images/3211861595/0d4798c412a9de9347643e28b897b349_normal.jpeg" TargetMode="External"/><Relationship Id="rId8343" Type="http://schemas.openxmlformats.org/officeDocument/2006/relationships/hyperlink" Target="https://pbs.twimg.com/profile_images/531408522861629440/CNsN3m8s_normal.jpeg" TargetMode="External"/><Relationship Id="rId11324" Type="http://schemas.openxmlformats.org/officeDocument/2006/relationships/hyperlink" Target="http://dlvr.it/" TargetMode="External"/><Relationship Id="rId14894" Type="http://schemas.openxmlformats.org/officeDocument/2006/relationships/hyperlink" Target="https://pbs.twimg.com/profile_images/692809854864510976/yEKX2c1-_normal.jpg" TargetMode="External"/><Relationship Id="rId25153" Type="http://schemas.openxmlformats.org/officeDocument/2006/relationships/hyperlink" Target="https://twitter.com/DeeZeeX" TargetMode="External"/><Relationship Id="rId4953" Type="http://schemas.openxmlformats.org/officeDocument/2006/relationships/hyperlink" Target="https://twitter.com/ronixact/status/723190986965442560" TargetMode="External"/><Relationship Id="rId14547" Type="http://schemas.openxmlformats.org/officeDocument/2006/relationships/hyperlink" Target="https://pbs.twimg.com/profile_images/684052496524926981/INtnRaxy_normal.jpg" TargetMode="External"/><Relationship Id="rId21763" Type="http://schemas.openxmlformats.org/officeDocument/2006/relationships/hyperlink" Target="https://twitter.com/VascoASG" TargetMode="External"/><Relationship Id="rId4606" Type="http://schemas.openxmlformats.org/officeDocument/2006/relationships/hyperlink" Target="https://pbs.twimg.com/profile_images/695000806655811584/7lC1MdUr_normal.png" TargetMode="External"/><Relationship Id="rId12098" Type="http://schemas.openxmlformats.org/officeDocument/2006/relationships/hyperlink" Target="https://twitter.com/azystone/status/723512935910240256" TargetMode="External"/><Relationship Id="rId17020" Type="http://schemas.openxmlformats.org/officeDocument/2006/relationships/hyperlink" Target="https://twitter.com/rheto" TargetMode="External"/><Relationship Id="rId21416" Type="http://schemas.openxmlformats.org/officeDocument/2006/relationships/hyperlink" Target="https://twitter.com/Ingridodl" TargetMode="External"/><Relationship Id="rId476" Type="http://schemas.openxmlformats.org/officeDocument/2006/relationships/hyperlink" Target="https://twitter.com/richmhales" TargetMode="External"/><Relationship Id="rId2157" Type="http://schemas.openxmlformats.org/officeDocument/2006/relationships/hyperlink" Target="https://pbs.twimg.com/profile_images/698509815870578688/S6oEQDwn_normal.jpg" TargetMode="External"/><Relationship Id="rId24986" Type="http://schemas.openxmlformats.org/officeDocument/2006/relationships/hyperlink" Target="https://twitter.com/SuranClub/status/724408338264535040" TargetMode="External"/><Relationship Id="rId129" Type="http://schemas.openxmlformats.org/officeDocument/2006/relationships/hyperlink" Target="https://twitter.com/thenewautonews" TargetMode="External"/><Relationship Id="rId7829" Type="http://schemas.openxmlformats.org/officeDocument/2006/relationships/hyperlink" Target="https://twitter.com/oldcar_photo/status/723333750206128128" TargetMode="External"/><Relationship Id="rId13630" Type="http://schemas.openxmlformats.org/officeDocument/2006/relationships/hyperlink" Target="https://twitter.com/3LTalonjay_59" TargetMode="External"/><Relationship Id="rId24639" Type="http://schemas.openxmlformats.org/officeDocument/2006/relationships/hyperlink" Target="https://pbs.twimg.com/profile_images/676465930424082432/zT-RyXf4_normal.jpg" TargetMode="External"/><Relationship Id="rId11181" Type="http://schemas.openxmlformats.org/officeDocument/2006/relationships/hyperlink" Target="https://twitter.com/Banane0711" TargetMode="External"/><Relationship Id="rId16853" Type="http://schemas.openxmlformats.org/officeDocument/2006/relationships/hyperlink" Target="https://pbs.twimg.com/profile_images/705666972621508608/2ljE7R_P_normal.jpg" TargetMode="External"/><Relationship Id="rId1240" Type="http://schemas.openxmlformats.org/officeDocument/2006/relationships/hyperlink" Target="https://pbs.twimg.com/profile_images/680846089575084034/pf0_Xgt3_normal.jpg" TargetMode="External"/><Relationship Id="rId6912" Type="http://schemas.openxmlformats.org/officeDocument/2006/relationships/hyperlink" Target="https://twitter.com/MaikBurghardt" TargetMode="External"/><Relationship Id="rId16506" Type="http://schemas.openxmlformats.org/officeDocument/2006/relationships/hyperlink" Target="https://twitter.com/moteking25" TargetMode="External"/><Relationship Id="rId23722" Type="http://schemas.openxmlformats.org/officeDocument/2006/relationships/hyperlink" Target="https://pbs.twimg.com/profile_images/718835727027580928/1ssyQ67y_normal.jpg" TargetMode="External"/><Relationship Id="rId4463" Type="http://schemas.openxmlformats.org/officeDocument/2006/relationships/hyperlink" Target="https://pbs.twimg.com/profile_images/1875408305/RB2004_bigger_normal.jpg" TargetMode="External"/><Relationship Id="rId14057" Type="http://schemas.openxmlformats.org/officeDocument/2006/relationships/hyperlink" Target="https://pbs.twimg.com/profile_images/689778615995752449/44JQE9s-_normal.jpg" TargetMode="External"/><Relationship Id="rId19729" Type="http://schemas.openxmlformats.org/officeDocument/2006/relationships/hyperlink" Target="http://dlvr.it/" TargetMode="External"/><Relationship Id="rId21273" Type="http://schemas.openxmlformats.org/officeDocument/2006/relationships/hyperlink" Target="https://twitter.com/dubbusses/status/724133672077692928" TargetMode="External"/><Relationship Id="rId4116" Type="http://schemas.openxmlformats.org/officeDocument/2006/relationships/hyperlink" Target="https://pbs.twimg.com/profile_images/704594081368793088/3Ry122y7_normal.jpg" TargetMode="External"/><Relationship Id="rId7686" Type="http://schemas.openxmlformats.org/officeDocument/2006/relationships/hyperlink" Target="https://pbs.twimg.com/profile_images/652871584131092480/QA_B6SBO_normal.jpg" TargetMode="External"/><Relationship Id="rId24496" Type="http://schemas.openxmlformats.org/officeDocument/2006/relationships/hyperlink" Target="https://twitter.com/OnlineCarReview/status/724366276978565120" TargetMode="External"/><Relationship Id="rId7339" Type="http://schemas.openxmlformats.org/officeDocument/2006/relationships/hyperlink" Target="https://twitter.com/raochoa1974/status/723296601989648385" TargetMode="External"/><Relationship Id="rId10667" Type="http://schemas.openxmlformats.org/officeDocument/2006/relationships/hyperlink" Target="https://twitter.com/heiseautos" TargetMode="External"/><Relationship Id="rId13140" Type="http://schemas.openxmlformats.org/officeDocument/2006/relationships/hyperlink" Target="https://twitter.com/DaveMichiganTEC/status/723536037746737153" TargetMode="External"/><Relationship Id="rId24149" Type="http://schemas.openxmlformats.org/officeDocument/2006/relationships/hyperlink" Target="https://twitter.com/VWCamperSales/status/724335390543351808" TargetMode="External"/><Relationship Id="rId18812" Type="http://schemas.openxmlformats.org/officeDocument/2006/relationships/hyperlink" Target="https://twitter.com/VWCamperSales" TargetMode="External"/><Relationship Id="rId3949" Type="http://schemas.openxmlformats.org/officeDocument/2006/relationships/hyperlink" Target="https://twitter.com/YorkieAH/status/723172680304877568" TargetMode="External"/><Relationship Id="rId16363" Type="http://schemas.openxmlformats.org/officeDocument/2006/relationships/hyperlink" Target="https://twitter.com/EUROPAvsEBOLA" TargetMode="External"/><Relationship Id="rId20759" Type="http://schemas.openxmlformats.org/officeDocument/2006/relationships/hyperlink" Target="https://twitter.com/FletcherJonesVW" TargetMode="External"/><Relationship Id="rId6422" Type="http://schemas.openxmlformats.org/officeDocument/2006/relationships/hyperlink" Target="https://twitter.com/Insta_VWT/status/723242928047591424" TargetMode="External"/><Relationship Id="rId9992" Type="http://schemas.openxmlformats.org/officeDocument/2006/relationships/hyperlink" Target="https://twitter.com/DCarrionF/status/723457140531322880" TargetMode="External"/><Relationship Id="rId12973" Type="http://schemas.openxmlformats.org/officeDocument/2006/relationships/hyperlink" Target="https://twitter.com/Marco_Cerdio/status/723532578624401410" TargetMode="External"/><Relationship Id="rId16016" Type="http://schemas.openxmlformats.org/officeDocument/2006/relationships/hyperlink" Target="https://twitter.com/guidopeternell" TargetMode="External"/><Relationship Id="rId19586" Type="http://schemas.openxmlformats.org/officeDocument/2006/relationships/hyperlink" Target="https://twitter.com/VolkswagenPost" TargetMode="External"/><Relationship Id="rId23232" Type="http://schemas.openxmlformats.org/officeDocument/2006/relationships/hyperlink" Target="http://dlvr.it/" TargetMode="External"/><Relationship Id="rId9645" Type="http://schemas.openxmlformats.org/officeDocument/2006/relationships/hyperlink" Target="https://twitter.com/Jo_Huyghe" TargetMode="External"/><Relationship Id="rId12626" Type="http://schemas.openxmlformats.org/officeDocument/2006/relationships/hyperlink" Target="https://twitter.com/tagesschau" TargetMode="External"/><Relationship Id="rId19239" Type="http://schemas.openxmlformats.org/officeDocument/2006/relationships/hyperlink" Target="https://twitter.com/autoboomer" TargetMode="External"/><Relationship Id="rId7196" Type="http://schemas.openxmlformats.org/officeDocument/2006/relationships/hyperlink" Target="https://twitter.com/kngeuro/status/723285315473960960" TargetMode="External"/><Relationship Id="rId10177" Type="http://schemas.openxmlformats.org/officeDocument/2006/relationships/hyperlink" Target="https://twitter.com/sadiqgajimi" TargetMode="External"/><Relationship Id="rId15849" Type="http://schemas.openxmlformats.org/officeDocument/2006/relationships/hyperlink" Target="https://twitter.com/beetlebug1938/status/723633114942181376" TargetMode="External"/><Relationship Id="rId3459" Type="http://schemas.openxmlformats.org/officeDocument/2006/relationships/hyperlink" Target="https://twitter.com/Pedego101" TargetMode="External"/><Relationship Id="rId5908" Type="http://schemas.openxmlformats.org/officeDocument/2006/relationships/hyperlink" Target="https://twitter.com/dparv" TargetMode="External"/><Relationship Id="rId18322" Type="http://schemas.openxmlformats.org/officeDocument/2006/relationships/hyperlink" Target="https://twitter.com/yann_drareg" TargetMode="External"/><Relationship Id="rId20269" Type="http://schemas.openxmlformats.org/officeDocument/2006/relationships/hyperlink" Target="https://twitter.com/Censored0" TargetMode="External"/><Relationship Id="rId22718" Type="http://schemas.openxmlformats.org/officeDocument/2006/relationships/hyperlink" Target="https://pbs.twimg.com/profile_images/714624729546637312/sXuLHNCU_normal.jpg" TargetMode="External"/><Relationship Id="rId14932" Type="http://schemas.openxmlformats.org/officeDocument/2006/relationships/hyperlink" Target="https://pbs.twimg.com/profile_images/627949001179037696/skEBkS05_normal.jpg" TargetMode="External"/><Relationship Id="rId9155" Type="http://schemas.openxmlformats.org/officeDocument/2006/relationships/hyperlink" Target="https://pbs.twimg.com/profile_images/2373311233/logo_VW_CONCESSIONARIO_normal.jpg" TargetMode="External"/><Relationship Id="rId12483" Type="http://schemas.openxmlformats.org/officeDocument/2006/relationships/hyperlink" Target="https://pbs.twimg.com/profile_images/714020995170967556/qughNF6c_normal.jpg" TargetMode="External"/><Relationship Id="rId19096" Type="http://schemas.openxmlformats.org/officeDocument/2006/relationships/hyperlink" Target="https://pbs.twimg.com/profile_images/1886560867/rozen_normal.jpg" TargetMode="External"/><Relationship Id="rId21801" Type="http://schemas.openxmlformats.org/officeDocument/2006/relationships/hyperlink" Target="https://pbs.twimg.com/profile_images/718835727027580928/1ssyQ67y_normal.jpg" TargetMode="External"/><Relationship Id="rId861" Type="http://schemas.openxmlformats.org/officeDocument/2006/relationships/hyperlink" Target="https://pbs.twimg.com/profile_images/546728056795062272/5WYgxWJz_normal.jpeg" TargetMode="External"/><Relationship Id="rId2542" Type="http://schemas.openxmlformats.org/officeDocument/2006/relationships/hyperlink" Target="http://ctrlq.org/maps/address/" TargetMode="External"/><Relationship Id="rId12136" Type="http://schemas.openxmlformats.org/officeDocument/2006/relationships/hyperlink" Target="https://twitter.com/BR24/status/723513660166017024" TargetMode="External"/><Relationship Id="rId17808" Type="http://schemas.openxmlformats.org/officeDocument/2006/relationships/hyperlink" Target="https://twitter.com/bryanRis/status/723824502174425088" TargetMode="External"/><Relationship Id="rId514" Type="http://schemas.openxmlformats.org/officeDocument/2006/relationships/hyperlink" Target="https://twitter.com/sateibank/status/722963803076329473" TargetMode="External"/><Relationship Id="rId5765" Type="http://schemas.openxmlformats.org/officeDocument/2006/relationships/hyperlink" Target="https://twitter.com/ndaktuell" TargetMode="External"/><Relationship Id="rId15359" Type="http://schemas.openxmlformats.org/officeDocument/2006/relationships/hyperlink" Target="https://pbs.twimg.com/profile_images/634021831364747264/5vPrL2JH_normal.jpg" TargetMode="External"/><Relationship Id="rId22575" Type="http://schemas.openxmlformats.org/officeDocument/2006/relationships/hyperlink" Target="https://pbs.twimg.com/profile_images/703294545195307008/qeCvrX86_normal.jpg" TargetMode="External"/><Relationship Id="rId5418" Type="http://schemas.openxmlformats.org/officeDocument/2006/relationships/hyperlink" Target="https://twitter.com/VWCamperSales" TargetMode="External"/><Relationship Id="rId8988" Type="http://schemas.openxmlformats.org/officeDocument/2006/relationships/hyperlink" Target="https://twitter.com/beetlebug1938/status/723414554525364224" TargetMode="External"/><Relationship Id="rId22228" Type="http://schemas.openxmlformats.org/officeDocument/2006/relationships/hyperlink" Target="https://twitter.com/dapper013" TargetMode="External"/><Relationship Id="rId11969" Type="http://schemas.openxmlformats.org/officeDocument/2006/relationships/hyperlink" Target="https://twitter.com/finanzmarktwelt/status/723511286684876800" TargetMode="External"/><Relationship Id="rId14442" Type="http://schemas.openxmlformats.org/officeDocument/2006/relationships/hyperlink" Target="https://twitter.com/UniversityVW" TargetMode="External"/><Relationship Id="rId371" Type="http://schemas.openxmlformats.org/officeDocument/2006/relationships/hyperlink" Target="https://twitter.com/bakagi" TargetMode="External"/><Relationship Id="rId2052" Type="http://schemas.openxmlformats.org/officeDocument/2006/relationships/hyperlink" Target="https://twitter.com/presroi/status/723078900415229952" TargetMode="External"/><Relationship Id="rId4501" Type="http://schemas.openxmlformats.org/officeDocument/2006/relationships/hyperlink" Target="https://twitter.com/EinsteinLaw/status/723181872839168000" TargetMode="External"/><Relationship Id="rId17665" Type="http://schemas.openxmlformats.org/officeDocument/2006/relationships/hyperlink" Target="https://twitter.com/JustitiaAbusi/status/723814677025832960" TargetMode="External"/><Relationship Id="rId21311" Type="http://schemas.openxmlformats.org/officeDocument/2006/relationships/hyperlink" Target="https://twitter.com/KMennerFineArt" TargetMode="External"/><Relationship Id="rId24881" Type="http://schemas.openxmlformats.org/officeDocument/2006/relationships/hyperlink" Target="https://pbs.twimg.com/profile_images/703294545195307008/qeCvrX86_normal.jpg" TargetMode="External"/><Relationship Id="rId7724" Type="http://schemas.openxmlformats.org/officeDocument/2006/relationships/hyperlink" Target="https://twitter.com/W1spin" TargetMode="External"/><Relationship Id="rId10705" Type="http://schemas.openxmlformats.org/officeDocument/2006/relationships/hyperlink" Target="https://pbs.twimg.com/profile_images/434425163216474112/KtOuHIkV_normal.jpeg" TargetMode="External"/><Relationship Id="rId17318" Type="http://schemas.openxmlformats.org/officeDocument/2006/relationships/hyperlink" Target="https://twitter.com/CastleCoastCamp/status/723790341460074496" TargetMode="External"/><Relationship Id="rId24534" Type="http://schemas.openxmlformats.org/officeDocument/2006/relationships/hyperlink" Target="https://twitter.com/LaneRussellVW" TargetMode="External"/><Relationship Id="rId5275" Type="http://schemas.openxmlformats.org/officeDocument/2006/relationships/hyperlink" Target="https://twitter.com/vapinggeekgirl/status/723199274943574017" TargetMode="External"/><Relationship Id="rId22085" Type="http://schemas.openxmlformats.org/officeDocument/2006/relationships/hyperlink" Target="https://twitter.com/JClaesz" TargetMode="External"/><Relationship Id="rId1885" Type="http://schemas.openxmlformats.org/officeDocument/2006/relationships/hyperlink" Target="https://twitter.com/Matthijs85" TargetMode="External"/><Relationship Id="rId8498" Type="http://schemas.openxmlformats.org/officeDocument/2006/relationships/hyperlink" Target="https://pbs.twimg.com/profile_images/3378184537/c20ae9a7a410821b4f189c34a63380f7_normal.png" TargetMode="External"/><Relationship Id="rId11479" Type="http://schemas.openxmlformats.org/officeDocument/2006/relationships/hyperlink" Target="https://twitter.com/TumerLider" TargetMode="External"/><Relationship Id="rId13928" Type="http://schemas.openxmlformats.org/officeDocument/2006/relationships/hyperlink" Target="https://pbs.twimg.com/profile_images/713253883363987456/CD5cDmfc_normal.jpg" TargetMode="External"/><Relationship Id="rId1538" Type="http://schemas.openxmlformats.org/officeDocument/2006/relationships/hyperlink" Target="https://twitter.com/barbcore" TargetMode="External"/><Relationship Id="rId16401" Type="http://schemas.openxmlformats.org/officeDocument/2006/relationships/hyperlink" Target="https://pbs.twimg.com/profile_images/625575996981407744/VHvf7EVC_normal.jpg" TargetMode="External"/><Relationship Id="rId19971" Type="http://schemas.openxmlformats.org/officeDocument/2006/relationships/hyperlink" Target="https://pbs.twimg.com/profile_images/391720090/Copy_of_Put-in-BAy_004_normal.jpg" TargetMode="External"/><Relationship Id="rId4011" Type="http://schemas.openxmlformats.org/officeDocument/2006/relationships/hyperlink" Target="https://pbs.twimg.com/profile_images/565888770176991232/jBhf_t8__normal.jpeg" TargetMode="External"/><Relationship Id="rId19624" Type="http://schemas.openxmlformats.org/officeDocument/2006/relationships/hyperlink" Target="https://twitter.com/TheHippieVanMan/status/723943684153155585" TargetMode="External"/><Relationship Id="rId7234" Type="http://schemas.openxmlformats.org/officeDocument/2006/relationships/hyperlink" Target="https://pbs.twimg.com/profile_images/447441718514700288/peakR1oV_normal.jpeg" TargetMode="External"/><Relationship Id="rId7581" Type="http://schemas.openxmlformats.org/officeDocument/2006/relationships/hyperlink" Target="https://pbs.twimg.com/profile_images/570375988065935360/ooT_Nq7x_normal.jpeg" TargetMode="External"/><Relationship Id="rId10562" Type="http://schemas.openxmlformats.org/officeDocument/2006/relationships/hyperlink" Target="https://pbs.twimg.com/profile_images/1850139320/Colour_Crew_Logo_normal.png" TargetMode="External"/><Relationship Id="rId17175" Type="http://schemas.openxmlformats.org/officeDocument/2006/relationships/hyperlink" Target="https://pbs.twimg.com/profile_images/424893967197433858/iQ86NktX_normal.jpeg" TargetMode="External"/><Relationship Id="rId24391" Type="http://schemas.openxmlformats.org/officeDocument/2006/relationships/hyperlink" Target="http://dlvr.it/" TargetMode="External"/><Relationship Id="rId10215" Type="http://schemas.openxmlformats.org/officeDocument/2006/relationships/hyperlink" Target="https://pbs.twimg.com/profile_images/1652686091/ck.jpg_normal.jpg" TargetMode="External"/><Relationship Id="rId13785" Type="http://schemas.openxmlformats.org/officeDocument/2006/relationships/hyperlink" Target="https://pbs.twimg.com/profile_images/577579759665704961/3wgncK_f_normal.jpeg" TargetMode="External"/><Relationship Id="rId24044" Type="http://schemas.openxmlformats.org/officeDocument/2006/relationships/hyperlink" Target="http://dlvr.it/" TargetMode="External"/><Relationship Id="rId3844" Type="http://schemas.openxmlformats.org/officeDocument/2006/relationships/hyperlink" Target="https://pbs.twimg.com/profile_images/3753617229/0494c0929a3cef43be7b2e9f7f2d5114_normal.jpeg" TargetMode="External"/><Relationship Id="rId13438" Type="http://schemas.openxmlformats.org/officeDocument/2006/relationships/hyperlink" Target="https://twitter.com/Only9built" TargetMode="External"/><Relationship Id="rId20654" Type="http://schemas.openxmlformats.org/officeDocument/2006/relationships/hyperlink" Target="https://twitter.com/surliergirl" TargetMode="External"/><Relationship Id="rId1395" Type="http://schemas.openxmlformats.org/officeDocument/2006/relationships/hyperlink" Target="https://twitter.com/mvdweyer/status/723039555025162240" TargetMode="External"/><Relationship Id="rId19481" Type="http://schemas.openxmlformats.org/officeDocument/2006/relationships/hyperlink" Target="https://pbs.twimg.com/profile_images/627949001179037696/skEBkS05_normal.jpg" TargetMode="External"/><Relationship Id="rId20307" Type="http://schemas.openxmlformats.org/officeDocument/2006/relationships/hyperlink" Target="https://twitter.com/wilwardle/status/723989771182301184" TargetMode="External"/><Relationship Id="rId1048" Type="http://schemas.openxmlformats.org/officeDocument/2006/relationships/hyperlink" Target="https://twitter.com/vaughn_bill/status/723015572976361475" TargetMode="External"/><Relationship Id="rId9540" Type="http://schemas.openxmlformats.org/officeDocument/2006/relationships/hyperlink" Target="https://pbs.twimg.com/profile_images/717760586927501313/mJOhNRKM_normal.jpg" TargetMode="External"/><Relationship Id="rId19134" Type="http://schemas.openxmlformats.org/officeDocument/2006/relationships/hyperlink" Target="http://ctrlq.org/maps/address/" TargetMode="External"/><Relationship Id="rId23877" Type="http://schemas.openxmlformats.org/officeDocument/2006/relationships/hyperlink" Target="https://twitter.com/Jazzybam" TargetMode="External"/><Relationship Id="rId7091" Type="http://schemas.openxmlformats.org/officeDocument/2006/relationships/hyperlink" Target="https://pbs.twimg.com/profile_images/653310353653297153/bYVyhn8J_normal.jpg" TargetMode="External"/><Relationship Id="rId10072" Type="http://schemas.openxmlformats.org/officeDocument/2006/relationships/hyperlink" Target="https://twitter.com/techhippie" TargetMode="External"/><Relationship Id="rId12521" Type="http://schemas.openxmlformats.org/officeDocument/2006/relationships/hyperlink" Target="https://twitter.com/RacingPuma/status/723521664252796928" TargetMode="External"/><Relationship Id="rId15744" Type="http://schemas.openxmlformats.org/officeDocument/2006/relationships/hyperlink" Target="https://twitter.com/_A_A_C_" TargetMode="External"/><Relationship Id="rId22960" Type="http://schemas.openxmlformats.org/officeDocument/2006/relationships/hyperlink" Target="https://twitter.com/VWCamperSales" TargetMode="External"/><Relationship Id="rId5803" Type="http://schemas.openxmlformats.org/officeDocument/2006/relationships/hyperlink" Target="https://twitter.com/NADAUpdate/status/723218371815325696" TargetMode="External"/><Relationship Id="rId13295" Type="http://schemas.openxmlformats.org/officeDocument/2006/relationships/hyperlink" Target="https://twitter.com/zervaspepper" TargetMode="External"/><Relationship Id="rId18967" Type="http://schemas.openxmlformats.org/officeDocument/2006/relationships/hyperlink" Target="https://twitter.com/BoxesRadio/status/723910162520657921" TargetMode="External"/><Relationship Id="rId22613" Type="http://schemas.openxmlformats.org/officeDocument/2006/relationships/hyperlink" Target="https://pbs.twimg.com/profile_images/715332329019994114/CunHJsKm_normal.jpg" TargetMode="External"/><Relationship Id="rId3354" Type="http://schemas.openxmlformats.org/officeDocument/2006/relationships/hyperlink" Target="https://pbs.twimg.com/profile_images/722975984488747012/FGcD-3rJ_normal.jpg" TargetMode="External"/><Relationship Id="rId20164" Type="http://schemas.openxmlformats.org/officeDocument/2006/relationships/hyperlink" Target="https://twitter.com/VolkswagenPost" TargetMode="External"/><Relationship Id="rId3007" Type="http://schemas.openxmlformats.org/officeDocument/2006/relationships/hyperlink" Target="http://dlvr.it/" TargetMode="External"/><Relationship Id="rId6577" Type="http://schemas.openxmlformats.org/officeDocument/2006/relationships/hyperlink" Target="https://pbs.twimg.com/profile_images/663770205378736128/N0Ut9uE0_normal.jpg" TargetMode="External"/><Relationship Id="rId23387" Type="http://schemas.openxmlformats.org/officeDocument/2006/relationships/hyperlink" Target="https://pbs.twimg.com/profile_images/627949001179037696/skEBkS05_normal.jpg" TargetMode="External"/><Relationship Id="rId9050" Type="http://schemas.openxmlformats.org/officeDocument/2006/relationships/hyperlink" Target="https://twitter.com/instock_de/status/723419824404094976" TargetMode="External"/><Relationship Id="rId12031" Type="http://schemas.openxmlformats.org/officeDocument/2006/relationships/hyperlink" Target="https://twitter.com/TNR_Gold" TargetMode="External"/><Relationship Id="rId17703" Type="http://schemas.openxmlformats.org/officeDocument/2006/relationships/hyperlink" Target="https://twitter.com/TomBergen" TargetMode="External"/><Relationship Id="rId5660" Type="http://schemas.openxmlformats.org/officeDocument/2006/relationships/hyperlink" Target="https://twitter.com/SexenioCDMX" TargetMode="External"/><Relationship Id="rId15254" Type="http://schemas.openxmlformats.org/officeDocument/2006/relationships/hyperlink" Target="https://pbs.twimg.com/profile_images/669286298331516928/9SrFUAgy_normal.jpg" TargetMode="External"/><Relationship Id="rId22470" Type="http://schemas.openxmlformats.org/officeDocument/2006/relationships/hyperlink" Target="https://twitter.com/VWCamperSales/status/724224509876686849" TargetMode="External"/><Relationship Id="rId5313" Type="http://schemas.openxmlformats.org/officeDocument/2006/relationships/hyperlink" Target="https://twitter.com/SocialMAXorg" TargetMode="External"/><Relationship Id="rId8883" Type="http://schemas.openxmlformats.org/officeDocument/2006/relationships/hyperlink" Target="https://twitter.com/EsterDiazCortes/status/723410260682141696" TargetMode="External"/><Relationship Id="rId11864" Type="http://schemas.openxmlformats.org/officeDocument/2006/relationships/hyperlink" Target="https://twitter.com/bravinhos" TargetMode="External"/><Relationship Id="rId18477" Type="http://schemas.openxmlformats.org/officeDocument/2006/relationships/hyperlink" Target="https://twitter.com/rudy_rubber" TargetMode="External"/><Relationship Id="rId22123" Type="http://schemas.openxmlformats.org/officeDocument/2006/relationships/hyperlink" Target="https://pbs.twimg.com/profile_images/641857478414745601/o_-313PT_normal.jpg" TargetMode="External"/><Relationship Id="rId25693" Type="http://schemas.openxmlformats.org/officeDocument/2006/relationships/hyperlink" Target="https://twitter.com/Vital_Hydro/status/724463281260367872" TargetMode="External"/><Relationship Id="rId1923" Type="http://schemas.openxmlformats.org/officeDocument/2006/relationships/hyperlink" Target="https://twitter.com/VolkswagenPost/status/723068725558026240" TargetMode="External"/><Relationship Id="rId8536" Type="http://schemas.openxmlformats.org/officeDocument/2006/relationships/hyperlink" Target="https://twitter.com/ssalerno2" TargetMode="External"/><Relationship Id="rId11517" Type="http://schemas.openxmlformats.org/officeDocument/2006/relationships/hyperlink" Target="https://pbs.twimg.com/profile_images/694544968380211200/WqH7tnjz_normal.png" TargetMode="External"/><Relationship Id="rId25346" Type="http://schemas.openxmlformats.org/officeDocument/2006/relationships/hyperlink" Target="https://pbs.twimg.com/profile_images/706713339523526656/Tyt-dFPK_normal.jpg" TargetMode="External"/><Relationship Id="rId6087" Type="http://schemas.openxmlformats.org/officeDocument/2006/relationships/hyperlink" Target="http://dlvr.it/" TargetMode="External"/><Relationship Id="rId17560" Type="http://schemas.openxmlformats.org/officeDocument/2006/relationships/hyperlink" Target="https://twitter.com/Deejaywilliams/status/723806412195934208" TargetMode="External"/><Relationship Id="rId2697" Type="http://schemas.openxmlformats.org/officeDocument/2006/relationships/hyperlink" Target="https://pbs.twimg.com/profile_images/534452284294299648/J4ly-IrA_normal.png" TargetMode="External"/><Relationship Id="rId17213" Type="http://schemas.openxmlformats.org/officeDocument/2006/relationships/hyperlink" Target="https://twitter.com/WhichNews" TargetMode="External"/><Relationship Id="rId21609" Type="http://schemas.openxmlformats.org/officeDocument/2006/relationships/hyperlink" Target="http://dlvr.it/" TargetMode="External"/><Relationship Id="rId21956" Type="http://schemas.openxmlformats.org/officeDocument/2006/relationships/hyperlink" Target="https://twitter.com/mondedelauto" TargetMode="External"/><Relationship Id="rId669" Type="http://schemas.openxmlformats.org/officeDocument/2006/relationships/hyperlink" Target="https://twitter.com/LarryStrlpperss" TargetMode="External"/><Relationship Id="rId5170" Type="http://schemas.openxmlformats.org/officeDocument/2006/relationships/hyperlink" Target="https://twitter.com/countUP/status/723196158068285440" TargetMode="External"/><Relationship Id="rId10600" Type="http://schemas.openxmlformats.org/officeDocument/2006/relationships/hyperlink" Target="https://twitter.com/follow_eiver/status/723477859881377792" TargetMode="External"/><Relationship Id="rId8393" Type="http://schemas.openxmlformats.org/officeDocument/2006/relationships/hyperlink" Target="https://twitter.com/JanRH86/status/723386496107999232" TargetMode="External"/><Relationship Id="rId13823" Type="http://schemas.openxmlformats.org/officeDocument/2006/relationships/hyperlink" Target="https://pbs.twimg.com/profile_images/722939606061158402/0mK_jA0z_normal.jpg" TargetMode="External"/><Relationship Id="rId1780" Type="http://schemas.openxmlformats.org/officeDocument/2006/relationships/hyperlink" Target="https://twitter.com/ME262P/status/723056478119063552" TargetMode="External"/><Relationship Id="rId8046" Type="http://schemas.openxmlformats.org/officeDocument/2006/relationships/hyperlink" Target="https://twitter.com/ruloaldave/status/723354653149134848" TargetMode="External"/><Relationship Id="rId11374" Type="http://schemas.openxmlformats.org/officeDocument/2006/relationships/hyperlink" Target="https://twitter.com/srfnews" TargetMode="External"/><Relationship Id="rId1433" Type="http://schemas.openxmlformats.org/officeDocument/2006/relationships/hyperlink" Target="https://twitter.com/beetlebug1938" TargetMode="External"/><Relationship Id="rId11027" Type="http://schemas.openxmlformats.org/officeDocument/2006/relationships/hyperlink" Target="https://twitter.com/3dwheelcustoms/status/723495020347707392" TargetMode="External"/><Relationship Id="rId14597" Type="http://schemas.openxmlformats.org/officeDocument/2006/relationships/hyperlink" Target="https://pbs.twimg.com/profile_images/3378184537/c20ae9a7a410821b4f189c34a63380f7_normal.png" TargetMode="External"/><Relationship Id="rId23915" Type="http://schemas.openxmlformats.org/officeDocument/2006/relationships/hyperlink" Target="https://twitter.com/beetlebug1938" TargetMode="External"/><Relationship Id="rId4656" Type="http://schemas.openxmlformats.org/officeDocument/2006/relationships/hyperlink" Target="https://pbs.twimg.com/profile_images/378800000801365829/e9f28f8996ff7f098d9b8a1840e76f50_normal.png" TargetMode="External"/><Relationship Id="rId17070" Type="http://schemas.openxmlformats.org/officeDocument/2006/relationships/hyperlink" Target="https://pbs.twimg.com/profile_images/1404247982/_MG_1344_normal.jpg" TargetMode="External"/><Relationship Id="rId21466" Type="http://schemas.openxmlformats.org/officeDocument/2006/relationships/hyperlink" Target="https://pbs.twimg.com/profile_images/705780107844067328/e7O4UBNb_normal.jpg" TargetMode="External"/><Relationship Id="rId4309" Type="http://schemas.openxmlformats.org/officeDocument/2006/relationships/hyperlink" Target="https://twitter.com/VWCamperSales/status/723179191185727489" TargetMode="External"/><Relationship Id="rId7879" Type="http://schemas.openxmlformats.org/officeDocument/2006/relationships/hyperlink" Target="https://twitter.com/LucasCote86" TargetMode="External"/><Relationship Id="rId10110" Type="http://schemas.openxmlformats.org/officeDocument/2006/relationships/hyperlink" Target="https://twitter.com/greenandbrown1" TargetMode="External"/><Relationship Id="rId21119" Type="http://schemas.openxmlformats.org/officeDocument/2006/relationships/hyperlink" Target="https://twitter.com/TetsuoHojo" TargetMode="External"/><Relationship Id="rId24689" Type="http://schemas.openxmlformats.org/officeDocument/2006/relationships/hyperlink" Target="https://twitter.com/zwear9/status/724383905382432768" TargetMode="External"/><Relationship Id="rId179" Type="http://schemas.openxmlformats.org/officeDocument/2006/relationships/hyperlink" Target="https://pbs.twimg.com/profile_images/716020780899807232/fnaRfVpE_normal.jpg" TargetMode="External"/><Relationship Id="rId13680" Type="http://schemas.openxmlformats.org/officeDocument/2006/relationships/hyperlink" Target="https://twitter.com/seemann34/status/723553145801039873" TargetMode="External"/><Relationship Id="rId1290" Type="http://schemas.openxmlformats.org/officeDocument/2006/relationships/hyperlink" Target="https://pbs.twimg.com/profile_images/507897198911053824/7OqYAonJ_normal.jpeg" TargetMode="External"/><Relationship Id="rId13333" Type="http://schemas.openxmlformats.org/officeDocument/2006/relationships/hyperlink" Target="https://pbs.twimg.com/profile_images/659027805200621569/pCHRuMxh_normal.jpg" TargetMode="External"/><Relationship Id="rId6962" Type="http://schemas.openxmlformats.org/officeDocument/2006/relationships/hyperlink" Target="https://twitter.com/mpitzke" TargetMode="External"/><Relationship Id="rId16556" Type="http://schemas.openxmlformats.org/officeDocument/2006/relationships/hyperlink" Target="https://twitter.com/beetlebug1938/status/723695411286933504" TargetMode="External"/><Relationship Id="rId20202" Type="http://schemas.openxmlformats.org/officeDocument/2006/relationships/hyperlink" Target="https://pbs.twimg.com/profile_images/1625824638/1dfsf2_normal.jpg" TargetMode="External"/><Relationship Id="rId23772" Type="http://schemas.openxmlformats.org/officeDocument/2006/relationships/hyperlink" Target="https://twitter.com/Insta_VWT/status/724310968969342976" TargetMode="External"/><Relationship Id="rId6615" Type="http://schemas.openxmlformats.org/officeDocument/2006/relationships/hyperlink" Target="https://twitter.com/christianwilp" TargetMode="External"/><Relationship Id="rId16209" Type="http://schemas.openxmlformats.org/officeDocument/2006/relationships/hyperlink" Target="https://twitter.com/Matt_Barbera2" TargetMode="External"/><Relationship Id="rId19779" Type="http://schemas.openxmlformats.org/officeDocument/2006/relationships/hyperlink" Target="https://pbs.twimg.com/profile_images/672878354127839232/M7OYc-zx_normal.jpg" TargetMode="External"/><Relationship Id="rId23425" Type="http://schemas.openxmlformats.org/officeDocument/2006/relationships/hyperlink" Target="https://pbs.twimg.com/profile_images/502830767638990848/J_G3puyt_normal.jpeg" TargetMode="External"/><Relationship Id="rId4166" Type="http://schemas.openxmlformats.org/officeDocument/2006/relationships/hyperlink" Target="https://twitter.com/MedAgness" TargetMode="External"/><Relationship Id="rId9838" Type="http://schemas.openxmlformats.org/officeDocument/2006/relationships/hyperlink" Target="https://twitter.com/zeitonline/status/723451120979456001" TargetMode="External"/><Relationship Id="rId7389" Type="http://schemas.openxmlformats.org/officeDocument/2006/relationships/hyperlink" Target="https://twitter.com/BeemerPros/status/723300342251827200" TargetMode="External"/><Relationship Id="rId12819" Type="http://schemas.openxmlformats.org/officeDocument/2006/relationships/hyperlink" Target="https://pbs.twimg.com/profile_images/668417481875300352/ijULvjIQ_normal.jpg" TargetMode="External"/><Relationship Id="rId13190" Type="http://schemas.openxmlformats.org/officeDocument/2006/relationships/hyperlink" Target="https://abs.twimg.com/sticky/default_profile_images/default_profile_1_normal.png" TargetMode="External"/><Relationship Id="rId24199" Type="http://schemas.openxmlformats.org/officeDocument/2006/relationships/hyperlink" Target="https://twitter.com/nata_sale/status/724337548034711552" TargetMode="External"/><Relationship Id="rId3999" Type="http://schemas.openxmlformats.org/officeDocument/2006/relationships/hyperlink" Target="https://pbs.twimg.com/profile_images/720976736691875841/5ITqpDn6_normal.jpg" TargetMode="External"/><Relationship Id="rId18862" Type="http://schemas.openxmlformats.org/officeDocument/2006/relationships/hyperlink" Target="https://twitter.com/Danielberryman_" TargetMode="External"/><Relationship Id="rId6472" Type="http://schemas.openxmlformats.org/officeDocument/2006/relationships/hyperlink" Target="https://pbs.twimg.com/profile_images/461419941376184320/wGX2pgEE_normal.png" TargetMode="External"/><Relationship Id="rId8921" Type="http://schemas.openxmlformats.org/officeDocument/2006/relationships/hyperlink" Target="https://twitter.com/RollHardd" TargetMode="External"/><Relationship Id="rId11902" Type="http://schemas.openxmlformats.org/officeDocument/2006/relationships/hyperlink" Target="https://pbs.twimg.com/profile_images/720969504659021824/AczABi1M_normal.jpg" TargetMode="External"/><Relationship Id="rId16066" Type="http://schemas.openxmlformats.org/officeDocument/2006/relationships/hyperlink" Target="https://pbs.twimg.com/profile_images/692064043767562244/ub53wwZt_normal.jpg" TargetMode="External"/><Relationship Id="rId18515" Type="http://schemas.openxmlformats.org/officeDocument/2006/relationships/hyperlink" Target="https://pbs.twimg.com/profile_images/510776626/fj_thumb_final_normal.jpg" TargetMode="External"/><Relationship Id="rId23282" Type="http://schemas.openxmlformats.org/officeDocument/2006/relationships/hyperlink" Target="https://twitter.com/saimisim_pasta/status/724277940154818560" TargetMode="External"/><Relationship Id="rId25731" Type="http://schemas.openxmlformats.org/officeDocument/2006/relationships/hyperlink" Target="https://twitter.com/BriardSebastien" TargetMode="External"/><Relationship Id="rId6125" Type="http://schemas.openxmlformats.org/officeDocument/2006/relationships/hyperlink" Target="https://twitter.com/KNordlichtW/status/723231511378538498" TargetMode="External"/><Relationship Id="rId9695" Type="http://schemas.openxmlformats.org/officeDocument/2006/relationships/hyperlink" Target="https://twitter.com/networkimages/status/723445409574719488" TargetMode="External"/><Relationship Id="rId12676" Type="http://schemas.openxmlformats.org/officeDocument/2006/relationships/hyperlink" Target="https://pbs.twimg.com/profile_images/617979796744568832/YHw6Izem_normal.jpg" TargetMode="External"/><Relationship Id="rId19289" Type="http://schemas.openxmlformats.org/officeDocument/2006/relationships/hyperlink" Target="https://twitter.com/mexlbrony/status/723926149034840064" TargetMode="External"/><Relationship Id="rId2735" Type="http://schemas.openxmlformats.org/officeDocument/2006/relationships/hyperlink" Target="https://twitter.com/AceNewsServices" TargetMode="External"/><Relationship Id="rId9348" Type="http://schemas.openxmlformats.org/officeDocument/2006/relationships/hyperlink" Target="https://twitter.com/Artemka86" TargetMode="External"/><Relationship Id="rId12329" Type="http://schemas.openxmlformats.org/officeDocument/2006/relationships/hyperlink" Target="https://twitter.com/suissepat" TargetMode="External"/><Relationship Id="rId15899" Type="http://schemas.openxmlformats.org/officeDocument/2006/relationships/hyperlink" Target="https://twitter.com/PumpTheMovie" TargetMode="External"/><Relationship Id="rId707" Type="http://schemas.openxmlformats.org/officeDocument/2006/relationships/hyperlink" Target="https://pbs.twimg.com/profile_images/1988153514/530284_10150767594782704_662382703_11643075_1642544757_n_normal.jpg" TargetMode="External"/><Relationship Id="rId5958" Type="http://schemas.openxmlformats.org/officeDocument/2006/relationships/hyperlink" Target="https://twitter.com/coolspringsvw/status/723225526706552832" TargetMode="External"/><Relationship Id="rId18372" Type="http://schemas.openxmlformats.org/officeDocument/2006/relationships/hyperlink" Target="https://twitter.com/vwpress_de/status/723866056645873664" TargetMode="External"/><Relationship Id="rId22768" Type="http://schemas.openxmlformats.org/officeDocument/2006/relationships/hyperlink" Target="https://pbs.twimg.com/profile_images/1913087124/AvW_website_normal.jpg" TargetMode="External"/><Relationship Id="rId8431" Type="http://schemas.openxmlformats.org/officeDocument/2006/relationships/hyperlink" Target="https://twitter.com/E_Benji" TargetMode="External"/><Relationship Id="rId18025" Type="http://schemas.openxmlformats.org/officeDocument/2006/relationships/hyperlink" Target="https://pbs.twimg.com/profile_images/1562972132/e4656889-cfc3-4844-b2ee-86e9ca2ca683_normal.png" TargetMode="External"/><Relationship Id="rId25241" Type="http://schemas.openxmlformats.org/officeDocument/2006/relationships/hyperlink" Target="https://twitter.com/DeeZeeX/status/724428088734437376" TargetMode="External"/><Relationship Id="rId11412" Type="http://schemas.openxmlformats.org/officeDocument/2006/relationships/hyperlink" Target="https://pbs.twimg.com/profile_images/3012106875/596e712c99a38ec69b925b7f7ab71986_normal.jpeg" TargetMode="External"/><Relationship Id="rId14982" Type="http://schemas.openxmlformats.org/officeDocument/2006/relationships/hyperlink" Target="https://twitter.com/StohlmanAuto" TargetMode="External"/><Relationship Id="rId14635" Type="http://schemas.openxmlformats.org/officeDocument/2006/relationships/hyperlink" Target="https://twitter.com/schwerlastprofi/status/723577764138328065" TargetMode="External"/><Relationship Id="rId21851" Type="http://schemas.openxmlformats.org/officeDocument/2006/relationships/hyperlink" Target="http://franke-media.net/" TargetMode="External"/><Relationship Id="rId2592" Type="http://schemas.openxmlformats.org/officeDocument/2006/relationships/hyperlink" Target="https://twitter.com/BioFares/status/723107739782643712" TargetMode="External"/><Relationship Id="rId12186" Type="http://schemas.openxmlformats.org/officeDocument/2006/relationships/hyperlink" Target="https://pbs.twimg.com/profile_images/2614527612/qjcdvigyia7ykhqunc2f_normal.jpeg" TargetMode="External"/><Relationship Id="rId17858" Type="http://schemas.openxmlformats.org/officeDocument/2006/relationships/hyperlink" Target="https://twitter.com/VolkswagenCZ/status/723829008991948800" TargetMode="External"/><Relationship Id="rId21504" Type="http://schemas.openxmlformats.org/officeDocument/2006/relationships/hyperlink" Target="https://pbs.twimg.com/profile_images/571872729201012736/GOT-p0KX_normal.jpeg" TargetMode="External"/><Relationship Id="rId217" Type="http://schemas.openxmlformats.org/officeDocument/2006/relationships/hyperlink" Target="https://twitter.com/techhippie" TargetMode="External"/><Relationship Id="rId564" Type="http://schemas.openxmlformats.org/officeDocument/2006/relationships/hyperlink" Target="https://twitter.com/VaienzuelaBecky" TargetMode="External"/><Relationship Id="rId2245" Type="http://schemas.openxmlformats.org/officeDocument/2006/relationships/hyperlink" Target="https://twitter.com/burt_jessica/status/723090955922870272" TargetMode="External"/><Relationship Id="rId7917" Type="http://schemas.openxmlformats.org/officeDocument/2006/relationships/hyperlink" Target="https://twitter.com/candeebussetto/status/723341428038995968" TargetMode="External"/><Relationship Id="rId24727" Type="http://schemas.openxmlformats.org/officeDocument/2006/relationships/hyperlink" Target="https://pbs.twimg.com/profile_images/719187646812000256/9vfkUwCi_normal.jpg" TargetMode="External"/><Relationship Id="rId5468" Type="http://schemas.openxmlformats.org/officeDocument/2006/relationships/hyperlink" Target="https://pbs.twimg.com/profile_images/627949001179037696/skEBkS05_normal.jpg" TargetMode="External"/><Relationship Id="rId22278" Type="http://schemas.openxmlformats.org/officeDocument/2006/relationships/hyperlink" Target="https://pbs.twimg.com/profile_images/3296258792/7852b77f95bc153cf32db2ba07fb879c_normal.jpeg" TargetMode="External"/><Relationship Id="rId14492" Type="http://schemas.openxmlformats.org/officeDocument/2006/relationships/hyperlink" Target="https://pbs.twimg.com/profile_images/580687738636247040/fASIEOYs_normal.jpg" TargetMode="External"/><Relationship Id="rId16941" Type="http://schemas.openxmlformats.org/officeDocument/2006/relationships/hyperlink" Target="https://pbs.twimg.com/profile_images/687419637429080064/YhD1MggI_normal.jpg" TargetMode="External"/><Relationship Id="rId4551" Type="http://schemas.openxmlformats.org/officeDocument/2006/relationships/hyperlink" Target="https://twitter.com/inkalex" TargetMode="External"/><Relationship Id="rId14145" Type="http://schemas.openxmlformats.org/officeDocument/2006/relationships/hyperlink" Target="https://twitter.com/DailyOli/status/723565349061443584" TargetMode="External"/><Relationship Id="rId21361" Type="http://schemas.openxmlformats.org/officeDocument/2006/relationships/hyperlink" Target="https://pbs.twimg.com/profile_images/437989922432380928/qzNCXkVu_normal.jpeg" TargetMode="External"/><Relationship Id="rId23810" Type="http://schemas.openxmlformats.org/officeDocument/2006/relationships/hyperlink" Target="https://pbs.twimg.com/profile_images/424893967197433858/iQ86NktX_normal.jpeg" TargetMode="External"/><Relationship Id="rId4204" Type="http://schemas.openxmlformats.org/officeDocument/2006/relationships/hyperlink" Target="https://twitter.com/reeve_anthony" TargetMode="External"/><Relationship Id="rId19817" Type="http://schemas.openxmlformats.org/officeDocument/2006/relationships/hyperlink" Target="https://twitter.com/berlinhabercom" TargetMode="External"/><Relationship Id="rId21014" Type="http://schemas.openxmlformats.org/officeDocument/2006/relationships/hyperlink" Target="https://twitter.com/SuranClub/status/724081285329760256" TargetMode="External"/><Relationship Id="rId7774" Type="http://schemas.openxmlformats.org/officeDocument/2006/relationships/hyperlink" Target="https://twitter.com/NachoSarate/status/723330713605562368" TargetMode="External"/><Relationship Id="rId10755" Type="http://schemas.openxmlformats.org/officeDocument/2006/relationships/hyperlink" Target="https://twitter.com/JSCarSpares/status/723483298819760129" TargetMode="External"/><Relationship Id="rId17368" Type="http://schemas.openxmlformats.org/officeDocument/2006/relationships/hyperlink" Target="https://twitter.com/NetzwerkggS21/status/723794984101662720" TargetMode="External"/><Relationship Id="rId24584" Type="http://schemas.openxmlformats.org/officeDocument/2006/relationships/hyperlink" Target="https://pbs.twimg.com/profile_images/722101790431260672/0vYDkuAk_normal.jpg" TargetMode="External"/><Relationship Id="rId7427" Type="http://schemas.openxmlformats.org/officeDocument/2006/relationships/hyperlink" Target="https://twitter.com/Lars9596" TargetMode="External"/><Relationship Id="rId10408" Type="http://schemas.openxmlformats.org/officeDocument/2006/relationships/hyperlink" Target="https://twitter.com/WowbaggerXX7/status/723471922374295552" TargetMode="External"/><Relationship Id="rId13978" Type="http://schemas.openxmlformats.org/officeDocument/2006/relationships/hyperlink" Target="https://pbs.twimg.com/profile_images/378800000398979228/64c134c6a4248309be34587d7728c08e_normal.jpeg" TargetMode="External"/><Relationship Id="rId24237" Type="http://schemas.openxmlformats.org/officeDocument/2006/relationships/hyperlink" Target="https://twitter.com/DrDCameron" TargetMode="External"/><Relationship Id="rId16451" Type="http://schemas.openxmlformats.org/officeDocument/2006/relationships/hyperlink" Target="https://twitter.com/AutoenAccion" TargetMode="External"/><Relationship Id="rId18900" Type="http://schemas.openxmlformats.org/officeDocument/2006/relationships/hyperlink" Target="https://twitter.com/acvwpassion/status/723904473584832513" TargetMode="External"/><Relationship Id="rId20847" Type="http://schemas.openxmlformats.org/officeDocument/2006/relationships/hyperlink" Target="https://pbs.twimg.com/profile_images/723508491407728640/fJcvYNZB_normal.jpg" TargetMode="External"/><Relationship Id="rId1588" Type="http://schemas.openxmlformats.org/officeDocument/2006/relationships/hyperlink" Target="https://pbs.twimg.com/profile_images/428501531046866944/o0SmDeTr_normal.jpeg" TargetMode="External"/><Relationship Id="rId6510" Type="http://schemas.openxmlformats.org/officeDocument/2006/relationships/hyperlink" Target="http://vwt3.net/" TargetMode="External"/><Relationship Id="rId16104" Type="http://schemas.openxmlformats.org/officeDocument/2006/relationships/hyperlink" Target="https://twitter.com/beetlebug1938" TargetMode="External"/><Relationship Id="rId23320" Type="http://schemas.openxmlformats.org/officeDocument/2006/relationships/hyperlink" Target="https://twitter.com/DoodleGmail" TargetMode="External"/><Relationship Id="rId4061" Type="http://schemas.openxmlformats.org/officeDocument/2006/relationships/hyperlink" Target="https://twitter.com/WienerZeitung/status/723175610940411904" TargetMode="External"/><Relationship Id="rId9733" Type="http://schemas.openxmlformats.org/officeDocument/2006/relationships/hyperlink" Target="https://twitter.com/handelsblatt/status/723447409959792640" TargetMode="External"/><Relationship Id="rId19674" Type="http://schemas.openxmlformats.org/officeDocument/2006/relationships/hyperlink" Target="https://pbs.twimg.com/profile_images/378800000572104796/1de43e1cf23efb3f4101c02afad0d3b6_normal.png" TargetMode="External"/><Relationship Id="rId7284" Type="http://schemas.openxmlformats.org/officeDocument/2006/relationships/hyperlink" Target="https://twitter.com/Karlomart" TargetMode="External"/><Relationship Id="rId12714" Type="http://schemas.openxmlformats.org/officeDocument/2006/relationships/hyperlink" Target="https://twitter.com/VWCamperSales/status/723525689555587072" TargetMode="External"/><Relationship Id="rId19327" Type="http://schemas.openxmlformats.org/officeDocument/2006/relationships/hyperlink" Target="https://twitter.com/4kathaksbreaks" TargetMode="External"/><Relationship Id="rId24094" Type="http://schemas.openxmlformats.org/officeDocument/2006/relationships/hyperlink" Target="https://pbs.twimg.com/profile_images/696222010008072192/atC5rM5P_normal.jpg" TargetMode="External"/><Relationship Id="rId10265" Type="http://schemas.openxmlformats.org/officeDocument/2006/relationships/hyperlink" Target="https://twitter.com/beetlebug1938" TargetMode="External"/><Relationship Id="rId15937" Type="http://schemas.openxmlformats.org/officeDocument/2006/relationships/hyperlink" Target="https://twitter.com/Scirocco_Tuning" TargetMode="External"/><Relationship Id="rId3894" Type="http://schemas.openxmlformats.org/officeDocument/2006/relationships/hyperlink" Target="https://twitter.com/LDBGruppe" TargetMode="External"/><Relationship Id="rId13488" Type="http://schemas.openxmlformats.org/officeDocument/2006/relationships/hyperlink" Target="https://twitter.com/SayitMatt/status/723548740661989377" TargetMode="External"/><Relationship Id="rId18410" Type="http://schemas.openxmlformats.org/officeDocument/2006/relationships/hyperlink" Target="https://pbs.twimg.com/profile_images/1610421423/Image2_normal.jpg" TargetMode="External"/><Relationship Id="rId22806" Type="http://schemas.openxmlformats.org/officeDocument/2006/relationships/hyperlink" Target="https://twitter.com/DogLimo" TargetMode="External"/><Relationship Id="rId3547" Type="http://schemas.openxmlformats.org/officeDocument/2006/relationships/hyperlink" Target="https://twitter.com/bigbobblehats" TargetMode="External"/><Relationship Id="rId20357" Type="http://schemas.openxmlformats.org/officeDocument/2006/relationships/hyperlink" Target="https://pbs.twimg.com/profile_images/652871584131092480/QA_B6SBO_normal.jpg" TargetMode="External"/><Relationship Id="rId1098" Type="http://schemas.openxmlformats.org/officeDocument/2006/relationships/hyperlink" Target="https://twitter.com/CarlEReid/status/723018001927131136" TargetMode="External"/><Relationship Id="rId6020" Type="http://schemas.openxmlformats.org/officeDocument/2006/relationships/hyperlink" Target="https://pbs.twimg.com/profile_images/703294545195307008/qeCvrX86_normal.jpg" TargetMode="External"/><Relationship Id="rId9590" Type="http://schemas.openxmlformats.org/officeDocument/2006/relationships/hyperlink" Target="https://pbs.twimg.com/profile_images/424893967197433858/iQ86NktX_normal.jpeg" TargetMode="External"/><Relationship Id="rId12571" Type="http://schemas.openxmlformats.org/officeDocument/2006/relationships/hyperlink" Target="http://dlvr.it/" TargetMode="External"/><Relationship Id="rId19184" Type="http://schemas.openxmlformats.org/officeDocument/2006/relationships/hyperlink" Target="https://twitter.com/SYirmi/status/723922119655055360" TargetMode="External"/><Relationship Id="rId2630" Type="http://schemas.openxmlformats.org/officeDocument/2006/relationships/hyperlink" Target="https://pbs.twimg.com/profile_images/690858619840155649/8GrzU3w1_normal.jpg" TargetMode="External"/><Relationship Id="rId9243" Type="http://schemas.openxmlformats.org/officeDocument/2006/relationships/hyperlink" Target="https://twitter.com/dapper013" TargetMode="External"/><Relationship Id="rId12224" Type="http://schemas.openxmlformats.org/officeDocument/2006/relationships/hyperlink" Target="https://twitter.com/arndissler/status/723515454308900865" TargetMode="External"/><Relationship Id="rId602" Type="http://schemas.openxmlformats.org/officeDocument/2006/relationships/hyperlink" Target="https://pbs.twimg.com/profile_images/702511217793863680/lty8h9vE_normal.jpg" TargetMode="External"/><Relationship Id="rId15794" Type="http://schemas.openxmlformats.org/officeDocument/2006/relationships/hyperlink" Target="https://twitter.com/JetTech33" TargetMode="External"/><Relationship Id="rId5853" Type="http://schemas.openxmlformats.org/officeDocument/2006/relationships/hyperlink" Target="https://twitter.com/_vinadvisor/status/723220354500448256" TargetMode="External"/><Relationship Id="rId15447" Type="http://schemas.openxmlformats.org/officeDocument/2006/relationships/hyperlink" Target="https://pbs.twimg.com/profile_images/606071164478308352/Bpbe55iE_normal.png" TargetMode="External"/><Relationship Id="rId22663" Type="http://schemas.openxmlformats.org/officeDocument/2006/relationships/hyperlink" Target="https://twitter.com/Scirocco_Tuning" TargetMode="External"/><Relationship Id="rId3057" Type="http://schemas.openxmlformats.org/officeDocument/2006/relationships/hyperlink" Target="https://pbs.twimg.com/profile_images/682117656502222848/Ge7YeAF3_normal.png" TargetMode="External"/><Relationship Id="rId5506" Type="http://schemas.openxmlformats.org/officeDocument/2006/relationships/hyperlink" Target="https://pbs.twimg.com/profile_images/570893108095639552/IiOlHTmM_normal.jpeg" TargetMode="External"/><Relationship Id="rId22316" Type="http://schemas.openxmlformats.org/officeDocument/2006/relationships/hyperlink" Target="https://twitter.com/anjelicasjogren/status/724214045910425600" TargetMode="External"/><Relationship Id="rId8729" Type="http://schemas.openxmlformats.org/officeDocument/2006/relationships/hyperlink" Target="http://dlvr.it/" TargetMode="External"/><Relationship Id="rId14530" Type="http://schemas.openxmlformats.org/officeDocument/2006/relationships/hyperlink" Target="https://twitter.com/anja_urbschat/status/723575218485248000" TargetMode="External"/><Relationship Id="rId25539" Type="http://schemas.openxmlformats.org/officeDocument/2006/relationships/hyperlink" Target="https://pbs.twimg.com/profile_images/438395067510697984/O1RO1BuY_normal.jpeg" TargetMode="External"/><Relationship Id="rId12081" Type="http://schemas.openxmlformats.org/officeDocument/2006/relationships/hyperlink" Target="https://twitter.com/WirtschaftDE" TargetMode="External"/><Relationship Id="rId2140" Type="http://schemas.openxmlformats.org/officeDocument/2006/relationships/hyperlink" Target="https://twitter.com/VolkswagenPost" TargetMode="External"/><Relationship Id="rId7812" Type="http://schemas.openxmlformats.org/officeDocument/2006/relationships/hyperlink" Target="https://twitter.com/ffamilymedicine" TargetMode="External"/><Relationship Id="rId17753" Type="http://schemas.openxmlformats.org/officeDocument/2006/relationships/hyperlink" Target="https://twitter.com/Insta_VWT/status/723821070109794304" TargetMode="External"/><Relationship Id="rId112" Type="http://schemas.openxmlformats.org/officeDocument/2006/relationships/hyperlink" Target="https://twitter.com/CNBC/status/722928029882822657" TargetMode="External"/><Relationship Id="rId5363" Type="http://schemas.openxmlformats.org/officeDocument/2006/relationships/hyperlink" Target="https://twitter.com/AlexWitzleben/status/723200612842635264" TargetMode="External"/><Relationship Id="rId17406" Type="http://schemas.openxmlformats.org/officeDocument/2006/relationships/hyperlink" Target="https://pbs.twimg.com/profile_images/710837619316416513/jTgPl3Vv_normal.jpg" TargetMode="External"/><Relationship Id="rId22173" Type="http://schemas.openxmlformats.org/officeDocument/2006/relationships/hyperlink" Target="https://twitter.com/F_Hubik/status/724207590226419716" TargetMode="External"/><Relationship Id="rId24622" Type="http://schemas.openxmlformats.org/officeDocument/2006/relationships/hyperlink" Target="https://twitter.com/moteking25" TargetMode="External"/><Relationship Id="rId5016" Type="http://schemas.openxmlformats.org/officeDocument/2006/relationships/hyperlink" Target="https://twitter.com/urban_aid/status/723192559674228736" TargetMode="External"/><Relationship Id="rId1973" Type="http://schemas.openxmlformats.org/officeDocument/2006/relationships/hyperlink" Target="https://pbs.twimg.com/profile_images/719454005991071744/coeXnXYF_normal.jpg" TargetMode="External"/><Relationship Id="rId8239" Type="http://schemas.openxmlformats.org/officeDocument/2006/relationships/hyperlink" Target="https://twitter.com/ch_heinemann/status/723378585055043584" TargetMode="External"/><Relationship Id="rId8586" Type="http://schemas.openxmlformats.org/officeDocument/2006/relationships/hyperlink" Target="https://twitter.com/steve101078/status/723396226469654528" TargetMode="External"/><Relationship Id="rId11567" Type="http://schemas.openxmlformats.org/officeDocument/2006/relationships/hyperlink" Target="https://twitter.com/Test_Achats/status/723503683443548160" TargetMode="External"/><Relationship Id="rId25396" Type="http://schemas.openxmlformats.org/officeDocument/2006/relationships/hyperlink" Target="https://twitter.com/iam_saurabh_/status/724435171571802113" TargetMode="External"/><Relationship Id="rId1626" Type="http://schemas.openxmlformats.org/officeDocument/2006/relationships/hyperlink" Target="https://twitter.com/MoneyguruGr/status/723049620750798849" TargetMode="External"/><Relationship Id="rId14040" Type="http://schemas.openxmlformats.org/officeDocument/2006/relationships/hyperlink" Target="https://twitter.com/sszonke/status/723562321734426624" TargetMode="External"/><Relationship Id="rId19712" Type="http://schemas.openxmlformats.org/officeDocument/2006/relationships/hyperlink" Target="https://twitter.com/dendryad" TargetMode="External"/><Relationship Id="rId25049" Type="http://schemas.openxmlformats.org/officeDocument/2006/relationships/hyperlink" Target="https://twitter.com/OnlineCarReview/status/724413499015749633" TargetMode="External"/><Relationship Id="rId4849" Type="http://schemas.openxmlformats.org/officeDocument/2006/relationships/hyperlink" Target="https://twitter.com/GlowCreations" TargetMode="External"/><Relationship Id="rId10650" Type="http://schemas.openxmlformats.org/officeDocument/2006/relationships/hyperlink" Target="https://twitter.com/borsakahini/status/723479865870049280" TargetMode="External"/><Relationship Id="rId17263" Type="http://schemas.openxmlformats.org/officeDocument/2006/relationships/hyperlink" Target="https://twitter.com/chaseybr" TargetMode="External"/><Relationship Id="rId21659" Type="http://schemas.openxmlformats.org/officeDocument/2006/relationships/hyperlink" Target="https://twitter.com/KlaasBrongers/status/724166719846158336" TargetMode="External"/><Relationship Id="rId7322" Type="http://schemas.openxmlformats.org/officeDocument/2006/relationships/hyperlink" Target="https://pbs.twimg.com/profile_images/718232196302159875/TGP4_io8_normal.jpg" TargetMode="External"/><Relationship Id="rId10303" Type="http://schemas.openxmlformats.org/officeDocument/2006/relationships/hyperlink" Target="https://pbs.twimg.com/profile_images/705780107844067328/e7O4UBNb_normal.jpg" TargetMode="External"/><Relationship Id="rId24132" Type="http://schemas.openxmlformats.org/officeDocument/2006/relationships/hyperlink" Target="https://pbs.twimg.com/profile_images/714466531078483968/I1HTDlJU_normal.jpg" TargetMode="External"/><Relationship Id="rId13873" Type="http://schemas.openxmlformats.org/officeDocument/2006/relationships/hyperlink" Target="http://dlvr.it/" TargetMode="External"/><Relationship Id="rId1483" Type="http://schemas.openxmlformats.org/officeDocument/2006/relationships/hyperlink" Target="https://twitter.com/lasao5/status/723043304854589440" TargetMode="External"/><Relationship Id="rId3932" Type="http://schemas.openxmlformats.org/officeDocument/2006/relationships/hyperlink" Target="https://pbs.twimg.com/profile_images/913336993/mmw_twitterLogo_normal.png" TargetMode="External"/><Relationship Id="rId8096" Type="http://schemas.openxmlformats.org/officeDocument/2006/relationships/hyperlink" Target="https://twitter.com/rmn102003" TargetMode="External"/><Relationship Id="rId11077" Type="http://schemas.openxmlformats.org/officeDocument/2006/relationships/hyperlink" Target="https://twitter.com/Scirocco_Tuning" TargetMode="External"/><Relationship Id="rId13526" Type="http://schemas.openxmlformats.org/officeDocument/2006/relationships/hyperlink" Target="https://pbs.twimg.com/profile_images/705780107844067328/e7O4UBNb_normal.jpg" TargetMode="External"/><Relationship Id="rId20742" Type="http://schemas.openxmlformats.org/officeDocument/2006/relationships/hyperlink" Target="https://twitter.com/pblaauw/status/724034922365739008" TargetMode="External"/><Relationship Id="rId1136" Type="http://schemas.openxmlformats.org/officeDocument/2006/relationships/hyperlink" Target="https://pbs.twimg.com/profile_images/619152026967113728/CD2TkgJc_normal.jpg" TargetMode="External"/><Relationship Id="rId16749" Type="http://schemas.openxmlformats.org/officeDocument/2006/relationships/hyperlink" Target="https://twitter.com/24HoursOfLeMons/status/723722785965617153" TargetMode="External"/><Relationship Id="rId23965" Type="http://schemas.openxmlformats.org/officeDocument/2006/relationships/hyperlink" Target="https://twitter.com/Yellow_Car_Shop/status/724323565319888903" TargetMode="External"/><Relationship Id="rId6808" Type="http://schemas.openxmlformats.org/officeDocument/2006/relationships/hyperlink" Target="https://twitter.com/VRwatchingU/status/723261908867014656" TargetMode="External"/><Relationship Id="rId19222" Type="http://schemas.openxmlformats.org/officeDocument/2006/relationships/hyperlink" Target="https://twitter.com/NickJB0721/status/723922955353251844" TargetMode="External"/><Relationship Id="rId23618" Type="http://schemas.openxmlformats.org/officeDocument/2006/relationships/hyperlink" Target="https://pbs.twimg.com/profile_images/709094810204938241/urgAFsxo_normal.jpg" TargetMode="External"/><Relationship Id="rId4359" Type="http://schemas.openxmlformats.org/officeDocument/2006/relationships/hyperlink" Target="https://pbs.twimg.com/profile_images/661203197172649984/8NlJaRzL_normal.png" TargetMode="External"/><Relationship Id="rId10160" Type="http://schemas.openxmlformats.org/officeDocument/2006/relationships/hyperlink" Target="https://twitter.com/dubengeldu/status/723464957296316420" TargetMode="External"/><Relationship Id="rId21169" Type="http://schemas.openxmlformats.org/officeDocument/2006/relationships/hyperlink" Target="http://dlvr.it/" TargetMode="External"/><Relationship Id="rId13383" Type="http://schemas.openxmlformats.org/officeDocument/2006/relationships/hyperlink" Target="https://twitter.com/jond4130/status/723545078527057920" TargetMode="External"/><Relationship Id="rId15832" Type="http://schemas.openxmlformats.org/officeDocument/2006/relationships/hyperlink" Target="https://pbs.twimg.com/profile_images/883241100/_LQ_normal.png" TargetMode="External"/><Relationship Id="rId3442" Type="http://schemas.openxmlformats.org/officeDocument/2006/relationships/hyperlink" Target="https://twitter.com/Autokiste/status/723158881086525443" TargetMode="External"/><Relationship Id="rId13036" Type="http://schemas.openxmlformats.org/officeDocument/2006/relationships/hyperlink" Target="https://twitter.com/Stony_BS" TargetMode="External"/><Relationship Id="rId20252" Type="http://schemas.openxmlformats.org/officeDocument/2006/relationships/hyperlink" Target="https://twitter.com/vwdepo/status/723985468342329345" TargetMode="External"/><Relationship Id="rId22701" Type="http://schemas.openxmlformats.org/officeDocument/2006/relationships/hyperlink" Target="https://twitter.com/AdgmanA/status/724239464575451137" TargetMode="External"/><Relationship Id="rId18708" Type="http://schemas.openxmlformats.org/officeDocument/2006/relationships/hyperlink" Target="https://pbs.twimg.com/profile_images/420634034830454784/G0XYnB5o_normal.jpeg" TargetMode="External"/><Relationship Id="rId6318" Type="http://schemas.openxmlformats.org/officeDocument/2006/relationships/hyperlink" Target="https://twitter.com/Scirocco_Tuning/status/723239599770861568" TargetMode="External"/><Relationship Id="rId6665" Type="http://schemas.openxmlformats.org/officeDocument/2006/relationships/hyperlink" Target="https://twitter.com/jo32168" TargetMode="External"/><Relationship Id="rId16259" Type="http://schemas.openxmlformats.org/officeDocument/2006/relationships/hyperlink" Target="https://pbs.twimg.com/profile_images/703294545195307008/qeCvrX86_normal.jpg" TargetMode="External"/><Relationship Id="rId23475" Type="http://schemas.openxmlformats.org/officeDocument/2006/relationships/hyperlink" Target="https://twitter.com/luchiGarello" TargetMode="External"/><Relationship Id="rId9888" Type="http://schemas.openxmlformats.org/officeDocument/2006/relationships/hyperlink" Target="https://twitter.com/TIMECODEX" TargetMode="External"/><Relationship Id="rId12869" Type="http://schemas.openxmlformats.org/officeDocument/2006/relationships/hyperlink" Target="https://twitter.com/FatihGologluu" TargetMode="External"/><Relationship Id="rId23128" Type="http://schemas.openxmlformats.org/officeDocument/2006/relationships/hyperlink" Target="https://twitter.com/dubbusses/status/724269686683238400" TargetMode="External"/><Relationship Id="rId2928" Type="http://schemas.openxmlformats.org/officeDocument/2006/relationships/hyperlink" Target="https://twitter.com/hameles" TargetMode="External"/><Relationship Id="rId15342" Type="http://schemas.openxmlformats.org/officeDocument/2006/relationships/hyperlink" Target="https://twitter.com/VWBeetleSales/status/723604178233233409" TargetMode="External"/><Relationship Id="rId5401" Type="http://schemas.openxmlformats.org/officeDocument/2006/relationships/hyperlink" Target="https://twitter.com/VolkswagenPost" TargetMode="External"/><Relationship Id="rId8971" Type="http://schemas.openxmlformats.org/officeDocument/2006/relationships/hyperlink" Target="https://pbs.twimg.com/profile_images/661514517122256896/8o8UWEmC_normal.jpg" TargetMode="External"/><Relationship Id="rId18565" Type="http://schemas.openxmlformats.org/officeDocument/2006/relationships/hyperlink" Target="https://twitter.com/ClassActionsLaw" TargetMode="External"/><Relationship Id="rId22211" Type="http://schemas.openxmlformats.org/officeDocument/2006/relationships/hyperlink" Target="https://twitter.com/dubbusses" TargetMode="External"/><Relationship Id="rId8624" Type="http://schemas.openxmlformats.org/officeDocument/2006/relationships/hyperlink" Target="https://twitter.com/Treysse" TargetMode="External"/><Relationship Id="rId11952" Type="http://schemas.openxmlformats.org/officeDocument/2006/relationships/hyperlink" Target="https://twitter.com/VWCamperSales/status/723510949378809857" TargetMode="External"/><Relationship Id="rId18218" Type="http://schemas.openxmlformats.org/officeDocument/2006/relationships/hyperlink" Target="https://twitter.com/motorhappy/status/723851808444178432" TargetMode="External"/><Relationship Id="rId25434" Type="http://schemas.openxmlformats.org/officeDocument/2006/relationships/hyperlink" Target="https://pbs.twimg.com/profile_images/613134211919187968/P_pW7EHj_normal.jpg" TargetMode="External"/><Relationship Id="rId6175" Type="http://schemas.openxmlformats.org/officeDocument/2006/relationships/hyperlink" Target="https://pbs.twimg.com/profile_images/627949001179037696/skEBkS05_normal.jpg" TargetMode="External"/><Relationship Id="rId11605" Type="http://schemas.openxmlformats.org/officeDocument/2006/relationships/hyperlink" Target="https://pbs.twimg.com/profile_images/614525396231524352/r7m8MMXA_normal.jpg" TargetMode="External"/><Relationship Id="rId9398" Type="http://schemas.openxmlformats.org/officeDocument/2006/relationships/hyperlink" Target="https://twitter.com/CemilGenc_WDC/status/723433470697951232" TargetMode="External"/><Relationship Id="rId14828" Type="http://schemas.openxmlformats.org/officeDocument/2006/relationships/hyperlink" Target="https://twitter.com/gutierrez_gime" TargetMode="External"/><Relationship Id="rId2785" Type="http://schemas.openxmlformats.org/officeDocument/2006/relationships/hyperlink" Target="https://pbs.twimg.com/profile_images/2990215932/3d67f4dbdf71510d4c8e81b422b73de8_normal.jpeg" TargetMode="External"/><Relationship Id="rId12379" Type="http://schemas.openxmlformats.org/officeDocument/2006/relationships/hyperlink" Target="https://twitter.com/MKreutzfeldt/status/723518393219948544" TargetMode="External"/><Relationship Id="rId17301" Type="http://schemas.openxmlformats.org/officeDocument/2006/relationships/hyperlink" Target="https://pbs.twimg.com/profile_images/716615654770667520/9yQz2MjC_normal.jpg" TargetMode="External"/><Relationship Id="rId757" Type="http://schemas.openxmlformats.org/officeDocument/2006/relationships/hyperlink" Target="https://pbs.twimg.com/profile_images/721148944915439616/UZ5XovmR_normal.jpg" TargetMode="External"/><Relationship Id="rId2438" Type="http://schemas.openxmlformats.org/officeDocument/2006/relationships/hyperlink" Target="https://twitter.com/aus_business/status/723101812383842305" TargetMode="External"/><Relationship Id="rId8481" Type="http://schemas.openxmlformats.org/officeDocument/2006/relationships/hyperlink" Target="https://twitter.com/RSTOKAR" TargetMode="External"/><Relationship Id="rId11462" Type="http://schemas.openxmlformats.org/officeDocument/2006/relationships/hyperlink" Target="https://twitter.com/PeteArmstrong/status/723502628672442368" TargetMode="External"/><Relationship Id="rId13911" Type="http://schemas.openxmlformats.org/officeDocument/2006/relationships/hyperlink" Target="https://twitter.com/MorrisseyEnda" TargetMode="External"/><Relationship Id="rId18075" Type="http://schemas.openxmlformats.org/officeDocument/2006/relationships/hyperlink" Target="https://twitter.com/GianMarcoSolas/status/723844183702802432" TargetMode="External"/><Relationship Id="rId25291" Type="http://schemas.openxmlformats.org/officeDocument/2006/relationships/hyperlink" Target="https://pbs.twimg.com/profile_images/652871584131092480/QA_B6SBO_normal.jpg" TargetMode="External"/><Relationship Id="rId1521" Type="http://schemas.openxmlformats.org/officeDocument/2006/relationships/hyperlink" Target="http://dlvr.it/" TargetMode="External"/><Relationship Id="rId8134" Type="http://schemas.openxmlformats.org/officeDocument/2006/relationships/hyperlink" Target="https://twitter.com/bordreporter" TargetMode="External"/><Relationship Id="rId11115" Type="http://schemas.openxmlformats.org/officeDocument/2006/relationships/hyperlink" Target="https://twitter.com/buran63/status/723497876450598913" TargetMode="External"/><Relationship Id="rId14685" Type="http://schemas.openxmlformats.org/officeDocument/2006/relationships/hyperlink" Target="https://pbs.twimg.com/profile_images/595566449315328000/SA2bNnvl_normal.jpg" TargetMode="External"/><Relationship Id="rId2295" Type="http://schemas.openxmlformats.org/officeDocument/2006/relationships/hyperlink" Target="https://pbs.twimg.com/profile_images/676313123561717760/xP_QEuHj_normal.png" TargetMode="External"/><Relationship Id="rId4744" Type="http://schemas.openxmlformats.org/officeDocument/2006/relationships/hyperlink" Target="https://twitter.com/MiManske" TargetMode="External"/><Relationship Id="rId14338" Type="http://schemas.openxmlformats.org/officeDocument/2006/relationships/hyperlink" Target="https://pbs.twimg.com/profile_images/489353066819248128/cxv60hiW_normal.png" TargetMode="External"/><Relationship Id="rId21554" Type="http://schemas.openxmlformats.org/officeDocument/2006/relationships/hyperlink" Target="https://twitter.com/HansTheGerman/status/724159790662979584" TargetMode="External"/><Relationship Id="rId267" Type="http://schemas.openxmlformats.org/officeDocument/2006/relationships/hyperlink" Target="https://pbs.twimg.com/profile_images/714975740178141188/wYkUoAgt_normal.jpg" TargetMode="External"/><Relationship Id="rId7967" Type="http://schemas.openxmlformats.org/officeDocument/2006/relationships/hyperlink" Target="https://twitter.com/CaaioMonteiro/status/723345523831373824" TargetMode="External"/><Relationship Id="rId10948" Type="http://schemas.openxmlformats.org/officeDocument/2006/relationships/hyperlink" Target="https://twitter.com/hansjaaggi/status/723491383047258113" TargetMode="External"/><Relationship Id="rId21207" Type="http://schemas.openxmlformats.org/officeDocument/2006/relationships/hyperlink" Target="https://pbs.twimg.com/profile_images/714558560936529920/fOUFpJYx_normal.jpg" TargetMode="External"/><Relationship Id="rId24777" Type="http://schemas.openxmlformats.org/officeDocument/2006/relationships/hyperlink" Target="https://twitter.com/oldcar_photo" TargetMode="External"/><Relationship Id="rId13421" Type="http://schemas.openxmlformats.org/officeDocument/2006/relationships/hyperlink" Target="https://pbs.twimg.com/profile_images/668091779313500160/ZepxnJcI_normal.jpg" TargetMode="External"/><Relationship Id="rId16991" Type="http://schemas.openxmlformats.org/officeDocument/2006/relationships/hyperlink" Target="https://twitter.com/katrinhilger/status/723761105185705984" TargetMode="External"/><Relationship Id="rId16644" Type="http://schemas.openxmlformats.org/officeDocument/2006/relationships/hyperlink" Target="https://twitter.com/vixizewyryt/status/723707825600487426" TargetMode="External"/><Relationship Id="rId23860" Type="http://schemas.openxmlformats.org/officeDocument/2006/relationships/hyperlink" Target="https://twitter.com/acvwpassion/status/724315759179096064" TargetMode="External"/><Relationship Id="rId1031" Type="http://schemas.openxmlformats.org/officeDocument/2006/relationships/hyperlink" Target="https://pbs.twimg.com/profile_images/1719664041/tw_spon_normal.jpg" TargetMode="External"/><Relationship Id="rId6703" Type="http://schemas.openxmlformats.org/officeDocument/2006/relationships/hyperlink" Target="https://pbs.twimg.com/profile_images/716500934591913984/lbdjJdrd_normal.jpg" TargetMode="External"/><Relationship Id="rId14195" Type="http://schemas.openxmlformats.org/officeDocument/2006/relationships/hyperlink" Target="https://twitter.com/theautowriter" TargetMode="External"/><Relationship Id="rId23513" Type="http://schemas.openxmlformats.org/officeDocument/2006/relationships/hyperlink" Target="https://pbs.twimg.com/profile_images/715943872820559872/KYDnlJMX_normal.jpg" TargetMode="External"/><Relationship Id="rId4254" Type="http://schemas.openxmlformats.org/officeDocument/2006/relationships/hyperlink" Target="https://twitter.com/adr4517/status/723178409182920704" TargetMode="External"/><Relationship Id="rId19867" Type="http://schemas.openxmlformats.org/officeDocument/2006/relationships/hyperlink" Target="https://twitter.com/VWBeetleSales/status/723962042969821184" TargetMode="External"/><Relationship Id="rId21064" Type="http://schemas.openxmlformats.org/officeDocument/2006/relationships/hyperlink" Target="https://twitter.com/VolkswagenPost" TargetMode="External"/><Relationship Id="rId7477" Type="http://schemas.openxmlformats.org/officeDocument/2006/relationships/hyperlink" Target="https://pbs.twimg.com/profile_images/641324618876342272/YsSIrYuD_normal.jpg" TargetMode="External"/><Relationship Id="rId9926" Type="http://schemas.openxmlformats.org/officeDocument/2006/relationships/hyperlink" Target="https://pbs.twimg.com/profile_images/695547472677048320/Slt-fosz_normal.jpg" TargetMode="External"/><Relationship Id="rId12907" Type="http://schemas.openxmlformats.org/officeDocument/2006/relationships/hyperlink" Target="https://twitter.com/johnmonkuk/status/723531110739750913" TargetMode="External"/><Relationship Id="rId24287" Type="http://schemas.openxmlformats.org/officeDocument/2006/relationships/hyperlink" Target="https://twitter.com/drivingsales/status/724345923200008192" TargetMode="External"/><Relationship Id="rId10458" Type="http://schemas.openxmlformats.org/officeDocument/2006/relationships/hyperlink" Target="https://pbs.twimg.com/profile_images/573831072540033025/_s73MpGg_normal.jpeg" TargetMode="External"/><Relationship Id="rId18950" Type="http://schemas.openxmlformats.org/officeDocument/2006/relationships/hyperlink" Target="https://pbs.twimg.com/profile_images/3502680582/d095888cf8391807ed1f4ead731fe4ee_normal.jpeg" TargetMode="External"/><Relationship Id="rId18603" Type="http://schemas.openxmlformats.org/officeDocument/2006/relationships/hyperlink" Target="https://pbs.twimg.com/profile_images/2263204940/188249_1921812926589_4888950_n_normal.jpg" TargetMode="External"/><Relationship Id="rId20897" Type="http://schemas.openxmlformats.org/officeDocument/2006/relationships/hyperlink" Target="https://twitter.com/ChefSweetcrunch/status/724058738429157376" TargetMode="External"/><Relationship Id="rId6560" Type="http://schemas.openxmlformats.org/officeDocument/2006/relationships/hyperlink" Target="https://twitter.com/KNordlichtW" TargetMode="External"/><Relationship Id="rId16154" Type="http://schemas.openxmlformats.org/officeDocument/2006/relationships/hyperlink" Target="https://pbs.twimg.com/profile_images/459064818557661184/91o9tza1_normal.jpeg" TargetMode="External"/><Relationship Id="rId23370" Type="http://schemas.openxmlformats.org/officeDocument/2006/relationships/hyperlink" Target="https://twitter.com/hameles/status/724283798758789122" TargetMode="External"/><Relationship Id="rId6213" Type="http://schemas.openxmlformats.org/officeDocument/2006/relationships/hyperlink" Target="http://dlvr.it/" TargetMode="External"/><Relationship Id="rId9783" Type="http://schemas.openxmlformats.org/officeDocument/2006/relationships/hyperlink" Target="https://twitter.com/ndr" TargetMode="External"/><Relationship Id="rId19377" Type="http://schemas.openxmlformats.org/officeDocument/2006/relationships/hyperlink" Target="https://twitter.com/VWCamperSales/status/723928949978357761" TargetMode="External"/><Relationship Id="rId23023" Type="http://schemas.openxmlformats.org/officeDocument/2006/relationships/hyperlink" Target="https://pbs.twimg.com/profile_images/624975670062485505/I4cAFaj7_normal.jpg" TargetMode="External"/><Relationship Id="rId9436" Type="http://schemas.openxmlformats.org/officeDocument/2006/relationships/hyperlink" Target="https://pbs.twimg.com/profile_images/705911078744621056/rgqbjoIr_normal.jpg" TargetMode="External"/><Relationship Id="rId12764" Type="http://schemas.openxmlformats.org/officeDocument/2006/relationships/hyperlink" Target="http://mycar.be/" TargetMode="External"/><Relationship Id="rId2823" Type="http://schemas.openxmlformats.org/officeDocument/2006/relationships/hyperlink" Target="https://twitter.com/aktionaer" TargetMode="External"/><Relationship Id="rId12417" Type="http://schemas.openxmlformats.org/officeDocument/2006/relationships/hyperlink" Target="https://pbs.twimg.com/profile_images/53014642/t543458272_7574_1__normal.jpg" TargetMode="External"/><Relationship Id="rId15987" Type="http://schemas.openxmlformats.org/officeDocument/2006/relationships/hyperlink" Target="https://twitter.com/FrancoBerlin1/status/723640962770178048" TargetMode="External"/><Relationship Id="rId18460" Type="http://schemas.openxmlformats.org/officeDocument/2006/relationships/hyperlink" Target="https://pbs.twimg.com/profile_images/702714452991299584/GeaOqstt_normal.jpg" TargetMode="External"/><Relationship Id="rId22856" Type="http://schemas.openxmlformats.org/officeDocument/2006/relationships/hyperlink" Target="https://twitter.com/melo_57" TargetMode="External"/><Relationship Id="rId3597" Type="http://schemas.openxmlformats.org/officeDocument/2006/relationships/hyperlink" Target="https://twitter.com/Kop_of_Parisii" TargetMode="External"/><Relationship Id="rId6070" Type="http://schemas.openxmlformats.org/officeDocument/2006/relationships/hyperlink" Target="https://twitter.com/VWBeetleSales/status/723229335579029504" TargetMode="External"/><Relationship Id="rId11500" Type="http://schemas.openxmlformats.org/officeDocument/2006/relationships/hyperlink" Target="https://twitter.com/marco2080" TargetMode="External"/><Relationship Id="rId18113" Type="http://schemas.openxmlformats.org/officeDocument/2006/relationships/hyperlink" Target="https://pbs.twimg.com/profile_images/701822960152096768/0A3w9j0k_normal.jpg" TargetMode="External"/><Relationship Id="rId22509" Type="http://schemas.openxmlformats.org/officeDocument/2006/relationships/hyperlink" Target="https://twitter.com/tywcc/status/724227168616747008" TargetMode="External"/><Relationship Id="rId14723" Type="http://schemas.openxmlformats.org/officeDocument/2006/relationships/hyperlink" Target="https://twitter.com/DriveEv/status/723580731583270912" TargetMode="External"/><Relationship Id="rId2680" Type="http://schemas.openxmlformats.org/officeDocument/2006/relationships/hyperlink" Target="https://twitter.com/Tkarera/status/723112903751028736" TargetMode="External"/><Relationship Id="rId9293" Type="http://schemas.openxmlformats.org/officeDocument/2006/relationships/hyperlink" Target="https://pbs.twimg.com/profile_images/3059862224/4077ef61fd1e697b982ff0bb499caaf7_normal.jpeg" TargetMode="External"/><Relationship Id="rId12274" Type="http://schemas.openxmlformats.org/officeDocument/2006/relationships/hyperlink" Target="https://twitter.com/Taipanos" TargetMode="External"/><Relationship Id="rId652" Type="http://schemas.openxmlformats.org/officeDocument/2006/relationships/hyperlink" Target="https://twitter.com/alfredlsdope/status/722967676654628865" TargetMode="External"/><Relationship Id="rId2333" Type="http://schemas.openxmlformats.org/officeDocument/2006/relationships/hyperlink" Target="https://pbs.twimg.com/profile_images/598485163241267200/wFl-W3I2_normal.jpg" TargetMode="External"/><Relationship Id="rId15497" Type="http://schemas.openxmlformats.org/officeDocument/2006/relationships/hyperlink" Target="https://abs.twimg.com/sticky/default_profile_images/default_profile_5_normal.png" TargetMode="External"/><Relationship Id="rId17946" Type="http://schemas.openxmlformats.org/officeDocument/2006/relationships/hyperlink" Target="https://twitter.com/VeeDubMk1_" TargetMode="External"/><Relationship Id="rId305" Type="http://schemas.openxmlformats.org/officeDocument/2006/relationships/hyperlink" Target="https://twitter.com/OnlineCarReview/status/722945620672053254" TargetMode="External"/><Relationship Id="rId5556" Type="http://schemas.openxmlformats.org/officeDocument/2006/relationships/hyperlink" Target="https://pbs.twimg.com/profile_images/685566400178556930/I8jEfWdp_normal.jpg" TargetMode="External"/><Relationship Id="rId22366" Type="http://schemas.openxmlformats.org/officeDocument/2006/relationships/hyperlink" Target="http://dlvr.it/" TargetMode="External"/><Relationship Id="rId24815" Type="http://schemas.openxmlformats.org/officeDocument/2006/relationships/hyperlink" Target="https://twitter.com/MllesNewlove/status/724389498860232704" TargetMode="External"/><Relationship Id="rId5209" Type="http://schemas.openxmlformats.org/officeDocument/2006/relationships/hyperlink" Target="https://twitter.com/SeaJaysdetailin/status/723197505643667456" TargetMode="External"/><Relationship Id="rId22019" Type="http://schemas.openxmlformats.org/officeDocument/2006/relationships/hyperlink" Target="https://twitter.com/VWBeetleSales" TargetMode="External"/><Relationship Id="rId8779" Type="http://schemas.openxmlformats.org/officeDocument/2006/relationships/hyperlink" Target="https://pbs.twimg.com/profile_images/458901987019333632/7FGKPDVB_normal.png" TargetMode="External"/><Relationship Id="rId11010" Type="http://schemas.openxmlformats.org/officeDocument/2006/relationships/hyperlink" Target="https://pbs.twimg.com/profile_images/510566795435311104/qsgDiZKO_normal.jpeg" TargetMode="External"/><Relationship Id="rId14580" Type="http://schemas.openxmlformats.org/officeDocument/2006/relationships/hyperlink" Target="https://twitter.com/photogera/status/723575840961867776" TargetMode="External"/><Relationship Id="rId25589" Type="http://schemas.openxmlformats.org/officeDocument/2006/relationships/hyperlink" Target="https://twitter.com/LuchiAltamira" TargetMode="External"/><Relationship Id="rId1819" Type="http://schemas.openxmlformats.org/officeDocument/2006/relationships/hyperlink" Target="https://twitter.com/vwpress_de" TargetMode="External"/><Relationship Id="rId14233" Type="http://schemas.openxmlformats.org/officeDocument/2006/relationships/hyperlink" Target="https://twitter.com/CarterVW" TargetMode="External"/><Relationship Id="rId2190" Type="http://schemas.openxmlformats.org/officeDocument/2006/relationships/hyperlink" Target="https://pbs.twimg.com/profile_images/706784695795769345/XGXgdjww_normal.jpg" TargetMode="External"/><Relationship Id="rId7862" Type="http://schemas.openxmlformats.org/officeDocument/2006/relationships/hyperlink" Target="https://twitter.com/Belen_Monzonn/status/723335345111203840" TargetMode="External"/><Relationship Id="rId17456" Type="http://schemas.openxmlformats.org/officeDocument/2006/relationships/hyperlink" Target="https://twitter.com/HurstView1/status/723799733077192704" TargetMode="External"/><Relationship Id="rId19905" Type="http://schemas.openxmlformats.org/officeDocument/2006/relationships/hyperlink" Target="https://pbs.twimg.com/profile_images/655740677121310724/P1rtaUl__normal.jpg" TargetMode="External"/><Relationship Id="rId21102" Type="http://schemas.openxmlformats.org/officeDocument/2006/relationships/hyperlink" Target="https://twitter.com/andresito24301/status/724101971213463552" TargetMode="External"/><Relationship Id="rId24672" Type="http://schemas.openxmlformats.org/officeDocument/2006/relationships/hyperlink" Target="https://pbs.twimg.com/profile_images/718820712757215233/LXXndPTS_normal.jpg" TargetMode="External"/><Relationship Id="rId162" Type="http://schemas.openxmlformats.org/officeDocument/2006/relationships/hyperlink" Target="https://twitter.com/VCT_Tweets" TargetMode="External"/><Relationship Id="rId7515" Type="http://schemas.openxmlformats.org/officeDocument/2006/relationships/hyperlink" Target="https://twitter.com/Paddyboy1875" TargetMode="External"/><Relationship Id="rId10843" Type="http://schemas.openxmlformats.org/officeDocument/2006/relationships/hyperlink" Target="http://dlvr.it/" TargetMode="External"/><Relationship Id="rId17109" Type="http://schemas.openxmlformats.org/officeDocument/2006/relationships/hyperlink" Target="https://twitter.com/MRauleac/status/723770168099409920" TargetMode="External"/><Relationship Id="rId24325" Type="http://schemas.openxmlformats.org/officeDocument/2006/relationships/hyperlink" Target="https://twitter.com/VWBeetleSales" TargetMode="External"/><Relationship Id="rId5066" Type="http://schemas.openxmlformats.org/officeDocument/2006/relationships/hyperlink" Target="https://pbs.twimg.com/profile_images/1230665985/Kerpen_Daniel_normal.png" TargetMode="External"/><Relationship Id="rId8289" Type="http://schemas.openxmlformats.org/officeDocument/2006/relationships/hyperlink" Target="https://twitter.com/LaCalleDice" TargetMode="External"/><Relationship Id="rId13719" Type="http://schemas.openxmlformats.org/officeDocument/2006/relationships/hyperlink" Target="https://pbs.twimg.com/profile_images/530071272881803264/a_jcCmPZ_normal.png" TargetMode="External"/><Relationship Id="rId20935" Type="http://schemas.openxmlformats.org/officeDocument/2006/relationships/hyperlink" Target="https://twitter.com/mana__mana" TargetMode="External"/><Relationship Id="rId25099" Type="http://schemas.openxmlformats.org/officeDocument/2006/relationships/hyperlink" Target="https://twitter.com/tweetexperte/status/724419783542890496" TargetMode="External"/><Relationship Id="rId1676" Type="http://schemas.openxmlformats.org/officeDocument/2006/relationships/hyperlink" Target="https://twitter.com/dapper013" TargetMode="External"/><Relationship Id="rId14090" Type="http://schemas.openxmlformats.org/officeDocument/2006/relationships/hyperlink" Target="https://pbs.twimg.com/profile_images/717421889623166976/fWQMwXaW_normal.jpg" TargetMode="External"/><Relationship Id="rId19762" Type="http://schemas.openxmlformats.org/officeDocument/2006/relationships/hyperlink" Target="https://twitter.com/Syrupshits/status/723956597475536896" TargetMode="External"/><Relationship Id="rId1329" Type="http://schemas.openxmlformats.org/officeDocument/2006/relationships/hyperlink" Target="https://twitter.com/VWCamperSales/status/723035826779639809" TargetMode="External"/><Relationship Id="rId4899" Type="http://schemas.openxmlformats.org/officeDocument/2006/relationships/hyperlink" Target="https://twitter.com/Catinformacio" TargetMode="External"/><Relationship Id="rId9821" Type="http://schemas.openxmlformats.org/officeDocument/2006/relationships/hyperlink" Target="https://pbs.twimg.com/profile_images/3206352755/e7cfc7248c1779fd33ff5c0bdff273f0_normal.jpeg" TargetMode="External"/><Relationship Id="rId12802" Type="http://schemas.openxmlformats.org/officeDocument/2006/relationships/hyperlink" Target="https://twitter.com/beetlebug1938" TargetMode="External"/><Relationship Id="rId19415" Type="http://schemas.openxmlformats.org/officeDocument/2006/relationships/hyperlink" Target="https://twitter.com/Lindsay_VW/status/723930447739248641" TargetMode="External"/><Relationship Id="rId35" Type="http://schemas.openxmlformats.org/officeDocument/2006/relationships/hyperlink" Target="https://twitter.com/beetlebug1938/status/722920664047427584" TargetMode="External"/><Relationship Id="rId7372" Type="http://schemas.openxmlformats.org/officeDocument/2006/relationships/hyperlink" Target="https://pbs.twimg.com/profile_images/669541061711261696/eOfP0YD8_normal.png" TargetMode="External"/><Relationship Id="rId10353" Type="http://schemas.openxmlformats.org/officeDocument/2006/relationships/hyperlink" Target="https://twitter.com/thevolksmusik" TargetMode="External"/><Relationship Id="rId24182" Type="http://schemas.openxmlformats.org/officeDocument/2006/relationships/hyperlink" Target="https://pbs.twimg.com/profile_images/718835727027580928/1ssyQ67y_normal.jpg" TargetMode="External"/><Relationship Id="rId3982" Type="http://schemas.openxmlformats.org/officeDocument/2006/relationships/hyperlink" Target="https://twitter.com/Geoffreytsmith" TargetMode="External"/><Relationship Id="rId7025" Type="http://schemas.openxmlformats.org/officeDocument/2006/relationships/hyperlink" Target="https://twitter.com/MDBlanchfield/status/723275045049536512" TargetMode="External"/><Relationship Id="rId10006" Type="http://schemas.openxmlformats.org/officeDocument/2006/relationships/hyperlink" Target="https://twitter.com/bayl" TargetMode="External"/><Relationship Id="rId13576" Type="http://schemas.openxmlformats.org/officeDocument/2006/relationships/hyperlink" Target="https://twitter.com/VolkswagenPost/status/723550796944670720" TargetMode="External"/><Relationship Id="rId20792" Type="http://schemas.openxmlformats.org/officeDocument/2006/relationships/hyperlink" Target="https://pbs.twimg.com/profile_images/3784739731/6a5718677b0278eae62bd8e44f2f76b2_normal.jpeg" TargetMode="External"/><Relationship Id="rId3635" Type="http://schemas.openxmlformats.org/officeDocument/2006/relationships/hyperlink" Target="https://twitter.com/bayl" TargetMode="External"/><Relationship Id="rId13229" Type="http://schemas.openxmlformats.org/officeDocument/2006/relationships/hyperlink" Target="https://pbs.twimg.com/profile_images/573248726212325376/60EMO_jJ_normal.jpeg" TargetMode="External"/><Relationship Id="rId20445" Type="http://schemas.openxmlformats.org/officeDocument/2006/relationships/hyperlink" Target="https://pbs.twimg.com/profile_images/675353964821528576/sHqb9p8B_normal.png" TargetMode="External"/><Relationship Id="rId1186" Type="http://schemas.openxmlformats.org/officeDocument/2006/relationships/hyperlink" Target="https://pbs.twimg.com/profile_images/605054915308863488/4JlC_VKY_normal.jpg" TargetMode="External"/><Relationship Id="rId16799" Type="http://schemas.openxmlformats.org/officeDocument/2006/relationships/hyperlink" Target="https://pbs.twimg.com/profile_images/721567171344777216/2raw1nMK_normal.jpg" TargetMode="External"/><Relationship Id="rId6858" Type="http://schemas.openxmlformats.org/officeDocument/2006/relationships/hyperlink" Target="https://twitter.com/VWBeetleSales/status/723264943600984065" TargetMode="External"/><Relationship Id="rId19272" Type="http://schemas.openxmlformats.org/officeDocument/2006/relationships/hyperlink" Target="https://pbs.twimg.com/profile_images/3095803063/6d0b0cd10bd2f076a374a11a88bb7c2e_normal.jpeg" TargetMode="External"/><Relationship Id="rId23668" Type="http://schemas.openxmlformats.org/officeDocument/2006/relationships/hyperlink" Target="https://twitter.com/bird_liam" TargetMode="External"/><Relationship Id="rId9331" Type="http://schemas.openxmlformats.org/officeDocument/2006/relationships/hyperlink" Target="https://twitter.com/BujangJalang_/status/723430664847028224" TargetMode="External"/><Relationship Id="rId12312" Type="http://schemas.openxmlformats.org/officeDocument/2006/relationships/hyperlink" Target="https://twitter.com/fzerfass/status/723516941206446080" TargetMode="External"/><Relationship Id="rId15882" Type="http://schemas.openxmlformats.org/officeDocument/2006/relationships/hyperlink" Target="https://pbs.twimg.com/profile_images/378800000462396717/40b6ca623644e3ce6addf15947b0c27b_normal.jpeg" TargetMode="External"/><Relationship Id="rId5941" Type="http://schemas.openxmlformats.org/officeDocument/2006/relationships/hyperlink" Target="https://twitter.com/stroisila" TargetMode="External"/><Relationship Id="rId15535" Type="http://schemas.openxmlformats.org/officeDocument/2006/relationships/hyperlink" Target="https://twitter.com/OnlineCarReview" TargetMode="External"/><Relationship Id="rId22751" Type="http://schemas.openxmlformats.org/officeDocument/2006/relationships/hyperlink" Target="https://twitter.com/VCT_Tweets/status/724244346304901120" TargetMode="External"/><Relationship Id="rId3492" Type="http://schemas.openxmlformats.org/officeDocument/2006/relationships/hyperlink" Target="https://twitter.com/HuguinVargas" TargetMode="External"/><Relationship Id="rId13086" Type="http://schemas.openxmlformats.org/officeDocument/2006/relationships/hyperlink" Target="https://twitter.com/PatrickNordhoff/status/723535179705401345" TargetMode="External"/><Relationship Id="rId22404" Type="http://schemas.openxmlformats.org/officeDocument/2006/relationships/hyperlink" Target="https://pbs.twimg.com/profile_images/501028605162303490/2Y0djTtn_normal.jpeg" TargetMode="External"/><Relationship Id="rId3145" Type="http://schemas.openxmlformats.org/officeDocument/2006/relationships/hyperlink" Target="https://pbs.twimg.com/profile_images/615493650785660928/XHUh6HOk_normal.jpg" TargetMode="External"/><Relationship Id="rId8817" Type="http://schemas.openxmlformats.org/officeDocument/2006/relationships/hyperlink" Target="https://twitter.com/1lotscalper_fx/status/723408512961769476" TargetMode="External"/><Relationship Id="rId18758" Type="http://schemas.openxmlformats.org/officeDocument/2006/relationships/hyperlink" Target="https://twitter.com/GPAssetFinance/status/723894024080396288" TargetMode="External"/><Relationship Id="rId6368" Type="http://schemas.openxmlformats.org/officeDocument/2006/relationships/hyperlink" Target="https://twitter.com/Covhour/status/723241208429064192" TargetMode="External"/><Relationship Id="rId23178" Type="http://schemas.openxmlformats.org/officeDocument/2006/relationships/hyperlink" Target="https://pbs.twimg.com/profile_images/468362889070669825/IlNQlb0P_normal.jpeg" TargetMode="External"/><Relationship Id="rId25627" Type="http://schemas.openxmlformats.org/officeDocument/2006/relationships/hyperlink" Target="https://twitter.com/HuntingtonPicks/status/724452473797144576" TargetMode="External"/><Relationship Id="rId17841" Type="http://schemas.openxmlformats.org/officeDocument/2006/relationships/hyperlink" Target="https://twitter.com/VWCamperSales" TargetMode="External"/><Relationship Id="rId200" Type="http://schemas.openxmlformats.org/officeDocument/2006/relationships/hyperlink" Target="https://twitter.com/Scirocco_Tuning/status/722935495739777024" TargetMode="External"/><Relationship Id="rId2978" Type="http://schemas.openxmlformats.org/officeDocument/2006/relationships/hyperlink" Target="https://pbs.twimg.com/profile_images/716766247204044801/7l0XyxS9_normal.jpg" TargetMode="External"/><Relationship Id="rId7900" Type="http://schemas.openxmlformats.org/officeDocument/2006/relationships/hyperlink" Target="https://pbs.twimg.com/profile_images/721760696124502016/Dne_Z3x__normal.jpg" TargetMode="External"/><Relationship Id="rId15392" Type="http://schemas.openxmlformats.org/officeDocument/2006/relationships/hyperlink" Target="https://twitter.com/bilanmagazine/status/723606120728764417" TargetMode="External"/><Relationship Id="rId24710" Type="http://schemas.openxmlformats.org/officeDocument/2006/relationships/hyperlink" Target="https://twitter.com/FuscaWorld" TargetMode="External"/><Relationship Id="rId5451" Type="http://schemas.openxmlformats.org/officeDocument/2006/relationships/hyperlink" Target="https://pbs.twimg.com/profile_images/722106709100113921/XVJAeYL8_normal.jpg" TargetMode="External"/><Relationship Id="rId15045" Type="http://schemas.openxmlformats.org/officeDocument/2006/relationships/hyperlink" Target="https://twitter.com/Gurupro/status/723590967002062848" TargetMode="External"/><Relationship Id="rId22261" Type="http://schemas.openxmlformats.org/officeDocument/2006/relationships/hyperlink" Target="https://twitter.com/Scirocco_Tuning/status/724211975056723968" TargetMode="External"/><Relationship Id="rId5104" Type="http://schemas.openxmlformats.org/officeDocument/2006/relationships/hyperlink" Target="https://twitter.com/RecorderTweets/status/723194340659613696" TargetMode="External"/><Relationship Id="rId8674" Type="http://schemas.openxmlformats.org/officeDocument/2006/relationships/hyperlink" Target="https://pbs.twimg.com/profile_images/666680114047004673/dUHoQqwN_normal.jpg" TargetMode="External"/><Relationship Id="rId11655" Type="http://schemas.openxmlformats.org/officeDocument/2006/relationships/hyperlink" Target="https://twitter.com/JAdeJong12" TargetMode="External"/><Relationship Id="rId18268" Type="http://schemas.openxmlformats.org/officeDocument/2006/relationships/hyperlink" Target="https://twitter.com/crewevw" TargetMode="External"/><Relationship Id="rId25484" Type="http://schemas.openxmlformats.org/officeDocument/2006/relationships/hyperlink" Target="https://twitter.com/brhodes1997/status/724442938642694144" TargetMode="External"/><Relationship Id="rId1714" Type="http://schemas.openxmlformats.org/officeDocument/2006/relationships/hyperlink" Target="https://twitter.com/AFECTADOGRUPOVW/status/723054214495105024" TargetMode="External"/><Relationship Id="rId8327" Type="http://schemas.openxmlformats.org/officeDocument/2006/relationships/hyperlink" Target="https://twitter.com/ivankoznar/status/723383204565000192" TargetMode="External"/><Relationship Id="rId11308" Type="http://schemas.openxmlformats.org/officeDocument/2006/relationships/hyperlink" Target="https://twitter.com/punjabimodern1/status/723500801424019457" TargetMode="External"/><Relationship Id="rId25137" Type="http://schemas.openxmlformats.org/officeDocument/2006/relationships/hyperlink" Target="https://pbs.twimg.com/profile_images/689509767400820737/RMJYtaTw_normal.jpg" TargetMode="External"/><Relationship Id="rId14878" Type="http://schemas.openxmlformats.org/officeDocument/2006/relationships/hyperlink" Target="https://twitter.com/Drive_Better" TargetMode="External"/><Relationship Id="rId19800" Type="http://schemas.openxmlformats.org/officeDocument/2006/relationships/hyperlink" Target="https://pbs.twimg.com/profile_images/683097267247554560/mO-D6l-F_normal.png" TargetMode="External"/><Relationship Id="rId2488" Type="http://schemas.openxmlformats.org/officeDocument/2006/relationships/hyperlink" Target="https://pbs.twimg.com/profile_images/519414589843206144/kQ4kNi1f_normal.png" TargetMode="External"/><Relationship Id="rId4937" Type="http://schemas.openxmlformats.org/officeDocument/2006/relationships/hyperlink" Target="https://twitter.com/Cati_Economia" TargetMode="External"/><Relationship Id="rId17351" Type="http://schemas.openxmlformats.org/officeDocument/2006/relationships/hyperlink" Target="http://ctrlq.org/maps/address/" TargetMode="External"/><Relationship Id="rId21747" Type="http://schemas.openxmlformats.org/officeDocument/2006/relationships/hyperlink" Target="https://pbs.twimg.com/profile_images/465845159607824386/C2TZw1k6_normal.jpeg" TargetMode="External"/><Relationship Id="rId7410" Type="http://schemas.openxmlformats.org/officeDocument/2006/relationships/hyperlink" Target="https://twitter.com/hashtagvanlife/status/723300775011692544" TargetMode="External"/><Relationship Id="rId13961" Type="http://schemas.openxmlformats.org/officeDocument/2006/relationships/hyperlink" Target="https://pbs.twimg.com/profile_images/507806117125038081/vOVRGVfm_normal.png" TargetMode="External"/><Relationship Id="rId17004" Type="http://schemas.openxmlformats.org/officeDocument/2006/relationships/hyperlink" Target="https://pbs.twimg.com/profile_images/705780107844067328/e7O4UBNb_normal.jpg" TargetMode="External"/><Relationship Id="rId24220" Type="http://schemas.openxmlformats.org/officeDocument/2006/relationships/hyperlink" Target="https://twitter.com/freddiezblogs/status/724339044205867008" TargetMode="External"/><Relationship Id="rId13614" Type="http://schemas.openxmlformats.org/officeDocument/2006/relationships/hyperlink" Target="https://twitter.com/BWResearch" TargetMode="External"/><Relationship Id="rId20830" Type="http://schemas.openxmlformats.org/officeDocument/2006/relationships/hyperlink" Target="https://twitter.com/PicadasArg" TargetMode="External"/><Relationship Id="rId1571" Type="http://schemas.openxmlformats.org/officeDocument/2006/relationships/hyperlink" Target="https://twitter.com/NDRinfo" TargetMode="External"/><Relationship Id="rId8184" Type="http://schemas.openxmlformats.org/officeDocument/2006/relationships/hyperlink" Target="https://twitter.com/RFN19" TargetMode="External"/><Relationship Id="rId11165" Type="http://schemas.openxmlformats.org/officeDocument/2006/relationships/hyperlink" Target="https://pbs.twimg.com/profile_images/3739776725/4bdfde88b7163868c75447afc5bd822e_normal.jpeg" TargetMode="External"/><Relationship Id="rId1224" Type="http://schemas.openxmlformats.org/officeDocument/2006/relationships/hyperlink" Target="https://twitter.com/Werner__Venter/status/723026525474402304" TargetMode="External"/><Relationship Id="rId4794" Type="http://schemas.openxmlformats.org/officeDocument/2006/relationships/hyperlink" Target="https://pbs.twimg.com/profile_images/703246054230200320/MCfrTAk6_normal.jpg" TargetMode="External"/><Relationship Id="rId14388" Type="http://schemas.openxmlformats.org/officeDocument/2006/relationships/hyperlink" Target="https://twitter.com/beetlebug1938" TargetMode="External"/><Relationship Id="rId16837" Type="http://schemas.openxmlformats.org/officeDocument/2006/relationships/hyperlink" Target="https://twitter.com/BlogCarsPassion/status/723741135924006912" TargetMode="External"/><Relationship Id="rId19310" Type="http://schemas.openxmlformats.org/officeDocument/2006/relationships/hyperlink" Target="https://twitter.com/oldcar_photo/status/723926458603835392" TargetMode="External"/><Relationship Id="rId4447" Type="http://schemas.openxmlformats.org/officeDocument/2006/relationships/hyperlink" Target="https://twitter.com/tstephensvw/status/723181252140920832" TargetMode="External"/><Relationship Id="rId21257" Type="http://schemas.openxmlformats.org/officeDocument/2006/relationships/hyperlink" Target="https://twitter.com/beetlebug1938" TargetMode="External"/><Relationship Id="rId23706" Type="http://schemas.openxmlformats.org/officeDocument/2006/relationships/hyperlink" Target="https://twitter.com/beetlebug1938/status/724306781409824768" TargetMode="External"/><Relationship Id="rId10998" Type="http://schemas.openxmlformats.org/officeDocument/2006/relationships/hyperlink" Target="https://pbs.twimg.com/profile_images/518209016426942465/RCiTPLNX_normal.jpeg" TargetMode="External"/><Relationship Id="rId15920" Type="http://schemas.openxmlformats.org/officeDocument/2006/relationships/hyperlink" Target="https://pbs.twimg.com/profile_images/716386262387527680/iXBQikmn_normal.jpg" TargetMode="External"/><Relationship Id="rId13471" Type="http://schemas.openxmlformats.org/officeDocument/2006/relationships/hyperlink" Target="https://pbs.twimg.com/profile_images/1944127722/image_normal.jpg" TargetMode="External"/><Relationship Id="rId1081" Type="http://schemas.openxmlformats.org/officeDocument/2006/relationships/hyperlink" Target="https://twitter.com/calerliu/status/723016568360304640" TargetMode="External"/><Relationship Id="rId3530" Type="http://schemas.openxmlformats.org/officeDocument/2006/relationships/hyperlink" Target="https://pbs.twimg.com/profile_images/566615573308915715/HKcVROj0_normal.jpeg" TargetMode="External"/><Relationship Id="rId13124" Type="http://schemas.openxmlformats.org/officeDocument/2006/relationships/hyperlink" Target="https://twitter.com/BonBruteTruand/status/723535768677953537" TargetMode="External"/><Relationship Id="rId16694" Type="http://schemas.openxmlformats.org/officeDocument/2006/relationships/hyperlink" Target="https://twitter.com/beetlebug1938" TargetMode="External"/><Relationship Id="rId20340" Type="http://schemas.openxmlformats.org/officeDocument/2006/relationships/hyperlink" Target="https://twitter.com/VWCamperSales/status/723992620280602624" TargetMode="External"/><Relationship Id="rId6753" Type="http://schemas.openxmlformats.org/officeDocument/2006/relationships/hyperlink" Target="https://pbs.twimg.com/profile_images/626052902625406976/PwPMTBVt_normal.png" TargetMode="External"/><Relationship Id="rId16347" Type="http://schemas.openxmlformats.org/officeDocument/2006/relationships/hyperlink" Target="https://pbs.twimg.com/profile_images/477811564179779585/Tn-jHdTl_normal.jpeg" TargetMode="External"/><Relationship Id="rId23563" Type="http://schemas.openxmlformats.org/officeDocument/2006/relationships/hyperlink" Target="https://twitter.com/VWCamperSales" TargetMode="External"/><Relationship Id="rId6406" Type="http://schemas.openxmlformats.org/officeDocument/2006/relationships/hyperlink" Target="https://twitter.com/Thompson_VW/status/723242458251927554" TargetMode="External"/><Relationship Id="rId9976" Type="http://schemas.openxmlformats.org/officeDocument/2006/relationships/hyperlink" Target="https://twitter.com/SophiaOtto" TargetMode="External"/><Relationship Id="rId23216" Type="http://schemas.openxmlformats.org/officeDocument/2006/relationships/hyperlink" Target="https://pbs.twimg.com/profile_images/480637453779230720/TlrOqVmO_normal.jpeg" TargetMode="External"/><Relationship Id="rId9629" Type="http://schemas.openxmlformats.org/officeDocument/2006/relationships/hyperlink" Target="https://pbs.twimg.com/profile_images/531881513457971201/xLcgNzit_normal.png" TargetMode="External"/><Relationship Id="rId12957" Type="http://schemas.openxmlformats.org/officeDocument/2006/relationships/hyperlink" Target="https://twitter.com/OnlineCarReview" TargetMode="External"/><Relationship Id="rId15430" Type="http://schemas.openxmlformats.org/officeDocument/2006/relationships/hyperlink" Target="https://twitter.com/CybermikeK" TargetMode="External"/><Relationship Id="rId3040" Type="http://schemas.openxmlformats.org/officeDocument/2006/relationships/hyperlink" Target="https://twitter.com/VWOlympia" TargetMode="External"/><Relationship Id="rId18653" Type="http://schemas.openxmlformats.org/officeDocument/2006/relationships/hyperlink" Target="https://pbs.twimg.com/profile_images/662325037396041728/8Tf0awpH_normal.jpg" TargetMode="External"/><Relationship Id="rId8712" Type="http://schemas.openxmlformats.org/officeDocument/2006/relationships/hyperlink" Target="https://twitter.com/VolkerVotsmeier" TargetMode="External"/><Relationship Id="rId18306" Type="http://schemas.openxmlformats.org/officeDocument/2006/relationships/hyperlink" Target="https://pbs.twimg.com/profile_images/722462618556960768/JE-_sTXq_normal.jpg" TargetMode="External"/><Relationship Id="rId25522" Type="http://schemas.openxmlformats.org/officeDocument/2006/relationships/hyperlink" Target="https://twitter.com/OnlineCarReview" TargetMode="External"/><Relationship Id="rId6263" Type="http://schemas.openxmlformats.org/officeDocument/2006/relationships/hyperlink" Target="http://dlvr.it/" TargetMode="External"/><Relationship Id="rId23073" Type="http://schemas.openxmlformats.org/officeDocument/2006/relationships/hyperlink" Target="https://twitter.com/TobiMuelhauser" TargetMode="External"/><Relationship Id="rId2873" Type="http://schemas.openxmlformats.org/officeDocument/2006/relationships/hyperlink" Target="https://pbs.twimg.com/profile_images/1865228787/seat_pp_normal.jpg" TargetMode="External"/><Relationship Id="rId9486" Type="http://schemas.openxmlformats.org/officeDocument/2006/relationships/hyperlink" Target="https://pbs.twimg.com/profile_images/662335141537280001/ZH4b_Zba_normal.png" TargetMode="External"/><Relationship Id="rId12467" Type="http://schemas.openxmlformats.org/officeDocument/2006/relationships/hyperlink" Target="https://twitter.com/mokomokai/status/723519912975552512" TargetMode="External"/><Relationship Id="rId14916" Type="http://schemas.openxmlformats.org/officeDocument/2006/relationships/hyperlink" Target="https://twitter.com/SvOstrow" TargetMode="External"/><Relationship Id="rId845" Type="http://schemas.openxmlformats.org/officeDocument/2006/relationships/hyperlink" Target="https://twitter.com/FilipKekusz/status/722990888880771073" TargetMode="External"/><Relationship Id="rId2526" Type="http://schemas.openxmlformats.org/officeDocument/2006/relationships/hyperlink" Target="https://twitter.com/AlGrossnickle/status/723104414462963712" TargetMode="External"/><Relationship Id="rId9139" Type="http://schemas.openxmlformats.org/officeDocument/2006/relationships/hyperlink" Target="https://twitter.com/UsatoAutoSystem/status/723422130814111745" TargetMode="External"/><Relationship Id="rId5749" Type="http://schemas.openxmlformats.org/officeDocument/2006/relationships/hyperlink" Target="https://pbs.twimg.com/profile_images/689575023284244480/WoNSC9ka_normal.jpg" TargetMode="External"/><Relationship Id="rId18163" Type="http://schemas.openxmlformats.org/officeDocument/2006/relationships/hyperlink" Target="https://twitter.com/HeadBistro/status/723847902016233472" TargetMode="External"/><Relationship Id="rId8222" Type="http://schemas.openxmlformats.org/officeDocument/2006/relationships/hyperlink" Target="https://pbs.twimg.com/profile_images/667792478892924928/mBMNel6e_normal.jpg" TargetMode="External"/><Relationship Id="rId11550" Type="http://schemas.openxmlformats.org/officeDocument/2006/relationships/hyperlink" Target="https://pbs.twimg.com/profile_images/667438658325204992/5x5_xu7z_normal.jpg" TargetMode="External"/><Relationship Id="rId22559" Type="http://schemas.openxmlformats.org/officeDocument/2006/relationships/hyperlink" Target="https://twitter.com/AleGomezFabio" TargetMode="External"/><Relationship Id="rId25032" Type="http://schemas.openxmlformats.org/officeDocument/2006/relationships/hyperlink" Target="https://pbs.twimg.com/profile_images/721367110065127424/QmjA60l4_normal.jpg" TargetMode="External"/><Relationship Id="rId11203" Type="http://schemas.openxmlformats.org/officeDocument/2006/relationships/hyperlink" Target="https://twitter.com/AutoFacilBrasil" TargetMode="External"/><Relationship Id="rId14773" Type="http://schemas.openxmlformats.org/officeDocument/2006/relationships/hyperlink" Target="https://twitter.com/thewonkydonkey" TargetMode="External"/><Relationship Id="rId4832" Type="http://schemas.openxmlformats.org/officeDocument/2006/relationships/hyperlink" Target="https://twitter.com/franzsch2/status/723188700314636288" TargetMode="External"/><Relationship Id="rId14426" Type="http://schemas.openxmlformats.org/officeDocument/2006/relationships/hyperlink" Target="https://pbs.twimg.com/profile_images/712920876300238848/JDhJWFQm_normal.jpg" TargetMode="External"/><Relationship Id="rId17996" Type="http://schemas.openxmlformats.org/officeDocument/2006/relationships/hyperlink" Target="https://twitter.com/maximarquezok/status/723840826611212288" TargetMode="External"/><Relationship Id="rId21642" Type="http://schemas.openxmlformats.org/officeDocument/2006/relationships/hyperlink" Target="https://pbs.twimg.com/profile_images/627949001179037696/skEBkS05_normal.jpg" TargetMode="External"/><Relationship Id="rId2383" Type="http://schemas.openxmlformats.org/officeDocument/2006/relationships/hyperlink" Target="https://pbs.twimg.com/profile_images/632106336319221760/dxhF4knQ_normal.jpg" TargetMode="External"/><Relationship Id="rId17649" Type="http://schemas.openxmlformats.org/officeDocument/2006/relationships/hyperlink" Target="https://twitter.com/masa90t0" TargetMode="External"/><Relationship Id="rId24865" Type="http://schemas.openxmlformats.org/officeDocument/2006/relationships/hyperlink" Target="https://pbs.twimg.com/profile_images/714087468795052032/p06V7TfP_normal.jpg" TargetMode="External"/><Relationship Id="rId355" Type="http://schemas.openxmlformats.org/officeDocument/2006/relationships/hyperlink" Target="https://pbs.twimg.com/profile_images/718820712757215233/LXXndPTS_normal.jpg" TargetMode="External"/><Relationship Id="rId2036" Type="http://schemas.openxmlformats.org/officeDocument/2006/relationships/hyperlink" Target="http://dlvr.it/" TargetMode="External"/><Relationship Id="rId7708" Type="http://schemas.openxmlformats.org/officeDocument/2006/relationships/hyperlink" Target="https://pbs.twimg.com/profile_images/674995378828152832/MlepJsK4_normal.jpg" TargetMode="External"/><Relationship Id="rId24518" Type="http://schemas.openxmlformats.org/officeDocument/2006/relationships/hyperlink" Target="https://pbs.twimg.com/profile_images/718820712757215233/LXXndPTS_normal.jpg" TargetMode="External"/><Relationship Id="rId5259" Type="http://schemas.openxmlformats.org/officeDocument/2006/relationships/hyperlink" Target="https://twitter.com/blubb_undso" TargetMode="External"/><Relationship Id="rId11060" Type="http://schemas.openxmlformats.org/officeDocument/2006/relationships/hyperlink" Target="https://twitter.com/LenaHR2/status/723496050863005696" TargetMode="External"/><Relationship Id="rId22069" Type="http://schemas.openxmlformats.org/officeDocument/2006/relationships/hyperlink" Target="https://twitter.com/VeeDubMk1_" TargetMode="External"/><Relationship Id="rId16732" Type="http://schemas.openxmlformats.org/officeDocument/2006/relationships/hyperlink" Target="https://pbs.twimg.com/profile_images/424263999111180288/uiuHfUnY_normal.png" TargetMode="External"/><Relationship Id="rId1869" Type="http://schemas.openxmlformats.org/officeDocument/2006/relationships/hyperlink" Target="https://pbs.twimg.com/profile_images/698167146061393920/_NStR49S_normal.jpg" TargetMode="External"/><Relationship Id="rId14283" Type="http://schemas.openxmlformats.org/officeDocument/2006/relationships/hyperlink" Target="https://pbs.twimg.com/profile_images/530071272881803264/a_jcCmPZ_normal.png" TargetMode="External"/><Relationship Id="rId19955" Type="http://schemas.openxmlformats.org/officeDocument/2006/relationships/hyperlink" Target="https://twitter.com/ctrangoni/status/723965000314966017" TargetMode="External"/><Relationship Id="rId23601" Type="http://schemas.openxmlformats.org/officeDocument/2006/relationships/hyperlink" Target="https://twitter.com/mamulavaca" TargetMode="External"/><Relationship Id="rId4342" Type="http://schemas.openxmlformats.org/officeDocument/2006/relationships/hyperlink" Target="https://twitter.com/VWBeetleSales/status/723179521516564480" TargetMode="External"/><Relationship Id="rId10893" Type="http://schemas.openxmlformats.org/officeDocument/2006/relationships/hyperlink" Target="https://twitter.com/EditorDavePerry" TargetMode="External"/><Relationship Id="rId19608" Type="http://schemas.openxmlformats.org/officeDocument/2006/relationships/hyperlink" Target="https://twitter.com/B83ART/status/723942105475850240" TargetMode="External"/><Relationship Id="rId21152" Type="http://schemas.openxmlformats.org/officeDocument/2006/relationships/hyperlink" Target="https://twitter.com/weare_van" TargetMode="External"/><Relationship Id="rId7565" Type="http://schemas.openxmlformats.org/officeDocument/2006/relationships/hyperlink" Target="https://pbs.twimg.com/profile_images/698117294308921346/aePG7L02_normal.jpg" TargetMode="External"/><Relationship Id="rId10546" Type="http://schemas.openxmlformats.org/officeDocument/2006/relationships/hyperlink" Target="https://twitter.com/nzrosie1/status/723476282327994370" TargetMode="External"/><Relationship Id="rId17159" Type="http://schemas.openxmlformats.org/officeDocument/2006/relationships/hyperlink" Target="https://twitter.com/suma_we/status/723774949870166016" TargetMode="External"/><Relationship Id="rId24375" Type="http://schemas.openxmlformats.org/officeDocument/2006/relationships/hyperlink" Target="https://twitter.com/dubbusses/status/724352892908503040" TargetMode="External"/><Relationship Id="rId7218" Type="http://schemas.openxmlformats.org/officeDocument/2006/relationships/hyperlink" Target="https://pbs.twimg.com/profile_images/667876096088653825/FOW14Ke4_normal.jpg" TargetMode="External"/><Relationship Id="rId24028" Type="http://schemas.openxmlformats.org/officeDocument/2006/relationships/hyperlink" Target="https://twitter.com/marcus_philipp1" TargetMode="External"/><Relationship Id="rId13769" Type="http://schemas.openxmlformats.org/officeDocument/2006/relationships/hyperlink" Target="https://twitter.com/miguel_jaimes14/status/723555680393789441" TargetMode="External"/><Relationship Id="rId16242" Type="http://schemas.openxmlformats.org/officeDocument/2006/relationships/hyperlink" Target="https://twitter.com/Fabio_gonzalezs/status/723660521170440192" TargetMode="External"/><Relationship Id="rId20985" Type="http://schemas.openxmlformats.org/officeDocument/2006/relationships/hyperlink" Target="https://pbs.twimg.com/profile_images/615493650785660928/XHUh6HOk_normal.jpg" TargetMode="External"/><Relationship Id="rId1379" Type="http://schemas.openxmlformats.org/officeDocument/2006/relationships/hyperlink" Target="https://twitter.com/dwnews" TargetMode="External"/><Relationship Id="rId3828" Type="http://schemas.openxmlformats.org/officeDocument/2006/relationships/hyperlink" Target="https://twitter.com/franz_rother/status/723170243275821057" TargetMode="External"/><Relationship Id="rId6301" Type="http://schemas.openxmlformats.org/officeDocument/2006/relationships/hyperlink" Target="https://pbs.twimg.com/profile_images/1923843921/PC360-no-tag-left_normal.jpg" TargetMode="External"/><Relationship Id="rId20638" Type="http://schemas.openxmlformats.org/officeDocument/2006/relationships/hyperlink" Target="https://twitter.com/CarterVW" TargetMode="External"/><Relationship Id="rId23111" Type="http://schemas.openxmlformats.org/officeDocument/2006/relationships/hyperlink" Target="https://twitter.com/beetlebug1938" TargetMode="External"/><Relationship Id="rId9871" Type="http://schemas.openxmlformats.org/officeDocument/2006/relationships/hyperlink" Target="https://twitter.com/x3m_f/status/723452422350352384" TargetMode="External"/><Relationship Id="rId12852" Type="http://schemas.openxmlformats.org/officeDocument/2006/relationships/hyperlink" Target="https://twitter.com/LarryRoeschVW/status/723529437170536449" TargetMode="External"/><Relationship Id="rId19465" Type="http://schemas.openxmlformats.org/officeDocument/2006/relationships/hyperlink" Target="https://twitter.com/ChrisJ0404/status/723935330089357312" TargetMode="External"/><Relationship Id="rId85" Type="http://schemas.openxmlformats.org/officeDocument/2006/relationships/hyperlink" Target="https://twitter.com/andrewsduncan1" TargetMode="External"/><Relationship Id="rId2911" Type="http://schemas.openxmlformats.org/officeDocument/2006/relationships/hyperlink" Target="https://twitter.com/saudi_carz/status/723124455854202880" TargetMode="External"/><Relationship Id="rId7075" Type="http://schemas.openxmlformats.org/officeDocument/2006/relationships/hyperlink" Target="https://twitter.com/itzcel58Dolan/status/723277499560501248" TargetMode="External"/><Relationship Id="rId9524" Type="http://schemas.openxmlformats.org/officeDocument/2006/relationships/hyperlink" Target="https://twitter.com/TalaQaraeen/status/723437673776476160" TargetMode="External"/><Relationship Id="rId12505" Type="http://schemas.openxmlformats.org/officeDocument/2006/relationships/hyperlink" Target="https://twitter.com/Frauimspiegel" TargetMode="External"/><Relationship Id="rId19118" Type="http://schemas.openxmlformats.org/officeDocument/2006/relationships/hyperlink" Target="https://pbs.twimg.com/profile_images/562563461171798017/AkHF4keI_normal.png" TargetMode="External"/><Relationship Id="rId10056" Type="http://schemas.openxmlformats.org/officeDocument/2006/relationships/hyperlink" Target="https://pbs.twimg.com/profile_images/706784695795769345/XGXgdjww_normal.jpg" TargetMode="External"/><Relationship Id="rId15728" Type="http://schemas.openxmlformats.org/officeDocument/2006/relationships/hyperlink" Target="https://pbs.twimg.com/profile_images/471156603769466880/81WpPgNR_normal.jpeg" TargetMode="External"/><Relationship Id="rId22944" Type="http://schemas.openxmlformats.org/officeDocument/2006/relationships/hyperlink" Target="https://twitter.com/VeeDubMk1_" TargetMode="External"/><Relationship Id="rId3685" Type="http://schemas.openxmlformats.org/officeDocument/2006/relationships/hyperlink" Target="https://twitter.com/aktionaer/status/723167481083252738" TargetMode="External"/><Relationship Id="rId13279" Type="http://schemas.openxmlformats.org/officeDocument/2006/relationships/hyperlink" Target="https://twitter.com/instock_de" TargetMode="External"/><Relationship Id="rId18201" Type="http://schemas.openxmlformats.org/officeDocument/2006/relationships/hyperlink" Target="https://pbs.twimg.com/profile_images/652871584131092480/QA_B6SBO_normal.jpg" TargetMode="External"/><Relationship Id="rId20495" Type="http://schemas.openxmlformats.org/officeDocument/2006/relationships/hyperlink" Target="https://twitter.com/VWBeetleSales/status/724003446987202560" TargetMode="External"/><Relationship Id="rId3338" Type="http://schemas.openxmlformats.org/officeDocument/2006/relationships/hyperlink" Target="https://twitter.com/hashtagvanlife/status/723152235815948288" TargetMode="External"/><Relationship Id="rId20148" Type="http://schemas.openxmlformats.org/officeDocument/2006/relationships/hyperlink" Target="https://twitter.com/tamara_dumas" TargetMode="External"/><Relationship Id="rId9381" Type="http://schemas.openxmlformats.org/officeDocument/2006/relationships/hyperlink" Target="https://pbs.twimg.com/profile_images/722770349134372864/uH_DeX25_normal.jpg" TargetMode="External"/><Relationship Id="rId14811" Type="http://schemas.openxmlformats.org/officeDocument/2006/relationships/hyperlink" Target="https://twitter.com/LucasBarra22/status/723583677469458438" TargetMode="External"/><Relationship Id="rId9034" Type="http://schemas.openxmlformats.org/officeDocument/2006/relationships/hyperlink" Target="https://twitter.com/MHubertus/status/723418236075663362" TargetMode="External"/><Relationship Id="rId12362" Type="http://schemas.openxmlformats.org/officeDocument/2006/relationships/hyperlink" Target="https://twitter.com/_Alex_Berlin" TargetMode="External"/><Relationship Id="rId740" Type="http://schemas.openxmlformats.org/officeDocument/2006/relationships/hyperlink" Target="https://twitter.com/ghcj" TargetMode="External"/><Relationship Id="rId2421" Type="http://schemas.openxmlformats.org/officeDocument/2006/relationships/hyperlink" Target="https://twitter.com/willclarkeinoz" TargetMode="External"/><Relationship Id="rId5991" Type="http://schemas.openxmlformats.org/officeDocument/2006/relationships/hyperlink" Target="https://twitter.com/mrsmacscot" TargetMode="External"/><Relationship Id="rId12015" Type="http://schemas.openxmlformats.org/officeDocument/2006/relationships/hyperlink" Target="https://pbs.twimg.com/profile_images/2289706087/q66ajanznpfm87cybp5p_normal.jpeg" TargetMode="External"/><Relationship Id="rId15585" Type="http://schemas.openxmlformats.org/officeDocument/2006/relationships/hyperlink" Target="https://pbs.twimg.com/profile_images/529657323615424512/qo5NPKe2_normal.jpeg" TargetMode="External"/><Relationship Id="rId24903" Type="http://schemas.openxmlformats.org/officeDocument/2006/relationships/hyperlink" Target="https://twitter.com/dubbusses" TargetMode="External"/><Relationship Id="rId5644" Type="http://schemas.openxmlformats.org/officeDocument/2006/relationships/hyperlink" Target="https://pbs.twimg.com/profile_images/672878354127839232/M7OYc-zx_normal.jpg" TargetMode="External"/><Relationship Id="rId15238" Type="http://schemas.openxmlformats.org/officeDocument/2006/relationships/hyperlink" Target="https://twitter.com/macbeth1208/status/723600248812261376" TargetMode="External"/><Relationship Id="rId22454" Type="http://schemas.openxmlformats.org/officeDocument/2006/relationships/hyperlink" Target="https://twitter.com/dubbusses" TargetMode="External"/><Relationship Id="rId3195" Type="http://schemas.openxmlformats.org/officeDocument/2006/relationships/hyperlink" Target="https://twitter.com/DubLuvTuning" TargetMode="External"/><Relationship Id="rId8867" Type="http://schemas.openxmlformats.org/officeDocument/2006/relationships/hyperlink" Target="https://twitter.com/boersenblogger" TargetMode="External"/><Relationship Id="rId22107" Type="http://schemas.openxmlformats.org/officeDocument/2006/relationships/hyperlink" Target="https://twitter.com/VWBeetleSales" TargetMode="External"/><Relationship Id="rId25677" Type="http://schemas.openxmlformats.org/officeDocument/2006/relationships/hyperlink" Target="https://twitter.com/OnlineCarReview" TargetMode="External"/><Relationship Id="rId11848" Type="http://schemas.openxmlformats.org/officeDocument/2006/relationships/hyperlink" Target="https://twitter.com/TCSCOOPERSBURG" TargetMode="External"/><Relationship Id="rId14321" Type="http://schemas.openxmlformats.org/officeDocument/2006/relationships/hyperlink" Target="https://twitter.com/AlexWitzleben" TargetMode="External"/><Relationship Id="rId1907" Type="http://schemas.openxmlformats.org/officeDocument/2006/relationships/hyperlink" Target="https://twitter.com/Testaankoop/status/723068192306827264" TargetMode="External"/><Relationship Id="rId17891" Type="http://schemas.openxmlformats.org/officeDocument/2006/relationships/hyperlink" Target="https://twitter.com/Fat4y/status/723830542685351936" TargetMode="External"/><Relationship Id="rId250" Type="http://schemas.openxmlformats.org/officeDocument/2006/relationships/hyperlink" Target="https://twitter.com/LifeBlab" TargetMode="External"/><Relationship Id="rId7950" Type="http://schemas.openxmlformats.org/officeDocument/2006/relationships/hyperlink" Target="https://twitter.com/chronsucks/status/723343776853438464" TargetMode="External"/><Relationship Id="rId10931" Type="http://schemas.openxmlformats.org/officeDocument/2006/relationships/hyperlink" Target="https://pbs.twimg.com/profile_images/682117656502222848/Ge7YeAF3_normal.png" TargetMode="External"/><Relationship Id="rId15095" Type="http://schemas.openxmlformats.org/officeDocument/2006/relationships/hyperlink" Target="https://twitter.com/MiningAssets" TargetMode="External"/><Relationship Id="rId17544" Type="http://schemas.openxmlformats.org/officeDocument/2006/relationships/hyperlink" Target="https://twitter.com/GDBF_S204" TargetMode="External"/><Relationship Id="rId24760" Type="http://schemas.openxmlformats.org/officeDocument/2006/relationships/hyperlink" Target="https://pbs.twimg.com/profile_images/627949001179037696/skEBkS05_normal.jpg" TargetMode="External"/><Relationship Id="rId5154" Type="http://schemas.openxmlformats.org/officeDocument/2006/relationships/hyperlink" Target="https://twitter.com/decay23" TargetMode="External"/><Relationship Id="rId7603" Type="http://schemas.openxmlformats.org/officeDocument/2006/relationships/hyperlink" Target="https://pbs.twimg.com/profile_images/539556636235689984/Pg8_WG76_normal.jpeg" TargetMode="External"/><Relationship Id="rId24413" Type="http://schemas.openxmlformats.org/officeDocument/2006/relationships/hyperlink" Target="https://twitter.com/thevdubhub/status/724355132008206336" TargetMode="External"/><Relationship Id="rId13807" Type="http://schemas.openxmlformats.org/officeDocument/2006/relationships/hyperlink" Target="https://twitter.com/dw_business/status/723556549919166465" TargetMode="External"/><Relationship Id="rId1764" Type="http://schemas.openxmlformats.org/officeDocument/2006/relationships/hyperlink" Target="https://twitter.com/Sufiy" TargetMode="External"/><Relationship Id="rId8377" Type="http://schemas.openxmlformats.org/officeDocument/2006/relationships/hyperlink" Target="https://twitter.com/VWsightings" TargetMode="External"/><Relationship Id="rId11358" Type="http://schemas.openxmlformats.org/officeDocument/2006/relationships/hyperlink" Target="https://pbs.twimg.com/profile_images/713362877541978112/dti4Ogrm_normal.jpg" TargetMode="External"/><Relationship Id="rId25187" Type="http://schemas.openxmlformats.org/officeDocument/2006/relationships/hyperlink" Target="https://twitter.com/SUPERFMELECTRO/status/724425723683938304" TargetMode="External"/><Relationship Id="rId1417" Type="http://schemas.openxmlformats.org/officeDocument/2006/relationships/hyperlink" Target="https://pbs.twimg.com/profile_images/703183811673264128/eqato_EY_normal.jpg" TargetMode="External"/><Relationship Id="rId4987" Type="http://schemas.openxmlformats.org/officeDocument/2006/relationships/hyperlink" Target="https://pbs.twimg.com/profile_images/684113820369993728/mURtM6YZ_normal.jpg" TargetMode="External"/><Relationship Id="rId19850" Type="http://schemas.openxmlformats.org/officeDocument/2006/relationships/hyperlink" Target="https://pbs.twimg.com/profile_images/378800000547911829/e37e652d6980801bbc7cd7346e1a8510_normal.png" TargetMode="External"/><Relationship Id="rId21797" Type="http://schemas.openxmlformats.org/officeDocument/2006/relationships/hyperlink" Target="https://twitter.com/dubbusses/status/724179090450853888" TargetMode="External"/><Relationship Id="rId7460" Type="http://schemas.openxmlformats.org/officeDocument/2006/relationships/hyperlink" Target="https://twitter.com/POLITJAH" TargetMode="External"/><Relationship Id="rId17054" Type="http://schemas.openxmlformats.org/officeDocument/2006/relationships/hyperlink" Target="https://pbs.twimg.com/profile_images/630477470240604160/cWOnCrEZ_normal.jpg" TargetMode="External"/><Relationship Id="rId19503" Type="http://schemas.openxmlformats.org/officeDocument/2006/relationships/hyperlink" Target="https://pbs.twimg.com/profile_images/718835727027580928/1ssyQ67y_normal.jpg" TargetMode="External"/><Relationship Id="rId24270" Type="http://schemas.openxmlformats.org/officeDocument/2006/relationships/hyperlink" Target="https://twitter.com/AMERMUSCLE289/status/724342473963642880" TargetMode="External"/><Relationship Id="rId7113" Type="http://schemas.openxmlformats.org/officeDocument/2006/relationships/hyperlink" Target="https://twitter.com/cas_2050000659" TargetMode="External"/><Relationship Id="rId10441" Type="http://schemas.openxmlformats.org/officeDocument/2006/relationships/hyperlink" Target="https://twitter.com/selmissary" TargetMode="External"/><Relationship Id="rId13664" Type="http://schemas.openxmlformats.org/officeDocument/2006/relationships/hyperlink" Target="https://twitter.com/HansTheGerman/status/723552486968184832" TargetMode="External"/><Relationship Id="rId20880" Type="http://schemas.openxmlformats.org/officeDocument/2006/relationships/hyperlink" Target="https://pbs.twimg.com/profile_images/704115994780897280/keBSrZX1_normal.jpg" TargetMode="External"/><Relationship Id="rId3723" Type="http://schemas.openxmlformats.org/officeDocument/2006/relationships/hyperlink" Target="https://twitter.com/die_socke/status/723168335286964224" TargetMode="External"/><Relationship Id="rId13317" Type="http://schemas.openxmlformats.org/officeDocument/2006/relationships/hyperlink" Target="https://twitter.com/campercino_uk/status/723543265811652608" TargetMode="External"/><Relationship Id="rId16887" Type="http://schemas.openxmlformats.org/officeDocument/2006/relationships/hyperlink" Target="https://pbs.twimg.com/profile_images/700396434412077056/BkSuEj4v_normal.png" TargetMode="External"/><Relationship Id="rId20533" Type="http://schemas.openxmlformats.org/officeDocument/2006/relationships/hyperlink" Target="https://pbs.twimg.com/profile_images/378800000383656962/389f4a2062ec3c75e130fd84590d969c_normal.png" TargetMode="External"/><Relationship Id="rId1274" Type="http://schemas.openxmlformats.org/officeDocument/2006/relationships/hyperlink" Target="http://dlvr.it/" TargetMode="External"/><Relationship Id="rId6946" Type="http://schemas.openxmlformats.org/officeDocument/2006/relationships/hyperlink" Target="https://twitter.com/HenslerHarry" TargetMode="External"/><Relationship Id="rId19360" Type="http://schemas.openxmlformats.org/officeDocument/2006/relationships/hyperlink" Target="https://pbs.twimg.com/profile_images/718082158351499264/nfM-uS81_normal.jpg" TargetMode="External"/><Relationship Id="rId23756" Type="http://schemas.openxmlformats.org/officeDocument/2006/relationships/hyperlink" Target="https://twitter.com/MeMyselfAndGeek" TargetMode="External"/><Relationship Id="rId4497" Type="http://schemas.openxmlformats.org/officeDocument/2006/relationships/hyperlink" Target="https://twitter.com/Tonelli22" TargetMode="External"/><Relationship Id="rId12400" Type="http://schemas.openxmlformats.org/officeDocument/2006/relationships/hyperlink" Target="https://twitter.com/MarkCSchneider" TargetMode="External"/><Relationship Id="rId19013" Type="http://schemas.openxmlformats.org/officeDocument/2006/relationships/hyperlink" Target="https://pbs.twimg.com/profile_images/619560038714241025/Os9w2k0g_normal.jpg" TargetMode="External"/><Relationship Id="rId23409" Type="http://schemas.openxmlformats.org/officeDocument/2006/relationships/hyperlink" Target="https://twitter.com/DieselTech_Jobs" TargetMode="External"/><Relationship Id="rId15970" Type="http://schemas.openxmlformats.org/officeDocument/2006/relationships/hyperlink" Target="https://twitter.com/PaulMIllerVW" TargetMode="External"/><Relationship Id="rId3580" Type="http://schemas.openxmlformats.org/officeDocument/2006/relationships/hyperlink" Target="https://twitter.com/jrosevear/status/723165018775273473" TargetMode="External"/><Relationship Id="rId13174" Type="http://schemas.openxmlformats.org/officeDocument/2006/relationships/hyperlink" Target="http://ctrlq.org/maps/address/" TargetMode="External"/><Relationship Id="rId15623" Type="http://schemas.openxmlformats.org/officeDocument/2006/relationships/hyperlink" Target="https://pbs.twimg.com/profile_images/638430881229721600/SYdXPv56_normal.jpg" TargetMode="External"/><Relationship Id="rId3233" Type="http://schemas.openxmlformats.org/officeDocument/2006/relationships/hyperlink" Target="https://twitter.com/SanhuezaGonza99" TargetMode="External"/><Relationship Id="rId18846" Type="http://schemas.openxmlformats.org/officeDocument/2006/relationships/hyperlink" Target="https://pbs.twimg.com/profile_images/679188249303056384/oPqJ4ctf_normal.jpg" TargetMode="External"/><Relationship Id="rId20043" Type="http://schemas.openxmlformats.org/officeDocument/2006/relationships/hyperlink" Target="https://pbs.twimg.com/profile_images/2305348441/42yki2pe2jn619bnwgad_normal.jpeg" TargetMode="External"/><Relationship Id="rId20390" Type="http://schemas.openxmlformats.org/officeDocument/2006/relationships/hyperlink" Target="https://twitter.com/FuscaWorld/status/723995354811777026" TargetMode="External"/><Relationship Id="rId8905" Type="http://schemas.openxmlformats.org/officeDocument/2006/relationships/hyperlink" Target="https://pbs.twimg.com/profile_images/719960171628380161/AG1zttUj_normal.jpg" TargetMode="External"/><Relationship Id="rId16397" Type="http://schemas.openxmlformats.org/officeDocument/2006/relationships/hyperlink" Target="https://twitter.com/SantiGutie/status/723679211790147584" TargetMode="External"/><Relationship Id="rId25715" Type="http://schemas.openxmlformats.org/officeDocument/2006/relationships/hyperlink" Target="https://pbs.twimg.com/profile_images/718430597354532864/PZG1fgJb_normal.jpg" TargetMode="External"/><Relationship Id="rId6456" Type="http://schemas.openxmlformats.org/officeDocument/2006/relationships/hyperlink" Target="https://twitter.com/aquaero/status/723243684297359361" TargetMode="External"/><Relationship Id="rId23266" Type="http://schemas.openxmlformats.org/officeDocument/2006/relationships/hyperlink" Target="https://twitter.com/wildcat_real/status/724276712029196288" TargetMode="External"/><Relationship Id="rId6109" Type="http://schemas.openxmlformats.org/officeDocument/2006/relationships/hyperlink" Target="https://twitter.com/suchitgupta60/status/723230189359124480" TargetMode="External"/><Relationship Id="rId9679" Type="http://schemas.openxmlformats.org/officeDocument/2006/relationships/hyperlink" Target="https://twitter.com/VolkswagenPost" TargetMode="External"/><Relationship Id="rId15480" Type="http://schemas.openxmlformats.org/officeDocument/2006/relationships/hyperlink" Target="https://twitter.com/VCT_Tweets" TargetMode="External"/><Relationship Id="rId2719" Type="http://schemas.openxmlformats.org/officeDocument/2006/relationships/hyperlink" Target="https://pbs.twimg.com/profile_images/555049684830412800/Czd6hV4I_normal.jpeg" TargetMode="External"/><Relationship Id="rId15133" Type="http://schemas.openxmlformats.org/officeDocument/2006/relationships/hyperlink" Target="https://twitter.com/EEPublishing" TargetMode="External"/><Relationship Id="rId3090" Type="http://schemas.openxmlformats.org/officeDocument/2006/relationships/hyperlink" Target="https://twitter.com/VWBeetleSales/status/723140376257679362" TargetMode="External"/><Relationship Id="rId22002" Type="http://schemas.openxmlformats.org/officeDocument/2006/relationships/hyperlink" Target="https://twitter.com/beetlebug1938/status/724193503253803008" TargetMode="External"/><Relationship Id="rId8762" Type="http://schemas.openxmlformats.org/officeDocument/2006/relationships/hyperlink" Target="https://twitter.com/DLF" TargetMode="External"/><Relationship Id="rId11743" Type="http://schemas.openxmlformats.org/officeDocument/2006/relationships/hyperlink" Target="https://pbs.twimg.com/profile_images/695584457940738048/P2hQLrLL_normal.jpg" TargetMode="External"/><Relationship Id="rId18356" Type="http://schemas.openxmlformats.org/officeDocument/2006/relationships/hyperlink" Target="https://twitter.com/polodrivercom" TargetMode="External"/><Relationship Id="rId25572" Type="http://schemas.openxmlformats.org/officeDocument/2006/relationships/hyperlink" Target="https://twitter.com/Scirocco_Tuning/status/724448938741342209" TargetMode="External"/><Relationship Id="rId1802" Type="http://schemas.openxmlformats.org/officeDocument/2006/relationships/hyperlink" Target="https://twitter.com/soundsofawesome/status/723058830230298624" TargetMode="External"/><Relationship Id="rId8415" Type="http://schemas.openxmlformats.org/officeDocument/2006/relationships/hyperlink" Target="https://pbs.twimg.com/profile_images/489747056584445953/3tvslEko_normal.jpeg" TargetMode="External"/><Relationship Id="rId14966" Type="http://schemas.openxmlformats.org/officeDocument/2006/relationships/hyperlink" Target="https://twitter.com/VolkswagenPost" TargetMode="External"/><Relationship Id="rId18009" Type="http://schemas.openxmlformats.org/officeDocument/2006/relationships/hyperlink" Target="https://pbs.twimg.com/profile_images/621761611175469056/b89EkOYM_normal.jpg" TargetMode="External"/><Relationship Id="rId25225" Type="http://schemas.openxmlformats.org/officeDocument/2006/relationships/hyperlink" Target="https://twitter.com/CHUCHOZ/status/724427749243404289" TargetMode="External"/><Relationship Id="rId14619" Type="http://schemas.openxmlformats.org/officeDocument/2006/relationships/hyperlink" Target="https://twitter.com/Stony_BS" TargetMode="External"/><Relationship Id="rId21835" Type="http://schemas.openxmlformats.org/officeDocument/2006/relationships/hyperlink" Target="https://twitter.com/TheOomDiff/status/724184031575855104" TargetMode="External"/><Relationship Id="rId895" Type="http://schemas.openxmlformats.org/officeDocument/2006/relationships/hyperlink" Target="https://pbs.twimg.com/profile_images/689855096339959809/GAqOtQLU_normal.jpg" TargetMode="External"/><Relationship Id="rId2576" Type="http://schemas.openxmlformats.org/officeDocument/2006/relationships/hyperlink" Target="https://twitter.com/instagramcc" TargetMode="External"/><Relationship Id="rId9189" Type="http://schemas.openxmlformats.org/officeDocument/2006/relationships/hyperlink" Target="https://twitter.com/Insta_VWT" TargetMode="External"/><Relationship Id="rId548" Type="http://schemas.openxmlformats.org/officeDocument/2006/relationships/hyperlink" Target="https://pbs.twimg.com/profile_images/539551658976743425/B9sz3A9W_normal.jpeg" TargetMode="External"/><Relationship Id="rId2229" Type="http://schemas.openxmlformats.org/officeDocument/2006/relationships/hyperlink" Target="https://twitter.com/ME262P/status/723089845707399168" TargetMode="External"/><Relationship Id="rId5799" Type="http://schemas.openxmlformats.org/officeDocument/2006/relationships/hyperlink" Target="https://twitter.com/EveeNaveyraa" TargetMode="External"/><Relationship Id="rId8272" Type="http://schemas.openxmlformats.org/officeDocument/2006/relationships/hyperlink" Target="https://twitter.com/clayton_phillip/status/723379929983787008" TargetMode="External"/><Relationship Id="rId13702" Type="http://schemas.openxmlformats.org/officeDocument/2006/relationships/hyperlink" Target="https://twitter.com/Michael_Vasanth" TargetMode="External"/><Relationship Id="rId25082" Type="http://schemas.openxmlformats.org/officeDocument/2006/relationships/hyperlink" Target="https://twitter.com/cmsGOMEX" TargetMode="External"/><Relationship Id="rId1312" Type="http://schemas.openxmlformats.org/officeDocument/2006/relationships/hyperlink" Target="https://pbs.twimg.com/profile_images/2323790201/ctdn7vtih30fwf5dcx8z_normal.jpeg" TargetMode="External"/><Relationship Id="rId11253" Type="http://schemas.openxmlformats.org/officeDocument/2006/relationships/hyperlink" Target="https://twitter.com/s_janssen/status/723499979696906240" TargetMode="External"/><Relationship Id="rId16925" Type="http://schemas.openxmlformats.org/officeDocument/2006/relationships/hyperlink" Target="https://twitter.com/jenpetersen12/status/723750005165723648" TargetMode="External"/><Relationship Id="rId4882" Type="http://schemas.openxmlformats.org/officeDocument/2006/relationships/hyperlink" Target="https://pbs.twimg.com/profile_images/695941207625695234/gdP_FW0R_normal.jpg" TargetMode="External"/><Relationship Id="rId14476" Type="http://schemas.openxmlformats.org/officeDocument/2006/relationships/hyperlink" Target="https://twitter.com/copeyphoto/status/723574685158375424" TargetMode="External"/><Relationship Id="rId21692" Type="http://schemas.openxmlformats.org/officeDocument/2006/relationships/hyperlink" Target="https://twitter.com/BBattmer/status/724168908719153152" TargetMode="External"/><Relationship Id="rId2086" Type="http://schemas.openxmlformats.org/officeDocument/2006/relationships/hyperlink" Target="https://twitter.com/michellelove13" TargetMode="External"/><Relationship Id="rId4535" Type="http://schemas.openxmlformats.org/officeDocument/2006/relationships/hyperlink" Target="https://pbs.twimg.com/profile_images/683168753639489536/ooTROAP5_normal.jpg" TargetMode="External"/><Relationship Id="rId14129" Type="http://schemas.openxmlformats.org/officeDocument/2006/relationships/hyperlink" Target="http://linkis.com/" TargetMode="External"/><Relationship Id="rId17699" Type="http://schemas.openxmlformats.org/officeDocument/2006/relationships/hyperlink" Target="https://pbs.twimg.com/profile_images/3296258792/7852b77f95bc153cf32db2ba07fb879c_normal.jpeg" TargetMode="External"/><Relationship Id="rId21345" Type="http://schemas.openxmlformats.org/officeDocument/2006/relationships/hyperlink" Target="https://twitter.com/vwpress_en/status/724142816172105728" TargetMode="External"/><Relationship Id="rId7758" Type="http://schemas.openxmlformats.org/officeDocument/2006/relationships/hyperlink" Target="https://twitter.com/Maikel_Ser/status/723330193306312704" TargetMode="External"/><Relationship Id="rId10739" Type="http://schemas.openxmlformats.org/officeDocument/2006/relationships/hyperlink" Target="https://twitter.com/beetlebug1938" TargetMode="External"/><Relationship Id="rId24568" Type="http://schemas.openxmlformats.org/officeDocument/2006/relationships/hyperlink" Target="https://twitter.com/VeeDubMk1_/status/724372492396183553" TargetMode="External"/><Relationship Id="rId13212" Type="http://schemas.openxmlformats.org/officeDocument/2006/relationships/hyperlink" Target="https://twitter.com/FreeAverageJoe" TargetMode="External"/><Relationship Id="rId16782" Type="http://schemas.openxmlformats.org/officeDocument/2006/relationships/hyperlink" Target="https://twitter.com/ENLACEPUEBLA" TargetMode="External"/><Relationship Id="rId4392" Type="http://schemas.openxmlformats.org/officeDocument/2006/relationships/hyperlink" Target="https://pbs.twimg.com/profile_images/702712678146580480/HkTHbbRI_normal.jpg" TargetMode="External"/><Relationship Id="rId6841" Type="http://schemas.openxmlformats.org/officeDocument/2006/relationships/hyperlink" Target="https://pbs.twimg.com/profile_images/667850855555579905/sXEAhPOP_normal.jpg" TargetMode="External"/><Relationship Id="rId16435" Type="http://schemas.openxmlformats.org/officeDocument/2006/relationships/hyperlink" Target="https://twitter.com/hillbillylawns" TargetMode="External"/><Relationship Id="rId23651" Type="http://schemas.openxmlformats.org/officeDocument/2006/relationships/hyperlink" Target="http://dlvr.it/" TargetMode="External"/><Relationship Id="rId4045" Type="http://schemas.openxmlformats.org/officeDocument/2006/relationships/hyperlink" Target="https://twitter.com/EveeNaveyraa" TargetMode="External"/><Relationship Id="rId19658" Type="http://schemas.openxmlformats.org/officeDocument/2006/relationships/hyperlink" Target="https://twitter.com/AliSco72/status/723945615256891393" TargetMode="External"/><Relationship Id="rId23304" Type="http://schemas.openxmlformats.org/officeDocument/2006/relationships/hyperlink" Target="https://pbs.twimg.com/profile_images/699747254790451200/XG8v3Sw1_normal.jpg" TargetMode="External"/><Relationship Id="rId9717" Type="http://schemas.openxmlformats.org/officeDocument/2006/relationships/hyperlink" Target="https://twitter.com/Ken_CityIndex" TargetMode="External"/><Relationship Id="rId10596" Type="http://schemas.openxmlformats.org/officeDocument/2006/relationships/hyperlink" Target="https://twitter.com/581eGliese" TargetMode="External"/><Relationship Id="rId7268" Type="http://schemas.openxmlformats.org/officeDocument/2006/relationships/hyperlink" Target="https://pbs.twimg.com/profile_images/503913874018426881/2pCdkHKf_normal.jpeg" TargetMode="External"/><Relationship Id="rId10249" Type="http://schemas.openxmlformats.org/officeDocument/2006/relationships/hyperlink" Target="https://pbs.twimg.com/profile_images/1535844911/Logo_normal.png" TargetMode="External"/><Relationship Id="rId18741" Type="http://schemas.openxmlformats.org/officeDocument/2006/relationships/hyperlink" Target="https://pbs.twimg.com/profile_images/703294545195307008/qeCvrX86_normal.jpg" TargetMode="External"/><Relationship Id="rId24078" Type="http://schemas.openxmlformats.org/officeDocument/2006/relationships/hyperlink" Target="https://pbs.twimg.com/profile_images/3095803063/6d0b0cd10bd2f076a374a11a88bb7c2e_normal.jpeg" TargetMode="External"/><Relationship Id="rId3878" Type="http://schemas.openxmlformats.org/officeDocument/2006/relationships/hyperlink" Target="https://pbs.twimg.com/profile_images/587228919696379904/r63-phGC_normal.jpg" TargetMode="External"/><Relationship Id="rId8800" Type="http://schemas.openxmlformats.org/officeDocument/2006/relationships/hyperlink" Target="https://pbs.twimg.com/profile_images/3601856046/89deb5d36c9951092d953fa6050d5fbc_normal.jpeg" TargetMode="External"/><Relationship Id="rId16292" Type="http://schemas.openxmlformats.org/officeDocument/2006/relationships/hyperlink" Target="https://twitter.com/ORattorney/status/723665515235790848" TargetMode="External"/><Relationship Id="rId20688" Type="http://schemas.openxmlformats.org/officeDocument/2006/relationships/hyperlink" Target="https://twitter.com/dubbusses" TargetMode="External"/><Relationship Id="rId25610" Type="http://schemas.openxmlformats.org/officeDocument/2006/relationships/hyperlink" Target="https://twitter.com/nikoparedes4" TargetMode="External"/><Relationship Id="rId6351" Type="http://schemas.openxmlformats.org/officeDocument/2006/relationships/hyperlink" Target="https://pbs.twimg.com/profile_images/720585614/HC-LOGO._normal.jpg" TargetMode="External"/><Relationship Id="rId23161" Type="http://schemas.openxmlformats.org/officeDocument/2006/relationships/hyperlink" Target="https://twitter.com/FuscaWorld" TargetMode="External"/><Relationship Id="rId6004" Type="http://schemas.openxmlformats.org/officeDocument/2006/relationships/hyperlink" Target="https://twitter.com/ABC7News/status/723227434506706944" TargetMode="External"/><Relationship Id="rId9574" Type="http://schemas.openxmlformats.org/officeDocument/2006/relationships/hyperlink" Target="https://pbs.twimg.com/profile_images/488678354338324481/_qtBruR6_normal.jpeg" TargetMode="External"/><Relationship Id="rId19168" Type="http://schemas.openxmlformats.org/officeDocument/2006/relationships/hyperlink" Target="https://twitter.com/franccco6/status/723921871926923270" TargetMode="External"/><Relationship Id="rId2961" Type="http://schemas.openxmlformats.org/officeDocument/2006/relationships/hyperlink" Target="https://twitter.com/johnvoelcker" TargetMode="External"/><Relationship Id="rId9227" Type="http://schemas.openxmlformats.org/officeDocument/2006/relationships/hyperlink" Target="https://pbs.twimg.com/profile_images/717651142327607296/1uRZ3jg3_normal.jpg" TargetMode="External"/><Relationship Id="rId12555" Type="http://schemas.openxmlformats.org/officeDocument/2006/relationships/hyperlink" Target="https://twitter.com/actuauto/status/723522499514892288" TargetMode="External"/><Relationship Id="rId933" Type="http://schemas.openxmlformats.org/officeDocument/2006/relationships/hyperlink" Target="https://twitter.com/CHORO_Q022/status/723003297397805056" TargetMode="External"/><Relationship Id="rId2614" Type="http://schemas.openxmlformats.org/officeDocument/2006/relationships/hyperlink" Target="https://twitter.com/EvvoNewBeetles/status/723109389436108800" TargetMode="External"/><Relationship Id="rId12208" Type="http://schemas.openxmlformats.org/officeDocument/2006/relationships/hyperlink" Target="https://twitter.com/Kons1982" TargetMode="External"/><Relationship Id="rId15778" Type="http://schemas.openxmlformats.org/officeDocument/2006/relationships/hyperlink" Target="https://pbs.twimg.com/profile_images/657278021334867969/cLXaPsw-_normal.jpg" TargetMode="External"/><Relationship Id="rId22994" Type="http://schemas.openxmlformats.org/officeDocument/2006/relationships/hyperlink" Target="https://twitter.com/ebaycampervans" TargetMode="External"/><Relationship Id="rId5837" Type="http://schemas.openxmlformats.org/officeDocument/2006/relationships/hyperlink" Target="https://twitter.com/dknightvaleting/status/723219526419111936" TargetMode="External"/><Relationship Id="rId18251" Type="http://schemas.openxmlformats.org/officeDocument/2006/relationships/hyperlink" Target="https://twitter.com/Jh0nX" TargetMode="External"/><Relationship Id="rId22647" Type="http://schemas.openxmlformats.org/officeDocument/2006/relationships/hyperlink" Target="https://pbs.twimg.com/profile_images/693965251730079744/d4IR05bx_normal.jpg" TargetMode="External"/><Relationship Id="rId3388" Type="http://schemas.openxmlformats.org/officeDocument/2006/relationships/hyperlink" Target="https://pbs.twimg.com/profile_images/721708689942519812/vyTKoQU9_normal.jpg" TargetMode="External"/><Relationship Id="rId8310" Type="http://schemas.openxmlformats.org/officeDocument/2006/relationships/hyperlink" Target="https://twitter.com/avtogid_kg" TargetMode="External"/><Relationship Id="rId20198" Type="http://schemas.openxmlformats.org/officeDocument/2006/relationships/hyperlink" Target="https://twitter.com/vagmenhq/status/723981454359834624" TargetMode="External"/><Relationship Id="rId25120" Type="http://schemas.openxmlformats.org/officeDocument/2006/relationships/hyperlink" Target="https://twitter.com/cmsGOMEX" TargetMode="External"/><Relationship Id="rId14861" Type="http://schemas.openxmlformats.org/officeDocument/2006/relationships/hyperlink" Target="https://pbs.twimg.com/profile_images/607945158869549056/NV8RBT1d_normal.jpg" TargetMode="External"/><Relationship Id="rId790" Type="http://schemas.openxmlformats.org/officeDocument/2006/relationships/hyperlink" Target="http://dlvr.it/" TargetMode="External"/><Relationship Id="rId2471" Type="http://schemas.openxmlformats.org/officeDocument/2006/relationships/hyperlink" Target="https://pbs.twimg.com/profile_images/669855217513578496/tHE9dIDO_normal.jpg" TargetMode="External"/><Relationship Id="rId4920" Type="http://schemas.openxmlformats.org/officeDocument/2006/relationships/hyperlink" Target="https://twitter.com/webaraba" TargetMode="External"/><Relationship Id="rId9084" Type="http://schemas.openxmlformats.org/officeDocument/2006/relationships/hyperlink" Target="https://pbs.twimg.com/profile_images/437889234502819840/B3nuRsI3_normal.png" TargetMode="External"/><Relationship Id="rId12065" Type="http://schemas.openxmlformats.org/officeDocument/2006/relationships/hyperlink" Target="https://twitter.com/markuspieperMEP/status/723512650940985344" TargetMode="External"/><Relationship Id="rId14514" Type="http://schemas.openxmlformats.org/officeDocument/2006/relationships/hyperlink" Target="https://twitter.com/Creeperagent" TargetMode="External"/><Relationship Id="rId21730" Type="http://schemas.openxmlformats.org/officeDocument/2006/relationships/hyperlink" Target="https://twitter.com/rajesh877/status/724173253854527488" TargetMode="External"/><Relationship Id="rId443" Type="http://schemas.openxmlformats.org/officeDocument/2006/relationships/hyperlink" Target="https://twitter.com/nealboudette" TargetMode="External"/><Relationship Id="rId2124" Type="http://schemas.openxmlformats.org/officeDocument/2006/relationships/hyperlink" Target="https://pbs.twimg.com/profile_images/610108234049978368/pZvfSjPA_normal.jpg" TargetMode="External"/><Relationship Id="rId17737" Type="http://schemas.openxmlformats.org/officeDocument/2006/relationships/hyperlink" Target="https://twitter.com/VivaParess/status/723820805914808321" TargetMode="External"/><Relationship Id="rId24953" Type="http://schemas.openxmlformats.org/officeDocument/2006/relationships/hyperlink" Target="https://pbs.twimg.com/profile_images/1414928122/21stal3_normal.jpg" TargetMode="External"/><Relationship Id="rId5694" Type="http://schemas.openxmlformats.org/officeDocument/2006/relationships/hyperlink" Target="https://twitter.com/iMexico_/status/723213054071050240" TargetMode="External"/><Relationship Id="rId15288" Type="http://schemas.openxmlformats.org/officeDocument/2006/relationships/hyperlink" Target="https://pbs.twimg.com/profile_images/720585614/HC-LOGO._normal.jpg" TargetMode="External"/><Relationship Id="rId24606" Type="http://schemas.openxmlformats.org/officeDocument/2006/relationships/hyperlink" Target="https://twitter.com/acvwpassion" TargetMode="External"/><Relationship Id="rId5347" Type="http://schemas.openxmlformats.org/officeDocument/2006/relationships/hyperlink" Target="http://discountbomb.com/" TargetMode="External"/><Relationship Id="rId11898" Type="http://schemas.openxmlformats.org/officeDocument/2006/relationships/hyperlink" Target="http://dlvr.it/" TargetMode="External"/><Relationship Id="rId16820" Type="http://schemas.openxmlformats.org/officeDocument/2006/relationships/hyperlink" Target="https://twitter.com/enzodaviid" TargetMode="External"/><Relationship Id="rId22157" Type="http://schemas.openxmlformats.org/officeDocument/2006/relationships/hyperlink" Target="https://twitter.com/Goebel_Michelle" TargetMode="External"/><Relationship Id="rId1957" Type="http://schemas.openxmlformats.org/officeDocument/2006/relationships/hyperlink" Target="https://twitter.com/deutch_az/status/723069861371334656" TargetMode="External"/><Relationship Id="rId14371" Type="http://schemas.openxmlformats.org/officeDocument/2006/relationships/hyperlink" Target="http://ctrlq.org/maps/address/" TargetMode="External"/><Relationship Id="rId4430" Type="http://schemas.openxmlformats.org/officeDocument/2006/relationships/hyperlink" Target="https://twitter.com/ABC_Driver" TargetMode="External"/><Relationship Id="rId14024" Type="http://schemas.openxmlformats.org/officeDocument/2006/relationships/hyperlink" Target="https://twitter.com/dianapop" TargetMode="External"/><Relationship Id="rId17594" Type="http://schemas.openxmlformats.org/officeDocument/2006/relationships/hyperlink" Target="https://twitter.com/old_style_car/status/723808541329494020" TargetMode="External"/><Relationship Id="rId21240" Type="http://schemas.openxmlformats.org/officeDocument/2006/relationships/hyperlink" Target="https://twitter.com/CarSniff/status/724131095730507776" TargetMode="External"/><Relationship Id="rId7653" Type="http://schemas.openxmlformats.org/officeDocument/2006/relationships/hyperlink" Target="https://twitter.com/ModzGarage" TargetMode="External"/><Relationship Id="rId10981" Type="http://schemas.openxmlformats.org/officeDocument/2006/relationships/hyperlink" Target="https://twitter.com/JosefineJanert/status/723492835643785217" TargetMode="External"/><Relationship Id="rId17247" Type="http://schemas.openxmlformats.org/officeDocument/2006/relationships/hyperlink" Target="https://twitter.com/theroguegents" TargetMode="External"/><Relationship Id="rId24463" Type="http://schemas.openxmlformats.org/officeDocument/2006/relationships/hyperlink" Target="https://twitter.com/VWBeetleSales/status/724361804835524609" TargetMode="External"/><Relationship Id="rId7306" Type="http://schemas.openxmlformats.org/officeDocument/2006/relationships/hyperlink" Target="http://dlvr.it/" TargetMode="External"/><Relationship Id="rId10634" Type="http://schemas.openxmlformats.org/officeDocument/2006/relationships/hyperlink" Target="https://twitter.com/VWCamperSales/status/723479352730509312" TargetMode="External"/><Relationship Id="rId24116" Type="http://schemas.openxmlformats.org/officeDocument/2006/relationships/hyperlink" Target="https://pbs.twimg.com/profile_images/458985684917682176/jIexkUqa_normal.jpeg" TargetMode="External"/><Relationship Id="rId13857" Type="http://schemas.openxmlformats.org/officeDocument/2006/relationships/hyperlink" Target="https://twitter.com/reds33385/status/723557508044980224" TargetMode="External"/><Relationship Id="rId3916" Type="http://schemas.openxmlformats.org/officeDocument/2006/relationships/hyperlink" Target="https://twitter.com/zdmak/status/723172023879389184" TargetMode="External"/><Relationship Id="rId16330" Type="http://schemas.openxmlformats.org/officeDocument/2006/relationships/hyperlink" Target="https://twitter.com/FuscaWorld" TargetMode="External"/><Relationship Id="rId20726" Type="http://schemas.openxmlformats.org/officeDocument/2006/relationships/hyperlink" Target="https://twitter.com/canc27" TargetMode="External"/><Relationship Id="rId1467" Type="http://schemas.openxmlformats.org/officeDocument/2006/relationships/hyperlink" Target="https://twitter.com/11271101K" TargetMode="External"/><Relationship Id="rId19553" Type="http://schemas.openxmlformats.org/officeDocument/2006/relationships/hyperlink" Target="https://twitter.com/re_keogh" TargetMode="External"/><Relationship Id="rId23949" Type="http://schemas.openxmlformats.org/officeDocument/2006/relationships/hyperlink" Target="https://twitter.com/dubbusses/status/724321679485353984" TargetMode="External"/><Relationship Id="rId9612" Type="http://schemas.openxmlformats.org/officeDocument/2006/relationships/hyperlink" Target="https://twitter.com/VolkswagenPost" TargetMode="External"/><Relationship Id="rId10491" Type="http://schemas.openxmlformats.org/officeDocument/2006/relationships/hyperlink" Target="https://twitter.com/dirkkreuter/status/723474616535113728" TargetMode="External"/><Relationship Id="rId12940" Type="http://schemas.openxmlformats.org/officeDocument/2006/relationships/hyperlink" Target="https://twitter.com/DLFNachrichten/status/723531989127704576" TargetMode="External"/><Relationship Id="rId19206" Type="http://schemas.openxmlformats.org/officeDocument/2006/relationships/hyperlink" Target="https://twitter.com/likehealthyfood/status/723922337716965376" TargetMode="External"/><Relationship Id="rId7163" Type="http://schemas.openxmlformats.org/officeDocument/2006/relationships/hyperlink" Target="https://twitter.com/JoanneMHurley/status/723282288432160768" TargetMode="External"/><Relationship Id="rId10144" Type="http://schemas.openxmlformats.org/officeDocument/2006/relationships/hyperlink" Target="https://twitter.com/MaxNLamping" TargetMode="External"/><Relationship Id="rId15816" Type="http://schemas.openxmlformats.org/officeDocument/2006/relationships/hyperlink" Target="https://twitter.com/VidalJimena1/status/723629006931800065" TargetMode="External"/><Relationship Id="rId3773" Type="http://schemas.openxmlformats.org/officeDocument/2006/relationships/hyperlink" Target="https://twitter.com/HAZ" TargetMode="External"/><Relationship Id="rId13367" Type="http://schemas.openxmlformats.org/officeDocument/2006/relationships/hyperlink" Target="https://twitter.com/Gatocca" TargetMode="External"/><Relationship Id="rId20583" Type="http://schemas.openxmlformats.org/officeDocument/2006/relationships/hyperlink" Target="http://ctrlq.org/maps/address/" TargetMode="External"/><Relationship Id="rId3426" Type="http://schemas.openxmlformats.org/officeDocument/2006/relationships/hyperlink" Target="https://twitter.com/SimziiN/status/723157873019129856" TargetMode="External"/><Relationship Id="rId6996" Type="http://schemas.openxmlformats.org/officeDocument/2006/relationships/hyperlink" Target="https://pbs.twimg.com/profile_images/677562570048299008/DIlp9B9o_normal.jpg" TargetMode="External"/><Relationship Id="rId20236" Type="http://schemas.openxmlformats.org/officeDocument/2006/relationships/hyperlink" Target="https://twitter.com/MuppetRider" TargetMode="External"/><Relationship Id="rId6649" Type="http://schemas.openxmlformats.org/officeDocument/2006/relationships/hyperlink" Target="https://pbs.twimg.com/profile_images/527052537992470529/T_xUcDO1_normal.jpeg" TargetMode="External"/><Relationship Id="rId12450" Type="http://schemas.openxmlformats.org/officeDocument/2006/relationships/hyperlink" Target="https://pbs.twimg.com/profile_images/1289359150/Xenon07.2_normal.jpg" TargetMode="External"/><Relationship Id="rId19063" Type="http://schemas.openxmlformats.org/officeDocument/2006/relationships/hyperlink" Target="https://twitter.com/Capricillo/status/723917703640174592" TargetMode="External"/><Relationship Id="rId23459" Type="http://schemas.openxmlformats.org/officeDocument/2006/relationships/hyperlink" Target="https://twitter.com/linaiolanda" TargetMode="External"/><Relationship Id="rId9122" Type="http://schemas.openxmlformats.org/officeDocument/2006/relationships/hyperlink" Target="https://pbs.twimg.com/profile_images/2373311233/logo_VW_CONCESSIONARIO_normal.jpg" TargetMode="External"/><Relationship Id="rId12103" Type="http://schemas.openxmlformats.org/officeDocument/2006/relationships/hyperlink" Target="https://pbs.twimg.com/profile_images/431047003091398657/VwNnWrzp_normal.jpeg" TargetMode="External"/><Relationship Id="rId15673" Type="http://schemas.openxmlformats.org/officeDocument/2006/relationships/hyperlink" Target="https://twitter.com/PeterJanEngelen/status/723619360334594048" TargetMode="External"/><Relationship Id="rId5732" Type="http://schemas.openxmlformats.org/officeDocument/2006/relationships/hyperlink" Target="https://twitter.com/RiveGaucheWestU" TargetMode="External"/><Relationship Id="rId15326" Type="http://schemas.openxmlformats.org/officeDocument/2006/relationships/hyperlink" Target="https://twitter.com/AdamBartram" TargetMode="External"/><Relationship Id="rId22542" Type="http://schemas.openxmlformats.org/officeDocument/2006/relationships/hyperlink" Target="https://twitter.com/VeeDubMk1_/status/724228643560525824" TargetMode="External"/><Relationship Id="rId3283" Type="http://schemas.openxmlformats.org/officeDocument/2006/relationships/hyperlink" Target="https://pbs.twimg.com/profile_images/570375988065935360/ooT_Nq7x_normal.jpeg" TargetMode="External"/><Relationship Id="rId18896" Type="http://schemas.openxmlformats.org/officeDocument/2006/relationships/hyperlink" Target="https://twitter.com/LookersVW" TargetMode="External"/><Relationship Id="rId20093" Type="http://schemas.openxmlformats.org/officeDocument/2006/relationships/hyperlink" Target="https://twitter.com/From_Apexhunter" TargetMode="External"/><Relationship Id="rId8955" Type="http://schemas.openxmlformats.org/officeDocument/2006/relationships/hyperlink" Target="https://twitter.com/LSP_skills/status/723412796587675648" TargetMode="External"/><Relationship Id="rId11936" Type="http://schemas.openxmlformats.org/officeDocument/2006/relationships/hyperlink" Target="https://twitter.com/lisapaus" TargetMode="External"/><Relationship Id="rId18549" Type="http://schemas.openxmlformats.org/officeDocument/2006/relationships/hyperlink" Target="https://pbs.twimg.com/profile_images/530071272881803264/a_jcCmPZ_normal.png" TargetMode="External"/><Relationship Id="rId6159" Type="http://schemas.openxmlformats.org/officeDocument/2006/relationships/hyperlink" Target="https://twitter.com/dimitris_avdis/status/723233113883574272" TargetMode="External"/><Relationship Id="rId8608" Type="http://schemas.openxmlformats.org/officeDocument/2006/relationships/hyperlink" Target="https://pbs.twimg.com/profile_images/378800000224968476/c294d065bce1ad2be4f47cd67e6bc13b_normal.jpeg" TargetMode="External"/><Relationship Id="rId25418" Type="http://schemas.openxmlformats.org/officeDocument/2006/relationships/hyperlink" Target="https://twitter.com/vickymotorserv1/status/724438166829060096" TargetMode="External"/><Relationship Id="rId17632" Type="http://schemas.openxmlformats.org/officeDocument/2006/relationships/hyperlink" Target="https://pbs.twimg.com/profile_images/378800000528765970/3ab9f2a00010e9cac08d5ca1638926e9_normal.png" TargetMode="External"/><Relationship Id="rId2769" Type="http://schemas.openxmlformats.org/officeDocument/2006/relationships/hyperlink" Target="https://twitter.com/TheCarCentre/status/723117866099331072" TargetMode="External"/><Relationship Id="rId15183" Type="http://schemas.openxmlformats.org/officeDocument/2006/relationships/hyperlink" Target="http://dlvr.it/" TargetMode="External"/><Relationship Id="rId24501" Type="http://schemas.openxmlformats.org/officeDocument/2006/relationships/hyperlink" Target="https://twitter.com/RebeccaChast_16" TargetMode="External"/><Relationship Id="rId5242" Type="http://schemas.openxmlformats.org/officeDocument/2006/relationships/hyperlink" Target="http://www.infooffensive.de/" TargetMode="External"/><Relationship Id="rId22052" Type="http://schemas.openxmlformats.org/officeDocument/2006/relationships/hyperlink" Target="https://twitter.com/Insta_VWT/status/724198326355300352" TargetMode="External"/><Relationship Id="rId8465" Type="http://schemas.openxmlformats.org/officeDocument/2006/relationships/hyperlink" Target="https://twitter.com/ChrisBrey1" TargetMode="External"/><Relationship Id="rId11793" Type="http://schemas.openxmlformats.org/officeDocument/2006/relationships/hyperlink" Target="https://twitter.com/VWBeetleSales/status/723507680405397504" TargetMode="External"/><Relationship Id="rId18059" Type="http://schemas.openxmlformats.org/officeDocument/2006/relationships/hyperlink" Target="https://twitter.com/Elitet5" TargetMode="External"/><Relationship Id="rId25275" Type="http://schemas.openxmlformats.org/officeDocument/2006/relationships/hyperlink" Target="https://pbs.twimg.com/profile_images/722372035364655104/mEwVpWTn_normal.jpg" TargetMode="External"/><Relationship Id="rId1852" Type="http://schemas.openxmlformats.org/officeDocument/2006/relationships/hyperlink" Target="https://twitter.com/DirkEllisVW/status/723062902790479872" TargetMode="External"/><Relationship Id="rId8118" Type="http://schemas.openxmlformats.org/officeDocument/2006/relationships/hyperlink" Target="https://twitter.com/VWBeetleSales/status/723370759708499968" TargetMode="External"/><Relationship Id="rId11446" Type="http://schemas.openxmlformats.org/officeDocument/2006/relationships/hyperlink" Target="https://twitter.com/SuncoastVW" TargetMode="External"/><Relationship Id="rId1505" Type="http://schemas.openxmlformats.org/officeDocument/2006/relationships/hyperlink" Target="https://pbs.twimg.com/profile_images/602105290432106497/5dKZAU3H_normal.jpg" TargetMode="External"/><Relationship Id="rId14669" Type="http://schemas.openxmlformats.org/officeDocument/2006/relationships/hyperlink" Target="https://pbs.twimg.com/profile_images/425756630098001920/k5MIYSRu_normal.jpeg" TargetMode="External"/><Relationship Id="rId21885" Type="http://schemas.openxmlformats.org/officeDocument/2006/relationships/hyperlink" Target="https://pbs.twimg.com/profile_images/611495187009769472/B82dA9xg_normal.jpg" TargetMode="External"/><Relationship Id="rId4728" Type="http://schemas.openxmlformats.org/officeDocument/2006/relationships/hyperlink" Target="https://twitter.com/DubLuvTuning" TargetMode="External"/><Relationship Id="rId17142" Type="http://schemas.openxmlformats.org/officeDocument/2006/relationships/hyperlink" Target="https://pbs.twimg.com/profile_images/583322292995772418/_hSKZ3NN_normal.jpg" TargetMode="External"/><Relationship Id="rId21538" Type="http://schemas.openxmlformats.org/officeDocument/2006/relationships/hyperlink" Target="https://twitter.com/Impalfa" TargetMode="External"/><Relationship Id="rId598" Type="http://schemas.openxmlformats.org/officeDocument/2006/relationships/hyperlink" Target="https://twitter.com/techhippie/status/722967039506264064" TargetMode="External"/><Relationship Id="rId2279" Type="http://schemas.openxmlformats.org/officeDocument/2006/relationships/hyperlink" Target="https://twitter.com/VWBeetleSales" TargetMode="External"/><Relationship Id="rId7201" Type="http://schemas.openxmlformats.org/officeDocument/2006/relationships/hyperlink" Target="https://twitter.com/DubLuvTuning" TargetMode="External"/><Relationship Id="rId24011" Type="http://schemas.openxmlformats.org/officeDocument/2006/relationships/hyperlink" Target="https://twitter.com/HR_Nicki/status/724326713560322048" TargetMode="External"/><Relationship Id="rId3811" Type="http://schemas.openxmlformats.org/officeDocument/2006/relationships/hyperlink" Target="https://pbs.twimg.com/profile_images/577892224605663232/LG201Y25_normal.jpeg" TargetMode="External"/><Relationship Id="rId13405" Type="http://schemas.openxmlformats.org/officeDocument/2006/relationships/hyperlink" Target="https://twitter.com/anadin325/status/723545834541993984" TargetMode="External"/><Relationship Id="rId13752" Type="http://schemas.openxmlformats.org/officeDocument/2006/relationships/hyperlink" Target="https://pbs.twimg.com/profile_images/1324767277/pict0174bna_normal.jpg" TargetMode="External"/><Relationship Id="rId20621" Type="http://schemas.openxmlformats.org/officeDocument/2006/relationships/hyperlink" Target="https://twitter.com/DonChocorrol/status/724016217602838528" TargetMode="External"/><Relationship Id="rId1362" Type="http://schemas.openxmlformats.org/officeDocument/2006/relationships/hyperlink" Target="https://twitter.com/databaseDNA/status/723038128135512067" TargetMode="External"/><Relationship Id="rId16975" Type="http://schemas.openxmlformats.org/officeDocument/2006/relationships/hyperlink" Target="https://twitter.com/Logistique01" TargetMode="External"/><Relationship Id="rId1015" Type="http://schemas.openxmlformats.org/officeDocument/2006/relationships/hyperlink" Target="https://twitter.com/cginoffice/status/723012492700487682" TargetMode="External"/><Relationship Id="rId4585" Type="http://schemas.openxmlformats.org/officeDocument/2006/relationships/hyperlink" Target="https://twitter.com/Klaus_Mueller/status/723183264119304192" TargetMode="External"/><Relationship Id="rId14179" Type="http://schemas.openxmlformats.org/officeDocument/2006/relationships/hyperlink" Target="https://twitter.com/AaronMadar" TargetMode="External"/><Relationship Id="rId16628" Type="http://schemas.openxmlformats.org/officeDocument/2006/relationships/hyperlink" Target="https://twitter.com/DanielTottenham" TargetMode="External"/><Relationship Id="rId21395" Type="http://schemas.openxmlformats.org/officeDocument/2006/relationships/hyperlink" Target="https://twitter.com/McDonald_69" TargetMode="External"/><Relationship Id="rId23844" Type="http://schemas.openxmlformats.org/officeDocument/2006/relationships/hyperlink" Target="https://twitter.com/VWCamperSales" TargetMode="External"/><Relationship Id="rId4238" Type="http://schemas.openxmlformats.org/officeDocument/2006/relationships/hyperlink" Target="https://twitter.com/Scheinriesig" TargetMode="External"/><Relationship Id="rId19101" Type="http://schemas.openxmlformats.org/officeDocument/2006/relationships/hyperlink" Target="https://twitter.com/tywcc" TargetMode="External"/><Relationship Id="rId21048" Type="http://schemas.openxmlformats.org/officeDocument/2006/relationships/hyperlink" Target="https://pbs.twimg.com/profile_images/718835727027580928/1ssyQ67y_normal.jpg" TargetMode="External"/><Relationship Id="rId10789" Type="http://schemas.openxmlformats.org/officeDocument/2006/relationships/hyperlink" Target="https://pbs.twimg.com/profile_images/1749790667/twitter_normal.jpg" TargetMode="External"/><Relationship Id="rId15711" Type="http://schemas.openxmlformats.org/officeDocument/2006/relationships/hyperlink" Target="https://twitter.com/Saltytrees" TargetMode="External"/><Relationship Id="rId13262" Type="http://schemas.openxmlformats.org/officeDocument/2006/relationships/hyperlink" Target="https://twitter.com/kking67/status/723541496708911105" TargetMode="External"/><Relationship Id="rId3321" Type="http://schemas.openxmlformats.org/officeDocument/2006/relationships/hyperlink" Target="https://pbs.twimg.com/profile_images/702511217793863680/lty8h9vE_normal.jpg" TargetMode="External"/><Relationship Id="rId6891" Type="http://schemas.openxmlformats.org/officeDocument/2006/relationships/hyperlink" Target="https://twitter.com/FuscaWorld" TargetMode="External"/><Relationship Id="rId16485" Type="http://schemas.openxmlformats.org/officeDocument/2006/relationships/hyperlink" Target="https://twitter.com/LuchiAbiuso" TargetMode="External"/><Relationship Id="rId18934" Type="http://schemas.openxmlformats.org/officeDocument/2006/relationships/hyperlink" Target="https://pbs.twimg.com/profile_images/558308052848238592/7sNWS5Zp_normal.png" TargetMode="External"/><Relationship Id="rId20131" Type="http://schemas.openxmlformats.org/officeDocument/2006/relationships/hyperlink" Target="https://twitter.com/guido_ciocca/status/723976469937004544" TargetMode="External"/><Relationship Id="rId6544" Type="http://schemas.openxmlformats.org/officeDocument/2006/relationships/hyperlink" Target="https://twitter.com/OnlineCarReview/status/723245433925980160" TargetMode="External"/><Relationship Id="rId16138" Type="http://schemas.openxmlformats.org/officeDocument/2006/relationships/hyperlink" Target="https://twitter.com/YO_CATERINA/status/723650837898235904" TargetMode="External"/><Relationship Id="rId23354" Type="http://schemas.openxmlformats.org/officeDocument/2006/relationships/hyperlink" Target="https://twitter.com/skellydesign" TargetMode="External"/><Relationship Id="rId4095" Type="http://schemas.openxmlformats.org/officeDocument/2006/relationships/hyperlink" Target="https://pbs.twimg.com/profile_images/695660627096784896/LI-iXxy3_normal.jpg" TargetMode="External"/><Relationship Id="rId23007" Type="http://schemas.openxmlformats.org/officeDocument/2006/relationships/hyperlink" Target="https://twitter.com/BEVENUTO/status/724264380775444480" TargetMode="External"/><Relationship Id="rId9767" Type="http://schemas.openxmlformats.org/officeDocument/2006/relationships/hyperlink" Target="https://twitter.com/NDRnds" TargetMode="External"/><Relationship Id="rId12748" Type="http://schemas.openxmlformats.org/officeDocument/2006/relationships/hyperlink" Target="https://twitter.com/RainerLoveiam/status/723527002481930241" TargetMode="External"/><Relationship Id="rId2807" Type="http://schemas.openxmlformats.org/officeDocument/2006/relationships/hyperlink" Target="https://pbs.twimg.com/profile_images/642837022965522432/8L7ZHdgl_normal.jpg" TargetMode="External"/><Relationship Id="rId10299" Type="http://schemas.openxmlformats.org/officeDocument/2006/relationships/hyperlink" Target="https://twitter.com/Smashy86/status/723468685634088960" TargetMode="External"/><Relationship Id="rId15221" Type="http://schemas.openxmlformats.org/officeDocument/2006/relationships/hyperlink" Target="https://pbs.twimg.com/profile_images/696171758877999104/iAcEEMnX_normal.jpg" TargetMode="External"/><Relationship Id="rId18791" Type="http://schemas.openxmlformats.org/officeDocument/2006/relationships/hyperlink" Target="https://twitter.com/a_majid99" TargetMode="External"/><Relationship Id="rId8850" Type="http://schemas.openxmlformats.org/officeDocument/2006/relationships/hyperlink" Target="https://twitter.com/conkers3/status/723409272592175104" TargetMode="External"/><Relationship Id="rId18444" Type="http://schemas.openxmlformats.org/officeDocument/2006/relationships/hyperlink" Target="https://twitter.com/JamesDerom/status/723868647802953730" TargetMode="External"/><Relationship Id="rId25660" Type="http://schemas.openxmlformats.org/officeDocument/2006/relationships/hyperlink" Target="https://twitter.com/tomaszapata2/status/724456772044365824" TargetMode="External"/><Relationship Id="rId8503" Type="http://schemas.openxmlformats.org/officeDocument/2006/relationships/hyperlink" Target="https://twitter.com/AshleyBest/status/723391228071440384" TargetMode="External"/><Relationship Id="rId11831" Type="http://schemas.openxmlformats.org/officeDocument/2006/relationships/hyperlink" Target="https://twitter.com/ALuizCosta/status/723508616540618752" TargetMode="External"/><Relationship Id="rId25313" Type="http://schemas.openxmlformats.org/officeDocument/2006/relationships/hyperlink" Target="https://twitter.com/SUPERFMELECTRO" TargetMode="External"/><Relationship Id="rId6054" Type="http://schemas.openxmlformats.org/officeDocument/2006/relationships/hyperlink" Target="https://twitter.com/Roellchen2011" TargetMode="External"/><Relationship Id="rId983" Type="http://schemas.openxmlformats.org/officeDocument/2006/relationships/hyperlink" Target="https://pbs.twimg.com/profile_images/699095952318144512/KWfqDlB3_normal.jpg" TargetMode="External"/><Relationship Id="rId2664" Type="http://schemas.openxmlformats.org/officeDocument/2006/relationships/hyperlink" Target="https://twitter.com/sleepinggiantpa/status/723112455744970752" TargetMode="External"/><Relationship Id="rId9277" Type="http://schemas.openxmlformats.org/officeDocument/2006/relationships/hyperlink" Target="http://dlvr.it/" TargetMode="External"/><Relationship Id="rId12258" Type="http://schemas.openxmlformats.org/officeDocument/2006/relationships/hyperlink" Target="https://twitter.com/NetzwerkggS21" TargetMode="External"/><Relationship Id="rId14707" Type="http://schemas.openxmlformats.org/officeDocument/2006/relationships/hyperlink" Target="https://pbs.twimg.com/profile_images/703294545195307008/qeCvrX86_normal.jpg" TargetMode="External"/><Relationship Id="rId21923" Type="http://schemas.openxmlformats.org/officeDocument/2006/relationships/hyperlink" Target="https://twitter.com/mausraster/status/724188647503892480" TargetMode="External"/><Relationship Id="rId636" Type="http://schemas.openxmlformats.org/officeDocument/2006/relationships/hyperlink" Target="https://twitter.com/pllyylunaa" TargetMode="External"/><Relationship Id="rId2317" Type="http://schemas.openxmlformats.org/officeDocument/2006/relationships/hyperlink" Target="https://twitter.com/Verzaehler/status/723095568440918017" TargetMode="External"/><Relationship Id="rId5887" Type="http://schemas.openxmlformats.org/officeDocument/2006/relationships/hyperlink" Target="https://twitter.com/stand__sure" TargetMode="External"/><Relationship Id="rId22697" Type="http://schemas.openxmlformats.org/officeDocument/2006/relationships/hyperlink" Target="https://twitter.com/ReturnBuyer_CA" TargetMode="External"/><Relationship Id="rId8360" Type="http://schemas.openxmlformats.org/officeDocument/2006/relationships/hyperlink" Target="https://twitter.com/berlinwerbung/status/723384394031878144" TargetMode="External"/><Relationship Id="rId11341" Type="http://schemas.openxmlformats.org/officeDocument/2006/relationships/hyperlink" Target="https://twitter.com/christiansoeder" TargetMode="External"/><Relationship Id="rId25170" Type="http://schemas.openxmlformats.org/officeDocument/2006/relationships/hyperlink" Target="https://pbs.twimg.com/profile_images/472298206483607552/UogAMiRI_normal.png" TargetMode="External"/><Relationship Id="rId1400" Type="http://schemas.openxmlformats.org/officeDocument/2006/relationships/hyperlink" Target="https://twitter.com/EineZeitung" TargetMode="External"/><Relationship Id="rId4970" Type="http://schemas.openxmlformats.org/officeDocument/2006/relationships/hyperlink" Target="https://twitter.com/lessismoremike" TargetMode="External"/><Relationship Id="rId8013" Type="http://schemas.openxmlformats.org/officeDocument/2006/relationships/hyperlink" Target="https://pbs.twimg.com/profile_images/1312581562/FinanceTwitter_dotcom_50_50_normal.jpg" TargetMode="External"/><Relationship Id="rId14564" Type="http://schemas.openxmlformats.org/officeDocument/2006/relationships/hyperlink" Target="https://twitter.com/holminger/status/723575495992991747" TargetMode="External"/><Relationship Id="rId21780" Type="http://schemas.openxmlformats.org/officeDocument/2006/relationships/hyperlink" Target="https://pbs.twimg.com/profile_images/718835727027580928/1ssyQ67y_normal.jpg" TargetMode="External"/><Relationship Id="rId4623" Type="http://schemas.openxmlformats.org/officeDocument/2006/relationships/hyperlink" Target="https://twitter.com/nomkhita12" TargetMode="External"/><Relationship Id="rId14217" Type="http://schemas.openxmlformats.org/officeDocument/2006/relationships/hyperlink" Target="https://twitter.com/CounterCorp/status/723569393372786692" TargetMode="External"/><Relationship Id="rId21433" Type="http://schemas.openxmlformats.org/officeDocument/2006/relationships/hyperlink" Target="https://pbs.twimg.com/profile_images/669926917160771584/T397VDU-_normal.jpg" TargetMode="External"/><Relationship Id="rId493" Type="http://schemas.openxmlformats.org/officeDocument/2006/relationships/hyperlink" Target="https://pbs.twimg.com/profile_images/563054027936894978/MG_Z0sRE_normal.jpeg" TargetMode="External"/><Relationship Id="rId2174" Type="http://schemas.openxmlformats.org/officeDocument/2006/relationships/hyperlink" Target="https://twitter.com/TowleTompkins/status/723086064332591106" TargetMode="External"/><Relationship Id="rId17787" Type="http://schemas.openxmlformats.org/officeDocument/2006/relationships/hyperlink" Target="https://twitter.com/jayne_stackp/status/723822435271888896" TargetMode="External"/><Relationship Id="rId146" Type="http://schemas.openxmlformats.org/officeDocument/2006/relationships/hyperlink" Target="https://pbs.twimg.com/profile_images/424893967197433858/iQ86NktX_normal.jpeg" TargetMode="External"/><Relationship Id="rId5397" Type="http://schemas.openxmlformats.org/officeDocument/2006/relationships/hyperlink" Target="https://pbs.twimg.com/profile_images/2672821936/e7134a417b88d38141056e7babeb46eb_normal.png" TargetMode="External"/><Relationship Id="rId7846" Type="http://schemas.openxmlformats.org/officeDocument/2006/relationships/hyperlink" Target="https://twitter.com/clevelandwest" TargetMode="External"/><Relationship Id="rId10827" Type="http://schemas.openxmlformats.org/officeDocument/2006/relationships/hyperlink" Target="https://twitter.com/avariluna/status/723486326859939840" TargetMode="External"/><Relationship Id="rId24656" Type="http://schemas.openxmlformats.org/officeDocument/2006/relationships/hyperlink" Target="https://twitter.com/beetlebug1938/status/724382919825997824" TargetMode="External"/><Relationship Id="rId13300" Type="http://schemas.openxmlformats.org/officeDocument/2006/relationships/hyperlink" Target="https://pbs.twimg.com/profile_images/718820712757215233/LXXndPTS_normal.jpg" TargetMode="External"/><Relationship Id="rId16870" Type="http://schemas.openxmlformats.org/officeDocument/2006/relationships/hyperlink" Target="https://twitter.com/carloooove1000/status/723743726225367040" TargetMode="External"/><Relationship Id="rId24309" Type="http://schemas.openxmlformats.org/officeDocument/2006/relationships/hyperlink" Target="https://twitter.com/Insta_VWT/status/724346625594937344" TargetMode="External"/><Relationship Id="rId16523" Type="http://schemas.openxmlformats.org/officeDocument/2006/relationships/hyperlink" Target="https://pbs.twimg.com/profile_images/652871584131092480/QA_B6SBO_normal.jpg" TargetMode="External"/><Relationship Id="rId20919" Type="http://schemas.openxmlformats.org/officeDocument/2006/relationships/hyperlink" Target="https://twitter.com/hgvdriversdiary/status/724064145499369473" TargetMode="External"/><Relationship Id="rId4480" Type="http://schemas.openxmlformats.org/officeDocument/2006/relationships/hyperlink" Target="https://twitter.com/SexenioMX/status/723181770938535936" TargetMode="External"/><Relationship Id="rId14074" Type="http://schemas.openxmlformats.org/officeDocument/2006/relationships/hyperlink" Target="https://twitter.com/StohlmanAuto/status/723563311804080128" TargetMode="External"/><Relationship Id="rId19746" Type="http://schemas.openxmlformats.org/officeDocument/2006/relationships/hyperlink" Target="https://twitter.com/swanswaygroup" TargetMode="External"/><Relationship Id="rId21290" Type="http://schemas.openxmlformats.org/officeDocument/2006/relationships/hyperlink" Target="https://twitter.com/TranixConf" TargetMode="External"/><Relationship Id="rId4133" Type="http://schemas.openxmlformats.org/officeDocument/2006/relationships/hyperlink" Target="https://twitter.com/dwnews/status/723177083606802432" TargetMode="External"/><Relationship Id="rId9805" Type="http://schemas.openxmlformats.org/officeDocument/2006/relationships/hyperlink" Target="https://twitter.com/Shaznimohamed/status/723449878307737601" TargetMode="External"/><Relationship Id="rId17297" Type="http://schemas.openxmlformats.org/officeDocument/2006/relationships/hyperlink" Target="https://twitter.com/CastleCoastCamp/status/723787815423750144" TargetMode="External"/><Relationship Id="rId19" Type="http://schemas.openxmlformats.org/officeDocument/2006/relationships/hyperlink" Target="https://twitter.com/Duambyth" TargetMode="External"/><Relationship Id="rId7356" Type="http://schemas.openxmlformats.org/officeDocument/2006/relationships/hyperlink" Target="https://pbs.twimg.com/profile_images/653707832076832768/bC61HZBB_normal.jpg" TargetMode="External"/><Relationship Id="rId10337" Type="http://schemas.openxmlformats.org/officeDocument/2006/relationships/hyperlink" Target="https://twitter.com/tagesschau" TargetMode="External"/><Relationship Id="rId10684" Type="http://schemas.openxmlformats.org/officeDocument/2006/relationships/hyperlink" Target="https://pbs.twimg.com/profile_images/2811019625/854e59145fe44a1333afd6f8facf095d_normal.jpeg" TargetMode="External"/><Relationship Id="rId24166" Type="http://schemas.openxmlformats.org/officeDocument/2006/relationships/hyperlink" Target="https://pbs.twimg.com/profile_images/718820712757215233/LXXndPTS_normal.jpg" TargetMode="External"/><Relationship Id="rId7009" Type="http://schemas.openxmlformats.org/officeDocument/2006/relationships/hyperlink" Target="https://twitter.com/Insta_VWT" TargetMode="External"/><Relationship Id="rId3966" Type="http://schemas.openxmlformats.org/officeDocument/2006/relationships/hyperlink" Target="https://twitter.com/kirstein_sandra" TargetMode="External"/><Relationship Id="rId16380" Type="http://schemas.openxmlformats.org/officeDocument/2006/relationships/hyperlink" Target="https://pbs.twimg.com/profile_images/530071272881803264/a_jcCmPZ_normal.png" TargetMode="External"/><Relationship Id="rId20776" Type="http://schemas.openxmlformats.org/officeDocument/2006/relationships/hyperlink" Target="https://twitter.com/diiribas/status/724043317009350656" TargetMode="External"/><Relationship Id="rId3" Type="http://schemas.openxmlformats.org/officeDocument/2006/relationships/hyperlink" Target="https://pbs.twimg.com/profile_images/692464957263314945/xj5TwuM3_normal.jpg" TargetMode="External"/><Relationship Id="rId3619" Type="http://schemas.openxmlformats.org/officeDocument/2006/relationships/hyperlink" Target="https://pbs.twimg.com/profile_images/718820712757215233/LXXndPTS_normal.jpg" TargetMode="External"/><Relationship Id="rId12990" Type="http://schemas.openxmlformats.org/officeDocument/2006/relationships/hyperlink" Target="https://twitter.com/VeeDubMk1_" TargetMode="External"/><Relationship Id="rId16033" Type="http://schemas.openxmlformats.org/officeDocument/2006/relationships/hyperlink" Target="https://pbs.twimg.com/profile_images/716053257962041344/auGRVQke_normal.jpg" TargetMode="External"/><Relationship Id="rId20429" Type="http://schemas.openxmlformats.org/officeDocument/2006/relationships/hyperlink" Target="https://twitter.com/mk5_jetta/status/723997986414436356" TargetMode="External"/><Relationship Id="rId23999" Type="http://schemas.openxmlformats.org/officeDocument/2006/relationships/hyperlink" Target="https://pbs.twimg.com/profile_images/621995740177379328/YJAQstq5_normal.jpg" TargetMode="External"/><Relationship Id="rId9662" Type="http://schemas.openxmlformats.org/officeDocument/2006/relationships/hyperlink" Target="https://pbs.twimg.com/profile_images/708323870512533506/MCmjP2UD_normal.jpg" TargetMode="External"/><Relationship Id="rId12643" Type="http://schemas.openxmlformats.org/officeDocument/2006/relationships/hyperlink" Target="https://pbs.twimg.com/profile_images/630378503/AchilleNos_normal.jpg" TargetMode="External"/><Relationship Id="rId19256" Type="http://schemas.openxmlformats.org/officeDocument/2006/relationships/hyperlink" Target="https://pbs.twimg.com/profile_images/575845956521844736/NfPxpwnE_normal.jpeg" TargetMode="External"/><Relationship Id="rId2702" Type="http://schemas.openxmlformats.org/officeDocument/2006/relationships/hyperlink" Target="https://twitter.com/marinasegura23" TargetMode="External"/><Relationship Id="rId9315" Type="http://schemas.openxmlformats.org/officeDocument/2006/relationships/hyperlink" Target="https://twitter.com/techhippie" TargetMode="External"/><Relationship Id="rId10194" Type="http://schemas.openxmlformats.org/officeDocument/2006/relationships/hyperlink" Target="https://pbs.twimg.com/profile_images/547749809780957184/eji9I1F7_normal.jpeg" TargetMode="External"/><Relationship Id="rId15866" Type="http://schemas.openxmlformats.org/officeDocument/2006/relationships/hyperlink" Target="https://twitter.com/Madenza_/status/723634134640410625" TargetMode="External"/><Relationship Id="rId3476" Type="http://schemas.openxmlformats.org/officeDocument/2006/relationships/hyperlink" Target="https://pbs.twimg.com/profile_images/613491176654553088/Bi2iPURR_normal.jpg" TargetMode="External"/><Relationship Id="rId5925" Type="http://schemas.openxmlformats.org/officeDocument/2006/relationships/hyperlink" Target="https://pbs.twimg.com/profile_images/717786348711763968/bkgd0J-g_normal.jpg" TargetMode="External"/><Relationship Id="rId15519" Type="http://schemas.openxmlformats.org/officeDocument/2006/relationships/hyperlink" Target="https://twitter.com/MorSvinka_83" TargetMode="External"/><Relationship Id="rId20286" Type="http://schemas.openxmlformats.org/officeDocument/2006/relationships/hyperlink" Target="https://twitter.com/thecoffeebus/status/723987669986906112" TargetMode="External"/><Relationship Id="rId22735" Type="http://schemas.openxmlformats.org/officeDocument/2006/relationships/hyperlink" Target="https://twitter.com/chrisrealeg7" TargetMode="External"/><Relationship Id="rId3129" Type="http://schemas.openxmlformats.org/officeDocument/2006/relationships/hyperlink" Target="https://twitter.com/zbunny01" TargetMode="External"/><Relationship Id="rId6699" Type="http://schemas.openxmlformats.org/officeDocument/2006/relationships/hyperlink" Target="https://twitter.com/ausrutherford/status/723253585530654720" TargetMode="External"/><Relationship Id="rId9172" Type="http://schemas.openxmlformats.org/officeDocument/2006/relationships/hyperlink" Target="https://twitter.com/vzbv/status/723423180199612416" TargetMode="External"/><Relationship Id="rId14602" Type="http://schemas.openxmlformats.org/officeDocument/2006/relationships/hyperlink" Target="https://twitter.com/c6rainer/status/723576587392790528" TargetMode="External"/><Relationship Id="rId12153" Type="http://schemas.openxmlformats.org/officeDocument/2006/relationships/hyperlink" Target="https://twitter.com/studdershock" TargetMode="External"/><Relationship Id="rId17825" Type="http://schemas.openxmlformats.org/officeDocument/2006/relationships/hyperlink" Target="https://twitter.com/JClaesz" TargetMode="External"/><Relationship Id="rId531" Type="http://schemas.openxmlformats.org/officeDocument/2006/relationships/hyperlink" Target="https://twitter.com/brlsbakehouse" TargetMode="External"/><Relationship Id="rId2212" Type="http://schemas.openxmlformats.org/officeDocument/2006/relationships/hyperlink" Target="https://pbs.twimg.com/profile_images/702511217793863680/lty8h9vE_normal.jpg" TargetMode="External"/><Relationship Id="rId5782" Type="http://schemas.openxmlformats.org/officeDocument/2006/relationships/hyperlink" Target="http://wordpress.com/" TargetMode="External"/><Relationship Id="rId15376" Type="http://schemas.openxmlformats.org/officeDocument/2006/relationships/hyperlink" Target="https://twitter.com/vwbusman72/status/723605533144526851" TargetMode="External"/><Relationship Id="rId22592" Type="http://schemas.openxmlformats.org/officeDocument/2006/relationships/hyperlink" Target="https://twitter.com/VWCamperSales" TargetMode="External"/><Relationship Id="rId5435" Type="http://schemas.openxmlformats.org/officeDocument/2006/relationships/hyperlink" Target="https://twitter.com/KneecapMedia/status/723203150287499264" TargetMode="External"/><Relationship Id="rId15029" Type="http://schemas.openxmlformats.org/officeDocument/2006/relationships/hyperlink" Target="https://twitter.com/GarionCoyote" TargetMode="External"/><Relationship Id="rId18599" Type="http://schemas.openxmlformats.org/officeDocument/2006/relationships/hyperlink" Target="https://twitter.com/VolkswagenPost/status/723882721458556931" TargetMode="External"/><Relationship Id="rId22245" Type="http://schemas.openxmlformats.org/officeDocument/2006/relationships/hyperlink" Target="https://twitter.com/plenum_vf/status/724211204709867520" TargetMode="External"/><Relationship Id="rId8658" Type="http://schemas.openxmlformats.org/officeDocument/2006/relationships/hyperlink" Target="https://twitter.com/elenagergen/status/723400747098869760" TargetMode="External"/><Relationship Id="rId11986" Type="http://schemas.openxmlformats.org/officeDocument/2006/relationships/hyperlink" Target="https://twitter.com/euro_thread" TargetMode="External"/><Relationship Id="rId25468" Type="http://schemas.openxmlformats.org/officeDocument/2006/relationships/hyperlink" Target="https://twitter.com/ausrutherford" TargetMode="External"/><Relationship Id="rId11639" Type="http://schemas.openxmlformats.org/officeDocument/2006/relationships/hyperlink" Target="https://twitter.com/JAdeJong12" TargetMode="External"/><Relationship Id="rId14112" Type="http://schemas.openxmlformats.org/officeDocument/2006/relationships/hyperlink" Target="https://twitter.com/OnlineCarReview" TargetMode="External"/><Relationship Id="rId17682" Type="http://schemas.openxmlformats.org/officeDocument/2006/relationships/hyperlink" Target="https://twitter.com/FensomesUK" TargetMode="External"/><Relationship Id="rId7741" Type="http://schemas.openxmlformats.org/officeDocument/2006/relationships/hyperlink" Target="https://pbs.twimg.com/profile_images/719903037066780672/sRAf3MrU_normal.jpg" TargetMode="External"/><Relationship Id="rId10722" Type="http://schemas.openxmlformats.org/officeDocument/2006/relationships/hyperlink" Target="https://twitter.com/amsonline/status/723481809531465731" TargetMode="External"/><Relationship Id="rId17335" Type="http://schemas.openxmlformats.org/officeDocument/2006/relationships/hyperlink" Target="https://twitter.com/VWCamperSales" TargetMode="External"/><Relationship Id="rId24551" Type="http://schemas.openxmlformats.org/officeDocument/2006/relationships/hyperlink" Target="https://pbs.twimg.com/profile_images/378800000831377746/fe01a6e29b89375295455e2af7055554_normal.jpeg" TargetMode="External"/><Relationship Id="rId5292" Type="http://schemas.openxmlformats.org/officeDocument/2006/relationships/hyperlink" Target="https://twitter.com/sparzhick" TargetMode="External"/><Relationship Id="rId24204" Type="http://schemas.openxmlformats.org/officeDocument/2006/relationships/hyperlink" Target="https://twitter.com/FuscaWorld" TargetMode="External"/><Relationship Id="rId11496" Type="http://schemas.openxmlformats.org/officeDocument/2006/relationships/hyperlink" Target="https://pbs.twimg.com/profile_images/684202795281481729/WRS25SOm_normal.jpg" TargetMode="External"/><Relationship Id="rId13945" Type="http://schemas.openxmlformats.org/officeDocument/2006/relationships/hyperlink" Target="https://twitter.com/zuputu/status/723559440461533184" TargetMode="External"/><Relationship Id="rId1555" Type="http://schemas.openxmlformats.org/officeDocument/2006/relationships/hyperlink" Target="https://pbs.twimg.com/profile_images/662335141537280001/ZH4b_Zba_normal.png" TargetMode="External"/><Relationship Id="rId8168" Type="http://schemas.openxmlformats.org/officeDocument/2006/relationships/hyperlink" Target="https://pbs.twimg.com/profile_images/778573929/_MG_2143_normal.jpg" TargetMode="External"/><Relationship Id="rId11149" Type="http://schemas.openxmlformats.org/officeDocument/2006/relationships/hyperlink" Target="https://pbs.twimg.com/profile_images/657853466384191488/J6vAnfZr_normal.jpg" TargetMode="External"/><Relationship Id="rId20814" Type="http://schemas.openxmlformats.org/officeDocument/2006/relationships/hyperlink" Target="https://pbs.twimg.com/profile_images/717609619967909889/4OLgkFBY_normal.jpg" TargetMode="External"/><Relationship Id="rId1208" Type="http://schemas.openxmlformats.org/officeDocument/2006/relationships/hyperlink" Target="https://twitter.com/WynfordE" TargetMode="External"/><Relationship Id="rId19641" Type="http://schemas.openxmlformats.org/officeDocument/2006/relationships/hyperlink" Target="https://pbs.twimg.com/profile_images/653637535545995264/gHuXQ5Bt_normal.jpg" TargetMode="External"/><Relationship Id="rId4778" Type="http://schemas.openxmlformats.org/officeDocument/2006/relationships/hyperlink" Target="https://twitter.com/chapmanphilly/status/723187375862636544" TargetMode="External"/><Relationship Id="rId7251" Type="http://schemas.openxmlformats.org/officeDocument/2006/relationships/hyperlink" Target="https://twitter.com/VWBeetleSales/status/723290235044401152" TargetMode="External"/><Relationship Id="rId9700" Type="http://schemas.openxmlformats.org/officeDocument/2006/relationships/hyperlink" Target="https://pbs.twimg.com/profile_images/702511217793863680/lty8h9vE_normal.jpg" TargetMode="External"/><Relationship Id="rId17192" Type="http://schemas.openxmlformats.org/officeDocument/2006/relationships/hyperlink" Target="https://twitter.com/VWBeetleSales/status/723778453665771520" TargetMode="External"/><Relationship Id="rId21588" Type="http://schemas.openxmlformats.org/officeDocument/2006/relationships/hyperlink" Target="https://pbs.twimg.com/profile_images/717457798070722564/CHXL03jt_normal.jpg" TargetMode="External"/><Relationship Id="rId10232" Type="http://schemas.openxmlformats.org/officeDocument/2006/relationships/hyperlink" Target="https://twitter.com/ZDFhannover" TargetMode="External"/><Relationship Id="rId15904" Type="http://schemas.openxmlformats.org/officeDocument/2006/relationships/hyperlink" Target="https://pbs.twimg.com/profile_images/719254757362282496/dN3ldQhB_normal.jpg" TargetMode="External"/><Relationship Id="rId24061" Type="http://schemas.openxmlformats.org/officeDocument/2006/relationships/hyperlink" Target="https://pbs.twimg.com/profile_images/724234252292894720/sGzStXgw_normal.jpg" TargetMode="External"/><Relationship Id="rId3861" Type="http://schemas.openxmlformats.org/officeDocument/2006/relationships/hyperlink" Target="https://twitter.com/franz_rother" TargetMode="External"/><Relationship Id="rId13455" Type="http://schemas.openxmlformats.org/officeDocument/2006/relationships/hyperlink" Target="https://pbs.twimg.com/profile_images/672878354127839232/M7OYc-zx_normal.jpg" TargetMode="External"/><Relationship Id="rId20671" Type="http://schemas.openxmlformats.org/officeDocument/2006/relationships/hyperlink" Target="https://pbs.twimg.com/profile_images/723703082102587392/FUo06oia_normal.jpg" TargetMode="External"/><Relationship Id="rId3514" Type="http://schemas.openxmlformats.org/officeDocument/2006/relationships/hyperlink" Target="https://twitter.com/TurboBlankets/status/723161463355908096" TargetMode="External"/><Relationship Id="rId13108" Type="http://schemas.openxmlformats.org/officeDocument/2006/relationships/hyperlink" Target="https://twitter.com/ElizaRules" TargetMode="External"/><Relationship Id="rId16678" Type="http://schemas.openxmlformats.org/officeDocument/2006/relationships/hyperlink" Target="https://pbs.twimg.com/profile_images/638327600486719488/Z-1qM3qs_normal.jpg" TargetMode="External"/><Relationship Id="rId20324" Type="http://schemas.openxmlformats.org/officeDocument/2006/relationships/hyperlink" Target="https://twitter.com/PTPTM0" TargetMode="External"/><Relationship Id="rId23894" Type="http://schemas.openxmlformats.org/officeDocument/2006/relationships/hyperlink" Target="https://twitter.com/VWCamperSales/status/724319893479280640" TargetMode="External"/><Relationship Id="rId1065" Type="http://schemas.openxmlformats.org/officeDocument/2006/relationships/hyperlink" Target="https://twitter.com/enCARtorTanay" TargetMode="External"/><Relationship Id="rId6737" Type="http://schemas.openxmlformats.org/officeDocument/2006/relationships/hyperlink" Target="https://twitter.com/ObliviousMoron/status/723255720850927616" TargetMode="External"/><Relationship Id="rId19151" Type="http://schemas.openxmlformats.org/officeDocument/2006/relationships/hyperlink" Target="https://pbs.twimg.com/profile_images/722148212153430017/NaDKflSD_normal.jpg" TargetMode="External"/><Relationship Id="rId23547" Type="http://schemas.openxmlformats.org/officeDocument/2006/relationships/hyperlink" Target="https://twitter.com/bingo_patb/status/724296601389289472" TargetMode="External"/><Relationship Id="rId4288" Type="http://schemas.openxmlformats.org/officeDocument/2006/relationships/hyperlink" Target="http://t.co/0aZZqcORSc" TargetMode="External"/><Relationship Id="rId9210" Type="http://schemas.openxmlformats.org/officeDocument/2006/relationships/hyperlink" Target="https://twitter.com/PorscheOfficApp" TargetMode="External"/><Relationship Id="rId21098" Type="http://schemas.openxmlformats.org/officeDocument/2006/relationships/hyperlink" Target="https://twitter.com/Joakyla4" TargetMode="External"/><Relationship Id="rId15761" Type="http://schemas.openxmlformats.org/officeDocument/2006/relationships/hyperlink" Target="https://twitter.com/wingston/status/723623437420261376" TargetMode="External"/><Relationship Id="rId5820" Type="http://schemas.openxmlformats.org/officeDocument/2006/relationships/hyperlink" Target="https://twitter.com/essing_h" TargetMode="External"/><Relationship Id="rId15414" Type="http://schemas.openxmlformats.org/officeDocument/2006/relationships/hyperlink" Target="https://pbs.twimg.com/profile_images/3378184537/c20ae9a7a410821b4f189c34a63380f7_normal.png" TargetMode="External"/><Relationship Id="rId18984" Type="http://schemas.openxmlformats.org/officeDocument/2006/relationships/hyperlink" Target="https://pbs.twimg.com/profile_images/613820119349903360/ujZriYrP_normal.jpg" TargetMode="External"/><Relationship Id="rId22630" Type="http://schemas.openxmlformats.org/officeDocument/2006/relationships/hyperlink" Target="https://twitter.com/VWCamperSales/status/724235840734400512" TargetMode="External"/><Relationship Id="rId3371" Type="http://schemas.openxmlformats.org/officeDocument/2006/relationships/hyperlink" Target="https://twitter.com/seunthorpe" TargetMode="External"/><Relationship Id="rId18637" Type="http://schemas.openxmlformats.org/officeDocument/2006/relationships/hyperlink" Target="https://twitter.com/wintonsauto/status/723886429936476160" TargetMode="External"/><Relationship Id="rId20181" Type="http://schemas.openxmlformats.org/officeDocument/2006/relationships/hyperlink" Target="https://pbs.twimg.com/profile_images/718813549254938625/xaXyb8Wb_normal.jpg" TargetMode="External"/><Relationship Id="rId3024" Type="http://schemas.openxmlformats.org/officeDocument/2006/relationships/hyperlink" Target="https://twitter.com/Stony_BS" TargetMode="External"/><Relationship Id="rId6594" Type="http://schemas.openxmlformats.org/officeDocument/2006/relationships/hyperlink" Target="https://twitter.com/GiroGisela" TargetMode="External"/><Relationship Id="rId16188" Type="http://schemas.openxmlformats.org/officeDocument/2006/relationships/hyperlink" Target="https://twitter.com/MDRINFO" TargetMode="External"/><Relationship Id="rId25506" Type="http://schemas.openxmlformats.org/officeDocument/2006/relationships/hyperlink" Target="https://pbs.twimg.com/profile_images/378800000572104796/1de43e1cf23efb3f4101c02afad0d3b6_normal.png" TargetMode="External"/><Relationship Id="rId6247" Type="http://schemas.openxmlformats.org/officeDocument/2006/relationships/hyperlink" Target="https://twitter.com/VolkswagenPost/status/723236566953525248" TargetMode="External"/><Relationship Id="rId23057" Type="http://schemas.openxmlformats.org/officeDocument/2006/relationships/hyperlink" Target="https://twitter.com/SeniorOnline/status/724267161745809408" TargetMode="External"/><Relationship Id="rId12798" Type="http://schemas.openxmlformats.org/officeDocument/2006/relationships/hyperlink" Target="https://pbs.twimg.com/profile_images/548011411176046593/gmgzzVtU_normal.jpeg" TargetMode="External"/><Relationship Id="rId17720" Type="http://schemas.openxmlformats.org/officeDocument/2006/relationships/hyperlink" Target="https://pbs.twimg.com/profile_images/530071272881803264/a_jcCmPZ_normal.png" TargetMode="External"/><Relationship Id="rId2857" Type="http://schemas.openxmlformats.org/officeDocument/2006/relationships/hyperlink" Target="https://twitter.com/VWCamperSales/status/723122243912372226" TargetMode="External"/><Relationship Id="rId5330" Type="http://schemas.openxmlformats.org/officeDocument/2006/relationships/hyperlink" Target="https://pbs.twimg.com/profile_images/1708557159/Pic_normal.jpg" TargetMode="External"/><Relationship Id="rId15271" Type="http://schemas.openxmlformats.org/officeDocument/2006/relationships/hyperlink" Target="https://twitter.com/Ernst1953Do" TargetMode="External"/><Relationship Id="rId829" Type="http://schemas.openxmlformats.org/officeDocument/2006/relationships/hyperlink" Target="https://twitter.com/VolkswagenPost/status/722990416384000002" TargetMode="External"/><Relationship Id="rId11881" Type="http://schemas.openxmlformats.org/officeDocument/2006/relationships/hyperlink" Target="https://pbs.twimg.com/profile_images/1795205245/DSC04821_normal.jpg" TargetMode="External"/><Relationship Id="rId18494" Type="http://schemas.openxmlformats.org/officeDocument/2006/relationships/hyperlink" Target="https://pbs.twimg.com/profile_images/552037189328982016/r65JRGTS_normal.jpeg" TargetMode="External"/><Relationship Id="rId22140" Type="http://schemas.openxmlformats.org/officeDocument/2006/relationships/hyperlink" Target="https://twitter.com/nicolasnanchen1/status/724202968908718081" TargetMode="External"/><Relationship Id="rId1940" Type="http://schemas.openxmlformats.org/officeDocument/2006/relationships/hyperlink" Target="http://faz.net/" TargetMode="External"/><Relationship Id="rId8553" Type="http://schemas.openxmlformats.org/officeDocument/2006/relationships/hyperlink" Target="https://pbs.twimg.com/profile_images/378800000566378572/084cb3103fd97db6ea2fcb90b2ea5dc7_normal.jpeg" TargetMode="External"/><Relationship Id="rId11534" Type="http://schemas.openxmlformats.org/officeDocument/2006/relationships/hyperlink" Target="https://twitter.com/zeitonline_wir/status/723503232652316672" TargetMode="External"/><Relationship Id="rId18147" Type="http://schemas.openxmlformats.org/officeDocument/2006/relationships/hyperlink" Target="https://twitter.com/Marina_Ilona" TargetMode="External"/><Relationship Id="rId25363" Type="http://schemas.openxmlformats.org/officeDocument/2006/relationships/hyperlink" Target="https://twitter.com/VolkswagenPost/status/724432735503179776" TargetMode="External"/><Relationship Id="rId8206" Type="http://schemas.openxmlformats.org/officeDocument/2006/relationships/hyperlink" Target="https://twitter.com/tagesschau" TargetMode="External"/><Relationship Id="rId14757" Type="http://schemas.openxmlformats.org/officeDocument/2006/relationships/hyperlink" Target="https://pbs.twimg.com/profile_images/637652033793851392/sK5pDpLB_normal.png" TargetMode="External"/><Relationship Id="rId25016" Type="http://schemas.openxmlformats.org/officeDocument/2006/relationships/hyperlink" Target="https://twitter.com/bertinosr/status/724409416531873792" TargetMode="External"/><Relationship Id="rId4816" Type="http://schemas.openxmlformats.org/officeDocument/2006/relationships/hyperlink" Target="https://twitter.com/zeitonline" TargetMode="External"/><Relationship Id="rId17230" Type="http://schemas.openxmlformats.org/officeDocument/2006/relationships/hyperlink" Target="https://pbs.twimg.com/profile_images/927868107/Twitter_Foto_Amit01a_normal.jpg" TargetMode="External"/><Relationship Id="rId21626" Type="http://schemas.openxmlformats.org/officeDocument/2006/relationships/hyperlink" Target="https://twitter.com/dubbusses" TargetMode="External"/><Relationship Id="rId21973" Type="http://schemas.openxmlformats.org/officeDocument/2006/relationships/hyperlink" Target="https://twitter.com/mertbekci/status/724192272078635008" TargetMode="External"/><Relationship Id="rId686" Type="http://schemas.openxmlformats.org/officeDocument/2006/relationships/hyperlink" Target="https://pbs.twimg.com/profile_images/594572458465693696/zQRqAxeS_normal.jpg" TargetMode="External"/><Relationship Id="rId2367" Type="http://schemas.openxmlformats.org/officeDocument/2006/relationships/hyperlink" Target="https://twitter.com/treibholzfilm" TargetMode="External"/><Relationship Id="rId339" Type="http://schemas.openxmlformats.org/officeDocument/2006/relationships/hyperlink" Target="https://twitter.com/MavrickHnter/status/722948262773305348" TargetMode="External"/><Relationship Id="rId13840" Type="http://schemas.openxmlformats.org/officeDocument/2006/relationships/hyperlink" Target="https://twitter.com/panicswitch777/status/723557262199943168" TargetMode="External"/><Relationship Id="rId24849" Type="http://schemas.openxmlformats.org/officeDocument/2006/relationships/hyperlink" Target="https://twitter.com/alizaki94/status/724391997193199616" TargetMode="External"/><Relationship Id="rId8063" Type="http://schemas.openxmlformats.org/officeDocument/2006/relationships/hyperlink" Target="https://twitter.com/Rodrigocana" TargetMode="External"/><Relationship Id="rId11391" Type="http://schemas.openxmlformats.org/officeDocument/2006/relationships/hyperlink" Target="https://pbs.twimg.com/profile_images/474509889616633857/lbaEbBr8_normal.jpeg" TargetMode="External"/><Relationship Id="rId1450" Type="http://schemas.openxmlformats.org/officeDocument/2006/relationships/hyperlink" Target="https://pbs.twimg.com/profile_images/540037751416971264/FUsmNZrb_normal.jpeg" TargetMode="External"/><Relationship Id="rId11044" Type="http://schemas.openxmlformats.org/officeDocument/2006/relationships/hyperlink" Target="https://twitter.com/FrVision" TargetMode="External"/><Relationship Id="rId16716" Type="http://schemas.openxmlformats.org/officeDocument/2006/relationships/hyperlink" Target="https://twitter.com/dcmotoring" TargetMode="External"/><Relationship Id="rId23932" Type="http://schemas.openxmlformats.org/officeDocument/2006/relationships/hyperlink" Target="https://pbs.twimg.com/profile_images/718820712757215233/LXXndPTS_normal.jpg" TargetMode="External"/><Relationship Id="rId1103" Type="http://schemas.openxmlformats.org/officeDocument/2006/relationships/hyperlink" Target="https://twitter.com/Fumblkrusch" TargetMode="External"/><Relationship Id="rId4673" Type="http://schemas.openxmlformats.org/officeDocument/2006/relationships/hyperlink" Target="https://twitter.com/GrahameLucas" TargetMode="External"/><Relationship Id="rId14267" Type="http://schemas.openxmlformats.org/officeDocument/2006/relationships/hyperlink" Target="https://twitter.com/tomwookieford/status/723571135565025281" TargetMode="External"/><Relationship Id="rId21483" Type="http://schemas.openxmlformats.org/officeDocument/2006/relationships/hyperlink" Target="https://twitter.com/Scirocco_Tuning/status/724152087228108800" TargetMode="External"/><Relationship Id="rId4326" Type="http://schemas.openxmlformats.org/officeDocument/2006/relationships/hyperlink" Target="https://twitter.com/WashAutoPress/status/723179357833969664" TargetMode="External"/><Relationship Id="rId7896" Type="http://schemas.openxmlformats.org/officeDocument/2006/relationships/hyperlink" Target="https://twitter.com/skakurega/status/723338834742636546" TargetMode="External"/><Relationship Id="rId19939" Type="http://schemas.openxmlformats.org/officeDocument/2006/relationships/hyperlink" Target="https://twitter.com/VWsightings" TargetMode="External"/><Relationship Id="rId21136" Type="http://schemas.openxmlformats.org/officeDocument/2006/relationships/hyperlink" Target="https://pbs.twimg.com/profile_images/638451782239264768/dKSDM3sD_normal.jpg" TargetMode="External"/><Relationship Id="rId196" Type="http://schemas.openxmlformats.org/officeDocument/2006/relationships/hyperlink" Target="https://twitter.com/Ersoy_50" TargetMode="External"/><Relationship Id="rId7549" Type="http://schemas.openxmlformats.org/officeDocument/2006/relationships/hyperlink" Target="https://twitter.com/Orne_Dalfonso/status/723310110064300033" TargetMode="External"/><Relationship Id="rId10877" Type="http://schemas.openxmlformats.org/officeDocument/2006/relationships/hyperlink" Target="https://pbs.twimg.com/profile_images/378800000505768436/b3aa9c71fd8ab9d43b6048fa60eeec23_normal.jpeg" TargetMode="External"/><Relationship Id="rId24359" Type="http://schemas.openxmlformats.org/officeDocument/2006/relationships/hyperlink" Target="https://twitter.com/herbie53rides" TargetMode="External"/><Relationship Id="rId13350" Type="http://schemas.openxmlformats.org/officeDocument/2006/relationships/hyperlink" Target="https://twitter.com/aktuelle_stunde/status/723544464392916992" TargetMode="External"/><Relationship Id="rId13003" Type="http://schemas.openxmlformats.org/officeDocument/2006/relationships/hyperlink" Target="https://pbs.twimg.com/profile_images/614230691044265984/Wocs5ZQz_normal.jpg" TargetMode="External"/><Relationship Id="rId16573" Type="http://schemas.openxmlformats.org/officeDocument/2006/relationships/hyperlink" Target="https://twitter.com/TetsuoHojo" TargetMode="External"/><Relationship Id="rId20969" Type="http://schemas.openxmlformats.org/officeDocument/2006/relationships/hyperlink" Target="https://pbs.twimg.com/profile_images/703294545195307008/qeCvrX86_normal.jpg" TargetMode="External"/><Relationship Id="rId4183" Type="http://schemas.openxmlformats.org/officeDocument/2006/relationships/hyperlink" Target="https://twitter.com/BungerKCBS/status/723177717399609347" TargetMode="External"/><Relationship Id="rId6632" Type="http://schemas.openxmlformats.org/officeDocument/2006/relationships/hyperlink" Target="https://twitter.com/yeahjackdaniels" TargetMode="External"/><Relationship Id="rId16226" Type="http://schemas.openxmlformats.org/officeDocument/2006/relationships/hyperlink" Target="https://twitter.com/feerquiroga710" TargetMode="External"/><Relationship Id="rId19796" Type="http://schemas.openxmlformats.org/officeDocument/2006/relationships/hyperlink" Target="https://twitter.com/AutoExpress/status/723957875815538689" TargetMode="External"/><Relationship Id="rId23442" Type="http://schemas.openxmlformats.org/officeDocument/2006/relationships/hyperlink" Target="https://twitter.com/a_cologne/status/724289510893301760" TargetMode="External"/><Relationship Id="rId9855" Type="http://schemas.openxmlformats.org/officeDocument/2006/relationships/hyperlink" Target="https://twitter.com/Stahlhammer" TargetMode="External"/><Relationship Id="rId12836" Type="http://schemas.openxmlformats.org/officeDocument/2006/relationships/hyperlink" Target="https://twitter.com/elitaw" TargetMode="External"/><Relationship Id="rId19449" Type="http://schemas.openxmlformats.org/officeDocument/2006/relationships/hyperlink" Target="https://twitter.com/ev_charging_" TargetMode="External"/><Relationship Id="rId69" Type="http://schemas.openxmlformats.org/officeDocument/2006/relationships/hyperlink" Target="https://pbs.twimg.com/profile_images/437383806853468160/wGuL_DMN_normal.jpeg" TargetMode="External"/><Relationship Id="rId9508" Type="http://schemas.openxmlformats.org/officeDocument/2006/relationships/hyperlink" Target="https://twitter.com/uk_barn_finds" TargetMode="External"/><Relationship Id="rId10387" Type="http://schemas.openxmlformats.org/officeDocument/2006/relationships/hyperlink" Target="https://twitter.com/Mat_Struwe/status/723471606568374272" TargetMode="External"/><Relationship Id="rId7059" Type="http://schemas.openxmlformats.org/officeDocument/2006/relationships/hyperlink" Target="https://twitter.com/tatymontespr/status/7232764005688524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E3B3-DA8B-471E-810B-35C22FB5A227}">
  <dimension ref="A1:P9325"/>
  <sheetViews>
    <sheetView tabSelected="1" workbookViewId="0">
      <pane ySplit="2" topLeftCell="A3" activePane="bottomLeft" state="frozen"/>
      <selection pane="bottomLeft" activeCell="D3" sqref="D3"/>
    </sheetView>
  </sheetViews>
  <sheetFormatPr baseColWidth="10" defaultColWidth="14.3984375" defaultRowHeight="15.75" customHeight="1" x14ac:dyDescent="0.35"/>
  <cols>
    <col min="1" max="1" width="15.265625" customWidth="1"/>
    <col min="3" max="3" width="16.265625" customWidth="1"/>
    <col min="4" max="4" width="38.3984375" customWidth="1"/>
    <col min="5" max="5" width="17.73046875" customWidth="1"/>
    <col min="6" max="6" width="16.1328125" customWidth="1"/>
    <col min="7" max="12" width="11.1328125" customWidth="1"/>
    <col min="14" max="14" width="18.86328125" customWidth="1"/>
    <col min="15" max="16" width="12" customWidth="1"/>
  </cols>
  <sheetData>
    <row r="1" spans="1:16" ht="25.5" customHeight="1" x14ac:dyDescent="0.35">
      <c r="A1" s="1" t="s">
        <v>0</v>
      </c>
      <c r="B1" s="2"/>
      <c r="C1" s="2"/>
      <c r="D1" s="2"/>
      <c r="E1" s="2"/>
      <c r="F1" s="2"/>
      <c r="G1" s="3" t="s">
        <v>1</v>
      </c>
      <c r="H1" s="2"/>
      <c r="I1" s="2"/>
      <c r="J1" s="2"/>
      <c r="K1" s="2"/>
      <c r="L1" s="2"/>
      <c r="M1" s="2"/>
      <c r="N1" s="2"/>
      <c r="O1" s="2"/>
      <c r="P1" s="4"/>
    </row>
    <row r="2" spans="1:16" ht="29.25" customHeight="1" x14ac:dyDescent="0.35">
      <c r="A2" s="5" t="s">
        <v>2</v>
      </c>
      <c r="B2" s="6" t="s">
        <v>3</v>
      </c>
      <c r="C2" s="6" t="s">
        <v>4</v>
      </c>
      <c r="D2" s="6" t="s">
        <v>5</v>
      </c>
      <c r="E2" s="6" t="s">
        <v>6</v>
      </c>
      <c r="F2" s="6" t="s">
        <v>7</v>
      </c>
      <c r="G2" s="6" t="s">
        <v>8</v>
      </c>
      <c r="H2" s="6" t="s">
        <v>9</v>
      </c>
      <c r="I2" s="6" t="s">
        <v>10</v>
      </c>
      <c r="J2" s="6" t="s">
        <v>11</v>
      </c>
      <c r="K2" s="6" t="s">
        <v>12</v>
      </c>
      <c r="L2" s="6" t="s">
        <v>13</v>
      </c>
      <c r="M2" s="6" t="s">
        <v>14</v>
      </c>
      <c r="N2" s="6" t="s">
        <v>15</v>
      </c>
      <c r="O2" s="6" t="s">
        <v>16</v>
      </c>
      <c r="P2" s="6" t="s">
        <v>17</v>
      </c>
    </row>
    <row r="3" spans="1:16" ht="12.75" x14ac:dyDescent="0.35">
      <c r="A3" s="7">
        <v>42481.172500000001</v>
      </c>
      <c r="B3" s="8" t="str">
        <f>HYPERLINK("https://twitter.com/dont_blink1","@dont_blink1")</f>
        <v>@dont_blink1</v>
      </c>
      <c r="C3" s="9" t="s">
        <v>18</v>
      </c>
      <c r="D3" s="9" t="s">
        <v>19</v>
      </c>
      <c r="E3" s="10" t="str">
        <f>HYPERLINK("https://twitter.com/dont_blink1/status/722917360798027776","722917360798027776")</f>
        <v>722917360798027776</v>
      </c>
      <c r="F3" s="11" t="s">
        <v>20</v>
      </c>
      <c r="G3" s="11">
        <v>245</v>
      </c>
      <c r="H3" s="11">
        <v>109</v>
      </c>
      <c r="I3" s="11">
        <v>4</v>
      </c>
      <c r="J3" s="11">
        <v>0</v>
      </c>
      <c r="K3" s="11" t="s">
        <v>21</v>
      </c>
      <c r="L3" s="7">
        <v>41010.303530092591</v>
      </c>
      <c r="M3" s="12" t="s">
        <v>22</v>
      </c>
      <c r="N3" s="12" t="s">
        <v>23</v>
      </c>
      <c r="O3" s="10" t="str">
        <f>HYPERLINK("https://pbs.twimg.com/profile_images/692464957263314945/xj5TwuM3_normal.jpg","View")</f>
        <v>View</v>
      </c>
      <c r="P3" s="11"/>
    </row>
    <row r="4" spans="1:16" ht="12.75" x14ac:dyDescent="0.35">
      <c r="A4" s="7">
        <v>42481.172777777778</v>
      </c>
      <c r="B4" s="8" t="str">
        <f>HYPERLINK("https://twitter.com/Incognino_","@Incognino_")</f>
        <v>@Incognino_</v>
      </c>
      <c r="C4" s="9" t="s">
        <v>24</v>
      </c>
      <c r="D4" s="9" t="s">
        <v>25</v>
      </c>
      <c r="E4" s="10" t="str">
        <f>HYPERLINK("https://twitter.com/Incognino_/status/722917462380003328","722917462380003328")</f>
        <v>722917462380003328</v>
      </c>
      <c r="F4" s="11" t="s">
        <v>20</v>
      </c>
      <c r="G4" s="11">
        <v>105</v>
      </c>
      <c r="H4" s="11">
        <v>90</v>
      </c>
      <c r="I4" s="11">
        <v>95</v>
      </c>
      <c r="J4" s="11">
        <v>0</v>
      </c>
      <c r="K4" s="11" t="s">
        <v>21</v>
      </c>
      <c r="L4" s="7">
        <v>41202.344351851854</v>
      </c>
      <c r="M4" s="12" t="s">
        <v>26</v>
      </c>
      <c r="N4" s="12" t="s">
        <v>27</v>
      </c>
      <c r="O4" s="10" t="str">
        <f>HYPERLINK("https://pbs.twimg.com/profile_images/3237152318/f24f9ed6d0fe5ac36815083ed0e7c559_normal.jpeg","View")</f>
        <v>View</v>
      </c>
      <c r="P4" s="11"/>
    </row>
    <row r="5" spans="1:16" ht="12.75" x14ac:dyDescent="0.35">
      <c r="A5" s="7">
        <v>42481.176770833335</v>
      </c>
      <c r="B5" s="8" t="str">
        <f>HYPERLINK("https://twitter.com/khilogram","@khilogram")</f>
        <v>@khilogram</v>
      </c>
      <c r="C5" s="9" t="s">
        <v>28</v>
      </c>
      <c r="D5" s="9" t="s">
        <v>29</v>
      </c>
      <c r="E5" s="10" t="str">
        <f>HYPERLINK("https://twitter.com/khilogram/status/722918906914975744","722918906914975744")</f>
        <v>722918906914975744</v>
      </c>
      <c r="F5" s="11" t="s">
        <v>20</v>
      </c>
      <c r="G5" s="11">
        <v>861</v>
      </c>
      <c r="H5" s="11">
        <v>364</v>
      </c>
      <c r="I5" s="11">
        <v>0</v>
      </c>
      <c r="J5" s="11">
        <v>0</v>
      </c>
      <c r="K5" s="11" t="s">
        <v>21</v>
      </c>
      <c r="L5" s="7">
        <v>40344.445416666669</v>
      </c>
      <c r="M5" s="12" t="s">
        <v>30</v>
      </c>
      <c r="N5" s="12" t="s">
        <v>31</v>
      </c>
      <c r="O5" s="10" t="str">
        <f>HYPERLINK("https://pbs.twimg.com/profile_images/721573146306830337/ZW0NIcS2_normal.jpg","View")</f>
        <v>View</v>
      </c>
      <c r="P5" s="11"/>
    </row>
    <row r="6" spans="1:16" ht="12.75" x14ac:dyDescent="0.35">
      <c r="A6" s="7">
        <v>42481.177083333328</v>
      </c>
      <c r="B6" s="8" t="str">
        <f>HYPERLINK("https://twitter.com/mk1GolfForSale","@mk1GolfForSale")</f>
        <v>@mk1GolfForSale</v>
      </c>
      <c r="C6" s="9" t="s">
        <v>32</v>
      </c>
      <c r="D6" s="9" t="s">
        <v>33</v>
      </c>
      <c r="E6" s="10" t="str">
        <f>HYPERLINK("https://twitter.com/mk1GolfForSale/status/722919020224061441","722919020224061441")</f>
        <v>722919020224061441</v>
      </c>
      <c r="F6" s="11" t="s">
        <v>34</v>
      </c>
      <c r="G6" s="11">
        <v>179</v>
      </c>
      <c r="H6" s="11">
        <v>0</v>
      </c>
      <c r="I6" s="11">
        <v>0</v>
      </c>
      <c r="J6" s="11">
        <v>0</v>
      </c>
      <c r="K6" s="11" t="s">
        <v>21</v>
      </c>
      <c r="L6" s="7">
        <v>41178.748437499999</v>
      </c>
      <c r="M6" s="12" t="s">
        <v>35</v>
      </c>
      <c r="N6" s="12" t="s">
        <v>36</v>
      </c>
      <c r="O6" s="10" t="str">
        <f>HYPERLINK("https://pbs.twimg.com/profile_images/3279995885/2c9f035864a3ab529eb3144a61e4dfa9_normal.jpeg","View")</f>
        <v>View</v>
      </c>
      <c r="P6" s="11"/>
    </row>
    <row r="7" spans="1:16" ht="12.75" x14ac:dyDescent="0.35">
      <c r="A7" s="7">
        <v>42481.177372685182</v>
      </c>
      <c r="B7" s="8" t="str">
        <f>HYPERLINK("https://twitter.com/WorldWideStance","@WorldWideStance")</f>
        <v>@WorldWideStance</v>
      </c>
      <c r="C7" s="9" t="s">
        <v>37</v>
      </c>
      <c r="D7" s="9" t="s">
        <v>38</v>
      </c>
      <c r="E7" s="10" t="str">
        <f>HYPERLINK("https://twitter.com/WorldWideStance/status/722919125606014976","722919125606014976")</f>
        <v>722919125606014976</v>
      </c>
      <c r="F7" s="11" t="s">
        <v>20</v>
      </c>
      <c r="G7" s="11">
        <v>13009</v>
      </c>
      <c r="H7" s="11">
        <v>3995</v>
      </c>
      <c r="I7" s="11">
        <v>11</v>
      </c>
      <c r="J7" s="11">
        <v>0</v>
      </c>
      <c r="K7" s="11" t="s">
        <v>21</v>
      </c>
      <c r="L7" s="7">
        <v>40673.310590277775</v>
      </c>
      <c r="M7" s="12" t="s">
        <v>39</v>
      </c>
      <c r="N7" s="12" t="s">
        <v>40</v>
      </c>
      <c r="O7" s="10" t="str">
        <f>HYPERLINK("https://pbs.twimg.com/profile_images/600380442336960513/FHH3lN5S_normal.jpg","View")</f>
        <v>View</v>
      </c>
      <c r="P7" s="11"/>
    </row>
    <row r="8" spans="1:16" ht="12.75" x14ac:dyDescent="0.35">
      <c r="A8" s="7">
        <v>42481.177476851852</v>
      </c>
      <c r="B8" s="8" t="str">
        <f>HYPERLINK("https://twitter.com/Wise_PLLC","@Wise_PLLC")</f>
        <v>@Wise_PLLC</v>
      </c>
      <c r="C8" s="9" t="s">
        <v>41</v>
      </c>
      <c r="D8" s="9" t="s">
        <v>42</v>
      </c>
      <c r="E8" s="10" t="str">
        <f>HYPERLINK("https://twitter.com/Wise_PLLC/status/722919162847178752","722919162847178752")</f>
        <v>722919162847178752</v>
      </c>
      <c r="F8" s="11" t="s">
        <v>43</v>
      </c>
      <c r="G8" s="11">
        <v>103</v>
      </c>
      <c r="H8" s="11">
        <v>32</v>
      </c>
      <c r="I8" s="11">
        <v>0</v>
      </c>
      <c r="J8" s="11">
        <v>0</v>
      </c>
      <c r="K8" s="11" t="s">
        <v>21</v>
      </c>
      <c r="L8" s="7">
        <v>39760.07435185185</v>
      </c>
      <c r="M8" s="12" t="s">
        <v>44</v>
      </c>
      <c r="N8" s="12" t="s">
        <v>45</v>
      </c>
      <c r="O8" s="10" t="str">
        <f>HYPERLINK("https://pbs.twimg.com/profile_images/459480339438501888/EnQu9AcQ_normal.png","View")</f>
        <v>View</v>
      </c>
      <c r="P8" s="11"/>
    </row>
    <row r="9" spans="1:16" ht="12.75" x14ac:dyDescent="0.35">
      <c r="A9" s="7">
        <v>42481.177523148144</v>
      </c>
      <c r="B9" s="8" t="str">
        <f>HYPERLINK("https://twitter.com/Duambyth","@Duambyth")</f>
        <v>@Duambyth</v>
      </c>
      <c r="C9" s="9" t="s">
        <v>46</v>
      </c>
      <c r="D9" s="9" t="s">
        <v>47</v>
      </c>
      <c r="E9" s="10" t="str">
        <f>HYPERLINK("https://twitter.com/Duambyth/status/722919180652011522","722919180652011522")</f>
        <v>722919180652011522</v>
      </c>
      <c r="F9" s="11" t="s">
        <v>48</v>
      </c>
      <c r="G9" s="11">
        <v>374</v>
      </c>
      <c r="H9" s="11">
        <v>340</v>
      </c>
      <c r="I9" s="11">
        <v>5</v>
      </c>
      <c r="J9" s="11">
        <v>0</v>
      </c>
      <c r="K9" s="11" t="s">
        <v>21</v>
      </c>
      <c r="L9" s="7">
        <v>41758.224062499998</v>
      </c>
      <c r="M9" s="12" t="s">
        <v>49</v>
      </c>
      <c r="N9" s="12" t="s">
        <v>50</v>
      </c>
      <c r="O9" s="10" t="str">
        <f>HYPERLINK("https://pbs.twimg.com/profile_images/714558560936529920/fOUFpJYx_normal.jpg","View")</f>
        <v>View</v>
      </c>
      <c r="P9" s="11"/>
    </row>
    <row r="10" spans="1:16" ht="12.75" x14ac:dyDescent="0.35">
      <c r="A10" s="7">
        <v>42481.179155092592</v>
      </c>
      <c r="B10" s="8" t="str">
        <f>HYPERLINK("https://twitter.com/Scirocco_Tuning","@Scirocco_Tuning")</f>
        <v>@Scirocco_Tuning</v>
      </c>
      <c r="C10" s="9" t="s">
        <v>51</v>
      </c>
      <c r="D10" s="9" t="s">
        <v>52</v>
      </c>
      <c r="E10" s="10" t="str">
        <f>HYPERLINK("https://twitter.com/Scirocco_Tuning/status/722919770484510720","722919770484510720")</f>
        <v>722919770484510720</v>
      </c>
      <c r="F10" s="11" t="s">
        <v>53</v>
      </c>
      <c r="G10" s="11">
        <v>69</v>
      </c>
      <c r="H10" s="11">
        <v>215</v>
      </c>
      <c r="I10" s="11">
        <v>0</v>
      </c>
      <c r="J10" s="11">
        <v>0</v>
      </c>
      <c r="K10" s="11" t="s">
        <v>21</v>
      </c>
      <c r="L10" s="7">
        <v>40844.564722222218</v>
      </c>
      <c r="M10" s="12"/>
      <c r="N10" s="12"/>
      <c r="O10" s="10" t="str">
        <f>HYPERLINK("https://pbs.twimg.com/profile_images/1610421423/Image2_normal.jpg","View")</f>
        <v>View</v>
      </c>
      <c r="P10" s="11"/>
    </row>
    <row r="11" spans="1:16" ht="12.75" x14ac:dyDescent="0.35">
      <c r="A11" s="7">
        <v>42481.179386574076</v>
      </c>
      <c r="B11" s="8" t="str">
        <f>HYPERLINK("https://twitter.com/ice_it_down","@ice_it_down")</f>
        <v>@ice_it_down</v>
      </c>
      <c r="C11" s="9" t="s">
        <v>54</v>
      </c>
      <c r="D11" s="9" t="s">
        <v>38</v>
      </c>
      <c r="E11" s="10" t="str">
        <f>HYPERLINK("https://twitter.com/ice_it_down/status/722919856744620032","722919856744620032")</f>
        <v>722919856744620032</v>
      </c>
      <c r="F11" s="11" t="s">
        <v>20</v>
      </c>
      <c r="G11" s="11">
        <v>778</v>
      </c>
      <c r="H11" s="11">
        <v>642</v>
      </c>
      <c r="I11" s="11">
        <v>11</v>
      </c>
      <c r="J11" s="11">
        <v>0</v>
      </c>
      <c r="K11" s="11" t="s">
        <v>21</v>
      </c>
      <c r="L11" s="7">
        <v>41496.942615740743</v>
      </c>
      <c r="M11" s="12" t="s">
        <v>55</v>
      </c>
      <c r="N11" s="12" t="s">
        <v>56</v>
      </c>
      <c r="O11" s="10" t="str">
        <f>HYPERLINK("https://pbs.twimg.com/profile_images/715697896910417920/JwcxwNfT_normal.jpg","View")</f>
        <v>View</v>
      </c>
      <c r="P11" s="11"/>
    </row>
    <row r="12" spans="1:16" ht="12.75" x14ac:dyDescent="0.35">
      <c r="A12" s="7">
        <v>42481.179814814815</v>
      </c>
      <c r="B12" s="8" t="str">
        <f>HYPERLINK("https://twitter.com/TedFlitton","@TedFlitton")</f>
        <v>@TedFlitton</v>
      </c>
      <c r="C12" s="9" t="s">
        <v>57</v>
      </c>
      <c r="D12" s="9" t="s">
        <v>58</v>
      </c>
      <c r="E12" s="10" t="str">
        <f>HYPERLINK("https://twitter.com/TedFlitton/status/722920009291304964","722920009291304964")</f>
        <v>722920009291304964</v>
      </c>
      <c r="F12" s="11" t="s">
        <v>48</v>
      </c>
      <c r="G12" s="11">
        <v>66</v>
      </c>
      <c r="H12" s="11">
        <v>145</v>
      </c>
      <c r="I12" s="11">
        <v>1</v>
      </c>
      <c r="J12" s="11">
        <v>0</v>
      </c>
      <c r="K12" s="11" t="s">
        <v>21</v>
      </c>
      <c r="L12" s="7">
        <v>41648.216516203705</v>
      </c>
      <c r="M12" s="12" t="s">
        <v>59</v>
      </c>
      <c r="N12" s="12" t="s">
        <v>60</v>
      </c>
      <c r="O12" s="10" t="str">
        <f>HYPERLINK("https://pbs.twimg.com/profile_images/552612598974132224/ZNRfmfZ7_normal.jpeg","View")</f>
        <v>View</v>
      </c>
      <c r="P12" s="11"/>
    </row>
    <row r="13" spans="1:16" ht="12.75" x14ac:dyDescent="0.35">
      <c r="A13" s="7">
        <v>42481.180775462963</v>
      </c>
      <c r="B13" s="8" t="str">
        <f>HYPERLINK("https://twitter.com/jckronbauer","@jckronbauer")</f>
        <v>@jckronbauer</v>
      </c>
      <c r="C13" s="9" t="s">
        <v>61</v>
      </c>
      <c r="D13" s="9" t="s">
        <v>62</v>
      </c>
      <c r="E13" s="10" t="str">
        <f>HYPERLINK("https://twitter.com/jckronbauer/status/722920360593727488","722920360593727488")</f>
        <v>722920360593727488</v>
      </c>
      <c r="F13" s="11" t="s">
        <v>63</v>
      </c>
      <c r="G13" s="11">
        <v>48</v>
      </c>
      <c r="H13" s="11">
        <v>13</v>
      </c>
      <c r="I13" s="11">
        <v>0</v>
      </c>
      <c r="J13" s="11">
        <v>0</v>
      </c>
      <c r="K13" s="11" t="s">
        <v>21</v>
      </c>
      <c r="L13" s="7">
        <v>40004.934907407405</v>
      </c>
      <c r="M13" s="12" t="s">
        <v>64</v>
      </c>
      <c r="N13" s="12" t="s">
        <v>65</v>
      </c>
      <c r="O13" s="10" t="str">
        <f>HYPERLINK("https://pbs.twimg.com/profile_images/632680953865981952/RcuZey8Q_normal.jpg","View")</f>
        <v>View</v>
      </c>
      <c r="P13" s="11"/>
    </row>
    <row r="14" spans="1:16" ht="12.75" x14ac:dyDescent="0.35">
      <c r="A14" s="7">
        <v>42481.181620370371</v>
      </c>
      <c r="B14" s="8" t="str">
        <f t="shared" ref="B14:B18" si="0">HYPERLINK("https://twitter.com/beetlebug1938","@beetlebug1938")</f>
        <v>@beetlebug1938</v>
      </c>
      <c r="C14" s="9" t="s">
        <v>66</v>
      </c>
      <c r="D14" s="9" t="s">
        <v>67</v>
      </c>
      <c r="E14" s="10" t="str">
        <f>HYPERLINK("https://twitter.com/beetlebug1938/status/722920664047427584","722920664047427584")</f>
        <v>722920664047427584</v>
      </c>
      <c r="F14" s="11" t="s">
        <v>68</v>
      </c>
      <c r="G14" s="11">
        <v>346</v>
      </c>
      <c r="H14" s="11">
        <v>2222</v>
      </c>
      <c r="I14" s="11">
        <v>0</v>
      </c>
      <c r="J14" s="11">
        <v>1</v>
      </c>
      <c r="K14" s="11" t="s">
        <v>21</v>
      </c>
      <c r="L14" s="7">
        <v>42469.863865740743</v>
      </c>
      <c r="M14" s="12" t="s">
        <v>69</v>
      </c>
      <c r="N14" s="12"/>
      <c r="O14" s="10" t="str">
        <f t="shared" ref="O14:O18" si="1">HYPERLINK("https://pbs.twimg.com/profile_images/718820712757215233/LXXndPTS_normal.jpg","View")</f>
        <v>View</v>
      </c>
      <c r="P14" s="11"/>
    </row>
    <row r="15" spans="1:16" ht="12.75" x14ac:dyDescent="0.35">
      <c r="A15" s="7">
        <v>42481.181631944448</v>
      </c>
      <c r="B15" s="8" t="str">
        <f t="shared" si="0"/>
        <v>@beetlebug1938</v>
      </c>
      <c r="C15" s="9" t="s">
        <v>66</v>
      </c>
      <c r="D15" s="9" t="s">
        <v>70</v>
      </c>
      <c r="E15" s="10" t="str">
        <f>HYPERLINK("https://twitter.com/beetlebug1938/status/722920669781082112","722920669781082112")</f>
        <v>722920669781082112</v>
      </c>
      <c r="F15" s="11" t="s">
        <v>68</v>
      </c>
      <c r="G15" s="11">
        <v>346</v>
      </c>
      <c r="H15" s="11">
        <v>2222</v>
      </c>
      <c r="I15" s="11">
        <v>2</v>
      </c>
      <c r="J15" s="11">
        <v>1</v>
      </c>
      <c r="K15" s="11" t="s">
        <v>21</v>
      </c>
      <c r="L15" s="7">
        <v>42469.863865740743</v>
      </c>
      <c r="M15" s="12" t="s">
        <v>69</v>
      </c>
      <c r="N15" s="12"/>
      <c r="O15" s="10" t="str">
        <f t="shared" si="1"/>
        <v>View</v>
      </c>
      <c r="P15" s="11"/>
    </row>
    <row r="16" spans="1:16" ht="12.75" x14ac:dyDescent="0.35">
      <c r="A16" s="7">
        <v>42481.181643518517</v>
      </c>
      <c r="B16" s="8" t="str">
        <f t="shared" si="0"/>
        <v>@beetlebug1938</v>
      </c>
      <c r="C16" s="9" t="s">
        <v>66</v>
      </c>
      <c r="D16" s="9" t="s">
        <v>71</v>
      </c>
      <c r="E16" s="10" t="str">
        <f>HYPERLINK("https://twitter.com/beetlebug1938/status/722920672981303296","722920672981303296")</f>
        <v>722920672981303296</v>
      </c>
      <c r="F16" s="11" t="s">
        <v>68</v>
      </c>
      <c r="G16" s="11">
        <v>346</v>
      </c>
      <c r="H16" s="11">
        <v>2222</v>
      </c>
      <c r="I16" s="11">
        <v>0</v>
      </c>
      <c r="J16" s="11">
        <v>0</v>
      </c>
      <c r="K16" s="11" t="s">
        <v>21</v>
      </c>
      <c r="L16" s="7">
        <v>42469.863865740743</v>
      </c>
      <c r="M16" s="12" t="s">
        <v>69</v>
      </c>
      <c r="N16" s="12"/>
      <c r="O16" s="10" t="str">
        <f t="shared" si="1"/>
        <v>View</v>
      </c>
      <c r="P16" s="11"/>
    </row>
    <row r="17" spans="1:16" ht="12.75" x14ac:dyDescent="0.35">
      <c r="A17" s="7">
        <v>42481.181655092594</v>
      </c>
      <c r="B17" s="8" t="str">
        <f t="shared" si="0"/>
        <v>@beetlebug1938</v>
      </c>
      <c r="C17" s="9" t="s">
        <v>66</v>
      </c>
      <c r="D17" s="9" t="s">
        <v>72</v>
      </c>
      <c r="E17" s="10" t="str">
        <f>HYPERLINK("https://twitter.com/beetlebug1938/status/722920679306371072","722920679306371072")</f>
        <v>722920679306371072</v>
      </c>
      <c r="F17" s="11" t="s">
        <v>68</v>
      </c>
      <c r="G17" s="11">
        <v>346</v>
      </c>
      <c r="H17" s="11">
        <v>2222</v>
      </c>
      <c r="I17" s="11">
        <v>1</v>
      </c>
      <c r="J17" s="11">
        <v>3</v>
      </c>
      <c r="K17" s="11" t="s">
        <v>21</v>
      </c>
      <c r="L17" s="7">
        <v>42469.863865740743</v>
      </c>
      <c r="M17" s="12" t="s">
        <v>69</v>
      </c>
      <c r="N17" s="12"/>
      <c r="O17" s="10" t="str">
        <f t="shared" si="1"/>
        <v>View</v>
      </c>
      <c r="P17" s="11"/>
    </row>
    <row r="18" spans="1:16" ht="12.75" x14ac:dyDescent="0.35">
      <c r="A18" s="7">
        <v>42481.181747685187</v>
      </c>
      <c r="B18" s="8" t="str">
        <f t="shared" si="0"/>
        <v>@beetlebug1938</v>
      </c>
      <c r="C18" s="9" t="s">
        <v>66</v>
      </c>
      <c r="D18" s="9" t="s">
        <v>73</v>
      </c>
      <c r="E18" s="10" t="str">
        <f>HYPERLINK("https://twitter.com/beetlebug1938/status/722920710230908928","722920710230908928")</f>
        <v>722920710230908928</v>
      </c>
      <c r="F18" s="11" t="s">
        <v>68</v>
      </c>
      <c r="G18" s="11">
        <v>346</v>
      </c>
      <c r="H18" s="11">
        <v>2222</v>
      </c>
      <c r="I18" s="11">
        <v>0</v>
      </c>
      <c r="J18" s="11">
        <v>1</v>
      </c>
      <c r="K18" s="11" t="s">
        <v>21</v>
      </c>
      <c r="L18" s="7">
        <v>42469.863865740743</v>
      </c>
      <c r="M18" s="12" t="s">
        <v>69</v>
      </c>
      <c r="N18" s="12"/>
      <c r="O18" s="10" t="str">
        <f t="shared" si="1"/>
        <v>View</v>
      </c>
      <c r="P18" s="11"/>
    </row>
    <row r="19" spans="1:16" ht="12.75" x14ac:dyDescent="0.35">
      <c r="A19" s="7">
        <v>42481.183217592596</v>
      </c>
      <c r="B19" s="8" t="str">
        <f>HYPERLINK("https://twitter.com/FuscaWorld","@FuscaWorld")</f>
        <v>@FuscaWorld</v>
      </c>
      <c r="C19" s="9" t="s">
        <v>74</v>
      </c>
      <c r="D19" s="9" t="s">
        <v>75</v>
      </c>
      <c r="E19" s="10" t="str">
        <f>HYPERLINK("https://twitter.com/FuscaWorld/status/722921243725443072","722921243725443072")</f>
        <v>722921243725443072</v>
      </c>
      <c r="F19" s="11" t="s">
        <v>76</v>
      </c>
      <c r="G19" s="11">
        <v>48</v>
      </c>
      <c r="H19" s="11">
        <v>1</v>
      </c>
      <c r="I19" s="11">
        <v>2</v>
      </c>
      <c r="J19" s="11">
        <v>0</v>
      </c>
      <c r="K19" s="11" t="s">
        <v>21</v>
      </c>
      <c r="L19" s="7">
        <v>42433.880914351852</v>
      </c>
      <c r="M19" s="12"/>
      <c r="N19" s="12" t="s">
        <v>77</v>
      </c>
      <c r="O19" s="10" t="str">
        <f>HYPERLINK("https://pbs.twimg.com/profile_images/705780107844067328/e7O4UBNb_normal.jpg","View")</f>
        <v>View</v>
      </c>
      <c r="P19" s="11"/>
    </row>
    <row r="20" spans="1:16" ht="12.75" x14ac:dyDescent="0.35">
      <c r="A20" s="7">
        <v>42481.183333333334</v>
      </c>
      <c r="B20" s="8" t="str">
        <f>HYPERLINK("https://twitter.com/louiscroberts","@louiscroberts")</f>
        <v>@louiscroberts</v>
      </c>
      <c r="C20" s="9" t="s">
        <v>78</v>
      </c>
      <c r="D20" s="9" t="s">
        <v>79</v>
      </c>
      <c r="E20" s="10" t="str">
        <f>HYPERLINK("https://twitter.com/louiscroberts/status/722921285802659840","722921285802659840")</f>
        <v>722921285802659840</v>
      </c>
      <c r="F20" s="11" t="s">
        <v>80</v>
      </c>
      <c r="G20" s="11">
        <v>6</v>
      </c>
      <c r="H20" s="11">
        <v>41</v>
      </c>
      <c r="I20" s="11">
        <v>0</v>
      </c>
      <c r="J20" s="11">
        <v>0</v>
      </c>
      <c r="K20" s="11" t="s">
        <v>21</v>
      </c>
      <c r="L20" s="7">
        <v>42418.451331018514</v>
      </c>
      <c r="M20" s="12" t="s">
        <v>81</v>
      </c>
      <c r="N20" s="12" t="s">
        <v>82</v>
      </c>
      <c r="O20" s="10" t="str">
        <f>HYPERLINK("https://pbs.twimg.com/profile_images/700188970026606592/y5ePQvYf_normal.jpg","View")</f>
        <v>View</v>
      </c>
      <c r="P20" s="11"/>
    </row>
    <row r="21" spans="1:16" ht="12.75" x14ac:dyDescent="0.35">
      <c r="A21" s="7">
        <v>42481.18346064815</v>
      </c>
      <c r="B21" s="8" t="str">
        <f>HYPERLINK("https://twitter.com/Watercolorhere","@Watercolorhere")</f>
        <v>@Watercolorhere</v>
      </c>
      <c r="C21" s="9" t="s">
        <v>83</v>
      </c>
      <c r="D21" s="9" t="s">
        <v>75</v>
      </c>
      <c r="E21" s="10" t="str">
        <f>HYPERLINK("https://twitter.com/Watercolorhere/status/722921331394609153","722921331394609153")</f>
        <v>722921331394609153</v>
      </c>
      <c r="F21" s="11" t="s">
        <v>43</v>
      </c>
      <c r="G21" s="11">
        <v>313</v>
      </c>
      <c r="H21" s="11">
        <v>495</v>
      </c>
      <c r="I21" s="11">
        <v>2</v>
      </c>
      <c r="J21" s="11">
        <v>0</v>
      </c>
      <c r="K21" s="11" t="s">
        <v>21</v>
      </c>
      <c r="L21" s="7">
        <v>41681.948472222226</v>
      </c>
      <c r="M21" s="12" t="s">
        <v>84</v>
      </c>
      <c r="N21" s="12" t="s">
        <v>85</v>
      </c>
      <c r="O21" s="10" t="str">
        <f>HYPERLINK("https://pbs.twimg.com/profile_images/437383806853468160/wGuL_DMN_normal.jpeg","View")</f>
        <v>View</v>
      </c>
      <c r="P21" s="11"/>
    </row>
    <row r="22" spans="1:16" ht="12.75" x14ac:dyDescent="0.35">
      <c r="A22" s="7">
        <v>42481.18482638889</v>
      </c>
      <c r="B22" s="8" t="str">
        <f>HYPERLINK("https://twitter.com/Kaikoujin","@Kaikoujin")</f>
        <v>@Kaikoujin</v>
      </c>
      <c r="C22" s="9" t="s">
        <v>86</v>
      </c>
      <c r="D22" s="9" t="s">
        <v>87</v>
      </c>
      <c r="E22" s="10" t="str">
        <f>HYPERLINK("https://twitter.com/Kaikoujin/status/722921825919852544","722921825919852544")</f>
        <v>722921825919852544</v>
      </c>
      <c r="F22" s="11" t="s">
        <v>20</v>
      </c>
      <c r="G22" s="11">
        <v>201</v>
      </c>
      <c r="H22" s="11">
        <v>422</v>
      </c>
      <c r="I22" s="11">
        <v>0</v>
      </c>
      <c r="J22" s="11">
        <v>0</v>
      </c>
      <c r="K22" s="11" t="s">
        <v>21</v>
      </c>
      <c r="L22" s="7">
        <v>40061.994826388887</v>
      </c>
      <c r="M22" s="12" t="s">
        <v>88</v>
      </c>
      <c r="N22" s="12" t="s">
        <v>89</v>
      </c>
      <c r="O22" s="10" t="str">
        <f>HYPERLINK("https://pbs.twimg.com/profile_images/702146561287917568/9enKzseK_normal.jpg","View")</f>
        <v>View</v>
      </c>
      <c r="P22" s="11"/>
    </row>
    <row r="23" spans="1:16" ht="12.75" x14ac:dyDescent="0.35">
      <c r="A23" s="7">
        <v>42481.185624999998</v>
      </c>
      <c r="B23" s="8" t="str">
        <f>HYPERLINK("https://twitter.com/jeffyboy56","@jeffyboy56")</f>
        <v>@jeffyboy56</v>
      </c>
      <c r="C23" s="9" t="s">
        <v>90</v>
      </c>
      <c r="D23" s="9" t="s">
        <v>25</v>
      </c>
      <c r="E23" s="10" t="str">
        <f>HYPERLINK("https://twitter.com/jeffyboy56/status/722922118241992704","722922118241992704")</f>
        <v>722922118241992704</v>
      </c>
      <c r="F23" s="11" t="s">
        <v>91</v>
      </c>
      <c r="G23" s="11">
        <v>116</v>
      </c>
      <c r="H23" s="11">
        <v>46</v>
      </c>
      <c r="I23" s="11">
        <v>95</v>
      </c>
      <c r="J23" s="11">
        <v>0</v>
      </c>
      <c r="K23" s="11" t="s">
        <v>21</v>
      </c>
      <c r="L23" s="7">
        <v>41271.310925925922</v>
      </c>
      <c r="M23" s="12" t="s">
        <v>92</v>
      </c>
      <c r="N23" s="12" t="s">
        <v>93</v>
      </c>
      <c r="O23" s="10" t="str">
        <f>HYPERLINK("https://pbs.twimg.com/profile_images/711704579289845766/SyXBbA2L_normal.jpg","View")</f>
        <v>View</v>
      </c>
      <c r="P23" s="11"/>
    </row>
    <row r="24" spans="1:16" ht="12.75" x14ac:dyDescent="0.35">
      <c r="A24" s="7">
        <v>42481.185833333337</v>
      </c>
      <c r="B24" s="8" t="str">
        <f>HYPERLINK("https://twitter.com/quickfoundnet","@quickfoundnet")</f>
        <v>@quickfoundnet</v>
      </c>
      <c r="C24" s="9" t="s">
        <v>94</v>
      </c>
      <c r="D24" s="9" t="s">
        <v>95</v>
      </c>
      <c r="E24" s="10" t="str">
        <f>HYPERLINK("https://twitter.com/quickfoundnet/status/722922193655435265","722922193655435265")</f>
        <v>722922193655435265</v>
      </c>
      <c r="F24" s="11" t="s">
        <v>43</v>
      </c>
      <c r="G24" s="11">
        <v>1554</v>
      </c>
      <c r="H24" s="11">
        <v>1047</v>
      </c>
      <c r="I24" s="11">
        <v>0</v>
      </c>
      <c r="J24" s="11">
        <v>1</v>
      </c>
      <c r="K24" s="11" t="s">
        <v>21</v>
      </c>
      <c r="L24" s="7">
        <v>40317.318414351852</v>
      </c>
      <c r="M24" s="12" t="s">
        <v>96</v>
      </c>
      <c r="N24" s="12" t="s">
        <v>97</v>
      </c>
      <c r="O24" s="10" t="str">
        <f>HYPERLINK("https://pbs.twimg.com/profile_images/448914739268034560/9ke9iLLn_normal.jpeg","View")</f>
        <v>View</v>
      </c>
      <c r="P24" s="11"/>
    </row>
    <row r="25" spans="1:16" ht="12.75" x14ac:dyDescent="0.35">
      <c r="A25" s="7">
        <v>42481.187245370369</v>
      </c>
      <c r="B25" s="8" t="str">
        <f>HYPERLINK("https://twitter.com/Watercolorhere","@Watercolorhere")</f>
        <v>@Watercolorhere</v>
      </c>
      <c r="C25" s="9" t="s">
        <v>83</v>
      </c>
      <c r="D25" s="9" t="s">
        <v>98</v>
      </c>
      <c r="E25" s="10" t="str">
        <f>HYPERLINK("https://twitter.com/Watercolorhere/status/722922705129906176","722922705129906176")</f>
        <v>722922705129906176</v>
      </c>
      <c r="F25" s="11" t="s">
        <v>43</v>
      </c>
      <c r="G25" s="11">
        <v>313</v>
      </c>
      <c r="H25" s="11">
        <v>495</v>
      </c>
      <c r="I25" s="11">
        <v>1</v>
      </c>
      <c r="J25" s="11">
        <v>0</v>
      </c>
      <c r="K25" s="11" t="s">
        <v>21</v>
      </c>
      <c r="L25" s="7">
        <v>41681.948472222226</v>
      </c>
      <c r="M25" s="12" t="s">
        <v>84</v>
      </c>
      <c r="N25" s="12" t="s">
        <v>85</v>
      </c>
      <c r="O25" s="10" t="str">
        <f>HYPERLINK("https://pbs.twimg.com/profile_images/437383806853468160/wGuL_DMN_normal.jpeg","View")</f>
        <v>View</v>
      </c>
      <c r="P25" s="11"/>
    </row>
    <row r="26" spans="1:16" ht="12.75" x14ac:dyDescent="0.35">
      <c r="A26" s="7">
        <v>42481.187337962961</v>
      </c>
      <c r="B26" s="8" t="str">
        <f>HYPERLINK("https://twitter.com/DnBcorporation","@DnBcorporation")</f>
        <v>@DnBcorporation</v>
      </c>
      <c r="C26" s="9" t="s">
        <v>99</v>
      </c>
      <c r="D26" s="9" t="s">
        <v>100</v>
      </c>
      <c r="E26" s="10" t="str">
        <f>HYPERLINK("https://twitter.com/DnBcorporation/status/722922737388359680","722922737388359680")</f>
        <v>722922737388359680</v>
      </c>
      <c r="F26" s="11" t="s">
        <v>68</v>
      </c>
      <c r="G26" s="11">
        <v>155</v>
      </c>
      <c r="H26" s="11">
        <v>60</v>
      </c>
      <c r="I26" s="11">
        <v>0</v>
      </c>
      <c r="J26" s="11">
        <v>0</v>
      </c>
      <c r="K26" s="11" t="s">
        <v>21</v>
      </c>
      <c r="L26" s="7">
        <v>42030.664097222223</v>
      </c>
      <c r="M26" s="12" t="s">
        <v>101</v>
      </c>
      <c r="N26" s="12" t="s">
        <v>102</v>
      </c>
      <c r="O26" s="10" t="str">
        <f>HYPERLINK("https://pbs.twimg.com/profile_images/559659103723585536/oexmCla7_normal.jpeg","View")</f>
        <v>View</v>
      </c>
      <c r="P26" s="11"/>
    </row>
    <row r="27" spans="1:16" ht="12.75" x14ac:dyDescent="0.35">
      <c r="A27" s="7">
        <v>42481.187569444446</v>
      </c>
      <c r="B27" s="8" t="str">
        <f>HYPERLINK("https://twitter.com/NeedTechs","@NeedTechs")</f>
        <v>@NeedTechs</v>
      </c>
      <c r="C27" s="9" t="s">
        <v>103</v>
      </c>
      <c r="D27" s="9" t="s">
        <v>104</v>
      </c>
      <c r="E27" s="10" t="str">
        <f>HYPERLINK("https://twitter.com/NeedTechs/status/722922822410997762","722922822410997762")</f>
        <v>722922822410997762</v>
      </c>
      <c r="F27" s="11" t="s">
        <v>63</v>
      </c>
      <c r="G27" s="11">
        <v>588</v>
      </c>
      <c r="H27" s="11">
        <v>606</v>
      </c>
      <c r="I27" s="11">
        <v>0</v>
      </c>
      <c r="J27" s="11">
        <v>0</v>
      </c>
      <c r="K27" s="11" t="s">
        <v>21</v>
      </c>
      <c r="L27" s="7">
        <v>40808.092199074075</v>
      </c>
      <c r="M27" s="12" t="s">
        <v>105</v>
      </c>
      <c r="N27" s="12" t="s">
        <v>106</v>
      </c>
      <c r="O27" s="10" t="str">
        <f>HYPERLINK("https://pbs.twimg.com/profile_images/588750621353717760/15I04Sdg_normal.png","View")</f>
        <v>View</v>
      </c>
      <c r="P27" s="11"/>
    </row>
    <row r="28" spans="1:16" ht="12.75" x14ac:dyDescent="0.35">
      <c r="A28" s="7">
        <v>42481.188402777778</v>
      </c>
      <c r="B28" s="8" t="str">
        <f>HYPERLINK("https://twitter.com/ummanamoonji","@ummanamoonji")</f>
        <v>@ummanamoonji</v>
      </c>
      <c r="C28" s="9" t="s">
        <v>107</v>
      </c>
      <c r="D28" s="9" t="s">
        <v>25</v>
      </c>
      <c r="E28" s="10" t="str">
        <f>HYPERLINK("https://twitter.com/ummanamoonji/status/722923122328883200","722923122328883200")</f>
        <v>722923122328883200</v>
      </c>
      <c r="F28" s="11" t="s">
        <v>48</v>
      </c>
      <c r="G28" s="11">
        <v>715</v>
      </c>
      <c r="H28" s="11">
        <v>432</v>
      </c>
      <c r="I28" s="11">
        <v>95</v>
      </c>
      <c r="J28" s="11">
        <v>0</v>
      </c>
      <c r="K28" s="11" t="s">
        <v>21</v>
      </c>
      <c r="L28" s="7">
        <v>40247.314849537041</v>
      </c>
      <c r="M28" s="12"/>
      <c r="N28" s="12" t="s">
        <v>108</v>
      </c>
      <c r="O28" s="10" t="str">
        <f>HYPERLINK("https://pbs.twimg.com/profile_images/705568005053247489/wOXUSBP9_normal.jpg","View")</f>
        <v>View</v>
      </c>
      <c r="P28" s="11"/>
    </row>
    <row r="29" spans="1:16" ht="12.75" x14ac:dyDescent="0.35">
      <c r="A29" s="7">
        <v>42481.188738425924</v>
      </c>
      <c r="B29" s="8" t="str">
        <f>HYPERLINK("https://twitter.com/SergioM47589336","@SergioM47589336")</f>
        <v>@SergioM47589336</v>
      </c>
      <c r="C29" s="9" t="s">
        <v>109</v>
      </c>
      <c r="D29" s="9" t="s">
        <v>110</v>
      </c>
      <c r="E29" s="10" t="str">
        <f>HYPERLINK("https://twitter.com/SergioM47589336/status/722923243867357184","722923243867357184")</f>
        <v>722923243867357184</v>
      </c>
      <c r="F29" s="11" t="s">
        <v>48</v>
      </c>
      <c r="G29" s="11">
        <v>774</v>
      </c>
      <c r="H29" s="11">
        <v>2001</v>
      </c>
      <c r="I29" s="11">
        <v>1</v>
      </c>
      <c r="J29" s="11">
        <v>0</v>
      </c>
      <c r="K29" s="11" t="s">
        <v>21</v>
      </c>
      <c r="L29" s="7">
        <v>42010.965682870374</v>
      </c>
      <c r="M29" s="12"/>
      <c r="N29" s="12" t="s">
        <v>111</v>
      </c>
      <c r="O29" s="10" t="str">
        <f>HYPERLINK("https://pbs.twimg.com/profile_images/651732570611318784/Pzh_eCAY_normal.jpg","View")</f>
        <v>View</v>
      </c>
      <c r="P29" s="11"/>
    </row>
    <row r="30" spans="1:16" ht="12.75" x14ac:dyDescent="0.35">
      <c r="A30" s="7">
        <v>42481.189641203702</v>
      </c>
      <c r="B30" s="8" t="str">
        <f>HYPERLINK("https://twitter.com/cuco996","@cuco996")</f>
        <v>@cuco996</v>
      </c>
      <c r="C30" s="9" t="s">
        <v>112</v>
      </c>
      <c r="D30" s="9" t="s">
        <v>113</v>
      </c>
      <c r="E30" s="10" t="str">
        <f>HYPERLINK("https://twitter.com/cuco996/status/722923570540756992","722923570540756992")</f>
        <v>722923570540756992</v>
      </c>
      <c r="F30" s="11" t="s">
        <v>114</v>
      </c>
      <c r="G30" s="11">
        <v>219</v>
      </c>
      <c r="H30" s="11">
        <v>519</v>
      </c>
      <c r="I30" s="11">
        <v>0</v>
      </c>
      <c r="J30" s="11">
        <v>0</v>
      </c>
      <c r="K30" s="11" t="s">
        <v>21</v>
      </c>
      <c r="L30" s="7">
        <v>39968.196886574078</v>
      </c>
      <c r="M30" s="12" t="s">
        <v>115</v>
      </c>
      <c r="N30" s="12" t="s">
        <v>116</v>
      </c>
      <c r="O30" s="10" t="str">
        <f>HYPERLINK("https://pbs.twimg.com/profile_images/1623055213/download_normal.jpg","View")</f>
        <v>View</v>
      </c>
      <c r="P30" s="11"/>
    </row>
    <row r="31" spans="1:16" ht="12.75" x14ac:dyDescent="0.35">
      <c r="A31" s="7">
        <v>42481.190208333333</v>
      </c>
      <c r="B31" s="8" t="str">
        <f>HYPERLINK("https://twitter.com/andrewsduncan1","@andrewsduncan1")</f>
        <v>@andrewsduncan1</v>
      </c>
      <c r="C31" s="9" t="s">
        <v>117</v>
      </c>
      <c r="D31" s="9" t="s">
        <v>118</v>
      </c>
      <c r="E31" s="10" t="str">
        <f>HYPERLINK("https://twitter.com/andrewsduncan1/status/722923775516405760","722923775516405760")</f>
        <v>722923775516405760</v>
      </c>
      <c r="F31" s="11" t="s">
        <v>119</v>
      </c>
      <c r="G31" s="11">
        <v>681</v>
      </c>
      <c r="H31" s="11">
        <v>681</v>
      </c>
      <c r="I31" s="11">
        <v>0</v>
      </c>
      <c r="J31" s="11">
        <v>0</v>
      </c>
      <c r="K31" s="11" t="s">
        <v>21</v>
      </c>
      <c r="L31" s="7">
        <v>41230.802256944444</v>
      </c>
      <c r="M31" s="12" t="s">
        <v>120</v>
      </c>
      <c r="N31" s="12" t="s">
        <v>121</v>
      </c>
      <c r="O31" s="10" t="str">
        <f>HYPERLINK("https://pbs.twimg.com/profile_images/663730127906463744/l017r0-__normal.jpg","View")</f>
        <v>View</v>
      </c>
      <c r="P31" s="11"/>
    </row>
    <row r="32" spans="1:16" ht="12.75" x14ac:dyDescent="0.35">
      <c r="A32" s="7">
        <v>42481.191875000004</v>
      </c>
      <c r="B32" s="8" t="str">
        <f>HYPERLINK("https://twitter.com/Carscoop","@Carscoop")</f>
        <v>@Carscoop</v>
      </c>
      <c r="C32" s="9" t="s">
        <v>122</v>
      </c>
      <c r="D32" s="9" t="s">
        <v>123</v>
      </c>
      <c r="E32" s="10" t="str">
        <f>HYPERLINK("https://twitter.com/Carscoop/status/722924380074827777","722924380074827777")</f>
        <v>722924380074827777</v>
      </c>
      <c r="F32" s="10" t="s">
        <v>124</v>
      </c>
      <c r="G32" s="11">
        <v>34894</v>
      </c>
      <c r="H32" s="11">
        <v>323</v>
      </c>
      <c r="I32" s="11">
        <v>1</v>
      </c>
      <c r="J32" s="11">
        <v>2</v>
      </c>
      <c r="K32" s="11" t="s">
        <v>21</v>
      </c>
      <c r="L32" s="7">
        <v>39731.013483796298</v>
      </c>
      <c r="M32" s="12" t="s">
        <v>125</v>
      </c>
      <c r="N32" s="12" t="s">
        <v>126</v>
      </c>
      <c r="O32" s="10" t="str">
        <f>HYPERLINK("https://pbs.twimg.com/profile_images/599709666017435648/r0vhT_9C_normal.png","View")</f>
        <v>View</v>
      </c>
      <c r="P32" s="11"/>
    </row>
    <row r="33" spans="1:16" ht="12.75" x14ac:dyDescent="0.35">
      <c r="A33" s="7">
        <v>42481.194861111115</v>
      </c>
      <c r="B33" s="8" t="str">
        <f>HYPERLINK("https://twitter.com/VWBeetleSales","@VWBeetleSales")</f>
        <v>@VWBeetleSales</v>
      </c>
      <c r="C33" s="9" t="s">
        <v>127</v>
      </c>
      <c r="D33" s="9" t="s">
        <v>128</v>
      </c>
      <c r="E33" s="10" t="str">
        <f>HYPERLINK("https://twitter.com/VWBeetleSales/status/722925463681703937","722925463681703937")</f>
        <v>722925463681703937</v>
      </c>
      <c r="F33" s="10" t="s">
        <v>124</v>
      </c>
      <c r="G33" s="11">
        <v>35</v>
      </c>
      <c r="H33" s="11">
        <v>32</v>
      </c>
      <c r="I33" s="11">
        <v>0</v>
      </c>
      <c r="J33" s="11">
        <v>0</v>
      </c>
      <c r="K33" s="11" t="s">
        <v>21</v>
      </c>
      <c r="L33" s="7">
        <v>42427.019756944443</v>
      </c>
      <c r="M33" s="12" t="s">
        <v>129</v>
      </c>
      <c r="N33" s="12" t="s">
        <v>130</v>
      </c>
      <c r="O33" s="10" t="str">
        <f>HYPERLINK("https://pbs.twimg.com/profile_images/703294545195307008/qeCvrX86_normal.jpg","View")</f>
        <v>View</v>
      </c>
      <c r="P33" s="11"/>
    </row>
    <row r="34" spans="1:16" ht="12.75" x14ac:dyDescent="0.35">
      <c r="A34" s="7">
        <v>42481.196701388893</v>
      </c>
      <c r="B34" s="8" t="str">
        <f>HYPERLINK("https://twitter.com/ShannonLeinert","@ShannonLeinert")</f>
        <v>@ShannonLeinert</v>
      </c>
      <c r="C34" s="9" t="s">
        <v>131</v>
      </c>
      <c r="D34" s="9" t="s">
        <v>25</v>
      </c>
      <c r="E34" s="10" t="str">
        <f>HYPERLINK("https://twitter.com/ShannonLeinert/status/722926128940224512","722926128940224512")</f>
        <v>722926128940224512</v>
      </c>
      <c r="F34" s="11" t="s">
        <v>20</v>
      </c>
      <c r="G34" s="11">
        <v>691</v>
      </c>
      <c r="H34" s="11">
        <v>517</v>
      </c>
      <c r="I34" s="11">
        <v>95</v>
      </c>
      <c r="J34" s="11">
        <v>0</v>
      </c>
      <c r="K34" s="11" t="s">
        <v>21</v>
      </c>
      <c r="L34" s="7">
        <v>40436.933912037035</v>
      </c>
      <c r="M34" s="12" t="s">
        <v>132</v>
      </c>
      <c r="N34" s="12" t="s">
        <v>133</v>
      </c>
      <c r="O34" s="10" t="str">
        <f>HYPERLINK("https://pbs.twimg.com/profile_images/720179724543090688/GalvaHrn_normal.jpg","View")</f>
        <v>View</v>
      </c>
      <c r="P34" s="11"/>
    </row>
    <row r="35" spans="1:16" ht="12.75" x14ac:dyDescent="0.35">
      <c r="A35" s="7">
        <v>42481.199444444443</v>
      </c>
      <c r="B35" s="8" t="str">
        <f>HYPERLINK("https://twitter.com/vwdepo","@vwdepo")</f>
        <v>@vwdepo</v>
      </c>
      <c r="C35" s="9" t="s">
        <v>134</v>
      </c>
      <c r="D35" s="9" t="s">
        <v>135</v>
      </c>
      <c r="E35" s="10" t="str">
        <f>HYPERLINK("https://twitter.com/vwdepo/status/722927125674782720","722927125674782720")</f>
        <v>722927125674782720</v>
      </c>
      <c r="F35" s="11" t="s">
        <v>53</v>
      </c>
      <c r="G35" s="11">
        <v>784</v>
      </c>
      <c r="H35" s="11">
        <v>384</v>
      </c>
      <c r="I35" s="11">
        <v>0</v>
      </c>
      <c r="J35" s="11">
        <v>0</v>
      </c>
      <c r="K35" s="11" t="s">
        <v>21</v>
      </c>
      <c r="L35" s="7">
        <v>39891.992905092593</v>
      </c>
      <c r="M35" s="12" t="s">
        <v>136</v>
      </c>
      <c r="N35" s="12" t="s">
        <v>137</v>
      </c>
      <c r="O35" s="10" t="str">
        <f>HYPERLINK("https://pbs.twimg.com/profile_images/3378184537/c20ae9a7a410821b4f189c34a63380f7_normal.png","View")</f>
        <v>View</v>
      </c>
      <c r="P35" s="11"/>
    </row>
    <row r="36" spans="1:16" ht="12.75" x14ac:dyDescent="0.35">
      <c r="A36" s="7">
        <v>42481.200011574074</v>
      </c>
      <c r="B36" s="8" t="str">
        <f>HYPERLINK("https://twitter.com/ThreeCountyVW","@ThreeCountyVW")</f>
        <v>@ThreeCountyVW</v>
      </c>
      <c r="C36" s="9" t="s">
        <v>138</v>
      </c>
      <c r="D36" s="9" t="s">
        <v>139</v>
      </c>
      <c r="E36" s="10" t="str">
        <f>HYPERLINK("https://twitter.com/ThreeCountyVW/status/722927329693990913","722927329693990913")</f>
        <v>722927329693990913</v>
      </c>
      <c r="F36" s="11" t="s">
        <v>140</v>
      </c>
      <c r="G36" s="11">
        <v>871</v>
      </c>
      <c r="H36" s="11">
        <v>210</v>
      </c>
      <c r="I36" s="11">
        <v>0</v>
      </c>
      <c r="J36" s="11">
        <v>1</v>
      </c>
      <c r="K36" s="11" t="s">
        <v>21</v>
      </c>
      <c r="L36" s="7">
        <v>40150.01599537037</v>
      </c>
      <c r="M36" s="12"/>
      <c r="N36" s="12" t="s">
        <v>141</v>
      </c>
      <c r="O36" s="10" t="str">
        <f>HYPERLINK("https://pbs.twimg.com/profile_images/510134807351672832/NEa_-oCU_normal.jpeg","View")</f>
        <v>View</v>
      </c>
      <c r="P36" s="11"/>
    </row>
    <row r="37" spans="1:16" ht="12.75" x14ac:dyDescent="0.35">
      <c r="A37" s="7">
        <v>42481.201006944444</v>
      </c>
      <c r="B37" s="8" t="str">
        <f>HYPERLINK("https://twitter.com/chriscostner","@chriscostner")</f>
        <v>@chriscostner</v>
      </c>
      <c r="C37" s="9" t="s">
        <v>142</v>
      </c>
      <c r="D37" s="9" t="s">
        <v>143</v>
      </c>
      <c r="E37" s="10" t="str">
        <f>HYPERLINK("https://twitter.com/chriscostner/status/722927692635484163","722927692635484163")</f>
        <v>722927692635484163</v>
      </c>
      <c r="F37" s="11" t="s">
        <v>43</v>
      </c>
      <c r="G37" s="11">
        <v>7132</v>
      </c>
      <c r="H37" s="11">
        <v>4091</v>
      </c>
      <c r="I37" s="11">
        <v>0</v>
      </c>
      <c r="J37" s="11">
        <v>0</v>
      </c>
      <c r="K37" s="11" t="s">
        <v>21</v>
      </c>
      <c r="L37" s="7">
        <v>40190.072291666671</v>
      </c>
      <c r="M37" s="12" t="s">
        <v>144</v>
      </c>
      <c r="N37" s="12" t="s">
        <v>145</v>
      </c>
      <c r="O37" s="10" t="str">
        <f>HYPERLINK("https://pbs.twimg.com/profile_images/721179462084268032/t24RTVac_normal.jpg","View")</f>
        <v>View</v>
      </c>
      <c r="P37" s="11"/>
    </row>
    <row r="38" spans="1:16" ht="12.75" x14ac:dyDescent="0.35">
      <c r="A38" s="7">
        <v>42481.201793981483</v>
      </c>
      <c r="B38" s="8" t="str">
        <f>HYPERLINK("https://twitter.com/APMACanada","@APMACanada")</f>
        <v>@APMACanada</v>
      </c>
      <c r="C38" s="9" t="s">
        <v>146</v>
      </c>
      <c r="D38" s="9" t="s">
        <v>147</v>
      </c>
      <c r="E38" s="10" t="str">
        <f>HYPERLINK("https://twitter.com/APMACanada/status/722927975314911235","722927975314911235")</f>
        <v>722927975314911235</v>
      </c>
      <c r="F38" s="11" t="s">
        <v>48</v>
      </c>
      <c r="G38" s="11">
        <v>446</v>
      </c>
      <c r="H38" s="11">
        <v>111</v>
      </c>
      <c r="I38" s="11">
        <v>4</v>
      </c>
      <c r="J38" s="11">
        <v>0</v>
      </c>
      <c r="K38" s="11" t="s">
        <v>21</v>
      </c>
      <c r="L38" s="7">
        <v>40600.069722222222</v>
      </c>
      <c r="M38" s="12" t="s">
        <v>148</v>
      </c>
      <c r="N38" s="12" t="s">
        <v>149</v>
      </c>
      <c r="O38" s="10" t="str">
        <f>HYPERLINK("https://pbs.twimg.com/profile_images/707247826615595009/ypTyp3v8_normal.jpg","View")</f>
        <v>View</v>
      </c>
      <c r="P38" s="11"/>
    </row>
    <row r="39" spans="1:16" ht="12.75" x14ac:dyDescent="0.35">
      <c r="A39" s="7">
        <v>42481.201944444445</v>
      </c>
      <c r="B39" s="8" t="str">
        <f>HYPERLINK("https://twitter.com/CNBC","@CNBC")</f>
        <v>@CNBC</v>
      </c>
      <c r="C39" s="9" t="s">
        <v>150</v>
      </c>
      <c r="D39" s="9" t="s">
        <v>151</v>
      </c>
      <c r="E39" s="10" t="str">
        <f>HYPERLINK("https://twitter.com/CNBC/status/722928029882822657","722928029882822657")</f>
        <v>722928029882822657</v>
      </c>
      <c r="F39" s="11" t="s">
        <v>152</v>
      </c>
      <c r="G39" s="11">
        <v>2321777</v>
      </c>
      <c r="H39" s="11">
        <v>962</v>
      </c>
      <c r="I39" s="11">
        <v>16</v>
      </c>
      <c r="J39" s="11">
        <v>0</v>
      </c>
      <c r="K39" s="11" t="s">
        <v>21</v>
      </c>
      <c r="L39" s="7">
        <v>39853.231724537036</v>
      </c>
      <c r="M39" s="12"/>
      <c r="N39" s="12" t="s">
        <v>153</v>
      </c>
      <c r="O39" s="10" t="str">
        <f>HYPERLINK("https://pbs.twimg.com/profile_images/700355164734156800/1k4mmfUm_normal.png","View")</f>
        <v>View</v>
      </c>
      <c r="P39" s="11"/>
    </row>
    <row r="40" spans="1:16" ht="12.75" x14ac:dyDescent="0.35">
      <c r="A40" s="7">
        <v>42481.202233796299</v>
      </c>
      <c r="B40" s="8" t="str">
        <f>HYPERLINK("https://twitter.com/CNBCtech","@CNBCtech")</f>
        <v>@CNBCtech</v>
      </c>
      <c r="C40" s="9" t="s">
        <v>154</v>
      </c>
      <c r="D40" s="9" t="s">
        <v>151</v>
      </c>
      <c r="E40" s="10" t="str">
        <f>HYPERLINK("https://twitter.com/CNBCtech/status/722928137173082112","722928137173082112")</f>
        <v>722928137173082112</v>
      </c>
      <c r="F40" s="11" t="s">
        <v>152</v>
      </c>
      <c r="G40" s="11">
        <v>55687</v>
      </c>
      <c r="H40" s="11">
        <v>118</v>
      </c>
      <c r="I40" s="11">
        <v>16</v>
      </c>
      <c r="J40" s="11">
        <v>0</v>
      </c>
      <c r="K40" s="11" t="s">
        <v>21</v>
      </c>
      <c r="L40" s="7">
        <v>39847.652986111112</v>
      </c>
      <c r="M40" s="12" t="s">
        <v>155</v>
      </c>
      <c r="N40" s="12" t="s">
        <v>156</v>
      </c>
      <c r="O40" s="10" t="str">
        <f>HYPERLINK("https://pbs.twimg.com/profile_images/551071362756792320/_kVG5EAu_normal.png","View")</f>
        <v>View</v>
      </c>
      <c r="P40" s="11"/>
    </row>
    <row r="41" spans="1:16" ht="12.75" x14ac:dyDescent="0.35">
      <c r="A41" s="7">
        <v>42481.204652777778</v>
      </c>
      <c r="B41" s="8" t="str">
        <f>HYPERLINK("https://twitter.com/CARNAGE740807","@CARNAGE740807")</f>
        <v>@CARNAGE740807</v>
      </c>
      <c r="C41" s="9" t="s">
        <v>157</v>
      </c>
      <c r="D41" s="9" t="s">
        <v>158</v>
      </c>
      <c r="E41" s="10" t="str">
        <f>HYPERLINK("https://twitter.com/CARNAGE740807/status/722929011874107393","722929011874107393")</f>
        <v>722929011874107393</v>
      </c>
      <c r="F41" s="11" t="s">
        <v>48</v>
      </c>
      <c r="G41" s="11">
        <v>309</v>
      </c>
      <c r="H41" s="11">
        <v>201</v>
      </c>
      <c r="I41" s="11">
        <v>23</v>
      </c>
      <c r="J41" s="11">
        <v>0</v>
      </c>
      <c r="K41" s="11" t="s">
        <v>21</v>
      </c>
      <c r="L41" s="7">
        <v>40571.144479166665</v>
      </c>
      <c r="M41" s="12"/>
      <c r="N41" s="12"/>
      <c r="O41" s="10" t="str">
        <f>HYPERLINK("https://pbs.twimg.com/profile_images/378800000538868894/4b58611d16dd4db5af22f43af6033f57_normal.jpeg","View")</f>
        <v>View</v>
      </c>
      <c r="P41" s="11"/>
    </row>
    <row r="42" spans="1:16" ht="12.75" x14ac:dyDescent="0.35">
      <c r="A42" s="7">
        <v>42481.204652777778</v>
      </c>
      <c r="B42" s="8" t="str">
        <f>HYPERLINK("https://twitter.com/incanus77","@incanus77")</f>
        <v>@incanus77</v>
      </c>
      <c r="C42" s="9" t="s">
        <v>159</v>
      </c>
      <c r="D42" s="9" t="s">
        <v>19</v>
      </c>
      <c r="E42" s="10" t="str">
        <f>HYPERLINK("https://twitter.com/incanus77/status/722929012159356928","722929012159356928")</f>
        <v>722929012159356928</v>
      </c>
      <c r="F42" s="11" t="s">
        <v>160</v>
      </c>
      <c r="G42" s="11">
        <v>3612</v>
      </c>
      <c r="H42" s="11">
        <v>1046</v>
      </c>
      <c r="I42" s="11">
        <v>4</v>
      </c>
      <c r="J42" s="11">
        <v>0</v>
      </c>
      <c r="K42" s="11" t="s">
        <v>21</v>
      </c>
      <c r="L42" s="7">
        <v>39187.849814814814</v>
      </c>
      <c r="M42" s="12" t="s">
        <v>161</v>
      </c>
      <c r="N42" s="12" t="s">
        <v>162</v>
      </c>
      <c r="O42" s="10" t="str">
        <f>HYPERLINK("https://pbs.twimg.com/profile_images/1730880458/6611288273_3f2969e2e4_o_normal.jpg","View")</f>
        <v>View</v>
      </c>
      <c r="P42" s="11"/>
    </row>
    <row r="43" spans="1:16" ht="12.75" x14ac:dyDescent="0.35">
      <c r="A43" s="7">
        <v>42481.205312499995</v>
      </c>
      <c r="B43" s="8" t="str">
        <f>HYPERLINK("https://twitter.com/dan_infinity","@dan_infinity")</f>
        <v>@dan_infinity</v>
      </c>
      <c r="C43" s="9" t="s">
        <v>163</v>
      </c>
      <c r="D43" s="9" t="s">
        <v>164</v>
      </c>
      <c r="E43" s="10" t="str">
        <f>HYPERLINK("https://twitter.com/dan_infinity/status/722929251104788480","722929251104788480")</f>
        <v>722929251104788480</v>
      </c>
      <c r="F43" s="11" t="s">
        <v>48</v>
      </c>
      <c r="G43" s="11">
        <v>417</v>
      </c>
      <c r="H43" s="11">
        <v>851</v>
      </c>
      <c r="I43" s="11">
        <v>0</v>
      </c>
      <c r="J43" s="11">
        <v>0</v>
      </c>
      <c r="K43" s="11" t="s">
        <v>21</v>
      </c>
      <c r="L43" s="7">
        <v>39861.682384259257</v>
      </c>
      <c r="M43" s="12" t="s">
        <v>165</v>
      </c>
      <c r="N43" s="12" t="s">
        <v>166</v>
      </c>
      <c r="O43" s="10" t="str">
        <f>HYPERLINK("https://pbs.twimg.com/profile_images/674772208972111872/j_kUU3s__normal.jpg","View")</f>
        <v>View</v>
      </c>
      <c r="P43" s="11"/>
    </row>
    <row r="44" spans="1:16" ht="12.75" x14ac:dyDescent="0.35">
      <c r="A44" s="7">
        <v>42481.20694444445</v>
      </c>
      <c r="B44" s="8" t="str">
        <f>HYPERLINK("https://twitter.com/murphloomis","@murphloomis")</f>
        <v>@murphloomis</v>
      </c>
      <c r="C44" s="9" t="s">
        <v>167</v>
      </c>
      <c r="D44" s="9" t="s">
        <v>151</v>
      </c>
      <c r="E44" s="10" t="str">
        <f>HYPERLINK("https://twitter.com/murphloomis/status/722929843680198657","722929843680198657")</f>
        <v>722929843680198657</v>
      </c>
      <c r="F44" s="11" t="s">
        <v>20</v>
      </c>
      <c r="G44" s="11">
        <v>157</v>
      </c>
      <c r="H44" s="11">
        <v>545</v>
      </c>
      <c r="I44" s="11">
        <v>16</v>
      </c>
      <c r="J44" s="11">
        <v>0</v>
      </c>
      <c r="K44" s="11" t="s">
        <v>21</v>
      </c>
      <c r="L44" s="7">
        <v>41741.822847222225</v>
      </c>
      <c r="M44" s="12" t="s">
        <v>168</v>
      </c>
      <c r="N44" s="12" t="s">
        <v>169</v>
      </c>
      <c r="O44" s="10" t="str">
        <f>HYPERLINK("https://pbs.twimg.com/profile_images/708651707534745600/qkQs_f1L_normal.jpg","View")</f>
        <v>View</v>
      </c>
      <c r="P44" s="11"/>
    </row>
    <row r="45" spans="1:16" ht="12.75" x14ac:dyDescent="0.35">
      <c r="A45" s="7">
        <v>42481.206956018519</v>
      </c>
      <c r="B45" s="8" t="str">
        <f>HYPERLINK("https://twitter.com/thenewautonews","@thenewautonews")</f>
        <v>@thenewautonews</v>
      </c>
      <c r="C45" s="9" t="s">
        <v>170</v>
      </c>
      <c r="D45" s="9" t="s">
        <v>171</v>
      </c>
      <c r="E45" s="10" t="str">
        <f>HYPERLINK("https://twitter.com/thenewautonews/status/722929847844995074","722929847844995074")</f>
        <v>722929847844995074</v>
      </c>
      <c r="F45" s="11" t="s">
        <v>43</v>
      </c>
      <c r="G45" s="11">
        <v>5333</v>
      </c>
      <c r="H45" s="11">
        <v>5833</v>
      </c>
      <c r="I45" s="11">
        <v>65</v>
      </c>
      <c r="J45" s="11">
        <v>0</v>
      </c>
      <c r="K45" s="11" t="s">
        <v>21</v>
      </c>
      <c r="L45" s="7">
        <v>42260.915543981479</v>
      </c>
      <c r="M45" s="12" t="s">
        <v>172</v>
      </c>
      <c r="N45" s="12" t="s">
        <v>173</v>
      </c>
      <c r="O45" s="10" t="str">
        <f>HYPERLINK("https://pbs.twimg.com/profile_images/649749711885307904/rF5Jhht9_normal.png","View")</f>
        <v>View</v>
      </c>
      <c r="P45" s="11"/>
    </row>
    <row r="46" spans="1:16" ht="12.75" x14ac:dyDescent="0.35">
      <c r="A46" s="7">
        <v>42481.20716435185</v>
      </c>
      <c r="B46" s="8" t="str">
        <f>HYPERLINK("https://twitter.com/jamelise","@jamelise")</f>
        <v>@jamelise</v>
      </c>
      <c r="C46" s="9" t="s">
        <v>174</v>
      </c>
      <c r="D46" s="9" t="s">
        <v>151</v>
      </c>
      <c r="E46" s="10" t="str">
        <f>HYPERLINK("https://twitter.com/jamelise/status/722929922700914689","722929922700914689")</f>
        <v>722929922700914689</v>
      </c>
      <c r="F46" s="11" t="s">
        <v>152</v>
      </c>
      <c r="G46" s="11">
        <v>120</v>
      </c>
      <c r="H46" s="11">
        <v>68</v>
      </c>
      <c r="I46" s="11">
        <v>16</v>
      </c>
      <c r="J46" s="11">
        <v>0</v>
      </c>
      <c r="K46" s="11" t="s">
        <v>21</v>
      </c>
      <c r="L46" s="7">
        <v>39924.847824074073</v>
      </c>
      <c r="M46" s="12"/>
      <c r="N46" s="12" t="s">
        <v>175</v>
      </c>
      <c r="O46" s="10" t="str">
        <f>HYPERLINK("https://pbs.twimg.com/profile_images/426116134018899969/MsH4oK1S_normal.jpeg","View")</f>
        <v>View</v>
      </c>
      <c r="P46" s="11"/>
    </row>
    <row r="47" spans="1:16" ht="12.75" x14ac:dyDescent="0.35">
      <c r="A47" s="7">
        <v>42481.207361111112</v>
      </c>
      <c r="B47" s="8" t="str">
        <f t="shared" ref="B47:B49" si="2">HYPERLINK("https://twitter.com/OnlineCarReview","@OnlineCarReview")</f>
        <v>@OnlineCarReview</v>
      </c>
      <c r="C47" s="9" t="s">
        <v>176</v>
      </c>
      <c r="D47" s="9" t="s">
        <v>177</v>
      </c>
      <c r="E47" s="10" t="str">
        <f>HYPERLINK("https://twitter.com/OnlineCarReview/status/722929993337012226","722929993337012226")</f>
        <v>722929993337012226</v>
      </c>
      <c r="F47" s="11" t="s">
        <v>34</v>
      </c>
      <c r="G47" s="11">
        <v>839</v>
      </c>
      <c r="H47" s="11">
        <v>568</v>
      </c>
      <c r="I47" s="11">
        <v>0</v>
      </c>
      <c r="J47" s="11">
        <v>0</v>
      </c>
      <c r="K47" s="11" t="s">
        <v>21</v>
      </c>
      <c r="L47" s="7">
        <v>42282.979201388887</v>
      </c>
      <c r="M47" s="12"/>
      <c r="N47" s="12" t="s">
        <v>178</v>
      </c>
      <c r="O47" s="10" t="str">
        <f t="shared" ref="O47:O49" si="3">HYPERLINK("https://pbs.twimg.com/profile_images/652871584131092480/QA_B6SBO_normal.jpg","View")</f>
        <v>View</v>
      </c>
      <c r="P47" s="11"/>
    </row>
    <row r="48" spans="1:16" ht="12.75" x14ac:dyDescent="0.35">
      <c r="A48" s="7">
        <v>42481.207361111112</v>
      </c>
      <c r="B48" s="8" t="str">
        <f t="shared" si="2"/>
        <v>@OnlineCarReview</v>
      </c>
      <c r="C48" s="9" t="s">
        <v>176</v>
      </c>
      <c r="D48" s="9" t="s">
        <v>179</v>
      </c>
      <c r="E48" s="10" t="str">
        <f>HYPERLINK("https://twitter.com/OnlineCarReview/status/722929994427604992","722929994427604992")</f>
        <v>722929994427604992</v>
      </c>
      <c r="F48" s="11" t="s">
        <v>34</v>
      </c>
      <c r="G48" s="11">
        <v>839</v>
      </c>
      <c r="H48" s="11">
        <v>568</v>
      </c>
      <c r="I48" s="11">
        <v>0</v>
      </c>
      <c r="J48" s="11">
        <v>0</v>
      </c>
      <c r="K48" s="11" t="s">
        <v>21</v>
      </c>
      <c r="L48" s="7">
        <v>42282.979201388887</v>
      </c>
      <c r="M48" s="12"/>
      <c r="N48" s="12" t="s">
        <v>178</v>
      </c>
      <c r="O48" s="10" t="str">
        <f t="shared" si="3"/>
        <v>View</v>
      </c>
      <c r="P48" s="11"/>
    </row>
    <row r="49" spans="1:16" ht="12.75" x14ac:dyDescent="0.35">
      <c r="A49" s="7">
        <v>42481.207361111112</v>
      </c>
      <c r="B49" s="8" t="str">
        <f t="shared" si="2"/>
        <v>@OnlineCarReview</v>
      </c>
      <c r="C49" s="9" t="s">
        <v>176</v>
      </c>
      <c r="D49" s="9" t="s">
        <v>180</v>
      </c>
      <c r="E49" s="10" t="str">
        <f>HYPERLINK("https://twitter.com/OnlineCarReview/status/722929995446759424","722929995446759424")</f>
        <v>722929995446759424</v>
      </c>
      <c r="F49" s="11" t="s">
        <v>34</v>
      </c>
      <c r="G49" s="11">
        <v>839</v>
      </c>
      <c r="H49" s="11">
        <v>568</v>
      </c>
      <c r="I49" s="11">
        <v>0</v>
      </c>
      <c r="J49" s="11">
        <v>0</v>
      </c>
      <c r="K49" s="11" t="s">
        <v>21</v>
      </c>
      <c r="L49" s="7">
        <v>42282.979201388887</v>
      </c>
      <c r="M49" s="12"/>
      <c r="N49" s="12" t="s">
        <v>178</v>
      </c>
      <c r="O49" s="10" t="str">
        <f t="shared" si="3"/>
        <v>View</v>
      </c>
      <c r="P49" s="11"/>
    </row>
    <row r="50" spans="1:16" ht="12.75" x14ac:dyDescent="0.35">
      <c r="A50" s="7">
        <v>42481.208020833335</v>
      </c>
      <c r="B50" s="8" t="str">
        <f>HYPERLINK("https://twitter.com/Insta_VWT","@Insta_VWT")</f>
        <v>@Insta_VWT</v>
      </c>
      <c r="C50" s="9" t="s">
        <v>181</v>
      </c>
      <c r="D50" s="9" t="s">
        <v>182</v>
      </c>
      <c r="E50" s="10" t="str">
        <f>HYPERLINK("https://twitter.com/Insta_VWT/status/722930230516695040","722930230516695040")</f>
        <v>722930230516695040</v>
      </c>
      <c r="F50" s="11" t="s">
        <v>68</v>
      </c>
      <c r="G50" s="11">
        <v>480</v>
      </c>
      <c r="H50" s="11">
        <v>0</v>
      </c>
      <c r="I50" s="11">
        <v>1</v>
      </c>
      <c r="J50" s="11">
        <v>2</v>
      </c>
      <c r="K50" s="11" t="s">
        <v>21</v>
      </c>
      <c r="L50" s="7">
        <v>41658.782800925925</v>
      </c>
      <c r="M50" s="12" t="s">
        <v>183</v>
      </c>
      <c r="N50" s="12" t="s">
        <v>184</v>
      </c>
      <c r="O50" s="10" t="str">
        <f>HYPERLINK("https://pbs.twimg.com/profile_images/424893967197433858/iQ86NktX_normal.jpeg","View")</f>
        <v>View</v>
      </c>
      <c r="P50" s="11"/>
    </row>
    <row r="51" spans="1:16" ht="12.75" x14ac:dyDescent="0.35">
      <c r="A51" s="7">
        <v>42481.20857638889</v>
      </c>
      <c r="B51" s="8" t="str">
        <f>HYPERLINK("https://twitter.com/VeeDubMk1_","@VeeDubMk1_")</f>
        <v>@VeeDubMk1_</v>
      </c>
      <c r="C51" s="9" t="s">
        <v>185</v>
      </c>
      <c r="D51" s="9" t="s">
        <v>186</v>
      </c>
      <c r="E51" s="10" t="str">
        <f>HYPERLINK("https://twitter.com/VeeDubMk1_/status/722930433726537728","722930433726537728")</f>
        <v>722930433726537728</v>
      </c>
      <c r="F51" s="11" t="s">
        <v>68</v>
      </c>
      <c r="G51" s="11">
        <v>545</v>
      </c>
      <c r="H51" s="11">
        <v>3527</v>
      </c>
      <c r="I51" s="11">
        <v>0</v>
      </c>
      <c r="J51" s="11">
        <v>1</v>
      </c>
      <c r="K51" s="11" t="s">
        <v>21</v>
      </c>
      <c r="L51" s="7">
        <v>42343.063356481478</v>
      </c>
      <c r="M51" s="12"/>
      <c r="N51" s="12"/>
      <c r="O51" s="10" t="str">
        <f>HYPERLINK("https://pbs.twimg.com/profile_images/672878354127839232/M7OYc-zx_normal.jpg","View")</f>
        <v>View</v>
      </c>
      <c r="P51" s="11"/>
    </row>
    <row r="52" spans="1:16" ht="12.75" x14ac:dyDescent="0.35">
      <c r="A52" s="7">
        <v>42481.209502314814</v>
      </c>
      <c r="B52" s="8" t="str">
        <f>HYPERLINK("https://twitter.com/hashtagvanlife","@hashtagvanlife")</f>
        <v>@hashtagvanlife</v>
      </c>
      <c r="C52" s="9" t="s">
        <v>187</v>
      </c>
      <c r="D52" s="9" t="s">
        <v>188</v>
      </c>
      <c r="E52" s="10" t="str">
        <f>HYPERLINK("https://twitter.com/hashtagvanlife/status/722930771212791808","722930771212791808")</f>
        <v>722930771212791808</v>
      </c>
      <c r="F52" s="11" t="s">
        <v>189</v>
      </c>
      <c r="G52" s="11">
        <v>1016</v>
      </c>
      <c r="H52" s="11">
        <v>29</v>
      </c>
      <c r="I52" s="11">
        <v>1</v>
      </c>
      <c r="J52" s="11">
        <v>0</v>
      </c>
      <c r="K52" s="11" t="s">
        <v>21</v>
      </c>
      <c r="L52" s="7">
        <v>42289.994583333333</v>
      </c>
      <c r="M52" s="12"/>
      <c r="N52" s="12" t="s">
        <v>190</v>
      </c>
      <c r="O52" s="10" t="str">
        <f>HYPERLINK("https://pbs.twimg.com/profile_images/653637535545995264/gHuXQ5Bt_normal.jpg","View")</f>
        <v>View</v>
      </c>
      <c r="P52" s="11"/>
    </row>
    <row r="53" spans="1:16" ht="12.75" x14ac:dyDescent="0.35">
      <c r="A53" s="7">
        <v>42481.209826388891</v>
      </c>
      <c r="B53" s="8" t="str">
        <f>HYPERLINK("https://twitter.com/jyarmis","@jyarmis")</f>
        <v>@jyarmis</v>
      </c>
      <c r="C53" s="9" t="s">
        <v>191</v>
      </c>
      <c r="D53" s="9" t="s">
        <v>192</v>
      </c>
      <c r="E53" s="10" t="str">
        <f>HYPERLINK("https://twitter.com/jyarmis/status/722930887638126593","722930887638126593")</f>
        <v>722930887638126593</v>
      </c>
      <c r="F53" s="11" t="s">
        <v>193</v>
      </c>
      <c r="G53" s="11">
        <v>7559</v>
      </c>
      <c r="H53" s="11">
        <v>7837</v>
      </c>
      <c r="I53" s="11">
        <v>0</v>
      </c>
      <c r="J53" s="11">
        <v>0</v>
      </c>
      <c r="K53" s="11" t="s">
        <v>21</v>
      </c>
      <c r="L53" s="7">
        <v>39319.29142361111</v>
      </c>
      <c r="M53" s="12" t="s">
        <v>194</v>
      </c>
      <c r="N53" s="12" t="s">
        <v>195</v>
      </c>
      <c r="O53" s="10" t="str">
        <f>HYPERLINK("https://pbs.twimg.com/profile_images/2701034445/64fd9e6e414510aa09faefbaa5ac8e7d_normal.jpeg","View")</f>
        <v>View</v>
      </c>
      <c r="P53" s="11"/>
    </row>
    <row r="54" spans="1:16" ht="12.75" x14ac:dyDescent="0.35">
      <c r="A54" s="7">
        <v>42481.210960648154</v>
      </c>
      <c r="B54" s="8" t="str">
        <f>HYPERLINK("https://twitter.com/ThoughtsToPondr","@ThoughtsToPondr")</f>
        <v>@ThoughtsToPondr</v>
      </c>
      <c r="C54" s="9" t="s">
        <v>196</v>
      </c>
      <c r="D54" s="9" t="s">
        <v>197</v>
      </c>
      <c r="E54" s="10" t="str">
        <f>HYPERLINK("https://twitter.com/ThoughtsToPondr/status/722931299086938112","722931299086938112")</f>
        <v>722931299086938112</v>
      </c>
      <c r="F54" s="11" t="s">
        <v>53</v>
      </c>
      <c r="G54" s="11">
        <v>1</v>
      </c>
      <c r="H54" s="11">
        <v>4</v>
      </c>
      <c r="I54" s="11">
        <v>0</v>
      </c>
      <c r="J54" s="11">
        <v>0</v>
      </c>
      <c r="K54" s="11" t="s">
        <v>21</v>
      </c>
      <c r="L54" s="7">
        <v>41968.861770833333</v>
      </c>
      <c r="M54" s="12" t="s">
        <v>198</v>
      </c>
      <c r="N54" s="12"/>
      <c r="O54" s="10" t="str">
        <f>HYPERLINK("https://pbs.twimg.com/profile_images/693095514821255169/T33S6NtY_normal.jpg","View")</f>
        <v>View</v>
      </c>
      <c r="P54" s="11"/>
    </row>
    <row r="55" spans="1:16" ht="12.75" x14ac:dyDescent="0.35">
      <c r="A55" s="7">
        <v>42481.211909722224</v>
      </c>
      <c r="B55" s="8" t="str">
        <f t="shared" ref="B55:B59" si="4">HYPERLINK("https://twitter.com/VCT_Tweets","@VCT_Tweets")</f>
        <v>@VCT_Tweets</v>
      </c>
      <c r="C55" s="9" t="s">
        <v>199</v>
      </c>
      <c r="D55" s="9" t="s">
        <v>200</v>
      </c>
      <c r="E55" s="10" t="str">
        <f>HYPERLINK("https://twitter.com/VCT_Tweets/status/722931640859762688","722931640859762688")</f>
        <v>722931640859762688</v>
      </c>
      <c r="F55" s="11" t="s">
        <v>68</v>
      </c>
      <c r="G55" s="11">
        <v>884</v>
      </c>
      <c r="H55" s="11">
        <v>211</v>
      </c>
      <c r="I55" s="11">
        <v>0</v>
      </c>
      <c r="J55" s="11">
        <v>1</v>
      </c>
      <c r="K55" s="11" t="s">
        <v>21</v>
      </c>
      <c r="L55" s="7">
        <v>40744.914837962962</v>
      </c>
      <c r="M55" s="12" t="s">
        <v>201</v>
      </c>
      <c r="N55" s="12" t="s">
        <v>202</v>
      </c>
      <c r="O55" s="10" t="str">
        <f t="shared" ref="O55:O59" si="5">HYPERLINK("https://pbs.twimg.com/profile_images/569800899141177344/nVFLMSdb_normal.png","View")</f>
        <v>View</v>
      </c>
      <c r="P55" s="11"/>
    </row>
    <row r="56" spans="1:16" ht="12.75" x14ac:dyDescent="0.35">
      <c r="A56" s="7">
        <v>42481.21193287037</v>
      </c>
      <c r="B56" s="8" t="str">
        <f t="shared" si="4"/>
        <v>@VCT_Tweets</v>
      </c>
      <c r="C56" s="9" t="s">
        <v>199</v>
      </c>
      <c r="D56" s="9" t="s">
        <v>203</v>
      </c>
      <c r="E56" s="10" t="str">
        <f>HYPERLINK("https://twitter.com/VCT_Tweets/status/722931652150837248","722931652150837248")</f>
        <v>722931652150837248</v>
      </c>
      <c r="F56" s="11" t="s">
        <v>68</v>
      </c>
      <c r="G56" s="11">
        <v>884</v>
      </c>
      <c r="H56" s="11">
        <v>211</v>
      </c>
      <c r="I56" s="11">
        <v>0</v>
      </c>
      <c r="J56" s="11">
        <v>1</v>
      </c>
      <c r="K56" s="11" t="s">
        <v>21</v>
      </c>
      <c r="L56" s="7">
        <v>40744.914837962962</v>
      </c>
      <c r="M56" s="12" t="s">
        <v>201</v>
      </c>
      <c r="N56" s="12" t="s">
        <v>202</v>
      </c>
      <c r="O56" s="10" t="str">
        <f t="shared" si="5"/>
        <v>View</v>
      </c>
      <c r="P56" s="11"/>
    </row>
    <row r="57" spans="1:16" ht="12.75" x14ac:dyDescent="0.35">
      <c r="A57" s="7">
        <v>42481.211967592593</v>
      </c>
      <c r="B57" s="8" t="str">
        <f t="shared" si="4"/>
        <v>@VCT_Tweets</v>
      </c>
      <c r="C57" s="9" t="s">
        <v>199</v>
      </c>
      <c r="D57" s="9" t="s">
        <v>204</v>
      </c>
      <c r="E57" s="10" t="str">
        <f>HYPERLINK("https://twitter.com/VCT_Tweets/status/722931662481395712","722931662481395712")</f>
        <v>722931662481395712</v>
      </c>
      <c r="F57" s="11" t="s">
        <v>68</v>
      </c>
      <c r="G57" s="11">
        <v>884</v>
      </c>
      <c r="H57" s="11">
        <v>211</v>
      </c>
      <c r="I57" s="11">
        <v>0</v>
      </c>
      <c r="J57" s="11">
        <v>1</v>
      </c>
      <c r="K57" s="11" t="s">
        <v>21</v>
      </c>
      <c r="L57" s="7">
        <v>40744.914837962962</v>
      </c>
      <c r="M57" s="12" t="s">
        <v>201</v>
      </c>
      <c r="N57" s="12" t="s">
        <v>202</v>
      </c>
      <c r="O57" s="10" t="str">
        <f t="shared" si="5"/>
        <v>View</v>
      </c>
      <c r="P57" s="11"/>
    </row>
    <row r="58" spans="1:16" ht="12.75" x14ac:dyDescent="0.35">
      <c r="A58" s="7">
        <v>42481.212013888886</v>
      </c>
      <c r="B58" s="8" t="str">
        <f t="shared" si="4"/>
        <v>@VCT_Tweets</v>
      </c>
      <c r="C58" s="9" t="s">
        <v>199</v>
      </c>
      <c r="D58" s="9" t="s">
        <v>205</v>
      </c>
      <c r="E58" s="10" t="str">
        <f>HYPERLINK("https://twitter.com/VCT_Tweets/status/722931678117814272","722931678117814272")</f>
        <v>722931678117814272</v>
      </c>
      <c r="F58" s="11" t="s">
        <v>68</v>
      </c>
      <c r="G58" s="11">
        <v>884</v>
      </c>
      <c r="H58" s="11">
        <v>211</v>
      </c>
      <c r="I58" s="11">
        <v>0</v>
      </c>
      <c r="J58" s="11">
        <v>1</v>
      </c>
      <c r="K58" s="11" t="s">
        <v>21</v>
      </c>
      <c r="L58" s="7">
        <v>40744.914837962962</v>
      </c>
      <c r="M58" s="12" t="s">
        <v>201</v>
      </c>
      <c r="N58" s="12" t="s">
        <v>202</v>
      </c>
      <c r="O58" s="10" t="str">
        <f t="shared" si="5"/>
        <v>View</v>
      </c>
      <c r="P58" s="11"/>
    </row>
    <row r="59" spans="1:16" ht="12.75" x14ac:dyDescent="0.35">
      <c r="A59" s="7">
        <v>42481.212071759262</v>
      </c>
      <c r="B59" s="8" t="str">
        <f t="shared" si="4"/>
        <v>@VCT_Tweets</v>
      </c>
      <c r="C59" s="9" t="s">
        <v>199</v>
      </c>
      <c r="D59" s="9" t="s">
        <v>206</v>
      </c>
      <c r="E59" s="10" t="str">
        <f>HYPERLINK("https://twitter.com/VCT_Tweets/status/722931701538795520","722931701538795520")</f>
        <v>722931701538795520</v>
      </c>
      <c r="F59" s="11" t="s">
        <v>68</v>
      </c>
      <c r="G59" s="11">
        <v>884</v>
      </c>
      <c r="H59" s="11">
        <v>211</v>
      </c>
      <c r="I59" s="11">
        <v>0</v>
      </c>
      <c r="J59" s="11">
        <v>1</v>
      </c>
      <c r="K59" s="11" t="s">
        <v>21</v>
      </c>
      <c r="L59" s="7">
        <v>40744.914837962962</v>
      </c>
      <c r="M59" s="12" t="s">
        <v>201</v>
      </c>
      <c r="N59" s="12" t="s">
        <v>202</v>
      </c>
      <c r="O59" s="10" t="str">
        <f t="shared" si="5"/>
        <v>View</v>
      </c>
      <c r="P59" s="11"/>
    </row>
    <row r="60" spans="1:16" ht="12.75" x14ac:dyDescent="0.35">
      <c r="A60" s="7">
        <v>42481.214131944449</v>
      </c>
      <c r="B60" s="8" t="str">
        <f>HYPERLINK("https://twitter.com/ARAinLA","@ARAinLA")</f>
        <v>@ARAinLA</v>
      </c>
      <c r="C60" s="9" t="s">
        <v>207</v>
      </c>
      <c r="D60" s="9" t="s">
        <v>208</v>
      </c>
      <c r="E60" s="10" t="str">
        <f>HYPERLINK("https://twitter.com/ARAinLA/status/722932447688527872","722932447688527872")</f>
        <v>722932447688527872</v>
      </c>
      <c r="F60" s="11" t="s">
        <v>193</v>
      </c>
      <c r="G60" s="11">
        <v>984</v>
      </c>
      <c r="H60" s="11">
        <v>2033</v>
      </c>
      <c r="I60" s="11">
        <v>0</v>
      </c>
      <c r="J60" s="11">
        <v>0</v>
      </c>
      <c r="K60" s="11" t="s">
        <v>21</v>
      </c>
      <c r="L60" s="7">
        <v>39841.963888888888</v>
      </c>
      <c r="M60" s="12" t="s">
        <v>209</v>
      </c>
      <c r="N60" s="12" t="s">
        <v>210</v>
      </c>
      <c r="O60" s="10" t="str">
        <f>HYPERLINK("https://pbs.twimg.com/profile_images/716275254285377537/osAIJRRC_normal.jpg","View")</f>
        <v>View</v>
      </c>
      <c r="P60" s="11"/>
    </row>
    <row r="61" spans="1:16" ht="12.75" x14ac:dyDescent="0.35">
      <c r="A61" s="7">
        <v>42481.214432870373</v>
      </c>
      <c r="B61" s="8" t="str">
        <f>HYPERLINK("https://twitter.com/Lindsay_VW","@Lindsay_VW")</f>
        <v>@Lindsay_VW</v>
      </c>
      <c r="C61" s="9" t="s">
        <v>211</v>
      </c>
      <c r="D61" s="9" t="s">
        <v>212</v>
      </c>
      <c r="E61" s="10" t="str">
        <f>HYPERLINK("https://twitter.com/Lindsay_VW/status/722932557319430145","722932557319430145")</f>
        <v>722932557319430145</v>
      </c>
      <c r="F61" s="11" t="s">
        <v>213</v>
      </c>
      <c r="G61" s="11">
        <v>4668</v>
      </c>
      <c r="H61" s="11">
        <v>4338</v>
      </c>
      <c r="I61" s="11">
        <v>1</v>
      </c>
      <c r="J61" s="11">
        <v>0</v>
      </c>
      <c r="K61" s="11" t="s">
        <v>21</v>
      </c>
      <c r="L61" s="7">
        <v>39872.963599537034</v>
      </c>
      <c r="M61" s="12" t="s">
        <v>214</v>
      </c>
      <c r="N61" s="12" t="s">
        <v>215</v>
      </c>
      <c r="O61" s="10" t="str">
        <f>HYPERLINK("https://pbs.twimg.com/profile_images/716020780899807232/fnaRfVpE_normal.jpg","View")</f>
        <v>View</v>
      </c>
      <c r="P61" s="11"/>
    </row>
    <row r="62" spans="1:16" ht="12.75" x14ac:dyDescent="0.35">
      <c r="A62" s="7">
        <v>42481.215381944443</v>
      </c>
      <c r="B62" s="8" t="str">
        <f>HYPERLINK("https://twitter.com/VWCamperSales","@VWCamperSales")</f>
        <v>@VWCamperSales</v>
      </c>
      <c r="C62" s="9" t="s">
        <v>216</v>
      </c>
      <c r="D62" s="9" t="s">
        <v>217</v>
      </c>
      <c r="E62" s="10" t="str">
        <f>HYPERLINK("https://twitter.com/VWCamperSales/status/722932899431841792","722932899431841792")</f>
        <v>722932899431841792</v>
      </c>
      <c r="F62" s="10" t="s">
        <v>124</v>
      </c>
      <c r="G62" s="11">
        <v>615</v>
      </c>
      <c r="H62" s="11">
        <v>580</v>
      </c>
      <c r="I62" s="11">
        <v>0</v>
      </c>
      <c r="J62" s="11">
        <v>1</v>
      </c>
      <c r="K62" s="11" t="s">
        <v>21</v>
      </c>
      <c r="L62" s="7">
        <v>42215.98809027778</v>
      </c>
      <c r="M62" s="12" t="s">
        <v>129</v>
      </c>
      <c r="N62" s="12" t="s">
        <v>218</v>
      </c>
      <c r="O62" s="10" t="str">
        <f>HYPERLINK("https://pbs.twimg.com/profile_images/627949001179037696/skEBkS05_normal.jpg","View")</f>
        <v>View</v>
      </c>
      <c r="P62" s="11"/>
    </row>
    <row r="63" spans="1:16" ht="12.75" x14ac:dyDescent="0.35">
      <c r="A63" s="7">
        <v>42481.215509259258</v>
      </c>
      <c r="B63" s="8" t="str">
        <f>HYPERLINK("https://twitter.com/Lindsay_VW","@Lindsay_VW")</f>
        <v>@Lindsay_VW</v>
      </c>
      <c r="C63" s="9" t="s">
        <v>211</v>
      </c>
      <c r="D63" s="9" t="s">
        <v>219</v>
      </c>
      <c r="E63" s="10" t="str">
        <f>HYPERLINK("https://twitter.com/Lindsay_VW/status/722932944357236736","722932944357236736")</f>
        <v>722932944357236736</v>
      </c>
      <c r="F63" s="11" t="s">
        <v>213</v>
      </c>
      <c r="G63" s="11">
        <v>4668</v>
      </c>
      <c r="H63" s="11">
        <v>4338</v>
      </c>
      <c r="I63" s="11">
        <v>1</v>
      </c>
      <c r="J63" s="11">
        <v>0</v>
      </c>
      <c r="K63" s="11" t="s">
        <v>21</v>
      </c>
      <c r="L63" s="7">
        <v>39872.963599537034</v>
      </c>
      <c r="M63" s="12" t="s">
        <v>214</v>
      </c>
      <c r="N63" s="12" t="s">
        <v>215</v>
      </c>
      <c r="O63" s="10" t="str">
        <f>HYPERLINK("https://pbs.twimg.com/profile_images/716020780899807232/fnaRfVpE_normal.jpg","View")</f>
        <v>View</v>
      </c>
      <c r="P63" s="11"/>
    </row>
    <row r="64" spans="1:16" ht="12.75" x14ac:dyDescent="0.35">
      <c r="A64" s="7">
        <v>42481.215914351851</v>
      </c>
      <c r="B64" s="8" t="str">
        <f>HYPERLINK("https://twitter.com/SCGsoflo","@SCGsoflo")</f>
        <v>@SCGsoflo</v>
      </c>
      <c r="C64" s="9" t="s">
        <v>220</v>
      </c>
      <c r="D64" s="9" t="s">
        <v>221</v>
      </c>
      <c r="E64" s="10" t="str">
        <f>HYPERLINK("https://twitter.com/SCGsoflo/status/722933093267419136","722933093267419136")</f>
        <v>722933093267419136</v>
      </c>
      <c r="F64" s="11" t="s">
        <v>114</v>
      </c>
      <c r="G64" s="11">
        <v>320</v>
      </c>
      <c r="H64" s="11">
        <v>96</v>
      </c>
      <c r="I64" s="11">
        <v>0</v>
      </c>
      <c r="J64" s="11">
        <v>1</v>
      </c>
      <c r="K64" s="11" t="s">
        <v>21</v>
      </c>
      <c r="L64" s="7">
        <v>41515.987268518518</v>
      </c>
      <c r="M64" s="12" t="s">
        <v>222</v>
      </c>
      <c r="N64" s="12" t="s">
        <v>223</v>
      </c>
      <c r="O64" s="10" t="str">
        <f>HYPERLINK("https://pbs.twimg.com/profile_images/717892743075340288/Xxt7RaLM_normal.jpg","View")</f>
        <v>View</v>
      </c>
      <c r="P64" s="11"/>
    </row>
    <row r="65" spans="1:16" ht="12.75" x14ac:dyDescent="0.35">
      <c r="A65" s="7">
        <v>42481.216550925921</v>
      </c>
      <c r="B65" s="8" t="str">
        <f>HYPERLINK("https://twitter.com/1111Tony","@1111Tony")</f>
        <v>@1111Tony</v>
      </c>
      <c r="C65" s="9" t="s">
        <v>224</v>
      </c>
      <c r="D65" s="9" t="s">
        <v>225</v>
      </c>
      <c r="E65" s="10" t="str">
        <f>HYPERLINK("https://twitter.com/1111Tony/status/722933323794923520","722933323794923520")</f>
        <v>722933323794923520</v>
      </c>
      <c r="F65" s="11" t="s">
        <v>68</v>
      </c>
      <c r="G65" s="11">
        <v>1020</v>
      </c>
      <c r="H65" s="11">
        <v>1645</v>
      </c>
      <c r="I65" s="11">
        <v>0</v>
      </c>
      <c r="J65" s="11">
        <v>0</v>
      </c>
      <c r="K65" s="11" t="s">
        <v>21</v>
      </c>
      <c r="L65" s="7">
        <v>40010.820104166669</v>
      </c>
      <c r="M65" s="12" t="s">
        <v>226</v>
      </c>
      <c r="N65" s="12" t="s">
        <v>227</v>
      </c>
      <c r="O65" s="10" t="str">
        <f>HYPERLINK("https://pbs.twimg.com/profile_images/710089607652593666/xKw1qnN2_normal.jpg","View")</f>
        <v>View</v>
      </c>
      <c r="P65" s="11"/>
    </row>
    <row r="66" spans="1:16" ht="12.75" x14ac:dyDescent="0.35">
      <c r="A66" s="7">
        <v>42481.217233796298</v>
      </c>
      <c r="B66" s="8" t="str">
        <f>HYPERLINK("https://twitter.com/JahiirHdez","@JahiirHdez")</f>
        <v>@JahiirHdez</v>
      </c>
      <c r="C66" s="9" t="s">
        <v>228</v>
      </c>
      <c r="D66" s="9" t="s">
        <v>229</v>
      </c>
      <c r="E66" s="10" t="str">
        <f>HYPERLINK("https://twitter.com/JahiirHdez/status/722933572277907456","722933572277907456")</f>
        <v>722933572277907456</v>
      </c>
      <c r="F66" s="11" t="s">
        <v>48</v>
      </c>
      <c r="G66" s="11">
        <v>17</v>
      </c>
      <c r="H66" s="11">
        <v>122</v>
      </c>
      <c r="I66" s="11">
        <v>0</v>
      </c>
      <c r="J66" s="11">
        <v>1</v>
      </c>
      <c r="K66" s="11" t="s">
        <v>21</v>
      </c>
      <c r="L66" s="7">
        <v>42465.841886574075</v>
      </c>
      <c r="M66" s="12" t="s">
        <v>230</v>
      </c>
      <c r="N66" s="12"/>
      <c r="O66" s="10" t="str">
        <f>HYPERLINK("https://pbs.twimg.com/profile_images/717367617393004544/YoABeH1n_normal.jpg","View")</f>
        <v>View</v>
      </c>
      <c r="P66" s="11"/>
    </row>
    <row r="67" spans="1:16" ht="12.75" x14ac:dyDescent="0.35">
      <c r="A67" s="7">
        <v>42481.222187499996</v>
      </c>
      <c r="B67" s="8" t="str">
        <f>HYPERLINK("https://twitter.com/Ersoy_50","@Ersoy_50")</f>
        <v>@Ersoy_50</v>
      </c>
      <c r="C67" s="9" t="s">
        <v>231</v>
      </c>
      <c r="D67" s="9" t="s">
        <v>232</v>
      </c>
      <c r="E67" s="10" t="str">
        <f>HYPERLINK("https://twitter.com/Ersoy_50/status/722935367767298048","722935367767298048")</f>
        <v>722935367767298048</v>
      </c>
      <c r="F67" s="11" t="s">
        <v>20</v>
      </c>
      <c r="G67" s="11">
        <v>3452</v>
      </c>
      <c r="H67" s="11">
        <v>3516</v>
      </c>
      <c r="I67" s="11">
        <v>0</v>
      </c>
      <c r="J67" s="11">
        <v>0</v>
      </c>
      <c r="K67" s="11" t="s">
        <v>21</v>
      </c>
      <c r="L67" s="7">
        <v>40986.217199074075</v>
      </c>
      <c r="M67" s="12"/>
      <c r="N67" s="12" t="s">
        <v>233</v>
      </c>
      <c r="O67" s="10" t="str">
        <f>HYPERLINK("https://pbs.twimg.com/profile_images/672213374206402560/QB5b3iyi_normal.jpg","View")</f>
        <v>View</v>
      </c>
      <c r="P67" s="11"/>
    </row>
    <row r="68" spans="1:16" ht="12.75" x14ac:dyDescent="0.35">
      <c r="A68" s="7">
        <v>42481.222546296296</v>
      </c>
      <c r="B68" s="8" t="str">
        <f>HYPERLINK("https://twitter.com/Scirocco_Tuning","@Scirocco_Tuning")</f>
        <v>@Scirocco_Tuning</v>
      </c>
      <c r="C68" s="9" t="s">
        <v>51</v>
      </c>
      <c r="D68" s="9" t="s">
        <v>234</v>
      </c>
      <c r="E68" s="10" t="str">
        <f>HYPERLINK("https://twitter.com/Scirocco_Tuning/status/722935495739777024","722935495739777024")</f>
        <v>722935495739777024</v>
      </c>
      <c r="F68" s="11" t="s">
        <v>53</v>
      </c>
      <c r="G68" s="11">
        <v>69</v>
      </c>
      <c r="H68" s="11">
        <v>215</v>
      </c>
      <c r="I68" s="11">
        <v>0</v>
      </c>
      <c r="J68" s="11">
        <v>0</v>
      </c>
      <c r="K68" s="11" t="s">
        <v>21</v>
      </c>
      <c r="L68" s="7">
        <v>40844.564722222218</v>
      </c>
      <c r="M68" s="12"/>
      <c r="N68" s="12"/>
      <c r="O68" s="10" t="str">
        <f>HYPERLINK("https://pbs.twimg.com/profile_images/1610421423/Image2_normal.jpg","View")</f>
        <v>View</v>
      </c>
      <c r="P68" s="11"/>
    </row>
    <row r="69" spans="1:16" ht="12.75" x14ac:dyDescent="0.35">
      <c r="A69" s="7">
        <v>42481.226851851854</v>
      </c>
      <c r="B69" s="8" t="str">
        <f>HYPERLINK("https://twitter.com/MilapNPatel","@MilapNPatel")</f>
        <v>@MilapNPatel</v>
      </c>
      <c r="C69" s="9" t="s">
        <v>235</v>
      </c>
      <c r="D69" s="9" t="s">
        <v>236</v>
      </c>
      <c r="E69" s="10" t="str">
        <f>HYPERLINK("https://twitter.com/MilapNPatel/status/722937055190261760","722937055190261760")</f>
        <v>722937055190261760</v>
      </c>
      <c r="F69" s="11" t="s">
        <v>43</v>
      </c>
      <c r="G69" s="11">
        <v>327</v>
      </c>
      <c r="H69" s="11">
        <v>644</v>
      </c>
      <c r="I69" s="11">
        <v>0</v>
      </c>
      <c r="J69" s="11">
        <v>0</v>
      </c>
      <c r="K69" s="11" t="s">
        <v>21</v>
      </c>
      <c r="L69" s="7">
        <v>40799.855416666665</v>
      </c>
      <c r="M69" s="12" t="s">
        <v>237</v>
      </c>
      <c r="N69" s="12" t="s">
        <v>238</v>
      </c>
      <c r="O69" s="10" t="str">
        <f>HYPERLINK("https://pbs.twimg.com/profile_images/663928844462587904/sse66ZqZ_normal.jpg","View")</f>
        <v>View</v>
      </c>
      <c r="P69" s="11"/>
    </row>
    <row r="70" spans="1:16" ht="12.75" x14ac:dyDescent="0.35">
      <c r="A70" s="7">
        <v>42481.228136574078</v>
      </c>
      <c r="B70" s="8" t="str">
        <f>HYPERLINK("https://twitter.com/drumwom","@drumwom")</f>
        <v>@drumwom</v>
      </c>
      <c r="C70" s="9" t="s">
        <v>239</v>
      </c>
      <c r="D70" s="9" t="s">
        <v>19</v>
      </c>
      <c r="E70" s="10" t="str">
        <f>HYPERLINK("https://twitter.com/drumwom/status/722937521751990272","722937521751990272")</f>
        <v>722937521751990272</v>
      </c>
      <c r="F70" s="11" t="s">
        <v>160</v>
      </c>
      <c r="G70" s="11">
        <v>98</v>
      </c>
      <c r="H70" s="11">
        <v>346</v>
      </c>
      <c r="I70" s="11">
        <v>4</v>
      </c>
      <c r="J70" s="11">
        <v>0</v>
      </c>
      <c r="K70" s="11" t="s">
        <v>21</v>
      </c>
      <c r="L70" s="7">
        <v>39607.804988425924</v>
      </c>
      <c r="M70" s="12" t="s">
        <v>240</v>
      </c>
      <c r="N70" s="12" t="s">
        <v>241</v>
      </c>
      <c r="O70" s="10" t="str">
        <f>HYPERLINK("https://pbs.twimg.com/profile_images/692812370859552768/EHWF1RrL_normal.jpg","View")</f>
        <v>View</v>
      </c>
      <c r="P70" s="11"/>
    </row>
    <row r="71" spans="1:16" ht="12.75" x14ac:dyDescent="0.35">
      <c r="A71" s="7">
        <v>42481.228738425925</v>
      </c>
      <c r="B71" s="8" t="str">
        <f>HYPERLINK("https://twitter.com/TimDalrymple","@TimDalrymple")</f>
        <v>@TimDalrymple</v>
      </c>
      <c r="C71" s="9" t="s">
        <v>242</v>
      </c>
      <c r="D71" s="9" t="s">
        <v>25</v>
      </c>
      <c r="E71" s="10" t="str">
        <f>HYPERLINK("https://twitter.com/TimDalrymple/status/722937740946374658","722937740946374658")</f>
        <v>722937740946374658</v>
      </c>
      <c r="F71" s="11" t="s">
        <v>243</v>
      </c>
      <c r="G71" s="11">
        <v>608</v>
      </c>
      <c r="H71" s="11">
        <v>171</v>
      </c>
      <c r="I71" s="11">
        <v>95</v>
      </c>
      <c r="J71" s="11">
        <v>0</v>
      </c>
      <c r="K71" s="11" t="s">
        <v>21</v>
      </c>
      <c r="L71" s="7">
        <v>40070.377581018518</v>
      </c>
      <c r="M71" s="12" t="s">
        <v>244</v>
      </c>
      <c r="N71" s="12" t="s">
        <v>245</v>
      </c>
      <c r="O71" s="10" t="str">
        <f>HYPERLINK("https://pbs.twimg.com/profile_images/642449026361593856/RzLMorNs_normal.jpg","View")</f>
        <v>View</v>
      </c>
      <c r="P71" s="11"/>
    </row>
    <row r="72" spans="1:16" ht="12.75" x14ac:dyDescent="0.35">
      <c r="A72" s="7">
        <v>42481.228900462964</v>
      </c>
      <c r="B72" s="8" t="str">
        <f t="shared" ref="B72:B74" si="6">HYPERLINK("https://twitter.com/techhippie","@techhippie")</f>
        <v>@techhippie</v>
      </c>
      <c r="C72" s="9" t="s">
        <v>246</v>
      </c>
      <c r="D72" s="9" t="s">
        <v>247</v>
      </c>
      <c r="E72" s="10" t="str">
        <f>HYPERLINK("https://twitter.com/techhippie/status/722937799729655810","722937799729655810")</f>
        <v>722937799729655810</v>
      </c>
      <c r="F72" s="11" t="s">
        <v>68</v>
      </c>
      <c r="G72" s="11">
        <v>2471</v>
      </c>
      <c r="H72" s="11">
        <v>3835</v>
      </c>
      <c r="I72" s="11">
        <v>0</v>
      </c>
      <c r="J72" s="11">
        <v>0</v>
      </c>
      <c r="K72" s="11" t="s">
        <v>21</v>
      </c>
      <c r="L72" s="7">
        <v>42424.852152777778</v>
      </c>
      <c r="M72" s="12" t="s">
        <v>248</v>
      </c>
      <c r="N72" s="12" t="s">
        <v>249</v>
      </c>
      <c r="O72" s="10" t="str">
        <f t="shared" ref="O72:O74" si="7">HYPERLINK("https://pbs.twimg.com/profile_images/702511217793863680/lty8h9vE_normal.jpg","View")</f>
        <v>View</v>
      </c>
      <c r="P72" s="11"/>
    </row>
    <row r="73" spans="1:16" ht="12.75" x14ac:dyDescent="0.35">
      <c r="A73" s="7">
        <v>42481.228981481487</v>
      </c>
      <c r="B73" s="8" t="str">
        <f t="shared" si="6"/>
        <v>@techhippie</v>
      </c>
      <c r="C73" s="9" t="s">
        <v>246</v>
      </c>
      <c r="D73" s="9" t="s">
        <v>250</v>
      </c>
      <c r="E73" s="10" t="str">
        <f>HYPERLINK("https://twitter.com/techhippie/status/722937829127516160","722937829127516160")</f>
        <v>722937829127516160</v>
      </c>
      <c r="F73" s="11" t="s">
        <v>68</v>
      </c>
      <c r="G73" s="11">
        <v>2471</v>
      </c>
      <c r="H73" s="11">
        <v>3835</v>
      </c>
      <c r="I73" s="11">
        <v>0</v>
      </c>
      <c r="J73" s="11">
        <v>0</v>
      </c>
      <c r="K73" s="11" t="s">
        <v>21</v>
      </c>
      <c r="L73" s="7">
        <v>42424.852152777778</v>
      </c>
      <c r="M73" s="12" t="s">
        <v>248</v>
      </c>
      <c r="N73" s="12" t="s">
        <v>249</v>
      </c>
      <c r="O73" s="10" t="str">
        <f t="shared" si="7"/>
        <v>View</v>
      </c>
      <c r="P73" s="11"/>
    </row>
    <row r="74" spans="1:16" ht="12.75" x14ac:dyDescent="0.35">
      <c r="A74" s="7">
        <v>42481.229039351849</v>
      </c>
      <c r="B74" s="8" t="str">
        <f t="shared" si="6"/>
        <v>@techhippie</v>
      </c>
      <c r="C74" s="9" t="s">
        <v>246</v>
      </c>
      <c r="D74" s="9" t="s">
        <v>251</v>
      </c>
      <c r="E74" s="10" t="str">
        <f>HYPERLINK("https://twitter.com/techhippie/status/722937850573012992","722937850573012992")</f>
        <v>722937850573012992</v>
      </c>
      <c r="F74" s="11" t="s">
        <v>68</v>
      </c>
      <c r="G74" s="11">
        <v>2471</v>
      </c>
      <c r="H74" s="11">
        <v>3835</v>
      </c>
      <c r="I74" s="11">
        <v>0</v>
      </c>
      <c r="J74" s="11">
        <v>0</v>
      </c>
      <c r="K74" s="11" t="s">
        <v>21</v>
      </c>
      <c r="L74" s="7">
        <v>42424.852152777778</v>
      </c>
      <c r="M74" s="12" t="s">
        <v>248</v>
      </c>
      <c r="N74" s="12" t="s">
        <v>249</v>
      </c>
      <c r="O74" s="10" t="str">
        <f t="shared" si="7"/>
        <v>View</v>
      </c>
      <c r="P74" s="11"/>
    </row>
    <row r="75" spans="1:16" ht="12.75" x14ac:dyDescent="0.35">
      <c r="A75" s="7">
        <v>42481.229479166665</v>
      </c>
      <c r="B75" s="8" t="str">
        <f>HYPERLINK("https://twitter.com/VolkswagenLatAm","@VolkswagenLatAm")</f>
        <v>@VolkswagenLatAm</v>
      </c>
      <c r="C75" s="9" t="s">
        <v>252</v>
      </c>
      <c r="D75" s="9" t="s">
        <v>253</v>
      </c>
      <c r="E75" s="10" t="str">
        <f>HYPERLINK("https://twitter.com/VolkswagenLatAm/status/722938010396794881","722938010396794881")</f>
        <v>722938010396794881</v>
      </c>
      <c r="F75" s="11" t="s">
        <v>254</v>
      </c>
      <c r="G75" s="11">
        <v>4488</v>
      </c>
      <c r="H75" s="11">
        <v>19</v>
      </c>
      <c r="I75" s="11">
        <v>1</v>
      </c>
      <c r="J75" s="11">
        <v>1</v>
      </c>
      <c r="K75" s="11" t="s">
        <v>21</v>
      </c>
      <c r="L75" s="7">
        <v>41298.995578703703</v>
      </c>
      <c r="M75" s="12"/>
      <c r="N75" s="12" t="s">
        <v>255</v>
      </c>
      <c r="O75" s="10" t="str">
        <f>HYPERLINK("https://pbs.twimg.com/profile_images/689835963204395008/E51dlp1H_normal.jpg","View")</f>
        <v>View</v>
      </c>
      <c r="P75" s="11"/>
    </row>
    <row r="76" spans="1:16" ht="12.75" x14ac:dyDescent="0.35">
      <c r="A76" s="7">
        <v>42481.229548611111</v>
      </c>
      <c r="B76" s="8" t="str">
        <f>HYPERLINK("https://twitter.com/EverCharge","@EverCharge")</f>
        <v>@EverCharge</v>
      </c>
      <c r="C76" s="9" t="s">
        <v>256</v>
      </c>
      <c r="D76" s="9" t="s">
        <v>257</v>
      </c>
      <c r="E76" s="10" t="str">
        <f>HYPERLINK("https://twitter.com/EverCharge/status/722938033729847297","722938033729847297")</f>
        <v>722938033729847297</v>
      </c>
      <c r="F76" s="11" t="s">
        <v>80</v>
      </c>
      <c r="G76" s="11">
        <v>10695</v>
      </c>
      <c r="H76" s="11">
        <v>5125</v>
      </c>
      <c r="I76" s="11">
        <v>7</v>
      </c>
      <c r="J76" s="11">
        <v>10</v>
      </c>
      <c r="K76" s="11" t="s">
        <v>21</v>
      </c>
      <c r="L76" s="7">
        <v>40967.35564814815</v>
      </c>
      <c r="M76" s="12" t="s">
        <v>244</v>
      </c>
      <c r="N76" s="12" t="s">
        <v>258</v>
      </c>
      <c r="O76" s="10" t="str">
        <f>HYPERLINK("https://pbs.twimg.com/profile_images/662690618221555712/8SCotH6T_normal.jpg","View")</f>
        <v>View</v>
      </c>
      <c r="P76" s="11"/>
    </row>
    <row r="77" spans="1:16" ht="12.75" x14ac:dyDescent="0.35">
      <c r="A77" s="7">
        <v>42481.22956018518</v>
      </c>
      <c r="B77" s="8" t="str">
        <f>HYPERLINK("https://twitter.com/chrispillennews","@chrispillennews")</f>
        <v>@chrispillennews</v>
      </c>
      <c r="C77" s="9" t="s">
        <v>259</v>
      </c>
      <c r="D77" s="9" t="s">
        <v>260</v>
      </c>
      <c r="E77" s="10" t="str">
        <f>HYPERLINK("https://twitter.com/chrispillennews/status/722938038305861632","722938038305861632")</f>
        <v>722938038305861632</v>
      </c>
      <c r="F77" s="11" t="s">
        <v>261</v>
      </c>
      <c r="G77" s="11">
        <v>149</v>
      </c>
      <c r="H77" s="11">
        <v>35</v>
      </c>
      <c r="I77" s="11">
        <v>0</v>
      </c>
      <c r="J77" s="11">
        <v>0</v>
      </c>
      <c r="K77" s="11" t="s">
        <v>21</v>
      </c>
      <c r="L77" s="7">
        <v>40945.596898148149</v>
      </c>
      <c r="M77" s="12" t="s">
        <v>262</v>
      </c>
      <c r="N77" s="12" t="s">
        <v>263</v>
      </c>
      <c r="O77" s="10" t="str">
        <f>HYPERLINK("https://pbs.twimg.com/profile_images/589041144027357185/LMeiK-X6_normal.jpg","View")</f>
        <v>View</v>
      </c>
      <c r="P77" s="11"/>
    </row>
    <row r="78" spans="1:16" ht="12.75" x14ac:dyDescent="0.35">
      <c r="A78" s="7">
        <v>42481.23028935185</v>
      </c>
      <c r="B78" s="8" t="str">
        <f>HYPERLINK("https://twitter.com/AleGomezFabio","@AleGomezFabio")</f>
        <v>@AleGomezFabio</v>
      </c>
      <c r="C78" s="9" t="s">
        <v>264</v>
      </c>
      <c r="D78" s="9" t="s">
        <v>265</v>
      </c>
      <c r="E78" s="10" t="str">
        <f>HYPERLINK("https://twitter.com/AleGomezFabio/status/722938302077140992","722938302077140992")</f>
        <v>722938302077140992</v>
      </c>
      <c r="F78" s="11" t="s">
        <v>43</v>
      </c>
      <c r="G78" s="11">
        <v>5679</v>
      </c>
      <c r="H78" s="11">
        <v>428</v>
      </c>
      <c r="I78" s="11">
        <v>7</v>
      </c>
      <c r="J78" s="11">
        <v>0</v>
      </c>
      <c r="K78" s="11" t="s">
        <v>21</v>
      </c>
      <c r="L78" s="7">
        <v>41293.865949074076</v>
      </c>
      <c r="M78" s="12" t="s">
        <v>266</v>
      </c>
      <c r="N78" s="12" t="s">
        <v>267</v>
      </c>
      <c r="O78" s="10" t="str">
        <f>HYPERLINK("https://pbs.twimg.com/profile_images/677190735326797824/thtg9vaL_normal.jpg","View")</f>
        <v>View</v>
      </c>
      <c r="P78" s="11"/>
    </row>
    <row r="79" spans="1:16" ht="12.75" x14ac:dyDescent="0.35">
      <c r="A79" s="7">
        <v>42481.230752314819</v>
      </c>
      <c r="B79" s="8" t="str">
        <f>HYPERLINK("https://twitter.com/fusca_elite_br","@fusca_elite_br")</f>
        <v>@fusca_elite_br</v>
      </c>
      <c r="C79" s="9" t="s">
        <v>268</v>
      </c>
      <c r="D79" s="9" t="s">
        <v>269</v>
      </c>
      <c r="E79" s="10" t="str">
        <f>HYPERLINK("https://twitter.com/fusca_elite_br/status/722938468721004544","722938468721004544")</f>
        <v>722938468721004544</v>
      </c>
      <c r="F79" s="11" t="s">
        <v>53</v>
      </c>
      <c r="G79" s="11">
        <v>16</v>
      </c>
      <c r="H79" s="11">
        <v>47</v>
      </c>
      <c r="I79" s="11">
        <v>0</v>
      </c>
      <c r="J79" s="11">
        <v>0</v>
      </c>
      <c r="K79" s="11" t="s">
        <v>21</v>
      </c>
      <c r="L79" s="7">
        <v>41791.876921296294</v>
      </c>
      <c r="M79" s="12" t="s">
        <v>270</v>
      </c>
      <c r="N79" s="12" t="s">
        <v>271</v>
      </c>
      <c r="O79" s="10" t="str">
        <f>HYPERLINK("https://pbs.twimg.com/profile_images/512597028388339712/HtMtLn2o_normal.jpeg","View")</f>
        <v>View</v>
      </c>
      <c r="P79" s="11"/>
    </row>
    <row r="80" spans="1:16" ht="12.75" x14ac:dyDescent="0.35">
      <c r="A80" s="7">
        <v>42481.231967592597</v>
      </c>
      <c r="B80" s="8" t="str">
        <f>HYPERLINK("https://twitter.com/RobShiveley","@RobShiveley")</f>
        <v>@RobShiveley</v>
      </c>
      <c r="C80" s="9" t="s">
        <v>272</v>
      </c>
      <c r="D80" s="9" t="s">
        <v>273</v>
      </c>
      <c r="E80" s="10" t="str">
        <f>HYPERLINK("https://twitter.com/RobShiveley/status/722938911824179200","722938911824179200")</f>
        <v>722938911824179200</v>
      </c>
      <c r="F80" s="11" t="s">
        <v>80</v>
      </c>
      <c r="G80" s="11">
        <v>1936</v>
      </c>
      <c r="H80" s="11">
        <v>1726</v>
      </c>
      <c r="I80" s="11">
        <v>0</v>
      </c>
      <c r="J80" s="11">
        <v>1</v>
      </c>
      <c r="K80" s="11" t="s">
        <v>21</v>
      </c>
      <c r="L80" s="7">
        <v>41002.000694444447</v>
      </c>
      <c r="M80" s="12" t="s">
        <v>274</v>
      </c>
      <c r="N80" s="12" t="s">
        <v>275</v>
      </c>
      <c r="O80" s="10" t="str">
        <f>HYPERLINK("https://pbs.twimg.com/profile_images/558916397942595586/e0Be53dr_normal.jpeg","View")</f>
        <v>View</v>
      </c>
      <c r="P80" s="11"/>
    </row>
    <row r="81" spans="1:16" ht="12.75" x14ac:dyDescent="0.35">
      <c r="A81" s="7">
        <v>42481.233425925922</v>
      </c>
      <c r="B81" s="8" t="str">
        <f>HYPERLINK("https://twitter.com/SoyFortunato","@SoyFortunato")</f>
        <v>@SoyFortunato</v>
      </c>
      <c r="C81" s="9" t="s">
        <v>276</v>
      </c>
      <c r="D81" s="9" t="s">
        <v>277</v>
      </c>
      <c r="E81" s="10" t="str">
        <f>HYPERLINK("https://twitter.com/SoyFortunato/status/722939440763547648","722939440763547648")</f>
        <v>722939440763547648</v>
      </c>
      <c r="F81" s="11" t="s">
        <v>114</v>
      </c>
      <c r="G81" s="11">
        <v>464</v>
      </c>
      <c r="H81" s="11">
        <v>300</v>
      </c>
      <c r="I81" s="11">
        <v>0</v>
      </c>
      <c r="J81" s="11">
        <v>0</v>
      </c>
      <c r="K81" s="11" t="s">
        <v>21</v>
      </c>
      <c r="L81" s="7">
        <v>41883.966724537036</v>
      </c>
      <c r="M81" s="12" t="s">
        <v>278</v>
      </c>
      <c r="N81" s="12" t="s">
        <v>279</v>
      </c>
      <c r="O81" s="10" t="str">
        <f>HYPERLINK("https://pbs.twimg.com/profile_images/660699617533829120/TpvFSk5-_normal.jpg","View")</f>
        <v>View</v>
      </c>
      <c r="P81" s="11"/>
    </row>
    <row r="82" spans="1:16" ht="12.75" x14ac:dyDescent="0.35">
      <c r="A82" s="7">
        <v>42481.233969907407</v>
      </c>
      <c r="B82" s="8" t="str">
        <f>HYPERLINK("https://twitter.com/Tkarera","@Tkarera")</f>
        <v>@Tkarera</v>
      </c>
      <c r="C82" s="9" t="s">
        <v>280</v>
      </c>
      <c r="D82" s="9" t="s">
        <v>281</v>
      </c>
      <c r="E82" s="10" t="str">
        <f>HYPERLINK("https://twitter.com/Tkarera/status/722939635479883776","722939635479883776")</f>
        <v>722939635479883776</v>
      </c>
      <c r="F82" s="11" t="s">
        <v>91</v>
      </c>
      <c r="G82" s="11">
        <v>9108</v>
      </c>
      <c r="H82" s="11">
        <v>8038</v>
      </c>
      <c r="I82" s="11">
        <v>0</v>
      </c>
      <c r="J82" s="11">
        <v>0</v>
      </c>
      <c r="K82" s="11" t="s">
        <v>21</v>
      </c>
      <c r="L82" s="7">
        <v>40632.289988425924</v>
      </c>
      <c r="M82" s="12" t="s">
        <v>282</v>
      </c>
      <c r="N82" s="12" t="s">
        <v>283</v>
      </c>
      <c r="O82" s="10" t="str">
        <f>HYPERLINK("https://pbs.twimg.com/profile_images/2678224876/e0d50fddebcbb0ae56734edce9d553a0_normal.jpeg","View")</f>
        <v>View</v>
      </c>
      <c r="P82" s="11"/>
    </row>
    <row r="83" spans="1:16" ht="12.75" x14ac:dyDescent="0.35">
      <c r="A83" s="7">
        <v>42481.234849537039</v>
      </c>
      <c r="B83" s="8" t="str">
        <f>HYPERLINK("https://twitter.com/geek_porn_","@geek_porn_")</f>
        <v>@geek_porn_</v>
      </c>
      <c r="C83" s="9" t="s">
        <v>284</v>
      </c>
      <c r="D83" s="9" t="s">
        <v>285</v>
      </c>
      <c r="E83" s="10" t="str">
        <f>HYPERLINK("https://twitter.com/geek_porn_/status/722939953479606272","722939953479606272")</f>
        <v>722939953479606272</v>
      </c>
      <c r="F83" s="11" t="s">
        <v>286</v>
      </c>
      <c r="G83" s="11">
        <v>1372</v>
      </c>
      <c r="H83" s="11">
        <v>2314</v>
      </c>
      <c r="I83" s="11">
        <v>0</v>
      </c>
      <c r="J83" s="11">
        <v>1</v>
      </c>
      <c r="K83" s="11" t="s">
        <v>21</v>
      </c>
      <c r="L83" s="7">
        <v>42435.688275462962</v>
      </c>
      <c r="M83" s="12"/>
      <c r="N83" s="12"/>
      <c r="O83" s="10" t="str">
        <f>HYPERLINK("https://pbs.twimg.com/profile_images/706435215263178752/bvPrLFNY_normal.jpg","View")</f>
        <v>View</v>
      </c>
      <c r="P83" s="11"/>
    </row>
    <row r="84" spans="1:16" ht="12.75" x14ac:dyDescent="0.35">
      <c r="A84" s="7">
        <v>42481.234907407408</v>
      </c>
      <c r="B84" s="8" t="str">
        <f>HYPERLINK("https://twitter.com/EV_laadpalen","@EV_laadpalen")</f>
        <v>@EV_laadpalen</v>
      </c>
      <c r="C84" s="9" t="s">
        <v>287</v>
      </c>
      <c r="D84" s="9" t="s">
        <v>265</v>
      </c>
      <c r="E84" s="10" t="str">
        <f>HYPERLINK("https://twitter.com/EV_laadpalen/status/722939975571009536","722939975571009536")</f>
        <v>722939975571009536</v>
      </c>
      <c r="F84" s="11" t="s">
        <v>288</v>
      </c>
      <c r="G84" s="11">
        <v>310</v>
      </c>
      <c r="H84" s="11">
        <v>840</v>
      </c>
      <c r="I84" s="11">
        <v>7</v>
      </c>
      <c r="J84" s="11">
        <v>0</v>
      </c>
      <c r="K84" s="11" t="s">
        <v>21</v>
      </c>
      <c r="L84" s="7">
        <v>42388.116701388892</v>
      </c>
      <c r="M84" s="12" t="s">
        <v>289</v>
      </c>
      <c r="N84" s="12" t="s">
        <v>290</v>
      </c>
      <c r="O84" s="10" t="str">
        <f>HYPERLINK("https://pbs.twimg.com/profile_images/689196240744099840/iDXqLAHV_normal.jpg","View")</f>
        <v>View</v>
      </c>
      <c r="P84" s="11"/>
    </row>
    <row r="85" spans="1:16" ht="12.75" x14ac:dyDescent="0.35">
      <c r="A85" s="7">
        <v>42481.235162037032</v>
      </c>
      <c r="B85" s="8" t="str">
        <f>HYPERLINK("https://twitter.com/LifeBlab","@LifeBlab")</f>
        <v>@LifeBlab</v>
      </c>
      <c r="C85" s="9" t="s">
        <v>291</v>
      </c>
      <c r="D85" s="9" t="s">
        <v>292</v>
      </c>
      <c r="E85" s="10" t="str">
        <f>HYPERLINK("https://twitter.com/LifeBlab/status/722940069187858432","722940069187858432")</f>
        <v>722940069187858432</v>
      </c>
      <c r="F85" s="11" t="s">
        <v>213</v>
      </c>
      <c r="G85" s="11">
        <v>721</v>
      </c>
      <c r="H85" s="11">
        <v>702</v>
      </c>
      <c r="I85" s="11">
        <v>0</v>
      </c>
      <c r="J85" s="11">
        <v>0</v>
      </c>
      <c r="K85" s="11" t="s">
        <v>21</v>
      </c>
      <c r="L85" s="7">
        <v>40591.909259259257</v>
      </c>
      <c r="M85" s="12" t="s">
        <v>293</v>
      </c>
      <c r="N85" s="12" t="s">
        <v>294</v>
      </c>
      <c r="O85" s="10" t="str">
        <f>HYPERLINK("https://pbs.twimg.com/profile_images/1247253854/lifeblab-icon6_normal.png","View")</f>
        <v>View</v>
      </c>
      <c r="P85" s="11"/>
    </row>
    <row r="86" spans="1:16" ht="12.75" x14ac:dyDescent="0.35">
      <c r="A86" s="7">
        <v>42481.236284722225</v>
      </c>
      <c r="B86" s="8" t="str">
        <f>HYPERLINK("https://twitter.com/moteking25","@moteking25")</f>
        <v>@moteking25</v>
      </c>
      <c r="C86" s="9" t="s">
        <v>295</v>
      </c>
      <c r="D86" s="9" t="s">
        <v>296</v>
      </c>
      <c r="E86" s="10" t="str">
        <f>HYPERLINK("https://twitter.com/moteking25/status/722940476651806723","722940476651806723")</f>
        <v>722940476651806723</v>
      </c>
      <c r="F86" s="11" t="s">
        <v>114</v>
      </c>
      <c r="G86" s="11">
        <v>155</v>
      </c>
      <c r="H86" s="11">
        <v>261</v>
      </c>
      <c r="I86" s="11">
        <v>1</v>
      </c>
      <c r="J86" s="11">
        <v>0</v>
      </c>
      <c r="K86" s="11" t="s">
        <v>21</v>
      </c>
      <c r="L86" s="7">
        <v>40656.812789351854</v>
      </c>
      <c r="M86" s="12" t="s">
        <v>297</v>
      </c>
      <c r="N86" s="12" t="s">
        <v>298</v>
      </c>
      <c r="O86" s="10" t="str">
        <f>HYPERLINK("https://pbs.twimg.com/profile_images/695836169418899456/Z9ohOFD9_normal.jpg","View")</f>
        <v>View</v>
      </c>
      <c r="P86" s="11"/>
    </row>
    <row r="87" spans="1:16" ht="12.75" x14ac:dyDescent="0.35">
      <c r="A87" s="7">
        <v>42481.237858796296</v>
      </c>
      <c r="B87" s="8" t="str">
        <f>HYPERLINK("https://twitter.com/DubLuvTuning","@DubLuvTuning")</f>
        <v>@DubLuvTuning</v>
      </c>
      <c r="C87" s="9" t="s">
        <v>299</v>
      </c>
      <c r="D87" s="9" t="s">
        <v>300</v>
      </c>
      <c r="E87" s="10" t="str">
        <f>HYPERLINK("https://twitter.com/DubLuvTuning/status/722941045739253760","722941045739253760")</f>
        <v>722941045739253760</v>
      </c>
      <c r="F87" s="11" t="s">
        <v>288</v>
      </c>
      <c r="G87" s="11">
        <v>690</v>
      </c>
      <c r="H87" s="11">
        <v>431</v>
      </c>
      <c r="I87" s="11">
        <v>1</v>
      </c>
      <c r="J87" s="11">
        <v>0</v>
      </c>
      <c r="K87" s="11" t="s">
        <v>21</v>
      </c>
      <c r="L87" s="7">
        <v>41549.898287037038</v>
      </c>
      <c r="M87" s="12" t="s">
        <v>301</v>
      </c>
      <c r="N87" s="12" t="s">
        <v>302</v>
      </c>
      <c r="O87" s="10" t="str">
        <f>HYPERLINK("https://pbs.twimg.com/profile_images/378800000572104796/1de43e1cf23efb3f4101c02afad0d3b6_normal.png","View")</f>
        <v>View</v>
      </c>
      <c r="P87" s="11"/>
    </row>
    <row r="88" spans="1:16" ht="12.75" x14ac:dyDescent="0.35">
      <c r="A88" s="7">
        <v>42481.238541666666</v>
      </c>
      <c r="B88" s="8" t="str">
        <f>HYPERLINK("https://twitter.com/VanagonNews","@VanagonNews")</f>
        <v>@VanagonNews</v>
      </c>
      <c r="C88" s="9" t="s">
        <v>303</v>
      </c>
      <c r="D88" s="9" t="s">
        <v>304</v>
      </c>
      <c r="E88" s="10" t="str">
        <f>HYPERLINK("https://twitter.com/VanagonNews/status/722941292120924160","722941292120924160")</f>
        <v>722941292120924160</v>
      </c>
      <c r="F88" s="11" t="s">
        <v>34</v>
      </c>
      <c r="G88" s="11">
        <v>1263</v>
      </c>
      <c r="H88" s="11">
        <v>1204</v>
      </c>
      <c r="I88" s="11">
        <v>0</v>
      </c>
      <c r="J88" s="11">
        <v>0</v>
      </c>
      <c r="K88" s="11" t="s">
        <v>21</v>
      </c>
      <c r="L88" s="7">
        <v>41668.847280092596</v>
      </c>
      <c r="M88" s="12" t="s">
        <v>305</v>
      </c>
      <c r="N88" s="12" t="s">
        <v>306</v>
      </c>
      <c r="O88" s="10" t="str">
        <f>HYPERLINK("https://pbs.twimg.com/profile_images/439107942877376514/dsUl4fwt_normal.jpeg","View")</f>
        <v>View</v>
      </c>
      <c r="P88" s="11"/>
    </row>
    <row r="89" spans="1:16" ht="12.75" x14ac:dyDescent="0.35">
      <c r="A89" s="7">
        <v>42481.24150462963</v>
      </c>
      <c r="B89" s="8" t="str">
        <f>HYPERLINK("https://twitter.com/TiagoJNatal","@TiagoJNatal")</f>
        <v>@TiagoJNatal</v>
      </c>
      <c r="C89" s="9" t="s">
        <v>307</v>
      </c>
      <c r="D89" s="9" t="s">
        <v>308</v>
      </c>
      <c r="E89" s="10" t="str">
        <f>HYPERLINK("https://twitter.com/TiagoJNatal/status/722942364743045120","722942364743045120")</f>
        <v>722942364743045120</v>
      </c>
      <c r="F89" s="11" t="s">
        <v>48</v>
      </c>
      <c r="G89" s="11">
        <v>22</v>
      </c>
      <c r="H89" s="11">
        <v>259</v>
      </c>
      <c r="I89" s="11">
        <v>0</v>
      </c>
      <c r="J89" s="11">
        <v>0</v>
      </c>
      <c r="K89" s="11" t="s">
        <v>21</v>
      </c>
      <c r="L89" s="7">
        <v>42253.046759259261</v>
      </c>
      <c r="M89" s="12" t="s">
        <v>309</v>
      </c>
      <c r="N89" s="12"/>
      <c r="O89" s="10" t="str">
        <f>HYPERLINK("https://pbs.twimg.com/profile_images/643597052790861824/YcZv_OD3_normal.jpg","View")</f>
        <v>View</v>
      </c>
      <c r="P89" s="11"/>
    </row>
    <row r="90" spans="1:16" ht="12.75" x14ac:dyDescent="0.35">
      <c r="A90" s="7">
        <v>42481.241655092592</v>
      </c>
      <c r="B90" s="8" t="str">
        <f>HYPERLINK("https://twitter.com/svperi_","@svperi_")</f>
        <v>@svperi_</v>
      </c>
      <c r="C90" s="9" t="s">
        <v>310</v>
      </c>
      <c r="D90" s="9" t="s">
        <v>311</v>
      </c>
      <c r="E90" s="10" t="str">
        <f>HYPERLINK("https://twitter.com/svperi_/status/722942420254638080","722942420254638080")</f>
        <v>722942420254638080</v>
      </c>
      <c r="F90" s="11" t="s">
        <v>114</v>
      </c>
      <c r="G90" s="11">
        <v>15</v>
      </c>
      <c r="H90" s="11">
        <v>42</v>
      </c>
      <c r="I90" s="11">
        <v>0</v>
      </c>
      <c r="J90" s="11">
        <v>1</v>
      </c>
      <c r="K90" s="11" t="s">
        <v>21</v>
      </c>
      <c r="L90" s="7">
        <v>42459.254826388889</v>
      </c>
      <c r="M90" s="12" t="s">
        <v>312</v>
      </c>
      <c r="N90" s="12" t="s">
        <v>313</v>
      </c>
      <c r="O90" s="10" t="str">
        <f>HYPERLINK("https://pbs.twimg.com/profile_images/714975740178141188/wYkUoAgt_normal.jpg","View")</f>
        <v>View</v>
      </c>
      <c r="P90" s="11"/>
    </row>
    <row r="91" spans="1:16" ht="12.75" x14ac:dyDescent="0.35">
      <c r="A91" s="7">
        <v>42481.241712962961</v>
      </c>
      <c r="B91" s="8" t="str">
        <f>HYPERLINK("https://twitter.com/ReevesVW","@ReevesVW")</f>
        <v>@ReevesVW</v>
      </c>
      <c r="C91" s="9" t="s">
        <v>314</v>
      </c>
      <c r="D91" s="9" t="s">
        <v>315</v>
      </c>
      <c r="E91" s="10" t="str">
        <f>HYPERLINK("https://twitter.com/ReevesVW/status/722942442517860353","722942442517860353")</f>
        <v>722942442517860353</v>
      </c>
      <c r="F91" s="11" t="s">
        <v>43</v>
      </c>
      <c r="G91" s="11">
        <v>998</v>
      </c>
      <c r="H91" s="11">
        <v>553</v>
      </c>
      <c r="I91" s="11">
        <v>1</v>
      </c>
      <c r="J91" s="11">
        <v>2</v>
      </c>
      <c r="K91" s="11" t="s">
        <v>21</v>
      </c>
      <c r="L91" s="7">
        <v>40077.894479166665</v>
      </c>
      <c r="M91" s="12" t="s">
        <v>316</v>
      </c>
      <c r="N91" s="12" t="s">
        <v>317</v>
      </c>
      <c r="O91" s="10" t="str">
        <f>HYPERLINK("https://pbs.twimg.com/profile_images/595226480394788865/NKsGZJOG_normal.png","View")</f>
        <v>View</v>
      </c>
      <c r="P91" s="11"/>
    </row>
    <row r="92" spans="1:16" ht="12.75" x14ac:dyDescent="0.35">
      <c r="A92" s="7">
        <v>42481.242523148147</v>
      </c>
      <c r="B92" s="8" t="str">
        <f>HYPERLINK("https://twitter.com/ReevesTampa","@ReevesTampa")</f>
        <v>@ReevesTampa</v>
      </c>
      <c r="C92" s="9" t="s">
        <v>318</v>
      </c>
      <c r="D92" s="9" t="s">
        <v>319</v>
      </c>
      <c r="E92" s="10" t="str">
        <f>HYPERLINK("https://twitter.com/ReevesTampa/status/722942736500793344","722942736500793344")</f>
        <v>722942736500793344</v>
      </c>
      <c r="F92" s="11" t="s">
        <v>43</v>
      </c>
      <c r="G92" s="11">
        <v>3671</v>
      </c>
      <c r="H92" s="11">
        <v>1826</v>
      </c>
      <c r="I92" s="11">
        <v>1</v>
      </c>
      <c r="J92" s="11">
        <v>0</v>
      </c>
      <c r="K92" s="11" t="s">
        <v>21</v>
      </c>
      <c r="L92" s="7">
        <v>39938.024062500001</v>
      </c>
      <c r="M92" s="12" t="s">
        <v>316</v>
      </c>
      <c r="N92" s="12" t="s">
        <v>320</v>
      </c>
      <c r="O92" s="10" t="str">
        <f>HYPERLINK("https://pbs.twimg.com/profile_images/2464355771/thpakh5ojb4m3fru7xm1_normal.png","View")</f>
        <v>View</v>
      </c>
      <c r="P92" s="11"/>
    </row>
    <row r="93" spans="1:16" ht="12.75" x14ac:dyDescent="0.35">
      <c r="A93" s="7">
        <v>42481.242928240739</v>
      </c>
      <c r="B93" s="8" t="str">
        <f t="shared" ref="B93:B95" si="8">HYPERLINK("https://twitter.com/VolkswagenPost","@VolkswagenPost")</f>
        <v>@VolkswagenPost</v>
      </c>
      <c r="C93" s="9" t="s">
        <v>321</v>
      </c>
      <c r="D93" s="9" t="s">
        <v>322</v>
      </c>
      <c r="E93" s="10" t="str">
        <f>HYPERLINK("https://twitter.com/VolkswagenPost/status/722942883096064000","722942883096064000")</f>
        <v>722942883096064000</v>
      </c>
      <c r="F93" s="11" t="s">
        <v>288</v>
      </c>
      <c r="G93" s="11">
        <v>571</v>
      </c>
      <c r="H93" s="11">
        <v>446</v>
      </c>
      <c r="I93" s="11">
        <v>1</v>
      </c>
      <c r="J93" s="11">
        <v>0</v>
      </c>
      <c r="K93" s="11" t="s">
        <v>21</v>
      </c>
      <c r="L93" s="7">
        <v>41940.618379629632</v>
      </c>
      <c r="M93" s="12"/>
      <c r="N93" s="12"/>
      <c r="O93" s="10" t="str">
        <f t="shared" ref="O93:O95" si="9">HYPERLINK("https://pbs.twimg.com/profile_images/530071272881803264/a_jcCmPZ_normal.png","View")</f>
        <v>View</v>
      </c>
      <c r="P93" s="11"/>
    </row>
    <row r="94" spans="1:16" ht="12.75" x14ac:dyDescent="0.35">
      <c r="A94" s="7">
        <v>42481.242928240739</v>
      </c>
      <c r="B94" s="8" t="str">
        <f t="shared" si="8"/>
        <v>@VolkswagenPost</v>
      </c>
      <c r="C94" s="9" t="s">
        <v>321</v>
      </c>
      <c r="D94" s="9" t="s">
        <v>323</v>
      </c>
      <c r="E94" s="10" t="str">
        <f>HYPERLINK("https://twitter.com/VolkswagenPost/status/722942883947487232","722942883947487232")</f>
        <v>722942883947487232</v>
      </c>
      <c r="F94" s="11" t="s">
        <v>288</v>
      </c>
      <c r="G94" s="11">
        <v>571</v>
      </c>
      <c r="H94" s="11">
        <v>446</v>
      </c>
      <c r="I94" s="11">
        <v>1</v>
      </c>
      <c r="J94" s="11">
        <v>0</v>
      </c>
      <c r="K94" s="11" t="s">
        <v>21</v>
      </c>
      <c r="L94" s="7">
        <v>41940.618379629632</v>
      </c>
      <c r="M94" s="12"/>
      <c r="N94" s="12"/>
      <c r="O94" s="10" t="str">
        <f t="shared" si="9"/>
        <v>View</v>
      </c>
      <c r="P94" s="11"/>
    </row>
    <row r="95" spans="1:16" ht="12.75" x14ac:dyDescent="0.35">
      <c r="A95" s="7">
        <v>42481.242951388893</v>
      </c>
      <c r="B95" s="8" t="str">
        <f t="shared" si="8"/>
        <v>@VolkswagenPost</v>
      </c>
      <c r="C95" s="9" t="s">
        <v>321</v>
      </c>
      <c r="D95" s="9" t="s">
        <v>324</v>
      </c>
      <c r="E95" s="10" t="str">
        <f>HYPERLINK("https://twitter.com/VolkswagenPost/status/722942890519982080","722942890519982080")</f>
        <v>722942890519982080</v>
      </c>
      <c r="F95" s="11" t="s">
        <v>288</v>
      </c>
      <c r="G95" s="11">
        <v>571</v>
      </c>
      <c r="H95" s="11">
        <v>446</v>
      </c>
      <c r="I95" s="11">
        <v>1</v>
      </c>
      <c r="J95" s="11">
        <v>0</v>
      </c>
      <c r="K95" s="11" t="s">
        <v>21</v>
      </c>
      <c r="L95" s="7">
        <v>41940.618379629632</v>
      </c>
      <c r="M95" s="12"/>
      <c r="N95" s="12"/>
      <c r="O95" s="10" t="str">
        <f t="shared" si="9"/>
        <v>View</v>
      </c>
      <c r="P95" s="11"/>
    </row>
    <row r="96" spans="1:16" ht="12.75" x14ac:dyDescent="0.35">
      <c r="A96" s="7">
        <v>42481.243078703701</v>
      </c>
      <c r="B96" s="8" t="str">
        <f>HYPERLINK("https://twitter.com/businessanglr","@businessanglr")</f>
        <v>@businessanglr</v>
      </c>
      <c r="C96" s="9" t="s">
        <v>325</v>
      </c>
      <c r="D96" s="9" t="s">
        <v>326</v>
      </c>
      <c r="E96" s="10" t="str">
        <f>HYPERLINK("https://twitter.com/businessanglr/status/722942936883838976","722942936883838976")</f>
        <v>722942936883838976</v>
      </c>
      <c r="F96" s="11" t="s">
        <v>327</v>
      </c>
      <c r="G96" s="11">
        <v>23</v>
      </c>
      <c r="H96" s="11">
        <v>3</v>
      </c>
      <c r="I96" s="11">
        <v>0</v>
      </c>
      <c r="J96" s="11">
        <v>0</v>
      </c>
      <c r="K96" s="11" t="s">
        <v>21</v>
      </c>
      <c r="L96" s="7">
        <v>41878.884942129633</v>
      </c>
      <c r="M96" s="12"/>
      <c r="N96" s="12" t="s">
        <v>328</v>
      </c>
      <c r="O96" s="10" t="str">
        <f>HYPERLINK("https://pbs.twimg.com/profile_images/677530351833608192/lMRcVg2M_normal.png","View")</f>
        <v>View</v>
      </c>
      <c r="P96" s="11"/>
    </row>
    <row r="97" spans="1:16" ht="12.75" x14ac:dyDescent="0.35">
      <c r="A97" s="7">
        <v>42481.246076388888</v>
      </c>
      <c r="B97" s="8" t="str">
        <f>HYPERLINK("https://twitter.com/Ffyncwraig","@Ffyncwraig")</f>
        <v>@Ffyncwraig</v>
      </c>
      <c r="C97" s="9" t="s">
        <v>329</v>
      </c>
      <c r="D97" s="9" t="s">
        <v>330</v>
      </c>
      <c r="E97" s="10" t="str">
        <f>HYPERLINK("https://twitter.com/Ffyncwraig/status/722944025473499136","722944025473499136")</f>
        <v>722944025473499136</v>
      </c>
      <c r="F97" s="11" t="s">
        <v>48</v>
      </c>
      <c r="G97" s="11">
        <v>751</v>
      </c>
      <c r="H97" s="11">
        <v>1486</v>
      </c>
      <c r="I97" s="11">
        <v>0</v>
      </c>
      <c r="J97" s="11">
        <v>0</v>
      </c>
      <c r="K97" s="11" t="s">
        <v>21</v>
      </c>
      <c r="L97" s="7">
        <v>40121.670590277776</v>
      </c>
      <c r="M97" s="12" t="s">
        <v>331</v>
      </c>
      <c r="N97" s="12" t="s">
        <v>332</v>
      </c>
      <c r="O97" s="10" t="str">
        <f>HYPERLINK("https://pbs.twimg.com/profile_images/710979350984859648/6nidLcPr_normal.jpg","View")</f>
        <v>View</v>
      </c>
      <c r="P97" s="11"/>
    </row>
    <row r="98" spans="1:16" ht="12.75" x14ac:dyDescent="0.35">
      <c r="A98" s="7">
        <v>42481.249155092592</v>
      </c>
      <c r="B98" s="8" t="str">
        <f>HYPERLINK("https://twitter.com/moteking25","@moteking25")</f>
        <v>@moteking25</v>
      </c>
      <c r="C98" s="9" t="s">
        <v>295</v>
      </c>
      <c r="D98" s="9" t="s">
        <v>333</v>
      </c>
      <c r="E98" s="10" t="str">
        <f>HYPERLINK("https://twitter.com/moteking25/status/722945137261711360","722945137261711360")</f>
        <v>722945137261711360</v>
      </c>
      <c r="F98" s="11" t="s">
        <v>114</v>
      </c>
      <c r="G98" s="11">
        <v>155</v>
      </c>
      <c r="H98" s="11">
        <v>261</v>
      </c>
      <c r="I98" s="11">
        <v>1</v>
      </c>
      <c r="J98" s="11">
        <v>0</v>
      </c>
      <c r="K98" s="11" t="s">
        <v>21</v>
      </c>
      <c r="L98" s="7">
        <v>40656.812789351854</v>
      </c>
      <c r="M98" s="12" t="s">
        <v>297</v>
      </c>
      <c r="N98" s="12" t="s">
        <v>298</v>
      </c>
      <c r="O98" s="10" t="str">
        <f>HYPERLINK("https://pbs.twimg.com/profile_images/695836169418899456/Z9ohOFD9_normal.jpg","View")</f>
        <v>View</v>
      </c>
      <c r="P98" s="11"/>
    </row>
    <row r="99" spans="1:16" ht="12.75" x14ac:dyDescent="0.35">
      <c r="A99" s="7">
        <v>42481.249259259261</v>
      </c>
      <c r="B99" s="8" t="str">
        <f>HYPERLINK("https://twitter.com/sunpech","@sunpech")</f>
        <v>@sunpech</v>
      </c>
      <c r="C99" s="9" t="s">
        <v>334</v>
      </c>
      <c r="D99" s="9" t="s">
        <v>335</v>
      </c>
      <c r="E99" s="10" t="str">
        <f>HYPERLINK("https://twitter.com/sunpech/status/722945177749336065","722945177749336065")</f>
        <v>722945177749336065</v>
      </c>
      <c r="F99" s="11" t="s">
        <v>63</v>
      </c>
      <c r="G99" s="11">
        <v>682</v>
      </c>
      <c r="H99" s="11">
        <v>595</v>
      </c>
      <c r="I99" s="11">
        <v>0</v>
      </c>
      <c r="J99" s="11">
        <v>0</v>
      </c>
      <c r="K99" s="11" t="s">
        <v>21</v>
      </c>
      <c r="L99" s="7">
        <v>39516.26626157407</v>
      </c>
      <c r="M99" s="12" t="s">
        <v>336</v>
      </c>
      <c r="N99" s="12" t="s">
        <v>337</v>
      </c>
      <c r="O99" s="10" t="str">
        <f>HYPERLINK("https://pbs.twimg.com/profile_images/378800000677554410/dc50890761d211abe980eecb124e1609_normal.jpeg","View")</f>
        <v>View</v>
      </c>
      <c r="P99" s="11"/>
    </row>
    <row r="100" spans="1:16" ht="12.75" x14ac:dyDescent="0.35">
      <c r="A100" s="7">
        <v>42481.249456018515</v>
      </c>
      <c r="B100" s="8" t="str">
        <f>HYPERLINK("https://twitter.com/PethauBachOG","@PethauBachOG")</f>
        <v>@PethauBachOG</v>
      </c>
      <c r="C100" s="9" t="s">
        <v>338</v>
      </c>
      <c r="D100" s="9" t="s">
        <v>339</v>
      </c>
      <c r="E100" s="10" t="str">
        <f>HYPERLINK("https://twitter.com/PethauBachOG/status/722945249232990208","722945249232990208")</f>
        <v>722945249232990208</v>
      </c>
      <c r="F100" s="11" t="s">
        <v>48</v>
      </c>
      <c r="G100" s="11">
        <v>34</v>
      </c>
      <c r="H100" s="11">
        <v>87</v>
      </c>
      <c r="I100" s="11">
        <v>0</v>
      </c>
      <c r="J100" s="11">
        <v>0</v>
      </c>
      <c r="K100" s="11" t="s">
        <v>21</v>
      </c>
      <c r="L100" s="7">
        <v>42472.830868055556</v>
      </c>
      <c r="M100" s="12" t="s">
        <v>340</v>
      </c>
      <c r="N100" s="12" t="s">
        <v>341</v>
      </c>
      <c r="O100" s="10" t="str">
        <f>HYPERLINK("https://pbs.twimg.com/profile_images/722900359384064000/Fa4h47eT_normal.jpg","View")</f>
        <v>View</v>
      </c>
      <c r="P100" s="11"/>
    </row>
    <row r="101" spans="1:16" ht="12.75" x14ac:dyDescent="0.35">
      <c r="A101" s="7">
        <v>42481.249502314815</v>
      </c>
      <c r="B101" s="8" t="str">
        <f>HYPERLINK("https://twitter.com/DubLuvTuning","@DubLuvTuning")</f>
        <v>@DubLuvTuning</v>
      </c>
      <c r="C101" s="9" t="s">
        <v>299</v>
      </c>
      <c r="D101" s="9" t="s">
        <v>342</v>
      </c>
      <c r="E101" s="10" t="str">
        <f>HYPERLINK("https://twitter.com/DubLuvTuning/status/722945265850785792","722945265850785792")</f>
        <v>722945265850785792</v>
      </c>
      <c r="F101" s="11" t="s">
        <v>288</v>
      </c>
      <c r="G101" s="11">
        <v>690</v>
      </c>
      <c r="H101" s="11">
        <v>431</v>
      </c>
      <c r="I101" s="11">
        <v>1</v>
      </c>
      <c r="J101" s="11">
        <v>0</v>
      </c>
      <c r="K101" s="11" t="s">
        <v>21</v>
      </c>
      <c r="L101" s="7">
        <v>41549.898287037038</v>
      </c>
      <c r="M101" s="12" t="s">
        <v>301</v>
      </c>
      <c r="N101" s="12" t="s">
        <v>302</v>
      </c>
      <c r="O101" s="10" t="str">
        <f>HYPERLINK("https://pbs.twimg.com/profile_images/378800000572104796/1de43e1cf23efb3f4101c02afad0d3b6_normal.png","View")</f>
        <v>View</v>
      </c>
      <c r="P101" s="11"/>
    </row>
    <row r="102" spans="1:16" ht="12.75" x14ac:dyDescent="0.35">
      <c r="A102" s="7">
        <v>42481.250474537039</v>
      </c>
      <c r="B102" s="8" t="str">
        <f t="shared" ref="B102:B104" si="10">HYPERLINK("https://twitter.com/OnlineCarReview","@OnlineCarReview")</f>
        <v>@OnlineCarReview</v>
      </c>
      <c r="C102" s="9" t="s">
        <v>176</v>
      </c>
      <c r="D102" s="9" t="s">
        <v>343</v>
      </c>
      <c r="E102" s="10" t="str">
        <f>HYPERLINK("https://twitter.com/OnlineCarReview/status/722945619082354688","722945619082354688")</f>
        <v>722945619082354688</v>
      </c>
      <c r="F102" s="11" t="s">
        <v>34</v>
      </c>
      <c r="G102" s="11">
        <v>839</v>
      </c>
      <c r="H102" s="11">
        <v>568</v>
      </c>
      <c r="I102" s="11">
        <v>0</v>
      </c>
      <c r="J102" s="11">
        <v>0</v>
      </c>
      <c r="K102" s="11" t="s">
        <v>21</v>
      </c>
      <c r="L102" s="7">
        <v>42282.979201388887</v>
      </c>
      <c r="M102" s="12"/>
      <c r="N102" s="12" t="s">
        <v>178</v>
      </c>
      <c r="O102" s="10" t="str">
        <f t="shared" ref="O102:O104" si="11">HYPERLINK("https://pbs.twimg.com/profile_images/652871584131092480/QA_B6SBO_normal.jpg","View")</f>
        <v>View</v>
      </c>
      <c r="P102" s="11"/>
    </row>
    <row r="103" spans="1:16" ht="12.75" x14ac:dyDescent="0.35">
      <c r="A103" s="7">
        <v>42481.250486111108</v>
      </c>
      <c r="B103" s="8" t="str">
        <f t="shared" si="10"/>
        <v>@OnlineCarReview</v>
      </c>
      <c r="C103" s="9" t="s">
        <v>176</v>
      </c>
      <c r="D103" s="9" t="s">
        <v>344</v>
      </c>
      <c r="E103" s="10" t="str">
        <f>HYPERLINK("https://twitter.com/OnlineCarReview/status/722945620672053254","722945620672053254")</f>
        <v>722945620672053254</v>
      </c>
      <c r="F103" s="11" t="s">
        <v>34</v>
      </c>
      <c r="G103" s="11">
        <v>839</v>
      </c>
      <c r="H103" s="11">
        <v>568</v>
      </c>
      <c r="I103" s="11">
        <v>0</v>
      </c>
      <c r="J103" s="11">
        <v>0</v>
      </c>
      <c r="K103" s="11" t="s">
        <v>21</v>
      </c>
      <c r="L103" s="7">
        <v>42282.979201388887</v>
      </c>
      <c r="M103" s="12"/>
      <c r="N103" s="12" t="s">
        <v>178</v>
      </c>
      <c r="O103" s="10" t="str">
        <f t="shared" si="11"/>
        <v>View</v>
      </c>
      <c r="P103" s="11"/>
    </row>
    <row r="104" spans="1:16" ht="12.75" x14ac:dyDescent="0.35">
      <c r="A104" s="7">
        <v>42481.250486111108</v>
      </c>
      <c r="B104" s="8" t="str">
        <f t="shared" si="10"/>
        <v>@OnlineCarReview</v>
      </c>
      <c r="C104" s="9" t="s">
        <v>176</v>
      </c>
      <c r="D104" s="9" t="s">
        <v>345</v>
      </c>
      <c r="E104" s="10" t="str">
        <f>HYPERLINK("https://twitter.com/OnlineCarReview/status/722945622328737792","722945622328737792")</f>
        <v>722945622328737792</v>
      </c>
      <c r="F104" s="11" t="s">
        <v>34</v>
      </c>
      <c r="G104" s="11">
        <v>839</v>
      </c>
      <c r="H104" s="11">
        <v>568</v>
      </c>
      <c r="I104" s="11">
        <v>0</v>
      </c>
      <c r="J104" s="11">
        <v>0</v>
      </c>
      <c r="K104" s="11" t="s">
        <v>21</v>
      </c>
      <c r="L104" s="7">
        <v>42282.979201388887</v>
      </c>
      <c r="M104" s="12"/>
      <c r="N104" s="12" t="s">
        <v>178</v>
      </c>
      <c r="O104" s="10" t="str">
        <f t="shared" si="11"/>
        <v>View</v>
      </c>
      <c r="P104" s="11"/>
    </row>
    <row r="105" spans="1:16" ht="12.75" x14ac:dyDescent="0.35">
      <c r="A105" s="7">
        <v>42481.250914351855</v>
      </c>
      <c r="B105" s="8" t="str">
        <f t="shared" ref="B105:B109" si="12">HYPERLINK("https://twitter.com/VolkswagenPost","@VolkswagenPost")</f>
        <v>@VolkswagenPost</v>
      </c>
      <c r="C105" s="9" t="s">
        <v>321</v>
      </c>
      <c r="D105" s="9" t="s">
        <v>346</v>
      </c>
      <c r="E105" s="10" t="str">
        <f>HYPERLINK("https://twitter.com/VolkswagenPost/status/722945777694158849","722945777694158849")</f>
        <v>722945777694158849</v>
      </c>
      <c r="F105" s="11" t="s">
        <v>34</v>
      </c>
      <c r="G105" s="11">
        <v>571</v>
      </c>
      <c r="H105" s="11">
        <v>446</v>
      </c>
      <c r="I105" s="11">
        <v>0</v>
      </c>
      <c r="J105" s="11">
        <v>0</v>
      </c>
      <c r="K105" s="11" t="s">
        <v>21</v>
      </c>
      <c r="L105" s="7">
        <v>41940.618379629632</v>
      </c>
      <c r="M105" s="12"/>
      <c r="N105" s="12"/>
      <c r="O105" s="10" t="str">
        <f t="shared" ref="O105:O109" si="13">HYPERLINK("https://pbs.twimg.com/profile_images/530071272881803264/a_jcCmPZ_normal.png","View")</f>
        <v>View</v>
      </c>
      <c r="P105" s="11"/>
    </row>
    <row r="106" spans="1:16" ht="12.75" x14ac:dyDescent="0.35">
      <c r="A106" s="7">
        <v>42481.250914351855</v>
      </c>
      <c r="B106" s="8" t="str">
        <f t="shared" si="12"/>
        <v>@VolkswagenPost</v>
      </c>
      <c r="C106" s="9" t="s">
        <v>321</v>
      </c>
      <c r="D106" s="9" t="s">
        <v>347</v>
      </c>
      <c r="E106" s="10" t="str">
        <f>HYPERLINK("https://twitter.com/VolkswagenPost/status/722945778688208898","722945778688208898")</f>
        <v>722945778688208898</v>
      </c>
      <c r="F106" s="11" t="s">
        <v>34</v>
      </c>
      <c r="G106" s="11">
        <v>571</v>
      </c>
      <c r="H106" s="11">
        <v>446</v>
      </c>
      <c r="I106" s="11">
        <v>0</v>
      </c>
      <c r="J106" s="11">
        <v>0</v>
      </c>
      <c r="K106" s="11" t="s">
        <v>21</v>
      </c>
      <c r="L106" s="7">
        <v>41940.618379629632</v>
      </c>
      <c r="M106" s="12"/>
      <c r="N106" s="12"/>
      <c r="O106" s="10" t="str">
        <f t="shared" si="13"/>
        <v>View</v>
      </c>
      <c r="P106" s="11"/>
    </row>
    <row r="107" spans="1:16" ht="12.75" x14ac:dyDescent="0.35">
      <c r="A107" s="7">
        <v>42481.250925925924</v>
      </c>
      <c r="B107" s="8" t="str">
        <f t="shared" si="12"/>
        <v>@VolkswagenPost</v>
      </c>
      <c r="C107" s="9" t="s">
        <v>321</v>
      </c>
      <c r="D107" s="9" t="s">
        <v>348</v>
      </c>
      <c r="E107" s="10" t="str">
        <f>HYPERLINK("https://twitter.com/VolkswagenPost/status/722945779724193796","722945779724193796")</f>
        <v>722945779724193796</v>
      </c>
      <c r="F107" s="11" t="s">
        <v>34</v>
      </c>
      <c r="G107" s="11">
        <v>571</v>
      </c>
      <c r="H107" s="11">
        <v>446</v>
      </c>
      <c r="I107" s="11">
        <v>0</v>
      </c>
      <c r="J107" s="11">
        <v>0</v>
      </c>
      <c r="K107" s="11" t="s">
        <v>21</v>
      </c>
      <c r="L107" s="7">
        <v>41940.618379629632</v>
      </c>
      <c r="M107" s="12"/>
      <c r="N107" s="12"/>
      <c r="O107" s="10" t="str">
        <f t="shared" si="13"/>
        <v>View</v>
      </c>
      <c r="P107" s="11"/>
    </row>
    <row r="108" spans="1:16" ht="12.75" x14ac:dyDescent="0.35">
      <c r="A108" s="7">
        <v>42481.250925925924</v>
      </c>
      <c r="B108" s="8" t="str">
        <f t="shared" si="12"/>
        <v>@VolkswagenPost</v>
      </c>
      <c r="C108" s="9" t="s">
        <v>321</v>
      </c>
      <c r="D108" s="9" t="s">
        <v>349</v>
      </c>
      <c r="E108" s="10" t="str">
        <f>HYPERLINK("https://twitter.com/VolkswagenPost/status/722945780827328514","722945780827328514")</f>
        <v>722945780827328514</v>
      </c>
      <c r="F108" s="11" t="s">
        <v>34</v>
      </c>
      <c r="G108" s="11">
        <v>571</v>
      </c>
      <c r="H108" s="11">
        <v>446</v>
      </c>
      <c r="I108" s="11">
        <v>0</v>
      </c>
      <c r="J108" s="11">
        <v>0</v>
      </c>
      <c r="K108" s="11" t="s">
        <v>21</v>
      </c>
      <c r="L108" s="7">
        <v>41940.618379629632</v>
      </c>
      <c r="M108" s="12"/>
      <c r="N108" s="12"/>
      <c r="O108" s="10" t="str">
        <f t="shared" si="13"/>
        <v>View</v>
      </c>
      <c r="P108" s="11"/>
    </row>
    <row r="109" spans="1:16" ht="12.75" x14ac:dyDescent="0.35">
      <c r="A109" s="7">
        <v>42481.250925925924</v>
      </c>
      <c r="B109" s="8" t="str">
        <f t="shared" si="12"/>
        <v>@VolkswagenPost</v>
      </c>
      <c r="C109" s="9" t="s">
        <v>321</v>
      </c>
      <c r="D109" s="9" t="s">
        <v>350</v>
      </c>
      <c r="E109" s="10" t="str">
        <f>HYPERLINK("https://twitter.com/VolkswagenPost/status/722945781628440578","722945781628440578")</f>
        <v>722945781628440578</v>
      </c>
      <c r="F109" s="11" t="s">
        <v>34</v>
      </c>
      <c r="G109" s="11">
        <v>571</v>
      </c>
      <c r="H109" s="11">
        <v>446</v>
      </c>
      <c r="I109" s="11">
        <v>0</v>
      </c>
      <c r="J109" s="11">
        <v>0</v>
      </c>
      <c r="K109" s="11" t="s">
        <v>21</v>
      </c>
      <c r="L109" s="7">
        <v>41940.618379629632</v>
      </c>
      <c r="M109" s="12"/>
      <c r="N109" s="12"/>
      <c r="O109" s="10" t="str">
        <f t="shared" si="13"/>
        <v>View</v>
      </c>
      <c r="P109" s="11"/>
    </row>
    <row r="110" spans="1:16" ht="12.75" x14ac:dyDescent="0.35">
      <c r="A110" s="7">
        <v>42481.255046296297</v>
      </c>
      <c r="B110" s="8" t="str">
        <f>HYPERLINK("https://twitter.com/Baselimkara","@Baselimkara")</f>
        <v>@Baselimkara</v>
      </c>
      <c r="C110" s="9" t="s">
        <v>351</v>
      </c>
      <c r="D110" s="9" t="s">
        <v>352</v>
      </c>
      <c r="E110" s="10" t="str">
        <f>HYPERLINK("https://twitter.com/Baselimkara/status/722947275685814272","722947275685814272")</f>
        <v>722947275685814272</v>
      </c>
      <c r="F110" s="11" t="s">
        <v>20</v>
      </c>
      <c r="G110" s="11">
        <v>9</v>
      </c>
      <c r="H110" s="11">
        <v>72</v>
      </c>
      <c r="I110" s="11">
        <v>5</v>
      </c>
      <c r="J110" s="11">
        <v>0</v>
      </c>
      <c r="K110" s="11" t="s">
        <v>21</v>
      </c>
      <c r="L110" s="7">
        <v>42441.692858796298</v>
      </c>
      <c r="M110" s="12"/>
      <c r="N110" s="12"/>
      <c r="O110" s="10" t="str">
        <f>HYPERLINK("https://pbs.twimg.com/profile_images/708611847948259328/CfRQk67-_normal.jpg","View")</f>
        <v>View</v>
      </c>
      <c r="P110" s="11"/>
    </row>
    <row r="111" spans="1:16" ht="12.75" x14ac:dyDescent="0.35">
      <c r="A111" s="7">
        <v>42481.256215277783</v>
      </c>
      <c r="B111" s="8" t="str">
        <f>HYPERLINK("https://twitter.com/sneev","@sneev")</f>
        <v>@sneev</v>
      </c>
      <c r="C111" s="9" t="s">
        <v>353</v>
      </c>
      <c r="D111" s="9" t="s">
        <v>354</v>
      </c>
      <c r="E111" s="10" t="str">
        <f>HYPERLINK("https://twitter.com/sneev/status/722947696978317313","722947696978317313")</f>
        <v>722947696978317313</v>
      </c>
      <c r="F111" s="11" t="s">
        <v>43</v>
      </c>
      <c r="G111" s="11">
        <v>367</v>
      </c>
      <c r="H111" s="11">
        <v>751</v>
      </c>
      <c r="I111" s="11">
        <v>0</v>
      </c>
      <c r="J111" s="11">
        <v>0</v>
      </c>
      <c r="K111" s="11" t="s">
        <v>21</v>
      </c>
      <c r="L111" s="7">
        <v>39552.428784722222</v>
      </c>
      <c r="M111" s="12" t="s">
        <v>355</v>
      </c>
      <c r="N111" s="12" t="s">
        <v>356</v>
      </c>
      <c r="O111" s="10" t="str">
        <f>HYPERLINK("https://pbs.twimg.com/profile_images/667362007910252545/H-hDAB9b_normal.jpg","View")</f>
        <v>View</v>
      </c>
      <c r="P111" s="11"/>
    </row>
    <row r="112" spans="1:16" ht="12.75" x14ac:dyDescent="0.35">
      <c r="A112" s="7">
        <v>42481.256643518514</v>
      </c>
      <c r="B112" s="8" t="str">
        <f>HYPERLINK("https://twitter.com/VWCamperSales","@VWCamperSales")</f>
        <v>@VWCamperSales</v>
      </c>
      <c r="C112" s="9" t="s">
        <v>216</v>
      </c>
      <c r="D112" s="9" t="s">
        <v>357</v>
      </c>
      <c r="E112" s="10" t="str">
        <f>HYPERLINK("https://twitter.com/VWCamperSales/status/722947854336061440","722947854336061440")</f>
        <v>722947854336061440</v>
      </c>
      <c r="F112" s="10" t="s">
        <v>124</v>
      </c>
      <c r="G112" s="11">
        <v>615</v>
      </c>
      <c r="H112" s="11">
        <v>580</v>
      </c>
      <c r="I112" s="11">
        <v>0</v>
      </c>
      <c r="J112" s="11">
        <v>0</v>
      </c>
      <c r="K112" s="11" t="s">
        <v>21</v>
      </c>
      <c r="L112" s="7">
        <v>42215.98809027778</v>
      </c>
      <c r="M112" s="12" t="s">
        <v>129</v>
      </c>
      <c r="N112" s="12" t="s">
        <v>218</v>
      </c>
      <c r="O112" s="10" t="str">
        <f>HYPERLINK("https://pbs.twimg.com/profile_images/627949001179037696/skEBkS05_normal.jpg","View")</f>
        <v>View</v>
      </c>
      <c r="P112" s="11"/>
    </row>
    <row r="113" spans="1:16" ht="12.75" x14ac:dyDescent="0.35">
      <c r="A113" s="7">
        <v>42481.256724537037</v>
      </c>
      <c r="B113" s="8" t="str">
        <f>HYPERLINK("https://twitter.com/Appy_GeekMEX","@Appy_GeekMEX")</f>
        <v>@Appy_GeekMEX</v>
      </c>
      <c r="C113" s="9" t="s">
        <v>358</v>
      </c>
      <c r="D113" s="9" t="s">
        <v>359</v>
      </c>
      <c r="E113" s="10" t="str">
        <f>HYPERLINK("https://twitter.com/Appy_GeekMEX/status/722947882072936448","722947882072936448")</f>
        <v>722947882072936448</v>
      </c>
      <c r="F113" s="11" t="s">
        <v>43</v>
      </c>
      <c r="G113" s="11">
        <v>1646</v>
      </c>
      <c r="H113" s="11">
        <v>1185</v>
      </c>
      <c r="I113" s="11">
        <v>1</v>
      </c>
      <c r="J113" s="11">
        <v>2</v>
      </c>
      <c r="K113" s="11" t="s">
        <v>21</v>
      </c>
      <c r="L113" s="7">
        <v>41915.163553240738</v>
      </c>
      <c r="M113" s="12" t="s">
        <v>360</v>
      </c>
      <c r="N113" s="12" t="s">
        <v>361</v>
      </c>
      <c r="O113" s="10" t="str">
        <f>HYPERLINK("https://pbs.twimg.com/profile_images/679764111144566784/ajCap2wo_normal.png","View")</f>
        <v>View</v>
      </c>
      <c r="P113" s="11"/>
    </row>
    <row r="114" spans="1:16" ht="12.75" x14ac:dyDescent="0.35">
      <c r="A114" s="7">
        <v>42481.257777777777</v>
      </c>
      <c r="B114" s="8" t="str">
        <f>HYPERLINK("https://twitter.com/MavrickHnter","@MavrickHnter")</f>
        <v>@MavrickHnter</v>
      </c>
      <c r="C114" s="9" t="s">
        <v>362</v>
      </c>
      <c r="D114" s="9" t="s">
        <v>363</v>
      </c>
      <c r="E114" s="10" t="str">
        <f>HYPERLINK("https://twitter.com/MavrickHnter/status/722948262773305348","722948262773305348")</f>
        <v>722948262773305348</v>
      </c>
      <c r="F114" s="11" t="s">
        <v>48</v>
      </c>
      <c r="G114" s="11">
        <v>697</v>
      </c>
      <c r="H114" s="11">
        <v>1375</v>
      </c>
      <c r="I114" s="11">
        <v>0</v>
      </c>
      <c r="J114" s="11">
        <v>0</v>
      </c>
      <c r="K114" s="11" t="s">
        <v>21</v>
      </c>
      <c r="L114" s="7">
        <v>41737.926261574074</v>
      </c>
      <c r="M114" s="12" t="s">
        <v>364</v>
      </c>
      <c r="N114" s="12" t="s">
        <v>365</v>
      </c>
      <c r="O114" s="10" t="str">
        <f>HYPERLINK("https://pbs.twimg.com/profile_images/677258005356916736/HRoY0ej8_normal.jpg","View")</f>
        <v>View</v>
      </c>
      <c r="P114" s="11"/>
    </row>
    <row r="115" spans="1:16" ht="12.75" x14ac:dyDescent="0.35">
      <c r="A115" s="7">
        <v>42481.257777777777</v>
      </c>
      <c r="B115" s="8" t="str">
        <f>HYPERLINK("https://twitter.com/anchit_roy","@anchit_roy")</f>
        <v>@anchit_roy</v>
      </c>
      <c r="C115" s="9" t="s">
        <v>366</v>
      </c>
      <c r="D115" s="9" t="s">
        <v>265</v>
      </c>
      <c r="E115" s="10" t="str">
        <f>HYPERLINK("https://twitter.com/anchit_roy/status/722948265906466816","722948265906466816")</f>
        <v>722948265906466816</v>
      </c>
      <c r="F115" s="11" t="s">
        <v>367</v>
      </c>
      <c r="G115" s="11">
        <v>23</v>
      </c>
      <c r="H115" s="11">
        <v>39</v>
      </c>
      <c r="I115" s="11">
        <v>7</v>
      </c>
      <c r="J115" s="11">
        <v>0</v>
      </c>
      <c r="K115" s="11" t="s">
        <v>21</v>
      </c>
      <c r="L115" s="7">
        <v>42405.437800925924</v>
      </c>
      <c r="M115" s="12" t="s">
        <v>368</v>
      </c>
      <c r="N115" s="12" t="s">
        <v>369</v>
      </c>
      <c r="O115" s="10" t="str">
        <f>HYPERLINK("https://pbs.twimg.com/profile_images/695480363582246916/cmAcBkj9_normal.jpg","View")</f>
        <v>View</v>
      </c>
      <c r="P115" s="11"/>
    </row>
    <row r="116" spans="1:16" ht="12.75" x14ac:dyDescent="0.35">
      <c r="A116" s="7">
        <v>42481.261956018519</v>
      </c>
      <c r="B116" s="8" t="str">
        <f>HYPERLINK("https://twitter.com/travelbykristi","@travelbykristi")</f>
        <v>@travelbykristi</v>
      </c>
      <c r="C116" s="9" t="s">
        <v>370</v>
      </c>
      <c r="D116" s="9" t="s">
        <v>371</v>
      </c>
      <c r="E116" s="10" t="str">
        <f>HYPERLINK("https://twitter.com/travelbykristi/status/722949776224952324","722949776224952324")</f>
        <v>722949776224952324</v>
      </c>
      <c r="F116" s="11" t="s">
        <v>114</v>
      </c>
      <c r="G116" s="11">
        <v>1190</v>
      </c>
      <c r="H116" s="11">
        <v>2073</v>
      </c>
      <c r="I116" s="11">
        <v>0</v>
      </c>
      <c r="J116" s="11">
        <v>1</v>
      </c>
      <c r="K116" s="11" t="s">
        <v>21</v>
      </c>
      <c r="L116" s="7">
        <v>40410.146817129629</v>
      </c>
      <c r="M116" s="12" t="s">
        <v>372</v>
      </c>
      <c r="N116" s="12" t="s">
        <v>373</v>
      </c>
      <c r="O116" s="10" t="str">
        <f>HYPERLINK("https://pbs.twimg.com/profile_images/723075772450107392/K9chUj8b_normal.jpg","View")</f>
        <v>View</v>
      </c>
      <c r="P116" s="11"/>
    </row>
    <row r="117" spans="1:16" ht="12.75" x14ac:dyDescent="0.35">
      <c r="A117" s="7">
        <v>42481.261990740742</v>
      </c>
      <c r="B117" s="8" t="str">
        <f>HYPERLINK("https://twitter.com/panicswitch777","@panicswitch777")</f>
        <v>@panicswitch777</v>
      </c>
      <c r="C117" s="9" t="s">
        <v>374</v>
      </c>
      <c r="D117" s="9" t="s">
        <v>375</v>
      </c>
      <c r="E117" s="10" t="str">
        <f>HYPERLINK("https://twitter.com/panicswitch777/status/722949791458529281","722949791458529281")</f>
        <v>722949791458529281</v>
      </c>
      <c r="F117" s="11" t="s">
        <v>114</v>
      </c>
      <c r="G117" s="11">
        <v>186</v>
      </c>
      <c r="H117" s="11">
        <v>185</v>
      </c>
      <c r="I117" s="11">
        <v>1</v>
      </c>
      <c r="J117" s="11">
        <v>1</v>
      </c>
      <c r="K117" s="11" t="s">
        <v>21</v>
      </c>
      <c r="L117" s="7">
        <v>41837.90216435185</v>
      </c>
      <c r="M117" s="12" t="s">
        <v>376</v>
      </c>
      <c r="N117" s="12"/>
      <c r="O117" s="10" t="str">
        <f>HYPERLINK("https://pbs.twimg.com/profile_images/661248829682024449/IlOGOPEg_normal.jpg","View")</f>
        <v>View</v>
      </c>
      <c r="P117" s="11"/>
    </row>
    <row r="118" spans="1:16" ht="12.75" x14ac:dyDescent="0.35">
      <c r="A118" s="7">
        <v>42481.262939814813</v>
      </c>
      <c r="B118" s="8" t="str">
        <f t="shared" ref="B118:B122" si="14">HYPERLINK("https://twitter.com/beetlebug1938","@beetlebug1938")</f>
        <v>@beetlebug1938</v>
      </c>
      <c r="C118" s="9" t="s">
        <v>66</v>
      </c>
      <c r="D118" s="9" t="s">
        <v>377</v>
      </c>
      <c r="E118" s="10" t="str">
        <f>HYPERLINK("https://twitter.com/beetlebug1938/status/722950133231534080","722950133231534080")</f>
        <v>722950133231534080</v>
      </c>
      <c r="F118" s="11" t="s">
        <v>68</v>
      </c>
      <c r="G118" s="11">
        <v>346</v>
      </c>
      <c r="H118" s="11">
        <v>2222</v>
      </c>
      <c r="I118" s="11">
        <v>0</v>
      </c>
      <c r="J118" s="11">
        <v>0</v>
      </c>
      <c r="K118" s="11" t="s">
        <v>21</v>
      </c>
      <c r="L118" s="7">
        <v>42469.863865740743</v>
      </c>
      <c r="M118" s="12" t="s">
        <v>69</v>
      </c>
      <c r="N118" s="12"/>
      <c r="O118" s="10" t="str">
        <f t="shared" ref="O118:O122" si="15">HYPERLINK("https://pbs.twimg.com/profile_images/718820712757215233/LXXndPTS_normal.jpg","View")</f>
        <v>View</v>
      </c>
      <c r="P118" s="11"/>
    </row>
    <row r="119" spans="1:16" ht="12.75" x14ac:dyDescent="0.35">
      <c r="A119" s="7">
        <v>42481.26295138889</v>
      </c>
      <c r="B119" s="8" t="str">
        <f t="shared" si="14"/>
        <v>@beetlebug1938</v>
      </c>
      <c r="C119" s="9" t="s">
        <v>66</v>
      </c>
      <c r="D119" s="9" t="s">
        <v>378</v>
      </c>
      <c r="E119" s="10" t="str">
        <f>HYPERLINK("https://twitter.com/beetlebug1938/status/722950139111948289","722950139111948289")</f>
        <v>722950139111948289</v>
      </c>
      <c r="F119" s="11" t="s">
        <v>68</v>
      </c>
      <c r="G119" s="11">
        <v>346</v>
      </c>
      <c r="H119" s="11">
        <v>2222</v>
      </c>
      <c r="I119" s="11">
        <v>0</v>
      </c>
      <c r="J119" s="11">
        <v>0</v>
      </c>
      <c r="K119" s="11" t="s">
        <v>21</v>
      </c>
      <c r="L119" s="7">
        <v>42469.863865740743</v>
      </c>
      <c r="M119" s="12" t="s">
        <v>69</v>
      </c>
      <c r="N119" s="12"/>
      <c r="O119" s="10" t="str">
        <f t="shared" si="15"/>
        <v>View</v>
      </c>
      <c r="P119" s="11"/>
    </row>
    <row r="120" spans="1:16" ht="12.75" x14ac:dyDescent="0.35">
      <c r="A120" s="7">
        <v>42481.263020833328</v>
      </c>
      <c r="B120" s="8" t="str">
        <f t="shared" si="14"/>
        <v>@beetlebug1938</v>
      </c>
      <c r="C120" s="9" t="s">
        <v>66</v>
      </c>
      <c r="D120" s="9" t="s">
        <v>379</v>
      </c>
      <c r="E120" s="10" t="str">
        <f>HYPERLINK("https://twitter.com/beetlebug1938/status/722950164864962560","722950164864962560")</f>
        <v>722950164864962560</v>
      </c>
      <c r="F120" s="11" t="s">
        <v>68</v>
      </c>
      <c r="G120" s="11">
        <v>346</v>
      </c>
      <c r="H120" s="11">
        <v>2222</v>
      </c>
      <c r="I120" s="11">
        <v>1</v>
      </c>
      <c r="J120" s="11">
        <v>0</v>
      </c>
      <c r="K120" s="11" t="s">
        <v>21</v>
      </c>
      <c r="L120" s="7">
        <v>42469.863865740743</v>
      </c>
      <c r="M120" s="12" t="s">
        <v>69</v>
      </c>
      <c r="N120" s="12"/>
      <c r="O120" s="10" t="str">
        <f t="shared" si="15"/>
        <v>View</v>
      </c>
      <c r="P120" s="11"/>
    </row>
    <row r="121" spans="1:16" ht="12.75" x14ac:dyDescent="0.35">
      <c r="A121" s="7">
        <v>42481.263043981482</v>
      </c>
      <c r="B121" s="8" t="str">
        <f t="shared" si="14"/>
        <v>@beetlebug1938</v>
      </c>
      <c r="C121" s="9" t="s">
        <v>66</v>
      </c>
      <c r="D121" s="9" t="s">
        <v>380</v>
      </c>
      <c r="E121" s="10" t="str">
        <f>HYPERLINK("https://twitter.com/beetlebug1938/status/722950172871921664","722950172871921664")</f>
        <v>722950172871921664</v>
      </c>
      <c r="F121" s="11" t="s">
        <v>68</v>
      </c>
      <c r="G121" s="11">
        <v>346</v>
      </c>
      <c r="H121" s="11">
        <v>2222</v>
      </c>
      <c r="I121" s="11">
        <v>0</v>
      </c>
      <c r="J121" s="11">
        <v>0</v>
      </c>
      <c r="K121" s="11" t="s">
        <v>21</v>
      </c>
      <c r="L121" s="7">
        <v>42469.863865740743</v>
      </c>
      <c r="M121" s="12" t="s">
        <v>69</v>
      </c>
      <c r="N121" s="12"/>
      <c r="O121" s="10" t="str">
        <f t="shared" si="15"/>
        <v>View</v>
      </c>
      <c r="P121" s="11"/>
    </row>
    <row r="122" spans="1:16" ht="12.75" x14ac:dyDescent="0.35">
      <c r="A122" s="7">
        <v>42481.263182870374</v>
      </c>
      <c r="B122" s="8" t="str">
        <f t="shared" si="14"/>
        <v>@beetlebug1938</v>
      </c>
      <c r="C122" s="9" t="s">
        <v>66</v>
      </c>
      <c r="D122" s="9" t="s">
        <v>381</v>
      </c>
      <c r="E122" s="10" t="str">
        <f>HYPERLINK("https://twitter.com/beetlebug1938/status/722950224734490624","722950224734490624")</f>
        <v>722950224734490624</v>
      </c>
      <c r="F122" s="11" t="s">
        <v>68</v>
      </c>
      <c r="G122" s="11">
        <v>346</v>
      </c>
      <c r="H122" s="11">
        <v>2222</v>
      </c>
      <c r="I122" s="11">
        <v>0</v>
      </c>
      <c r="J122" s="11">
        <v>1</v>
      </c>
      <c r="K122" s="11" t="s">
        <v>21</v>
      </c>
      <c r="L122" s="7">
        <v>42469.863865740743</v>
      </c>
      <c r="M122" s="12" t="s">
        <v>69</v>
      </c>
      <c r="N122" s="12"/>
      <c r="O122" s="10" t="str">
        <f t="shared" si="15"/>
        <v>View</v>
      </c>
      <c r="P122" s="11"/>
    </row>
    <row r="123" spans="1:16" ht="12.75" x14ac:dyDescent="0.35">
      <c r="A123" s="7">
        <v>42481.263414351852</v>
      </c>
      <c r="B123" s="8" t="str">
        <f>HYPERLINK("https://twitter.com/kevdritchie","@kevdritchie")</f>
        <v>@kevdritchie</v>
      </c>
      <c r="C123" s="9" t="s">
        <v>382</v>
      </c>
      <c r="D123" s="9" t="s">
        <v>383</v>
      </c>
      <c r="E123" s="10" t="str">
        <f>HYPERLINK("https://twitter.com/kevdritchie/status/722950304870875136","722950304870875136")</f>
        <v>722950304870875136</v>
      </c>
      <c r="F123" s="11" t="s">
        <v>20</v>
      </c>
      <c r="G123" s="11">
        <v>24</v>
      </c>
      <c r="H123" s="11">
        <v>98</v>
      </c>
      <c r="I123" s="11">
        <v>1</v>
      </c>
      <c r="J123" s="11">
        <v>0</v>
      </c>
      <c r="K123" s="11" t="s">
        <v>21</v>
      </c>
      <c r="L123" s="7">
        <v>41333.380601851852</v>
      </c>
      <c r="M123" s="12"/>
      <c r="N123" s="12"/>
      <c r="O123" s="10" t="str">
        <f>HYPERLINK("https://pbs.twimg.com/profile_images/536992595621081088/MeyB4zuy_normal.jpeg","View")</f>
        <v>View</v>
      </c>
      <c r="P123" s="11"/>
    </row>
    <row r="124" spans="1:16" ht="12.75" x14ac:dyDescent="0.35">
      <c r="A124" s="7">
        <v>42481.263587962967</v>
      </c>
      <c r="B124" s="8" t="str">
        <f>HYPERLINK("https://twitter.com/mgl_8","@mgl_8")</f>
        <v>@mgl_8</v>
      </c>
      <c r="C124" s="9" t="s">
        <v>384</v>
      </c>
      <c r="D124" s="9" t="s">
        <v>385</v>
      </c>
      <c r="E124" s="10" t="str">
        <f>HYPERLINK("https://twitter.com/mgl_8/status/722950369127579653","722950369127579653")</f>
        <v>722950369127579653</v>
      </c>
      <c r="F124" s="11" t="s">
        <v>20</v>
      </c>
      <c r="G124" s="11">
        <v>421</v>
      </c>
      <c r="H124" s="11">
        <v>263</v>
      </c>
      <c r="I124" s="11">
        <v>0</v>
      </c>
      <c r="J124" s="11">
        <v>0</v>
      </c>
      <c r="K124" s="11" t="s">
        <v>21</v>
      </c>
      <c r="L124" s="7">
        <v>39840.046400462961</v>
      </c>
      <c r="M124" s="12" t="s">
        <v>293</v>
      </c>
      <c r="N124" s="12" t="s">
        <v>386</v>
      </c>
      <c r="O124" s="10" t="str">
        <f>HYPERLINK("https://pbs.twimg.com/profile_images/707665258375221248/5ouE9r6w_normal.jpg","View")</f>
        <v>View</v>
      </c>
      <c r="P124" s="11"/>
    </row>
    <row r="125" spans="1:16" ht="12.75" x14ac:dyDescent="0.35">
      <c r="A125" s="7">
        <v>42481.266412037032</v>
      </c>
      <c r="B125" s="8" t="str">
        <f>HYPERLINK("https://twitter.com/bakagi","@bakagi")</f>
        <v>@bakagi</v>
      </c>
      <c r="C125" s="9" t="s">
        <v>387</v>
      </c>
      <c r="D125" s="9" t="s">
        <v>388</v>
      </c>
      <c r="E125" s="10" t="str">
        <f>HYPERLINK("https://twitter.com/bakagi/status/722951391472279553","722951391472279553")</f>
        <v>722951391472279553</v>
      </c>
      <c r="F125" s="11" t="s">
        <v>20</v>
      </c>
      <c r="G125" s="11">
        <v>1313</v>
      </c>
      <c r="H125" s="11">
        <v>1827</v>
      </c>
      <c r="I125" s="11">
        <v>0</v>
      </c>
      <c r="J125" s="11">
        <v>0</v>
      </c>
      <c r="K125" s="11" t="s">
        <v>21</v>
      </c>
      <c r="L125" s="7">
        <v>39817.287592592591</v>
      </c>
      <c r="M125" s="12" t="s">
        <v>389</v>
      </c>
      <c r="N125" s="12" t="s">
        <v>390</v>
      </c>
      <c r="O125" s="10" t="str">
        <f>HYPERLINK("https://pbs.twimg.com/profile_images/720484955634200577/YteI5x1n_normal.jpg","View")</f>
        <v>View</v>
      </c>
      <c r="P125" s="11"/>
    </row>
    <row r="126" spans="1:16" ht="12.75" x14ac:dyDescent="0.35">
      <c r="A126" s="7">
        <v>42481.266805555555</v>
      </c>
      <c r="B126" s="8" t="str">
        <f>HYPERLINK("https://twitter.com/FuscaWorld","@FuscaWorld")</f>
        <v>@FuscaWorld</v>
      </c>
      <c r="C126" s="9" t="s">
        <v>74</v>
      </c>
      <c r="D126" s="9" t="s">
        <v>391</v>
      </c>
      <c r="E126" s="10" t="str">
        <f>HYPERLINK("https://twitter.com/FuscaWorld/status/722951534112284672","722951534112284672")</f>
        <v>722951534112284672</v>
      </c>
      <c r="F126" s="11" t="s">
        <v>76</v>
      </c>
      <c r="G126" s="11">
        <v>48</v>
      </c>
      <c r="H126" s="11">
        <v>1</v>
      </c>
      <c r="I126" s="11">
        <v>1</v>
      </c>
      <c r="J126" s="11">
        <v>0</v>
      </c>
      <c r="K126" s="11" t="s">
        <v>21</v>
      </c>
      <c r="L126" s="7">
        <v>42433.880914351852</v>
      </c>
      <c r="M126" s="12"/>
      <c r="N126" s="12" t="s">
        <v>77</v>
      </c>
      <c r="O126" s="10" t="str">
        <f>HYPERLINK("https://pbs.twimg.com/profile_images/705780107844067328/e7O4UBNb_normal.jpg","View")</f>
        <v>View</v>
      </c>
      <c r="P126" s="11"/>
    </row>
    <row r="127" spans="1:16" ht="12.75" x14ac:dyDescent="0.35">
      <c r="A127" s="7">
        <v>42481.267048611116</v>
      </c>
      <c r="B127" s="8" t="str">
        <f>HYPERLINK("https://twitter.com/francoveas1","@francoveas1")</f>
        <v>@francoveas1</v>
      </c>
      <c r="C127" s="9" t="s">
        <v>392</v>
      </c>
      <c r="D127" s="9" t="s">
        <v>47</v>
      </c>
      <c r="E127" s="10" t="str">
        <f>HYPERLINK("https://twitter.com/francoveas1/status/722951623329386496","722951623329386496")</f>
        <v>722951623329386496</v>
      </c>
      <c r="F127" s="11" t="s">
        <v>48</v>
      </c>
      <c r="G127" s="11">
        <v>206</v>
      </c>
      <c r="H127" s="11">
        <v>92</v>
      </c>
      <c r="I127" s="11">
        <v>5</v>
      </c>
      <c r="J127" s="11">
        <v>0</v>
      </c>
      <c r="K127" s="11" t="s">
        <v>21</v>
      </c>
      <c r="L127" s="7">
        <v>41278.869467592594</v>
      </c>
      <c r="M127" s="12" t="s">
        <v>393</v>
      </c>
      <c r="N127" s="12" t="s">
        <v>394</v>
      </c>
      <c r="O127" s="10" t="str">
        <f>HYPERLINK("https://pbs.twimg.com/profile_images/714551884053356545/2ZgetQ5e_normal.jpg","View")</f>
        <v>View</v>
      </c>
      <c r="P127" s="11"/>
    </row>
    <row r="128" spans="1:16" ht="12.75" x14ac:dyDescent="0.35">
      <c r="A128" s="7">
        <v>42481.268495370372</v>
      </c>
      <c r="B128" s="8" t="str">
        <f>HYPERLINK("https://twitter.com/SocialMAXorg","@SocialMAXorg")</f>
        <v>@SocialMAXorg</v>
      </c>
      <c r="C128" s="9" t="s">
        <v>395</v>
      </c>
      <c r="D128" s="9" t="s">
        <v>396</v>
      </c>
      <c r="E128" s="10" t="str">
        <f>HYPERLINK("https://twitter.com/SocialMAXorg/status/722952147952766977","722952147952766977")</f>
        <v>722952147952766977</v>
      </c>
      <c r="F128" s="11" t="s">
        <v>43</v>
      </c>
      <c r="G128" s="11">
        <v>34062</v>
      </c>
      <c r="H128" s="11">
        <v>32688</v>
      </c>
      <c r="I128" s="11">
        <v>10</v>
      </c>
      <c r="J128" s="11">
        <v>0</v>
      </c>
      <c r="K128" s="11" t="s">
        <v>21</v>
      </c>
      <c r="L128" s="7">
        <v>41122.91946759259</v>
      </c>
      <c r="M128" s="12" t="s">
        <v>397</v>
      </c>
      <c r="N128" s="12" t="s">
        <v>398</v>
      </c>
      <c r="O128" s="10" t="str">
        <f>HYPERLINK("https://pbs.twimg.com/profile_images/675744269617893376/euzFIoRi_normal.png","View")</f>
        <v>View</v>
      </c>
      <c r="P128" s="11"/>
    </row>
    <row r="129" spans="1:16" ht="12.75" x14ac:dyDescent="0.35">
      <c r="A129" s="7">
        <v>42481.268703703703</v>
      </c>
      <c r="B129" s="8" t="str">
        <f>HYPERLINK("https://twitter.com/kenminesinger","@kenminesinger")</f>
        <v>@kenminesinger</v>
      </c>
      <c r="C129" s="9" t="s">
        <v>399</v>
      </c>
      <c r="D129" s="9" t="s">
        <v>400</v>
      </c>
      <c r="E129" s="10" t="str">
        <f>HYPERLINK("https://twitter.com/kenminesinger/status/722952222674255873","722952222674255873")</f>
        <v>722952222674255873</v>
      </c>
      <c r="F129" s="11" t="s">
        <v>20</v>
      </c>
      <c r="G129" s="11">
        <v>6781</v>
      </c>
      <c r="H129" s="11">
        <v>4501</v>
      </c>
      <c r="I129" s="11">
        <v>2</v>
      </c>
      <c r="J129" s="11">
        <v>0</v>
      </c>
      <c r="K129" s="11" t="s">
        <v>21</v>
      </c>
      <c r="L129" s="7">
        <v>40265.835057870368</v>
      </c>
      <c r="M129" s="12" t="s">
        <v>401</v>
      </c>
      <c r="N129" s="12" t="s">
        <v>402</v>
      </c>
      <c r="O129" s="10" t="str">
        <f>HYPERLINK("https://pbs.twimg.com/profile_images/653964889468243968/EqURjf02_normal.png","View")</f>
        <v>View</v>
      </c>
      <c r="P129" s="11"/>
    </row>
    <row r="130" spans="1:16" ht="12.75" x14ac:dyDescent="0.35">
      <c r="A130" s="7">
        <v>42481.269375000003</v>
      </c>
      <c r="B130" s="8" t="str">
        <f>HYPERLINK("https://twitter.com/treatertweeter","@treatertweeter")</f>
        <v>@treatertweeter</v>
      </c>
      <c r="C130" s="9" t="s">
        <v>403</v>
      </c>
      <c r="D130" s="9" t="s">
        <v>404</v>
      </c>
      <c r="E130" s="10" t="str">
        <f>HYPERLINK("https://twitter.com/treatertweeter/status/722952465717583872","722952465717583872")</f>
        <v>722952465717583872</v>
      </c>
      <c r="F130" s="11" t="s">
        <v>114</v>
      </c>
      <c r="G130" s="11">
        <v>25</v>
      </c>
      <c r="H130" s="11">
        <v>82</v>
      </c>
      <c r="I130" s="11">
        <v>0</v>
      </c>
      <c r="J130" s="11">
        <v>0</v>
      </c>
      <c r="K130" s="11" t="s">
        <v>21</v>
      </c>
      <c r="L130" s="7">
        <v>41006.288344907407</v>
      </c>
      <c r="M130" s="12"/>
      <c r="N130" s="12"/>
      <c r="O130" s="10" t="str">
        <f>HYPERLINK("https://pbs.twimg.com/profile_images/483846203830837248/JmwSWSme_normal.jpeg","View")</f>
        <v>View</v>
      </c>
      <c r="P130" s="11"/>
    </row>
    <row r="131" spans="1:16" ht="12.75" x14ac:dyDescent="0.35">
      <c r="A131" s="7">
        <v>42481.270370370374</v>
      </c>
      <c r="B131" s="8" t="str">
        <f>HYPERLINK("https://twitter.com/Manolo_Breton","@Manolo_Breton")</f>
        <v>@Manolo_Breton</v>
      </c>
      <c r="C131" s="9" t="s">
        <v>405</v>
      </c>
      <c r="D131" s="9" t="s">
        <v>406</v>
      </c>
      <c r="E131" s="10" t="str">
        <f>HYPERLINK("https://twitter.com/Manolo_Breton/status/722952829162258433","722952829162258433")</f>
        <v>722952829162258433</v>
      </c>
      <c r="F131" s="11" t="s">
        <v>48</v>
      </c>
      <c r="G131" s="11">
        <v>401</v>
      </c>
      <c r="H131" s="11">
        <v>398</v>
      </c>
      <c r="I131" s="11">
        <v>0</v>
      </c>
      <c r="J131" s="11">
        <v>0</v>
      </c>
      <c r="K131" s="11" t="s">
        <v>21</v>
      </c>
      <c r="L131" s="7">
        <v>40687.141504629632</v>
      </c>
      <c r="M131" s="12"/>
      <c r="N131" s="12" t="s">
        <v>407</v>
      </c>
      <c r="O131" s="10" t="str">
        <f>HYPERLINK("https://pbs.twimg.com/profile_images/711248931980582912/CJpAou94_normal.jpg","View")</f>
        <v>View</v>
      </c>
      <c r="P131" s="11"/>
    </row>
    <row r="132" spans="1:16" ht="12.75" x14ac:dyDescent="0.35">
      <c r="A132" s="7">
        <v>42481.270868055552</v>
      </c>
      <c r="B132" s="8" t="str">
        <f>HYPERLINK("https://twitter.com/vw_escarabajo","@vw_escarabajo")</f>
        <v>@vw_escarabajo</v>
      </c>
      <c r="C132" s="9" t="s">
        <v>408</v>
      </c>
      <c r="D132" s="9" t="s">
        <v>409</v>
      </c>
      <c r="E132" s="10" t="str">
        <f>HYPERLINK("https://twitter.com/vw_escarabajo/status/722953009114783744","722953009114783744")</f>
        <v>722953009114783744</v>
      </c>
      <c r="F132" s="11" t="s">
        <v>410</v>
      </c>
      <c r="G132" s="11">
        <v>1472</v>
      </c>
      <c r="H132" s="11">
        <v>568</v>
      </c>
      <c r="I132" s="11">
        <v>1</v>
      </c>
      <c r="J132" s="11">
        <v>0</v>
      </c>
      <c r="K132" s="11" t="s">
        <v>21</v>
      </c>
      <c r="L132" s="7">
        <v>40525.011643518519</v>
      </c>
      <c r="M132" s="12"/>
      <c r="N132" s="12" t="s">
        <v>411</v>
      </c>
      <c r="O132" s="10" t="str">
        <f>HYPERLINK("https://pbs.twimg.com/profile_images/2335693624/8d0zkbzviiv8pqpcupyd_normal.jpeg","View")</f>
        <v>View</v>
      </c>
      <c r="P132" s="11"/>
    </row>
    <row r="133" spans="1:16" ht="12.75" x14ac:dyDescent="0.35">
      <c r="A133" s="7">
        <v>42481.27144675926</v>
      </c>
      <c r="B133" s="8" t="str">
        <f>HYPERLINK("https://twitter.com/srujanshinde27","@srujanshinde27")</f>
        <v>@srujanshinde27</v>
      </c>
      <c r="C133" s="9" t="s">
        <v>412</v>
      </c>
      <c r="D133" s="9" t="s">
        <v>413</v>
      </c>
      <c r="E133" s="10" t="str">
        <f>HYPERLINK("https://twitter.com/srujanshinde27/status/722953219178172417","722953219178172417")</f>
        <v>722953219178172417</v>
      </c>
      <c r="F133" s="11" t="s">
        <v>152</v>
      </c>
      <c r="G133" s="11">
        <v>828</v>
      </c>
      <c r="H133" s="11">
        <v>1107</v>
      </c>
      <c r="I133" s="11">
        <v>0</v>
      </c>
      <c r="J133" s="11">
        <v>0</v>
      </c>
      <c r="K133" s="11" t="s">
        <v>21</v>
      </c>
      <c r="L133" s="7">
        <v>40320.470636574071</v>
      </c>
      <c r="M133" s="12" t="s">
        <v>414</v>
      </c>
      <c r="N133" s="12" t="s">
        <v>415</v>
      </c>
      <c r="O133" s="10" t="str">
        <f>HYPERLINK("https://pbs.twimg.com/profile_images/720319573199704064/ZSlLVbVZ_normal.jpg","View")</f>
        <v>View</v>
      </c>
      <c r="P133" s="11"/>
    </row>
    <row r="134" spans="1:16" ht="12.75" x14ac:dyDescent="0.35">
      <c r="A134" s="7">
        <v>42481.27306712963</v>
      </c>
      <c r="B134" s="8" t="str">
        <f>HYPERLINK("https://twitter.com/vwmaniacs","@vwmaniacs")</f>
        <v>@vwmaniacs</v>
      </c>
      <c r="C134" s="9" t="s">
        <v>416</v>
      </c>
      <c r="D134" s="9" t="s">
        <v>417</v>
      </c>
      <c r="E134" s="10" t="str">
        <f>HYPERLINK("https://twitter.com/vwmaniacs/status/722953804275044352","722953804275044352")</f>
        <v>722953804275044352</v>
      </c>
      <c r="F134" s="11" t="s">
        <v>114</v>
      </c>
      <c r="G134" s="11">
        <v>1676</v>
      </c>
      <c r="H134" s="11">
        <v>272</v>
      </c>
      <c r="I134" s="11">
        <v>0</v>
      </c>
      <c r="J134" s="11">
        <v>0</v>
      </c>
      <c r="K134" s="11" t="s">
        <v>21</v>
      </c>
      <c r="L134" s="7">
        <v>40020.727546296301</v>
      </c>
      <c r="M134" s="12" t="s">
        <v>418</v>
      </c>
      <c r="N134" s="12" t="s">
        <v>419</v>
      </c>
      <c r="O134" s="10" t="str">
        <f>HYPERLINK("https://pbs.twimg.com/profile_images/2188709653/420231_385567048140178_106973562666196_1378230_25473722_n_normal.jpg","View")</f>
        <v>View</v>
      </c>
      <c r="P134" s="11"/>
    </row>
    <row r="135" spans="1:16" ht="12.75" x14ac:dyDescent="0.35">
      <c r="A135" s="7">
        <v>42481.274398148147</v>
      </c>
      <c r="B135" s="8" t="str">
        <f>HYPERLINK("https://twitter.com/FuscaWorld","@FuscaWorld")</f>
        <v>@FuscaWorld</v>
      </c>
      <c r="C135" s="9" t="s">
        <v>74</v>
      </c>
      <c r="D135" s="9" t="s">
        <v>420</v>
      </c>
      <c r="E135" s="10" t="str">
        <f>HYPERLINK("https://twitter.com/FuscaWorld/status/722954285256957952","722954285256957952")</f>
        <v>722954285256957952</v>
      </c>
      <c r="F135" s="11" t="s">
        <v>76</v>
      </c>
      <c r="G135" s="11">
        <v>48</v>
      </c>
      <c r="H135" s="11">
        <v>1</v>
      </c>
      <c r="I135" s="11">
        <v>1</v>
      </c>
      <c r="J135" s="11">
        <v>0</v>
      </c>
      <c r="K135" s="11" t="s">
        <v>21</v>
      </c>
      <c r="L135" s="7">
        <v>42433.880914351852</v>
      </c>
      <c r="M135" s="12"/>
      <c r="N135" s="12" t="s">
        <v>77</v>
      </c>
      <c r="O135" s="10" t="str">
        <f>HYPERLINK("https://pbs.twimg.com/profile_images/705780107844067328/e7O4UBNb_normal.jpg","View")</f>
        <v>View</v>
      </c>
      <c r="P135" s="11"/>
    </row>
    <row r="136" spans="1:16" ht="12.75" x14ac:dyDescent="0.35">
      <c r="A136" s="7">
        <v>42481.277696759258</v>
      </c>
      <c r="B136" s="8" t="str">
        <f>HYPERLINK("https://twitter.com/PonziTracker","@PonziTracker")</f>
        <v>@PonziTracker</v>
      </c>
      <c r="C136" s="9" t="s">
        <v>421</v>
      </c>
      <c r="D136" s="9" t="s">
        <v>422</v>
      </c>
      <c r="E136" s="10" t="str">
        <f>HYPERLINK("https://twitter.com/PonziTracker/status/722955483464798208","722955483464798208")</f>
        <v>722955483464798208</v>
      </c>
      <c r="F136" s="11" t="s">
        <v>20</v>
      </c>
      <c r="G136" s="11">
        <v>2485</v>
      </c>
      <c r="H136" s="11">
        <v>2178</v>
      </c>
      <c r="I136" s="11">
        <v>2</v>
      </c>
      <c r="J136" s="11">
        <v>0</v>
      </c>
      <c r="K136" s="11" t="s">
        <v>21</v>
      </c>
      <c r="L136" s="7">
        <v>40715.295289351852</v>
      </c>
      <c r="M136" s="12" t="s">
        <v>316</v>
      </c>
      <c r="N136" s="12" t="s">
        <v>423</v>
      </c>
      <c r="O136" s="10" t="str">
        <f>HYPERLINK("https://pbs.twimg.com/profile_images/2906819300/3cdd8998f18f70dae2fed6ded31c19b7_normal.jpeg","View")</f>
        <v>View</v>
      </c>
      <c r="P136" s="11"/>
    </row>
    <row r="137" spans="1:16" ht="12.75" x14ac:dyDescent="0.35">
      <c r="A137" s="7">
        <v>42481.279340277775</v>
      </c>
      <c r="B137" s="8" t="str">
        <f t="shared" ref="B137:B138" si="16">HYPERLINK("https://twitter.com/junior1980rodr","@junior1980rodr")</f>
        <v>@junior1980rodr</v>
      </c>
      <c r="C137" s="9" t="s">
        <v>424</v>
      </c>
      <c r="D137" s="9" t="s">
        <v>425</v>
      </c>
      <c r="E137" s="10" t="str">
        <f>HYPERLINK("https://twitter.com/junior1980rodr/status/722956076937674753","722956076937674753")</f>
        <v>722956076937674753</v>
      </c>
      <c r="F137" s="11" t="s">
        <v>48</v>
      </c>
      <c r="G137" s="11">
        <v>207</v>
      </c>
      <c r="H137" s="11">
        <v>364</v>
      </c>
      <c r="I137" s="11">
        <v>2</v>
      </c>
      <c r="J137" s="11">
        <v>0</v>
      </c>
      <c r="K137" s="11" t="s">
        <v>21</v>
      </c>
      <c r="L137" s="7">
        <v>42351.954548611116</v>
      </c>
      <c r="M137" s="12" t="s">
        <v>426</v>
      </c>
      <c r="N137" s="12" t="s">
        <v>427</v>
      </c>
      <c r="O137" s="10" t="str">
        <f t="shared" ref="O137:O138" si="17">HYPERLINK("https://pbs.twimg.com/profile_images/677356460255350785/VfTigLv2_normal.jpg","View")</f>
        <v>View</v>
      </c>
      <c r="P137" s="11"/>
    </row>
    <row r="138" spans="1:16" ht="12.75" x14ac:dyDescent="0.35">
      <c r="A138" s="7">
        <v>42481.279421296298</v>
      </c>
      <c r="B138" s="8" t="str">
        <f t="shared" si="16"/>
        <v>@junior1980rodr</v>
      </c>
      <c r="C138" s="9" t="s">
        <v>424</v>
      </c>
      <c r="D138" s="9" t="s">
        <v>428</v>
      </c>
      <c r="E138" s="10" t="str">
        <f>HYPERLINK("https://twitter.com/junior1980rodr/status/722956107992457216","722956107992457216")</f>
        <v>722956107992457216</v>
      </c>
      <c r="F138" s="11" t="s">
        <v>48</v>
      </c>
      <c r="G138" s="11">
        <v>207</v>
      </c>
      <c r="H138" s="11">
        <v>364</v>
      </c>
      <c r="I138" s="11">
        <v>2</v>
      </c>
      <c r="J138" s="11">
        <v>0</v>
      </c>
      <c r="K138" s="11" t="s">
        <v>21</v>
      </c>
      <c r="L138" s="7">
        <v>42351.954548611116</v>
      </c>
      <c r="M138" s="12" t="s">
        <v>426</v>
      </c>
      <c r="N138" s="12" t="s">
        <v>427</v>
      </c>
      <c r="O138" s="10" t="str">
        <f t="shared" si="17"/>
        <v>View</v>
      </c>
      <c r="P138" s="11"/>
    </row>
    <row r="139" spans="1:16" ht="12.75" x14ac:dyDescent="0.35">
      <c r="A139" s="7">
        <v>42481.281712962962</v>
      </c>
      <c r="B139" s="8" t="str">
        <f>HYPERLINK("https://twitter.com/ertlife_press","@ertlife_press")</f>
        <v>@ertlife_press</v>
      </c>
      <c r="C139" s="9" t="s">
        <v>429</v>
      </c>
      <c r="D139" s="9" t="s">
        <v>430</v>
      </c>
      <c r="E139" s="10" t="str">
        <f>HYPERLINK("https://twitter.com/ertlife_press/status/722956938833735680","722956938833735680")</f>
        <v>722956938833735680</v>
      </c>
      <c r="F139" s="11" t="s">
        <v>20</v>
      </c>
      <c r="G139" s="11">
        <v>1020</v>
      </c>
      <c r="H139" s="11">
        <v>794</v>
      </c>
      <c r="I139" s="11">
        <v>0</v>
      </c>
      <c r="J139" s="11">
        <v>1</v>
      </c>
      <c r="K139" s="11" t="s">
        <v>21</v>
      </c>
      <c r="L139" s="7">
        <v>40368.625069444446</v>
      </c>
      <c r="M139" s="12" t="s">
        <v>431</v>
      </c>
      <c r="N139" s="12" t="s">
        <v>432</v>
      </c>
      <c r="O139" s="10" t="str">
        <f>HYPERLINK("https://pbs.twimg.com/profile_images/468433825815474176/TEcbgoWM_normal.png","View")</f>
        <v>View</v>
      </c>
      <c r="P139" s="11"/>
    </row>
    <row r="140" spans="1:16" ht="12.75" x14ac:dyDescent="0.35">
      <c r="A140" s="7">
        <v>42481.28224537037</v>
      </c>
      <c r="B140" s="8" t="str">
        <f>HYPERLINK("https://twitter.com/VAGFanArg","@VAGFanArg")</f>
        <v>@VAGFanArg</v>
      </c>
      <c r="C140" s="9" t="s">
        <v>433</v>
      </c>
      <c r="D140" s="9" t="s">
        <v>434</v>
      </c>
      <c r="E140" s="10" t="str">
        <f>HYPERLINK("https://twitter.com/VAGFanArg/status/722957129955450880","722957129955450880")</f>
        <v>722957129955450880</v>
      </c>
      <c r="F140" s="11" t="s">
        <v>43</v>
      </c>
      <c r="G140" s="11">
        <v>24</v>
      </c>
      <c r="H140" s="11">
        <v>5</v>
      </c>
      <c r="I140" s="11">
        <v>1</v>
      </c>
      <c r="J140" s="11">
        <v>1</v>
      </c>
      <c r="K140" s="11" t="s">
        <v>21</v>
      </c>
      <c r="L140" s="7">
        <v>42329.2815162037</v>
      </c>
      <c r="M140" s="12"/>
      <c r="N140" s="12"/>
      <c r="O140" s="10" t="str">
        <f>HYPERLINK("https://pbs.twimg.com/profile_images/667876096088653825/FOW14Ke4_normal.jpg","View")</f>
        <v>View</v>
      </c>
      <c r="P140" s="11"/>
    </row>
    <row r="141" spans="1:16" ht="12.75" x14ac:dyDescent="0.35">
      <c r="A141" s="7">
        <v>42481.282268518524</v>
      </c>
      <c r="B141" s="8" t="str">
        <f>HYPERLINK("https://twitter.com/gie_fer19","@gie_fer19")</f>
        <v>@gie_fer19</v>
      </c>
      <c r="C141" s="9" t="s">
        <v>435</v>
      </c>
      <c r="D141" s="9" t="s">
        <v>158</v>
      </c>
      <c r="E141" s="10" t="str">
        <f>HYPERLINK("https://twitter.com/gie_fer19/status/722957137291280385","722957137291280385")</f>
        <v>722957137291280385</v>
      </c>
      <c r="F141" s="11" t="s">
        <v>20</v>
      </c>
      <c r="G141" s="11">
        <v>38</v>
      </c>
      <c r="H141" s="11">
        <v>202</v>
      </c>
      <c r="I141" s="11">
        <v>23</v>
      </c>
      <c r="J141" s="11">
        <v>0</v>
      </c>
      <c r="K141" s="11" t="s">
        <v>21</v>
      </c>
      <c r="L141" s="7">
        <v>40673.465509259258</v>
      </c>
      <c r="M141" s="12"/>
      <c r="N141" s="12"/>
      <c r="O141" s="10" t="str">
        <f>HYPERLINK("https://pbs.twimg.com/profile_images/478385604686643200/7VNZabuJ_normal.jpeg","View")</f>
        <v>View</v>
      </c>
      <c r="P141" s="11"/>
    </row>
    <row r="142" spans="1:16" ht="12.75" x14ac:dyDescent="0.35">
      <c r="A142" s="7">
        <v>42481.283055555556</v>
      </c>
      <c r="B142" s="8" t="str">
        <f>HYPERLINK("https://twitter.com/radioweapon","@radioweapon")</f>
        <v>@radioweapon</v>
      </c>
      <c r="C142" s="9" t="s">
        <v>436</v>
      </c>
      <c r="D142" s="9" t="s">
        <v>437</v>
      </c>
      <c r="E142" s="10" t="str">
        <f>HYPERLINK("https://twitter.com/radioweapon/status/722957426153005056","722957426153005056")</f>
        <v>722957426153005056</v>
      </c>
      <c r="F142" s="11" t="s">
        <v>243</v>
      </c>
      <c r="G142" s="11">
        <v>722</v>
      </c>
      <c r="H142" s="11">
        <v>1728</v>
      </c>
      <c r="I142" s="11">
        <v>0</v>
      </c>
      <c r="J142" s="11">
        <v>0</v>
      </c>
      <c r="K142" s="11" t="s">
        <v>21</v>
      </c>
      <c r="L142" s="7">
        <v>39830.31181712963</v>
      </c>
      <c r="M142" s="12" t="s">
        <v>438</v>
      </c>
      <c r="N142" s="12" t="s">
        <v>439</v>
      </c>
      <c r="O142" s="10" t="str">
        <f>HYPERLINK("https://pbs.twimg.com/profile_images/687805683958349825/KlBTeF-A_normal.jpg","View")</f>
        <v>View</v>
      </c>
      <c r="P142" s="11"/>
    </row>
    <row r="143" spans="1:16" ht="12.75" x14ac:dyDescent="0.35">
      <c r="A143" s="7">
        <v>42481.283171296294</v>
      </c>
      <c r="B143" s="8" t="str">
        <f>HYPERLINK("https://twitter.com/VAGFanArg","@VAGFanArg")</f>
        <v>@VAGFanArg</v>
      </c>
      <c r="C143" s="9" t="s">
        <v>433</v>
      </c>
      <c r="D143" s="9" t="s">
        <v>440</v>
      </c>
      <c r="E143" s="10" t="str">
        <f>HYPERLINK("https://twitter.com/VAGFanArg/status/722957466753851392","722957466753851392")</f>
        <v>722957466753851392</v>
      </c>
      <c r="F143" s="11" t="s">
        <v>43</v>
      </c>
      <c r="G143" s="11">
        <v>24</v>
      </c>
      <c r="H143" s="11">
        <v>5</v>
      </c>
      <c r="I143" s="11">
        <v>0</v>
      </c>
      <c r="J143" s="11">
        <v>2</v>
      </c>
      <c r="K143" s="11" t="s">
        <v>21</v>
      </c>
      <c r="L143" s="7">
        <v>42329.2815162037</v>
      </c>
      <c r="M143" s="12"/>
      <c r="N143" s="12"/>
      <c r="O143" s="10" t="str">
        <f>HYPERLINK("https://pbs.twimg.com/profile_images/667876096088653825/FOW14Ke4_normal.jpg","View")</f>
        <v>View</v>
      </c>
      <c r="P143" s="11"/>
    </row>
    <row r="144" spans="1:16" ht="12.75" x14ac:dyDescent="0.35">
      <c r="A144" s="7">
        <v>42481.284178240741</v>
      </c>
      <c r="B144" s="8" t="str">
        <f>HYPERLINK("https://twitter.com/tw_teria","@tw_teria")</f>
        <v>@tw_teria</v>
      </c>
      <c r="C144" s="9" t="s">
        <v>441</v>
      </c>
      <c r="D144" s="9" t="s">
        <v>151</v>
      </c>
      <c r="E144" s="10" t="str">
        <f>HYPERLINK("https://twitter.com/tw_teria/status/722957831901577217","722957831901577217")</f>
        <v>722957831901577217</v>
      </c>
      <c r="F144" s="11" t="s">
        <v>20</v>
      </c>
      <c r="G144" s="11">
        <v>349</v>
      </c>
      <c r="H144" s="11">
        <v>427</v>
      </c>
      <c r="I144" s="11">
        <v>16</v>
      </c>
      <c r="J144" s="11">
        <v>0</v>
      </c>
      <c r="K144" s="11" t="s">
        <v>21</v>
      </c>
      <c r="L144" s="7">
        <v>40398.806481481479</v>
      </c>
      <c r="M144" s="12" t="s">
        <v>442</v>
      </c>
      <c r="N144" s="12" t="s">
        <v>443</v>
      </c>
      <c r="O144" s="10" t="str">
        <f>HYPERLINK("https://pbs.twimg.com/profile_images/686190790498897920/ZvPjcisY_normal.jpg","View")</f>
        <v>View</v>
      </c>
      <c r="P144" s="11"/>
    </row>
    <row r="145" spans="1:16" ht="12.75" x14ac:dyDescent="0.35">
      <c r="A145" s="7">
        <v>42481.284212962964</v>
      </c>
      <c r="B145" s="8" t="str">
        <f>HYPERLINK("https://twitter.com/VAGFanArg","@VAGFanArg")</f>
        <v>@VAGFanArg</v>
      </c>
      <c r="C145" s="9" t="s">
        <v>433</v>
      </c>
      <c r="D145" s="9" t="s">
        <v>444</v>
      </c>
      <c r="E145" s="10" t="str">
        <f>HYPERLINK("https://twitter.com/VAGFanArg/status/722957843272339456","722957843272339456")</f>
        <v>722957843272339456</v>
      </c>
      <c r="F145" s="11" t="s">
        <v>43</v>
      </c>
      <c r="G145" s="11">
        <v>24</v>
      </c>
      <c r="H145" s="11">
        <v>5</v>
      </c>
      <c r="I145" s="11">
        <v>1</v>
      </c>
      <c r="J145" s="11">
        <v>1</v>
      </c>
      <c r="K145" s="11" t="s">
        <v>21</v>
      </c>
      <c r="L145" s="7">
        <v>42329.2815162037</v>
      </c>
      <c r="M145" s="12"/>
      <c r="N145" s="12"/>
      <c r="O145" s="10" t="str">
        <f>HYPERLINK("https://pbs.twimg.com/profile_images/667876096088653825/FOW14Ke4_normal.jpg","View")</f>
        <v>View</v>
      </c>
      <c r="P145" s="11"/>
    </row>
    <row r="146" spans="1:16" ht="12.75" x14ac:dyDescent="0.35">
      <c r="A146" s="7">
        <v>42481.285821759258</v>
      </c>
      <c r="B146" s="8" t="str">
        <f>HYPERLINK("https://twitter.com/Jeff_Molek16v","@Jeff_Molek16v")</f>
        <v>@Jeff_Molek16v</v>
      </c>
      <c r="C146" s="9" t="s">
        <v>445</v>
      </c>
      <c r="D146" s="9" t="s">
        <v>446</v>
      </c>
      <c r="E146" s="10" t="str">
        <f>HYPERLINK("https://twitter.com/Jeff_Molek16v/status/722958427274633216","722958427274633216")</f>
        <v>722958427274633216</v>
      </c>
      <c r="F146" s="11" t="s">
        <v>48</v>
      </c>
      <c r="G146" s="11">
        <v>18</v>
      </c>
      <c r="H146" s="11">
        <v>40</v>
      </c>
      <c r="I146" s="11">
        <v>0</v>
      </c>
      <c r="J146" s="11">
        <v>0</v>
      </c>
      <c r="K146" s="11" t="s">
        <v>21</v>
      </c>
      <c r="L146" s="7">
        <v>42285.258668981478</v>
      </c>
      <c r="M146" s="12"/>
      <c r="N146" s="12"/>
      <c r="O146" s="10" t="str">
        <f>HYPERLINK("https://pbs.twimg.com/profile_images/697477577301233664/WcI9GrNZ_normal.jpg","View")</f>
        <v>View</v>
      </c>
      <c r="P146" s="11"/>
    </row>
    <row r="147" spans="1:16" ht="12.75" x14ac:dyDescent="0.35">
      <c r="A147" s="7">
        <v>42481.286898148144</v>
      </c>
      <c r="B147" s="8" t="str">
        <f>HYPERLINK("https://twitter.com/caroltpsworld","@caroltpsworld")</f>
        <v>@caroltpsworld</v>
      </c>
      <c r="C147" s="9" t="s">
        <v>447</v>
      </c>
      <c r="D147" s="9" t="s">
        <v>448</v>
      </c>
      <c r="E147" s="10" t="str">
        <f>HYPERLINK("https://twitter.com/caroltpsworld/status/722958815142928385","722958815142928385")</f>
        <v>722958815142928385</v>
      </c>
      <c r="F147" s="11" t="s">
        <v>20</v>
      </c>
      <c r="G147" s="11">
        <v>3378</v>
      </c>
      <c r="H147" s="11">
        <v>3092</v>
      </c>
      <c r="I147" s="11">
        <v>0</v>
      </c>
      <c r="J147" s="11">
        <v>0</v>
      </c>
      <c r="K147" s="11" t="s">
        <v>21</v>
      </c>
      <c r="L147" s="7">
        <v>40480.839490740742</v>
      </c>
      <c r="M147" s="12"/>
      <c r="N147" s="12" t="s">
        <v>449</v>
      </c>
      <c r="O147" s="10" t="str">
        <f>HYPERLINK("https://pbs.twimg.com/profile_images/670346825421840384/5FH2v0cM_normal.jpg","View")</f>
        <v>View</v>
      </c>
      <c r="P147" s="11"/>
    </row>
    <row r="148" spans="1:16" ht="12.75" x14ac:dyDescent="0.35">
      <c r="A148" s="7">
        <v>42481.288113425922</v>
      </c>
      <c r="B148" s="8" t="str">
        <f>HYPERLINK("https://twitter.com/Rymilledge32","@Rymilledge32")</f>
        <v>@Rymilledge32</v>
      </c>
      <c r="C148" s="9" t="s">
        <v>450</v>
      </c>
      <c r="D148" s="9" t="s">
        <v>451</v>
      </c>
      <c r="E148" s="10" t="str">
        <f>HYPERLINK("https://twitter.com/Rymilledge32/status/722959257897832449","722959257897832449")</f>
        <v>722959257897832449</v>
      </c>
      <c r="F148" s="11" t="s">
        <v>48</v>
      </c>
      <c r="G148" s="11">
        <v>84</v>
      </c>
      <c r="H148" s="11">
        <v>140</v>
      </c>
      <c r="I148" s="11">
        <v>0</v>
      </c>
      <c r="J148" s="11">
        <v>0</v>
      </c>
      <c r="K148" s="11" t="s">
        <v>21</v>
      </c>
      <c r="L148" s="7">
        <v>40986.923263888893</v>
      </c>
      <c r="M148" s="12" t="s">
        <v>452</v>
      </c>
      <c r="N148" s="12" t="s">
        <v>453</v>
      </c>
      <c r="O148" s="10" t="str">
        <f>HYPERLINK("https://pbs.twimg.com/profile_images/686683642509307904/1_1fP8j4_normal.jpg","View")</f>
        <v>View</v>
      </c>
      <c r="P148" s="11"/>
    </row>
    <row r="149" spans="1:16" ht="12.75" x14ac:dyDescent="0.35">
      <c r="A149" s="7">
        <v>42481.289351851854</v>
      </c>
      <c r="B149" s="8" t="str">
        <f>HYPERLINK("https://twitter.com/nealboudette","@nealboudette")</f>
        <v>@nealboudette</v>
      </c>
      <c r="C149" s="9" t="s">
        <v>454</v>
      </c>
      <c r="D149" s="9" t="s">
        <v>455</v>
      </c>
      <c r="E149" s="10" t="str">
        <f>HYPERLINK("https://twitter.com/nealboudette/status/722959705077866496","722959705077866496")</f>
        <v>722959705077866496</v>
      </c>
      <c r="F149" s="11" t="s">
        <v>20</v>
      </c>
      <c r="G149" s="11">
        <v>2409</v>
      </c>
      <c r="H149" s="11">
        <v>1204</v>
      </c>
      <c r="I149" s="11">
        <v>0</v>
      </c>
      <c r="J149" s="11">
        <v>0</v>
      </c>
      <c r="K149" s="11" t="s">
        <v>21</v>
      </c>
      <c r="L149" s="7">
        <v>40081.977592592593</v>
      </c>
      <c r="M149" s="12" t="s">
        <v>456</v>
      </c>
      <c r="N149" s="12" t="s">
        <v>457</v>
      </c>
      <c r="O149" s="10" t="str">
        <f>HYPERLINK("https://pbs.twimg.com/profile_images/714548199294418944/5p7GzpJ5_normal.jpg","View")</f>
        <v>View</v>
      </c>
      <c r="P149" s="11"/>
    </row>
    <row r="150" spans="1:16" ht="12.75" x14ac:dyDescent="0.35">
      <c r="A150" s="7">
        <v>42481.289502314816</v>
      </c>
      <c r="B150" s="8" t="str">
        <f>HYPERLINK("https://twitter.com/FuscaWorld","@FuscaWorld")</f>
        <v>@FuscaWorld</v>
      </c>
      <c r="C150" s="9" t="s">
        <v>74</v>
      </c>
      <c r="D150" s="9" t="s">
        <v>458</v>
      </c>
      <c r="E150" s="10" t="str">
        <f>HYPERLINK("https://twitter.com/FuscaWorld/status/722959761768087552","722959761768087552")</f>
        <v>722959761768087552</v>
      </c>
      <c r="F150" s="11" t="s">
        <v>76</v>
      </c>
      <c r="G150" s="11">
        <v>48</v>
      </c>
      <c r="H150" s="11">
        <v>1</v>
      </c>
      <c r="I150" s="11">
        <v>1</v>
      </c>
      <c r="J150" s="11">
        <v>0</v>
      </c>
      <c r="K150" s="11" t="s">
        <v>21</v>
      </c>
      <c r="L150" s="7">
        <v>42433.880914351852</v>
      </c>
      <c r="M150" s="12"/>
      <c r="N150" s="12" t="s">
        <v>77</v>
      </c>
      <c r="O150" s="10" t="str">
        <f>HYPERLINK("https://pbs.twimg.com/profile_images/705780107844067328/e7O4UBNb_normal.jpg","View")</f>
        <v>View</v>
      </c>
      <c r="P150" s="11"/>
    </row>
    <row r="151" spans="1:16" ht="12.75" x14ac:dyDescent="0.35">
      <c r="A151" s="7">
        <v>42481.290208333332</v>
      </c>
      <c r="B151" s="8" t="str">
        <f>HYPERLINK("https://twitter.com/Scirocco_Tuning","@Scirocco_Tuning")</f>
        <v>@Scirocco_Tuning</v>
      </c>
      <c r="C151" s="9" t="s">
        <v>51</v>
      </c>
      <c r="D151" s="9" t="s">
        <v>459</v>
      </c>
      <c r="E151" s="10" t="str">
        <f>HYPERLINK("https://twitter.com/Scirocco_Tuning/status/722960015838044161","722960015838044161")</f>
        <v>722960015838044161</v>
      </c>
      <c r="F151" s="11" t="s">
        <v>53</v>
      </c>
      <c r="G151" s="11">
        <v>69</v>
      </c>
      <c r="H151" s="11">
        <v>215</v>
      </c>
      <c r="I151" s="11">
        <v>0</v>
      </c>
      <c r="J151" s="11">
        <v>0</v>
      </c>
      <c r="K151" s="11" t="s">
        <v>21</v>
      </c>
      <c r="L151" s="7">
        <v>40844.564722222218</v>
      </c>
      <c r="M151" s="12"/>
      <c r="N151" s="12"/>
      <c r="O151" s="10" t="str">
        <f>HYPERLINK("https://pbs.twimg.com/profile_images/1610421423/Image2_normal.jpg","View")</f>
        <v>View</v>
      </c>
      <c r="P151" s="11"/>
    </row>
    <row r="152" spans="1:16" ht="12.75" x14ac:dyDescent="0.35">
      <c r="A152" s="7">
        <v>42481.290497685186</v>
      </c>
      <c r="B152" s="8" t="str">
        <f>HYPERLINK("https://twitter.com/MarcosOmr","@MarcosOmr")</f>
        <v>@MarcosOmr</v>
      </c>
      <c r="C152" s="9" t="s">
        <v>460</v>
      </c>
      <c r="D152" s="9" t="s">
        <v>461</v>
      </c>
      <c r="E152" s="10" t="str">
        <f>HYPERLINK("https://twitter.com/MarcosOmr/status/722960121832169472","722960121832169472")</f>
        <v>722960121832169472</v>
      </c>
      <c r="F152" s="11" t="s">
        <v>48</v>
      </c>
      <c r="G152" s="11">
        <v>305</v>
      </c>
      <c r="H152" s="11">
        <v>857</v>
      </c>
      <c r="I152" s="11">
        <v>1</v>
      </c>
      <c r="J152" s="11">
        <v>0</v>
      </c>
      <c r="K152" s="11" t="s">
        <v>21</v>
      </c>
      <c r="L152" s="7">
        <v>40889.255162037036</v>
      </c>
      <c r="M152" s="12" t="s">
        <v>462</v>
      </c>
      <c r="N152" s="12" t="s">
        <v>463</v>
      </c>
      <c r="O152" s="10" t="str">
        <f>HYPERLINK("https://pbs.twimg.com/profile_images/662126706174509057/SqMlQ2tO_normal.jpg","View")</f>
        <v>View</v>
      </c>
      <c r="P152" s="11"/>
    </row>
    <row r="153" spans="1:16" ht="12.75" x14ac:dyDescent="0.35">
      <c r="A153" s="7">
        <v>42481.29078703704</v>
      </c>
      <c r="B153" s="8" t="str">
        <f>HYPERLINK("https://twitter.com/memlopes","@memlopes")</f>
        <v>@memlopes</v>
      </c>
      <c r="C153" s="9" t="s">
        <v>464</v>
      </c>
      <c r="D153" s="9" t="s">
        <v>465</v>
      </c>
      <c r="E153" s="10" t="str">
        <f>HYPERLINK("https://twitter.com/memlopes/status/722960226693971969","722960226693971969")</f>
        <v>722960226693971969</v>
      </c>
      <c r="F153" s="11" t="s">
        <v>114</v>
      </c>
      <c r="G153" s="11">
        <v>347</v>
      </c>
      <c r="H153" s="11">
        <v>223</v>
      </c>
      <c r="I153" s="11">
        <v>0</v>
      </c>
      <c r="J153" s="11">
        <v>0</v>
      </c>
      <c r="K153" s="11" t="s">
        <v>21</v>
      </c>
      <c r="L153" s="7">
        <v>40587.209155092591</v>
      </c>
      <c r="M153" s="12"/>
      <c r="N153" s="12" t="s">
        <v>466</v>
      </c>
      <c r="O153" s="10" t="str">
        <f>HYPERLINK("https://pbs.twimg.com/profile_images/615595547915849728/59myu3d6_normal.jpg","View")</f>
        <v>View</v>
      </c>
      <c r="P153" s="11"/>
    </row>
    <row r="154" spans="1:16" ht="12.75" x14ac:dyDescent="0.35">
      <c r="A154" s="7">
        <v>42481.291307870371</v>
      </c>
      <c r="B154" s="8" t="str">
        <f>HYPERLINK("https://twitter.com/EuroshopVW","@EuroshopVW")</f>
        <v>@EuroshopVW</v>
      </c>
      <c r="C154" s="9" t="s">
        <v>467</v>
      </c>
      <c r="D154" s="9" t="s">
        <v>468</v>
      </c>
      <c r="E154" s="10" t="str">
        <f>HYPERLINK("https://twitter.com/EuroshopVW/status/722960413277577216","722960413277577216")</f>
        <v>722960413277577216</v>
      </c>
      <c r="F154" s="11" t="s">
        <v>53</v>
      </c>
      <c r="G154" s="11">
        <v>209</v>
      </c>
      <c r="H154" s="11">
        <v>224</v>
      </c>
      <c r="I154" s="11">
        <v>0</v>
      </c>
      <c r="J154" s="11">
        <v>0</v>
      </c>
      <c r="K154" s="11" t="s">
        <v>21</v>
      </c>
      <c r="L154" s="7">
        <v>41873.887118055558</v>
      </c>
      <c r="M154" s="12" t="s">
        <v>469</v>
      </c>
      <c r="N154" s="12" t="s">
        <v>470</v>
      </c>
      <c r="O154" s="10" t="str">
        <f>HYPERLINK("https://pbs.twimg.com/profile_images/502847546432049152/cWdf-yyG_normal.png","View")</f>
        <v>View</v>
      </c>
      <c r="P154" s="11"/>
    </row>
    <row r="155" spans="1:16" ht="12.75" x14ac:dyDescent="0.35">
      <c r="A155" s="7">
        <v>42481.291388888887</v>
      </c>
      <c r="B155" s="8" t="str">
        <f t="shared" ref="B155:B157" si="18">HYPERLINK("https://twitter.com/OnlineCarReview","@OnlineCarReview")</f>
        <v>@OnlineCarReview</v>
      </c>
      <c r="C155" s="9" t="s">
        <v>176</v>
      </c>
      <c r="D155" s="9" t="s">
        <v>471</v>
      </c>
      <c r="E155" s="10" t="str">
        <f>HYPERLINK("https://twitter.com/OnlineCarReview/status/722960445414334465","722960445414334465")</f>
        <v>722960445414334465</v>
      </c>
      <c r="F155" s="11" t="s">
        <v>34</v>
      </c>
      <c r="G155" s="11">
        <v>839</v>
      </c>
      <c r="H155" s="11">
        <v>568</v>
      </c>
      <c r="I155" s="11">
        <v>0</v>
      </c>
      <c r="J155" s="11">
        <v>0</v>
      </c>
      <c r="K155" s="11" t="s">
        <v>21</v>
      </c>
      <c r="L155" s="7">
        <v>42282.979201388887</v>
      </c>
      <c r="M155" s="12"/>
      <c r="N155" s="12" t="s">
        <v>178</v>
      </c>
      <c r="O155" s="10" t="str">
        <f t="shared" ref="O155:O157" si="19">HYPERLINK("https://pbs.twimg.com/profile_images/652871584131092480/QA_B6SBO_normal.jpg","View")</f>
        <v>View</v>
      </c>
      <c r="P155" s="11"/>
    </row>
    <row r="156" spans="1:16" ht="12.75" x14ac:dyDescent="0.35">
      <c r="A156" s="7">
        <v>42481.291400462964</v>
      </c>
      <c r="B156" s="8" t="str">
        <f t="shared" si="18"/>
        <v>@OnlineCarReview</v>
      </c>
      <c r="C156" s="9" t="s">
        <v>176</v>
      </c>
      <c r="D156" s="9" t="s">
        <v>472</v>
      </c>
      <c r="E156" s="10" t="str">
        <f>HYPERLINK("https://twitter.com/OnlineCarReview/status/722960446299361281","722960446299361281")</f>
        <v>722960446299361281</v>
      </c>
      <c r="F156" s="11" t="s">
        <v>34</v>
      </c>
      <c r="G156" s="11">
        <v>839</v>
      </c>
      <c r="H156" s="11">
        <v>568</v>
      </c>
      <c r="I156" s="11">
        <v>0</v>
      </c>
      <c r="J156" s="11">
        <v>0</v>
      </c>
      <c r="K156" s="11" t="s">
        <v>21</v>
      </c>
      <c r="L156" s="7">
        <v>42282.979201388887</v>
      </c>
      <c r="M156" s="12"/>
      <c r="N156" s="12" t="s">
        <v>178</v>
      </c>
      <c r="O156" s="10" t="str">
        <f t="shared" si="19"/>
        <v>View</v>
      </c>
      <c r="P156" s="11"/>
    </row>
    <row r="157" spans="1:16" ht="12.75" x14ac:dyDescent="0.35">
      <c r="A157" s="7">
        <v>42481.291400462964</v>
      </c>
      <c r="B157" s="8" t="str">
        <f t="shared" si="18"/>
        <v>@OnlineCarReview</v>
      </c>
      <c r="C157" s="9" t="s">
        <v>176</v>
      </c>
      <c r="D157" s="9" t="s">
        <v>473</v>
      </c>
      <c r="E157" s="10" t="str">
        <f>HYPERLINK("https://twitter.com/OnlineCarReview/status/722960447154982912","722960447154982912")</f>
        <v>722960447154982912</v>
      </c>
      <c r="F157" s="11" t="s">
        <v>34</v>
      </c>
      <c r="G157" s="11">
        <v>839</v>
      </c>
      <c r="H157" s="11">
        <v>568</v>
      </c>
      <c r="I157" s="11">
        <v>0</v>
      </c>
      <c r="J157" s="11">
        <v>0</v>
      </c>
      <c r="K157" s="11" t="s">
        <v>21</v>
      </c>
      <c r="L157" s="7">
        <v>42282.979201388887</v>
      </c>
      <c r="M157" s="12"/>
      <c r="N157" s="12" t="s">
        <v>178</v>
      </c>
      <c r="O157" s="10" t="str">
        <f t="shared" si="19"/>
        <v>View</v>
      </c>
      <c r="P157" s="11"/>
    </row>
    <row r="158" spans="1:16" ht="12.75" x14ac:dyDescent="0.35">
      <c r="A158" s="7">
        <v>42481.291631944448</v>
      </c>
      <c r="B158" s="8" t="str">
        <f t="shared" ref="B158:B159" si="20">HYPERLINK("https://twitter.com/ianjbarlow","@ianjbarlow")</f>
        <v>@ianjbarlow</v>
      </c>
      <c r="C158" s="9" t="s">
        <v>474</v>
      </c>
      <c r="D158" s="9" t="s">
        <v>475</v>
      </c>
      <c r="E158" s="10" t="str">
        <f>HYPERLINK("https://twitter.com/ianjbarlow/status/722960533696045056","722960533696045056")</f>
        <v>722960533696045056</v>
      </c>
      <c r="F158" s="11" t="s">
        <v>43</v>
      </c>
      <c r="G158" s="11">
        <v>52</v>
      </c>
      <c r="H158" s="11">
        <v>110</v>
      </c>
      <c r="I158" s="11">
        <v>0</v>
      </c>
      <c r="J158" s="11">
        <v>0</v>
      </c>
      <c r="K158" s="11" t="s">
        <v>21</v>
      </c>
      <c r="L158" s="7">
        <v>41978.16306712963</v>
      </c>
      <c r="M158" s="12" t="s">
        <v>476</v>
      </c>
      <c r="N158" s="12" t="s">
        <v>477</v>
      </c>
      <c r="O158" s="10" t="str">
        <f t="shared" ref="O158:O159" si="21">HYPERLINK("https://pbs.twimg.com/profile_images/540633420636778496/e4HMVsPM_normal.jpeg","View")</f>
        <v>View</v>
      </c>
      <c r="P158" s="11"/>
    </row>
    <row r="159" spans="1:16" ht="12.75" x14ac:dyDescent="0.35">
      <c r="A159" s="7">
        <v>42481.292546296296</v>
      </c>
      <c r="B159" s="8" t="str">
        <f t="shared" si="20"/>
        <v>@ianjbarlow</v>
      </c>
      <c r="C159" s="9" t="s">
        <v>474</v>
      </c>
      <c r="D159" s="9" t="s">
        <v>478</v>
      </c>
      <c r="E159" s="10" t="str">
        <f>HYPERLINK("https://twitter.com/ianjbarlow/status/722960865578766337","722960865578766337")</f>
        <v>722960865578766337</v>
      </c>
      <c r="F159" s="11" t="s">
        <v>43</v>
      </c>
      <c r="G159" s="11">
        <v>52</v>
      </c>
      <c r="H159" s="11">
        <v>110</v>
      </c>
      <c r="I159" s="11">
        <v>0</v>
      </c>
      <c r="J159" s="11">
        <v>0</v>
      </c>
      <c r="K159" s="11" t="s">
        <v>21</v>
      </c>
      <c r="L159" s="7">
        <v>41978.16306712963</v>
      </c>
      <c r="M159" s="12" t="s">
        <v>476</v>
      </c>
      <c r="N159" s="12" t="s">
        <v>477</v>
      </c>
      <c r="O159" s="10" t="str">
        <f t="shared" si="21"/>
        <v>View</v>
      </c>
      <c r="P159" s="11"/>
    </row>
    <row r="160" spans="1:16" ht="12.75" x14ac:dyDescent="0.35">
      <c r="A160" s="7">
        <v>42481.29277777778</v>
      </c>
      <c r="B160" s="8" t="str">
        <f>HYPERLINK("https://twitter.com/richmhales","@richmhales")</f>
        <v>@richmhales</v>
      </c>
      <c r="C160" s="9" t="s">
        <v>479</v>
      </c>
      <c r="D160" s="9" t="s">
        <v>480</v>
      </c>
      <c r="E160" s="10" t="str">
        <f>HYPERLINK("https://twitter.com/richmhales/status/722960947405557761","722960947405557761")</f>
        <v>722960947405557761</v>
      </c>
      <c r="F160" s="11" t="s">
        <v>20</v>
      </c>
      <c r="G160" s="11">
        <v>12</v>
      </c>
      <c r="H160" s="11">
        <v>95</v>
      </c>
      <c r="I160" s="11">
        <v>0</v>
      </c>
      <c r="J160" s="11">
        <v>0</v>
      </c>
      <c r="K160" s="11" t="s">
        <v>21</v>
      </c>
      <c r="L160" s="7">
        <v>41224.617835648147</v>
      </c>
      <c r="M160" s="12"/>
      <c r="N160" s="12"/>
      <c r="O160" s="10" t="str">
        <f>HYPERLINK("https://pbs.twimg.com/profile_images/702957547096023040/HZp77amN_normal.jpg","View")</f>
        <v>View</v>
      </c>
      <c r="P160" s="11"/>
    </row>
    <row r="161" spans="1:16" ht="12.75" x14ac:dyDescent="0.35">
      <c r="A161" s="7">
        <v>42481.29278935185</v>
      </c>
      <c r="B161" s="8" t="str">
        <f>HYPERLINK("https://twitter.com/JasonSmeall","@JasonSmeall")</f>
        <v>@JasonSmeall</v>
      </c>
      <c r="C161" s="9" t="s">
        <v>481</v>
      </c>
      <c r="D161" s="9" t="s">
        <v>482</v>
      </c>
      <c r="E161" s="10" t="str">
        <f>HYPERLINK("https://twitter.com/JasonSmeall/status/722960953587863552","722960953587863552")</f>
        <v>722960953587863552</v>
      </c>
      <c r="F161" s="11" t="s">
        <v>114</v>
      </c>
      <c r="G161" s="11">
        <v>258</v>
      </c>
      <c r="H161" s="11">
        <v>240</v>
      </c>
      <c r="I161" s="11">
        <v>1</v>
      </c>
      <c r="J161" s="11">
        <v>1</v>
      </c>
      <c r="K161" s="11" t="s">
        <v>21</v>
      </c>
      <c r="L161" s="7">
        <v>39843.972685185188</v>
      </c>
      <c r="M161" s="12" t="s">
        <v>483</v>
      </c>
      <c r="N161" s="12" t="s">
        <v>484</v>
      </c>
      <c r="O161" s="10" t="str">
        <f>HYPERLINK("https://pbs.twimg.com/profile_images/418039128002154497/XgNVeCQo_normal.jpeg","View")</f>
        <v>View</v>
      </c>
      <c r="P161" s="11"/>
    </row>
    <row r="162" spans="1:16" ht="12.75" x14ac:dyDescent="0.35">
      <c r="A162" s="7">
        <v>42481.293113425927</v>
      </c>
      <c r="B162" s="8" t="str">
        <f>HYPERLINK("https://twitter.com/woorisec_id","@woorisec_id")</f>
        <v>@woorisec_id</v>
      </c>
      <c r="C162" s="9" t="s">
        <v>485</v>
      </c>
      <c r="D162" s="9" t="s">
        <v>151</v>
      </c>
      <c r="E162" s="10" t="str">
        <f>HYPERLINK("https://twitter.com/woorisec_id/status/722961069564518402","722961069564518402")</f>
        <v>722961069564518402</v>
      </c>
      <c r="F162" s="11" t="s">
        <v>48</v>
      </c>
      <c r="G162" s="11">
        <v>535</v>
      </c>
      <c r="H162" s="11">
        <v>3</v>
      </c>
      <c r="I162" s="11">
        <v>16</v>
      </c>
      <c r="J162" s="11">
        <v>0</v>
      </c>
      <c r="K162" s="11" t="s">
        <v>21</v>
      </c>
      <c r="L162" s="7">
        <v>41423.396886574075</v>
      </c>
      <c r="M162" s="12"/>
      <c r="N162" s="12" t="s">
        <v>486</v>
      </c>
      <c r="O162" s="10" t="str">
        <f>HYPERLINK("https://pbs.twimg.com/profile_images/3730120577/38f3cdb921ec1540a2ef0a4898d05a43_normal.jpeg","View")</f>
        <v>View</v>
      </c>
      <c r="P162" s="11"/>
    </row>
    <row r="163" spans="1:16" ht="12.75" x14ac:dyDescent="0.35">
      <c r="A163" s="7">
        <v>42481.293310185181</v>
      </c>
      <c r="B163" s="8" t="str">
        <f>HYPERLINK("https://twitter.com/ColinOsborn","@ColinOsborn")</f>
        <v>@ColinOsborn</v>
      </c>
      <c r="C163" s="9" t="s">
        <v>487</v>
      </c>
      <c r="D163" s="9" t="s">
        <v>488</v>
      </c>
      <c r="E163" s="10" t="str">
        <f>HYPERLINK("https://twitter.com/ColinOsborn/status/722961139944951809","722961139944951809")</f>
        <v>722961139944951809</v>
      </c>
      <c r="F163" s="11" t="s">
        <v>20</v>
      </c>
      <c r="G163" s="11">
        <v>729</v>
      </c>
      <c r="H163" s="11">
        <v>441</v>
      </c>
      <c r="I163" s="11">
        <v>0</v>
      </c>
      <c r="J163" s="11">
        <v>1</v>
      </c>
      <c r="K163" s="11" t="s">
        <v>21</v>
      </c>
      <c r="L163" s="7">
        <v>39905.592083333337</v>
      </c>
      <c r="M163" s="12"/>
      <c r="N163" s="12" t="s">
        <v>489</v>
      </c>
      <c r="O163" s="10" t="str">
        <f>HYPERLINK("https://pbs.twimg.com/profile_images/621544211695820800/wK5O2s-1_normal.jpg","View")</f>
        <v>View</v>
      </c>
      <c r="P163" s="11"/>
    </row>
    <row r="164" spans="1:16" ht="12.75" x14ac:dyDescent="0.35">
      <c r="A164" s="7">
        <v>42481.293379629627</v>
      </c>
      <c r="B164" s="8" t="str">
        <f>HYPERLINK("https://twitter.com/tammysmeall","@tammysmeall")</f>
        <v>@tammysmeall</v>
      </c>
      <c r="C164" s="9" t="s">
        <v>490</v>
      </c>
      <c r="D164" s="9" t="s">
        <v>491</v>
      </c>
      <c r="E164" s="10" t="str">
        <f>HYPERLINK("https://twitter.com/tammysmeall/status/722961167040262148","722961167040262148")</f>
        <v>722961167040262148</v>
      </c>
      <c r="F164" s="11" t="s">
        <v>20</v>
      </c>
      <c r="G164" s="11">
        <v>70</v>
      </c>
      <c r="H164" s="11">
        <v>105</v>
      </c>
      <c r="I164" s="11">
        <v>1</v>
      </c>
      <c r="J164" s="11">
        <v>0</v>
      </c>
      <c r="K164" s="11" t="s">
        <v>21</v>
      </c>
      <c r="L164" s="7">
        <v>41708.252592592595</v>
      </c>
      <c r="M164" s="12"/>
      <c r="N164" s="12"/>
      <c r="O164" s="10" t="str">
        <f>HYPERLINK("https://pbs.twimg.com/profile_images/442823868361633792/SiajxK49_normal.jpeg","View")</f>
        <v>View</v>
      </c>
      <c r="P164" s="11"/>
    </row>
    <row r="165" spans="1:16" ht="12.75" x14ac:dyDescent="0.35">
      <c r="A165" s="7">
        <v>42481.293622685189</v>
      </c>
      <c r="B165" s="8" t="str">
        <f>HYPERLINK("https://twitter.com/leocastillo_RA","@leocastillo_RA")</f>
        <v>@leocastillo_RA</v>
      </c>
      <c r="C165" s="9" t="s">
        <v>492</v>
      </c>
      <c r="D165" s="9" t="s">
        <v>493</v>
      </c>
      <c r="E165" s="10" t="str">
        <f>HYPERLINK("https://twitter.com/leocastillo_RA/status/722961254399152128","722961254399152128")</f>
        <v>722961254399152128</v>
      </c>
      <c r="F165" s="11" t="s">
        <v>114</v>
      </c>
      <c r="G165" s="11">
        <v>505</v>
      </c>
      <c r="H165" s="11">
        <v>1348</v>
      </c>
      <c r="I165" s="11">
        <v>0</v>
      </c>
      <c r="J165" s="11">
        <v>0</v>
      </c>
      <c r="K165" s="11" t="s">
        <v>21</v>
      </c>
      <c r="L165" s="7">
        <v>40202.99800925926</v>
      </c>
      <c r="M165" s="12" t="s">
        <v>494</v>
      </c>
      <c r="N165" s="12" t="s">
        <v>495</v>
      </c>
      <c r="O165" s="10" t="str">
        <f>HYPERLINK("https://pbs.twimg.com/profile_images/563054027936894978/MG_Z0sRE_normal.jpeg","View")</f>
        <v>View</v>
      </c>
      <c r="P165" s="11"/>
    </row>
    <row r="166" spans="1:16" ht="12.75" x14ac:dyDescent="0.35">
      <c r="A166" s="7">
        <v>42481.295590277776</v>
      </c>
      <c r="B166" s="8" t="str">
        <f>HYPERLINK("https://twitter.com/katepolivannaya","@katepolivannaya")</f>
        <v>@katepolivannaya</v>
      </c>
      <c r="C166" s="9" t="s">
        <v>496</v>
      </c>
      <c r="D166" s="9" t="s">
        <v>497</v>
      </c>
      <c r="E166" s="10" t="str">
        <f>HYPERLINK("https://twitter.com/katepolivannaya/status/722961966596272128","722961966596272128")</f>
        <v>722961966596272128</v>
      </c>
      <c r="F166" s="11" t="s">
        <v>114</v>
      </c>
      <c r="G166" s="11">
        <v>238</v>
      </c>
      <c r="H166" s="11">
        <v>101</v>
      </c>
      <c r="I166" s="11">
        <v>0</v>
      </c>
      <c r="J166" s="11">
        <v>0</v>
      </c>
      <c r="K166" s="11" t="s">
        <v>21</v>
      </c>
      <c r="L166" s="7">
        <v>40870.742581018516</v>
      </c>
      <c r="M166" s="12" t="s">
        <v>498</v>
      </c>
      <c r="N166" s="13" t="s">
        <v>499</v>
      </c>
      <c r="O166" s="10" t="str">
        <f>HYPERLINK("https://pbs.twimg.com/profile_images/378800000269167545/547246c2d00fe0ade6d3db649a34a6ca_normal.jpeg","View")</f>
        <v>View</v>
      </c>
      <c r="P166" s="11"/>
    </row>
    <row r="167" spans="1:16" ht="12.75" x14ac:dyDescent="0.35">
      <c r="A167" s="7">
        <v>42481.295972222222</v>
      </c>
      <c r="B167" s="8" t="str">
        <f>HYPERLINK("https://twitter.com/dejbanlaw","@dejbanlaw")</f>
        <v>@dejbanlaw</v>
      </c>
      <c r="C167" s="9" t="s">
        <v>500</v>
      </c>
      <c r="D167" s="9" t="s">
        <v>501</v>
      </c>
      <c r="E167" s="10" t="str">
        <f>HYPERLINK("https://twitter.com/dejbanlaw/status/722962104697819136","722962104697819136")</f>
        <v>722962104697819136</v>
      </c>
      <c r="F167" s="11" t="s">
        <v>91</v>
      </c>
      <c r="G167" s="11">
        <v>21829</v>
      </c>
      <c r="H167" s="11">
        <v>271</v>
      </c>
      <c r="I167" s="11">
        <v>22</v>
      </c>
      <c r="J167" s="11">
        <v>22</v>
      </c>
      <c r="K167" s="11" t="s">
        <v>21</v>
      </c>
      <c r="L167" s="7">
        <v>42350.2659837963</v>
      </c>
      <c r="M167" s="12" t="s">
        <v>502</v>
      </c>
      <c r="N167" s="12" t="s">
        <v>503</v>
      </c>
      <c r="O167" s="10" t="str">
        <f>HYPERLINK("https://pbs.twimg.com/profile_images/676465930424082432/zT-RyXf4_normal.jpg","View")</f>
        <v>View</v>
      </c>
      <c r="P167" s="11"/>
    </row>
    <row r="168" spans="1:16" ht="12.75" x14ac:dyDescent="0.35">
      <c r="A168" s="7">
        <v>42481.296689814815</v>
      </c>
      <c r="B168" s="8" t="str">
        <f>HYPERLINK("https://twitter.com/greenolizer","@greenolizer")</f>
        <v>@greenolizer</v>
      </c>
      <c r="C168" s="9" t="s">
        <v>504</v>
      </c>
      <c r="D168" s="9" t="s">
        <v>505</v>
      </c>
      <c r="E168" s="10" t="str">
        <f>HYPERLINK("https://twitter.com/greenolizer/status/722962365080342528","722962365080342528")</f>
        <v>722962365080342528</v>
      </c>
      <c r="F168" s="11" t="s">
        <v>506</v>
      </c>
      <c r="G168" s="11">
        <v>953</v>
      </c>
      <c r="H168" s="11">
        <v>634</v>
      </c>
      <c r="I168" s="11">
        <v>0</v>
      </c>
      <c r="J168" s="11">
        <v>0</v>
      </c>
      <c r="K168" s="11" t="s">
        <v>21</v>
      </c>
      <c r="L168" s="7">
        <v>41912.771099537036</v>
      </c>
      <c r="M168" s="12" t="s">
        <v>507</v>
      </c>
      <c r="N168" s="12" t="s">
        <v>508</v>
      </c>
      <c r="O168" s="10" t="str">
        <f>HYPERLINK("https://pbs.twimg.com/profile_images/516936394556452865/EVI9XNVu_normal.jpeg","View")</f>
        <v>View</v>
      </c>
      <c r="P168" s="11"/>
    </row>
    <row r="169" spans="1:16" ht="12.75" x14ac:dyDescent="0.35">
      <c r="A169" s="7">
        <v>42481.297500000001</v>
      </c>
      <c r="B169" s="8" t="str">
        <f>HYPERLINK("https://twitter.com/Technolizer","@Technolizer")</f>
        <v>@Technolizer</v>
      </c>
      <c r="C169" s="9" t="s">
        <v>509</v>
      </c>
      <c r="D169" s="9" t="s">
        <v>510</v>
      </c>
      <c r="E169" s="10" t="str">
        <f>HYPERLINK("https://twitter.com/Technolizer/status/722962660111843328","722962660111843328")</f>
        <v>722962660111843328</v>
      </c>
      <c r="F169" s="11" t="s">
        <v>506</v>
      </c>
      <c r="G169" s="11">
        <v>695</v>
      </c>
      <c r="H169" s="11">
        <v>395</v>
      </c>
      <c r="I169" s="11">
        <v>0</v>
      </c>
      <c r="J169" s="11">
        <v>0</v>
      </c>
      <c r="K169" s="11" t="s">
        <v>21</v>
      </c>
      <c r="L169" s="7">
        <v>41053.132835648146</v>
      </c>
      <c r="M169" s="12"/>
      <c r="N169" s="12" t="s">
        <v>511</v>
      </c>
      <c r="O169" s="10" t="str">
        <f>HYPERLINK("https://pbs.twimg.com/profile_images/521406794015313920/-veccN5n_normal.jpeg","View")</f>
        <v>View</v>
      </c>
      <c r="P169" s="11"/>
    </row>
    <row r="170" spans="1:16" ht="12.75" x14ac:dyDescent="0.35">
      <c r="A170" s="7">
        <v>42481.298541666663</v>
      </c>
      <c r="B170" s="8" t="str">
        <f>HYPERLINK("https://twitter.com/CollectHW","@CollectHW")</f>
        <v>@CollectHW</v>
      </c>
      <c r="C170" s="9" t="s">
        <v>512</v>
      </c>
      <c r="D170" s="9" t="s">
        <v>513</v>
      </c>
      <c r="E170" s="10" t="str">
        <f>HYPERLINK("https://twitter.com/CollectHW/status/722963036017930240","722963036017930240")</f>
        <v>722963036017930240</v>
      </c>
      <c r="F170" s="11" t="s">
        <v>114</v>
      </c>
      <c r="G170" s="11">
        <v>306</v>
      </c>
      <c r="H170" s="11">
        <v>164</v>
      </c>
      <c r="I170" s="11">
        <v>0</v>
      </c>
      <c r="J170" s="11">
        <v>0</v>
      </c>
      <c r="K170" s="11" t="s">
        <v>21</v>
      </c>
      <c r="L170" s="7">
        <v>41141.872129629628</v>
      </c>
      <c r="M170" s="12" t="s">
        <v>355</v>
      </c>
      <c r="N170" s="12" t="s">
        <v>514</v>
      </c>
      <c r="O170" s="10" t="str">
        <f>HYPERLINK("https://pbs.twimg.com/profile_images/522469771573350400/e5WjUwRr_normal.png","View")</f>
        <v>View</v>
      </c>
      <c r="P170" s="11"/>
    </row>
    <row r="171" spans="1:16" ht="12.75" x14ac:dyDescent="0.35">
      <c r="A171" s="7">
        <v>42481.300613425927</v>
      </c>
      <c r="B171" s="8" t="str">
        <f>HYPERLINK("https://twitter.com/BeginTry","@BeginTry")</f>
        <v>@BeginTry</v>
      </c>
      <c r="C171" s="9" t="s">
        <v>515</v>
      </c>
      <c r="D171" s="9" t="s">
        <v>516</v>
      </c>
      <c r="E171" s="10" t="str">
        <f>HYPERLINK("https://twitter.com/BeginTry/status/722963787322552321","722963787322552321")</f>
        <v>722963787322552321</v>
      </c>
      <c r="F171" s="11" t="s">
        <v>43</v>
      </c>
      <c r="G171" s="11">
        <v>95</v>
      </c>
      <c r="H171" s="11">
        <v>359</v>
      </c>
      <c r="I171" s="11">
        <v>0</v>
      </c>
      <c r="J171" s="11">
        <v>0</v>
      </c>
      <c r="K171" s="11" t="s">
        <v>21</v>
      </c>
      <c r="L171" s="7">
        <v>42316.963287037041</v>
      </c>
      <c r="M171" s="12" t="s">
        <v>517</v>
      </c>
      <c r="N171" s="12" t="s">
        <v>518</v>
      </c>
      <c r="O171" s="10" t="str">
        <f>HYPERLINK("https://pbs.twimg.com/profile_images/663770205378736128/N0Ut9uE0_normal.jpg","View")</f>
        <v>View</v>
      </c>
      <c r="P171" s="11"/>
    </row>
    <row r="172" spans="1:16" ht="12.75" x14ac:dyDescent="0.35">
      <c r="A172" s="7">
        <v>42481.300659722227</v>
      </c>
      <c r="B172" s="8" t="str">
        <f>HYPERLINK("https://twitter.com/sateibank","@sateibank")</f>
        <v>@sateibank</v>
      </c>
      <c r="C172" s="9" t="s">
        <v>519</v>
      </c>
      <c r="D172" s="9" t="s">
        <v>520</v>
      </c>
      <c r="E172" s="10" t="str">
        <f>HYPERLINK("https://twitter.com/sateibank/status/722963803076329473","722963803076329473")</f>
        <v>722963803076329473</v>
      </c>
      <c r="F172" s="11" t="s">
        <v>43</v>
      </c>
      <c r="G172" s="11">
        <v>1790</v>
      </c>
      <c r="H172" s="11">
        <v>1838</v>
      </c>
      <c r="I172" s="11">
        <v>0</v>
      </c>
      <c r="J172" s="11">
        <v>0</v>
      </c>
      <c r="K172" s="11" t="s">
        <v>21</v>
      </c>
      <c r="L172" s="7">
        <v>41862.289282407408</v>
      </c>
      <c r="M172" s="12"/>
      <c r="N172" s="12" t="s">
        <v>521</v>
      </c>
      <c r="O172" s="10" t="str">
        <f>HYPERLINK("https://pbs.twimg.com/profile_images/498644079387754496/5cUzlSkH_normal.jpeg","View")</f>
        <v>View</v>
      </c>
      <c r="P172" s="11"/>
    </row>
    <row r="173" spans="1:16" ht="12.75" x14ac:dyDescent="0.35">
      <c r="A173" s="7">
        <v>42481.302372685182</v>
      </c>
      <c r="B173" s="8" t="str">
        <f>HYPERLINK("https://twitter.com/JessehTayior","@JessehTayior")</f>
        <v>@JessehTayior</v>
      </c>
      <c r="C173" s="9" t="s">
        <v>522</v>
      </c>
      <c r="D173" s="9" t="s">
        <v>523</v>
      </c>
      <c r="E173" s="10" t="str">
        <f>HYPERLINK("https://twitter.com/JessehTayior/status/722964425892847620","722964425892847620")</f>
        <v>722964425892847620</v>
      </c>
      <c r="F173" s="11" t="s">
        <v>48</v>
      </c>
      <c r="G173" s="11">
        <v>365</v>
      </c>
      <c r="H173" s="11">
        <v>82</v>
      </c>
      <c r="I173" s="11">
        <v>22</v>
      </c>
      <c r="J173" s="11">
        <v>0</v>
      </c>
      <c r="K173" s="11" t="s">
        <v>21</v>
      </c>
      <c r="L173" s="7">
        <v>41568.103634259256</v>
      </c>
      <c r="M173" s="12"/>
      <c r="N173" s="12" t="s">
        <v>524</v>
      </c>
      <c r="O173" s="10" t="str">
        <f>HYPERLINK("https://pbs.twimg.com/profile_images/541542486343421953/neIUzi4a_normal.jpeg","View")</f>
        <v>View</v>
      </c>
      <c r="P173" s="11"/>
    </row>
    <row r="174" spans="1:16" ht="12.75" x14ac:dyDescent="0.35">
      <c r="A174" s="7">
        <v>42481.302384259259</v>
      </c>
      <c r="B174" s="8" t="str">
        <f>HYPERLINK("https://twitter.com/layners3104","@layners3104")</f>
        <v>@layners3104</v>
      </c>
      <c r="C174" s="9" t="s">
        <v>525</v>
      </c>
      <c r="D174" s="9" t="s">
        <v>523</v>
      </c>
      <c r="E174" s="10" t="str">
        <f>HYPERLINK("https://twitter.com/layners3104/status/722964429386690561","722964429386690561")</f>
        <v>722964429386690561</v>
      </c>
      <c r="F174" s="11" t="s">
        <v>48</v>
      </c>
      <c r="G174" s="11">
        <v>27</v>
      </c>
      <c r="H174" s="11">
        <v>1158</v>
      </c>
      <c r="I174" s="11">
        <v>22</v>
      </c>
      <c r="J174" s="11">
        <v>0</v>
      </c>
      <c r="K174" s="11" t="s">
        <v>21</v>
      </c>
      <c r="L174" s="7">
        <v>40933.944687499999</v>
      </c>
      <c r="M174" s="12" t="s">
        <v>526</v>
      </c>
      <c r="N174" s="12" t="s">
        <v>527</v>
      </c>
      <c r="O174" s="10" t="str">
        <f>HYPERLINK("https://pbs.twimg.com/profile_images/593625099263209472/kdrPbXkm_normal.jpg","View")</f>
        <v>View</v>
      </c>
      <c r="P174" s="11"/>
    </row>
    <row r="175" spans="1:16" ht="12.75" x14ac:dyDescent="0.35">
      <c r="A175" s="7">
        <v>42481.302407407406</v>
      </c>
      <c r="B175" s="8" t="str">
        <f>HYPERLINK("https://twitter.com/CandlcePerth","@CandlcePerth")</f>
        <v>@CandlcePerth</v>
      </c>
      <c r="C175" s="9" t="s">
        <v>528</v>
      </c>
      <c r="D175" s="9" t="s">
        <v>523</v>
      </c>
      <c r="E175" s="10" t="str">
        <f>HYPERLINK("https://twitter.com/CandlcePerth/status/722964436768690176","722964436768690176")</f>
        <v>722964436768690176</v>
      </c>
      <c r="F175" s="11" t="s">
        <v>48</v>
      </c>
      <c r="G175" s="11">
        <v>300</v>
      </c>
      <c r="H175" s="11">
        <v>98</v>
      </c>
      <c r="I175" s="11">
        <v>22</v>
      </c>
      <c r="J175" s="11">
        <v>0</v>
      </c>
      <c r="K175" s="11" t="s">
        <v>21</v>
      </c>
      <c r="L175" s="7">
        <v>41567.835879629631</v>
      </c>
      <c r="M175" s="12" t="s">
        <v>529</v>
      </c>
      <c r="N175" s="12" t="s">
        <v>530</v>
      </c>
      <c r="O175" s="10" t="str">
        <f>HYPERLINK("https://pbs.twimg.com/profile_images/540345085599440897/7mWcf4cg_normal.jpeg","View")</f>
        <v>View</v>
      </c>
      <c r="P175" s="11"/>
    </row>
    <row r="176" spans="1:16" ht="12.75" x14ac:dyDescent="0.35">
      <c r="A176" s="7">
        <v>42481.302418981482</v>
      </c>
      <c r="B176" s="8" t="str">
        <f>HYPERLINK("https://twitter.com/JesslcaLynnzi","@JesslcaLynnzi")</f>
        <v>@JesslcaLynnzi</v>
      </c>
      <c r="C176" s="9" t="s">
        <v>531</v>
      </c>
      <c r="D176" s="9" t="s">
        <v>523</v>
      </c>
      <c r="E176" s="10" t="str">
        <f>HYPERLINK("https://twitter.com/JesslcaLynnzi/status/722964439906000897","722964439906000897")</f>
        <v>722964439906000897</v>
      </c>
      <c r="F176" s="11" t="s">
        <v>48</v>
      </c>
      <c r="G176" s="11">
        <v>278</v>
      </c>
      <c r="H176" s="11">
        <v>108</v>
      </c>
      <c r="I176" s="11">
        <v>22</v>
      </c>
      <c r="J176" s="11">
        <v>0</v>
      </c>
      <c r="K176" s="11" t="s">
        <v>21</v>
      </c>
      <c r="L176" s="7">
        <v>41565.978900462964</v>
      </c>
      <c r="M176" s="12" t="s">
        <v>532</v>
      </c>
      <c r="N176" s="12" t="s">
        <v>533</v>
      </c>
      <c r="O176" s="10" t="str">
        <f>HYPERLINK("https://pbs.twimg.com/profile_images/534297088927223808/POk_n10c_normal.jpeg","View")</f>
        <v>View</v>
      </c>
      <c r="P176" s="11"/>
    </row>
    <row r="177" spans="1:16" ht="12.75" x14ac:dyDescent="0.35">
      <c r="A177" s="7">
        <v>42481.302430555559</v>
      </c>
      <c r="B177" s="8" t="str">
        <f>HYPERLINK("https://twitter.com/Scoia_B","@Scoia_B")</f>
        <v>@Scoia_B</v>
      </c>
      <c r="C177" s="9" t="s">
        <v>534</v>
      </c>
      <c r="D177" s="9" t="s">
        <v>523</v>
      </c>
      <c r="E177" s="10" t="str">
        <f>HYPERLINK("https://twitter.com/Scoia_B/status/722964443714465792","722964443714465792")</f>
        <v>722964443714465792</v>
      </c>
      <c r="F177" s="11" t="s">
        <v>48</v>
      </c>
      <c r="G177" s="11">
        <v>338</v>
      </c>
      <c r="H177" s="11">
        <v>865</v>
      </c>
      <c r="I177" s="11">
        <v>22</v>
      </c>
      <c r="J177" s="11">
        <v>0</v>
      </c>
      <c r="K177" s="11" t="s">
        <v>21</v>
      </c>
      <c r="L177" s="7">
        <v>41568.005127314813</v>
      </c>
      <c r="M177" s="12" t="s">
        <v>535</v>
      </c>
      <c r="N177" s="12" t="s">
        <v>536</v>
      </c>
      <c r="O177" s="10" t="str">
        <f>HYPERLINK("https://pbs.twimg.com/profile_images/541515485410775041/9oeSd8D2_normal.jpeg","View")</f>
        <v>View</v>
      </c>
      <c r="P177" s="11"/>
    </row>
    <row r="178" spans="1:16" ht="12.75" x14ac:dyDescent="0.35">
      <c r="A178" s="7">
        <v>42481.302442129629</v>
      </c>
      <c r="B178" s="8" t="str">
        <f>HYPERLINK("https://twitter.com/brlsbakehouse","@brlsbakehouse")</f>
        <v>@brlsbakehouse</v>
      </c>
      <c r="C178" s="9" t="s">
        <v>537</v>
      </c>
      <c r="D178" s="9" t="s">
        <v>523</v>
      </c>
      <c r="E178" s="10" t="str">
        <f>HYPERLINK("https://twitter.com/brlsbakehouse/status/722964450878345216","722964450878345216")</f>
        <v>722964450878345216</v>
      </c>
      <c r="F178" s="11" t="s">
        <v>48</v>
      </c>
      <c r="G178" s="11">
        <v>369</v>
      </c>
      <c r="H178" s="11">
        <v>1684</v>
      </c>
      <c r="I178" s="11">
        <v>22</v>
      </c>
      <c r="J178" s="11">
        <v>0</v>
      </c>
      <c r="K178" s="11" t="s">
        <v>21</v>
      </c>
      <c r="L178" s="7">
        <v>41568.208344907405</v>
      </c>
      <c r="M178" s="12" t="s">
        <v>538</v>
      </c>
      <c r="N178" s="12" t="s">
        <v>539</v>
      </c>
      <c r="O178" s="10" t="str">
        <f>HYPERLINK("https://pbs.twimg.com/profile_images/541552509446524928/Xzuo-nea_normal.jpeg","View")</f>
        <v>View</v>
      </c>
      <c r="P178" s="11"/>
    </row>
    <row r="179" spans="1:16" ht="12.75" x14ac:dyDescent="0.35">
      <c r="A179" s="7">
        <v>42481.302511574075</v>
      </c>
      <c r="B179" s="8" t="str">
        <f>HYPERLINK("https://twitter.com/STlillgreenDK","@STlillgreenDK")</f>
        <v>@STlillgreenDK</v>
      </c>
      <c r="C179" s="9" t="s">
        <v>540</v>
      </c>
      <c r="D179" s="9" t="s">
        <v>523</v>
      </c>
      <c r="E179" s="10" t="str">
        <f>HYPERLINK("https://twitter.com/STlillgreenDK/status/722964473409990658","722964473409990658")</f>
        <v>722964473409990658</v>
      </c>
      <c r="F179" s="11" t="s">
        <v>43</v>
      </c>
      <c r="G179" s="11">
        <v>12</v>
      </c>
      <c r="H179" s="11">
        <v>508</v>
      </c>
      <c r="I179" s="11">
        <v>22</v>
      </c>
      <c r="J179" s="11">
        <v>0</v>
      </c>
      <c r="K179" s="11" t="s">
        <v>21</v>
      </c>
      <c r="L179" s="7">
        <v>42065.249108796299</v>
      </c>
      <c r="M179" s="12"/>
      <c r="N179" s="12" t="s">
        <v>541</v>
      </c>
      <c r="O179" s="10" t="str">
        <f>HYPERLINK("https://pbs.twimg.com/profile_images/575826253321629696/1w4h8TgV_normal.jpeg","View")</f>
        <v>View</v>
      </c>
      <c r="P179" s="11"/>
    </row>
    <row r="180" spans="1:16" ht="12.75" x14ac:dyDescent="0.35">
      <c r="A180" s="7">
        <v>42481.30259259259</v>
      </c>
      <c r="B180" s="8" t="str">
        <f>HYPERLINK("https://twitter.com/R0__Sheen","@R0__Sheen")</f>
        <v>@R0__Sheen</v>
      </c>
      <c r="C180" s="9" t="s">
        <v>542</v>
      </c>
      <c r="D180" s="9" t="s">
        <v>523</v>
      </c>
      <c r="E180" s="10" t="str">
        <f>HYPERLINK("https://twitter.com/R0__Sheen/status/722964502833147904","722964502833147904")</f>
        <v>722964502833147904</v>
      </c>
      <c r="F180" s="11" t="s">
        <v>48</v>
      </c>
      <c r="G180" s="11">
        <v>189</v>
      </c>
      <c r="H180" s="11">
        <v>104</v>
      </c>
      <c r="I180" s="11">
        <v>22</v>
      </c>
      <c r="J180" s="11">
        <v>0</v>
      </c>
      <c r="K180" s="11" t="s">
        <v>21</v>
      </c>
      <c r="L180" s="7">
        <v>41567.428564814814</v>
      </c>
      <c r="M180" s="12" t="s">
        <v>543</v>
      </c>
      <c r="N180" s="12" t="s">
        <v>544</v>
      </c>
      <c r="O180" s="10" t="str">
        <f>HYPERLINK("https://pbs.twimg.com/profile_images/540385969191792640/5UuttPGD_normal.jpeg","View")</f>
        <v>View</v>
      </c>
      <c r="P180" s="11"/>
    </row>
    <row r="181" spans="1:16" ht="12.75" x14ac:dyDescent="0.35">
      <c r="A181" s="7">
        <v>42481.30259259259</v>
      </c>
      <c r="B181" s="8" t="str">
        <f>HYPERLINK("https://twitter.com/jlynx2","@jlynx2")</f>
        <v>@jlynx2</v>
      </c>
      <c r="C181" s="9" t="s">
        <v>545</v>
      </c>
      <c r="D181" s="9" t="s">
        <v>523</v>
      </c>
      <c r="E181" s="10" t="str">
        <f>HYPERLINK("https://twitter.com/jlynx2/status/722964504435408896","722964504435408896")</f>
        <v>722964504435408896</v>
      </c>
      <c r="F181" s="11" t="s">
        <v>48</v>
      </c>
      <c r="G181" s="11">
        <v>202</v>
      </c>
      <c r="H181" s="11">
        <v>94</v>
      </c>
      <c r="I181" s="11">
        <v>22</v>
      </c>
      <c r="J181" s="11">
        <v>0</v>
      </c>
      <c r="K181" s="11" t="s">
        <v>21</v>
      </c>
      <c r="L181" s="7">
        <v>41567.997210648144</v>
      </c>
      <c r="M181" s="12" t="s">
        <v>546</v>
      </c>
      <c r="N181" s="12" t="s">
        <v>547</v>
      </c>
      <c r="O181" s="10" t="str">
        <f>HYPERLINK("https://pbs.twimg.com/profile_images/540328313173327873/pKABtTLk_normal.jpeg","View")</f>
        <v>View</v>
      </c>
      <c r="P181" s="11"/>
    </row>
    <row r="182" spans="1:16" ht="12.75" x14ac:dyDescent="0.35">
      <c r="A182" s="7">
        <v>42481.302604166667</v>
      </c>
      <c r="B182" s="8" t="str">
        <f>HYPERLINK("https://twitter.com/graspfltness","@graspfltness")</f>
        <v>@graspfltness</v>
      </c>
      <c r="C182" s="9" t="s">
        <v>548</v>
      </c>
      <c r="D182" s="9" t="s">
        <v>523</v>
      </c>
      <c r="E182" s="10" t="str">
        <f>HYPERLINK("https://twitter.com/graspfltness/status/722964507572752384","722964507572752384")</f>
        <v>722964507572752384</v>
      </c>
      <c r="F182" s="11" t="s">
        <v>48</v>
      </c>
      <c r="G182" s="11">
        <v>189</v>
      </c>
      <c r="H182" s="11">
        <v>1663</v>
      </c>
      <c r="I182" s="11">
        <v>22</v>
      </c>
      <c r="J182" s="11">
        <v>0</v>
      </c>
      <c r="K182" s="11" t="s">
        <v>21</v>
      </c>
      <c r="L182" s="7">
        <v>41567.402962962966</v>
      </c>
      <c r="M182" s="12"/>
      <c r="N182" s="12" t="s">
        <v>549</v>
      </c>
      <c r="O182" s="10" t="str">
        <f>HYPERLINK("https://pbs.twimg.com/profile_images/540387283837648896/IaElcjvk_normal.jpeg","View")</f>
        <v>View</v>
      </c>
      <c r="P182" s="11"/>
    </row>
    <row r="183" spans="1:16" ht="12.75" x14ac:dyDescent="0.35">
      <c r="A183" s="7">
        <v>42481.302627314813</v>
      </c>
      <c r="B183" s="8" t="str">
        <f>HYPERLINK("https://twitter.com/92_hss","@92_hss")</f>
        <v>@92_hss</v>
      </c>
      <c r="C183" s="9" t="s">
        <v>550</v>
      </c>
      <c r="D183" s="9" t="s">
        <v>523</v>
      </c>
      <c r="E183" s="10" t="str">
        <f>HYPERLINK("https://twitter.com/92_hss/status/722964515114065921","722964515114065921")</f>
        <v>722964515114065921</v>
      </c>
      <c r="F183" s="11" t="s">
        <v>48</v>
      </c>
      <c r="G183" s="11">
        <v>369</v>
      </c>
      <c r="H183" s="11">
        <v>109</v>
      </c>
      <c r="I183" s="11">
        <v>22</v>
      </c>
      <c r="J183" s="11">
        <v>0</v>
      </c>
      <c r="K183" s="11" t="s">
        <v>21</v>
      </c>
      <c r="L183" s="7">
        <v>41567.188252314816</v>
      </c>
      <c r="M183" s="12"/>
      <c r="N183" s="12" t="s">
        <v>551</v>
      </c>
      <c r="O183" s="10" t="str">
        <f>HYPERLINK("https://pbs.twimg.com/profile_images/539551658976743425/B9sz3A9W_normal.jpeg","View")</f>
        <v>View</v>
      </c>
      <c r="P183" s="11"/>
    </row>
    <row r="184" spans="1:16" ht="12.75" x14ac:dyDescent="0.35">
      <c r="A184" s="7">
        <v>42481.302662037036</v>
      </c>
      <c r="B184" s="8" t="str">
        <f>HYPERLINK("https://twitter.com/7clemsonfan","@7clemsonfan")</f>
        <v>@7clemsonfan</v>
      </c>
      <c r="C184" s="9" t="s">
        <v>552</v>
      </c>
      <c r="D184" s="9" t="s">
        <v>523</v>
      </c>
      <c r="E184" s="10" t="str">
        <f>HYPERLINK("https://twitter.com/7clemsonfan/status/722964528137383936","722964528137383936")</f>
        <v>722964528137383936</v>
      </c>
      <c r="F184" s="11" t="s">
        <v>48</v>
      </c>
      <c r="G184" s="11">
        <v>48</v>
      </c>
      <c r="H184" s="11">
        <v>511</v>
      </c>
      <c r="I184" s="11">
        <v>22</v>
      </c>
      <c r="J184" s="11">
        <v>0</v>
      </c>
      <c r="K184" s="11" t="s">
        <v>21</v>
      </c>
      <c r="L184" s="7">
        <v>41746.77275462963</v>
      </c>
      <c r="M184" s="12" t="s">
        <v>553</v>
      </c>
      <c r="N184" s="12" t="s">
        <v>554</v>
      </c>
      <c r="O184" s="10" t="str">
        <f>HYPERLINK("https://pbs.twimg.com/profile_images/593635412611969025/nh0BGdve_normal.jpg","View")</f>
        <v>View</v>
      </c>
      <c r="P184" s="11"/>
    </row>
    <row r="185" spans="1:16" ht="12.75" x14ac:dyDescent="0.35">
      <c r="A185" s="7">
        <v>42481.302800925929</v>
      </c>
      <c r="B185" s="8" t="str">
        <f>HYPERLINK("https://twitter.com/Sale6Mm","@Sale6Mm")</f>
        <v>@Sale6Mm</v>
      </c>
      <c r="C185" s="9" t="s">
        <v>555</v>
      </c>
      <c r="D185" s="9" t="s">
        <v>523</v>
      </c>
      <c r="E185" s="10" t="str">
        <f>HYPERLINK("https://twitter.com/Sale6Mm/status/722964578515202048","722964578515202048")</f>
        <v>722964578515202048</v>
      </c>
      <c r="F185" s="11" t="s">
        <v>48</v>
      </c>
      <c r="G185" s="11">
        <v>278</v>
      </c>
      <c r="H185" s="11">
        <v>1253</v>
      </c>
      <c r="I185" s="11">
        <v>22</v>
      </c>
      <c r="J185" s="11">
        <v>0</v>
      </c>
      <c r="K185" s="11" t="s">
        <v>21</v>
      </c>
      <c r="L185" s="7">
        <v>41567.335358796292</v>
      </c>
      <c r="M185" s="12"/>
      <c r="N185" s="12"/>
      <c r="O185" s="10" t="str">
        <f>HYPERLINK("https://pbs.twimg.com/profile_images/539565961561767936/Vm-qjPcl_normal.jpeg","View")</f>
        <v>View</v>
      </c>
      <c r="P185" s="11"/>
    </row>
    <row r="186" spans="1:16" ht="12.75" x14ac:dyDescent="0.35">
      <c r="A186" s="7">
        <v>42481.302812499998</v>
      </c>
      <c r="B186" s="8" t="str">
        <f>HYPERLINK("https://twitter.com/BeeB4_a","@BeeB4_a")</f>
        <v>@BeeB4_a</v>
      </c>
      <c r="C186" s="9" t="s">
        <v>556</v>
      </c>
      <c r="D186" s="9" t="s">
        <v>523</v>
      </c>
      <c r="E186" s="10" t="str">
        <f>HYPERLINK("https://twitter.com/BeeB4_a/status/722964582646554624","722964582646554624")</f>
        <v>722964582646554624</v>
      </c>
      <c r="F186" s="11" t="s">
        <v>48</v>
      </c>
      <c r="G186" s="11">
        <v>324</v>
      </c>
      <c r="H186" s="11">
        <v>130</v>
      </c>
      <c r="I186" s="11">
        <v>22</v>
      </c>
      <c r="J186" s="11">
        <v>0</v>
      </c>
      <c r="K186" s="11" t="s">
        <v>21</v>
      </c>
      <c r="L186" s="7">
        <v>41567.257199074076</v>
      </c>
      <c r="M186" s="12" t="s">
        <v>557</v>
      </c>
      <c r="N186" s="12" t="s">
        <v>558</v>
      </c>
      <c r="O186" s="10" t="str">
        <f>HYPERLINK("https://pbs.twimg.com/profile_images/539558295070330880/coHy_qCB_normal.jpeg","View")</f>
        <v>View</v>
      </c>
      <c r="P186" s="11"/>
    </row>
    <row r="187" spans="1:16" ht="12.75" x14ac:dyDescent="0.35">
      <c r="A187" s="7">
        <v>42481.302847222221</v>
      </c>
      <c r="B187" s="8" t="str">
        <f>HYPERLINK("https://twitter.com/roscoiantuono","@roscoiantuono")</f>
        <v>@roscoiantuono</v>
      </c>
      <c r="C187" s="9" t="s">
        <v>559</v>
      </c>
      <c r="D187" s="9" t="s">
        <v>523</v>
      </c>
      <c r="E187" s="10" t="str">
        <f>HYPERLINK("https://twitter.com/roscoiantuono/status/722964597859340288","722964597859340288")</f>
        <v>722964597859340288</v>
      </c>
      <c r="F187" s="11" t="s">
        <v>48</v>
      </c>
      <c r="G187" s="11">
        <v>351</v>
      </c>
      <c r="H187" s="11">
        <v>98</v>
      </c>
      <c r="I187" s="11">
        <v>22</v>
      </c>
      <c r="J187" s="11">
        <v>0</v>
      </c>
      <c r="K187" s="11" t="s">
        <v>21</v>
      </c>
      <c r="L187" s="7">
        <v>41567.659675925926</v>
      </c>
      <c r="M187" s="12"/>
      <c r="N187" s="12" t="s">
        <v>560</v>
      </c>
      <c r="O187" s="10" t="str">
        <f>HYPERLINK("https://pbs.twimg.com/profile_images/540363354230239232/gFNlJxme_normal.jpeg","View")</f>
        <v>View</v>
      </c>
      <c r="P187" s="11"/>
    </row>
    <row r="188" spans="1:16" ht="12.75" x14ac:dyDescent="0.35">
      <c r="A188" s="7">
        <v>42481.302870370375</v>
      </c>
      <c r="B188" s="8" t="str">
        <f>HYPERLINK("https://twitter.com/LoyalBoy_Flness","@LoyalBoy_Flness")</f>
        <v>@LoyalBoy_Flness</v>
      </c>
      <c r="C188" s="9" t="s">
        <v>561</v>
      </c>
      <c r="D188" s="9" t="s">
        <v>523</v>
      </c>
      <c r="E188" s="10" t="str">
        <f>HYPERLINK("https://twitter.com/LoyalBoy_Flness/status/722964606902276096","722964606902276096")</f>
        <v>722964606902276096</v>
      </c>
      <c r="F188" s="11" t="s">
        <v>48</v>
      </c>
      <c r="G188" s="11">
        <v>289</v>
      </c>
      <c r="H188" s="11">
        <v>135</v>
      </c>
      <c r="I188" s="11">
        <v>22</v>
      </c>
      <c r="J188" s="11">
        <v>0</v>
      </c>
      <c r="K188" s="11" t="s">
        <v>21</v>
      </c>
      <c r="L188" s="7">
        <v>41566.204282407409</v>
      </c>
      <c r="M188" s="12" t="s">
        <v>562</v>
      </c>
      <c r="N188" s="12" t="s">
        <v>563</v>
      </c>
      <c r="O188" s="10" t="str">
        <f>HYPERLINK("https://pbs.twimg.com/profile_images/534269939948220416/vqcFp_cA_normal.jpeg","View")</f>
        <v>View</v>
      </c>
      <c r="P188" s="11"/>
    </row>
    <row r="189" spans="1:16" ht="12.75" x14ac:dyDescent="0.35">
      <c r="A189" s="7">
        <v>42481.302881944444</v>
      </c>
      <c r="B189" s="8" t="str">
        <f>HYPERLINK("https://twitter.com/VaienzuelaBecky","@VaienzuelaBecky")</f>
        <v>@VaienzuelaBecky</v>
      </c>
      <c r="C189" s="9" t="s">
        <v>564</v>
      </c>
      <c r="D189" s="9" t="s">
        <v>523</v>
      </c>
      <c r="E189" s="10" t="str">
        <f>HYPERLINK("https://twitter.com/VaienzuelaBecky/status/722964609871806464","722964609871806464")</f>
        <v>722964609871806464</v>
      </c>
      <c r="F189" s="11" t="s">
        <v>48</v>
      </c>
      <c r="G189" s="11">
        <v>401</v>
      </c>
      <c r="H189" s="11">
        <v>1863</v>
      </c>
      <c r="I189" s="11">
        <v>22</v>
      </c>
      <c r="J189" s="11">
        <v>0</v>
      </c>
      <c r="K189" s="11" t="s">
        <v>21</v>
      </c>
      <c r="L189" s="7">
        <v>41567.716782407406</v>
      </c>
      <c r="M189" s="12" t="s">
        <v>565</v>
      </c>
      <c r="N189" s="12" t="s">
        <v>566</v>
      </c>
      <c r="O189" s="10" t="str">
        <f>HYPERLINK("https://pbs.twimg.com/profile_images/540356626348531712/weH0Y1fr_normal.jpeg","View")</f>
        <v>View</v>
      </c>
      <c r="P189" s="11"/>
    </row>
    <row r="190" spans="1:16" ht="12.75" x14ac:dyDescent="0.35">
      <c r="A190" s="7">
        <v>42481.303113425922</v>
      </c>
      <c r="B190" s="8" t="str">
        <f>HYPERLINK("https://twitter.com/dejbanlaw","@dejbanlaw")</f>
        <v>@dejbanlaw</v>
      </c>
      <c r="C190" s="9" t="s">
        <v>500</v>
      </c>
      <c r="D190" s="9" t="s">
        <v>567</v>
      </c>
      <c r="E190" s="10" t="str">
        <f>HYPERLINK("https://twitter.com/dejbanlaw/status/722964692402991105","722964692402991105")</f>
        <v>722964692402991105</v>
      </c>
      <c r="F190" s="11" t="s">
        <v>91</v>
      </c>
      <c r="G190" s="11">
        <v>21829</v>
      </c>
      <c r="H190" s="11">
        <v>271</v>
      </c>
      <c r="I190" s="11">
        <v>33</v>
      </c>
      <c r="J190" s="11">
        <v>14</v>
      </c>
      <c r="K190" s="11" t="s">
        <v>21</v>
      </c>
      <c r="L190" s="7">
        <v>42350.2659837963</v>
      </c>
      <c r="M190" s="12" t="s">
        <v>502</v>
      </c>
      <c r="N190" s="12" t="s">
        <v>503</v>
      </c>
      <c r="O190" s="10" t="str">
        <f>HYPERLINK("https://pbs.twimg.com/profile_images/676465930424082432/zT-RyXf4_normal.jpg","View")</f>
        <v>View</v>
      </c>
      <c r="P190" s="11"/>
    </row>
    <row r="191" spans="1:16" ht="12.75" x14ac:dyDescent="0.35">
      <c r="A191" s="7">
        <v>42481.303622685184</v>
      </c>
      <c r="B191" s="8" t="str">
        <f>HYPERLINK("https://twitter.com/FlemingtonAudi","@FlemingtonAudi")</f>
        <v>@FlemingtonAudi</v>
      </c>
      <c r="C191" s="9" t="s">
        <v>568</v>
      </c>
      <c r="D191" s="9" t="s">
        <v>569</v>
      </c>
      <c r="E191" s="10" t="str">
        <f>HYPERLINK("https://twitter.com/FlemingtonAudi/status/722964876864438272","722964876864438272")</f>
        <v>722964876864438272</v>
      </c>
      <c r="F191" s="11" t="s">
        <v>20</v>
      </c>
      <c r="G191" s="11">
        <v>36</v>
      </c>
      <c r="H191" s="11">
        <v>44</v>
      </c>
      <c r="I191" s="11">
        <v>0</v>
      </c>
      <c r="J191" s="11">
        <v>0</v>
      </c>
      <c r="K191" s="11" t="s">
        <v>21</v>
      </c>
      <c r="L191" s="7">
        <v>41061.087268518517</v>
      </c>
      <c r="M191" s="12" t="s">
        <v>570</v>
      </c>
      <c r="N191" s="12" t="s">
        <v>571</v>
      </c>
      <c r="O191" s="10" t="str">
        <f>HYPERLINK("https://pbs.twimg.com/profile_images/710856857213145088/7Ub_HbSX_normal.jpg","View")</f>
        <v>View</v>
      </c>
      <c r="P191" s="11"/>
    </row>
    <row r="192" spans="1:16" ht="12.75" x14ac:dyDescent="0.35">
      <c r="A192" s="7">
        <v>42481.303923611107</v>
      </c>
      <c r="B192" s="8" t="str">
        <f>HYPERLINK("https://twitter.com/eimshiba","@eimshiba")</f>
        <v>@eimshiba</v>
      </c>
      <c r="C192" s="9" t="s">
        <v>572</v>
      </c>
      <c r="D192" s="9" t="s">
        <v>265</v>
      </c>
      <c r="E192" s="10" t="str">
        <f>HYPERLINK("https://twitter.com/eimshiba/status/722964987661029377","722964987661029377")</f>
        <v>722964987661029377</v>
      </c>
      <c r="F192" s="11" t="s">
        <v>48</v>
      </c>
      <c r="G192" s="11">
        <v>293</v>
      </c>
      <c r="H192" s="11">
        <v>592</v>
      </c>
      <c r="I192" s="11">
        <v>7</v>
      </c>
      <c r="J192" s="11">
        <v>0</v>
      </c>
      <c r="K192" s="11" t="s">
        <v>21</v>
      </c>
      <c r="L192" s="7">
        <v>41039.787314814814</v>
      </c>
      <c r="M192" s="12"/>
      <c r="N192" s="12" t="s">
        <v>573</v>
      </c>
      <c r="O192" s="10" t="str">
        <f>HYPERLINK("https://pbs.twimg.com/profile_images/713202600439652352/v_xElP9S_normal.jpg","View")</f>
        <v>View</v>
      </c>
      <c r="P192" s="11"/>
    </row>
    <row r="193" spans="1:16" ht="12.75" x14ac:dyDescent="0.35">
      <c r="A193" s="7">
        <v>42481.307824074072</v>
      </c>
      <c r="B193" s="8" t="str">
        <f>HYPERLINK("https://twitter.com/HethedudejohndK","@HethedudejohndK")</f>
        <v>@HethedudejohndK</v>
      </c>
      <c r="C193" s="9" t="s">
        <v>574</v>
      </c>
      <c r="D193" s="9" t="s">
        <v>523</v>
      </c>
      <c r="E193" s="10" t="str">
        <f>HYPERLINK("https://twitter.com/HethedudejohndK/status/722966401451880448","722966401451880448")</f>
        <v>722966401451880448</v>
      </c>
      <c r="F193" s="11" t="s">
        <v>43</v>
      </c>
      <c r="G193" s="11">
        <v>13</v>
      </c>
      <c r="H193" s="11">
        <v>462</v>
      </c>
      <c r="I193" s="11">
        <v>22</v>
      </c>
      <c r="J193" s="11">
        <v>0</v>
      </c>
      <c r="K193" s="11" t="s">
        <v>21</v>
      </c>
      <c r="L193" s="7">
        <v>42064.948298611111</v>
      </c>
      <c r="M193" s="12"/>
      <c r="N193" s="12" t="s">
        <v>575</v>
      </c>
      <c r="O193" s="10" t="str">
        <f>HYPERLINK("https://pbs.twimg.com/profile_images/575849222290870273/cidU1uD3_normal.jpeg","View")</f>
        <v>View</v>
      </c>
      <c r="P193" s="11"/>
    </row>
    <row r="194" spans="1:16" ht="12.75" x14ac:dyDescent="0.35">
      <c r="A194" s="7">
        <v>42481.307858796295</v>
      </c>
      <c r="B194" s="8" t="str">
        <f>HYPERLINK("https://twitter.com/ghcj","@ghcj")</f>
        <v>@ghcj</v>
      </c>
      <c r="C194" s="9" t="s">
        <v>576</v>
      </c>
      <c r="D194" s="9" t="s">
        <v>577</v>
      </c>
      <c r="E194" s="10" t="str">
        <f>HYPERLINK("https://twitter.com/ghcj/status/722966411887288320","722966411887288320")</f>
        <v>722966411887288320</v>
      </c>
      <c r="F194" s="11" t="s">
        <v>119</v>
      </c>
      <c r="G194" s="11">
        <v>17</v>
      </c>
      <c r="H194" s="11">
        <v>30</v>
      </c>
      <c r="I194" s="11">
        <v>2</v>
      </c>
      <c r="J194" s="11">
        <v>0</v>
      </c>
      <c r="K194" s="11" t="s">
        <v>21</v>
      </c>
      <c r="L194" s="7">
        <v>40012.066562499997</v>
      </c>
      <c r="M194" s="12" t="s">
        <v>125</v>
      </c>
      <c r="N194" s="12" t="s">
        <v>578</v>
      </c>
      <c r="O194" s="10" t="str">
        <f>HYPERLINK("https://pbs.twimg.com/profile_images/318679564/ghcj-logo-lg_normal.png","View")</f>
        <v>View</v>
      </c>
      <c r="P194" s="11"/>
    </row>
    <row r="195" spans="1:16" ht="12.75" x14ac:dyDescent="0.35">
      <c r="A195" s="7">
        <v>42481.309050925927</v>
      </c>
      <c r="B195" s="8" t="str">
        <f>HYPERLINK("https://twitter.com/UJwowhowfunoD","@UJwowhowfunoD")</f>
        <v>@UJwowhowfunoD</v>
      </c>
      <c r="C195" s="9" t="s">
        <v>579</v>
      </c>
      <c r="D195" s="9" t="s">
        <v>523</v>
      </c>
      <c r="E195" s="10" t="str">
        <f>HYPERLINK("https://twitter.com/UJwowhowfunoD/status/722966843695095810","722966843695095810")</f>
        <v>722966843695095810</v>
      </c>
      <c r="F195" s="11" t="s">
        <v>43</v>
      </c>
      <c r="G195" s="11">
        <v>15</v>
      </c>
      <c r="H195" s="11">
        <v>504</v>
      </c>
      <c r="I195" s="11">
        <v>22</v>
      </c>
      <c r="J195" s="11">
        <v>0</v>
      </c>
      <c r="K195" s="11" t="s">
        <v>21</v>
      </c>
      <c r="L195" s="7">
        <v>42064.398611111115</v>
      </c>
      <c r="M195" s="12"/>
      <c r="N195" s="12" t="s">
        <v>580</v>
      </c>
      <c r="O195" s="10" t="str">
        <f>HYPERLINK("https://pbs.twimg.com/profile_images/575834977293619200/Jd4bmLaE_normal.jpeg","View")</f>
        <v>View</v>
      </c>
      <c r="P195" s="11"/>
    </row>
    <row r="196" spans="1:16" ht="12.75" x14ac:dyDescent="0.35">
      <c r="A196" s="7">
        <v>42481.309212962966</v>
      </c>
      <c r="B196" s="8" t="str">
        <f>HYPERLINK("https://twitter.com/qkWippitGuud2h","@qkWippitGuud2h")</f>
        <v>@qkWippitGuud2h</v>
      </c>
      <c r="C196" s="9" t="s">
        <v>581</v>
      </c>
      <c r="D196" s="9" t="s">
        <v>523</v>
      </c>
      <c r="E196" s="10" t="str">
        <f>HYPERLINK("https://twitter.com/qkWippitGuud2h/status/722966904390881281","722966904390881281")</f>
        <v>722966904390881281</v>
      </c>
      <c r="F196" s="11" t="s">
        <v>43</v>
      </c>
      <c r="G196" s="11">
        <v>10</v>
      </c>
      <c r="H196" s="11">
        <v>499</v>
      </c>
      <c r="I196" s="11">
        <v>22</v>
      </c>
      <c r="J196" s="11">
        <v>0</v>
      </c>
      <c r="K196" s="11" t="s">
        <v>21</v>
      </c>
      <c r="L196" s="7">
        <v>42065.464479166665</v>
      </c>
      <c r="M196" s="12" t="s">
        <v>582</v>
      </c>
      <c r="N196" s="12" t="s">
        <v>583</v>
      </c>
      <c r="O196" s="10" t="str">
        <f>HYPERLINK("https://pbs.twimg.com/profile_images/575856103205957633/jJGILf4m_normal.jpeg","View")</f>
        <v>View</v>
      </c>
      <c r="P196" s="11"/>
    </row>
    <row r="197" spans="1:16" ht="12.75" x14ac:dyDescent="0.35">
      <c r="A197" s="7">
        <v>42481.309444444443</v>
      </c>
      <c r="B197" s="8" t="str">
        <f>HYPERLINK("https://twitter.com/scottnewell","@scottnewell")</f>
        <v>@scottnewell</v>
      </c>
      <c r="C197" s="9" t="s">
        <v>584</v>
      </c>
      <c r="D197" s="9" t="s">
        <v>25</v>
      </c>
      <c r="E197" s="10" t="str">
        <f>HYPERLINK("https://twitter.com/scottnewell/status/722966986917969923","722966986917969923")</f>
        <v>722966986917969923</v>
      </c>
      <c r="F197" s="11" t="s">
        <v>585</v>
      </c>
      <c r="G197" s="11">
        <v>827</v>
      </c>
      <c r="H197" s="11">
        <v>2017</v>
      </c>
      <c r="I197" s="11">
        <v>95</v>
      </c>
      <c r="J197" s="11">
        <v>0</v>
      </c>
      <c r="K197" s="11" t="s">
        <v>21</v>
      </c>
      <c r="L197" s="7">
        <v>39596.058287037034</v>
      </c>
      <c r="M197" s="12" t="s">
        <v>586</v>
      </c>
      <c r="N197" s="12" t="s">
        <v>587</v>
      </c>
      <c r="O197" s="10" t="str">
        <f>HYPERLINK("https://pbs.twimg.com/profile_images/647823655095762944/mgzxBFUI_normal.jpg","View")</f>
        <v>View</v>
      </c>
      <c r="P197" s="11"/>
    </row>
    <row r="198" spans="1:16" ht="12.75" x14ac:dyDescent="0.35">
      <c r="A198" s="7">
        <v>42481.309525462959</v>
      </c>
      <c r="B198" s="8" t="str">
        <f t="shared" ref="B198:B202" si="22">HYPERLINK("https://twitter.com/techhippie","@techhippie")</f>
        <v>@techhippie</v>
      </c>
      <c r="C198" s="9" t="s">
        <v>246</v>
      </c>
      <c r="D198" s="9" t="s">
        <v>588</v>
      </c>
      <c r="E198" s="10" t="str">
        <f>HYPERLINK("https://twitter.com/techhippie/status/722967018702561281","722967018702561281")</f>
        <v>722967018702561281</v>
      </c>
      <c r="F198" s="11" t="s">
        <v>68</v>
      </c>
      <c r="G198" s="11">
        <v>2471</v>
      </c>
      <c r="H198" s="11">
        <v>3835</v>
      </c>
      <c r="I198" s="11">
        <v>0</v>
      </c>
      <c r="J198" s="11">
        <v>0</v>
      </c>
      <c r="K198" s="11" t="s">
        <v>21</v>
      </c>
      <c r="L198" s="7">
        <v>42424.852152777778</v>
      </c>
      <c r="M198" s="12" t="s">
        <v>248</v>
      </c>
      <c r="N198" s="12" t="s">
        <v>249</v>
      </c>
      <c r="O198" s="10" t="str">
        <f t="shared" ref="O198:O202" si="23">HYPERLINK("https://pbs.twimg.com/profile_images/702511217793863680/lty8h9vE_normal.jpg","View")</f>
        <v>View</v>
      </c>
      <c r="P198" s="11"/>
    </row>
    <row r="199" spans="1:16" ht="12.75" x14ac:dyDescent="0.35">
      <c r="A199" s="7">
        <v>42481.309560185182</v>
      </c>
      <c r="B199" s="8" t="str">
        <f t="shared" si="22"/>
        <v>@techhippie</v>
      </c>
      <c r="C199" s="9" t="s">
        <v>246</v>
      </c>
      <c r="D199" s="9" t="s">
        <v>589</v>
      </c>
      <c r="E199" s="10" t="str">
        <f>HYPERLINK("https://twitter.com/techhippie/status/722967028479479808","722967028479479808")</f>
        <v>722967028479479808</v>
      </c>
      <c r="F199" s="11" t="s">
        <v>68</v>
      </c>
      <c r="G199" s="11">
        <v>2471</v>
      </c>
      <c r="H199" s="11">
        <v>3835</v>
      </c>
      <c r="I199" s="11">
        <v>0</v>
      </c>
      <c r="J199" s="11">
        <v>0</v>
      </c>
      <c r="K199" s="11" t="s">
        <v>21</v>
      </c>
      <c r="L199" s="7">
        <v>42424.852152777778</v>
      </c>
      <c r="M199" s="12" t="s">
        <v>248</v>
      </c>
      <c r="N199" s="12" t="s">
        <v>249</v>
      </c>
      <c r="O199" s="10" t="str">
        <f t="shared" si="23"/>
        <v>View</v>
      </c>
      <c r="P199" s="11"/>
    </row>
    <row r="200" spans="1:16" ht="12.75" x14ac:dyDescent="0.35">
      <c r="A200" s="7">
        <v>42481.309583333335</v>
      </c>
      <c r="B200" s="8" t="str">
        <f t="shared" si="22"/>
        <v>@techhippie</v>
      </c>
      <c r="C200" s="9" t="s">
        <v>246</v>
      </c>
      <c r="D200" s="9" t="s">
        <v>590</v>
      </c>
      <c r="E200" s="10" t="str">
        <f>HYPERLINK("https://twitter.com/techhippie/status/722967039506264064","722967039506264064")</f>
        <v>722967039506264064</v>
      </c>
      <c r="F200" s="11" t="s">
        <v>68</v>
      </c>
      <c r="G200" s="11">
        <v>2471</v>
      </c>
      <c r="H200" s="11">
        <v>3835</v>
      </c>
      <c r="I200" s="11">
        <v>0</v>
      </c>
      <c r="J200" s="11">
        <v>0</v>
      </c>
      <c r="K200" s="11" t="s">
        <v>21</v>
      </c>
      <c r="L200" s="7">
        <v>42424.852152777778</v>
      </c>
      <c r="M200" s="12" t="s">
        <v>248</v>
      </c>
      <c r="N200" s="12" t="s">
        <v>249</v>
      </c>
      <c r="O200" s="10" t="str">
        <f t="shared" si="23"/>
        <v>View</v>
      </c>
      <c r="P200" s="11"/>
    </row>
    <row r="201" spans="1:16" ht="12.75" x14ac:dyDescent="0.35">
      <c r="A201" s="7">
        <v>42481.309606481482</v>
      </c>
      <c r="B201" s="8" t="str">
        <f t="shared" si="22"/>
        <v>@techhippie</v>
      </c>
      <c r="C201" s="9" t="s">
        <v>246</v>
      </c>
      <c r="D201" s="9" t="s">
        <v>591</v>
      </c>
      <c r="E201" s="10" t="str">
        <f>HYPERLINK("https://twitter.com/techhippie/status/722967047143989248","722967047143989248")</f>
        <v>722967047143989248</v>
      </c>
      <c r="F201" s="11" t="s">
        <v>68</v>
      </c>
      <c r="G201" s="11">
        <v>2471</v>
      </c>
      <c r="H201" s="11">
        <v>3835</v>
      </c>
      <c r="I201" s="11">
        <v>0</v>
      </c>
      <c r="J201" s="11">
        <v>0</v>
      </c>
      <c r="K201" s="11" t="s">
        <v>21</v>
      </c>
      <c r="L201" s="7">
        <v>42424.852152777778</v>
      </c>
      <c r="M201" s="12" t="s">
        <v>248</v>
      </c>
      <c r="N201" s="12" t="s">
        <v>249</v>
      </c>
      <c r="O201" s="10" t="str">
        <f t="shared" si="23"/>
        <v>View</v>
      </c>
      <c r="P201" s="11"/>
    </row>
    <row r="202" spans="1:16" ht="12.75" x14ac:dyDescent="0.35">
      <c r="A202" s="7">
        <v>42481.309675925921</v>
      </c>
      <c r="B202" s="8" t="str">
        <f t="shared" si="22"/>
        <v>@techhippie</v>
      </c>
      <c r="C202" s="9" t="s">
        <v>246</v>
      </c>
      <c r="D202" s="9" t="s">
        <v>592</v>
      </c>
      <c r="E202" s="10" t="str">
        <f>HYPERLINK("https://twitter.com/techhippie/status/722967069319434242","722967069319434242")</f>
        <v>722967069319434242</v>
      </c>
      <c r="F202" s="11" t="s">
        <v>68</v>
      </c>
      <c r="G202" s="11">
        <v>2471</v>
      </c>
      <c r="H202" s="11">
        <v>3835</v>
      </c>
      <c r="I202" s="11">
        <v>0</v>
      </c>
      <c r="J202" s="11">
        <v>0</v>
      </c>
      <c r="K202" s="11" t="s">
        <v>21</v>
      </c>
      <c r="L202" s="7">
        <v>42424.852152777778</v>
      </c>
      <c r="M202" s="12" t="s">
        <v>248</v>
      </c>
      <c r="N202" s="12" t="s">
        <v>249</v>
      </c>
      <c r="O202" s="10" t="str">
        <f t="shared" si="23"/>
        <v>View</v>
      </c>
      <c r="P202" s="11"/>
    </row>
    <row r="203" spans="1:16" ht="12.75" x14ac:dyDescent="0.35">
      <c r="A203" s="7">
        <v>42481.310231481482</v>
      </c>
      <c r="B203" s="8" t="str">
        <f>HYPERLINK("https://twitter.com/jullaanfarias","@jullaanfarias")</f>
        <v>@jullaanfarias</v>
      </c>
      <c r="C203" s="9" t="s">
        <v>593</v>
      </c>
      <c r="D203" s="9" t="s">
        <v>594</v>
      </c>
      <c r="E203" s="10" t="str">
        <f>HYPERLINK("https://twitter.com/jullaanfarias/status/722967273808498688","722967273808498688")</f>
        <v>722967273808498688</v>
      </c>
      <c r="F203" s="11" t="s">
        <v>48</v>
      </c>
      <c r="G203" s="11">
        <v>300</v>
      </c>
      <c r="H203" s="11">
        <v>110</v>
      </c>
      <c r="I203" s="11">
        <v>33</v>
      </c>
      <c r="J203" s="11">
        <v>0</v>
      </c>
      <c r="K203" s="11" t="s">
        <v>21</v>
      </c>
      <c r="L203" s="7">
        <v>41566.394178240742</v>
      </c>
      <c r="M203" s="12" t="s">
        <v>595</v>
      </c>
      <c r="N203" s="12" t="s">
        <v>596</v>
      </c>
      <c r="O203" s="10" t="str">
        <f>HYPERLINK("https://pbs.twimg.com/profile_images/539572612972937216/Sj07yqK2_normal.jpeg","View")</f>
        <v>View</v>
      </c>
      <c r="P203" s="11"/>
    </row>
    <row r="204" spans="1:16" ht="12.75" x14ac:dyDescent="0.35">
      <c r="A204" s="7">
        <v>42481.310243055559</v>
      </c>
      <c r="B204" s="8" t="str">
        <f>HYPERLINK("https://twitter.com/phoebejane41","@phoebejane41")</f>
        <v>@phoebejane41</v>
      </c>
      <c r="C204" s="9" t="s">
        <v>597</v>
      </c>
      <c r="D204" s="9" t="s">
        <v>594</v>
      </c>
      <c r="E204" s="10" t="str">
        <f>HYPERLINK("https://twitter.com/phoebejane41/status/722967275909840896","722967275909840896")</f>
        <v>722967275909840896</v>
      </c>
      <c r="F204" s="11" t="s">
        <v>48</v>
      </c>
      <c r="G204" s="11">
        <v>251</v>
      </c>
      <c r="H204" s="11">
        <v>604</v>
      </c>
      <c r="I204" s="11">
        <v>33</v>
      </c>
      <c r="J204" s="11">
        <v>0</v>
      </c>
      <c r="K204" s="11" t="s">
        <v>21</v>
      </c>
      <c r="L204" s="7">
        <v>41567.827256944445</v>
      </c>
      <c r="M204" s="12"/>
      <c r="N204" s="12"/>
      <c r="O204" s="10" t="str">
        <f>HYPERLINK("https://pbs.twimg.com/profile_images/540346259656421376/_11gzx3X_normal.jpeg","View")</f>
        <v>View</v>
      </c>
      <c r="P204" s="11"/>
    </row>
    <row r="205" spans="1:16" ht="12.75" x14ac:dyDescent="0.35">
      <c r="A205" s="7">
        <v>42481.310300925921</v>
      </c>
      <c r="B205" s="8" t="str">
        <f>HYPERLINK("https://twitter.com/RoyalPark_7ever","@RoyalPark_7ever")</f>
        <v>@RoyalPark_7ever</v>
      </c>
      <c r="C205" s="9" t="s">
        <v>598</v>
      </c>
      <c r="D205" s="9" t="s">
        <v>594</v>
      </c>
      <c r="E205" s="10" t="str">
        <f>HYPERLINK("https://twitter.com/RoyalPark_7ever/status/722967299473457153","722967299473457153")</f>
        <v>722967299473457153</v>
      </c>
      <c r="F205" s="11" t="s">
        <v>48</v>
      </c>
      <c r="G205" s="11">
        <v>281</v>
      </c>
      <c r="H205" s="11">
        <v>102</v>
      </c>
      <c r="I205" s="11">
        <v>33</v>
      </c>
      <c r="J205" s="11">
        <v>0</v>
      </c>
      <c r="K205" s="11" t="s">
        <v>21</v>
      </c>
      <c r="L205" s="7">
        <v>41567.779652777775</v>
      </c>
      <c r="M205" s="12" t="s">
        <v>599</v>
      </c>
      <c r="N205" s="12" t="s">
        <v>600</v>
      </c>
      <c r="O205" s="10" t="str">
        <f>HYPERLINK("https://pbs.twimg.com/profile_images/540350900318269440/eTgbhGfp_normal.png","View")</f>
        <v>View</v>
      </c>
      <c r="P205" s="11"/>
    </row>
    <row r="206" spans="1:16" ht="12.75" x14ac:dyDescent="0.35">
      <c r="A206" s="7">
        <v>42481.31045138889</v>
      </c>
      <c r="B206" s="8" t="str">
        <f>HYPERLINK("https://twitter.com/De4nShabs","@De4nShabs")</f>
        <v>@De4nShabs</v>
      </c>
      <c r="C206" s="9" t="s">
        <v>601</v>
      </c>
      <c r="D206" s="9" t="s">
        <v>594</v>
      </c>
      <c r="E206" s="10" t="str">
        <f>HYPERLINK("https://twitter.com/De4nShabs/status/722967352283942912","722967352283942912")</f>
        <v>722967352283942912</v>
      </c>
      <c r="F206" s="11" t="s">
        <v>48</v>
      </c>
      <c r="G206" s="11">
        <v>353</v>
      </c>
      <c r="H206" s="11">
        <v>192</v>
      </c>
      <c r="I206" s="11">
        <v>33</v>
      </c>
      <c r="J206" s="11">
        <v>0</v>
      </c>
      <c r="K206" s="11" t="s">
        <v>21</v>
      </c>
      <c r="L206" s="7">
        <v>41568.073009259257</v>
      </c>
      <c r="M206" s="12" t="s">
        <v>602</v>
      </c>
      <c r="N206" s="12" t="s">
        <v>603</v>
      </c>
      <c r="O206" s="10" t="str">
        <f>HYPERLINK("https://pbs.twimg.com/profile_images/541540793627205632/O4JShlmM_normal.jpeg","View")</f>
        <v>View</v>
      </c>
      <c r="P206" s="11"/>
    </row>
    <row r="207" spans="1:16" ht="12.75" x14ac:dyDescent="0.35">
      <c r="A207" s="7">
        <v>42481.31049768519</v>
      </c>
      <c r="B207" s="8" t="str">
        <f>HYPERLINK("https://twitter.com/m4ssagepeng","@m4ssagepeng")</f>
        <v>@m4ssagepeng</v>
      </c>
      <c r="C207" s="9" t="s">
        <v>604</v>
      </c>
      <c r="D207" s="9" t="s">
        <v>594</v>
      </c>
      <c r="E207" s="10" t="str">
        <f>HYPERLINK("https://twitter.com/m4ssagepeng/status/722967369832894464","722967369832894464")</f>
        <v>722967369832894464</v>
      </c>
      <c r="F207" s="11" t="s">
        <v>48</v>
      </c>
      <c r="G207" s="11">
        <v>356</v>
      </c>
      <c r="H207" s="11">
        <v>83</v>
      </c>
      <c r="I207" s="11">
        <v>33</v>
      </c>
      <c r="J207" s="11">
        <v>0</v>
      </c>
      <c r="K207" s="11" t="s">
        <v>21</v>
      </c>
      <c r="L207" s="7">
        <v>41541.723796296297</v>
      </c>
      <c r="M207" s="12" t="s">
        <v>605</v>
      </c>
      <c r="N207" s="12" t="s">
        <v>606</v>
      </c>
      <c r="O207" s="10" t="str">
        <f>HYPERLINK("https://pbs.twimg.com/profile_images/541536694131240960/G0sIh0GK_normal.jpeg","View")</f>
        <v>View</v>
      </c>
      <c r="P207" s="11"/>
    </row>
    <row r="208" spans="1:16" ht="12.75" x14ac:dyDescent="0.35">
      <c r="A208" s="7">
        <v>42481.310590277775</v>
      </c>
      <c r="B208" s="8" t="str">
        <f>HYPERLINK("https://twitter.com/tksoftawremy","@tksoftawremy")</f>
        <v>@tksoftawremy</v>
      </c>
      <c r="C208" s="9" t="s">
        <v>607</v>
      </c>
      <c r="D208" s="9" t="s">
        <v>594</v>
      </c>
      <c r="E208" s="10" t="str">
        <f>HYPERLINK("https://twitter.com/tksoftawremy/status/722967402003066880","722967402003066880")</f>
        <v>722967402003066880</v>
      </c>
      <c r="F208" s="11" t="s">
        <v>43</v>
      </c>
      <c r="G208" s="11">
        <v>20</v>
      </c>
      <c r="H208" s="11">
        <v>755</v>
      </c>
      <c r="I208" s="11">
        <v>33</v>
      </c>
      <c r="J208" s="11">
        <v>0</v>
      </c>
      <c r="K208" s="11" t="s">
        <v>21</v>
      </c>
      <c r="L208" s="7">
        <v>42065.353020833332</v>
      </c>
      <c r="M208" s="12"/>
      <c r="N208" s="12" t="s">
        <v>608</v>
      </c>
      <c r="O208" s="10" t="str">
        <f>HYPERLINK("https://pbs.twimg.com/profile_images/575809548591632384/bWtfu4WY_normal.jpeg","View")</f>
        <v>View</v>
      </c>
      <c r="P208" s="11"/>
    </row>
    <row r="209" spans="1:16" ht="12.75" x14ac:dyDescent="0.35">
      <c r="A209" s="7">
        <v>42481.310798611114</v>
      </c>
      <c r="B209" s="8" t="str">
        <f>HYPERLINK("https://twitter.com/lucysmlthYNWA","@lucysmlthYNWA")</f>
        <v>@lucysmlthYNWA</v>
      </c>
      <c r="C209" s="9" t="s">
        <v>609</v>
      </c>
      <c r="D209" s="9" t="s">
        <v>594</v>
      </c>
      <c r="E209" s="10" t="str">
        <f>HYPERLINK("https://twitter.com/lucysmlthYNWA/status/722967477265817600","722967477265817600")</f>
        <v>722967477265817600</v>
      </c>
      <c r="F209" s="11" t="s">
        <v>48</v>
      </c>
      <c r="G209" s="11">
        <v>234</v>
      </c>
      <c r="H209" s="11">
        <v>83</v>
      </c>
      <c r="I209" s="11">
        <v>33</v>
      </c>
      <c r="J209" s="11">
        <v>0</v>
      </c>
      <c r="K209" s="11" t="s">
        <v>21</v>
      </c>
      <c r="L209" s="7">
        <v>41568.400995370372</v>
      </c>
      <c r="M209" s="12" t="s">
        <v>610</v>
      </c>
      <c r="N209" s="12" t="s">
        <v>611</v>
      </c>
      <c r="O209" s="10" t="str">
        <f>HYPERLINK("https://pbs.twimg.com/profile_images/541530057865715713/JvQroOW1_normal.png","View")</f>
        <v>View</v>
      </c>
      <c r="P209" s="11"/>
    </row>
    <row r="210" spans="1:16" ht="12.75" x14ac:dyDescent="0.35">
      <c r="A210" s="7">
        <v>42481.310844907406</v>
      </c>
      <c r="B210" s="8" t="str">
        <f>HYPERLINK("https://twitter.com/libertyjemima19","@libertyjemima19")</f>
        <v>@libertyjemima19</v>
      </c>
      <c r="C210" s="9" t="s">
        <v>612</v>
      </c>
      <c r="D210" s="9" t="s">
        <v>594</v>
      </c>
      <c r="E210" s="10" t="str">
        <f>HYPERLINK("https://twitter.com/libertyjemima19/status/722967493887799297","722967493887799297")</f>
        <v>722967493887799297</v>
      </c>
      <c r="F210" s="11" t="s">
        <v>48</v>
      </c>
      <c r="G210" s="11">
        <v>277</v>
      </c>
      <c r="H210" s="11">
        <v>74</v>
      </c>
      <c r="I210" s="11">
        <v>33</v>
      </c>
      <c r="J210" s="11">
        <v>0</v>
      </c>
      <c r="K210" s="11" t="s">
        <v>21</v>
      </c>
      <c r="L210" s="7">
        <v>41568.317499999997</v>
      </c>
      <c r="M210" s="12" t="s">
        <v>613</v>
      </c>
      <c r="N210" s="12" t="s">
        <v>614</v>
      </c>
      <c r="O210" s="10" t="str">
        <f>HYPERLINK("https://pbs.twimg.com/profile_images/541561976821137408/poMKmbeF_normal.jpeg","View")</f>
        <v>View</v>
      </c>
      <c r="P210" s="11"/>
    </row>
    <row r="211" spans="1:16" ht="12.75" x14ac:dyDescent="0.35">
      <c r="A211" s="7">
        <v>42481.310949074075</v>
      </c>
      <c r="B211" s="8" t="str">
        <f>HYPERLINK("https://twitter.com/_lamShunnKilla","@_lamShunnKilla")</f>
        <v>@_lamShunnKilla</v>
      </c>
      <c r="C211" s="9" t="s">
        <v>615</v>
      </c>
      <c r="D211" s="9" t="s">
        <v>594</v>
      </c>
      <c r="E211" s="10" t="str">
        <f>HYPERLINK("https://twitter.com/_lamShunnKilla/status/722967533486268416","722967533486268416")</f>
        <v>722967533486268416</v>
      </c>
      <c r="F211" s="11" t="s">
        <v>48</v>
      </c>
      <c r="G211" s="11">
        <v>33</v>
      </c>
      <c r="H211" s="11">
        <v>905</v>
      </c>
      <c r="I211" s="11">
        <v>33</v>
      </c>
      <c r="J211" s="11">
        <v>0</v>
      </c>
      <c r="K211" s="11" t="s">
        <v>21</v>
      </c>
      <c r="L211" s="7">
        <v>41084.804641203707</v>
      </c>
      <c r="M211" s="12" t="s">
        <v>616</v>
      </c>
      <c r="N211" s="12" t="s">
        <v>617</v>
      </c>
      <c r="O211" s="10" t="str">
        <f>HYPERLINK("https://pbs.twimg.com/profile_images/594576957766938628/bo7inS3P_normal.jpg","View")</f>
        <v>View</v>
      </c>
      <c r="P211" s="11"/>
    </row>
    <row r="212" spans="1:16" ht="12.75" x14ac:dyDescent="0.35">
      <c r="A212" s="7">
        <v>42481.310983796298</v>
      </c>
      <c r="B212" s="8" t="str">
        <f>HYPERLINK("https://twitter.com/lEnmanuelSoy","@lEnmanuelSoy")</f>
        <v>@lEnmanuelSoy</v>
      </c>
      <c r="C212" s="9" t="s">
        <v>618</v>
      </c>
      <c r="D212" s="9" t="s">
        <v>594</v>
      </c>
      <c r="E212" s="10" t="str">
        <f>HYPERLINK("https://twitter.com/lEnmanuelSoy/status/722967546987724801","722967546987724801")</f>
        <v>722967546987724801</v>
      </c>
      <c r="F212" s="11" t="s">
        <v>48</v>
      </c>
      <c r="G212" s="11">
        <v>269</v>
      </c>
      <c r="H212" s="11">
        <v>119</v>
      </c>
      <c r="I212" s="11">
        <v>33</v>
      </c>
      <c r="J212" s="11">
        <v>0</v>
      </c>
      <c r="K212" s="11" t="s">
        <v>21</v>
      </c>
      <c r="L212" s="7">
        <v>41566.664490740739</v>
      </c>
      <c r="M212" s="12" t="s">
        <v>619</v>
      </c>
      <c r="N212" s="12" t="s">
        <v>620</v>
      </c>
      <c r="O212" s="10" t="str">
        <f>HYPERLINK("https://pbs.twimg.com/profile_images/539623645472382976/nUD-8CHL_normal.jpeg","View")</f>
        <v>View</v>
      </c>
      <c r="P212" s="11"/>
    </row>
    <row r="213" spans="1:16" ht="12.75" x14ac:dyDescent="0.35">
      <c r="A213" s="7">
        <v>42481.310995370368</v>
      </c>
      <c r="B213" s="8" t="str">
        <f>HYPERLINK("https://twitter.com/pllyylunaa","@pllyylunaa")</f>
        <v>@pllyylunaa</v>
      </c>
      <c r="C213" s="9" t="s">
        <v>621</v>
      </c>
      <c r="D213" s="9" t="s">
        <v>594</v>
      </c>
      <c r="E213" s="10" t="str">
        <f>HYPERLINK("https://twitter.com/pllyylunaa/status/722967550494150656","722967550494150656")</f>
        <v>722967550494150656</v>
      </c>
      <c r="F213" s="11" t="s">
        <v>48</v>
      </c>
      <c r="G213" s="11">
        <v>324</v>
      </c>
      <c r="H213" s="11">
        <v>146</v>
      </c>
      <c r="I213" s="11">
        <v>33</v>
      </c>
      <c r="J213" s="11">
        <v>0</v>
      </c>
      <c r="K213" s="11" t="s">
        <v>21</v>
      </c>
      <c r="L213" s="7">
        <v>41566.43787037037</v>
      </c>
      <c r="M213" s="12"/>
      <c r="N213" s="12" t="s">
        <v>622</v>
      </c>
      <c r="O213" s="10" t="str">
        <f>HYPERLINK("https://pbs.twimg.com/profile_images/539577814849437696/QHRg5xVu_normal.jpeg","View")</f>
        <v>View</v>
      </c>
      <c r="P213" s="11"/>
    </row>
    <row r="214" spans="1:16" ht="12.75" x14ac:dyDescent="0.35">
      <c r="A214" s="7">
        <v>42481.311053240745</v>
      </c>
      <c r="B214" s="8" t="str">
        <f>HYPERLINK("https://twitter.com/rawanAlhalda","@rawanAlhalda")</f>
        <v>@rawanAlhalda</v>
      </c>
      <c r="C214" s="9" t="s">
        <v>623</v>
      </c>
      <c r="D214" s="9" t="s">
        <v>594</v>
      </c>
      <c r="E214" s="10" t="str">
        <f>HYPERLINK("https://twitter.com/rawanAlhalda/status/722967569360130050","722967569360130050")</f>
        <v>722967569360130050</v>
      </c>
      <c r="F214" s="11" t="s">
        <v>48</v>
      </c>
      <c r="G214" s="11">
        <v>366</v>
      </c>
      <c r="H214" s="11">
        <v>110</v>
      </c>
      <c r="I214" s="11">
        <v>33</v>
      </c>
      <c r="J214" s="11">
        <v>0</v>
      </c>
      <c r="K214" s="11" t="s">
        <v>21</v>
      </c>
      <c r="L214" s="7">
        <v>41567.365983796299</v>
      </c>
      <c r="M214" s="12"/>
      <c r="N214" s="12" t="s">
        <v>624</v>
      </c>
      <c r="O214" s="10" t="str">
        <f>HYPERLINK("https://pbs.twimg.com/profile_images/539569923677515776/IcX_j1kg_normal.jpeg","View")</f>
        <v>View</v>
      </c>
      <c r="P214" s="11"/>
    </row>
    <row r="215" spans="1:16" ht="12.75" x14ac:dyDescent="0.35">
      <c r="A215" s="7">
        <v>42481.311076388884</v>
      </c>
      <c r="B215" s="8" t="str">
        <f>HYPERLINK("https://twitter.com/LarlsaLewis","@LarlsaLewis")</f>
        <v>@LarlsaLewis</v>
      </c>
      <c r="C215" s="9" t="s">
        <v>625</v>
      </c>
      <c r="D215" s="9" t="s">
        <v>594</v>
      </c>
      <c r="E215" s="10" t="str">
        <f>HYPERLINK("https://twitter.com/LarlsaLewis/status/722967576997847041","722967576997847041")</f>
        <v>722967576997847041</v>
      </c>
      <c r="F215" s="11" t="s">
        <v>48</v>
      </c>
      <c r="G215" s="11">
        <v>280</v>
      </c>
      <c r="H215" s="11">
        <v>83</v>
      </c>
      <c r="I215" s="11">
        <v>33</v>
      </c>
      <c r="J215" s="11">
        <v>0</v>
      </c>
      <c r="K215" s="11" t="s">
        <v>21</v>
      </c>
      <c r="L215" s="7">
        <v>41568.203506944446</v>
      </c>
      <c r="M215" s="12" t="s">
        <v>626</v>
      </c>
      <c r="N215" s="12" t="s">
        <v>627</v>
      </c>
      <c r="O215" s="10" t="str">
        <f>HYPERLINK("https://pbs.twimg.com/profile_images/541552311894429696/3viUU7gh_normal.jpeg","View")</f>
        <v>View</v>
      </c>
      <c r="P215" s="11"/>
    </row>
    <row r="216" spans="1:16" ht="12.75" x14ac:dyDescent="0.35">
      <c r="A216" s="7">
        <v>42481.311203703706</v>
      </c>
      <c r="B216" s="8" t="str">
        <f>HYPERLINK("https://twitter.com/thenoosavolce","@thenoosavolce")</f>
        <v>@thenoosavolce</v>
      </c>
      <c r="C216" s="9" t="s">
        <v>628</v>
      </c>
      <c r="D216" s="9" t="s">
        <v>594</v>
      </c>
      <c r="E216" s="10" t="str">
        <f>HYPERLINK("https://twitter.com/thenoosavolce/status/722967623135289344","722967623135289344")</f>
        <v>722967623135289344</v>
      </c>
      <c r="F216" s="11" t="s">
        <v>48</v>
      </c>
      <c r="G216" s="11">
        <v>248</v>
      </c>
      <c r="H216" s="11">
        <v>975</v>
      </c>
      <c r="I216" s="11">
        <v>33</v>
      </c>
      <c r="J216" s="11">
        <v>0</v>
      </c>
      <c r="K216" s="11" t="s">
        <v>21</v>
      </c>
      <c r="L216" s="7">
        <v>41567.722141203703</v>
      </c>
      <c r="M216" s="12" t="s">
        <v>629</v>
      </c>
      <c r="N216" s="12" t="s">
        <v>630</v>
      </c>
      <c r="O216" s="10" t="str">
        <f>HYPERLINK("https://pbs.twimg.com/profile_images/540357243083190272/2nP7G2Hg_normal.jpeg","View")</f>
        <v>View</v>
      </c>
      <c r="P216" s="11"/>
    </row>
    <row r="217" spans="1:16" ht="12.75" x14ac:dyDescent="0.35">
      <c r="A217" s="7">
        <v>42481.311261574076</v>
      </c>
      <c r="B217" s="8" t="str">
        <f>HYPERLINK("https://twitter.com/Caaml_Castroo","@Caaml_Castroo")</f>
        <v>@Caaml_Castroo</v>
      </c>
      <c r="C217" s="9" t="s">
        <v>631</v>
      </c>
      <c r="D217" s="9" t="s">
        <v>594</v>
      </c>
      <c r="E217" s="10" t="str">
        <f>HYPERLINK("https://twitter.com/Caaml_Castroo/status/722967646480785408","722967646480785408")</f>
        <v>722967646480785408</v>
      </c>
      <c r="F217" s="11" t="s">
        <v>48</v>
      </c>
      <c r="G217" s="11">
        <v>416</v>
      </c>
      <c r="H217" s="11">
        <v>117</v>
      </c>
      <c r="I217" s="11">
        <v>33</v>
      </c>
      <c r="J217" s="11">
        <v>0</v>
      </c>
      <c r="K217" s="11" t="s">
        <v>21</v>
      </c>
      <c r="L217" s="7">
        <v>41566.620000000003</v>
      </c>
      <c r="M217" s="12" t="s">
        <v>632</v>
      </c>
      <c r="N217" s="12" t="s">
        <v>633</v>
      </c>
      <c r="O217" s="10" t="str">
        <f>HYPERLINK("https://pbs.twimg.com/profile_images/539618617701462016/FEGxTnUy_normal.jpeg","View")</f>
        <v>View</v>
      </c>
      <c r="P217" s="11"/>
    </row>
    <row r="218" spans="1:16" ht="12.75" x14ac:dyDescent="0.35">
      <c r="A218" s="7">
        <v>42481.311342592591</v>
      </c>
      <c r="B218" s="8" t="str">
        <f>HYPERLINK("https://twitter.com/alfredlsdope","@alfredlsdope")</f>
        <v>@alfredlsdope</v>
      </c>
      <c r="C218" s="9" t="s">
        <v>634</v>
      </c>
      <c r="D218" s="9" t="s">
        <v>594</v>
      </c>
      <c r="E218" s="10" t="str">
        <f>HYPERLINK("https://twitter.com/alfredlsdope/status/722967676654628865","722967676654628865")</f>
        <v>722967676654628865</v>
      </c>
      <c r="F218" s="11" t="s">
        <v>48</v>
      </c>
      <c r="G218" s="11">
        <v>288</v>
      </c>
      <c r="H218" s="11">
        <v>125</v>
      </c>
      <c r="I218" s="11">
        <v>33</v>
      </c>
      <c r="J218" s="11">
        <v>0</v>
      </c>
      <c r="K218" s="11" t="s">
        <v>21</v>
      </c>
      <c r="L218" s="7">
        <v>41566.089571759258</v>
      </c>
      <c r="M218" s="12" t="s">
        <v>635</v>
      </c>
      <c r="N218" s="12" t="s">
        <v>636</v>
      </c>
      <c r="O218" s="10" t="str">
        <f>HYPERLINK("https://pbs.twimg.com/profile_images/534282352097497088/deVA6mCF_normal.jpeg","View")</f>
        <v>View</v>
      </c>
      <c r="P218" s="11"/>
    </row>
    <row r="219" spans="1:16" ht="12.75" x14ac:dyDescent="0.35">
      <c r="A219" s="7">
        <v>42481.311678240745</v>
      </c>
      <c r="B219" s="8" t="str">
        <f>HYPERLINK("https://twitter.com/TheoChrls","@TheoChrls")</f>
        <v>@TheoChrls</v>
      </c>
      <c r="C219" s="9" t="s">
        <v>637</v>
      </c>
      <c r="D219" s="9" t="s">
        <v>594</v>
      </c>
      <c r="E219" s="10" t="str">
        <f>HYPERLINK("https://twitter.com/TheoChrls/status/722967795374383104","722967795374383104")</f>
        <v>722967795374383104</v>
      </c>
      <c r="F219" s="11" t="s">
        <v>48</v>
      </c>
      <c r="G219" s="11">
        <v>380</v>
      </c>
      <c r="H219" s="11">
        <v>82</v>
      </c>
      <c r="I219" s="11">
        <v>33</v>
      </c>
      <c r="J219" s="11">
        <v>0</v>
      </c>
      <c r="K219" s="11" t="s">
        <v>21</v>
      </c>
      <c r="L219" s="7">
        <v>41568.159537037034</v>
      </c>
      <c r="M219" s="12" t="s">
        <v>638</v>
      </c>
      <c r="N219" s="12" t="s">
        <v>639</v>
      </c>
      <c r="O219" s="10" t="str">
        <f>HYPERLINK("https://pbs.twimg.com/profile_images/541550089299574784/VpUrf3na_normal.png","View")</f>
        <v>View</v>
      </c>
      <c r="P219" s="11"/>
    </row>
    <row r="220" spans="1:16" ht="12.75" x14ac:dyDescent="0.35">
      <c r="A220" s="7">
        <v>42481.311724537038</v>
      </c>
      <c r="B220" s="8" t="str">
        <f>HYPERLINK("https://twitter.com/Bella_marlah","@Bella_marlah")</f>
        <v>@Bella_marlah</v>
      </c>
      <c r="C220" s="9" t="s">
        <v>640</v>
      </c>
      <c r="D220" s="9" t="s">
        <v>594</v>
      </c>
      <c r="E220" s="10" t="str">
        <f>HYPERLINK("https://twitter.com/Bella_marlah/status/722967812097073152","722967812097073152")</f>
        <v>722967812097073152</v>
      </c>
      <c r="F220" s="11" t="s">
        <v>48</v>
      </c>
      <c r="G220" s="11">
        <v>36</v>
      </c>
      <c r="H220" s="11">
        <v>734</v>
      </c>
      <c r="I220" s="11">
        <v>33</v>
      </c>
      <c r="J220" s="11">
        <v>0</v>
      </c>
      <c r="K220" s="11" t="s">
        <v>21</v>
      </c>
      <c r="L220" s="7">
        <v>41085.022905092592</v>
      </c>
      <c r="M220" s="12" t="s">
        <v>641</v>
      </c>
      <c r="N220" s="12" t="s">
        <v>642</v>
      </c>
      <c r="O220" s="10" t="str">
        <f>HYPERLINK("https://pbs.twimg.com/profile_images/594581818139123712/ddlH54WT_normal.jpg","View")</f>
        <v>View</v>
      </c>
      <c r="P220" s="11"/>
    </row>
    <row r="221" spans="1:16" ht="12.75" x14ac:dyDescent="0.35">
      <c r="A221" s="7">
        <v>42481.311921296292</v>
      </c>
      <c r="B221" s="8" t="str">
        <f>HYPERLINK("https://twitter.com/Heipmestagram","@Heipmestagram")</f>
        <v>@Heipmestagram</v>
      </c>
      <c r="C221" s="9" t="s">
        <v>643</v>
      </c>
      <c r="D221" s="9" t="s">
        <v>594</v>
      </c>
      <c r="E221" s="10" t="str">
        <f>HYPERLINK("https://twitter.com/Heipmestagram/status/722967883882618880","722967883882618880")</f>
        <v>722967883882618880</v>
      </c>
      <c r="F221" s="11" t="s">
        <v>48</v>
      </c>
      <c r="G221" s="11">
        <v>388</v>
      </c>
      <c r="H221" s="11">
        <v>107</v>
      </c>
      <c r="I221" s="11">
        <v>33</v>
      </c>
      <c r="J221" s="11">
        <v>0</v>
      </c>
      <c r="K221" s="11" t="s">
        <v>21</v>
      </c>
      <c r="L221" s="7">
        <v>41566.063379629632</v>
      </c>
      <c r="M221" s="12" t="s">
        <v>644</v>
      </c>
      <c r="N221" s="12"/>
      <c r="O221" s="10" t="str">
        <f>HYPERLINK("https://pbs.twimg.com/profile_images/534286982751731712/AbQ3hQiy_normal.jpeg","View")</f>
        <v>View</v>
      </c>
      <c r="P221" s="11"/>
    </row>
    <row r="222" spans="1:16" ht="12.75" x14ac:dyDescent="0.35">
      <c r="A222" s="7">
        <v>42481.311956018515</v>
      </c>
      <c r="B222" s="8" t="str">
        <f>HYPERLINK("https://twitter.com/m0hsaqr","@m0hsaqr")</f>
        <v>@m0hsaqr</v>
      </c>
      <c r="C222" s="9" t="s">
        <v>645</v>
      </c>
      <c r="D222" s="9" t="s">
        <v>594</v>
      </c>
      <c r="E222" s="10" t="str">
        <f>HYPERLINK("https://twitter.com/m0hsaqr/status/722967898801758208","722967898801758208")</f>
        <v>722967898801758208</v>
      </c>
      <c r="F222" s="11" t="s">
        <v>48</v>
      </c>
      <c r="G222" s="11">
        <v>367</v>
      </c>
      <c r="H222" s="11">
        <v>114</v>
      </c>
      <c r="I222" s="11">
        <v>33</v>
      </c>
      <c r="J222" s="11">
        <v>0</v>
      </c>
      <c r="K222" s="11" t="s">
        <v>21</v>
      </c>
      <c r="L222" s="7">
        <v>41567.277222222227</v>
      </c>
      <c r="M222" s="12"/>
      <c r="N222" s="12" t="s">
        <v>646</v>
      </c>
      <c r="O222" s="10" t="str">
        <f>HYPERLINK("https://pbs.twimg.com/profile_images/539559893074984961/1N3X2rAJ_normal.jpeg","View")</f>
        <v>View</v>
      </c>
      <c r="P222" s="11"/>
    </row>
    <row r="223" spans="1:16" ht="12.75" x14ac:dyDescent="0.35">
      <c r="A223" s="7">
        <v>42481.311967592592</v>
      </c>
      <c r="B223" s="8" t="str">
        <f>HYPERLINK("https://twitter.com/__BOMBSHEiLbby","@__BOMBSHEiLbby")</f>
        <v>@__BOMBSHEiLbby</v>
      </c>
      <c r="C223" s="9" t="s">
        <v>647</v>
      </c>
      <c r="D223" s="9" t="s">
        <v>594</v>
      </c>
      <c r="E223" s="10" t="str">
        <f>HYPERLINK("https://twitter.com/__BOMBSHEiLbby/status/722967903406948352","722967903406948352")</f>
        <v>722967903406948352</v>
      </c>
      <c r="F223" s="11" t="s">
        <v>48</v>
      </c>
      <c r="G223" s="11">
        <v>28</v>
      </c>
      <c r="H223" s="11">
        <v>39</v>
      </c>
      <c r="I223" s="11">
        <v>33</v>
      </c>
      <c r="J223" s="11">
        <v>0</v>
      </c>
      <c r="K223" s="11" t="s">
        <v>21</v>
      </c>
      <c r="L223" s="7">
        <v>42060.794363425928</v>
      </c>
      <c r="M223" s="12" t="s">
        <v>648</v>
      </c>
      <c r="N223" s="12" t="s">
        <v>649</v>
      </c>
      <c r="O223" s="10" t="str">
        <f>HYPERLINK("https://pbs.twimg.com/profile_images/594587097240973312/P8uIFMEX_normal.jpg","View")</f>
        <v>View</v>
      </c>
      <c r="P223" s="11"/>
    </row>
    <row r="224" spans="1:16" ht="12.75" x14ac:dyDescent="0.35">
      <c r="A224" s="7">
        <v>42481.312245370369</v>
      </c>
      <c r="B224" s="8" t="str">
        <f>HYPERLINK("https://twitter.com/LarryStrlpperss","@LarryStrlpperss")</f>
        <v>@LarryStrlpperss</v>
      </c>
      <c r="C224" s="9" t="s">
        <v>650</v>
      </c>
      <c r="D224" s="9" t="s">
        <v>594</v>
      </c>
      <c r="E224" s="10" t="str">
        <f>HYPERLINK("https://twitter.com/LarryStrlpperss/status/722968000664592384","722968000664592384")</f>
        <v>722968000664592384</v>
      </c>
      <c r="F224" s="11" t="s">
        <v>48</v>
      </c>
      <c r="G224" s="11">
        <v>256</v>
      </c>
      <c r="H224" s="11">
        <v>311</v>
      </c>
      <c r="I224" s="11">
        <v>33</v>
      </c>
      <c r="J224" s="11">
        <v>0</v>
      </c>
      <c r="K224" s="11" t="s">
        <v>21</v>
      </c>
      <c r="L224" s="7">
        <v>41566.661273148144</v>
      </c>
      <c r="M224" s="12" t="s">
        <v>651</v>
      </c>
      <c r="N224" s="12" t="s">
        <v>652</v>
      </c>
      <c r="O224" s="10" t="str">
        <f>HYPERLINK("https://pbs.twimg.com/profile_images/539633253410676736/DtSkKCOz_normal.jpeg","View")</f>
        <v>View</v>
      </c>
      <c r="P224" s="11"/>
    </row>
    <row r="225" spans="1:16" ht="12.75" x14ac:dyDescent="0.35">
      <c r="A225" s="7">
        <v>42481.312291666662</v>
      </c>
      <c r="B225" s="8" t="str">
        <f>HYPERLINK("https://twitter.com/Shellieqqi","@Shellieqqi")</f>
        <v>@Shellieqqi</v>
      </c>
      <c r="C225" s="9" t="s">
        <v>653</v>
      </c>
      <c r="D225" s="9" t="s">
        <v>594</v>
      </c>
      <c r="E225" s="10" t="str">
        <f>HYPERLINK("https://twitter.com/Shellieqqi/status/722968019660595200","722968019660595200")</f>
        <v>722968019660595200</v>
      </c>
      <c r="F225" s="11" t="s">
        <v>48</v>
      </c>
      <c r="G225" s="11">
        <v>315</v>
      </c>
      <c r="H225" s="11">
        <v>1963</v>
      </c>
      <c r="I225" s="11">
        <v>33</v>
      </c>
      <c r="J225" s="11">
        <v>0</v>
      </c>
      <c r="K225" s="11" t="s">
        <v>21</v>
      </c>
      <c r="L225" s="7">
        <v>40878.26090277778</v>
      </c>
      <c r="M225" s="12" t="s">
        <v>654</v>
      </c>
      <c r="N225" s="12" t="s">
        <v>655</v>
      </c>
      <c r="O225" s="10" t="str">
        <f>HYPERLINK("https://pbs.twimg.com/profile_images/1692784653/1309160708_normal.jpg","View")</f>
        <v>View</v>
      </c>
      <c r="P225" s="11"/>
    </row>
    <row r="226" spans="1:16" ht="12.75" x14ac:dyDescent="0.35">
      <c r="A226" s="7">
        <v>42481.312303240746</v>
      </c>
      <c r="B226" s="8" t="str">
        <f>HYPERLINK("https://twitter.com/TomWhitham52","@TomWhitham52")</f>
        <v>@TomWhitham52</v>
      </c>
      <c r="C226" s="9" t="s">
        <v>656</v>
      </c>
      <c r="D226" s="9" t="s">
        <v>594</v>
      </c>
      <c r="E226" s="10" t="str">
        <f>HYPERLINK("https://twitter.com/TomWhitham52/status/722968023385145344","722968023385145344")</f>
        <v>722968023385145344</v>
      </c>
      <c r="F226" s="11" t="s">
        <v>48</v>
      </c>
      <c r="G226" s="11">
        <v>311</v>
      </c>
      <c r="H226" s="11">
        <v>89</v>
      </c>
      <c r="I226" s="11">
        <v>33</v>
      </c>
      <c r="J226" s="11">
        <v>0</v>
      </c>
      <c r="K226" s="11" t="s">
        <v>21</v>
      </c>
      <c r="L226" s="7">
        <v>41541.788101851853</v>
      </c>
      <c r="M226" s="12" t="s">
        <v>657</v>
      </c>
      <c r="N226" s="12" t="s">
        <v>658</v>
      </c>
      <c r="O226" s="10" t="str">
        <f>HYPERLINK("https://pbs.twimg.com/profile_images/541534403026255872/hdzM4epT_normal.jpeg","View")</f>
        <v>View</v>
      </c>
      <c r="P226" s="11"/>
    </row>
    <row r="227" spans="1:16" ht="12.75" x14ac:dyDescent="0.35">
      <c r="A227" s="7">
        <v>42481.312372685185</v>
      </c>
      <c r="B227" s="8" t="str">
        <f>HYPERLINK("https://twitter.com/jas0nrbakker","@jas0nrbakker")</f>
        <v>@jas0nrbakker</v>
      </c>
      <c r="C227" s="9" t="s">
        <v>659</v>
      </c>
      <c r="D227" s="9" t="s">
        <v>594</v>
      </c>
      <c r="E227" s="10" t="str">
        <f>HYPERLINK("https://twitter.com/jas0nrbakker/status/722968049326907392","722968049326907392")</f>
        <v>722968049326907392</v>
      </c>
      <c r="F227" s="11" t="s">
        <v>48</v>
      </c>
      <c r="G227" s="11">
        <v>361</v>
      </c>
      <c r="H227" s="11">
        <v>101</v>
      </c>
      <c r="I227" s="11">
        <v>33</v>
      </c>
      <c r="J227" s="11">
        <v>0</v>
      </c>
      <c r="K227" s="11" t="s">
        <v>21</v>
      </c>
      <c r="L227" s="7">
        <v>41567.772847222222</v>
      </c>
      <c r="M227" s="12" t="s">
        <v>546</v>
      </c>
      <c r="N227" s="12" t="s">
        <v>660</v>
      </c>
      <c r="O227" s="10" t="str">
        <f>HYPERLINK("https://pbs.twimg.com/profile_images/540352265794895872/hMgxU1jI_normal.png","View")</f>
        <v>View</v>
      </c>
      <c r="P227" s="11"/>
    </row>
    <row r="228" spans="1:16" ht="12.75" x14ac:dyDescent="0.35">
      <c r="A228" s="7">
        <v>42481.312384259261</v>
      </c>
      <c r="B228" s="8" t="str">
        <f>HYPERLINK("https://twitter.com/Kathy_GarclaBri","@Kathy_GarclaBri")</f>
        <v>@Kathy_GarclaBri</v>
      </c>
      <c r="C228" s="9" t="s">
        <v>661</v>
      </c>
      <c r="D228" s="9" t="s">
        <v>594</v>
      </c>
      <c r="E228" s="10" t="str">
        <f>HYPERLINK("https://twitter.com/Kathy_GarclaBri/status/722968050841096192","722968050841096192")</f>
        <v>722968050841096192</v>
      </c>
      <c r="F228" s="11" t="s">
        <v>48</v>
      </c>
      <c r="G228" s="11">
        <v>287</v>
      </c>
      <c r="H228" s="11">
        <v>118</v>
      </c>
      <c r="I228" s="11">
        <v>33</v>
      </c>
      <c r="J228" s="11">
        <v>0</v>
      </c>
      <c r="K228" s="11" t="s">
        <v>21</v>
      </c>
      <c r="L228" s="7">
        <v>41566.487546296295</v>
      </c>
      <c r="M228" s="12" t="s">
        <v>662</v>
      </c>
      <c r="N228" s="12" t="s">
        <v>663</v>
      </c>
      <c r="O228" s="10" t="str">
        <f>HYPERLINK("https://pbs.twimg.com/profile_images/539583451138359297/0bXaMGer_normal.png","View")</f>
        <v>View</v>
      </c>
      <c r="P228" s="11"/>
    </row>
    <row r="229" spans="1:16" ht="12.75" x14ac:dyDescent="0.35">
      <c r="A229" s="7">
        <v>42481.312465277777</v>
      </c>
      <c r="B229" s="8" t="str">
        <f>HYPERLINK("https://twitter.com/lrajcohen","@lrajcohen")</f>
        <v>@lrajcohen</v>
      </c>
      <c r="C229" s="9" t="s">
        <v>664</v>
      </c>
      <c r="D229" s="9" t="s">
        <v>594</v>
      </c>
      <c r="E229" s="10" t="str">
        <f>HYPERLINK("https://twitter.com/lrajcohen/status/722968082344452096","722968082344452096")</f>
        <v>722968082344452096</v>
      </c>
      <c r="F229" s="11" t="s">
        <v>48</v>
      </c>
      <c r="G229" s="11">
        <v>32</v>
      </c>
      <c r="H229" s="11">
        <v>112</v>
      </c>
      <c r="I229" s="11">
        <v>33</v>
      </c>
      <c r="J229" s="11">
        <v>0</v>
      </c>
      <c r="K229" s="11" t="s">
        <v>21</v>
      </c>
      <c r="L229" s="7">
        <v>42059.869884259257</v>
      </c>
      <c r="M229" s="12" t="s">
        <v>665</v>
      </c>
      <c r="N229" s="12" t="s">
        <v>666</v>
      </c>
      <c r="O229" s="10" t="str">
        <f>HYPERLINK("https://pbs.twimg.com/profile_images/594572458465693696/zQRqAxeS_normal.jpg","View")</f>
        <v>View</v>
      </c>
      <c r="P229" s="11"/>
    </row>
    <row r="230" spans="1:16" ht="12.75" x14ac:dyDescent="0.35">
      <c r="A230" s="7">
        <v>42481.312476851846</v>
      </c>
      <c r="B230" s="8" t="str">
        <f>HYPERLINK("https://twitter.com/iMeme_74","@iMeme_74")</f>
        <v>@iMeme_74</v>
      </c>
      <c r="C230" s="9" t="s">
        <v>667</v>
      </c>
      <c r="D230" s="9" t="s">
        <v>594</v>
      </c>
      <c r="E230" s="10" t="str">
        <f>HYPERLINK("https://twitter.com/iMeme_74/status/722968084487757824","722968084487757824")</f>
        <v>722968084487757824</v>
      </c>
      <c r="F230" s="11" t="s">
        <v>48</v>
      </c>
      <c r="G230" s="11">
        <v>301</v>
      </c>
      <c r="H230" s="11">
        <v>131</v>
      </c>
      <c r="I230" s="11">
        <v>33</v>
      </c>
      <c r="J230" s="11">
        <v>0</v>
      </c>
      <c r="K230" s="11" t="s">
        <v>21</v>
      </c>
      <c r="L230" s="7">
        <v>41567.313067129631</v>
      </c>
      <c r="M230" s="12" t="s">
        <v>668</v>
      </c>
      <c r="N230" s="12" t="s">
        <v>669</v>
      </c>
      <c r="O230" s="10" t="str">
        <f>HYPERLINK("https://pbs.twimg.com/profile_images/539563909066534912/CSDVZnPV_normal.jpeg","View")</f>
        <v>View</v>
      </c>
      <c r="P230" s="11"/>
    </row>
    <row r="231" spans="1:16" ht="12.75" x14ac:dyDescent="0.35">
      <c r="A231" s="7">
        <v>42481.312662037039</v>
      </c>
      <c r="B231" s="8" t="str">
        <f>HYPERLINK("https://twitter.com/zvpdublQa","@zvpdublQa")</f>
        <v>@zvpdublQa</v>
      </c>
      <c r="C231" s="9" t="s">
        <v>670</v>
      </c>
      <c r="D231" s="9" t="s">
        <v>523</v>
      </c>
      <c r="E231" s="10" t="str">
        <f>HYPERLINK("https://twitter.com/zvpdublQa/status/722968153932730368","722968153932730368")</f>
        <v>722968153932730368</v>
      </c>
      <c r="F231" s="11" t="s">
        <v>43</v>
      </c>
      <c r="G231" s="11">
        <v>10</v>
      </c>
      <c r="H231" s="11">
        <v>473</v>
      </c>
      <c r="I231" s="11">
        <v>22</v>
      </c>
      <c r="J231" s="11">
        <v>0</v>
      </c>
      <c r="K231" s="11" t="s">
        <v>21</v>
      </c>
      <c r="L231" s="7">
        <v>42064.865439814814</v>
      </c>
      <c r="M231" s="12"/>
      <c r="N231" s="12" t="s">
        <v>671</v>
      </c>
      <c r="O231" s="10" t="str">
        <f>HYPERLINK("https://pbs.twimg.com/profile_images/577167647520858112/iO9LRVe4_normal.jpeg","View")</f>
        <v>View</v>
      </c>
      <c r="P231" s="11"/>
    </row>
    <row r="232" spans="1:16" ht="12.75" x14ac:dyDescent="0.35">
      <c r="A232" s="7">
        <v>42481.312754629631</v>
      </c>
      <c r="B232" s="8" t="str">
        <f>HYPERLINK("https://twitter.com/BarboobraB","@BarboobraB")</f>
        <v>@BarboobraB</v>
      </c>
      <c r="C232" s="9" t="s">
        <v>672</v>
      </c>
      <c r="D232" s="9" t="s">
        <v>673</v>
      </c>
      <c r="E232" s="10" t="str">
        <f>HYPERLINK("https://twitter.com/BarboobraB/status/722968187852210176","722968187852210176")</f>
        <v>722968187852210176</v>
      </c>
      <c r="F232" s="11" t="s">
        <v>152</v>
      </c>
      <c r="G232" s="11">
        <v>245</v>
      </c>
      <c r="H232" s="11">
        <v>679</v>
      </c>
      <c r="I232" s="11">
        <v>0</v>
      </c>
      <c r="J232" s="11">
        <v>0</v>
      </c>
      <c r="K232" s="11" t="s">
        <v>21</v>
      </c>
      <c r="L232" s="7">
        <v>40664.09715277778</v>
      </c>
      <c r="M232" s="12"/>
      <c r="N232" s="12" t="s">
        <v>674</v>
      </c>
      <c r="O232" s="10" t="str">
        <f>HYPERLINK("https://pbs.twimg.com/profile_images/568180812365824000/UV_KgHoo_normal.jpeg","View")</f>
        <v>View</v>
      </c>
      <c r="P232" s="11"/>
    </row>
    <row r="233" spans="1:16" ht="12.75" x14ac:dyDescent="0.35">
      <c r="A233" s="7">
        <v>42481.3128587963</v>
      </c>
      <c r="B233" s="8" t="str">
        <f>HYPERLINK("https://twitter.com/VWKennesaw","@VWKennesaw")</f>
        <v>@VWKennesaw</v>
      </c>
      <c r="C233" s="9" t="s">
        <v>675</v>
      </c>
      <c r="D233" s="9" t="s">
        <v>676</v>
      </c>
      <c r="E233" s="10" t="str">
        <f>HYPERLINK("https://twitter.com/VWKennesaw/status/722968223730262017","722968223730262017")</f>
        <v>722968223730262017</v>
      </c>
      <c r="F233" s="11" t="s">
        <v>114</v>
      </c>
      <c r="G233" s="11">
        <v>98</v>
      </c>
      <c r="H233" s="11">
        <v>168</v>
      </c>
      <c r="I233" s="11">
        <v>1</v>
      </c>
      <c r="J233" s="11">
        <v>1</v>
      </c>
      <c r="K233" s="11" t="s">
        <v>21</v>
      </c>
      <c r="L233" s="7">
        <v>41436.120474537034</v>
      </c>
      <c r="M233" s="12" t="s">
        <v>677</v>
      </c>
      <c r="N233" s="12" t="s">
        <v>678</v>
      </c>
      <c r="O233" s="10" t="str">
        <f>HYPERLINK("https://pbs.twimg.com/profile_images/3782942002/d3b9810cf47585074dba6962b97afb55_normal.jpeg","View")</f>
        <v>View</v>
      </c>
      <c r="P233" s="11"/>
    </row>
    <row r="234" spans="1:16" ht="12.75" x14ac:dyDescent="0.35">
      <c r="A234" s="7">
        <v>42481.313113425931</v>
      </c>
      <c r="B234" s="8" t="str">
        <f>HYPERLINK("https://twitter.com/DaddyBearForex","@DaddyBearForex")</f>
        <v>@DaddyBearForex</v>
      </c>
      <c r="C234" s="9" t="s">
        <v>679</v>
      </c>
      <c r="D234" s="9" t="s">
        <v>680</v>
      </c>
      <c r="E234" s="10" t="str">
        <f>HYPERLINK("https://twitter.com/DaddyBearForex/status/722968317057589248","722968317057589248")</f>
        <v>722968317057589248</v>
      </c>
      <c r="F234" s="11" t="s">
        <v>43</v>
      </c>
      <c r="G234" s="11">
        <v>132</v>
      </c>
      <c r="H234" s="11">
        <v>2</v>
      </c>
      <c r="I234" s="11">
        <v>0</v>
      </c>
      <c r="J234" s="11">
        <v>0</v>
      </c>
      <c r="K234" s="11" t="s">
        <v>21</v>
      </c>
      <c r="L234" s="7">
        <v>42070.877476851849</v>
      </c>
      <c r="M234" s="12" t="s">
        <v>305</v>
      </c>
      <c r="N234" s="12" t="s">
        <v>681</v>
      </c>
      <c r="O234" s="10" t="str">
        <f>HYPERLINK("https://pbs.twimg.com/profile_images/574254046900449280/R62v7NBc_normal.jpeg","View")</f>
        <v>View</v>
      </c>
      <c r="P234" s="11"/>
    </row>
    <row r="235" spans="1:16" ht="12.75" x14ac:dyDescent="0.35">
      <c r="A235" s="7">
        <v>42481.313587962963</v>
      </c>
      <c r="B235" s="8" t="str">
        <f>HYPERLINK("https://twitter.com/ebaycampervans","@ebaycampervans")</f>
        <v>@ebaycampervans</v>
      </c>
      <c r="C235" s="9" t="s">
        <v>682</v>
      </c>
      <c r="D235" s="9" t="s">
        <v>683</v>
      </c>
      <c r="E235" s="10" t="str">
        <f>HYPERLINK("https://twitter.com/ebaycampervans/status/722968486851411968","722968486851411968")</f>
        <v>722968486851411968</v>
      </c>
      <c r="F235" s="11" t="s">
        <v>34</v>
      </c>
      <c r="G235" s="11">
        <v>380</v>
      </c>
      <c r="H235" s="11">
        <v>1002</v>
      </c>
      <c r="I235" s="11">
        <v>0</v>
      </c>
      <c r="J235" s="11">
        <v>0</v>
      </c>
      <c r="K235" s="11" t="s">
        <v>21</v>
      </c>
      <c r="L235" s="7">
        <v>42140.207604166666</v>
      </c>
      <c r="M235" s="12"/>
      <c r="N235" s="12" t="s">
        <v>684</v>
      </c>
      <c r="O235" s="10" t="str">
        <f>HYPERLINK("https://pbs.twimg.com/profile_images/599357023407464449/BL9Bpo6T_normal.jpg","View")</f>
        <v>View</v>
      </c>
      <c r="P235" s="11"/>
    </row>
    <row r="236" spans="1:16" ht="12.75" x14ac:dyDescent="0.35">
      <c r="A236" s="7">
        <v>42481.31422453704</v>
      </c>
      <c r="B236" s="8" t="str">
        <f>HYPERLINK("https://twitter.com/the1dynasty","@the1dynasty")</f>
        <v>@the1dynasty</v>
      </c>
      <c r="C236" s="9" t="s">
        <v>685</v>
      </c>
      <c r="D236" s="9" t="s">
        <v>686</v>
      </c>
      <c r="E236" s="10" t="str">
        <f>HYPERLINK("https://twitter.com/the1dynasty/status/722968719324930049","722968719324930049")</f>
        <v>722968719324930049</v>
      </c>
      <c r="F236" s="11" t="s">
        <v>114</v>
      </c>
      <c r="G236" s="11">
        <v>530</v>
      </c>
      <c r="H236" s="11">
        <v>878</v>
      </c>
      <c r="I236" s="11">
        <v>0</v>
      </c>
      <c r="J236" s="11">
        <v>0</v>
      </c>
      <c r="K236" s="11" t="s">
        <v>21</v>
      </c>
      <c r="L236" s="7">
        <v>39917.046944444446</v>
      </c>
      <c r="M236" s="12"/>
      <c r="N236" s="12"/>
      <c r="O236" s="10" t="str">
        <f>HYPERLINK("https://pbs.twimg.com/profile_images/1988153514/530284_10150767594782704_662382703_11643075_1642544757_n_normal.jpg","View")</f>
        <v>View</v>
      </c>
      <c r="P236" s="10" t="str">
        <f>HYPERLINK("http://ctrlq.org/maps/address/#26.07754862,-80.36214814","Map")</f>
        <v>Map</v>
      </c>
    </row>
    <row r="237" spans="1:16" ht="12.75" x14ac:dyDescent="0.35">
      <c r="A237" s="7">
        <v>42481.31554398148</v>
      </c>
      <c r="B237" s="8" t="str">
        <f>HYPERLINK("https://twitter.com/marcus_philipp1","@marcus_philipp1")</f>
        <v>@marcus_philipp1</v>
      </c>
      <c r="C237" s="9" t="s">
        <v>687</v>
      </c>
      <c r="D237" s="9" t="s">
        <v>158</v>
      </c>
      <c r="E237" s="10" t="str">
        <f>HYPERLINK("https://twitter.com/marcus_philipp1/status/722969197626560512","722969197626560512")</f>
        <v>722969197626560512</v>
      </c>
      <c r="F237" s="11" t="s">
        <v>91</v>
      </c>
      <c r="G237" s="11">
        <v>30</v>
      </c>
      <c r="H237" s="11">
        <v>75</v>
      </c>
      <c r="I237" s="11">
        <v>23</v>
      </c>
      <c r="J237" s="11">
        <v>0</v>
      </c>
      <c r="K237" s="11" t="s">
        <v>21</v>
      </c>
      <c r="L237" s="7">
        <v>42431.469398148147</v>
      </c>
      <c r="M237" s="12" t="s">
        <v>688</v>
      </c>
      <c r="N237" s="12" t="s">
        <v>689</v>
      </c>
      <c r="O237" s="10" t="str">
        <f>HYPERLINK("https://pbs.twimg.com/profile_images/715030110844362754/PC9gDSCU_normal.jpg","View")</f>
        <v>View</v>
      </c>
      <c r="P237" s="11"/>
    </row>
    <row r="238" spans="1:16" ht="12.75" x14ac:dyDescent="0.35">
      <c r="A238" s="7">
        <v>42481.315682870365</v>
      </c>
      <c r="B238" s="8" t="str">
        <f>HYPERLINK("https://twitter.com/cljeremyxtjH","@cljeremyxtjH")</f>
        <v>@cljeremyxtjH</v>
      </c>
      <c r="C238" s="9" t="s">
        <v>690</v>
      </c>
      <c r="D238" s="9" t="s">
        <v>594</v>
      </c>
      <c r="E238" s="10" t="str">
        <f>HYPERLINK("https://twitter.com/cljeremyxtjH/status/722969249250045952","722969249250045952")</f>
        <v>722969249250045952</v>
      </c>
      <c r="F238" s="11" t="s">
        <v>43</v>
      </c>
      <c r="G238" s="11">
        <v>10</v>
      </c>
      <c r="H238" s="11">
        <v>449</v>
      </c>
      <c r="I238" s="11">
        <v>33</v>
      </c>
      <c r="J238" s="11">
        <v>0</v>
      </c>
      <c r="K238" s="11" t="s">
        <v>21</v>
      </c>
      <c r="L238" s="7">
        <v>42065.332071759258</v>
      </c>
      <c r="M238" s="12" t="s">
        <v>691</v>
      </c>
      <c r="N238" s="12" t="s">
        <v>692</v>
      </c>
      <c r="O238" s="10" t="str">
        <f>HYPERLINK("https://pbs.twimg.com/profile_images/577167027292385280/oCoqTtKg_normal.jpeg","View")</f>
        <v>View</v>
      </c>
      <c r="P238" s="11"/>
    </row>
    <row r="239" spans="1:16" ht="12.75" x14ac:dyDescent="0.35">
      <c r="A239" s="7">
        <v>42481.315763888888</v>
      </c>
      <c r="B239" s="8" t="str">
        <f>HYPERLINK("https://twitter.com/BeginTry","@BeginTry")</f>
        <v>@BeginTry</v>
      </c>
      <c r="C239" s="9" t="s">
        <v>515</v>
      </c>
      <c r="D239" s="9" t="s">
        <v>693</v>
      </c>
      <c r="E239" s="10" t="str">
        <f>HYPERLINK("https://twitter.com/BeginTry/status/722969276349435908","722969276349435908")</f>
        <v>722969276349435908</v>
      </c>
      <c r="F239" s="11" t="s">
        <v>43</v>
      </c>
      <c r="G239" s="11">
        <v>95</v>
      </c>
      <c r="H239" s="11">
        <v>359</v>
      </c>
      <c r="I239" s="11">
        <v>0</v>
      </c>
      <c r="J239" s="11">
        <v>0</v>
      </c>
      <c r="K239" s="11" t="s">
        <v>21</v>
      </c>
      <c r="L239" s="7">
        <v>42316.963287037041</v>
      </c>
      <c r="M239" s="12" t="s">
        <v>517</v>
      </c>
      <c r="N239" s="12" t="s">
        <v>518</v>
      </c>
      <c r="O239" s="10" t="str">
        <f>HYPERLINK("https://pbs.twimg.com/profile_images/663770205378736128/N0Ut9uE0_normal.jpg","View")</f>
        <v>View</v>
      </c>
      <c r="P239" s="11"/>
    </row>
    <row r="240" spans="1:16" ht="12.75" x14ac:dyDescent="0.35">
      <c r="A240" s="7">
        <v>42481.315983796296</v>
      </c>
      <c r="B240" s="8" t="str">
        <f>HYPERLINK("https://twitter.com/MalibuMoms","@MalibuMoms")</f>
        <v>@MalibuMoms</v>
      </c>
      <c r="C240" s="9" t="s">
        <v>694</v>
      </c>
      <c r="D240" s="9" t="s">
        <v>695</v>
      </c>
      <c r="E240" s="10" t="str">
        <f>HYPERLINK("https://twitter.com/MalibuMoms/status/722969358725574657","722969358725574657")</f>
        <v>722969358725574657</v>
      </c>
      <c r="F240" s="11" t="s">
        <v>91</v>
      </c>
      <c r="G240" s="11">
        <v>235</v>
      </c>
      <c r="H240" s="11">
        <v>384</v>
      </c>
      <c r="I240" s="11">
        <v>0</v>
      </c>
      <c r="J240" s="11">
        <v>0</v>
      </c>
      <c r="K240" s="11" t="s">
        <v>21</v>
      </c>
      <c r="L240" s="7">
        <v>41992.201342592598</v>
      </c>
      <c r="M240" s="12" t="s">
        <v>696</v>
      </c>
      <c r="N240" s="12" t="s">
        <v>697</v>
      </c>
      <c r="O240" s="10" t="str">
        <f>HYPERLINK("https://pbs.twimg.com/profile_images/632371610276622336/i9dfhe5Q_normal.jpg","View")</f>
        <v>View</v>
      </c>
      <c r="P240" s="11"/>
    </row>
    <row r="241" spans="1:16" ht="12.75" x14ac:dyDescent="0.35">
      <c r="A241" s="7">
        <v>42481.320706018523</v>
      </c>
      <c r="B241" s="8" t="str">
        <f>HYPERLINK("https://twitter.com/wikatu","@wikatu")</f>
        <v>@wikatu</v>
      </c>
      <c r="C241" s="9" t="s">
        <v>698</v>
      </c>
      <c r="D241" s="9" t="s">
        <v>699</v>
      </c>
      <c r="E241" s="10" t="str">
        <f>HYPERLINK("https://twitter.com/wikatu/status/722971068453900289","722971068453900289")</f>
        <v>722971068453900289</v>
      </c>
      <c r="F241" s="11" t="s">
        <v>34</v>
      </c>
      <c r="G241" s="11">
        <v>202</v>
      </c>
      <c r="H241" s="11">
        <v>180</v>
      </c>
      <c r="I241" s="11">
        <v>0</v>
      </c>
      <c r="J241" s="11">
        <v>0</v>
      </c>
      <c r="K241" s="11" t="s">
        <v>21</v>
      </c>
      <c r="L241" s="7">
        <v>40921.181574074071</v>
      </c>
      <c r="M241" s="12" t="s">
        <v>700</v>
      </c>
      <c r="N241" s="12"/>
      <c r="O241" s="10" t="str">
        <f>HYPERLINK("https://pbs.twimg.com/profile_images/1844337440/test_normal.gif","View")</f>
        <v>View</v>
      </c>
      <c r="P241" s="11"/>
    </row>
    <row r="242" spans="1:16" ht="12.75" x14ac:dyDescent="0.35">
      <c r="A242" s="7">
        <v>42481.321238425924</v>
      </c>
      <c r="B242" s="8" t="str">
        <f>HYPERLINK("https://twitter.com/DJdsnapz","@DJdsnapz")</f>
        <v>@DJdsnapz</v>
      </c>
      <c r="C242" s="9" t="s">
        <v>701</v>
      </c>
      <c r="D242" s="9" t="s">
        <v>702</v>
      </c>
      <c r="E242" s="10" t="str">
        <f>HYPERLINK("https://twitter.com/DJdsnapz/status/722971262151213056","722971262151213056")</f>
        <v>722971262151213056</v>
      </c>
      <c r="F242" s="11" t="s">
        <v>48</v>
      </c>
      <c r="G242" s="11">
        <v>175</v>
      </c>
      <c r="H242" s="11">
        <v>333</v>
      </c>
      <c r="I242" s="11">
        <v>1</v>
      </c>
      <c r="J242" s="11">
        <v>0</v>
      </c>
      <c r="K242" s="11" t="s">
        <v>21</v>
      </c>
      <c r="L242" s="7">
        <v>42022.248587962968</v>
      </c>
      <c r="M242" s="12" t="s">
        <v>703</v>
      </c>
      <c r="N242" s="12"/>
      <c r="O242" s="10" t="str">
        <f>HYPERLINK("https://pbs.twimg.com/profile_images/647832236000153600/O7WDz2Ei_normal.jpg","View")</f>
        <v>View</v>
      </c>
      <c r="P242" s="11"/>
    </row>
    <row r="243" spans="1:16" ht="12.75" x14ac:dyDescent="0.35">
      <c r="A243" s="7">
        <v>42481.331331018519</v>
      </c>
      <c r="B243" s="8" t="str">
        <f>HYPERLINK("https://twitter.com/Jeni_Melt","@Jeni_Melt")</f>
        <v>@Jeni_Melt</v>
      </c>
      <c r="C243" s="9" t="s">
        <v>704</v>
      </c>
      <c r="D243" s="9" t="s">
        <v>265</v>
      </c>
      <c r="E243" s="10" t="str">
        <f>HYPERLINK("https://twitter.com/Jeni_Melt/status/722974919894552576","722974919894552576")</f>
        <v>722974919894552576</v>
      </c>
      <c r="F243" s="11" t="s">
        <v>48</v>
      </c>
      <c r="G243" s="11">
        <v>164</v>
      </c>
      <c r="H243" s="11">
        <v>133</v>
      </c>
      <c r="I243" s="11">
        <v>7</v>
      </c>
      <c r="J243" s="11">
        <v>0</v>
      </c>
      <c r="K243" s="11" t="s">
        <v>21</v>
      </c>
      <c r="L243" s="7">
        <v>41176.252106481479</v>
      </c>
      <c r="M243" s="12" t="s">
        <v>705</v>
      </c>
      <c r="N243" s="12" t="s">
        <v>706</v>
      </c>
      <c r="O243" s="10" t="str">
        <f>HYPERLINK("https://pbs.twimg.com/profile_images/682043416683745280/rn5w22XG_normal.jpg","View")</f>
        <v>View</v>
      </c>
      <c r="P243" s="11"/>
    </row>
    <row r="244" spans="1:16" ht="12.75" x14ac:dyDescent="0.35">
      <c r="A244" s="7">
        <v>42481.333437499998</v>
      </c>
      <c r="B244" s="8" t="str">
        <f>HYPERLINK("https://twitter.com/VWCamperSales","@VWCamperSales")</f>
        <v>@VWCamperSales</v>
      </c>
      <c r="C244" s="9" t="s">
        <v>216</v>
      </c>
      <c r="D244" s="9" t="s">
        <v>707</v>
      </c>
      <c r="E244" s="10" t="str">
        <f>HYPERLINK("https://twitter.com/VWCamperSales/status/722975683572420609","722975683572420609")</f>
        <v>722975683572420609</v>
      </c>
      <c r="F244" s="10" t="s">
        <v>124</v>
      </c>
      <c r="G244" s="11">
        <v>615</v>
      </c>
      <c r="H244" s="11">
        <v>580</v>
      </c>
      <c r="I244" s="11">
        <v>0</v>
      </c>
      <c r="J244" s="11">
        <v>0</v>
      </c>
      <c r="K244" s="11" t="s">
        <v>21</v>
      </c>
      <c r="L244" s="7">
        <v>42215.98809027778</v>
      </c>
      <c r="M244" s="12" t="s">
        <v>129</v>
      </c>
      <c r="N244" s="12" t="s">
        <v>218</v>
      </c>
      <c r="O244" s="10" t="str">
        <f>HYPERLINK("https://pbs.twimg.com/profile_images/627949001179037696/skEBkS05_normal.jpg","View")</f>
        <v>View</v>
      </c>
      <c r="P244" s="11"/>
    </row>
    <row r="245" spans="1:16" ht="12.75" x14ac:dyDescent="0.35">
      <c r="A245" s="7">
        <v>42481.333865740744</v>
      </c>
      <c r="B245" s="8" t="str">
        <f>HYPERLINK("https://twitter.com/Insight4News4","@Insight4News4")</f>
        <v>@Insight4News4</v>
      </c>
      <c r="C245" s="9" t="s">
        <v>708</v>
      </c>
      <c r="D245" s="9" t="s">
        <v>709</v>
      </c>
      <c r="E245" s="10" t="str">
        <f>HYPERLINK("https://twitter.com/Insight4News4/status/722975836438204416","722975836438204416")</f>
        <v>722975836438204416</v>
      </c>
      <c r="F245" s="11" t="s">
        <v>710</v>
      </c>
      <c r="G245" s="11">
        <v>329</v>
      </c>
      <c r="H245" s="11">
        <v>0</v>
      </c>
      <c r="I245" s="11">
        <v>0</v>
      </c>
      <c r="J245" s="11">
        <v>0</v>
      </c>
      <c r="K245" s="11" t="s">
        <v>21</v>
      </c>
      <c r="L245" s="7">
        <v>42086.887870370367</v>
      </c>
      <c r="M245" s="12" t="s">
        <v>711</v>
      </c>
      <c r="N245" s="12" t="s">
        <v>712</v>
      </c>
      <c r="O245" s="10" t="str">
        <f>HYPERLINK("https://pbs.twimg.com/profile_images/580741690610311168/xyn37E4I_normal.jpg","View")</f>
        <v>View</v>
      </c>
      <c r="P245" s="11"/>
    </row>
    <row r="246" spans="1:16" ht="12.75" x14ac:dyDescent="0.35">
      <c r="A246" s="7">
        <v>42481.3356712963</v>
      </c>
      <c r="B246" s="8" t="str">
        <f>HYPERLINK("https://twitter.com/debossgarage","@debossgarage")</f>
        <v>@debossgarage</v>
      </c>
      <c r="C246" s="9" t="s">
        <v>713</v>
      </c>
      <c r="D246" s="9" t="s">
        <v>714</v>
      </c>
      <c r="E246" s="10" t="str">
        <f>HYPERLINK("https://twitter.com/debossgarage/status/722976490409721857","722976490409721857")</f>
        <v>722976490409721857</v>
      </c>
      <c r="F246" s="11" t="s">
        <v>43</v>
      </c>
      <c r="G246" s="11">
        <v>4250</v>
      </c>
      <c r="H246" s="11">
        <v>3754</v>
      </c>
      <c r="I246" s="11">
        <v>7</v>
      </c>
      <c r="J246" s="11">
        <v>0</v>
      </c>
      <c r="K246" s="11" t="s">
        <v>21</v>
      </c>
      <c r="L246" s="7">
        <v>42053.155949074076</v>
      </c>
      <c r="M246" s="12" t="s">
        <v>715</v>
      </c>
      <c r="N246" s="12" t="s">
        <v>716</v>
      </c>
      <c r="O246" s="10" t="str">
        <f>HYPERLINK("https://pbs.twimg.com/profile_images/567812071895490560/PohK6H-Y_normal.png","View")</f>
        <v>View</v>
      </c>
      <c r="P246" s="11"/>
    </row>
    <row r="247" spans="1:16" ht="12.75" x14ac:dyDescent="0.35">
      <c r="A247" s="7">
        <v>42481.336493055554</v>
      </c>
      <c r="B247" s="8" t="str">
        <f>HYPERLINK("https://twitter.com/ghcj","@ghcj")</f>
        <v>@ghcj</v>
      </c>
      <c r="C247" s="9" t="s">
        <v>576</v>
      </c>
      <c r="D247" s="9" t="s">
        <v>717</v>
      </c>
      <c r="E247" s="10" t="str">
        <f>HYPERLINK("https://twitter.com/ghcj/status/722976788972867584","722976788972867584")</f>
        <v>722976788972867584</v>
      </c>
      <c r="F247" s="11" t="s">
        <v>119</v>
      </c>
      <c r="G247" s="11">
        <v>17</v>
      </c>
      <c r="H247" s="11">
        <v>30</v>
      </c>
      <c r="I247" s="11">
        <v>0</v>
      </c>
      <c r="J247" s="11">
        <v>0</v>
      </c>
      <c r="K247" s="11" t="s">
        <v>21</v>
      </c>
      <c r="L247" s="7">
        <v>40012.066562499997</v>
      </c>
      <c r="M247" s="12" t="s">
        <v>125</v>
      </c>
      <c r="N247" s="12" t="s">
        <v>578</v>
      </c>
      <c r="O247" s="10" t="str">
        <f>HYPERLINK("https://pbs.twimg.com/profile_images/318679564/ghcj-logo-lg_normal.png","View")</f>
        <v>View</v>
      </c>
      <c r="P247" s="11"/>
    </row>
    <row r="248" spans="1:16" ht="12.75" x14ac:dyDescent="0.35">
      <c r="A248" s="7">
        <v>42481.336817129632</v>
      </c>
      <c r="B248" s="8" t="str">
        <f>HYPERLINK("https://twitter.com/lamontto","@lamontto")</f>
        <v>@lamontto</v>
      </c>
      <c r="C248" s="9" t="s">
        <v>718</v>
      </c>
      <c r="D248" s="9" t="s">
        <v>719</v>
      </c>
      <c r="E248" s="10" t="str">
        <f>HYPERLINK("https://twitter.com/lamontto/status/722976907571109888","722976907571109888")</f>
        <v>722976907571109888</v>
      </c>
      <c r="F248" s="11" t="s">
        <v>20</v>
      </c>
      <c r="G248" s="11">
        <v>630</v>
      </c>
      <c r="H248" s="11">
        <v>607</v>
      </c>
      <c r="I248" s="11">
        <v>0</v>
      </c>
      <c r="J248" s="11">
        <v>0</v>
      </c>
      <c r="K248" s="11" t="s">
        <v>21</v>
      </c>
      <c r="L248" s="7">
        <v>40642.156342592592</v>
      </c>
      <c r="M248" s="12" t="s">
        <v>720</v>
      </c>
      <c r="N248" s="12" t="s">
        <v>721</v>
      </c>
      <c r="O248" s="10" t="str">
        <f>HYPERLINK("https://pbs.twimg.com/profile_images/653334158484357120/pjDnQtCN_normal.jpg","View")</f>
        <v>View</v>
      </c>
      <c r="P248" s="11"/>
    </row>
    <row r="249" spans="1:16" ht="12.75" x14ac:dyDescent="0.35">
      <c r="A249" s="7">
        <v>42481.34165509259</v>
      </c>
      <c r="B249" s="8" t="str">
        <f>HYPERLINK("https://twitter.com/Scirocco_Tuning","@Scirocco_Tuning")</f>
        <v>@Scirocco_Tuning</v>
      </c>
      <c r="C249" s="9" t="s">
        <v>51</v>
      </c>
      <c r="D249" s="9" t="s">
        <v>722</v>
      </c>
      <c r="E249" s="10" t="str">
        <f>HYPERLINK("https://twitter.com/Scirocco_Tuning/status/722978660261761024","722978660261761024")</f>
        <v>722978660261761024</v>
      </c>
      <c r="F249" s="11" t="s">
        <v>53</v>
      </c>
      <c r="G249" s="11">
        <v>69</v>
      </c>
      <c r="H249" s="11">
        <v>215</v>
      </c>
      <c r="I249" s="11">
        <v>0</v>
      </c>
      <c r="J249" s="11">
        <v>0</v>
      </c>
      <c r="K249" s="11" t="s">
        <v>21</v>
      </c>
      <c r="L249" s="7">
        <v>40844.564722222218</v>
      </c>
      <c r="M249" s="12"/>
      <c r="N249" s="12"/>
      <c r="O249" s="10" t="str">
        <f>HYPERLINK("https://pbs.twimg.com/profile_images/1610421423/Image2_normal.jpg","View")</f>
        <v>View</v>
      </c>
      <c r="P249" s="11"/>
    </row>
    <row r="250" spans="1:16" ht="12.75" x14ac:dyDescent="0.35">
      <c r="A250" s="7">
        <v>42481.34373842593</v>
      </c>
      <c r="B250" s="8" t="str">
        <f t="shared" ref="B250:B251" si="24">HYPERLINK("https://twitter.com/OrlandoYurie","@OrlandoYurie")</f>
        <v>@OrlandoYurie</v>
      </c>
      <c r="C250" s="9" t="s">
        <v>723</v>
      </c>
      <c r="D250" s="9" t="s">
        <v>724</v>
      </c>
      <c r="E250" s="10" t="str">
        <f>HYPERLINK("https://twitter.com/OrlandoYurie/status/722979413374197760","722979413374197760")</f>
        <v>722979413374197760</v>
      </c>
      <c r="F250" s="11" t="s">
        <v>725</v>
      </c>
      <c r="G250" s="11">
        <v>27</v>
      </c>
      <c r="H250" s="11">
        <v>112</v>
      </c>
      <c r="I250" s="11">
        <v>5</v>
      </c>
      <c r="J250" s="11">
        <v>0</v>
      </c>
      <c r="K250" s="11" t="s">
        <v>21</v>
      </c>
      <c r="L250" s="7">
        <v>42448.168298611112</v>
      </c>
      <c r="M250" s="12" t="s">
        <v>726</v>
      </c>
      <c r="N250" s="12" t="s">
        <v>727</v>
      </c>
      <c r="O250" s="10" t="str">
        <f t="shared" ref="O250:O251" si="25">HYPERLINK("https://pbs.twimg.com/profile_images/717565742518894592/4GC2w_GN_normal.jpg","View")</f>
        <v>View</v>
      </c>
      <c r="P250" s="11"/>
    </row>
    <row r="251" spans="1:16" ht="12.75" x14ac:dyDescent="0.35">
      <c r="A251" s="7">
        <v>42481.34538194444</v>
      </c>
      <c r="B251" s="8" t="str">
        <f t="shared" si="24"/>
        <v>@OrlandoYurie</v>
      </c>
      <c r="C251" s="9" t="s">
        <v>723</v>
      </c>
      <c r="D251" s="9" t="s">
        <v>728</v>
      </c>
      <c r="E251" s="10" t="str">
        <f>HYPERLINK("https://twitter.com/OrlandoYurie/status/722980008910815232","722980008910815232")</f>
        <v>722980008910815232</v>
      </c>
      <c r="F251" s="11" t="s">
        <v>725</v>
      </c>
      <c r="G251" s="11">
        <v>27</v>
      </c>
      <c r="H251" s="11">
        <v>112</v>
      </c>
      <c r="I251" s="11">
        <v>9</v>
      </c>
      <c r="J251" s="11">
        <v>0</v>
      </c>
      <c r="K251" s="11" t="s">
        <v>21</v>
      </c>
      <c r="L251" s="7">
        <v>42448.168298611112</v>
      </c>
      <c r="M251" s="12" t="s">
        <v>726</v>
      </c>
      <c r="N251" s="12" t="s">
        <v>727</v>
      </c>
      <c r="O251" s="10" t="str">
        <f t="shared" si="25"/>
        <v>View</v>
      </c>
      <c r="P251" s="11"/>
    </row>
    <row r="252" spans="1:16" ht="12.75" x14ac:dyDescent="0.35">
      <c r="A252" s="7">
        <v>42481.346134259264</v>
      </c>
      <c r="B252" s="8" t="str">
        <f>HYPERLINK("https://twitter.com/Doubleupblood","@Doubleupblood")</f>
        <v>@Doubleupblood</v>
      </c>
      <c r="C252" s="9" t="s">
        <v>729</v>
      </c>
      <c r="D252" s="9" t="s">
        <v>724</v>
      </c>
      <c r="E252" s="10" t="str">
        <f>HYPERLINK("https://twitter.com/Doubleupblood/status/722980281922117632","722980281922117632")</f>
        <v>722980281922117632</v>
      </c>
      <c r="F252" s="11" t="s">
        <v>20</v>
      </c>
      <c r="G252" s="11">
        <v>227</v>
      </c>
      <c r="H252" s="11">
        <v>562</v>
      </c>
      <c r="I252" s="11">
        <v>5</v>
      </c>
      <c r="J252" s="11">
        <v>0</v>
      </c>
      <c r="K252" s="11" t="s">
        <v>21</v>
      </c>
      <c r="L252" s="7">
        <v>42431.291631944448</v>
      </c>
      <c r="M252" s="12" t="s">
        <v>730</v>
      </c>
      <c r="N252" s="12" t="s">
        <v>731</v>
      </c>
      <c r="O252" s="10" t="str">
        <f>HYPERLINK("https://pbs.twimg.com/profile_images/721148944915439616/UZ5XovmR_normal.jpg","View")</f>
        <v>View</v>
      </c>
      <c r="P252" s="11"/>
    </row>
    <row r="253" spans="1:16" ht="12.75" x14ac:dyDescent="0.35">
      <c r="A253" s="7">
        <v>42481.346585648149</v>
      </c>
      <c r="B253" s="8" t="str">
        <f t="shared" ref="B253:B257" si="26">HYPERLINK("https://twitter.com/beetlebug1938","@beetlebug1938")</f>
        <v>@beetlebug1938</v>
      </c>
      <c r="C253" s="9" t="s">
        <v>66</v>
      </c>
      <c r="D253" s="9" t="s">
        <v>732</v>
      </c>
      <c r="E253" s="10" t="str">
        <f>HYPERLINK("https://twitter.com/beetlebug1938/status/722980447110725632","722980447110725632")</f>
        <v>722980447110725632</v>
      </c>
      <c r="F253" s="11" t="s">
        <v>68</v>
      </c>
      <c r="G253" s="11">
        <v>346</v>
      </c>
      <c r="H253" s="11">
        <v>2222</v>
      </c>
      <c r="I253" s="11">
        <v>0</v>
      </c>
      <c r="J253" s="11">
        <v>2</v>
      </c>
      <c r="K253" s="11" t="s">
        <v>21</v>
      </c>
      <c r="L253" s="7">
        <v>42469.863865740743</v>
      </c>
      <c r="M253" s="12" t="s">
        <v>69</v>
      </c>
      <c r="N253" s="12"/>
      <c r="O253" s="10" t="str">
        <f t="shared" ref="O253:O257" si="27">HYPERLINK("https://pbs.twimg.com/profile_images/718820712757215233/LXXndPTS_normal.jpg","View")</f>
        <v>View</v>
      </c>
      <c r="P253" s="11"/>
    </row>
    <row r="254" spans="1:16" ht="12.75" x14ac:dyDescent="0.35">
      <c r="A254" s="7">
        <v>42481.346724537041</v>
      </c>
      <c r="B254" s="8" t="str">
        <f t="shared" si="26"/>
        <v>@beetlebug1938</v>
      </c>
      <c r="C254" s="9" t="s">
        <v>66</v>
      </c>
      <c r="D254" s="9" t="s">
        <v>733</v>
      </c>
      <c r="E254" s="10" t="str">
        <f>HYPERLINK("https://twitter.com/beetlebug1938/status/722980497756971012","722980497756971012")</f>
        <v>722980497756971012</v>
      </c>
      <c r="F254" s="11" t="s">
        <v>68</v>
      </c>
      <c r="G254" s="11">
        <v>346</v>
      </c>
      <c r="H254" s="11">
        <v>2222</v>
      </c>
      <c r="I254" s="11">
        <v>0</v>
      </c>
      <c r="J254" s="11">
        <v>0</v>
      </c>
      <c r="K254" s="11" t="s">
        <v>21</v>
      </c>
      <c r="L254" s="7">
        <v>42469.863865740743</v>
      </c>
      <c r="M254" s="12" t="s">
        <v>69</v>
      </c>
      <c r="N254" s="12"/>
      <c r="O254" s="10" t="str">
        <f t="shared" si="27"/>
        <v>View</v>
      </c>
      <c r="P254" s="11"/>
    </row>
    <row r="255" spans="1:16" ht="12.75" x14ac:dyDescent="0.35">
      <c r="A255" s="7">
        <v>42481.346759259264</v>
      </c>
      <c r="B255" s="8" t="str">
        <f t="shared" si="26"/>
        <v>@beetlebug1938</v>
      </c>
      <c r="C255" s="9" t="s">
        <v>66</v>
      </c>
      <c r="D255" s="9" t="s">
        <v>734</v>
      </c>
      <c r="E255" s="10" t="str">
        <f>HYPERLINK("https://twitter.com/beetlebug1938/status/722980510226604032","722980510226604032")</f>
        <v>722980510226604032</v>
      </c>
      <c r="F255" s="11" t="s">
        <v>68</v>
      </c>
      <c r="G255" s="11">
        <v>346</v>
      </c>
      <c r="H255" s="11">
        <v>2222</v>
      </c>
      <c r="I255" s="11">
        <v>0</v>
      </c>
      <c r="J255" s="11">
        <v>0</v>
      </c>
      <c r="K255" s="11" t="s">
        <v>21</v>
      </c>
      <c r="L255" s="7">
        <v>42469.863865740743</v>
      </c>
      <c r="M255" s="12" t="s">
        <v>69</v>
      </c>
      <c r="N255" s="12"/>
      <c r="O255" s="10" t="str">
        <f t="shared" si="27"/>
        <v>View</v>
      </c>
      <c r="P255" s="11"/>
    </row>
    <row r="256" spans="1:16" ht="12.75" x14ac:dyDescent="0.35">
      <c r="A256" s="7">
        <v>42481.34679398148</v>
      </c>
      <c r="B256" s="8" t="str">
        <f t="shared" si="26"/>
        <v>@beetlebug1938</v>
      </c>
      <c r="C256" s="9" t="s">
        <v>66</v>
      </c>
      <c r="D256" s="9" t="s">
        <v>735</v>
      </c>
      <c r="E256" s="10" t="str">
        <f>HYPERLINK("https://twitter.com/beetlebug1938/status/722980523170246656","722980523170246656")</f>
        <v>722980523170246656</v>
      </c>
      <c r="F256" s="11" t="s">
        <v>68</v>
      </c>
      <c r="G256" s="11">
        <v>346</v>
      </c>
      <c r="H256" s="11">
        <v>2222</v>
      </c>
      <c r="I256" s="11">
        <v>0</v>
      </c>
      <c r="J256" s="11">
        <v>0</v>
      </c>
      <c r="K256" s="11" t="s">
        <v>21</v>
      </c>
      <c r="L256" s="7">
        <v>42469.863865740743</v>
      </c>
      <c r="M256" s="12" t="s">
        <v>69</v>
      </c>
      <c r="N256" s="12"/>
      <c r="O256" s="10" t="str">
        <f t="shared" si="27"/>
        <v>View</v>
      </c>
      <c r="P256" s="11"/>
    </row>
    <row r="257" spans="1:16" ht="12.75" x14ac:dyDescent="0.35">
      <c r="A257" s="7">
        <v>42481.346851851849</v>
      </c>
      <c r="B257" s="8" t="str">
        <f t="shared" si="26"/>
        <v>@beetlebug1938</v>
      </c>
      <c r="C257" s="9" t="s">
        <v>66</v>
      </c>
      <c r="D257" s="9" t="s">
        <v>736</v>
      </c>
      <c r="E257" s="10" t="str">
        <f>HYPERLINK("https://twitter.com/beetlebug1938/status/722980542988357632","722980542988357632")</f>
        <v>722980542988357632</v>
      </c>
      <c r="F257" s="11" t="s">
        <v>68</v>
      </c>
      <c r="G257" s="11">
        <v>346</v>
      </c>
      <c r="H257" s="11">
        <v>2222</v>
      </c>
      <c r="I257" s="11">
        <v>0</v>
      </c>
      <c r="J257" s="11">
        <v>0</v>
      </c>
      <c r="K257" s="11" t="s">
        <v>21</v>
      </c>
      <c r="L257" s="7">
        <v>42469.863865740743</v>
      </c>
      <c r="M257" s="12" t="s">
        <v>69</v>
      </c>
      <c r="N257" s="12"/>
      <c r="O257" s="10" t="str">
        <f t="shared" si="27"/>
        <v>View</v>
      </c>
      <c r="P257" s="11"/>
    </row>
    <row r="258" spans="1:16" ht="12.75" x14ac:dyDescent="0.35">
      <c r="A258" s="7">
        <v>42481.347337962958</v>
      </c>
      <c r="B258" s="8" t="str">
        <f>HYPERLINK("https://twitter.com/mellin_walter","@mellin_walter")</f>
        <v>@mellin_walter</v>
      </c>
      <c r="C258" s="9" t="s">
        <v>737</v>
      </c>
      <c r="D258" s="9" t="s">
        <v>738</v>
      </c>
      <c r="E258" s="10" t="str">
        <f>HYPERLINK("https://twitter.com/mellin_walter/status/722980720633737216","722980720633737216")</f>
        <v>722980720633737216</v>
      </c>
      <c r="F258" s="11" t="s">
        <v>48</v>
      </c>
      <c r="G258" s="11">
        <v>7</v>
      </c>
      <c r="H258" s="11">
        <v>40</v>
      </c>
      <c r="I258" s="11">
        <v>1</v>
      </c>
      <c r="J258" s="11">
        <v>0</v>
      </c>
      <c r="K258" s="11" t="s">
        <v>21</v>
      </c>
      <c r="L258" s="7">
        <v>42447.285509259258</v>
      </c>
      <c r="M258" s="12" t="s">
        <v>739</v>
      </c>
      <c r="N258" s="12" t="s">
        <v>740</v>
      </c>
      <c r="O258" s="10" t="str">
        <f>HYPERLINK("https://pbs.twimg.com/profile_images/720687356303400960/kGE26Ez3_normal.jpg","View")</f>
        <v>View</v>
      </c>
      <c r="P258" s="11"/>
    </row>
    <row r="259" spans="1:16" ht="12.75" x14ac:dyDescent="0.35">
      <c r="A259" s="7">
        <v>42481.35055555556</v>
      </c>
      <c r="B259" s="8" t="str">
        <f>HYPERLINK("https://twitter.com/wikatu","@wikatu")</f>
        <v>@wikatu</v>
      </c>
      <c r="C259" s="9" t="s">
        <v>698</v>
      </c>
      <c r="D259" s="9" t="s">
        <v>741</v>
      </c>
      <c r="E259" s="10" t="str">
        <f>HYPERLINK("https://twitter.com/wikatu/status/722981886591541248","722981886591541248")</f>
        <v>722981886591541248</v>
      </c>
      <c r="F259" s="11" t="s">
        <v>34</v>
      </c>
      <c r="G259" s="11">
        <v>202</v>
      </c>
      <c r="H259" s="11">
        <v>180</v>
      </c>
      <c r="I259" s="11">
        <v>0</v>
      </c>
      <c r="J259" s="11">
        <v>0</v>
      </c>
      <c r="K259" s="11" t="s">
        <v>21</v>
      </c>
      <c r="L259" s="7">
        <v>40921.181574074071</v>
      </c>
      <c r="M259" s="12" t="s">
        <v>700</v>
      </c>
      <c r="N259" s="12"/>
      <c r="O259" s="10" t="str">
        <f>HYPERLINK("https://pbs.twimg.com/profile_images/1844337440/test_normal.gif","View")</f>
        <v>View</v>
      </c>
      <c r="P259" s="11"/>
    </row>
    <row r="260" spans="1:16" ht="12.75" x14ac:dyDescent="0.35">
      <c r="A260" s="7">
        <v>42481.354618055557</v>
      </c>
      <c r="B260" s="8" t="str">
        <f>HYPERLINK("https://twitter.com/PrudhommeJeff","@PrudhommeJeff")</f>
        <v>@PrudhommeJeff</v>
      </c>
      <c r="C260" s="9" t="s">
        <v>742</v>
      </c>
      <c r="D260" s="9" t="s">
        <v>743</v>
      </c>
      <c r="E260" s="10" t="str">
        <f>HYPERLINK("https://twitter.com/PrudhommeJeff/status/722983355571142656","722983355571142656")</f>
        <v>722983355571142656</v>
      </c>
      <c r="F260" s="11" t="s">
        <v>20</v>
      </c>
      <c r="G260" s="11">
        <v>170</v>
      </c>
      <c r="H260" s="11">
        <v>471</v>
      </c>
      <c r="I260" s="11">
        <v>2</v>
      </c>
      <c r="J260" s="11">
        <v>0</v>
      </c>
      <c r="K260" s="11" t="s">
        <v>21</v>
      </c>
      <c r="L260" s="7">
        <v>41554.046585648146</v>
      </c>
      <c r="M260" s="12" t="s">
        <v>744</v>
      </c>
      <c r="N260" s="12" t="s">
        <v>745</v>
      </c>
      <c r="O260" s="10" t="str">
        <f>HYPERLINK("https://pbs.twimg.com/profile_images/378800000559239980/e181a9907e282c6bcd790198e5f4161d_normal.jpeg","View")</f>
        <v>View</v>
      </c>
      <c r="P260" s="11"/>
    </row>
    <row r="261" spans="1:16" ht="12.75" x14ac:dyDescent="0.35">
      <c r="A261" s="7">
        <v>42481.35491898148</v>
      </c>
      <c r="B261" s="8" t="str">
        <f>HYPERLINK("https://twitter.com/Rene03R","@Rene03R")</f>
        <v>@Rene03R</v>
      </c>
      <c r="C261" s="9" t="s">
        <v>746</v>
      </c>
      <c r="D261" s="9" t="s">
        <v>747</v>
      </c>
      <c r="E261" s="10" t="str">
        <f>HYPERLINK("https://twitter.com/Rene03R/status/722983465952657408","722983465952657408")</f>
        <v>722983465952657408</v>
      </c>
      <c r="F261" s="11" t="s">
        <v>748</v>
      </c>
      <c r="G261" s="11">
        <v>99</v>
      </c>
      <c r="H261" s="11">
        <v>237</v>
      </c>
      <c r="I261" s="11">
        <v>0</v>
      </c>
      <c r="J261" s="11">
        <v>0</v>
      </c>
      <c r="K261" s="11" t="s">
        <v>21</v>
      </c>
      <c r="L261" s="7">
        <v>41040.457928240743</v>
      </c>
      <c r="M261" s="12"/>
      <c r="N261" s="12" t="s">
        <v>749</v>
      </c>
      <c r="O261" s="10" t="str">
        <f>HYPERLINK("https://pbs.twimg.com/profile_images/705934896267571200/6L7xyc7q_normal.jpg","View")</f>
        <v>View</v>
      </c>
      <c r="P261" s="11"/>
    </row>
    <row r="262" spans="1:16" ht="12.75" x14ac:dyDescent="0.35">
      <c r="A262" s="7">
        <v>42481.356516203705</v>
      </c>
      <c r="B262" s="8" t="str">
        <f>HYPERLINK("https://twitter.com/bluesuezoo","@bluesuezoo")</f>
        <v>@bluesuezoo</v>
      </c>
      <c r="C262" s="9" t="s">
        <v>750</v>
      </c>
      <c r="D262" s="9" t="s">
        <v>751</v>
      </c>
      <c r="E262" s="10" t="str">
        <f>HYPERLINK("https://twitter.com/bluesuezoo/status/722984045148168192","722984045148168192")</f>
        <v>722984045148168192</v>
      </c>
      <c r="F262" s="11" t="s">
        <v>43</v>
      </c>
      <c r="G262" s="11">
        <v>1545</v>
      </c>
      <c r="H262" s="11">
        <v>2100</v>
      </c>
      <c r="I262" s="11">
        <v>0</v>
      </c>
      <c r="J262" s="11">
        <v>0</v>
      </c>
      <c r="K262" s="11" t="s">
        <v>21</v>
      </c>
      <c r="L262" s="7">
        <v>40606.260312500002</v>
      </c>
      <c r="M262" s="12"/>
      <c r="N262" s="12" t="s">
        <v>752</v>
      </c>
      <c r="O262" s="10" t="str">
        <f>HYPERLINK("https://pbs.twimg.com/profile_images/378800000770511910/f2717d32a14082fef01983978a41d3be_normal.jpeg","View")</f>
        <v>View</v>
      </c>
      <c r="P262" s="11"/>
    </row>
    <row r="263" spans="1:16" ht="12.75" x14ac:dyDescent="0.35">
      <c r="A263" s="7">
        <v>42481.35665509259</v>
      </c>
      <c r="B263" s="8" t="str">
        <f>HYPERLINK("https://twitter.com/VWCamperSales","@VWCamperSales")</f>
        <v>@VWCamperSales</v>
      </c>
      <c r="C263" s="9" t="s">
        <v>216</v>
      </c>
      <c r="D263" s="9" t="s">
        <v>753</v>
      </c>
      <c r="E263" s="10" t="str">
        <f>HYPERLINK("https://twitter.com/VWCamperSales/status/722984096876498944","722984096876498944")</f>
        <v>722984096876498944</v>
      </c>
      <c r="F263" s="10" t="s">
        <v>124</v>
      </c>
      <c r="G263" s="11">
        <v>615</v>
      </c>
      <c r="H263" s="11">
        <v>580</v>
      </c>
      <c r="I263" s="11">
        <v>0</v>
      </c>
      <c r="J263" s="11">
        <v>0</v>
      </c>
      <c r="K263" s="11" t="s">
        <v>21</v>
      </c>
      <c r="L263" s="7">
        <v>42215.98809027778</v>
      </c>
      <c r="M263" s="12" t="s">
        <v>129</v>
      </c>
      <c r="N263" s="12" t="s">
        <v>218</v>
      </c>
      <c r="O263" s="10" t="str">
        <f>HYPERLINK("https://pbs.twimg.com/profile_images/627949001179037696/skEBkS05_normal.jpg","View")</f>
        <v>View</v>
      </c>
      <c r="P263" s="11"/>
    </row>
    <row r="264" spans="1:16" ht="12.75" x14ac:dyDescent="0.35">
      <c r="A264" s="7">
        <v>42481.35732638889</v>
      </c>
      <c r="B264" s="8" t="str">
        <f>HYPERLINK("https://twitter.com/Julliooos","@Julliooos")</f>
        <v>@Julliooos</v>
      </c>
      <c r="C264" s="9" t="s">
        <v>754</v>
      </c>
      <c r="D264" s="9" t="s">
        <v>755</v>
      </c>
      <c r="E264" s="10" t="str">
        <f>HYPERLINK("https://twitter.com/Julliooos/status/722984338036387840","722984338036387840")</f>
        <v>722984338036387840</v>
      </c>
      <c r="F264" s="11" t="s">
        <v>20</v>
      </c>
      <c r="G264" s="11">
        <v>83</v>
      </c>
      <c r="H264" s="11">
        <v>435</v>
      </c>
      <c r="I264" s="11">
        <v>0</v>
      </c>
      <c r="J264" s="11">
        <v>0</v>
      </c>
      <c r="K264" s="11" t="s">
        <v>21</v>
      </c>
      <c r="L264" s="7">
        <v>41011.098344907405</v>
      </c>
      <c r="M264" s="12"/>
      <c r="N264" s="12"/>
      <c r="O264" s="10" t="str">
        <f>HYPERLINK("https://pbs.twimg.com/profile_images/649256068443439104/oCfaia9Q_normal.png","View")</f>
        <v>View</v>
      </c>
      <c r="P264" s="11"/>
    </row>
    <row r="265" spans="1:16" ht="12.75" x14ac:dyDescent="0.35">
      <c r="A265" s="7">
        <v>42481.357557870375</v>
      </c>
      <c r="B265" s="8" t="str">
        <f>HYPERLINK("https://twitter.com/MotoAuxilio","@MotoAuxilio")</f>
        <v>@MotoAuxilio</v>
      </c>
      <c r="C265" s="9" t="s">
        <v>756</v>
      </c>
      <c r="D265" s="9" t="s">
        <v>757</v>
      </c>
      <c r="E265" s="10" t="str">
        <f>HYPERLINK("https://twitter.com/MotoAuxilio/status/722984424699101184","722984424699101184")</f>
        <v>722984424699101184</v>
      </c>
      <c r="F265" s="11" t="s">
        <v>20</v>
      </c>
      <c r="G265" s="11">
        <v>150</v>
      </c>
      <c r="H265" s="11">
        <v>254</v>
      </c>
      <c r="I265" s="11">
        <v>0</v>
      </c>
      <c r="J265" s="11">
        <v>0</v>
      </c>
      <c r="K265" s="11" t="s">
        <v>21</v>
      </c>
      <c r="L265" s="7">
        <v>42178.954652777778</v>
      </c>
      <c r="M265" s="12" t="s">
        <v>758</v>
      </c>
      <c r="N265" s="12" t="s">
        <v>759</v>
      </c>
      <c r="O265" s="10" t="str">
        <f>HYPERLINK("https://pbs.twimg.com/profile_images/613401628050243585/Xz2SCzIZ_normal.jpg","View")</f>
        <v>View</v>
      </c>
      <c r="P265" s="11"/>
    </row>
    <row r="266" spans="1:16" ht="12.75" x14ac:dyDescent="0.35">
      <c r="A266" s="7">
        <v>42481.359629629631</v>
      </c>
      <c r="B266" s="8" t="str">
        <f>HYPERLINK("https://twitter.com/Co_Virgini","@Co_Virgini")</f>
        <v>@Co_Virgini</v>
      </c>
      <c r="C266" s="9" t="s">
        <v>760</v>
      </c>
      <c r="D266" s="9" t="s">
        <v>761</v>
      </c>
      <c r="E266" s="10" t="str">
        <f>HYPERLINK("https://twitter.com/Co_Virgini/status/722985172426219522","722985172426219522")</f>
        <v>722985172426219522</v>
      </c>
      <c r="F266" s="11" t="s">
        <v>48</v>
      </c>
      <c r="G266" s="11">
        <v>118</v>
      </c>
      <c r="H266" s="11">
        <v>29</v>
      </c>
      <c r="I266" s="11">
        <v>0</v>
      </c>
      <c r="J266" s="11">
        <v>0</v>
      </c>
      <c r="K266" s="11" t="s">
        <v>21</v>
      </c>
      <c r="L266" s="7">
        <v>40225.837476851855</v>
      </c>
      <c r="M266" s="12" t="s">
        <v>762</v>
      </c>
      <c r="N266" s="12" t="s">
        <v>763</v>
      </c>
      <c r="O266" s="10" t="str">
        <f>HYPERLINK("https://pbs.twimg.com/profile_images/714558246435090432/6Ua0IUf__normal.jpg","View")</f>
        <v>View</v>
      </c>
      <c r="P266" s="11"/>
    </row>
    <row r="267" spans="1:16" ht="12.75" x14ac:dyDescent="0.35">
      <c r="A267" s="7">
        <v>42481.360891203702</v>
      </c>
      <c r="B267" s="8" t="str">
        <f>HYPERLINK("https://twitter.com/VanagonNews","@VanagonNews")</f>
        <v>@VanagonNews</v>
      </c>
      <c r="C267" s="9" t="s">
        <v>303</v>
      </c>
      <c r="D267" s="9" t="s">
        <v>764</v>
      </c>
      <c r="E267" s="10" t="str">
        <f>HYPERLINK("https://twitter.com/VanagonNews/status/722985629634560001","722985629634560001")</f>
        <v>722985629634560001</v>
      </c>
      <c r="F267" s="11" t="s">
        <v>34</v>
      </c>
      <c r="G267" s="11">
        <v>1263</v>
      </c>
      <c r="H267" s="11">
        <v>1204</v>
      </c>
      <c r="I267" s="11">
        <v>0</v>
      </c>
      <c r="J267" s="11">
        <v>0</v>
      </c>
      <c r="K267" s="11" t="s">
        <v>21</v>
      </c>
      <c r="L267" s="7">
        <v>41668.847280092596</v>
      </c>
      <c r="M267" s="12" t="s">
        <v>305</v>
      </c>
      <c r="N267" s="12" t="s">
        <v>306</v>
      </c>
      <c r="O267" s="10" t="str">
        <f>HYPERLINK("https://pbs.twimg.com/profile_images/439107942877376514/dsUl4fwt_normal.jpeg","View")</f>
        <v>View</v>
      </c>
      <c r="P267" s="11"/>
    </row>
    <row r="268" spans="1:16" ht="12.75" x14ac:dyDescent="0.35">
      <c r="A268" s="7">
        <v>42481.361087962963</v>
      </c>
      <c r="B268" s="8" t="str">
        <f>HYPERLINK("https://twitter.com/stefanmeierfkw","@stefanmeierfkw")</f>
        <v>@stefanmeierfkw</v>
      </c>
      <c r="C268" s="9" t="s">
        <v>765</v>
      </c>
      <c r="D268" s="9" t="s">
        <v>766</v>
      </c>
      <c r="E268" s="10" t="str">
        <f>HYPERLINK("https://twitter.com/stefanmeierfkw/status/722985702590414848","722985702590414848")</f>
        <v>722985702590414848</v>
      </c>
      <c r="F268" s="11" t="s">
        <v>20</v>
      </c>
      <c r="G268" s="11">
        <v>62</v>
      </c>
      <c r="H268" s="11">
        <v>391</v>
      </c>
      <c r="I268" s="11">
        <v>12</v>
      </c>
      <c r="J268" s="11">
        <v>0</v>
      </c>
      <c r="K268" s="11" t="s">
        <v>21</v>
      </c>
      <c r="L268" s="7">
        <v>41188.936828703707</v>
      </c>
      <c r="M268" s="12" t="s">
        <v>767</v>
      </c>
      <c r="N268" s="12" t="s">
        <v>768</v>
      </c>
      <c r="O268" s="10" t="str">
        <f>HYPERLINK("https://pbs.twimg.com/profile_images/694080257087913984/Yked6rPu_normal.jpg","View")</f>
        <v>View</v>
      </c>
      <c r="P268" s="11"/>
    </row>
    <row r="269" spans="1:16" ht="12.75" x14ac:dyDescent="0.35">
      <c r="A269" s="7">
        <v>42481.36209490741</v>
      </c>
      <c r="B269" s="8" t="str">
        <f>HYPERLINK("https://twitter.com/manbitesfilm","@manbitesfilm")</f>
        <v>@manbitesfilm</v>
      </c>
      <c r="C269" s="9" t="s">
        <v>769</v>
      </c>
      <c r="D269" s="9" t="s">
        <v>770</v>
      </c>
      <c r="E269" s="10" t="str">
        <f>HYPERLINK("https://twitter.com/manbitesfilm/status/722986065674424320","722986065674424320")</f>
        <v>722986065674424320</v>
      </c>
      <c r="F269" s="11" t="s">
        <v>43</v>
      </c>
      <c r="G269" s="11">
        <v>30</v>
      </c>
      <c r="H269" s="11">
        <v>46</v>
      </c>
      <c r="I269" s="11">
        <v>0</v>
      </c>
      <c r="J269" s="11">
        <v>0</v>
      </c>
      <c r="K269" s="11" t="s">
        <v>21</v>
      </c>
      <c r="L269" s="7">
        <v>40351.991377314815</v>
      </c>
      <c r="M269" s="12" t="s">
        <v>715</v>
      </c>
      <c r="N269" s="12" t="s">
        <v>771</v>
      </c>
      <c r="O269" s="10" t="str">
        <f>HYPERLINK("https://pbs.twimg.com/profile_images/1257298211/image_normal.jpg","View")</f>
        <v>View</v>
      </c>
      <c r="P269" s="11"/>
    </row>
    <row r="270" spans="1:16" ht="12.75" x14ac:dyDescent="0.35">
      <c r="A270" s="7">
        <v>42481.363923611112</v>
      </c>
      <c r="B270" s="8" t="str">
        <f>HYPERLINK("https://twitter.com/Michael_Vasanth","@Michael_Vasanth")</f>
        <v>@Michael_Vasanth</v>
      </c>
      <c r="C270" s="9" t="s">
        <v>772</v>
      </c>
      <c r="D270" s="9" t="s">
        <v>773</v>
      </c>
      <c r="E270" s="10" t="str">
        <f>HYPERLINK("https://twitter.com/Michael_Vasanth/status/722986730773721088","722986730773721088")</f>
        <v>722986730773721088</v>
      </c>
      <c r="F270" s="11" t="s">
        <v>68</v>
      </c>
      <c r="G270" s="11">
        <v>1008</v>
      </c>
      <c r="H270" s="11">
        <v>16</v>
      </c>
      <c r="I270" s="11">
        <v>0</v>
      </c>
      <c r="J270" s="11">
        <v>0</v>
      </c>
      <c r="K270" s="11" t="s">
        <v>21</v>
      </c>
      <c r="L270" s="7">
        <v>40198.917881944442</v>
      </c>
      <c r="M270" s="12" t="s">
        <v>774</v>
      </c>
      <c r="N270" s="12" t="s">
        <v>775</v>
      </c>
      <c r="O270" s="10" t="str">
        <f>HYPERLINK("https://pbs.twimg.com/profile_images/693447250224087040/au64Cdjo_normal.jpg","View")</f>
        <v>View</v>
      </c>
      <c r="P270" s="11"/>
    </row>
    <row r="271" spans="1:16" ht="12.75" x14ac:dyDescent="0.35">
      <c r="A271" s="7">
        <v>42481.364212962959</v>
      </c>
      <c r="B271" s="8" t="str">
        <f>HYPERLINK("https://twitter.com/darrenmorin","@darrenmorin")</f>
        <v>@darrenmorin</v>
      </c>
      <c r="C271" s="9" t="s">
        <v>776</v>
      </c>
      <c r="D271" s="9" t="s">
        <v>777</v>
      </c>
      <c r="E271" s="10" t="str">
        <f>HYPERLINK("https://twitter.com/darrenmorin/status/722986835668946944","722986835668946944")</f>
        <v>722986835668946944</v>
      </c>
      <c r="F271" s="11" t="s">
        <v>43</v>
      </c>
      <c r="G271" s="11">
        <v>39</v>
      </c>
      <c r="H271" s="11">
        <v>49</v>
      </c>
      <c r="I271" s="11">
        <v>0</v>
      </c>
      <c r="J271" s="11">
        <v>0</v>
      </c>
      <c r="K271" s="11" t="s">
        <v>21</v>
      </c>
      <c r="L271" s="7">
        <v>40630.174479166664</v>
      </c>
      <c r="M271" s="12" t="s">
        <v>778</v>
      </c>
      <c r="N271" s="12" t="s">
        <v>779</v>
      </c>
      <c r="O271" s="10" t="str">
        <f>HYPERLINK("https://pbs.twimg.com/profile_images/697661303406665728/G5qdQSja_normal.jpg","View")</f>
        <v>View</v>
      </c>
      <c r="P271" s="11"/>
    </row>
    <row r="272" spans="1:16" ht="12.75" x14ac:dyDescent="0.35">
      <c r="A272" s="7">
        <v>42481.365983796291</v>
      </c>
      <c r="B272" s="8" t="str">
        <f>HYPERLINK("https://twitter.com/Medienspiegel_D","@Medienspiegel_D")</f>
        <v>@Medienspiegel_D</v>
      </c>
      <c r="C272" s="9" t="s">
        <v>780</v>
      </c>
      <c r="D272" s="9" t="s">
        <v>781</v>
      </c>
      <c r="E272" s="10" t="str">
        <f>HYPERLINK("https://twitter.com/Medienspiegel_D/status/722987476734742528","722987476734742528")</f>
        <v>722987476734742528</v>
      </c>
      <c r="F272" s="11" t="s">
        <v>43</v>
      </c>
      <c r="G272" s="11">
        <v>350</v>
      </c>
      <c r="H272" s="11">
        <v>363</v>
      </c>
      <c r="I272" s="11">
        <v>8</v>
      </c>
      <c r="J272" s="11">
        <v>0</v>
      </c>
      <c r="K272" s="11" t="s">
        <v>21</v>
      </c>
      <c r="L272" s="7">
        <v>42062.073449074072</v>
      </c>
      <c r="M272" s="12"/>
      <c r="N272" s="12"/>
      <c r="O272" s="10" t="str">
        <f>HYPERLINK("https://pbs.twimg.com/profile_images/571042602321842176/i19YeFP5_normal.jpeg","View")</f>
        <v>View</v>
      </c>
      <c r="P272" s="11"/>
    </row>
    <row r="273" spans="1:16" ht="12.75" x14ac:dyDescent="0.35">
      <c r="A273" s="7">
        <v>42481.367581018523</v>
      </c>
      <c r="B273" s="8" t="str">
        <f t="shared" ref="B273:B274" si="28">HYPERLINK("https://twitter.com/StevenWeisbrot","@StevenWeisbrot")</f>
        <v>@StevenWeisbrot</v>
      </c>
      <c r="C273" s="9" t="s">
        <v>782</v>
      </c>
      <c r="D273" s="9" t="s">
        <v>594</v>
      </c>
      <c r="E273" s="10" t="str">
        <f>HYPERLINK("https://twitter.com/StevenWeisbrot/status/722988054592557056","722988054592557056")</f>
        <v>722988054592557056</v>
      </c>
      <c r="F273" s="11" t="s">
        <v>20</v>
      </c>
      <c r="G273" s="11">
        <v>2867</v>
      </c>
      <c r="H273" s="11">
        <v>1391</v>
      </c>
      <c r="I273" s="11">
        <v>33</v>
      </c>
      <c r="J273" s="11">
        <v>0</v>
      </c>
      <c r="K273" s="11" t="s">
        <v>21</v>
      </c>
      <c r="L273" s="7">
        <v>39568.183912037035</v>
      </c>
      <c r="M273" s="12" t="s">
        <v>783</v>
      </c>
      <c r="N273" s="12" t="s">
        <v>784</v>
      </c>
      <c r="O273" s="10" t="str">
        <f t="shared" ref="O273:O274" si="29">HYPERLINK("https://pbs.twimg.com/profile_images/1444180180/StevenWeisbrot_normal.jpg","View")</f>
        <v>View</v>
      </c>
      <c r="P273" s="11"/>
    </row>
    <row r="274" spans="1:16" ht="12.75" x14ac:dyDescent="0.35">
      <c r="A274" s="7">
        <v>42481.370405092588</v>
      </c>
      <c r="B274" s="8" t="str">
        <f t="shared" si="28"/>
        <v>@StevenWeisbrot</v>
      </c>
      <c r="C274" s="9" t="s">
        <v>782</v>
      </c>
      <c r="D274" s="9" t="s">
        <v>785</v>
      </c>
      <c r="E274" s="10" t="str">
        <f>HYPERLINK("https://twitter.com/StevenWeisbrot/status/722989077251928064","722989077251928064")</f>
        <v>722989077251928064</v>
      </c>
      <c r="F274" s="11" t="s">
        <v>20</v>
      </c>
      <c r="G274" s="11">
        <v>2867</v>
      </c>
      <c r="H274" s="11">
        <v>1391</v>
      </c>
      <c r="I274" s="11">
        <v>6</v>
      </c>
      <c r="J274" s="11">
        <v>0</v>
      </c>
      <c r="K274" s="11" t="s">
        <v>21</v>
      </c>
      <c r="L274" s="7">
        <v>39568.183912037035</v>
      </c>
      <c r="M274" s="12" t="s">
        <v>783</v>
      </c>
      <c r="N274" s="12" t="s">
        <v>784</v>
      </c>
      <c r="O274" s="10" t="str">
        <f t="shared" si="29"/>
        <v>View</v>
      </c>
      <c r="P274" s="11"/>
    </row>
    <row r="275" spans="1:16" ht="12.75" x14ac:dyDescent="0.35">
      <c r="A275" s="7">
        <v>42481.374097222222</v>
      </c>
      <c r="B275" s="8" t="str">
        <f t="shared" ref="B275:B278" si="30">HYPERLINK("https://twitter.com/VolkswagenPost","@VolkswagenPost")</f>
        <v>@VolkswagenPost</v>
      </c>
      <c r="C275" s="9" t="s">
        <v>321</v>
      </c>
      <c r="D275" s="9" t="s">
        <v>786</v>
      </c>
      <c r="E275" s="10" t="str">
        <f>HYPERLINK("https://twitter.com/VolkswagenPost/status/722990415410917381","722990415410917381")</f>
        <v>722990415410917381</v>
      </c>
      <c r="F275" s="11" t="s">
        <v>34</v>
      </c>
      <c r="G275" s="11">
        <v>571</v>
      </c>
      <c r="H275" s="11">
        <v>446</v>
      </c>
      <c r="I275" s="11">
        <v>0</v>
      </c>
      <c r="J275" s="11">
        <v>0</v>
      </c>
      <c r="K275" s="11" t="s">
        <v>21</v>
      </c>
      <c r="L275" s="7">
        <v>41940.618379629632</v>
      </c>
      <c r="M275" s="12"/>
      <c r="N275" s="12"/>
      <c r="O275" s="10" t="str">
        <f t="shared" ref="O275:O278" si="31">HYPERLINK("https://pbs.twimg.com/profile_images/530071272881803264/a_jcCmPZ_normal.png","View")</f>
        <v>View</v>
      </c>
      <c r="P275" s="11"/>
    </row>
    <row r="276" spans="1:16" ht="12.75" x14ac:dyDescent="0.35">
      <c r="A276" s="7">
        <v>42481.374097222222</v>
      </c>
      <c r="B276" s="8" t="str">
        <f t="shared" si="30"/>
        <v>@VolkswagenPost</v>
      </c>
      <c r="C276" s="9" t="s">
        <v>321</v>
      </c>
      <c r="D276" s="9" t="s">
        <v>787</v>
      </c>
      <c r="E276" s="10" t="str">
        <f>HYPERLINK("https://twitter.com/VolkswagenPost/status/722990416384000002","722990416384000002")</f>
        <v>722990416384000002</v>
      </c>
      <c r="F276" s="11" t="s">
        <v>34</v>
      </c>
      <c r="G276" s="11">
        <v>571</v>
      </c>
      <c r="H276" s="11">
        <v>446</v>
      </c>
      <c r="I276" s="11">
        <v>0</v>
      </c>
      <c r="J276" s="11">
        <v>0</v>
      </c>
      <c r="K276" s="11" t="s">
        <v>21</v>
      </c>
      <c r="L276" s="7">
        <v>41940.618379629632</v>
      </c>
      <c r="M276" s="12"/>
      <c r="N276" s="12"/>
      <c r="O276" s="10" t="str">
        <f t="shared" si="31"/>
        <v>View</v>
      </c>
      <c r="P276" s="11"/>
    </row>
    <row r="277" spans="1:16" ht="12.75" x14ac:dyDescent="0.35">
      <c r="A277" s="7">
        <v>42481.374097222222</v>
      </c>
      <c r="B277" s="8" t="str">
        <f t="shared" si="30"/>
        <v>@VolkswagenPost</v>
      </c>
      <c r="C277" s="9" t="s">
        <v>321</v>
      </c>
      <c r="D277" s="9" t="s">
        <v>788</v>
      </c>
      <c r="E277" s="10" t="str">
        <f>HYPERLINK("https://twitter.com/VolkswagenPost/status/722990417495482368","722990417495482368")</f>
        <v>722990417495482368</v>
      </c>
      <c r="F277" s="11" t="s">
        <v>34</v>
      </c>
      <c r="G277" s="11">
        <v>571</v>
      </c>
      <c r="H277" s="11">
        <v>446</v>
      </c>
      <c r="I277" s="11">
        <v>0</v>
      </c>
      <c r="J277" s="11">
        <v>0</v>
      </c>
      <c r="K277" s="11" t="s">
        <v>21</v>
      </c>
      <c r="L277" s="7">
        <v>41940.618379629632</v>
      </c>
      <c r="M277" s="12"/>
      <c r="N277" s="12"/>
      <c r="O277" s="10" t="str">
        <f t="shared" si="31"/>
        <v>View</v>
      </c>
      <c r="P277" s="11"/>
    </row>
    <row r="278" spans="1:16" ht="12.75" x14ac:dyDescent="0.35">
      <c r="A278" s="7">
        <v>42481.374097222222</v>
      </c>
      <c r="B278" s="8" t="str">
        <f t="shared" si="30"/>
        <v>@VolkswagenPost</v>
      </c>
      <c r="C278" s="9" t="s">
        <v>321</v>
      </c>
      <c r="D278" s="9" t="s">
        <v>789</v>
      </c>
      <c r="E278" s="10" t="str">
        <f>HYPERLINK("https://twitter.com/VolkswagenPost/status/722990418321805312","722990418321805312")</f>
        <v>722990418321805312</v>
      </c>
      <c r="F278" s="11" t="s">
        <v>34</v>
      </c>
      <c r="G278" s="11">
        <v>571</v>
      </c>
      <c r="H278" s="11">
        <v>446</v>
      </c>
      <c r="I278" s="11">
        <v>0</v>
      </c>
      <c r="J278" s="11">
        <v>0</v>
      </c>
      <c r="K278" s="11" t="s">
        <v>21</v>
      </c>
      <c r="L278" s="7">
        <v>41940.618379629632</v>
      </c>
      <c r="M278" s="12"/>
      <c r="N278" s="12"/>
      <c r="O278" s="10" t="str">
        <f t="shared" si="31"/>
        <v>View</v>
      </c>
      <c r="P278" s="11"/>
    </row>
    <row r="279" spans="1:16" ht="12.75" x14ac:dyDescent="0.35">
      <c r="A279" s="7">
        <v>42481.374166666668</v>
      </c>
      <c r="B279" s="8" t="str">
        <f>HYPERLINK("https://twitter.com/PanchaliH","@PanchaliH")</f>
        <v>@PanchaliH</v>
      </c>
      <c r="C279" s="9" t="s">
        <v>790</v>
      </c>
      <c r="D279" s="9" t="s">
        <v>791</v>
      </c>
      <c r="E279" s="10" t="str">
        <f>HYPERLINK("https://twitter.com/PanchaliH/status/722990442082648064","722990442082648064")</f>
        <v>722990442082648064</v>
      </c>
      <c r="F279" s="11" t="s">
        <v>20</v>
      </c>
      <c r="G279" s="11">
        <v>402</v>
      </c>
      <c r="H279" s="11">
        <v>440</v>
      </c>
      <c r="I279" s="11">
        <v>0</v>
      </c>
      <c r="J279" s="11">
        <v>0</v>
      </c>
      <c r="K279" s="11" t="s">
        <v>21</v>
      </c>
      <c r="L279" s="7">
        <v>41561.996863425928</v>
      </c>
      <c r="M279" s="12"/>
      <c r="N279" s="12" t="s">
        <v>792</v>
      </c>
      <c r="O279" s="10" t="str">
        <f>HYPERLINK("https://pbs.twimg.com/profile_images/707578990874247169/jW0rMsDZ_normal.jpg","View")</f>
        <v>View</v>
      </c>
      <c r="P279" s="11"/>
    </row>
    <row r="280" spans="1:16" ht="12.75" x14ac:dyDescent="0.35">
      <c r="A280" s="7">
        <v>42481.374398148153</v>
      </c>
      <c r="B280" s="8" t="str">
        <f>HYPERLINK("https://twitter.com/VWCamperSales","@VWCamperSales")</f>
        <v>@VWCamperSales</v>
      </c>
      <c r="C280" s="9" t="s">
        <v>216</v>
      </c>
      <c r="D280" s="9" t="s">
        <v>793</v>
      </c>
      <c r="E280" s="10" t="str">
        <f>HYPERLINK("https://twitter.com/VWCamperSales/status/722990524257325056","722990524257325056")</f>
        <v>722990524257325056</v>
      </c>
      <c r="F280" s="10" t="s">
        <v>124</v>
      </c>
      <c r="G280" s="11">
        <v>615</v>
      </c>
      <c r="H280" s="11">
        <v>580</v>
      </c>
      <c r="I280" s="11">
        <v>0</v>
      </c>
      <c r="J280" s="11">
        <v>0</v>
      </c>
      <c r="K280" s="11" t="s">
        <v>21</v>
      </c>
      <c r="L280" s="7">
        <v>42215.98809027778</v>
      </c>
      <c r="M280" s="12" t="s">
        <v>129</v>
      </c>
      <c r="N280" s="12" t="s">
        <v>218</v>
      </c>
      <c r="O280" s="10" t="str">
        <f>HYPERLINK("https://pbs.twimg.com/profile_images/627949001179037696/skEBkS05_normal.jpg","View")</f>
        <v>View</v>
      </c>
      <c r="P280" s="11"/>
    </row>
    <row r="281" spans="1:16" ht="12.75" x14ac:dyDescent="0.35">
      <c r="A281" s="7">
        <v>42481.375405092593</v>
      </c>
      <c r="B281" s="8" t="str">
        <f>HYPERLINK("https://twitter.com/FilipKekusz","@FilipKekusz")</f>
        <v>@FilipKekusz</v>
      </c>
      <c r="C281" s="9" t="s">
        <v>794</v>
      </c>
      <c r="D281" s="9" t="s">
        <v>795</v>
      </c>
      <c r="E281" s="10" t="str">
        <f>HYPERLINK("https://twitter.com/FilipKekusz/status/722990888880771073","722990888880771073")</f>
        <v>722990888880771073</v>
      </c>
      <c r="F281" s="11" t="s">
        <v>43</v>
      </c>
      <c r="G281" s="11">
        <v>133</v>
      </c>
      <c r="H281" s="11">
        <v>214</v>
      </c>
      <c r="I281" s="11">
        <v>0</v>
      </c>
      <c r="J281" s="11">
        <v>0</v>
      </c>
      <c r="K281" s="11" t="s">
        <v>21</v>
      </c>
      <c r="L281" s="7">
        <v>42325.768379629633</v>
      </c>
      <c r="M281" s="12" t="s">
        <v>796</v>
      </c>
      <c r="N281" s="12" t="s">
        <v>797</v>
      </c>
      <c r="O281" s="10" t="str">
        <f>HYPERLINK("https://pbs.twimg.com/profile_images/666601160581582849/wFEqPn6Y_normal.jpg","View")</f>
        <v>View</v>
      </c>
      <c r="P281" s="11"/>
    </row>
    <row r="282" spans="1:16" ht="12.75" x14ac:dyDescent="0.35">
      <c r="A282" s="7">
        <v>42481.376261574071</v>
      </c>
      <c r="B282" s="8" t="str">
        <f>HYPERLINK("https://twitter.com/SpirosChihaia","@SpirosChihaia")</f>
        <v>@SpirosChihaia</v>
      </c>
      <c r="C282" s="9" t="s">
        <v>798</v>
      </c>
      <c r="D282" s="9" t="s">
        <v>799</v>
      </c>
      <c r="E282" s="10" t="str">
        <f>HYPERLINK("https://twitter.com/SpirosChihaia/status/722991199607480320","722991199607480320")</f>
        <v>722991199607480320</v>
      </c>
      <c r="F282" s="11" t="s">
        <v>48</v>
      </c>
      <c r="G282" s="11">
        <v>15</v>
      </c>
      <c r="H282" s="11">
        <v>80</v>
      </c>
      <c r="I282" s="11">
        <v>1</v>
      </c>
      <c r="J282" s="11">
        <v>0</v>
      </c>
      <c r="K282" s="11" t="s">
        <v>21</v>
      </c>
      <c r="L282" s="7">
        <v>42448.142476851848</v>
      </c>
      <c r="M282" s="12"/>
      <c r="N282" s="12"/>
      <c r="O282" s="10" t="str">
        <f>HYPERLINK("https://abs.twimg.com/sticky/default_profile_images/default_profile_6_normal.png","View")</f>
        <v>View</v>
      </c>
      <c r="P282" s="11"/>
    </row>
    <row r="283" spans="1:16" ht="12.75" x14ac:dyDescent="0.35">
      <c r="A283" s="7">
        <v>42481.377870370372</v>
      </c>
      <c r="B283" s="8" t="str">
        <f t="shared" ref="B283:B284" si="32">HYPERLINK("https://twitter.com/VWShawty","@VWShawty")</f>
        <v>@VWShawty</v>
      </c>
      <c r="C283" s="9" t="s">
        <v>800</v>
      </c>
      <c r="D283" s="9" t="s">
        <v>801</v>
      </c>
      <c r="E283" s="10" t="str">
        <f>HYPERLINK("https://twitter.com/VWShawty/status/722991783458836480","722991783458836480")</f>
        <v>722991783458836480</v>
      </c>
      <c r="F283" s="11" t="s">
        <v>20</v>
      </c>
      <c r="G283" s="11">
        <v>799</v>
      </c>
      <c r="H283" s="11">
        <v>116</v>
      </c>
      <c r="I283" s="11">
        <v>3</v>
      </c>
      <c r="J283" s="11">
        <v>0</v>
      </c>
      <c r="K283" s="11" t="s">
        <v>21</v>
      </c>
      <c r="L283" s="7">
        <v>40693.060162037036</v>
      </c>
      <c r="M283" s="12" t="s">
        <v>802</v>
      </c>
      <c r="N283" s="12" t="s">
        <v>803</v>
      </c>
      <c r="O283" s="10" t="str">
        <f t="shared" ref="O283:O284" si="33">HYPERLINK("https://pbs.twimg.com/profile_images/718275890933809156/npH4oxJP_normal.jpg","View")</f>
        <v>View</v>
      </c>
      <c r="P283" s="11"/>
    </row>
    <row r="284" spans="1:16" ht="12.75" x14ac:dyDescent="0.35">
      <c r="A284" s="7">
        <v>42481.378518518519</v>
      </c>
      <c r="B284" s="8" t="str">
        <f t="shared" si="32"/>
        <v>@VWShawty</v>
      </c>
      <c r="C284" s="9" t="s">
        <v>800</v>
      </c>
      <c r="D284" s="9" t="s">
        <v>804</v>
      </c>
      <c r="E284" s="10" t="str">
        <f>HYPERLINK("https://twitter.com/VWShawty/status/722992017672945664","722992017672945664")</f>
        <v>722992017672945664</v>
      </c>
      <c r="F284" s="11" t="s">
        <v>20</v>
      </c>
      <c r="G284" s="11">
        <v>799</v>
      </c>
      <c r="H284" s="11">
        <v>116</v>
      </c>
      <c r="I284" s="11">
        <v>2</v>
      </c>
      <c r="J284" s="11">
        <v>0</v>
      </c>
      <c r="K284" s="11" t="s">
        <v>21</v>
      </c>
      <c r="L284" s="7">
        <v>40693.060162037036</v>
      </c>
      <c r="M284" s="12" t="s">
        <v>802</v>
      </c>
      <c r="N284" s="12" t="s">
        <v>803</v>
      </c>
      <c r="O284" s="10" t="str">
        <f t="shared" si="33"/>
        <v>View</v>
      </c>
      <c r="P284" s="11"/>
    </row>
    <row r="285" spans="1:16" ht="12.75" x14ac:dyDescent="0.35">
      <c r="A285" s="7">
        <v>42481.379212962958</v>
      </c>
      <c r="B285" s="8" t="str">
        <f>HYPERLINK("https://twitter.com/wingston","@wingston")</f>
        <v>@wingston</v>
      </c>
      <c r="C285" s="9" t="s">
        <v>805</v>
      </c>
      <c r="D285" s="9" t="s">
        <v>806</v>
      </c>
      <c r="E285" s="10" t="str">
        <f>HYPERLINK("https://twitter.com/wingston/status/722992270375448576","722992270375448576")</f>
        <v>722992270375448576</v>
      </c>
      <c r="F285" s="11" t="s">
        <v>807</v>
      </c>
      <c r="G285" s="11">
        <v>1038</v>
      </c>
      <c r="H285" s="11">
        <v>1059</v>
      </c>
      <c r="I285" s="11">
        <v>0</v>
      </c>
      <c r="J285" s="11">
        <v>0</v>
      </c>
      <c r="K285" s="11" t="s">
        <v>21</v>
      </c>
      <c r="L285" s="7">
        <v>39866.053124999999</v>
      </c>
      <c r="M285" s="12" t="s">
        <v>808</v>
      </c>
      <c r="N285" s="12" t="s">
        <v>809</v>
      </c>
      <c r="O285" s="10" t="str">
        <f>HYPERLINK("https://pbs.twimg.com/profile_images/3537672406/190f79c88052bd5078e91796fd0fffe1_normal.jpeg","View")</f>
        <v>View</v>
      </c>
      <c r="P285" s="11"/>
    </row>
    <row r="286" spans="1:16" ht="12.75" x14ac:dyDescent="0.35">
      <c r="A286" s="7">
        <v>42481.384780092594</v>
      </c>
      <c r="B286" s="8" t="str">
        <f>HYPERLINK("https://twitter.com/mnyabere","@mnyabere")</f>
        <v>@mnyabere</v>
      </c>
      <c r="C286" s="9" t="s">
        <v>810</v>
      </c>
      <c r="D286" s="9" t="s">
        <v>151</v>
      </c>
      <c r="E286" s="10" t="str">
        <f>HYPERLINK("https://twitter.com/mnyabere/status/722994289353981953","722994289353981953")</f>
        <v>722994289353981953</v>
      </c>
      <c r="F286" s="11" t="s">
        <v>43</v>
      </c>
      <c r="G286" s="11">
        <v>643</v>
      </c>
      <c r="H286" s="11">
        <v>1474</v>
      </c>
      <c r="I286" s="11">
        <v>16</v>
      </c>
      <c r="J286" s="11">
        <v>0</v>
      </c>
      <c r="K286" s="11" t="s">
        <v>21</v>
      </c>
      <c r="L286" s="7">
        <v>39875.126041666663</v>
      </c>
      <c r="M286" s="12" t="s">
        <v>811</v>
      </c>
      <c r="N286" s="12" t="s">
        <v>812</v>
      </c>
      <c r="O286" s="10" t="str">
        <f>HYPERLINK("https://pbs.twimg.com/profile_images/546728056795062272/5WYgxWJz_normal.jpeg","View")</f>
        <v>View</v>
      </c>
      <c r="P286" s="11"/>
    </row>
    <row r="287" spans="1:16" ht="12.75" x14ac:dyDescent="0.35">
      <c r="A287" s="7">
        <v>42481.385127314818</v>
      </c>
      <c r="B287" s="8" t="str">
        <f>HYPERLINK("https://twitter.com/JosueeOliveros","@JosueeOliveros")</f>
        <v>@JosueeOliveros</v>
      </c>
      <c r="C287" s="9" t="s">
        <v>813</v>
      </c>
      <c r="D287" s="9" t="s">
        <v>814</v>
      </c>
      <c r="E287" s="10" t="str">
        <f>HYPERLINK("https://twitter.com/JosueeOliveros/status/722994412591173632","722994412591173632")</f>
        <v>722994412591173632</v>
      </c>
      <c r="F287" s="11" t="s">
        <v>114</v>
      </c>
      <c r="G287" s="11">
        <v>187</v>
      </c>
      <c r="H287" s="11">
        <v>227</v>
      </c>
      <c r="I287" s="11">
        <v>0</v>
      </c>
      <c r="J287" s="11">
        <v>0</v>
      </c>
      <c r="K287" s="11" t="s">
        <v>21</v>
      </c>
      <c r="L287" s="7">
        <v>40573.143518518518</v>
      </c>
      <c r="M287" s="12"/>
      <c r="N287" s="12" t="s">
        <v>815</v>
      </c>
      <c r="O287" s="10" t="str">
        <f>HYPERLINK("https://pbs.twimg.com/profile_images/628000154319130624/FlHD71tD_normal.jpg","View")</f>
        <v>View</v>
      </c>
      <c r="P287" s="11"/>
    </row>
    <row r="288" spans="1:16" ht="12.75" x14ac:dyDescent="0.35">
      <c r="A288" s="7">
        <v>42481.385717592595</v>
      </c>
      <c r="B288" s="8" t="str">
        <f>HYPERLINK("https://twitter.com/bdebaca","@bdebaca")</f>
        <v>@bdebaca</v>
      </c>
      <c r="C288" s="9" t="s">
        <v>816</v>
      </c>
      <c r="D288" s="9" t="s">
        <v>817</v>
      </c>
      <c r="E288" s="10" t="str">
        <f>HYPERLINK("https://twitter.com/bdebaca/status/722994628899815424","722994628899815424")</f>
        <v>722994628899815424</v>
      </c>
      <c r="F288" s="11" t="s">
        <v>114</v>
      </c>
      <c r="G288" s="11">
        <v>719</v>
      </c>
      <c r="H288" s="11">
        <v>663</v>
      </c>
      <c r="I288" s="11">
        <v>0</v>
      </c>
      <c r="J288" s="11">
        <v>0</v>
      </c>
      <c r="K288" s="11" t="s">
        <v>21</v>
      </c>
      <c r="L288" s="7">
        <v>40109.069074074076</v>
      </c>
      <c r="M288" s="12" t="s">
        <v>360</v>
      </c>
      <c r="N288" s="12" t="s">
        <v>818</v>
      </c>
      <c r="O288" s="10" t="str">
        <f>HYPERLINK("https://pbs.twimg.com/profile_images/690620812315865089/ghuUMy7Q_normal.jpg","View")</f>
        <v>View</v>
      </c>
      <c r="P288" s="11"/>
    </row>
    <row r="289" spans="1:16" ht="12.75" x14ac:dyDescent="0.35">
      <c r="A289" s="7">
        <v>42481.388645833329</v>
      </c>
      <c r="B289" s="8" t="str">
        <f>HYPERLINK("https://twitter.com/VWCamperSales","@VWCamperSales")</f>
        <v>@VWCamperSales</v>
      </c>
      <c r="C289" s="9" t="s">
        <v>216</v>
      </c>
      <c r="D289" s="9" t="s">
        <v>819</v>
      </c>
      <c r="E289" s="10" t="str">
        <f>HYPERLINK("https://twitter.com/VWCamperSales/status/722995688192114688","722995688192114688")</f>
        <v>722995688192114688</v>
      </c>
      <c r="F289" s="10" t="s">
        <v>124</v>
      </c>
      <c r="G289" s="11">
        <v>615</v>
      </c>
      <c r="H289" s="11">
        <v>580</v>
      </c>
      <c r="I289" s="11">
        <v>0</v>
      </c>
      <c r="J289" s="11">
        <v>0</v>
      </c>
      <c r="K289" s="11" t="s">
        <v>21</v>
      </c>
      <c r="L289" s="7">
        <v>42215.98809027778</v>
      </c>
      <c r="M289" s="12" t="s">
        <v>129</v>
      </c>
      <c r="N289" s="12" t="s">
        <v>218</v>
      </c>
      <c r="O289" s="10" t="str">
        <f>HYPERLINK("https://pbs.twimg.com/profile_images/627949001179037696/skEBkS05_normal.jpg","View")</f>
        <v>View</v>
      </c>
      <c r="P289" s="11"/>
    </row>
    <row r="290" spans="1:16" ht="12.75" x14ac:dyDescent="0.35">
      <c r="A290" s="7">
        <v>42481.389155092591</v>
      </c>
      <c r="B290" s="8" t="str">
        <f>HYPERLINK("https://twitter.com/Zherk_kck","@Zherk_kck")</f>
        <v>@Zherk_kck</v>
      </c>
      <c r="C290" s="9" t="s">
        <v>820</v>
      </c>
      <c r="D290" s="9" t="s">
        <v>821</v>
      </c>
      <c r="E290" s="10" t="str">
        <f>HYPERLINK("https://twitter.com/Zherk_kck/status/722995875316961280","722995875316961280")</f>
        <v>722995875316961280</v>
      </c>
      <c r="F290" s="11" t="s">
        <v>20</v>
      </c>
      <c r="G290" s="11">
        <v>11</v>
      </c>
      <c r="H290" s="11">
        <v>62</v>
      </c>
      <c r="I290" s="11">
        <v>0</v>
      </c>
      <c r="J290" s="11">
        <v>1</v>
      </c>
      <c r="K290" s="11" t="s">
        <v>21</v>
      </c>
      <c r="L290" s="7">
        <v>42411.072175925925</v>
      </c>
      <c r="M290" s="12"/>
      <c r="N290" s="12" t="s">
        <v>822</v>
      </c>
      <c r="O290" s="10" t="str">
        <f>HYPERLINK("https://pbs.twimg.com/profile_images/697515278964543489/ctHQtnZm_normal.jpg","View")</f>
        <v>View</v>
      </c>
      <c r="P290" s="11"/>
    </row>
    <row r="291" spans="1:16" ht="12.75" x14ac:dyDescent="0.35">
      <c r="A291" s="7">
        <v>42481.389594907407</v>
      </c>
      <c r="B291" s="8" t="str">
        <f t="shared" ref="B291:B292" si="34">HYPERLINK("https://twitter.com/sarahkaiserrr","@sarahkaiserrr")</f>
        <v>@sarahkaiserrr</v>
      </c>
      <c r="C291" s="9" t="s">
        <v>823</v>
      </c>
      <c r="D291" s="9" t="s">
        <v>804</v>
      </c>
      <c r="E291" s="10" t="str">
        <f>HYPERLINK("https://twitter.com/sarahkaiserrr/status/722996033916014592","722996033916014592")</f>
        <v>722996033916014592</v>
      </c>
      <c r="F291" s="11" t="s">
        <v>20</v>
      </c>
      <c r="G291" s="11">
        <v>347</v>
      </c>
      <c r="H291" s="11">
        <v>551</v>
      </c>
      <c r="I291" s="11">
        <v>2</v>
      </c>
      <c r="J291" s="11">
        <v>0</v>
      </c>
      <c r="K291" s="11" t="s">
        <v>21</v>
      </c>
      <c r="L291" s="7">
        <v>42137.477175925931</v>
      </c>
      <c r="M291" s="12" t="s">
        <v>824</v>
      </c>
      <c r="N291" s="12" t="s">
        <v>825</v>
      </c>
      <c r="O291" s="10" t="str">
        <f t="shared" ref="O291:O292" si="35">HYPERLINK("https://pbs.twimg.com/profile_images/713802957674913792/3gNtGi6a_normal.jpg","View")</f>
        <v>View</v>
      </c>
      <c r="P291" s="11"/>
    </row>
    <row r="292" spans="1:16" ht="12.75" x14ac:dyDescent="0.35">
      <c r="A292" s="7">
        <v>42481.390162037038</v>
      </c>
      <c r="B292" s="8" t="str">
        <f t="shared" si="34"/>
        <v>@sarahkaiserrr</v>
      </c>
      <c r="C292" s="9" t="s">
        <v>823</v>
      </c>
      <c r="D292" s="9" t="s">
        <v>801</v>
      </c>
      <c r="E292" s="10" t="str">
        <f>HYPERLINK("https://twitter.com/sarahkaiserrr/status/722996236685467649","722996236685467649")</f>
        <v>722996236685467649</v>
      </c>
      <c r="F292" s="11" t="s">
        <v>20</v>
      </c>
      <c r="G292" s="11">
        <v>347</v>
      </c>
      <c r="H292" s="11">
        <v>551</v>
      </c>
      <c r="I292" s="11">
        <v>3</v>
      </c>
      <c r="J292" s="11">
        <v>0</v>
      </c>
      <c r="K292" s="11" t="s">
        <v>21</v>
      </c>
      <c r="L292" s="7">
        <v>42137.477175925931</v>
      </c>
      <c r="M292" s="12" t="s">
        <v>824</v>
      </c>
      <c r="N292" s="12" t="s">
        <v>825</v>
      </c>
      <c r="O292" s="10" t="str">
        <f t="shared" si="35"/>
        <v>View</v>
      </c>
      <c r="P292" s="11"/>
    </row>
    <row r="293" spans="1:16" ht="12.75" x14ac:dyDescent="0.35">
      <c r="A293" s="7">
        <v>42481.391770833332</v>
      </c>
      <c r="B293" s="8" t="str">
        <f>HYPERLINK("https://twitter.com/FredChristian10","@FredChristian10")</f>
        <v>@FredChristian10</v>
      </c>
      <c r="C293" s="9" t="s">
        <v>826</v>
      </c>
      <c r="D293" s="9" t="s">
        <v>827</v>
      </c>
      <c r="E293" s="10" t="str">
        <f>HYPERLINK("https://twitter.com/FredChristian10/status/722996821119782912","722996821119782912")</f>
        <v>722996821119782912</v>
      </c>
      <c r="F293" s="11" t="s">
        <v>48</v>
      </c>
      <c r="G293" s="11">
        <v>3415</v>
      </c>
      <c r="H293" s="11">
        <v>2669</v>
      </c>
      <c r="I293" s="11">
        <v>2</v>
      </c>
      <c r="J293" s="11">
        <v>0</v>
      </c>
      <c r="K293" s="11" t="s">
        <v>21</v>
      </c>
      <c r="L293" s="7">
        <v>41677</v>
      </c>
      <c r="M293" s="12" t="s">
        <v>828</v>
      </c>
      <c r="N293" s="12" t="s">
        <v>829</v>
      </c>
      <c r="O293" s="10" t="str">
        <f>HYPERLINK("https://pbs.twimg.com/profile_images/527635549872345088/sDHCliSk_normal.png","View")</f>
        <v>View</v>
      </c>
      <c r="P293" s="11"/>
    </row>
    <row r="294" spans="1:16" ht="12.75" x14ac:dyDescent="0.35">
      <c r="A294" s="7">
        <v>42481.392974537041</v>
      </c>
      <c r="B294" s="8" t="str">
        <f>HYPERLINK("https://twitter.com/techhippie","@techhippie")</f>
        <v>@techhippie</v>
      </c>
      <c r="C294" s="9" t="s">
        <v>246</v>
      </c>
      <c r="D294" s="9" t="s">
        <v>830</v>
      </c>
      <c r="E294" s="10" t="str">
        <f>HYPERLINK("https://twitter.com/techhippie/status/722997258158006272","722997258158006272")</f>
        <v>722997258158006272</v>
      </c>
      <c r="F294" s="11" t="s">
        <v>68</v>
      </c>
      <c r="G294" s="11">
        <v>2471</v>
      </c>
      <c r="H294" s="11">
        <v>3835</v>
      </c>
      <c r="I294" s="11">
        <v>0</v>
      </c>
      <c r="J294" s="11">
        <v>0</v>
      </c>
      <c r="K294" s="11" t="s">
        <v>21</v>
      </c>
      <c r="L294" s="7">
        <v>42424.852152777778</v>
      </c>
      <c r="M294" s="12" t="s">
        <v>248</v>
      </c>
      <c r="N294" s="12" t="s">
        <v>249</v>
      </c>
      <c r="O294" s="10" t="str">
        <f>HYPERLINK("https://pbs.twimg.com/profile_images/702511217793863680/lty8h9vE_normal.jpg","View")</f>
        <v>View</v>
      </c>
      <c r="P294" s="11"/>
    </row>
    <row r="295" spans="1:16" ht="12.75" x14ac:dyDescent="0.35">
      <c r="A295" s="7">
        <v>42481.393217592587</v>
      </c>
      <c r="B295" s="8" t="str">
        <f>HYPERLINK("https://twitter.com/_SJIII","@_SJIII")</f>
        <v>@_SJIII</v>
      </c>
      <c r="C295" s="9" t="s">
        <v>831</v>
      </c>
      <c r="D295" s="9" t="s">
        <v>801</v>
      </c>
      <c r="E295" s="10" t="str">
        <f>HYPERLINK("https://twitter.com/_SJIII/status/722997344644390912","722997344644390912")</f>
        <v>722997344644390912</v>
      </c>
      <c r="F295" s="11" t="s">
        <v>20</v>
      </c>
      <c r="G295" s="11">
        <v>313</v>
      </c>
      <c r="H295" s="11">
        <v>233</v>
      </c>
      <c r="I295" s="11">
        <v>3</v>
      </c>
      <c r="J295" s="11">
        <v>0</v>
      </c>
      <c r="K295" s="11" t="s">
        <v>21</v>
      </c>
      <c r="L295" s="7">
        <v>42129.310023148151</v>
      </c>
      <c r="M295" s="12"/>
      <c r="N295" s="12" t="s">
        <v>832</v>
      </c>
      <c r="O295" s="10" t="str">
        <f>HYPERLINK("https://pbs.twimg.com/profile_images/717551821284245504/CiExS9tE_normal.jpg","View")</f>
        <v>View</v>
      </c>
      <c r="P295" s="11"/>
    </row>
    <row r="296" spans="1:16" ht="12.75" x14ac:dyDescent="0.35">
      <c r="A296" s="7">
        <v>42481.396099537036</v>
      </c>
      <c r="B296" s="8" t="str">
        <f>HYPERLINK("https://twitter.com/kngeuro","@kngeuro")</f>
        <v>@kngeuro</v>
      </c>
      <c r="C296" s="9" t="s">
        <v>833</v>
      </c>
      <c r="D296" s="9" t="s">
        <v>834</v>
      </c>
      <c r="E296" s="10" t="str">
        <f>HYPERLINK("https://twitter.com/kngeuro/status/722998391802892288","722998391802892288")</f>
        <v>722998391802892288</v>
      </c>
      <c r="F296" s="11" t="s">
        <v>53</v>
      </c>
      <c r="G296" s="11">
        <v>760</v>
      </c>
      <c r="H296" s="11">
        <v>451</v>
      </c>
      <c r="I296" s="11">
        <v>1</v>
      </c>
      <c r="J296" s="11">
        <v>1</v>
      </c>
      <c r="K296" s="11" t="s">
        <v>21</v>
      </c>
      <c r="L296" s="7">
        <v>40319.120925925927</v>
      </c>
      <c r="M296" s="12" t="s">
        <v>835</v>
      </c>
      <c r="N296" s="12" t="s">
        <v>836</v>
      </c>
      <c r="O296" s="10" t="str">
        <f>HYPERLINK("https://pbs.twimg.com/profile_images/570375988065935360/ooT_Nq7x_normal.jpeg","View")</f>
        <v>View</v>
      </c>
      <c r="P296" s="11"/>
    </row>
    <row r="297" spans="1:16" ht="12.75" x14ac:dyDescent="0.35">
      <c r="A297" s="7">
        <v>42481.39707175926</v>
      </c>
      <c r="B297" s="8" t="str">
        <f>HYPERLINK("https://twitter.com/JWalkVA","@JWalkVA")</f>
        <v>@JWalkVA</v>
      </c>
      <c r="C297" s="9" t="s">
        <v>837</v>
      </c>
      <c r="D297" s="9" t="s">
        <v>838</v>
      </c>
      <c r="E297" s="10" t="str">
        <f>HYPERLINK("https://twitter.com/JWalkVA/status/722998743272939521","722998743272939521")</f>
        <v>722998743272939521</v>
      </c>
      <c r="F297" s="11" t="s">
        <v>20</v>
      </c>
      <c r="G297" s="11">
        <v>20</v>
      </c>
      <c r="H297" s="11">
        <v>118</v>
      </c>
      <c r="I297" s="11">
        <v>0</v>
      </c>
      <c r="J297" s="11">
        <v>1</v>
      </c>
      <c r="K297" s="11" t="s">
        <v>21</v>
      </c>
      <c r="L297" s="7">
        <v>42205.975694444445</v>
      </c>
      <c r="M297" s="12"/>
      <c r="N297" s="12" t="s">
        <v>839</v>
      </c>
      <c r="O297" s="10" t="str">
        <f>HYPERLINK("https://pbs.twimg.com/profile_images/689855096339959809/GAqOtQLU_normal.jpg","View")</f>
        <v>View</v>
      </c>
      <c r="P297" s="11"/>
    </row>
    <row r="298" spans="1:16" ht="12.75" x14ac:dyDescent="0.35">
      <c r="A298" s="7">
        <v>42481.397361111114</v>
      </c>
      <c r="B298" s="8" t="str">
        <f>HYPERLINK("https://twitter.com/EricSWalz","@EricSWalz")</f>
        <v>@EricSWalz</v>
      </c>
      <c r="C298" s="9" t="s">
        <v>840</v>
      </c>
      <c r="D298" s="9" t="s">
        <v>841</v>
      </c>
      <c r="E298" s="10" t="str">
        <f>HYPERLINK("https://twitter.com/EricSWalz/status/722998847526445059","722998847526445059")</f>
        <v>722998847526445059</v>
      </c>
      <c r="F298" s="11" t="s">
        <v>43</v>
      </c>
      <c r="G298" s="11">
        <v>393</v>
      </c>
      <c r="H298" s="11">
        <v>372</v>
      </c>
      <c r="I298" s="11">
        <v>1</v>
      </c>
      <c r="J298" s="11">
        <v>0</v>
      </c>
      <c r="K298" s="11" t="s">
        <v>21</v>
      </c>
      <c r="L298" s="7">
        <v>39803.851527777777</v>
      </c>
      <c r="M298" s="12" t="s">
        <v>842</v>
      </c>
      <c r="N298" s="12" t="s">
        <v>843</v>
      </c>
      <c r="O298" s="10" t="str">
        <f>HYPERLINK("https://pbs.twimg.com/profile_images/708146653216157696/1QlyxxR8_normal.jpg","View")</f>
        <v>View</v>
      </c>
      <c r="P298" s="11"/>
    </row>
    <row r="299" spans="1:16" ht="12.75" x14ac:dyDescent="0.35">
      <c r="A299" s="7">
        <v>42481.401053240741</v>
      </c>
      <c r="B299" s="8" t="str">
        <f>HYPERLINK("https://twitter.com/Kittypunk16","@Kittypunk16")</f>
        <v>@Kittypunk16</v>
      </c>
      <c r="C299" s="9" t="s">
        <v>844</v>
      </c>
      <c r="D299" s="9" t="s">
        <v>845</v>
      </c>
      <c r="E299" s="10" t="str">
        <f>HYPERLINK("https://twitter.com/Kittypunk16/status/723000185010458624","723000185010458624")</f>
        <v>723000185010458624</v>
      </c>
      <c r="F299" s="11" t="s">
        <v>63</v>
      </c>
      <c r="G299" s="11">
        <v>12076</v>
      </c>
      <c r="H299" s="11">
        <v>7752</v>
      </c>
      <c r="I299" s="11">
        <v>11</v>
      </c>
      <c r="J299" s="11">
        <v>24</v>
      </c>
      <c r="K299" s="11" t="s">
        <v>21</v>
      </c>
      <c r="L299" s="7">
        <v>40086.857291666667</v>
      </c>
      <c r="M299" s="12" t="s">
        <v>846</v>
      </c>
      <c r="N299" s="12" t="s">
        <v>847</v>
      </c>
      <c r="O299" s="10" t="str">
        <f>HYPERLINK("https://pbs.twimg.com/profile_images/680948958844338176/k8qFUheG_normal.png","View")</f>
        <v>View</v>
      </c>
      <c r="P299" s="11"/>
    </row>
    <row r="300" spans="1:16" ht="12.75" x14ac:dyDescent="0.35">
      <c r="A300" s="7">
        <v>42481.401203703703</v>
      </c>
      <c r="B300" s="8" t="str">
        <f t="shared" ref="B300:B301" si="36">HYPERLINK("https://twitter.com/dgrally","@dgrally")</f>
        <v>@dgrally</v>
      </c>
      <c r="C300" s="9" t="s">
        <v>848</v>
      </c>
      <c r="D300" s="9" t="s">
        <v>849</v>
      </c>
      <c r="E300" s="10" t="str">
        <f>HYPERLINK("https://twitter.com/dgrally/status/723000240241033216","723000240241033216")</f>
        <v>723000240241033216</v>
      </c>
      <c r="F300" s="11" t="s">
        <v>114</v>
      </c>
      <c r="G300" s="11">
        <v>208</v>
      </c>
      <c r="H300" s="11">
        <v>340</v>
      </c>
      <c r="I300" s="11">
        <v>0</v>
      </c>
      <c r="J300" s="11">
        <v>0</v>
      </c>
      <c r="K300" s="11" t="s">
        <v>21</v>
      </c>
      <c r="L300" s="7">
        <v>40200.437175925923</v>
      </c>
      <c r="M300" s="12" t="s">
        <v>850</v>
      </c>
      <c r="N300" s="12" t="s">
        <v>851</v>
      </c>
      <c r="O300" s="10" t="str">
        <f t="shared" ref="O300:O301" si="37">HYPERLINK("https://pbs.twimg.com/profile_images/673634327683469312/ClE0FhT1_normal.jpg","View")</f>
        <v>View</v>
      </c>
      <c r="P300" s="11"/>
    </row>
    <row r="301" spans="1:16" ht="12.75" x14ac:dyDescent="0.35">
      <c r="A301" s="7">
        <v>42481.401226851856</v>
      </c>
      <c r="B301" s="8" t="str">
        <f t="shared" si="36"/>
        <v>@dgrally</v>
      </c>
      <c r="C301" s="9" t="s">
        <v>848</v>
      </c>
      <c r="D301" s="9" t="s">
        <v>852</v>
      </c>
      <c r="E301" s="10" t="str">
        <f>HYPERLINK("https://twitter.com/dgrally/status/723000247304200192","723000247304200192")</f>
        <v>723000247304200192</v>
      </c>
      <c r="F301" s="11" t="s">
        <v>53</v>
      </c>
      <c r="G301" s="11">
        <v>208</v>
      </c>
      <c r="H301" s="11">
        <v>340</v>
      </c>
      <c r="I301" s="11">
        <v>0</v>
      </c>
      <c r="J301" s="11">
        <v>0</v>
      </c>
      <c r="K301" s="11" t="s">
        <v>21</v>
      </c>
      <c r="L301" s="7">
        <v>40200.437175925923</v>
      </c>
      <c r="M301" s="12" t="s">
        <v>850</v>
      </c>
      <c r="N301" s="12" t="s">
        <v>851</v>
      </c>
      <c r="O301" s="10" t="str">
        <f t="shared" si="37"/>
        <v>View</v>
      </c>
      <c r="P301" s="11"/>
    </row>
    <row r="302" spans="1:16" ht="12.75" x14ac:dyDescent="0.35">
      <c r="A302" s="7">
        <v>42481.401701388888</v>
      </c>
      <c r="B302" s="8" t="str">
        <f>HYPERLINK("https://twitter.com/Slothrop677","@Slothrop677")</f>
        <v>@Slothrop677</v>
      </c>
      <c r="C302" s="9" t="s">
        <v>853</v>
      </c>
      <c r="D302" s="9" t="s">
        <v>854</v>
      </c>
      <c r="E302" s="10" t="str">
        <f>HYPERLINK("https://twitter.com/Slothrop677/status/723000422127046656","723000422127046656")</f>
        <v>723000422127046656</v>
      </c>
      <c r="F302" s="11" t="s">
        <v>160</v>
      </c>
      <c r="G302" s="11">
        <v>95</v>
      </c>
      <c r="H302" s="11">
        <v>348</v>
      </c>
      <c r="I302" s="11">
        <v>11</v>
      </c>
      <c r="J302" s="11">
        <v>0</v>
      </c>
      <c r="K302" s="11" t="s">
        <v>21</v>
      </c>
      <c r="L302" s="7">
        <v>40292.010208333333</v>
      </c>
      <c r="M302" s="12" t="s">
        <v>855</v>
      </c>
      <c r="N302" s="12" t="s">
        <v>856</v>
      </c>
      <c r="O302" s="10" t="str">
        <f>HYPERLINK("https://pbs.twimg.com/profile_images/599919472334483457/2GRnpPot_normal.jpg","View")</f>
        <v>View</v>
      </c>
      <c r="P302" s="11"/>
    </row>
    <row r="303" spans="1:16" ht="12.75" x14ac:dyDescent="0.35">
      <c r="A303" s="7">
        <v>42481.402314814812</v>
      </c>
      <c r="B303" s="8" t="str">
        <f>HYPERLINK("https://twitter.com/CDMC97","@CDMC97")</f>
        <v>@CDMC97</v>
      </c>
      <c r="C303" s="9" t="s">
        <v>857</v>
      </c>
      <c r="D303" s="9" t="s">
        <v>858</v>
      </c>
      <c r="E303" s="10" t="str">
        <f>HYPERLINK("https://twitter.com/CDMC97/status/723000643548385281","723000643548385281")</f>
        <v>723000643548385281</v>
      </c>
      <c r="F303" s="11" t="s">
        <v>48</v>
      </c>
      <c r="G303" s="11">
        <v>38</v>
      </c>
      <c r="H303" s="11">
        <v>34</v>
      </c>
      <c r="I303" s="11">
        <v>2</v>
      </c>
      <c r="J303" s="11">
        <v>0</v>
      </c>
      <c r="K303" s="11" t="s">
        <v>21</v>
      </c>
      <c r="L303" s="7">
        <v>41744.915949074071</v>
      </c>
      <c r="M303" s="12"/>
      <c r="N303" s="12" t="s">
        <v>859</v>
      </c>
      <c r="O303" s="10" t="str">
        <f>HYPERLINK("https://pbs.twimg.com/profile_images/721360494548819968/019Dh54Q_normal.jpg","View")</f>
        <v>View</v>
      </c>
      <c r="P303" s="11"/>
    </row>
    <row r="304" spans="1:16" ht="12.75" x14ac:dyDescent="0.35">
      <c r="A304" s="7">
        <v>42481.403379629628</v>
      </c>
      <c r="B304" s="8" t="str">
        <f>HYPERLINK("https://twitter.com/Gagan10cuAn","@Gagan10cuAn")</f>
        <v>@Gagan10cuAn</v>
      </c>
      <c r="C304" s="9" t="s">
        <v>860</v>
      </c>
      <c r="D304" s="9" t="s">
        <v>861</v>
      </c>
      <c r="E304" s="10" t="str">
        <f>HYPERLINK("https://twitter.com/Gagan10cuAn/status/723001029789396992","723001029789396992")</f>
        <v>723001029789396992</v>
      </c>
      <c r="F304" s="11" t="s">
        <v>20</v>
      </c>
      <c r="G304" s="11">
        <v>158</v>
      </c>
      <c r="H304" s="11">
        <v>21</v>
      </c>
      <c r="I304" s="11">
        <v>21</v>
      </c>
      <c r="J304" s="11">
        <v>0</v>
      </c>
      <c r="K304" s="11" t="s">
        <v>21</v>
      </c>
      <c r="L304" s="7">
        <v>42333.047199074077</v>
      </c>
      <c r="M304" s="12" t="s">
        <v>862</v>
      </c>
      <c r="N304" s="12" t="s">
        <v>863</v>
      </c>
      <c r="O304" s="10" t="str">
        <f>HYPERLINK("https://pbs.twimg.com/profile_images/682976399867641856/z7wCgoPX_normal.jpg","View")</f>
        <v>View</v>
      </c>
      <c r="P304" s="11"/>
    </row>
    <row r="305" spans="1:16" ht="12.75" x14ac:dyDescent="0.35">
      <c r="A305" s="7">
        <v>42481.404108796298</v>
      </c>
      <c r="B305" s="8" t="str">
        <f t="shared" ref="B305:B306" si="38">HYPERLINK("https://twitter.com/SuranClub","@SuranClub")</f>
        <v>@SuranClub</v>
      </c>
      <c r="C305" s="9" t="s">
        <v>864</v>
      </c>
      <c r="D305" s="9" t="s">
        <v>865</v>
      </c>
      <c r="E305" s="10" t="str">
        <f>HYPERLINK("https://twitter.com/SuranClub/status/723001291438477312","723001291438477312")</f>
        <v>723001291438477312</v>
      </c>
      <c r="F305" s="11" t="s">
        <v>114</v>
      </c>
      <c r="G305" s="11">
        <v>478</v>
      </c>
      <c r="H305" s="11">
        <v>571</v>
      </c>
      <c r="I305" s="11">
        <v>0</v>
      </c>
      <c r="J305" s="11">
        <v>0</v>
      </c>
      <c r="K305" s="11" t="s">
        <v>21</v>
      </c>
      <c r="L305" s="7">
        <v>42004.845520833333</v>
      </c>
      <c r="M305" s="12" t="s">
        <v>866</v>
      </c>
      <c r="N305" s="12" t="s">
        <v>867</v>
      </c>
      <c r="O305" s="10" t="str">
        <f t="shared" ref="O305:O306" si="39">HYPERLINK("https://pbs.twimg.com/profile_images/634021831364747264/5vPrL2JH_normal.jpg","View")</f>
        <v>View</v>
      </c>
      <c r="P305" s="11"/>
    </row>
    <row r="306" spans="1:16" ht="12.75" x14ac:dyDescent="0.35">
      <c r="A306" s="7">
        <v>42481.404178240744</v>
      </c>
      <c r="B306" s="8" t="str">
        <f t="shared" si="38"/>
        <v>@SuranClub</v>
      </c>
      <c r="C306" s="9" t="s">
        <v>864</v>
      </c>
      <c r="D306" s="9" t="s">
        <v>868</v>
      </c>
      <c r="E306" s="10" t="str">
        <f>HYPERLINK("https://twitter.com/SuranClub/status/723001316172259328","723001316172259328")</f>
        <v>723001316172259328</v>
      </c>
      <c r="F306" s="11" t="s">
        <v>68</v>
      </c>
      <c r="G306" s="11">
        <v>478</v>
      </c>
      <c r="H306" s="11">
        <v>571</v>
      </c>
      <c r="I306" s="11">
        <v>0</v>
      </c>
      <c r="J306" s="11">
        <v>1</v>
      </c>
      <c r="K306" s="11" t="s">
        <v>21</v>
      </c>
      <c r="L306" s="7">
        <v>42004.845520833333</v>
      </c>
      <c r="M306" s="12" t="s">
        <v>866</v>
      </c>
      <c r="N306" s="12" t="s">
        <v>867</v>
      </c>
      <c r="O306" s="10" t="str">
        <f t="shared" si="39"/>
        <v>View</v>
      </c>
      <c r="P306" s="11"/>
    </row>
    <row r="307" spans="1:16" ht="12.75" x14ac:dyDescent="0.35">
      <c r="A307" s="7">
        <v>42481.407141203701</v>
      </c>
      <c r="B307" s="8" t="str">
        <f>HYPERLINK("https://twitter.com/1i0k0z8s","@1i0k0z8s")</f>
        <v>@1i0k0z8s</v>
      </c>
      <c r="C307" s="9" t="s">
        <v>869</v>
      </c>
      <c r="D307" s="9" t="s">
        <v>714</v>
      </c>
      <c r="E307" s="10" t="str">
        <f>HYPERLINK("https://twitter.com/1i0k0z8s/status/723002392808038401","723002392808038401")</f>
        <v>723002392808038401</v>
      </c>
      <c r="F307" s="11" t="s">
        <v>20</v>
      </c>
      <c r="G307" s="11">
        <v>100</v>
      </c>
      <c r="H307" s="11">
        <v>217</v>
      </c>
      <c r="I307" s="11">
        <v>7</v>
      </c>
      <c r="J307" s="11">
        <v>0</v>
      </c>
      <c r="K307" s="11" t="s">
        <v>21</v>
      </c>
      <c r="L307" s="7">
        <v>41916.740613425922</v>
      </c>
      <c r="M307" s="12"/>
      <c r="N307" s="12" t="s">
        <v>870</v>
      </c>
      <c r="O307" s="10" t="str">
        <f>HYPERLINK("https://pbs.twimg.com/profile_images/722783750057164801/9lN6tKFA_normal.jpg","View")</f>
        <v>View</v>
      </c>
      <c r="P307" s="11"/>
    </row>
    <row r="308" spans="1:16" ht="12.75" x14ac:dyDescent="0.35">
      <c r="A308" s="7">
        <v>42481.408009259263</v>
      </c>
      <c r="B308" s="8" t="str">
        <f>HYPERLINK("https://twitter.com/KimQuistAnderse","@KimQuistAnderse")</f>
        <v>@KimQuistAnderse</v>
      </c>
      <c r="C308" s="9" t="s">
        <v>871</v>
      </c>
      <c r="D308" s="9" t="s">
        <v>25</v>
      </c>
      <c r="E308" s="10" t="str">
        <f>HYPERLINK("https://twitter.com/KimQuistAnderse/status/723002707611627520","723002707611627520")</f>
        <v>723002707611627520</v>
      </c>
      <c r="F308" s="11" t="s">
        <v>872</v>
      </c>
      <c r="G308" s="11">
        <v>143</v>
      </c>
      <c r="H308" s="11">
        <v>100</v>
      </c>
      <c r="I308" s="11">
        <v>95</v>
      </c>
      <c r="J308" s="11">
        <v>0</v>
      </c>
      <c r="K308" s="11" t="s">
        <v>21</v>
      </c>
      <c r="L308" s="7">
        <v>41615.003530092596</v>
      </c>
      <c r="M308" s="12" t="s">
        <v>873</v>
      </c>
      <c r="N308" s="12" t="s">
        <v>874</v>
      </c>
      <c r="O308" s="10" t="str">
        <f>HYPERLINK("https://pbs.twimg.com/profile_images/679764699349647360/o7mBVaLr_normal.jpg","View")</f>
        <v>View</v>
      </c>
      <c r="P308" s="11"/>
    </row>
    <row r="309" spans="1:16" ht="12.75" x14ac:dyDescent="0.35">
      <c r="A309" s="7">
        <v>42481.409525462965</v>
      </c>
      <c r="B309" s="8" t="str">
        <f>HYPERLINK("https://twitter.com/DubLuvTuning","@DubLuvTuning")</f>
        <v>@DubLuvTuning</v>
      </c>
      <c r="C309" s="9" t="s">
        <v>299</v>
      </c>
      <c r="D309" s="9" t="s">
        <v>875</v>
      </c>
      <c r="E309" s="10" t="str">
        <f>HYPERLINK("https://twitter.com/DubLuvTuning/status/723003255324848128","723003255324848128")</f>
        <v>723003255324848128</v>
      </c>
      <c r="F309" s="11" t="s">
        <v>288</v>
      </c>
      <c r="G309" s="11">
        <v>690</v>
      </c>
      <c r="H309" s="11">
        <v>431</v>
      </c>
      <c r="I309" s="11">
        <v>1</v>
      </c>
      <c r="J309" s="11">
        <v>0</v>
      </c>
      <c r="K309" s="11" t="s">
        <v>21</v>
      </c>
      <c r="L309" s="7">
        <v>41549.898287037038</v>
      </c>
      <c r="M309" s="12" t="s">
        <v>301</v>
      </c>
      <c r="N309" s="12" t="s">
        <v>302</v>
      </c>
      <c r="O309" s="10" t="str">
        <f>HYPERLINK("https://pbs.twimg.com/profile_images/378800000572104796/1de43e1cf23efb3f4101c02afad0d3b6_normal.png","View")</f>
        <v>View</v>
      </c>
      <c r="P309" s="11"/>
    </row>
    <row r="310" spans="1:16" ht="12.75" x14ac:dyDescent="0.35">
      <c r="A310" s="7">
        <v>42481.409641203703</v>
      </c>
      <c r="B310" s="8" t="str">
        <f>HYPERLINK("https://twitter.com/CHORO_Q022","@CHORO_Q022")</f>
        <v>@CHORO_Q022</v>
      </c>
      <c r="C310" s="9" t="s">
        <v>876</v>
      </c>
      <c r="D310" s="9" t="s">
        <v>714</v>
      </c>
      <c r="E310" s="10" t="str">
        <f>HYPERLINK("https://twitter.com/CHORO_Q022/status/723003297397805056","723003297397805056")</f>
        <v>723003297397805056</v>
      </c>
      <c r="F310" s="11" t="s">
        <v>48</v>
      </c>
      <c r="G310" s="11">
        <v>114</v>
      </c>
      <c r="H310" s="11">
        <v>119</v>
      </c>
      <c r="I310" s="11">
        <v>7</v>
      </c>
      <c r="J310" s="11">
        <v>0</v>
      </c>
      <c r="K310" s="11" t="s">
        <v>21</v>
      </c>
      <c r="L310" s="7">
        <v>42387.87462962963</v>
      </c>
      <c r="M310" s="12" t="s">
        <v>877</v>
      </c>
      <c r="N310" s="12" t="s">
        <v>878</v>
      </c>
      <c r="O310" s="10" t="str">
        <f>HYPERLINK("https://pbs.twimg.com/profile_images/689108532717682688/x9P6ch7c_normal.jpg","View")</f>
        <v>View</v>
      </c>
      <c r="P310" s="11"/>
    </row>
    <row r="311" spans="1:16" ht="12.75" x14ac:dyDescent="0.35">
      <c r="A311" s="7">
        <v>42481.410057870366</v>
      </c>
      <c r="B311" s="8" t="str">
        <f>HYPERLINK("https://twitter.com/vwpalmspringspr","@vwpalmspringspr")</f>
        <v>@vwpalmspringspr</v>
      </c>
      <c r="C311" s="9" t="s">
        <v>879</v>
      </c>
      <c r="D311" s="9" t="s">
        <v>880</v>
      </c>
      <c r="E311" s="10" t="str">
        <f>HYPERLINK("https://twitter.com/vwpalmspringspr/status/723003449122631680","723003449122631680")</f>
        <v>723003449122631680</v>
      </c>
      <c r="F311" s="11" t="s">
        <v>152</v>
      </c>
      <c r="G311" s="11">
        <v>2</v>
      </c>
      <c r="H311" s="11">
        <v>32</v>
      </c>
      <c r="I311" s="11">
        <v>0</v>
      </c>
      <c r="J311" s="11">
        <v>1</v>
      </c>
      <c r="K311" s="11" t="s">
        <v>21</v>
      </c>
      <c r="L311" s="7">
        <v>42480.070057870369</v>
      </c>
      <c r="M311" s="12" t="s">
        <v>881</v>
      </c>
      <c r="N311" s="12" t="s">
        <v>882</v>
      </c>
      <c r="O311" s="10" t="str">
        <f>HYPERLINK("https://pbs.twimg.com/profile_images/722518700427882496/rsO6Da_T_normal.jpg","View")</f>
        <v>View</v>
      </c>
      <c r="P311" s="11"/>
    </row>
    <row r="312" spans="1:16" ht="12.75" x14ac:dyDescent="0.35">
      <c r="A312" s="7">
        <v>42481.413842592592</v>
      </c>
      <c r="B312" s="8" t="str">
        <f>HYPERLINK("https://twitter.com/SallyBundockBBC","@SallyBundockBBC")</f>
        <v>@SallyBundockBBC</v>
      </c>
      <c r="C312" s="9" t="s">
        <v>883</v>
      </c>
      <c r="D312" s="9" t="s">
        <v>884</v>
      </c>
      <c r="E312" s="10" t="str">
        <f>HYPERLINK("https://twitter.com/SallyBundockBBC/status/723004819238051840","723004819238051840")</f>
        <v>723004819238051840</v>
      </c>
      <c r="F312" s="11" t="s">
        <v>43</v>
      </c>
      <c r="G312" s="11">
        <v>13663</v>
      </c>
      <c r="H312" s="11">
        <v>1417</v>
      </c>
      <c r="I312" s="11">
        <v>4</v>
      </c>
      <c r="J312" s="11">
        <v>9</v>
      </c>
      <c r="K312" s="11" t="s">
        <v>21</v>
      </c>
      <c r="L312" s="7">
        <v>40924.625740740739</v>
      </c>
      <c r="M312" s="12" t="s">
        <v>638</v>
      </c>
      <c r="N312" s="12" t="s">
        <v>885</v>
      </c>
      <c r="O312" s="10" t="str">
        <f>HYPERLINK("https://pbs.twimg.com/profile_images/649188305096019968/QRO2H696_normal.jpg","View")</f>
        <v>View</v>
      </c>
      <c r="P312" s="11"/>
    </row>
    <row r="313" spans="1:16" ht="12.75" x14ac:dyDescent="0.35">
      <c r="A313" s="7">
        <v>42481.415300925924</v>
      </c>
      <c r="B313" s="8" t="str">
        <f>HYPERLINK("https://twitter.com/dreamgolfjob","@dreamgolfjob")</f>
        <v>@dreamgolfjob</v>
      </c>
      <c r="C313" s="9" t="s">
        <v>886</v>
      </c>
      <c r="D313" s="9" t="s">
        <v>887</v>
      </c>
      <c r="E313" s="10" t="str">
        <f>HYPERLINK("https://twitter.com/dreamgolfjob/status/723005349607968768","723005349607968768")</f>
        <v>723005349607968768</v>
      </c>
      <c r="F313" s="11" t="s">
        <v>20</v>
      </c>
      <c r="G313" s="11">
        <v>1676</v>
      </c>
      <c r="H313" s="11">
        <v>2003</v>
      </c>
      <c r="I313" s="11">
        <v>3</v>
      </c>
      <c r="J313" s="11">
        <v>0</v>
      </c>
      <c r="K313" s="11" t="s">
        <v>21</v>
      </c>
      <c r="L313" s="7">
        <v>40240.663842592592</v>
      </c>
      <c r="M313" s="12" t="s">
        <v>888</v>
      </c>
      <c r="N313" s="12" t="s">
        <v>889</v>
      </c>
      <c r="O313" s="10" t="str">
        <f>HYPERLINK("https://pbs.twimg.com/profile_images/1881442204/511.511jpeg_normal.jpg","View")</f>
        <v>View</v>
      </c>
      <c r="P313" s="11"/>
    </row>
    <row r="314" spans="1:16" ht="12.75" x14ac:dyDescent="0.35">
      <c r="A314" s="7">
        <v>42481.415636574078</v>
      </c>
      <c r="B314" s="8" t="str">
        <f>HYPERLINK("https://twitter.com/1phillipsprince","@1phillipsprince")</f>
        <v>@1phillipsprince</v>
      </c>
      <c r="C314" s="9" t="s">
        <v>890</v>
      </c>
      <c r="D314" s="9" t="s">
        <v>891</v>
      </c>
      <c r="E314" s="10" t="str">
        <f>HYPERLINK("https://twitter.com/1phillipsprince/status/723005471909515265","723005471909515265")</f>
        <v>723005471909515265</v>
      </c>
      <c r="F314" s="11" t="s">
        <v>91</v>
      </c>
      <c r="G314" s="11">
        <v>148</v>
      </c>
      <c r="H314" s="11">
        <v>349</v>
      </c>
      <c r="I314" s="11">
        <v>0</v>
      </c>
      <c r="J314" s="11">
        <v>0</v>
      </c>
      <c r="K314" s="11" t="s">
        <v>21</v>
      </c>
      <c r="L314" s="7">
        <v>41031.204745370371</v>
      </c>
      <c r="M314" s="12" t="s">
        <v>892</v>
      </c>
      <c r="N314" s="12"/>
      <c r="O314" s="10" t="str">
        <f>HYPERLINK("https://pbs.twimg.com/profile_images/3227674119/2a2fa2d73f09b9d265a29833d5cbf338_normal.jpeg","View")</f>
        <v>View</v>
      </c>
      <c r="P314" s="11"/>
    </row>
    <row r="315" spans="1:16" ht="12.75" x14ac:dyDescent="0.35">
      <c r="A315" s="7">
        <v>42481.416481481487</v>
      </c>
      <c r="B315" s="8" t="str">
        <f t="shared" ref="B315:B317" si="40">HYPERLINK("https://twitter.com/VWsightings","@VWsightings")</f>
        <v>@VWsightings</v>
      </c>
      <c r="C315" s="9" t="s">
        <v>893</v>
      </c>
      <c r="D315" s="9" t="s">
        <v>894</v>
      </c>
      <c r="E315" s="10" t="str">
        <f>HYPERLINK("https://twitter.com/VWsightings/status/723005774822268928","723005774822268928")</f>
        <v>723005774822268928</v>
      </c>
      <c r="F315" s="11" t="s">
        <v>91</v>
      </c>
      <c r="G315" s="11">
        <v>4853</v>
      </c>
      <c r="H315" s="11">
        <v>4853</v>
      </c>
      <c r="I315" s="11">
        <v>1</v>
      </c>
      <c r="J315" s="11">
        <v>0</v>
      </c>
      <c r="K315" s="11" t="s">
        <v>21</v>
      </c>
      <c r="L315" s="7">
        <v>41589.461446759262</v>
      </c>
      <c r="M315" s="12" t="s">
        <v>895</v>
      </c>
      <c r="N315" s="12" t="s">
        <v>896</v>
      </c>
      <c r="O315" s="10" t="str">
        <f t="shared" ref="O315:O317" si="41">HYPERLINK("https://pbs.twimg.com/profile_images/378800000854855954/0d555726054b01e3c9d6b5241432dc4a_normal.jpeg","View")</f>
        <v>View</v>
      </c>
      <c r="P315" s="11"/>
    </row>
    <row r="316" spans="1:16" ht="12.75" x14ac:dyDescent="0.35">
      <c r="A316" s="7">
        <v>42481.416770833333</v>
      </c>
      <c r="B316" s="8" t="str">
        <f t="shared" si="40"/>
        <v>@VWsightings</v>
      </c>
      <c r="C316" s="9" t="s">
        <v>893</v>
      </c>
      <c r="D316" s="9" t="s">
        <v>714</v>
      </c>
      <c r="E316" s="10" t="str">
        <f>HYPERLINK("https://twitter.com/VWsightings/status/723005879608598528","723005879608598528")</f>
        <v>723005879608598528</v>
      </c>
      <c r="F316" s="11" t="s">
        <v>91</v>
      </c>
      <c r="G316" s="11">
        <v>4853</v>
      </c>
      <c r="H316" s="11">
        <v>4853</v>
      </c>
      <c r="I316" s="11">
        <v>7</v>
      </c>
      <c r="J316" s="11">
        <v>0</v>
      </c>
      <c r="K316" s="11" t="s">
        <v>21</v>
      </c>
      <c r="L316" s="7">
        <v>41589.461446759262</v>
      </c>
      <c r="M316" s="12" t="s">
        <v>895</v>
      </c>
      <c r="N316" s="12" t="s">
        <v>896</v>
      </c>
      <c r="O316" s="10" t="str">
        <f t="shared" si="41"/>
        <v>View</v>
      </c>
      <c r="P316" s="11"/>
    </row>
    <row r="317" spans="1:16" ht="12.75" x14ac:dyDescent="0.35">
      <c r="A317" s="7">
        <v>42481.41851851852</v>
      </c>
      <c r="B317" s="8" t="str">
        <f t="shared" si="40"/>
        <v>@VWsightings</v>
      </c>
      <c r="C317" s="9" t="s">
        <v>893</v>
      </c>
      <c r="D317" s="9" t="s">
        <v>897</v>
      </c>
      <c r="E317" s="10" t="str">
        <f>HYPERLINK("https://twitter.com/VWsightings/status/723006516287156224","723006516287156224")</f>
        <v>723006516287156224</v>
      </c>
      <c r="F317" s="11" t="s">
        <v>91</v>
      </c>
      <c r="G317" s="11">
        <v>4853</v>
      </c>
      <c r="H317" s="11">
        <v>4853</v>
      </c>
      <c r="I317" s="11">
        <v>1</v>
      </c>
      <c r="J317" s="11">
        <v>0</v>
      </c>
      <c r="K317" s="11" t="s">
        <v>21</v>
      </c>
      <c r="L317" s="7">
        <v>41589.461446759262</v>
      </c>
      <c r="M317" s="12" t="s">
        <v>895</v>
      </c>
      <c r="N317" s="12" t="s">
        <v>896</v>
      </c>
      <c r="O317" s="10" t="str">
        <f t="shared" si="41"/>
        <v>View</v>
      </c>
      <c r="P317" s="11"/>
    </row>
    <row r="318" spans="1:16" ht="12.75" x14ac:dyDescent="0.35">
      <c r="A318" s="7">
        <v>42481.418634259258</v>
      </c>
      <c r="B318" s="8" t="str">
        <f>HYPERLINK("https://twitter.com/TM909","@TM909")</f>
        <v>@TM909</v>
      </c>
      <c r="C318" s="9" t="s">
        <v>898</v>
      </c>
      <c r="D318" s="9" t="s">
        <v>743</v>
      </c>
      <c r="E318" s="10" t="str">
        <f>HYPERLINK("https://twitter.com/TM909/status/723006557483487232","723006557483487232")</f>
        <v>723006557483487232</v>
      </c>
      <c r="F318" s="11" t="s">
        <v>20</v>
      </c>
      <c r="G318" s="11">
        <v>149</v>
      </c>
      <c r="H318" s="11">
        <v>114</v>
      </c>
      <c r="I318" s="11">
        <v>2</v>
      </c>
      <c r="J318" s="11">
        <v>0</v>
      </c>
      <c r="K318" s="11" t="s">
        <v>21</v>
      </c>
      <c r="L318" s="7">
        <v>40253.842557870368</v>
      </c>
      <c r="M318" s="12" t="s">
        <v>899</v>
      </c>
      <c r="N318" s="12" t="s">
        <v>900</v>
      </c>
      <c r="O318" s="10" t="str">
        <f>HYPERLINK("https://pbs.twimg.com/profile_images/717947360848969732/BRmBoCSo_normal.jpg","View")</f>
        <v>View</v>
      </c>
      <c r="P318" s="11"/>
    </row>
    <row r="319" spans="1:16" ht="12.75" x14ac:dyDescent="0.35">
      <c r="A319" s="7">
        <v>42481.418645833328</v>
      </c>
      <c r="B319" s="8" t="str">
        <f>HYPERLINK("https://twitter.com/BasuAshis","@BasuAshis")</f>
        <v>@BasuAshis</v>
      </c>
      <c r="C319" s="9" t="s">
        <v>901</v>
      </c>
      <c r="D319" s="9" t="s">
        <v>902</v>
      </c>
      <c r="E319" s="10" t="str">
        <f>HYPERLINK("https://twitter.com/BasuAshis/status/723006561916833792","723006561916833792")</f>
        <v>723006561916833792</v>
      </c>
      <c r="F319" s="11" t="s">
        <v>903</v>
      </c>
      <c r="G319" s="11">
        <v>1438</v>
      </c>
      <c r="H319" s="11">
        <v>2139</v>
      </c>
      <c r="I319" s="11">
        <v>4</v>
      </c>
      <c r="J319" s="11">
        <v>0</v>
      </c>
      <c r="K319" s="11" t="s">
        <v>21</v>
      </c>
      <c r="L319" s="7">
        <v>41105.222094907411</v>
      </c>
      <c r="M319" s="12" t="s">
        <v>715</v>
      </c>
      <c r="N319" s="12" t="s">
        <v>904</v>
      </c>
      <c r="O319" s="10" t="str">
        <f>HYPERLINK("https://pbs.twimg.com/profile_images/2725303585/19be329858c9709636ca75e5c321fc12_normal.jpeg","View")</f>
        <v>View</v>
      </c>
      <c r="P319" s="11"/>
    </row>
    <row r="320" spans="1:16" ht="12.75" x14ac:dyDescent="0.35">
      <c r="A320" s="7">
        <v>42481.418888888889</v>
      </c>
      <c r="B320" s="8" t="str">
        <f>HYPERLINK("https://twitter.com/Lucas_esquiivel","@Lucas_esquiivel")</f>
        <v>@Lucas_esquiivel</v>
      </c>
      <c r="C320" s="9" t="s">
        <v>905</v>
      </c>
      <c r="D320" s="9" t="s">
        <v>906</v>
      </c>
      <c r="E320" s="10" t="str">
        <f>HYPERLINK("https://twitter.com/Lucas_esquiivel/status/723006647891841024","723006647891841024")</f>
        <v>723006647891841024</v>
      </c>
      <c r="F320" s="11" t="s">
        <v>114</v>
      </c>
      <c r="G320" s="11">
        <v>358</v>
      </c>
      <c r="H320" s="11">
        <v>271</v>
      </c>
      <c r="I320" s="11">
        <v>0</v>
      </c>
      <c r="J320" s="11">
        <v>0</v>
      </c>
      <c r="K320" s="11" t="s">
        <v>21</v>
      </c>
      <c r="L320" s="7">
        <v>40542.997210648144</v>
      </c>
      <c r="M320" s="12"/>
      <c r="N320" s="12" t="s">
        <v>907</v>
      </c>
      <c r="O320" s="10" t="str">
        <f>HYPERLINK("https://pbs.twimg.com/profile_images/693277089785577473/8EuV76Ni_normal.png","View")</f>
        <v>View</v>
      </c>
      <c r="P320" s="11"/>
    </row>
    <row r="321" spans="1:16" ht="12.75" x14ac:dyDescent="0.35">
      <c r="A321" s="7">
        <v>42481.419745370367</v>
      </c>
      <c r="B321" s="8" t="str">
        <f>HYPERLINK("https://twitter.com/davebaxtersa","@davebaxtersa")</f>
        <v>@davebaxtersa</v>
      </c>
      <c r="C321" s="9" t="s">
        <v>908</v>
      </c>
      <c r="D321" s="9" t="s">
        <v>909</v>
      </c>
      <c r="E321" s="10" t="str">
        <f>HYPERLINK("https://twitter.com/davebaxtersa/status/723006959893504000","723006959893504000")</f>
        <v>723006959893504000</v>
      </c>
      <c r="F321" s="11" t="s">
        <v>20</v>
      </c>
      <c r="G321" s="11">
        <v>117</v>
      </c>
      <c r="H321" s="11">
        <v>128</v>
      </c>
      <c r="I321" s="11">
        <v>0</v>
      </c>
      <c r="J321" s="11">
        <v>0</v>
      </c>
      <c r="K321" s="11" t="s">
        <v>21</v>
      </c>
      <c r="L321" s="7">
        <v>40289.917499999996</v>
      </c>
      <c r="M321" s="12" t="s">
        <v>910</v>
      </c>
      <c r="N321" s="12" t="s">
        <v>911</v>
      </c>
      <c r="O321" s="10" t="str">
        <f>HYPERLINK("https://pbs.twimg.com/profile_images/1150290421/IMG00011-20101017-1453_normal.jpg","View")</f>
        <v>View</v>
      </c>
      <c r="P321" s="11"/>
    </row>
    <row r="322" spans="1:16" ht="12.75" x14ac:dyDescent="0.35">
      <c r="A322" s="7">
        <v>42481.422199074077</v>
      </c>
      <c r="B322" s="8" t="str">
        <f>HYPERLINK("https://twitter.com/VWsightings","@VWsightings")</f>
        <v>@VWsightings</v>
      </c>
      <c r="C322" s="9" t="s">
        <v>893</v>
      </c>
      <c r="D322" s="9" t="s">
        <v>912</v>
      </c>
      <c r="E322" s="10" t="str">
        <f>HYPERLINK("https://twitter.com/VWsightings/status/723007847789944832","723007847789944832")</f>
        <v>723007847789944832</v>
      </c>
      <c r="F322" s="11" t="s">
        <v>91</v>
      </c>
      <c r="G322" s="11">
        <v>4853</v>
      </c>
      <c r="H322" s="11">
        <v>4853</v>
      </c>
      <c r="I322" s="11">
        <v>1</v>
      </c>
      <c r="J322" s="11">
        <v>0</v>
      </c>
      <c r="K322" s="11" t="s">
        <v>21</v>
      </c>
      <c r="L322" s="7">
        <v>41589.461446759262</v>
      </c>
      <c r="M322" s="12" t="s">
        <v>895</v>
      </c>
      <c r="N322" s="12" t="s">
        <v>896</v>
      </c>
      <c r="O322" s="10" t="str">
        <f>HYPERLINK("https://pbs.twimg.com/profile_images/378800000854855954/0d555726054b01e3c9d6b5241432dc4a_normal.jpeg","View")</f>
        <v>View</v>
      </c>
      <c r="P322" s="11"/>
    </row>
    <row r="323" spans="1:16" ht="12.75" x14ac:dyDescent="0.35">
      <c r="A323" s="7">
        <v>42481.42454861111</v>
      </c>
      <c r="B323" s="8" t="str">
        <f>HYPERLINK("https://twitter.com/Scirocco_Tuning","@Scirocco_Tuning")</f>
        <v>@Scirocco_Tuning</v>
      </c>
      <c r="C323" s="9" t="s">
        <v>51</v>
      </c>
      <c r="D323" s="9" t="s">
        <v>913</v>
      </c>
      <c r="E323" s="10" t="str">
        <f>HYPERLINK("https://twitter.com/Scirocco_Tuning/status/723008700013764608","723008700013764608")</f>
        <v>723008700013764608</v>
      </c>
      <c r="F323" s="11" t="s">
        <v>53</v>
      </c>
      <c r="G323" s="11">
        <v>69</v>
      </c>
      <c r="H323" s="11">
        <v>215</v>
      </c>
      <c r="I323" s="11">
        <v>0</v>
      </c>
      <c r="J323" s="11">
        <v>0</v>
      </c>
      <c r="K323" s="11" t="s">
        <v>21</v>
      </c>
      <c r="L323" s="7">
        <v>40844.564722222218</v>
      </c>
      <c r="M323" s="12"/>
      <c r="N323" s="12"/>
      <c r="O323" s="10" t="str">
        <f>HYPERLINK("https://pbs.twimg.com/profile_images/1610421423/Image2_normal.jpg","View")</f>
        <v>View</v>
      </c>
      <c r="P323" s="11"/>
    </row>
    <row r="324" spans="1:16" ht="12.75" x14ac:dyDescent="0.35">
      <c r="A324" s="7">
        <v>42481.428263888884</v>
      </c>
      <c r="B324" s="8" t="str">
        <f>HYPERLINK("https://twitter.com/VWsightings","@VWsightings")</f>
        <v>@VWsightings</v>
      </c>
      <c r="C324" s="9" t="s">
        <v>893</v>
      </c>
      <c r="D324" s="9" t="s">
        <v>914</v>
      </c>
      <c r="E324" s="10" t="str">
        <f>HYPERLINK("https://twitter.com/VWsightings/status/723010047140306944","723010047140306944")</f>
        <v>723010047140306944</v>
      </c>
      <c r="F324" s="11" t="s">
        <v>91</v>
      </c>
      <c r="G324" s="11">
        <v>4853</v>
      </c>
      <c r="H324" s="11">
        <v>4853</v>
      </c>
      <c r="I324" s="11">
        <v>1</v>
      </c>
      <c r="J324" s="11">
        <v>0</v>
      </c>
      <c r="K324" s="11" t="s">
        <v>21</v>
      </c>
      <c r="L324" s="7">
        <v>41589.461446759262</v>
      </c>
      <c r="M324" s="12" t="s">
        <v>895</v>
      </c>
      <c r="N324" s="12" t="s">
        <v>896</v>
      </c>
      <c r="O324" s="10" t="str">
        <f>HYPERLINK("https://pbs.twimg.com/profile_images/378800000854855954/0d555726054b01e3c9d6b5241432dc4a_normal.jpeg","View")</f>
        <v>View</v>
      </c>
      <c r="P324" s="11"/>
    </row>
    <row r="325" spans="1:16" ht="12.75" x14ac:dyDescent="0.35">
      <c r="A325" s="7">
        <v>42481.429155092592</v>
      </c>
      <c r="B325" s="8" t="str">
        <f>HYPERLINK("https://twitter.com/LocaldriverUS","@LocaldriverUS")</f>
        <v>@LocaldriverUS</v>
      </c>
      <c r="C325" s="8" t="s">
        <v>915</v>
      </c>
      <c r="D325" s="9" t="s">
        <v>916</v>
      </c>
      <c r="E325" s="10" t="str">
        <f>HYPERLINK("https://twitter.com/LocaldriverUS/status/723010370391011328","723010370391011328")</f>
        <v>723010370391011328</v>
      </c>
      <c r="F325" s="11" t="s">
        <v>43</v>
      </c>
      <c r="G325" s="11">
        <v>1107</v>
      </c>
      <c r="H325" s="11">
        <v>1210</v>
      </c>
      <c r="I325" s="11">
        <v>0</v>
      </c>
      <c r="J325" s="11">
        <v>0</v>
      </c>
      <c r="K325" s="11" t="s">
        <v>21</v>
      </c>
      <c r="L325" s="7">
        <v>41084.252013888887</v>
      </c>
      <c r="M325" s="12" t="s">
        <v>917</v>
      </c>
      <c r="N325" s="12" t="s">
        <v>918</v>
      </c>
      <c r="O325" s="10" t="str">
        <f>HYPERLINK("https://pbs.twimg.com/profile_images/3276572864/7e19a331bf93c7acc57143c7e1a7904d_normal.jpeg","View")</f>
        <v>View</v>
      </c>
      <c r="P325" s="11"/>
    </row>
    <row r="326" spans="1:16" ht="12.75" x14ac:dyDescent="0.35">
      <c r="A326" s="7">
        <v>42481.429803240739</v>
      </c>
      <c r="B326" s="8" t="str">
        <f>HYPERLINK("https://twitter.com/Ismoke_weed","@Ismoke_weed")</f>
        <v>@Ismoke_weed</v>
      </c>
      <c r="C326" s="9" t="s">
        <v>919</v>
      </c>
      <c r="D326" s="9" t="s">
        <v>920</v>
      </c>
      <c r="E326" s="10" t="str">
        <f>HYPERLINK("https://twitter.com/Ismoke_weed/status/723010603984543744","723010603984543744")</f>
        <v>723010603984543744</v>
      </c>
      <c r="F326" s="11" t="s">
        <v>114</v>
      </c>
      <c r="G326" s="11">
        <v>725</v>
      </c>
      <c r="H326" s="11">
        <v>527</v>
      </c>
      <c r="I326" s="11">
        <v>0</v>
      </c>
      <c r="J326" s="11">
        <v>0</v>
      </c>
      <c r="K326" s="11" t="s">
        <v>21</v>
      </c>
      <c r="L326" s="7">
        <v>40656.259560185186</v>
      </c>
      <c r="M326" s="12" t="s">
        <v>921</v>
      </c>
      <c r="N326" s="12" t="s">
        <v>922</v>
      </c>
      <c r="O326" s="10" t="str">
        <f>HYPERLINK("https://pbs.twimg.com/profile_images/699095952318144512/KWfqDlB3_normal.jpg","View")</f>
        <v>View</v>
      </c>
      <c r="P326" s="11"/>
    </row>
    <row r="327" spans="1:16" ht="12.75" x14ac:dyDescent="0.35">
      <c r="A327" s="7">
        <v>42481.430034722223</v>
      </c>
      <c r="B327" s="8" t="str">
        <f t="shared" ref="B327:B329" si="42">HYPERLINK("https://twitter.com/beetlebug1938","@beetlebug1938")</f>
        <v>@beetlebug1938</v>
      </c>
      <c r="C327" s="9" t="s">
        <v>66</v>
      </c>
      <c r="D327" s="9" t="s">
        <v>923</v>
      </c>
      <c r="E327" s="10" t="str">
        <f>HYPERLINK("https://twitter.com/beetlebug1938/status/723010687316926464","723010687316926464")</f>
        <v>723010687316926464</v>
      </c>
      <c r="F327" s="11" t="s">
        <v>68</v>
      </c>
      <c r="G327" s="11">
        <v>346</v>
      </c>
      <c r="H327" s="11">
        <v>2222</v>
      </c>
      <c r="I327" s="11">
        <v>0</v>
      </c>
      <c r="J327" s="11">
        <v>0</v>
      </c>
      <c r="K327" s="11" t="s">
        <v>21</v>
      </c>
      <c r="L327" s="7">
        <v>42469.863865740743</v>
      </c>
      <c r="M327" s="12" t="s">
        <v>69</v>
      </c>
      <c r="N327" s="12"/>
      <c r="O327" s="10" t="str">
        <f t="shared" ref="O327:O329" si="43">HYPERLINK("https://pbs.twimg.com/profile_images/718820712757215233/LXXndPTS_normal.jpg","View")</f>
        <v>View</v>
      </c>
      <c r="P327" s="11"/>
    </row>
    <row r="328" spans="1:16" ht="12.75" x14ac:dyDescent="0.35">
      <c r="A328" s="7">
        <v>42481.430138888885</v>
      </c>
      <c r="B328" s="8" t="str">
        <f t="shared" si="42"/>
        <v>@beetlebug1938</v>
      </c>
      <c r="C328" s="9" t="s">
        <v>66</v>
      </c>
      <c r="D328" s="9" t="s">
        <v>924</v>
      </c>
      <c r="E328" s="10" t="str">
        <f>HYPERLINK("https://twitter.com/beetlebug1938/status/723010726437224448","723010726437224448")</f>
        <v>723010726437224448</v>
      </c>
      <c r="F328" s="11" t="s">
        <v>68</v>
      </c>
      <c r="G328" s="11">
        <v>346</v>
      </c>
      <c r="H328" s="11">
        <v>2222</v>
      </c>
      <c r="I328" s="11">
        <v>0</v>
      </c>
      <c r="J328" s="11">
        <v>0</v>
      </c>
      <c r="K328" s="11" t="s">
        <v>21</v>
      </c>
      <c r="L328" s="7">
        <v>42469.863865740743</v>
      </c>
      <c r="M328" s="12" t="s">
        <v>69</v>
      </c>
      <c r="N328" s="12"/>
      <c r="O328" s="10" t="str">
        <f t="shared" si="43"/>
        <v>View</v>
      </c>
      <c r="P328" s="11"/>
    </row>
    <row r="329" spans="1:16" ht="12.75" x14ac:dyDescent="0.35">
      <c r="A329" s="7">
        <v>42481.430231481485</v>
      </c>
      <c r="B329" s="8" t="str">
        <f t="shared" si="42"/>
        <v>@beetlebug1938</v>
      </c>
      <c r="C329" s="9" t="s">
        <v>66</v>
      </c>
      <c r="D329" s="9" t="s">
        <v>925</v>
      </c>
      <c r="E329" s="10" t="str">
        <f>HYPERLINK("https://twitter.com/beetlebug1938/status/723010758280359936","723010758280359936")</f>
        <v>723010758280359936</v>
      </c>
      <c r="F329" s="11" t="s">
        <v>68</v>
      </c>
      <c r="G329" s="11">
        <v>346</v>
      </c>
      <c r="H329" s="11">
        <v>2222</v>
      </c>
      <c r="I329" s="11">
        <v>0</v>
      </c>
      <c r="J329" s="11">
        <v>0</v>
      </c>
      <c r="K329" s="11" t="s">
        <v>21</v>
      </c>
      <c r="L329" s="7">
        <v>42469.863865740743</v>
      </c>
      <c r="M329" s="12" t="s">
        <v>69</v>
      </c>
      <c r="N329" s="12"/>
      <c r="O329" s="10" t="str">
        <f t="shared" si="43"/>
        <v>View</v>
      </c>
      <c r="P329" s="11"/>
    </row>
    <row r="330" spans="1:16" ht="12.75" x14ac:dyDescent="0.35">
      <c r="A330" s="7">
        <v>42481.430520833332</v>
      </c>
      <c r="B330" s="8" t="str">
        <f>HYPERLINK("https://twitter.com/StackMechanics","@StackMechanics")</f>
        <v>@StackMechanics</v>
      </c>
      <c r="C330" s="9" t="s">
        <v>926</v>
      </c>
      <c r="D330" s="9" t="s">
        <v>927</v>
      </c>
      <c r="E330" s="10" t="str">
        <f>HYPERLINK("https://twitter.com/StackMechanics/status/723010862903091200","723010862903091200")</f>
        <v>723010862903091200</v>
      </c>
      <c r="F330" s="11" t="s">
        <v>928</v>
      </c>
      <c r="G330" s="11">
        <v>86</v>
      </c>
      <c r="H330" s="11">
        <v>0</v>
      </c>
      <c r="I330" s="11">
        <v>0</v>
      </c>
      <c r="J330" s="11">
        <v>0</v>
      </c>
      <c r="K330" s="11" t="s">
        <v>21</v>
      </c>
      <c r="L330" s="7">
        <v>40610.093229166669</v>
      </c>
      <c r="M330" s="12" t="s">
        <v>929</v>
      </c>
      <c r="N330" s="12" t="s">
        <v>930</v>
      </c>
      <c r="O330" s="10" t="str">
        <f>HYPERLINK("https://pbs.twimg.com/profile_images/1943169885/profile-image_normal.png","View")</f>
        <v>View</v>
      </c>
      <c r="P330" s="11"/>
    </row>
    <row r="331" spans="1:16" ht="12.75" x14ac:dyDescent="0.35">
      <c r="A331" s="7">
        <v>42481.430532407408</v>
      </c>
      <c r="B331" s="8" t="str">
        <f>HYPERLINK("https://twitter.com/furqan_satcom","@furqan_satcom")</f>
        <v>@furqan_satcom</v>
      </c>
      <c r="C331" s="9" t="s">
        <v>931</v>
      </c>
      <c r="D331" s="9" t="s">
        <v>932</v>
      </c>
      <c r="E331" s="10" t="str">
        <f>HYPERLINK("https://twitter.com/furqan_satcom/status/723010868531744768","723010868531744768")</f>
        <v>723010868531744768</v>
      </c>
      <c r="F331" s="11" t="s">
        <v>933</v>
      </c>
      <c r="G331" s="11">
        <v>1444</v>
      </c>
      <c r="H331" s="11">
        <v>2605</v>
      </c>
      <c r="I331" s="11">
        <v>0</v>
      </c>
      <c r="J331" s="11">
        <v>0</v>
      </c>
      <c r="K331" s="11" t="s">
        <v>21</v>
      </c>
      <c r="L331" s="7">
        <v>40401.119201388887</v>
      </c>
      <c r="M331" s="12" t="s">
        <v>934</v>
      </c>
      <c r="N331" s="12" t="s">
        <v>935</v>
      </c>
      <c r="O331" s="10" t="str">
        <f>HYPERLINK("https://pbs.twimg.com/profile_images/709439945719554049/EsfOsVRH_normal.jpg","View")</f>
        <v>View</v>
      </c>
      <c r="P331" s="11"/>
    </row>
    <row r="332" spans="1:16" ht="12.75" x14ac:dyDescent="0.35">
      <c r="A332" s="7">
        <v>42481.432233796295</v>
      </c>
      <c r="B332" s="8" t="str">
        <f>HYPERLINK("https://twitter.com/TobiasKestin","@TobiasKestin")</f>
        <v>@TobiasKestin</v>
      </c>
      <c r="C332" s="9" t="s">
        <v>936</v>
      </c>
      <c r="D332" s="9" t="s">
        <v>937</v>
      </c>
      <c r="E332" s="10" t="str">
        <f>HYPERLINK("https://twitter.com/TobiasKestin/status/723011484436037632","723011484436037632")</f>
        <v>723011484436037632</v>
      </c>
      <c r="F332" s="11" t="s">
        <v>68</v>
      </c>
      <c r="G332" s="11">
        <v>1463</v>
      </c>
      <c r="H332" s="11">
        <v>1089</v>
      </c>
      <c r="I332" s="11">
        <v>0</v>
      </c>
      <c r="J332" s="11">
        <v>3</v>
      </c>
      <c r="K332" s="11" t="s">
        <v>21</v>
      </c>
      <c r="L332" s="7">
        <v>41062.970671296294</v>
      </c>
      <c r="M332" s="12" t="s">
        <v>938</v>
      </c>
      <c r="N332" s="12" t="s">
        <v>939</v>
      </c>
      <c r="O332" s="10" t="str">
        <f>HYPERLINK("https://pbs.twimg.com/profile_images/716573294313521152/Cv6eqZOo_normal.jpg","View")</f>
        <v>View</v>
      </c>
      <c r="P332" s="11"/>
    </row>
    <row r="333" spans="1:16" ht="12.75" x14ac:dyDescent="0.35">
      <c r="A333" s="7">
        <v>42481.432592592595</v>
      </c>
      <c r="B333" s="8" t="str">
        <f>HYPERLINK("https://twitter.com/jawasnu","@jawasnu")</f>
        <v>@jawasnu</v>
      </c>
      <c r="C333" s="9" t="s">
        <v>940</v>
      </c>
      <c r="D333" s="9" t="s">
        <v>854</v>
      </c>
      <c r="E333" s="10" t="str">
        <f>HYPERLINK("https://twitter.com/jawasnu/status/723011615185055745","723011615185055745")</f>
        <v>723011615185055745</v>
      </c>
      <c r="F333" s="11" t="s">
        <v>48</v>
      </c>
      <c r="G333" s="11">
        <v>87</v>
      </c>
      <c r="H333" s="11">
        <v>336</v>
      </c>
      <c r="I333" s="11">
        <v>11</v>
      </c>
      <c r="J333" s="11">
        <v>0</v>
      </c>
      <c r="K333" s="11" t="s">
        <v>21</v>
      </c>
      <c r="L333" s="7">
        <v>40822.503298611111</v>
      </c>
      <c r="M333" s="12" t="s">
        <v>941</v>
      </c>
      <c r="N333" s="12" t="s">
        <v>942</v>
      </c>
      <c r="O333" s="10" t="str">
        <f>HYPERLINK("https://pbs.twimg.com/profile_images/615562400859848704/E6pxkTo2_normal.jpg","View")</f>
        <v>View</v>
      </c>
      <c r="P333" s="11"/>
    </row>
    <row r="334" spans="1:16" ht="12.75" x14ac:dyDescent="0.35">
      <c r="A334" s="7">
        <v>42481.433703703704</v>
      </c>
      <c r="B334" s="8" t="str">
        <f>HYPERLINK("https://twitter.com/webaraba","@webaraba")</f>
        <v>@webaraba</v>
      </c>
      <c r="C334" s="8" t="s">
        <v>943</v>
      </c>
      <c r="D334" s="9" t="s">
        <v>944</v>
      </c>
      <c r="E334" s="10" t="str">
        <f>HYPERLINK("https://twitter.com/webaraba/status/723012019314630656","723012019314630656")</f>
        <v>723012019314630656</v>
      </c>
      <c r="F334" s="10" t="s">
        <v>943</v>
      </c>
      <c r="G334" s="11">
        <v>984</v>
      </c>
      <c r="H334" s="11">
        <v>377</v>
      </c>
      <c r="I334" s="11">
        <v>0</v>
      </c>
      <c r="J334" s="11">
        <v>0</v>
      </c>
      <c r="K334" s="11" t="s">
        <v>21</v>
      </c>
      <c r="L334" s="7">
        <v>41173.388587962967</v>
      </c>
      <c r="M334" s="12" t="s">
        <v>945</v>
      </c>
      <c r="N334" s="12" t="s">
        <v>946</v>
      </c>
      <c r="O334" s="10" t="str">
        <f>HYPERLINK("https://pbs.twimg.com/profile_images/641238966541361152/-oEpQ9XT_normal.png","View")</f>
        <v>View</v>
      </c>
      <c r="P334" s="11"/>
    </row>
    <row r="335" spans="1:16" ht="12.75" x14ac:dyDescent="0.35">
      <c r="A335" s="7">
        <v>42481.434386574074</v>
      </c>
      <c r="B335" s="8" t="str">
        <f>HYPERLINK("https://twitter.com/RezakwpAuto","@RezakwpAuto")</f>
        <v>@RezakwpAuto</v>
      </c>
      <c r="C335" s="9" t="s">
        <v>947</v>
      </c>
      <c r="D335" s="9" t="s">
        <v>948</v>
      </c>
      <c r="E335" s="10" t="str">
        <f>HYPERLINK("https://twitter.com/RezakwpAuto/status/723012264018763780","723012264018763780")</f>
        <v>723012264018763780</v>
      </c>
      <c r="F335" s="11" t="s">
        <v>114</v>
      </c>
      <c r="G335" s="11">
        <v>44</v>
      </c>
      <c r="H335" s="11">
        <v>317</v>
      </c>
      <c r="I335" s="11">
        <v>0</v>
      </c>
      <c r="J335" s="11">
        <v>0</v>
      </c>
      <c r="K335" s="11" t="s">
        <v>21</v>
      </c>
      <c r="L335" s="7">
        <v>42231.447071759263</v>
      </c>
      <c r="M335" s="12" t="s">
        <v>949</v>
      </c>
      <c r="N335" s="12"/>
      <c r="O335" s="10" t="str">
        <f>HYPERLINK("https://pbs.twimg.com/profile_images/644228348651159552/w05y-L9C_normal.jpg","View")</f>
        <v>View</v>
      </c>
      <c r="P335" s="10" t="str">
        <f>HYPERLINK("http://ctrlq.org/maps/address/#-31.34053,20.9168","Map")</f>
        <v>Map</v>
      </c>
    </row>
    <row r="336" spans="1:16" ht="12.75" x14ac:dyDescent="0.35">
      <c r="A336" s="7">
        <v>42481.435011574074</v>
      </c>
      <c r="B336" s="8" t="str">
        <f>HYPERLINK("https://twitter.com/cginoffice","@cginoffice")</f>
        <v>@cginoffice</v>
      </c>
      <c r="C336" s="9" t="s">
        <v>950</v>
      </c>
      <c r="D336" s="9" t="s">
        <v>854</v>
      </c>
      <c r="E336" s="10" t="str">
        <f>HYPERLINK("https://twitter.com/cginoffice/status/723012492700487682","723012492700487682")</f>
        <v>723012492700487682</v>
      </c>
      <c r="F336" s="11" t="s">
        <v>43</v>
      </c>
      <c r="G336" s="11">
        <v>171</v>
      </c>
      <c r="H336" s="11">
        <v>196</v>
      </c>
      <c r="I336" s="11">
        <v>11</v>
      </c>
      <c r="J336" s="11">
        <v>0</v>
      </c>
      <c r="K336" s="11" t="s">
        <v>21</v>
      </c>
      <c r="L336" s="7">
        <v>42262.51725694444</v>
      </c>
      <c r="M336" s="12"/>
      <c r="N336" s="12" t="s">
        <v>951</v>
      </c>
      <c r="O336" s="10" t="str">
        <f>HYPERLINK("https://pbs.twimg.com/profile_images/661977126980222976/MIICdbPJ_normal.jpg","View")</f>
        <v>View</v>
      </c>
      <c r="P336" s="11"/>
    </row>
    <row r="337" spans="1:16" ht="12.75" x14ac:dyDescent="0.35">
      <c r="A337" s="7">
        <v>42481.438449074078</v>
      </c>
      <c r="B337" s="8" t="str">
        <f>HYPERLINK("https://twitter.com/MarkCSchneider","@MarkCSchneider")</f>
        <v>@MarkCSchneider</v>
      </c>
      <c r="C337" s="9" t="s">
        <v>952</v>
      </c>
      <c r="D337" s="9" t="s">
        <v>766</v>
      </c>
      <c r="E337" s="10" t="str">
        <f>HYPERLINK("https://twitter.com/MarkCSchneider/status/723013737104420864","723013737104420864")</f>
        <v>723013737104420864</v>
      </c>
      <c r="F337" s="11" t="s">
        <v>20</v>
      </c>
      <c r="G337" s="11">
        <v>370</v>
      </c>
      <c r="H337" s="11">
        <v>335</v>
      </c>
      <c r="I337" s="11">
        <v>12</v>
      </c>
      <c r="J337" s="11">
        <v>0</v>
      </c>
      <c r="K337" s="11" t="s">
        <v>21</v>
      </c>
      <c r="L337" s="7">
        <v>41495.558136574073</v>
      </c>
      <c r="M337" s="12" t="s">
        <v>953</v>
      </c>
      <c r="N337" s="12"/>
      <c r="O337" s="10" t="str">
        <f>HYPERLINK("https://pbs.twimg.com/profile_images/706784695795769345/XGXgdjww_normal.jpg","View")</f>
        <v>View</v>
      </c>
      <c r="P337" s="11"/>
    </row>
    <row r="338" spans="1:16" ht="12.75" x14ac:dyDescent="0.35">
      <c r="A338" s="7">
        <v>42481.438449074078</v>
      </c>
      <c r="B338" s="8" t="str">
        <f>HYPERLINK("https://twitter.com/stefanrothe","@stefanrothe")</f>
        <v>@stefanrothe</v>
      </c>
      <c r="C338" s="9" t="s">
        <v>954</v>
      </c>
      <c r="D338" s="9" t="s">
        <v>955</v>
      </c>
      <c r="E338" s="10" t="str">
        <f>HYPERLINK("https://twitter.com/stefanrothe/status/723013737263722496","723013737263722496")</f>
        <v>723013737263722496</v>
      </c>
      <c r="F338" s="11" t="s">
        <v>193</v>
      </c>
      <c r="G338" s="11">
        <v>1042</v>
      </c>
      <c r="H338" s="11">
        <v>557</v>
      </c>
      <c r="I338" s="11">
        <v>0</v>
      </c>
      <c r="J338" s="11">
        <v>0</v>
      </c>
      <c r="K338" s="11" t="s">
        <v>21</v>
      </c>
      <c r="L338" s="7">
        <v>39962.16369212963</v>
      </c>
      <c r="M338" s="12" t="s">
        <v>956</v>
      </c>
      <c r="N338" s="12" t="s">
        <v>957</v>
      </c>
      <c r="O338" s="10" t="str">
        <f>HYPERLINK("https://pbs.twimg.com/profile_images/719408466880651264/85vqYWsM_normal.jpg","View")</f>
        <v>View</v>
      </c>
      <c r="P338" s="11"/>
    </row>
    <row r="339" spans="1:16" ht="12.75" x14ac:dyDescent="0.35">
      <c r="A339" s="7">
        <v>42481.43913194444</v>
      </c>
      <c r="B339" s="8" t="str">
        <f>HYPERLINK("https://twitter.com/MarkCSchneider","@MarkCSchneider")</f>
        <v>@MarkCSchneider</v>
      </c>
      <c r="C339" s="9" t="s">
        <v>952</v>
      </c>
      <c r="D339" s="9" t="s">
        <v>958</v>
      </c>
      <c r="E339" s="10" t="str">
        <f>HYPERLINK("https://twitter.com/MarkCSchneider/status/723013985591799808","723013985591799808")</f>
        <v>723013985591799808</v>
      </c>
      <c r="F339" s="11" t="s">
        <v>20</v>
      </c>
      <c r="G339" s="11">
        <v>370</v>
      </c>
      <c r="H339" s="11">
        <v>335</v>
      </c>
      <c r="I339" s="11">
        <v>1</v>
      </c>
      <c r="J339" s="11">
        <v>1</v>
      </c>
      <c r="K339" s="11" t="s">
        <v>21</v>
      </c>
      <c r="L339" s="7">
        <v>41495.558136574073</v>
      </c>
      <c r="M339" s="12" t="s">
        <v>953</v>
      </c>
      <c r="N339" s="12"/>
      <c r="O339" s="10" t="str">
        <f>HYPERLINK("https://pbs.twimg.com/profile_images/706784695795769345/XGXgdjww_normal.jpg","View")</f>
        <v>View</v>
      </c>
      <c r="P339" s="11"/>
    </row>
    <row r="340" spans="1:16" ht="12.75" x14ac:dyDescent="0.35">
      <c r="A340" s="7">
        <v>42481.439317129625</v>
      </c>
      <c r="B340" s="8" t="str">
        <f>HYPERLINK("https://twitter.com/vaughn_bill","@vaughn_bill")</f>
        <v>@vaughn_bill</v>
      </c>
      <c r="C340" s="9" t="s">
        <v>959</v>
      </c>
      <c r="D340" s="9" t="s">
        <v>960</v>
      </c>
      <c r="E340" s="10" t="str">
        <f>HYPERLINK("https://twitter.com/vaughn_bill/status/723014052398567424","723014052398567424")</f>
        <v>723014052398567424</v>
      </c>
      <c r="F340" s="11" t="s">
        <v>20</v>
      </c>
      <c r="G340" s="11">
        <v>25</v>
      </c>
      <c r="H340" s="11">
        <v>65</v>
      </c>
      <c r="I340" s="11">
        <v>0</v>
      </c>
      <c r="J340" s="11">
        <v>0</v>
      </c>
      <c r="K340" s="11" t="s">
        <v>21</v>
      </c>
      <c r="L340" s="7">
        <v>40687.945567129631</v>
      </c>
      <c r="M340" s="12" t="s">
        <v>961</v>
      </c>
      <c r="N340" s="12"/>
      <c r="O340" s="10" t="str">
        <f>HYPERLINK("https://pbs.twimg.com/profile_images/567750100772855808/YTBbVSSU_normal.jpeg","View")</f>
        <v>View</v>
      </c>
      <c r="P340" s="11"/>
    </row>
    <row r="341" spans="1:16" ht="12.75" x14ac:dyDescent="0.35">
      <c r="A341" s="7">
        <v>42481.440289351856</v>
      </c>
      <c r="B341" s="8" t="str">
        <f>HYPERLINK("https://twitter.com/SPIEGELONLINE","@SPIEGELONLINE")</f>
        <v>@SPIEGELONLINE</v>
      </c>
      <c r="C341" s="9" t="s">
        <v>962</v>
      </c>
      <c r="D341" s="9" t="s">
        <v>963</v>
      </c>
      <c r="E341" s="10" t="str">
        <f>HYPERLINK("https://twitter.com/SPIEGELONLINE/status/723014404552441856","723014404552441856")</f>
        <v>723014404552441856</v>
      </c>
      <c r="F341" s="11" t="s">
        <v>63</v>
      </c>
      <c r="G341" s="11">
        <v>1327302</v>
      </c>
      <c r="H341" s="11">
        <v>295</v>
      </c>
      <c r="I341" s="11">
        <v>6</v>
      </c>
      <c r="J341" s="11">
        <v>13</v>
      </c>
      <c r="K341" s="11" t="s">
        <v>21</v>
      </c>
      <c r="L341" s="7">
        <v>39170.767199074078</v>
      </c>
      <c r="M341" s="12" t="s">
        <v>964</v>
      </c>
      <c r="N341" s="12" t="s">
        <v>965</v>
      </c>
      <c r="O341" s="10" t="str">
        <f>HYPERLINK("https://pbs.twimg.com/profile_images/1719664041/tw_spon_normal.jpg","View")</f>
        <v>View</v>
      </c>
      <c r="P341" s="11"/>
    </row>
    <row r="342" spans="1:16" ht="12.75" x14ac:dyDescent="0.35">
      <c r="A342" s="7">
        <v>42481.440983796296</v>
      </c>
      <c r="B342" s="8" t="str">
        <f>HYPERLINK("https://twitter.com/PanchoChavez_","@PanchoChavez_")</f>
        <v>@PanchoChavez_</v>
      </c>
      <c r="C342" s="9" t="s">
        <v>966</v>
      </c>
      <c r="D342" s="9" t="s">
        <v>967</v>
      </c>
      <c r="E342" s="10" t="str">
        <f>HYPERLINK("https://twitter.com/PanchoChavez_/status/723014654914617345","723014654914617345")</f>
        <v>723014654914617345</v>
      </c>
      <c r="F342" s="11" t="s">
        <v>68</v>
      </c>
      <c r="G342" s="11">
        <v>98</v>
      </c>
      <c r="H342" s="11">
        <v>4</v>
      </c>
      <c r="I342" s="11">
        <v>0</v>
      </c>
      <c r="J342" s="11">
        <v>0</v>
      </c>
      <c r="K342" s="11" t="s">
        <v>21</v>
      </c>
      <c r="L342" s="7">
        <v>42286.913206018522</v>
      </c>
      <c r="M342" s="12" t="s">
        <v>968</v>
      </c>
      <c r="N342" s="12"/>
      <c r="O342" s="10" t="str">
        <f>HYPERLINK("https://pbs.twimg.com/profile_images/665332613347831808/m6b_V4Xn_normal.jpg","View")</f>
        <v>View</v>
      </c>
      <c r="P342" s="11"/>
    </row>
    <row r="343" spans="1:16" ht="12.75" x14ac:dyDescent="0.35">
      <c r="A343" s="7">
        <v>42481.441134259258</v>
      </c>
      <c r="B343" s="8" t="str">
        <f>HYPERLINK("https://twitter.com/it_itt","@it_itt")</f>
        <v>@it_itt</v>
      </c>
      <c r="C343" s="9" t="s">
        <v>969</v>
      </c>
      <c r="D343" s="9" t="s">
        <v>970</v>
      </c>
      <c r="E343" s="10" t="str">
        <f>HYPERLINK("https://twitter.com/it_itt/status/723014709616635904","723014709616635904")</f>
        <v>723014709616635904</v>
      </c>
      <c r="F343" s="11" t="s">
        <v>48</v>
      </c>
      <c r="G343" s="11">
        <v>1577</v>
      </c>
      <c r="H343" s="11">
        <v>1733</v>
      </c>
      <c r="I343" s="11">
        <v>6</v>
      </c>
      <c r="J343" s="11">
        <v>0</v>
      </c>
      <c r="K343" s="11" t="s">
        <v>21</v>
      </c>
      <c r="L343" s="7">
        <v>41225.31894675926</v>
      </c>
      <c r="M343" s="12" t="s">
        <v>971</v>
      </c>
      <c r="N343" s="12" t="s">
        <v>972</v>
      </c>
      <c r="O343" s="10" t="str">
        <f>HYPERLINK("https://pbs.twimg.com/profile_images/694690850241011712/MIUbJ12E_normal.jpg","View")</f>
        <v>View</v>
      </c>
      <c r="P343" s="11"/>
    </row>
    <row r="344" spans="1:16" ht="12.75" x14ac:dyDescent="0.35">
      <c r="A344" s="7">
        <v>42481.441145833334</v>
      </c>
      <c r="B344" s="8" t="str">
        <f>HYPERLINK("https://twitter.com/handelsblatt","@handelsblatt")</f>
        <v>@handelsblatt</v>
      </c>
      <c r="C344" s="9" t="s">
        <v>973</v>
      </c>
      <c r="D344" s="9" t="s">
        <v>974</v>
      </c>
      <c r="E344" s="10" t="str">
        <f>HYPERLINK("https://twitter.com/handelsblatt/status/723014713664262144","723014713664262144")</f>
        <v>723014713664262144</v>
      </c>
      <c r="F344" s="11" t="s">
        <v>63</v>
      </c>
      <c r="G344" s="11">
        <v>239918</v>
      </c>
      <c r="H344" s="11">
        <v>534</v>
      </c>
      <c r="I344" s="11">
        <v>3</v>
      </c>
      <c r="J344" s="11">
        <v>0</v>
      </c>
      <c r="K344" s="11" t="s">
        <v>21</v>
      </c>
      <c r="L344" s="7">
        <v>39207.128182870372</v>
      </c>
      <c r="M344" s="12" t="s">
        <v>975</v>
      </c>
      <c r="N344" s="12" t="s">
        <v>976</v>
      </c>
      <c r="O344" s="10" t="str">
        <f>HYPERLINK("https://pbs.twimg.com/profile_images/562563461171798017/AkHF4keI_normal.png","View")</f>
        <v>View</v>
      </c>
      <c r="P344" s="11"/>
    </row>
    <row r="345" spans="1:16" ht="12.75" x14ac:dyDescent="0.35">
      <c r="A345" s="7">
        <v>42481.441516203704</v>
      </c>
      <c r="B345" s="8" t="str">
        <f>HYPERLINK("https://twitter.com/vaughn_bill","@vaughn_bill")</f>
        <v>@vaughn_bill</v>
      </c>
      <c r="C345" s="9" t="s">
        <v>959</v>
      </c>
      <c r="D345" s="9" t="s">
        <v>977</v>
      </c>
      <c r="E345" s="10" t="str">
        <f>HYPERLINK("https://twitter.com/vaughn_bill/status/723014849194659840","723014849194659840")</f>
        <v>723014849194659840</v>
      </c>
      <c r="F345" s="11" t="s">
        <v>20</v>
      </c>
      <c r="G345" s="11">
        <v>25</v>
      </c>
      <c r="H345" s="11">
        <v>65</v>
      </c>
      <c r="I345" s="11">
        <v>0</v>
      </c>
      <c r="J345" s="11">
        <v>0</v>
      </c>
      <c r="K345" s="11" t="s">
        <v>21</v>
      </c>
      <c r="L345" s="7">
        <v>40687.945567129631</v>
      </c>
      <c r="M345" s="12" t="s">
        <v>961</v>
      </c>
      <c r="N345" s="12"/>
      <c r="O345" s="10" t="str">
        <f>HYPERLINK("https://pbs.twimg.com/profile_images/567750100772855808/YTBbVSSU_normal.jpeg","View")</f>
        <v>View</v>
      </c>
      <c r="P345" s="11"/>
    </row>
    <row r="346" spans="1:16" ht="12.75" x14ac:dyDescent="0.35">
      <c r="A346" s="7">
        <v>42481.442916666667</v>
      </c>
      <c r="B346" s="8" t="str">
        <f>HYPERLINK("https://twitter.com/ivomechels","@ivomechels")</f>
        <v>@ivomechels</v>
      </c>
      <c r="C346" s="9" t="s">
        <v>978</v>
      </c>
      <c r="D346" s="9" t="s">
        <v>979</v>
      </c>
      <c r="E346" s="10" t="str">
        <f>HYPERLINK("https://twitter.com/ivomechels/status/723015355698806785","723015355698806785")</f>
        <v>723015355698806785</v>
      </c>
      <c r="F346" s="11" t="s">
        <v>43</v>
      </c>
      <c r="G346" s="11">
        <v>5888</v>
      </c>
      <c r="H346" s="11">
        <v>1185</v>
      </c>
      <c r="I346" s="11">
        <v>7</v>
      </c>
      <c r="J346" s="11">
        <v>2</v>
      </c>
      <c r="K346" s="11" t="s">
        <v>21</v>
      </c>
      <c r="L346" s="7">
        <v>40023.762314814812</v>
      </c>
      <c r="M346" s="12" t="s">
        <v>980</v>
      </c>
      <c r="N346" s="12" t="s">
        <v>981</v>
      </c>
      <c r="O346" s="10" t="str">
        <f>HYPERLINK("https://pbs.twimg.com/profile_images/1348837821/IvoMechels03_normal.jpg","View")</f>
        <v>View</v>
      </c>
      <c r="P346" s="11"/>
    </row>
    <row r="347" spans="1:16" ht="12.75" x14ac:dyDescent="0.35">
      <c r="A347" s="7">
        <v>42481.443518518514</v>
      </c>
      <c r="B347" s="8" t="str">
        <f>HYPERLINK("https://twitter.com/vaughn_bill","@vaughn_bill")</f>
        <v>@vaughn_bill</v>
      </c>
      <c r="C347" s="9" t="s">
        <v>959</v>
      </c>
      <c r="D347" s="9" t="s">
        <v>982</v>
      </c>
      <c r="E347" s="10" t="str">
        <f>HYPERLINK("https://twitter.com/vaughn_bill/status/723015572976361475","723015572976361475")</f>
        <v>723015572976361475</v>
      </c>
      <c r="F347" s="11" t="s">
        <v>20</v>
      </c>
      <c r="G347" s="11">
        <v>25</v>
      </c>
      <c r="H347" s="11">
        <v>65</v>
      </c>
      <c r="I347" s="11">
        <v>0</v>
      </c>
      <c r="J347" s="11">
        <v>1</v>
      </c>
      <c r="K347" s="11" t="s">
        <v>21</v>
      </c>
      <c r="L347" s="7">
        <v>40687.945567129631</v>
      </c>
      <c r="M347" s="12" t="s">
        <v>961</v>
      </c>
      <c r="N347" s="12"/>
      <c r="O347" s="10" t="str">
        <f>HYPERLINK("https://pbs.twimg.com/profile_images/567750100772855808/YTBbVSSU_normal.jpeg","View")</f>
        <v>View</v>
      </c>
      <c r="P347" s="11"/>
    </row>
    <row r="348" spans="1:16" ht="12.75" x14ac:dyDescent="0.35">
      <c r="A348" s="7">
        <v>42481.443749999999</v>
      </c>
      <c r="B348" s="8" t="str">
        <f>HYPERLINK("https://twitter.com/VUruburu","@VUruburu")</f>
        <v>@VUruburu</v>
      </c>
      <c r="C348" s="9" t="s">
        <v>983</v>
      </c>
      <c r="D348" s="9" t="s">
        <v>984</v>
      </c>
      <c r="E348" s="10" t="str">
        <f>HYPERLINK("https://twitter.com/VUruburu/status/723015658414456833","723015658414456833")</f>
        <v>723015658414456833</v>
      </c>
      <c r="F348" s="11" t="s">
        <v>985</v>
      </c>
      <c r="G348" s="11">
        <v>149</v>
      </c>
      <c r="H348" s="11">
        <v>152</v>
      </c>
      <c r="I348" s="11">
        <v>0</v>
      </c>
      <c r="J348" s="11">
        <v>0</v>
      </c>
      <c r="K348" s="11" t="s">
        <v>21</v>
      </c>
      <c r="L348" s="7">
        <v>39969.988020833334</v>
      </c>
      <c r="M348" s="12" t="s">
        <v>986</v>
      </c>
      <c r="N348" s="12"/>
      <c r="O348" s="10" t="str">
        <f>HYPERLINK("https://pbs.twimg.com/profile_images/1303402494/image_normal.jpg","View")</f>
        <v>View</v>
      </c>
      <c r="P348" s="11"/>
    </row>
    <row r="349" spans="1:16" ht="12.75" x14ac:dyDescent="0.35">
      <c r="A349" s="7">
        <v>42481.444039351853</v>
      </c>
      <c r="B349" s="8" t="str">
        <f>HYPERLINK("https://twitter.com/Gareth1958","@Gareth1958")</f>
        <v>@Gareth1958</v>
      </c>
      <c r="C349" s="9" t="s">
        <v>987</v>
      </c>
      <c r="D349" s="9" t="s">
        <v>988</v>
      </c>
      <c r="E349" s="10" t="str">
        <f>HYPERLINK("https://twitter.com/Gareth1958/status/723015761376219136","723015761376219136")</f>
        <v>723015761376219136</v>
      </c>
      <c r="F349" s="11" t="s">
        <v>48</v>
      </c>
      <c r="G349" s="11">
        <v>28</v>
      </c>
      <c r="H349" s="11">
        <v>11</v>
      </c>
      <c r="I349" s="11">
        <v>0</v>
      </c>
      <c r="J349" s="11">
        <v>0</v>
      </c>
      <c r="K349" s="11" t="s">
        <v>21</v>
      </c>
      <c r="L349" s="7">
        <v>40510.017418981479</v>
      </c>
      <c r="M349" s="12" t="s">
        <v>989</v>
      </c>
      <c r="N349" s="12" t="s">
        <v>990</v>
      </c>
      <c r="O349" s="10" t="str">
        <f>HYPERLINK("https://pbs.twimg.com/profile_images/601500876432384000/erGCfhZl_normal.jpg","View")</f>
        <v>View</v>
      </c>
      <c r="P349" s="11"/>
    </row>
    <row r="350" spans="1:16" ht="12.75" x14ac:dyDescent="0.35">
      <c r="A350" s="7">
        <v>42481.444247685184</v>
      </c>
      <c r="B350" s="8" t="str">
        <f>HYPERLINK("https://twitter.com/matt_fowler79","@matt_fowler79")</f>
        <v>@matt_fowler79</v>
      </c>
      <c r="C350" s="9" t="s">
        <v>991</v>
      </c>
      <c r="D350" s="9" t="s">
        <v>992</v>
      </c>
      <c r="E350" s="10" t="str">
        <f>HYPERLINK("https://twitter.com/matt_fowler79/status/723015838719074305","723015838719074305")</f>
        <v>723015838719074305</v>
      </c>
      <c r="F350" s="11" t="s">
        <v>20</v>
      </c>
      <c r="G350" s="11">
        <v>72</v>
      </c>
      <c r="H350" s="11">
        <v>172</v>
      </c>
      <c r="I350" s="11">
        <v>0</v>
      </c>
      <c r="J350" s="11">
        <v>0</v>
      </c>
      <c r="K350" s="11" t="s">
        <v>21</v>
      </c>
      <c r="L350" s="7">
        <v>40852.251585648148</v>
      </c>
      <c r="M350" s="12" t="s">
        <v>993</v>
      </c>
      <c r="N350" s="12"/>
      <c r="O350" s="10" t="str">
        <f>HYPERLINK("https://pbs.twimg.com/profile_images/1622881609/image_normal.jpg","View")</f>
        <v>View</v>
      </c>
      <c r="P350" s="11"/>
    </row>
    <row r="351" spans="1:16" ht="12.75" x14ac:dyDescent="0.35">
      <c r="A351" s="7">
        <v>42481.44425925926</v>
      </c>
      <c r="B351" s="8" t="str">
        <f>HYPERLINK("https://twitter.com/kensegovia","@kensegovia")</f>
        <v>@kensegovia</v>
      </c>
      <c r="C351" s="9" t="s">
        <v>994</v>
      </c>
      <c r="D351" s="9" t="s">
        <v>995</v>
      </c>
      <c r="E351" s="10" t="str">
        <f>HYPERLINK("https://twitter.com/kensegovia/status/723015842376470528","723015842376470528")</f>
        <v>723015842376470528</v>
      </c>
      <c r="F351" s="11" t="s">
        <v>43</v>
      </c>
      <c r="G351" s="11">
        <v>122</v>
      </c>
      <c r="H351" s="11">
        <v>176</v>
      </c>
      <c r="I351" s="11">
        <v>0</v>
      </c>
      <c r="J351" s="11">
        <v>0</v>
      </c>
      <c r="K351" s="11" t="s">
        <v>21</v>
      </c>
      <c r="L351" s="7">
        <v>41066.416527777779</v>
      </c>
      <c r="M351" s="12"/>
      <c r="N351" s="12" t="s">
        <v>996</v>
      </c>
      <c r="O351" s="10" t="str">
        <f>HYPERLINK("https://pbs.twimg.com/profile_images/2913473301/cb78ad4fd93b205a7e987ba1d345a438_normal.jpeg","View")</f>
        <v>View</v>
      </c>
      <c r="P351" s="11"/>
    </row>
    <row r="352" spans="1:16" ht="12.75" x14ac:dyDescent="0.35">
      <c r="A352" s="7">
        <v>42481.444571759261</v>
      </c>
      <c r="B352" s="8" t="str">
        <f>HYPERLINK("https://twitter.com/Chio_Vilchis","@Chio_Vilchis")</f>
        <v>@Chio_Vilchis</v>
      </c>
      <c r="C352" s="9" t="s">
        <v>997</v>
      </c>
      <c r="D352" s="9" t="s">
        <v>998</v>
      </c>
      <c r="E352" s="10" t="str">
        <f>HYPERLINK("https://twitter.com/Chio_Vilchis/status/723015955736059908","723015955736059908")</f>
        <v>723015955736059908</v>
      </c>
      <c r="F352" s="11" t="s">
        <v>68</v>
      </c>
      <c r="G352" s="11">
        <v>293</v>
      </c>
      <c r="H352" s="11">
        <v>52</v>
      </c>
      <c r="I352" s="11">
        <v>0</v>
      </c>
      <c r="J352" s="11">
        <v>0</v>
      </c>
      <c r="K352" s="11" t="s">
        <v>21</v>
      </c>
      <c r="L352" s="7">
        <v>42287.681759259256</v>
      </c>
      <c r="M352" s="12" t="s">
        <v>968</v>
      </c>
      <c r="N352" s="12"/>
      <c r="O352" s="10" t="str">
        <f>HYPERLINK("https://pbs.twimg.com/profile_images/691338329158057984/bHr__ZZL_normal.jpg","View")</f>
        <v>View</v>
      </c>
      <c r="P352" s="11"/>
    </row>
    <row r="353" spans="1:16" ht="12.75" x14ac:dyDescent="0.35">
      <c r="A353" s="7">
        <v>42481.444814814815</v>
      </c>
      <c r="B353" s="8" t="str">
        <f>HYPERLINK("https://twitter.com/enCARtorTanay","@enCARtorTanay")</f>
        <v>@enCARtorTanay</v>
      </c>
      <c r="C353" s="9" t="s">
        <v>999</v>
      </c>
      <c r="D353" s="9" t="s">
        <v>1000</v>
      </c>
      <c r="E353" s="10" t="str">
        <f>HYPERLINK("https://twitter.com/enCARtorTanay/status/723016042939703296","723016042939703296")</f>
        <v>723016042939703296</v>
      </c>
      <c r="F353" s="11" t="s">
        <v>48</v>
      </c>
      <c r="G353" s="11">
        <v>67</v>
      </c>
      <c r="H353" s="11">
        <v>268</v>
      </c>
      <c r="I353" s="11">
        <v>0</v>
      </c>
      <c r="J353" s="11">
        <v>0</v>
      </c>
      <c r="K353" s="11" t="s">
        <v>21</v>
      </c>
      <c r="L353" s="7">
        <v>42381.931770833333</v>
      </c>
      <c r="M353" s="12" t="s">
        <v>1001</v>
      </c>
      <c r="N353" s="12" t="s">
        <v>1002</v>
      </c>
      <c r="O353" s="10" t="str">
        <f>HYPERLINK("https://pbs.twimg.com/profile_images/686954765318684672/WxWRcFJI_normal.jpg","View")</f>
        <v>View</v>
      </c>
      <c r="P353" s="11"/>
    </row>
    <row r="354" spans="1:16" ht="12.75" x14ac:dyDescent="0.35">
      <c r="A354" s="7">
        <v>42481.445150462961</v>
      </c>
      <c r="B354" s="8" t="str">
        <f>HYPERLINK("https://twitter.com/handelsblatt","@handelsblatt")</f>
        <v>@handelsblatt</v>
      </c>
      <c r="C354" s="9" t="s">
        <v>973</v>
      </c>
      <c r="D354" s="9" t="s">
        <v>1003</v>
      </c>
      <c r="E354" s="10" t="str">
        <f>HYPERLINK("https://twitter.com/handelsblatt/status/723016165019246592","723016165019246592")</f>
        <v>723016165019246592</v>
      </c>
      <c r="F354" s="11" t="s">
        <v>63</v>
      </c>
      <c r="G354" s="11">
        <v>239918</v>
      </c>
      <c r="H354" s="11">
        <v>534</v>
      </c>
      <c r="I354" s="11">
        <v>1</v>
      </c>
      <c r="J354" s="11">
        <v>2</v>
      </c>
      <c r="K354" s="11" t="s">
        <v>21</v>
      </c>
      <c r="L354" s="7">
        <v>39207.128182870372</v>
      </c>
      <c r="M354" s="12" t="s">
        <v>975</v>
      </c>
      <c r="N354" s="12" t="s">
        <v>976</v>
      </c>
      <c r="O354" s="10" t="str">
        <f>HYPERLINK("https://pbs.twimg.com/profile_images/562563461171798017/AkHF4keI_normal.png","View")</f>
        <v>View</v>
      </c>
      <c r="P354" s="11"/>
    </row>
    <row r="355" spans="1:16" ht="12.75" x14ac:dyDescent="0.35">
      <c r="A355" s="7">
        <v>42481.445439814815</v>
      </c>
      <c r="B355" s="8" t="str">
        <f>HYPERLINK("https://twitter.com/GamemomManuela","@GamemomManuela")</f>
        <v>@GamemomManuela</v>
      </c>
      <c r="C355" s="9" t="s">
        <v>1004</v>
      </c>
      <c r="D355" s="9" t="s">
        <v>970</v>
      </c>
      <c r="E355" s="10" t="str">
        <f>HYPERLINK("https://twitter.com/GamemomManuela/status/723016268723425280","723016268723425280")</f>
        <v>723016268723425280</v>
      </c>
      <c r="F355" s="11" t="s">
        <v>20</v>
      </c>
      <c r="G355" s="11">
        <v>522</v>
      </c>
      <c r="H355" s="11">
        <v>1761</v>
      </c>
      <c r="I355" s="11">
        <v>6</v>
      </c>
      <c r="J355" s="11">
        <v>0</v>
      </c>
      <c r="K355" s="11" t="s">
        <v>21</v>
      </c>
      <c r="L355" s="7">
        <v>42251.438541666663</v>
      </c>
      <c r="M355" s="12" t="s">
        <v>1005</v>
      </c>
      <c r="N355" s="12" t="s">
        <v>1006</v>
      </c>
      <c r="O355" s="10" t="str">
        <f>HYPERLINK("https://pbs.twimg.com/profile_images/678207078725492736/74zDNMK2_normal.jpg","View")</f>
        <v>View</v>
      </c>
      <c r="P355" s="11"/>
    </row>
    <row r="356" spans="1:16" ht="12.75" x14ac:dyDescent="0.35">
      <c r="A356" s="7">
        <v>42481.445543981477</v>
      </c>
      <c r="B356" s="8" t="str">
        <f>HYPERLINK("https://twitter.com/Imtweetingtoo","@Imtweetingtoo")</f>
        <v>@Imtweetingtoo</v>
      </c>
      <c r="C356" s="9" t="s">
        <v>1007</v>
      </c>
      <c r="D356" s="9" t="s">
        <v>1008</v>
      </c>
      <c r="E356" s="10" t="str">
        <f>HYPERLINK("https://twitter.com/Imtweetingtoo/status/723016307399004161","723016307399004161")</f>
        <v>723016307399004161</v>
      </c>
      <c r="F356" s="11" t="s">
        <v>193</v>
      </c>
      <c r="G356" s="11">
        <v>23</v>
      </c>
      <c r="H356" s="11">
        <v>133</v>
      </c>
      <c r="I356" s="11">
        <v>0</v>
      </c>
      <c r="J356" s="11">
        <v>0</v>
      </c>
      <c r="K356" s="11" t="s">
        <v>21</v>
      </c>
      <c r="L356" s="7">
        <v>40477.160092592589</v>
      </c>
      <c r="M356" s="12"/>
      <c r="N356" s="12" t="s">
        <v>1009</v>
      </c>
      <c r="O356" s="10" t="str">
        <f>HYPERLINK("https://pbs.twimg.com/profile_images/1566466190/socialmedia07_100_normal.jpg","View")</f>
        <v>View</v>
      </c>
      <c r="P356" s="11"/>
    </row>
    <row r="357" spans="1:16" ht="12.75" x14ac:dyDescent="0.35">
      <c r="A357" s="7">
        <v>42481.446087962962</v>
      </c>
      <c r="B357" s="8" t="str">
        <f>HYPERLINK("https://twitter.com/TaitaCap","@TaitaCap")</f>
        <v>@TaitaCap</v>
      </c>
      <c r="C357" s="9" t="s">
        <v>1010</v>
      </c>
      <c r="D357" s="9" t="s">
        <v>25</v>
      </c>
      <c r="E357" s="10" t="str">
        <f>HYPERLINK("https://twitter.com/TaitaCap/status/723016505298923520","723016505298923520")</f>
        <v>723016505298923520</v>
      </c>
      <c r="F357" s="11" t="s">
        <v>91</v>
      </c>
      <c r="G357" s="11">
        <v>4042</v>
      </c>
      <c r="H357" s="11">
        <v>4085</v>
      </c>
      <c r="I357" s="11">
        <v>95</v>
      </c>
      <c r="J357" s="11">
        <v>0</v>
      </c>
      <c r="K357" s="11" t="s">
        <v>21</v>
      </c>
      <c r="L357" s="7">
        <v>41701.689849537041</v>
      </c>
      <c r="M357" s="12" t="s">
        <v>1011</v>
      </c>
      <c r="N357" s="12" t="s">
        <v>1012</v>
      </c>
      <c r="O357" s="10" t="str">
        <f>HYPERLINK("https://pbs.twimg.com/profile_images/441861706751291392/Z-HgWtQW_normal.png","View")</f>
        <v>View</v>
      </c>
      <c r="P357" s="11"/>
    </row>
    <row r="358" spans="1:16" ht="12.75" x14ac:dyDescent="0.35">
      <c r="A358" s="7">
        <v>42481.446261574078</v>
      </c>
      <c r="B358" s="8" t="str">
        <f>HYPERLINK("https://twitter.com/calerliu","@calerliu")</f>
        <v>@calerliu</v>
      </c>
      <c r="C358" s="9" t="s">
        <v>1013</v>
      </c>
      <c r="D358" s="9" t="s">
        <v>1014</v>
      </c>
      <c r="E358" s="10" t="str">
        <f>HYPERLINK("https://twitter.com/calerliu/status/723016568360304640","723016568360304640")</f>
        <v>723016568360304640</v>
      </c>
      <c r="F358" s="11" t="s">
        <v>114</v>
      </c>
      <c r="G358" s="11">
        <v>10</v>
      </c>
      <c r="H358" s="11">
        <v>12</v>
      </c>
      <c r="I358" s="11">
        <v>0</v>
      </c>
      <c r="J358" s="11">
        <v>0</v>
      </c>
      <c r="K358" s="11" t="s">
        <v>21</v>
      </c>
      <c r="L358" s="7">
        <v>40555.874074074076</v>
      </c>
      <c r="M358" s="12" t="s">
        <v>1015</v>
      </c>
      <c r="N358" s="12"/>
      <c r="O358" s="10" t="str">
        <f>HYPERLINK("https://pbs.twimg.com/profile_images/581304253232222209/xA9FxzU4_normal.jpg","View")</f>
        <v>View</v>
      </c>
      <c r="P358" s="10" t="str">
        <f>HYPERLINK("http://ctrlq.org/maps/address/#25.04653,121.53201","Map")</f>
        <v>Map</v>
      </c>
    </row>
    <row r="359" spans="1:16" ht="12.75" x14ac:dyDescent="0.35">
      <c r="A359" s="7">
        <v>42481.446331018524</v>
      </c>
      <c r="B359" s="8" t="str">
        <f>HYPERLINK("https://twitter.com/MasAcuy","@MasAcuy")</f>
        <v>@MasAcuy</v>
      </c>
      <c r="C359" s="9" t="s">
        <v>1016</v>
      </c>
      <c r="D359" s="9" t="s">
        <v>1017</v>
      </c>
      <c r="E359" s="10" t="str">
        <f>HYPERLINK("https://twitter.com/MasAcuy/status/723016595040292864","723016595040292864")</f>
        <v>723016595040292864</v>
      </c>
      <c r="F359" s="11" t="s">
        <v>68</v>
      </c>
      <c r="G359" s="11">
        <v>323</v>
      </c>
      <c r="H359" s="11">
        <v>127</v>
      </c>
      <c r="I359" s="11">
        <v>0</v>
      </c>
      <c r="J359" s="11">
        <v>0</v>
      </c>
      <c r="K359" s="11" t="s">
        <v>21</v>
      </c>
      <c r="L359" s="7">
        <v>41025.842129629629</v>
      </c>
      <c r="M359" s="12" t="s">
        <v>1018</v>
      </c>
      <c r="N359" s="12" t="s">
        <v>1019</v>
      </c>
      <c r="O359" s="10" t="str">
        <f>HYPERLINK("https://pbs.twimg.com/profile_images/714952023771385856/rd4udFP4_normal.jpg","View")</f>
        <v>View</v>
      </c>
      <c r="P359" s="11"/>
    </row>
    <row r="360" spans="1:16" ht="12.75" x14ac:dyDescent="0.35">
      <c r="A360" s="7">
        <v>42481.446585648147</v>
      </c>
      <c r="B360" s="8" t="str">
        <f>HYPERLINK("https://twitter.com/kovermarroquin","@kovermarroquin")</f>
        <v>@kovermarroquin</v>
      </c>
      <c r="C360" s="9" t="s">
        <v>1020</v>
      </c>
      <c r="D360" s="9" t="s">
        <v>1021</v>
      </c>
      <c r="E360" s="10" t="str">
        <f>HYPERLINK("https://twitter.com/kovermarroquin/status/723016686648086528","723016686648086528")</f>
        <v>723016686648086528</v>
      </c>
      <c r="F360" s="11" t="s">
        <v>114</v>
      </c>
      <c r="G360" s="11">
        <v>162</v>
      </c>
      <c r="H360" s="11">
        <v>307</v>
      </c>
      <c r="I360" s="11">
        <v>0</v>
      </c>
      <c r="J360" s="11">
        <v>0</v>
      </c>
      <c r="K360" s="11" t="s">
        <v>21</v>
      </c>
      <c r="L360" s="7">
        <v>40663.390960648147</v>
      </c>
      <c r="M360" s="12" t="s">
        <v>1022</v>
      </c>
      <c r="N360" s="12" t="s">
        <v>1023</v>
      </c>
      <c r="O360" s="10" t="str">
        <f>HYPERLINK("https://pbs.twimg.com/profile_images/585985662311989249/JuiH7935_normal.jpg","View")</f>
        <v>View</v>
      </c>
      <c r="P360" s="11"/>
    </row>
    <row r="361" spans="1:16" ht="12.75" x14ac:dyDescent="0.35">
      <c r="A361" s="7">
        <v>42481.448761574073</v>
      </c>
      <c r="B361" s="8" t="str">
        <f>HYPERLINK("https://twitter.com/godmodetrader","@godmodetrader")</f>
        <v>@godmodetrader</v>
      </c>
      <c r="C361" s="8" t="s">
        <v>1024</v>
      </c>
      <c r="D361" s="9" t="s">
        <v>1025</v>
      </c>
      <c r="E361" s="10" t="str">
        <f>HYPERLINK("https://twitter.com/godmodetrader/status/723017472572559360","723017472572559360")</f>
        <v>723017472572559360</v>
      </c>
      <c r="F361" s="11" t="s">
        <v>1026</v>
      </c>
      <c r="G361" s="11">
        <v>4562</v>
      </c>
      <c r="H361" s="11">
        <v>139</v>
      </c>
      <c r="I361" s="11">
        <v>0</v>
      </c>
      <c r="J361" s="11">
        <v>0</v>
      </c>
      <c r="K361" s="11" t="s">
        <v>21</v>
      </c>
      <c r="L361" s="7">
        <v>39966.895092592589</v>
      </c>
      <c r="M361" s="12" t="s">
        <v>1027</v>
      </c>
      <c r="N361" s="12" t="s">
        <v>1028</v>
      </c>
      <c r="O361" s="10" t="str">
        <f>HYPERLINK("https://pbs.twimg.com/profile_images/466932117843095552/3U3jGoYm_normal.jpeg","View")</f>
        <v>View</v>
      </c>
      <c r="P361" s="11"/>
    </row>
    <row r="362" spans="1:16" ht="12.75" x14ac:dyDescent="0.35">
      <c r="A362" s="7">
        <v>42481.448831018519</v>
      </c>
      <c r="B362" s="8" t="str">
        <f>HYPERLINK("https://twitter.com/NurminenTapio","@NurminenTapio")</f>
        <v>@NurminenTapio</v>
      </c>
      <c r="C362" s="9" t="s">
        <v>1029</v>
      </c>
      <c r="D362" s="9" t="s">
        <v>1030</v>
      </c>
      <c r="E362" s="10" t="str">
        <f>HYPERLINK("https://twitter.com/NurminenTapio/status/723017500141694976","723017500141694976")</f>
        <v>723017500141694976</v>
      </c>
      <c r="F362" s="11" t="s">
        <v>91</v>
      </c>
      <c r="G362" s="11">
        <v>1553</v>
      </c>
      <c r="H362" s="11">
        <v>903</v>
      </c>
      <c r="I362" s="11">
        <v>3</v>
      </c>
      <c r="J362" s="11">
        <v>0</v>
      </c>
      <c r="K362" s="11" t="s">
        <v>21</v>
      </c>
      <c r="L362" s="7">
        <v>41239.654988425929</v>
      </c>
      <c r="M362" s="12"/>
      <c r="N362" s="12" t="s">
        <v>1031</v>
      </c>
      <c r="O362" s="10" t="str">
        <f>HYPERLINK("https://pbs.twimg.com/profile_images/723022210781351936/8F5B1xB5_normal.jpg","View")</f>
        <v>View</v>
      </c>
      <c r="P362" s="11"/>
    </row>
    <row r="363" spans="1:16" ht="12.75" x14ac:dyDescent="0.35">
      <c r="A363" s="7">
        <v>42481.450219907405</v>
      </c>
      <c r="B363" s="8" t="str">
        <f>HYPERLINK("https://twitter.com/CarlEReid","@CarlEReid")</f>
        <v>@CarlEReid</v>
      </c>
      <c r="C363" s="9" t="s">
        <v>1032</v>
      </c>
      <c r="D363" s="9" t="s">
        <v>1033</v>
      </c>
      <c r="E363" s="10" t="str">
        <f>HYPERLINK("https://twitter.com/CarlEReid/status/723018001927131136","723018001927131136")</f>
        <v>723018001927131136</v>
      </c>
      <c r="F363" s="11" t="s">
        <v>1034</v>
      </c>
      <c r="G363" s="11">
        <v>12022</v>
      </c>
      <c r="H363" s="11">
        <v>11872</v>
      </c>
      <c r="I363" s="11">
        <v>0</v>
      </c>
      <c r="J363" s="11">
        <v>0</v>
      </c>
      <c r="K363" s="11" t="s">
        <v>21</v>
      </c>
      <c r="L363" s="7">
        <v>39458.122060185182</v>
      </c>
      <c r="M363" s="12" t="s">
        <v>1035</v>
      </c>
      <c r="N363" s="12" t="s">
        <v>1036</v>
      </c>
      <c r="O363" s="10" t="str">
        <f>HYPERLINK("https://pbs.twimg.com/profile_images/689312198766804992/wcPsXoZ4_normal.jpg","View")</f>
        <v>View</v>
      </c>
      <c r="P363" s="11"/>
    </row>
    <row r="364" spans="1:16" ht="12.75" x14ac:dyDescent="0.35">
      <c r="A364" s="7">
        <v>42481.453530092593</v>
      </c>
      <c r="B364" s="8" t="str">
        <f>HYPERLINK("https://twitter.com/AmBeautifulShow","@AmBeautifulShow")</f>
        <v>@AmBeautifulShow</v>
      </c>
      <c r="C364" s="9" t="s">
        <v>1037</v>
      </c>
      <c r="D364" s="9" t="s">
        <v>970</v>
      </c>
      <c r="E364" s="10" t="str">
        <f>HYPERLINK("https://twitter.com/AmBeautifulShow/status/723019203792375808","723019203792375808")</f>
        <v>723019203792375808</v>
      </c>
      <c r="F364" s="11" t="s">
        <v>43</v>
      </c>
      <c r="G364" s="11">
        <v>2262</v>
      </c>
      <c r="H364" s="11">
        <v>4336</v>
      </c>
      <c r="I364" s="11">
        <v>6</v>
      </c>
      <c r="J364" s="11">
        <v>0</v>
      </c>
      <c r="K364" s="11" t="s">
        <v>21</v>
      </c>
      <c r="L364" s="7">
        <v>40392.139004629629</v>
      </c>
      <c r="M364" s="12" t="s">
        <v>1038</v>
      </c>
      <c r="N364" s="12" t="s">
        <v>1039</v>
      </c>
      <c r="O364" s="10" t="str">
        <f>HYPERLINK("https://pbs.twimg.com/profile_images/701247809287286785/ZAA-TgHg_normal.jpg","View")</f>
        <v>View</v>
      </c>
      <c r="P364" s="11"/>
    </row>
    <row r="365" spans="1:16" ht="12.75" x14ac:dyDescent="0.35">
      <c r="A365" s="7">
        <v>42481.453958333332</v>
      </c>
      <c r="B365" s="8" t="str">
        <f>HYPERLINK("https://twitter.com/Fumblkrusch","@Fumblkrusch")</f>
        <v>@Fumblkrusch</v>
      </c>
      <c r="C365" s="9" t="s">
        <v>1040</v>
      </c>
      <c r="D365" s="9" t="s">
        <v>854</v>
      </c>
      <c r="E365" s="10" t="str">
        <f>HYPERLINK("https://twitter.com/Fumblkrusch/status/723019355697500160","723019355697500160")</f>
        <v>723019355697500160</v>
      </c>
      <c r="F365" s="11" t="s">
        <v>43</v>
      </c>
      <c r="G365" s="11">
        <v>104</v>
      </c>
      <c r="H365" s="11">
        <v>193</v>
      </c>
      <c r="I365" s="11">
        <v>11</v>
      </c>
      <c r="J365" s="11">
        <v>0</v>
      </c>
      <c r="K365" s="11" t="s">
        <v>21</v>
      </c>
      <c r="L365" s="7">
        <v>42090.916655092587</v>
      </c>
      <c r="M365" s="12"/>
      <c r="N365" s="12" t="s">
        <v>1041</v>
      </c>
      <c r="O365" s="10" t="str">
        <f>HYPERLINK("https://pbs.twimg.com/profile_images/581493900763893760/mHgaLoR5_normal.jpg","View")</f>
        <v>View</v>
      </c>
      <c r="P365" s="11"/>
    </row>
    <row r="366" spans="1:16" ht="12.75" x14ac:dyDescent="0.35">
      <c r="A366" s="7">
        <v>42481.454016203701</v>
      </c>
      <c r="B366" s="8" t="str">
        <f>HYPERLINK("https://twitter.com/wznewsline","@wznewsline")</f>
        <v>@wznewsline</v>
      </c>
      <c r="C366" s="9" t="s">
        <v>1042</v>
      </c>
      <c r="D366" s="9" t="s">
        <v>1043</v>
      </c>
      <c r="E366" s="10" t="str">
        <f>HYPERLINK("https://twitter.com/wznewsline/status/723019378866937856","723019378866937856")</f>
        <v>723019378866937856</v>
      </c>
      <c r="F366" s="11" t="s">
        <v>63</v>
      </c>
      <c r="G366" s="11">
        <v>7343</v>
      </c>
      <c r="H366" s="11">
        <v>696</v>
      </c>
      <c r="I366" s="11">
        <v>0</v>
      </c>
      <c r="J366" s="11">
        <v>0</v>
      </c>
      <c r="K366" s="11" t="s">
        <v>21</v>
      </c>
      <c r="L366" s="7">
        <v>39905.668657407405</v>
      </c>
      <c r="M366" s="12" t="s">
        <v>1044</v>
      </c>
      <c r="N366" s="12" t="s">
        <v>1045</v>
      </c>
      <c r="O366" s="10" t="str">
        <f>HYPERLINK("https://pbs.twimg.com/profile_images/619495022715645952/KN0iPdsN_normal.jpg","View")</f>
        <v>View</v>
      </c>
      <c r="P366" s="11"/>
    </row>
    <row r="367" spans="1:16" ht="12.75" x14ac:dyDescent="0.35">
      <c r="A367" s="7">
        <v>42481.456423611111</v>
      </c>
      <c r="B367" s="8" t="str">
        <f>HYPERLINK("https://twitter.com/oldcar_photo","@oldcar_photo")</f>
        <v>@oldcar_photo</v>
      </c>
      <c r="C367" s="9" t="s">
        <v>1046</v>
      </c>
      <c r="D367" s="9" t="s">
        <v>1047</v>
      </c>
      <c r="E367" s="10" t="str">
        <f>HYPERLINK("https://twitter.com/oldcar_photo/status/723020250015502336","723020250015502336")</f>
        <v>723020250015502336</v>
      </c>
      <c r="F367" s="11" t="s">
        <v>68</v>
      </c>
      <c r="G367" s="11">
        <v>1977</v>
      </c>
      <c r="H367" s="11">
        <v>0</v>
      </c>
      <c r="I367" s="11">
        <v>0</v>
      </c>
      <c r="J367" s="11">
        <v>2</v>
      </c>
      <c r="K367" s="11" t="s">
        <v>21</v>
      </c>
      <c r="L367" s="7">
        <v>42184.7341087963</v>
      </c>
      <c r="M367" s="12"/>
      <c r="N367" s="12"/>
      <c r="O367" s="10" t="str">
        <f>HYPERLINK("https://pbs.twimg.com/profile_images/615493650785660928/XHUh6HOk_normal.jpg","View")</f>
        <v>View</v>
      </c>
      <c r="P367" s="11"/>
    </row>
    <row r="368" spans="1:16" ht="12.75" x14ac:dyDescent="0.35">
      <c r="A368" s="7">
        <v>42481.45689814815</v>
      </c>
      <c r="B368" s="8" t="str">
        <f>HYPERLINK("https://twitter.com/DMBRICH","@DMBRICH")</f>
        <v>@DMBRICH</v>
      </c>
      <c r="C368" s="9" t="s">
        <v>1048</v>
      </c>
      <c r="D368" s="9" t="s">
        <v>1049</v>
      </c>
      <c r="E368" s="10" t="str">
        <f>HYPERLINK("https://twitter.com/DMBRICH/status/723020423026241536","723020423026241536")</f>
        <v>723020423026241536</v>
      </c>
      <c r="F368" s="11" t="s">
        <v>43</v>
      </c>
      <c r="G368" s="11">
        <v>294</v>
      </c>
      <c r="H368" s="11">
        <v>688</v>
      </c>
      <c r="I368" s="11">
        <v>0</v>
      </c>
      <c r="J368" s="11">
        <v>0</v>
      </c>
      <c r="K368" s="11" t="s">
        <v>21</v>
      </c>
      <c r="L368" s="7">
        <v>41237.84574074074</v>
      </c>
      <c r="M368" s="12"/>
      <c r="N368" s="12" t="s">
        <v>1050</v>
      </c>
      <c r="O368" s="10" t="str">
        <f>HYPERLINK("https://pbs.twimg.com/profile_images/2890202231/1b31352e84b062829a177f25ba0cfcfc_normal.png","View")</f>
        <v>View</v>
      </c>
      <c r="P368" s="11"/>
    </row>
    <row r="369" spans="1:16" ht="12.75" x14ac:dyDescent="0.35">
      <c r="A369" s="7">
        <v>42481.457384259258</v>
      </c>
      <c r="B369" s="8" t="str">
        <f>HYPERLINK("https://twitter.com/steffenbar","@steffenbar")</f>
        <v>@steffenbar</v>
      </c>
      <c r="C369" s="9" t="s">
        <v>1051</v>
      </c>
      <c r="D369" s="9" t="s">
        <v>1052</v>
      </c>
      <c r="E369" s="10" t="str">
        <f>HYPERLINK("https://twitter.com/steffenbar/status/723020599216496640","723020599216496640")</f>
        <v>723020599216496640</v>
      </c>
      <c r="F369" s="11" t="s">
        <v>20</v>
      </c>
      <c r="G369" s="11">
        <v>41</v>
      </c>
      <c r="H369" s="11">
        <v>376</v>
      </c>
      <c r="I369" s="11">
        <v>0</v>
      </c>
      <c r="J369" s="11">
        <v>0</v>
      </c>
      <c r="K369" s="11" t="s">
        <v>21</v>
      </c>
      <c r="L369" s="7">
        <v>41561.810613425929</v>
      </c>
      <c r="M369" s="12" t="s">
        <v>262</v>
      </c>
      <c r="N369" s="13" t="s">
        <v>1053</v>
      </c>
      <c r="O369" s="10" t="str">
        <f>HYPERLINK("https://pbs.twimg.com/profile_images/715650786756313088/PPQ1ZdFd_normal.jpg","View")</f>
        <v>View</v>
      </c>
      <c r="P369" s="11"/>
    </row>
    <row r="370" spans="1:16" ht="12.75" x14ac:dyDescent="0.35">
      <c r="A370" s="7">
        <v>42481.458784722221</v>
      </c>
      <c r="B370" s="8" t="str">
        <f>HYPERLINK("https://twitter.com/Ryan911T","@Ryan911T")</f>
        <v>@Ryan911T</v>
      </c>
      <c r="C370" s="9" t="s">
        <v>1054</v>
      </c>
      <c r="D370" s="9" t="s">
        <v>1055</v>
      </c>
      <c r="E370" s="10" t="str">
        <f>HYPERLINK("https://twitter.com/Ryan911T/status/723021104588165120","723021104588165120")</f>
        <v>723021104588165120</v>
      </c>
      <c r="F370" s="11" t="s">
        <v>152</v>
      </c>
      <c r="G370" s="11">
        <v>502</v>
      </c>
      <c r="H370" s="11">
        <v>1546</v>
      </c>
      <c r="I370" s="11">
        <v>0</v>
      </c>
      <c r="J370" s="11">
        <v>0</v>
      </c>
      <c r="K370" s="11" t="s">
        <v>21</v>
      </c>
      <c r="L370" s="7">
        <v>40677.805694444447</v>
      </c>
      <c r="M370" s="12" t="s">
        <v>1056</v>
      </c>
      <c r="N370" s="12" t="s">
        <v>1057</v>
      </c>
      <c r="O370" s="10" t="str">
        <f>HYPERLINK("https://pbs.twimg.com/profile_images/684099411543101440/V_Lw58zf_normal.jpg","View")</f>
        <v>View</v>
      </c>
      <c r="P370" s="11"/>
    </row>
    <row r="371" spans="1:16" ht="12.75" x14ac:dyDescent="0.35">
      <c r="A371" s="7">
        <v>42481.458784722221</v>
      </c>
      <c r="B371" s="8" t="str">
        <f>HYPERLINK("https://twitter.com/idriveexotic","@idriveexotic")</f>
        <v>@idriveexotic</v>
      </c>
      <c r="C371" s="9" t="s">
        <v>1058</v>
      </c>
      <c r="D371" s="9" t="s">
        <v>1059</v>
      </c>
      <c r="E371" s="10" t="str">
        <f>HYPERLINK("https://twitter.com/idriveexotic/status/723021106379132928","723021106379132928")</f>
        <v>723021106379132928</v>
      </c>
      <c r="F371" s="11" t="s">
        <v>152</v>
      </c>
      <c r="G371" s="11">
        <v>1096</v>
      </c>
      <c r="H371" s="11">
        <v>1554</v>
      </c>
      <c r="I371" s="11">
        <v>0</v>
      </c>
      <c r="J371" s="11">
        <v>0</v>
      </c>
      <c r="K371" s="11" t="s">
        <v>21</v>
      </c>
      <c r="L371" s="7">
        <v>40086.918865740743</v>
      </c>
      <c r="M371" s="12" t="s">
        <v>1060</v>
      </c>
      <c r="N371" s="12" t="s">
        <v>1061</v>
      </c>
      <c r="O371" s="10" t="str">
        <f>HYPERLINK("https://pbs.twimg.com/profile_images/3704737815/c83da87d5dbea893be21848f6ac584e0_normal.jpeg","View")</f>
        <v>View</v>
      </c>
      <c r="P371" s="11"/>
    </row>
    <row r="372" spans="1:16" ht="12.75" x14ac:dyDescent="0.35">
      <c r="A372" s="7">
        <v>42481.458784722221</v>
      </c>
      <c r="B372" s="8" t="str">
        <f>HYPERLINK("https://twitter.com/motoexposure","@motoexposure")</f>
        <v>@motoexposure</v>
      </c>
      <c r="C372" s="9" t="s">
        <v>1062</v>
      </c>
      <c r="D372" s="9" t="s">
        <v>1063</v>
      </c>
      <c r="E372" s="10" t="str">
        <f>HYPERLINK("https://twitter.com/motoexposure/status/723021106685329408","723021106685329408")</f>
        <v>723021106685329408</v>
      </c>
      <c r="F372" s="11" t="s">
        <v>152</v>
      </c>
      <c r="G372" s="11">
        <v>9551</v>
      </c>
      <c r="H372" s="11">
        <v>8233</v>
      </c>
      <c r="I372" s="11">
        <v>2</v>
      </c>
      <c r="J372" s="11">
        <v>3</v>
      </c>
      <c r="K372" s="11" t="s">
        <v>21</v>
      </c>
      <c r="L372" s="7">
        <v>40124.122824074075</v>
      </c>
      <c r="M372" s="12" t="s">
        <v>1060</v>
      </c>
      <c r="N372" s="12" t="s">
        <v>1064</v>
      </c>
      <c r="O372" s="10" t="str">
        <f>HYPERLINK("https://pbs.twimg.com/profile_images/506526749669093376/KljjxBrL_normal.jpeg","View")</f>
        <v>View</v>
      </c>
      <c r="P372" s="11"/>
    </row>
    <row r="373" spans="1:16" ht="12.75" x14ac:dyDescent="0.35">
      <c r="A373" s="7">
        <v>42481.459004629629</v>
      </c>
      <c r="B373" s="8" t="str">
        <f>HYPERLINK("https://twitter.com/ThorstenRamus","@ThorstenRamus")</f>
        <v>@ThorstenRamus</v>
      </c>
      <c r="C373" s="9" t="s">
        <v>1065</v>
      </c>
      <c r="D373" s="9" t="s">
        <v>1066</v>
      </c>
      <c r="E373" s="10" t="str">
        <f>HYPERLINK("https://twitter.com/ThorstenRamus/status/723021187064958976","723021187064958976")</f>
        <v>723021187064958976</v>
      </c>
      <c r="F373" s="11" t="s">
        <v>48</v>
      </c>
      <c r="G373" s="11">
        <v>869</v>
      </c>
      <c r="H373" s="11">
        <v>632</v>
      </c>
      <c r="I373" s="11">
        <v>0</v>
      </c>
      <c r="J373" s="11">
        <v>0</v>
      </c>
      <c r="K373" s="11" t="s">
        <v>21</v>
      </c>
      <c r="L373" s="7">
        <v>41323.90556712963</v>
      </c>
      <c r="M373" s="12" t="s">
        <v>1067</v>
      </c>
      <c r="N373" s="12" t="s">
        <v>1068</v>
      </c>
      <c r="O373" s="10" t="str">
        <f>HYPERLINK("https://pbs.twimg.com/profile_images/649160019590684676/25rXh6pN_normal.jpg","View")</f>
        <v>View</v>
      </c>
      <c r="P373" s="11"/>
    </row>
    <row r="374" spans="1:16" ht="12.75" x14ac:dyDescent="0.35">
      <c r="A374" s="7">
        <v>42481.459178240737</v>
      </c>
      <c r="B374" s="8" t="str">
        <f>HYPERLINK("https://twitter.com/angelathompson5","@angelathompson5")</f>
        <v>@angelathompson5</v>
      </c>
      <c r="C374" s="9" t="s">
        <v>1069</v>
      </c>
      <c r="D374" s="9" t="s">
        <v>902</v>
      </c>
      <c r="E374" s="10" t="str">
        <f>HYPERLINK("https://twitter.com/angelathompson5/status/723021247139962880","723021247139962880")</f>
        <v>723021247139962880</v>
      </c>
      <c r="F374" s="11" t="s">
        <v>20</v>
      </c>
      <c r="G374" s="11">
        <v>499</v>
      </c>
      <c r="H374" s="11">
        <v>1330</v>
      </c>
      <c r="I374" s="11">
        <v>4</v>
      </c>
      <c r="J374" s="11">
        <v>0</v>
      </c>
      <c r="K374" s="11" t="s">
        <v>21</v>
      </c>
      <c r="L374" s="7">
        <v>40665.97861111111</v>
      </c>
      <c r="M374" s="12"/>
      <c r="N374" s="12"/>
      <c r="O374" s="10" t="str">
        <f>HYPERLINK("https://pbs.twimg.com/profile_images/721594748243480576/gUBd3roe_normal.jpg","View")</f>
        <v>View</v>
      </c>
      <c r="P374" s="11"/>
    </row>
    <row r="375" spans="1:16" ht="12.75" x14ac:dyDescent="0.35">
      <c r="A375" s="7">
        <v>42481.459687499999</v>
      </c>
      <c r="B375" s="8" t="str">
        <f>HYPERLINK("https://twitter.com/TheNewsBritain","@TheNewsBritain")</f>
        <v>@TheNewsBritain</v>
      </c>
      <c r="C375" s="9" t="s">
        <v>1070</v>
      </c>
      <c r="D375" s="9" t="s">
        <v>1071</v>
      </c>
      <c r="E375" s="10" t="str">
        <f>HYPERLINK("https://twitter.com/TheNewsBritain/status/723021432175747072","723021432175747072")</f>
        <v>723021432175747072</v>
      </c>
      <c r="F375" s="11" t="s">
        <v>43</v>
      </c>
      <c r="G375" s="11">
        <v>224</v>
      </c>
      <c r="H375" s="11">
        <v>1712</v>
      </c>
      <c r="I375" s="11">
        <v>0</v>
      </c>
      <c r="J375" s="11">
        <v>0</v>
      </c>
      <c r="K375" s="11" t="s">
        <v>21</v>
      </c>
      <c r="L375" s="7">
        <v>42000.560532407406</v>
      </c>
      <c r="M375" s="12" t="s">
        <v>1072</v>
      </c>
      <c r="N375" s="12" t="s">
        <v>1073</v>
      </c>
      <c r="O375" s="10" t="str">
        <f>HYPERLINK("https://pbs.twimg.com/profile_images/619152026967113728/CD2TkgJc_normal.jpg","View")</f>
        <v>View</v>
      </c>
      <c r="P375" s="11"/>
    </row>
    <row r="376" spans="1:16" ht="12.75" x14ac:dyDescent="0.35">
      <c r="A376" s="7">
        <v>42481.460115740745</v>
      </c>
      <c r="B376" s="8" t="str">
        <f>HYPERLINK("https://twitter.com/OnlineCarReview","@OnlineCarReview")</f>
        <v>@OnlineCarReview</v>
      </c>
      <c r="C376" s="9" t="s">
        <v>176</v>
      </c>
      <c r="D376" s="9" t="s">
        <v>1074</v>
      </c>
      <c r="E376" s="10" t="str">
        <f>HYPERLINK("https://twitter.com/OnlineCarReview/status/723021589638303745","723021589638303745")</f>
        <v>723021589638303745</v>
      </c>
      <c r="F376" s="11" t="s">
        <v>34</v>
      </c>
      <c r="G376" s="11">
        <v>839</v>
      </c>
      <c r="H376" s="11">
        <v>568</v>
      </c>
      <c r="I376" s="11">
        <v>0</v>
      </c>
      <c r="J376" s="11">
        <v>0</v>
      </c>
      <c r="K376" s="11" t="s">
        <v>21</v>
      </c>
      <c r="L376" s="7">
        <v>42282.979201388887</v>
      </c>
      <c r="M376" s="12"/>
      <c r="N376" s="12" t="s">
        <v>178</v>
      </c>
      <c r="O376" s="10" t="str">
        <f>HYPERLINK("https://pbs.twimg.com/profile_images/652871584131092480/QA_B6SBO_normal.jpg","View")</f>
        <v>View</v>
      </c>
      <c r="P376" s="11"/>
    </row>
    <row r="377" spans="1:16" ht="12.75" x14ac:dyDescent="0.35">
      <c r="A377" s="7">
        <v>42481.460231481484</v>
      </c>
      <c r="B377" s="8" t="str">
        <f>HYPERLINK("https://twitter.com/VolkswagenPost","@VolkswagenPost")</f>
        <v>@VolkswagenPost</v>
      </c>
      <c r="C377" s="9" t="s">
        <v>321</v>
      </c>
      <c r="D377" s="9" t="s">
        <v>1075</v>
      </c>
      <c r="E377" s="10" t="str">
        <f>HYPERLINK("https://twitter.com/VolkswagenPost/status/723021628850900993","723021628850900993")</f>
        <v>723021628850900993</v>
      </c>
      <c r="F377" s="11" t="s">
        <v>34</v>
      </c>
      <c r="G377" s="11">
        <v>571</v>
      </c>
      <c r="H377" s="11">
        <v>446</v>
      </c>
      <c r="I377" s="11">
        <v>0</v>
      </c>
      <c r="J377" s="11">
        <v>0</v>
      </c>
      <c r="K377" s="11" t="s">
        <v>21</v>
      </c>
      <c r="L377" s="7">
        <v>41940.618379629632</v>
      </c>
      <c r="M377" s="12"/>
      <c r="N377" s="12"/>
      <c r="O377" s="10" t="str">
        <f>HYPERLINK("https://pbs.twimg.com/profile_images/530071272881803264/a_jcCmPZ_normal.png","View")</f>
        <v>View</v>
      </c>
      <c r="P377" s="11"/>
    </row>
    <row r="378" spans="1:16" ht="12.75" x14ac:dyDescent="0.35">
      <c r="A378" s="7">
        <v>42481.460914351846</v>
      </c>
      <c r="B378" s="8" t="str">
        <f>HYPERLINK("https://twitter.com/ebaycampervans","@ebaycampervans")</f>
        <v>@ebaycampervans</v>
      </c>
      <c r="C378" s="9" t="s">
        <v>682</v>
      </c>
      <c r="D378" s="9" t="s">
        <v>1076</v>
      </c>
      <c r="E378" s="10" t="str">
        <f>HYPERLINK("https://twitter.com/ebaycampervans/status/723021877577285634","723021877577285634")</f>
        <v>723021877577285634</v>
      </c>
      <c r="F378" s="11" t="s">
        <v>34</v>
      </c>
      <c r="G378" s="11">
        <v>380</v>
      </c>
      <c r="H378" s="11">
        <v>1002</v>
      </c>
      <c r="I378" s="11">
        <v>0</v>
      </c>
      <c r="J378" s="11">
        <v>1</v>
      </c>
      <c r="K378" s="11" t="s">
        <v>21</v>
      </c>
      <c r="L378" s="7">
        <v>42140.207604166666</v>
      </c>
      <c r="M378" s="12"/>
      <c r="N378" s="12" t="s">
        <v>684</v>
      </c>
      <c r="O378" s="10" t="str">
        <f>HYPERLINK("https://pbs.twimg.com/profile_images/599357023407464449/BL9Bpo6T_normal.jpg","View")</f>
        <v>View</v>
      </c>
      <c r="P378" s="11"/>
    </row>
    <row r="379" spans="1:16" ht="12.75" x14ac:dyDescent="0.35">
      <c r="A379" s="7">
        <v>42481.461006944446</v>
      </c>
      <c r="B379" s="8" t="str">
        <f>HYPERLINK("https://twitter.com/FlugelGewitter","@FlugelGewitter")</f>
        <v>@FlugelGewitter</v>
      </c>
      <c r="C379" s="9" t="s">
        <v>1077</v>
      </c>
      <c r="D379" s="9" t="s">
        <v>1078</v>
      </c>
      <c r="E379" s="10" t="str">
        <f>HYPERLINK("https://twitter.com/FlugelGewitter/status/723021912910270464","723021912910270464")</f>
        <v>723021912910270464</v>
      </c>
      <c r="F379" s="11" t="s">
        <v>48</v>
      </c>
      <c r="G379" s="11">
        <v>32</v>
      </c>
      <c r="H379" s="11">
        <v>100</v>
      </c>
      <c r="I379" s="11">
        <v>0</v>
      </c>
      <c r="J379" s="11">
        <v>0</v>
      </c>
      <c r="K379" s="11" t="s">
        <v>21</v>
      </c>
      <c r="L379" s="7">
        <v>41629.10429398148</v>
      </c>
      <c r="M379" s="12" t="s">
        <v>1079</v>
      </c>
      <c r="N379" s="12" t="s">
        <v>1080</v>
      </c>
      <c r="O379" s="10" t="str">
        <f>HYPERLINK("https://pbs.twimg.com/profile_images/650921239872147456/LYT4N0Me_normal.jpg","View")</f>
        <v>View</v>
      </c>
      <c r="P379" s="11"/>
    </row>
    <row r="380" spans="1:16" ht="12.75" x14ac:dyDescent="0.35">
      <c r="A380" s="7">
        <v>42481.463541666672</v>
      </c>
      <c r="B380" s="8" t="str">
        <f>HYPERLINK("https://twitter.com/RaiSuedtirol","@RaiSuedtirol")</f>
        <v>@RaiSuedtirol</v>
      </c>
      <c r="C380" s="9" t="s">
        <v>1081</v>
      </c>
      <c r="D380" s="9" t="s">
        <v>1082</v>
      </c>
      <c r="E380" s="10" t="str">
        <f>HYPERLINK("https://twitter.com/RaiSuedtirol/status/723022828317085697","723022828317085697")</f>
        <v>723022828317085697</v>
      </c>
      <c r="F380" s="11" t="s">
        <v>20</v>
      </c>
      <c r="G380" s="11">
        <v>2396</v>
      </c>
      <c r="H380" s="11">
        <v>310</v>
      </c>
      <c r="I380" s="11">
        <v>0</v>
      </c>
      <c r="J380" s="11">
        <v>0</v>
      </c>
      <c r="K380" s="11" t="s">
        <v>21</v>
      </c>
      <c r="L380" s="7">
        <v>41571.605046296296</v>
      </c>
      <c r="M380" s="12" t="s">
        <v>1083</v>
      </c>
      <c r="N380" s="12" t="s">
        <v>1084</v>
      </c>
      <c r="O380" s="10" t="str">
        <f>HYPERLINK("https://pbs.twimg.com/profile_images/378800000827989310/a59e804b88caad138f48bd62e7a05b93_normal.jpeg","View")</f>
        <v>View</v>
      </c>
      <c r="P380" s="11"/>
    </row>
    <row r="381" spans="1:16" ht="12.75" x14ac:dyDescent="0.35">
      <c r="A381" s="7">
        <v>42481.464201388888</v>
      </c>
      <c r="B381" s="8" t="str">
        <f>HYPERLINK("https://twitter.com/Stahlhammer","@Stahlhammer")</f>
        <v>@Stahlhammer</v>
      </c>
      <c r="C381" s="9" t="s">
        <v>1085</v>
      </c>
      <c r="D381" s="9" t="s">
        <v>1030</v>
      </c>
      <c r="E381" s="10" t="str">
        <f>HYPERLINK("https://twitter.com/Stahlhammer/status/723023067681828864","723023067681828864")</f>
        <v>723023067681828864</v>
      </c>
      <c r="F381" s="11" t="s">
        <v>20</v>
      </c>
      <c r="G381" s="11">
        <v>322</v>
      </c>
      <c r="H381" s="11">
        <v>258</v>
      </c>
      <c r="I381" s="11">
        <v>3</v>
      </c>
      <c r="J381" s="11">
        <v>0</v>
      </c>
      <c r="K381" s="11" t="s">
        <v>21</v>
      </c>
      <c r="L381" s="7">
        <v>39804.043923611112</v>
      </c>
      <c r="M381" s="12"/>
      <c r="N381" s="12" t="s">
        <v>1086</v>
      </c>
      <c r="O381" s="10" t="str">
        <f>HYPERLINK("https://pbs.twimg.com/profile_images/603480066887127041/ZqzOY80Q_normal.jpg","View")</f>
        <v>View</v>
      </c>
      <c r="P381" s="11"/>
    </row>
    <row r="382" spans="1:16" ht="12.75" x14ac:dyDescent="0.35">
      <c r="A382" s="7">
        <v>42481.464317129634</v>
      </c>
      <c r="B382" s="8" t="str">
        <f>HYPERLINK("https://twitter.com/Chaos_Be","@Chaos_Be")</f>
        <v>@Chaos_Be</v>
      </c>
      <c r="C382" s="9" t="s">
        <v>1087</v>
      </c>
      <c r="D382" s="9" t="s">
        <v>1088</v>
      </c>
      <c r="E382" s="10" t="str">
        <f>HYPERLINK("https://twitter.com/Chaos_Be/status/723023113299083264","723023113299083264")</f>
        <v>723023113299083264</v>
      </c>
      <c r="F382" s="11" t="s">
        <v>91</v>
      </c>
      <c r="G382" s="11">
        <v>1337</v>
      </c>
      <c r="H382" s="11">
        <v>853</v>
      </c>
      <c r="I382" s="11">
        <v>0</v>
      </c>
      <c r="J382" s="11">
        <v>0</v>
      </c>
      <c r="K382" s="11" t="s">
        <v>21</v>
      </c>
      <c r="L382" s="7">
        <v>41092.597071759257</v>
      </c>
      <c r="M382" s="12" t="s">
        <v>1089</v>
      </c>
      <c r="N382" s="12" t="s">
        <v>1090</v>
      </c>
      <c r="O382" s="10" t="str">
        <f>HYPERLINK("https://pbs.twimg.com/profile_images/715236149044887552/b9OGpOYu_normal.jpg","View")</f>
        <v>View</v>
      </c>
      <c r="P382" s="11"/>
    </row>
    <row r="383" spans="1:16" ht="12.75" x14ac:dyDescent="0.35">
      <c r="A383" s="7">
        <v>42481.46475694445</v>
      </c>
      <c r="B383" s="8" t="str">
        <f>HYPERLINK("https://twitter.com/ldnsecuritysynd","@ldnsecuritysynd")</f>
        <v>@ldnsecuritysynd</v>
      </c>
      <c r="C383" s="9" t="s">
        <v>1091</v>
      </c>
      <c r="D383" s="9" t="s">
        <v>1092</v>
      </c>
      <c r="E383" s="10" t="str">
        <f>HYPERLINK("https://twitter.com/ldnsecuritysynd/status/723023271525015552","723023271525015552")</f>
        <v>723023271525015552</v>
      </c>
      <c r="F383" s="11" t="s">
        <v>114</v>
      </c>
      <c r="G383" s="11">
        <v>388</v>
      </c>
      <c r="H383" s="11">
        <v>1903</v>
      </c>
      <c r="I383" s="11">
        <v>0</v>
      </c>
      <c r="J383" s="11">
        <v>0</v>
      </c>
      <c r="K383" s="11" t="s">
        <v>21</v>
      </c>
      <c r="L383" s="7">
        <v>41683.63422453704</v>
      </c>
      <c r="M383" s="12" t="s">
        <v>1093</v>
      </c>
      <c r="N383" s="12" t="s">
        <v>1094</v>
      </c>
      <c r="O383" s="10" t="str">
        <f>HYPERLINK("https://pbs.twimg.com/profile_images/593454474041102336/YZAKB69P_normal.jpg","View")</f>
        <v>View</v>
      </c>
      <c r="P383" s="11"/>
    </row>
    <row r="384" spans="1:16" ht="12.75" x14ac:dyDescent="0.35">
      <c r="A384" s="7">
        <v>42481.464849537035</v>
      </c>
      <c r="B384" s="8" t="str">
        <f>HYPERLINK("https://twitter.com/westfalenblatt","@westfalenblatt")</f>
        <v>@westfalenblatt</v>
      </c>
      <c r="C384" s="9" t="s">
        <v>1095</v>
      </c>
      <c r="D384" s="9" t="s">
        <v>1096</v>
      </c>
      <c r="E384" s="10" t="str">
        <f>HYPERLINK("https://twitter.com/westfalenblatt/status/723023304001343488","723023304001343488")</f>
        <v>723023304001343488</v>
      </c>
      <c r="F384" s="11" t="s">
        <v>43</v>
      </c>
      <c r="G384" s="11">
        <v>4331</v>
      </c>
      <c r="H384" s="11">
        <v>193</v>
      </c>
      <c r="I384" s="11">
        <v>1</v>
      </c>
      <c r="J384" s="11">
        <v>1</v>
      </c>
      <c r="K384" s="11" t="s">
        <v>21</v>
      </c>
      <c r="L384" s="7">
        <v>40287.54409722222</v>
      </c>
      <c r="M384" s="12" t="s">
        <v>1097</v>
      </c>
      <c r="N384" s="12" t="s">
        <v>1098</v>
      </c>
      <c r="O384" s="10" t="str">
        <f>HYPERLINK("https://pbs.twimg.com/profile_images/711933431207337984/h7mA8J-B_normal.jpg","View")</f>
        <v>View</v>
      </c>
      <c r="P384" s="11"/>
    </row>
    <row r="385" spans="1:16" ht="12.75" x14ac:dyDescent="0.35">
      <c r="A385" s="7">
        <v>42481.465046296296</v>
      </c>
      <c r="B385" s="8" t="str">
        <f>HYPERLINK("https://twitter.com/stoneman_luke","@stoneman_luke")</f>
        <v>@stoneman_luke</v>
      </c>
      <c r="C385" s="9" t="s">
        <v>1099</v>
      </c>
      <c r="D385" s="9" t="s">
        <v>1100</v>
      </c>
      <c r="E385" s="10" t="str">
        <f>HYPERLINK("https://twitter.com/stoneman_luke/status/723023374390169601","723023374390169601")</f>
        <v>723023374390169601</v>
      </c>
      <c r="F385" s="11" t="s">
        <v>114</v>
      </c>
      <c r="G385" s="11">
        <v>39</v>
      </c>
      <c r="H385" s="11">
        <v>125</v>
      </c>
      <c r="I385" s="11">
        <v>0</v>
      </c>
      <c r="J385" s="11">
        <v>0</v>
      </c>
      <c r="K385" s="11" t="s">
        <v>21</v>
      </c>
      <c r="L385" s="7">
        <v>41048.503333333334</v>
      </c>
      <c r="M385" s="12"/>
      <c r="N385" s="12"/>
      <c r="O385" s="10" t="str">
        <f>HYPERLINK("https://pbs.twimg.com/profile_images/644913065356562432/M0SOn6fS_normal.jpg","View")</f>
        <v>View</v>
      </c>
      <c r="P385" s="11"/>
    </row>
    <row r="386" spans="1:16" ht="12.75" x14ac:dyDescent="0.35">
      <c r="A386" s="7">
        <v>42481.46601851852</v>
      </c>
      <c r="B386" s="8" t="str">
        <f>HYPERLINK("https://twitter.com/VWBeetleSales","@VWBeetleSales")</f>
        <v>@VWBeetleSales</v>
      </c>
      <c r="C386" s="9" t="s">
        <v>127</v>
      </c>
      <c r="D386" s="9" t="s">
        <v>1101</v>
      </c>
      <c r="E386" s="10" t="str">
        <f>HYPERLINK("https://twitter.com/VWBeetleSales/status/723023729794539521","723023729794539521")</f>
        <v>723023729794539521</v>
      </c>
      <c r="F386" s="10" t="s">
        <v>124</v>
      </c>
      <c r="G386" s="11">
        <v>35</v>
      </c>
      <c r="H386" s="11">
        <v>32</v>
      </c>
      <c r="I386" s="11">
        <v>0</v>
      </c>
      <c r="J386" s="11">
        <v>0</v>
      </c>
      <c r="K386" s="11" t="s">
        <v>21</v>
      </c>
      <c r="L386" s="7">
        <v>42427.019756944443</v>
      </c>
      <c r="M386" s="12" t="s">
        <v>129</v>
      </c>
      <c r="N386" s="12" t="s">
        <v>130</v>
      </c>
      <c r="O386" s="10" t="str">
        <f>HYPERLINK("https://pbs.twimg.com/profile_images/703294545195307008/qeCvrX86_normal.jpg","View")</f>
        <v>View</v>
      </c>
      <c r="P386" s="11"/>
    </row>
    <row r="387" spans="1:16" ht="12.75" x14ac:dyDescent="0.35">
      <c r="A387" s="7">
        <v>42481.466828703706</v>
      </c>
      <c r="B387" s="8" t="str">
        <f>HYPERLINK("https://twitter.com/da010445","@da010445")</f>
        <v>@da010445</v>
      </c>
      <c r="C387" s="9" t="s">
        <v>1102</v>
      </c>
      <c r="D387" s="9" t="s">
        <v>1103</v>
      </c>
      <c r="E387" s="10" t="str">
        <f>HYPERLINK("https://twitter.com/da010445/status/723024020199759872","723024020199759872")</f>
        <v>723024020199759872</v>
      </c>
      <c r="F387" s="11" t="s">
        <v>20</v>
      </c>
      <c r="G387" s="11">
        <v>11</v>
      </c>
      <c r="H387" s="11">
        <v>35</v>
      </c>
      <c r="I387" s="11">
        <v>0</v>
      </c>
      <c r="J387" s="11">
        <v>0</v>
      </c>
      <c r="K387" s="11" t="s">
        <v>21</v>
      </c>
      <c r="L387" s="7">
        <v>42423.628136574072</v>
      </c>
      <c r="M387" s="12"/>
      <c r="N387" s="12" t="s">
        <v>1104</v>
      </c>
      <c r="O387" s="10" t="str">
        <f>HYPERLINK("https://pbs.twimg.com/profile_images/709312840293752832/LFjOEGaT_normal.jpg","View")</f>
        <v>View</v>
      </c>
      <c r="P387" s="11"/>
    </row>
    <row r="388" spans="1:16" ht="12.75" x14ac:dyDescent="0.35">
      <c r="A388" s="7">
        <v>42481.467534722222</v>
      </c>
      <c r="B388" s="8" t="str">
        <f>HYPERLINK("https://twitter.com/KleinerNilsson","@KleinerNilsson")</f>
        <v>@KleinerNilsson</v>
      </c>
      <c r="C388" s="9" t="s">
        <v>1105</v>
      </c>
      <c r="D388" s="9" t="s">
        <v>1106</v>
      </c>
      <c r="E388" s="10" t="str">
        <f>HYPERLINK("https://twitter.com/KleinerNilsson/status/723024276689936384","723024276689936384")</f>
        <v>723024276689936384</v>
      </c>
      <c r="F388" s="11" t="s">
        <v>48</v>
      </c>
      <c r="G388" s="11">
        <v>23</v>
      </c>
      <c r="H388" s="11">
        <v>103</v>
      </c>
      <c r="I388" s="11">
        <v>0</v>
      </c>
      <c r="J388" s="11">
        <v>0</v>
      </c>
      <c r="K388" s="11" t="s">
        <v>21</v>
      </c>
      <c r="L388" s="7">
        <v>41894.934837962966</v>
      </c>
      <c r="M388" s="12" t="s">
        <v>1107</v>
      </c>
      <c r="N388" s="12"/>
      <c r="O388" s="10" t="str">
        <f>HYPERLINK("https://pbs.twimg.com/profile_images/510474128579502080/cJ14WGd__normal.jpeg","View")</f>
        <v>View</v>
      </c>
      <c r="P388" s="11"/>
    </row>
    <row r="389" spans="1:16" ht="12.75" x14ac:dyDescent="0.35">
      <c r="A389" s="7">
        <v>42481.467662037037</v>
      </c>
      <c r="B389" s="8" t="str">
        <f>HYPERLINK("https://twitter.com/yildirimege01","@yildirimege01")</f>
        <v>@yildirimege01</v>
      </c>
      <c r="C389" s="9" t="s">
        <v>1108</v>
      </c>
      <c r="D389" s="9" t="s">
        <v>1109</v>
      </c>
      <c r="E389" s="10" t="str">
        <f>HYPERLINK("https://twitter.com/yildirimege01/status/723024324232372225","723024324232372225")</f>
        <v>723024324232372225</v>
      </c>
      <c r="F389" s="11" t="s">
        <v>48</v>
      </c>
      <c r="G389" s="11">
        <v>6</v>
      </c>
      <c r="H389" s="11">
        <v>23</v>
      </c>
      <c r="I389" s="11">
        <v>1</v>
      </c>
      <c r="J389" s="11">
        <v>0</v>
      </c>
      <c r="K389" s="11" t="s">
        <v>21</v>
      </c>
      <c r="L389" s="7">
        <v>41246.819837962961</v>
      </c>
      <c r="M389" s="12"/>
      <c r="N389" s="12"/>
      <c r="O389" s="10" t="str">
        <f>HYPERLINK("https://pbs.twimg.com/profile_images/697513772756398080/CEVTXuTq_normal.jpg","View")</f>
        <v>View</v>
      </c>
      <c r="P389" s="11"/>
    </row>
    <row r="390" spans="1:16" ht="12.75" x14ac:dyDescent="0.35">
      <c r="A390" s="7">
        <v>42481.467731481476</v>
      </c>
      <c r="B390" s="8" t="str">
        <f>HYPERLINK("https://twitter.com/media_release","@media_release")</f>
        <v>@media_release</v>
      </c>
      <c r="C390" s="8" t="s">
        <v>1110</v>
      </c>
      <c r="D390" s="9" t="s">
        <v>1111</v>
      </c>
      <c r="E390" s="10" t="str">
        <f>HYPERLINK("https://twitter.com/media_release/status/723024347707760640","723024347707760640")</f>
        <v>723024347707760640</v>
      </c>
      <c r="F390" s="11" t="s">
        <v>48</v>
      </c>
      <c r="G390" s="11">
        <v>2751</v>
      </c>
      <c r="H390" s="11">
        <v>1898</v>
      </c>
      <c r="I390" s="11">
        <v>0</v>
      </c>
      <c r="J390" s="11">
        <v>0</v>
      </c>
      <c r="K390" s="11" t="s">
        <v>21</v>
      </c>
      <c r="L390" s="7">
        <v>41821.374398148146</v>
      </c>
      <c r="M390" s="12" t="s">
        <v>1112</v>
      </c>
      <c r="N390" s="12" t="s">
        <v>1113</v>
      </c>
      <c r="O390" s="10" t="str">
        <f>HYPERLINK("https://pbs.twimg.com/profile_images/547849775983239168/FVCeQMac_normal.jpeg","View")</f>
        <v>View</v>
      </c>
      <c r="P390" s="11"/>
    </row>
    <row r="391" spans="1:16" ht="12.75" x14ac:dyDescent="0.35">
      <c r="A391" s="7">
        <v>42481.467974537038</v>
      </c>
      <c r="B391" s="8" t="str">
        <f>HYPERLINK("https://twitter.com/SummerOfTuning","@SummerOfTuning")</f>
        <v>@SummerOfTuning</v>
      </c>
      <c r="C391" s="9" t="s">
        <v>1114</v>
      </c>
      <c r="D391" s="9" t="s">
        <v>1115</v>
      </c>
      <c r="E391" s="10" t="str">
        <f>HYPERLINK("https://twitter.com/SummerOfTuning/status/723024437075947520","723024437075947520")</f>
        <v>723024437075947520</v>
      </c>
      <c r="F391" s="11" t="s">
        <v>68</v>
      </c>
      <c r="G391" s="11">
        <v>569</v>
      </c>
      <c r="H391" s="11">
        <v>99</v>
      </c>
      <c r="I391" s="11">
        <v>0</v>
      </c>
      <c r="J391" s="11">
        <v>0</v>
      </c>
      <c r="K391" s="11" t="s">
        <v>21</v>
      </c>
      <c r="L391" s="7">
        <v>40287.148298611108</v>
      </c>
      <c r="M391" s="12" t="s">
        <v>1116</v>
      </c>
      <c r="N391" s="12" t="s">
        <v>1117</v>
      </c>
      <c r="O391" s="10" t="str">
        <f>HYPERLINK("https://pbs.twimg.com/profile_images/605054915308863488/4JlC_VKY_normal.jpg","View")</f>
        <v>View</v>
      </c>
      <c r="P391" s="11"/>
    </row>
    <row r="392" spans="1:16" ht="12.75" x14ac:dyDescent="0.35">
      <c r="A392" s="7">
        <v>42481.468009259261</v>
      </c>
      <c r="B392" s="8" t="str">
        <f>HYPERLINK("https://twitter.com/Mlitze01","@Mlitze01")</f>
        <v>@Mlitze01</v>
      </c>
      <c r="C392" s="9" t="s">
        <v>1118</v>
      </c>
      <c r="D392" s="9" t="s">
        <v>1119</v>
      </c>
      <c r="E392" s="10" t="str">
        <f>HYPERLINK("https://twitter.com/Mlitze01/status/723024447381356548","723024447381356548")</f>
        <v>723024447381356548</v>
      </c>
      <c r="F392" s="11" t="s">
        <v>48</v>
      </c>
      <c r="G392" s="11">
        <v>1160</v>
      </c>
      <c r="H392" s="11">
        <v>999</v>
      </c>
      <c r="I392" s="11">
        <v>1</v>
      </c>
      <c r="J392" s="11">
        <v>0</v>
      </c>
      <c r="K392" s="11" t="s">
        <v>21</v>
      </c>
      <c r="L392" s="7">
        <v>41518.679537037038</v>
      </c>
      <c r="M392" s="12"/>
      <c r="N392" s="12" t="s">
        <v>1120</v>
      </c>
      <c r="O392" s="10" t="str">
        <f>HYPERLINK("https://pbs.twimg.com/profile_images/571414874254909441/B3cvD1Av_normal.jpeg","View")</f>
        <v>View</v>
      </c>
      <c r="P392" s="11"/>
    </row>
    <row r="393" spans="1:16" ht="12.75" x14ac:dyDescent="0.35">
      <c r="A393" s="7">
        <v>42481.468229166669</v>
      </c>
      <c r="B393" s="8" t="str">
        <f>HYPERLINK("https://twitter.com/collam1020","@collam1020")</f>
        <v>@collam1020</v>
      </c>
      <c r="C393" s="9" t="s">
        <v>1121</v>
      </c>
      <c r="D393" s="9" t="s">
        <v>1122</v>
      </c>
      <c r="E393" s="10" t="str">
        <f>HYPERLINK("https://twitter.com/collam1020/status/723024530709614592","723024530709614592")</f>
        <v>723024530709614592</v>
      </c>
      <c r="F393" s="11" t="s">
        <v>48</v>
      </c>
      <c r="G393" s="11">
        <v>527</v>
      </c>
      <c r="H393" s="11">
        <v>1230</v>
      </c>
      <c r="I393" s="11">
        <v>0</v>
      </c>
      <c r="J393" s="11">
        <v>1</v>
      </c>
      <c r="K393" s="11" t="s">
        <v>21</v>
      </c>
      <c r="L393" s="7">
        <v>40730.419861111113</v>
      </c>
      <c r="M393" s="12" t="s">
        <v>1123</v>
      </c>
      <c r="N393" s="12"/>
      <c r="O393" s="10" t="str">
        <f>HYPERLINK("https://pbs.twimg.com/profile_images/715773615212507137/4pE52DAT_normal.jpg","View")</f>
        <v>View</v>
      </c>
      <c r="P393" s="11"/>
    </row>
    <row r="394" spans="1:16" ht="12.75" x14ac:dyDescent="0.35">
      <c r="A394" s="7">
        <v>42481.469085648147</v>
      </c>
      <c r="B394" s="8" t="str">
        <f>HYPERLINK("https://twitter.com/DeezaSunglasses","@DeezaSunglasses")</f>
        <v>@DeezaSunglasses</v>
      </c>
      <c r="C394" s="9" t="s">
        <v>1124</v>
      </c>
      <c r="D394" s="9" t="s">
        <v>1125</v>
      </c>
      <c r="E394" s="10" t="str">
        <f>HYPERLINK("https://twitter.com/DeezaSunglasses/status/723024838013661184","723024838013661184")</f>
        <v>723024838013661184</v>
      </c>
      <c r="F394" s="11" t="s">
        <v>68</v>
      </c>
      <c r="G394" s="11">
        <v>3224</v>
      </c>
      <c r="H394" s="11">
        <v>3473</v>
      </c>
      <c r="I394" s="11">
        <v>0</v>
      </c>
      <c r="J394" s="11">
        <v>2</v>
      </c>
      <c r="K394" s="11" t="s">
        <v>21</v>
      </c>
      <c r="L394" s="7">
        <v>42339.964849537035</v>
      </c>
      <c r="M394" s="12"/>
      <c r="N394" s="12" t="s">
        <v>1126</v>
      </c>
      <c r="O394" s="10" t="str">
        <f>HYPERLINK("https://pbs.twimg.com/profile_images/681930519152619524/O4FX8h-k_normal.jpg","View")</f>
        <v>View</v>
      </c>
      <c r="P394" s="11"/>
    </row>
    <row r="395" spans="1:16" ht="12.75" x14ac:dyDescent="0.35">
      <c r="A395" s="7">
        <v>42481.469467592593</v>
      </c>
      <c r="B395" s="8" t="str">
        <f>HYPERLINK("https://twitter.com/DJJEZZ","@DJJEZZ")</f>
        <v>@DJJEZZ</v>
      </c>
      <c r="C395" s="9" t="s">
        <v>1127</v>
      </c>
      <c r="D395" s="9" t="s">
        <v>1128</v>
      </c>
      <c r="E395" s="10" t="str">
        <f>HYPERLINK("https://twitter.com/DJJEZZ/status/723024979730665473","723024979730665473")</f>
        <v>723024979730665473</v>
      </c>
      <c r="F395" s="11" t="s">
        <v>43</v>
      </c>
      <c r="G395" s="11">
        <v>453</v>
      </c>
      <c r="H395" s="11">
        <v>860</v>
      </c>
      <c r="I395" s="11">
        <v>0</v>
      </c>
      <c r="J395" s="11">
        <v>0</v>
      </c>
      <c r="K395" s="11" t="s">
        <v>21</v>
      </c>
      <c r="L395" s="7">
        <v>39837.957662037035</v>
      </c>
      <c r="M395" s="12" t="s">
        <v>1129</v>
      </c>
      <c r="N395" s="12" t="s">
        <v>1130</v>
      </c>
      <c r="O395" s="10" t="str">
        <f>HYPERLINK("https://pbs.twimg.com/profile_images/709900455934038020/6MH7FXB7_normal.jpg","View")</f>
        <v>View</v>
      </c>
      <c r="P395" s="11"/>
    </row>
    <row r="396" spans="1:16" ht="12.75" x14ac:dyDescent="0.35">
      <c r="A396" s="7">
        <v>42481.470150462963</v>
      </c>
      <c r="B396" s="8" t="str">
        <f>HYPERLINK("https://twitter.com/rpo_wirtschaft","@rpo_wirtschaft")</f>
        <v>@rpo_wirtschaft</v>
      </c>
      <c r="C396" s="9" t="s">
        <v>1131</v>
      </c>
      <c r="D396" s="9" t="s">
        <v>1132</v>
      </c>
      <c r="E396" s="10" t="str">
        <f>HYPERLINK("https://twitter.com/rpo_wirtschaft/status/723025224082554880","723025224082554880")</f>
        <v>723025224082554880</v>
      </c>
      <c r="F396" s="11" t="s">
        <v>1133</v>
      </c>
      <c r="G396" s="11">
        <v>562</v>
      </c>
      <c r="H396" s="11">
        <v>0</v>
      </c>
      <c r="I396" s="11">
        <v>1</v>
      </c>
      <c r="J396" s="11">
        <v>0</v>
      </c>
      <c r="K396" s="11" t="s">
        <v>21</v>
      </c>
      <c r="L396" s="7">
        <v>39745.628877314812</v>
      </c>
      <c r="M396" s="12" t="s">
        <v>975</v>
      </c>
      <c r="N396" s="12" t="s">
        <v>1134</v>
      </c>
      <c r="O396" s="10" t="str">
        <f>HYPERLINK("https://pbs.twimg.com/profile_images/62751185/logo_rp_normal.gif","View")</f>
        <v>View</v>
      </c>
      <c r="P396" s="11"/>
    </row>
    <row r="397" spans="1:16" ht="12.75" x14ac:dyDescent="0.35">
      <c r="A397" s="7">
        <v>42481.470763888894</v>
      </c>
      <c r="B397" s="8" t="str">
        <f>HYPERLINK("https://twitter.com/rponline","@rponline")</f>
        <v>@rponline</v>
      </c>
      <c r="C397" s="9" t="s">
        <v>1135</v>
      </c>
      <c r="D397" s="9" t="s">
        <v>1136</v>
      </c>
      <c r="E397" s="10" t="str">
        <f>HYPERLINK("https://twitter.com/rponline/status/723025449543196672","723025449543196672")</f>
        <v>723025449543196672</v>
      </c>
      <c r="F397" s="11" t="s">
        <v>63</v>
      </c>
      <c r="G397" s="11">
        <v>126639</v>
      </c>
      <c r="H397" s="11">
        <v>1275</v>
      </c>
      <c r="I397" s="11">
        <v>1</v>
      </c>
      <c r="J397" s="11">
        <v>0</v>
      </c>
      <c r="K397" s="11" t="s">
        <v>21</v>
      </c>
      <c r="L397" s="7">
        <v>39643.880196759259</v>
      </c>
      <c r="M397" s="12" t="s">
        <v>975</v>
      </c>
      <c r="N397" s="12" t="s">
        <v>1137</v>
      </c>
      <c r="O397" s="10" t="str">
        <f>HYPERLINK("https://pbs.twimg.com/profile_images/691967023258210304/J22K4Bad_normal.png","View")</f>
        <v>View</v>
      </c>
      <c r="P397" s="11"/>
    </row>
    <row r="398" spans="1:16" ht="12.75" x14ac:dyDescent="0.35">
      <c r="A398" s="7">
        <v>42481.471180555556</v>
      </c>
      <c r="B398" s="8" t="str">
        <f>HYPERLINK("https://twitter.com/ohchisock","@ohchisock")</f>
        <v>@ohchisock</v>
      </c>
      <c r="C398" s="9" t="s">
        <v>1138</v>
      </c>
      <c r="D398" s="9" t="s">
        <v>1139</v>
      </c>
      <c r="E398" s="10" t="str">
        <f>HYPERLINK("https://twitter.com/ohchisock/status/723025597417578496","723025597417578496")</f>
        <v>723025597417578496</v>
      </c>
      <c r="F398" s="11" t="s">
        <v>20</v>
      </c>
      <c r="G398" s="11">
        <v>33</v>
      </c>
      <c r="H398" s="11">
        <v>86</v>
      </c>
      <c r="I398" s="11">
        <v>0</v>
      </c>
      <c r="J398" s="11">
        <v>0</v>
      </c>
      <c r="K398" s="11" t="s">
        <v>21</v>
      </c>
      <c r="L398" s="7">
        <v>42480.020925925928</v>
      </c>
      <c r="M398" s="12" t="s">
        <v>1140</v>
      </c>
      <c r="N398" s="12"/>
      <c r="O398" s="10" t="str">
        <f>HYPERLINK("https://pbs.twimg.com/profile_images/722506002373963776/G7islOV8_normal.jpg","View")</f>
        <v>View</v>
      </c>
      <c r="P398" s="11"/>
    </row>
    <row r="399" spans="1:16" ht="12.75" x14ac:dyDescent="0.35">
      <c r="A399" s="7">
        <v>42481.471400462964</v>
      </c>
      <c r="B399" s="8" t="str">
        <f>HYPERLINK("https://twitter.com/WynfordE","@WynfordE")</f>
        <v>@WynfordE</v>
      </c>
      <c r="C399" s="9" t="s">
        <v>1141</v>
      </c>
      <c r="D399" s="9" t="s">
        <v>1142</v>
      </c>
      <c r="E399" s="10" t="str">
        <f>HYPERLINK("https://twitter.com/WynfordE/status/723025678308913152","723025678308913152")</f>
        <v>723025678308913152</v>
      </c>
      <c r="F399" s="11" t="s">
        <v>1143</v>
      </c>
      <c r="G399" s="11">
        <v>1884</v>
      </c>
      <c r="H399" s="11">
        <v>1777</v>
      </c>
      <c r="I399" s="11">
        <v>0</v>
      </c>
      <c r="J399" s="11">
        <v>0</v>
      </c>
      <c r="K399" s="11" t="s">
        <v>21</v>
      </c>
      <c r="L399" s="7">
        <v>40115.703182870369</v>
      </c>
      <c r="M399" s="12" t="s">
        <v>1144</v>
      </c>
      <c r="N399" s="12" t="s">
        <v>1145</v>
      </c>
      <c r="O399" s="10" t="str">
        <f>HYPERLINK("https://pbs.twimg.com/profile_images/553587831558246400/76qHyAQL_normal.jpeg","View")</f>
        <v>View</v>
      </c>
      <c r="P399" s="11"/>
    </row>
    <row r="400" spans="1:16" ht="12.75" x14ac:dyDescent="0.35">
      <c r="A400" s="7">
        <v>42481.47148148148</v>
      </c>
      <c r="B400" s="8" t="str">
        <f>HYPERLINK("https://twitter.com/apronline","@apronline")</f>
        <v>@apronline</v>
      </c>
      <c r="C400" s="9" t="s">
        <v>1146</v>
      </c>
      <c r="D400" s="9" t="s">
        <v>1147</v>
      </c>
      <c r="E400" s="10" t="str">
        <f>HYPERLINK("https://twitter.com/apronline/status/723025708688101376","723025708688101376")</f>
        <v>723025708688101376</v>
      </c>
      <c r="F400" s="11" t="s">
        <v>43</v>
      </c>
      <c r="G400" s="11">
        <v>1918</v>
      </c>
      <c r="H400" s="11">
        <v>413</v>
      </c>
      <c r="I400" s="11">
        <v>0</v>
      </c>
      <c r="J400" s="11">
        <v>0</v>
      </c>
      <c r="K400" s="11" t="s">
        <v>21</v>
      </c>
      <c r="L400" s="7">
        <v>40593.924247685187</v>
      </c>
      <c r="M400" s="12" t="s">
        <v>1148</v>
      </c>
      <c r="N400" s="12" t="s">
        <v>1149</v>
      </c>
      <c r="O400" s="10" t="str">
        <f>HYPERLINK("https://pbs.twimg.com/profile_images/1249555569/apr_twitter_normal.jpg","View")</f>
        <v>View</v>
      </c>
      <c r="P400" s="11"/>
    </row>
    <row r="401" spans="1:16" ht="12.75" x14ac:dyDescent="0.35">
      <c r="A401" s="7">
        <v>42481.471759259264</v>
      </c>
      <c r="B401" s="8" t="str">
        <f>HYPERLINK("https://twitter.com/LievenDeswaef","@LievenDeswaef")</f>
        <v>@LievenDeswaef</v>
      </c>
      <c r="C401" s="9" t="s">
        <v>1150</v>
      </c>
      <c r="D401" s="9" t="s">
        <v>1151</v>
      </c>
      <c r="E401" s="10" t="str">
        <f>HYPERLINK("https://twitter.com/LievenDeswaef/status/723025806616854529","723025806616854529")</f>
        <v>723025806616854529</v>
      </c>
      <c r="F401" s="11" t="s">
        <v>91</v>
      </c>
      <c r="G401" s="11">
        <v>1218</v>
      </c>
      <c r="H401" s="11">
        <v>1143</v>
      </c>
      <c r="I401" s="11">
        <v>7</v>
      </c>
      <c r="J401" s="11">
        <v>0</v>
      </c>
      <c r="K401" s="11" t="s">
        <v>21</v>
      </c>
      <c r="L401" s="7">
        <v>40715.597627314812</v>
      </c>
      <c r="M401" s="12" t="s">
        <v>1152</v>
      </c>
      <c r="N401" s="12" t="s">
        <v>1153</v>
      </c>
      <c r="O401" s="10" t="str">
        <f>HYPERLINK("https://pbs.twimg.com/profile_images/1685667191/Foto_1_normal.jpg","View")</f>
        <v>View</v>
      </c>
      <c r="P401" s="11"/>
    </row>
    <row r="402" spans="1:16" ht="12.75" x14ac:dyDescent="0.35">
      <c r="A402" s="7">
        <v>42481.47210648148</v>
      </c>
      <c r="B402" s="8" t="str">
        <f>HYPERLINK("https://twitter.com/Scirocco_Tuning","@Scirocco_Tuning")</f>
        <v>@Scirocco_Tuning</v>
      </c>
      <c r="C402" s="9" t="s">
        <v>51</v>
      </c>
      <c r="D402" s="9" t="s">
        <v>1154</v>
      </c>
      <c r="E402" s="10" t="str">
        <f>HYPERLINK("https://twitter.com/Scirocco_Tuning/status/723025935541350400","723025935541350400")</f>
        <v>723025935541350400</v>
      </c>
      <c r="F402" s="11" t="s">
        <v>53</v>
      </c>
      <c r="G402" s="11">
        <v>69</v>
      </c>
      <c r="H402" s="11">
        <v>215</v>
      </c>
      <c r="I402" s="11">
        <v>0</v>
      </c>
      <c r="J402" s="11">
        <v>0</v>
      </c>
      <c r="K402" s="11" t="s">
        <v>21</v>
      </c>
      <c r="L402" s="7">
        <v>40844.564722222218</v>
      </c>
      <c r="M402" s="12"/>
      <c r="N402" s="12"/>
      <c r="O402" s="10" t="str">
        <f>HYPERLINK("https://pbs.twimg.com/profile_images/1610421423/Image2_normal.jpg","View")</f>
        <v>View</v>
      </c>
      <c r="P402" s="11"/>
    </row>
    <row r="403" spans="1:16" ht="12.75" x14ac:dyDescent="0.35">
      <c r="A403" s="7">
        <v>42481.473541666666</v>
      </c>
      <c r="B403" s="8" t="str">
        <f>HYPERLINK("https://twitter.com/PedroJ_Cuestas","@PedroJ_Cuestas")</f>
        <v>@PedroJ_Cuestas</v>
      </c>
      <c r="C403" s="9" t="s">
        <v>1155</v>
      </c>
      <c r="D403" s="9" t="s">
        <v>1156</v>
      </c>
      <c r="E403" s="10" t="str">
        <f>HYPERLINK("https://twitter.com/PedroJ_Cuestas/status/723026455177879552","723026455177879552")</f>
        <v>723026455177879552</v>
      </c>
      <c r="F403" s="11" t="s">
        <v>48</v>
      </c>
      <c r="G403" s="11">
        <v>10364</v>
      </c>
      <c r="H403" s="11">
        <v>5939</v>
      </c>
      <c r="I403" s="11">
        <v>0</v>
      </c>
      <c r="J403" s="11">
        <v>0</v>
      </c>
      <c r="K403" s="11" t="s">
        <v>21</v>
      </c>
      <c r="L403" s="7">
        <v>40799.571921296294</v>
      </c>
      <c r="M403" s="12" t="s">
        <v>1157</v>
      </c>
      <c r="N403" s="12" t="s">
        <v>1158</v>
      </c>
      <c r="O403" s="10" t="str">
        <f>HYPERLINK("https://pbs.twimg.com/profile_images/691874663518097409/iKVhggqL_normal.jpg","View")</f>
        <v>View</v>
      </c>
      <c r="P403" s="11"/>
    </row>
    <row r="404" spans="1:16" ht="12.75" x14ac:dyDescent="0.35">
      <c r="A404" s="7">
        <v>42481.473738425921</v>
      </c>
      <c r="B404" s="8" t="str">
        <f>HYPERLINK("https://twitter.com/Werner__Venter","@Werner__Venter")</f>
        <v>@Werner__Venter</v>
      </c>
      <c r="C404" s="9" t="s">
        <v>1159</v>
      </c>
      <c r="D404" s="9" t="s">
        <v>1160</v>
      </c>
      <c r="E404" s="10" t="str">
        <f>HYPERLINK("https://twitter.com/Werner__Venter/status/723026525474402304","723026525474402304")</f>
        <v>723026525474402304</v>
      </c>
      <c r="F404" s="11" t="s">
        <v>48</v>
      </c>
      <c r="G404" s="11">
        <v>877</v>
      </c>
      <c r="H404" s="11">
        <v>1397</v>
      </c>
      <c r="I404" s="11">
        <v>2</v>
      </c>
      <c r="J404" s="11">
        <v>0</v>
      </c>
      <c r="K404" s="11" t="s">
        <v>21</v>
      </c>
      <c r="L404" s="7">
        <v>41097.864942129629</v>
      </c>
      <c r="M404" s="12" t="s">
        <v>1161</v>
      </c>
      <c r="N404" s="12" t="s">
        <v>1162</v>
      </c>
      <c r="O404" s="10" t="str">
        <f>HYPERLINK("https://pbs.twimg.com/profile_images/573472540397584384/QBM3YPvp_normal.jpeg","View")</f>
        <v>View</v>
      </c>
      <c r="P404" s="11"/>
    </row>
    <row r="405" spans="1:16" ht="12.75" x14ac:dyDescent="0.35">
      <c r="A405" s="7">
        <v>42481.473981481482</v>
      </c>
      <c r="B405" s="8" t="str">
        <f>HYPERLINK("https://twitter.com/Stadtpirat","@Stadtpirat")</f>
        <v>@Stadtpirat</v>
      </c>
      <c r="C405" s="9" t="s">
        <v>1163</v>
      </c>
      <c r="D405" s="9" t="s">
        <v>854</v>
      </c>
      <c r="E405" s="10" t="str">
        <f>HYPERLINK("https://twitter.com/Stadtpirat/status/723026615073169408","723026615073169408")</f>
        <v>723026615073169408</v>
      </c>
      <c r="F405" s="11" t="s">
        <v>160</v>
      </c>
      <c r="G405" s="11">
        <v>117</v>
      </c>
      <c r="H405" s="11">
        <v>138</v>
      </c>
      <c r="I405" s="11">
        <v>11</v>
      </c>
      <c r="J405" s="11">
        <v>0</v>
      </c>
      <c r="K405" s="11" t="s">
        <v>21</v>
      </c>
      <c r="L405" s="7">
        <v>40306.158900462964</v>
      </c>
      <c r="M405" s="12"/>
      <c r="N405" s="12" t="s">
        <v>1164</v>
      </c>
      <c r="O405" s="10" t="str">
        <f>HYPERLINK("https://pbs.twimg.com/profile_images/883241100/_LQ_normal.png","View")</f>
        <v>View</v>
      </c>
      <c r="P405" s="11"/>
    </row>
    <row r="406" spans="1:16" ht="12.75" x14ac:dyDescent="0.35">
      <c r="A406" s="7">
        <v>42481.474525462967</v>
      </c>
      <c r="B406" s="8" t="str">
        <f>HYPERLINK("https://twitter.com/Mrmacmax92","@Mrmacmax92")</f>
        <v>@Mrmacmax92</v>
      </c>
      <c r="C406" s="9" t="s">
        <v>1165</v>
      </c>
      <c r="D406" s="9" t="s">
        <v>1166</v>
      </c>
      <c r="E406" s="10" t="str">
        <f>HYPERLINK("https://twitter.com/Mrmacmax92/status/723026809428815872","723026809428815872")</f>
        <v>723026809428815872</v>
      </c>
      <c r="F406" s="11" t="s">
        <v>20</v>
      </c>
      <c r="G406" s="11">
        <v>267</v>
      </c>
      <c r="H406" s="11">
        <v>2349</v>
      </c>
      <c r="I406" s="11">
        <v>1</v>
      </c>
      <c r="J406" s="11">
        <v>0</v>
      </c>
      <c r="K406" s="11" t="s">
        <v>21</v>
      </c>
      <c r="L406" s="7">
        <v>41843.824999999997</v>
      </c>
      <c r="M406" s="12"/>
      <c r="N406" s="12"/>
      <c r="O406" s="10" t="str">
        <f>HYPERLINK("https://pbs.twimg.com/profile_images/491952742551015426/Jwy076--_normal.jpeg","View")</f>
        <v>View</v>
      </c>
      <c r="P406" s="11"/>
    </row>
    <row r="407" spans="1:16" ht="12.75" x14ac:dyDescent="0.35">
      <c r="A407" s="7">
        <v>42481.474652777775</v>
      </c>
      <c r="B407" s="8" t="str">
        <f>HYPERLINK("https://twitter.com/alletun","@alletun")</f>
        <v>@alletun</v>
      </c>
      <c r="C407" s="9" t="s">
        <v>1167</v>
      </c>
      <c r="D407" s="9" t="s">
        <v>1168</v>
      </c>
      <c r="E407" s="10" t="str">
        <f>HYPERLINK("https://twitter.com/alletun/status/723026856492945409","723026856492945409")</f>
        <v>723026856492945409</v>
      </c>
      <c r="F407" s="11" t="s">
        <v>43</v>
      </c>
      <c r="G407" s="11">
        <v>284</v>
      </c>
      <c r="H407" s="11">
        <v>1204</v>
      </c>
      <c r="I407" s="11">
        <v>0</v>
      </c>
      <c r="J407" s="11">
        <v>0</v>
      </c>
      <c r="K407" s="11" t="s">
        <v>21</v>
      </c>
      <c r="L407" s="7">
        <v>39843.702986111108</v>
      </c>
      <c r="M407" s="12" t="s">
        <v>1169</v>
      </c>
      <c r="N407" s="12" t="s">
        <v>1170</v>
      </c>
      <c r="O407" s="10" t="str">
        <f>HYPERLINK("https://pbs.twimg.com/profile_images/558535484582793216/1YKaWa1i_normal.jpeg","View")</f>
        <v>View</v>
      </c>
      <c r="P407" s="11"/>
    </row>
    <row r="408" spans="1:16" ht="12.75" x14ac:dyDescent="0.35">
      <c r="A408" s="7">
        <v>42481.4762962963</v>
      </c>
      <c r="B408" s="8" t="str">
        <f>HYPERLINK("https://twitter.com/ACPCarnegie","@ACPCarnegie")</f>
        <v>@ACPCarnegie</v>
      </c>
      <c r="C408" s="9" t="s">
        <v>1171</v>
      </c>
      <c r="D408" s="9" t="s">
        <v>1172</v>
      </c>
      <c r="E408" s="10" t="str">
        <f>HYPERLINK("https://twitter.com/ACPCarnegie/status/723027454374322176","723027454374322176")</f>
        <v>723027454374322176</v>
      </c>
      <c r="F408" s="11" t="s">
        <v>20</v>
      </c>
      <c r="G408" s="11">
        <v>6743</v>
      </c>
      <c r="H408" s="11">
        <v>6847</v>
      </c>
      <c r="I408" s="11">
        <v>0</v>
      </c>
      <c r="J408" s="11">
        <v>1</v>
      </c>
      <c r="K408" s="11" t="s">
        <v>21</v>
      </c>
      <c r="L408" s="7">
        <v>40225.250844907408</v>
      </c>
      <c r="M408" s="12" t="s">
        <v>1173</v>
      </c>
      <c r="N408" s="12" t="s">
        <v>1174</v>
      </c>
      <c r="O408" s="10" t="str">
        <f>HYPERLINK("https://pbs.twimg.com/profile_images/540819462514311168/gAcZ1aEd_normal.jpeg","View")</f>
        <v>View</v>
      </c>
      <c r="P408" s="11"/>
    </row>
    <row r="409" spans="1:16" ht="12.75" x14ac:dyDescent="0.35">
      <c r="A409" s="7">
        <v>42481.476631944446</v>
      </c>
      <c r="B409" s="8" t="str">
        <f>HYPERLINK("https://twitter.com/Glaur2Laurent","@Glaur2Laurent")</f>
        <v>@Glaur2Laurent</v>
      </c>
      <c r="C409" s="9" t="s">
        <v>1175</v>
      </c>
      <c r="D409" s="9" t="s">
        <v>724</v>
      </c>
      <c r="E409" s="10" t="str">
        <f>HYPERLINK("https://twitter.com/Glaur2Laurent/status/723027575401025536","723027575401025536")</f>
        <v>723027575401025536</v>
      </c>
      <c r="F409" s="11" t="s">
        <v>20</v>
      </c>
      <c r="G409" s="11">
        <v>69</v>
      </c>
      <c r="H409" s="11">
        <v>391</v>
      </c>
      <c r="I409" s="11">
        <v>5</v>
      </c>
      <c r="J409" s="11">
        <v>0</v>
      </c>
      <c r="K409" s="11" t="s">
        <v>21</v>
      </c>
      <c r="L409" s="7">
        <v>42365.06895833333</v>
      </c>
      <c r="M409" s="12"/>
      <c r="N409" s="12"/>
      <c r="O409" s="10" t="str">
        <f>HYPERLINK("https://pbs.twimg.com/profile_images/680846089575084034/pf0_Xgt3_normal.jpg","View")</f>
        <v>View</v>
      </c>
      <c r="P409" s="11"/>
    </row>
    <row r="410" spans="1:16" ht="12.75" x14ac:dyDescent="0.35">
      <c r="A410" s="7">
        <v>42481.476770833338</v>
      </c>
      <c r="B410" s="8" t="str">
        <f t="shared" ref="B410:B411" si="44">HYPERLINK("https://twitter.com/techhippie","@techhippie")</f>
        <v>@techhippie</v>
      </c>
      <c r="C410" s="9" t="s">
        <v>246</v>
      </c>
      <c r="D410" s="9" t="s">
        <v>1176</v>
      </c>
      <c r="E410" s="10" t="str">
        <f>HYPERLINK("https://twitter.com/techhippie/status/723027622855364608","723027622855364608")</f>
        <v>723027622855364608</v>
      </c>
      <c r="F410" s="11" t="s">
        <v>68</v>
      </c>
      <c r="G410" s="11">
        <v>2471</v>
      </c>
      <c r="H410" s="11">
        <v>3835</v>
      </c>
      <c r="I410" s="11">
        <v>0</v>
      </c>
      <c r="J410" s="11">
        <v>0</v>
      </c>
      <c r="K410" s="11" t="s">
        <v>21</v>
      </c>
      <c r="L410" s="7">
        <v>42424.852152777778</v>
      </c>
      <c r="M410" s="12" t="s">
        <v>248</v>
      </c>
      <c r="N410" s="12" t="s">
        <v>249</v>
      </c>
      <c r="O410" s="10" t="str">
        <f t="shared" ref="O410:O411" si="45">HYPERLINK("https://pbs.twimg.com/profile_images/702511217793863680/lty8h9vE_normal.jpg","View")</f>
        <v>View</v>
      </c>
      <c r="P410" s="11"/>
    </row>
    <row r="411" spans="1:16" ht="12.75" x14ac:dyDescent="0.35">
      <c r="A411" s="7">
        <v>42481.476805555554</v>
      </c>
      <c r="B411" s="8" t="str">
        <f t="shared" si="44"/>
        <v>@techhippie</v>
      </c>
      <c r="C411" s="9" t="s">
        <v>246</v>
      </c>
      <c r="D411" s="9" t="s">
        <v>1177</v>
      </c>
      <c r="E411" s="10" t="str">
        <f>HYPERLINK("https://twitter.com/techhippie/status/723027638609129472","723027638609129472")</f>
        <v>723027638609129472</v>
      </c>
      <c r="F411" s="11" t="s">
        <v>68</v>
      </c>
      <c r="G411" s="11">
        <v>2471</v>
      </c>
      <c r="H411" s="11">
        <v>3835</v>
      </c>
      <c r="I411" s="11">
        <v>0</v>
      </c>
      <c r="J411" s="11">
        <v>0</v>
      </c>
      <c r="K411" s="11" t="s">
        <v>21</v>
      </c>
      <c r="L411" s="7">
        <v>42424.852152777778</v>
      </c>
      <c r="M411" s="12" t="s">
        <v>248</v>
      </c>
      <c r="N411" s="12" t="s">
        <v>249</v>
      </c>
      <c r="O411" s="10" t="str">
        <f t="shared" si="45"/>
        <v>View</v>
      </c>
      <c r="P411" s="11"/>
    </row>
    <row r="412" spans="1:16" ht="12.75" x14ac:dyDescent="0.35">
      <c r="A412" s="7">
        <v>42481.477152777778</v>
      </c>
      <c r="B412" s="8" t="str">
        <f>HYPERLINK("https://twitter.com/Stefmaster5","@Stefmaster5")</f>
        <v>@Stefmaster5</v>
      </c>
      <c r="C412" s="9" t="s">
        <v>1178</v>
      </c>
      <c r="D412" s="9" t="s">
        <v>970</v>
      </c>
      <c r="E412" s="10" t="str">
        <f>HYPERLINK("https://twitter.com/Stefmaster5/status/723027764115333120","723027764115333120")</f>
        <v>723027764115333120</v>
      </c>
      <c r="F412" s="11" t="s">
        <v>20</v>
      </c>
      <c r="G412" s="11">
        <v>200</v>
      </c>
      <c r="H412" s="11">
        <v>204</v>
      </c>
      <c r="I412" s="11">
        <v>6</v>
      </c>
      <c r="J412" s="11">
        <v>0</v>
      </c>
      <c r="K412" s="11" t="s">
        <v>21</v>
      </c>
      <c r="L412" s="7">
        <v>39931.671365740738</v>
      </c>
      <c r="M412" s="12"/>
      <c r="N412" s="12" t="s">
        <v>1179</v>
      </c>
      <c r="O412" s="10" t="str">
        <f>HYPERLINK("https://pbs.twimg.com/profile_images/703271910138896384/3J2VGGFX_normal.jpg","View")</f>
        <v>View</v>
      </c>
      <c r="P412" s="11"/>
    </row>
    <row r="413" spans="1:16" ht="12.75" x14ac:dyDescent="0.35">
      <c r="A413" s="7">
        <v>42481.477650462963</v>
      </c>
      <c r="B413" s="8" t="str">
        <f>HYPERLINK("https://twitter.com/gaddap","@gaddap")</f>
        <v>@gaddap</v>
      </c>
      <c r="C413" s="9" t="s">
        <v>1180</v>
      </c>
      <c r="D413" s="9" t="s">
        <v>1181</v>
      </c>
      <c r="E413" s="10" t="str">
        <f>HYPERLINK("https://twitter.com/gaddap/status/723027943266521088","723027943266521088")</f>
        <v>723027943266521088</v>
      </c>
      <c r="F413" s="11" t="s">
        <v>43</v>
      </c>
      <c r="G413" s="11">
        <v>708</v>
      </c>
      <c r="H413" s="11">
        <v>396</v>
      </c>
      <c r="I413" s="11">
        <v>0</v>
      </c>
      <c r="J413" s="11">
        <v>0</v>
      </c>
      <c r="K413" s="11" t="s">
        <v>21</v>
      </c>
      <c r="L413" s="7">
        <v>41272.734270833331</v>
      </c>
      <c r="M413" s="12" t="s">
        <v>1182</v>
      </c>
      <c r="N413" s="12" t="s">
        <v>1183</v>
      </c>
      <c r="O413" s="10" t="str">
        <f>HYPERLINK("https://pbs.twimg.com/profile_images/378800000541986952/888c793741006a5f978416077e1b2b00_normal.jpeg","View")</f>
        <v>View</v>
      </c>
      <c r="P413" s="11"/>
    </row>
    <row r="414" spans="1:16" ht="12.75" x14ac:dyDescent="0.35">
      <c r="A414" s="7">
        <v>42481.47792824074</v>
      </c>
      <c r="B414" s="8" t="str">
        <f>HYPERLINK("https://twitter.com/cmbautomotive","@cmbautomotive")</f>
        <v>@cmbautomotive</v>
      </c>
      <c r="C414" s="9" t="s">
        <v>1184</v>
      </c>
      <c r="D414" s="9" t="s">
        <v>1185</v>
      </c>
      <c r="E414" s="10" t="str">
        <f>HYPERLINK("https://twitter.com/cmbautomotive/status/723028042784841728","723028042784841728")</f>
        <v>723028042784841728</v>
      </c>
      <c r="F414" s="11" t="s">
        <v>48</v>
      </c>
      <c r="G414" s="11">
        <v>561</v>
      </c>
      <c r="H414" s="11">
        <v>926</v>
      </c>
      <c r="I414" s="11">
        <v>0</v>
      </c>
      <c r="J414" s="11">
        <v>0</v>
      </c>
      <c r="K414" s="11" t="s">
        <v>21</v>
      </c>
      <c r="L414" s="7">
        <v>41138.763124999998</v>
      </c>
      <c r="M414" s="12" t="s">
        <v>1186</v>
      </c>
      <c r="N414" s="12" t="s">
        <v>1187</v>
      </c>
      <c r="O414" s="10" t="str">
        <f>HYPERLINK("https://pbs.twimg.com/profile_images/611551355707240448/Nv7_c41P_normal.jpg","View")</f>
        <v>View</v>
      </c>
      <c r="P414" s="11"/>
    </row>
    <row r="415" spans="1:16" ht="12.75" x14ac:dyDescent="0.35">
      <c r="A415" s="7">
        <v>42481.478495370371</v>
      </c>
      <c r="B415" s="8" t="str">
        <f>HYPERLINK("https://twitter.com/deutch_az","@deutch_az")</f>
        <v>@deutch_az</v>
      </c>
      <c r="C415" s="9" t="s">
        <v>1188</v>
      </c>
      <c r="D415" s="9" t="s">
        <v>1189</v>
      </c>
      <c r="E415" s="10" t="str">
        <f>HYPERLINK("https://twitter.com/deutch_az/status/723028249639444480","723028249639444480")</f>
        <v>723028249639444480</v>
      </c>
      <c r="F415" s="11" t="s">
        <v>43</v>
      </c>
      <c r="G415" s="11">
        <v>521</v>
      </c>
      <c r="H415" s="11">
        <v>1444</v>
      </c>
      <c r="I415" s="11">
        <v>1</v>
      </c>
      <c r="J415" s="11">
        <v>0</v>
      </c>
      <c r="K415" s="11" t="s">
        <v>21</v>
      </c>
      <c r="L415" s="7">
        <v>42305.594456018516</v>
      </c>
      <c r="M415" s="12"/>
      <c r="N415" s="12"/>
      <c r="O415" s="10" t="str">
        <f>HYPERLINK("https://pbs.twimg.com/profile_images/659295730222280705/W1FqHCVo_normal.jpg","View")</f>
        <v>View</v>
      </c>
      <c r="P415" s="11"/>
    </row>
    <row r="416" spans="1:16" ht="12.75" x14ac:dyDescent="0.35">
      <c r="A416" s="7">
        <v>42481.478877314818</v>
      </c>
      <c r="B416" s="8" t="str">
        <f>HYPERLINK("https://twitter.com/ragsforex","@ragsforex")</f>
        <v>@ragsforex</v>
      </c>
      <c r="C416" s="9" t="s">
        <v>1190</v>
      </c>
      <c r="D416" s="9" t="s">
        <v>1191</v>
      </c>
      <c r="E416" s="10" t="str">
        <f>HYPERLINK("https://twitter.com/ragsforex/status/723028389062316033","723028389062316033")</f>
        <v>723028389062316033</v>
      </c>
      <c r="F416" s="11" t="s">
        <v>43</v>
      </c>
      <c r="G416" s="11">
        <v>212</v>
      </c>
      <c r="H416" s="11">
        <v>106</v>
      </c>
      <c r="I416" s="11">
        <v>0</v>
      </c>
      <c r="J416" s="11">
        <v>0</v>
      </c>
      <c r="K416" s="11" t="s">
        <v>21</v>
      </c>
      <c r="L416" s="7">
        <v>42299.001238425924</v>
      </c>
      <c r="M416" s="12" t="s">
        <v>1192</v>
      </c>
      <c r="N416" s="12" t="s">
        <v>1193</v>
      </c>
      <c r="O416" s="10" t="str">
        <f>HYPERLINK("https://pbs.twimg.com/profile_images/723196900162342913/o0iey4an_normal.jpg","View")</f>
        <v>View</v>
      </c>
      <c r="P416" s="11"/>
    </row>
    <row r="417" spans="1:16" ht="12.75" x14ac:dyDescent="0.35">
      <c r="A417" s="7">
        <v>42481.479398148149</v>
      </c>
      <c r="B417" s="8" t="str">
        <f>HYPERLINK("https://twitter.com/DhakaTribune","@DhakaTribune")</f>
        <v>@DhakaTribune</v>
      </c>
      <c r="C417" s="9" t="s">
        <v>1194</v>
      </c>
      <c r="D417" s="9" t="s">
        <v>1195</v>
      </c>
      <c r="E417" s="10" t="str">
        <f>HYPERLINK("https://twitter.com/DhakaTribune/status/723028577327804419","723028577327804419")</f>
        <v>723028577327804419</v>
      </c>
      <c r="F417" s="11" t="s">
        <v>63</v>
      </c>
      <c r="G417" s="11">
        <v>50016</v>
      </c>
      <c r="H417" s="11">
        <v>47</v>
      </c>
      <c r="I417" s="11">
        <v>0</v>
      </c>
      <c r="J417" s="11">
        <v>1</v>
      </c>
      <c r="K417" s="11" t="s">
        <v>21</v>
      </c>
      <c r="L417" s="7">
        <v>41135.604884259257</v>
      </c>
      <c r="M417" s="12" t="s">
        <v>1196</v>
      </c>
      <c r="N417" s="12" t="s">
        <v>1197</v>
      </c>
      <c r="O417" s="10" t="str">
        <f>HYPERLINK("https://pbs.twimg.com/profile_images/3514281595/3692f510c22e1434a52e6dbabeae58ce_normal.png","View")</f>
        <v>View</v>
      </c>
      <c r="P417" s="11"/>
    </row>
    <row r="418" spans="1:16" ht="12.75" x14ac:dyDescent="0.35">
      <c r="A418" s="7">
        <v>42481.481724537036</v>
      </c>
      <c r="B418" s="8" t="str">
        <f>HYPERLINK("https://twitter.com/wiwo","@wiwo")</f>
        <v>@wiwo</v>
      </c>
      <c r="C418" s="9" t="s">
        <v>1198</v>
      </c>
      <c r="D418" s="9" t="s">
        <v>1199</v>
      </c>
      <c r="E418" s="10" t="str">
        <f>HYPERLINK("https://twitter.com/wiwo/status/723029421100163073","723029421100163073")</f>
        <v>723029421100163073</v>
      </c>
      <c r="F418" s="11" t="s">
        <v>43</v>
      </c>
      <c r="G418" s="11">
        <v>175031</v>
      </c>
      <c r="H418" s="11">
        <v>642</v>
      </c>
      <c r="I418" s="11">
        <v>1</v>
      </c>
      <c r="J418" s="11">
        <v>1</v>
      </c>
      <c r="K418" s="11" t="s">
        <v>21</v>
      </c>
      <c r="L418" s="7">
        <v>39842.765717592592</v>
      </c>
      <c r="M418" s="12" t="s">
        <v>975</v>
      </c>
      <c r="N418" s="12" t="s">
        <v>1200</v>
      </c>
      <c r="O418" s="10" t="str">
        <f>HYPERLINK("https://pbs.twimg.com/profile_images/596378323128836096/23C3DVmy_normal.jpg","View")</f>
        <v>View</v>
      </c>
      <c r="P418" s="11"/>
    </row>
    <row r="419" spans="1:16" ht="12.75" x14ac:dyDescent="0.35">
      <c r="A419" s="7">
        <v>42481.484722222223</v>
      </c>
      <c r="B419" s="8" t="str">
        <f>HYPERLINK("https://twitter.com/donaukurier","@donaukurier")</f>
        <v>@donaukurier</v>
      </c>
      <c r="C419" s="8" t="s">
        <v>1201</v>
      </c>
      <c r="D419" s="9" t="s">
        <v>1202</v>
      </c>
      <c r="E419" s="10" t="str">
        <f>HYPERLINK("https://twitter.com/donaukurier/status/723030506057531392","723030506057531392")</f>
        <v>723030506057531392</v>
      </c>
      <c r="F419" s="11" t="s">
        <v>43</v>
      </c>
      <c r="G419" s="11">
        <v>3562</v>
      </c>
      <c r="H419" s="11">
        <v>682</v>
      </c>
      <c r="I419" s="11">
        <v>0</v>
      </c>
      <c r="J419" s="11">
        <v>0</v>
      </c>
      <c r="K419" s="11" t="s">
        <v>21</v>
      </c>
      <c r="L419" s="7">
        <v>39834.624814814815</v>
      </c>
      <c r="M419" s="12" t="s">
        <v>1203</v>
      </c>
      <c r="N419" s="12" t="s">
        <v>1204</v>
      </c>
      <c r="O419" s="10" t="str">
        <f>HYPERLINK("https://pbs.twimg.com/profile_images/453883735738310657/v_R7tMWg_normal.jpeg","View")</f>
        <v>View</v>
      </c>
      <c r="P419" s="11"/>
    </row>
    <row r="420" spans="1:16" ht="12.75" x14ac:dyDescent="0.35">
      <c r="A420" s="7">
        <v>42481.484791666662</v>
      </c>
      <c r="B420" s="8" t="str">
        <f>HYPERLINK("https://twitter.com/VWBeetleSales","@VWBeetleSales")</f>
        <v>@VWBeetleSales</v>
      </c>
      <c r="C420" s="9" t="s">
        <v>127</v>
      </c>
      <c r="D420" s="9" t="s">
        <v>1205</v>
      </c>
      <c r="E420" s="10" t="str">
        <f>HYPERLINK("https://twitter.com/VWBeetleSales/status/723030532490022912","723030532490022912")</f>
        <v>723030532490022912</v>
      </c>
      <c r="F420" s="10" t="s">
        <v>124</v>
      </c>
      <c r="G420" s="11">
        <v>35</v>
      </c>
      <c r="H420" s="11">
        <v>32</v>
      </c>
      <c r="I420" s="11">
        <v>0</v>
      </c>
      <c r="J420" s="11">
        <v>0</v>
      </c>
      <c r="K420" s="11" t="s">
        <v>21</v>
      </c>
      <c r="L420" s="7">
        <v>42427.019756944443</v>
      </c>
      <c r="M420" s="12" t="s">
        <v>129</v>
      </c>
      <c r="N420" s="12" t="s">
        <v>130</v>
      </c>
      <c r="O420" s="10" t="str">
        <f>HYPERLINK("https://pbs.twimg.com/profile_images/703294545195307008/qeCvrX86_normal.jpg","View")</f>
        <v>View</v>
      </c>
      <c r="P420" s="11"/>
    </row>
    <row r="421" spans="1:16" ht="12.75" x14ac:dyDescent="0.35">
      <c r="A421" s="7">
        <v>42481.486064814817</v>
      </c>
      <c r="B421" s="8" t="str">
        <f>HYPERLINK("https://twitter.com/IFeelPossessed","@IFeelPossessed")</f>
        <v>@IFeelPossessed</v>
      </c>
      <c r="C421" s="9" t="s">
        <v>1206</v>
      </c>
      <c r="D421" s="9" t="s">
        <v>1207</v>
      </c>
      <c r="E421" s="10" t="str">
        <f>HYPERLINK("https://twitter.com/IFeelPossessed/status/723030993083502592","723030993083502592")</f>
        <v>723030993083502592</v>
      </c>
      <c r="F421" s="11" t="s">
        <v>20</v>
      </c>
      <c r="G421" s="11">
        <v>236</v>
      </c>
      <c r="H421" s="11">
        <v>188</v>
      </c>
      <c r="I421" s="11">
        <v>0</v>
      </c>
      <c r="J421" s="11">
        <v>1</v>
      </c>
      <c r="K421" s="11" t="s">
        <v>21</v>
      </c>
      <c r="L421" s="7">
        <v>40058.007743055554</v>
      </c>
      <c r="M421" s="12"/>
      <c r="N421" s="12" t="s">
        <v>1208</v>
      </c>
      <c r="O421" s="10" t="str">
        <f>HYPERLINK("https://pbs.twimg.com/profile_images/602201660635652097/MOKTWd4d_normal.jpg","View")</f>
        <v>View</v>
      </c>
      <c r="P421" s="11"/>
    </row>
    <row r="422" spans="1:16" ht="12.75" x14ac:dyDescent="0.35">
      <c r="A422" s="7">
        <v>42481.486875000002</v>
      </c>
      <c r="B422" s="8" t="str">
        <f>HYPERLINK("https://twitter.com/ChristianKreb","@ChristianKreb")</f>
        <v>@ChristianKreb</v>
      </c>
      <c r="C422" s="9" t="s">
        <v>1209</v>
      </c>
      <c r="D422" s="9" t="s">
        <v>1210</v>
      </c>
      <c r="E422" s="10" t="str">
        <f>HYPERLINK("https://twitter.com/ChristianKreb/status/723031285711642624","723031285711642624")</f>
        <v>723031285711642624</v>
      </c>
      <c r="F422" s="11" t="s">
        <v>48</v>
      </c>
      <c r="G422" s="11">
        <v>4</v>
      </c>
      <c r="H422" s="11">
        <v>19</v>
      </c>
      <c r="I422" s="11">
        <v>0</v>
      </c>
      <c r="J422" s="11">
        <v>0</v>
      </c>
      <c r="K422" s="11" t="s">
        <v>21</v>
      </c>
      <c r="L422" s="7">
        <v>41595.668495370366</v>
      </c>
      <c r="M422" s="12" t="s">
        <v>1211</v>
      </c>
      <c r="N422" s="12" t="s">
        <v>1212</v>
      </c>
      <c r="O422" s="10" t="str">
        <f>HYPERLINK("https://pbs.twimg.com/profile_images/718049797077352448/j32g6Rzn_normal.jpg","View")</f>
        <v>View</v>
      </c>
      <c r="P422" s="11"/>
    </row>
    <row r="423" spans="1:16" ht="12.75" x14ac:dyDescent="0.35">
      <c r="A423" s="7">
        <v>42481.48746527778</v>
      </c>
      <c r="B423" s="8" t="str">
        <f>HYPERLINK("https://twitter.com/AchillePrick","@AchillePrick")</f>
        <v>@AchillePrick</v>
      </c>
      <c r="C423" s="9" t="s">
        <v>1213</v>
      </c>
      <c r="D423" s="9" t="s">
        <v>1214</v>
      </c>
      <c r="E423" s="10" t="str">
        <f>HYPERLINK("https://twitter.com/AchillePrick/status/723031498505351168","723031498505351168")</f>
        <v>723031498505351168</v>
      </c>
      <c r="F423" s="11" t="s">
        <v>43</v>
      </c>
      <c r="G423" s="11">
        <v>230</v>
      </c>
      <c r="H423" s="11">
        <v>434</v>
      </c>
      <c r="I423" s="11">
        <v>0</v>
      </c>
      <c r="J423" s="11">
        <v>0</v>
      </c>
      <c r="K423" s="11" t="s">
        <v>21</v>
      </c>
      <c r="L423" s="7">
        <v>40014.013298611113</v>
      </c>
      <c r="M423" s="12" t="s">
        <v>1215</v>
      </c>
      <c r="N423" s="12" t="s">
        <v>1216</v>
      </c>
      <c r="O423" s="10" t="str">
        <f>HYPERLINK("https://pbs.twimg.com/profile_images/630378503/AchilleNos_normal.jpg","View")</f>
        <v>View</v>
      </c>
      <c r="P423" s="11"/>
    </row>
    <row r="424" spans="1:16" ht="12.75" x14ac:dyDescent="0.35">
      <c r="A424" s="7">
        <v>42481.488437499997</v>
      </c>
      <c r="B424" s="8" t="str">
        <f>HYPERLINK("https://twitter.com/MERIAUXL","@MERIAUXL")</f>
        <v>@MERIAUXL</v>
      </c>
      <c r="C424" s="9" t="s">
        <v>1217</v>
      </c>
      <c r="D424" s="9" t="s">
        <v>970</v>
      </c>
      <c r="E424" s="10" t="str">
        <f>HYPERLINK("https://twitter.com/MERIAUXL/status/723031853775642625","723031853775642625")</f>
        <v>723031853775642625</v>
      </c>
      <c r="F424" s="11" t="s">
        <v>20</v>
      </c>
      <c r="G424" s="11">
        <v>265</v>
      </c>
      <c r="H424" s="11">
        <v>558</v>
      </c>
      <c r="I424" s="11">
        <v>6</v>
      </c>
      <c r="J424" s="11">
        <v>0</v>
      </c>
      <c r="K424" s="11" t="s">
        <v>21</v>
      </c>
      <c r="L424" s="7">
        <v>41343.802256944444</v>
      </c>
      <c r="M424" s="12" t="s">
        <v>1218</v>
      </c>
      <c r="N424" s="12" t="s">
        <v>1219</v>
      </c>
      <c r="O424" s="10" t="str">
        <f>HYPERLINK("https://pbs.twimg.com/profile_images/657801345097990144/7uTTqbdA_normal.jpg","View")</f>
        <v>View</v>
      </c>
      <c r="P424" s="11"/>
    </row>
    <row r="425" spans="1:16" ht="12.75" x14ac:dyDescent="0.35">
      <c r="A425" s="7">
        <v>42481.490370370375</v>
      </c>
      <c r="B425" s="8" t="str">
        <f>HYPERLINK("https://twitter.com/VolkerVotsmeier","@VolkerVotsmeier")</f>
        <v>@VolkerVotsmeier</v>
      </c>
      <c r="C425" s="9" t="s">
        <v>1220</v>
      </c>
      <c r="D425" s="9" t="s">
        <v>1221</v>
      </c>
      <c r="E425" s="10" t="str">
        <f>HYPERLINK("https://twitter.com/VolkerVotsmeier/status/723032551971909634","723032551971909634")</f>
        <v>723032551971909634</v>
      </c>
      <c r="F425" s="11" t="s">
        <v>193</v>
      </c>
      <c r="G425" s="11">
        <v>1735</v>
      </c>
      <c r="H425" s="11">
        <v>819</v>
      </c>
      <c r="I425" s="11">
        <v>5</v>
      </c>
      <c r="J425" s="11">
        <v>4</v>
      </c>
      <c r="K425" s="11" t="s">
        <v>21</v>
      </c>
      <c r="L425" s="7">
        <v>41289.594131944446</v>
      </c>
      <c r="M425" s="12" t="s">
        <v>975</v>
      </c>
      <c r="N425" s="12" t="s">
        <v>1222</v>
      </c>
      <c r="O425" s="10" t="str">
        <f>HYPERLINK("https://pbs.twimg.com/profile_images/507897198911053824/7OqYAonJ_normal.jpeg","View")</f>
        <v>View</v>
      </c>
      <c r="P425" s="11"/>
    </row>
    <row r="426" spans="1:16" ht="12.75" x14ac:dyDescent="0.35">
      <c r="A426" s="7">
        <v>42481.490381944444</v>
      </c>
      <c r="B426" s="8" t="str">
        <f>HYPERLINK("https://twitter.com/Speak_EV","@Speak_EV")</f>
        <v>@Speak_EV</v>
      </c>
      <c r="C426" s="9" t="s">
        <v>1223</v>
      </c>
      <c r="D426" s="9" t="s">
        <v>1224</v>
      </c>
      <c r="E426" s="10" t="str">
        <f>HYPERLINK("https://twitter.com/Speak_EV/status/723032558733262848","723032558733262848")</f>
        <v>723032558733262848</v>
      </c>
      <c r="F426" s="11" t="s">
        <v>68</v>
      </c>
      <c r="G426" s="11">
        <v>3911</v>
      </c>
      <c r="H426" s="11">
        <v>1295</v>
      </c>
      <c r="I426" s="11">
        <v>0</v>
      </c>
      <c r="J426" s="11">
        <v>2</v>
      </c>
      <c r="K426" s="11" t="s">
        <v>21</v>
      </c>
      <c r="L426" s="7">
        <v>40738.062361111108</v>
      </c>
      <c r="M426" s="12" t="s">
        <v>1225</v>
      </c>
      <c r="N426" s="12" t="s">
        <v>1226</v>
      </c>
      <c r="O426" s="10" t="str">
        <f>HYPERLINK("https://pbs.twimg.com/profile_images/378800000383656962/389f4a2062ec3c75e130fd84590d969c_normal.png","View")</f>
        <v>View</v>
      </c>
      <c r="P426" s="11"/>
    </row>
    <row r="427" spans="1:16" ht="12.75" x14ac:dyDescent="0.35">
      <c r="A427" s="7">
        <v>42481.491388888884</v>
      </c>
      <c r="B427" s="8" t="str">
        <f>HYPERLINK("https://twitter.com/boerseARD","@boerseARD")</f>
        <v>@boerseARD</v>
      </c>
      <c r="C427" s="9" t="s">
        <v>1227</v>
      </c>
      <c r="D427" s="9" t="s">
        <v>1228</v>
      </c>
      <c r="E427" s="10" t="str">
        <f>HYPERLINK("https://twitter.com/boerseARD/status/723032920030478336","723032920030478336")</f>
        <v>723032920030478336</v>
      </c>
      <c r="F427" s="11" t="s">
        <v>43</v>
      </c>
      <c r="G427" s="11">
        <v>1969</v>
      </c>
      <c r="H427" s="11">
        <v>231</v>
      </c>
      <c r="I427" s="11">
        <v>0</v>
      </c>
      <c r="J427" s="11">
        <v>0</v>
      </c>
      <c r="K427" s="11" t="s">
        <v>21</v>
      </c>
      <c r="L427" s="7">
        <v>42016.832812499997</v>
      </c>
      <c r="M427" s="12" t="s">
        <v>1229</v>
      </c>
      <c r="N427" s="12" t="s">
        <v>1230</v>
      </c>
      <c r="O427" s="10" t="str">
        <f>HYPERLINK("https://pbs.twimg.com/profile_images/666163579700277248/vIv69HhR_normal.jpg","View")</f>
        <v>View</v>
      </c>
      <c r="P427" s="11"/>
    </row>
    <row r="428" spans="1:16" ht="12.75" x14ac:dyDescent="0.35">
      <c r="A428" s="7">
        <v>42481.491793981477</v>
      </c>
      <c r="B428" s="8" t="str">
        <f>HYPERLINK("https://twitter.com/handelsblatt","@handelsblatt")</f>
        <v>@handelsblatt</v>
      </c>
      <c r="C428" s="9" t="s">
        <v>973</v>
      </c>
      <c r="D428" s="9" t="s">
        <v>1231</v>
      </c>
      <c r="E428" s="10" t="str">
        <f>HYPERLINK("https://twitter.com/handelsblatt/status/723033068148260864","723033068148260864")</f>
        <v>723033068148260864</v>
      </c>
      <c r="F428" s="11" t="s">
        <v>288</v>
      </c>
      <c r="G428" s="11">
        <v>239918</v>
      </c>
      <c r="H428" s="11">
        <v>534</v>
      </c>
      <c r="I428" s="11">
        <v>5</v>
      </c>
      <c r="J428" s="11">
        <v>0</v>
      </c>
      <c r="K428" s="11" t="s">
        <v>21</v>
      </c>
      <c r="L428" s="7">
        <v>39207.128182870372</v>
      </c>
      <c r="M428" s="12" t="s">
        <v>975</v>
      </c>
      <c r="N428" s="12" t="s">
        <v>976</v>
      </c>
      <c r="O428" s="10" t="str">
        <f>HYPERLINK("https://pbs.twimg.com/profile_images/562563461171798017/AkHF4keI_normal.png","View")</f>
        <v>View</v>
      </c>
      <c r="P428" s="11"/>
    </row>
    <row r="429" spans="1:16" ht="12.75" x14ac:dyDescent="0.35">
      <c r="A429" s="7">
        <v>42481.491909722223</v>
      </c>
      <c r="B429" s="8" t="str">
        <f>HYPERLINK("https://twitter.com/NancyCNBC","@NancyCNBC")</f>
        <v>@NancyCNBC</v>
      </c>
      <c r="C429" s="9" t="s">
        <v>1232</v>
      </c>
      <c r="D429" s="9" t="s">
        <v>1233</v>
      </c>
      <c r="E429" s="10" t="str">
        <f>HYPERLINK("https://twitter.com/NancyCNBC/status/723033112054112257","723033112054112257")</f>
        <v>723033112054112257</v>
      </c>
      <c r="F429" s="11" t="s">
        <v>43</v>
      </c>
      <c r="G429" s="11">
        <v>1180</v>
      </c>
      <c r="H429" s="11">
        <v>533</v>
      </c>
      <c r="I429" s="11">
        <v>0</v>
      </c>
      <c r="J429" s="11">
        <v>0</v>
      </c>
      <c r="K429" s="11" t="s">
        <v>21</v>
      </c>
      <c r="L429" s="7">
        <v>39884.007118055553</v>
      </c>
      <c r="M429" s="12" t="s">
        <v>638</v>
      </c>
      <c r="N429" s="12" t="s">
        <v>1234</v>
      </c>
      <c r="O429" s="10" t="str">
        <f>HYPERLINK("https://pbs.twimg.com/profile_images/715557322471444481/wBjLQge8_normal.jpg","View")</f>
        <v>View</v>
      </c>
      <c r="P429" s="11"/>
    </row>
    <row r="430" spans="1:16" ht="12.75" x14ac:dyDescent="0.35">
      <c r="A430" s="7">
        <v>42481.492615740739</v>
      </c>
      <c r="B430" s="8" t="str">
        <f>HYPERLINK("https://twitter.com/raulubian","@raulubian")</f>
        <v>@raulubian</v>
      </c>
      <c r="C430" s="9" t="s">
        <v>1235</v>
      </c>
      <c r="D430" s="9" t="s">
        <v>1236</v>
      </c>
      <c r="E430" s="10" t="str">
        <f>HYPERLINK("https://twitter.com/raulubian/status/723033365302091776","723033365302091776")</f>
        <v>723033365302091776</v>
      </c>
      <c r="F430" s="11" t="s">
        <v>48</v>
      </c>
      <c r="G430" s="11">
        <v>54</v>
      </c>
      <c r="H430" s="11">
        <v>235</v>
      </c>
      <c r="I430" s="11">
        <v>7</v>
      </c>
      <c r="J430" s="11">
        <v>0</v>
      </c>
      <c r="K430" s="11" t="s">
        <v>21</v>
      </c>
      <c r="L430" s="7">
        <v>40825.863437499997</v>
      </c>
      <c r="M430" s="12"/>
      <c r="N430" s="12"/>
      <c r="O430" s="10" t="str">
        <f>HYPERLINK("https://pbs.twimg.com/profile_images/1756710768/image_normal.jpg","View")</f>
        <v>View</v>
      </c>
      <c r="P430" s="11"/>
    </row>
    <row r="431" spans="1:16" ht="12.75" x14ac:dyDescent="0.35">
      <c r="A431" s="7">
        <v>42481.495046296295</v>
      </c>
      <c r="B431" s="8" t="str">
        <f>HYPERLINK("https://twitter.com/dtb200","@dtb200")</f>
        <v>@dtb200</v>
      </c>
      <c r="C431" s="9" t="s">
        <v>1237</v>
      </c>
      <c r="D431" s="9" t="s">
        <v>1238</v>
      </c>
      <c r="E431" s="10" t="str">
        <f>HYPERLINK("https://twitter.com/dtb200/status/723034245657034752","723034245657034752")</f>
        <v>723034245657034752</v>
      </c>
      <c r="F431" s="11" t="s">
        <v>43</v>
      </c>
      <c r="G431" s="11">
        <v>195</v>
      </c>
      <c r="H431" s="11">
        <v>533</v>
      </c>
      <c r="I431" s="11">
        <v>0</v>
      </c>
      <c r="J431" s="11">
        <v>0</v>
      </c>
      <c r="K431" s="11" t="s">
        <v>21</v>
      </c>
      <c r="L431" s="7">
        <v>39880.78230324074</v>
      </c>
      <c r="M431" s="12" t="s">
        <v>35</v>
      </c>
      <c r="N431" s="12"/>
      <c r="O431" s="10" t="str">
        <f>HYPERLINK("https://pbs.twimg.com/profile_images/567406246412574720/L8XUd18r_normal.png","View")</f>
        <v>View</v>
      </c>
      <c r="P431" s="11"/>
    </row>
    <row r="432" spans="1:16" ht="12.75" x14ac:dyDescent="0.35">
      <c r="A432" s="7">
        <v>42481.495833333334</v>
      </c>
      <c r="B432" s="8" t="str">
        <f>HYPERLINK("https://twitter.com/ksta_news","@ksta_news")</f>
        <v>@ksta_news</v>
      </c>
      <c r="C432" s="8" t="s">
        <v>1239</v>
      </c>
      <c r="D432" s="9" t="s">
        <v>1240</v>
      </c>
      <c r="E432" s="10" t="str">
        <f>HYPERLINK("https://twitter.com/ksta_news/status/723034533256421376","723034533256421376")</f>
        <v>723034533256421376</v>
      </c>
      <c r="F432" s="11" t="s">
        <v>63</v>
      </c>
      <c r="G432" s="11">
        <v>34252</v>
      </c>
      <c r="H432" s="11">
        <v>2235</v>
      </c>
      <c r="I432" s="11">
        <v>1</v>
      </c>
      <c r="J432" s="11">
        <v>0</v>
      </c>
      <c r="K432" s="11" t="s">
        <v>21</v>
      </c>
      <c r="L432" s="7">
        <v>39881.823217592595</v>
      </c>
      <c r="M432" s="12" t="s">
        <v>1241</v>
      </c>
      <c r="N432" s="12" t="s">
        <v>1242</v>
      </c>
      <c r="O432" s="10" t="str">
        <f>HYPERLINK("https://pbs.twimg.com/profile_images/2323790201/ctdn7vtih30fwf5dcx8z_normal.jpeg","View")</f>
        <v>View</v>
      </c>
      <c r="P432" s="11"/>
    </row>
    <row r="433" spans="1:16" ht="12.75" x14ac:dyDescent="0.35">
      <c r="A433" s="7">
        <v>42481.496759259258</v>
      </c>
      <c r="B433" s="8" t="str">
        <f>HYPERLINK("https://twitter.com/CreditChemist","@CreditChemist")</f>
        <v>@CreditChemist</v>
      </c>
      <c r="C433" s="9" t="s">
        <v>1243</v>
      </c>
      <c r="D433" s="9" t="s">
        <v>1244</v>
      </c>
      <c r="E433" s="10" t="str">
        <f>HYPERLINK("https://twitter.com/CreditChemist/status/723034866149896192","723034866149896192")</f>
        <v>723034866149896192</v>
      </c>
      <c r="F433" s="11" t="s">
        <v>91</v>
      </c>
      <c r="G433" s="11">
        <v>227</v>
      </c>
      <c r="H433" s="11">
        <v>301</v>
      </c>
      <c r="I433" s="11">
        <v>0</v>
      </c>
      <c r="J433" s="11">
        <v>0</v>
      </c>
      <c r="K433" s="11" t="s">
        <v>21</v>
      </c>
      <c r="L433" s="7">
        <v>40867.710821759261</v>
      </c>
      <c r="M433" s="12" t="s">
        <v>1245</v>
      </c>
      <c r="N433" s="12" t="s">
        <v>1246</v>
      </c>
      <c r="O433" s="10" t="str">
        <f>HYPERLINK("https://pbs.twimg.com/profile_images/700071746502791169/Bo6w2SEg_normal.jpg","View")</f>
        <v>View</v>
      </c>
      <c r="P433" s="11"/>
    </row>
    <row r="434" spans="1:16" ht="12.75" x14ac:dyDescent="0.35">
      <c r="A434" s="7">
        <v>42481.497407407413</v>
      </c>
      <c r="B434" s="8" t="str">
        <f>HYPERLINK("https://twitter.com/oleh_matsko","@oleh_matsko")</f>
        <v>@oleh_matsko</v>
      </c>
      <c r="C434" s="9" t="s">
        <v>1247</v>
      </c>
      <c r="D434" s="9" t="s">
        <v>1248</v>
      </c>
      <c r="E434" s="10" t="str">
        <f>HYPERLINK("https://twitter.com/oleh_matsko/status/723035102154993664","723035102154993664")</f>
        <v>723035102154993664</v>
      </c>
      <c r="F434" s="11" t="s">
        <v>48</v>
      </c>
      <c r="G434" s="11">
        <v>103</v>
      </c>
      <c r="H434" s="11">
        <v>308</v>
      </c>
      <c r="I434" s="11">
        <v>1</v>
      </c>
      <c r="J434" s="11">
        <v>0</v>
      </c>
      <c r="K434" s="11" t="s">
        <v>21</v>
      </c>
      <c r="L434" s="7">
        <v>42451.063587962963</v>
      </c>
      <c r="M434" s="12" t="s">
        <v>1249</v>
      </c>
      <c r="N434" s="12" t="s">
        <v>1250</v>
      </c>
      <c r="O434" s="10" t="str">
        <f>HYPERLINK("https://pbs.twimg.com/profile_images/720167656918265856/pDmDLCWP_normal.jpg","View")</f>
        <v>View</v>
      </c>
      <c r="P434" s="11"/>
    </row>
    <row r="435" spans="1:16" ht="12.75" x14ac:dyDescent="0.35">
      <c r="A435" s="7">
        <v>42481.498391203699</v>
      </c>
      <c r="B435" s="8" t="str">
        <f>HYPERLINK("https://twitter.com/raulubian","@raulubian")</f>
        <v>@raulubian</v>
      </c>
      <c r="C435" s="9" t="s">
        <v>1235</v>
      </c>
      <c r="D435" s="9" t="s">
        <v>1251</v>
      </c>
      <c r="E435" s="10" t="str">
        <f>HYPERLINK("https://twitter.com/raulubian/status/723035460205981696","723035460205981696")</f>
        <v>723035460205981696</v>
      </c>
      <c r="F435" s="11" t="s">
        <v>48</v>
      </c>
      <c r="G435" s="11">
        <v>54</v>
      </c>
      <c r="H435" s="11">
        <v>235</v>
      </c>
      <c r="I435" s="11">
        <v>2</v>
      </c>
      <c r="J435" s="11">
        <v>0</v>
      </c>
      <c r="K435" s="11" t="s">
        <v>21</v>
      </c>
      <c r="L435" s="7">
        <v>40825.863437499997</v>
      </c>
      <c r="M435" s="12"/>
      <c r="N435" s="12"/>
      <c r="O435" s="10" t="str">
        <f>HYPERLINK("https://pbs.twimg.com/profile_images/1756710768/image_normal.jpg","View")</f>
        <v>View</v>
      </c>
      <c r="P435" s="11"/>
    </row>
    <row r="436" spans="1:16" ht="12.75" x14ac:dyDescent="0.35">
      <c r="A436" s="7">
        <v>42481.498425925922</v>
      </c>
      <c r="B436" s="8" t="str">
        <f>HYPERLINK("https://twitter.com/aktionaer","@aktionaer")</f>
        <v>@aktionaer</v>
      </c>
      <c r="C436" s="9" t="s">
        <v>1252</v>
      </c>
      <c r="D436" s="9" t="s">
        <v>1253</v>
      </c>
      <c r="E436" s="10" t="str">
        <f>HYPERLINK("https://twitter.com/aktionaer/status/723035470863589376","723035470863589376")</f>
        <v>723035470863589376</v>
      </c>
      <c r="F436" s="11" t="s">
        <v>43</v>
      </c>
      <c r="G436" s="11">
        <v>4631</v>
      </c>
      <c r="H436" s="11">
        <v>1111</v>
      </c>
      <c r="I436" s="11">
        <v>0</v>
      </c>
      <c r="J436" s="11">
        <v>0</v>
      </c>
      <c r="K436" s="11" t="s">
        <v>21</v>
      </c>
      <c r="L436" s="7">
        <v>39844.695729166662</v>
      </c>
      <c r="M436" s="12" t="s">
        <v>1254</v>
      </c>
      <c r="N436" s="12" t="s">
        <v>1255</v>
      </c>
      <c r="O436" s="10" t="str">
        <f>HYPERLINK("https://pbs.twimg.com/profile_images/679552623641509888/_vPw9IS2_normal.png","View")</f>
        <v>View</v>
      </c>
      <c r="P436" s="11"/>
    </row>
    <row r="437" spans="1:16" ht="12.75" x14ac:dyDescent="0.35">
      <c r="A437" s="7">
        <v>42481.49931712963</v>
      </c>
      <c r="B437" s="8" t="str">
        <f>HYPERLINK("https://twitter.com/reutersBenHir","@reutersBenHir")</f>
        <v>@reutersBenHir</v>
      </c>
      <c r="C437" s="9" t="s">
        <v>1256</v>
      </c>
      <c r="D437" s="9" t="s">
        <v>1257</v>
      </c>
      <c r="E437" s="10" t="str">
        <f>HYPERLINK("https://twitter.com/reutersBenHir/status/723035796169576452","723035796169576452")</f>
        <v>723035796169576452</v>
      </c>
      <c r="F437" s="11" t="s">
        <v>43</v>
      </c>
      <c r="G437" s="11">
        <v>16789</v>
      </c>
      <c r="H437" s="11">
        <v>1631</v>
      </c>
      <c r="I437" s="11">
        <v>0</v>
      </c>
      <c r="J437" s="11">
        <v>0</v>
      </c>
      <c r="K437" s="11" t="s">
        <v>21</v>
      </c>
      <c r="L437" s="7">
        <v>39891.897847222222</v>
      </c>
      <c r="M437" s="12" t="s">
        <v>638</v>
      </c>
      <c r="N437" s="12" t="s">
        <v>1258</v>
      </c>
      <c r="O437" s="10" t="str">
        <f>HYPERLINK("https://pbs.twimg.com/profile_images/668968842/Venice_pic_normal.jpg","View")</f>
        <v>View</v>
      </c>
      <c r="P437" s="11"/>
    </row>
    <row r="438" spans="1:16" ht="12.75" x14ac:dyDescent="0.35">
      <c r="A438" s="7">
        <v>42481.499409722222</v>
      </c>
      <c r="B438" s="8" t="str">
        <f t="shared" ref="B438:B439" si="46">HYPERLINK("https://twitter.com/VWCamperSales","@VWCamperSales")</f>
        <v>@VWCamperSales</v>
      </c>
      <c r="C438" s="9" t="s">
        <v>216</v>
      </c>
      <c r="D438" s="9" t="s">
        <v>1259</v>
      </c>
      <c r="E438" s="10" t="str">
        <f>HYPERLINK("https://twitter.com/VWCamperSales/status/723035826779639809","723035826779639809")</f>
        <v>723035826779639809</v>
      </c>
      <c r="F438" s="10" t="s">
        <v>124</v>
      </c>
      <c r="G438" s="11">
        <v>615</v>
      </c>
      <c r="H438" s="11">
        <v>580</v>
      </c>
      <c r="I438" s="11">
        <v>0</v>
      </c>
      <c r="J438" s="11">
        <v>0</v>
      </c>
      <c r="K438" s="11" t="s">
        <v>21</v>
      </c>
      <c r="L438" s="7">
        <v>42215.98809027778</v>
      </c>
      <c r="M438" s="12" t="s">
        <v>129</v>
      </c>
      <c r="N438" s="12" t="s">
        <v>218</v>
      </c>
      <c r="O438" s="10" t="str">
        <f t="shared" ref="O438:O439" si="47">HYPERLINK("https://pbs.twimg.com/profile_images/627949001179037696/skEBkS05_normal.jpg","View")</f>
        <v>View</v>
      </c>
      <c r="P438" s="11"/>
    </row>
    <row r="439" spans="1:16" ht="12.75" x14ac:dyDescent="0.35">
      <c r="A439" s="7">
        <v>42481.499421296292</v>
      </c>
      <c r="B439" s="8" t="str">
        <f t="shared" si="46"/>
        <v>@VWCamperSales</v>
      </c>
      <c r="C439" s="9" t="s">
        <v>216</v>
      </c>
      <c r="D439" s="9" t="s">
        <v>1260</v>
      </c>
      <c r="E439" s="10" t="str">
        <f>HYPERLINK("https://twitter.com/VWCamperSales/status/723035833620533248","723035833620533248")</f>
        <v>723035833620533248</v>
      </c>
      <c r="F439" s="10" t="s">
        <v>124</v>
      </c>
      <c r="G439" s="11">
        <v>615</v>
      </c>
      <c r="H439" s="11">
        <v>580</v>
      </c>
      <c r="I439" s="11">
        <v>0</v>
      </c>
      <c r="J439" s="11">
        <v>0</v>
      </c>
      <c r="K439" s="11" t="s">
        <v>21</v>
      </c>
      <c r="L439" s="7">
        <v>42215.98809027778</v>
      </c>
      <c r="M439" s="12" t="s">
        <v>129</v>
      </c>
      <c r="N439" s="12" t="s">
        <v>218</v>
      </c>
      <c r="O439" s="10" t="str">
        <f t="shared" si="47"/>
        <v>View</v>
      </c>
      <c r="P439" s="11"/>
    </row>
    <row r="440" spans="1:16" ht="12.75" x14ac:dyDescent="0.35">
      <c r="A440" s="7">
        <v>42481.50063657407</v>
      </c>
      <c r="B440" s="8" t="str">
        <f>HYPERLINK("https://twitter.com/bradshaw_sw","@bradshaw_sw")</f>
        <v>@bradshaw_sw</v>
      </c>
      <c r="C440" s="9" t="s">
        <v>1261</v>
      </c>
      <c r="D440" s="9" t="s">
        <v>1262</v>
      </c>
      <c r="E440" s="10" t="str">
        <f>HYPERLINK("https://twitter.com/bradshaw_sw/status/723036272797880320","723036272797880320")</f>
        <v>723036272797880320</v>
      </c>
      <c r="F440" s="11" t="s">
        <v>48</v>
      </c>
      <c r="G440" s="11">
        <v>87</v>
      </c>
      <c r="H440" s="11">
        <v>189</v>
      </c>
      <c r="I440" s="11">
        <v>0</v>
      </c>
      <c r="J440" s="11">
        <v>0</v>
      </c>
      <c r="K440" s="11" t="s">
        <v>21</v>
      </c>
      <c r="L440" s="7">
        <v>41142.023784722223</v>
      </c>
      <c r="M440" s="12" t="s">
        <v>1263</v>
      </c>
      <c r="N440" s="12" t="s">
        <v>1264</v>
      </c>
      <c r="O440" s="10" t="str">
        <f>HYPERLINK("https://pbs.twimg.com/profile_images/643481656960155648/NZK8ZbDk_normal.jpg","View")</f>
        <v>View</v>
      </c>
      <c r="P440" s="11"/>
    </row>
    <row r="441" spans="1:16" ht="12.75" x14ac:dyDescent="0.35">
      <c r="A441" s="7">
        <v>42481.501666666663</v>
      </c>
      <c r="B441" s="8" t="str">
        <f>HYPERLINK("https://twitter.com/IOLmotoring","@IOLmotoring")</f>
        <v>@IOLmotoring</v>
      </c>
      <c r="C441" s="9" t="s">
        <v>1265</v>
      </c>
      <c r="D441" s="9" t="s">
        <v>1266</v>
      </c>
      <c r="E441" s="10" t="str">
        <f>HYPERLINK("https://twitter.com/IOLmotoring/status/723036644463378432","723036644463378432")</f>
        <v>723036644463378432</v>
      </c>
      <c r="F441" s="11" t="s">
        <v>43</v>
      </c>
      <c r="G441" s="11">
        <v>8780</v>
      </c>
      <c r="H441" s="11">
        <v>6450</v>
      </c>
      <c r="I441" s="11">
        <v>1</v>
      </c>
      <c r="J441" s="11">
        <v>0</v>
      </c>
      <c r="K441" s="11" t="s">
        <v>21</v>
      </c>
      <c r="L441" s="7">
        <v>40053.83090277778</v>
      </c>
      <c r="M441" s="12" t="s">
        <v>1267</v>
      </c>
      <c r="N441" s="12" t="s">
        <v>1268</v>
      </c>
      <c r="O441" s="10" t="str">
        <f>HYPERLINK("https://pbs.twimg.com/profile_images/690476388189671424/Y8ZTnKpu_normal.jpg","View")</f>
        <v>View</v>
      </c>
      <c r="P441" s="11"/>
    </row>
    <row r="442" spans="1:16" ht="12.75" x14ac:dyDescent="0.35">
      <c r="A442" s="7">
        <v>42481.501851851848</v>
      </c>
      <c r="B442" s="8" t="str">
        <f>HYPERLINK("https://twitter.com/StZ_NEWS","@StZ_NEWS")</f>
        <v>@StZ_NEWS</v>
      </c>
      <c r="C442" s="9" t="s">
        <v>1269</v>
      </c>
      <c r="D442" s="9" t="s">
        <v>1270</v>
      </c>
      <c r="E442" s="10" t="str">
        <f>HYPERLINK("https://twitter.com/StZ_NEWS/status/723036711429758976","723036711429758976")</f>
        <v>723036711429758976</v>
      </c>
      <c r="F442" s="11" t="s">
        <v>63</v>
      </c>
      <c r="G442" s="11">
        <v>41452</v>
      </c>
      <c r="H442" s="11">
        <v>954</v>
      </c>
      <c r="I442" s="11">
        <v>1</v>
      </c>
      <c r="J442" s="11">
        <v>0</v>
      </c>
      <c r="K442" s="11" t="s">
        <v>21</v>
      </c>
      <c r="L442" s="7">
        <v>39815.815706018519</v>
      </c>
      <c r="M442" s="12" t="s">
        <v>1271</v>
      </c>
      <c r="N442" s="12" t="s">
        <v>1272</v>
      </c>
      <c r="O442" s="10" t="str">
        <f>HYPERLINK("https://pbs.twimg.com/profile_images/2161429802/stz_gross_normal.jpg","View")</f>
        <v>View</v>
      </c>
      <c r="P442" s="11"/>
    </row>
    <row r="443" spans="1:16" ht="12.75" x14ac:dyDescent="0.35">
      <c r="A443" s="7">
        <v>42481.502812499995</v>
      </c>
      <c r="B443" s="8" t="str">
        <f>HYPERLINK("https://twitter.com/tgc_bs","@tgc_bs")</f>
        <v>@tgc_bs</v>
      </c>
      <c r="C443" s="9" t="s">
        <v>1273</v>
      </c>
      <c r="D443" s="9" t="s">
        <v>1274</v>
      </c>
      <c r="E443" s="10" t="str">
        <f>HYPERLINK("https://twitter.com/tgc_bs/status/723037063193473024","723037063193473024")</f>
        <v>723037063193473024</v>
      </c>
      <c r="F443" s="11" t="s">
        <v>114</v>
      </c>
      <c r="G443" s="11">
        <v>478</v>
      </c>
      <c r="H443" s="11">
        <v>347</v>
      </c>
      <c r="I443" s="11">
        <v>0</v>
      </c>
      <c r="J443" s="11">
        <v>0</v>
      </c>
      <c r="K443" s="11" t="s">
        <v>21</v>
      </c>
      <c r="L443" s="7">
        <v>40161.24728009259</v>
      </c>
      <c r="M443" s="12" t="s">
        <v>1275</v>
      </c>
      <c r="N443" s="12" t="s">
        <v>1276</v>
      </c>
      <c r="O443" s="10" t="str">
        <f>HYPERLINK("https://pbs.twimg.com/profile_images/511276789013159936/8V47OVvR_normal.jpeg","View")</f>
        <v>View</v>
      </c>
      <c r="P443" s="10" t="str">
        <f>HYPERLINK("http://ctrlq.org/maps/address/#33.12704338,-117.32451272","Map")</f>
        <v>Map</v>
      </c>
    </row>
    <row r="444" spans="1:16" ht="12.75" x14ac:dyDescent="0.35">
      <c r="A444" s="7">
        <v>42481.503171296295</v>
      </c>
      <c r="B444" s="8" t="str">
        <f>HYPERLINK("https://twitter.com/Mk1GolfOC","@Mk1GolfOC")</f>
        <v>@Mk1GolfOC</v>
      </c>
      <c r="C444" s="9" t="s">
        <v>1277</v>
      </c>
      <c r="D444" s="9" t="s">
        <v>1278</v>
      </c>
      <c r="E444" s="10" t="str">
        <f>HYPERLINK("https://twitter.com/Mk1GolfOC/status/723037190926807040","723037190926807040")</f>
        <v>723037190926807040</v>
      </c>
      <c r="F444" s="11" t="s">
        <v>114</v>
      </c>
      <c r="G444" s="11">
        <v>923</v>
      </c>
      <c r="H444" s="11">
        <v>293</v>
      </c>
      <c r="I444" s="11">
        <v>2</v>
      </c>
      <c r="J444" s="11">
        <v>2</v>
      </c>
      <c r="K444" s="11" t="s">
        <v>21</v>
      </c>
      <c r="L444" s="7">
        <v>41086.903217592597</v>
      </c>
      <c r="M444" s="12"/>
      <c r="N444" s="12" t="s">
        <v>1279</v>
      </c>
      <c r="O444" s="10" t="str">
        <f>HYPERLINK("https://pbs.twimg.com/profile_images/502398043379859459/MXV7u33Q_normal.jpeg","View")</f>
        <v>View</v>
      </c>
      <c r="P444" s="11"/>
    </row>
    <row r="445" spans="1:16" ht="12.75" x14ac:dyDescent="0.35">
      <c r="A445" s="7">
        <v>42481.504513888889</v>
      </c>
      <c r="B445" s="8" t="str">
        <f>HYPERLINK("https://twitter.com/Mphilpot1","@Mphilpot1")</f>
        <v>@Mphilpot1</v>
      </c>
      <c r="C445" s="9" t="s">
        <v>1280</v>
      </c>
      <c r="D445" s="9" t="s">
        <v>1281</v>
      </c>
      <c r="E445" s="10" t="str">
        <f>HYPERLINK("https://twitter.com/Mphilpot1/status/723037676820041728","723037676820041728")</f>
        <v>723037676820041728</v>
      </c>
      <c r="F445" s="11" t="s">
        <v>34</v>
      </c>
      <c r="G445" s="11">
        <v>114</v>
      </c>
      <c r="H445" s="11">
        <v>141</v>
      </c>
      <c r="I445" s="11">
        <v>0</v>
      </c>
      <c r="J445" s="11">
        <v>0</v>
      </c>
      <c r="K445" s="11" t="s">
        <v>21</v>
      </c>
      <c r="L445" s="7">
        <v>41137.855208333334</v>
      </c>
      <c r="M445" s="12"/>
      <c r="N445" s="12"/>
      <c r="O445" s="10" t="str">
        <f>HYPERLINK("https://pbs.twimg.com/profile_images/422164778639839234/LVnS1q1c_normal.jpeg","View")</f>
        <v>View</v>
      </c>
      <c r="P445" s="11"/>
    </row>
    <row r="446" spans="1:16" ht="12.75" x14ac:dyDescent="0.35">
      <c r="A446" s="7">
        <v>42481.504837962959</v>
      </c>
      <c r="B446" s="8" t="str">
        <f>HYPERLINK("https://twitter.com/deanomsport","@deanomsport")</f>
        <v>@deanomsport</v>
      </c>
      <c r="C446" s="9" t="s">
        <v>1282</v>
      </c>
      <c r="D446" s="9" t="s">
        <v>1283</v>
      </c>
      <c r="E446" s="10" t="str">
        <f>HYPERLINK("https://twitter.com/deanomsport/status/723037794801713152","723037794801713152")</f>
        <v>723037794801713152</v>
      </c>
      <c r="F446" s="11" t="s">
        <v>20</v>
      </c>
      <c r="G446" s="11">
        <v>215</v>
      </c>
      <c r="H446" s="11">
        <v>386</v>
      </c>
      <c r="I446" s="11">
        <v>2</v>
      </c>
      <c r="J446" s="11">
        <v>0</v>
      </c>
      <c r="K446" s="11" t="s">
        <v>21</v>
      </c>
      <c r="L446" s="7">
        <v>40496.158229166671</v>
      </c>
      <c r="M446" s="12" t="s">
        <v>1284</v>
      </c>
      <c r="N446" s="12" t="s">
        <v>1285</v>
      </c>
      <c r="O446" s="10" t="str">
        <f>HYPERLINK("https://pbs.twimg.com/profile_images/653310353653297153/bYVyhn8J_normal.jpg","View")</f>
        <v>View</v>
      </c>
      <c r="P446" s="11"/>
    </row>
    <row r="447" spans="1:16" ht="12.75" x14ac:dyDescent="0.35">
      <c r="A447" s="7">
        <v>42481.505520833336</v>
      </c>
      <c r="B447" s="8" t="str">
        <f>HYPERLINK("https://twitter.com/ManuelaKC","@ManuelaKC")</f>
        <v>@ManuelaKC</v>
      </c>
      <c r="C447" s="9" t="s">
        <v>1286</v>
      </c>
      <c r="D447" s="9" t="s">
        <v>1287</v>
      </c>
      <c r="E447" s="10" t="str">
        <f>HYPERLINK("https://twitter.com/ManuelaKC/status/723038044442509313","723038044442509313")</f>
        <v>723038044442509313</v>
      </c>
      <c r="F447" s="11" t="s">
        <v>20</v>
      </c>
      <c r="G447" s="11">
        <v>2745</v>
      </c>
      <c r="H447" s="11">
        <v>2339</v>
      </c>
      <c r="I447" s="11">
        <v>6</v>
      </c>
      <c r="J447" s="11">
        <v>1</v>
      </c>
      <c r="K447" s="11" t="s">
        <v>21</v>
      </c>
      <c r="L447" s="7">
        <v>41323.781956018516</v>
      </c>
      <c r="M447" s="12" t="s">
        <v>1288</v>
      </c>
      <c r="N447" s="12" t="s">
        <v>1289</v>
      </c>
      <c r="O447" s="10" t="str">
        <f>HYPERLINK("https://pbs.twimg.com/profile_images/3272805912/cc8e643d4da4f63d27bc817e690d7d74_normal.jpeg","View")</f>
        <v>View</v>
      </c>
      <c r="P447" s="11"/>
    </row>
    <row r="448" spans="1:16" ht="12.75" x14ac:dyDescent="0.35">
      <c r="A448" s="7">
        <v>42481.505752314813</v>
      </c>
      <c r="B448" s="8" t="str">
        <f>HYPERLINK("https://twitter.com/databaseDNA","@databaseDNA")</f>
        <v>@databaseDNA</v>
      </c>
      <c r="C448" s="9" t="s">
        <v>1290</v>
      </c>
      <c r="D448" s="9" t="s">
        <v>1291</v>
      </c>
      <c r="E448" s="10" t="str">
        <f>HYPERLINK("https://twitter.com/databaseDNA/status/723038128135512067","723038128135512067")</f>
        <v>723038128135512067</v>
      </c>
      <c r="F448" s="11" t="s">
        <v>43</v>
      </c>
      <c r="G448" s="11">
        <v>418</v>
      </c>
      <c r="H448" s="11">
        <v>826</v>
      </c>
      <c r="I448" s="11">
        <v>0</v>
      </c>
      <c r="J448" s="11">
        <v>0</v>
      </c>
      <c r="K448" s="11" t="s">
        <v>21</v>
      </c>
      <c r="L448" s="7">
        <v>40124.218530092592</v>
      </c>
      <c r="M448" s="12" t="s">
        <v>1292</v>
      </c>
      <c r="N448" s="12" t="s">
        <v>1293</v>
      </c>
      <c r="O448" s="10" t="str">
        <f>HYPERLINK("https://pbs.twimg.com/profile_images/378800000135015772/87ac890c0f60047e05c0609f790388a7_normal.jpeg","View")</f>
        <v>View</v>
      </c>
      <c r="P448" s="11"/>
    </row>
    <row r="449" spans="1:16" ht="12.75" x14ac:dyDescent="0.35">
      <c r="A449" s="7">
        <v>42481.505775462967</v>
      </c>
      <c r="B449" s="8" t="str">
        <f t="shared" ref="B449:B451" si="48">HYPERLINK("https://twitter.com/VolkswagenPost","@VolkswagenPost")</f>
        <v>@VolkswagenPost</v>
      </c>
      <c r="C449" s="9" t="s">
        <v>321</v>
      </c>
      <c r="D449" s="9" t="s">
        <v>1294</v>
      </c>
      <c r="E449" s="10" t="str">
        <f>HYPERLINK("https://twitter.com/VolkswagenPost/status/723038136062763008","723038136062763008")</f>
        <v>723038136062763008</v>
      </c>
      <c r="F449" s="11" t="s">
        <v>34</v>
      </c>
      <c r="G449" s="11">
        <v>571</v>
      </c>
      <c r="H449" s="11">
        <v>446</v>
      </c>
      <c r="I449" s="11">
        <v>0</v>
      </c>
      <c r="J449" s="11">
        <v>0</v>
      </c>
      <c r="K449" s="11" t="s">
        <v>21</v>
      </c>
      <c r="L449" s="7">
        <v>41940.618379629632</v>
      </c>
      <c r="M449" s="12"/>
      <c r="N449" s="12"/>
      <c r="O449" s="10" t="str">
        <f t="shared" ref="O449:O451" si="49">HYPERLINK("https://pbs.twimg.com/profile_images/530071272881803264/a_jcCmPZ_normal.png","View")</f>
        <v>View</v>
      </c>
      <c r="P449" s="11"/>
    </row>
    <row r="450" spans="1:16" ht="12.75" x14ac:dyDescent="0.35">
      <c r="A450" s="7">
        <v>42481.505787037036</v>
      </c>
      <c r="B450" s="8" t="str">
        <f t="shared" si="48"/>
        <v>@VolkswagenPost</v>
      </c>
      <c r="C450" s="9" t="s">
        <v>321</v>
      </c>
      <c r="D450" s="9" t="s">
        <v>1295</v>
      </c>
      <c r="E450" s="10" t="str">
        <f>HYPERLINK("https://twitter.com/VolkswagenPost/status/723038137740460032","723038137740460032")</f>
        <v>723038137740460032</v>
      </c>
      <c r="F450" s="11" t="s">
        <v>34</v>
      </c>
      <c r="G450" s="11">
        <v>571</v>
      </c>
      <c r="H450" s="11">
        <v>446</v>
      </c>
      <c r="I450" s="11">
        <v>0</v>
      </c>
      <c r="J450" s="11">
        <v>0</v>
      </c>
      <c r="K450" s="11" t="s">
        <v>21</v>
      </c>
      <c r="L450" s="7">
        <v>41940.618379629632</v>
      </c>
      <c r="M450" s="12"/>
      <c r="N450" s="12"/>
      <c r="O450" s="10" t="str">
        <f t="shared" si="49"/>
        <v>View</v>
      </c>
      <c r="P450" s="11"/>
    </row>
    <row r="451" spans="1:16" ht="12.75" x14ac:dyDescent="0.35">
      <c r="A451" s="7">
        <v>42481.505787037036</v>
      </c>
      <c r="B451" s="8" t="str">
        <f t="shared" si="48"/>
        <v>@VolkswagenPost</v>
      </c>
      <c r="C451" s="9" t="s">
        <v>321</v>
      </c>
      <c r="D451" s="9" t="s">
        <v>1296</v>
      </c>
      <c r="E451" s="10" t="str">
        <f>HYPERLINK("https://twitter.com/VolkswagenPost/status/723038138814189569","723038138814189569")</f>
        <v>723038138814189569</v>
      </c>
      <c r="F451" s="11" t="s">
        <v>34</v>
      </c>
      <c r="G451" s="11">
        <v>571</v>
      </c>
      <c r="H451" s="11">
        <v>446</v>
      </c>
      <c r="I451" s="11">
        <v>0</v>
      </c>
      <c r="J451" s="11">
        <v>0</v>
      </c>
      <c r="K451" s="11" t="s">
        <v>21</v>
      </c>
      <c r="L451" s="7">
        <v>41940.618379629632</v>
      </c>
      <c r="M451" s="12"/>
      <c r="N451" s="12"/>
      <c r="O451" s="10" t="str">
        <f t="shared" si="49"/>
        <v>View</v>
      </c>
      <c r="P451" s="11"/>
    </row>
    <row r="452" spans="1:16" ht="12.75" x14ac:dyDescent="0.35">
      <c r="A452" s="7">
        <v>42481.506238425922</v>
      </c>
      <c r="B452" s="8" t="str">
        <f>HYPERLINK("https://twitter.com/ItoParedes","@ItoParedes")</f>
        <v>@ItoParedes</v>
      </c>
      <c r="C452" s="9" t="s">
        <v>1297</v>
      </c>
      <c r="D452" s="9" t="s">
        <v>1298</v>
      </c>
      <c r="E452" s="10" t="str">
        <f>HYPERLINK("https://twitter.com/ItoParedes/status/723038303210053632","723038303210053632")</f>
        <v>723038303210053632</v>
      </c>
      <c r="F452" s="11" t="s">
        <v>160</v>
      </c>
      <c r="G452" s="11">
        <v>56</v>
      </c>
      <c r="H452" s="11">
        <v>105</v>
      </c>
      <c r="I452" s="11">
        <v>6</v>
      </c>
      <c r="J452" s="11">
        <v>0</v>
      </c>
      <c r="K452" s="11" t="s">
        <v>21</v>
      </c>
      <c r="L452" s="7">
        <v>40659.229409722218</v>
      </c>
      <c r="M452" s="12" t="s">
        <v>1299</v>
      </c>
      <c r="N452" s="12" t="s">
        <v>1300</v>
      </c>
      <c r="O452" s="10" t="str">
        <f>HYPERLINK("https://pbs.twimg.com/profile_images/1602774074/IMG_0924_normal.JPG","View")</f>
        <v>View</v>
      </c>
      <c r="P452" s="11"/>
    </row>
    <row r="453" spans="1:16" ht="12.75" x14ac:dyDescent="0.35">
      <c r="A453" s="7">
        <v>42481.507118055553</v>
      </c>
      <c r="B453" s="8" t="str">
        <f>HYPERLINK("https://twitter.com/Mk1GolfOC","@Mk1GolfOC")</f>
        <v>@Mk1GolfOC</v>
      </c>
      <c r="C453" s="9" t="s">
        <v>1277</v>
      </c>
      <c r="D453" s="9" t="s">
        <v>1301</v>
      </c>
      <c r="E453" s="10" t="str">
        <f>HYPERLINK("https://twitter.com/Mk1GolfOC/status/723038623206137856","723038623206137856")</f>
        <v>723038623206137856</v>
      </c>
      <c r="F453" s="11" t="s">
        <v>114</v>
      </c>
      <c r="G453" s="11">
        <v>923</v>
      </c>
      <c r="H453" s="11">
        <v>293</v>
      </c>
      <c r="I453" s="11">
        <v>1</v>
      </c>
      <c r="J453" s="11">
        <v>1</v>
      </c>
      <c r="K453" s="11" t="s">
        <v>21</v>
      </c>
      <c r="L453" s="7">
        <v>41086.903217592597</v>
      </c>
      <c r="M453" s="12"/>
      <c r="N453" s="12" t="s">
        <v>1279</v>
      </c>
      <c r="O453" s="10" t="str">
        <f>HYPERLINK("https://pbs.twimg.com/profile_images/502398043379859459/MXV7u33Q_normal.jpeg","View")</f>
        <v>View</v>
      </c>
      <c r="P453" s="11"/>
    </row>
    <row r="454" spans="1:16" ht="12.75" x14ac:dyDescent="0.35">
      <c r="A454" s="7">
        <v>42481.507280092592</v>
      </c>
      <c r="B454" s="8" t="str">
        <f>HYPERLINK("https://twitter.com/dwnews","@dwnews")</f>
        <v>@dwnews</v>
      </c>
      <c r="C454" s="9" t="s">
        <v>1302</v>
      </c>
      <c r="D454" s="9" t="s">
        <v>1298</v>
      </c>
      <c r="E454" s="10" t="str">
        <f>HYPERLINK("https://twitter.com/dwnews/status/723038679879585792","723038679879585792")</f>
        <v>723038679879585792</v>
      </c>
      <c r="F454" s="11" t="s">
        <v>63</v>
      </c>
      <c r="G454" s="11">
        <v>91214</v>
      </c>
      <c r="H454" s="11">
        <v>542</v>
      </c>
      <c r="I454" s="11">
        <v>6</v>
      </c>
      <c r="J454" s="11">
        <v>0</v>
      </c>
      <c r="K454" s="11" t="s">
        <v>21</v>
      </c>
      <c r="L454" s="7">
        <v>39220.688078703708</v>
      </c>
      <c r="M454" s="12" t="s">
        <v>1303</v>
      </c>
      <c r="N454" s="12" t="s">
        <v>1304</v>
      </c>
      <c r="O454" s="10" t="str">
        <f>HYPERLINK("https://pbs.twimg.com/profile_images/608213167496417280/QSxgcLn__normal.png","View")</f>
        <v>View</v>
      </c>
      <c r="P454" s="11"/>
    </row>
    <row r="455" spans="1:16" ht="12.75" x14ac:dyDescent="0.35">
      <c r="A455" s="7">
        <v>42481.507291666669</v>
      </c>
      <c r="B455" s="8" t="str">
        <f>HYPERLINK("https://twitter.com/MikeDeGerman","@MikeDeGerman")</f>
        <v>@MikeDeGerman</v>
      </c>
      <c r="C455" s="9" t="s">
        <v>1305</v>
      </c>
      <c r="D455" s="9" t="s">
        <v>1306</v>
      </c>
      <c r="E455" s="10" t="str">
        <f>HYPERLINK("https://twitter.com/MikeDeGerman/status/723038683629113344","723038683629113344")</f>
        <v>723038683629113344</v>
      </c>
      <c r="F455" s="11" t="s">
        <v>43</v>
      </c>
      <c r="G455" s="11">
        <v>20</v>
      </c>
      <c r="H455" s="11">
        <v>12</v>
      </c>
      <c r="I455" s="11">
        <v>0</v>
      </c>
      <c r="J455" s="11">
        <v>0</v>
      </c>
      <c r="K455" s="11" t="s">
        <v>21</v>
      </c>
      <c r="L455" s="7">
        <v>42005.141956018517</v>
      </c>
      <c r="M455" s="12" t="s">
        <v>1307</v>
      </c>
      <c r="N455" s="12" t="s">
        <v>1308</v>
      </c>
      <c r="O455" s="10" t="str">
        <f>HYPERLINK("https://pbs.twimg.com/profile_images/681777513186627584/bwQZYr23_normal.jpg","View")</f>
        <v>View</v>
      </c>
      <c r="P455" s="11"/>
    </row>
    <row r="456" spans="1:16" ht="12.75" x14ac:dyDescent="0.35">
      <c r="A456" s="7">
        <v>42481.507708333331</v>
      </c>
      <c r="B456" s="8" t="str">
        <f>HYPERLINK("https://twitter.com/EnergieDevlpmt","@EnergieDevlpmt")</f>
        <v>@EnergieDevlpmt</v>
      </c>
      <c r="C456" s="9" t="s">
        <v>1309</v>
      </c>
      <c r="D456" s="9" t="s">
        <v>1310</v>
      </c>
      <c r="E456" s="10" t="str">
        <f>HYPERLINK("https://twitter.com/EnergieDevlpmt/status/723038834951221249","723038834951221249")</f>
        <v>723038834951221249</v>
      </c>
      <c r="F456" s="11" t="s">
        <v>43</v>
      </c>
      <c r="G456" s="11">
        <v>1802</v>
      </c>
      <c r="H456" s="11">
        <v>495</v>
      </c>
      <c r="I456" s="11">
        <v>0</v>
      </c>
      <c r="J456" s="11">
        <v>0</v>
      </c>
      <c r="K456" s="11" t="s">
        <v>21</v>
      </c>
      <c r="L456" s="7">
        <v>40907.59746527778</v>
      </c>
      <c r="M456" s="12" t="s">
        <v>1311</v>
      </c>
      <c r="N456" s="12" t="s">
        <v>1312</v>
      </c>
      <c r="O456" s="10" t="str">
        <f>HYPERLINK("https://pbs.twimg.com/profile_images/671802073848090624/NQemr0iG_normal.png","View")</f>
        <v>View</v>
      </c>
      <c r="P456" s="11"/>
    </row>
    <row r="457" spans="1:16" ht="12.75" x14ac:dyDescent="0.35">
      <c r="A457" s="7">
        <v>42481.508946759262</v>
      </c>
      <c r="B457" s="8" t="str">
        <f>HYPERLINK("https://twitter.com/emiliamuthoni","@emiliamuthoni")</f>
        <v>@emiliamuthoni</v>
      </c>
      <c r="C457" s="9" t="s">
        <v>1313</v>
      </c>
      <c r="D457" s="9" t="s">
        <v>1298</v>
      </c>
      <c r="E457" s="10" t="str">
        <f>HYPERLINK("https://twitter.com/emiliamuthoni/status/723039283838259201","723039283838259201")</f>
        <v>723039283838259201</v>
      </c>
      <c r="F457" s="11" t="s">
        <v>48</v>
      </c>
      <c r="G457" s="11">
        <v>178</v>
      </c>
      <c r="H457" s="11">
        <v>87</v>
      </c>
      <c r="I457" s="11">
        <v>6</v>
      </c>
      <c r="J457" s="11">
        <v>0</v>
      </c>
      <c r="K457" s="11" t="s">
        <v>21</v>
      </c>
      <c r="L457" s="7">
        <v>41924.416944444441</v>
      </c>
      <c r="M457" s="12"/>
      <c r="N457" s="12" t="s">
        <v>1314</v>
      </c>
      <c r="O457" s="10" t="str">
        <f>HYPERLINK("https://pbs.twimg.com/profile_images/578500949288824832/VFFH0A8N_normal.jpeg","View")</f>
        <v>View</v>
      </c>
      <c r="P457" s="11"/>
    </row>
    <row r="458" spans="1:16" ht="12.75" x14ac:dyDescent="0.35">
      <c r="A458" s="7">
        <v>42481.508981481486</v>
      </c>
      <c r="B458" s="8" t="str">
        <f>HYPERLINK("https://twitter.com/BelleNews","@BelleNews")</f>
        <v>@BelleNews</v>
      </c>
      <c r="C458" s="9" t="s">
        <v>1315</v>
      </c>
      <c r="D458" s="9" t="s">
        <v>1316</v>
      </c>
      <c r="E458" s="10" t="str">
        <f>HYPERLINK("https://twitter.com/BelleNews/status/723039297151098880","723039297151098880")</f>
        <v>723039297151098880</v>
      </c>
      <c r="F458" s="11" t="s">
        <v>53</v>
      </c>
      <c r="G458" s="11">
        <v>39515</v>
      </c>
      <c r="H458" s="11">
        <v>15455</v>
      </c>
      <c r="I458" s="11">
        <v>0</v>
      </c>
      <c r="J458" s="11">
        <v>0</v>
      </c>
      <c r="K458" s="11" t="s">
        <v>21</v>
      </c>
      <c r="L458" s="7">
        <v>40756.248900462961</v>
      </c>
      <c r="M458" s="12" t="s">
        <v>1317</v>
      </c>
      <c r="N458" s="12" t="s">
        <v>1318</v>
      </c>
      <c r="O458" s="10" t="str">
        <f>HYPERLINK("https://pbs.twimg.com/profile_images/2150289983/logo_facebook_new_normal.jpg","View")</f>
        <v>View</v>
      </c>
      <c r="P458" s="11"/>
    </row>
    <row r="459" spans="1:16" ht="12.75" x14ac:dyDescent="0.35">
      <c r="A459" s="7">
        <v>42481.509699074071</v>
      </c>
      <c r="B459" s="8" t="str">
        <f>HYPERLINK("https://twitter.com/mvdweyer","@mvdweyer")</f>
        <v>@mvdweyer</v>
      </c>
      <c r="C459" s="9" t="s">
        <v>1319</v>
      </c>
      <c r="D459" s="9" t="s">
        <v>1320</v>
      </c>
      <c r="E459" s="10" t="str">
        <f>HYPERLINK("https://twitter.com/mvdweyer/status/723039555025162240","723039555025162240")</f>
        <v>723039555025162240</v>
      </c>
      <c r="F459" s="11" t="s">
        <v>43</v>
      </c>
      <c r="G459" s="11">
        <v>478</v>
      </c>
      <c r="H459" s="11">
        <v>830</v>
      </c>
      <c r="I459" s="11">
        <v>0</v>
      </c>
      <c r="J459" s="11">
        <v>0</v>
      </c>
      <c r="K459" s="11" t="s">
        <v>21</v>
      </c>
      <c r="L459" s="7">
        <v>41129.776863425926</v>
      </c>
      <c r="M459" s="12" t="s">
        <v>1229</v>
      </c>
      <c r="N459" s="12" t="s">
        <v>1321</v>
      </c>
      <c r="O459" s="10" t="str">
        <f>HYPERLINK("https://pbs.twimg.com/profile_images/489747056584445953/3tvslEko_normal.jpeg","View")</f>
        <v>View</v>
      </c>
      <c r="P459" s="11"/>
    </row>
    <row r="460" spans="1:16" ht="12.75" x14ac:dyDescent="0.35">
      <c r="A460" s="7">
        <v>42481.510219907403</v>
      </c>
      <c r="B460" s="8" t="str">
        <f>HYPERLINK("https://twitter.com/80230e4f9e424a1","@80230e4f9e424a1")</f>
        <v>@80230e4f9e424a1</v>
      </c>
      <c r="C460" s="9" t="s">
        <v>1322</v>
      </c>
      <c r="D460" s="9" t="s">
        <v>158</v>
      </c>
      <c r="E460" s="10" t="str">
        <f>HYPERLINK("https://twitter.com/80230e4f9e424a1/status/723039746973417472","723039746973417472")</f>
        <v>723039746973417472</v>
      </c>
      <c r="F460" s="11" t="s">
        <v>48</v>
      </c>
      <c r="G460" s="11">
        <v>19</v>
      </c>
      <c r="H460" s="11">
        <v>78</v>
      </c>
      <c r="I460" s="11">
        <v>23</v>
      </c>
      <c r="J460" s="11">
        <v>0</v>
      </c>
      <c r="K460" s="11" t="s">
        <v>21</v>
      </c>
      <c r="L460" s="7">
        <v>41968.575682870374</v>
      </c>
      <c r="M460" s="12"/>
      <c r="N460" s="12"/>
      <c r="O460" s="10" t="str">
        <f>HYPERLINK("https://pbs.twimg.com/profile_images/715865125589221377/LL-u_qje_normal.jpg","View")</f>
        <v>View</v>
      </c>
      <c r="P460" s="11"/>
    </row>
    <row r="461" spans="1:16" ht="12.75" x14ac:dyDescent="0.35">
      <c r="A461" s="7">
        <v>42481.511006944449</v>
      </c>
      <c r="B461" s="8" t="str">
        <f>HYPERLINK("https://twitter.com/EineZeitung","@EineZeitung")</f>
        <v>@EineZeitung</v>
      </c>
      <c r="C461" s="9" t="s">
        <v>1323</v>
      </c>
      <c r="D461" s="9" t="s">
        <v>1324</v>
      </c>
      <c r="E461" s="10" t="str">
        <f>HYPERLINK("https://twitter.com/EineZeitung/status/723040029296058370","723040029296058370")</f>
        <v>723040029296058370</v>
      </c>
      <c r="F461" s="11" t="s">
        <v>43</v>
      </c>
      <c r="G461" s="11">
        <v>1325</v>
      </c>
      <c r="H461" s="11">
        <v>715</v>
      </c>
      <c r="I461" s="11">
        <v>5</v>
      </c>
      <c r="J461" s="11">
        <v>3</v>
      </c>
      <c r="K461" s="11" t="s">
        <v>21</v>
      </c>
      <c r="L461" s="7">
        <v>40390.772476851853</v>
      </c>
      <c r="M461" s="12"/>
      <c r="N461" s="12" t="s">
        <v>1325</v>
      </c>
      <c r="O461" s="10" t="str">
        <f>HYPERLINK("https://pbs.twimg.com/profile_images/668712088009838592/IpcJuvga_normal.png","View")</f>
        <v>View</v>
      </c>
      <c r="P461" s="11"/>
    </row>
    <row r="462" spans="1:16" ht="12.75" x14ac:dyDescent="0.35">
      <c r="A462" s="7">
        <v>42481.511284722219</v>
      </c>
      <c r="B462" s="8" t="str">
        <f>HYPERLINK("https://twitter.com/wg12307","@wg12307")</f>
        <v>@wg12307</v>
      </c>
      <c r="C462" s="9" t="s">
        <v>1326</v>
      </c>
      <c r="D462" s="9" t="s">
        <v>1231</v>
      </c>
      <c r="E462" s="10" t="str">
        <f>HYPERLINK("https://twitter.com/wg12307/status/723040133507895296","723040133507895296")</f>
        <v>723040133507895296</v>
      </c>
      <c r="F462" s="11" t="s">
        <v>91</v>
      </c>
      <c r="G462" s="11">
        <v>690</v>
      </c>
      <c r="H462" s="11">
        <v>853</v>
      </c>
      <c r="I462" s="11">
        <v>5</v>
      </c>
      <c r="J462" s="11">
        <v>0</v>
      </c>
      <c r="K462" s="11" t="s">
        <v>21</v>
      </c>
      <c r="L462" s="7">
        <v>41274.20648148148</v>
      </c>
      <c r="M462" s="12" t="s">
        <v>1327</v>
      </c>
      <c r="N462" s="12" t="s">
        <v>1328</v>
      </c>
      <c r="O462" s="10" t="str">
        <f>HYPERLINK("https://pbs.twimg.com/profile_images/378800000210197475/0dc436cb9044eecbb42d45b90630a327_normal.jpeg","View")</f>
        <v>View</v>
      </c>
      <c r="P462" s="11"/>
    </row>
    <row r="463" spans="1:16" ht="12.75" x14ac:dyDescent="0.35">
      <c r="A463" s="7">
        <v>42481.511562500003</v>
      </c>
      <c r="B463" s="8" t="str">
        <f>HYPERLINK("https://twitter.com/DollysdelightsS","@DollysdelightsS")</f>
        <v>@DollysdelightsS</v>
      </c>
      <c r="C463" s="9" t="s">
        <v>1329</v>
      </c>
      <c r="D463" s="9" t="s">
        <v>1330</v>
      </c>
      <c r="E463" s="10" t="str">
        <f>HYPERLINK("https://twitter.com/DollysdelightsS/status/723040232015310848","723040232015310848")</f>
        <v>723040232015310848</v>
      </c>
      <c r="F463" s="11" t="s">
        <v>20</v>
      </c>
      <c r="G463" s="11">
        <v>617</v>
      </c>
      <c r="H463" s="11">
        <v>460</v>
      </c>
      <c r="I463" s="11">
        <v>2</v>
      </c>
      <c r="J463" s="11">
        <v>0</v>
      </c>
      <c r="K463" s="11" t="s">
        <v>21</v>
      </c>
      <c r="L463" s="7">
        <v>42131.139560185184</v>
      </c>
      <c r="M463" s="12" t="s">
        <v>1331</v>
      </c>
      <c r="N463" s="12" t="s">
        <v>1332</v>
      </c>
      <c r="O463" s="10" t="str">
        <f>HYPERLINK("https://pbs.twimg.com/profile_images/596082788459257856/4JBjLpzQ_normal.jpg","View")</f>
        <v>View</v>
      </c>
      <c r="P463" s="11"/>
    </row>
    <row r="464" spans="1:16" ht="12.75" x14ac:dyDescent="0.35">
      <c r="A464" s="7">
        <v>42481.511828703704</v>
      </c>
      <c r="B464" s="8" t="str">
        <f>HYPERLINK("https://twitter.com/BerndZiesemer","@BerndZiesemer")</f>
        <v>@BerndZiesemer</v>
      </c>
      <c r="C464" s="9" t="s">
        <v>1333</v>
      </c>
      <c r="D464" s="9" t="s">
        <v>1334</v>
      </c>
      <c r="E464" s="10" t="str">
        <f>HYPERLINK("https://twitter.com/BerndZiesemer/status/723040328777756673","723040328777756673")</f>
        <v>723040328777756673</v>
      </c>
      <c r="F464" s="11" t="s">
        <v>43</v>
      </c>
      <c r="G464" s="11">
        <v>1587</v>
      </c>
      <c r="H464" s="11">
        <v>340</v>
      </c>
      <c r="I464" s="11">
        <v>1</v>
      </c>
      <c r="J464" s="11">
        <v>0</v>
      </c>
      <c r="K464" s="11" t="s">
        <v>21</v>
      </c>
      <c r="L464" s="7">
        <v>41500.560127314813</v>
      </c>
      <c r="M464" s="12" t="s">
        <v>953</v>
      </c>
      <c r="N464" s="12" t="s">
        <v>1335</v>
      </c>
      <c r="O464" s="10" t="str">
        <f>HYPERLINK("https://pbs.twimg.com/profile_images/378800000307960407/a765711867b2e7400de3860f4ee9cc9d_normal.jpeg","View")</f>
        <v>View</v>
      </c>
      <c r="P464" s="11"/>
    </row>
    <row r="465" spans="1:16" ht="12.75" x14ac:dyDescent="0.35">
      <c r="A465" s="7">
        <v>42481.512187500004</v>
      </c>
      <c r="B465" s="8" t="str">
        <f>HYPERLINK("https://twitter.com/ItoParedes","@ItoParedes")</f>
        <v>@ItoParedes</v>
      </c>
      <c r="C465" s="9" t="s">
        <v>1297</v>
      </c>
      <c r="D465" s="9" t="s">
        <v>1336</v>
      </c>
      <c r="E465" s="10" t="str">
        <f>HYPERLINK("https://twitter.com/ItoParedes/status/723040458352545792","723040458352545792")</f>
        <v>723040458352545792</v>
      </c>
      <c r="F465" s="11" t="s">
        <v>160</v>
      </c>
      <c r="G465" s="11">
        <v>56</v>
      </c>
      <c r="H465" s="11">
        <v>105</v>
      </c>
      <c r="I465" s="11">
        <v>1</v>
      </c>
      <c r="J465" s="11">
        <v>0</v>
      </c>
      <c r="K465" s="11" t="s">
        <v>21</v>
      </c>
      <c r="L465" s="7">
        <v>40659.229409722218</v>
      </c>
      <c r="M465" s="12" t="s">
        <v>1299</v>
      </c>
      <c r="N465" s="12" t="s">
        <v>1300</v>
      </c>
      <c r="O465" s="10" t="str">
        <f>HYPERLINK("https://pbs.twimg.com/profile_images/1602774074/IMG_0924_normal.JPG","View")</f>
        <v>View</v>
      </c>
      <c r="P465" s="11"/>
    </row>
    <row r="466" spans="1:16" ht="12.75" x14ac:dyDescent="0.35">
      <c r="A466" s="7">
        <v>42481.512280092589</v>
      </c>
      <c r="B466" s="8" t="str">
        <f>HYPERLINK("https://twitter.com/mikespence","@mikespence")</f>
        <v>@mikespence</v>
      </c>
      <c r="C466" s="9" t="s">
        <v>1337</v>
      </c>
      <c r="D466" s="9" t="s">
        <v>1283</v>
      </c>
      <c r="E466" s="10" t="str">
        <f>HYPERLINK("https://twitter.com/mikespence/status/723040493207171073","723040493207171073")</f>
        <v>723040493207171073</v>
      </c>
      <c r="F466" s="11" t="s">
        <v>20</v>
      </c>
      <c r="G466" s="11">
        <v>640</v>
      </c>
      <c r="H466" s="11">
        <v>105</v>
      </c>
      <c r="I466" s="11">
        <v>2</v>
      </c>
      <c r="J466" s="11">
        <v>0</v>
      </c>
      <c r="K466" s="11" t="s">
        <v>21</v>
      </c>
      <c r="L466" s="7">
        <v>39863.679756944446</v>
      </c>
      <c r="M466" s="12" t="s">
        <v>1338</v>
      </c>
      <c r="N466" s="12" t="s">
        <v>1339</v>
      </c>
      <c r="O466" s="10" t="str">
        <f>HYPERLINK("https://pbs.twimg.com/profile_images/703183811673264128/eqato_EY_normal.jpg","View")</f>
        <v>View</v>
      </c>
      <c r="P466" s="11"/>
    </row>
    <row r="467" spans="1:16" ht="12.75" x14ac:dyDescent="0.35">
      <c r="A467" s="7">
        <v>42481.51258101852</v>
      </c>
      <c r="B467" s="8" t="str">
        <f>HYPERLINK("https://twitter.com/JClaesz","@JClaesz")</f>
        <v>@JClaesz</v>
      </c>
      <c r="C467" s="9" t="s">
        <v>1340</v>
      </c>
      <c r="D467" s="9" t="s">
        <v>1341</v>
      </c>
      <c r="E467" s="10" t="str">
        <f>HYPERLINK("https://twitter.com/JClaesz/status/723040602653253632","723040602653253632")</f>
        <v>723040602653253632</v>
      </c>
      <c r="F467" s="11" t="s">
        <v>43</v>
      </c>
      <c r="G467" s="11">
        <v>143</v>
      </c>
      <c r="H467" s="11">
        <v>545</v>
      </c>
      <c r="I467" s="11">
        <v>0</v>
      </c>
      <c r="J467" s="11">
        <v>0</v>
      </c>
      <c r="K467" s="11" t="s">
        <v>21</v>
      </c>
      <c r="L467" s="7">
        <v>42389.290254629625</v>
      </c>
      <c r="M467" s="12" t="s">
        <v>1342</v>
      </c>
      <c r="N467" s="12" t="s">
        <v>1343</v>
      </c>
      <c r="O467" s="10" t="str">
        <f>HYPERLINK("https://pbs.twimg.com/profile_images/695000806655811584/7lC1MdUr_normal.png","View")</f>
        <v>View</v>
      </c>
      <c r="P467" s="11"/>
    </row>
    <row r="468" spans="1:16" ht="12.75" x14ac:dyDescent="0.35">
      <c r="A468" s="7">
        <v>42481.51295138889</v>
      </c>
      <c r="B468" s="8" t="str">
        <f t="shared" ref="B468:B469" si="50">HYPERLINK("https://twitter.com/beetlebug1938","@beetlebug1938")</f>
        <v>@beetlebug1938</v>
      </c>
      <c r="C468" s="9" t="s">
        <v>66</v>
      </c>
      <c r="D468" s="9" t="s">
        <v>1344</v>
      </c>
      <c r="E468" s="10" t="str">
        <f>HYPERLINK("https://twitter.com/beetlebug1938/status/723040734501306368","723040734501306368")</f>
        <v>723040734501306368</v>
      </c>
      <c r="F468" s="11" t="s">
        <v>68</v>
      </c>
      <c r="G468" s="11">
        <v>346</v>
      </c>
      <c r="H468" s="11">
        <v>2222</v>
      </c>
      <c r="I468" s="11">
        <v>0</v>
      </c>
      <c r="J468" s="11">
        <v>0</v>
      </c>
      <c r="K468" s="11" t="s">
        <v>21</v>
      </c>
      <c r="L468" s="7">
        <v>42469.863865740743</v>
      </c>
      <c r="M468" s="12" t="s">
        <v>69</v>
      </c>
      <c r="N468" s="12"/>
      <c r="O468" s="10" t="str">
        <f t="shared" ref="O468:O469" si="51">HYPERLINK("https://pbs.twimg.com/profile_images/718820712757215233/LXXndPTS_normal.jpg","View")</f>
        <v>View</v>
      </c>
      <c r="P468" s="11"/>
    </row>
    <row r="469" spans="1:16" ht="12.75" x14ac:dyDescent="0.35">
      <c r="A469" s="7">
        <v>42481.513043981482</v>
      </c>
      <c r="B469" s="8" t="str">
        <f t="shared" si="50"/>
        <v>@beetlebug1938</v>
      </c>
      <c r="C469" s="9" t="s">
        <v>66</v>
      </c>
      <c r="D469" s="9" t="s">
        <v>1345</v>
      </c>
      <c r="E469" s="10" t="str">
        <f>HYPERLINK("https://twitter.com/beetlebug1938/status/723040769641201664","723040769641201664")</f>
        <v>723040769641201664</v>
      </c>
      <c r="F469" s="11" t="s">
        <v>68</v>
      </c>
      <c r="G469" s="11">
        <v>346</v>
      </c>
      <c r="H469" s="11">
        <v>2222</v>
      </c>
      <c r="I469" s="11">
        <v>0</v>
      </c>
      <c r="J469" s="11">
        <v>0</v>
      </c>
      <c r="K469" s="11" t="s">
        <v>21</v>
      </c>
      <c r="L469" s="7">
        <v>42469.863865740743</v>
      </c>
      <c r="M469" s="12" t="s">
        <v>69</v>
      </c>
      <c r="N469" s="12"/>
      <c r="O469" s="10" t="str">
        <f t="shared" si="51"/>
        <v>View</v>
      </c>
      <c r="P469" s="11"/>
    </row>
    <row r="470" spans="1:16" ht="12.75" x14ac:dyDescent="0.35">
      <c r="A470" s="7">
        <v>42481.513090277775</v>
      </c>
      <c r="B470" s="8" t="str">
        <f>HYPERLINK("https://twitter.com/AlexWitzleben","@AlexWitzleben")</f>
        <v>@AlexWitzleben</v>
      </c>
      <c r="C470" s="9" t="s">
        <v>1346</v>
      </c>
      <c r="D470" s="9" t="s">
        <v>1347</v>
      </c>
      <c r="E470" s="10" t="str">
        <f>HYPERLINK("https://twitter.com/AlexWitzleben/status/723040785285812224","723040785285812224")</f>
        <v>723040785285812224</v>
      </c>
      <c r="F470" s="11" t="s">
        <v>43</v>
      </c>
      <c r="G470" s="11">
        <v>1027</v>
      </c>
      <c r="H470" s="11">
        <v>1000</v>
      </c>
      <c r="I470" s="11">
        <v>1</v>
      </c>
      <c r="J470" s="11">
        <v>1</v>
      </c>
      <c r="K470" s="11" t="s">
        <v>21</v>
      </c>
      <c r="L470" s="7">
        <v>40591.910462962966</v>
      </c>
      <c r="M470" s="12" t="s">
        <v>1348</v>
      </c>
      <c r="N470" s="12" t="s">
        <v>1349</v>
      </c>
      <c r="O470" s="10" t="str">
        <f>HYPERLINK("https://pbs.twimg.com/profile_images/1913087124/AvW_website_normal.jpg","View")</f>
        <v>View</v>
      </c>
      <c r="P470" s="11"/>
    </row>
    <row r="471" spans="1:16" ht="12.75" x14ac:dyDescent="0.35">
      <c r="A471" s="7">
        <v>42481.513124999998</v>
      </c>
      <c r="B471" s="8" t="str">
        <f>HYPERLINK("https://twitter.com/franz_rother","@franz_rother")</f>
        <v>@franz_rother</v>
      </c>
      <c r="C471" s="9" t="s">
        <v>1350</v>
      </c>
      <c r="D471" s="9" t="s">
        <v>1351</v>
      </c>
      <c r="E471" s="10" t="str">
        <f>HYPERLINK("https://twitter.com/franz_rother/status/723040799013912576","723040799013912576")</f>
        <v>723040799013912576</v>
      </c>
      <c r="F471" s="11" t="s">
        <v>20</v>
      </c>
      <c r="G471" s="11">
        <v>770</v>
      </c>
      <c r="H471" s="11">
        <v>212</v>
      </c>
      <c r="I471" s="11">
        <v>0</v>
      </c>
      <c r="J471" s="11">
        <v>0</v>
      </c>
      <c r="K471" s="11" t="s">
        <v>21</v>
      </c>
      <c r="L471" s="7">
        <v>40387.831180555557</v>
      </c>
      <c r="M471" s="12" t="s">
        <v>975</v>
      </c>
      <c r="N471" s="12" t="s">
        <v>1352</v>
      </c>
      <c r="O471" s="10" t="str">
        <f>HYPERLINK("https://pbs.twimg.com/profile_images/3228351590/aadb36f2b020cc27adac139aac4a5663_normal.jpeg","View")</f>
        <v>View</v>
      </c>
      <c r="P471" s="11"/>
    </row>
    <row r="472" spans="1:16" ht="12.75" x14ac:dyDescent="0.35">
      <c r="A472" s="7">
        <v>42481.513136574074</v>
      </c>
      <c r="B472" s="8" t="str">
        <f t="shared" ref="B472:B473" si="52">HYPERLINK("https://twitter.com/beetlebug1938","@beetlebug1938")</f>
        <v>@beetlebug1938</v>
      </c>
      <c r="C472" s="9" t="s">
        <v>66</v>
      </c>
      <c r="D472" s="9" t="s">
        <v>1353</v>
      </c>
      <c r="E472" s="10" t="str">
        <f>HYPERLINK("https://twitter.com/beetlebug1938/status/723040802499362816","723040802499362816")</f>
        <v>723040802499362816</v>
      </c>
      <c r="F472" s="11" t="s">
        <v>68</v>
      </c>
      <c r="G472" s="11">
        <v>346</v>
      </c>
      <c r="H472" s="11">
        <v>2222</v>
      </c>
      <c r="I472" s="11">
        <v>0</v>
      </c>
      <c r="J472" s="11">
        <v>0</v>
      </c>
      <c r="K472" s="11" t="s">
        <v>21</v>
      </c>
      <c r="L472" s="7">
        <v>42469.863865740743</v>
      </c>
      <c r="M472" s="12" t="s">
        <v>69</v>
      </c>
      <c r="N472" s="12"/>
      <c r="O472" s="10" t="str">
        <f t="shared" ref="O472:O473" si="53">HYPERLINK("https://pbs.twimg.com/profile_images/718820712757215233/LXXndPTS_normal.jpg","View")</f>
        <v>View</v>
      </c>
      <c r="P472" s="11"/>
    </row>
    <row r="473" spans="1:16" ht="12.75" x14ac:dyDescent="0.35">
      <c r="A473" s="7">
        <v>42481.513182870374</v>
      </c>
      <c r="B473" s="8" t="str">
        <f t="shared" si="52"/>
        <v>@beetlebug1938</v>
      </c>
      <c r="C473" s="9" t="s">
        <v>66</v>
      </c>
      <c r="D473" s="9" t="s">
        <v>1354</v>
      </c>
      <c r="E473" s="10" t="str">
        <f>HYPERLINK("https://twitter.com/beetlebug1938/status/723040820320940032","723040820320940032")</f>
        <v>723040820320940032</v>
      </c>
      <c r="F473" s="11" t="s">
        <v>68</v>
      </c>
      <c r="G473" s="11">
        <v>346</v>
      </c>
      <c r="H473" s="11">
        <v>2222</v>
      </c>
      <c r="I473" s="11">
        <v>0</v>
      </c>
      <c r="J473" s="11">
        <v>0</v>
      </c>
      <c r="K473" s="11" t="s">
        <v>21</v>
      </c>
      <c r="L473" s="7">
        <v>42469.863865740743</v>
      </c>
      <c r="M473" s="12" t="s">
        <v>69</v>
      </c>
      <c r="N473" s="12"/>
      <c r="O473" s="10" t="str">
        <f t="shared" si="53"/>
        <v>View</v>
      </c>
      <c r="P473" s="11"/>
    </row>
    <row r="474" spans="1:16" ht="12.75" x14ac:dyDescent="0.35">
      <c r="A474" s="7">
        <v>42481.513645833329</v>
      </c>
      <c r="B474" s="8" t="str">
        <f>HYPERLINK("https://twitter.com/MllerOlga","@MllerOlga")</f>
        <v>@MllerOlga</v>
      </c>
      <c r="C474" s="9" t="s">
        <v>1355</v>
      </c>
      <c r="D474" s="9" t="s">
        <v>1356</v>
      </c>
      <c r="E474" s="10" t="str">
        <f>HYPERLINK("https://twitter.com/MllerOlga/status/723040988529307649","723040988529307649")</f>
        <v>723040988529307649</v>
      </c>
      <c r="F474" s="11" t="s">
        <v>48</v>
      </c>
      <c r="G474" s="11">
        <v>14</v>
      </c>
      <c r="H474" s="11">
        <v>45</v>
      </c>
      <c r="I474" s="11">
        <v>4</v>
      </c>
      <c r="J474" s="11">
        <v>0</v>
      </c>
      <c r="K474" s="11" t="s">
        <v>21</v>
      </c>
      <c r="L474" s="7">
        <v>41626.645787037036</v>
      </c>
      <c r="M474" s="12" t="s">
        <v>1357</v>
      </c>
      <c r="N474" s="12"/>
      <c r="O474" s="10" t="str">
        <f>HYPERLINK("https://pbs.twimg.com/profile_images/706404867372408832/mwUZrmr6_normal.jpg","View")</f>
        <v>View</v>
      </c>
      <c r="P474" s="11"/>
    </row>
    <row r="475" spans="1:16" ht="12.75" x14ac:dyDescent="0.35">
      <c r="A475" s="7">
        <v>42481.513854166667</v>
      </c>
      <c r="B475" s="8" t="str">
        <f>HYPERLINK("https://twitter.com/damienmcguin","@damienmcguin")</f>
        <v>@damienmcguin</v>
      </c>
      <c r="C475" s="9" t="s">
        <v>1358</v>
      </c>
      <c r="D475" s="9" t="s">
        <v>1298</v>
      </c>
      <c r="E475" s="10" t="str">
        <f>HYPERLINK("https://twitter.com/damienmcguin/status/723041063062007808","723041063062007808")</f>
        <v>723041063062007808</v>
      </c>
      <c r="F475" s="11" t="s">
        <v>43</v>
      </c>
      <c r="G475" s="11">
        <v>762</v>
      </c>
      <c r="H475" s="11">
        <v>817</v>
      </c>
      <c r="I475" s="11">
        <v>6</v>
      </c>
      <c r="J475" s="11">
        <v>0</v>
      </c>
      <c r="K475" s="11" t="s">
        <v>21</v>
      </c>
      <c r="L475" s="7">
        <v>41873.833981481483</v>
      </c>
      <c r="M475" s="12" t="s">
        <v>1359</v>
      </c>
      <c r="N475" s="12" t="s">
        <v>1360</v>
      </c>
      <c r="O475" s="10" t="str">
        <f>HYPERLINK("https://pbs.twimg.com/profile_images/701358144577007616/6WCV8aLv_normal.jpg","View")</f>
        <v>View</v>
      </c>
      <c r="P475" s="11"/>
    </row>
    <row r="476" spans="1:16" ht="12.75" x14ac:dyDescent="0.35">
      <c r="A476" s="7">
        <v>42481.51394675926</v>
      </c>
      <c r="B476" s="8" t="str">
        <f>HYPERLINK("https://twitter.com/chitchatautos","@chitchatautos")</f>
        <v>@chitchatautos</v>
      </c>
      <c r="C476" s="9" t="s">
        <v>1361</v>
      </c>
      <c r="D476" s="9" t="s">
        <v>1362</v>
      </c>
      <c r="E476" s="10" t="str">
        <f>HYPERLINK("https://twitter.com/chitchatautos/status/723041095404281856","723041095404281856")</f>
        <v>723041095404281856</v>
      </c>
      <c r="F476" s="11" t="s">
        <v>48</v>
      </c>
      <c r="G476" s="11">
        <v>24</v>
      </c>
      <c r="H476" s="11">
        <v>61</v>
      </c>
      <c r="I476" s="11">
        <v>0</v>
      </c>
      <c r="J476" s="11">
        <v>0</v>
      </c>
      <c r="K476" s="11" t="s">
        <v>21</v>
      </c>
      <c r="L476" s="7">
        <v>42478.373159722221</v>
      </c>
      <c r="M476" s="12" t="s">
        <v>1363</v>
      </c>
      <c r="N476" s="12" t="s">
        <v>1364</v>
      </c>
      <c r="O476" s="10" t="str">
        <f>HYPERLINK("https://pbs.twimg.com/profile_images/721905387130105858/l1HV6rxa_normal.jpg","View")</f>
        <v>View</v>
      </c>
      <c r="P476" s="11"/>
    </row>
    <row r="477" spans="1:16" ht="12.75" x14ac:dyDescent="0.35">
      <c r="A477" s="7">
        <v>42481.514097222222</v>
      </c>
      <c r="B477" s="8" t="str">
        <f>HYPERLINK("https://twitter.com/OnlyFerrariPics","@OnlyFerrariPics")</f>
        <v>@OnlyFerrariPics</v>
      </c>
      <c r="C477" s="9" t="s">
        <v>1365</v>
      </c>
      <c r="D477" s="9" t="s">
        <v>1366</v>
      </c>
      <c r="E477" s="10" t="str">
        <f>HYPERLINK("https://twitter.com/OnlyFerrariPics/status/723041150316216320","723041150316216320")</f>
        <v>723041150316216320</v>
      </c>
      <c r="F477" s="11" t="s">
        <v>68</v>
      </c>
      <c r="G477" s="11">
        <v>2617</v>
      </c>
      <c r="H477" s="11">
        <v>6</v>
      </c>
      <c r="I477" s="11">
        <v>0</v>
      </c>
      <c r="J477" s="11">
        <v>0</v>
      </c>
      <c r="K477" s="11" t="s">
        <v>21</v>
      </c>
      <c r="L477" s="7">
        <v>41976.478668981479</v>
      </c>
      <c r="M477" s="12"/>
      <c r="N477" s="12" t="s">
        <v>1367</v>
      </c>
      <c r="O477" s="10" t="str">
        <f>HYPERLINK("https://pbs.twimg.com/profile_images/540037751416971264/FUsmNZrb_normal.jpeg","View")</f>
        <v>View</v>
      </c>
      <c r="P477" s="11"/>
    </row>
    <row r="478" spans="1:16" ht="12.75" x14ac:dyDescent="0.35">
      <c r="A478" s="7">
        <v>42481.51425925926</v>
      </c>
      <c r="B478" s="8" t="str">
        <f>HYPERLINK("https://twitter.com/LesleeTT","@LesleeTT")</f>
        <v>@LesleeTT</v>
      </c>
      <c r="C478" s="9" t="s">
        <v>1368</v>
      </c>
      <c r="D478" s="9" t="s">
        <v>1369</v>
      </c>
      <c r="E478" s="10" t="str">
        <f>HYPERLINK("https://twitter.com/LesleeTT/status/723041209095081984","723041209095081984")</f>
        <v>723041209095081984</v>
      </c>
      <c r="F478" s="11" t="s">
        <v>1370</v>
      </c>
      <c r="G478" s="11">
        <v>184</v>
      </c>
      <c r="H478" s="11">
        <v>12</v>
      </c>
      <c r="I478" s="11">
        <v>1</v>
      </c>
      <c r="J478" s="11">
        <v>0</v>
      </c>
      <c r="K478" s="11" t="s">
        <v>21</v>
      </c>
      <c r="L478" s="7">
        <v>41342.157870370371</v>
      </c>
      <c r="M478" s="12"/>
      <c r="N478" s="12"/>
      <c r="O478" s="10" t="str">
        <f>HYPERLINK("https://pbs.twimg.com/profile_images/3354949108/ec46d404bd4f1d6828362a121d4f6ae7_normal.jpeg","View")</f>
        <v>View</v>
      </c>
      <c r="P478" s="11"/>
    </row>
    <row r="479" spans="1:16" ht="12.75" x14ac:dyDescent="0.35">
      <c r="A479" s="7">
        <v>42481.514861111107</v>
      </c>
      <c r="B479" s="8" t="str">
        <f>HYPERLINK("https://twitter.com/11271101K","@11271101K")</f>
        <v>@11271101K</v>
      </c>
      <c r="C479" s="9" t="s">
        <v>1371</v>
      </c>
      <c r="D479" s="9" t="s">
        <v>1372</v>
      </c>
      <c r="E479" s="10" t="str">
        <f>HYPERLINK("https://twitter.com/11271101K/status/723041426976559105","723041426976559105")</f>
        <v>723041426976559105</v>
      </c>
      <c r="F479" s="11" t="s">
        <v>48</v>
      </c>
      <c r="G479" s="11">
        <v>896</v>
      </c>
      <c r="H479" s="11">
        <v>1076</v>
      </c>
      <c r="I479" s="11">
        <v>6</v>
      </c>
      <c r="J479" s="11">
        <v>0</v>
      </c>
      <c r="K479" s="11" t="s">
        <v>21</v>
      </c>
      <c r="L479" s="7">
        <v>41218.912314814814</v>
      </c>
      <c r="M479" s="12" t="s">
        <v>1373</v>
      </c>
      <c r="N479" s="12" t="s">
        <v>1374</v>
      </c>
      <c r="O479" s="10" t="str">
        <f>HYPERLINK("https://pbs.twimg.com/profile_images/673308216739008512/qCSbZnhu_normal.jpg","View")</f>
        <v>View</v>
      </c>
      <c r="P479" s="11"/>
    </row>
    <row r="480" spans="1:16" ht="12.75" x14ac:dyDescent="0.35">
      <c r="A480" s="7">
        <v>42481.515405092592</v>
      </c>
      <c r="B480" s="8" t="str">
        <f>HYPERLINK("https://twitter.com/bot_car25","@bot_car25")</f>
        <v>@bot_car25</v>
      </c>
      <c r="C480" s="9" t="s">
        <v>1375</v>
      </c>
      <c r="D480" s="9" t="s">
        <v>1376</v>
      </c>
      <c r="E480" s="10" t="str">
        <f>HYPERLINK("https://twitter.com/bot_car25/status/723041623379161089","723041623379161089")</f>
        <v>723041623379161089</v>
      </c>
      <c r="F480" s="11" t="s">
        <v>1377</v>
      </c>
      <c r="G480" s="11">
        <v>82</v>
      </c>
      <c r="H480" s="11">
        <v>8</v>
      </c>
      <c r="I480" s="11">
        <v>1</v>
      </c>
      <c r="J480" s="11">
        <v>0</v>
      </c>
      <c r="K480" s="11" t="s">
        <v>21</v>
      </c>
      <c r="L480" s="7">
        <v>42464.996261574073</v>
      </c>
      <c r="M480" s="12"/>
      <c r="N480" s="12" t="s">
        <v>1378</v>
      </c>
      <c r="O480" s="10" t="str">
        <f>HYPERLINK("https://pbs.twimg.com/profile_images/717066737406124032/4zBNh17M_normal.jpg","View")</f>
        <v>View</v>
      </c>
      <c r="P480" s="11"/>
    </row>
    <row r="481" spans="1:16" ht="12.75" x14ac:dyDescent="0.35">
      <c r="A481" s="7">
        <v>42481.516423611116</v>
      </c>
      <c r="B481" s="8" t="str">
        <f>HYPERLINK("https://twitter.com/franz_rother","@franz_rother")</f>
        <v>@franz_rother</v>
      </c>
      <c r="C481" s="9" t="s">
        <v>1350</v>
      </c>
      <c r="D481" s="9" t="s">
        <v>1379</v>
      </c>
      <c r="E481" s="10" t="str">
        <f>HYPERLINK("https://twitter.com/franz_rother/status/723041995850178560","723041995850178560")</f>
        <v>723041995850178560</v>
      </c>
      <c r="F481" s="11" t="s">
        <v>20</v>
      </c>
      <c r="G481" s="11">
        <v>770</v>
      </c>
      <c r="H481" s="11">
        <v>212</v>
      </c>
      <c r="I481" s="11">
        <v>0</v>
      </c>
      <c r="J481" s="11">
        <v>0</v>
      </c>
      <c r="K481" s="11" t="s">
        <v>21</v>
      </c>
      <c r="L481" s="7">
        <v>40387.831180555557</v>
      </c>
      <c r="M481" s="12" t="s">
        <v>975</v>
      </c>
      <c r="N481" s="12" t="s">
        <v>1352</v>
      </c>
      <c r="O481" s="10" t="str">
        <f>HYPERLINK("https://pbs.twimg.com/profile_images/3228351590/aadb36f2b020cc27adac139aac4a5663_normal.jpeg","View")</f>
        <v>View</v>
      </c>
      <c r="P481" s="11"/>
    </row>
    <row r="482" spans="1:16" ht="12.75" x14ac:dyDescent="0.35">
      <c r="A482" s="7">
        <v>42481.516597222224</v>
      </c>
      <c r="B482" s="8" t="str">
        <f>HYPERLINK("https://twitter.com/ingenieur_de","@ingenieur_de")</f>
        <v>@ingenieur_de</v>
      </c>
      <c r="C482" s="8" t="s">
        <v>1380</v>
      </c>
      <c r="D482" s="9" t="s">
        <v>1381</v>
      </c>
      <c r="E482" s="10" t="str">
        <f>HYPERLINK("https://twitter.com/ingenieur_de/status/723042057871220736","723042057871220736")</f>
        <v>723042057871220736</v>
      </c>
      <c r="F482" s="11" t="s">
        <v>43</v>
      </c>
      <c r="G482" s="11">
        <v>826</v>
      </c>
      <c r="H482" s="11">
        <v>346</v>
      </c>
      <c r="I482" s="11">
        <v>0</v>
      </c>
      <c r="J482" s="11">
        <v>0</v>
      </c>
      <c r="K482" s="11" t="s">
        <v>21</v>
      </c>
      <c r="L482" s="7">
        <v>41312.574178240742</v>
      </c>
      <c r="M482" s="12" t="s">
        <v>975</v>
      </c>
      <c r="N482" s="12" t="s">
        <v>1382</v>
      </c>
      <c r="O482" s="10" t="str">
        <f>HYPERLINK("https://pbs.twimg.com/profile_images/464294575624839168/2yUa4yUA_normal.png","View")</f>
        <v>View</v>
      </c>
      <c r="P482" s="11"/>
    </row>
    <row r="483" spans="1:16" ht="12.75" x14ac:dyDescent="0.35">
      <c r="A483" s="7">
        <v>42481.516932870371</v>
      </c>
      <c r="B483" s="8" t="str">
        <f>HYPERLINK("https://twitter.com/11271101K","@11271101K")</f>
        <v>@11271101K</v>
      </c>
      <c r="C483" s="9" t="s">
        <v>1371</v>
      </c>
      <c r="D483" s="9" t="s">
        <v>1383</v>
      </c>
      <c r="E483" s="10" t="str">
        <f>HYPERLINK("https://twitter.com/11271101K/status/723042178197426177","723042178197426177")</f>
        <v>723042178197426177</v>
      </c>
      <c r="F483" s="11" t="s">
        <v>48</v>
      </c>
      <c r="G483" s="11">
        <v>896</v>
      </c>
      <c r="H483" s="11">
        <v>1076</v>
      </c>
      <c r="I483" s="11">
        <v>11</v>
      </c>
      <c r="J483" s="11">
        <v>0</v>
      </c>
      <c r="K483" s="11" t="s">
        <v>21</v>
      </c>
      <c r="L483" s="7">
        <v>41218.912314814814</v>
      </c>
      <c r="M483" s="12" t="s">
        <v>1373</v>
      </c>
      <c r="N483" s="12" t="s">
        <v>1374</v>
      </c>
      <c r="O483" s="10" t="str">
        <f>HYPERLINK("https://pbs.twimg.com/profile_images/673308216739008512/qCSbZnhu_normal.jpg","View")</f>
        <v>View</v>
      </c>
      <c r="P483" s="11"/>
    </row>
    <row r="484" spans="1:16" ht="12.75" x14ac:dyDescent="0.35">
      <c r="A484" s="7">
        <v>42481.517314814817</v>
      </c>
      <c r="B484" s="8" t="str">
        <f>HYPERLINK("https://twitter.com/Pred_cnh","@Pred_cnh")</f>
        <v>@Pred_cnh</v>
      </c>
      <c r="C484" s="9" t="s">
        <v>1384</v>
      </c>
      <c r="D484" s="9" t="s">
        <v>1385</v>
      </c>
      <c r="E484" s="10" t="str">
        <f>HYPERLINK("https://twitter.com/Pred_cnh/status/723042315955220480","723042315955220480")</f>
        <v>723042315955220480</v>
      </c>
      <c r="F484" s="11" t="s">
        <v>1386</v>
      </c>
      <c r="G484" s="11">
        <v>140</v>
      </c>
      <c r="H484" s="11">
        <v>277</v>
      </c>
      <c r="I484" s="11">
        <v>5</v>
      </c>
      <c r="J484" s="11">
        <v>0</v>
      </c>
      <c r="K484" s="11" t="s">
        <v>21</v>
      </c>
      <c r="L484" s="7">
        <v>40840.977395833332</v>
      </c>
      <c r="M484" s="12"/>
      <c r="N484" s="12" t="s">
        <v>1387</v>
      </c>
      <c r="O484" s="10" t="str">
        <f>HYPERLINK("https://pbs.twimg.com/profile_images/1695402189/nebula_normal.jpg","View")</f>
        <v>View</v>
      </c>
      <c r="P484" s="11"/>
    </row>
    <row r="485" spans="1:16" ht="12.75" x14ac:dyDescent="0.35">
      <c r="A485" s="7">
        <v>42481.517442129625</v>
      </c>
      <c r="B485" s="8" t="str">
        <f>HYPERLINK("https://twitter.com/JClaesz","@JClaesz")</f>
        <v>@JClaesz</v>
      </c>
      <c r="C485" s="9" t="s">
        <v>1340</v>
      </c>
      <c r="D485" s="9" t="s">
        <v>1388</v>
      </c>
      <c r="E485" s="10" t="str">
        <f>HYPERLINK("https://twitter.com/JClaesz/status/723042362218270722","723042362218270722")</f>
        <v>723042362218270722</v>
      </c>
      <c r="F485" s="11" t="s">
        <v>43</v>
      </c>
      <c r="G485" s="11">
        <v>143</v>
      </c>
      <c r="H485" s="11">
        <v>545</v>
      </c>
      <c r="I485" s="11">
        <v>0</v>
      </c>
      <c r="J485" s="11">
        <v>0</v>
      </c>
      <c r="K485" s="11" t="s">
        <v>21</v>
      </c>
      <c r="L485" s="7">
        <v>42389.290254629625</v>
      </c>
      <c r="M485" s="12" t="s">
        <v>1342</v>
      </c>
      <c r="N485" s="12" t="s">
        <v>1343</v>
      </c>
      <c r="O485" s="10" t="str">
        <f>HYPERLINK("https://pbs.twimg.com/profile_images/695000806655811584/7lC1MdUr_normal.png","View")</f>
        <v>View</v>
      </c>
      <c r="P485" s="11"/>
    </row>
    <row r="486" spans="1:16" ht="12.75" x14ac:dyDescent="0.35">
      <c r="A486" s="7">
        <v>42481.517557870371</v>
      </c>
      <c r="B486" s="8" t="str">
        <f>HYPERLINK("https://twitter.com/handelsblatt","@handelsblatt")</f>
        <v>@handelsblatt</v>
      </c>
      <c r="C486" s="9" t="s">
        <v>973</v>
      </c>
      <c r="D486" s="9" t="s">
        <v>1389</v>
      </c>
      <c r="E486" s="10" t="str">
        <f>HYPERLINK("https://twitter.com/handelsblatt/status/723042404253728768","723042404253728768")</f>
        <v>723042404253728768</v>
      </c>
      <c r="F486" s="11" t="s">
        <v>63</v>
      </c>
      <c r="G486" s="11">
        <v>239918</v>
      </c>
      <c r="H486" s="11">
        <v>534</v>
      </c>
      <c r="I486" s="11">
        <v>0</v>
      </c>
      <c r="J486" s="11">
        <v>0</v>
      </c>
      <c r="K486" s="11" t="s">
        <v>21</v>
      </c>
      <c r="L486" s="7">
        <v>39207.128182870372</v>
      </c>
      <c r="M486" s="12" t="s">
        <v>975</v>
      </c>
      <c r="N486" s="12" t="s">
        <v>976</v>
      </c>
      <c r="O486" s="10" t="str">
        <f>HYPERLINK("https://pbs.twimg.com/profile_images/562563461171798017/AkHF4keI_normal.png","View")</f>
        <v>View</v>
      </c>
      <c r="P486" s="11"/>
    </row>
    <row r="487" spans="1:16" ht="12.75" x14ac:dyDescent="0.35">
      <c r="A487" s="7">
        <v>42481.519027777773</v>
      </c>
      <c r="B487" s="8" t="str">
        <f>HYPERLINK("https://twitter.com/cleantechken","@cleantechken")</f>
        <v>@cleantechken</v>
      </c>
      <c r="C487" s="9" t="s">
        <v>1390</v>
      </c>
      <c r="D487" s="9" t="s">
        <v>151</v>
      </c>
      <c r="E487" s="10" t="str">
        <f>HYPERLINK("https://twitter.com/cleantechken/status/723042937723060224","723042937723060224")</f>
        <v>723042937723060224</v>
      </c>
      <c r="F487" s="11" t="s">
        <v>20</v>
      </c>
      <c r="G487" s="11">
        <v>5655</v>
      </c>
      <c r="H487" s="11">
        <v>6212</v>
      </c>
      <c r="I487" s="11">
        <v>16</v>
      </c>
      <c r="J487" s="11">
        <v>0</v>
      </c>
      <c r="K487" s="11" t="s">
        <v>21</v>
      </c>
      <c r="L487" s="7">
        <v>40637.256944444445</v>
      </c>
      <c r="M487" s="12" t="s">
        <v>1391</v>
      </c>
      <c r="N487" s="12" t="s">
        <v>1392</v>
      </c>
      <c r="O487" s="10" t="str">
        <f>HYPERLINK("https://pbs.twimg.com/profile_images/1303110064/ken_crop_normal.jpg","View")</f>
        <v>View</v>
      </c>
      <c r="P487" s="11"/>
    </row>
    <row r="488" spans="1:16" ht="12.75" x14ac:dyDescent="0.35">
      <c r="A488" s="7">
        <v>42481.520046296297</v>
      </c>
      <c r="B488" s="8" t="str">
        <f>HYPERLINK("https://twitter.com/lasao5","@lasao5")</f>
        <v>@lasao5</v>
      </c>
      <c r="C488" s="9" t="s">
        <v>1393</v>
      </c>
      <c r="D488" s="9" t="s">
        <v>1394</v>
      </c>
      <c r="E488" s="10" t="str">
        <f>HYPERLINK("https://twitter.com/lasao5/status/723043304854589440","723043304854589440")</f>
        <v>723043304854589440</v>
      </c>
      <c r="F488" s="11" t="s">
        <v>20</v>
      </c>
      <c r="G488" s="11">
        <v>1</v>
      </c>
      <c r="H488" s="11">
        <v>7</v>
      </c>
      <c r="I488" s="11">
        <v>0</v>
      </c>
      <c r="J488" s="11">
        <v>0</v>
      </c>
      <c r="K488" s="11" t="s">
        <v>21</v>
      </c>
      <c r="L488" s="7">
        <v>42317.699745370366</v>
      </c>
      <c r="M488" s="12"/>
      <c r="N488" s="12"/>
      <c r="O488" s="10" t="str">
        <f>HYPERLINK("https://pbs.twimg.com/profile_images/663678308467388417/lVEbHUdH_normal.jpg","View")</f>
        <v>View</v>
      </c>
      <c r="P488" s="11"/>
    </row>
    <row r="489" spans="1:16" ht="12.75" x14ac:dyDescent="0.35">
      <c r="A489" s="7">
        <v>42481.520601851851</v>
      </c>
      <c r="B489" s="8" t="str">
        <f>HYPERLINK("https://twitter.com/EuropeIndustry","@EuropeIndustry")</f>
        <v>@EuropeIndustry</v>
      </c>
      <c r="C489" s="9" t="s">
        <v>1395</v>
      </c>
      <c r="D489" s="9" t="s">
        <v>1396</v>
      </c>
      <c r="E489" s="10" t="str">
        <f>HYPERLINK("https://twitter.com/EuropeIndustry/status/723043508748214272","723043508748214272")</f>
        <v>723043508748214272</v>
      </c>
      <c r="F489" s="11" t="s">
        <v>152</v>
      </c>
      <c r="G489" s="11">
        <v>431</v>
      </c>
      <c r="H489" s="11">
        <v>588</v>
      </c>
      <c r="I489" s="11">
        <v>1</v>
      </c>
      <c r="J489" s="11">
        <v>0</v>
      </c>
      <c r="K489" s="11" t="s">
        <v>21</v>
      </c>
      <c r="L489" s="7">
        <v>41380.839571759258</v>
      </c>
      <c r="M489" s="12" t="s">
        <v>1397</v>
      </c>
      <c r="N489" s="12" t="s">
        <v>1398</v>
      </c>
      <c r="O489" s="10" t="str">
        <f>HYPERLINK("https://pbs.twimg.com/profile_images/378800000038464969/e8c6a0d490068116195580ff6643ca8d_normal.jpeg","View")</f>
        <v>View</v>
      </c>
      <c r="P489" s="11"/>
    </row>
    <row r="490" spans="1:16" ht="12.75" x14ac:dyDescent="0.35">
      <c r="A490" s="7">
        <v>42481.521539351852</v>
      </c>
      <c r="B490" s="8" t="str">
        <f>HYPERLINK("https://twitter.com/Truck_Trailer","@Truck_Trailer")</f>
        <v>@Truck_Trailer</v>
      </c>
      <c r="C490" s="9" t="s">
        <v>1399</v>
      </c>
      <c r="D490" s="9" t="s">
        <v>1400</v>
      </c>
      <c r="E490" s="10" t="str">
        <f>HYPERLINK("https://twitter.com/Truck_Trailer/status/723043847006216192","723043847006216192")</f>
        <v>723043847006216192</v>
      </c>
      <c r="F490" s="11" t="s">
        <v>152</v>
      </c>
      <c r="G490" s="11">
        <v>512</v>
      </c>
      <c r="H490" s="11">
        <v>40</v>
      </c>
      <c r="I490" s="11">
        <v>0</v>
      </c>
      <c r="J490" s="11">
        <v>0</v>
      </c>
      <c r="K490" s="11" t="s">
        <v>21</v>
      </c>
      <c r="L490" s="7">
        <v>40592.54105324074</v>
      </c>
      <c r="M490" s="12" t="s">
        <v>1267</v>
      </c>
      <c r="N490" s="12" t="s">
        <v>1401</v>
      </c>
      <c r="O490" s="10" t="str">
        <f>HYPERLINK("https://pbs.twimg.com/profile_images/471996983930912768/ADy9Kodu_normal.png","View")</f>
        <v>View</v>
      </c>
      <c r="P490" s="11"/>
    </row>
    <row r="491" spans="1:16" ht="12.75" x14ac:dyDescent="0.35">
      <c r="A491" s="7">
        <v>42481.521585648152</v>
      </c>
      <c r="B491" s="8" t="str">
        <f>HYPERLINK("https://twitter.com/VWHeritage","@VWHeritage")</f>
        <v>@VWHeritage</v>
      </c>
      <c r="C491" s="9" t="s">
        <v>1402</v>
      </c>
      <c r="D491" s="9" t="s">
        <v>1403</v>
      </c>
      <c r="E491" s="10" t="str">
        <f>HYPERLINK("https://twitter.com/VWHeritage/status/723043862961356800","723043862961356800")</f>
        <v>723043862961356800</v>
      </c>
      <c r="F491" s="11" t="s">
        <v>152</v>
      </c>
      <c r="G491" s="11">
        <v>9227</v>
      </c>
      <c r="H491" s="11">
        <v>1355</v>
      </c>
      <c r="I491" s="11">
        <v>0</v>
      </c>
      <c r="J491" s="11">
        <v>1</v>
      </c>
      <c r="K491" s="11" t="s">
        <v>21</v>
      </c>
      <c r="L491" s="7">
        <v>40193.185613425929</v>
      </c>
      <c r="M491" s="12" t="s">
        <v>1338</v>
      </c>
      <c r="N491" s="12" t="s">
        <v>1404</v>
      </c>
      <c r="O491" s="10" t="str">
        <f>HYPERLINK("https://pbs.twimg.com/profile_images/709359494128599041/-2u0_Nqv_normal.jpg","View")</f>
        <v>View</v>
      </c>
      <c r="P491" s="11"/>
    </row>
    <row r="492" spans="1:16" ht="12.75" x14ac:dyDescent="0.35">
      <c r="A492" s="7">
        <v>42481.521678240737</v>
      </c>
      <c r="B492" s="8" t="str">
        <f>HYPERLINK("https://twitter.com/the_commentary","@the_commentary")</f>
        <v>@the_commentary</v>
      </c>
      <c r="C492" s="9" t="s">
        <v>1405</v>
      </c>
      <c r="D492" s="9" t="s">
        <v>1406</v>
      </c>
      <c r="E492" s="10" t="str">
        <f>HYPERLINK("https://twitter.com/the_commentary/status/723043898751229952","723043898751229952")</f>
        <v>723043898751229952</v>
      </c>
      <c r="F492" s="11" t="s">
        <v>48</v>
      </c>
      <c r="G492" s="11">
        <v>35</v>
      </c>
      <c r="H492" s="11">
        <v>82</v>
      </c>
      <c r="I492" s="11">
        <v>0</v>
      </c>
      <c r="J492" s="11">
        <v>0</v>
      </c>
      <c r="K492" s="11" t="s">
        <v>21</v>
      </c>
      <c r="L492" s="7">
        <v>42461.458043981482</v>
      </c>
      <c r="M492" s="12" t="s">
        <v>1407</v>
      </c>
      <c r="N492" s="12" t="s">
        <v>1408</v>
      </c>
      <c r="O492" s="10" t="str">
        <f>HYPERLINK("https://pbs.twimg.com/profile_images/715774572742750208/3hmVtMBE_normal.jpg","View")</f>
        <v>View</v>
      </c>
      <c r="P492" s="11"/>
    </row>
    <row r="493" spans="1:16" ht="12.75" x14ac:dyDescent="0.35">
      <c r="A493" s="7">
        <v>42481.521701388891</v>
      </c>
      <c r="B493" s="8" t="str">
        <f>HYPERLINK("https://twitter.com/MiManske","@MiManske")</f>
        <v>@MiManske</v>
      </c>
      <c r="C493" s="9" t="s">
        <v>1409</v>
      </c>
      <c r="D493" s="9" t="s">
        <v>1410</v>
      </c>
      <c r="E493" s="10" t="str">
        <f>HYPERLINK("https://twitter.com/MiManske/status/723043906384883714","723043906384883714")</f>
        <v>723043906384883714</v>
      </c>
      <c r="F493" s="11" t="s">
        <v>43</v>
      </c>
      <c r="G493" s="11">
        <v>1311</v>
      </c>
      <c r="H493" s="11">
        <v>796</v>
      </c>
      <c r="I493" s="11">
        <v>2</v>
      </c>
      <c r="J493" s="11">
        <v>0</v>
      </c>
      <c r="K493" s="11" t="s">
        <v>21</v>
      </c>
      <c r="L493" s="7">
        <v>40522.240474537037</v>
      </c>
      <c r="M493" s="12" t="s">
        <v>1411</v>
      </c>
      <c r="N493" s="12" t="s">
        <v>1412</v>
      </c>
      <c r="O493" s="10" t="str">
        <f>HYPERLINK("https://pbs.twimg.com/profile_images/652191269934993408/5bZKOI8y_normal.jpg","View")</f>
        <v>View</v>
      </c>
      <c r="P493" s="11"/>
    </row>
    <row r="494" spans="1:16" ht="12.75" x14ac:dyDescent="0.35">
      <c r="A494" s="7">
        <v>42481.521886574075</v>
      </c>
      <c r="B494" s="8" t="str">
        <f>HYPERLINK("https://twitter.com/imfree81","@imfree81")</f>
        <v>@imfree81</v>
      </c>
      <c r="C494" s="9" t="s">
        <v>1413</v>
      </c>
      <c r="D494" s="9" t="s">
        <v>1414</v>
      </c>
      <c r="E494" s="10" t="str">
        <f>HYPERLINK("https://twitter.com/imfree81/status/723043974735376384","723043974735376384")</f>
        <v>723043974735376384</v>
      </c>
      <c r="F494" s="11" t="s">
        <v>48</v>
      </c>
      <c r="G494" s="11">
        <v>6479</v>
      </c>
      <c r="H494" s="11">
        <v>1985</v>
      </c>
      <c r="I494" s="11">
        <v>0</v>
      </c>
      <c r="J494" s="11">
        <v>0</v>
      </c>
      <c r="K494" s="11" t="s">
        <v>21</v>
      </c>
      <c r="L494" s="7">
        <v>39992.946261574078</v>
      </c>
      <c r="M494" s="12" t="s">
        <v>1415</v>
      </c>
      <c r="N494" s="12" t="s">
        <v>1416</v>
      </c>
      <c r="O494" s="10" t="str">
        <f>HYPERLINK("https://pbs.twimg.com/profile_images/1859860496/image_normal.jpg","View")</f>
        <v>View</v>
      </c>
      <c r="P494" s="11"/>
    </row>
    <row r="495" spans="1:16" ht="12.75" x14ac:dyDescent="0.35">
      <c r="A495" s="7">
        <v>42481.522048611107</v>
      </c>
      <c r="B495" s="8" t="str">
        <f>HYPERLINK("https://twitter.com/moniquegoyens","@moniquegoyens")</f>
        <v>@moniquegoyens</v>
      </c>
      <c r="C495" s="9" t="s">
        <v>1417</v>
      </c>
      <c r="D495" s="9" t="s">
        <v>1418</v>
      </c>
      <c r="E495" s="10" t="str">
        <f>HYPERLINK("https://twitter.com/moniquegoyens/status/723044034021728256","723044034021728256")</f>
        <v>723044034021728256</v>
      </c>
      <c r="F495" s="11" t="s">
        <v>43</v>
      </c>
      <c r="G495" s="11">
        <v>1467</v>
      </c>
      <c r="H495" s="11">
        <v>214</v>
      </c>
      <c r="I495" s="11">
        <v>13</v>
      </c>
      <c r="J495" s="11">
        <v>3</v>
      </c>
      <c r="K495" s="11" t="s">
        <v>21</v>
      </c>
      <c r="L495" s="7">
        <v>40566.845763888887</v>
      </c>
      <c r="M495" s="12" t="s">
        <v>980</v>
      </c>
      <c r="N495" s="12" t="s">
        <v>1419</v>
      </c>
      <c r="O495" s="10" t="str">
        <f>HYPERLINK("https://pbs.twimg.com/profile_images/602105290432106497/5dKZAU3H_normal.jpg","View")</f>
        <v>View</v>
      </c>
      <c r="P495" s="11"/>
    </row>
    <row r="496" spans="1:16" ht="12.75" x14ac:dyDescent="0.35">
      <c r="A496" s="7">
        <v>42481.522106481483</v>
      </c>
      <c r="B496" s="8" t="str">
        <f>HYPERLINK("https://twitter.com/imfree81","@imfree81")</f>
        <v>@imfree81</v>
      </c>
      <c r="C496" s="9" t="s">
        <v>1413</v>
      </c>
      <c r="D496" s="9" t="s">
        <v>1420</v>
      </c>
      <c r="E496" s="10" t="str">
        <f>HYPERLINK("https://twitter.com/imfree81/status/723044051793129472","723044051793129472")</f>
        <v>723044051793129472</v>
      </c>
      <c r="F496" s="11" t="s">
        <v>91</v>
      </c>
      <c r="G496" s="11">
        <v>6479</v>
      </c>
      <c r="H496" s="11">
        <v>1985</v>
      </c>
      <c r="I496" s="11">
        <v>0</v>
      </c>
      <c r="J496" s="11">
        <v>0</v>
      </c>
      <c r="K496" s="11" t="s">
        <v>21</v>
      </c>
      <c r="L496" s="7">
        <v>39992.946261574078</v>
      </c>
      <c r="M496" s="12" t="s">
        <v>1415</v>
      </c>
      <c r="N496" s="12" t="s">
        <v>1416</v>
      </c>
      <c r="O496" s="10" t="str">
        <f>HYPERLINK("https://pbs.twimg.com/profile_images/1859860496/image_normal.jpg","View")</f>
        <v>View</v>
      </c>
      <c r="P496" s="11"/>
    </row>
    <row r="497" spans="1:16" ht="12.75" x14ac:dyDescent="0.35">
      <c r="A497" s="7">
        <v>42481.522129629629</v>
      </c>
      <c r="B497" s="8" t="str">
        <f>HYPERLINK("https://twitter.com/kipangacap","@kipangacap")</f>
        <v>@kipangacap</v>
      </c>
      <c r="C497" s="9" t="s">
        <v>1421</v>
      </c>
      <c r="D497" s="9" t="s">
        <v>25</v>
      </c>
      <c r="E497" s="10" t="str">
        <f>HYPERLINK("https://twitter.com/kipangacap/status/723044062274674688","723044062274674688")</f>
        <v>723044062274674688</v>
      </c>
      <c r="F497" s="11" t="s">
        <v>20</v>
      </c>
      <c r="G497" s="11">
        <v>141</v>
      </c>
      <c r="H497" s="11">
        <v>156</v>
      </c>
      <c r="I497" s="11">
        <v>95</v>
      </c>
      <c r="J497" s="11">
        <v>0</v>
      </c>
      <c r="K497" s="11" t="s">
        <v>21</v>
      </c>
      <c r="L497" s="7">
        <v>42315.005266203705</v>
      </c>
      <c r="M497" s="12"/>
      <c r="N497" s="12" t="s">
        <v>1422</v>
      </c>
      <c r="O497" s="10" t="str">
        <f>HYPERLINK("https://pbs.twimg.com/profile_images/663353903199711233/bLusZVz1_normal.png","View")</f>
        <v>View</v>
      </c>
      <c r="P497" s="11"/>
    </row>
    <row r="498" spans="1:16" ht="12.75" x14ac:dyDescent="0.35">
      <c r="A498" s="7">
        <v>42481.522488425922</v>
      </c>
      <c r="B498" s="8" t="str">
        <f>HYPERLINK("https://twitter.com/BILD_Reporter","@BILD_Reporter")</f>
        <v>@BILD_Reporter</v>
      </c>
      <c r="C498" s="9" t="s">
        <v>1423</v>
      </c>
      <c r="D498" s="9" t="s">
        <v>1424</v>
      </c>
      <c r="E498" s="10" t="str">
        <f>HYPERLINK("https://twitter.com/BILD_Reporter/status/723044192402976768","723044192402976768")</f>
        <v>723044192402976768</v>
      </c>
      <c r="F498" s="11" t="s">
        <v>20</v>
      </c>
      <c r="G498" s="11">
        <v>2149</v>
      </c>
      <c r="H498" s="11">
        <v>238</v>
      </c>
      <c r="I498" s="11">
        <v>2</v>
      </c>
      <c r="J498" s="11">
        <v>0</v>
      </c>
      <c r="K498" s="11" t="s">
        <v>21</v>
      </c>
      <c r="L498" s="7">
        <v>41430.766331018516</v>
      </c>
      <c r="M498" s="12" t="s">
        <v>1359</v>
      </c>
      <c r="N498" s="12" t="s">
        <v>1425</v>
      </c>
      <c r="O498" s="10" t="str">
        <f>HYPERLINK("https://pbs.twimg.com/profile_images/578542636140781568/2T_ukEU0_normal.jpeg","View")</f>
        <v>View</v>
      </c>
      <c r="P498" s="11"/>
    </row>
    <row r="499" spans="1:16" ht="12.75" x14ac:dyDescent="0.35">
      <c r="A499" s="7">
        <v>42481.522986111115</v>
      </c>
      <c r="B499" s="8" t="str">
        <f t="shared" ref="B499:B500" si="54">HYPERLINK("https://twitter.com/VWCamperSales","@VWCamperSales")</f>
        <v>@VWCamperSales</v>
      </c>
      <c r="C499" s="9" t="s">
        <v>216</v>
      </c>
      <c r="D499" s="9" t="s">
        <v>1426</v>
      </c>
      <c r="E499" s="10" t="str">
        <f>HYPERLINK("https://twitter.com/VWCamperSales/status/723044373022167040","723044373022167040")</f>
        <v>723044373022167040</v>
      </c>
      <c r="F499" s="10" t="s">
        <v>124</v>
      </c>
      <c r="G499" s="11">
        <v>615</v>
      </c>
      <c r="H499" s="11">
        <v>580</v>
      </c>
      <c r="I499" s="11">
        <v>0</v>
      </c>
      <c r="J499" s="11">
        <v>1</v>
      </c>
      <c r="K499" s="11" t="s">
        <v>21</v>
      </c>
      <c r="L499" s="7">
        <v>42215.98809027778</v>
      </c>
      <c r="M499" s="12" t="s">
        <v>129</v>
      </c>
      <c r="N499" s="12" t="s">
        <v>218</v>
      </c>
      <c r="O499" s="10" t="str">
        <f t="shared" ref="O499:O500" si="55">HYPERLINK("https://pbs.twimg.com/profile_images/627949001179037696/skEBkS05_normal.jpg","View")</f>
        <v>View</v>
      </c>
      <c r="P499" s="11"/>
    </row>
    <row r="500" spans="1:16" ht="12.75" x14ac:dyDescent="0.35">
      <c r="A500" s="7">
        <v>42481.522997685184</v>
      </c>
      <c r="B500" s="8" t="str">
        <f t="shared" si="54"/>
        <v>@VWCamperSales</v>
      </c>
      <c r="C500" s="9" t="s">
        <v>216</v>
      </c>
      <c r="D500" s="9" t="s">
        <v>1427</v>
      </c>
      <c r="E500" s="10" t="str">
        <f>HYPERLINK("https://twitter.com/VWCamperSales/status/723044376025255936","723044376025255936")</f>
        <v>723044376025255936</v>
      </c>
      <c r="F500" s="10" t="s">
        <v>124</v>
      </c>
      <c r="G500" s="11">
        <v>615</v>
      </c>
      <c r="H500" s="11">
        <v>580</v>
      </c>
      <c r="I500" s="11">
        <v>0</v>
      </c>
      <c r="J500" s="11">
        <v>0</v>
      </c>
      <c r="K500" s="11" t="s">
        <v>21</v>
      </c>
      <c r="L500" s="7">
        <v>42215.98809027778</v>
      </c>
      <c r="M500" s="12" t="s">
        <v>129</v>
      </c>
      <c r="N500" s="12" t="s">
        <v>218</v>
      </c>
      <c r="O500" s="10" t="str">
        <f t="shared" si="55"/>
        <v>View</v>
      </c>
      <c r="P500" s="11"/>
    </row>
    <row r="501" spans="1:16" ht="12.75" x14ac:dyDescent="0.35">
      <c r="A501" s="7">
        <v>42481.523020833338</v>
      </c>
      <c r="B501" s="8" t="str">
        <f>HYPERLINK("https://twitter.com/RuimteOrdening","@RuimteOrdening")</f>
        <v>@RuimteOrdening</v>
      </c>
      <c r="C501" s="9" t="s">
        <v>1428</v>
      </c>
      <c r="D501" s="9" t="s">
        <v>1429</v>
      </c>
      <c r="E501" s="10" t="str">
        <f>HYPERLINK("https://twitter.com/RuimteOrdening/status/723044386175631360","723044386175631360")</f>
        <v>723044386175631360</v>
      </c>
      <c r="F501" s="11" t="s">
        <v>48</v>
      </c>
      <c r="G501" s="11">
        <v>3945</v>
      </c>
      <c r="H501" s="11">
        <v>2076</v>
      </c>
      <c r="I501" s="11">
        <v>13</v>
      </c>
      <c r="J501" s="11">
        <v>0</v>
      </c>
      <c r="K501" s="11" t="s">
        <v>21</v>
      </c>
      <c r="L501" s="7">
        <v>40759.956006944441</v>
      </c>
      <c r="M501" s="12" t="s">
        <v>1430</v>
      </c>
      <c r="N501" s="12" t="s">
        <v>1431</v>
      </c>
      <c r="O501" s="10" t="str">
        <f>HYPERLINK("https://pbs.twimg.com/profile_images/1477876373/RO_normal.jpg","View")</f>
        <v>View</v>
      </c>
      <c r="P501" s="11"/>
    </row>
    <row r="502" spans="1:16" ht="12.75" x14ac:dyDescent="0.35">
      <c r="A502" s="7">
        <v>42481.523865740739</v>
      </c>
      <c r="B502" s="8" t="str">
        <f>HYPERLINK("https://twitter.com/BILD_Politik","@BILD_Politik")</f>
        <v>@BILD_Politik</v>
      </c>
      <c r="C502" s="9" t="s">
        <v>1432</v>
      </c>
      <c r="D502" s="9" t="s">
        <v>1424</v>
      </c>
      <c r="E502" s="10" t="str">
        <f>HYPERLINK("https://twitter.com/BILD_Politik/status/723044689713176576","723044689713176576")</f>
        <v>723044689713176576</v>
      </c>
      <c r="F502" s="11" t="s">
        <v>63</v>
      </c>
      <c r="G502" s="11">
        <v>9330</v>
      </c>
      <c r="H502" s="11">
        <v>77</v>
      </c>
      <c r="I502" s="11">
        <v>2</v>
      </c>
      <c r="J502" s="11">
        <v>0</v>
      </c>
      <c r="K502" s="11" t="s">
        <v>21</v>
      </c>
      <c r="L502" s="7">
        <v>40553.851030092592</v>
      </c>
      <c r="M502" s="12" t="s">
        <v>1359</v>
      </c>
      <c r="N502" s="12" t="s">
        <v>1433</v>
      </c>
      <c r="O502" s="10" t="str">
        <f>HYPERLINK("https://pbs.twimg.com/profile_images/577458296845516800/tNsYSZtV_normal.jpeg","View")</f>
        <v>View</v>
      </c>
      <c r="P502" s="11"/>
    </row>
    <row r="503" spans="1:16" ht="12.75" x14ac:dyDescent="0.35">
      <c r="A503" s="7">
        <v>42481.524305555555</v>
      </c>
      <c r="B503" s="8" t="str">
        <f>HYPERLINK("https://twitter.com/irishjulian","@irishjulian")</f>
        <v>@irishjulian</v>
      </c>
      <c r="C503" s="9" t="s">
        <v>1434</v>
      </c>
      <c r="D503" s="9" t="s">
        <v>1435</v>
      </c>
      <c r="E503" s="10" t="str">
        <f>HYPERLINK("https://twitter.com/irishjulian/status/723044849868484608","723044849868484608")</f>
        <v>723044849868484608</v>
      </c>
      <c r="F503" s="11" t="s">
        <v>367</v>
      </c>
      <c r="G503" s="11">
        <v>48</v>
      </c>
      <c r="H503" s="11">
        <v>97</v>
      </c>
      <c r="I503" s="11">
        <v>0</v>
      </c>
      <c r="J503" s="11">
        <v>0</v>
      </c>
      <c r="K503" s="11" t="s">
        <v>21</v>
      </c>
      <c r="L503" s="7">
        <v>41425.090775462959</v>
      </c>
      <c r="M503" s="12" t="s">
        <v>1436</v>
      </c>
      <c r="N503" s="12" t="s">
        <v>1437</v>
      </c>
      <c r="O503" s="10" t="str">
        <f>HYPERLINK("https://pbs.twimg.com/profile_images/678935142824550400/JdB89I4k_normal.jpg","View")</f>
        <v>View</v>
      </c>
      <c r="P503" s="11"/>
    </row>
    <row r="504" spans="1:16" ht="12.75" x14ac:dyDescent="0.35">
      <c r="A504" s="7">
        <v>42481.525011574078</v>
      </c>
      <c r="B504" s="8" t="str">
        <f>HYPERLINK("https://twitter.com/ANHurst","@ANHurst")</f>
        <v>@ANHurst</v>
      </c>
      <c r="C504" s="9" t="s">
        <v>1438</v>
      </c>
      <c r="D504" s="9" t="s">
        <v>1439</v>
      </c>
      <c r="E504" s="10" t="str">
        <f>HYPERLINK("https://twitter.com/ANHurst/status/723045107948228608","723045107948228608")</f>
        <v>723045107948228608</v>
      </c>
      <c r="F504" s="11" t="s">
        <v>20</v>
      </c>
      <c r="G504" s="11">
        <v>271</v>
      </c>
      <c r="H504" s="11">
        <v>519</v>
      </c>
      <c r="I504" s="11">
        <v>0</v>
      </c>
      <c r="J504" s="11">
        <v>0</v>
      </c>
      <c r="K504" s="11" t="s">
        <v>21</v>
      </c>
      <c r="L504" s="7">
        <v>39878.044803240744</v>
      </c>
      <c r="M504" s="12" t="s">
        <v>1440</v>
      </c>
      <c r="N504" s="12"/>
      <c r="O504" s="10" t="str">
        <f>HYPERLINK("https://pbs.twimg.com/profile_images/718041603957473282/OmNS8fO8_normal.jpg","View")</f>
        <v>View</v>
      </c>
      <c r="P504" s="11"/>
    </row>
    <row r="505" spans="1:16" ht="12.75" x14ac:dyDescent="0.35">
      <c r="A505" s="7">
        <v>42481.525277777779</v>
      </c>
      <c r="B505" s="8" t="str">
        <f>HYPERLINK("https://twitter.com/ivomechels","@ivomechels")</f>
        <v>@ivomechels</v>
      </c>
      <c r="C505" s="9" t="s">
        <v>978</v>
      </c>
      <c r="D505" s="9" t="s">
        <v>1441</v>
      </c>
      <c r="E505" s="10" t="str">
        <f>HYPERLINK("https://twitter.com/ivomechels/status/723045203918094336","723045203918094336")</f>
        <v>723045203918094336</v>
      </c>
      <c r="F505" s="11" t="s">
        <v>20</v>
      </c>
      <c r="G505" s="11">
        <v>5888</v>
      </c>
      <c r="H505" s="11">
        <v>1185</v>
      </c>
      <c r="I505" s="11">
        <v>0</v>
      </c>
      <c r="J505" s="11">
        <v>1</v>
      </c>
      <c r="K505" s="11" t="s">
        <v>21</v>
      </c>
      <c r="L505" s="7">
        <v>40023.762314814812</v>
      </c>
      <c r="M505" s="12" t="s">
        <v>980</v>
      </c>
      <c r="N505" s="12" t="s">
        <v>981</v>
      </c>
      <c r="O505" s="10" t="str">
        <f>HYPERLINK("https://pbs.twimg.com/profile_images/1348837821/IvoMechels03_normal.jpg","View")</f>
        <v>View</v>
      </c>
      <c r="P505" s="11"/>
    </row>
    <row r="506" spans="1:16" ht="12.75" x14ac:dyDescent="0.35">
      <c r="A506" s="7">
        <v>42481.525706018518</v>
      </c>
      <c r="B506" s="8" t="str">
        <f>HYPERLINK("https://twitter.com/barbcore","@barbcore")</f>
        <v>@barbcore</v>
      </c>
      <c r="C506" s="9" t="s">
        <v>1442</v>
      </c>
      <c r="D506" s="9" t="s">
        <v>1385</v>
      </c>
      <c r="E506" s="10" t="str">
        <f>HYPERLINK("https://twitter.com/barbcore/status/723045359220604928","723045359220604928")</f>
        <v>723045359220604928</v>
      </c>
      <c r="F506" s="11" t="s">
        <v>20</v>
      </c>
      <c r="G506" s="11">
        <v>1025</v>
      </c>
      <c r="H506" s="11">
        <v>351</v>
      </c>
      <c r="I506" s="11">
        <v>5</v>
      </c>
      <c r="J506" s="11">
        <v>0</v>
      </c>
      <c r="K506" s="11" t="s">
        <v>21</v>
      </c>
      <c r="L506" s="7">
        <v>39972.733726851853</v>
      </c>
      <c r="M506" s="12" t="s">
        <v>1443</v>
      </c>
      <c r="N506" s="12" t="s">
        <v>1444</v>
      </c>
      <c r="O506" s="10" t="str">
        <f>HYPERLINK("https://pbs.twimg.com/profile_images/719865624848134144/_pu_ldv9_normal.jpg","View")</f>
        <v>View</v>
      </c>
      <c r="P506" s="11"/>
    </row>
    <row r="507" spans="1:16" ht="12.75" x14ac:dyDescent="0.35">
      <c r="A507" s="7">
        <v>42481.526400462964</v>
      </c>
      <c r="B507" s="8" t="str">
        <f>HYPERLINK("https://twitter.com/AlcuinBramerton","@AlcuinBramerton")</f>
        <v>@AlcuinBramerton</v>
      </c>
      <c r="C507" s="9" t="s">
        <v>1445</v>
      </c>
      <c r="D507" s="9" t="s">
        <v>1446</v>
      </c>
      <c r="E507" s="10" t="str">
        <f>HYPERLINK("https://twitter.com/AlcuinBramerton/status/723045609955971072","723045609955971072")</f>
        <v>723045609955971072</v>
      </c>
      <c r="F507" s="11" t="s">
        <v>43</v>
      </c>
      <c r="G507" s="11">
        <v>395</v>
      </c>
      <c r="H507" s="11">
        <v>0</v>
      </c>
      <c r="I507" s="11">
        <v>0</v>
      </c>
      <c r="J507" s="11">
        <v>0</v>
      </c>
      <c r="K507" s="11" t="s">
        <v>21</v>
      </c>
      <c r="L507" s="7">
        <v>40274.526655092595</v>
      </c>
      <c r="M507" s="12"/>
      <c r="N507" s="12" t="s">
        <v>1447</v>
      </c>
      <c r="O507" s="10" t="str">
        <f>HYPERLINK("https://pbs.twimg.com/profile_images/3437818220/cc7481466f6ca22100233370b25f7e3b_normal.jpeg","View")</f>
        <v>View</v>
      </c>
      <c r="P507" s="11"/>
    </row>
    <row r="508" spans="1:16" ht="12.75" x14ac:dyDescent="0.35">
      <c r="A508" s="7">
        <v>42481.526724537034</v>
      </c>
      <c r="B508" s="8" t="str">
        <f>HYPERLINK("https://twitter.com/thecomficottage","@thecomficottage")</f>
        <v>@thecomficottage</v>
      </c>
      <c r="C508" s="9" t="s">
        <v>1448</v>
      </c>
      <c r="D508" s="9" t="s">
        <v>1449</v>
      </c>
      <c r="E508" s="10" t="str">
        <f>HYPERLINK("https://twitter.com/thecomficottage/status/723045725899096065","723045725899096065")</f>
        <v>723045725899096065</v>
      </c>
      <c r="F508" s="11" t="s">
        <v>43</v>
      </c>
      <c r="G508" s="11">
        <v>464</v>
      </c>
      <c r="H508" s="11">
        <v>961</v>
      </c>
      <c r="I508" s="11">
        <v>0</v>
      </c>
      <c r="J508" s="11">
        <v>1</v>
      </c>
      <c r="K508" s="11" t="s">
        <v>21</v>
      </c>
      <c r="L508" s="7">
        <v>41355.826782407406</v>
      </c>
      <c r="M508" s="12" t="s">
        <v>1450</v>
      </c>
      <c r="N508" s="12" t="s">
        <v>1451</v>
      </c>
      <c r="O508" s="10" t="str">
        <f>HYPERLINK("https://pbs.twimg.com/profile_images/720907345778384896/wmdPKToi_normal.jpg","View")</f>
        <v>View</v>
      </c>
      <c r="P508" s="11"/>
    </row>
    <row r="509" spans="1:16" ht="12.75" x14ac:dyDescent="0.35">
      <c r="A509" s="7">
        <v>42481.527557870373</v>
      </c>
      <c r="B509" s="8" t="str">
        <f>HYPERLINK("https://twitter.com/foresight_lab","@foresight_lab")</f>
        <v>@foresight_lab</v>
      </c>
      <c r="C509" s="9" t="s">
        <v>1452</v>
      </c>
      <c r="D509" s="9" t="s">
        <v>1453</v>
      </c>
      <c r="E509" s="10" t="str">
        <f>HYPERLINK("https://twitter.com/foresight_lab/status/723046028274880512","723046028274880512")</f>
        <v>723046028274880512</v>
      </c>
      <c r="F509" s="11" t="s">
        <v>43</v>
      </c>
      <c r="G509" s="11">
        <v>673</v>
      </c>
      <c r="H509" s="11">
        <v>1023</v>
      </c>
      <c r="I509" s="11">
        <v>0</v>
      </c>
      <c r="J509" s="11">
        <v>1</v>
      </c>
      <c r="K509" s="11" t="s">
        <v>21</v>
      </c>
      <c r="L509" s="7">
        <v>42322.787974537037</v>
      </c>
      <c r="M509" s="12" t="s">
        <v>975</v>
      </c>
      <c r="N509" s="12" t="s">
        <v>1454</v>
      </c>
      <c r="O509" s="10" t="str">
        <f>HYPERLINK("https://pbs.twimg.com/profile_images/665798535779065856/sbUN3m6Q_normal.jpg","View")</f>
        <v>View</v>
      </c>
      <c r="P509" s="11"/>
    </row>
    <row r="510" spans="1:16" ht="12.75" x14ac:dyDescent="0.35">
      <c r="A510" s="7">
        <v>42481.52825231482</v>
      </c>
      <c r="B510" s="8" t="str">
        <f>HYPERLINK("https://twitter.com/PaulbrooksAMG","@PaulbrooksAMG")</f>
        <v>@PaulbrooksAMG</v>
      </c>
      <c r="C510" s="9" t="s">
        <v>1455</v>
      </c>
      <c r="D510" s="9" t="s">
        <v>1456</v>
      </c>
      <c r="E510" s="10" t="str">
        <f>HYPERLINK("https://twitter.com/PaulbrooksAMG/status/723046282290450432","723046282290450432")</f>
        <v>723046282290450432</v>
      </c>
      <c r="F510" s="11" t="s">
        <v>20</v>
      </c>
      <c r="G510" s="11">
        <v>625</v>
      </c>
      <c r="H510" s="11">
        <v>336</v>
      </c>
      <c r="I510" s="11">
        <v>10</v>
      </c>
      <c r="J510" s="11">
        <v>0</v>
      </c>
      <c r="K510" s="11" t="s">
        <v>21</v>
      </c>
      <c r="L510" s="7">
        <v>42203.94153935185</v>
      </c>
      <c r="M510" s="12"/>
      <c r="N510" s="12"/>
      <c r="O510" s="10" t="str">
        <f>HYPERLINK("https://pbs.twimg.com/profile_images/622455357219176448/1ysvnVP5_normal.jpg","View")</f>
        <v>View</v>
      </c>
      <c r="P510" s="11"/>
    </row>
    <row r="511" spans="1:16" ht="12.75" x14ac:dyDescent="0.35">
      <c r="A511" s="7">
        <v>42481.528483796297</v>
      </c>
      <c r="B511" s="8" t="str">
        <f>HYPERLINK("https://twitter.com/twittonium","@twittonium")</f>
        <v>@twittonium</v>
      </c>
      <c r="C511" s="9" t="s">
        <v>1457</v>
      </c>
      <c r="D511" s="9" t="s">
        <v>1385</v>
      </c>
      <c r="E511" s="10" t="str">
        <f>HYPERLINK("https://twitter.com/twittonium/status/723046363441696769","723046363441696769")</f>
        <v>723046363441696769</v>
      </c>
      <c r="F511" s="11" t="s">
        <v>43</v>
      </c>
      <c r="G511" s="11">
        <v>485</v>
      </c>
      <c r="H511" s="11">
        <v>525</v>
      </c>
      <c r="I511" s="11">
        <v>5</v>
      </c>
      <c r="J511" s="11">
        <v>0</v>
      </c>
      <c r="K511" s="11" t="s">
        <v>21</v>
      </c>
      <c r="L511" s="7">
        <v>40440.49858796296</v>
      </c>
      <c r="M511" s="12" t="s">
        <v>1458</v>
      </c>
      <c r="N511" s="12" t="s">
        <v>1459</v>
      </c>
      <c r="O511" s="10" t="str">
        <f>HYPERLINK("https://pbs.twimg.com/profile_images/662335141537280001/ZH4b_Zba_normal.png","View")</f>
        <v>View</v>
      </c>
      <c r="P511" s="11"/>
    </row>
    <row r="512" spans="1:16" ht="12.75" x14ac:dyDescent="0.35">
      <c r="A512" s="7">
        <v>42481.528541666667</v>
      </c>
      <c r="B512" s="8" t="str">
        <f>HYPERLINK("https://twitter.com/newsonhunt","@newsonhunt")</f>
        <v>@newsonhunt</v>
      </c>
      <c r="C512" s="9" t="s">
        <v>1460</v>
      </c>
      <c r="D512" s="9" t="s">
        <v>1461</v>
      </c>
      <c r="E512" s="10" t="str">
        <f>HYPERLINK("https://twitter.com/newsonhunt/status/723046386657193984","723046386657193984")</f>
        <v>723046386657193984</v>
      </c>
      <c r="F512" s="11" t="s">
        <v>43</v>
      </c>
      <c r="G512" s="11">
        <v>207</v>
      </c>
      <c r="H512" s="11">
        <v>234</v>
      </c>
      <c r="I512" s="11">
        <v>0</v>
      </c>
      <c r="J512" s="11">
        <v>0</v>
      </c>
      <c r="K512" s="11" t="s">
        <v>21</v>
      </c>
      <c r="L512" s="7">
        <v>42406.575844907406</v>
      </c>
      <c r="M512" s="12"/>
      <c r="N512" s="12"/>
      <c r="O512" s="10" t="str">
        <f>HYPERLINK("https://pbs.twimg.com/profile_images/696635247115395072/86JBdqIX_normal.jpg","View")</f>
        <v>View</v>
      </c>
      <c r="P512" s="11"/>
    </row>
    <row r="513" spans="1:16" ht="12.75" x14ac:dyDescent="0.35">
      <c r="A513" s="7">
        <v>42481.528854166667</v>
      </c>
      <c r="B513" s="8" t="str">
        <f>HYPERLINK("https://twitter.com/boersianer_info","@boersianer_info")</f>
        <v>@boersianer_info</v>
      </c>
      <c r="C513" s="9" t="s">
        <v>1462</v>
      </c>
      <c r="D513" s="9" t="s">
        <v>1463</v>
      </c>
      <c r="E513" s="10" t="str">
        <f>HYPERLINK("https://twitter.com/boersianer_info/status/723046498137714688","723046498137714688")</f>
        <v>723046498137714688</v>
      </c>
      <c r="F513" s="11" t="s">
        <v>20</v>
      </c>
      <c r="G513" s="11">
        <v>1151</v>
      </c>
      <c r="H513" s="11">
        <v>222</v>
      </c>
      <c r="I513" s="11">
        <v>0</v>
      </c>
      <c r="J513" s="11">
        <v>0</v>
      </c>
      <c r="K513" s="11" t="s">
        <v>21</v>
      </c>
      <c r="L513" s="7">
        <v>40676.893078703702</v>
      </c>
      <c r="M513" s="12" t="s">
        <v>1464</v>
      </c>
      <c r="N513" s="12" t="s">
        <v>1465</v>
      </c>
      <c r="O513" s="10" t="str">
        <f>HYPERLINK("https://pbs.twimg.com/profile_images/643546779485609984/HFH_S8Bf_normal.jpg","View")</f>
        <v>View</v>
      </c>
      <c r="P513" s="11"/>
    </row>
    <row r="514" spans="1:16" ht="12.75" x14ac:dyDescent="0.35">
      <c r="A514" s="7">
        <v>42481.529687499999</v>
      </c>
      <c r="B514" s="8" t="str">
        <f>HYPERLINK("https://twitter.com/boerseARD","@boerseARD")</f>
        <v>@boerseARD</v>
      </c>
      <c r="C514" s="9" t="s">
        <v>1227</v>
      </c>
      <c r="D514" s="9" t="s">
        <v>1466</v>
      </c>
      <c r="E514" s="10" t="str">
        <f>HYPERLINK("https://twitter.com/boerseARD/status/723046800085512192","723046800085512192")</f>
        <v>723046800085512192</v>
      </c>
      <c r="F514" s="11" t="s">
        <v>43</v>
      </c>
      <c r="G514" s="11">
        <v>1969</v>
      </c>
      <c r="H514" s="11">
        <v>231</v>
      </c>
      <c r="I514" s="11">
        <v>0</v>
      </c>
      <c r="J514" s="11">
        <v>0</v>
      </c>
      <c r="K514" s="11" t="s">
        <v>21</v>
      </c>
      <c r="L514" s="7">
        <v>42016.832812499997</v>
      </c>
      <c r="M514" s="12" t="s">
        <v>1229</v>
      </c>
      <c r="N514" s="12" t="s">
        <v>1230</v>
      </c>
      <c r="O514" s="10" t="str">
        <f>HYPERLINK("https://pbs.twimg.com/profile_images/666163579700277248/vIv69HhR_normal.jpg","View")</f>
        <v>View</v>
      </c>
      <c r="P514" s="11"/>
    </row>
    <row r="515" spans="1:16" ht="12.75" x14ac:dyDescent="0.35">
      <c r="A515" s="7">
        <v>42481.530231481476</v>
      </c>
      <c r="B515" s="8" t="str">
        <f>HYPERLINK("https://twitter.com/CarolineHydeTV","@CarolineHydeTV")</f>
        <v>@CarolineHydeTV</v>
      </c>
      <c r="C515" s="9" t="s">
        <v>1467</v>
      </c>
      <c r="D515" s="9" t="s">
        <v>1468</v>
      </c>
      <c r="E515" s="10" t="str">
        <f>HYPERLINK("https://twitter.com/CarolineHydeTV/status/723046999029780480","723046999029780480")</f>
        <v>723046999029780480</v>
      </c>
      <c r="F515" s="11" t="s">
        <v>43</v>
      </c>
      <c r="G515" s="11">
        <v>12404</v>
      </c>
      <c r="H515" s="11">
        <v>820</v>
      </c>
      <c r="I515" s="11">
        <v>0</v>
      </c>
      <c r="J515" s="11">
        <v>3</v>
      </c>
      <c r="K515" s="11" t="s">
        <v>21</v>
      </c>
      <c r="L515" s="7">
        <v>40840.424212962964</v>
      </c>
      <c r="M515" s="12" t="s">
        <v>638</v>
      </c>
      <c r="N515" s="12" t="s">
        <v>1469</v>
      </c>
      <c r="O515" s="10" t="str">
        <f>HYPERLINK("https://pbs.twimg.com/profile_images/2149695694/hyde_twitter_photo_version_2_normal.jpg","View")</f>
        <v>View</v>
      </c>
      <c r="P515" s="11"/>
    </row>
    <row r="516" spans="1:16" ht="12.75" x14ac:dyDescent="0.35">
      <c r="A516" s="7">
        <v>42481.53087962963</v>
      </c>
      <c r="B516" s="8" t="str">
        <f>HYPERLINK("https://twitter.com/MoneyguruGr","@MoneyguruGr")</f>
        <v>@MoneyguruGr</v>
      </c>
      <c r="C516" s="9" t="s">
        <v>1470</v>
      </c>
      <c r="D516" s="9" t="s">
        <v>1471</v>
      </c>
      <c r="E516" s="10" t="str">
        <f>HYPERLINK("https://twitter.com/MoneyguruGr/status/723047232929304576","723047232929304576")</f>
        <v>723047232929304576</v>
      </c>
      <c r="F516" s="11" t="s">
        <v>43</v>
      </c>
      <c r="G516" s="11">
        <v>30</v>
      </c>
      <c r="H516" s="11">
        <v>15</v>
      </c>
      <c r="I516" s="11">
        <v>0</v>
      </c>
      <c r="J516" s="11">
        <v>0</v>
      </c>
      <c r="K516" s="11" t="s">
        <v>21</v>
      </c>
      <c r="L516" s="7">
        <v>41548.524097222224</v>
      </c>
      <c r="M516" s="12"/>
      <c r="N516" s="12" t="s">
        <v>1472</v>
      </c>
      <c r="O516" s="10" t="str">
        <f>HYPERLINK("https://pbs.twimg.com/profile_images/378800000532695479/bc3f9d473554281643b5e76aa3306944_normal.jpeg","View")</f>
        <v>View</v>
      </c>
      <c r="P516" s="11"/>
    </row>
    <row r="517" spans="1:16" ht="12.75" x14ac:dyDescent="0.35">
      <c r="A517" s="7">
        <v>42481.53126157407</v>
      </c>
      <c r="B517" s="8" t="str">
        <f>HYPERLINK("https://twitter.com/NDRinfo","@NDRinfo")</f>
        <v>@NDRinfo</v>
      </c>
      <c r="C517" s="9" t="s">
        <v>1473</v>
      </c>
      <c r="D517" s="9" t="s">
        <v>1474</v>
      </c>
      <c r="E517" s="10" t="str">
        <f>HYPERLINK("https://twitter.com/NDRinfo/status/723047371077234688","723047371077234688")</f>
        <v>723047371077234688</v>
      </c>
      <c r="F517" s="11" t="s">
        <v>63</v>
      </c>
      <c r="G517" s="11">
        <v>5702</v>
      </c>
      <c r="H517" s="11">
        <v>137</v>
      </c>
      <c r="I517" s="11">
        <v>0</v>
      </c>
      <c r="J517" s="11">
        <v>0</v>
      </c>
      <c r="K517" s="11" t="s">
        <v>21</v>
      </c>
      <c r="L517" s="7">
        <v>41787.632754629631</v>
      </c>
      <c r="M517" s="12" t="s">
        <v>953</v>
      </c>
      <c r="N517" s="12" t="s">
        <v>1475</v>
      </c>
      <c r="O517" s="10" t="str">
        <f>HYPERLINK("https://pbs.twimg.com/profile_images/694104559229243392/gP-hYBim_normal.png","View")</f>
        <v>View</v>
      </c>
      <c r="P517" s="11"/>
    </row>
    <row r="518" spans="1:16" ht="12.75" x14ac:dyDescent="0.35">
      <c r="A518" s="7">
        <v>42481.531342592592</v>
      </c>
      <c r="B518" s="8" t="str">
        <f>HYPERLINK("https://twitter.com/dw_deutsch","@dw_deutsch")</f>
        <v>@dw_deutsch</v>
      </c>
      <c r="C518" s="9" t="s">
        <v>1476</v>
      </c>
      <c r="D518" s="9" t="s">
        <v>1477</v>
      </c>
      <c r="E518" s="10" t="str">
        <f>HYPERLINK("https://twitter.com/dw_deutsch/status/723047399631900672","723047399631900672")</f>
        <v>723047399631900672</v>
      </c>
      <c r="F518" s="11" t="s">
        <v>63</v>
      </c>
      <c r="G518" s="11">
        <v>46684</v>
      </c>
      <c r="H518" s="11">
        <v>279</v>
      </c>
      <c r="I518" s="11">
        <v>1</v>
      </c>
      <c r="J518" s="11">
        <v>2</v>
      </c>
      <c r="K518" s="11" t="s">
        <v>21</v>
      </c>
      <c r="L518" s="7">
        <v>39216.619826388887</v>
      </c>
      <c r="M518" s="12" t="s">
        <v>1303</v>
      </c>
      <c r="N518" s="12" t="s">
        <v>1478</v>
      </c>
      <c r="O518" s="10" t="str">
        <f>HYPERLINK("https://pbs.twimg.com/profile_images/461118397548212226/84PnzODQ_normal.png","View")</f>
        <v>View</v>
      </c>
      <c r="P518" s="11"/>
    </row>
    <row r="519" spans="1:16" ht="12.75" x14ac:dyDescent="0.35">
      <c r="A519" s="7">
        <v>42481.531863425931</v>
      </c>
      <c r="B519" s="8" t="str">
        <f>HYPERLINK("https://twitter.com/VeeDoubleMoo","@VeeDoubleMoo")</f>
        <v>@VeeDoubleMoo</v>
      </c>
      <c r="C519" s="9" t="s">
        <v>1479</v>
      </c>
      <c r="D519" s="9" t="s">
        <v>1480</v>
      </c>
      <c r="E519" s="10" t="str">
        <f>HYPERLINK("https://twitter.com/VeeDoubleMoo/status/723047588920975360","723047588920975360")</f>
        <v>723047588920975360</v>
      </c>
      <c r="F519" s="11" t="s">
        <v>48</v>
      </c>
      <c r="G519" s="11">
        <v>2713</v>
      </c>
      <c r="H519" s="11">
        <v>2071</v>
      </c>
      <c r="I519" s="11">
        <v>1</v>
      </c>
      <c r="J519" s="11">
        <v>7</v>
      </c>
      <c r="K519" s="11" t="s">
        <v>21</v>
      </c>
      <c r="L519" s="7">
        <v>40540.908460648148</v>
      </c>
      <c r="M519" s="12" t="s">
        <v>538</v>
      </c>
      <c r="N519" s="12" t="s">
        <v>1481</v>
      </c>
      <c r="O519" s="10" t="str">
        <f>HYPERLINK("https://pbs.twimg.com/profile_images/708599144546492416/bXlQViDS_normal.jpg","View")</f>
        <v>View</v>
      </c>
      <c r="P519" s="11"/>
    </row>
    <row r="520" spans="1:16" ht="12.75" x14ac:dyDescent="0.35">
      <c r="A520" s="7">
        <v>42481.532037037032</v>
      </c>
      <c r="B520" s="8" t="str">
        <f>HYPERLINK("https://twitter.com/BBoason","@BBoason")</f>
        <v>@BBoason</v>
      </c>
      <c r="C520" s="9" t="s">
        <v>1482</v>
      </c>
      <c r="D520" s="9" t="s">
        <v>1298</v>
      </c>
      <c r="E520" s="10" t="str">
        <f>HYPERLINK("https://twitter.com/BBoason/status/723047651843948545","723047651843948545")</f>
        <v>723047651843948545</v>
      </c>
      <c r="F520" s="11" t="s">
        <v>48</v>
      </c>
      <c r="G520" s="11">
        <v>4532</v>
      </c>
      <c r="H520" s="11">
        <v>447</v>
      </c>
      <c r="I520" s="11">
        <v>6</v>
      </c>
      <c r="J520" s="11">
        <v>0</v>
      </c>
      <c r="K520" s="11" t="s">
        <v>21</v>
      </c>
      <c r="L520" s="7">
        <v>40710.527314814812</v>
      </c>
      <c r="M520" s="12" t="s">
        <v>1483</v>
      </c>
      <c r="N520" s="12" t="s">
        <v>1484</v>
      </c>
      <c r="O520" s="10" t="str">
        <f>HYPERLINK("https://pbs.twimg.com/profile_images/690093754351489024/RHFZ8vSn_normal.jpg","View")</f>
        <v>View</v>
      </c>
      <c r="P520" s="11"/>
    </row>
    <row r="521" spans="1:16" ht="12.75" x14ac:dyDescent="0.35">
      <c r="A521" s="7">
        <v>42481.532268518524</v>
      </c>
      <c r="B521" s="8" t="str">
        <f>HYPERLINK("https://twitter.com/aktionaer","@aktionaer")</f>
        <v>@aktionaer</v>
      </c>
      <c r="C521" s="9" t="s">
        <v>1252</v>
      </c>
      <c r="D521" s="9" t="s">
        <v>1485</v>
      </c>
      <c r="E521" s="10" t="str">
        <f>HYPERLINK("https://twitter.com/aktionaer/status/723047737785118721","723047737785118721")</f>
        <v>723047737785118721</v>
      </c>
      <c r="F521" s="11" t="s">
        <v>43</v>
      </c>
      <c r="G521" s="11">
        <v>4631</v>
      </c>
      <c r="H521" s="11">
        <v>1111</v>
      </c>
      <c r="I521" s="11">
        <v>0</v>
      </c>
      <c r="J521" s="11">
        <v>0</v>
      </c>
      <c r="K521" s="11" t="s">
        <v>21</v>
      </c>
      <c r="L521" s="7">
        <v>39844.695729166662</v>
      </c>
      <c r="M521" s="12" t="s">
        <v>1254</v>
      </c>
      <c r="N521" s="12" t="s">
        <v>1255</v>
      </c>
      <c r="O521" s="10" t="str">
        <f>HYPERLINK("https://pbs.twimg.com/profile_images/679552623641509888/_vPw9IS2_normal.png","View")</f>
        <v>View</v>
      </c>
      <c r="P521" s="11"/>
    </row>
    <row r="522" spans="1:16" ht="12.75" x14ac:dyDescent="0.35">
      <c r="A522" s="7">
        <v>42481.53429398148</v>
      </c>
      <c r="B522" s="8" t="str">
        <f>HYPERLINK("https://twitter.com/bigphilgj","@bigphilgj")</f>
        <v>@bigphilgj</v>
      </c>
      <c r="C522" s="9" t="s">
        <v>1486</v>
      </c>
      <c r="D522" s="9" t="s">
        <v>1429</v>
      </c>
      <c r="E522" s="10" t="str">
        <f>HYPERLINK("https://twitter.com/bigphilgj/status/723048470391754752","723048470391754752")</f>
        <v>723048470391754752</v>
      </c>
      <c r="F522" s="11" t="s">
        <v>91</v>
      </c>
      <c r="G522" s="11">
        <v>612</v>
      </c>
      <c r="H522" s="11">
        <v>623</v>
      </c>
      <c r="I522" s="11">
        <v>13</v>
      </c>
      <c r="J522" s="11">
        <v>0</v>
      </c>
      <c r="K522" s="11" t="s">
        <v>21</v>
      </c>
      <c r="L522" s="7">
        <v>40299.773043981484</v>
      </c>
      <c r="M522" s="12" t="s">
        <v>1487</v>
      </c>
      <c r="N522" s="12" t="s">
        <v>1488</v>
      </c>
      <c r="O522" s="10" t="str">
        <f>HYPERLINK("https://pbs.twimg.com/profile_images/428501531046866944/o0SmDeTr_normal.jpeg","View")</f>
        <v>View</v>
      </c>
      <c r="P522" s="11"/>
    </row>
    <row r="523" spans="1:16" ht="12.75" x14ac:dyDescent="0.35">
      <c r="A523" s="7">
        <v>42481.534386574072</v>
      </c>
      <c r="B523" s="8" t="str">
        <f>HYPERLINK("https://twitter.com/cleantechken","@cleantechken")</f>
        <v>@cleantechken</v>
      </c>
      <c r="C523" s="9" t="s">
        <v>1390</v>
      </c>
      <c r="D523" s="9" t="s">
        <v>1489</v>
      </c>
      <c r="E523" s="10" t="str">
        <f>HYPERLINK("https://twitter.com/cleantechken/status/723048503858085888","723048503858085888")</f>
        <v>723048503858085888</v>
      </c>
      <c r="F523" s="11" t="s">
        <v>20</v>
      </c>
      <c r="G523" s="11">
        <v>5655</v>
      </c>
      <c r="H523" s="11">
        <v>6212</v>
      </c>
      <c r="I523" s="11">
        <v>3</v>
      </c>
      <c r="J523" s="11">
        <v>1</v>
      </c>
      <c r="K523" s="11" t="s">
        <v>21</v>
      </c>
      <c r="L523" s="7">
        <v>40637.256944444445</v>
      </c>
      <c r="M523" s="12" t="s">
        <v>1391</v>
      </c>
      <c r="N523" s="12" t="s">
        <v>1392</v>
      </c>
      <c r="O523" s="10" t="str">
        <f>HYPERLINK("https://pbs.twimg.com/profile_images/1303110064/ken_crop_normal.jpg","View")</f>
        <v>View</v>
      </c>
      <c r="P523" s="11"/>
    </row>
    <row r="524" spans="1:16" ht="12.75" x14ac:dyDescent="0.35">
      <c r="A524" s="7">
        <v>42481.534733796296</v>
      </c>
      <c r="B524" s="8" t="str">
        <f>HYPERLINK("https://twitter.com/JezMans","@JezMans")</f>
        <v>@JezMans</v>
      </c>
      <c r="C524" s="9" t="s">
        <v>1490</v>
      </c>
      <c r="D524" s="9" t="s">
        <v>1491</v>
      </c>
      <c r="E524" s="10" t="str">
        <f>HYPERLINK("https://twitter.com/JezMans/status/723048628105912320","723048628105912320")</f>
        <v>723048628105912320</v>
      </c>
      <c r="F524" s="11" t="s">
        <v>80</v>
      </c>
      <c r="G524" s="11">
        <v>3781</v>
      </c>
      <c r="H524" s="11">
        <v>4236</v>
      </c>
      <c r="I524" s="11">
        <v>0</v>
      </c>
      <c r="J524" s="11">
        <v>0</v>
      </c>
      <c r="K524" s="11" t="s">
        <v>21</v>
      </c>
      <c r="L524" s="7">
        <v>40405.579467592594</v>
      </c>
      <c r="M524" s="12" t="s">
        <v>1492</v>
      </c>
      <c r="N524" s="12" t="s">
        <v>1493</v>
      </c>
      <c r="O524" s="10" t="str">
        <f>HYPERLINK("https://pbs.twimg.com/profile_images/712364651837857792/FZ-qlJ-9_normal.jpg","View")</f>
        <v>View</v>
      </c>
      <c r="P524" s="11"/>
    </row>
    <row r="525" spans="1:16" ht="12.75" x14ac:dyDescent="0.35">
      <c r="A525" s="7">
        <v>42481.534791666665</v>
      </c>
      <c r="B525" s="8" t="str">
        <f>HYPERLINK("https://twitter.com/beuc","@beuc")</f>
        <v>@beuc</v>
      </c>
      <c r="C525" s="9" t="s">
        <v>1494</v>
      </c>
      <c r="D525" s="9" t="s">
        <v>1429</v>
      </c>
      <c r="E525" s="10" t="str">
        <f>HYPERLINK("https://twitter.com/beuc/status/723048652026056704","723048652026056704")</f>
        <v>723048652026056704</v>
      </c>
      <c r="F525" s="11" t="s">
        <v>63</v>
      </c>
      <c r="G525" s="11">
        <v>5770</v>
      </c>
      <c r="H525" s="11">
        <v>901</v>
      </c>
      <c r="I525" s="11">
        <v>13</v>
      </c>
      <c r="J525" s="11">
        <v>0</v>
      </c>
      <c r="K525" s="11" t="s">
        <v>21</v>
      </c>
      <c r="L525" s="7">
        <v>40555.678495370368</v>
      </c>
      <c r="M525" s="12" t="s">
        <v>1495</v>
      </c>
      <c r="N525" s="12" t="s">
        <v>1496</v>
      </c>
      <c r="O525" s="10" t="str">
        <f>HYPERLINK("https://pbs.twimg.com/profile_images/1749790667/twitter_normal.jpg","View")</f>
        <v>View</v>
      </c>
      <c r="P525" s="11"/>
    </row>
    <row r="526" spans="1:16" ht="12.75" x14ac:dyDescent="0.35">
      <c r="A526" s="7">
        <v>42481.534942129627</v>
      </c>
      <c r="B526" s="8" t="str">
        <f>HYPERLINK("https://twitter.com/alex_pegg","@alex_pegg")</f>
        <v>@alex_pegg</v>
      </c>
      <c r="C526" s="9" t="s">
        <v>1497</v>
      </c>
      <c r="D526" s="9" t="s">
        <v>1498</v>
      </c>
      <c r="E526" s="10" t="str">
        <f>HYPERLINK("https://twitter.com/alex_pegg/status/723048705264357376","723048705264357376")</f>
        <v>723048705264357376</v>
      </c>
      <c r="F526" s="11" t="s">
        <v>152</v>
      </c>
      <c r="G526" s="11">
        <v>293</v>
      </c>
      <c r="H526" s="11">
        <v>241</v>
      </c>
      <c r="I526" s="11">
        <v>0</v>
      </c>
      <c r="J526" s="11">
        <v>0</v>
      </c>
      <c r="K526" s="11" t="s">
        <v>21</v>
      </c>
      <c r="L526" s="7">
        <v>40883.628495370373</v>
      </c>
      <c r="M526" s="12" t="s">
        <v>1499</v>
      </c>
      <c r="N526" s="12" t="s">
        <v>1500</v>
      </c>
      <c r="O526" s="10" t="str">
        <f>HYPERLINK("https://pbs.twimg.com/profile_images/670347577980751872/zCb6hc7V_normal.jpg","View")</f>
        <v>View</v>
      </c>
      <c r="P526" s="11"/>
    </row>
    <row r="527" spans="1:16" ht="12.75" x14ac:dyDescent="0.35">
      <c r="A527" s="7">
        <v>42481.535162037035</v>
      </c>
      <c r="B527" s="8" t="str">
        <f>HYPERLINK("https://twitter.com/JulieTestAchats","@JulieTestAchats")</f>
        <v>@JulieTestAchats</v>
      </c>
      <c r="C527" s="9" t="s">
        <v>1501</v>
      </c>
      <c r="D527" s="9" t="s">
        <v>1429</v>
      </c>
      <c r="E527" s="10" t="str">
        <f>HYPERLINK("https://twitter.com/JulieTestAchats/status/723048782515081216","723048782515081216")</f>
        <v>723048782515081216</v>
      </c>
      <c r="F527" s="11" t="s">
        <v>48</v>
      </c>
      <c r="G527" s="11">
        <v>1433</v>
      </c>
      <c r="H527" s="11">
        <v>844</v>
      </c>
      <c r="I527" s="11">
        <v>13</v>
      </c>
      <c r="J527" s="11">
        <v>0</v>
      </c>
      <c r="K527" s="11" t="s">
        <v>21</v>
      </c>
      <c r="L527" s="7">
        <v>41677.662731481483</v>
      </c>
      <c r="M527" s="12" t="s">
        <v>980</v>
      </c>
      <c r="N527" s="12" t="s">
        <v>1502</v>
      </c>
      <c r="O527" s="10" t="str">
        <f>HYPERLINK("https://pbs.twimg.com/profile_images/674233130828468224/KRUDL_tK_normal.jpg","View")</f>
        <v>View</v>
      </c>
      <c r="P527" s="11"/>
    </row>
    <row r="528" spans="1:16" ht="12.75" x14ac:dyDescent="0.35">
      <c r="A528" s="7">
        <v>42481.53534722222</v>
      </c>
      <c r="B528" s="8" t="str">
        <f>HYPERLINK("https://twitter.com/MarkPlackett1","@MarkPlackett1")</f>
        <v>@MarkPlackett1</v>
      </c>
      <c r="C528" s="9" t="s">
        <v>1503</v>
      </c>
      <c r="D528" s="9" t="s">
        <v>1429</v>
      </c>
      <c r="E528" s="10" t="str">
        <f>HYPERLINK("https://twitter.com/MarkPlackett1/status/723048850684964864","723048850684964864")</f>
        <v>723048850684964864</v>
      </c>
      <c r="F528" s="11" t="s">
        <v>48</v>
      </c>
      <c r="G528" s="11">
        <v>2457</v>
      </c>
      <c r="H528" s="11">
        <v>2261</v>
      </c>
      <c r="I528" s="11">
        <v>13</v>
      </c>
      <c r="J528" s="11">
        <v>0</v>
      </c>
      <c r="K528" s="11" t="s">
        <v>21</v>
      </c>
      <c r="L528" s="7">
        <v>41464.494618055556</v>
      </c>
      <c r="M528" s="12"/>
      <c r="N528" s="12" t="s">
        <v>1504</v>
      </c>
      <c r="O528" s="10" t="str">
        <f>HYPERLINK("https://pbs.twimg.com/profile_images/378800000145293528/2e1ca65f88bf272a2c3cbd223ffb91bc_normal.jpeg","View")</f>
        <v>View</v>
      </c>
      <c r="P528" s="11"/>
    </row>
    <row r="529" spans="1:16" ht="12.75" x14ac:dyDescent="0.35">
      <c r="A529" s="7">
        <v>42481.535405092596</v>
      </c>
      <c r="B529" s="8" t="str">
        <f>HYPERLINK("https://twitter.com/MrConso","@MrConso")</f>
        <v>@MrConso</v>
      </c>
      <c r="C529" s="9" t="s">
        <v>1505</v>
      </c>
      <c r="D529" s="9" t="s">
        <v>1429</v>
      </c>
      <c r="E529" s="10" t="str">
        <f>HYPERLINK("https://twitter.com/MrConso/status/723048873854382084","723048873854382084")</f>
        <v>723048873854382084</v>
      </c>
      <c r="F529" s="11" t="s">
        <v>48</v>
      </c>
      <c r="G529" s="11">
        <v>4399</v>
      </c>
      <c r="H529" s="11">
        <v>1300</v>
      </c>
      <c r="I529" s="11">
        <v>13</v>
      </c>
      <c r="J529" s="11">
        <v>0</v>
      </c>
      <c r="K529" s="11" t="s">
        <v>21</v>
      </c>
      <c r="L529" s="7">
        <v>40141.917546296296</v>
      </c>
      <c r="M529" s="12" t="s">
        <v>1506</v>
      </c>
      <c r="N529" s="12" t="s">
        <v>1507</v>
      </c>
      <c r="O529" s="10" t="str">
        <f>HYPERLINK("https://pbs.twimg.com/profile_images/722773279921041409/jcBYmqDu_normal.jpg","View")</f>
        <v>View</v>
      </c>
      <c r="P529" s="11"/>
    </row>
    <row r="530" spans="1:16" ht="12.75" x14ac:dyDescent="0.35">
      <c r="A530" s="7">
        <v>42481.535648148143</v>
      </c>
      <c r="B530" s="8" t="str">
        <f>HYPERLINK("https://twitter.com/SNovember_TA","@SNovember_TA")</f>
        <v>@SNovember_TA</v>
      </c>
      <c r="C530" s="9" t="s">
        <v>1508</v>
      </c>
      <c r="D530" s="9" t="s">
        <v>1429</v>
      </c>
      <c r="E530" s="10" t="str">
        <f>HYPERLINK("https://twitter.com/SNovember_TA/status/723048959816663040","723048959816663040")</f>
        <v>723048959816663040</v>
      </c>
      <c r="F530" s="11" t="s">
        <v>48</v>
      </c>
      <c r="G530" s="11">
        <v>306</v>
      </c>
      <c r="H530" s="11">
        <v>665</v>
      </c>
      <c r="I530" s="11">
        <v>13</v>
      </c>
      <c r="J530" s="11">
        <v>0</v>
      </c>
      <c r="K530" s="11" t="s">
        <v>21</v>
      </c>
      <c r="L530" s="7">
        <v>42187.016956018517</v>
      </c>
      <c r="M530" s="12" t="s">
        <v>1509</v>
      </c>
      <c r="N530" s="12" t="s">
        <v>1510</v>
      </c>
      <c r="O530" s="10" t="str">
        <f>HYPERLINK("https://pbs.twimg.com/profile_images/641589533696491520/z_Rxec7o_normal.jpg","View")</f>
        <v>View</v>
      </c>
      <c r="P530" s="11"/>
    </row>
    <row r="531" spans="1:16" ht="12.75" x14ac:dyDescent="0.35">
      <c r="A531" s="7">
        <v>42481.536134259259</v>
      </c>
      <c r="B531" s="8" t="str">
        <f>HYPERLINK("https://twitter.com/Drey_VH","@Drey_VH")</f>
        <v>@Drey_VH</v>
      </c>
      <c r="C531" s="9" t="s">
        <v>1511</v>
      </c>
      <c r="D531" s="9" t="s">
        <v>1429</v>
      </c>
      <c r="E531" s="10" t="str">
        <f>HYPERLINK("https://twitter.com/Drey_VH/status/723049137638350848","723049137638350848")</f>
        <v>723049137638350848</v>
      </c>
      <c r="F531" s="11" t="s">
        <v>20</v>
      </c>
      <c r="G531" s="11">
        <v>38</v>
      </c>
      <c r="H531" s="11">
        <v>85</v>
      </c>
      <c r="I531" s="11">
        <v>13</v>
      </c>
      <c r="J531" s="11">
        <v>0</v>
      </c>
      <c r="K531" s="11" t="s">
        <v>21</v>
      </c>
      <c r="L531" s="7">
        <v>41219.120567129634</v>
      </c>
      <c r="M531" s="12"/>
      <c r="N531" s="12" t="s">
        <v>1512</v>
      </c>
      <c r="O531" s="10" t="str">
        <f>HYPERLINK("https://pbs.twimg.com/profile_images/688412401667035136/gvoxnxoc_normal.jpg","View")</f>
        <v>View</v>
      </c>
      <c r="P531" s="11"/>
    </row>
    <row r="532" spans="1:16" ht="12.75" x14ac:dyDescent="0.35">
      <c r="A532" s="7">
        <v>42481.53706018519</v>
      </c>
      <c r="B532" s="8" t="str">
        <f>HYPERLINK("https://twitter.com/E_Analytics","@E_Analytics")</f>
        <v>@E_Analytics</v>
      </c>
      <c r="C532" s="9" t="s">
        <v>1513</v>
      </c>
      <c r="D532" s="9" t="s">
        <v>1514</v>
      </c>
      <c r="E532" s="10" t="str">
        <f>HYPERLINK("https://twitter.com/E_Analytics/status/723049471421087744","723049471421087744")</f>
        <v>723049471421087744</v>
      </c>
      <c r="F532" s="11" t="s">
        <v>20</v>
      </c>
      <c r="G532" s="11">
        <v>536</v>
      </c>
      <c r="H532" s="11">
        <v>352</v>
      </c>
      <c r="I532" s="11">
        <v>3</v>
      </c>
      <c r="J532" s="11">
        <v>0</v>
      </c>
      <c r="K532" s="11" t="s">
        <v>21</v>
      </c>
      <c r="L532" s="7">
        <v>40826.790613425925</v>
      </c>
      <c r="M532" s="12" t="s">
        <v>1515</v>
      </c>
      <c r="N532" s="12" t="s">
        <v>1516</v>
      </c>
      <c r="O532" s="10" t="str">
        <f>HYPERLINK("https://pbs.twimg.com/profile_images/3208156993/90e308e22dcfd4f3fdd3c6a20cae68f9_normal.png","View")</f>
        <v>View</v>
      </c>
      <c r="P532" s="11"/>
    </row>
    <row r="533" spans="1:16" ht="12.75" x14ac:dyDescent="0.35">
      <c r="A533" s="7">
        <v>42481.537106481483</v>
      </c>
      <c r="B533" s="8" t="str">
        <f>HYPERLINK("https://twitter.com/Drey_VH","@Drey_VH")</f>
        <v>@Drey_VH</v>
      </c>
      <c r="C533" s="9" t="s">
        <v>1511</v>
      </c>
      <c r="D533" s="9" t="s">
        <v>1151</v>
      </c>
      <c r="E533" s="10" t="str">
        <f>HYPERLINK("https://twitter.com/Drey_VH/status/723049491234979840","723049491234979840")</f>
        <v>723049491234979840</v>
      </c>
      <c r="F533" s="11" t="s">
        <v>20</v>
      </c>
      <c r="G533" s="11">
        <v>38</v>
      </c>
      <c r="H533" s="11">
        <v>85</v>
      </c>
      <c r="I533" s="11">
        <v>7</v>
      </c>
      <c r="J533" s="11">
        <v>0</v>
      </c>
      <c r="K533" s="11" t="s">
        <v>21</v>
      </c>
      <c r="L533" s="7">
        <v>41219.120567129634</v>
      </c>
      <c r="M533" s="12"/>
      <c r="N533" s="12" t="s">
        <v>1512</v>
      </c>
      <c r="O533" s="10" t="str">
        <f>HYPERLINK("https://pbs.twimg.com/profile_images/688412401667035136/gvoxnxoc_normal.jpg","View")</f>
        <v>View</v>
      </c>
      <c r="P533" s="11"/>
    </row>
    <row r="534" spans="1:16" ht="12.75" x14ac:dyDescent="0.35">
      <c r="A534" s="7">
        <v>42481.537245370375</v>
      </c>
      <c r="B534" s="8" t="str">
        <f>HYPERLINK("https://twitter.com/DammoPhotograph","@DammoPhotograph")</f>
        <v>@DammoPhotograph</v>
      </c>
      <c r="C534" s="9" t="s">
        <v>1517</v>
      </c>
      <c r="D534" s="9" t="s">
        <v>1518</v>
      </c>
      <c r="E534" s="10" t="str">
        <f>HYPERLINK("https://twitter.com/DammoPhotograph/status/723049539758751744","723049539758751744")</f>
        <v>723049539758751744</v>
      </c>
      <c r="F534" s="11" t="s">
        <v>43</v>
      </c>
      <c r="G534" s="11">
        <v>489</v>
      </c>
      <c r="H534" s="11">
        <v>1061</v>
      </c>
      <c r="I534" s="11">
        <v>2</v>
      </c>
      <c r="J534" s="11">
        <v>3</v>
      </c>
      <c r="K534" s="11" t="s">
        <v>21</v>
      </c>
      <c r="L534" s="7">
        <v>41404.093761574077</v>
      </c>
      <c r="M534" s="12" t="s">
        <v>1519</v>
      </c>
      <c r="N534" s="12" t="s">
        <v>1520</v>
      </c>
      <c r="O534" s="10" t="str">
        <f>HYPERLINK("https://pbs.twimg.com/profile_images/3637114988/814547479e176ca9b59f1fb8f90c6f38_normal.jpeg","View")</f>
        <v>View</v>
      </c>
      <c r="P534" s="11"/>
    </row>
    <row r="535" spans="1:16" ht="12.75" x14ac:dyDescent="0.35">
      <c r="A535" s="7">
        <v>42481.537465277783</v>
      </c>
      <c r="B535" s="8" t="str">
        <f>HYPERLINK("https://twitter.com/MoneyguruGr","@MoneyguruGr")</f>
        <v>@MoneyguruGr</v>
      </c>
      <c r="C535" s="9" t="s">
        <v>1470</v>
      </c>
      <c r="D535" s="9" t="s">
        <v>1521</v>
      </c>
      <c r="E535" s="10" t="str">
        <f>HYPERLINK("https://twitter.com/MoneyguruGr/status/723049620750798849","723049620750798849")</f>
        <v>723049620750798849</v>
      </c>
      <c r="F535" s="11" t="s">
        <v>43</v>
      </c>
      <c r="G535" s="11">
        <v>30</v>
      </c>
      <c r="H535" s="11">
        <v>15</v>
      </c>
      <c r="I535" s="11">
        <v>0</v>
      </c>
      <c r="J535" s="11">
        <v>0</v>
      </c>
      <c r="K535" s="11" t="s">
        <v>21</v>
      </c>
      <c r="L535" s="7">
        <v>41548.524097222224</v>
      </c>
      <c r="M535" s="12"/>
      <c r="N535" s="12" t="s">
        <v>1472</v>
      </c>
      <c r="O535" s="10" t="str">
        <f>HYPERLINK("https://pbs.twimg.com/profile_images/378800000532695479/bc3f9d473554281643b5e76aa3306944_normal.jpeg","View")</f>
        <v>View</v>
      </c>
      <c r="P535" s="11"/>
    </row>
    <row r="536" spans="1:16" ht="12.75" x14ac:dyDescent="0.35">
      <c r="A536" s="7">
        <v>42481.53842592593</v>
      </c>
      <c r="B536" s="8" t="str">
        <f>HYPERLINK("https://twitter.com/adlitammm","@adlitammm")</f>
        <v>@adlitammm</v>
      </c>
      <c r="C536" s="9" t="s">
        <v>1522</v>
      </c>
      <c r="D536" s="9" t="s">
        <v>1523</v>
      </c>
      <c r="E536" s="10" t="str">
        <f>HYPERLINK("https://twitter.com/adlitammm/status/723049967145766912","723049967145766912")</f>
        <v>723049967145766912</v>
      </c>
      <c r="F536" s="11" t="s">
        <v>48</v>
      </c>
      <c r="G536" s="11">
        <v>1490</v>
      </c>
      <c r="H536" s="11">
        <v>2262</v>
      </c>
      <c r="I536" s="11">
        <v>0</v>
      </c>
      <c r="J536" s="11">
        <v>0</v>
      </c>
      <c r="K536" s="11" t="s">
        <v>21</v>
      </c>
      <c r="L536" s="7">
        <v>40554.403692129628</v>
      </c>
      <c r="M536" s="12" t="s">
        <v>1524</v>
      </c>
      <c r="N536" s="12" t="s">
        <v>1525</v>
      </c>
      <c r="O536" s="10" t="str">
        <f>HYPERLINK("https://pbs.twimg.com/profile_images/709223273599381504/k54xhvFc_normal.jpg","View")</f>
        <v>View</v>
      </c>
      <c r="P536" s="11"/>
    </row>
    <row r="537" spans="1:16" ht="12.75" x14ac:dyDescent="0.35">
      <c r="A537" s="7">
        <v>42481.538518518515</v>
      </c>
      <c r="B537" s="8" t="str">
        <f>HYPERLINK("https://twitter.com/MarkPlackett1","@MarkPlackett1")</f>
        <v>@MarkPlackett1</v>
      </c>
      <c r="C537" s="9" t="s">
        <v>1503</v>
      </c>
      <c r="D537" s="9" t="s">
        <v>1514</v>
      </c>
      <c r="E537" s="10" t="str">
        <f>HYPERLINK("https://twitter.com/MarkPlackett1/status/723050002868654080","723050002868654080")</f>
        <v>723050002868654080</v>
      </c>
      <c r="F537" s="11" t="s">
        <v>48</v>
      </c>
      <c r="G537" s="11">
        <v>2457</v>
      </c>
      <c r="H537" s="11">
        <v>2261</v>
      </c>
      <c r="I537" s="11">
        <v>3</v>
      </c>
      <c r="J537" s="11">
        <v>0</v>
      </c>
      <c r="K537" s="11" t="s">
        <v>21</v>
      </c>
      <c r="L537" s="7">
        <v>41464.494618055556</v>
      </c>
      <c r="M537" s="12"/>
      <c r="N537" s="12" t="s">
        <v>1504</v>
      </c>
      <c r="O537" s="10" t="str">
        <f>HYPERLINK("https://pbs.twimg.com/profile_images/378800000145293528/2e1ca65f88bf272a2c3cbd223ffb91bc_normal.jpeg","View")</f>
        <v>View</v>
      </c>
      <c r="P537" s="11"/>
    </row>
    <row r="538" spans="1:16" ht="12.75" x14ac:dyDescent="0.35">
      <c r="A538" s="7">
        <v>42481.5393287037</v>
      </c>
      <c r="B538" s="8" t="str">
        <f>HYPERLINK("https://twitter.com/Rauwald","@Rauwald")</f>
        <v>@Rauwald</v>
      </c>
      <c r="C538" s="9" t="s">
        <v>1526</v>
      </c>
      <c r="D538" s="9" t="s">
        <v>1527</v>
      </c>
      <c r="E538" s="10" t="str">
        <f>HYPERLINK("https://twitter.com/Rauwald/status/723050294821683200","723050294821683200")</f>
        <v>723050294821683200</v>
      </c>
      <c r="F538" s="11" t="s">
        <v>48</v>
      </c>
      <c r="G538" s="11">
        <v>805</v>
      </c>
      <c r="H538" s="11">
        <v>878</v>
      </c>
      <c r="I538" s="11">
        <v>1</v>
      </c>
      <c r="J538" s="11">
        <v>0</v>
      </c>
      <c r="K538" s="11" t="s">
        <v>21</v>
      </c>
      <c r="L538" s="7">
        <v>39888.629837962959</v>
      </c>
      <c r="M538" s="12" t="s">
        <v>1229</v>
      </c>
      <c r="N538" s="12" t="s">
        <v>1528</v>
      </c>
      <c r="O538" s="10" t="str">
        <f>HYPERLINK("https://pbs.twimg.com/profile_images/583625441010790402/DeDv5EpS_normal.jpg","View")</f>
        <v>View</v>
      </c>
      <c r="P538" s="11"/>
    </row>
    <row r="539" spans="1:16" ht="12.75" x14ac:dyDescent="0.35">
      <c r="A539" s="7">
        <v>42481.539571759262</v>
      </c>
      <c r="B539" s="8" t="str">
        <f>HYPERLINK("https://twitter.com/ratemycamper","@ratemycamper")</f>
        <v>@ratemycamper</v>
      </c>
      <c r="C539" s="9" t="s">
        <v>1529</v>
      </c>
      <c r="D539" s="9" t="s">
        <v>1530</v>
      </c>
      <c r="E539" s="10" t="str">
        <f>HYPERLINK("https://twitter.com/ratemycamper/status/723050382113529856","723050382113529856")</f>
        <v>723050382113529856</v>
      </c>
      <c r="F539" s="11" t="s">
        <v>20</v>
      </c>
      <c r="G539" s="11">
        <v>166</v>
      </c>
      <c r="H539" s="11">
        <v>1991</v>
      </c>
      <c r="I539" s="11">
        <v>0</v>
      </c>
      <c r="J539" s="11">
        <v>1</v>
      </c>
      <c r="K539" s="11" t="s">
        <v>21</v>
      </c>
      <c r="L539" s="7">
        <v>42387.075486111113</v>
      </c>
      <c r="M539" s="12" t="s">
        <v>1129</v>
      </c>
      <c r="N539" s="12" t="s">
        <v>1531</v>
      </c>
      <c r="O539" s="10" t="str">
        <f>HYPERLINK("https://pbs.twimg.com/profile_images/710929065939755009/-Rgs_z20_normal.jpg","View")</f>
        <v>View</v>
      </c>
      <c r="P539" s="11"/>
    </row>
    <row r="540" spans="1:16" ht="12.75" x14ac:dyDescent="0.35">
      <c r="A540" s="7">
        <v>42481.539594907408</v>
      </c>
      <c r="B540" s="8" t="str">
        <f>HYPERLINK("https://twitter.com/Gavlarr78","@Gavlarr78")</f>
        <v>@Gavlarr78</v>
      </c>
      <c r="C540" s="9" t="s">
        <v>1532</v>
      </c>
      <c r="D540" s="9" t="s">
        <v>1533</v>
      </c>
      <c r="E540" s="10" t="str">
        <f>HYPERLINK("https://twitter.com/Gavlarr78/status/723050390003023872","723050390003023872")</f>
        <v>723050390003023872</v>
      </c>
      <c r="F540" s="11" t="s">
        <v>20</v>
      </c>
      <c r="G540" s="11">
        <v>49</v>
      </c>
      <c r="H540" s="11">
        <v>247</v>
      </c>
      <c r="I540" s="11">
        <v>0</v>
      </c>
      <c r="J540" s="11">
        <v>0</v>
      </c>
      <c r="K540" s="11" t="s">
        <v>21</v>
      </c>
      <c r="L540" s="7">
        <v>41113.052662037036</v>
      </c>
      <c r="M540" s="12" t="s">
        <v>1534</v>
      </c>
      <c r="N540" s="12" t="s">
        <v>1535</v>
      </c>
      <c r="O540" s="10" t="str">
        <f>HYPERLINK("https://pbs.twimg.com/profile_images/709097571046854656/IwOIbe2__normal.jpg","View")</f>
        <v>View</v>
      </c>
      <c r="P540" s="11"/>
    </row>
    <row r="541" spans="1:16" ht="12.75" x14ac:dyDescent="0.35">
      <c r="A541" s="7">
        <v>42481.540277777778</v>
      </c>
      <c r="B541" s="8" t="str">
        <f>HYPERLINK("https://twitter.com/Insta_VWT","@Insta_VWT")</f>
        <v>@Insta_VWT</v>
      </c>
      <c r="C541" s="9" t="s">
        <v>181</v>
      </c>
      <c r="D541" s="9" t="s">
        <v>1536</v>
      </c>
      <c r="E541" s="10" t="str">
        <f>HYPERLINK("https://twitter.com/Insta_VWT/status/723050636724592641","723050636724592641")</f>
        <v>723050636724592641</v>
      </c>
      <c r="F541" s="11" t="s">
        <v>68</v>
      </c>
      <c r="G541" s="11">
        <v>480</v>
      </c>
      <c r="H541" s="11">
        <v>0</v>
      </c>
      <c r="I541" s="11">
        <v>0</v>
      </c>
      <c r="J541" s="11">
        <v>0</v>
      </c>
      <c r="K541" s="11" t="s">
        <v>21</v>
      </c>
      <c r="L541" s="7">
        <v>41658.782800925925</v>
      </c>
      <c r="M541" s="12" t="s">
        <v>183</v>
      </c>
      <c r="N541" s="12" t="s">
        <v>184</v>
      </c>
      <c r="O541" s="10" t="str">
        <f>HYPERLINK("https://pbs.twimg.com/profile_images/424893967197433858/iQ86NktX_normal.jpeg","View")</f>
        <v>View</v>
      </c>
      <c r="P541" s="11"/>
    </row>
    <row r="542" spans="1:16" ht="12.75" x14ac:dyDescent="0.35">
      <c r="A542" s="7">
        <v>42481.540659722217</v>
      </c>
      <c r="B542" s="8" t="str">
        <f>HYPERLINK("https://twitter.com/VeeDubMk1_","@VeeDubMk1_")</f>
        <v>@VeeDubMk1_</v>
      </c>
      <c r="C542" s="9" t="s">
        <v>185</v>
      </c>
      <c r="D542" s="9" t="s">
        <v>1537</v>
      </c>
      <c r="E542" s="10" t="str">
        <f>HYPERLINK("https://twitter.com/VeeDubMk1_/status/723050776222916608","723050776222916608")</f>
        <v>723050776222916608</v>
      </c>
      <c r="F542" s="11" t="s">
        <v>68</v>
      </c>
      <c r="G542" s="11">
        <v>545</v>
      </c>
      <c r="H542" s="11">
        <v>3527</v>
      </c>
      <c r="I542" s="11">
        <v>0</v>
      </c>
      <c r="J542" s="11">
        <v>0</v>
      </c>
      <c r="K542" s="11" t="s">
        <v>21</v>
      </c>
      <c r="L542" s="7">
        <v>42343.063356481478</v>
      </c>
      <c r="M542" s="12"/>
      <c r="N542" s="12"/>
      <c r="O542" s="10" t="str">
        <f>HYPERLINK("https://pbs.twimg.com/profile_images/672878354127839232/M7OYc-zx_normal.jpg","View")</f>
        <v>View</v>
      </c>
      <c r="P542" s="11"/>
    </row>
    <row r="543" spans="1:16" ht="12.75" x14ac:dyDescent="0.35">
      <c r="A543" s="7">
        <v>42481.540879629625</v>
      </c>
      <c r="B543" s="8" t="str">
        <f>HYPERLINK("https://twitter.com/RadoVon","@RadoVon")</f>
        <v>@RadoVon</v>
      </c>
      <c r="C543" s="9" t="s">
        <v>1538</v>
      </c>
      <c r="D543" s="9" t="s">
        <v>785</v>
      </c>
      <c r="E543" s="10" t="str">
        <f>HYPERLINK("https://twitter.com/RadoVon/status/723050854513668096","723050854513668096")</f>
        <v>723050854513668096</v>
      </c>
      <c r="F543" s="11" t="s">
        <v>43</v>
      </c>
      <c r="G543" s="11">
        <v>1473</v>
      </c>
      <c r="H543" s="11">
        <v>2615</v>
      </c>
      <c r="I543" s="11">
        <v>6</v>
      </c>
      <c r="J543" s="11">
        <v>0</v>
      </c>
      <c r="K543" s="11" t="s">
        <v>21</v>
      </c>
      <c r="L543" s="7">
        <v>41776.950046296297</v>
      </c>
      <c r="M543" s="12"/>
      <c r="N543" s="12" t="s">
        <v>1539</v>
      </c>
      <c r="O543" s="10" t="str">
        <f>HYPERLINK("https://pbs.twimg.com/profile_images/678698246538047488/E18o9a3f_normal.jpg","View")</f>
        <v>View</v>
      </c>
      <c r="P543" s="11"/>
    </row>
    <row r="544" spans="1:16" ht="12.75" x14ac:dyDescent="0.35">
      <c r="A544" s="7">
        <v>42481.541689814811</v>
      </c>
      <c r="B544" s="8" t="str">
        <f>HYPERLINK("https://twitter.com/BintaBalinda","@BintaBalinda")</f>
        <v>@BintaBalinda</v>
      </c>
      <c r="C544" s="9" t="s">
        <v>1540</v>
      </c>
      <c r="D544" s="9" t="s">
        <v>1541</v>
      </c>
      <c r="E544" s="10" t="str">
        <f>HYPERLINK("https://twitter.com/BintaBalinda/status/723051149121613824","723051149121613824")</f>
        <v>723051149121613824</v>
      </c>
      <c r="F544" s="11" t="s">
        <v>43</v>
      </c>
      <c r="G544" s="11">
        <v>79</v>
      </c>
      <c r="H544" s="11">
        <v>56</v>
      </c>
      <c r="I544" s="11">
        <v>18</v>
      </c>
      <c r="J544" s="11">
        <v>0</v>
      </c>
      <c r="K544" s="11" t="s">
        <v>21</v>
      </c>
      <c r="L544" s="7">
        <v>42382.480879629627</v>
      </c>
      <c r="M544" s="12"/>
      <c r="N544" s="12" t="s">
        <v>1542</v>
      </c>
      <c r="O544" s="10" t="str">
        <f>HYPERLINK("https://pbs.twimg.com/profile_images/687162952152055810/r6ZCGBXR_normal.jpg","View")</f>
        <v>View</v>
      </c>
      <c r="P544" s="11"/>
    </row>
    <row r="545" spans="1:16" ht="12.75" x14ac:dyDescent="0.35">
      <c r="A545" s="7">
        <v>42481.54179398148</v>
      </c>
      <c r="B545" s="8" t="str">
        <f>HYPERLINK("https://twitter.com/fujiyamapapa","@fujiyamapapa")</f>
        <v>@fujiyamapapa</v>
      </c>
      <c r="C545" s="9" t="s">
        <v>1543</v>
      </c>
      <c r="D545" s="9" t="s">
        <v>1544</v>
      </c>
      <c r="E545" s="10" t="str">
        <f>HYPERLINK("https://twitter.com/fujiyamapapa/status/723051187742724096","723051187742724096")</f>
        <v>723051187742724096</v>
      </c>
      <c r="F545" s="11" t="s">
        <v>193</v>
      </c>
      <c r="G545" s="11">
        <v>1991</v>
      </c>
      <c r="H545" s="11">
        <v>1986</v>
      </c>
      <c r="I545" s="11">
        <v>0</v>
      </c>
      <c r="J545" s="11">
        <v>0</v>
      </c>
      <c r="K545" s="11" t="s">
        <v>21</v>
      </c>
      <c r="L545" s="7">
        <v>40297.683449074073</v>
      </c>
      <c r="M545" s="12" t="s">
        <v>1545</v>
      </c>
      <c r="N545" s="12" t="s">
        <v>1546</v>
      </c>
      <c r="O545" s="10" t="str">
        <f>HYPERLINK("https://pbs.twimg.com/profile_images/2268638548/m2eO5C0G_normal","View")</f>
        <v>View</v>
      </c>
      <c r="P545" s="11"/>
    </row>
    <row r="546" spans="1:16" ht="12.75" x14ac:dyDescent="0.35">
      <c r="A546" s="7">
        <v>42481.543287037042</v>
      </c>
      <c r="B546" s="8" t="str">
        <f>HYPERLINK("https://twitter.com/richardfoster1","@richardfoster1")</f>
        <v>@richardfoster1</v>
      </c>
      <c r="C546" s="9" t="s">
        <v>1547</v>
      </c>
      <c r="D546" s="9" t="s">
        <v>1548</v>
      </c>
      <c r="E546" s="10" t="str">
        <f>HYPERLINK("https://twitter.com/richardfoster1/status/723051728254427136","723051728254427136")</f>
        <v>723051728254427136</v>
      </c>
      <c r="F546" s="11" t="s">
        <v>48</v>
      </c>
      <c r="G546" s="11">
        <v>288</v>
      </c>
      <c r="H546" s="11">
        <v>654</v>
      </c>
      <c r="I546" s="11">
        <v>1</v>
      </c>
      <c r="J546" s="11">
        <v>1</v>
      </c>
      <c r="K546" s="11" t="s">
        <v>21</v>
      </c>
      <c r="L546" s="7">
        <v>39848.977939814817</v>
      </c>
      <c r="M546" s="12" t="s">
        <v>1549</v>
      </c>
      <c r="N546" s="12" t="s">
        <v>1550</v>
      </c>
      <c r="O546" s="10" t="str">
        <f>HYPERLINK("https://pbs.twimg.com/profile_images/3535830182/df7c9e30fd671a70310e341eb33e0190_normal.jpeg","View")</f>
        <v>View</v>
      </c>
      <c r="P546" s="11"/>
    </row>
    <row r="547" spans="1:16" ht="12.75" x14ac:dyDescent="0.35">
      <c r="A547" s="7">
        <v>42481.543796296297</v>
      </c>
      <c r="B547" s="8" t="str">
        <f>HYPERLINK("https://twitter.com/Scirocco_Tuning","@Scirocco_Tuning")</f>
        <v>@Scirocco_Tuning</v>
      </c>
      <c r="C547" s="9" t="s">
        <v>51</v>
      </c>
      <c r="D547" s="9" t="s">
        <v>1551</v>
      </c>
      <c r="E547" s="10" t="str">
        <f>HYPERLINK("https://twitter.com/Scirocco_Tuning/status/723051914586411008","723051914586411008")</f>
        <v>723051914586411008</v>
      </c>
      <c r="F547" s="11" t="s">
        <v>53</v>
      </c>
      <c r="G547" s="11">
        <v>69</v>
      </c>
      <c r="H547" s="11">
        <v>215</v>
      </c>
      <c r="I547" s="11">
        <v>0</v>
      </c>
      <c r="J547" s="11">
        <v>0</v>
      </c>
      <c r="K547" s="11" t="s">
        <v>21</v>
      </c>
      <c r="L547" s="7">
        <v>40844.564722222218</v>
      </c>
      <c r="M547" s="12"/>
      <c r="N547" s="12"/>
      <c r="O547" s="10" t="str">
        <f>HYPERLINK("https://pbs.twimg.com/profile_images/1610421423/Image2_normal.jpg","View")</f>
        <v>View</v>
      </c>
      <c r="P547" s="11"/>
    </row>
    <row r="548" spans="1:16" ht="12.75" x14ac:dyDescent="0.35">
      <c r="A548" s="7">
        <v>42481.54487268519</v>
      </c>
      <c r="B548" s="8" t="str">
        <f>HYPERLINK("https://twitter.com/SK_Handels_GmbH","@SK_Handels_GmbH")</f>
        <v>@SK_Handels_GmbH</v>
      </c>
      <c r="C548" s="9" t="s">
        <v>1552</v>
      </c>
      <c r="D548" s="9" t="s">
        <v>1553</v>
      </c>
      <c r="E548" s="10" t="str">
        <f>HYPERLINK("https://twitter.com/SK_Handels_GmbH/status/723052301544525824","723052301544525824")</f>
        <v>723052301544525824</v>
      </c>
      <c r="F548" s="11" t="s">
        <v>53</v>
      </c>
      <c r="G548" s="11">
        <v>29</v>
      </c>
      <c r="H548" s="11">
        <v>177</v>
      </c>
      <c r="I548" s="11">
        <v>0</v>
      </c>
      <c r="J548" s="11">
        <v>0</v>
      </c>
      <c r="K548" s="11" t="s">
        <v>21</v>
      </c>
      <c r="L548" s="7">
        <v>41522.741736111115</v>
      </c>
      <c r="M548" s="12" t="s">
        <v>1554</v>
      </c>
      <c r="N548" s="12" t="s">
        <v>1555</v>
      </c>
      <c r="O548" s="10" t="str">
        <f>HYPERLINK("https://pbs.twimg.com/profile_images/625966208110718976/OrDtlvmk_normal.jpg","View")</f>
        <v>View</v>
      </c>
      <c r="P548" s="11"/>
    </row>
    <row r="549" spans="1:16" ht="12.75" x14ac:dyDescent="0.35">
      <c r="A549" s="7">
        <v>42481.544988425929</v>
      </c>
      <c r="B549" s="8" t="str">
        <f>HYPERLINK("https://twitter.com/Sufiy","@Sufiy")</f>
        <v>@Sufiy</v>
      </c>
      <c r="C549" s="9" t="s">
        <v>1556</v>
      </c>
      <c r="D549" s="9" t="s">
        <v>151</v>
      </c>
      <c r="E549" s="10" t="str">
        <f>HYPERLINK("https://twitter.com/Sufiy/status/723052346343870464","723052346343870464")</f>
        <v>723052346343870464</v>
      </c>
      <c r="F549" s="11" t="s">
        <v>91</v>
      </c>
      <c r="G549" s="11">
        <v>1723</v>
      </c>
      <c r="H549" s="11">
        <v>2049</v>
      </c>
      <c r="I549" s="11">
        <v>16</v>
      </c>
      <c r="J549" s="11">
        <v>0</v>
      </c>
      <c r="K549" s="11" t="s">
        <v>21</v>
      </c>
      <c r="L549" s="7">
        <v>39996.211608796293</v>
      </c>
      <c r="M549" s="12" t="s">
        <v>1557</v>
      </c>
      <c r="N549" s="12" t="s">
        <v>1558</v>
      </c>
      <c r="O549" s="10" t="str">
        <f>HYPERLINK("https://pbs.twimg.com/profile_images/292857657/GreenGrowth_normal.jpg","View")</f>
        <v>View</v>
      </c>
      <c r="P549" s="11"/>
    </row>
    <row r="550" spans="1:16" ht="12.75" x14ac:dyDescent="0.35">
      <c r="A550" s="7">
        <v>42481.545312499999</v>
      </c>
      <c r="B550" s="8" t="str">
        <f>HYPERLINK("https://twitter.com/zeitonline_wir","@zeitonline_wir")</f>
        <v>@zeitonline_wir</v>
      </c>
      <c r="C550" s="9" t="s">
        <v>1559</v>
      </c>
      <c r="D550" s="9" t="s">
        <v>1560</v>
      </c>
      <c r="E550" s="10" t="str">
        <f>HYPERLINK("https://twitter.com/zeitonline_wir/status/723052464350584832","723052464350584832")</f>
        <v>723052464350584832</v>
      </c>
      <c r="F550" s="11" t="s">
        <v>1561</v>
      </c>
      <c r="G550" s="11">
        <v>32134</v>
      </c>
      <c r="H550" s="11">
        <v>38</v>
      </c>
      <c r="I550" s="11">
        <v>0</v>
      </c>
      <c r="J550" s="11">
        <v>0</v>
      </c>
      <c r="K550" s="11" t="s">
        <v>21</v>
      </c>
      <c r="L550" s="7">
        <v>40357.655370370368</v>
      </c>
      <c r="M550" s="12" t="s">
        <v>1562</v>
      </c>
      <c r="N550" s="12" t="s">
        <v>1563</v>
      </c>
      <c r="O550" s="10" t="str">
        <f>HYPERLINK("https://pbs.twimg.com/profile_images/587542294913556480/VN9ydDdE_normal.jpg","View")</f>
        <v>View</v>
      </c>
      <c r="P550" s="11"/>
    </row>
    <row r="551" spans="1:16" ht="12.75" x14ac:dyDescent="0.35">
      <c r="A551" s="7">
        <v>42481.546030092592</v>
      </c>
      <c r="B551" s="8" t="str">
        <f>HYPERLINK("https://twitter.com/remootapp","@remootapp")</f>
        <v>@remootapp</v>
      </c>
      <c r="C551" s="9" t="s">
        <v>1564</v>
      </c>
      <c r="D551" s="9" t="s">
        <v>1565</v>
      </c>
      <c r="E551" s="10" t="str">
        <f>HYPERLINK("https://twitter.com/remootapp/status/723052721348198400","723052721348198400")</f>
        <v>723052721348198400</v>
      </c>
      <c r="F551" s="11" t="s">
        <v>80</v>
      </c>
      <c r="G551" s="11">
        <v>32</v>
      </c>
      <c r="H551" s="11">
        <v>0</v>
      </c>
      <c r="I551" s="11">
        <v>0</v>
      </c>
      <c r="J551" s="11">
        <v>0</v>
      </c>
      <c r="K551" s="11" t="s">
        <v>21</v>
      </c>
      <c r="L551" s="7">
        <v>42001.341493055559</v>
      </c>
      <c r="M551" s="12" t="s">
        <v>244</v>
      </c>
      <c r="N551" s="12" t="s">
        <v>1566</v>
      </c>
      <c r="O551" s="10" t="str">
        <f>HYPERLINK("https://pbs.twimg.com/profile_images/565798050342260736/Nkumd_zj_normal.png","View")</f>
        <v>View</v>
      </c>
      <c r="P551" s="11"/>
    </row>
    <row r="552" spans="1:16" ht="12.75" x14ac:dyDescent="0.35">
      <c r="A552" s="7">
        <v>42481.546041666668</v>
      </c>
      <c r="B552" s="8" t="str">
        <f>HYPERLINK("https://twitter.com/dapper013","@dapper013")</f>
        <v>@dapper013</v>
      </c>
      <c r="C552" s="9" t="s">
        <v>1567</v>
      </c>
      <c r="D552" s="9" t="s">
        <v>1568</v>
      </c>
      <c r="E552" s="10" t="str">
        <f>HYPERLINK("https://twitter.com/dapper013/status/723052729103470592","723052729103470592")</f>
        <v>723052729103470592</v>
      </c>
      <c r="F552" s="11" t="s">
        <v>48</v>
      </c>
      <c r="G552" s="11">
        <v>291</v>
      </c>
      <c r="H552" s="11">
        <v>304</v>
      </c>
      <c r="I552" s="11">
        <v>0</v>
      </c>
      <c r="J552" s="11">
        <v>1</v>
      </c>
      <c r="K552" s="11" t="s">
        <v>21</v>
      </c>
      <c r="L552" s="7">
        <v>40871.767500000002</v>
      </c>
      <c r="M552" s="12" t="s">
        <v>1569</v>
      </c>
      <c r="N552" s="12" t="s">
        <v>1570</v>
      </c>
      <c r="O552" s="10" t="str">
        <f>HYPERLINK("https://pbs.twimg.com/profile_images/704424786777280513/YQVkJF57_normal.jpg","View")</f>
        <v>View</v>
      </c>
      <c r="P552" s="11"/>
    </row>
    <row r="553" spans="1:16" ht="12.75" x14ac:dyDescent="0.35">
      <c r="A553" s="7">
        <v>42481.546249999999</v>
      </c>
      <c r="B553" s="8" t="str">
        <f>HYPERLINK("https://twitter.com/eshellshear","@eshellshear")</f>
        <v>@eshellshear</v>
      </c>
      <c r="C553" s="9" t="s">
        <v>1571</v>
      </c>
      <c r="D553" s="9" t="s">
        <v>1572</v>
      </c>
      <c r="E553" s="10" t="str">
        <f>HYPERLINK("https://twitter.com/eshellshear/status/723052802327502848","723052802327502848")</f>
        <v>723052802327502848</v>
      </c>
      <c r="F553" s="11" t="s">
        <v>193</v>
      </c>
      <c r="G553" s="11">
        <v>63</v>
      </c>
      <c r="H553" s="11">
        <v>54</v>
      </c>
      <c r="I553" s="11">
        <v>0</v>
      </c>
      <c r="J553" s="11">
        <v>0</v>
      </c>
      <c r="K553" s="11" t="s">
        <v>21</v>
      </c>
      <c r="L553" s="7">
        <v>41977.634363425925</v>
      </c>
      <c r="M553" s="12"/>
      <c r="N553" s="12"/>
      <c r="O553" s="10" t="str">
        <f>HYPERLINK("https://pbs.twimg.com/profile_images/540441799987195904/nL_CxXyc_normal.jpeg","View")</f>
        <v>View</v>
      </c>
      <c r="P553" s="11"/>
    </row>
    <row r="554" spans="1:16" ht="12.75" x14ac:dyDescent="0.35">
      <c r="A554" s="7">
        <v>42481.546701388885</v>
      </c>
      <c r="B554" s="8" t="str">
        <f>HYPERLINK("https://twitter.com/antivokou","@antivokou")</f>
        <v>@antivokou</v>
      </c>
      <c r="C554" s="9" t="s">
        <v>1573</v>
      </c>
      <c r="D554" s="9" t="s">
        <v>1574</v>
      </c>
      <c r="E554" s="10" t="str">
        <f>HYPERLINK("https://twitter.com/antivokou/status/723052966131863552","723052966131863552")</f>
        <v>723052966131863552</v>
      </c>
      <c r="F554" s="11" t="s">
        <v>43</v>
      </c>
      <c r="G554" s="11">
        <v>61</v>
      </c>
      <c r="H554" s="11">
        <v>139</v>
      </c>
      <c r="I554" s="11">
        <v>1</v>
      </c>
      <c r="J554" s="11">
        <v>1</v>
      </c>
      <c r="K554" s="11" t="s">
        <v>21</v>
      </c>
      <c r="L554" s="7">
        <v>42078.063541666663</v>
      </c>
      <c r="M554" s="12" t="s">
        <v>1506</v>
      </c>
      <c r="N554" s="12" t="s">
        <v>1575</v>
      </c>
      <c r="O554" s="10" t="str">
        <f>HYPERLINK("https://pbs.twimg.com/profile_images/684756833207205888/gmAhxSB9_normal.jpg","View")</f>
        <v>View</v>
      </c>
      <c r="P554" s="11"/>
    </row>
    <row r="555" spans="1:16" ht="12.75" x14ac:dyDescent="0.35">
      <c r="A555" s="7">
        <v>42481.546990740739</v>
      </c>
      <c r="B555" s="8" t="str">
        <f>HYPERLINK("https://twitter.com/ywakrahS","@ywakrahS")</f>
        <v>@ywakrahS</v>
      </c>
      <c r="C555" s="9" t="s">
        <v>1576</v>
      </c>
      <c r="D555" s="9" t="s">
        <v>1577</v>
      </c>
      <c r="E555" s="10" t="str">
        <f>HYPERLINK("https://twitter.com/ywakrahS/status/723053069714464768","723053069714464768")</f>
        <v>723053069714464768</v>
      </c>
      <c r="F555" s="11" t="s">
        <v>48</v>
      </c>
      <c r="G555" s="11">
        <v>470</v>
      </c>
      <c r="H555" s="11">
        <v>101</v>
      </c>
      <c r="I555" s="11">
        <v>0</v>
      </c>
      <c r="J555" s="11">
        <v>0</v>
      </c>
      <c r="K555" s="11" t="s">
        <v>21</v>
      </c>
      <c r="L555" s="7">
        <v>41062.784780092596</v>
      </c>
      <c r="M555" s="12"/>
      <c r="N555" s="12" t="s">
        <v>1578</v>
      </c>
      <c r="O555" s="10" t="str">
        <f>HYPERLINK("https://pbs.twimg.com/profile_images/539929562889453568/6v9OpdnB_normal.jpeg","View")</f>
        <v>View</v>
      </c>
      <c r="P555" s="11"/>
    </row>
    <row r="556" spans="1:16" ht="12.75" x14ac:dyDescent="0.35">
      <c r="A556" s="7">
        <v>42481.547129629631</v>
      </c>
      <c r="B556" s="8" t="str">
        <f>HYPERLINK("https://twitter.com/AvukatQ","@AvukatQ")</f>
        <v>@AvukatQ</v>
      </c>
      <c r="C556" s="9" t="s">
        <v>1579</v>
      </c>
      <c r="D556" s="9" t="s">
        <v>1580</v>
      </c>
      <c r="E556" s="10" t="str">
        <f>HYPERLINK("https://twitter.com/AvukatQ/status/723053122831028224","723053122831028224")</f>
        <v>723053122831028224</v>
      </c>
      <c r="F556" s="11" t="s">
        <v>43</v>
      </c>
      <c r="G556" s="11">
        <v>9187</v>
      </c>
      <c r="H556" s="11">
        <v>800</v>
      </c>
      <c r="I556" s="11">
        <v>0</v>
      </c>
      <c r="J556" s="11">
        <v>0</v>
      </c>
      <c r="K556" s="11" t="s">
        <v>21</v>
      </c>
      <c r="L556" s="7">
        <v>41502.597743055558</v>
      </c>
      <c r="M556" s="12"/>
      <c r="N556" s="12" t="s">
        <v>1581</v>
      </c>
      <c r="O556" s="10" t="str">
        <f>HYPERLINK("https://pbs.twimg.com/profile_images/720601303387254784/GSc_bEtz_normal.jpg","View")</f>
        <v>View</v>
      </c>
      <c r="P556" s="11"/>
    </row>
    <row r="557" spans="1:16" ht="12.75" x14ac:dyDescent="0.35">
      <c r="A557" s="7">
        <v>42481.547314814816</v>
      </c>
      <c r="B557" s="8" t="str">
        <f>HYPERLINK("https://twitter.com/CarsNewsTV","@CarsNewsTV")</f>
        <v>@CarsNewsTV</v>
      </c>
      <c r="C557" s="9" t="s">
        <v>1582</v>
      </c>
      <c r="D557" s="9" t="s">
        <v>1583</v>
      </c>
      <c r="E557" s="10" t="str">
        <f>HYPERLINK("https://twitter.com/CarsNewsTV/status/723053189109547008","723053189109547008")</f>
        <v>723053189109547008</v>
      </c>
      <c r="F557" s="11" t="s">
        <v>20</v>
      </c>
      <c r="G557" s="11">
        <v>370</v>
      </c>
      <c r="H557" s="11">
        <v>57</v>
      </c>
      <c r="I557" s="11">
        <v>2</v>
      </c>
      <c r="J557" s="11">
        <v>0</v>
      </c>
      <c r="K557" s="11" t="s">
        <v>21</v>
      </c>
      <c r="L557" s="7">
        <v>40631.899513888886</v>
      </c>
      <c r="M557" s="12" t="s">
        <v>1584</v>
      </c>
      <c r="N557" s="12" t="s">
        <v>1585</v>
      </c>
      <c r="O557" s="10" t="str">
        <f>HYPERLINK("https://pbs.twimg.com/profile_images/2560671855/5poluh8q6tmr8x6ruq28_normal.jpeg","View")</f>
        <v>View</v>
      </c>
      <c r="P557" s="11"/>
    </row>
    <row r="558" spans="1:16" ht="12.75" x14ac:dyDescent="0.35">
      <c r="A558" s="7">
        <v>42481.547395833331</v>
      </c>
      <c r="B558" s="8" t="str">
        <f>HYPERLINK("https://twitter.com/boerseARD","@boerseARD")</f>
        <v>@boerseARD</v>
      </c>
      <c r="C558" s="9" t="s">
        <v>1227</v>
      </c>
      <c r="D558" s="9" t="s">
        <v>1586</v>
      </c>
      <c r="E558" s="10" t="str">
        <f>HYPERLINK("https://twitter.com/boerseARD/status/723053219547508736","723053219547508736")</f>
        <v>723053219547508736</v>
      </c>
      <c r="F558" s="11" t="s">
        <v>43</v>
      </c>
      <c r="G558" s="11">
        <v>1969</v>
      </c>
      <c r="H558" s="11">
        <v>231</v>
      </c>
      <c r="I558" s="11">
        <v>1</v>
      </c>
      <c r="J558" s="11">
        <v>0</v>
      </c>
      <c r="K558" s="11" t="s">
        <v>21</v>
      </c>
      <c r="L558" s="7">
        <v>42016.832812499997</v>
      </c>
      <c r="M558" s="12" t="s">
        <v>1229</v>
      </c>
      <c r="N558" s="12" t="s">
        <v>1230</v>
      </c>
      <c r="O558" s="10" t="str">
        <f>HYPERLINK("https://pbs.twimg.com/profile_images/666163579700277248/vIv69HhR_normal.jpg","View")</f>
        <v>View</v>
      </c>
      <c r="P558" s="11"/>
    </row>
    <row r="559" spans="1:16" ht="12.75" x14ac:dyDescent="0.35">
      <c r="A559" s="7">
        <v>42481.547442129631</v>
      </c>
      <c r="B559" s="8" t="str">
        <f>HYPERLINK("https://twitter.com/RumBat","@RumBat")</f>
        <v>@RumBat</v>
      </c>
      <c r="C559" s="9" t="s">
        <v>1587</v>
      </c>
      <c r="D559" s="9" t="s">
        <v>1588</v>
      </c>
      <c r="E559" s="10" t="str">
        <f>HYPERLINK("https://twitter.com/RumBat/status/723053233367846912","723053233367846912")</f>
        <v>723053233367846912</v>
      </c>
      <c r="F559" s="11" t="s">
        <v>20</v>
      </c>
      <c r="G559" s="11">
        <v>1240</v>
      </c>
      <c r="H559" s="11">
        <v>418</v>
      </c>
      <c r="I559" s="11">
        <v>2</v>
      </c>
      <c r="J559" s="11">
        <v>0</v>
      </c>
      <c r="K559" s="11" t="s">
        <v>21</v>
      </c>
      <c r="L559" s="7">
        <v>40285.551550925928</v>
      </c>
      <c r="M559" s="12" t="s">
        <v>1584</v>
      </c>
      <c r="N559" s="12" t="s">
        <v>1589</v>
      </c>
      <c r="O559" s="10" t="str">
        <f>HYPERLINK("https://pbs.twimg.com/profile_images/2491572045/qzn83rp5ru7t95b5phpn_normal.jpeg","View")</f>
        <v>View</v>
      </c>
      <c r="P559" s="11"/>
    </row>
    <row r="560" spans="1:16" ht="12.75" x14ac:dyDescent="0.35">
      <c r="A560" s="7">
        <v>42481.547939814816</v>
      </c>
      <c r="B560" s="8" t="str">
        <f>HYPERLINK("https://twitter.com/faznet","@faznet")</f>
        <v>@faznet</v>
      </c>
      <c r="C560" s="8" t="s">
        <v>1590</v>
      </c>
      <c r="D560" s="9" t="s">
        <v>1591</v>
      </c>
      <c r="E560" s="10" t="str">
        <f>HYPERLINK("https://twitter.com/faznet/status/723053414091882496","723053414091882496")</f>
        <v>723053414091882496</v>
      </c>
      <c r="F560" s="11" t="s">
        <v>63</v>
      </c>
      <c r="G560" s="11">
        <v>308484</v>
      </c>
      <c r="H560" s="11">
        <v>211</v>
      </c>
      <c r="I560" s="11">
        <v>6</v>
      </c>
      <c r="J560" s="11">
        <v>6</v>
      </c>
      <c r="K560" s="11" t="s">
        <v>21</v>
      </c>
      <c r="L560" s="7">
        <v>39793.822881944448</v>
      </c>
      <c r="M560" s="12" t="s">
        <v>1464</v>
      </c>
      <c r="N560" s="12" t="s">
        <v>1592</v>
      </c>
      <c r="O560" s="10" t="str">
        <f>HYPERLINK("https://pbs.twimg.com/profile_images/477438671151304705/8XlAQ509_normal.jpeg","View")</f>
        <v>View</v>
      </c>
      <c r="P560" s="11"/>
    </row>
    <row r="561" spans="1:16" ht="12.75" x14ac:dyDescent="0.35">
      <c r="A561" s="7">
        <v>42481.549814814818</v>
      </c>
      <c r="B561" s="8" t="str">
        <f>HYPERLINK("https://twitter.com/AFECTADOGRUPOVW","@AFECTADOGRUPOVW")</f>
        <v>@AFECTADOGRUPOVW</v>
      </c>
      <c r="C561" s="9" t="s">
        <v>1593</v>
      </c>
      <c r="D561" s="9" t="s">
        <v>1594</v>
      </c>
      <c r="E561" s="10" t="str">
        <f>HYPERLINK("https://twitter.com/AFECTADOGRUPOVW/status/723054093216837633","723054093216837633")</f>
        <v>723054093216837633</v>
      </c>
      <c r="F561" s="11" t="s">
        <v>43</v>
      </c>
      <c r="G561" s="11">
        <v>1769</v>
      </c>
      <c r="H561" s="11">
        <v>4913</v>
      </c>
      <c r="I561" s="11">
        <v>1</v>
      </c>
      <c r="J561" s="11">
        <v>1</v>
      </c>
      <c r="K561" s="11" t="s">
        <v>21</v>
      </c>
      <c r="L561" s="7">
        <v>42278.624814814815</v>
      </c>
      <c r="M561" s="12" t="s">
        <v>1595</v>
      </c>
      <c r="N561" s="12" t="s">
        <v>1596</v>
      </c>
      <c r="O561" s="10" t="str">
        <f>HYPERLINK("https://pbs.twimg.com/profile_images/649519091892531200/gFXmbSPM_normal.jpg","View")</f>
        <v>View</v>
      </c>
      <c r="P561" s="11"/>
    </row>
    <row r="562" spans="1:16" ht="12.75" x14ac:dyDescent="0.35">
      <c r="A562" s="7">
        <v>42481.549826388888</v>
      </c>
      <c r="B562" s="8" t="str">
        <f>HYPERLINK("https://twitter.com/bot_innovation","@bot_innovation")</f>
        <v>@bot_innovation</v>
      </c>
      <c r="C562" s="9" t="s">
        <v>1597</v>
      </c>
      <c r="D562" s="9" t="s">
        <v>1598</v>
      </c>
      <c r="E562" s="10" t="str">
        <f>HYPERLINK("https://twitter.com/bot_innovation/status/723054098677915648","723054098677915648")</f>
        <v>723054098677915648</v>
      </c>
      <c r="F562" s="11" t="s">
        <v>1599</v>
      </c>
      <c r="G562" s="11">
        <v>3537</v>
      </c>
      <c r="H562" s="11">
        <v>1</v>
      </c>
      <c r="I562" s="11">
        <v>1</v>
      </c>
      <c r="J562" s="11">
        <v>0</v>
      </c>
      <c r="K562" s="11" t="s">
        <v>21</v>
      </c>
      <c r="L562" s="7">
        <v>42195.534189814818</v>
      </c>
      <c r="M562" s="12"/>
      <c r="N562" s="12" t="s">
        <v>1600</v>
      </c>
      <c r="O562" s="10" t="str">
        <f>HYPERLINK("https://pbs.twimg.com/profile_images/619405980380622848/ljgsbkJo_normal.jpg","View")</f>
        <v>View</v>
      </c>
      <c r="P562" s="11"/>
    </row>
    <row r="563" spans="1:16" ht="12.75" x14ac:dyDescent="0.35">
      <c r="A563" s="7">
        <v>42481.550138888888</v>
      </c>
      <c r="B563" s="8" t="str">
        <f>HYPERLINK("https://twitter.com/1stMiniMerlin","@1stMiniMerlin")</f>
        <v>@1stMiniMerlin</v>
      </c>
      <c r="C563" s="9" t="s">
        <v>1601</v>
      </c>
      <c r="D563" s="9" t="s">
        <v>1602</v>
      </c>
      <c r="E563" s="10" t="str">
        <f>HYPERLINK("https://twitter.com/1stMiniMerlin/status/723054212649615361","723054212649615361")</f>
        <v>723054212649615361</v>
      </c>
      <c r="F563" s="11" t="s">
        <v>1603</v>
      </c>
      <c r="G563" s="11">
        <v>6556</v>
      </c>
      <c r="H563" s="11">
        <v>4291</v>
      </c>
      <c r="I563" s="11">
        <v>1</v>
      </c>
      <c r="J563" s="11">
        <v>0</v>
      </c>
      <c r="K563" s="11" t="s">
        <v>21</v>
      </c>
      <c r="L563" s="7">
        <v>41854.776400462964</v>
      </c>
      <c r="M563" s="12" t="s">
        <v>1604</v>
      </c>
      <c r="N563" s="12" t="s">
        <v>1605</v>
      </c>
      <c r="O563" s="10" t="str">
        <f>HYPERLINK("https://pbs.twimg.com/profile_images/665983049436233728/ISdbk2zE_normal.png","View")</f>
        <v>View</v>
      </c>
      <c r="P563" s="11"/>
    </row>
    <row r="564" spans="1:16" ht="12.75" x14ac:dyDescent="0.35">
      <c r="A564" s="7">
        <v>42481.550150462965</v>
      </c>
      <c r="B564" s="8" t="str">
        <f>HYPERLINK("https://twitter.com/AFECTADOGRUPOVW","@AFECTADOGRUPOVW")</f>
        <v>@AFECTADOGRUPOVW</v>
      </c>
      <c r="C564" s="9" t="s">
        <v>1593</v>
      </c>
      <c r="D564" s="9" t="s">
        <v>1606</v>
      </c>
      <c r="E564" s="10" t="str">
        <f>HYPERLINK("https://twitter.com/AFECTADOGRUPOVW/status/723054214495105024","723054214495105024")</f>
        <v>723054214495105024</v>
      </c>
      <c r="F564" s="11" t="s">
        <v>43</v>
      </c>
      <c r="G564" s="11">
        <v>1769</v>
      </c>
      <c r="H564" s="11">
        <v>4913</v>
      </c>
      <c r="I564" s="11">
        <v>2</v>
      </c>
      <c r="J564" s="11">
        <v>1</v>
      </c>
      <c r="K564" s="11" t="s">
        <v>21</v>
      </c>
      <c r="L564" s="7">
        <v>42278.624814814815</v>
      </c>
      <c r="M564" s="12" t="s">
        <v>1595</v>
      </c>
      <c r="N564" s="12" t="s">
        <v>1596</v>
      </c>
      <c r="O564" s="10" t="str">
        <f>HYPERLINK("https://pbs.twimg.com/profile_images/649519091892531200/gFXmbSPM_normal.jpg","View")</f>
        <v>View</v>
      </c>
      <c r="P564" s="11"/>
    </row>
    <row r="565" spans="1:16" ht="12.75" x14ac:dyDescent="0.35">
      <c r="A565" s="7">
        <v>42481.550474537042</v>
      </c>
      <c r="B565" s="8" t="str">
        <f>HYPERLINK("https://twitter.com/neuepresse","@neuepresse")</f>
        <v>@neuepresse</v>
      </c>
      <c r="C565" s="9" t="s">
        <v>1607</v>
      </c>
      <c r="D565" s="9" t="s">
        <v>1608</v>
      </c>
      <c r="E565" s="10" t="str">
        <f>HYPERLINK("https://twitter.com/neuepresse/status/723054333772718080","723054333772718080")</f>
        <v>723054333772718080</v>
      </c>
      <c r="F565" s="11" t="s">
        <v>43</v>
      </c>
      <c r="G565" s="11">
        <v>21334</v>
      </c>
      <c r="H565" s="11">
        <v>1105</v>
      </c>
      <c r="I565" s="11">
        <v>0</v>
      </c>
      <c r="J565" s="11">
        <v>1</v>
      </c>
      <c r="K565" s="11" t="s">
        <v>21</v>
      </c>
      <c r="L565" s="7">
        <v>39774.289189814815</v>
      </c>
      <c r="M565" s="12" t="s">
        <v>1609</v>
      </c>
      <c r="N565" s="12" t="s">
        <v>1610</v>
      </c>
      <c r="O565" s="10" t="str">
        <f>HYPERLINK("https://pbs.twimg.com/profile_images/459000575602864128/kGiBZUHq_normal.jpeg","View")</f>
        <v>View</v>
      </c>
      <c r="P565" s="11"/>
    </row>
    <row r="566" spans="1:16" ht="12.75" x14ac:dyDescent="0.35">
      <c r="A566" s="7">
        <v>42481.550486111111</v>
      </c>
      <c r="B566" s="8" t="str">
        <f>HYPERLINK("https://twitter.com/arturotaxi","@arturotaxi")</f>
        <v>@arturotaxi</v>
      </c>
      <c r="C566" s="9" t="s">
        <v>1611</v>
      </c>
      <c r="D566" s="9" t="s">
        <v>1612</v>
      </c>
      <c r="E566" s="10" t="str">
        <f>HYPERLINK("https://twitter.com/arturotaxi/status/723054338374045696","723054338374045696")</f>
        <v>723054338374045696</v>
      </c>
      <c r="F566" s="11" t="s">
        <v>48</v>
      </c>
      <c r="G566" s="11">
        <v>3052</v>
      </c>
      <c r="H566" s="11">
        <v>3005</v>
      </c>
      <c r="I566" s="11">
        <v>2</v>
      </c>
      <c r="J566" s="11">
        <v>0</v>
      </c>
      <c r="K566" s="11" t="s">
        <v>21</v>
      </c>
      <c r="L566" s="7">
        <v>40076.457835648151</v>
      </c>
      <c r="M566" s="12" t="s">
        <v>1613</v>
      </c>
      <c r="N566" s="12" t="s">
        <v>1614</v>
      </c>
      <c r="O566" s="10" t="str">
        <f>HYPERLINK("https://pbs.twimg.com/profile_images/717389494362759170/HA2F1UKk_normal.jpg","View")</f>
        <v>View</v>
      </c>
      <c r="P566" s="11"/>
    </row>
    <row r="567" spans="1:16" ht="12.75" x14ac:dyDescent="0.35">
      <c r="A567" s="7">
        <v>42481.550543981481</v>
      </c>
      <c r="B567" s="8" t="str">
        <f>HYPERLINK("https://twitter.com/AFECTADOGRUPOVW","@AFECTADOGRUPOVW")</f>
        <v>@AFECTADOGRUPOVW</v>
      </c>
      <c r="C567" s="9" t="s">
        <v>1593</v>
      </c>
      <c r="D567" s="9" t="s">
        <v>1615</v>
      </c>
      <c r="E567" s="10" t="str">
        <f>HYPERLINK("https://twitter.com/AFECTADOGRUPOVW/status/723054357726425090","723054357726425090")</f>
        <v>723054357726425090</v>
      </c>
      <c r="F567" s="11" t="s">
        <v>43</v>
      </c>
      <c r="G567" s="11">
        <v>1769</v>
      </c>
      <c r="H567" s="11">
        <v>4913</v>
      </c>
      <c r="I567" s="11">
        <v>1</v>
      </c>
      <c r="J567" s="11">
        <v>1</v>
      </c>
      <c r="K567" s="11" t="s">
        <v>21</v>
      </c>
      <c r="L567" s="7">
        <v>42278.624814814815</v>
      </c>
      <c r="M567" s="12" t="s">
        <v>1595</v>
      </c>
      <c r="N567" s="12" t="s">
        <v>1596</v>
      </c>
      <c r="O567" s="10" t="str">
        <f>HYPERLINK("https://pbs.twimg.com/profile_images/649519091892531200/gFXmbSPM_normal.jpg","View")</f>
        <v>View</v>
      </c>
      <c r="P567" s="11"/>
    </row>
    <row r="568" spans="1:16" ht="12.75" x14ac:dyDescent="0.35">
      <c r="A568" s="7">
        <v>42481.550729166665</v>
      </c>
      <c r="B568" s="8" t="str">
        <f>HYPERLINK("https://twitter.com/PRESSEKONTOR","@PRESSEKONTOR")</f>
        <v>@PRESSEKONTOR</v>
      </c>
      <c r="C568" s="9" t="s">
        <v>1616</v>
      </c>
      <c r="D568" s="9" t="s">
        <v>1617</v>
      </c>
      <c r="E568" s="10" t="str">
        <f>HYPERLINK("https://twitter.com/PRESSEKONTOR/status/723054424592142336","723054424592142336")</f>
        <v>723054424592142336</v>
      </c>
      <c r="F568" s="11" t="s">
        <v>20</v>
      </c>
      <c r="G568" s="11">
        <v>125</v>
      </c>
      <c r="H568" s="11">
        <v>324</v>
      </c>
      <c r="I568" s="11">
        <v>6</v>
      </c>
      <c r="J568" s="11">
        <v>0</v>
      </c>
      <c r="K568" s="11" t="s">
        <v>21</v>
      </c>
      <c r="L568" s="7">
        <v>41417.790034722224</v>
      </c>
      <c r="M568" s="12" t="s">
        <v>1618</v>
      </c>
      <c r="N568" s="12" t="s">
        <v>1619</v>
      </c>
      <c r="O568" s="10" t="str">
        <f>HYPERLINK("https://pbs.twimg.com/profile_images/584030077870018560/aLXqHYI6_normal.jpg","View")</f>
        <v>View</v>
      </c>
      <c r="P568" s="11"/>
    </row>
    <row r="569" spans="1:16" ht="12.75" x14ac:dyDescent="0.35">
      <c r="A569" s="7">
        <v>42481.550729166665</v>
      </c>
      <c r="B569" s="8" t="str">
        <f>HYPERLINK("https://twitter.com/EFEverde","@EFEverde")</f>
        <v>@EFEverde</v>
      </c>
      <c r="C569" s="9" t="s">
        <v>1620</v>
      </c>
      <c r="D569" s="9" t="s">
        <v>1621</v>
      </c>
      <c r="E569" s="10" t="str">
        <f>HYPERLINK("https://twitter.com/EFEverde/status/723054427397980160","723054427397980160")</f>
        <v>723054427397980160</v>
      </c>
      <c r="F569" s="11" t="s">
        <v>43</v>
      </c>
      <c r="G569" s="11">
        <v>76907</v>
      </c>
      <c r="H569" s="11">
        <v>1132</v>
      </c>
      <c r="I569" s="11">
        <v>3</v>
      </c>
      <c r="J569" s="11">
        <v>1</v>
      </c>
      <c r="K569" s="11" t="s">
        <v>21</v>
      </c>
      <c r="L569" s="7">
        <v>40143.181261574078</v>
      </c>
      <c r="M569" s="12" t="s">
        <v>1622</v>
      </c>
      <c r="N569" s="12" t="s">
        <v>1623</v>
      </c>
      <c r="O569" s="10" t="str">
        <f>HYPERLINK("https://pbs.twimg.com/profile_images/3211861595/0d4798c412a9de9347643e28b897b349_normal.jpeg","View")</f>
        <v>View</v>
      </c>
      <c r="P569" s="11"/>
    </row>
    <row r="570" spans="1:16" ht="12.75" x14ac:dyDescent="0.35">
      <c r="A570" s="7">
        <v>42481.551180555558</v>
      </c>
      <c r="B570" s="8" t="str">
        <f t="shared" ref="B570:B571" si="56">HYPERLINK("https://twitter.com/AFECTADOGRUPOVW","@AFECTADOGRUPOVW")</f>
        <v>@AFECTADOGRUPOVW</v>
      </c>
      <c r="C570" s="9" t="s">
        <v>1593</v>
      </c>
      <c r="D570" s="9" t="s">
        <v>1624</v>
      </c>
      <c r="E570" s="10" t="str">
        <f>HYPERLINK("https://twitter.com/AFECTADOGRUPOVW/status/723054588421513216","723054588421513216")</f>
        <v>723054588421513216</v>
      </c>
      <c r="F570" s="11" t="s">
        <v>43</v>
      </c>
      <c r="G570" s="11">
        <v>1769</v>
      </c>
      <c r="H570" s="11">
        <v>4913</v>
      </c>
      <c r="I570" s="11">
        <v>1</v>
      </c>
      <c r="J570" s="11">
        <v>0</v>
      </c>
      <c r="K570" s="11" t="s">
        <v>21</v>
      </c>
      <c r="L570" s="7">
        <v>42278.624814814815</v>
      </c>
      <c r="M570" s="12" t="s">
        <v>1595</v>
      </c>
      <c r="N570" s="12" t="s">
        <v>1596</v>
      </c>
      <c r="O570" s="10" t="str">
        <f t="shared" ref="O570:O571" si="57">HYPERLINK("https://pbs.twimg.com/profile_images/649519091892531200/gFXmbSPM_normal.jpg","View")</f>
        <v>View</v>
      </c>
      <c r="P570" s="11"/>
    </row>
    <row r="571" spans="1:16" ht="12.75" x14ac:dyDescent="0.35">
      <c r="A571" s="7">
        <v>42481.551655092597</v>
      </c>
      <c r="B571" s="8" t="str">
        <f t="shared" si="56"/>
        <v>@AFECTADOGRUPOVW</v>
      </c>
      <c r="C571" s="9" t="s">
        <v>1593</v>
      </c>
      <c r="D571" s="9" t="s">
        <v>1625</v>
      </c>
      <c r="E571" s="10" t="str">
        <f>HYPERLINK("https://twitter.com/AFECTADOGRUPOVW/status/723054760819974144","723054760819974144")</f>
        <v>723054760819974144</v>
      </c>
      <c r="F571" s="11" t="s">
        <v>43</v>
      </c>
      <c r="G571" s="11">
        <v>1769</v>
      </c>
      <c r="H571" s="11">
        <v>4913</v>
      </c>
      <c r="I571" s="11">
        <v>0</v>
      </c>
      <c r="J571" s="11">
        <v>0</v>
      </c>
      <c r="K571" s="11" t="s">
        <v>21</v>
      </c>
      <c r="L571" s="7">
        <v>42278.624814814815</v>
      </c>
      <c r="M571" s="12" t="s">
        <v>1595</v>
      </c>
      <c r="N571" s="12" t="s">
        <v>1596</v>
      </c>
      <c r="O571" s="10" t="str">
        <f t="shared" si="57"/>
        <v>View</v>
      </c>
      <c r="P571" s="11"/>
    </row>
    <row r="572" spans="1:16" ht="12.75" x14ac:dyDescent="0.35">
      <c r="A572" s="7">
        <v>42481.551712962959</v>
      </c>
      <c r="B572" s="8" t="str">
        <f>HYPERLINK("https://twitter.com/maritimegallery","@maritimegallery")</f>
        <v>@maritimegallery</v>
      </c>
      <c r="C572" s="9" t="s">
        <v>1626</v>
      </c>
      <c r="D572" s="9" t="s">
        <v>1627</v>
      </c>
      <c r="E572" s="10" t="str">
        <f>HYPERLINK("https://twitter.com/maritimegallery/status/723054784505225216","723054784505225216")</f>
        <v>723054784505225216</v>
      </c>
      <c r="F572" s="11" t="s">
        <v>43</v>
      </c>
      <c r="G572" s="11">
        <v>1141</v>
      </c>
      <c r="H572" s="11">
        <v>2214</v>
      </c>
      <c r="I572" s="11">
        <v>0</v>
      </c>
      <c r="J572" s="11">
        <v>0</v>
      </c>
      <c r="K572" s="11" t="s">
        <v>21</v>
      </c>
      <c r="L572" s="7">
        <v>41608.837141203701</v>
      </c>
      <c r="M572" s="12" t="s">
        <v>638</v>
      </c>
      <c r="N572" s="12" t="s">
        <v>1628</v>
      </c>
      <c r="O572" s="10" t="str">
        <f>HYPERLINK("https://pbs.twimg.com/profile_images/378800000811296054/a3acc5391fa9d6a7b27ffcf3dcd7a89e_normal.jpeg","View")</f>
        <v>View</v>
      </c>
      <c r="P572" s="11"/>
    </row>
    <row r="573" spans="1:16" ht="12.75" x14ac:dyDescent="0.35">
      <c r="A573" s="7">
        <v>42481.552291666667</v>
      </c>
      <c r="B573" s="8" t="str">
        <f>HYPERLINK("https://twitter.com/Sufiy","@Sufiy")</f>
        <v>@Sufiy</v>
      </c>
      <c r="C573" s="9" t="s">
        <v>1556</v>
      </c>
      <c r="D573" s="9" t="s">
        <v>523</v>
      </c>
      <c r="E573" s="10" t="str">
        <f>HYPERLINK("https://twitter.com/Sufiy/status/723054991372619776","723054991372619776")</f>
        <v>723054991372619776</v>
      </c>
      <c r="F573" s="11" t="s">
        <v>91</v>
      </c>
      <c r="G573" s="11">
        <v>1723</v>
      </c>
      <c r="H573" s="11">
        <v>2049</v>
      </c>
      <c r="I573" s="11">
        <v>22</v>
      </c>
      <c r="J573" s="11">
        <v>0</v>
      </c>
      <c r="K573" s="11" t="s">
        <v>21</v>
      </c>
      <c r="L573" s="7">
        <v>39996.211608796293</v>
      </c>
      <c r="M573" s="12" t="s">
        <v>1557</v>
      </c>
      <c r="N573" s="12" t="s">
        <v>1558</v>
      </c>
      <c r="O573" s="10" t="str">
        <f>HYPERLINK("https://pbs.twimg.com/profile_images/292857657/GreenGrowth_normal.jpg","View")</f>
        <v>View</v>
      </c>
      <c r="P573" s="11"/>
    </row>
    <row r="574" spans="1:16" ht="12.75" x14ac:dyDescent="0.35">
      <c r="A574" s="7">
        <v>42481.552800925929</v>
      </c>
      <c r="B574" s="8" t="str">
        <f>HYPERLINK("https://twitter.com/AFECTADOGRUPOVW","@AFECTADOGRUPOVW")</f>
        <v>@AFECTADOGRUPOVW</v>
      </c>
      <c r="C574" s="9" t="s">
        <v>1593</v>
      </c>
      <c r="D574" s="9" t="s">
        <v>1629</v>
      </c>
      <c r="E574" s="10" t="str">
        <f>HYPERLINK("https://twitter.com/AFECTADOGRUPOVW/status/723055175707987968","723055175707987968")</f>
        <v>723055175707987968</v>
      </c>
      <c r="F574" s="11" t="s">
        <v>43</v>
      </c>
      <c r="G574" s="11">
        <v>1769</v>
      </c>
      <c r="H574" s="11">
        <v>4913</v>
      </c>
      <c r="I574" s="11">
        <v>2</v>
      </c>
      <c r="J574" s="11">
        <v>2</v>
      </c>
      <c r="K574" s="11" t="s">
        <v>21</v>
      </c>
      <c r="L574" s="7">
        <v>42278.624814814815</v>
      </c>
      <c r="M574" s="12" t="s">
        <v>1595</v>
      </c>
      <c r="N574" s="12" t="s">
        <v>1596</v>
      </c>
      <c r="O574" s="10" t="str">
        <f>HYPERLINK("https://pbs.twimg.com/profile_images/649519091892531200/gFXmbSPM_normal.jpg","View")</f>
        <v>View</v>
      </c>
      <c r="P574" s="11"/>
    </row>
    <row r="575" spans="1:16" ht="12.75" x14ac:dyDescent="0.35">
      <c r="A575" s="7">
        <v>42481.553090277783</v>
      </c>
      <c r="B575" s="8" t="str">
        <f>HYPERLINK("https://twitter.com/DennisDost","@DennisDost")</f>
        <v>@DennisDost</v>
      </c>
      <c r="C575" s="9" t="s">
        <v>1630</v>
      </c>
      <c r="D575" s="9" t="s">
        <v>1617</v>
      </c>
      <c r="E575" s="10" t="str">
        <f>HYPERLINK("https://twitter.com/DennisDost/status/723055279550672897","723055279550672897")</f>
        <v>723055279550672897</v>
      </c>
      <c r="F575" s="11" t="s">
        <v>20</v>
      </c>
      <c r="G575" s="11">
        <v>46</v>
      </c>
      <c r="H575" s="11">
        <v>173</v>
      </c>
      <c r="I575" s="11">
        <v>6</v>
      </c>
      <c r="J575" s="11">
        <v>0</v>
      </c>
      <c r="K575" s="11" t="s">
        <v>21</v>
      </c>
      <c r="L575" s="7">
        <v>41152.515057870369</v>
      </c>
      <c r="M575" s="12"/>
      <c r="N575" s="12"/>
      <c r="O575" s="10" t="str">
        <f>HYPERLINK("https://abs.twimg.com/sticky/default_profile_images/default_profile_5_normal.png","View")</f>
        <v>View</v>
      </c>
      <c r="P575" s="11"/>
    </row>
    <row r="576" spans="1:16" ht="12.75" x14ac:dyDescent="0.35">
      <c r="A576" s="7">
        <v>42481.55369212963</v>
      </c>
      <c r="B576" s="8" t="str">
        <f>HYPERLINK("https://twitter.com/AFECTADOGRUPOVW","@AFECTADOGRUPOVW")</f>
        <v>@AFECTADOGRUPOVW</v>
      </c>
      <c r="C576" s="9" t="s">
        <v>1593</v>
      </c>
      <c r="D576" s="9" t="s">
        <v>1631</v>
      </c>
      <c r="E576" s="10" t="str">
        <f>HYPERLINK("https://twitter.com/AFECTADOGRUPOVW/status/723055499013328896","723055499013328896")</f>
        <v>723055499013328896</v>
      </c>
      <c r="F576" s="11" t="s">
        <v>43</v>
      </c>
      <c r="G576" s="11">
        <v>1769</v>
      </c>
      <c r="H576" s="11">
        <v>4913</v>
      </c>
      <c r="I576" s="11">
        <v>1</v>
      </c>
      <c r="J576" s="11">
        <v>0</v>
      </c>
      <c r="K576" s="11" t="s">
        <v>21</v>
      </c>
      <c r="L576" s="7">
        <v>42278.624814814815</v>
      </c>
      <c r="M576" s="12" t="s">
        <v>1595</v>
      </c>
      <c r="N576" s="12" t="s">
        <v>1596</v>
      </c>
      <c r="O576" s="10" t="str">
        <f>HYPERLINK("https://pbs.twimg.com/profile_images/649519091892531200/gFXmbSPM_normal.jpg","View")</f>
        <v>View</v>
      </c>
      <c r="P576" s="11"/>
    </row>
    <row r="577" spans="1:16" ht="12.75" x14ac:dyDescent="0.35">
      <c r="A577" s="7">
        <v>42481.553854166668</v>
      </c>
      <c r="B577" s="8" t="str">
        <f>HYPERLINK("https://twitter.com/FusionAlloys","@FusionAlloys")</f>
        <v>@FusionAlloys</v>
      </c>
      <c r="C577" s="9" t="s">
        <v>1632</v>
      </c>
      <c r="D577" s="9" t="s">
        <v>1633</v>
      </c>
      <c r="E577" s="10" t="str">
        <f>HYPERLINK("https://twitter.com/FusionAlloys/status/723055556425035776","723055556425035776")</f>
        <v>723055556425035776</v>
      </c>
      <c r="F577" s="11" t="s">
        <v>20</v>
      </c>
      <c r="G577" s="11">
        <v>159</v>
      </c>
      <c r="H577" s="11">
        <v>123</v>
      </c>
      <c r="I577" s="11">
        <v>0</v>
      </c>
      <c r="J577" s="11">
        <v>1</v>
      </c>
      <c r="K577" s="11" t="s">
        <v>21</v>
      </c>
      <c r="L577" s="7">
        <v>41224.040810185186</v>
      </c>
      <c r="M577" s="12" t="s">
        <v>1634</v>
      </c>
      <c r="N577" s="12" t="s">
        <v>1635</v>
      </c>
      <c r="O577" s="10" t="str">
        <f>HYPERLINK("https://pbs.twimg.com/profile_images/2840829620/fbb342e160a7fb58b5f5be5c3bd3723f_normal.png","View")</f>
        <v>View</v>
      </c>
      <c r="P577" s="11"/>
    </row>
    <row r="578" spans="1:16" ht="12.75" x14ac:dyDescent="0.35">
      <c r="A578" s="7">
        <v>42481.553877314815</v>
      </c>
      <c r="B578" s="8" t="str">
        <f>HYPERLINK("https://twitter.com/AndrzejNowak","@AndrzejNowak")</f>
        <v>@AndrzejNowak</v>
      </c>
      <c r="C578" s="9" t="s">
        <v>1636</v>
      </c>
      <c r="D578" s="9" t="s">
        <v>1617</v>
      </c>
      <c r="E578" s="10" t="str">
        <f>HYPERLINK("https://twitter.com/AndrzejNowak/status/723055567929905152","723055567929905152")</f>
        <v>723055567929905152</v>
      </c>
      <c r="F578" s="11" t="s">
        <v>43</v>
      </c>
      <c r="G578" s="11">
        <v>2291</v>
      </c>
      <c r="H578" s="11">
        <v>1780</v>
      </c>
      <c r="I578" s="11">
        <v>6</v>
      </c>
      <c r="J578" s="11">
        <v>0</v>
      </c>
      <c r="K578" s="11" t="s">
        <v>21</v>
      </c>
      <c r="L578" s="7">
        <v>40209.284641203703</v>
      </c>
      <c r="M578" s="12" t="s">
        <v>1637</v>
      </c>
      <c r="N578" s="12" t="s">
        <v>1638</v>
      </c>
      <c r="O578" s="10" t="str">
        <f>HYPERLINK("https://pbs.twimg.com/profile_images/667281645/Pa083935_normal.jpg","View")</f>
        <v>View</v>
      </c>
      <c r="P578" s="11"/>
    </row>
    <row r="579" spans="1:16" ht="12.75" x14ac:dyDescent="0.35">
      <c r="A579" s="7">
        <v>42481.553935185184</v>
      </c>
      <c r="B579" s="8" t="str">
        <f>HYPERLINK("https://twitter.com/faudtnieuws","@faudtnieuws")</f>
        <v>@faudtnieuws</v>
      </c>
      <c r="C579" s="9" t="s">
        <v>1639</v>
      </c>
      <c r="D579" s="9" t="s">
        <v>1640</v>
      </c>
      <c r="E579" s="10" t="str">
        <f>HYPERLINK("https://twitter.com/faudtnieuws/status/723055588964323328","723055588964323328")</f>
        <v>723055588964323328</v>
      </c>
      <c r="F579" s="11" t="s">
        <v>43</v>
      </c>
      <c r="G579" s="11">
        <v>249</v>
      </c>
      <c r="H579" s="11">
        <v>34</v>
      </c>
      <c r="I579" s="11">
        <v>0</v>
      </c>
      <c r="J579" s="11">
        <v>1</v>
      </c>
      <c r="K579" s="11" t="s">
        <v>21</v>
      </c>
      <c r="L579" s="7">
        <v>42182.071817129632</v>
      </c>
      <c r="M579" s="12"/>
      <c r="N579" s="12"/>
      <c r="O579" s="10" t="str">
        <f>HYPERLINK("https://pbs.twimg.com/profile_images/694644745558212608/y4VKK2aP_normal.jpg","View")</f>
        <v>View</v>
      </c>
      <c r="P579" s="11"/>
    </row>
    <row r="580" spans="1:16" ht="12.75" x14ac:dyDescent="0.35">
      <c r="A580" s="7">
        <v>42481.553946759261</v>
      </c>
      <c r="B580" s="8" t="str">
        <f>HYPERLINK("https://twitter.com/shiryaevdomaneg","@shiryaevdomaneg")</f>
        <v>@shiryaevdomaneg</v>
      </c>
      <c r="C580" s="9" t="s">
        <v>1641</v>
      </c>
      <c r="D580" s="9" t="s">
        <v>1642</v>
      </c>
      <c r="E580" s="10" t="str">
        <f>HYPERLINK("https://twitter.com/shiryaevdomaneg/status/723055591325728768","723055591325728768")</f>
        <v>723055591325728768</v>
      </c>
      <c r="F580" s="11" t="s">
        <v>43</v>
      </c>
      <c r="G580" s="11">
        <v>220</v>
      </c>
      <c r="H580" s="11">
        <v>272</v>
      </c>
      <c r="I580" s="11">
        <v>0</v>
      </c>
      <c r="J580" s="11">
        <v>0</v>
      </c>
      <c r="K580" s="11" t="s">
        <v>21</v>
      </c>
      <c r="L580" s="7">
        <v>42438.107048611113</v>
      </c>
      <c r="M580" s="12"/>
      <c r="N580" s="12"/>
      <c r="O580" s="10" t="str">
        <f>HYPERLINK("https://pbs.twimg.com/profile_images/707311591440699393/hNBW2eth_normal.jpg","View")</f>
        <v>View</v>
      </c>
      <c r="P580" s="11"/>
    </row>
    <row r="581" spans="1:16" ht="12.75" x14ac:dyDescent="0.35">
      <c r="A581" s="7">
        <v>42481.554548611108</v>
      </c>
      <c r="B581" s="8" t="str">
        <f>HYPERLINK("https://twitter.com/Sufiy","@Sufiy")</f>
        <v>@Sufiy</v>
      </c>
      <c r="C581" s="9" t="s">
        <v>1556</v>
      </c>
      <c r="D581" s="9" t="s">
        <v>1643</v>
      </c>
      <c r="E581" s="10" t="str">
        <f>HYPERLINK("https://twitter.com/Sufiy/status/723055811690397696","723055811690397696")</f>
        <v>723055811690397696</v>
      </c>
      <c r="F581" s="11" t="s">
        <v>91</v>
      </c>
      <c r="G581" s="11">
        <v>1723</v>
      </c>
      <c r="H581" s="11">
        <v>2049</v>
      </c>
      <c r="I581" s="11">
        <v>2</v>
      </c>
      <c r="J581" s="11">
        <v>0</v>
      </c>
      <c r="K581" s="11" t="s">
        <v>21</v>
      </c>
      <c r="L581" s="7">
        <v>39996.211608796293</v>
      </c>
      <c r="M581" s="12" t="s">
        <v>1557</v>
      </c>
      <c r="N581" s="12" t="s">
        <v>1558</v>
      </c>
      <c r="O581" s="10" t="str">
        <f>HYPERLINK("https://pbs.twimg.com/profile_images/292857657/GreenGrowth_normal.jpg","View")</f>
        <v>View</v>
      </c>
      <c r="P581" s="11"/>
    </row>
    <row r="582" spans="1:16" ht="12.75" x14ac:dyDescent="0.35">
      <c r="A582" s="7">
        <v>42481.554722222223</v>
      </c>
      <c r="B582" s="8" t="str">
        <f>HYPERLINK("https://twitter.com/maritimegallery","@maritimegallery")</f>
        <v>@maritimegallery</v>
      </c>
      <c r="C582" s="9" t="s">
        <v>1626</v>
      </c>
      <c r="D582" s="9" t="s">
        <v>1644</v>
      </c>
      <c r="E582" s="10" t="str">
        <f>HYPERLINK("https://twitter.com/maritimegallery/status/723055873103253504","723055873103253504")</f>
        <v>723055873103253504</v>
      </c>
      <c r="F582" s="11" t="s">
        <v>43</v>
      </c>
      <c r="G582" s="11">
        <v>1141</v>
      </c>
      <c r="H582" s="11">
        <v>2214</v>
      </c>
      <c r="I582" s="11">
        <v>0</v>
      </c>
      <c r="J582" s="11">
        <v>0</v>
      </c>
      <c r="K582" s="11" t="s">
        <v>21</v>
      </c>
      <c r="L582" s="7">
        <v>41608.837141203701</v>
      </c>
      <c r="M582" s="12" t="s">
        <v>638</v>
      </c>
      <c r="N582" s="12" t="s">
        <v>1628</v>
      </c>
      <c r="O582" s="10" t="str">
        <f>HYPERLINK("https://pbs.twimg.com/profile_images/378800000811296054/a3acc5391fa9d6a7b27ffcf3dcd7a89e_normal.jpeg","View")</f>
        <v>View</v>
      </c>
      <c r="P582" s="11"/>
    </row>
    <row r="583" spans="1:16" ht="12.75" x14ac:dyDescent="0.35">
      <c r="A583" s="7">
        <v>42481.554791666669</v>
      </c>
      <c r="B583" s="8" t="str">
        <f>HYPERLINK("https://twitter.com/damugo1974","@damugo1974")</f>
        <v>@damugo1974</v>
      </c>
      <c r="C583" s="9" t="s">
        <v>1645</v>
      </c>
      <c r="D583" s="9" t="s">
        <v>1646</v>
      </c>
      <c r="E583" s="10" t="str">
        <f>HYPERLINK("https://twitter.com/damugo1974/status/723055899124752384","723055899124752384")</f>
        <v>723055899124752384</v>
      </c>
      <c r="F583" s="11" t="s">
        <v>43</v>
      </c>
      <c r="G583" s="11">
        <v>43</v>
      </c>
      <c r="H583" s="11">
        <v>127</v>
      </c>
      <c r="I583" s="11">
        <v>1</v>
      </c>
      <c r="J583" s="11">
        <v>0</v>
      </c>
      <c r="K583" s="11" t="s">
        <v>21</v>
      </c>
      <c r="L583" s="7">
        <v>41425.042083333334</v>
      </c>
      <c r="M583" s="12" t="s">
        <v>1647</v>
      </c>
      <c r="N583" s="12"/>
      <c r="O583" s="10" t="str">
        <f>HYPERLINK("https://pbs.twimg.com/profile_images/588293168321335296/51B8hEpE_normal.png","View")</f>
        <v>View</v>
      </c>
      <c r="P583" s="11"/>
    </row>
    <row r="584" spans="1:16" ht="12.75" x14ac:dyDescent="0.35">
      <c r="A584" s="7">
        <v>42481.555868055555</v>
      </c>
      <c r="B584" s="8" t="str">
        <f>HYPERLINK("https://twitter.com/handelsblatt","@handelsblatt")</f>
        <v>@handelsblatt</v>
      </c>
      <c r="C584" s="9" t="s">
        <v>973</v>
      </c>
      <c r="D584" s="9" t="s">
        <v>1648</v>
      </c>
      <c r="E584" s="10" t="str">
        <f>HYPERLINK("https://twitter.com/handelsblatt/status/723056286645006336","723056286645006336")</f>
        <v>723056286645006336</v>
      </c>
      <c r="F584" s="11" t="s">
        <v>63</v>
      </c>
      <c r="G584" s="11">
        <v>239918</v>
      </c>
      <c r="H584" s="11">
        <v>534</v>
      </c>
      <c r="I584" s="11">
        <v>3</v>
      </c>
      <c r="J584" s="11">
        <v>1</v>
      </c>
      <c r="K584" s="11" t="s">
        <v>21</v>
      </c>
      <c r="L584" s="7">
        <v>39207.128182870372</v>
      </c>
      <c r="M584" s="12" t="s">
        <v>975</v>
      </c>
      <c r="N584" s="12" t="s">
        <v>976</v>
      </c>
      <c r="O584" s="10" t="str">
        <f>HYPERLINK("https://pbs.twimg.com/profile_images/562563461171798017/AkHF4keI_normal.png","View")</f>
        <v>View</v>
      </c>
      <c r="P584" s="11"/>
    </row>
    <row r="585" spans="1:16" ht="12.75" x14ac:dyDescent="0.35">
      <c r="A585" s="7">
        <v>42481.556250000001</v>
      </c>
      <c r="B585" s="8" t="str">
        <f>HYPERLINK("https://twitter.com/KSCoghlan","@KSCoghlan")</f>
        <v>@KSCoghlan</v>
      </c>
      <c r="C585" s="9" t="s">
        <v>1649</v>
      </c>
      <c r="D585" s="9" t="s">
        <v>1514</v>
      </c>
      <c r="E585" s="10" t="str">
        <f>HYPERLINK("https://twitter.com/KSCoghlan/status/723056425971253248","723056425971253248")</f>
        <v>723056425971253248</v>
      </c>
      <c r="F585" s="11" t="s">
        <v>20</v>
      </c>
      <c r="G585" s="11">
        <v>249</v>
      </c>
      <c r="H585" s="11">
        <v>271</v>
      </c>
      <c r="I585" s="11">
        <v>3</v>
      </c>
      <c r="J585" s="11">
        <v>0</v>
      </c>
      <c r="K585" s="11" t="s">
        <v>21</v>
      </c>
      <c r="L585" s="7">
        <v>41864.677372685182</v>
      </c>
      <c r="M585" s="12"/>
      <c r="N585" s="12" t="s">
        <v>1650</v>
      </c>
      <c r="O585" s="10" t="str">
        <f>HYPERLINK("https://pbs.twimg.com/profile_images/500457594234736640/JfyXymKL_normal.jpeg","View")</f>
        <v>View</v>
      </c>
      <c r="P585" s="11"/>
    </row>
    <row r="586" spans="1:16" ht="12.75" x14ac:dyDescent="0.35">
      <c r="A586" s="7">
        <v>42481.556388888886</v>
      </c>
      <c r="B586" s="8" t="str">
        <f>HYPERLINK("https://twitter.com/ME262P","@ME262P")</f>
        <v>@ME262P</v>
      </c>
      <c r="C586" s="9" t="s">
        <v>1651</v>
      </c>
      <c r="D586" s="9" t="s">
        <v>1652</v>
      </c>
      <c r="E586" s="10" t="str">
        <f>HYPERLINK("https://twitter.com/ME262P/status/723056478119063552","723056478119063552")</f>
        <v>723056478119063552</v>
      </c>
      <c r="F586" s="11" t="s">
        <v>43</v>
      </c>
      <c r="G586" s="11">
        <v>176</v>
      </c>
      <c r="H586" s="11">
        <v>455</v>
      </c>
      <c r="I586" s="11">
        <v>3</v>
      </c>
      <c r="J586" s="11">
        <v>0</v>
      </c>
      <c r="K586" s="11" t="s">
        <v>21</v>
      </c>
      <c r="L586" s="7">
        <v>41883.920868055553</v>
      </c>
      <c r="M586" s="12"/>
      <c r="N586" s="12" t="s">
        <v>1653</v>
      </c>
      <c r="O586" s="10" t="str">
        <f>HYPERLINK("https://pbs.twimg.com/profile_images/534347903415091200/7vSjzA4l_normal.jpeg","View")</f>
        <v>View</v>
      </c>
      <c r="P586" s="11"/>
    </row>
    <row r="587" spans="1:16" ht="12.75" x14ac:dyDescent="0.35">
      <c r="A587" s="7">
        <v>42481.556666666671</v>
      </c>
      <c r="B587" s="8" t="str">
        <f>HYPERLINK("https://twitter.com/EineAnderePolit","@EineAnderePolit")</f>
        <v>@EineAnderePolit</v>
      </c>
      <c r="C587" s="9" t="s">
        <v>1654</v>
      </c>
      <c r="D587" s="9" t="s">
        <v>854</v>
      </c>
      <c r="E587" s="10" t="str">
        <f>HYPERLINK("https://twitter.com/EineAnderePolit/status/723056578937671680","723056578937671680")</f>
        <v>723056578937671680</v>
      </c>
      <c r="F587" s="11" t="s">
        <v>48</v>
      </c>
      <c r="G587" s="11">
        <v>377</v>
      </c>
      <c r="H587" s="11">
        <v>388</v>
      </c>
      <c r="I587" s="11">
        <v>11</v>
      </c>
      <c r="J587" s="11">
        <v>0</v>
      </c>
      <c r="K587" s="11" t="s">
        <v>21</v>
      </c>
      <c r="L587" s="7">
        <v>40970.747534722221</v>
      </c>
      <c r="M587" s="12"/>
      <c r="N587" s="12" t="s">
        <v>1655</v>
      </c>
      <c r="O587" s="10" t="str">
        <f>HYPERLINK("https://pbs.twimg.com/profile_images/657102687893327873/IWixsvBW_normal.jpg","View")</f>
        <v>View</v>
      </c>
      <c r="P587" s="11"/>
    </row>
    <row r="588" spans="1:16" ht="12.75" x14ac:dyDescent="0.35">
      <c r="A588" s="7">
        <v>42481.557152777779</v>
      </c>
      <c r="B588" s="8" t="str">
        <f>HYPERLINK("https://twitter.com/Aufziehvogel_LE","@Aufziehvogel_LE")</f>
        <v>@Aufziehvogel_LE</v>
      </c>
      <c r="C588" s="9" t="s">
        <v>1656</v>
      </c>
      <c r="D588" s="9" t="s">
        <v>1657</v>
      </c>
      <c r="E588" s="10" t="str">
        <f>HYPERLINK("https://twitter.com/Aufziehvogel_LE/status/723056753554890752","723056753554890752")</f>
        <v>723056753554890752</v>
      </c>
      <c r="F588" s="11" t="s">
        <v>114</v>
      </c>
      <c r="G588" s="11">
        <v>702</v>
      </c>
      <c r="H588" s="11">
        <v>451</v>
      </c>
      <c r="I588" s="11">
        <v>0</v>
      </c>
      <c r="J588" s="11">
        <v>3</v>
      </c>
      <c r="K588" s="11" t="s">
        <v>21</v>
      </c>
      <c r="L588" s="7">
        <v>40340.850393518514</v>
      </c>
      <c r="M588" s="12" t="s">
        <v>1658</v>
      </c>
      <c r="N588" s="12" t="s">
        <v>1659</v>
      </c>
      <c r="O588" s="10" t="str">
        <f>HYPERLINK("https://pbs.twimg.com/profile_images/412511127864500224/h2Y9i8Ok_normal.jpeg","View")</f>
        <v>View</v>
      </c>
      <c r="P588" s="10" t="str">
        <f>HYPERLINK("http://ctrlq.org/maps/address/#48.15,11.5833","Map")</f>
        <v>Map</v>
      </c>
    </row>
    <row r="589" spans="1:16" ht="12.75" x14ac:dyDescent="0.35">
      <c r="A589" s="7">
        <v>42481.55773148148</v>
      </c>
      <c r="B589" s="8" t="str">
        <f>HYPERLINK("https://twitter.com/NDRreporter","@NDRreporter")</f>
        <v>@NDRreporter</v>
      </c>
      <c r="C589" s="9" t="s">
        <v>1660</v>
      </c>
      <c r="D589" s="9" t="s">
        <v>1661</v>
      </c>
      <c r="E589" s="10" t="str">
        <f>HYPERLINK("https://twitter.com/NDRreporter/status/723056965568450560","723056965568450560")</f>
        <v>723056965568450560</v>
      </c>
      <c r="F589" s="11" t="s">
        <v>43</v>
      </c>
      <c r="G589" s="11">
        <v>11483</v>
      </c>
      <c r="H589" s="11">
        <v>297</v>
      </c>
      <c r="I589" s="11">
        <v>0</v>
      </c>
      <c r="J589" s="11">
        <v>0</v>
      </c>
      <c r="K589" s="11" t="s">
        <v>21</v>
      </c>
      <c r="L589" s="7">
        <v>41386.591909722221</v>
      </c>
      <c r="M589" s="12" t="s">
        <v>953</v>
      </c>
      <c r="N589" s="12" t="s">
        <v>1662</v>
      </c>
      <c r="O589" s="10" t="str">
        <f>HYPERLINK("https://pbs.twimg.com/profile_images/466908605317279744/I5a712BQ_normal.jpeg","View")</f>
        <v>View</v>
      </c>
      <c r="P589" s="11"/>
    </row>
    <row r="590" spans="1:16" ht="12.75" x14ac:dyDescent="0.35">
      <c r="A590" s="7">
        <v>42481.559803240743</v>
      </c>
      <c r="B590" s="8" t="str">
        <f>HYPERLINK("https://twitter.com/zeitonline","@zeitonline")</f>
        <v>@zeitonline</v>
      </c>
      <c r="C590" s="9" t="s">
        <v>1663</v>
      </c>
      <c r="D590" s="9" t="s">
        <v>1664</v>
      </c>
      <c r="E590" s="10" t="str">
        <f>HYPERLINK("https://twitter.com/zeitonline/status/723057715241693184","723057715241693184")</f>
        <v>723057715241693184</v>
      </c>
      <c r="F590" s="11" t="s">
        <v>1665</v>
      </c>
      <c r="G590" s="11">
        <v>1171092</v>
      </c>
      <c r="H590" s="11">
        <v>22</v>
      </c>
      <c r="I590" s="11">
        <v>4</v>
      </c>
      <c r="J590" s="11">
        <v>6</v>
      </c>
      <c r="K590" s="11" t="s">
        <v>21</v>
      </c>
      <c r="L590" s="7">
        <v>39204.865983796299</v>
      </c>
      <c r="M590" s="12" t="s">
        <v>1666</v>
      </c>
      <c r="N590" s="12" t="s">
        <v>1667</v>
      </c>
      <c r="O590" s="10" t="str">
        <f>HYPERLINK("https://pbs.twimg.com/profile_images/702423578608852994/zVbR9TA1_normal.jpg","View")</f>
        <v>View</v>
      </c>
      <c r="P590" s="11"/>
    </row>
    <row r="591" spans="1:16" ht="12.75" x14ac:dyDescent="0.35">
      <c r="A591" s="7">
        <v>42481.559849537036</v>
      </c>
      <c r="B591" s="8" t="str">
        <f t="shared" ref="B591:B592" si="58">HYPERLINK("https://twitter.com/techhippie","@techhippie")</f>
        <v>@techhippie</v>
      </c>
      <c r="C591" s="9" t="s">
        <v>246</v>
      </c>
      <c r="D591" s="9" t="s">
        <v>1668</v>
      </c>
      <c r="E591" s="10" t="str">
        <f>HYPERLINK("https://twitter.com/techhippie/status/723057730890641408","723057730890641408")</f>
        <v>723057730890641408</v>
      </c>
      <c r="F591" s="11" t="s">
        <v>68</v>
      </c>
      <c r="G591" s="11">
        <v>2471</v>
      </c>
      <c r="H591" s="11">
        <v>3835</v>
      </c>
      <c r="I591" s="11">
        <v>0</v>
      </c>
      <c r="J591" s="11">
        <v>0</v>
      </c>
      <c r="K591" s="11" t="s">
        <v>21</v>
      </c>
      <c r="L591" s="7">
        <v>42424.852152777778</v>
      </c>
      <c r="M591" s="12" t="s">
        <v>248</v>
      </c>
      <c r="N591" s="12" t="s">
        <v>249</v>
      </c>
      <c r="O591" s="10" t="str">
        <f t="shared" ref="O591:O592" si="59">HYPERLINK("https://pbs.twimg.com/profile_images/702511217793863680/lty8h9vE_normal.jpg","View")</f>
        <v>View</v>
      </c>
      <c r="P591" s="11"/>
    </row>
    <row r="592" spans="1:16" ht="12.75" x14ac:dyDescent="0.35">
      <c r="A592" s="7">
        <v>42481.559918981482</v>
      </c>
      <c r="B592" s="8" t="str">
        <f t="shared" si="58"/>
        <v>@techhippie</v>
      </c>
      <c r="C592" s="9" t="s">
        <v>246</v>
      </c>
      <c r="D592" s="9" t="s">
        <v>1669</v>
      </c>
      <c r="E592" s="10" t="str">
        <f>HYPERLINK("https://twitter.com/techhippie/status/723057756689805312","723057756689805312")</f>
        <v>723057756689805312</v>
      </c>
      <c r="F592" s="11" t="s">
        <v>68</v>
      </c>
      <c r="G592" s="11">
        <v>2471</v>
      </c>
      <c r="H592" s="11">
        <v>3835</v>
      </c>
      <c r="I592" s="11">
        <v>0</v>
      </c>
      <c r="J592" s="11">
        <v>0</v>
      </c>
      <c r="K592" s="11" t="s">
        <v>21</v>
      </c>
      <c r="L592" s="7">
        <v>42424.852152777778</v>
      </c>
      <c r="M592" s="12" t="s">
        <v>248</v>
      </c>
      <c r="N592" s="12" t="s">
        <v>249</v>
      </c>
      <c r="O592" s="10" t="str">
        <f t="shared" si="59"/>
        <v>View</v>
      </c>
      <c r="P592" s="11"/>
    </row>
    <row r="593" spans="1:16" ht="12.75" x14ac:dyDescent="0.35">
      <c r="A593" s="7">
        <v>42481.562881944439</v>
      </c>
      <c r="B593" s="8" t="str">
        <f>HYPERLINK("https://twitter.com/soundsofawesome","@soundsofawesome")</f>
        <v>@soundsofawesome</v>
      </c>
      <c r="C593" s="9" t="s">
        <v>1670</v>
      </c>
      <c r="D593" s="9" t="s">
        <v>352</v>
      </c>
      <c r="E593" s="10" t="str">
        <f>HYPERLINK("https://twitter.com/soundsofawesome/status/723058830230298624","723058830230298624")</f>
        <v>723058830230298624</v>
      </c>
      <c r="F593" s="11" t="s">
        <v>20</v>
      </c>
      <c r="G593" s="11">
        <v>10</v>
      </c>
      <c r="H593" s="11">
        <v>20</v>
      </c>
      <c r="I593" s="11">
        <v>5</v>
      </c>
      <c r="J593" s="11">
        <v>0</v>
      </c>
      <c r="K593" s="11" t="s">
        <v>21</v>
      </c>
      <c r="L593" s="7">
        <v>41535.263414351852</v>
      </c>
      <c r="M593" s="12"/>
      <c r="N593" s="12" t="s">
        <v>1671</v>
      </c>
      <c r="O593" s="10" t="str">
        <f>HYPERLINK("https://pbs.twimg.com/profile_images/378800000471630648/a95691815bc486025cede45197e62b24_normal.jpeg","View")</f>
        <v>View</v>
      </c>
      <c r="P593" s="11"/>
    </row>
    <row r="594" spans="1:16" ht="12.75" x14ac:dyDescent="0.35">
      <c r="A594" s="7">
        <v>42481.562951388885</v>
      </c>
      <c r="B594" s="8" t="str">
        <f>HYPERLINK("https://twitter.com/carstech42160","@carstech42160")</f>
        <v>@carstech42160</v>
      </c>
      <c r="C594" s="9" t="s">
        <v>1672</v>
      </c>
      <c r="D594" s="9" t="s">
        <v>1673</v>
      </c>
      <c r="E594" s="10" t="str">
        <f>HYPERLINK("https://twitter.com/carstech42160/status/723058855320514561","723058855320514561")</f>
        <v>723058855320514561</v>
      </c>
      <c r="F594" s="11" t="s">
        <v>43</v>
      </c>
      <c r="G594" s="11">
        <v>62</v>
      </c>
      <c r="H594" s="11">
        <v>323</v>
      </c>
      <c r="I594" s="11">
        <v>0</v>
      </c>
      <c r="J594" s="11">
        <v>0</v>
      </c>
      <c r="K594" s="11" t="s">
        <v>21</v>
      </c>
      <c r="L594" s="7">
        <v>42240.802777777775</v>
      </c>
      <c r="M594" s="12" t="s">
        <v>1674</v>
      </c>
      <c r="N594" s="12" t="s">
        <v>1675</v>
      </c>
      <c r="O594" s="10" t="str">
        <f>HYPERLINK("https://pbs.twimg.com/profile_images/709727688462831616/KG2oHK_4_normal.jpg","View")</f>
        <v>View</v>
      </c>
      <c r="P594" s="11"/>
    </row>
    <row r="595" spans="1:16" ht="12.75" x14ac:dyDescent="0.35">
      <c r="A595" s="7">
        <v>42481.565081018518</v>
      </c>
      <c r="B595" s="8" t="str">
        <f>HYPERLINK("https://twitter.com/Kurtzer90","@Kurtzer90")</f>
        <v>@Kurtzer90</v>
      </c>
      <c r="C595" s="9" t="s">
        <v>1676</v>
      </c>
      <c r="D595" s="9" t="s">
        <v>1030</v>
      </c>
      <c r="E595" s="10" t="str">
        <f>HYPERLINK("https://twitter.com/Kurtzer90/status/723059628842602496","723059628842602496")</f>
        <v>723059628842602496</v>
      </c>
      <c r="F595" s="11" t="s">
        <v>20</v>
      </c>
      <c r="G595" s="11">
        <v>26</v>
      </c>
      <c r="H595" s="11">
        <v>45</v>
      </c>
      <c r="I595" s="11">
        <v>3</v>
      </c>
      <c r="J595" s="11">
        <v>0</v>
      </c>
      <c r="K595" s="11" t="s">
        <v>21</v>
      </c>
      <c r="L595" s="7">
        <v>40801.69630787037</v>
      </c>
      <c r="M595" s="12"/>
      <c r="N595" s="12"/>
      <c r="O595" s="10" t="str">
        <f>HYPERLINK("https://pbs.twimg.com/profile_images/463700870073286657/N6mCbx-y_normal.png","View")</f>
        <v>View</v>
      </c>
      <c r="P595" s="11"/>
    </row>
    <row r="596" spans="1:16" ht="12.75" x14ac:dyDescent="0.35">
      <c r="A596" s="7">
        <v>42481.565185185187</v>
      </c>
      <c r="B596" s="8" t="str">
        <f>HYPERLINK("https://twitter.com/BWResearch","@BWResearch")</f>
        <v>@BWResearch</v>
      </c>
      <c r="C596" s="9" t="s">
        <v>1677</v>
      </c>
      <c r="D596" s="9" t="s">
        <v>1678</v>
      </c>
      <c r="E596" s="10" t="str">
        <f>HYPERLINK("https://twitter.com/BWResearch/status/723059664192188416","723059664192188416")</f>
        <v>723059664192188416</v>
      </c>
      <c r="F596" s="11" t="s">
        <v>53</v>
      </c>
      <c r="G596" s="11">
        <v>879</v>
      </c>
      <c r="H596" s="11">
        <v>800</v>
      </c>
      <c r="I596" s="11">
        <v>0</v>
      </c>
      <c r="J596" s="11">
        <v>0</v>
      </c>
      <c r="K596" s="11" t="s">
        <v>21</v>
      </c>
      <c r="L596" s="7">
        <v>40467.013333333336</v>
      </c>
      <c r="M596" s="12" t="s">
        <v>1679</v>
      </c>
      <c r="N596" s="12" t="s">
        <v>1680</v>
      </c>
      <c r="O596" s="10" t="str">
        <f>HYPERLINK("https://pbs.twimg.com/profile_images/1454103259/logo_normal.gif","View")</f>
        <v>View</v>
      </c>
      <c r="P596" s="11"/>
    </row>
    <row r="597" spans="1:16" ht="12.75" x14ac:dyDescent="0.35">
      <c r="A597" s="7">
        <v>42481.567175925928</v>
      </c>
      <c r="B597" s="8" t="str">
        <f>HYPERLINK("https://twitter.com/Marina_Ilona","@Marina_Ilona")</f>
        <v>@Marina_Ilona</v>
      </c>
      <c r="C597" s="9" t="s">
        <v>1681</v>
      </c>
      <c r="D597" s="9" t="s">
        <v>1682</v>
      </c>
      <c r="E597" s="10" t="str">
        <f>HYPERLINK("https://twitter.com/Marina_Ilona/status/723060386069659648","723060386069659648")</f>
        <v>723060386069659648</v>
      </c>
      <c r="F597" s="11" t="s">
        <v>20</v>
      </c>
      <c r="G597" s="11">
        <v>421</v>
      </c>
      <c r="H597" s="11">
        <v>151</v>
      </c>
      <c r="I597" s="11">
        <v>4</v>
      </c>
      <c r="J597" s="11">
        <v>0</v>
      </c>
      <c r="K597" s="11" t="s">
        <v>21</v>
      </c>
      <c r="L597" s="7">
        <v>41131.625451388885</v>
      </c>
      <c r="M597" s="12" t="s">
        <v>1683</v>
      </c>
      <c r="N597" s="12" t="s">
        <v>1684</v>
      </c>
      <c r="O597" s="10" t="str">
        <f>HYPERLINK("https://pbs.twimg.com/profile_images/692310744122179588/mSQOWSau_normal.jpg","View")</f>
        <v>View</v>
      </c>
      <c r="P597" s="11"/>
    </row>
    <row r="598" spans="1:16" ht="12.75" x14ac:dyDescent="0.35">
      <c r="A598" s="7">
        <v>42481.567430555559</v>
      </c>
      <c r="B598" s="8" t="str">
        <f>HYPERLINK("https://twitter.com/vwpress_en","@vwpress_en")</f>
        <v>@vwpress_en</v>
      </c>
      <c r="C598" s="9" t="s">
        <v>1685</v>
      </c>
      <c r="D598" s="9" t="s">
        <v>1686</v>
      </c>
      <c r="E598" s="10" t="str">
        <f>HYPERLINK("https://twitter.com/vwpress_en/status/723060477010546688","723060477010546688")</f>
        <v>723060477010546688</v>
      </c>
      <c r="F598" s="11" t="s">
        <v>152</v>
      </c>
      <c r="G598" s="11">
        <v>54717</v>
      </c>
      <c r="H598" s="11">
        <v>339</v>
      </c>
      <c r="I598" s="11">
        <v>3</v>
      </c>
      <c r="J598" s="11">
        <v>11</v>
      </c>
      <c r="K598" s="11" t="s">
        <v>21</v>
      </c>
      <c r="L598" s="7">
        <v>42041.83189814815</v>
      </c>
      <c r="M598" s="12" t="s">
        <v>1687</v>
      </c>
      <c r="N598" s="12" t="s">
        <v>1688</v>
      </c>
      <c r="O598" s="10" t="str">
        <f>HYPERLINK("https://pbs.twimg.com/profile_images/682117963349135360/IUfZQy35_normal.png","View")</f>
        <v>View</v>
      </c>
      <c r="P598" s="11"/>
    </row>
    <row r="599" spans="1:16" ht="12.75" x14ac:dyDescent="0.35">
      <c r="A599" s="7">
        <v>42481.56753472222</v>
      </c>
      <c r="B599" s="8" t="str">
        <f>HYPERLINK("https://twitter.com/vwpress_de","@vwpress_de")</f>
        <v>@vwpress_de</v>
      </c>
      <c r="C599" s="9" t="s">
        <v>1685</v>
      </c>
      <c r="D599" s="9" t="s">
        <v>1689</v>
      </c>
      <c r="E599" s="10" t="str">
        <f>HYPERLINK("https://twitter.com/vwpress_de/status/723060517577850880","723060517577850880")</f>
        <v>723060517577850880</v>
      </c>
      <c r="F599" s="11" t="s">
        <v>152</v>
      </c>
      <c r="G599" s="11">
        <v>5763</v>
      </c>
      <c r="H599" s="11">
        <v>610</v>
      </c>
      <c r="I599" s="11">
        <v>0</v>
      </c>
      <c r="J599" s="11">
        <v>1</v>
      </c>
      <c r="K599" s="11" t="s">
        <v>21</v>
      </c>
      <c r="L599" s="7">
        <v>42041.830381944441</v>
      </c>
      <c r="M599" s="12" t="s">
        <v>1690</v>
      </c>
      <c r="N599" s="12" t="s">
        <v>1691</v>
      </c>
      <c r="O599" s="10" t="str">
        <f>HYPERLINK("https://pbs.twimg.com/profile_images/682117656502222848/Ge7YeAF3_normal.png","View")</f>
        <v>View</v>
      </c>
      <c r="P599" s="11"/>
    </row>
    <row r="600" spans="1:16" ht="12.75" x14ac:dyDescent="0.35">
      <c r="A600" s="7">
        <v>42481.568993055553</v>
      </c>
      <c r="B600" s="8" t="str">
        <f>HYPERLINK("https://twitter.com/ksujan16","@ksujan16")</f>
        <v>@ksujan16</v>
      </c>
      <c r="C600" s="9" t="s">
        <v>1692</v>
      </c>
      <c r="D600" s="9" t="s">
        <v>1693</v>
      </c>
      <c r="E600" s="10" t="str">
        <f>HYPERLINK("https://twitter.com/ksujan16/status/723061043300192257","723061043300192257")</f>
        <v>723061043300192257</v>
      </c>
      <c r="F600" s="11" t="s">
        <v>20</v>
      </c>
      <c r="G600" s="11">
        <v>679</v>
      </c>
      <c r="H600" s="11">
        <v>1336</v>
      </c>
      <c r="I600" s="11">
        <v>3</v>
      </c>
      <c r="J600" s="11">
        <v>0</v>
      </c>
      <c r="K600" s="11" t="s">
        <v>21</v>
      </c>
      <c r="L600" s="7">
        <v>42443.642129629632</v>
      </c>
      <c r="M600" s="12"/>
      <c r="N600" s="12"/>
      <c r="O600" s="10" t="str">
        <f>HYPERLINK("https://pbs.twimg.com/profile_images/709319178251964416/HcPFO-Tj_normal.jpg","View")</f>
        <v>View</v>
      </c>
      <c r="P600" s="11"/>
    </row>
    <row r="601" spans="1:16" ht="12.75" x14ac:dyDescent="0.35">
      <c r="A601" s="7">
        <v>42481.56925925926</v>
      </c>
      <c r="B601" s="8" t="str">
        <f>HYPERLINK("https://twitter.com/boeser_Klaus","@boeser_Klaus")</f>
        <v>@boeser_Klaus</v>
      </c>
      <c r="C601" s="9" t="s">
        <v>1694</v>
      </c>
      <c r="D601" s="9" t="s">
        <v>854</v>
      </c>
      <c r="E601" s="10" t="str">
        <f>HYPERLINK("https://twitter.com/boeser_Klaus/status/723061142550007808","723061142550007808")</f>
        <v>723061142550007808</v>
      </c>
      <c r="F601" s="11" t="s">
        <v>43</v>
      </c>
      <c r="G601" s="11">
        <v>311</v>
      </c>
      <c r="H601" s="11">
        <v>401</v>
      </c>
      <c r="I601" s="11">
        <v>11</v>
      </c>
      <c r="J601" s="11">
        <v>0</v>
      </c>
      <c r="K601" s="11" t="s">
        <v>21</v>
      </c>
      <c r="L601" s="7">
        <v>41411.095185185186</v>
      </c>
      <c r="M601" s="12" t="s">
        <v>1695</v>
      </c>
      <c r="N601" s="12" t="s">
        <v>1696</v>
      </c>
      <c r="O601" s="10" t="str">
        <f>HYPERLINK("https://pbs.twimg.com/profile_images/3668786744/579a077df8e8a1808ea48107bc6d84fd_normal.jpeg","View")</f>
        <v>View</v>
      </c>
      <c r="P601" s="11"/>
    </row>
    <row r="602" spans="1:16" ht="12.75" x14ac:dyDescent="0.35">
      <c r="A602" s="7">
        <v>42481.569687499999</v>
      </c>
      <c r="B602" s="8" t="str">
        <f>HYPERLINK("https://twitter.com/shinemyrideuk","@shinemyrideuk")</f>
        <v>@shinemyrideuk</v>
      </c>
      <c r="C602" s="9" t="s">
        <v>1697</v>
      </c>
      <c r="D602" s="9" t="s">
        <v>1698</v>
      </c>
      <c r="E602" s="10" t="str">
        <f>HYPERLINK("https://twitter.com/shinemyrideuk/status/723061297349271552","723061297349271552")</f>
        <v>723061297349271552</v>
      </c>
      <c r="F602" s="11" t="s">
        <v>152</v>
      </c>
      <c r="G602" s="11">
        <v>1514</v>
      </c>
      <c r="H602" s="11">
        <v>531</v>
      </c>
      <c r="I602" s="11">
        <v>1</v>
      </c>
      <c r="J602" s="11">
        <v>1</v>
      </c>
      <c r="K602" s="11" t="s">
        <v>21</v>
      </c>
      <c r="L602" s="7">
        <v>40504.286840277782</v>
      </c>
      <c r="M602" s="12" t="s">
        <v>1699</v>
      </c>
      <c r="N602" s="12" t="s">
        <v>1700</v>
      </c>
      <c r="O602" s="10" t="str">
        <f>HYPERLINK("https://pbs.twimg.com/profile_images/673219952988413952/RwM7EX2v_normal.png","View")</f>
        <v>View</v>
      </c>
      <c r="P602" s="11"/>
    </row>
    <row r="603" spans="1:16" ht="12.75" x14ac:dyDescent="0.35">
      <c r="A603" s="7">
        <v>42481.5700462963</v>
      </c>
      <c r="B603" s="8" t="str">
        <f>HYPERLINK("https://twitter.com/gertschulze","@gertschulze")</f>
        <v>@gertschulze</v>
      </c>
      <c r="C603" s="9" t="s">
        <v>1701</v>
      </c>
      <c r="D603" s="9" t="s">
        <v>1682</v>
      </c>
      <c r="E603" s="10" t="str">
        <f>HYPERLINK("https://twitter.com/gertschulze/status/723061428287115264","723061428287115264")</f>
        <v>723061428287115264</v>
      </c>
      <c r="F603" s="11" t="s">
        <v>48</v>
      </c>
      <c r="G603" s="11">
        <v>20</v>
      </c>
      <c r="H603" s="11">
        <v>60</v>
      </c>
      <c r="I603" s="11">
        <v>4</v>
      </c>
      <c r="J603" s="11">
        <v>0</v>
      </c>
      <c r="K603" s="11" t="s">
        <v>21</v>
      </c>
      <c r="L603" s="7">
        <v>41732.776192129633</v>
      </c>
      <c r="M603" s="12" t="s">
        <v>1702</v>
      </c>
      <c r="N603" s="12" t="s">
        <v>1703</v>
      </c>
      <c r="O603" s="10" t="str">
        <f>HYPERLINK("https://pbs.twimg.com/profile_images/705027169228099584/Ql9hI--__normal.jpg","View")</f>
        <v>View</v>
      </c>
      <c r="P603" s="11"/>
    </row>
    <row r="604" spans="1:16" ht="12.75" x14ac:dyDescent="0.35">
      <c r="A604" s="7">
        <v>42481.570173611108</v>
      </c>
      <c r="B604" s="8" t="str">
        <f>HYPERLINK("https://twitter.com/mvdweyer","@mvdweyer")</f>
        <v>@mvdweyer</v>
      </c>
      <c r="C604" s="9" t="s">
        <v>1319</v>
      </c>
      <c r="D604" s="9" t="s">
        <v>1704</v>
      </c>
      <c r="E604" s="10" t="str">
        <f>HYPERLINK("https://twitter.com/mvdweyer/status/723061474344587264","723061474344587264")</f>
        <v>723061474344587264</v>
      </c>
      <c r="F604" s="11" t="s">
        <v>43</v>
      </c>
      <c r="G604" s="11">
        <v>478</v>
      </c>
      <c r="H604" s="11">
        <v>830</v>
      </c>
      <c r="I604" s="11">
        <v>0</v>
      </c>
      <c r="J604" s="11">
        <v>0</v>
      </c>
      <c r="K604" s="11" t="s">
        <v>21</v>
      </c>
      <c r="L604" s="7">
        <v>41129.776863425926</v>
      </c>
      <c r="M604" s="12" t="s">
        <v>1229</v>
      </c>
      <c r="N604" s="12" t="s">
        <v>1321</v>
      </c>
      <c r="O604" s="10" t="str">
        <f>HYPERLINK("https://pbs.twimg.com/profile_images/489747056584445953/3tvslEko_normal.jpeg","View")</f>
        <v>View</v>
      </c>
      <c r="P604" s="11"/>
    </row>
    <row r="605" spans="1:16" ht="12.75" x14ac:dyDescent="0.35">
      <c r="A605" s="7">
        <v>42481.570868055554</v>
      </c>
      <c r="B605" s="8" t="str">
        <f>HYPERLINK("https://twitter.com/VWBeetleSales","@VWBeetleSales")</f>
        <v>@VWBeetleSales</v>
      </c>
      <c r="C605" s="9" t="s">
        <v>127</v>
      </c>
      <c r="D605" s="9" t="s">
        <v>1705</v>
      </c>
      <c r="E605" s="10" t="str">
        <f>HYPERLINK("https://twitter.com/VWBeetleSales/status/723061722609684480","723061722609684480")</f>
        <v>723061722609684480</v>
      </c>
      <c r="F605" s="10" t="s">
        <v>124</v>
      </c>
      <c r="G605" s="11">
        <v>35</v>
      </c>
      <c r="H605" s="11">
        <v>32</v>
      </c>
      <c r="I605" s="11">
        <v>0</v>
      </c>
      <c r="J605" s="11">
        <v>0</v>
      </c>
      <c r="K605" s="11" t="s">
        <v>21</v>
      </c>
      <c r="L605" s="7">
        <v>42427.019756944443</v>
      </c>
      <c r="M605" s="12" t="s">
        <v>129</v>
      </c>
      <c r="N605" s="12" t="s">
        <v>130</v>
      </c>
      <c r="O605" s="10" t="str">
        <f>HYPERLINK("https://pbs.twimg.com/profile_images/703294545195307008/qeCvrX86_normal.jpg","View")</f>
        <v>View</v>
      </c>
      <c r="P605" s="11"/>
    </row>
    <row r="606" spans="1:16" ht="12.75" x14ac:dyDescent="0.35">
      <c r="A606" s="7">
        <v>42481.57167824074</v>
      </c>
      <c r="B606" s="8" t="str">
        <f>HYPERLINK("https://twitter.com/intellicar","@intellicar")</f>
        <v>@intellicar</v>
      </c>
      <c r="C606" s="8" t="s">
        <v>1706</v>
      </c>
      <c r="D606" s="9" t="s">
        <v>1707</v>
      </c>
      <c r="E606" s="10" t="str">
        <f>HYPERLINK("https://twitter.com/intellicar/status/723062017884598272","723062017884598272")</f>
        <v>723062017884598272</v>
      </c>
      <c r="F606" s="11" t="s">
        <v>243</v>
      </c>
      <c r="G606" s="11">
        <v>337</v>
      </c>
      <c r="H606" s="11">
        <v>248</v>
      </c>
      <c r="I606" s="11">
        <v>0</v>
      </c>
      <c r="J606" s="11">
        <v>0</v>
      </c>
      <c r="K606" s="11" t="s">
        <v>21</v>
      </c>
      <c r="L606" s="7">
        <v>41864.838773148149</v>
      </c>
      <c r="M606" s="12" t="s">
        <v>1359</v>
      </c>
      <c r="N606" s="12" t="s">
        <v>1708</v>
      </c>
      <c r="O606" s="10" t="str">
        <f>HYPERLINK("https://pbs.twimg.com/profile_images/507083916704899072/zhnuNlCn_normal.jpeg","View")</f>
        <v>View</v>
      </c>
      <c r="P606" s="11"/>
    </row>
    <row r="607" spans="1:16" ht="12.75" x14ac:dyDescent="0.35">
      <c r="A607" s="7">
        <v>42481.572858796295</v>
      </c>
      <c r="B607" s="8" t="str">
        <f>HYPERLINK("https://twitter.com/1000dinge","@1000dinge")</f>
        <v>@1000dinge</v>
      </c>
      <c r="C607" s="9" t="s">
        <v>1709</v>
      </c>
      <c r="D607" s="9" t="s">
        <v>1682</v>
      </c>
      <c r="E607" s="10" t="str">
        <f>HYPERLINK("https://twitter.com/1000dinge/status/723062446701862912","723062446701862912")</f>
        <v>723062446701862912</v>
      </c>
      <c r="F607" s="11" t="s">
        <v>20</v>
      </c>
      <c r="G607" s="11">
        <v>12</v>
      </c>
      <c r="H607" s="11">
        <v>150</v>
      </c>
      <c r="I607" s="11">
        <v>4</v>
      </c>
      <c r="J607" s="11">
        <v>0</v>
      </c>
      <c r="K607" s="11" t="s">
        <v>21</v>
      </c>
      <c r="L607" s="7">
        <v>40260.952638888892</v>
      </c>
      <c r="M607" s="12"/>
      <c r="N607" s="12"/>
      <c r="O607" s="10" t="str">
        <f>HYPERLINK("https://pbs.twimg.com/profile_images/1678801900/wirrer_typ_normal.jpg","View")</f>
        <v>View</v>
      </c>
      <c r="P607" s="11"/>
    </row>
    <row r="608" spans="1:16" ht="12.75" x14ac:dyDescent="0.35">
      <c r="A608" s="7">
        <v>42481.573680555557</v>
      </c>
      <c r="B608" s="8" t="str">
        <f>HYPERLINK("https://twitter.com/RhodiumCar","@RhodiumCar")</f>
        <v>@RhodiumCar</v>
      </c>
      <c r="C608" s="9" t="s">
        <v>1710</v>
      </c>
      <c r="D608" s="9" t="s">
        <v>1711</v>
      </c>
      <c r="E608" s="10" t="str">
        <f>HYPERLINK("https://twitter.com/RhodiumCar/status/723062744467927040","723062744467927040")</f>
        <v>723062744467927040</v>
      </c>
      <c r="F608" s="11" t="s">
        <v>63</v>
      </c>
      <c r="G608" s="11">
        <v>49</v>
      </c>
      <c r="H608" s="11">
        <v>17</v>
      </c>
      <c r="I608" s="11">
        <v>0</v>
      </c>
      <c r="J608" s="11">
        <v>0</v>
      </c>
      <c r="K608" s="11" t="s">
        <v>21</v>
      </c>
      <c r="L608" s="7">
        <v>41485.640821759262</v>
      </c>
      <c r="M608" s="12"/>
      <c r="N608" s="12" t="s">
        <v>1712</v>
      </c>
      <c r="O608" s="10" t="str">
        <f>HYPERLINK("https://pbs.twimg.com/profile_images/523083731729252352/lckhEXci_normal.png","View")</f>
        <v>View</v>
      </c>
      <c r="P608" s="11"/>
    </row>
    <row r="609" spans="1:16" ht="12.75" x14ac:dyDescent="0.35">
      <c r="A609" s="7">
        <v>42481.574120370366</v>
      </c>
      <c r="B609" s="8" t="str">
        <f>HYPERLINK("https://twitter.com/DirkEllisVW","@DirkEllisVW")</f>
        <v>@DirkEllisVW</v>
      </c>
      <c r="C609" s="9" t="s">
        <v>1713</v>
      </c>
      <c r="D609" s="9" t="s">
        <v>1714</v>
      </c>
      <c r="E609" s="10" t="str">
        <f>HYPERLINK("https://twitter.com/DirkEllisVW/status/723062902790479872","723062902790479872")</f>
        <v>723062902790479872</v>
      </c>
      <c r="F609" s="11" t="s">
        <v>48</v>
      </c>
      <c r="G609" s="11">
        <v>1284</v>
      </c>
      <c r="H609" s="11">
        <v>1888</v>
      </c>
      <c r="I609" s="11">
        <v>0</v>
      </c>
      <c r="J609" s="11">
        <v>1</v>
      </c>
      <c r="K609" s="11" t="s">
        <v>21</v>
      </c>
      <c r="L609" s="7">
        <v>41294.616157407407</v>
      </c>
      <c r="M609" s="12" t="s">
        <v>1715</v>
      </c>
      <c r="N609" s="12" t="s">
        <v>1716</v>
      </c>
      <c r="O609" s="10" t="str">
        <f>HYPERLINK("https://pbs.twimg.com/profile_images/677140771783450624/9_7T_mk7_normal.jpg","View")</f>
        <v>View</v>
      </c>
      <c r="P609" s="11"/>
    </row>
    <row r="610" spans="1:16" ht="12.75" x14ac:dyDescent="0.35">
      <c r="A610" s="7">
        <v>42481.574525462958</v>
      </c>
      <c r="B610" s="8" t="str">
        <f>HYPERLINK("https://twitter.com/10tradeDeutsche","@10tradeDeutsche")</f>
        <v>@10tradeDeutsche</v>
      </c>
      <c r="C610" s="9" t="s">
        <v>1717</v>
      </c>
      <c r="D610" s="9" t="s">
        <v>1718</v>
      </c>
      <c r="E610" s="10" t="str">
        <f>HYPERLINK("https://twitter.com/10tradeDeutsche/status/723063050895413248","723063050895413248")</f>
        <v>723063050895413248</v>
      </c>
      <c r="F610" s="11" t="s">
        <v>43</v>
      </c>
      <c r="G610" s="11">
        <v>1091</v>
      </c>
      <c r="H610" s="11">
        <v>1166</v>
      </c>
      <c r="I610" s="11">
        <v>0</v>
      </c>
      <c r="J610" s="11">
        <v>0</v>
      </c>
      <c r="K610" s="11" t="s">
        <v>21</v>
      </c>
      <c r="L610" s="7">
        <v>42351.66479166667</v>
      </c>
      <c r="M610" s="12"/>
      <c r="N610" s="12" t="s">
        <v>1719</v>
      </c>
      <c r="O610" s="10" t="str">
        <f>HYPERLINK("https://pbs.twimg.com/profile_images/675985665474064384/hFOAQJ2E_normal.png","View")</f>
        <v>View</v>
      </c>
      <c r="P610" s="11"/>
    </row>
    <row r="611" spans="1:16" ht="12.75" x14ac:dyDescent="0.35">
      <c r="A611" s="7">
        <v>42481.575104166666</v>
      </c>
      <c r="B611" s="8" t="str">
        <f>HYPERLINK("https://twitter.com/autogazette","@autogazette")</f>
        <v>@autogazette</v>
      </c>
      <c r="C611" s="9" t="s">
        <v>1720</v>
      </c>
      <c r="D611" s="9" t="s">
        <v>1721</v>
      </c>
      <c r="E611" s="10" t="str">
        <f>HYPERLINK("https://twitter.com/autogazette/status/723063257712451584","723063257712451584")</f>
        <v>723063257712451584</v>
      </c>
      <c r="F611" s="11" t="s">
        <v>80</v>
      </c>
      <c r="G611" s="11">
        <v>922</v>
      </c>
      <c r="H611" s="11">
        <v>1404</v>
      </c>
      <c r="I611" s="11">
        <v>0</v>
      </c>
      <c r="J611" s="11">
        <v>0</v>
      </c>
      <c r="K611" s="11" t="s">
        <v>21</v>
      </c>
      <c r="L611" s="7">
        <v>40184.71230324074</v>
      </c>
      <c r="M611" s="12" t="s">
        <v>1359</v>
      </c>
      <c r="N611" s="12" t="s">
        <v>1722</v>
      </c>
      <c r="O611" s="10" t="str">
        <f>HYPERLINK("https://pbs.twimg.com/profile_images/1170019200/ag_fb_logo_normal.jpg","View")</f>
        <v>View</v>
      </c>
      <c r="P611" s="11"/>
    </row>
    <row r="612" spans="1:16" ht="12.75" x14ac:dyDescent="0.35">
      <c r="A612" s="7">
        <v>42481.575925925921</v>
      </c>
      <c r="B612" s="8" t="str">
        <f>HYPERLINK("https://twitter.com/instock_de","@instock_de")</f>
        <v>@instock_de</v>
      </c>
      <c r="C612" s="8" t="s">
        <v>1723</v>
      </c>
      <c r="D612" s="9" t="s">
        <v>1724</v>
      </c>
      <c r="E612" s="10" t="str">
        <f>HYPERLINK("https://twitter.com/instock_de/status/723063558049681408","723063558049681408")</f>
        <v>723063558049681408</v>
      </c>
      <c r="F612" s="11" t="s">
        <v>43</v>
      </c>
      <c r="G612" s="11">
        <v>155</v>
      </c>
      <c r="H612" s="11">
        <v>82</v>
      </c>
      <c r="I612" s="11">
        <v>0</v>
      </c>
      <c r="J612" s="11">
        <v>0</v>
      </c>
      <c r="K612" s="11" t="s">
        <v>21</v>
      </c>
      <c r="L612" s="7">
        <v>40441.683877314819</v>
      </c>
      <c r="M612" s="12" t="s">
        <v>1725</v>
      </c>
      <c r="N612" s="12" t="s">
        <v>1726</v>
      </c>
      <c r="O612" s="10" t="str">
        <f>HYPERLINK("https://pbs.twimg.com/profile_images/1200648485/instock_normal.jpg","View")</f>
        <v>View</v>
      </c>
      <c r="P612" s="11"/>
    </row>
    <row r="613" spans="1:16" ht="12.75" x14ac:dyDescent="0.35">
      <c r="A613" s="7">
        <v>42481.577592592592</v>
      </c>
      <c r="B613" s="8" t="str">
        <f>HYPERLINK("https://twitter.com/aa_albanian","@aa_albanian")</f>
        <v>@aa_albanian</v>
      </c>
      <c r="C613" s="9" t="s">
        <v>1727</v>
      </c>
      <c r="D613" s="9" t="s">
        <v>1728</v>
      </c>
      <c r="E613" s="10" t="str">
        <f>HYPERLINK("https://twitter.com/aa_albanian/status/723064161593257984","723064161593257984")</f>
        <v>723064161593257984</v>
      </c>
      <c r="F613" s="11" t="s">
        <v>43</v>
      </c>
      <c r="G613" s="11">
        <v>2957</v>
      </c>
      <c r="H613" s="11">
        <v>14</v>
      </c>
      <c r="I613" s="11">
        <v>0</v>
      </c>
      <c r="J613" s="11">
        <v>0</v>
      </c>
      <c r="K613" s="11" t="s">
        <v>21</v>
      </c>
      <c r="L613" s="7">
        <v>41863.789155092592</v>
      </c>
      <c r="M613" s="12"/>
      <c r="N613" s="12"/>
      <c r="O613" s="10" t="str">
        <f>HYPERLINK("https://pbs.twimg.com/profile_images/499187225486061568/3-sPmpp6_normal.jpeg","View")</f>
        <v>View</v>
      </c>
      <c r="P613" s="11"/>
    </row>
    <row r="614" spans="1:16" ht="12.75" x14ac:dyDescent="0.35">
      <c r="A614" s="7">
        <v>42481.577673611115</v>
      </c>
      <c r="B614" s="8" t="str">
        <f>HYPERLINK("https://twitter.com/LiseDeshautel","@LiseDeshautel")</f>
        <v>@LiseDeshautel</v>
      </c>
      <c r="C614" s="9" t="s">
        <v>1729</v>
      </c>
      <c r="D614" s="9" t="s">
        <v>1730</v>
      </c>
      <c r="E614" s="10" t="str">
        <f>HYPERLINK("https://twitter.com/LiseDeshautel/status/723064191557337088","723064191557337088")</f>
        <v>723064191557337088</v>
      </c>
      <c r="F614" s="11" t="s">
        <v>43</v>
      </c>
      <c r="G614" s="11">
        <v>201</v>
      </c>
      <c r="H614" s="11">
        <v>638</v>
      </c>
      <c r="I614" s="11">
        <v>0</v>
      </c>
      <c r="J614" s="11">
        <v>0</v>
      </c>
      <c r="K614" s="11" t="s">
        <v>21</v>
      </c>
      <c r="L614" s="7">
        <v>40855.979224537034</v>
      </c>
      <c r="M614" s="12" t="s">
        <v>1731</v>
      </c>
      <c r="N614" s="12" t="s">
        <v>1732</v>
      </c>
      <c r="O614" s="10" t="str">
        <f>HYPERLINK("https://pbs.twimg.com/profile_images/698167146061393920/_NStR49S_normal.jpg","View")</f>
        <v>View</v>
      </c>
      <c r="P614" s="11"/>
    </row>
    <row r="615" spans="1:16" ht="12.75" x14ac:dyDescent="0.35">
      <c r="A615" s="7">
        <v>42481.580104166671</v>
      </c>
      <c r="B615" s="8" t="str">
        <f>HYPERLINK("https://twitter.com/ML42222157","@ML42222157")</f>
        <v>@ML42222157</v>
      </c>
      <c r="C615" s="9" t="s">
        <v>1733</v>
      </c>
      <c r="D615" s="9" t="s">
        <v>1734</v>
      </c>
      <c r="E615" s="10" t="str">
        <f>HYPERLINK("https://twitter.com/ML42222157/status/723065070813609984","723065070813609984")</f>
        <v>723065070813609984</v>
      </c>
      <c r="F615" s="11" t="s">
        <v>20</v>
      </c>
      <c r="G615" s="11">
        <v>109</v>
      </c>
      <c r="H615" s="11">
        <v>89</v>
      </c>
      <c r="I615" s="11">
        <v>0</v>
      </c>
      <c r="J615" s="11">
        <v>0</v>
      </c>
      <c r="K615" s="11" t="s">
        <v>21</v>
      </c>
      <c r="L615" s="7">
        <v>41039.92046296296</v>
      </c>
      <c r="M615" s="12"/>
      <c r="N615" s="12" t="s">
        <v>1735</v>
      </c>
      <c r="O615" s="10" t="str">
        <f>HYPERLINK("https://pbs.twimg.com/profile_images/2547861726/image_normal.jpg","View")</f>
        <v>View</v>
      </c>
      <c r="P615" s="11"/>
    </row>
    <row r="616" spans="1:16" ht="12.75" x14ac:dyDescent="0.35">
      <c r="A616" s="7">
        <v>42481.580243055556</v>
      </c>
      <c r="B616" s="8" t="str">
        <f>HYPERLINK("https://twitter.com/AlertRNS","@AlertRNS")</f>
        <v>@AlertRNS</v>
      </c>
      <c r="C616" s="9" t="s">
        <v>1736</v>
      </c>
      <c r="D616" s="9" t="s">
        <v>265</v>
      </c>
      <c r="E616" s="10" t="str">
        <f>HYPERLINK("https://twitter.com/AlertRNS/status/723065120914608128","723065120914608128")</f>
        <v>723065120914608128</v>
      </c>
      <c r="F616" s="11" t="s">
        <v>20</v>
      </c>
      <c r="G616" s="11">
        <v>413</v>
      </c>
      <c r="H616" s="11">
        <v>408</v>
      </c>
      <c r="I616" s="11">
        <v>7</v>
      </c>
      <c r="J616" s="11">
        <v>0</v>
      </c>
      <c r="K616" s="11" t="s">
        <v>21</v>
      </c>
      <c r="L616" s="7">
        <v>41508.743472222224</v>
      </c>
      <c r="M616" s="12" t="s">
        <v>1072</v>
      </c>
      <c r="N616" s="12" t="s">
        <v>1737</v>
      </c>
      <c r="O616" s="10" t="str">
        <f>HYPERLINK("https://pbs.twimg.com/profile_images/672033788948533248/EX6zwR9B_normal.jpg","View")</f>
        <v>View</v>
      </c>
      <c r="P616" s="11"/>
    </row>
    <row r="617" spans="1:16" ht="12.75" x14ac:dyDescent="0.35">
      <c r="A617" s="7">
        <v>42481.580428240741</v>
      </c>
      <c r="B617" s="8" t="str">
        <f>HYPERLINK("https://twitter.com/TodoLoVerde","@TodoLoVerde")</f>
        <v>@TodoLoVerde</v>
      </c>
      <c r="C617" s="9" t="s">
        <v>1738</v>
      </c>
      <c r="D617" s="9" t="s">
        <v>1739</v>
      </c>
      <c r="E617" s="10" t="str">
        <f>HYPERLINK("https://twitter.com/TodoLoVerde/status/723065188505784320","723065188505784320")</f>
        <v>723065188505784320</v>
      </c>
      <c r="F617" s="11" t="s">
        <v>48</v>
      </c>
      <c r="G617" s="11">
        <v>315</v>
      </c>
      <c r="H617" s="11">
        <v>255</v>
      </c>
      <c r="I617" s="11">
        <v>3</v>
      </c>
      <c r="J617" s="11">
        <v>0</v>
      </c>
      <c r="K617" s="11" t="s">
        <v>21</v>
      </c>
      <c r="L617" s="7">
        <v>42053.799085648148</v>
      </c>
      <c r="M617" s="12"/>
      <c r="N617" s="12" t="s">
        <v>1740</v>
      </c>
      <c r="O617" s="10" t="str">
        <f>HYPERLINK("https://pbs.twimg.com/profile_images/568043809972305921/7jtD5JLU_normal.jpeg","View")</f>
        <v>View</v>
      </c>
      <c r="P617" s="11"/>
    </row>
    <row r="618" spans="1:16" ht="12.75" x14ac:dyDescent="0.35">
      <c r="A618" s="7">
        <v>42481.580451388887</v>
      </c>
      <c r="B618" s="8" t="str">
        <f>HYPERLINK("https://twitter.com/gas_guz","@gas_guz")</f>
        <v>@gas_guz</v>
      </c>
      <c r="C618" s="9" t="s">
        <v>1741</v>
      </c>
      <c r="D618" s="9" t="s">
        <v>1742</v>
      </c>
      <c r="E618" s="10" t="str">
        <f>HYPERLINK("https://twitter.com/gas_guz/status/723065196646785027","723065196646785027")</f>
        <v>723065196646785027</v>
      </c>
      <c r="F618" s="11" t="s">
        <v>43</v>
      </c>
      <c r="G618" s="11">
        <v>14</v>
      </c>
      <c r="H618" s="11">
        <v>85</v>
      </c>
      <c r="I618" s="11">
        <v>1</v>
      </c>
      <c r="J618" s="11">
        <v>1</v>
      </c>
      <c r="K618" s="11" t="s">
        <v>21</v>
      </c>
      <c r="L618" s="7">
        <v>42343.079363425924</v>
      </c>
      <c r="M618" s="12"/>
      <c r="N618" s="12"/>
      <c r="O618" s="10" t="str">
        <f>HYPERLINK("https://pbs.twimg.com/profile_images/690210351649005568/MsJLMgBm_normal.jpg","View")</f>
        <v>View</v>
      </c>
      <c r="P618" s="11"/>
    </row>
    <row r="619" spans="1:16" ht="12.75" x14ac:dyDescent="0.35">
      <c r="A619" s="7">
        <v>42481.580717592587</v>
      </c>
      <c r="B619" s="8" t="str">
        <f>HYPERLINK("https://twitter.com/samiamebarki1","@samiamebarki1")</f>
        <v>@samiamebarki1</v>
      </c>
      <c r="C619" s="9" t="s">
        <v>1743</v>
      </c>
      <c r="D619" s="9" t="s">
        <v>1744</v>
      </c>
      <c r="E619" s="10" t="str">
        <f>HYPERLINK("https://twitter.com/samiamebarki1/status/723065291580690432","723065291580690432")</f>
        <v>723065291580690432</v>
      </c>
      <c r="F619" s="11" t="s">
        <v>43</v>
      </c>
      <c r="G619" s="11">
        <v>4048</v>
      </c>
      <c r="H619" s="11">
        <v>1335</v>
      </c>
      <c r="I619" s="11">
        <v>0</v>
      </c>
      <c r="J619" s="11">
        <v>0</v>
      </c>
      <c r="K619" s="11" t="s">
        <v>21</v>
      </c>
      <c r="L619" s="7">
        <v>40960.174212962964</v>
      </c>
      <c r="M619" s="12"/>
      <c r="N619" s="12" t="s">
        <v>1745</v>
      </c>
      <c r="O619" s="10" t="str">
        <f>HYPERLINK("https://pbs.twimg.com/profile_images/2346135175/qykofyyqb1o1mchiek3d_normal.jpeg","View")</f>
        <v>View</v>
      </c>
      <c r="P619" s="11"/>
    </row>
    <row r="620" spans="1:16" ht="12.75" x14ac:dyDescent="0.35">
      <c r="A620" s="7">
        <v>42481.580717592587</v>
      </c>
      <c r="B620" s="8" t="str">
        <f>HYPERLINK("https://twitter.com/Matthijs85","@Matthijs85")</f>
        <v>@Matthijs85</v>
      </c>
      <c r="C620" s="9" t="s">
        <v>1746</v>
      </c>
      <c r="D620" s="9" t="s">
        <v>1747</v>
      </c>
      <c r="E620" s="10" t="str">
        <f>HYPERLINK("https://twitter.com/Matthijs85/status/723065294734774272","723065294734774272")</f>
        <v>723065294734774272</v>
      </c>
      <c r="F620" s="11" t="s">
        <v>43</v>
      </c>
      <c r="G620" s="11">
        <v>14864</v>
      </c>
      <c r="H620" s="11">
        <v>15003</v>
      </c>
      <c r="I620" s="11">
        <v>2</v>
      </c>
      <c r="J620" s="11">
        <v>5</v>
      </c>
      <c r="K620" s="11" t="s">
        <v>21</v>
      </c>
      <c r="L620" s="7">
        <v>39979.875914351855</v>
      </c>
      <c r="M620" s="12" t="s">
        <v>1748</v>
      </c>
      <c r="N620" s="12" t="s">
        <v>1749</v>
      </c>
      <c r="O620" s="10" t="str">
        <f>HYPERLINK("https://pbs.twimg.com/profile_images/695061017399791617/E8xZCNGr_normal.jpg","View")</f>
        <v>View</v>
      </c>
      <c r="P620" s="11"/>
    </row>
    <row r="621" spans="1:16" ht="12.75" x14ac:dyDescent="0.35">
      <c r="A621" s="7">
        <v>42481.587048611109</v>
      </c>
      <c r="B621" s="8" t="str">
        <f>HYPERLINK("https://twitter.com/Scirocco_Tuning","@Scirocco_Tuning")</f>
        <v>@Scirocco_Tuning</v>
      </c>
      <c r="C621" s="9" t="s">
        <v>51</v>
      </c>
      <c r="D621" s="9" t="s">
        <v>1750</v>
      </c>
      <c r="E621" s="10" t="str">
        <f>HYPERLINK("https://twitter.com/Scirocco_Tuning/status/723067587668619264","723067587668619264")</f>
        <v>723067587668619264</v>
      </c>
      <c r="F621" s="11" t="s">
        <v>53</v>
      </c>
      <c r="G621" s="11">
        <v>69</v>
      </c>
      <c r="H621" s="11">
        <v>215</v>
      </c>
      <c r="I621" s="11">
        <v>0</v>
      </c>
      <c r="J621" s="11">
        <v>0</v>
      </c>
      <c r="K621" s="11" t="s">
        <v>21</v>
      </c>
      <c r="L621" s="7">
        <v>40844.564722222218</v>
      </c>
      <c r="M621" s="12"/>
      <c r="N621" s="12"/>
      <c r="O621" s="10" t="str">
        <f>HYPERLINK("https://pbs.twimg.com/profile_images/1610421423/Image2_normal.jpg","View")</f>
        <v>View</v>
      </c>
      <c r="P621" s="11"/>
    </row>
    <row r="622" spans="1:16" ht="12.75" x14ac:dyDescent="0.35">
      <c r="A622" s="7">
        <v>42481.587337962963</v>
      </c>
      <c r="B622" s="8" t="str">
        <f>HYPERLINK("https://twitter.com/Pete_Ubhi","@Pete_Ubhi")</f>
        <v>@Pete_Ubhi</v>
      </c>
      <c r="C622" s="9" t="s">
        <v>1751</v>
      </c>
      <c r="D622" s="9" t="s">
        <v>1752</v>
      </c>
      <c r="E622" s="10" t="str">
        <f>HYPERLINK("https://twitter.com/Pete_Ubhi/status/723067691465072640","723067691465072640")</f>
        <v>723067691465072640</v>
      </c>
      <c r="F622" s="11" t="s">
        <v>48</v>
      </c>
      <c r="G622" s="11">
        <v>61</v>
      </c>
      <c r="H622" s="11">
        <v>89</v>
      </c>
      <c r="I622" s="11">
        <v>0</v>
      </c>
      <c r="J622" s="11">
        <v>0</v>
      </c>
      <c r="K622" s="11" t="s">
        <v>21</v>
      </c>
      <c r="L622" s="7">
        <v>40357.817893518521</v>
      </c>
      <c r="M622" s="12"/>
      <c r="N622" s="12"/>
      <c r="O622" s="10" t="str">
        <f>HYPERLINK("https://pbs.twimg.com/profile_images/534739727736639488/Un6t22Yz_normal.jpeg","View")</f>
        <v>View</v>
      </c>
      <c r="P622" s="11"/>
    </row>
    <row r="623" spans="1:16" ht="12.75" x14ac:dyDescent="0.35">
      <c r="A623" s="7">
        <v>42481.587581018517</v>
      </c>
      <c r="B623" s="8" t="str">
        <f>HYPERLINK("https://twitter.com/chellebows1","@chellebows1")</f>
        <v>@chellebows1</v>
      </c>
      <c r="C623" s="9" t="s">
        <v>1753</v>
      </c>
      <c r="D623" s="9" t="s">
        <v>1754</v>
      </c>
      <c r="E623" s="10" t="str">
        <f>HYPERLINK("https://twitter.com/chellebows1/status/723067782263410688","723067782263410688")</f>
        <v>723067782263410688</v>
      </c>
      <c r="F623" s="11" t="s">
        <v>48</v>
      </c>
      <c r="G623" s="11">
        <v>1077</v>
      </c>
      <c r="H623" s="11">
        <v>964</v>
      </c>
      <c r="I623" s="11">
        <v>0</v>
      </c>
      <c r="J623" s="11">
        <v>1</v>
      </c>
      <c r="K623" s="11" t="s">
        <v>21</v>
      </c>
      <c r="L623" s="7">
        <v>41067.959687499999</v>
      </c>
      <c r="M623" s="12" t="s">
        <v>1755</v>
      </c>
      <c r="N623" s="12" t="s">
        <v>1756</v>
      </c>
      <c r="O623" s="10" t="str">
        <f>HYPERLINK("https://pbs.twimg.com/profile_images/714190546366042112/qAF0jO-8_normal.jpg","View")</f>
        <v>View</v>
      </c>
      <c r="P623" s="11"/>
    </row>
    <row r="624" spans="1:16" ht="12.75" x14ac:dyDescent="0.35">
      <c r="A624" s="7">
        <v>42481.587789351848</v>
      </c>
      <c r="B624" s="8" t="str">
        <f>HYPERLINK("https://twitter.com/Test_Achats","@Test_Achats")</f>
        <v>@Test_Achats</v>
      </c>
      <c r="C624" s="9" t="s">
        <v>1757</v>
      </c>
      <c r="D624" s="9" t="s">
        <v>1758</v>
      </c>
      <c r="E624" s="10" t="str">
        <f>HYPERLINK("https://twitter.com/Test_Achats/status/723067857840435200","723067857840435200")</f>
        <v>723067857840435200</v>
      </c>
      <c r="F624" s="11" t="s">
        <v>43</v>
      </c>
      <c r="G624" s="11">
        <v>1800</v>
      </c>
      <c r="H624" s="11">
        <v>112</v>
      </c>
      <c r="I624" s="11">
        <v>0</v>
      </c>
      <c r="J624" s="11">
        <v>1</v>
      </c>
      <c r="K624" s="11" t="s">
        <v>21</v>
      </c>
      <c r="L624" s="7">
        <v>40106.659560185188</v>
      </c>
      <c r="M624" s="12" t="s">
        <v>980</v>
      </c>
      <c r="N624" s="12"/>
      <c r="O624" s="10" t="str">
        <f>HYPERLINK("https://pbs.twimg.com/profile_images/717651142327607296/1uRZ3jg3_normal.jpg","View")</f>
        <v>View</v>
      </c>
      <c r="P624" s="11"/>
    </row>
    <row r="625" spans="1:16" ht="12.75" x14ac:dyDescent="0.35">
      <c r="A625" s="7">
        <v>42481.588113425925</v>
      </c>
      <c r="B625" s="8" t="str">
        <f>HYPERLINK("https://twitter.com/mishegas","@mishegas")</f>
        <v>@mishegas</v>
      </c>
      <c r="C625" s="9" t="s">
        <v>1759</v>
      </c>
      <c r="D625" s="9" t="s">
        <v>1760</v>
      </c>
      <c r="E625" s="10" t="str">
        <f>HYPERLINK("https://twitter.com/mishegas/status/723067974349807616","723067974349807616")</f>
        <v>723067974349807616</v>
      </c>
      <c r="F625" s="11" t="s">
        <v>43</v>
      </c>
      <c r="G625" s="11">
        <v>139</v>
      </c>
      <c r="H625" s="11">
        <v>16</v>
      </c>
      <c r="I625" s="11">
        <v>0</v>
      </c>
      <c r="J625" s="11">
        <v>0</v>
      </c>
      <c r="K625" s="11" t="s">
        <v>21</v>
      </c>
      <c r="L625" s="7">
        <v>42368.085613425923</v>
      </c>
      <c r="M625" s="12"/>
      <c r="N625" s="12" t="s">
        <v>1761</v>
      </c>
      <c r="O625" s="10" t="str">
        <f>HYPERLINK("https://pbs.twimg.com/profile_images/712271031986167808/28m0atkO_normal.jpg","View")</f>
        <v>View</v>
      </c>
      <c r="P625" s="11"/>
    </row>
    <row r="626" spans="1:16" ht="12.75" x14ac:dyDescent="0.35">
      <c r="A626" s="7">
        <v>42481.588460648149</v>
      </c>
      <c r="B626" s="8" t="str">
        <f>HYPERLINK("https://twitter.com/frugalmaniac","@frugalmaniac")</f>
        <v>@frugalmaniac</v>
      </c>
      <c r="C626" s="9" t="s">
        <v>1762</v>
      </c>
      <c r="D626" s="9" t="s">
        <v>1763</v>
      </c>
      <c r="E626" s="10" t="str">
        <f>HYPERLINK("https://twitter.com/frugalmaniac/status/723068097725403136","723068097725403136")</f>
        <v>723068097725403136</v>
      </c>
      <c r="F626" s="11" t="s">
        <v>1764</v>
      </c>
      <c r="G626" s="11">
        <v>20488</v>
      </c>
      <c r="H626" s="11">
        <v>21071</v>
      </c>
      <c r="I626" s="11">
        <v>0</v>
      </c>
      <c r="J626" s="11">
        <v>0</v>
      </c>
      <c r="K626" s="11" t="s">
        <v>21</v>
      </c>
      <c r="L626" s="7">
        <v>40967.904074074075</v>
      </c>
      <c r="M626" s="12" t="s">
        <v>1765</v>
      </c>
      <c r="N626" s="12" t="s">
        <v>1766</v>
      </c>
      <c r="O626" s="10" t="str">
        <f>HYPERLINK("https://pbs.twimg.com/profile_images/459437340893532161/JWfT0I5C_normal.jpeg","View")</f>
        <v>View</v>
      </c>
      <c r="P626" s="11"/>
    </row>
    <row r="627" spans="1:16" ht="12.75" x14ac:dyDescent="0.35">
      <c r="A627" s="7">
        <v>42481.58871527778</v>
      </c>
      <c r="B627" s="8" t="str">
        <f>HYPERLINK("https://twitter.com/Testaankoop","@Testaankoop")</f>
        <v>@Testaankoop</v>
      </c>
      <c r="C627" s="9" t="s">
        <v>1767</v>
      </c>
      <c r="D627" s="9" t="s">
        <v>1151</v>
      </c>
      <c r="E627" s="10" t="str">
        <f>HYPERLINK("https://twitter.com/Testaankoop/status/723068192306827264","723068192306827264")</f>
        <v>723068192306827264</v>
      </c>
      <c r="F627" s="11" t="s">
        <v>43</v>
      </c>
      <c r="G627" s="11">
        <v>3365</v>
      </c>
      <c r="H627" s="11">
        <v>210</v>
      </c>
      <c r="I627" s="11">
        <v>7</v>
      </c>
      <c r="J627" s="11">
        <v>0</v>
      </c>
      <c r="K627" s="11" t="s">
        <v>21</v>
      </c>
      <c r="L627" s="7">
        <v>40095.601643518516</v>
      </c>
      <c r="M627" s="12"/>
      <c r="N627" s="12"/>
      <c r="O627" s="10" t="str">
        <f>HYPERLINK("https://pbs.twimg.com/profile_images/717650351445385217/YaaLk3FA_normal.jpg","View")</f>
        <v>View</v>
      </c>
      <c r="P627" s="11"/>
    </row>
    <row r="628" spans="1:16" ht="12.75" x14ac:dyDescent="0.35">
      <c r="A628" s="7">
        <v>42481.589166666672</v>
      </c>
      <c r="B628" s="8" t="str">
        <f>HYPERLINK("https://twitter.com/arifyetiskin","@arifyetiskin")</f>
        <v>@arifyetiskin</v>
      </c>
      <c r="C628" s="9" t="s">
        <v>1768</v>
      </c>
      <c r="D628" s="9" t="s">
        <v>1769</v>
      </c>
      <c r="E628" s="10" t="str">
        <f>HYPERLINK("https://twitter.com/arifyetiskin/status/723068356245491712","723068356245491712")</f>
        <v>723068356245491712</v>
      </c>
      <c r="F628" s="11" t="s">
        <v>48</v>
      </c>
      <c r="G628" s="11">
        <v>202</v>
      </c>
      <c r="H628" s="11">
        <v>84</v>
      </c>
      <c r="I628" s="11">
        <v>0</v>
      </c>
      <c r="J628" s="11">
        <v>1</v>
      </c>
      <c r="K628" s="11" t="s">
        <v>21</v>
      </c>
      <c r="L628" s="7">
        <v>40176.830555555556</v>
      </c>
      <c r="M628" s="12" t="s">
        <v>1770</v>
      </c>
      <c r="N628" s="12" t="s">
        <v>1771</v>
      </c>
      <c r="O628" s="10" t="str">
        <f>HYPERLINK("https://pbs.twimg.com/profile_images/678065921462771713/kuItu_4T_normal.jpg","View")</f>
        <v>View</v>
      </c>
      <c r="P628" s="11"/>
    </row>
    <row r="629" spans="1:16" ht="12.75" x14ac:dyDescent="0.35">
      <c r="A629" s="7">
        <v>42481.589409722219</v>
      </c>
      <c r="B629" s="8" t="str">
        <f>HYPERLINK("https://twitter.com/AutohausCampers","@AutohausCampers")</f>
        <v>@AutohausCampers</v>
      </c>
      <c r="C629" s="9" t="s">
        <v>1772</v>
      </c>
      <c r="D629" s="9" t="s">
        <v>1773</v>
      </c>
      <c r="E629" s="10" t="str">
        <f>HYPERLINK("https://twitter.com/AutohausCampers/status/723068442597679105","723068442597679105")</f>
        <v>723068442597679105</v>
      </c>
      <c r="F629" s="11" t="s">
        <v>43</v>
      </c>
      <c r="G629" s="11">
        <v>1055</v>
      </c>
      <c r="H629" s="11">
        <v>983</v>
      </c>
      <c r="I629" s="11">
        <v>0</v>
      </c>
      <c r="J629" s="11">
        <v>0</v>
      </c>
      <c r="K629" s="11" t="s">
        <v>21</v>
      </c>
      <c r="L629" s="7">
        <v>41732.797349537039</v>
      </c>
      <c r="M629" s="12" t="s">
        <v>1774</v>
      </c>
      <c r="N629" s="12" t="s">
        <v>1775</v>
      </c>
      <c r="O629" s="10" t="str">
        <f>HYPERLINK("https://pbs.twimg.com/profile_images/691571532208959488/iOvDHSKU_normal.jpg","View")</f>
        <v>View</v>
      </c>
      <c r="P629" s="11"/>
    </row>
    <row r="630" spans="1:16" ht="12.75" x14ac:dyDescent="0.35">
      <c r="A630" s="7">
        <v>42481.589641203704</v>
      </c>
      <c r="B630" s="8" t="str">
        <f>HYPERLINK("https://twitter.com/Federalnaba","@Federalnaba")</f>
        <v>@Federalnaba</v>
      </c>
      <c r="C630" s="8" t="s">
        <v>1776</v>
      </c>
      <c r="D630" s="9" t="s">
        <v>1777</v>
      </c>
      <c r="E630" s="10" t="str">
        <f>HYPERLINK("https://twitter.com/Federalnaba/status/723068526018334720","723068526018334720")</f>
        <v>723068526018334720</v>
      </c>
      <c r="F630" s="11" t="s">
        <v>53</v>
      </c>
      <c r="G630" s="11">
        <v>193</v>
      </c>
      <c r="H630" s="11">
        <v>41</v>
      </c>
      <c r="I630" s="11">
        <v>0</v>
      </c>
      <c r="J630" s="11">
        <v>0</v>
      </c>
      <c r="K630" s="11" t="s">
        <v>21</v>
      </c>
      <c r="L630" s="7">
        <v>41206.83079861111</v>
      </c>
      <c r="M630" s="12" t="s">
        <v>1778</v>
      </c>
      <c r="N630" s="12" t="s">
        <v>1779</v>
      </c>
      <c r="O630" s="10" t="str">
        <f>HYPERLINK("https://pbs.twimg.com/profile_images/578163971032674304/5-_WwSf__normal.jpeg","View")</f>
        <v>View</v>
      </c>
      <c r="P630" s="11"/>
    </row>
    <row r="631" spans="1:16" ht="12.75" x14ac:dyDescent="0.35">
      <c r="A631" s="7">
        <v>42481.589641203704</v>
      </c>
      <c r="B631" s="8" t="str">
        <f>HYPERLINK("https://twitter.com/DirkEllisVW","@DirkEllisVW")</f>
        <v>@DirkEllisVW</v>
      </c>
      <c r="C631" s="9" t="s">
        <v>1713</v>
      </c>
      <c r="D631" s="9" t="s">
        <v>1780</v>
      </c>
      <c r="E631" s="10" t="str">
        <f>HYPERLINK("https://twitter.com/DirkEllisVW/status/723068527104667648","723068527104667648")</f>
        <v>723068527104667648</v>
      </c>
      <c r="F631" s="11" t="s">
        <v>48</v>
      </c>
      <c r="G631" s="11">
        <v>1284</v>
      </c>
      <c r="H631" s="11">
        <v>1888</v>
      </c>
      <c r="I631" s="11">
        <v>0</v>
      </c>
      <c r="J631" s="11">
        <v>0</v>
      </c>
      <c r="K631" s="11" t="s">
        <v>21</v>
      </c>
      <c r="L631" s="7">
        <v>41294.616157407407</v>
      </c>
      <c r="M631" s="12" t="s">
        <v>1715</v>
      </c>
      <c r="N631" s="12" t="s">
        <v>1716</v>
      </c>
      <c r="O631" s="10" t="str">
        <f>HYPERLINK("https://pbs.twimg.com/profile_images/677140771783450624/9_7T_mk7_normal.jpg","View")</f>
        <v>View</v>
      </c>
      <c r="P631" s="11"/>
    </row>
    <row r="632" spans="1:16" ht="12.75" x14ac:dyDescent="0.35">
      <c r="A632" s="7">
        <v>42481.590185185181</v>
      </c>
      <c r="B632" s="8" t="str">
        <f>HYPERLINK("https://twitter.com/VolkswagenPost","@VolkswagenPost")</f>
        <v>@VolkswagenPost</v>
      </c>
      <c r="C632" s="9" t="s">
        <v>321</v>
      </c>
      <c r="D632" s="9" t="s">
        <v>1781</v>
      </c>
      <c r="E632" s="10" t="str">
        <f>HYPERLINK("https://twitter.com/VolkswagenPost/status/723068725558026240","723068725558026240")</f>
        <v>723068725558026240</v>
      </c>
      <c r="F632" s="11" t="s">
        <v>34</v>
      </c>
      <c r="G632" s="11">
        <v>571</v>
      </c>
      <c r="H632" s="11">
        <v>446</v>
      </c>
      <c r="I632" s="11">
        <v>0</v>
      </c>
      <c r="J632" s="11">
        <v>0</v>
      </c>
      <c r="K632" s="11" t="s">
        <v>21</v>
      </c>
      <c r="L632" s="7">
        <v>41940.618379629632</v>
      </c>
      <c r="M632" s="12"/>
      <c r="N632" s="12"/>
      <c r="O632" s="10" t="str">
        <f>HYPERLINK("https://pbs.twimg.com/profile_images/530071272881803264/a_jcCmPZ_normal.png","View")</f>
        <v>View</v>
      </c>
      <c r="P632" s="11"/>
    </row>
    <row r="633" spans="1:16" ht="12.75" x14ac:dyDescent="0.35">
      <c r="A633" s="7">
        <v>42481.590243055558</v>
      </c>
      <c r="B633" s="8" t="str">
        <f>HYPERLINK("https://twitter.com/MathiasB9","@MathiasB9")</f>
        <v>@MathiasB9</v>
      </c>
      <c r="C633" s="9" t="s">
        <v>1782</v>
      </c>
      <c r="D633" s="9" t="s">
        <v>1151</v>
      </c>
      <c r="E633" s="10" t="str">
        <f>HYPERLINK("https://twitter.com/MathiasB9/status/723068744549822464","723068744549822464")</f>
        <v>723068744549822464</v>
      </c>
      <c r="F633" s="11" t="s">
        <v>43</v>
      </c>
      <c r="G633" s="11">
        <v>1234</v>
      </c>
      <c r="H633" s="11">
        <v>965</v>
      </c>
      <c r="I633" s="11">
        <v>7</v>
      </c>
      <c r="J633" s="11">
        <v>0</v>
      </c>
      <c r="K633" s="11" t="s">
        <v>21</v>
      </c>
      <c r="L633" s="7">
        <v>41170.010381944448</v>
      </c>
      <c r="M633" s="12"/>
      <c r="N633" s="12" t="s">
        <v>1783</v>
      </c>
      <c r="O633" s="10" t="str">
        <f>HYPERLINK("https://pbs.twimg.com/profile_images/640586325645725696/k22mJ46Z_normal.jpg","View")</f>
        <v>View</v>
      </c>
      <c r="P633" s="11"/>
    </row>
    <row r="634" spans="1:16" ht="12.75" x14ac:dyDescent="0.35">
      <c r="A634" s="7">
        <v>42481.590370370366</v>
      </c>
      <c r="B634" s="8" t="str">
        <f>HYPERLINK("https://twitter.com/MartaMa55978031","@MartaMa55978031")</f>
        <v>@MartaMa55978031</v>
      </c>
      <c r="C634" s="9" t="s">
        <v>1784</v>
      </c>
      <c r="D634" s="9" t="s">
        <v>1739</v>
      </c>
      <c r="E634" s="10" t="str">
        <f>HYPERLINK("https://twitter.com/MartaMa55978031/status/723068791572312064","723068791572312064")</f>
        <v>723068791572312064</v>
      </c>
      <c r="F634" s="11" t="s">
        <v>48</v>
      </c>
      <c r="G634" s="11">
        <v>27</v>
      </c>
      <c r="H634" s="11">
        <v>58</v>
      </c>
      <c r="I634" s="11">
        <v>3</v>
      </c>
      <c r="J634" s="11">
        <v>0</v>
      </c>
      <c r="K634" s="11" t="s">
        <v>21</v>
      </c>
      <c r="L634" s="7">
        <v>42424.146655092598</v>
      </c>
      <c r="M634" s="12"/>
      <c r="N634" s="12"/>
      <c r="O634" s="10" t="str">
        <f>HYPERLINK("https://abs.twimg.com/sticky/default_profile_images/default_profile_6_normal.png","View")</f>
        <v>View</v>
      </c>
      <c r="P634" s="11"/>
    </row>
    <row r="635" spans="1:16" ht="12.75" x14ac:dyDescent="0.35">
      <c r="A635" s="7">
        <v>42481.590567129635</v>
      </c>
      <c r="B635" s="8" t="str">
        <f>HYPERLINK("https://twitter.com/Armored_Horse","@Armored_Horse")</f>
        <v>@Armored_Horse</v>
      </c>
      <c r="C635" s="9" t="s">
        <v>1785</v>
      </c>
      <c r="D635" s="9" t="s">
        <v>1786</v>
      </c>
      <c r="E635" s="10" t="str">
        <f>HYPERLINK("https://twitter.com/Armored_Horse/status/723068862472830976","723068862472830976")</f>
        <v>723068862472830976</v>
      </c>
      <c r="F635" s="11" t="s">
        <v>63</v>
      </c>
      <c r="G635" s="11">
        <v>348</v>
      </c>
      <c r="H635" s="11">
        <v>560</v>
      </c>
      <c r="I635" s="11">
        <v>0</v>
      </c>
      <c r="J635" s="11">
        <v>0</v>
      </c>
      <c r="K635" s="11" t="s">
        <v>21</v>
      </c>
      <c r="L635" s="7">
        <v>41249.701168981483</v>
      </c>
      <c r="M635" s="12"/>
      <c r="N635" s="12" t="s">
        <v>1787</v>
      </c>
      <c r="O635" s="10" t="str">
        <f>HYPERLINK("https://pbs.twimg.com/profile_images/587513473216729088/GvZsEJNL_normal.jpg","View")</f>
        <v>View</v>
      </c>
      <c r="P635" s="11"/>
    </row>
    <row r="636" spans="1:16" ht="12.75" x14ac:dyDescent="0.35">
      <c r="A636" s="7">
        <v>42481.591249999998</v>
      </c>
      <c r="B636" s="8" t="str">
        <f>HYPERLINK("https://twitter.com/sami3dat","@sami3dat")</f>
        <v>@sami3dat</v>
      </c>
      <c r="C636" s="9" t="s">
        <v>1788</v>
      </c>
      <c r="D636" s="9" t="s">
        <v>1231</v>
      </c>
      <c r="E636" s="10" t="str">
        <f>HYPERLINK("https://twitter.com/sami3dat/status/723069111060828161","723069111060828161")</f>
        <v>723069111060828161</v>
      </c>
      <c r="F636" s="11" t="s">
        <v>48</v>
      </c>
      <c r="G636" s="11">
        <v>145</v>
      </c>
      <c r="H636" s="11">
        <v>231</v>
      </c>
      <c r="I636" s="11">
        <v>5</v>
      </c>
      <c r="J636" s="11">
        <v>0</v>
      </c>
      <c r="K636" s="11" t="s">
        <v>21</v>
      </c>
      <c r="L636" s="7">
        <v>41497.06177083333</v>
      </c>
      <c r="M636" s="12"/>
      <c r="N636" s="12" t="s">
        <v>1789</v>
      </c>
      <c r="O636" s="10" t="str">
        <f>HYPERLINK("https://pbs.twimg.com/profile_images/593866311987503104/AiMhtNR0_normal.jpg","View")</f>
        <v>View</v>
      </c>
      <c r="P636" s="11"/>
    </row>
    <row r="637" spans="1:16" ht="12.75" x14ac:dyDescent="0.35">
      <c r="A637" s="7">
        <v>42481.591886574075</v>
      </c>
      <c r="B637" s="8" t="str">
        <f>HYPERLINK("https://twitter.com/FAZ_Finance","@FAZ_Finance")</f>
        <v>@FAZ_Finance</v>
      </c>
      <c r="C637" s="8" t="s">
        <v>1790</v>
      </c>
      <c r="D637" s="9" t="s">
        <v>1791</v>
      </c>
      <c r="E637" s="10" t="str">
        <f>HYPERLINK("https://twitter.com/FAZ_Finance/status/723069339881095168","723069339881095168")</f>
        <v>723069339881095168</v>
      </c>
      <c r="F637" s="10" t="s">
        <v>1590</v>
      </c>
      <c r="G637" s="11">
        <v>6201</v>
      </c>
      <c r="H637" s="11">
        <v>21</v>
      </c>
      <c r="I637" s="11">
        <v>0</v>
      </c>
      <c r="J637" s="11">
        <v>0</v>
      </c>
      <c r="K637" s="11" t="s">
        <v>21</v>
      </c>
      <c r="L637" s="7">
        <v>39889.70511574074</v>
      </c>
      <c r="M637" s="12" t="s">
        <v>1464</v>
      </c>
      <c r="N637" s="12" t="s">
        <v>1792</v>
      </c>
      <c r="O637" s="10" t="str">
        <f>HYPERLINK("https://pbs.twimg.com/profile_images/477443424241463296/bKWNQp65_normal.jpeg","View")</f>
        <v>View</v>
      </c>
      <c r="P637" s="11"/>
    </row>
    <row r="638" spans="1:16" ht="12.75" x14ac:dyDescent="0.35">
      <c r="A638" s="7">
        <v>42481.591886574075</v>
      </c>
      <c r="B638" s="8" t="str">
        <f>HYPERLINK("https://twitter.com/FAZ_Finanzen","@FAZ_Finanzen")</f>
        <v>@FAZ_Finanzen</v>
      </c>
      <c r="C638" s="9" t="s">
        <v>1793</v>
      </c>
      <c r="D638" s="9" t="s">
        <v>1794</v>
      </c>
      <c r="E638" s="10" t="str">
        <f>HYPERLINK("https://twitter.com/FAZ_Finanzen/status/723069340833185792","723069340833185792")</f>
        <v>723069340833185792</v>
      </c>
      <c r="F638" s="10" t="s">
        <v>1590</v>
      </c>
      <c r="G638" s="11">
        <v>18038</v>
      </c>
      <c r="H638" s="11">
        <v>21</v>
      </c>
      <c r="I638" s="11">
        <v>4</v>
      </c>
      <c r="J638" s="11">
        <v>2</v>
      </c>
      <c r="K638" s="11" t="s">
        <v>21</v>
      </c>
      <c r="L638" s="7">
        <v>39889.706516203703</v>
      </c>
      <c r="M638" s="12" t="s">
        <v>1464</v>
      </c>
      <c r="N638" s="12" t="s">
        <v>1795</v>
      </c>
      <c r="O638" s="10" t="str">
        <f>HYPERLINK("https://pbs.twimg.com/profile_images/477440456867868673/TZIaw60e_normal.jpeg","View")</f>
        <v>View</v>
      </c>
      <c r="P638" s="11"/>
    </row>
    <row r="639" spans="1:16" ht="12.75" x14ac:dyDescent="0.35">
      <c r="A639" s="7">
        <v>42481.591886574075</v>
      </c>
      <c r="B639" s="8" t="str">
        <f>HYPERLINK("https://twitter.com/FAZ_NET","@FAZ_NET")</f>
        <v>@FAZ_NET</v>
      </c>
      <c r="C639" s="9" t="s">
        <v>1796</v>
      </c>
      <c r="D639" s="9" t="s">
        <v>1797</v>
      </c>
      <c r="E639" s="10" t="str">
        <f>HYPERLINK("https://twitter.com/FAZ_NET/status/723069341739147264","723069341739147264")</f>
        <v>723069341739147264</v>
      </c>
      <c r="F639" s="10" t="s">
        <v>1590</v>
      </c>
      <c r="G639" s="11">
        <v>32695</v>
      </c>
      <c r="H639" s="11">
        <v>126</v>
      </c>
      <c r="I639" s="11">
        <v>1</v>
      </c>
      <c r="J639" s="11">
        <v>0</v>
      </c>
      <c r="K639" s="11" t="s">
        <v>21</v>
      </c>
      <c r="L639" s="7">
        <v>39792.657951388886</v>
      </c>
      <c r="M639" s="12" t="s">
        <v>1798</v>
      </c>
      <c r="N639" s="12" t="s">
        <v>1799</v>
      </c>
      <c r="O639" s="10" t="str">
        <f>HYPERLINK("https://pbs.twimg.com/profile_images/477439590232358913/xbZaJ1Ms_normal.jpeg","View")</f>
        <v>View</v>
      </c>
      <c r="P639" s="11"/>
    </row>
    <row r="640" spans="1:16" ht="12.75" x14ac:dyDescent="0.35">
      <c r="A640" s="7">
        <v>42481.592094907406</v>
      </c>
      <c r="B640" s="8" t="str">
        <f>HYPERLINK("https://twitter.com/CorpCrimeBlot","@CorpCrimeBlot")</f>
        <v>@CorpCrimeBlot</v>
      </c>
      <c r="C640" s="9" t="s">
        <v>1800</v>
      </c>
      <c r="D640" s="9" t="s">
        <v>1801</v>
      </c>
      <c r="E640" s="10" t="str">
        <f>HYPERLINK("https://twitter.com/CorpCrimeBlot/status/723069416091447296","723069416091447296")</f>
        <v>723069416091447296</v>
      </c>
      <c r="F640" s="11" t="s">
        <v>20</v>
      </c>
      <c r="G640" s="11">
        <v>43</v>
      </c>
      <c r="H640" s="11">
        <v>37</v>
      </c>
      <c r="I640" s="11">
        <v>0</v>
      </c>
      <c r="J640" s="11">
        <v>0</v>
      </c>
      <c r="K640" s="11" t="s">
        <v>21</v>
      </c>
      <c r="L640" s="7">
        <v>41055.030787037038</v>
      </c>
      <c r="M640" s="12" t="s">
        <v>1802</v>
      </c>
      <c r="N640" s="12" t="s">
        <v>1803</v>
      </c>
      <c r="O640" s="10" t="str">
        <f>HYPERLINK("https://pbs.twimg.com/profile_images/2291468552/a3mgrcu9klvlr29qkx9f_normal.jpeg","View")</f>
        <v>View</v>
      </c>
      <c r="P640" s="11"/>
    </row>
    <row r="641" spans="1:16" ht="12.75" x14ac:dyDescent="0.35">
      <c r="A641" s="7">
        <v>42481.592372685191</v>
      </c>
      <c r="B641" s="8" t="str">
        <f>HYPERLINK("https://twitter.com/Logistique01","@Logistique01")</f>
        <v>@Logistique01</v>
      </c>
      <c r="C641" s="9" t="s">
        <v>1804</v>
      </c>
      <c r="D641" s="9" t="s">
        <v>1805</v>
      </c>
      <c r="E641" s="10" t="str">
        <f>HYPERLINK("https://twitter.com/Logistique01/status/723069517098704896","723069517098704896")</f>
        <v>723069517098704896</v>
      </c>
      <c r="F641" s="11" t="s">
        <v>1806</v>
      </c>
      <c r="G641" s="11">
        <v>154</v>
      </c>
      <c r="H641" s="11">
        <v>173</v>
      </c>
      <c r="I641" s="11">
        <v>0</v>
      </c>
      <c r="J641" s="11">
        <v>0</v>
      </c>
      <c r="K641" s="11" t="s">
        <v>21</v>
      </c>
      <c r="L641" s="7">
        <v>41373.671875</v>
      </c>
      <c r="M641" s="12" t="s">
        <v>1807</v>
      </c>
      <c r="N641" s="12" t="s">
        <v>1808</v>
      </c>
      <c r="O641" s="10" t="str">
        <f>HYPERLINK("https://pbs.twimg.com/profile_images/3497903431/ae95594a00a0817e860e73da8fef6dca_normal.png","View")</f>
        <v>View</v>
      </c>
      <c r="P641" s="11"/>
    </row>
    <row r="642" spans="1:16" ht="12.75" x14ac:dyDescent="0.35">
      <c r="A642" s="7">
        <v>42481.593321759261</v>
      </c>
      <c r="B642" s="8" t="str">
        <f>HYPERLINK("https://twitter.com/deutch_az","@deutch_az")</f>
        <v>@deutch_az</v>
      </c>
      <c r="C642" s="9" t="s">
        <v>1188</v>
      </c>
      <c r="D642" s="9" t="s">
        <v>1809</v>
      </c>
      <c r="E642" s="10" t="str">
        <f>HYPERLINK("https://twitter.com/deutch_az/status/723069861371334656","723069861371334656")</f>
        <v>723069861371334656</v>
      </c>
      <c r="F642" s="11" t="s">
        <v>43</v>
      </c>
      <c r="G642" s="11">
        <v>521</v>
      </c>
      <c r="H642" s="11">
        <v>1444</v>
      </c>
      <c r="I642" s="11">
        <v>0</v>
      </c>
      <c r="J642" s="11">
        <v>0</v>
      </c>
      <c r="K642" s="11" t="s">
        <v>21</v>
      </c>
      <c r="L642" s="7">
        <v>42305.594456018516</v>
      </c>
      <c r="M642" s="12"/>
      <c r="N642" s="12"/>
      <c r="O642" s="10" t="str">
        <f>HYPERLINK("https://pbs.twimg.com/profile_images/659295730222280705/W1FqHCVo_normal.jpg","View")</f>
        <v>View</v>
      </c>
      <c r="P642" s="11"/>
    </row>
    <row r="643" spans="1:16" ht="12.75" x14ac:dyDescent="0.35">
      <c r="A643" s="7">
        <v>42481.593564814815</v>
      </c>
      <c r="B643" s="8" t="str">
        <f>HYPERLINK("https://twitter.com/ichbindasschon","@ichbindasschon")</f>
        <v>@ichbindasschon</v>
      </c>
      <c r="C643" s="9" t="s">
        <v>1810</v>
      </c>
      <c r="D643" s="9" t="s">
        <v>1811</v>
      </c>
      <c r="E643" s="10" t="str">
        <f>HYPERLINK("https://twitter.com/ichbindasschon/status/723069948675776512","723069948675776512")</f>
        <v>723069948675776512</v>
      </c>
      <c r="F643" s="11" t="s">
        <v>43</v>
      </c>
      <c r="G643" s="11">
        <v>342</v>
      </c>
      <c r="H643" s="11">
        <v>5001</v>
      </c>
      <c r="I643" s="11">
        <v>4</v>
      </c>
      <c r="J643" s="11">
        <v>0</v>
      </c>
      <c r="K643" s="11" t="s">
        <v>21</v>
      </c>
      <c r="L643" s="7">
        <v>42104.856273148151</v>
      </c>
      <c r="M643" s="12"/>
      <c r="N643" s="12" t="s">
        <v>1812</v>
      </c>
      <c r="O643" s="10" t="str">
        <f>HYPERLINK("https://pbs.twimg.com/profile_images/712327895096512512/R5mlUCj0_normal.jpg","View")</f>
        <v>View</v>
      </c>
      <c r="P643" s="11"/>
    </row>
    <row r="644" spans="1:16" ht="12.75" x14ac:dyDescent="0.35">
      <c r="A644" s="7">
        <v>42481.594085648147</v>
      </c>
      <c r="B644" s="8" t="str">
        <f>HYPERLINK("https://twitter.com/c_g_citizen","@c_g_citizen")</f>
        <v>@c_g_citizen</v>
      </c>
      <c r="C644" s="9" t="s">
        <v>1813</v>
      </c>
      <c r="D644" s="9" t="s">
        <v>1429</v>
      </c>
      <c r="E644" s="10" t="str">
        <f>HYPERLINK("https://twitter.com/c_g_citizen/status/723070135947251712","723070135947251712")</f>
        <v>723070135947251712</v>
      </c>
      <c r="F644" s="11" t="s">
        <v>43</v>
      </c>
      <c r="G644" s="11">
        <v>583</v>
      </c>
      <c r="H644" s="11">
        <v>390</v>
      </c>
      <c r="I644" s="11">
        <v>13</v>
      </c>
      <c r="J644" s="11">
        <v>0</v>
      </c>
      <c r="K644" s="11" t="s">
        <v>21</v>
      </c>
      <c r="L644" s="7">
        <v>41520.996307870373</v>
      </c>
      <c r="M644" s="12" t="s">
        <v>1397</v>
      </c>
      <c r="N644" s="12" t="s">
        <v>1814</v>
      </c>
      <c r="O644" s="10" t="str">
        <f>HYPERLINK("https://pbs.twimg.com/profile_images/378800000406287118/af6d14603e7f0e059e0878a766289154_normal.png","View")</f>
        <v>View</v>
      </c>
      <c r="P644" s="11"/>
    </row>
    <row r="645" spans="1:16" ht="12.75" x14ac:dyDescent="0.35">
      <c r="A645" s="7">
        <v>42481.594930555555</v>
      </c>
      <c r="B645" s="8" t="str">
        <f>HYPERLINK("https://twitter.com/deutch_az","@deutch_az")</f>
        <v>@deutch_az</v>
      </c>
      <c r="C645" s="9" t="s">
        <v>1188</v>
      </c>
      <c r="D645" s="9" t="s">
        <v>1815</v>
      </c>
      <c r="E645" s="10" t="str">
        <f>HYPERLINK("https://twitter.com/deutch_az/status/723070445252005888","723070445252005888")</f>
        <v>723070445252005888</v>
      </c>
      <c r="F645" s="11" t="s">
        <v>43</v>
      </c>
      <c r="G645" s="11">
        <v>521</v>
      </c>
      <c r="H645" s="11">
        <v>1444</v>
      </c>
      <c r="I645" s="11">
        <v>0</v>
      </c>
      <c r="J645" s="11">
        <v>0</v>
      </c>
      <c r="K645" s="11" t="s">
        <v>21</v>
      </c>
      <c r="L645" s="7">
        <v>42305.594456018516</v>
      </c>
      <c r="M645" s="12"/>
      <c r="N645" s="12"/>
      <c r="O645" s="10" t="str">
        <f>HYPERLINK("https://pbs.twimg.com/profile_images/659295730222280705/W1FqHCVo_normal.jpg","View")</f>
        <v>View</v>
      </c>
      <c r="P645" s="11"/>
    </row>
    <row r="646" spans="1:16" ht="12.75" x14ac:dyDescent="0.35">
      <c r="A646" s="7">
        <v>42481.595925925925</v>
      </c>
      <c r="B646" s="8" t="str">
        <f>HYPERLINK("https://twitter.com/RobsterRound","@RobsterRound")</f>
        <v>@RobsterRound</v>
      </c>
      <c r="C646" s="9" t="s">
        <v>1816</v>
      </c>
      <c r="D646" s="9" t="s">
        <v>1817</v>
      </c>
      <c r="E646" s="10" t="str">
        <f>HYPERLINK("https://twitter.com/RobsterRound/status/723070802732691456","723070802732691456")</f>
        <v>723070802732691456</v>
      </c>
      <c r="F646" s="11" t="s">
        <v>114</v>
      </c>
      <c r="G646" s="11">
        <v>1603</v>
      </c>
      <c r="H646" s="11">
        <v>660</v>
      </c>
      <c r="I646" s="11">
        <v>0</v>
      </c>
      <c r="J646" s="11">
        <v>0</v>
      </c>
      <c r="K646" s="11" t="s">
        <v>21</v>
      </c>
      <c r="L646" s="7">
        <v>41158.840648148151</v>
      </c>
      <c r="M646" s="12" t="s">
        <v>1818</v>
      </c>
      <c r="N646" s="12" t="s">
        <v>1819</v>
      </c>
      <c r="O646" s="10" t="str">
        <f>HYPERLINK("https://pbs.twimg.com/profile_images/719093309738770432/-ot7iGIC_normal.jpg","View")</f>
        <v>View</v>
      </c>
      <c r="P646" s="11"/>
    </row>
    <row r="647" spans="1:16" ht="12.75" x14ac:dyDescent="0.35">
      <c r="A647" s="7">
        <v>42481.597268518519</v>
      </c>
      <c r="B647" s="8" t="str">
        <f>HYPERLINK("https://twitter.com/NifsaLsilll","@NifsaLsilll")</f>
        <v>@NifsaLsilll</v>
      </c>
      <c r="C647" s="9" t="s">
        <v>1820</v>
      </c>
      <c r="D647" s="9" t="s">
        <v>1821</v>
      </c>
      <c r="E647" s="10" t="str">
        <f>HYPERLINK("https://twitter.com/NifsaLsilll/status/723071290773401600","723071290773401600")</f>
        <v>723071290773401600</v>
      </c>
      <c r="F647" s="11" t="s">
        <v>43</v>
      </c>
      <c r="G647" s="11">
        <v>382</v>
      </c>
      <c r="H647" s="11">
        <v>169</v>
      </c>
      <c r="I647" s="11">
        <v>0</v>
      </c>
      <c r="J647" s="11">
        <v>1</v>
      </c>
      <c r="K647" s="11" t="s">
        <v>21</v>
      </c>
      <c r="L647" s="7">
        <v>41047.192303240743</v>
      </c>
      <c r="M647" s="12" t="s">
        <v>1822</v>
      </c>
      <c r="N647" s="12" t="s">
        <v>1823</v>
      </c>
      <c r="O647" s="10" t="str">
        <f>HYPERLINK("https://pbs.twimg.com/profile_images/719454005991071744/coeXnXYF_normal.jpg","View")</f>
        <v>View</v>
      </c>
      <c r="P647" s="11"/>
    </row>
    <row r="648" spans="1:16" ht="12.75" x14ac:dyDescent="0.35">
      <c r="A648" s="7">
        <v>42481.599710648152</v>
      </c>
      <c r="B648" s="8" t="str">
        <f>HYPERLINK("https://twitter.com/CarNewsBit","@CarNewsBit")</f>
        <v>@CarNewsBit</v>
      </c>
      <c r="C648" s="9" t="s">
        <v>1824</v>
      </c>
      <c r="D648" s="9" t="s">
        <v>1825</v>
      </c>
      <c r="E648" s="10" t="str">
        <f>HYPERLINK("https://twitter.com/CarNewsBit/status/723072177935912960","723072177935912960")</f>
        <v>723072177935912960</v>
      </c>
      <c r="F648" s="11" t="s">
        <v>1826</v>
      </c>
      <c r="G648" s="11">
        <v>27</v>
      </c>
      <c r="H648" s="11">
        <v>80</v>
      </c>
      <c r="I648" s="11">
        <v>0</v>
      </c>
      <c r="J648" s="11">
        <v>0</v>
      </c>
      <c r="K648" s="11" t="s">
        <v>21</v>
      </c>
      <c r="L648" s="7">
        <v>42449.915625000001</v>
      </c>
      <c r="M648" s="12" t="s">
        <v>1827</v>
      </c>
      <c r="N648" s="12" t="s">
        <v>1828</v>
      </c>
      <c r="O648" s="10" t="str">
        <f>HYPERLINK("https://abs.twimg.com/sticky/default_profile_images/default_profile_5_normal.png","View")</f>
        <v>View</v>
      </c>
      <c r="P648" s="11"/>
    </row>
    <row r="649" spans="1:16" ht="12.75" x14ac:dyDescent="0.35">
      <c r="A649" s="7">
        <v>42481.600393518514</v>
      </c>
      <c r="B649" s="8" t="str">
        <f>HYPERLINK("https://twitter.com/SalihiShejzije","@SalihiShejzije")</f>
        <v>@SalihiShejzije</v>
      </c>
      <c r="C649" s="9" t="s">
        <v>1829</v>
      </c>
      <c r="D649" s="9" t="s">
        <v>352</v>
      </c>
      <c r="E649" s="10" t="str">
        <f>HYPERLINK("https://twitter.com/SalihiShejzije/status/723072424376471552","723072424376471552")</f>
        <v>723072424376471552</v>
      </c>
      <c r="F649" s="11" t="s">
        <v>48</v>
      </c>
      <c r="G649" s="11">
        <v>25</v>
      </c>
      <c r="H649" s="11">
        <v>13</v>
      </c>
      <c r="I649" s="11">
        <v>5</v>
      </c>
      <c r="J649" s="11">
        <v>0</v>
      </c>
      <c r="K649" s="11" t="s">
        <v>21</v>
      </c>
      <c r="L649" s="7">
        <v>42421.055231481485</v>
      </c>
      <c r="M649" s="12" t="s">
        <v>1830</v>
      </c>
      <c r="N649" s="12"/>
      <c r="O649" s="10" t="str">
        <f>HYPERLINK("https://pbs.twimg.com/profile_images/704001047216447488/5a1ozl-l_normal.jpg","View")</f>
        <v>View</v>
      </c>
      <c r="P649" s="11"/>
    </row>
    <row r="650" spans="1:16" ht="12.75" x14ac:dyDescent="0.35">
      <c r="A650" s="7">
        <v>42481.600532407407</v>
      </c>
      <c r="B650" s="8" t="str">
        <f>HYPERLINK("https://twitter.com/BeterLeefmilieu","@BeterLeefmilieu")</f>
        <v>@BeterLeefmilieu</v>
      </c>
      <c r="C650" s="9" t="s">
        <v>1831</v>
      </c>
      <c r="D650" s="9" t="s">
        <v>1151</v>
      </c>
      <c r="E650" s="10" t="str">
        <f>HYPERLINK("https://twitter.com/BeterLeefmilieu/status/723072474703863808","723072474703863808")</f>
        <v>723072474703863808</v>
      </c>
      <c r="F650" s="11" t="s">
        <v>63</v>
      </c>
      <c r="G650" s="11">
        <v>3071</v>
      </c>
      <c r="H650" s="11">
        <v>616</v>
      </c>
      <c r="I650" s="11">
        <v>7</v>
      </c>
      <c r="J650" s="11">
        <v>0</v>
      </c>
      <c r="K650" s="11" t="s">
        <v>21</v>
      </c>
      <c r="L650" s="7">
        <v>41022.599050925928</v>
      </c>
      <c r="M650" s="12" t="s">
        <v>1832</v>
      </c>
      <c r="N650" s="12" t="s">
        <v>1833</v>
      </c>
      <c r="O650" s="10" t="str">
        <f>HYPERLINK("https://pbs.twimg.com/profile_images/659687955565441025/MDqjnVHe_normal.jpg","View")</f>
        <v>View</v>
      </c>
      <c r="P650" s="11"/>
    </row>
    <row r="651" spans="1:16" ht="12.75" x14ac:dyDescent="0.35">
      <c r="A651" s="7">
        <v>42481.600601851853</v>
      </c>
      <c r="B651" s="8" t="str">
        <f>HYPERLINK("https://twitter.com/bodo1962","@bodo1962")</f>
        <v>@bodo1962</v>
      </c>
      <c r="C651" s="9" t="s">
        <v>1834</v>
      </c>
      <c r="D651" s="9" t="s">
        <v>1835</v>
      </c>
      <c r="E651" s="10" t="str">
        <f>HYPERLINK("https://twitter.com/bodo1962/status/723072497197830144","723072497197830144")</f>
        <v>723072497197830144</v>
      </c>
      <c r="F651" s="11" t="s">
        <v>43</v>
      </c>
      <c r="G651" s="11">
        <v>53</v>
      </c>
      <c r="H651" s="11">
        <v>73</v>
      </c>
      <c r="I651" s="11">
        <v>0</v>
      </c>
      <c r="J651" s="11">
        <v>0</v>
      </c>
      <c r="K651" s="11" t="s">
        <v>21</v>
      </c>
      <c r="L651" s="7">
        <v>40828.089305555557</v>
      </c>
      <c r="M651" s="12"/>
      <c r="N651" s="12" t="s">
        <v>1836</v>
      </c>
      <c r="O651" s="10" t="str">
        <f>HYPERLINK("https://pbs.twimg.com/profile_images/439706141728051201/GQgdrA5p_normal.jpeg","View")</f>
        <v>View</v>
      </c>
      <c r="P651" s="11"/>
    </row>
    <row r="652" spans="1:16" ht="12.75" x14ac:dyDescent="0.35">
      <c r="A652" s="7">
        <v>42481.602800925924</v>
      </c>
      <c r="B652" s="8" t="str">
        <f>HYPERLINK("https://twitter.com/Frank_unternehm","@Frank_unternehm")</f>
        <v>@Frank_unternehm</v>
      </c>
      <c r="C652" s="9" t="s">
        <v>1837</v>
      </c>
      <c r="D652" s="9" t="s">
        <v>1652</v>
      </c>
      <c r="E652" s="10" t="str">
        <f>HYPERLINK("https://twitter.com/Frank_unternehm/status/723073298121252864","723073298121252864")</f>
        <v>723073298121252864</v>
      </c>
      <c r="F652" s="11" t="s">
        <v>1838</v>
      </c>
      <c r="G652" s="11">
        <v>6</v>
      </c>
      <c r="H652" s="11">
        <v>22</v>
      </c>
      <c r="I652" s="11">
        <v>3</v>
      </c>
      <c r="J652" s="11">
        <v>0</v>
      </c>
      <c r="K652" s="11" t="s">
        <v>21</v>
      </c>
      <c r="L652" s="7">
        <v>41974.082974537036</v>
      </c>
      <c r="M652" s="12"/>
      <c r="N652" s="12"/>
      <c r="O652" s="10" t="str">
        <f>HYPERLINK("https://pbs.twimg.com/profile_images/708224790017003520/AQu5hT8M_normal.jpg","View")</f>
        <v>View</v>
      </c>
      <c r="P652" s="11"/>
    </row>
    <row r="653" spans="1:16" ht="12.75" x14ac:dyDescent="0.35">
      <c r="A653" s="7">
        <v>42481.604756944449</v>
      </c>
      <c r="B653" s="8" t="str">
        <f>HYPERLINK("https://twitter.com/Emission_Claims","@Emission_Claims")</f>
        <v>@Emission_Claims</v>
      </c>
      <c r="C653" s="9" t="s">
        <v>1839</v>
      </c>
      <c r="D653" s="9" t="s">
        <v>1840</v>
      </c>
      <c r="E653" s="10" t="str">
        <f>HYPERLINK("https://twitter.com/Emission_Claims/status/723074003926134784","723074003926134784")</f>
        <v>723074003926134784</v>
      </c>
      <c r="F653" s="11" t="s">
        <v>152</v>
      </c>
      <c r="G653" s="11">
        <v>363</v>
      </c>
      <c r="H653" s="11">
        <v>802</v>
      </c>
      <c r="I653" s="11">
        <v>0</v>
      </c>
      <c r="J653" s="11">
        <v>0</v>
      </c>
      <c r="K653" s="11" t="s">
        <v>21</v>
      </c>
      <c r="L653" s="7">
        <v>42286.806793981479</v>
      </c>
      <c r="M653" s="12" t="s">
        <v>1841</v>
      </c>
      <c r="N653" s="12" t="s">
        <v>1842</v>
      </c>
      <c r="O653" s="10" t="str">
        <f>HYPERLINK("https://pbs.twimg.com/profile_images/652482665900285952/jeA6rKOi_normal.jpg","View")</f>
        <v>View</v>
      </c>
      <c r="P653" s="11"/>
    </row>
    <row r="654" spans="1:16" ht="12.75" x14ac:dyDescent="0.35">
      <c r="A654" s="7">
        <v>42481.605115740742</v>
      </c>
      <c r="B654" s="8" t="str">
        <f>HYPERLINK("https://twitter.com/SMSFCoach","@SMSFCoach")</f>
        <v>@SMSFCoach</v>
      </c>
      <c r="C654" s="9" t="s">
        <v>1843</v>
      </c>
      <c r="D654" s="9" t="s">
        <v>1844</v>
      </c>
      <c r="E654" s="10" t="str">
        <f>HYPERLINK("https://twitter.com/SMSFCoach/status/723074136365375488","723074136365375488")</f>
        <v>723074136365375488</v>
      </c>
      <c r="F654" s="11" t="s">
        <v>91</v>
      </c>
      <c r="G654" s="11">
        <v>2601</v>
      </c>
      <c r="H654" s="11">
        <v>1651</v>
      </c>
      <c r="I654" s="11">
        <v>0</v>
      </c>
      <c r="J654" s="11">
        <v>2</v>
      </c>
      <c r="K654" s="11" t="s">
        <v>21</v>
      </c>
      <c r="L654" s="7">
        <v>39954.502951388888</v>
      </c>
      <c r="M654" s="12" t="s">
        <v>1845</v>
      </c>
      <c r="N654" s="12" t="s">
        <v>1846</v>
      </c>
      <c r="O654" s="10" t="str">
        <f>HYPERLINK("https://pbs.twimg.com/profile_images/666741182064553984/Mzus5geM_normal.jpg","View")</f>
        <v>View</v>
      </c>
      <c r="P654" s="11"/>
    </row>
    <row r="655" spans="1:16" ht="12.75" x14ac:dyDescent="0.35">
      <c r="A655" s="7">
        <v>42481.605405092589</v>
      </c>
      <c r="B655" s="8" t="str">
        <f>HYPERLINK("https://twitter.com/JungbluthMarion","@JungbluthMarion")</f>
        <v>@JungbluthMarion</v>
      </c>
      <c r="C655" s="9" t="s">
        <v>1847</v>
      </c>
      <c r="D655" s="9" t="s">
        <v>1848</v>
      </c>
      <c r="E655" s="10" t="str">
        <f>HYPERLINK("https://twitter.com/JungbluthMarion/status/723074238299684864","723074238299684864")</f>
        <v>723074238299684864</v>
      </c>
      <c r="F655" s="11" t="s">
        <v>20</v>
      </c>
      <c r="G655" s="11">
        <v>138</v>
      </c>
      <c r="H655" s="11">
        <v>136</v>
      </c>
      <c r="I655" s="11">
        <v>0</v>
      </c>
      <c r="J655" s="11">
        <v>1</v>
      </c>
      <c r="K655" s="11" t="s">
        <v>21</v>
      </c>
      <c r="L655" s="7">
        <v>41477.550543981481</v>
      </c>
      <c r="M655" s="12"/>
      <c r="N655" s="12" t="s">
        <v>1849</v>
      </c>
      <c r="O655" s="10" t="str">
        <f>HYPERLINK("https://pbs.twimg.com/profile_images/473415820228304896/eTUQb8dm_normal.jpeg","View")</f>
        <v>View</v>
      </c>
      <c r="P655" s="11"/>
    </row>
    <row r="656" spans="1:16" ht="12.75" x14ac:dyDescent="0.35">
      <c r="A656" s="7">
        <v>42481.606493055559</v>
      </c>
      <c r="B656" s="8" t="str">
        <f>HYPERLINK("https://twitter.com/NifsaLsilll","@NifsaLsilll")</f>
        <v>@NifsaLsilll</v>
      </c>
      <c r="C656" s="9" t="s">
        <v>1820</v>
      </c>
      <c r="D656" s="9" t="s">
        <v>1850</v>
      </c>
      <c r="E656" s="10" t="str">
        <f>HYPERLINK("https://twitter.com/NifsaLsilll/status/723074632861896705","723074632861896705")</f>
        <v>723074632861896705</v>
      </c>
      <c r="F656" s="11" t="s">
        <v>43</v>
      </c>
      <c r="G656" s="11">
        <v>382</v>
      </c>
      <c r="H656" s="11">
        <v>169</v>
      </c>
      <c r="I656" s="11">
        <v>0</v>
      </c>
      <c r="J656" s="11">
        <v>2</v>
      </c>
      <c r="K656" s="11" t="s">
        <v>21</v>
      </c>
      <c r="L656" s="7">
        <v>41047.192303240743</v>
      </c>
      <c r="M656" s="12" t="s">
        <v>1822</v>
      </c>
      <c r="N656" s="12" t="s">
        <v>1823</v>
      </c>
      <c r="O656" s="10" t="str">
        <f>HYPERLINK("https://pbs.twimg.com/profile_images/719454005991071744/coeXnXYF_normal.jpg","View")</f>
        <v>View</v>
      </c>
      <c r="P656" s="11"/>
    </row>
    <row r="657" spans="1:16" ht="12.75" x14ac:dyDescent="0.35">
      <c r="A657" s="7">
        <v>42481.607997685191</v>
      </c>
      <c r="B657" s="8" t="str">
        <f>HYPERLINK("https://twitter.com/axelneuhaus","@axelneuhaus")</f>
        <v>@axelneuhaus</v>
      </c>
      <c r="C657" s="9" t="s">
        <v>1851</v>
      </c>
      <c r="D657" s="9" t="s">
        <v>158</v>
      </c>
      <c r="E657" s="10" t="str">
        <f>HYPERLINK("https://twitter.com/axelneuhaus/status/723075179732148224","723075179732148224")</f>
        <v>723075179732148224</v>
      </c>
      <c r="F657" s="11" t="s">
        <v>20</v>
      </c>
      <c r="G657" s="11">
        <v>1102</v>
      </c>
      <c r="H657" s="11">
        <v>2125</v>
      </c>
      <c r="I657" s="11">
        <v>23</v>
      </c>
      <c r="J657" s="11">
        <v>0</v>
      </c>
      <c r="K657" s="11" t="s">
        <v>21</v>
      </c>
      <c r="L657" s="7">
        <v>39542.490567129629</v>
      </c>
      <c r="M657" s="12" t="s">
        <v>1852</v>
      </c>
      <c r="N657" s="12" t="s">
        <v>1853</v>
      </c>
      <c r="O657" s="10" t="str">
        <f>HYPERLINK("https://pbs.twimg.com/profile_images/601746963160240128/I5CRQlMA_normal.jpg","View")</f>
        <v>View</v>
      </c>
      <c r="P657" s="11"/>
    </row>
    <row r="658" spans="1:16" ht="12.75" x14ac:dyDescent="0.35">
      <c r="A658" s="7">
        <v>42481.608391203699</v>
      </c>
      <c r="B658" s="8" t="str">
        <f>HYPERLINK("https://twitter.com/ebaycampervans","@ebaycampervans")</f>
        <v>@ebaycampervans</v>
      </c>
      <c r="C658" s="9" t="s">
        <v>682</v>
      </c>
      <c r="D658" s="9" t="s">
        <v>1854</v>
      </c>
      <c r="E658" s="10" t="str">
        <f>HYPERLINK("https://twitter.com/ebaycampervans/status/723075322736844800","723075322736844800")</f>
        <v>723075322736844800</v>
      </c>
      <c r="F658" s="11" t="s">
        <v>34</v>
      </c>
      <c r="G658" s="11">
        <v>380</v>
      </c>
      <c r="H658" s="11">
        <v>1002</v>
      </c>
      <c r="I658" s="11">
        <v>0</v>
      </c>
      <c r="J658" s="11">
        <v>0</v>
      </c>
      <c r="K658" s="11" t="s">
        <v>21</v>
      </c>
      <c r="L658" s="7">
        <v>42140.207604166666</v>
      </c>
      <c r="M658" s="12"/>
      <c r="N658" s="12" t="s">
        <v>684</v>
      </c>
      <c r="O658" s="10" t="str">
        <f>HYPERLINK("https://pbs.twimg.com/profile_images/599357023407464449/BL9Bpo6T_normal.jpg","View")</f>
        <v>View</v>
      </c>
      <c r="P658" s="11"/>
    </row>
    <row r="659" spans="1:16" ht="12.75" x14ac:dyDescent="0.35">
      <c r="A659" s="7">
        <v>42481.609027777777</v>
      </c>
      <c r="B659" s="8" t="str">
        <f>HYPERLINK("https://twitter.com/ExistAutocare","@ExistAutocare")</f>
        <v>@ExistAutocare</v>
      </c>
      <c r="C659" s="9" t="s">
        <v>1855</v>
      </c>
      <c r="D659" s="9" t="s">
        <v>1856</v>
      </c>
      <c r="E659" s="10" t="str">
        <f>HYPERLINK("https://twitter.com/ExistAutocare/status/723075552312176640","723075552312176640")</f>
        <v>723075552312176640</v>
      </c>
      <c r="F659" s="11" t="s">
        <v>114</v>
      </c>
      <c r="G659" s="11">
        <v>4539</v>
      </c>
      <c r="H659" s="11">
        <v>3790</v>
      </c>
      <c r="I659" s="11">
        <v>0</v>
      </c>
      <c r="J659" s="11">
        <v>0</v>
      </c>
      <c r="K659" s="11" t="s">
        <v>21</v>
      </c>
      <c r="L659" s="7">
        <v>41435.654814814814</v>
      </c>
      <c r="M659" s="12" t="s">
        <v>1857</v>
      </c>
      <c r="N659" s="12" t="s">
        <v>1858</v>
      </c>
      <c r="O659" s="10" t="str">
        <f>HYPERLINK("https://pbs.twimg.com/profile_images/344513261573756879/61c9558432496f4a861ad93b4c679e59_normal.jpeg","View")</f>
        <v>View</v>
      </c>
      <c r="P659" s="11"/>
    </row>
    <row r="660" spans="1:16" ht="12.75" x14ac:dyDescent="0.35">
      <c r="A660" s="7">
        <v>42481.609791666662</v>
      </c>
      <c r="B660" s="8" t="str">
        <f>HYPERLINK("https://twitter.com/mj_palin","@mj_palin")</f>
        <v>@mj_palin</v>
      </c>
      <c r="C660" s="9" t="s">
        <v>1859</v>
      </c>
      <c r="D660" s="9" t="s">
        <v>1860</v>
      </c>
      <c r="E660" s="10" t="str">
        <f>HYPERLINK("https://twitter.com/mj_palin/status/723075829312315393","723075829312315393")</f>
        <v>723075829312315393</v>
      </c>
      <c r="F660" s="11" t="s">
        <v>43</v>
      </c>
      <c r="G660" s="11">
        <v>743</v>
      </c>
      <c r="H660" s="11">
        <v>28</v>
      </c>
      <c r="I660" s="11">
        <v>0</v>
      </c>
      <c r="J660" s="11">
        <v>1</v>
      </c>
      <c r="K660" s="11" t="s">
        <v>21</v>
      </c>
      <c r="L660" s="7">
        <v>41318.391250000001</v>
      </c>
      <c r="M660" s="12"/>
      <c r="N660" s="12"/>
      <c r="O660" s="10" t="str">
        <f>HYPERLINK("https://abs.twimg.com/sticky/default_profile_images/default_profile_6_normal.png","View")</f>
        <v>View</v>
      </c>
      <c r="P660" s="11"/>
    </row>
    <row r="661" spans="1:16" ht="12.75" x14ac:dyDescent="0.35">
      <c r="A661" s="7">
        <v>42481.610706018517</v>
      </c>
      <c r="B661" s="8" t="str">
        <f>HYPERLINK("https://twitter.com/MiManske","@MiManske")</f>
        <v>@MiManske</v>
      </c>
      <c r="C661" s="9" t="s">
        <v>1409</v>
      </c>
      <c r="D661" s="9" t="s">
        <v>1861</v>
      </c>
      <c r="E661" s="10" t="str">
        <f>HYPERLINK("https://twitter.com/MiManske/status/723076159022456832","723076159022456832")</f>
        <v>723076159022456832</v>
      </c>
      <c r="F661" s="11" t="s">
        <v>20</v>
      </c>
      <c r="G661" s="11">
        <v>1311</v>
      </c>
      <c r="H661" s="11">
        <v>796</v>
      </c>
      <c r="I661" s="11">
        <v>3</v>
      </c>
      <c r="J661" s="11">
        <v>2</v>
      </c>
      <c r="K661" s="11" t="s">
        <v>21</v>
      </c>
      <c r="L661" s="7">
        <v>40522.240474537037</v>
      </c>
      <c r="M661" s="12" t="s">
        <v>1411</v>
      </c>
      <c r="N661" s="12" t="s">
        <v>1412</v>
      </c>
      <c r="O661" s="10" t="str">
        <f>HYPERLINK("https://pbs.twimg.com/profile_images/652191269934993408/5bZKOI8y_normal.jpg","View")</f>
        <v>View</v>
      </c>
      <c r="P661" s="11"/>
    </row>
    <row r="662" spans="1:16" ht="12.75" x14ac:dyDescent="0.35">
      <c r="A662" s="7">
        <v>42481.611296296294</v>
      </c>
      <c r="B662" s="8" t="str">
        <f>HYPERLINK("https://twitter.com/BILD_Reporter","@BILD_Reporter")</f>
        <v>@BILD_Reporter</v>
      </c>
      <c r="C662" s="9" t="s">
        <v>1423</v>
      </c>
      <c r="D662" s="9" t="s">
        <v>1862</v>
      </c>
      <c r="E662" s="10" t="str">
        <f>HYPERLINK("https://twitter.com/BILD_Reporter/status/723076374110605312","723076374110605312")</f>
        <v>723076374110605312</v>
      </c>
      <c r="F662" s="11" t="s">
        <v>20</v>
      </c>
      <c r="G662" s="11">
        <v>2149</v>
      </c>
      <c r="H662" s="11">
        <v>238</v>
      </c>
      <c r="I662" s="11">
        <v>3</v>
      </c>
      <c r="J662" s="11">
        <v>0</v>
      </c>
      <c r="K662" s="11" t="s">
        <v>21</v>
      </c>
      <c r="L662" s="7">
        <v>41430.766331018516</v>
      </c>
      <c r="M662" s="12" t="s">
        <v>1359</v>
      </c>
      <c r="N662" s="12" t="s">
        <v>1425</v>
      </c>
      <c r="O662" s="10" t="str">
        <f>HYPERLINK("https://pbs.twimg.com/profile_images/578542636140781568/2T_ukEU0_normal.jpeg","View")</f>
        <v>View</v>
      </c>
      <c r="P662" s="11"/>
    </row>
    <row r="663" spans="1:16" ht="12.75" x14ac:dyDescent="0.35">
      <c r="A663" s="7">
        <v>42481.612326388888</v>
      </c>
      <c r="B663" s="8" t="str">
        <f>HYPERLINK("https://twitter.com/PiratenNH","@PiratenNH")</f>
        <v>@PiratenNH</v>
      </c>
      <c r="C663" s="9" t="s">
        <v>1863</v>
      </c>
      <c r="D663" s="9" t="s">
        <v>1864</v>
      </c>
      <c r="E663" s="10" t="str">
        <f>HYPERLINK("https://twitter.com/PiratenNH/status/723076746980003840","723076746980003840")</f>
        <v>723076746980003840</v>
      </c>
      <c r="F663" s="11" t="s">
        <v>63</v>
      </c>
      <c r="G663" s="11">
        <v>1728</v>
      </c>
      <c r="H663" s="11">
        <v>2317</v>
      </c>
      <c r="I663" s="11">
        <v>2</v>
      </c>
      <c r="J663" s="11">
        <v>0</v>
      </c>
      <c r="K663" s="11" t="s">
        <v>21</v>
      </c>
      <c r="L663" s="7">
        <v>41996.956226851849</v>
      </c>
      <c r="M663" s="12" t="s">
        <v>1865</v>
      </c>
      <c r="N663" s="12" t="s">
        <v>1866</v>
      </c>
      <c r="O663" s="10" t="str">
        <f>HYPERLINK("https://pbs.twimg.com/profile_images/547443913082953728/9xbSGKkT_normal.jpeg","View")</f>
        <v>View</v>
      </c>
      <c r="P663" s="11"/>
    </row>
    <row r="664" spans="1:16" ht="12.75" x14ac:dyDescent="0.35">
      <c r="A664" s="7">
        <v>42481.612326388888</v>
      </c>
      <c r="B664" s="8" t="str">
        <f>HYPERLINK("https://twitter.com/PP_amsterdam","@PP_amsterdam")</f>
        <v>@PP_amsterdam</v>
      </c>
      <c r="C664" s="9" t="s">
        <v>1867</v>
      </c>
      <c r="D664" s="9" t="s">
        <v>1864</v>
      </c>
      <c r="E664" s="10" t="str">
        <f>HYPERLINK("https://twitter.com/PP_amsterdam/status/723076746980024321","723076746980024321")</f>
        <v>723076746980024321</v>
      </c>
      <c r="F664" s="11" t="s">
        <v>63</v>
      </c>
      <c r="G664" s="11">
        <v>1934</v>
      </c>
      <c r="H664" s="11">
        <v>3468</v>
      </c>
      <c r="I664" s="11">
        <v>2</v>
      </c>
      <c r="J664" s="11">
        <v>0</v>
      </c>
      <c r="K664" s="11" t="s">
        <v>21</v>
      </c>
      <c r="L664" s="7">
        <v>41679.930879629632</v>
      </c>
      <c r="M664" s="12" t="s">
        <v>1748</v>
      </c>
      <c r="N664" s="12" t="s">
        <v>1868</v>
      </c>
      <c r="O664" s="10" t="str">
        <f>HYPERLINK("https://pbs.twimg.com/profile_images/432910539367260160/DWkQSFng_normal.jpeg","View")</f>
        <v>View</v>
      </c>
      <c r="P664" s="11"/>
    </row>
    <row r="665" spans="1:16" ht="12.75" x14ac:dyDescent="0.35">
      <c r="A665" s="7">
        <v>42481.615324074075</v>
      </c>
      <c r="B665" s="8" t="str">
        <f>HYPERLINK("https://twitter.com/melanievwbarons","@melanievwbarons")</f>
        <v>@melanievwbarons</v>
      </c>
      <c r="C665" s="9" t="s">
        <v>1869</v>
      </c>
      <c r="D665" s="9" t="s">
        <v>1870</v>
      </c>
      <c r="E665" s="10" t="str">
        <f>HYPERLINK("https://twitter.com/melanievwbarons/status/723077836333043712","723077836333043712")</f>
        <v>723077836333043712</v>
      </c>
      <c r="F665" s="11" t="s">
        <v>48</v>
      </c>
      <c r="G665" s="11">
        <v>18</v>
      </c>
      <c r="H665" s="11">
        <v>32</v>
      </c>
      <c r="I665" s="11">
        <v>1</v>
      </c>
      <c r="J665" s="11">
        <v>0</v>
      </c>
      <c r="K665" s="11" t="s">
        <v>21</v>
      </c>
      <c r="L665" s="7">
        <v>42352.514814814815</v>
      </c>
      <c r="M665" s="12"/>
      <c r="N665" s="12"/>
      <c r="O665" s="10" t="str">
        <f>HYPERLINK("https://pbs.twimg.com/profile_images/676294042716676096/x9M2eIQ-_normal.jpg","View")</f>
        <v>View</v>
      </c>
      <c r="P665" s="11"/>
    </row>
    <row r="666" spans="1:16" ht="12.75" x14ac:dyDescent="0.35">
      <c r="A666" s="7">
        <v>42481.616157407407</v>
      </c>
      <c r="B666" s="8" t="str">
        <f>HYPERLINK("https://twitter.com/JasonAdelaCruz","@JasonAdelaCruz")</f>
        <v>@JasonAdelaCruz</v>
      </c>
      <c r="C666" s="9" t="s">
        <v>1871</v>
      </c>
      <c r="D666" s="9" t="s">
        <v>1872</v>
      </c>
      <c r="E666" s="10" t="str">
        <f>HYPERLINK("https://twitter.com/JasonAdelaCruz/status/723078135856672768","723078135856672768")</f>
        <v>723078135856672768</v>
      </c>
      <c r="F666" s="11" t="s">
        <v>114</v>
      </c>
      <c r="G666" s="11">
        <v>223</v>
      </c>
      <c r="H666" s="11">
        <v>457</v>
      </c>
      <c r="I666" s="11">
        <v>0</v>
      </c>
      <c r="J666" s="11">
        <v>0</v>
      </c>
      <c r="K666" s="11" t="s">
        <v>21</v>
      </c>
      <c r="L666" s="7">
        <v>41215.941250000003</v>
      </c>
      <c r="M666" s="12"/>
      <c r="N666" s="12"/>
      <c r="O666" s="10" t="str">
        <f>HYPERLINK("https://pbs.twimg.com/profile_images/3097554049/a1262b87b94a5bc549fbdbd7e4b298d5_normal.jpeg","View")</f>
        <v>View</v>
      </c>
      <c r="P666" s="11"/>
    </row>
    <row r="667" spans="1:16" ht="12.75" x14ac:dyDescent="0.35">
      <c r="A667" s="7">
        <v>42481.616527777776</v>
      </c>
      <c r="B667" s="8" t="str">
        <f>HYPERLINK("https://twitter.com/chefreporterNRW","@chefreporterNRW")</f>
        <v>@chefreporterNRW</v>
      </c>
      <c r="C667" s="9" t="s">
        <v>1873</v>
      </c>
      <c r="D667" s="9" t="s">
        <v>1862</v>
      </c>
      <c r="E667" s="10" t="str">
        <f>HYPERLINK("https://twitter.com/chefreporterNRW/status/723078270745468932","723078270745468932")</f>
        <v>723078270745468932</v>
      </c>
      <c r="F667" s="11" t="s">
        <v>20</v>
      </c>
      <c r="G667" s="11">
        <v>4271</v>
      </c>
      <c r="H667" s="11">
        <v>674</v>
      </c>
      <c r="I667" s="11">
        <v>3</v>
      </c>
      <c r="J667" s="11">
        <v>0</v>
      </c>
      <c r="K667" s="11" t="s">
        <v>21</v>
      </c>
      <c r="L667" s="7">
        <v>41459.967719907407</v>
      </c>
      <c r="M667" s="12" t="s">
        <v>1874</v>
      </c>
      <c r="N667" s="12" t="s">
        <v>1875</v>
      </c>
      <c r="O667" s="10" t="str">
        <f>HYPERLINK("https://pbs.twimg.com/profile_images/439735434776940544/23u_i7Km_normal.jpeg","View")</f>
        <v>View</v>
      </c>
      <c r="P667" s="11"/>
    </row>
    <row r="668" spans="1:16" ht="12.75" x14ac:dyDescent="0.35">
      <c r="A668" s="7">
        <v>42481.616736111115</v>
      </c>
      <c r="B668" s="8" t="str">
        <f>HYPERLINK("https://twitter.com/VWBeetleSales","@VWBeetleSales")</f>
        <v>@VWBeetleSales</v>
      </c>
      <c r="C668" s="9" t="s">
        <v>127</v>
      </c>
      <c r="D668" s="9" t="s">
        <v>1876</v>
      </c>
      <c r="E668" s="10" t="str">
        <f>HYPERLINK("https://twitter.com/VWBeetleSales/status/723078345345224704","723078345345224704")</f>
        <v>723078345345224704</v>
      </c>
      <c r="F668" s="10" t="s">
        <v>124</v>
      </c>
      <c r="G668" s="11">
        <v>35</v>
      </c>
      <c r="H668" s="11">
        <v>32</v>
      </c>
      <c r="I668" s="11">
        <v>0</v>
      </c>
      <c r="J668" s="11">
        <v>0</v>
      </c>
      <c r="K668" s="11" t="s">
        <v>21</v>
      </c>
      <c r="L668" s="7">
        <v>42427.019756944443</v>
      </c>
      <c r="M668" s="12" t="s">
        <v>129</v>
      </c>
      <c r="N668" s="12" t="s">
        <v>130</v>
      </c>
      <c r="O668" s="10" t="str">
        <f>HYPERLINK("https://pbs.twimg.com/profile_images/703294545195307008/qeCvrX86_normal.jpg","View")</f>
        <v>View</v>
      </c>
      <c r="P668" s="11"/>
    </row>
    <row r="669" spans="1:16" ht="12.75" x14ac:dyDescent="0.35">
      <c r="A669" s="7">
        <v>42481.616898148146</v>
      </c>
      <c r="B669" s="8" t="str">
        <f>HYPERLINK("https://twitter.com/CAScherbaum","@CAScherbaum")</f>
        <v>@CAScherbaum</v>
      </c>
      <c r="C669" s="9" t="s">
        <v>1877</v>
      </c>
      <c r="D669" s="9" t="s">
        <v>1811</v>
      </c>
      <c r="E669" s="10" t="str">
        <f>HYPERLINK("https://twitter.com/CAScherbaum/status/723078406829649920","723078406829649920")</f>
        <v>723078406829649920</v>
      </c>
      <c r="F669" s="11" t="s">
        <v>63</v>
      </c>
      <c r="G669" s="11">
        <v>773</v>
      </c>
      <c r="H669" s="11">
        <v>568</v>
      </c>
      <c r="I669" s="11">
        <v>4</v>
      </c>
      <c r="J669" s="11">
        <v>0</v>
      </c>
      <c r="K669" s="11" t="s">
        <v>21</v>
      </c>
      <c r="L669" s="7">
        <v>39869.816180555557</v>
      </c>
      <c r="M669" s="12" t="s">
        <v>1878</v>
      </c>
      <c r="N669" s="12" t="s">
        <v>1879</v>
      </c>
      <c r="O669" s="10" t="str">
        <f>HYPERLINK("https://pbs.twimg.com/profile_images/609256126081855488/SjaopwPY_normal.jpg","View")</f>
        <v>View</v>
      </c>
      <c r="P669" s="11"/>
    </row>
    <row r="670" spans="1:16" ht="12.75" x14ac:dyDescent="0.35">
      <c r="A670" s="7">
        <v>42481.617384259254</v>
      </c>
      <c r="B670" s="8" t="str">
        <f>HYPERLINK("https://twitter.com/tagesschau","@tagesschau")</f>
        <v>@tagesschau</v>
      </c>
      <c r="C670" s="9" t="s">
        <v>1880</v>
      </c>
      <c r="D670" s="9" t="s">
        <v>1881</v>
      </c>
      <c r="E670" s="10" t="str">
        <f>HYPERLINK("https://twitter.com/tagesschau/status/723078582004813824","723078582004813824")</f>
        <v>723078582004813824</v>
      </c>
      <c r="F670" s="10" t="s">
        <v>1882</v>
      </c>
      <c r="G670" s="11">
        <v>1154672</v>
      </c>
      <c r="H670" s="11">
        <v>286</v>
      </c>
      <c r="I670" s="11">
        <v>3</v>
      </c>
      <c r="J670" s="11">
        <v>1</v>
      </c>
      <c r="K670" s="11" t="s">
        <v>21</v>
      </c>
      <c r="L670" s="7">
        <v>39205.592152777775</v>
      </c>
      <c r="M670" s="12" t="s">
        <v>953</v>
      </c>
      <c r="N670" s="12" t="s">
        <v>1883</v>
      </c>
      <c r="O670" s="10" t="str">
        <f>HYPERLINK("https://pbs.twimg.com/profile_images/531688614640365568/U84uXoIT_normal.png","View")</f>
        <v>View</v>
      </c>
      <c r="P670" s="11"/>
    </row>
    <row r="671" spans="1:16" ht="12.75" x14ac:dyDescent="0.35">
      <c r="A671" s="7">
        <v>42481.617789351847</v>
      </c>
      <c r="B671" s="8" t="str">
        <f>HYPERLINK("https://twitter.com/NDRreporter","@NDRreporter")</f>
        <v>@NDRreporter</v>
      </c>
      <c r="C671" s="9" t="s">
        <v>1660</v>
      </c>
      <c r="D671" s="9" t="s">
        <v>1884</v>
      </c>
      <c r="E671" s="10" t="str">
        <f>HYPERLINK("https://twitter.com/NDRreporter/status/723078727706406912","723078727706406912")</f>
        <v>723078727706406912</v>
      </c>
      <c r="F671" s="11" t="s">
        <v>43</v>
      </c>
      <c r="G671" s="11">
        <v>11483</v>
      </c>
      <c r="H671" s="11">
        <v>297</v>
      </c>
      <c r="I671" s="11">
        <v>0</v>
      </c>
      <c r="J671" s="11">
        <v>1</v>
      </c>
      <c r="K671" s="11" t="s">
        <v>21</v>
      </c>
      <c r="L671" s="7">
        <v>41386.591909722221</v>
      </c>
      <c r="M671" s="12" t="s">
        <v>953</v>
      </c>
      <c r="N671" s="12" t="s">
        <v>1662</v>
      </c>
      <c r="O671" s="10" t="str">
        <f>HYPERLINK("https://pbs.twimg.com/profile_images/466908605317279744/I5a712BQ_normal.jpeg","View")</f>
        <v>View</v>
      </c>
      <c r="P671" s="11"/>
    </row>
    <row r="672" spans="1:16" ht="12.75" x14ac:dyDescent="0.35">
      <c r="A672" s="7">
        <v>42481.618136574078</v>
      </c>
      <c r="B672" s="8" t="str">
        <f>HYPERLINK("https://twitter.com/foroDGT","@foroDGT")</f>
        <v>@foroDGT</v>
      </c>
      <c r="C672" s="9" t="s">
        <v>1885</v>
      </c>
      <c r="D672" s="9" t="s">
        <v>1886</v>
      </c>
      <c r="E672" s="10" t="str">
        <f>HYPERLINK("https://twitter.com/foroDGT/status/723078853535641600","723078853535641600")</f>
        <v>723078853535641600</v>
      </c>
      <c r="F672" s="11" t="s">
        <v>152</v>
      </c>
      <c r="G672" s="11">
        <v>4638</v>
      </c>
      <c r="H672" s="11">
        <v>1480</v>
      </c>
      <c r="I672" s="11">
        <v>5</v>
      </c>
      <c r="J672" s="11">
        <v>1</v>
      </c>
      <c r="K672" s="11" t="s">
        <v>21</v>
      </c>
      <c r="L672" s="7">
        <v>41079.883009259262</v>
      </c>
      <c r="M672" s="12" t="s">
        <v>1622</v>
      </c>
      <c r="N672" s="12" t="s">
        <v>1887</v>
      </c>
      <c r="O672" s="10" t="str">
        <f>HYPERLINK("https://pbs.twimg.com/profile_images/2596469392/rrzwjd2fhczd13316a2h_normal.png","View")</f>
        <v>View</v>
      </c>
      <c r="P672" s="11"/>
    </row>
    <row r="673" spans="1:16" ht="12.75" x14ac:dyDescent="0.35">
      <c r="A673" s="7">
        <v>42481.618263888886</v>
      </c>
      <c r="B673" s="8" t="str">
        <f>HYPERLINK("https://twitter.com/presroi","@presroi")</f>
        <v>@presroi</v>
      </c>
      <c r="C673" s="9" t="s">
        <v>1888</v>
      </c>
      <c r="D673" s="9" t="s">
        <v>1889</v>
      </c>
      <c r="E673" s="10" t="str">
        <f>HYPERLINK("https://twitter.com/presroi/status/723078900415229952","723078900415229952")</f>
        <v>723078900415229952</v>
      </c>
      <c r="F673" s="11" t="s">
        <v>43</v>
      </c>
      <c r="G673" s="11">
        <v>3907</v>
      </c>
      <c r="H673" s="11">
        <v>673</v>
      </c>
      <c r="I673" s="11">
        <v>3</v>
      </c>
      <c r="J673" s="11">
        <v>0</v>
      </c>
      <c r="K673" s="11" t="s">
        <v>21</v>
      </c>
      <c r="L673" s="7">
        <v>39853.930798611109</v>
      </c>
      <c r="M673" s="12" t="s">
        <v>1890</v>
      </c>
      <c r="N673" s="12" t="s">
        <v>1891</v>
      </c>
      <c r="O673" s="10" t="str">
        <f>HYPERLINK("https://pbs.twimg.com/profile_images/1783388331/IMG_4820_normal.JPG","View")</f>
        <v>View</v>
      </c>
      <c r="P673" s="11"/>
    </row>
    <row r="674" spans="1:16" ht="12.75" x14ac:dyDescent="0.35">
      <c r="A674" s="7">
        <v>42481.618946759263</v>
      </c>
      <c r="B674" s="8" t="str">
        <f>HYPERLINK("https://twitter.com/aldicop","@aldicop")</f>
        <v>@aldicop</v>
      </c>
      <c r="C674" s="9" t="s">
        <v>1892</v>
      </c>
      <c r="D674" s="9" t="s">
        <v>1862</v>
      </c>
      <c r="E674" s="10" t="str">
        <f>HYPERLINK("https://twitter.com/aldicop/status/723079148118376448","723079148118376448")</f>
        <v>723079148118376448</v>
      </c>
      <c r="F674" s="11" t="s">
        <v>48</v>
      </c>
      <c r="G674" s="11">
        <v>6</v>
      </c>
      <c r="H674" s="11">
        <v>136</v>
      </c>
      <c r="I674" s="11">
        <v>3</v>
      </c>
      <c r="J674" s="11">
        <v>0</v>
      </c>
      <c r="K674" s="11" t="s">
        <v>21</v>
      </c>
      <c r="L674" s="7">
        <v>42166.020914351851</v>
      </c>
      <c r="M674" s="12"/>
      <c r="N674" s="12" t="s">
        <v>1893</v>
      </c>
      <c r="O674" s="10" t="str">
        <f>HYPERLINK("https://pbs.twimg.com/profile_images/633994786354122753/N58sd1yK_normal.jpg","View")</f>
        <v>View</v>
      </c>
      <c r="P674" s="11"/>
    </row>
    <row r="675" spans="1:16" ht="12.75" x14ac:dyDescent="0.35">
      <c r="A675" s="7">
        <v>42481.619664351849</v>
      </c>
      <c r="B675" s="8" t="str">
        <f>HYPERLINK("https://twitter.com/cdwITMonitor","@cdwITMonitor")</f>
        <v>@cdwITMonitor</v>
      </c>
      <c r="C675" s="9" t="s">
        <v>1894</v>
      </c>
      <c r="D675" s="9" t="s">
        <v>1895</v>
      </c>
      <c r="E675" s="10" t="str">
        <f>HYPERLINK("https://twitter.com/cdwITMonitor/status/723079407338811393","723079407338811393")</f>
        <v>723079407338811393</v>
      </c>
      <c r="F675" s="11" t="s">
        <v>43</v>
      </c>
      <c r="G675" s="11">
        <v>314</v>
      </c>
      <c r="H675" s="11">
        <v>279</v>
      </c>
      <c r="I675" s="11">
        <v>0</v>
      </c>
      <c r="J675" s="11">
        <v>0</v>
      </c>
      <c r="K675" s="11" t="s">
        <v>21</v>
      </c>
      <c r="L675" s="7">
        <v>42313.798263888893</v>
      </c>
      <c r="M675" s="12" t="s">
        <v>1896</v>
      </c>
      <c r="N675" s="12" t="s">
        <v>1897</v>
      </c>
      <c r="O675" s="10" t="str">
        <f>HYPERLINK("https://pbs.twimg.com/profile_images/662637585773305856/iBVZmgJg_normal.jpg","View")</f>
        <v>View</v>
      </c>
      <c r="P675" s="11"/>
    </row>
    <row r="676" spans="1:16" ht="12.75" x14ac:dyDescent="0.35">
      <c r="A676" s="7">
        <v>42481.619722222225</v>
      </c>
      <c r="B676" s="8" t="str">
        <f>HYPERLINK("https://twitter.com/ErnstNordholt","@ErnstNordholt")</f>
        <v>@ErnstNordholt</v>
      </c>
      <c r="C676" s="9" t="s">
        <v>1898</v>
      </c>
      <c r="D676" s="9" t="s">
        <v>1889</v>
      </c>
      <c r="E676" s="10" t="str">
        <f>HYPERLINK("https://twitter.com/ErnstNordholt/status/723079426422898688","723079426422898688")</f>
        <v>723079426422898688</v>
      </c>
      <c r="F676" s="11" t="s">
        <v>43</v>
      </c>
      <c r="G676" s="11">
        <v>523</v>
      </c>
      <c r="H676" s="11">
        <v>1250</v>
      </c>
      <c r="I676" s="11">
        <v>3</v>
      </c>
      <c r="J676" s="11">
        <v>0</v>
      </c>
      <c r="K676" s="11" t="s">
        <v>21</v>
      </c>
      <c r="L676" s="7">
        <v>41228.797847222224</v>
      </c>
      <c r="M676" s="12"/>
      <c r="N676" s="12" t="s">
        <v>1899</v>
      </c>
      <c r="O676" s="10" t="str">
        <f>HYPERLINK("https://pbs.twimg.com/profile_images/698509815870578688/S6oEQDwn_normal.jpg","View")</f>
        <v>View</v>
      </c>
      <c r="P676" s="11"/>
    </row>
    <row r="677" spans="1:16" ht="12.75" x14ac:dyDescent="0.35">
      <c r="A677" s="7">
        <v>42481.620254629626</v>
      </c>
      <c r="B677" s="8" t="str">
        <f>HYPERLINK("https://twitter.com/JMGlachant","@JMGlachant")</f>
        <v>@JMGlachant</v>
      </c>
      <c r="C677" s="9" t="s">
        <v>1900</v>
      </c>
      <c r="D677" s="9" t="s">
        <v>1901</v>
      </c>
      <c r="E677" s="10" t="str">
        <f>HYPERLINK("https://twitter.com/JMGlachant/status/723079621701435393","723079621701435393")</f>
        <v>723079621701435393</v>
      </c>
      <c r="F677" s="11" t="s">
        <v>20</v>
      </c>
      <c r="G677" s="11">
        <v>1986</v>
      </c>
      <c r="H677" s="11">
        <v>1514</v>
      </c>
      <c r="I677" s="11">
        <v>1</v>
      </c>
      <c r="J677" s="11">
        <v>0</v>
      </c>
      <c r="K677" s="11" t="s">
        <v>21</v>
      </c>
      <c r="L677" s="7">
        <v>41435.796064814815</v>
      </c>
      <c r="M677" s="12" t="s">
        <v>1902</v>
      </c>
      <c r="N677" s="12" t="s">
        <v>1903</v>
      </c>
      <c r="O677" s="10" t="str">
        <f>HYPERLINK("https://pbs.twimg.com/profile_images/561258913891639296/Hro6CFpW_normal.jpeg","View")</f>
        <v>View</v>
      </c>
      <c r="P677" s="11"/>
    </row>
    <row r="678" spans="1:16" ht="12.75" x14ac:dyDescent="0.35">
      <c r="A678" s="7">
        <v>42481.620381944449</v>
      </c>
      <c r="B678" s="8" t="str">
        <f>HYPERLINK("https://twitter.com/brinthusha","@brinthusha")</f>
        <v>@brinthusha</v>
      </c>
      <c r="C678" s="9" t="s">
        <v>1904</v>
      </c>
      <c r="D678" s="9" t="s">
        <v>1905</v>
      </c>
      <c r="E678" s="10" t="str">
        <f>HYPERLINK("https://twitter.com/brinthusha/status/723079666282582017","723079666282582017")</f>
        <v>723079666282582017</v>
      </c>
      <c r="F678" s="11" t="s">
        <v>43</v>
      </c>
      <c r="G678" s="11">
        <v>15</v>
      </c>
      <c r="H678" s="11">
        <v>54</v>
      </c>
      <c r="I678" s="11">
        <v>2</v>
      </c>
      <c r="J678" s="11">
        <v>0</v>
      </c>
      <c r="K678" s="11" t="s">
        <v>21</v>
      </c>
      <c r="L678" s="7">
        <v>42466.909502314811</v>
      </c>
      <c r="M678" s="12"/>
      <c r="N678" s="12" t="s">
        <v>1906</v>
      </c>
      <c r="O678" s="10" t="str">
        <f>HYPERLINK("https://pbs.twimg.com/profile_images/717759338954276865/kYeKWhbD_normal.jpg","View")</f>
        <v>View</v>
      </c>
      <c r="P678" s="11"/>
    </row>
    <row r="679" spans="1:16" ht="12.75" x14ac:dyDescent="0.35">
      <c r="A679" s="7">
        <v>42481.620775462958</v>
      </c>
      <c r="B679" s="8" t="str">
        <f>HYPERLINK("https://twitter.com/jamesak47","@jamesak47")</f>
        <v>@jamesak47</v>
      </c>
      <c r="C679" s="9" t="s">
        <v>1907</v>
      </c>
      <c r="D679" s="9" t="s">
        <v>1908</v>
      </c>
      <c r="E679" s="10" t="str">
        <f>HYPERLINK("https://twitter.com/jamesak47/status/723079811397222400","723079811397222400")</f>
        <v>723079811397222400</v>
      </c>
      <c r="F679" s="11" t="s">
        <v>63</v>
      </c>
      <c r="G679" s="11">
        <v>541</v>
      </c>
      <c r="H679" s="11">
        <v>252</v>
      </c>
      <c r="I679" s="11">
        <v>0</v>
      </c>
      <c r="J679" s="11">
        <v>1</v>
      </c>
      <c r="K679" s="11" t="s">
        <v>21</v>
      </c>
      <c r="L679" s="7">
        <v>39888.80300925926</v>
      </c>
      <c r="M679" s="12" t="s">
        <v>638</v>
      </c>
      <c r="N679" s="12" t="s">
        <v>1909</v>
      </c>
      <c r="O679" s="10" t="str">
        <f>HYPERLINK("https://pbs.twimg.com/profile_images/2167442174/JAK1_normal.jpg","View")</f>
        <v>View</v>
      </c>
      <c r="P679" s="11"/>
    </row>
    <row r="680" spans="1:16" ht="12.75" x14ac:dyDescent="0.35">
      <c r="A680" s="7">
        <v>42481.620891203704</v>
      </c>
      <c r="B680" s="8" t="str">
        <f>HYPERLINK("https://twitter.com/VWBeetleSales","@VWBeetleSales")</f>
        <v>@VWBeetleSales</v>
      </c>
      <c r="C680" s="9" t="s">
        <v>127</v>
      </c>
      <c r="D680" s="9" t="s">
        <v>1910</v>
      </c>
      <c r="E680" s="10" t="str">
        <f>HYPERLINK("https://twitter.com/VWBeetleSales/status/723079853159784452","723079853159784452")</f>
        <v>723079853159784452</v>
      </c>
      <c r="F680" s="10" t="s">
        <v>124</v>
      </c>
      <c r="G680" s="11">
        <v>35</v>
      </c>
      <c r="H680" s="11">
        <v>32</v>
      </c>
      <c r="I680" s="11">
        <v>0</v>
      </c>
      <c r="J680" s="11">
        <v>0</v>
      </c>
      <c r="K680" s="11" t="s">
        <v>21</v>
      </c>
      <c r="L680" s="7">
        <v>42427.019756944443</v>
      </c>
      <c r="M680" s="12" t="s">
        <v>129</v>
      </c>
      <c r="N680" s="12" t="s">
        <v>130</v>
      </c>
      <c r="O680" s="10" t="str">
        <f>HYPERLINK("https://pbs.twimg.com/profile_images/703294545195307008/qeCvrX86_normal.jpg","View")</f>
        <v>View</v>
      </c>
      <c r="P680" s="11"/>
    </row>
    <row r="681" spans="1:16" ht="12.75" x14ac:dyDescent="0.35">
      <c r="A681" s="7">
        <v>42481.621597222227</v>
      </c>
      <c r="B681" s="8" t="str">
        <f>HYPERLINK("https://twitter.com/VWCamperSales","@VWCamperSales")</f>
        <v>@VWCamperSales</v>
      </c>
      <c r="C681" s="9" t="s">
        <v>216</v>
      </c>
      <c r="D681" s="9" t="s">
        <v>1911</v>
      </c>
      <c r="E681" s="10" t="str">
        <f>HYPERLINK("https://twitter.com/VWCamperSales/status/723080107628191746","723080107628191746")</f>
        <v>723080107628191746</v>
      </c>
      <c r="F681" s="10" t="s">
        <v>124</v>
      </c>
      <c r="G681" s="11">
        <v>615</v>
      </c>
      <c r="H681" s="11">
        <v>580</v>
      </c>
      <c r="I681" s="11">
        <v>0</v>
      </c>
      <c r="J681" s="11">
        <v>0</v>
      </c>
      <c r="K681" s="11" t="s">
        <v>21</v>
      </c>
      <c r="L681" s="7">
        <v>42215.98809027778</v>
      </c>
      <c r="M681" s="12" t="s">
        <v>129</v>
      </c>
      <c r="N681" s="12" t="s">
        <v>218</v>
      </c>
      <c r="O681" s="10" t="str">
        <f>HYPERLINK("https://pbs.twimg.com/profile_images/627949001179037696/skEBkS05_normal.jpg","View")</f>
        <v>View</v>
      </c>
      <c r="P681" s="11"/>
    </row>
    <row r="682" spans="1:16" ht="12.75" x14ac:dyDescent="0.35">
      <c r="A682" s="7">
        <v>42481.623854166668</v>
      </c>
      <c r="B682" s="8" t="str">
        <f t="shared" ref="B682:B684" si="60">HYPERLINK("https://twitter.com/michellelove13","@michellelove13")</f>
        <v>@michellelove13</v>
      </c>
      <c r="C682" s="9" t="s">
        <v>1912</v>
      </c>
      <c r="D682" s="9" t="s">
        <v>1913</v>
      </c>
      <c r="E682" s="10" t="str">
        <f>HYPERLINK("https://twitter.com/michellelove13/status/723080924963975168","723080924963975168")</f>
        <v>723080924963975168</v>
      </c>
      <c r="F682" s="11" t="s">
        <v>48</v>
      </c>
      <c r="G682" s="11">
        <v>1768</v>
      </c>
      <c r="H682" s="11">
        <v>1970</v>
      </c>
      <c r="I682" s="11">
        <v>1</v>
      </c>
      <c r="J682" s="11">
        <v>0</v>
      </c>
      <c r="K682" s="11" t="s">
        <v>21</v>
      </c>
      <c r="L682" s="7">
        <v>40327.759583333333</v>
      </c>
      <c r="M682" s="12" t="s">
        <v>1534</v>
      </c>
      <c r="N682" s="12" t="s">
        <v>1914</v>
      </c>
      <c r="O682" s="10" t="str">
        <f t="shared" ref="O682:O684" si="61">HYPERLINK("https://pbs.twimg.com/profile_images/583236161679818752/orli-VFP_normal.jpg","View")</f>
        <v>View</v>
      </c>
      <c r="P682" s="11"/>
    </row>
    <row r="683" spans="1:16" ht="12.75" x14ac:dyDescent="0.35">
      <c r="A683" s="7">
        <v>42481.623900462961</v>
      </c>
      <c r="B683" s="8" t="str">
        <f t="shared" si="60"/>
        <v>@michellelove13</v>
      </c>
      <c r="C683" s="9" t="s">
        <v>1912</v>
      </c>
      <c r="D683" s="9" t="s">
        <v>1915</v>
      </c>
      <c r="E683" s="10" t="str">
        <f>HYPERLINK("https://twitter.com/michellelove13/status/723080941741203456","723080941741203456")</f>
        <v>723080941741203456</v>
      </c>
      <c r="F683" s="11" t="s">
        <v>48</v>
      </c>
      <c r="G683" s="11">
        <v>1768</v>
      </c>
      <c r="H683" s="11">
        <v>1970</v>
      </c>
      <c r="I683" s="11">
        <v>1</v>
      </c>
      <c r="J683" s="11">
        <v>0</v>
      </c>
      <c r="K683" s="11" t="s">
        <v>21</v>
      </c>
      <c r="L683" s="7">
        <v>40327.759583333333</v>
      </c>
      <c r="M683" s="12" t="s">
        <v>1534</v>
      </c>
      <c r="N683" s="12" t="s">
        <v>1914</v>
      </c>
      <c r="O683" s="10" t="str">
        <f t="shared" si="61"/>
        <v>View</v>
      </c>
      <c r="P683" s="11"/>
    </row>
    <row r="684" spans="1:16" ht="12.75" x14ac:dyDescent="0.35">
      <c r="A684" s="7">
        <v>42481.624224537038</v>
      </c>
      <c r="B684" s="8" t="str">
        <f t="shared" si="60"/>
        <v>@michellelove13</v>
      </c>
      <c r="C684" s="9" t="s">
        <v>1912</v>
      </c>
      <c r="D684" s="9" t="s">
        <v>1916</v>
      </c>
      <c r="E684" s="10" t="str">
        <f>HYPERLINK("https://twitter.com/michellelove13/status/723081059294941185","723081059294941185")</f>
        <v>723081059294941185</v>
      </c>
      <c r="F684" s="11" t="s">
        <v>48</v>
      </c>
      <c r="G684" s="11">
        <v>1768</v>
      </c>
      <c r="H684" s="11">
        <v>1970</v>
      </c>
      <c r="I684" s="11">
        <v>1</v>
      </c>
      <c r="J684" s="11">
        <v>0</v>
      </c>
      <c r="K684" s="11" t="s">
        <v>21</v>
      </c>
      <c r="L684" s="7">
        <v>40327.759583333333</v>
      </c>
      <c r="M684" s="12" t="s">
        <v>1534</v>
      </c>
      <c r="N684" s="12" t="s">
        <v>1914</v>
      </c>
      <c r="O684" s="10" t="str">
        <f t="shared" si="61"/>
        <v>View</v>
      </c>
      <c r="P684" s="11"/>
    </row>
    <row r="685" spans="1:16" ht="12.75" x14ac:dyDescent="0.35">
      <c r="A685" s="7">
        <v>42481.624293981484</v>
      </c>
      <c r="B685" s="8" t="str">
        <f>HYPERLINK("https://twitter.com/Insta_VWT","@Insta_VWT")</f>
        <v>@Insta_VWT</v>
      </c>
      <c r="C685" s="9" t="s">
        <v>181</v>
      </c>
      <c r="D685" s="9" t="s">
        <v>1917</v>
      </c>
      <c r="E685" s="10" t="str">
        <f>HYPERLINK("https://twitter.com/Insta_VWT/status/723081084699836416","723081084699836416")</f>
        <v>723081084699836416</v>
      </c>
      <c r="F685" s="11" t="s">
        <v>68</v>
      </c>
      <c r="G685" s="11">
        <v>480</v>
      </c>
      <c r="H685" s="11">
        <v>0</v>
      </c>
      <c r="I685" s="11">
        <v>0</v>
      </c>
      <c r="J685" s="11">
        <v>0</v>
      </c>
      <c r="K685" s="11" t="s">
        <v>21</v>
      </c>
      <c r="L685" s="7">
        <v>41658.782800925925</v>
      </c>
      <c r="M685" s="12" t="s">
        <v>183</v>
      </c>
      <c r="N685" s="12" t="s">
        <v>184</v>
      </c>
      <c r="O685" s="10" t="str">
        <f>HYPERLINK("https://pbs.twimg.com/profile_images/424893967197433858/iQ86NktX_normal.jpeg","View")</f>
        <v>View</v>
      </c>
      <c r="P685" s="11"/>
    </row>
    <row r="686" spans="1:16" ht="12.75" x14ac:dyDescent="0.35">
      <c r="A686" s="7">
        <v>42481.6247337963</v>
      </c>
      <c r="B686" s="8" t="str">
        <f>HYPERLINK("https://twitter.com/VeeDubMk1_","@VeeDubMk1_")</f>
        <v>@VeeDubMk1_</v>
      </c>
      <c r="C686" s="9" t="s">
        <v>185</v>
      </c>
      <c r="D686" s="9" t="s">
        <v>1918</v>
      </c>
      <c r="E686" s="10" t="str">
        <f>HYPERLINK("https://twitter.com/VeeDubMk1_/status/723081245299740672","723081245299740672")</f>
        <v>723081245299740672</v>
      </c>
      <c r="F686" s="11" t="s">
        <v>68</v>
      </c>
      <c r="G686" s="11">
        <v>545</v>
      </c>
      <c r="H686" s="11">
        <v>3527</v>
      </c>
      <c r="I686" s="11">
        <v>0</v>
      </c>
      <c r="J686" s="11">
        <v>1</v>
      </c>
      <c r="K686" s="11" t="s">
        <v>21</v>
      </c>
      <c r="L686" s="7">
        <v>42343.063356481478</v>
      </c>
      <c r="M686" s="12"/>
      <c r="N686" s="12"/>
      <c r="O686" s="10" t="str">
        <f>HYPERLINK("https://pbs.twimg.com/profile_images/672878354127839232/M7OYc-zx_normal.jpg","View")</f>
        <v>View</v>
      </c>
      <c r="P686" s="11"/>
    </row>
    <row r="687" spans="1:16" ht="12.75" x14ac:dyDescent="0.35">
      <c r="A687" s="7">
        <v>42481.624895833331</v>
      </c>
      <c r="B687" s="8" t="str">
        <f>HYPERLINK("https://twitter.com/aktionaer","@aktionaer")</f>
        <v>@aktionaer</v>
      </c>
      <c r="C687" s="9" t="s">
        <v>1252</v>
      </c>
      <c r="D687" s="9" t="s">
        <v>1919</v>
      </c>
      <c r="E687" s="10" t="str">
        <f>HYPERLINK("https://twitter.com/aktionaer/status/723081303537524736","723081303537524736")</f>
        <v>723081303537524736</v>
      </c>
      <c r="F687" s="11" t="s">
        <v>43</v>
      </c>
      <c r="G687" s="11">
        <v>4631</v>
      </c>
      <c r="H687" s="11">
        <v>1111</v>
      </c>
      <c r="I687" s="11">
        <v>0</v>
      </c>
      <c r="J687" s="11">
        <v>0</v>
      </c>
      <c r="K687" s="11" t="s">
        <v>21</v>
      </c>
      <c r="L687" s="7">
        <v>39844.695729166662</v>
      </c>
      <c r="M687" s="12" t="s">
        <v>1254</v>
      </c>
      <c r="N687" s="12" t="s">
        <v>1255</v>
      </c>
      <c r="O687" s="10" t="str">
        <f>HYPERLINK("https://pbs.twimg.com/profile_images/679552623641509888/_vPw9IS2_normal.png","View")</f>
        <v>View</v>
      </c>
      <c r="P687" s="11"/>
    </row>
    <row r="688" spans="1:16" ht="12.75" x14ac:dyDescent="0.35">
      <c r="A688" s="7">
        <v>42481.62663194444</v>
      </c>
      <c r="B688" s="8" t="str">
        <f>HYPERLINK("https://twitter.com/NWVT","@NWVT")</f>
        <v>@NWVT</v>
      </c>
      <c r="C688" s="9" t="s">
        <v>1920</v>
      </c>
      <c r="D688" s="9" t="s">
        <v>1921</v>
      </c>
      <c r="E688" s="10" t="str">
        <f>HYPERLINK("https://twitter.com/NWVT/status/723081934008684544","723081934008684544")</f>
        <v>723081934008684544</v>
      </c>
      <c r="F688" s="11" t="s">
        <v>53</v>
      </c>
      <c r="G688" s="11">
        <v>1556</v>
      </c>
      <c r="H688" s="11">
        <v>2026</v>
      </c>
      <c r="I688" s="11">
        <v>0</v>
      </c>
      <c r="J688" s="11">
        <v>1</v>
      </c>
      <c r="K688" s="11" t="s">
        <v>21</v>
      </c>
      <c r="L688" s="7">
        <v>40142.900567129633</v>
      </c>
      <c r="M688" s="12" t="s">
        <v>1922</v>
      </c>
      <c r="N688" s="12" t="s">
        <v>1923</v>
      </c>
      <c r="O688" s="10" t="str">
        <f>HYPERLINK("https://pbs.twimg.com/profile_images/644256129166540800/UJ6W_YLI_normal.jpg","View")</f>
        <v>View</v>
      </c>
      <c r="P688" s="11"/>
    </row>
    <row r="689" spans="1:16" ht="12.75" x14ac:dyDescent="0.35">
      <c r="A689" s="7">
        <v>42481.627916666665</v>
      </c>
      <c r="B689" s="8" t="str">
        <f>HYPERLINK("https://twitter.com/ELMEX","@ELMEX")</f>
        <v>@ELMEX</v>
      </c>
      <c r="C689" s="9" t="s">
        <v>1924</v>
      </c>
      <c r="D689" s="9" t="s">
        <v>1925</v>
      </c>
      <c r="E689" s="10" t="str">
        <f>HYPERLINK("https://twitter.com/ELMEX/status/723082397927923715","723082397927923715")</f>
        <v>723082397927923715</v>
      </c>
      <c r="F689" s="11" t="s">
        <v>43</v>
      </c>
      <c r="G689" s="11">
        <v>59</v>
      </c>
      <c r="H689" s="11">
        <v>52</v>
      </c>
      <c r="I689" s="11">
        <v>1</v>
      </c>
      <c r="J689" s="11">
        <v>0</v>
      </c>
      <c r="K689" s="11" t="s">
        <v>21</v>
      </c>
      <c r="L689" s="7">
        <v>39258.659421296295</v>
      </c>
      <c r="M689" s="12" t="s">
        <v>1926</v>
      </c>
      <c r="N689" s="12" t="s">
        <v>1927</v>
      </c>
      <c r="O689" s="10" t="str">
        <f>HYPERLINK("https://pbs.twimg.com/profile_images/16798882/elmar-2_normal.jpg","View")</f>
        <v>View</v>
      </c>
      <c r="P689" s="11"/>
    </row>
    <row r="690" spans="1:16" ht="12.75" x14ac:dyDescent="0.35">
      <c r="A690" s="7">
        <v>42481.628287037034</v>
      </c>
      <c r="B690" s="8" t="str">
        <f>HYPERLINK("https://twitter.com/ADAC","@ADAC")</f>
        <v>@ADAC</v>
      </c>
      <c r="C690" s="9" t="s">
        <v>1928</v>
      </c>
      <c r="D690" s="9" t="s">
        <v>1929</v>
      </c>
      <c r="E690" s="10" t="str">
        <f>HYPERLINK("https://twitter.com/ADAC/status/723082530723889152","723082530723889152")</f>
        <v>723082530723889152</v>
      </c>
      <c r="F690" s="11" t="s">
        <v>1930</v>
      </c>
      <c r="G690" s="11">
        <v>12477</v>
      </c>
      <c r="H690" s="11">
        <v>428</v>
      </c>
      <c r="I690" s="11">
        <v>2</v>
      </c>
      <c r="J690" s="11">
        <v>1</v>
      </c>
      <c r="K690" s="11" t="s">
        <v>21</v>
      </c>
      <c r="L690" s="7">
        <v>40359.628761574073</v>
      </c>
      <c r="M690" s="12" t="s">
        <v>1931</v>
      </c>
      <c r="N690" s="12" t="s">
        <v>1932</v>
      </c>
      <c r="O690" s="10" t="str">
        <f>HYPERLINK("https://pbs.twimg.com/profile_images/1064577918/Logo_340_tcm11-225485_normal.jpg","View")</f>
        <v>View</v>
      </c>
      <c r="P690" s="11"/>
    </row>
    <row r="691" spans="1:16" ht="12.75" x14ac:dyDescent="0.35">
      <c r="A691" s="7">
        <v>42481.628321759257</v>
      </c>
      <c r="B691" s="8" t="str">
        <f>HYPERLINK("https://twitter.com/VCT_Tweets","@VCT_Tweets")</f>
        <v>@VCT_Tweets</v>
      </c>
      <c r="C691" s="9" t="s">
        <v>199</v>
      </c>
      <c r="D691" s="9" t="s">
        <v>1933</v>
      </c>
      <c r="E691" s="10" t="str">
        <f>HYPERLINK("https://twitter.com/VCT_Tweets/status/723082544661540864","723082544661540864")</f>
        <v>723082544661540864</v>
      </c>
      <c r="F691" s="11" t="s">
        <v>68</v>
      </c>
      <c r="G691" s="11">
        <v>884</v>
      </c>
      <c r="H691" s="11">
        <v>211</v>
      </c>
      <c r="I691" s="11">
        <v>2</v>
      </c>
      <c r="J691" s="11">
        <v>4</v>
      </c>
      <c r="K691" s="11" t="s">
        <v>21</v>
      </c>
      <c r="L691" s="7">
        <v>40744.914837962962</v>
      </c>
      <c r="M691" s="12" t="s">
        <v>201</v>
      </c>
      <c r="N691" s="12" t="s">
        <v>202</v>
      </c>
      <c r="O691" s="10" t="str">
        <f>HYPERLINK("https://pbs.twimg.com/profile_images/569800899141177344/nVFLMSdb_normal.png","View")</f>
        <v>View</v>
      </c>
      <c r="P691" s="11"/>
    </row>
    <row r="692" spans="1:16" ht="12.75" x14ac:dyDescent="0.35">
      <c r="A692" s="7">
        <v>42481.628807870366</v>
      </c>
      <c r="B692" s="8" t="str">
        <f>HYPERLINK("https://twitter.com/anteafonds","@anteafonds")</f>
        <v>@anteafonds</v>
      </c>
      <c r="C692" s="9" t="s">
        <v>1934</v>
      </c>
      <c r="D692" s="9" t="s">
        <v>1935</v>
      </c>
      <c r="E692" s="10" t="str">
        <f>HYPERLINK("https://twitter.com/anteafonds/status/723082721929519104","723082721929519104")</f>
        <v>723082721929519104</v>
      </c>
      <c r="F692" s="11" t="s">
        <v>43</v>
      </c>
      <c r="G692" s="11">
        <v>318</v>
      </c>
      <c r="H692" s="11">
        <v>173</v>
      </c>
      <c r="I692" s="11">
        <v>0</v>
      </c>
      <c r="J692" s="11">
        <v>0</v>
      </c>
      <c r="K692" s="11" t="s">
        <v>21</v>
      </c>
      <c r="L692" s="7">
        <v>40491.79996527778</v>
      </c>
      <c r="M692" s="12" t="s">
        <v>1936</v>
      </c>
      <c r="N692" s="12" t="s">
        <v>1937</v>
      </c>
      <c r="O692" s="10" t="str">
        <f>HYPERLINK("https://pbs.twimg.com/profile_images/1163268131/Logo_f_r_Twitter_normal.jpg","View")</f>
        <v>View</v>
      </c>
      <c r="P692" s="11"/>
    </row>
    <row r="693" spans="1:16" ht="12.75" x14ac:dyDescent="0.35">
      <c r="A693" s="7">
        <v>42481.63045138889</v>
      </c>
      <c r="B693" s="8" t="str">
        <f>HYPERLINK("https://twitter.com/SJ_LOWTEC","@SJ_LOWTEC")</f>
        <v>@SJ_LOWTEC</v>
      </c>
      <c r="C693" s="9" t="s">
        <v>1938</v>
      </c>
      <c r="D693" s="9" t="s">
        <v>1939</v>
      </c>
      <c r="E693" s="10" t="str">
        <f>HYPERLINK("https://twitter.com/SJ_LOWTEC/status/723083315650154496","723083315650154496")</f>
        <v>723083315650154496</v>
      </c>
      <c r="F693" s="11" t="s">
        <v>53</v>
      </c>
      <c r="G693" s="11">
        <v>54</v>
      </c>
      <c r="H693" s="11">
        <v>82</v>
      </c>
      <c r="I693" s="11">
        <v>0</v>
      </c>
      <c r="J693" s="11">
        <v>0</v>
      </c>
      <c r="K693" s="11" t="s">
        <v>21</v>
      </c>
      <c r="L693" s="7">
        <v>41157.77925925926</v>
      </c>
      <c r="M693" s="12" t="s">
        <v>1940</v>
      </c>
      <c r="N693" s="12" t="s">
        <v>1941</v>
      </c>
      <c r="O693" s="10" t="str">
        <f>HYPERLINK("https://pbs.twimg.com/profile_images/2598553252/qoojuj09m53kdh24r09y_normal.jpeg","View")</f>
        <v>View</v>
      </c>
      <c r="P693" s="11"/>
    </row>
    <row r="694" spans="1:16" ht="12.75" x14ac:dyDescent="0.35">
      <c r="A694" s="7">
        <v>42481.630636574075</v>
      </c>
      <c r="B694" s="8" t="str">
        <f>HYPERLINK("https://twitter.com/laoluakanni","@laoluakanni")</f>
        <v>@laoluakanni</v>
      </c>
      <c r="C694" s="9" t="s">
        <v>1942</v>
      </c>
      <c r="D694" s="9" t="s">
        <v>1943</v>
      </c>
      <c r="E694" s="10" t="str">
        <f>HYPERLINK("https://twitter.com/laoluakanni/status/723083382209556480","723083382209556480")</f>
        <v>723083382209556480</v>
      </c>
      <c r="F694" s="11" t="s">
        <v>48</v>
      </c>
      <c r="G694" s="11">
        <v>149</v>
      </c>
      <c r="H694" s="11">
        <v>389</v>
      </c>
      <c r="I694" s="11">
        <v>2</v>
      </c>
      <c r="J694" s="11">
        <v>0</v>
      </c>
      <c r="K694" s="11" t="s">
        <v>21</v>
      </c>
      <c r="L694" s="7">
        <v>42142.109085648146</v>
      </c>
      <c r="M694" s="12" t="s">
        <v>1944</v>
      </c>
      <c r="N694" s="12"/>
      <c r="O694" s="10" t="str">
        <f>HYPERLINK("https://pbs.twimg.com/profile_images/716597196439859200/jCVf3LFy_normal.jpg","View")</f>
        <v>View</v>
      </c>
      <c r="P694" s="11"/>
    </row>
    <row r="695" spans="1:16" ht="12.75" x14ac:dyDescent="0.35">
      <c r="A695" s="7">
        <v>42481.630740740744</v>
      </c>
      <c r="B695" s="8" t="str">
        <f>HYPERLINK("https://twitter.com/ChrisJBCarroll","@ChrisJBCarroll")</f>
        <v>@ChrisJBCarroll</v>
      </c>
      <c r="C695" s="9" t="s">
        <v>1945</v>
      </c>
      <c r="D695" s="9" t="s">
        <v>1429</v>
      </c>
      <c r="E695" s="10" t="str">
        <f>HYPERLINK("https://twitter.com/ChrisJBCarroll/status/723083419656310784","723083419656310784")</f>
        <v>723083419656310784</v>
      </c>
      <c r="F695" s="11" t="s">
        <v>63</v>
      </c>
      <c r="G695" s="11">
        <v>255</v>
      </c>
      <c r="H695" s="11">
        <v>676</v>
      </c>
      <c r="I695" s="11">
        <v>13</v>
      </c>
      <c r="J695" s="11">
        <v>0</v>
      </c>
      <c r="K695" s="11" t="s">
        <v>21</v>
      </c>
      <c r="L695" s="7">
        <v>41362.800671296296</v>
      </c>
      <c r="M695" s="12"/>
      <c r="N695" s="12" t="s">
        <v>1946</v>
      </c>
      <c r="O695" s="10" t="str">
        <f>HYPERLINK("https://pbs.twimg.com/profile_images/378800000461582138/dea3b11d48a7b41fa52ff65a08ce5a0c_normal.jpeg","View")</f>
        <v>View</v>
      </c>
      <c r="P695" s="11"/>
    </row>
    <row r="696" spans="1:16" ht="12.75" x14ac:dyDescent="0.35">
      <c r="A696" s="7">
        <v>42481.630914351852</v>
      </c>
      <c r="B696" s="8" t="str">
        <f>HYPERLINK("https://twitter.com/Wir_Koeln","@Wir_Koeln")</f>
        <v>@Wir_Koeln</v>
      </c>
      <c r="C696" s="9" t="s">
        <v>1947</v>
      </c>
      <c r="D696" s="9" t="s">
        <v>1948</v>
      </c>
      <c r="E696" s="10" t="str">
        <f>HYPERLINK("https://twitter.com/Wir_Koeln/status/723083483904651264","723083483904651264")</f>
        <v>723083483904651264</v>
      </c>
      <c r="F696" s="11" t="s">
        <v>48</v>
      </c>
      <c r="G696" s="11">
        <v>68</v>
      </c>
      <c r="H696" s="11">
        <v>88</v>
      </c>
      <c r="I696" s="11">
        <v>2</v>
      </c>
      <c r="J696" s="11">
        <v>0</v>
      </c>
      <c r="K696" s="11" t="s">
        <v>21</v>
      </c>
      <c r="L696" s="7">
        <v>42169.853379629625</v>
      </c>
      <c r="M696" s="12" t="s">
        <v>1949</v>
      </c>
      <c r="N696" s="12" t="s">
        <v>1950</v>
      </c>
      <c r="O696" s="10" t="str">
        <f>HYPERLINK("https://pbs.twimg.com/profile_images/610108234049978368/pZvfSjPA_normal.jpg","View")</f>
        <v>View</v>
      </c>
      <c r="P696" s="11"/>
    </row>
    <row r="697" spans="1:16" ht="12.75" x14ac:dyDescent="0.35">
      <c r="A697" s="7">
        <v>42481.631956018522</v>
      </c>
      <c r="B697" s="8" t="str">
        <f>HYPERLINK("https://twitter.com/Scirocco_Tuning","@Scirocco_Tuning")</f>
        <v>@Scirocco_Tuning</v>
      </c>
      <c r="C697" s="9" t="s">
        <v>51</v>
      </c>
      <c r="D697" s="9" t="s">
        <v>1951</v>
      </c>
      <c r="E697" s="10" t="str">
        <f>HYPERLINK("https://twitter.com/Scirocco_Tuning/status/723083863388479489","723083863388479489")</f>
        <v>723083863388479489</v>
      </c>
      <c r="F697" s="11" t="s">
        <v>53</v>
      </c>
      <c r="G697" s="11">
        <v>69</v>
      </c>
      <c r="H697" s="11">
        <v>215</v>
      </c>
      <c r="I697" s="11">
        <v>0</v>
      </c>
      <c r="J697" s="11">
        <v>0</v>
      </c>
      <c r="K697" s="11" t="s">
        <v>21</v>
      </c>
      <c r="L697" s="7">
        <v>40844.564722222218</v>
      </c>
      <c r="M697" s="12"/>
      <c r="N697" s="12"/>
      <c r="O697" s="10" t="str">
        <f>HYPERLINK("https://pbs.twimg.com/profile_images/1610421423/Image2_normal.jpg","View")</f>
        <v>View</v>
      </c>
      <c r="P697" s="11"/>
    </row>
    <row r="698" spans="1:16" ht="12.75" x14ac:dyDescent="0.35">
      <c r="A698" s="7">
        <v>42481.632939814815</v>
      </c>
      <c r="B698" s="8" t="str">
        <f>HYPERLINK("https://twitter.com/AlexanderXV","@AlexanderXV")</f>
        <v>@AlexanderXV</v>
      </c>
      <c r="C698" s="9" t="s">
        <v>1952</v>
      </c>
      <c r="D698" s="9" t="s">
        <v>1953</v>
      </c>
      <c r="E698" s="10" t="str">
        <f>HYPERLINK("https://twitter.com/AlexanderXV/status/723084217299562496","723084217299562496")</f>
        <v>723084217299562496</v>
      </c>
      <c r="F698" s="11" t="s">
        <v>43</v>
      </c>
      <c r="G698" s="11">
        <v>309</v>
      </c>
      <c r="H698" s="11">
        <v>414</v>
      </c>
      <c r="I698" s="11">
        <v>0</v>
      </c>
      <c r="J698" s="11">
        <v>0</v>
      </c>
      <c r="K698" s="11" t="s">
        <v>21</v>
      </c>
      <c r="L698" s="7">
        <v>42026.232569444444</v>
      </c>
      <c r="M698" s="12"/>
      <c r="N698" s="12"/>
      <c r="O698" s="10" t="str">
        <f>HYPERLINK("https://pbs.twimg.com/profile_images/558071990989234176/26P9fNQe_normal.jpeg","View")</f>
        <v>View</v>
      </c>
      <c r="P698" s="11"/>
    </row>
    <row r="699" spans="1:16" ht="12.75" x14ac:dyDescent="0.35">
      <c r="A699" s="7">
        <v>42481.63318287037</v>
      </c>
      <c r="B699" s="8" t="str">
        <f>HYPERLINK("https://twitter.com/ForgeMotorsport","@ForgeMotorsport")</f>
        <v>@ForgeMotorsport</v>
      </c>
      <c r="C699" s="9" t="s">
        <v>1954</v>
      </c>
      <c r="D699" s="9" t="s">
        <v>1955</v>
      </c>
      <c r="E699" s="10" t="str">
        <f>HYPERLINK("https://twitter.com/ForgeMotorsport/status/723084304688025600","723084304688025600")</f>
        <v>723084304688025600</v>
      </c>
      <c r="F699" s="11" t="s">
        <v>20</v>
      </c>
      <c r="G699" s="11">
        <v>7081</v>
      </c>
      <c r="H699" s="11">
        <v>350</v>
      </c>
      <c r="I699" s="11">
        <v>2</v>
      </c>
      <c r="J699" s="11">
        <v>0</v>
      </c>
      <c r="K699" s="11" t="s">
        <v>21</v>
      </c>
      <c r="L699" s="7">
        <v>39876.496469907404</v>
      </c>
      <c r="M699" s="12" t="s">
        <v>1956</v>
      </c>
      <c r="N699" s="12" t="s">
        <v>1957</v>
      </c>
      <c r="O699" s="10" t="str">
        <f>HYPERLINK("https://pbs.twimg.com/profile_images/1878103165/forge_logo_normal.jpg","View")</f>
        <v>View</v>
      </c>
      <c r="P699" s="11"/>
    </row>
    <row r="700" spans="1:16" ht="12.75" x14ac:dyDescent="0.35">
      <c r="A700" s="7">
        <v>42481.633472222224</v>
      </c>
      <c r="B700" s="8" t="str">
        <f t="shared" ref="B700:B702" si="62">HYPERLINK("https://twitter.com/VolkswagenPost","@VolkswagenPost")</f>
        <v>@VolkswagenPost</v>
      </c>
      <c r="C700" s="9" t="s">
        <v>321</v>
      </c>
      <c r="D700" s="9" t="s">
        <v>1958</v>
      </c>
      <c r="E700" s="10" t="str">
        <f>HYPERLINK("https://twitter.com/VolkswagenPost/status/723084411017687041","723084411017687041")</f>
        <v>723084411017687041</v>
      </c>
      <c r="F700" s="11" t="s">
        <v>34</v>
      </c>
      <c r="G700" s="11">
        <v>571</v>
      </c>
      <c r="H700" s="11">
        <v>446</v>
      </c>
      <c r="I700" s="11">
        <v>1</v>
      </c>
      <c r="J700" s="11">
        <v>0</v>
      </c>
      <c r="K700" s="11" t="s">
        <v>21</v>
      </c>
      <c r="L700" s="7">
        <v>41940.618379629632</v>
      </c>
      <c r="M700" s="12"/>
      <c r="N700" s="12"/>
      <c r="O700" s="10" t="str">
        <f t="shared" ref="O700:O702" si="63">HYPERLINK("https://pbs.twimg.com/profile_images/530071272881803264/a_jcCmPZ_normal.png","View")</f>
        <v>View</v>
      </c>
      <c r="P700" s="11"/>
    </row>
    <row r="701" spans="1:16" ht="12.75" x14ac:dyDescent="0.35">
      <c r="A701" s="7">
        <v>42481.633472222224</v>
      </c>
      <c r="B701" s="8" t="str">
        <f t="shared" si="62"/>
        <v>@VolkswagenPost</v>
      </c>
      <c r="C701" s="9" t="s">
        <v>321</v>
      </c>
      <c r="D701" s="9" t="s">
        <v>1959</v>
      </c>
      <c r="E701" s="10" t="str">
        <f>HYPERLINK("https://twitter.com/VolkswagenPost/status/723084411965571072","723084411965571072")</f>
        <v>723084411965571072</v>
      </c>
      <c r="F701" s="11" t="s">
        <v>34</v>
      </c>
      <c r="G701" s="11">
        <v>571</v>
      </c>
      <c r="H701" s="11">
        <v>446</v>
      </c>
      <c r="I701" s="11">
        <v>2</v>
      </c>
      <c r="J701" s="11">
        <v>0</v>
      </c>
      <c r="K701" s="11" t="s">
        <v>21</v>
      </c>
      <c r="L701" s="7">
        <v>41940.618379629632</v>
      </c>
      <c r="M701" s="12"/>
      <c r="N701" s="12"/>
      <c r="O701" s="10" t="str">
        <f t="shared" si="63"/>
        <v>View</v>
      </c>
      <c r="P701" s="11"/>
    </row>
    <row r="702" spans="1:16" ht="12.75" x14ac:dyDescent="0.35">
      <c r="A702" s="7">
        <v>42481.633472222224</v>
      </c>
      <c r="B702" s="8" t="str">
        <f t="shared" si="62"/>
        <v>@VolkswagenPost</v>
      </c>
      <c r="C702" s="9" t="s">
        <v>321</v>
      </c>
      <c r="D702" s="9" t="s">
        <v>1960</v>
      </c>
      <c r="E702" s="10" t="str">
        <f>HYPERLINK("https://twitter.com/VolkswagenPost/status/723084412913491968","723084412913491968")</f>
        <v>723084412913491968</v>
      </c>
      <c r="F702" s="11" t="s">
        <v>34</v>
      </c>
      <c r="G702" s="11">
        <v>571</v>
      </c>
      <c r="H702" s="11">
        <v>446</v>
      </c>
      <c r="I702" s="11">
        <v>1</v>
      </c>
      <c r="J702" s="11">
        <v>0</v>
      </c>
      <c r="K702" s="11" t="s">
        <v>21</v>
      </c>
      <c r="L702" s="7">
        <v>41940.618379629632</v>
      </c>
      <c r="M702" s="12"/>
      <c r="N702" s="12"/>
      <c r="O702" s="10" t="str">
        <f t="shared" si="63"/>
        <v>View</v>
      </c>
      <c r="P702" s="11"/>
    </row>
    <row r="703" spans="1:16" ht="12.75" x14ac:dyDescent="0.35">
      <c r="A703" s="7">
        <v>42481.633530092593</v>
      </c>
      <c r="B703" s="8" t="str">
        <f t="shared" ref="B703:B705" si="64">HYPERLINK("https://twitter.com/OnlineCarReview","@OnlineCarReview")</f>
        <v>@OnlineCarReview</v>
      </c>
      <c r="C703" s="9" t="s">
        <v>176</v>
      </c>
      <c r="D703" s="9" t="s">
        <v>1961</v>
      </c>
      <c r="E703" s="10" t="str">
        <f>HYPERLINK("https://twitter.com/OnlineCarReview/status/723084430370197505","723084430370197505")</f>
        <v>723084430370197505</v>
      </c>
      <c r="F703" s="11" t="s">
        <v>34</v>
      </c>
      <c r="G703" s="11">
        <v>839</v>
      </c>
      <c r="H703" s="11">
        <v>568</v>
      </c>
      <c r="I703" s="11">
        <v>0</v>
      </c>
      <c r="J703" s="11">
        <v>0</v>
      </c>
      <c r="K703" s="11" t="s">
        <v>21</v>
      </c>
      <c r="L703" s="7">
        <v>42282.979201388887</v>
      </c>
      <c r="M703" s="12"/>
      <c r="N703" s="12" t="s">
        <v>178</v>
      </c>
      <c r="O703" s="10" t="str">
        <f t="shared" ref="O703:O705" si="65">HYPERLINK("https://pbs.twimg.com/profile_images/652871584131092480/QA_B6SBO_normal.jpg","View")</f>
        <v>View</v>
      </c>
      <c r="P703" s="11"/>
    </row>
    <row r="704" spans="1:16" ht="12.75" x14ac:dyDescent="0.35">
      <c r="A704" s="7">
        <v>42481.633530092593</v>
      </c>
      <c r="B704" s="8" t="str">
        <f t="shared" si="64"/>
        <v>@OnlineCarReview</v>
      </c>
      <c r="C704" s="9" t="s">
        <v>176</v>
      </c>
      <c r="D704" s="9" t="s">
        <v>1962</v>
      </c>
      <c r="E704" s="10" t="str">
        <f>HYPERLINK("https://twitter.com/OnlineCarReview/status/723084431443906561","723084431443906561")</f>
        <v>723084431443906561</v>
      </c>
      <c r="F704" s="11" t="s">
        <v>34</v>
      </c>
      <c r="G704" s="11">
        <v>839</v>
      </c>
      <c r="H704" s="11">
        <v>568</v>
      </c>
      <c r="I704" s="11">
        <v>0</v>
      </c>
      <c r="J704" s="11">
        <v>0</v>
      </c>
      <c r="K704" s="11" t="s">
        <v>21</v>
      </c>
      <c r="L704" s="7">
        <v>42282.979201388887</v>
      </c>
      <c r="M704" s="12"/>
      <c r="N704" s="12" t="s">
        <v>178</v>
      </c>
      <c r="O704" s="10" t="str">
        <f t="shared" si="65"/>
        <v>View</v>
      </c>
      <c r="P704" s="11"/>
    </row>
    <row r="705" spans="1:16" ht="12.75" x14ac:dyDescent="0.35">
      <c r="A705" s="7">
        <v>42481.633530092593</v>
      </c>
      <c r="B705" s="8" t="str">
        <f t="shared" si="64"/>
        <v>@OnlineCarReview</v>
      </c>
      <c r="C705" s="9" t="s">
        <v>176</v>
      </c>
      <c r="D705" s="9" t="s">
        <v>1963</v>
      </c>
      <c r="E705" s="10" t="str">
        <f>HYPERLINK("https://twitter.com/OnlineCarReview/status/723084432412807169","723084432412807169")</f>
        <v>723084432412807169</v>
      </c>
      <c r="F705" s="11" t="s">
        <v>34</v>
      </c>
      <c r="G705" s="11">
        <v>839</v>
      </c>
      <c r="H705" s="11">
        <v>568</v>
      </c>
      <c r="I705" s="11">
        <v>0</v>
      </c>
      <c r="J705" s="11">
        <v>0</v>
      </c>
      <c r="K705" s="11" t="s">
        <v>21</v>
      </c>
      <c r="L705" s="7">
        <v>42282.979201388887</v>
      </c>
      <c r="M705" s="12"/>
      <c r="N705" s="12" t="s">
        <v>178</v>
      </c>
      <c r="O705" s="10" t="str">
        <f t="shared" si="65"/>
        <v>View</v>
      </c>
      <c r="P705" s="11"/>
    </row>
    <row r="706" spans="1:16" ht="12.75" x14ac:dyDescent="0.35">
      <c r="A706" s="7">
        <v>42481.633784722224</v>
      </c>
      <c r="B706" s="8" t="str">
        <f>HYPERLINK("https://twitter.com/wehrs18","@wehrs18")</f>
        <v>@wehrs18</v>
      </c>
      <c r="C706" s="9" t="s">
        <v>1964</v>
      </c>
      <c r="D706" s="9" t="s">
        <v>1889</v>
      </c>
      <c r="E706" s="10" t="str">
        <f>HYPERLINK("https://twitter.com/wehrs18/status/723084523848638464","723084523848638464")</f>
        <v>723084523848638464</v>
      </c>
      <c r="F706" s="11" t="s">
        <v>48</v>
      </c>
      <c r="G706" s="11">
        <v>122</v>
      </c>
      <c r="H706" s="11">
        <v>241</v>
      </c>
      <c r="I706" s="11">
        <v>3</v>
      </c>
      <c r="J706" s="11">
        <v>0</v>
      </c>
      <c r="K706" s="11" t="s">
        <v>21</v>
      </c>
      <c r="L706" s="7">
        <v>41836.590428240743</v>
      </c>
      <c r="M706" s="12" t="s">
        <v>1116</v>
      </c>
      <c r="N706" s="12" t="s">
        <v>1965</v>
      </c>
      <c r="O706" s="10" t="str">
        <f>HYPERLINK("https://pbs.twimg.com/profile_images/687314255507513346/a83L5Opq_normal.jpg","View")</f>
        <v>View</v>
      </c>
      <c r="P706" s="11"/>
    </row>
    <row r="707" spans="1:16" ht="12.75" x14ac:dyDescent="0.35">
      <c r="A707" s="7">
        <v>42481.63416666667</v>
      </c>
      <c r="B707" s="8" t="str">
        <f t="shared" ref="B707:B709" si="66">HYPERLINK("https://twitter.com/ErnstNordholt","@ErnstNordholt")</f>
        <v>@ErnstNordholt</v>
      </c>
      <c r="C707" s="9" t="s">
        <v>1898</v>
      </c>
      <c r="D707" s="9" t="s">
        <v>1966</v>
      </c>
      <c r="E707" s="10" t="str">
        <f>HYPERLINK("https://twitter.com/ErnstNordholt/status/723084663229575168","723084663229575168")</f>
        <v>723084663229575168</v>
      </c>
      <c r="F707" s="11" t="s">
        <v>43</v>
      </c>
      <c r="G707" s="11">
        <v>523</v>
      </c>
      <c r="H707" s="11">
        <v>1250</v>
      </c>
      <c r="I707" s="11">
        <v>1</v>
      </c>
      <c r="J707" s="11">
        <v>0</v>
      </c>
      <c r="K707" s="11" t="s">
        <v>21</v>
      </c>
      <c r="L707" s="7">
        <v>41228.797847222224</v>
      </c>
      <c r="M707" s="12"/>
      <c r="N707" s="12" t="s">
        <v>1899</v>
      </c>
      <c r="O707" s="10" t="str">
        <f t="shared" ref="O707:O709" si="67">HYPERLINK("https://pbs.twimg.com/profile_images/698509815870578688/S6oEQDwn_normal.jpg","View")</f>
        <v>View</v>
      </c>
      <c r="P707" s="11"/>
    </row>
    <row r="708" spans="1:16" ht="12.75" x14ac:dyDescent="0.35">
      <c r="A708" s="7">
        <v>42481.634224537032</v>
      </c>
      <c r="B708" s="8" t="str">
        <f t="shared" si="66"/>
        <v>@ErnstNordholt</v>
      </c>
      <c r="C708" s="9" t="s">
        <v>1898</v>
      </c>
      <c r="D708" s="9" t="s">
        <v>1967</v>
      </c>
      <c r="E708" s="10" t="str">
        <f>HYPERLINK("https://twitter.com/ErnstNordholt/status/723084681638342656","723084681638342656")</f>
        <v>723084681638342656</v>
      </c>
      <c r="F708" s="11" t="s">
        <v>43</v>
      </c>
      <c r="G708" s="11">
        <v>523</v>
      </c>
      <c r="H708" s="11">
        <v>1250</v>
      </c>
      <c r="I708" s="11">
        <v>2</v>
      </c>
      <c r="J708" s="11">
        <v>0</v>
      </c>
      <c r="K708" s="11" t="s">
        <v>21</v>
      </c>
      <c r="L708" s="7">
        <v>41228.797847222224</v>
      </c>
      <c r="M708" s="12"/>
      <c r="N708" s="12" t="s">
        <v>1899</v>
      </c>
      <c r="O708" s="10" t="str">
        <f t="shared" si="67"/>
        <v>View</v>
      </c>
      <c r="P708" s="11"/>
    </row>
    <row r="709" spans="1:16" ht="12.75" x14ac:dyDescent="0.35">
      <c r="A709" s="7">
        <v>42481.634282407409</v>
      </c>
      <c r="B709" s="8" t="str">
        <f t="shared" si="66"/>
        <v>@ErnstNordholt</v>
      </c>
      <c r="C709" s="9" t="s">
        <v>1898</v>
      </c>
      <c r="D709" s="9" t="s">
        <v>1968</v>
      </c>
      <c r="E709" s="10" t="str">
        <f>HYPERLINK("https://twitter.com/ErnstNordholt/status/723084705793351680","723084705793351680")</f>
        <v>723084705793351680</v>
      </c>
      <c r="F709" s="11" t="s">
        <v>43</v>
      </c>
      <c r="G709" s="11">
        <v>523</v>
      </c>
      <c r="H709" s="11">
        <v>1250</v>
      </c>
      <c r="I709" s="11">
        <v>1</v>
      </c>
      <c r="J709" s="11">
        <v>0</v>
      </c>
      <c r="K709" s="11" t="s">
        <v>21</v>
      </c>
      <c r="L709" s="7">
        <v>41228.797847222224</v>
      </c>
      <c r="M709" s="12"/>
      <c r="N709" s="12" t="s">
        <v>1899</v>
      </c>
      <c r="O709" s="10" t="str">
        <f t="shared" si="67"/>
        <v>View</v>
      </c>
      <c r="P709" s="11"/>
    </row>
    <row r="710" spans="1:16" ht="12.75" x14ac:dyDescent="0.35">
      <c r="A710" s="7">
        <v>42481.635138888887</v>
      </c>
      <c r="B710" s="8" t="str">
        <f>HYPERLINK("https://twitter.com/AutomaticEarth","@AutomaticEarth")</f>
        <v>@AutomaticEarth</v>
      </c>
      <c r="C710" s="9" t="s">
        <v>1969</v>
      </c>
      <c r="D710" s="9" t="s">
        <v>1970</v>
      </c>
      <c r="E710" s="10" t="str">
        <f>HYPERLINK("https://twitter.com/AutomaticEarth/status/723085016436084736","723085016436084736")</f>
        <v>723085016436084736</v>
      </c>
      <c r="F710" s="11" t="s">
        <v>43</v>
      </c>
      <c r="G710" s="11">
        <v>3644</v>
      </c>
      <c r="H710" s="11">
        <v>107</v>
      </c>
      <c r="I710" s="11">
        <v>0</v>
      </c>
      <c r="J710" s="11">
        <v>0</v>
      </c>
      <c r="K710" s="11" t="s">
        <v>21</v>
      </c>
      <c r="L710" s="7">
        <v>39897.183692129627</v>
      </c>
      <c r="M710" s="12" t="s">
        <v>1971</v>
      </c>
      <c r="N710" s="12" t="s">
        <v>1972</v>
      </c>
      <c r="O710" s="10" t="str">
        <f>HYPERLINK("https://pbs.twimg.com/profile_images/2174193757/OB-SS055_042412_H_20120424135809_normal.jpg","View")</f>
        <v>View</v>
      </c>
      <c r="P710" s="11"/>
    </row>
    <row r="711" spans="1:16" ht="12.75" x14ac:dyDescent="0.35">
      <c r="A711" s="7">
        <v>42481.636122685188</v>
      </c>
      <c r="B711" s="8" t="str">
        <f>HYPERLINK("https://twitter.com/AutoExpress","@AutoExpress")</f>
        <v>@AutoExpress</v>
      </c>
      <c r="C711" s="9" t="s">
        <v>1973</v>
      </c>
      <c r="D711" s="9" t="s">
        <v>1974</v>
      </c>
      <c r="E711" s="10" t="str">
        <f>HYPERLINK("https://twitter.com/AutoExpress/status/723085373199392770","723085373199392770")</f>
        <v>723085373199392770</v>
      </c>
      <c r="F711" s="11" t="s">
        <v>63</v>
      </c>
      <c r="G711" s="11">
        <v>93139</v>
      </c>
      <c r="H711" s="11">
        <v>776</v>
      </c>
      <c r="I711" s="11">
        <v>3</v>
      </c>
      <c r="J711" s="11">
        <v>6</v>
      </c>
      <c r="K711" s="11" t="s">
        <v>21</v>
      </c>
      <c r="L711" s="7">
        <v>39869.653437499997</v>
      </c>
      <c r="M711" s="12" t="s">
        <v>638</v>
      </c>
      <c r="N711" s="12" t="s">
        <v>1975</v>
      </c>
      <c r="O711" s="10" t="str">
        <f>HYPERLINK("https://pbs.twimg.com/profile_images/378800000673633859/9729e4c280465095c6f835c9f6b36378_normal.jpeg","View")</f>
        <v>View</v>
      </c>
      <c r="P711" s="11"/>
    </row>
    <row r="712" spans="1:16" ht="12.75" x14ac:dyDescent="0.35">
      <c r="A712" s="7">
        <v>42481.637592592597</v>
      </c>
      <c r="B712" s="8" t="str">
        <f>HYPERLINK("https://twitter.com/CarLiquidation","@CarLiquidation")</f>
        <v>@CarLiquidation</v>
      </c>
      <c r="C712" s="9" t="s">
        <v>1976</v>
      </c>
      <c r="D712" s="9" t="s">
        <v>1977</v>
      </c>
      <c r="E712" s="10" t="str">
        <f>HYPERLINK("https://twitter.com/CarLiquidation/status/723085902348611584","723085902348611584")</f>
        <v>723085902348611584</v>
      </c>
      <c r="F712" s="11" t="s">
        <v>43</v>
      </c>
      <c r="G712" s="11">
        <v>586</v>
      </c>
      <c r="H712" s="11">
        <v>1200</v>
      </c>
      <c r="I712" s="11">
        <v>0</v>
      </c>
      <c r="J712" s="11">
        <v>0</v>
      </c>
      <c r="K712" s="11" t="s">
        <v>21</v>
      </c>
      <c r="L712" s="7">
        <v>42170.63962962963</v>
      </c>
      <c r="M712" s="12" t="s">
        <v>209</v>
      </c>
      <c r="N712" s="12" t="s">
        <v>1978</v>
      </c>
      <c r="O712" s="10" t="str">
        <f>HYPERLINK("https://pbs.twimg.com/profile_images/646922543052521472/aLakJI0K_normal.png","View")</f>
        <v>View</v>
      </c>
      <c r="P712" s="11"/>
    </row>
    <row r="713" spans="1:16" ht="12.75" x14ac:dyDescent="0.35">
      <c r="A713" s="7">
        <v>42481.638032407413</v>
      </c>
      <c r="B713" s="8" t="str">
        <f>HYPERLINK("https://twitter.com/TowleTompkins","@TowleTompkins")</f>
        <v>@TowleTompkins</v>
      </c>
      <c r="C713" s="9" t="s">
        <v>1979</v>
      </c>
      <c r="D713" s="9" t="s">
        <v>1980</v>
      </c>
      <c r="E713" s="10" t="str">
        <f>HYPERLINK("https://twitter.com/TowleTompkins/status/723086064332591106","723086064332591106")</f>
        <v>723086064332591106</v>
      </c>
      <c r="F713" s="11" t="s">
        <v>43</v>
      </c>
      <c r="G713" s="11">
        <v>200</v>
      </c>
      <c r="H713" s="11">
        <v>117</v>
      </c>
      <c r="I713" s="11">
        <v>0</v>
      </c>
      <c r="J713" s="11">
        <v>0</v>
      </c>
      <c r="K713" s="11" t="s">
        <v>21</v>
      </c>
      <c r="L713" s="7">
        <v>40320.083043981482</v>
      </c>
      <c r="M713" s="12" t="s">
        <v>305</v>
      </c>
      <c r="N713" s="12" t="s">
        <v>1981</v>
      </c>
      <c r="O713" s="10" t="str">
        <f>HYPERLINK("https://pbs.twimg.com/profile_images/1764479590/Towle_Pix_normal","View")</f>
        <v>View</v>
      </c>
      <c r="P713" s="11"/>
    </row>
    <row r="714" spans="1:16" ht="12.75" x14ac:dyDescent="0.35">
      <c r="A714" s="7">
        <v>42481.638981481483</v>
      </c>
      <c r="B714" s="8" t="str">
        <f>HYPERLINK("https://twitter.com/bilanmagazine","@bilanmagazine")</f>
        <v>@bilanmagazine</v>
      </c>
      <c r="C714" s="9" t="s">
        <v>1982</v>
      </c>
      <c r="D714" s="9" t="s">
        <v>1983</v>
      </c>
      <c r="E714" s="10" t="str">
        <f>HYPERLINK("https://twitter.com/bilanmagazine/status/723086406084640768","723086406084640768")</f>
        <v>723086406084640768</v>
      </c>
      <c r="F714" s="11" t="s">
        <v>152</v>
      </c>
      <c r="G714" s="11">
        <v>8182</v>
      </c>
      <c r="H714" s="11">
        <v>561</v>
      </c>
      <c r="I714" s="11">
        <v>0</v>
      </c>
      <c r="J714" s="11">
        <v>0</v>
      </c>
      <c r="K714" s="11" t="s">
        <v>21</v>
      </c>
      <c r="L714" s="7">
        <v>41071.57476851852</v>
      </c>
      <c r="M714" s="12" t="s">
        <v>1984</v>
      </c>
      <c r="N714" s="12" t="s">
        <v>1985</v>
      </c>
      <c r="O714" s="10" t="str">
        <f>HYPERLINK("https://pbs.twimg.com/profile_images/3568153380/ec6619b2af81970e1f5c05c8948ac893_normal.png","View")</f>
        <v>View</v>
      </c>
      <c r="P714" s="11"/>
    </row>
    <row r="715" spans="1:16" ht="12.75" x14ac:dyDescent="0.35">
      <c r="A715" s="7">
        <v>42481.641215277778</v>
      </c>
      <c r="B715" s="8" t="str">
        <f>HYPERLINK("https://twitter.com/CihazTV","@CihazTV")</f>
        <v>@CihazTV</v>
      </c>
      <c r="C715" s="9" t="s">
        <v>1986</v>
      </c>
      <c r="D715" s="9" t="s">
        <v>1987</v>
      </c>
      <c r="E715" s="10" t="str">
        <f>HYPERLINK("https://twitter.com/CihazTV/status/723087216386281472","723087216386281472")</f>
        <v>723087216386281472</v>
      </c>
      <c r="F715" s="11" t="s">
        <v>43</v>
      </c>
      <c r="G715" s="11">
        <v>103</v>
      </c>
      <c r="H715" s="11">
        <v>0</v>
      </c>
      <c r="I715" s="11">
        <v>0</v>
      </c>
      <c r="J715" s="11">
        <v>0</v>
      </c>
      <c r="K715" s="11" t="s">
        <v>21</v>
      </c>
      <c r="L715" s="7">
        <v>42205.80268518519</v>
      </c>
      <c r="M715" s="12" t="s">
        <v>1988</v>
      </c>
      <c r="N715" s="12" t="s">
        <v>1989</v>
      </c>
      <c r="O715" s="10" t="str">
        <f>HYPERLINK("https://pbs.twimg.com/profile_images/633399603744759809/ufe5sYIT_normal.png","View")</f>
        <v>View</v>
      </c>
      <c r="P715" s="11"/>
    </row>
    <row r="716" spans="1:16" ht="12.75" x14ac:dyDescent="0.35">
      <c r="A716" s="7">
        <v>42481.64162037037</v>
      </c>
      <c r="B716" s="8" t="str">
        <f>HYPERLINK("https://twitter.com/tagesthemen","@tagesthemen")</f>
        <v>@tagesthemen</v>
      </c>
      <c r="C716" s="9" t="s">
        <v>1990</v>
      </c>
      <c r="D716" s="9" t="s">
        <v>1991</v>
      </c>
      <c r="E716" s="10" t="str">
        <f>HYPERLINK("https://twitter.com/tagesthemen/status/723087363665235968","723087363665235968")</f>
        <v>723087363665235968</v>
      </c>
      <c r="F716" s="11" t="s">
        <v>63</v>
      </c>
      <c r="G716" s="11">
        <v>31601</v>
      </c>
      <c r="H716" s="11">
        <v>384</v>
      </c>
      <c r="I716" s="11">
        <v>1</v>
      </c>
      <c r="J716" s="11">
        <v>0</v>
      </c>
      <c r="K716" s="11" t="s">
        <v>21</v>
      </c>
      <c r="L716" s="7">
        <v>41571.796180555553</v>
      </c>
      <c r="M716" s="12" t="s">
        <v>953</v>
      </c>
      <c r="N716" s="12" t="s">
        <v>1992</v>
      </c>
      <c r="O716" s="10" t="str">
        <f>HYPERLINK("https://pbs.twimg.com/profile_images/378800000857813420/Vakw6Bma_normal.jpeg","View")</f>
        <v>View</v>
      </c>
      <c r="P716" s="11"/>
    </row>
    <row r="717" spans="1:16" ht="12.75" x14ac:dyDescent="0.35">
      <c r="A717" s="7">
        <v>42481.641944444447</v>
      </c>
      <c r="B717" s="8" t="str">
        <f>HYPERLINK("https://twitter.com/panicswitch777","@panicswitch777")</f>
        <v>@panicswitch777</v>
      </c>
      <c r="C717" s="9" t="s">
        <v>374</v>
      </c>
      <c r="D717" s="9" t="s">
        <v>1993</v>
      </c>
      <c r="E717" s="10" t="str">
        <f>HYPERLINK("https://twitter.com/panicswitch777/status/723087481260769280","723087481260769280")</f>
        <v>723087481260769280</v>
      </c>
      <c r="F717" s="11" t="s">
        <v>114</v>
      </c>
      <c r="G717" s="11">
        <v>186</v>
      </c>
      <c r="H717" s="11">
        <v>185</v>
      </c>
      <c r="I717" s="11">
        <v>0</v>
      </c>
      <c r="J717" s="11">
        <v>0</v>
      </c>
      <c r="K717" s="11" t="s">
        <v>21</v>
      </c>
      <c r="L717" s="7">
        <v>41837.90216435185</v>
      </c>
      <c r="M717" s="12" t="s">
        <v>376</v>
      </c>
      <c r="N717" s="12"/>
      <c r="O717" s="10" t="str">
        <f>HYPERLINK("https://pbs.twimg.com/profile_images/661248829682024449/IlOGOPEg_normal.jpg","View")</f>
        <v>View</v>
      </c>
      <c r="P717" s="11"/>
    </row>
    <row r="718" spans="1:16" ht="12.75" x14ac:dyDescent="0.35">
      <c r="A718" s="7">
        <v>42481.642430555556</v>
      </c>
      <c r="B718" s="8" t="str">
        <f>HYPERLINK("https://twitter.com/MarkCSchneider","@MarkCSchneider")</f>
        <v>@MarkCSchneider</v>
      </c>
      <c r="C718" s="9" t="s">
        <v>952</v>
      </c>
      <c r="D718" s="9" t="s">
        <v>1994</v>
      </c>
      <c r="E718" s="10" t="str">
        <f>HYPERLINK("https://twitter.com/MarkCSchneider/status/723087657060818944","723087657060818944")</f>
        <v>723087657060818944</v>
      </c>
      <c r="F718" s="11" t="s">
        <v>43</v>
      </c>
      <c r="G718" s="11">
        <v>370</v>
      </c>
      <c r="H718" s="11">
        <v>335</v>
      </c>
      <c r="I718" s="11">
        <v>0</v>
      </c>
      <c r="J718" s="11">
        <v>0</v>
      </c>
      <c r="K718" s="11" t="s">
        <v>21</v>
      </c>
      <c r="L718" s="7">
        <v>41495.558136574073</v>
      </c>
      <c r="M718" s="12" t="s">
        <v>953</v>
      </c>
      <c r="N718" s="12"/>
      <c r="O718" s="10" t="str">
        <f>HYPERLINK("https://pbs.twimg.com/profile_images/706784695795769345/XGXgdjww_normal.jpg","View")</f>
        <v>View</v>
      </c>
      <c r="P718" s="11"/>
    </row>
    <row r="719" spans="1:16" ht="12.75" x14ac:dyDescent="0.35">
      <c r="A719" s="7">
        <v>42481.642500000002</v>
      </c>
      <c r="B719" s="8" t="str">
        <f>HYPERLINK("https://twitter.com/marin_fj","@marin_fj")</f>
        <v>@marin_fj</v>
      </c>
      <c r="C719" s="9" t="s">
        <v>1995</v>
      </c>
      <c r="D719" s="9" t="s">
        <v>1996</v>
      </c>
      <c r="E719" s="10" t="str">
        <f>HYPERLINK("https://twitter.com/marin_fj/status/723087682721701888","723087682721701888")</f>
        <v>723087682721701888</v>
      </c>
      <c r="F719" s="11" t="s">
        <v>48</v>
      </c>
      <c r="G719" s="11">
        <v>255</v>
      </c>
      <c r="H719" s="11">
        <v>246</v>
      </c>
      <c r="I719" s="11">
        <v>5</v>
      </c>
      <c r="J719" s="11">
        <v>0</v>
      </c>
      <c r="K719" s="11" t="s">
        <v>21</v>
      </c>
      <c r="L719" s="7">
        <v>40894.775648148148</v>
      </c>
      <c r="M719" s="12"/>
      <c r="N719" s="12" t="s">
        <v>1997</v>
      </c>
      <c r="O719" s="10" t="str">
        <f>HYPERLINK("https://pbs.twimg.com/profile_images/681121215470252033/KvFLFijn_normal.jpg","View")</f>
        <v>View</v>
      </c>
      <c r="P719" s="11"/>
    </row>
    <row r="720" spans="1:16" ht="12.75" x14ac:dyDescent="0.35">
      <c r="A720" s="7">
        <v>42481.642696759256</v>
      </c>
      <c r="B720" s="8" t="str">
        <f>HYPERLINK("https://twitter.com/panicswitch777","@panicswitch777")</f>
        <v>@panicswitch777</v>
      </c>
      <c r="C720" s="9" t="s">
        <v>374</v>
      </c>
      <c r="D720" s="9" t="s">
        <v>1998</v>
      </c>
      <c r="E720" s="10" t="str">
        <f>HYPERLINK("https://twitter.com/panicswitch777/status/723087752087015424","723087752087015424")</f>
        <v>723087752087015424</v>
      </c>
      <c r="F720" s="11" t="s">
        <v>114</v>
      </c>
      <c r="G720" s="11">
        <v>186</v>
      </c>
      <c r="H720" s="11">
        <v>185</v>
      </c>
      <c r="I720" s="11">
        <v>0</v>
      </c>
      <c r="J720" s="11">
        <v>0</v>
      </c>
      <c r="K720" s="11" t="s">
        <v>21</v>
      </c>
      <c r="L720" s="7">
        <v>41837.90216435185</v>
      </c>
      <c r="M720" s="12" t="s">
        <v>376</v>
      </c>
      <c r="N720" s="12"/>
      <c r="O720" s="10" t="str">
        <f>HYPERLINK("https://pbs.twimg.com/profile_images/661248829682024449/IlOGOPEg_normal.jpg","View")</f>
        <v>View</v>
      </c>
      <c r="P720" s="11"/>
    </row>
    <row r="721" spans="1:16" ht="12.75" x14ac:dyDescent="0.35">
      <c r="A721" s="7">
        <v>42481.642974537041</v>
      </c>
      <c r="B721" s="8" t="str">
        <f>HYPERLINK("https://twitter.com/OneStepBayond","@OneStepBayond")</f>
        <v>@OneStepBayond</v>
      </c>
      <c r="C721" s="9" t="s">
        <v>1999</v>
      </c>
      <c r="D721" s="9" t="s">
        <v>2000</v>
      </c>
      <c r="E721" s="10" t="str">
        <f>HYPERLINK("https://twitter.com/OneStepBayond/status/723087854121832448","723087854121832448")</f>
        <v>723087854121832448</v>
      </c>
      <c r="F721" s="11" t="s">
        <v>43</v>
      </c>
      <c r="G721" s="11">
        <v>327</v>
      </c>
      <c r="H721" s="11">
        <v>234</v>
      </c>
      <c r="I721" s="11">
        <v>0</v>
      </c>
      <c r="J721" s="11">
        <v>0</v>
      </c>
      <c r="K721" s="11" t="s">
        <v>21</v>
      </c>
      <c r="L721" s="7">
        <v>41400.59306712963</v>
      </c>
      <c r="M721" s="12" t="s">
        <v>262</v>
      </c>
      <c r="N721" s="12"/>
      <c r="O721" s="10" t="str">
        <f>HYPERLINK("https://pbs.twimg.com/profile_images/685102900184485888/rhqb81-h_normal.jpg","View")</f>
        <v>View</v>
      </c>
      <c r="P721" s="11"/>
    </row>
    <row r="722" spans="1:16" ht="12.75" x14ac:dyDescent="0.35">
      <c r="A722" s="7">
        <v>42481.643101851849</v>
      </c>
      <c r="B722" s="8" t="str">
        <f>HYPERLINK("https://twitter.com/VWBeetleSales","@VWBeetleSales")</f>
        <v>@VWBeetleSales</v>
      </c>
      <c r="C722" s="9" t="s">
        <v>127</v>
      </c>
      <c r="D722" s="9" t="s">
        <v>2001</v>
      </c>
      <c r="E722" s="10" t="str">
        <f>HYPERLINK("https://twitter.com/VWBeetleSales/status/723087902251446272","723087902251446272")</f>
        <v>723087902251446272</v>
      </c>
      <c r="F722" s="10" t="s">
        <v>124</v>
      </c>
      <c r="G722" s="11">
        <v>35</v>
      </c>
      <c r="H722" s="11">
        <v>32</v>
      </c>
      <c r="I722" s="11">
        <v>0</v>
      </c>
      <c r="J722" s="11">
        <v>0</v>
      </c>
      <c r="K722" s="11" t="s">
        <v>21</v>
      </c>
      <c r="L722" s="7">
        <v>42427.019756944443</v>
      </c>
      <c r="M722" s="12" t="s">
        <v>129</v>
      </c>
      <c r="N722" s="12" t="s">
        <v>130</v>
      </c>
      <c r="O722" s="10" t="str">
        <f>HYPERLINK("https://pbs.twimg.com/profile_images/703294545195307008/qeCvrX86_normal.jpg","View")</f>
        <v>View</v>
      </c>
      <c r="P722" s="11"/>
    </row>
    <row r="723" spans="1:16" ht="12.75" x14ac:dyDescent="0.35">
      <c r="A723" s="7">
        <v>42481.643645833334</v>
      </c>
      <c r="B723" s="8" t="str">
        <f>HYPERLINK("https://twitter.com/panicswitch777","@panicswitch777")</f>
        <v>@panicswitch777</v>
      </c>
      <c r="C723" s="9" t="s">
        <v>374</v>
      </c>
      <c r="D723" s="9" t="s">
        <v>2002</v>
      </c>
      <c r="E723" s="10" t="str">
        <f>HYPERLINK("https://twitter.com/panicswitch777/status/723088098989465601","723088098989465601")</f>
        <v>723088098989465601</v>
      </c>
      <c r="F723" s="11" t="s">
        <v>114</v>
      </c>
      <c r="G723" s="11">
        <v>186</v>
      </c>
      <c r="H723" s="11">
        <v>185</v>
      </c>
      <c r="I723" s="11">
        <v>0</v>
      </c>
      <c r="J723" s="11">
        <v>1</v>
      </c>
      <c r="K723" s="11" t="s">
        <v>21</v>
      </c>
      <c r="L723" s="7">
        <v>41837.90216435185</v>
      </c>
      <c r="M723" s="12" t="s">
        <v>376</v>
      </c>
      <c r="N723" s="12"/>
      <c r="O723" s="10" t="str">
        <f>HYPERLINK("https://pbs.twimg.com/profile_images/661248829682024449/IlOGOPEg_normal.jpg","View")</f>
        <v>View</v>
      </c>
      <c r="P723" s="11"/>
    </row>
    <row r="724" spans="1:16" ht="12.75" x14ac:dyDescent="0.35">
      <c r="A724" s="7">
        <v>42481.644016203703</v>
      </c>
      <c r="B724" s="8" t="str">
        <f t="shared" ref="B724:B725" si="68">HYPERLINK("https://twitter.com/techhippie","@techhippie")</f>
        <v>@techhippie</v>
      </c>
      <c r="C724" s="9" t="s">
        <v>246</v>
      </c>
      <c r="D724" s="9" t="s">
        <v>2003</v>
      </c>
      <c r="E724" s="10" t="str">
        <f>HYPERLINK("https://twitter.com/techhippie/status/723088233622589440","723088233622589440")</f>
        <v>723088233622589440</v>
      </c>
      <c r="F724" s="11" t="s">
        <v>68</v>
      </c>
      <c r="G724" s="11">
        <v>2471</v>
      </c>
      <c r="H724" s="11">
        <v>3835</v>
      </c>
      <c r="I724" s="11">
        <v>0</v>
      </c>
      <c r="J724" s="11">
        <v>0</v>
      </c>
      <c r="K724" s="11" t="s">
        <v>21</v>
      </c>
      <c r="L724" s="7">
        <v>42424.852152777778</v>
      </c>
      <c r="M724" s="12" t="s">
        <v>248</v>
      </c>
      <c r="N724" s="12" t="s">
        <v>249</v>
      </c>
      <c r="O724" s="10" t="str">
        <f t="shared" ref="O724:O725" si="69">HYPERLINK("https://pbs.twimg.com/profile_images/702511217793863680/lty8h9vE_normal.jpg","View")</f>
        <v>View</v>
      </c>
      <c r="P724" s="11"/>
    </row>
    <row r="725" spans="1:16" ht="12.75" x14ac:dyDescent="0.35">
      <c r="A725" s="7">
        <v>42481.644097222219</v>
      </c>
      <c r="B725" s="8" t="str">
        <f t="shared" si="68"/>
        <v>@techhippie</v>
      </c>
      <c r="C725" s="9" t="s">
        <v>246</v>
      </c>
      <c r="D725" s="9" t="s">
        <v>2004</v>
      </c>
      <c r="E725" s="10" t="str">
        <f>HYPERLINK("https://twitter.com/techhippie/status/723088259874729984","723088259874729984")</f>
        <v>723088259874729984</v>
      </c>
      <c r="F725" s="11" t="s">
        <v>68</v>
      </c>
      <c r="G725" s="11">
        <v>2471</v>
      </c>
      <c r="H725" s="11">
        <v>3835</v>
      </c>
      <c r="I725" s="11">
        <v>0</v>
      </c>
      <c r="J725" s="11">
        <v>0</v>
      </c>
      <c r="K725" s="11" t="s">
        <v>21</v>
      </c>
      <c r="L725" s="7">
        <v>42424.852152777778</v>
      </c>
      <c r="M725" s="12" t="s">
        <v>248</v>
      </c>
      <c r="N725" s="12" t="s">
        <v>249</v>
      </c>
      <c r="O725" s="10" t="str">
        <f t="shared" si="69"/>
        <v>View</v>
      </c>
      <c r="P725" s="11"/>
    </row>
    <row r="726" spans="1:16" ht="12.75" x14ac:dyDescent="0.35">
      <c r="A726" s="7">
        <v>42481.64461805555</v>
      </c>
      <c r="B726" s="8" t="str">
        <f>HYPERLINK("https://twitter.com/MarkCSchneider","@MarkCSchneider")</f>
        <v>@MarkCSchneider</v>
      </c>
      <c r="C726" s="9" t="s">
        <v>952</v>
      </c>
      <c r="D726" s="9" t="s">
        <v>1811</v>
      </c>
      <c r="E726" s="10" t="str">
        <f>HYPERLINK("https://twitter.com/MarkCSchneider/status/723088449088065537","723088449088065537")</f>
        <v>723088449088065537</v>
      </c>
      <c r="F726" s="11" t="s">
        <v>43</v>
      </c>
      <c r="G726" s="11">
        <v>370</v>
      </c>
      <c r="H726" s="11">
        <v>335</v>
      </c>
      <c r="I726" s="11">
        <v>4</v>
      </c>
      <c r="J726" s="11">
        <v>0</v>
      </c>
      <c r="K726" s="11" t="s">
        <v>21</v>
      </c>
      <c r="L726" s="7">
        <v>41495.558136574073</v>
      </c>
      <c r="M726" s="12" t="s">
        <v>953</v>
      </c>
      <c r="N726" s="12"/>
      <c r="O726" s="10" t="str">
        <f>HYPERLINK("https://pbs.twimg.com/profile_images/706784695795769345/XGXgdjww_normal.jpg","View")</f>
        <v>View</v>
      </c>
      <c r="P726" s="11"/>
    </row>
    <row r="727" spans="1:16" ht="12.75" x14ac:dyDescent="0.35">
      <c r="A727" s="7">
        <v>42481.645937499998</v>
      </c>
      <c r="B727" s="8" t="str">
        <f>HYPERLINK("https://twitter.com/carlo_fiat","@carlo_fiat")</f>
        <v>@carlo_fiat</v>
      </c>
      <c r="C727" s="9" t="s">
        <v>2005</v>
      </c>
      <c r="D727" s="9" t="s">
        <v>2006</v>
      </c>
      <c r="E727" s="10" t="str">
        <f>HYPERLINK("https://twitter.com/carlo_fiat/status/723088926471258116","723088926471258116")</f>
        <v>723088926471258116</v>
      </c>
      <c r="F727" s="11" t="s">
        <v>20</v>
      </c>
      <c r="G727" s="11">
        <v>359</v>
      </c>
      <c r="H727" s="11">
        <v>1635</v>
      </c>
      <c r="I727" s="11">
        <v>0</v>
      </c>
      <c r="J727" s="11">
        <v>0</v>
      </c>
      <c r="K727" s="11" t="s">
        <v>21</v>
      </c>
      <c r="L727" s="7">
        <v>41004.029583333337</v>
      </c>
      <c r="M727" s="12" t="s">
        <v>2007</v>
      </c>
      <c r="N727" s="12" t="s">
        <v>2008</v>
      </c>
      <c r="O727" s="10" t="str">
        <f>HYPERLINK("https://pbs.twimg.com/profile_images/586872499041935360/1jIE3_Mq_normal.jpg","View")</f>
        <v>View</v>
      </c>
      <c r="P727" s="11"/>
    </row>
    <row r="728" spans="1:16" ht="12.75" x14ac:dyDescent="0.35">
      <c r="A728" s="7">
        <v>42481.647245370375</v>
      </c>
      <c r="B728" s="8" t="str">
        <f>HYPERLINK("https://twitter.com/camillebob0","@camillebob0")</f>
        <v>@camillebob0</v>
      </c>
      <c r="C728" s="9" t="s">
        <v>2009</v>
      </c>
      <c r="D728" s="9" t="s">
        <v>2010</v>
      </c>
      <c r="E728" s="10" t="str">
        <f>HYPERLINK("https://twitter.com/camillebob0/status/723089400683462656","723089400683462656")</f>
        <v>723089400683462656</v>
      </c>
      <c r="F728" s="11" t="s">
        <v>2011</v>
      </c>
      <c r="G728" s="11">
        <v>806</v>
      </c>
      <c r="H728" s="11">
        <v>3228</v>
      </c>
      <c r="I728" s="11">
        <v>1</v>
      </c>
      <c r="J728" s="11">
        <v>0</v>
      </c>
      <c r="K728" s="11" t="s">
        <v>21</v>
      </c>
      <c r="L728" s="7">
        <v>39432.231516203705</v>
      </c>
      <c r="M728" s="12" t="s">
        <v>2012</v>
      </c>
      <c r="N728" s="12" t="s">
        <v>2013</v>
      </c>
      <c r="O728" s="10" t="str">
        <f>HYPERLINK("https://pbs.twimg.com/profile_images/650667637186396160/y7N_BL6R_normal.jpg","View")</f>
        <v>View</v>
      </c>
      <c r="P728" s="11"/>
    </row>
    <row r="729" spans="1:16" ht="12.75" x14ac:dyDescent="0.35">
      <c r="A729" s="7">
        <v>42481.647824074069</v>
      </c>
      <c r="B729" s="8" t="str">
        <f>HYPERLINK("https://twitter.com/VWLorient","@VWLorient")</f>
        <v>@VWLorient</v>
      </c>
      <c r="C729" s="9" t="s">
        <v>2014</v>
      </c>
      <c r="D729" s="9" t="s">
        <v>2015</v>
      </c>
      <c r="E729" s="10" t="str">
        <f>HYPERLINK("https://twitter.com/VWLorient/status/723089612550361088","723089612550361088")</f>
        <v>723089612550361088</v>
      </c>
      <c r="F729" s="11" t="s">
        <v>53</v>
      </c>
      <c r="G729" s="11">
        <v>149</v>
      </c>
      <c r="H729" s="11">
        <v>194</v>
      </c>
      <c r="I729" s="11">
        <v>0</v>
      </c>
      <c r="J729" s="11">
        <v>0</v>
      </c>
      <c r="K729" s="11" t="s">
        <v>21</v>
      </c>
      <c r="L729" s="7">
        <v>40807.876840277779</v>
      </c>
      <c r="M729" s="12" t="s">
        <v>2016</v>
      </c>
      <c r="N729" s="12" t="s">
        <v>2017</v>
      </c>
      <c r="O729" s="10" t="str">
        <f>HYPERLINK("https://pbs.twimg.com/profile_images/585459329895161857/329eptxM_normal.jpg","View")</f>
        <v>View</v>
      </c>
      <c r="P729" s="11"/>
    </row>
    <row r="730" spans="1:16" ht="12.75" x14ac:dyDescent="0.35">
      <c r="A730" s="7">
        <v>42481.648229166662</v>
      </c>
      <c r="B730" s="8" t="str">
        <f>HYPERLINK("https://twitter.com/tyres4sale_com","@tyres4sale_com")</f>
        <v>@tyres4sale_com</v>
      </c>
      <c r="C730" s="9" t="s">
        <v>2018</v>
      </c>
      <c r="D730" s="9" t="s">
        <v>2019</v>
      </c>
      <c r="E730" s="10" t="str">
        <f>HYPERLINK("https://twitter.com/tyres4sale_com/status/723089759875125249","723089759875125249")</f>
        <v>723089759875125249</v>
      </c>
      <c r="F730" s="11" t="s">
        <v>43</v>
      </c>
      <c r="G730" s="11">
        <v>588</v>
      </c>
      <c r="H730" s="11">
        <v>591</v>
      </c>
      <c r="I730" s="11">
        <v>0</v>
      </c>
      <c r="J730" s="11">
        <v>0</v>
      </c>
      <c r="K730" s="11" t="s">
        <v>21</v>
      </c>
      <c r="L730" s="7">
        <v>40467.169027777782</v>
      </c>
      <c r="M730" s="12" t="s">
        <v>35</v>
      </c>
      <c r="N730" s="12" t="s">
        <v>2020</v>
      </c>
      <c r="O730" s="10" t="str">
        <f>HYPERLINK("https://pbs.twimg.com/profile_images/621239347208192000/wXN4MLBs_normal.jpg","View")</f>
        <v>View</v>
      </c>
      <c r="P730" s="11"/>
    </row>
    <row r="731" spans="1:16" ht="12.75" x14ac:dyDescent="0.35">
      <c r="A731" s="7">
        <v>42481.648472222223</v>
      </c>
      <c r="B731" s="8" t="str">
        <f>HYPERLINK("https://twitter.com/ME262P","@ME262P")</f>
        <v>@ME262P</v>
      </c>
      <c r="C731" s="9" t="s">
        <v>1651</v>
      </c>
      <c r="D731" s="9" t="s">
        <v>1948</v>
      </c>
      <c r="E731" s="10" t="str">
        <f>HYPERLINK("https://twitter.com/ME262P/status/723089845707399168","723089845707399168")</f>
        <v>723089845707399168</v>
      </c>
      <c r="F731" s="11" t="s">
        <v>43</v>
      </c>
      <c r="G731" s="11">
        <v>176</v>
      </c>
      <c r="H731" s="11">
        <v>455</v>
      </c>
      <c r="I731" s="11">
        <v>2</v>
      </c>
      <c r="J731" s="11">
        <v>0</v>
      </c>
      <c r="K731" s="11" t="s">
        <v>21</v>
      </c>
      <c r="L731" s="7">
        <v>41883.920868055553</v>
      </c>
      <c r="M731" s="12"/>
      <c r="N731" s="12" t="s">
        <v>1653</v>
      </c>
      <c r="O731" s="10" t="str">
        <f>HYPERLINK("https://pbs.twimg.com/profile_images/534347903415091200/7vSjzA4l_normal.jpeg","View")</f>
        <v>View</v>
      </c>
      <c r="P731" s="11"/>
    </row>
    <row r="732" spans="1:16" ht="12.75" x14ac:dyDescent="0.35">
      <c r="A732" s="7">
        <v>42481.649328703701</v>
      </c>
      <c r="B732" s="8" t="str">
        <f>HYPERLINK("https://twitter.com/instock_de","@instock_de")</f>
        <v>@instock_de</v>
      </c>
      <c r="C732" s="8" t="s">
        <v>1723</v>
      </c>
      <c r="D732" s="9" t="s">
        <v>2021</v>
      </c>
      <c r="E732" s="10" t="str">
        <f>HYPERLINK("https://twitter.com/instock_de/status/723090156471746560","723090156471746560")</f>
        <v>723090156471746560</v>
      </c>
      <c r="F732" s="11" t="s">
        <v>43</v>
      </c>
      <c r="G732" s="11">
        <v>155</v>
      </c>
      <c r="H732" s="11">
        <v>82</v>
      </c>
      <c r="I732" s="11">
        <v>0</v>
      </c>
      <c r="J732" s="11">
        <v>0</v>
      </c>
      <c r="K732" s="11" t="s">
        <v>21</v>
      </c>
      <c r="L732" s="7">
        <v>40441.683877314819</v>
      </c>
      <c r="M732" s="12" t="s">
        <v>1725</v>
      </c>
      <c r="N732" s="12" t="s">
        <v>1726</v>
      </c>
      <c r="O732" s="10" t="str">
        <f>HYPERLINK("https://pbs.twimg.com/profile_images/1200648485/instock_normal.jpg","View")</f>
        <v>View</v>
      </c>
      <c r="P732" s="11"/>
    </row>
    <row r="733" spans="1:16" ht="12.75" x14ac:dyDescent="0.35">
      <c r="A733" s="7">
        <v>42481.649687500001</v>
      </c>
      <c r="B733" s="8" t="str">
        <f>HYPERLINK("https://twitter.com/Charms1Mulder","@Charms1Mulder")</f>
        <v>@Charms1Mulder</v>
      </c>
      <c r="C733" s="9" t="s">
        <v>2022</v>
      </c>
      <c r="D733" s="9" t="s">
        <v>2023</v>
      </c>
      <c r="E733" s="10" t="str">
        <f>HYPERLINK("https://twitter.com/Charms1Mulder/status/723090287887785984","723090287887785984")</f>
        <v>723090287887785984</v>
      </c>
      <c r="F733" s="11" t="s">
        <v>48</v>
      </c>
      <c r="G733" s="11">
        <v>540</v>
      </c>
      <c r="H733" s="11">
        <v>488</v>
      </c>
      <c r="I733" s="11">
        <v>3</v>
      </c>
      <c r="J733" s="11">
        <v>0</v>
      </c>
      <c r="K733" s="11" t="s">
        <v>21</v>
      </c>
      <c r="L733" s="7">
        <v>41160.500983796301</v>
      </c>
      <c r="M733" s="12" t="s">
        <v>2024</v>
      </c>
      <c r="N733" s="12" t="s">
        <v>2025</v>
      </c>
      <c r="O733" s="10" t="str">
        <f>HYPERLINK("https://pbs.twimg.com/profile_images/714167209438887936/-TI6fNjX_normal.jpg","View")</f>
        <v>View</v>
      </c>
      <c r="P733" s="11"/>
    </row>
    <row r="734" spans="1:16" ht="12.75" x14ac:dyDescent="0.35">
      <c r="A734" s="7">
        <v>42481.65006944444</v>
      </c>
      <c r="B734" s="8" t="str">
        <f>HYPERLINK("https://twitter.com/Ballverteiler","@Ballverteiler")</f>
        <v>@Ballverteiler</v>
      </c>
      <c r="C734" s="9" t="s">
        <v>2026</v>
      </c>
      <c r="D734" s="9" t="s">
        <v>2027</v>
      </c>
      <c r="E734" s="10" t="str">
        <f>HYPERLINK("https://twitter.com/Ballverteiler/status/723090426199158784","723090426199158784")</f>
        <v>723090426199158784</v>
      </c>
      <c r="F734" s="11" t="s">
        <v>48</v>
      </c>
      <c r="G734" s="11">
        <v>100</v>
      </c>
      <c r="H734" s="11">
        <v>130</v>
      </c>
      <c r="I734" s="11">
        <v>0</v>
      </c>
      <c r="J734" s="11">
        <v>1</v>
      </c>
      <c r="K734" s="11" t="s">
        <v>21</v>
      </c>
      <c r="L734" s="7">
        <v>41668.774780092594</v>
      </c>
      <c r="M734" s="12"/>
      <c r="N734" s="12" t="s">
        <v>2028</v>
      </c>
      <c r="O734" s="10" t="str">
        <f>HYPERLINK("https://pbs.twimg.com/profile_images/623234591248265217/_ccxJZ55_normal.jpg","View")</f>
        <v>View</v>
      </c>
      <c r="P734" s="11"/>
    </row>
    <row r="735" spans="1:16" ht="12.75" x14ac:dyDescent="0.35">
      <c r="A735" s="7">
        <v>42481.65116898148</v>
      </c>
      <c r="B735" s="8" t="str">
        <f>HYPERLINK("https://twitter.com/borispucalev","@borispucalev")</f>
        <v>@borispucalev</v>
      </c>
      <c r="C735" s="9" t="s">
        <v>2029</v>
      </c>
      <c r="D735" s="9" t="s">
        <v>2030</v>
      </c>
      <c r="E735" s="10" t="str">
        <f>HYPERLINK("https://twitter.com/borispucalev/status/723090824339329024","723090824339329024")</f>
        <v>723090824339329024</v>
      </c>
      <c r="F735" s="11" t="s">
        <v>114</v>
      </c>
      <c r="G735" s="11">
        <v>5</v>
      </c>
      <c r="H735" s="11">
        <v>23</v>
      </c>
      <c r="I735" s="11">
        <v>0</v>
      </c>
      <c r="J735" s="11">
        <v>1</v>
      </c>
      <c r="K735" s="11" t="s">
        <v>21</v>
      </c>
      <c r="L735" s="7">
        <v>41930.525138888886</v>
      </c>
      <c r="M735" s="12"/>
      <c r="N735" s="12" t="s">
        <v>2031</v>
      </c>
      <c r="O735" s="10" t="str">
        <f>HYPERLINK("https://pbs.twimg.com/profile_images/650255677798109184/qalFxc71_normal.jpg","View")</f>
        <v>View</v>
      </c>
      <c r="P735" s="11"/>
    </row>
    <row r="736" spans="1:16" ht="12.75" x14ac:dyDescent="0.35">
      <c r="A736" s="7">
        <v>42481.65152777778</v>
      </c>
      <c r="B736" s="8" t="str">
        <f>HYPERLINK("https://twitter.com/burt_jessica","@burt_jessica")</f>
        <v>@burt_jessica</v>
      </c>
      <c r="C736" s="9" t="s">
        <v>2032</v>
      </c>
      <c r="D736" s="9" t="s">
        <v>2033</v>
      </c>
      <c r="E736" s="10" t="str">
        <f>HYPERLINK("https://twitter.com/burt_jessica/status/723090955922870272","723090955922870272")</f>
        <v>723090955922870272</v>
      </c>
      <c r="F736" s="11" t="s">
        <v>43</v>
      </c>
      <c r="G736" s="11">
        <v>358</v>
      </c>
      <c r="H736" s="11">
        <v>1423</v>
      </c>
      <c r="I736" s="11">
        <v>1</v>
      </c>
      <c r="J736" s="11">
        <v>0</v>
      </c>
      <c r="K736" s="11" t="s">
        <v>21</v>
      </c>
      <c r="L736" s="7">
        <v>41084.624675925923</v>
      </c>
      <c r="M736" s="12" t="s">
        <v>2034</v>
      </c>
      <c r="N736" s="12" t="s">
        <v>2035</v>
      </c>
      <c r="O736" s="10" t="str">
        <f>HYPERLINK("https://pbs.twimg.com/profile_images/522705009558192129/L8WvMlLX_normal.jpeg","View")</f>
        <v>View</v>
      </c>
      <c r="P736" s="11"/>
    </row>
    <row r="737" spans="1:16" ht="12.75" x14ac:dyDescent="0.35">
      <c r="A737" s="7">
        <v>42481.651655092588</v>
      </c>
      <c r="B737" s="8" t="str">
        <f>HYPERLINK("https://twitter.com/JRE6198","@JRE6198")</f>
        <v>@JRE6198</v>
      </c>
      <c r="C737" s="9" t="s">
        <v>2036</v>
      </c>
      <c r="D737" s="9" t="s">
        <v>2037</v>
      </c>
      <c r="E737" s="10" t="str">
        <f>HYPERLINK("https://twitter.com/JRE6198/status/723090999703015424","723090999703015424")</f>
        <v>723090999703015424</v>
      </c>
      <c r="F737" s="11" t="s">
        <v>43</v>
      </c>
      <c r="G737" s="11">
        <v>119</v>
      </c>
      <c r="H737" s="11">
        <v>446</v>
      </c>
      <c r="I737" s="11">
        <v>0</v>
      </c>
      <c r="J737" s="11">
        <v>0</v>
      </c>
      <c r="K737" s="11" t="s">
        <v>21</v>
      </c>
      <c r="L737" s="7">
        <v>41802.462881944448</v>
      </c>
      <c r="M737" s="12" t="s">
        <v>2038</v>
      </c>
      <c r="N737" s="12" t="s">
        <v>2039</v>
      </c>
      <c r="O737" s="10" t="str">
        <f>HYPERLINK("https://pbs.twimg.com/profile_images/691987198736994304/QKaDTAUU_normal.jpg","View")</f>
        <v>View</v>
      </c>
      <c r="P737" s="11"/>
    </row>
    <row r="738" spans="1:16" ht="12.75" x14ac:dyDescent="0.35">
      <c r="A738" s="7">
        <v>42481.65243055555</v>
      </c>
      <c r="B738" s="8" t="str">
        <f>HYPERLINK("https://twitter.com/vwpress_en","@vwpress_en")</f>
        <v>@vwpress_en</v>
      </c>
      <c r="C738" s="9" t="s">
        <v>1685</v>
      </c>
      <c r="D738" s="9" t="s">
        <v>2040</v>
      </c>
      <c r="E738" s="10" t="str">
        <f>HYPERLINK("https://twitter.com/vwpress_en/status/723091280901844992","723091280901844992")</f>
        <v>723091280901844992</v>
      </c>
      <c r="F738" s="11" t="s">
        <v>152</v>
      </c>
      <c r="G738" s="11">
        <v>54717</v>
      </c>
      <c r="H738" s="11">
        <v>339</v>
      </c>
      <c r="I738" s="11">
        <v>2</v>
      </c>
      <c r="J738" s="11">
        <v>7</v>
      </c>
      <c r="K738" s="11" t="s">
        <v>21</v>
      </c>
      <c r="L738" s="7">
        <v>42041.83189814815</v>
      </c>
      <c r="M738" s="12" t="s">
        <v>1687</v>
      </c>
      <c r="N738" s="12" t="s">
        <v>1688</v>
      </c>
      <c r="O738" s="10" t="str">
        <f>HYPERLINK("https://pbs.twimg.com/profile_images/682117963349135360/IUfZQy35_normal.png","View")</f>
        <v>View</v>
      </c>
      <c r="P738" s="11"/>
    </row>
    <row r="739" spans="1:16" ht="12.75" x14ac:dyDescent="0.35">
      <c r="A739" s="7">
        <v>42481.652511574073</v>
      </c>
      <c r="B739" s="8" t="str">
        <f>HYPERLINK("https://twitter.com/vwpress_de","@vwpress_de")</f>
        <v>@vwpress_de</v>
      </c>
      <c r="C739" s="9" t="s">
        <v>1685</v>
      </c>
      <c r="D739" s="9" t="s">
        <v>2041</v>
      </c>
      <c r="E739" s="10" t="str">
        <f>HYPERLINK("https://twitter.com/vwpress_de/status/723091311977443328","723091311977443328")</f>
        <v>723091311977443328</v>
      </c>
      <c r="F739" s="11" t="s">
        <v>152</v>
      </c>
      <c r="G739" s="11">
        <v>5763</v>
      </c>
      <c r="H739" s="11">
        <v>610</v>
      </c>
      <c r="I739" s="11">
        <v>0</v>
      </c>
      <c r="J739" s="11">
        <v>2</v>
      </c>
      <c r="K739" s="11" t="s">
        <v>21</v>
      </c>
      <c r="L739" s="7">
        <v>42041.830381944441</v>
      </c>
      <c r="M739" s="12" t="s">
        <v>1690</v>
      </c>
      <c r="N739" s="12" t="s">
        <v>1691</v>
      </c>
      <c r="O739" s="10" t="str">
        <f>HYPERLINK("https://pbs.twimg.com/profile_images/682117656502222848/Ge7YeAF3_normal.png","View")</f>
        <v>View</v>
      </c>
      <c r="P739" s="11"/>
    </row>
    <row r="740" spans="1:16" ht="12.75" x14ac:dyDescent="0.35">
      <c r="A740" s="7">
        <v>42481.652812500004</v>
      </c>
      <c r="B740" s="8" t="str">
        <f>HYPERLINK("https://twitter.com/techislet","@techislet")</f>
        <v>@techislet</v>
      </c>
      <c r="C740" s="9" t="s">
        <v>2042</v>
      </c>
      <c r="D740" s="9" t="s">
        <v>2043</v>
      </c>
      <c r="E740" s="10" t="str">
        <f>HYPERLINK("https://twitter.com/techislet/status/723091418319872000","723091418319872000")</f>
        <v>723091418319872000</v>
      </c>
      <c r="F740" s="11" t="s">
        <v>2044</v>
      </c>
      <c r="G740" s="11">
        <v>884</v>
      </c>
      <c r="H740" s="11">
        <v>48</v>
      </c>
      <c r="I740" s="11">
        <v>0</v>
      </c>
      <c r="J740" s="11">
        <v>0</v>
      </c>
      <c r="K740" s="11" t="s">
        <v>21</v>
      </c>
      <c r="L740" s="7">
        <v>42230.528009259258</v>
      </c>
      <c r="M740" s="12" t="s">
        <v>1483</v>
      </c>
      <c r="N740" s="12" t="s">
        <v>2045</v>
      </c>
      <c r="O740" s="10" t="str">
        <f>HYPERLINK("https://pbs.twimg.com/profile_images/640893185158352896/TMGmsF0r_normal.png","View")</f>
        <v>View</v>
      </c>
      <c r="P740" s="11"/>
    </row>
    <row r="741" spans="1:16" ht="12.75" x14ac:dyDescent="0.35">
      <c r="A741" s="7">
        <v>42481.653067129635</v>
      </c>
      <c r="B741" s="8" t="str">
        <f>HYPERLINK("https://twitter.com/MeinAuto","@MeinAuto")</f>
        <v>@MeinAuto</v>
      </c>
      <c r="C741" s="8" t="s">
        <v>2046</v>
      </c>
      <c r="D741" s="9" t="s">
        <v>2047</v>
      </c>
      <c r="E741" s="10" t="str">
        <f>HYPERLINK("https://twitter.com/MeinAuto/status/723091512356155392","723091512356155392")</f>
        <v>723091512356155392</v>
      </c>
      <c r="F741" s="11" t="s">
        <v>152</v>
      </c>
      <c r="G741" s="11">
        <v>2032</v>
      </c>
      <c r="H741" s="11">
        <v>1279</v>
      </c>
      <c r="I741" s="11">
        <v>0</v>
      </c>
      <c r="J741" s="11">
        <v>0</v>
      </c>
      <c r="K741" s="11" t="s">
        <v>21</v>
      </c>
      <c r="L741" s="7">
        <v>39956.72619212963</v>
      </c>
      <c r="M741" s="12" t="s">
        <v>1241</v>
      </c>
      <c r="N741" s="12" t="s">
        <v>2048</v>
      </c>
      <c r="O741" s="10" t="str">
        <f>HYPERLINK("https://pbs.twimg.com/profile_images/636822179775148032/1WKFZxO8_normal.png","View")</f>
        <v>View</v>
      </c>
      <c r="P741" s="11"/>
    </row>
    <row r="742" spans="1:16" ht="12.75" x14ac:dyDescent="0.35">
      <c r="A742" s="7">
        <v>42481.654270833329</v>
      </c>
      <c r="B742" s="8" t="str">
        <f>HYPERLINK("https://twitter.com/GianMarcoSolas","@GianMarcoSolas")</f>
        <v>@GianMarcoSolas</v>
      </c>
      <c r="C742" s="9" t="s">
        <v>2049</v>
      </c>
      <c r="D742" s="9" t="s">
        <v>1429</v>
      </c>
      <c r="E742" s="10" t="str">
        <f>HYPERLINK("https://twitter.com/GianMarcoSolas/status/723091947980771328","723091947980771328")</f>
        <v>723091947980771328</v>
      </c>
      <c r="F742" s="11" t="s">
        <v>20</v>
      </c>
      <c r="G742" s="11">
        <v>49</v>
      </c>
      <c r="H742" s="11">
        <v>40</v>
      </c>
      <c r="I742" s="11">
        <v>13</v>
      </c>
      <c r="J742" s="11">
        <v>0</v>
      </c>
      <c r="K742" s="11" t="s">
        <v>21</v>
      </c>
      <c r="L742" s="7">
        <v>40475.862083333333</v>
      </c>
      <c r="M742" s="12"/>
      <c r="N742" s="12" t="s">
        <v>2050</v>
      </c>
      <c r="O742" s="10" t="str">
        <f>HYPERLINK("https://pbs.twimg.com/profile_images/717791489737232385/xRQsxjNT_normal.jpg","View")</f>
        <v>View</v>
      </c>
      <c r="P742" s="11"/>
    </row>
    <row r="743" spans="1:16" ht="12.75" x14ac:dyDescent="0.35">
      <c r="A743" s="7">
        <v>42481.65457175926</v>
      </c>
      <c r="B743" s="8" t="str">
        <f>HYPERLINK("https://twitter.com/VWCamperSales","@VWCamperSales")</f>
        <v>@VWCamperSales</v>
      </c>
      <c r="C743" s="9" t="s">
        <v>216</v>
      </c>
      <c r="D743" s="9" t="s">
        <v>2051</v>
      </c>
      <c r="E743" s="10" t="str">
        <f>HYPERLINK("https://twitter.com/VWCamperSales/status/723092056390791168","723092056390791168")</f>
        <v>723092056390791168</v>
      </c>
      <c r="F743" s="10" t="s">
        <v>124</v>
      </c>
      <c r="G743" s="11">
        <v>615</v>
      </c>
      <c r="H743" s="11">
        <v>580</v>
      </c>
      <c r="I743" s="11">
        <v>0</v>
      </c>
      <c r="J743" s="11">
        <v>0</v>
      </c>
      <c r="K743" s="11" t="s">
        <v>21</v>
      </c>
      <c r="L743" s="7">
        <v>42215.98809027778</v>
      </c>
      <c r="M743" s="12" t="s">
        <v>129</v>
      </c>
      <c r="N743" s="12" t="s">
        <v>218</v>
      </c>
      <c r="O743" s="10" t="str">
        <f>HYPERLINK("https://pbs.twimg.com/profile_images/627949001179037696/skEBkS05_normal.jpg","View")</f>
        <v>View</v>
      </c>
      <c r="P743" s="11"/>
    </row>
    <row r="744" spans="1:16" ht="12.75" x14ac:dyDescent="0.35">
      <c r="A744" s="7">
        <v>42481.655127314814</v>
      </c>
      <c r="B744" s="8" t="str">
        <f>HYPERLINK("https://twitter.com/sophiastrelli","@sophiastrelli")</f>
        <v>@sophiastrelli</v>
      </c>
      <c r="C744" s="9" t="s">
        <v>2052</v>
      </c>
      <c r="D744" s="9" t="s">
        <v>2053</v>
      </c>
      <c r="E744" s="10" t="str">
        <f>HYPERLINK("https://twitter.com/sophiastrelli/status/723092259797905408","723092259797905408")</f>
        <v>723092259797905408</v>
      </c>
      <c r="F744" s="11" t="s">
        <v>68</v>
      </c>
      <c r="G744" s="11">
        <v>34</v>
      </c>
      <c r="H744" s="11">
        <v>20</v>
      </c>
      <c r="I744" s="11">
        <v>0</v>
      </c>
      <c r="J744" s="11">
        <v>0</v>
      </c>
      <c r="K744" s="11" t="s">
        <v>21</v>
      </c>
      <c r="L744" s="7">
        <v>42171.763425925921</v>
      </c>
      <c r="M744" s="12"/>
      <c r="N744" s="12"/>
      <c r="O744" s="10" t="str">
        <f>HYPERLINK("https://pbs.twimg.com/profile_images/610791642908364802/6HpxS-0Y_normal.jpg","View")</f>
        <v>View</v>
      </c>
      <c r="P744" s="11"/>
    </row>
    <row r="745" spans="1:16" ht="12.75" x14ac:dyDescent="0.35">
      <c r="A745" s="7">
        <v>42481.656793981485</v>
      </c>
      <c r="B745" s="8" t="str">
        <f>HYPERLINK("https://twitter.com/ZoomStocks","@ZoomStocks")</f>
        <v>@ZoomStocks</v>
      </c>
      <c r="C745" s="9" t="s">
        <v>2054</v>
      </c>
      <c r="D745" s="9" t="s">
        <v>2055</v>
      </c>
      <c r="E745" s="10" t="str">
        <f>HYPERLINK("https://twitter.com/ZoomStocks/status/723092863857238018","723092863857238018")</f>
        <v>723092863857238018</v>
      </c>
      <c r="F745" s="11" t="s">
        <v>43</v>
      </c>
      <c r="G745" s="11">
        <v>66</v>
      </c>
      <c r="H745" s="11">
        <v>58</v>
      </c>
      <c r="I745" s="11">
        <v>0</v>
      </c>
      <c r="J745" s="11">
        <v>0</v>
      </c>
      <c r="K745" s="11" t="s">
        <v>21</v>
      </c>
      <c r="L745" s="7">
        <v>42376.758414351847</v>
      </c>
      <c r="M745" s="12" t="s">
        <v>2056</v>
      </c>
      <c r="N745" s="12" t="s">
        <v>2057</v>
      </c>
      <c r="O745" s="10" t="str">
        <f>HYPERLINK("https://pbs.twimg.com/profile_images/692688034601443328/Xvlk-vez_normal.png","View")</f>
        <v>View</v>
      </c>
      <c r="P745" s="11"/>
    </row>
    <row r="746" spans="1:16" ht="12.75" x14ac:dyDescent="0.35">
      <c r="A746" s="7">
        <v>42481.656967592593</v>
      </c>
      <c r="B746" s="8" t="str">
        <f>HYPERLINK("https://twitter.com/infamyreborn92","@infamyreborn92")</f>
        <v>@infamyreborn92</v>
      </c>
      <c r="C746" s="9" t="s">
        <v>2058</v>
      </c>
      <c r="D746" s="9" t="s">
        <v>2059</v>
      </c>
      <c r="E746" s="10" t="str">
        <f>HYPERLINK("https://twitter.com/infamyreborn92/status/723092925677199360","723092925677199360")</f>
        <v>723092925677199360</v>
      </c>
      <c r="F746" s="11" t="s">
        <v>2060</v>
      </c>
      <c r="G746" s="11">
        <v>1095</v>
      </c>
      <c r="H746" s="11">
        <v>2260</v>
      </c>
      <c r="I746" s="11">
        <v>4</v>
      </c>
      <c r="J746" s="11">
        <v>0</v>
      </c>
      <c r="K746" s="11" t="s">
        <v>21</v>
      </c>
      <c r="L746" s="7">
        <v>42243.883009259254</v>
      </c>
      <c r="M746" s="12" t="s">
        <v>2061</v>
      </c>
      <c r="N746" s="12" t="s">
        <v>2062</v>
      </c>
      <c r="O746" s="10" t="str">
        <f>HYPERLINK("https://pbs.twimg.com/profile_images/643476793425534976/p8cfxOAu_normal.jpg","View")</f>
        <v>View</v>
      </c>
      <c r="P746" s="11"/>
    </row>
    <row r="747" spans="1:16" ht="12.75" x14ac:dyDescent="0.35">
      <c r="A747" s="7">
        <v>42481.657743055555</v>
      </c>
      <c r="B747" s="8" t="str">
        <f>HYPERLINK("https://twitter.com/VWBeetleSales","@VWBeetleSales")</f>
        <v>@VWBeetleSales</v>
      </c>
      <c r="C747" s="9" t="s">
        <v>127</v>
      </c>
      <c r="D747" s="9" t="s">
        <v>2063</v>
      </c>
      <c r="E747" s="10" t="str">
        <f>HYPERLINK("https://twitter.com/VWBeetleSales/status/723093206292811778","723093206292811778")</f>
        <v>723093206292811778</v>
      </c>
      <c r="F747" s="10" t="s">
        <v>124</v>
      </c>
      <c r="G747" s="11">
        <v>35</v>
      </c>
      <c r="H747" s="11">
        <v>32</v>
      </c>
      <c r="I747" s="11">
        <v>0</v>
      </c>
      <c r="J747" s="11">
        <v>0</v>
      </c>
      <c r="K747" s="11" t="s">
        <v>21</v>
      </c>
      <c r="L747" s="7">
        <v>42427.019756944443</v>
      </c>
      <c r="M747" s="12" t="s">
        <v>129</v>
      </c>
      <c r="N747" s="12" t="s">
        <v>130</v>
      </c>
      <c r="O747" s="10" t="str">
        <f>HYPERLINK("https://pbs.twimg.com/profile_images/703294545195307008/qeCvrX86_normal.jpg","View")</f>
        <v>View</v>
      </c>
      <c r="P747" s="11"/>
    </row>
    <row r="748" spans="1:16" ht="12.75" x14ac:dyDescent="0.35">
      <c r="A748" s="7">
        <v>42481.657951388886</v>
      </c>
      <c r="B748" s="8" t="str">
        <f>HYPERLINK("https://twitter.com/jkpender","@jkpender")</f>
        <v>@jkpender</v>
      </c>
      <c r="C748" s="9" t="s">
        <v>2064</v>
      </c>
      <c r="D748" s="9" t="s">
        <v>2065</v>
      </c>
      <c r="E748" s="10" t="str">
        <f>HYPERLINK("https://twitter.com/jkpender/status/723093280905416705","723093280905416705")</f>
        <v>723093280905416705</v>
      </c>
      <c r="F748" s="11" t="s">
        <v>91</v>
      </c>
      <c r="G748" s="11">
        <v>2</v>
      </c>
      <c r="H748" s="11">
        <v>13</v>
      </c>
      <c r="I748" s="11">
        <v>0</v>
      </c>
      <c r="J748" s="11">
        <v>0</v>
      </c>
      <c r="K748" s="11" t="s">
        <v>21</v>
      </c>
      <c r="L748" s="7">
        <v>40988.061909722222</v>
      </c>
      <c r="M748" s="12" t="s">
        <v>2066</v>
      </c>
      <c r="N748" s="12" t="s">
        <v>2067</v>
      </c>
      <c r="O748" s="10" t="str">
        <f>HYPERLINK("https://pbs.twimg.com/profile_images/2506752590/image_normal.jpg","View")</f>
        <v>View</v>
      </c>
      <c r="P748" s="11"/>
    </row>
    <row r="749" spans="1:16" ht="12.75" x14ac:dyDescent="0.35">
      <c r="A749" s="7">
        <v>42481.659224537041</v>
      </c>
      <c r="B749" s="8" t="str">
        <f>HYPERLINK("https://twitter.com/GlobalEthicist","@GlobalEthicist")</f>
        <v>@GlobalEthicist</v>
      </c>
      <c r="C749" s="9" t="s">
        <v>2068</v>
      </c>
      <c r="D749" s="9" t="s">
        <v>2069</v>
      </c>
      <c r="E749" s="10" t="str">
        <f>HYPERLINK("https://twitter.com/GlobalEthicist/status/723093743683805184","723093743683805184")</f>
        <v>723093743683805184</v>
      </c>
      <c r="F749" s="11" t="s">
        <v>43</v>
      </c>
      <c r="G749" s="11">
        <v>1535</v>
      </c>
      <c r="H749" s="11">
        <v>1161</v>
      </c>
      <c r="I749" s="11">
        <v>1</v>
      </c>
      <c r="J749" s="11">
        <v>0</v>
      </c>
      <c r="K749" s="11" t="s">
        <v>21</v>
      </c>
      <c r="L749" s="7">
        <v>40666.278483796297</v>
      </c>
      <c r="M749" s="12" t="s">
        <v>2070</v>
      </c>
      <c r="N749" s="12" t="s">
        <v>2071</v>
      </c>
      <c r="O749" s="10" t="str">
        <f>HYPERLINK("https://pbs.twimg.com/profile_images/521406560179085312/6RyXKIat_normal.jpeg","View")</f>
        <v>View</v>
      </c>
      <c r="P749" s="11"/>
    </row>
    <row r="750" spans="1:16" ht="12.75" x14ac:dyDescent="0.35">
      <c r="A750" s="7">
        <v>42481.659826388888</v>
      </c>
      <c r="B750" s="8" t="str">
        <f t="shared" ref="B750:B751" si="70">HYPERLINK("https://twitter.com/dailynewsdns","@dailynewsdns")</f>
        <v>@dailynewsdns</v>
      </c>
      <c r="C750" s="9" t="s">
        <v>2072</v>
      </c>
      <c r="D750" s="9" t="s">
        <v>2073</v>
      </c>
      <c r="E750" s="10" t="str">
        <f>HYPERLINK("https://twitter.com/dailynewsdns/status/723093960822915072","723093960822915072")</f>
        <v>723093960822915072</v>
      </c>
      <c r="F750" s="11" t="s">
        <v>53</v>
      </c>
      <c r="G750" s="11">
        <v>24</v>
      </c>
      <c r="H750" s="11">
        <v>44</v>
      </c>
      <c r="I750" s="11">
        <v>0</v>
      </c>
      <c r="J750" s="11">
        <v>0</v>
      </c>
      <c r="K750" s="11" t="s">
        <v>21</v>
      </c>
      <c r="L750" s="7">
        <v>42352.568657407406</v>
      </c>
      <c r="M750" s="12" t="s">
        <v>2056</v>
      </c>
      <c r="N750" s="12" t="s">
        <v>2074</v>
      </c>
      <c r="O750" s="10" t="str">
        <f t="shared" ref="O750:O751" si="71">HYPERLINK("https://pbs.twimg.com/profile_images/676313123561717760/xP_QEuHj_normal.png","View")</f>
        <v>View</v>
      </c>
      <c r="P750" s="11"/>
    </row>
    <row r="751" spans="1:16" ht="12.75" x14ac:dyDescent="0.35">
      <c r="A751" s="7">
        <v>42481.659837962958</v>
      </c>
      <c r="B751" s="8" t="str">
        <f t="shared" si="70"/>
        <v>@dailynewsdns</v>
      </c>
      <c r="C751" s="9" t="s">
        <v>2072</v>
      </c>
      <c r="D751" s="9" t="s">
        <v>2075</v>
      </c>
      <c r="E751" s="10" t="str">
        <f>HYPERLINK("https://twitter.com/dailynewsdns/status/723093967412301824","723093967412301824")</f>
        <v>723093967412301824</v>
      </c>
      <c r="F751" s="10" t="s">
        <v>2076</v>
      </c>
      <c r="G751" s="11">
        <v>24</v>
      </c>
      <c r="H751" s="11">
        <v>44</v>
      </c>
      <c r="I751" s="11">
        <v>0</v>
      </c>
      <c r="J751" s="11">
        <v>0</v>
      </c>
      <c r="K751" s="11" t="s">
        <v>21</v>
      </c>
      <c r="L751" s="7">
        <v>42352.568657407406</v>
      </c>
      <c r="M751" s="12" t="s">
        <v>2056</v>
      </c>
      <c r="N751" s="12" t="s">
        <v>2074</v>
      </c>
      <c r="O751" s="10" t="str">
        <f t="shared" si="71"/>
        <v>View</v>
      </c>
      <c r="P751" s="11"/>
    </row>
    <row r="752" spans="1:16" ht="12.75" x14ac:dyDescent="0.35">
      <c r="A752" s="7">
        <v>42481.660486111112</v>
      </c>
      <c r="B752" s="8" t="str">
        <f>HYPERLINK("https://twitter.com/drheinzhafner","@drheinzhafner")</f>
        <v>@drheinzhafner</v>
      </c>
      <c r="C752" s="9" t="s">
        <v>2077</v>
      </c>
      <c r="D752" s="9" t="s">
        <v>2078</v>
      </c>
      <c r="E752" s="10" t="str">
        <f>HYPERLINK("https://twitter.com/drheinzhafner/status/723094201286705152","723094201286705152")</f>
        <v>723094201286705152</v>
      </c>
      <c r="F752" s="11" t="s">
        <v>20</v>
      </c>
      <c r="G752" s="11">
        <v>134</v>
      </c>
      <c r="H752" s="11">
        <v>575</v>
      </c>
      <c r="I752" s="11">
        <v>0</v>
      </c>
      <c r="J752" s="11">
        <v>0</v>
      </c>
      <c r="K752" s="11" t="s">
        <v>21</v>
      </c>
      <c r="L752" s="7">
        <v>40777.8753587963</v>
      </c>
      <c r="M752" s="12" t="s">
        <v>2079</v>
      </c>
      <c r="N752" s="12" t="s">
        <v>2080</v>
      </c>
      <c r="O752" s="10" t="str">
        <f>HYPERLINK("https://pbs.twimg.com/profile_images/631826304950779904/RBfvk7po_normal.jpg","View")</f>
        <v>View</v>
      </c>
      <c r="P752" s="11"/>
    </row>
    <row r="753" spans="1:16" ht="12.75" x14ac:dyDescent="0.35">
      <c r="A753" s="7">
        <v>42481.660520833335</v>
      </c>
      <c r="B753" s="8" t="str">
        <f>HYPERLINK("https://twitter.com/NicolasTetrault","@NicolasTetrault")</f>
        <v>@NicolasTetrault</v>
      </c>
      <c r="C753" s="9" t="s">
        <v>2081</v>
      </c>
      <c r="D753" s="9" t="s">
        <v>2082</v>
      </c>
      <c r="E753" s="10" t="str">
        <f>HYPERLINK("https://twitter.com/NicolasTetrault/status/723094212217024512","723094212217024512")</f>
        <v>723094212217024512</v>
      </c>
      <c r="F753" s="10" t="s">
        <v>2083</v>
      </c>
      <c r="G753" s="11">
        <v>3217</v>
      </c>
      <c r="H753" s="11">
        <v>5001</v>
      </c>
      <c r="I753" s="11">
        <v>0</v>
      </c>
      <c r="J753" s="11">
        <v>2</v>
      </c>
      <c r="K753" s="11" t="s">
        <v>21</v>
      </c>
      <c r="L753" s="7">
        <v>40538.12537037037</v>
      </c>
      <c r="M753" s="12" t="s">
        <v>2084</v>
      </c>
      <c r="N753" s="12" t="s">
        <v>2085</v>
      </c>
      <c r="O753" s="10" t="str">
        <f>HYPERLINK("https://pbs.twimg.com/profile_images/653707832076832768/bC61HZBB_normal.jpg","View")</f>
        <v>View</v>
      </c>
      <c r="P753" s="11"/>
    </row>
    <row r="754" spans="1:16" ht="12.75" x14ac:dyDescent="0.35">
      <c r="A754" s="7">
        <v>42481.660983796297</v>
      </c>
      <c r="B754" s="8" t="str">
        <f>HYPERLINK("https://twitter.com/rumpeltweet","@rumpeltweet")</f>
        <v>@rumpeltweet</v>
      </c>
      <c r="C754" s="9" t="s">
        <v>2086</v>
      </c>
      <c r="D754" s="9" t="s">
        <v>2087</v>
      </c>
      <c r="E754" s="10" t="str">
        <f>HYPERLINK("https://twitter.com/rumpeltweet/status/723094380752543744","723094380752543744")</f>
        <v>723094380752543744</v>
      </c>
      <c r="F754" s="11" t="s">
        <v>48</v>
      </c>
      <c r="G754" s="11">
        <v>372</v>
      </c>
      <c r="H754" s="11">
        <v>439</v>
      </c>
      <c r="I754" s="11">
        <v>2</v>
      </c>
      <c r="J754" s="11">
        <v>0</v>
      </c>
      <c r="K754" s="11" t="s">
        <v>21</v>
      </c>
      <c r="L754" s="7">
        <v>41891.969988425924</v>
      </c>
      <c r="M754" s="12"/>
      <c r="N754" s="12" t="s">
        <v>2088</v>
      </c>
      <c r="O754" s="10" t="str">
        <f>HYPERLINK("https://pbs.twimg.com/profile_images/509425318827130880/lTrSLCDa_normal.jpeg","View")</f>
        <v>View</v>
      </c>
      <c r="P754" s="11"/>
    </row>
    <row r="755" spans="1:16" ht="12.75" x14ac:dyDescent="0.35">
      <c r="A755" s="7">
        <v>42481.661215277782</v>
      </c>
      <c r="B755" s="8" t="str">
        <f>HYPERLINK("https://twitter.com/mikapleskinen","@mikapleskinen")</f>
        <v>@mikapleskinen</v>
      </c>
      <c r="C755" s="9" t="s">
        <v>2089</v>
      </c>
      <c r="D755" s="9" t="s">
        <v>2090</v>
      </c>
      <c r="E755" s="10" t="str">
        <f>HYPERLINK("https://twitter.com/mikapleskinen/status/723094464827428864","723094464827428864")</f>
        <v>723094464827428864</v>
      </c>
      <c r="F755" s="11" t="s">
        <v>91</v>
      </c>
      <c r="G755" s="11">
        <v>1158</v>
      </c>
      <c r="H755" s="11">
        <v>1336</v>
      </c>
      <c r="I755" s="11">
        <v>0</v>
      </c>
      <c r="J755" s="11">
        <v>4</v>
      </c>
      <c r="K755" s="11" t="s">
        <v>21</v>
      </c>
      <c r="L755" s="7">
        <v>41251.109525462962</v>
      </c>
      <c r="M755" s="12" t="s">
        <v>2091</v>
      </c>
      <c r="N755" s="12" t="s">
        <v>2092</v>
      </c>
      <c r="O755" s="10" t="str">
        <f>HYPERLINK("https://pbs.twimg.com/profile_images/699684634448302084/VyH2kl34_normal.jpg","View")</f>
        <v>View</v>
      </c>
      <c r="P755" s="11"/>
    </row>
    <row r="756" spans="1:16" ht="12.75" x14ac:dyDescent="0.35">
      <c r="A756" s="7">
        <v>42481.662569444445</v>
      </c>
      <c r="B756" s="8" t="str">
        <f>HYPERLINK("https://twitter.com/VWBeetleSales","@VWBeetleSales")</f>
        <v>@VWBeetleSales</v>
      </c>
      <c r="C756" s="9" t="s">
        <v>127</v>
      </c>
      <c r="D756" s="9" t="s">
        <v>2093</v>
      </c>
      <c r="E756" s="10" t="str">
        <f>HYPERLINK("https://twitter.com/VWBeetleSales/status/723094955728609280","723094955728609280")</f>
        <v>723094955728609280</v>
      </c>
      <c r="F756" s="10" t="s">
        <v>124</v>
      </c>
      <c r="G756" s="11">
        <v>35</v>
      </c>
      <c r="H756" s="11">
        <v>32</v>
      </c>
      <c r="I756" s="11">
        <v>0</v>
      </c>
      <c r="J756" s="11">
        <v>0</v>
      </c>
      <c r="K756" s="11" t="s">
        <v>21</v>
      </c>
      <c r="L756" s="7">
        <v>42427.019756944443</v>
      </c>
      <c r="M756" s="12" t="s">
        <v>129</v>
      </c>
      <c r="N756" s="12" t="s">
        <v>130</v>
      </c>
      <c r="O756" s="10" t="str">
        <f>HYPERLINK("https://pbs.twimg.com/profile_images/703294545195307008/qeCvrX86_normal.jpg","View")</f>
        <v>View</v>
      </c>
      <c r="P756" s="11"/>
    </row>
    <row r="757" spans="1:16" ht="12.75" x14ac:dyDescent="0.35">
      <c r="A757" s="7">
        <v>42481.663553240738</v>
      </c>
      <c r="B757" s="8" t="str">
        <f>HYPERLINK("https://twitter.com/wintonsauto","@wintonsauto")</f>
        <v>@wintonsauto</v>
      </c>
      <c r="C757" s="9" t="s">
        <v>2094</v>
      </c>
      <c r="D757" s="9" t="s">
        <v>2095</v>
      </c>
      <c r="E757" s="10" t="str">
        <f>HYPERLINK("https://twitter.com/wintonsauto/status/723095313188167680","723095313188167680")</f>
        <v>723095313188167680</v>
      </c>
      <c r="F757" s="11" t="s">
        <v>43</v>
      </c>
      <c r="G757" s="11">
        <v>416</v>
      </c>
      <c r="H757" s="11">
        <v>985</v>
      </c>
      <c r="I757" s="11">
        <v>0</v>
      </c>
      <c r="J757" s="11">
        <v>1</v>
      </c>
      <c r="K757" s="11" t="s">
        <v>21</v>
      </c>
      <c r="L757" s="7">
        <v>41434.998460648145</v>
      </c>
      <c r="M757" s="12"/>
      <c r="N757" s="12" t="s">
        <v>2096</v>
      </c>
      <c r="O757" s="10" t="str">
        <f>HYPERLINK("https://pbs.twimg.com/profile_images/436538745232568320/WdIrwRnz_normal.jpeg","View")</f>
        <v>View</v>
      </c>
      <c r="P757" s="11"/>
    </row>
    <row r="758" spans="1:16" ht="12.75" x14ac:dyDescent="0.35">
      <c r="A758" s="7">
        <v>42481.664259259254</v>
      </c>
      <c r="B758" s="8" t="str">
        <f>HYPERLINK("https://twitter.com/Verzaehler","@Verzaehler")</f>
        <v>@Verzaehler</v>
      </c>
      <c r="C758" s="9" t="s">
        <v>2097</v>
      </c>
      <c r="D758" s="9" t="s">
        <v>2098</v>
      </c>
      <c r="E758" s="10" t="str">
        <f>HYPERLINK("https://twitter.com/Verzaehler/status/723095568440918017","723095568440918017")</f>
        <v>723095568440918017</v>
      </c>
      <c r="F758" s="11" t="s">
        <v>43</v>
      </c>
      <c r="G758" s="11">
        <v>1904</v>
      </c>
      <c r="H758" s="11">
        <v>668</v>
      </c>
      <c r="I758" s="11">
        <v>0</v>
      </c>
      <c r="J758" s="11">
        <v>6</v>
      </c>
      <c r="K758" s="11" t="s">
        <v>21</v>
      </c>
      <c r="L758" s="7">
        <v>39984.849143518521</v>
      </c>
      <c r="M758" s="12" t="s">
        <v>1116</v>
      </c>
      <c r="N758" s="12" t="s">
        <v>2099</v>
      </c>
      <c r="O758" s="10" t="str">
        <f>HYPERLINK("https://pbs.twimg.com/profile_images/586495538566074368/DtFkSLuI_normal.jpg","View")</f>
        <v>View</v>
      </c>
      <c r="P758" s="11"/>
    </row>
    <row r="759" spans="1:16" ht="12.75" x14ac:dyDescent="0.35">
      <c r="A759" s="7">
        <v>42481.664398148147</v>
      </c>
      <c r="B759" s="8" t="str">
        <f>HYPERLINK("https://twitter.com/ZzoranNnikolic","@ZzoranNnikolic")</f>
        <v>@ZzoranNnikolic</v>
      </c>
      <c r="C759" s="9" t="s">
        <v>2100</v>
      </c>
      <c r="D759" s="9" t="s">
        <v>2101</v>
      </c>
      <c r="E759" s="10" t="str">
        <f>HYPERLINK("https://twitter.com/ZzoranNnikolic/status/723095616734162944","723095616734162944")</f>
        <v>723095616734162944</v>
      </c>
      <c r="F759" s="11" t="s">
        <v>43</v>
      </c>
      <c r="G759" s="11">
        <v>31</v>
      </c>
      <c r="H759" s="11">
        <v>36</v>
      </c>
      <c r="I759" s="11">
        <v>0</v>
      </c>
      <c r="J759" s="11">
        <v>0</v>
      </c>
      <c r="K759" s="11" t="s">
        <v>21</v>
      </c>
      <c r="L759" s="7">
        <v>41643.791296296295</v>
      </c>
      <c r="M759" s="12" t="s">
        <v>2102</v>
      </c>
      <c r="N759" s="12" t="s">
        <v>2103</v>
      </c>
      <c r="O759" s="10" t="str">
        <f>HYPERLINK("https://pbs.twimg.com/profile_images/420211830854676480/9VeSEboq_normal.jpeg","View")</f>
        <v>View</v>
      </c>
      <c r="P759" s="11"/>
    </row>
    <row r="760" spans="1:16" ht="12.75" x14ac:dyDescent="0.35">
      <c r="A760" s="7">
        <v>42481.6644212963</v>
      </c>
      <c r="B760" s="8" t="str">
        <f>HYPERLINK("https://twitter.com/weare_van","@weare_van")</f>
        <v>@weare_van</v>
      </c>
      <c r="C760" s="9" t="s">
        <v>2104</v>
      </c>
      <c r="D760" s="9" t="s">
        <v>2105</v>
      </c>
      <c r="E760" s="10" t="str">
        <f>HYPERLINK("https://twitter.com/weare_van/status/723095627194851328","723095627194851328")</f>
        <v>723095627194851328</v>
      </c>
      <c r="F760" s="11" t="s">
        <v>68</v>
      </c>
      <c r="G760" s="11">
        <v>174</v>
      </c>
      <c r="H760" s="11">
        <v>57</v>
      </c>
      <c r="I760" s="11">
        <v>0</v>
      </c>
      <c r="J760" s="11">
        <v>0</v>
      </c>
      <c r="K760" s="11" t="s">
        <v>21</v>
      </c>
      <c r="L760" s="7">
        <v>42429.136157407411</v>
      </c>
      <c r="M760" s="12" t="s">
        <v>1397</v>
      </c>
      <c r="N760" s="12" t="s">
        <v>2106</v>
      </c>
      <c r="O760" s="10" t="str">
        <f>HYPERLINK("https://pbs.twimg.com/profile_images/707176643509538817/-s_VKgK4_normal.jpg","View")</f>
        <v>View</v>
      </c>
      <c r="P760" s="11"/>
    </row>
    <row r="761" spans="1:16" ht="12.75" x14ac:dyDescent="0.35">
      <c r="A761" s="7">
        <v>42481.665497685186</v>
      </c>
      <c r="B761" s="8" t="str">
        <f>HYPERLINK("https://twitter.com/krishuzey","@krishuzey")</f>
        <v>@krishuzey</v>
      </c>
      <c r="C761" s="9" t="s">
        <v>2107</v>
      </c>
      <c r="D761" s="9" t="s">
        <v>2108</v>
      </c>
      <c r="E761" s="10" t="str">
        <f>HYPERLINK("https://twitter.com/krishuzey/status/723096017902641152","723096017902641152")</f>
        <v>723096017902641152</v>
      </c>
      <c r="F761" s="11" t="s">
        <v>114</v>
      </c>
      <c r="G761" s="11">
        <v>32</v>
      </c>
      <c r="H761" s="11">
        <v>51</v>
      </c>
      <c r="I761" s="11">
        <v>0</v>
      </c>
      <c r="J761" s="11">
        <v>0</v>
      </c>
      <c r="K761" s="11" t="s">
        <v>21</v>
      </c>
      <c r="L761" s="7">
        <v>40777.917094907403</v>
      </c>
      <c r="M761" s="12"/>
      <c r="N761" s="12"/>
      <c r="O761" s="10" t="str">
        <f>HYPERLINK("https://pbs.twimg.com/profile_images/2603319177/lfdoC12A_normal","View")</f>
        <v>View</v>
      </c>
      <c r="P761" s="11"/>
    </row>
    <row r="762" spans="1:16" ht="12.75" x14ac:dyDescent="0.35">
      <c r="A762" s="7">
        <v>42481.665520833332</v>
      </c>
      <c r="B762" s="8" t="str">
        <f>HYPERLINK("https://twitter.com/AmwalAlGhad_EN","@AmwalAlGhad_EN")</f>
        <v>@AmwalAlGhad_EN</v>
      </c>
      <c r="C762" s="9" t="s">
        <v>2109</v>
      </c>
      <c r="D762" s="9" t="s">
        <v>2110</v>
      </c>
      <c r="E762" s="10" t="str">
        <f>HYPERLINK("https://twitter.com/AmwalAlGhad_EN/status/723096026270199808","723096026270199808")</f>
        <v>723096026270199808</v>
      </c>
      <c r="F762" s="11" t="s">
        <v>43</v>
      </c>
      <c r="G762" s="11">
        <v>588</v>
      </c>
      <c r="H762" s="11">
        <v>276</v>
      </c>
      <c r="I762" s="11">
        <v>0</v>
      </c>
      <c r="J762" s="11">
        <v>0</v>
      </c>
      <c r="K762" s="11" t="s">
        <v>21</v>
      </c>
      <c r="L762" s="7">
        <v>40973.75503472222</v>
      </c>
      <c r="M762" s="12" t="s">
        <v>2111</v>
      </c>
      <c r="N762" s="12" t="s">
        <v>2112</v>
      </c>
      <c r="O762" s="10" t="str">
        <f>HYPERLINK("https://pbs.twimg.com/profile_images/1874504895/amwal1_normal.jpg","View")</f>
        <v>View</v>
      </c>
      <c r="P762" s="11"/>
    </row>
    <row r="763" spans="1:16" ht="12.75" x14ac:dyDescent="0.35">
      <c r="A763" s="7">
        <v>42481.666192129633</v>
      </c>
      <c r="B763" s="8" t="str">
        <f>HYPERLINK("https://twitter.com/shamereflect","@shamereflect")</f>
        <v>@shamereflect</v>
      </c>
      <c r="C763" s="9" t="s">
        <v>2113</v>
      </c>
      <c r="D763" s="9" t="s">
        <v>2114</v>
      </c>
      <c r="E763" s="10" t="str">
        <f>HYPERLINK("https://twitter.com/shamereflect/status/723096268893900800","723096268893900800")</f>
        <v>723096268893900800</v>
      </c>
      <c r="F763" s="11" t="s">
        <v>43</v>
      </c>
      <c r="G763" s="11">
        <v>8</v>
      </c>
      <c r="H763" s="11">
        <v>105</v>
      </c>
      <c r="I763" s="11">
        <v>0</v>
      </c>
      <c r="J763" s="11">
        <v>0</v>
      </c>
      <c r="K763" s="11" t="s">
        <v>21</v>
      </c>
      <c r="L763" s="7">
        <v>42137.803935185184</v>
      </c>
      <c r="M763" s="12"/>
      <c r="N763" s="12" t="s">
        <v>2115</v>
      </c>
      <c r="O763" s="10" t="str">
        <f>HYPERLINK("https://pbs.twimg.com/profile_images/598485163241267200/wFl-W3I2_normal.jpg","View")</f>
        <v>View</v>
      </c>
      <c r="P763" s="11"/>
    </row>
    <row r="764" spans="1:16" ht="12.75" x14ac:dyDescent="0.35">
      <c r="A764" s="7">
        <v>42481.666550925926</v>
      </c>
      <c r="B764" s="8" t="str">
        <f t="shared" ref="B764:B766" si="72">HYPERLINK("https://twitter.com/DoMarMac","@DoMarMac")</f>
        <v>@DoMarMac</v>
      </c>
      <c r="C764" s="9" t="s">
        <v>2116</v>
      </c>
      <c r="D764" s="9" t="s">
        <v>1612</v>
      </c>
      <c r="E764" s="10" t="str">
        <f>HYPERLINK("https://twitter.com/DoMarMac/status/723096397281648640","723096397281648640")</f>
        <v>723096397281648640</v>
      </c>
      <c r="F764" s="11" t="s">
        <v>20</v>
      </c>
      <c r="G764" s="11">
        <v>82</v>
      </c>
      <c r="H764" s="11">
        <v>128</v>
      </c>
      <c r="I764" s="11">
        <v>2</v>
      </c>
      <c r="J764" s="11">
        <v>0</v>
      </c>
      <c r="K764" s="11" t="s">
        <v>21</v>
      </c>
      <c r="L764" s="7">
        <v>40681.883796296301</v>
      </c>
      <c r="M764" s="12"/>
      <c r="N764" s="12" t="s">
        <v>2117</v>
      </c>
      <c r="O764" s="10" t="str">
        <f t="shared" ref="O764:O766" si="73">HYPERLINK("https://pbs.twimg.com/profile_images/1833245422/twitter_yo_normal.jpg","View")</f>
        <v>View</v>
      </c>
      <c r="P764" s="11"/>
    </row>
    <row r="765" spans="1:16" ht="12.75" x14ac:dyDescent="0.35">
      <c r="A765" s="7">
        <v>42481.666666666672</v>
      </c>
      <c r="B765" s="8" t="str">
        <f t="shared" si="72"/>
        <v>@DoMarMac</v>
      </c>
      <c r="C765" s="9" t="s">
        <v>2116</v>
      </c>
      <c r="D765" s="9" t="s">
        <v>2118</v>
      </c>
      <c r="E765" s="10" t="str">
        <f>HYPERLINK("https://twitter.com/DoMarMac/status/723096438239027201","723096438239027201")</f>
        <v>723096438239027201</v>
      </c>
      <c r="F765" s="11" t="s">
        <v>20</v>
      </c>
      <c r="G765" s="11">
        <v>82</v>
      </c>
      <c r="H765" s="11">
        <v>128</v>
      </c>
      <c r="I765" s="11">
        <v>1</v>
      </c>
      <c r="J765" s="11">
        <v>0</v>
      </c>
      <c r="K765" s="11" t="s">
        <v>21</v>
      </c>
      <c r="L765" s="7">
        <v>40681.883796296301</v>
      </c>
      <c r="M765" s="12"/>
      <c r="N765" s="12" t="s">
        <v>2117</v>
      </c>
      <c r="O765" s="10" t="str">
        <f t="shared" si="73"/>
        <v>View</v>
      </c>
      <c r="P765" s="11"/>
    </row>
    <row r="766" spans="1:16" ht="12.75" x14ac:dyDescent="0.35">
      <c r="A766" s="7">
        <v>42481.66678240741</v>
      </c>
      <c r="B766" s="8" t="str">
        <f t="shared" si="72"/>
        <v>@DoMarMac</v>
      </c>
      <c r="C766" s="9" t="s">
        <v>2116</v>
      </c>
      <c r="D766" s="9" t="s">
        <v>2119</v>
      </c>
      <c r="E766" s="10" t="str">
        <f>HYPERLINK("https://twitter.com/DoMarMac/status/723096483365416960","723096483365416960")</f>
        <v>723096483365416960</v>
      </c>
      <c r="F766" s="11" t="s">
        <v>20</v>
      </c>
      <c r="G766" s="11">
        <v>82</v>
      </c>
      <c r="H766" s="11">
        <v>128</v>
      </c>
      <c r="I766" s="11">
        <v>1</v>
      </c>
      <c r="J766" s="11">
        <v>0</v>
      </c>
      <c r="K766" s="11" t="s">
        <v>21</v>
      </c>
      <c r="L766" s="7">
        <v>40681.883796296301</v>
      </c>
      <c r="M766" s="12"/>
      <c r="N766" s="12" t="s">
        <v>2117</v>
      </c>
      <c r="O766" s="10" t="str">
        <f t="shared" si="73"/>
        <v>View</v>
      </c>
      <c r="P766" s="11"/>
    </row>
    <row r="767" spans="1:16" ht="12.75" x14ac:dyDescent="0.35">
      <c r="A767" s="7">
        <v>42481.66679398148</v>
      </c>
      <c r="B767" s="8" t="str">
        <f>HYPERLINK("https://twitter.com/VolkswagenCZ","@VolkswagenCZ")</f>
        <v>@VolkswagenCZ</v>
      </c>
      <c r="C767" s="9" t="s">
        <v>2120</v>
      </c>
      <c r="D767" s="9" t="s">
        <v>2121</v>
      </c>
      <c r="E767" s="10" t="str">
        <f>HYPERLINK("https://twitter.com/VolkswagenCZ/status/723096485806661632","723096485806661632")</f>
        <v>723096485806661632</v>
      </c>
      <c r="F767" s="11" t="s">
        <v>2122</v>
      </c>
      <c r="G767" s="11">
        <v>397</v>
      </c>
      <c r="H767" s="11">
        <v>42</v>
      </c>
      <c r="I767" s="11">
        <v>0</v>
      </c>
      <c r="J767" s="11">
        <v>0</v>
      </c>
      <c r="K767" s="11" t="s">
        <v>21</v>
      </c>
      <c r="L767" s="7">
        <v>40853.005983796298</v>
      </c>
      <c r="M767" s="12" t="s">
        <v>2123</v>
      </c>
      <c r="N767" s="12"/>
      <c r="O767" s="10" t="str">
        <f>HYPERLINK("https://pbs.twimg.com/profile_images/689102170717839360/y5b-XDuX_normal.jpg","View")</f>
        <v>View</v>
      </c>
      <c r="P767" s="11"/>
    </row>
    <row r="768" spans="1:16" ht="12.75" x14ac:dyDescent="0.35">
      <c r="A768" s="7">
        <v>42481.667557870373</v>
      </c>
      <c r="B768" s="8" t="str">
        <f t="shared" ref="B768:B769" si="74">HYPERLINK("https://twitter.com/DoMarMac","@DoMarMac")</f>
        <v>@DoMarMac</v>
      </c>
      <c r="C768" s="9" t="s">
        <v>2116</v>
      </c>
      <c r="D768" s="9" t="s">
        <v>2124</v>
      </c>
      <c r="E768" s="10" t="str">
        <f>HYPERLINK("https://twitter.com/DoMarMac/status/723096761464664064","723096761464664064")</f>
        <v>723096761464664064</v>
      </c>
      <c r="F768" s="11" t="s">
        <v>20</v>
      </c>
      <c r="G768" s="11">
        <v>82</v>
      </c>
      <c r="H768" s="11">
        <v>128</v>
      </c>
      <c r="I768" s="11">
        <v>2</v>
      </c>
      <c r="J768" s="11">
        <v>0</v>
      </c>
      <c r="K768" s="11" t="s">
        <v>21</v>
      </c>
      <c r="L768" s="7">
        <v>40681.883796296301</v>
      </c>
      <c r="M768" s="12"/>
      <c r="N768" s="12" t="s">
        <v>2117</v>
      </c>
      <c r="O768" s="10" t="str">
        <f t="shared" ref="O768:O769" si="75">HYPERLINK("https://pbs.twimg.com/profile_images/1833245422/twitter_yo_normal.jpg","View")</f>
        <v>View</v>
      </c>
      <c r="P768" s="11"/>
    </row>
    <row r="769" spans="1:16" ht="12.75" x14ac:dyDescent="0.35">
      <c r="A769" s="7">
        <v>42481.667662037042</v>
      </c>
      <c r="B769" s="8" t="str">
        <f t="shared" si="74"/>
        <v>@DoMarMac</v>
      </c>
      <c r="C769" s="9" t="s">
        <v>2116</v>
      </c>
      <c r="D769" s="9" t="s">
        <v>2125</v>
      </c>
      <c r="E769" s="10" t="str">
        <f>HYPERLINK("https://twitter.com/DoMarMac/status/723096801755144192","723096801755144192")</f>
        <v>723096801755144192</v>
      </c>
      <c r="F769" s="11" t="s">
        <v>20</v>
      </c>
      <c r="G769" s="11">
        <v>82</v>
      </c>
      <c r="H769" s="11">
        <v>128</v>
      </c>
      <c r="I769" s="11">
        <v>1</v>
      </c>
      <c r="J769" s="11">
        <v>0</v>
      </c>
      <c r="K769" s="11" t="s">
        <v>21</v>
      </c>
      <c r="L769" s="7">
        <v>40681.883796296301</v>
      </c>
      <c r="M769" s="12"/>
      <c r="N769" s="12" t="s">
        <v>2117</v>
      </c>
      <c r="O769" s="10" t="str">
        <f t="shared" si="75"/>
        <v>View</v>
      </c>
      <c r="P769" s="11"/>
    </row>
    <row r="770" spans="1:16" ht="12.75" x14ac:dyDescent="0.35">
      <c r="A770" s="7">
        <v>42481.667824074073</v>
      </c>
      <c r="B770" s="8" t="str">
        <f>HYPERLINK("https://twitter.com/Ch4r32","@Ch4r32")</f>
        <v>@Ch4r32</v>
      </c>
      <c r="C770" s="9" t="s">
        <v>2126</v>
      </c>
      <c r="D770" s="9" t="s">
        <v>2127</v>
      </c>
      <c r="E770" s="10" t="str">
        <f>HYPERLINK("https://twitter.com/Ch4r32/status/723096860940984320","723096860940984320")</f>
        <v>723096860940984320</v>
      </c>
      <c r="F770" s="11" t="s">
        <v>114</v>
      </c>
      <c r="G770" s="11">
        <v>396</v>
      </c>
      <c r="H770" s="11">
        <v>575</v>
      </c>
      <c r="I770" s="11">
        <v>0</v>
      </c>
      <c r="J770" s="11">
        <v>0</v>
      </c>
      <c r="K770" s="11" t="s">
        <v>21</v>
      </c>
      <c r="L770" s="7">
        <v>39970.396851851852</v>
      </c>
      <c r="M770" s="12" t="s">
        <v>2128</v>
      </c>
      <c r="N770" s="12" t="s">
        <v>2129</v>
      </c>
      <c r="O770" s="10" t="str">
        <f>HYPERLINK("https://pbs.twimg.com/profile_images/661245109216915456/IYc4wvrt_normal.jpg","View")</f>
        <v>View</v>
      </c>
      <c r="P770" s="10" t="str">
        <f>HYPERLINK("http://ctrlq.org/maps/address/#41.52666667,-70.66305556","Map")</f>
        <v>Map</v>
      </c>
    </row>
    <row r="771" spans="1:16" ht="12.75" x14ac:dyDescent="0.35">
      <c r="A771" s="7">
        <v>42481.668310185181</v>
      </c>
      <c r="B771" s="8" t="str">
        <f>HYPERLINK("https://twitter.com/treibholzfilm","@treibholzfilm")</f>
        <v>@treibholzfilm</v>
      </c>
      <c r="C771" s="9" t="s">
        <v>2130</v>
      </c>
      <c r="D771" s="9" t="s">
        <v>2131</v>
      </c>
      <c r="E771" s="10" t="str">
        <f>HYPERLINK("https://twitter.com/treibholzfilm/status/723097034224504832","723097034224504832")</f>
        <v>723097034224504832</v>
      </c>
      <c r="F771" s="11" t="s">
        <v>114</v>
      </c>
      <c r="G771" s="11">
        <v>4032</v>
      </c>
      <c r="H771" s="11">
        <v>4989</v>
      </c>
      <c r="I771" s="11">
        <v>0</v>
      </c>
      <c r="J771" s="11">
        <v>1</v>
      </c>
      <c r="K771" s="11" t="s">
        <v>21</v>
      </c>
      <c r="L771" s="7">
        <v>42264.680555555555</v>
      </c>
      <c r="M771" s="12" t="s">
        <v>2132</v>
      </c>
      <c r="N771" s="12" t="s">
        <v>2133</v>
      </c>
      <c r="O771" s="10" t="str">
        <f>HYPERLINK("https://pbs.twimg.com/profile_images/644482436257185792/immN1agH_normal.jpg","View")</f>
        <v>View</v>
      </c>
      <c r="P771" s="10" t="str">
        <f>HYPERLINK("http://ctrlq.org/maps/address/#50.17851,8.63508","Map")</f>
        <v>Map</v>
      </c>
    </row>
    <row r="772" spans="1:16" ht="12.75" x14ac:dyDescent="0.35">
      <c r="A772" s="7">
        <v>42481.66878472222</v>
      </c>
      <c r="B772" s="8" t="str">
        <f>HYPERLINK("https://twitter.com/dwnews","@dwnews")</f>
        <v>@dwnews</v>
      </c>
      <c r="C772" s="9" t="s">
        <v>1302</v>
      </c>
      <c r="D772" s="9" t="s">
        <v>2134</v>
      </c>
      <c r="E772" s="10" t="str">
        <f>HYPERLINK("https://twitter.com/dwnews/status/723097205788143617","723097205788143617")</f>
        <v>723097205788143617</v>
      </c>
      <c r="F772" s="11" t="s">
        <v>63</v>
      </c>
      <c r="G772" s="11">
        <v>91214</v>
      </c>
      <c r="H772" s="11">
        <v>542</v>
      </c>
      <c r="I772" s="11">
        <v>4</v>
      </c>
      <c r="J772" s="11">
        <v>3</v>
      </c>
      <c r="K772" s="11" t="s">
        <v>21</v>
      </c>
      <c r="L772" s="7">
        <v>39220.688078703708</v>
      </c>
      <c r="M772" s="12" t="s">
        <v>1303</v>
      </c>
      <c r="N772" s="12" t="s">
        <v>1304</v>
      </c>
      <c r="O772" s="10" t="str">
        <f>HYPERLINK("https://pbs.twimg.com/profile_images/608213167496417280/QSxgcLn__normal.png","View")</f>
        <v>View</v>
      </c>
      <c r="P772" s="11"/>
    </row>
    <row r="773" spans="1:16" ht="12.75" x14ac:dyDescent="0.35">
      <c r="A773" s="7">
        <v>42481.66883101852</v>
      </c>
      <c r="B773" s="8" t="str">
        <f t="shared" ref="B773:B774" si="76">HYPERLINK("https://twitter.com/treibholzfilm","@treibholzfilm")</f>
        <v>@treibholzfilm</v>
      </c>
      <c r="C773" s="9" t="s">
        <v>2130</v>
      </c>
      <c r="D773" s="9" t="s">
        <v>2135</v>
      </c>
      <c r="E773" s="10" t="str">
        <f>HYPERLINK("https://twitter.com/treibholzfilm/status/723097223911841792","723097223911841792")</f>
        <v>723097223911841792</v>
      </c>
      <c r="F773" s="11" t="s">
        <v>114</v>
      </c>
      <c r="G773" s="11">
        <v>4032</v>
      </c>
      <c r="H773" s="11">
        <v>4989</v>
      </c>
      <c r="I773" s="11">
        <v>0</v>
      </c>
      <c r="J773" s="11">
        <v>1</v>
      </c>
      <c r="K773" s="11" t="s">
        <v>21</v>
      </c>
      <c r="L773" s="7">
        <v>42264.680555555555</v>
      </c>
      <c r="M773" s="12" t="s">
        <v>2132</v>
      </c>
      <c r="N773" s="12" t="s">
        <v>2133</v>
      </c>
      <c r="O773" s="10" t="str">
        <f t="shared" ref="O773:O774" si="77">HYPERLINK("https://pbs.twimg.com/profile_images/644482436257185792/immN1agH_normal.jpg","View")</f>
        <v>View</v>
      </c>
      <c r="P773" s="10" t="str">
        <f t="shared" ref="P773:P774" si="78">HYPERLINK("http://ctrlq.org/maps/address/#50.17851,8.63508","Map")</f>
        <v>Map</v>
      </c>
    </row>
    <row r="774" spans="1:16" ht="12.75" x14ac:dyDescent="0.35">
      <c r="A774" s="7">
        <v>42481.669224537036</v>
      </c>
      <c r="B774" s="8" t="str">
        <f t="shared" si="76"/>
        <v>@treibholzfilm</v>
      </c>
      <c r="C774" s="9" t="s">
        <v>2130</v>
      </c>
      <c r="D774" s="9" t="s">
        <v>2136</v>
      </c>
      <c r="E774" s="10" t="str">
        <f>HYPERLINK("https://twitter.com/treibholzfilm/status/723097365662580736","723097365662580736")</f>
        <v>723097365662580736</v>
      </c>
      <c r="F774" s="11" t="s">
        <v>114</v>
      </c>
      <c r="G774" s="11">
        <v>4032</v>
      </c>
      <c r="H774" s="11">
        <v>4989</v>
      </c>
      <c r="I774" s="11">
        <v>0</v>
      </c>
      <c r="J774" s="11">
        <v>1</v>
      </c>
      <c r="K774" s="11" t="s">
        <v>21</v>
      </c>
      <c r="L774" s="7">
        <v>42264.680555555555</v>
      </c>
      <c r="M774" s="12" t="s">
        <v>2132</v>
      </c>
      <c r="N774" s="12" t="s">
        <v>2133</v>
      </c>
      <c r="O774" s="10" t="str">
        <f t="shared" si="77"/>
        <v>View</v>
      </c>
      <c r="P774" s="10" t="str">
        <f t="shared" si="78"/>
        <v>Map</v>
      </c>
    </row>
    <row r="775" spans="1:16" ht="12.75" x14ac:dyDescent="0.35">
      <c r="A775" s="7">
        <v>42481.669317129628</v>
      </c>
      <c r="B775" s="8" t="str">
        <f>HYPERLINK("https://twitter.com/Ch4r32","@Ch4r32")</f>
        <v>@Ch4r32</v>
      </c>
      <c r="C775" s="9" t="s">
        <v>2126</v>
      </c>
      <c r="D775" s="9" t="s">
        <v>2137</v>
      </c>
      <c r="E775" s="10" t="str">
        <f>HYPERLINK("https://twitter.com/Ch4r32/status/723097401603567616","723097401603567616")</f>
        <v>723097401603567616</v>
      </c>
      <c r="F775" s="11" t="s">
        <v>114</v>
      </c>
      <c r="G775" s="11">
        <v>396</v>
      </c>
      <c r="H775" s="11">
        <v>575</v>
      </c>
      <c r="I775" s="11">
        <v>0</v>
      </c>
      <c r="J775" s="11">
        <v>0</v>
      </c>
      <c r="K775" s="11" t="s">
        <v>21</v>
      </c>
      <c r="L775" s="7">
        <v>39970.396851851852</v>
      </c>
      <c r="M775" s="12" t="s">
        <v>2128</v>
      </c>
      <c r="N775" s="12" t="s">
        <v>2129</v>
      </c>
      <c r="O775" s="10" t="str">
        <f>HYPERLINK("https://pbs.twimg.com/profile_images/661245109216915456/IYc4wvrt_normal.jpg","View")</f>
        <v>View</v>
      </c>
      <c r="P775" s="10" t="str">
        <f>HYPERLINK("http://ctrlq.org/maps/address/#41.52666667,-70.66305556","Map")</f>
        <v>Map</v>
      </c>
    </row>
    <row r="776" spans="1:16" ht="12.75" x14ac:dyDescent="0.35">
      <c r="A776" s="7">
        <v>42481.669444444444</v>
      </c>
      <c r="B776" s="8" t="str">
        <f>HYPERLINK("https://twitter.com/felix_wiedemann","@felix_wiedemann")</f>
        <v>@felix_wiedemann</v>
      </c>
      <c r="C776" s="9" t="s">
        <v>2138</v>
      </c>
      <c r="D776" s="9" t="s">
        <v>2139</v>
      </c>
      <c r="E776" s="10" t="str">
        <f>HYPERLINK("https://twitter.com/felix_wiedemann/status/723097447338110976","723097447338110976")</f>
        <v>723097447338110976</v>
      </c>
      <c r="F776" s="11" t="s">
        <v>43</v>
      </c>
      <c r="G776" s="11">
        <v>38</v>
      </c>
      <c r="H776" s="11">
        <v>332</v>
      </c>
      <c r="I776" s="11">
        <v>0</v>
      </c>
      <c r="J776" s="11">
        <v>0</v>
      </c>
      <c r="K776" s="11" t="s">
        <v>21</v>
      </c>
      <c r="L776" s="7">
        <v>41206.613530092596</v>
      </c>
      <c r="M776" s="12" t="s">
        <v>2140</v>
      </c>
      <c r="N776" s="12" t="s">
        <v>2141</v>
      </c>
      <c r="O776" s="10" t="str">
        <f>HYPERLINK("https://pbs.twimg.com/profile_images/592295568753426432/zFxFymhV_normal.png","View")</f>
        <v>View</v>
      </c>
      <c r="P776" s="11"/>
    </row>
    <row r="777" spans="1:16" ht="12.75" x14ac:dyDescent="0.35">
      <c r="A777" s="7">
        <v>42481.669641203705</v>
      </c>
      <c r="B777" s="8" t="str">
        <f>HYPERLINK("https://twitter.com/BusinessTimes","@BusinessTimes")</f>
        <v>@BusinessTimes</v>
      </c>
      <c r="C777" s="9" t="s">
        <v>2142</v>
      </c>
      <c r="D777" s="9" t="s">
        <v>2143</v>
      </c>
      <c r="E777" s="10" t="str">
        <f>HYPERLINK("https://twitter.com/BusinessTimes/status/723097519782125569","723097519782125569")</f>
        <v>723097519782125569</v>
      </c>
      <c r="F777" s="11" t="s">
        <v>2144</v>
      </c>
      <c r="G777" s="11">
        <v>17364</v>
      </c>
      <c r="H777" s="11">
        <v>833</v>
      </c>
      <c r="I777" s="11">
        <v>0</v>
      </c>
      <c r="J777" s="11">
        <v>0</v>
      </c>
      <c r="K777" s="11" t="s">
        <v>21</v>
      </c>
      <c r="L777" s="7">
        <v>41320.558136574073</v>
      </c>
      <c r="M777" s="12" t="s">
        <v>2145</v>
      </c>
      <c r="N777" s="12" t="s">
        <v>2146</v>
      </c>
      <c r="O777" s="10" t="str">
        <f>HYPERLINK("https://pbs.twimg.com/profile_images/641091558503124992/tQG2jH6x_normal.png","View")</f>
        <v>View</v>
      </c>
      <c r="P777" s="11"/>
    </row>
    <row r="778" spans="1:16" ht="12.75" x14ac:dyDescent="0.35">
      <c r="A778" s="7">
        <v>42481.66982638889</v>
      </c>
      <c r="B778" s="8" t="str">
        <f>HYPERLINK("https://twitter.com/helkearo","@helkearo")</f>
        <v>@helkearo</v>
      </c>
      <c r="C778" s="9" t="s">
        <v>2147</v>
      </c>
      <c r="D778" s="9" t="s">
        <v>2148</v>
      </c>
      <c r="E778" s="10" t="str">
        <f>HYPERLINK("https://twitter.com/helkearo/status/723097584198242304","723097584198242304")</f>
        <v>723097584198242304</v>
      </c>
      <c r="F778" s="11" t="s">
        <v>43</v>
      </c>
      <c r="G778" s="11">
        <v>233</v>
      </c>
      <c r="H778" s="11">
        <v>512</v>
      </c>
      <c r="I778" s="11">
        <v>0</v>
      </c>
      <c r="J778" s="11">
        <v>0</v>
      </c>
      <c r="K778" s="11" t="s">
        <v>21</v>
      </c>
      <c r="L778" s="7">
        <v>39804.406377314815</v>
      </c>
      <c r="M778" s="12" t="s">
        <v>2149</v>
      </c>
      <c r="N778" s="12" t="s">
        <v>2150</v>
      </c>
      <c r="O778" s="10" t="str">
        <f>HYPERLINK("https://pbs.twimg.com/profile_images/632106336319221760/dxhF4knQ_normal.jpg","View")</f>
        <v>View</v>
      </c>
      <c r="P778" s="11"/>
    </row>
    <row r="779" spans="1:16" ht="12.75" x14ac:dyDescent="0.35">
      <c r="A779" s="7">
        <v>42481.670069444444</v>
      </c>
      <c r="B779" s="8" t="str">
        <f>HYPERLINK("https://twitter.com/treibholzfilm","@treibholzfilm")</f>
        <v>@treibholzfilm</v>
      </c>
      <c r="C779" s="9" t="s">
        <v>2130</v>
      </c>
      <c r="D779" s="9" t="s">
        <v>2151</v>
      </c>
      <c r="E779" s="10" t="str">
        <f>HYPERLINK("https://twitter.com/treibholzfilm/status/723097671876096000","723097671876096000")</f>
        <v>723097671876096000</v>
      </c>
      <c r="F779" s="11" t="s">
        <v>114</v>
      </c>
      <c r="G779" s="11">
        <v>4032</v>
      </c>
      <c r="H779" s="11">
        <v>4989</v>
      </c>
      <c r="I779" s="11">
        <v>0</v>
      </c>
      <c r="J779" s="11">
        <v>1</v>
      </c>
      <c r="K779" s="11" t="s">
        <v>21</v>
      </c>
      <c r="L779" s="7">
        <v>42264.680555555555</v>
      </c>
      <c r="M779" s="12" t="s">
        <v>2132</v>
      </c>
      <c r="N779" s="12" t="s">
        <v>2133</v>
      </c>
      <c r="O779" s="10" t="str">
        <f>HYPERLINK("https://pbs.twimg.com/profile_images/644482436257185792/immN1agH_normal.jpg","View")</f>
        <v>View</v>
      </c>
      <c r="P779" s="10" t="str">
        <f>HYPERLINK("http://ctrlq.org/maps/address/#50.17851,8.63508","Map")</f>
        <v>Map</v>
      </c>
    </row>
    <row r="780" spans="1:16" ht="12.75" x14ac:dyDescent="0.35">
      <c r="A780" s="7">
        <v>42481.67019675926</v>
      </c>
      <c r="B780" s="8" t="str">
        <f>HYPERLINK("https://twitter.com/acerbickhan","@acerbickhan")</f>
        <v>@acerbickhan</v>
      </c>
      <c r="C780" s="9" t="s">
        <v>2152</v>
      </c>
      <c r="D780" s="9" t="s">
        <v>2153</v>
      </c>
      <c r="E780" s="10" t="str">
        <f>HYPERLINK("https://twitter.com/acerbickhan/status/723097719871574016","723097719871574016")</f>
        <v>723097719871574016</v>
      </c>
      <c r="F780" s="11" t="s">
        <v>2154</v>
      </c>
      <c r="G780" s="11">
        <v>641</v>
      </c>
      <c r="H780" s="11">
        <v>1247</v>
      </c>
      <c r="I780" s="11">
        <v>4</v>
      </c>
      <c r="J780" s="11">
        <v>0</v>
      </c>
      <c r="K780" s="11" t="s">
        <v>21</v>
      </c>
      <c r="L780" s="7">
        <v>40323.089930555558</v>
      </c>
      <c r="M780" s="12" t="s">
        <v>2155</v>
      </c>
      <c r="N780" s="12" t="s">
        <v>2156</v>
      </c>
      <c r="O780" s="10" t="str">
        <f>HYPERLINK("https://pbs.twimg.com/profile_images/701453556604342272/TFaLiPvq_normal.jpg","View")</f>
        <v>View</v>
      </c>
      <c r="P780" s="11"/>
    </row>
    <row r="781" spans="1:16" ht="12.75" x14ac:dyDescent="0.35">
      <c r="A781" s="7">
        <v>42481.670428240745</v>
      </c>
      <c r="B781" s="8" t="str">
        <f>HYPERLINK("https://twitter.com/treibholzfilm","@treibholzfilm")</f>
        <v>@treibholzfilm</v>
      </c>
      <c r="C781" s="9" t="s">
        <v>2130</v>
      </c>
      <c r="D781" s="9" t="s">
        <v>2157</v>
      </c>
      <c r="E781" s="10" t="str">
        <f>HYPERLINK("https://twitter.com/treibholzfilm/status/723097804609077248","723097804609077248")</f>
        <v>723097804609077248</v>
      </c>
      <c r="F781" s="11" t="s">
        <v>114</v>
      </c>
      <c r="G781" s="11">
        <v>4032</v>
      </c>
      <c r="H781" s="11">
        <v>4989</v>
      </c>
      <c r="I781" s="11">
        <v>0</v>
      </c>
      <c r="J781" s="11">
        <v>1</v>
      </c>
      <c r="K781" s="11" t="s">
        <v>21</v>
      </c>
      <c r="L781" s="7">
        <v>42264.680555555555</v>
      </c>
      <c r="M781" s="12" t="s">
        <v>2132</v>
      </c>
      <c r="N781" s="12" t="s">
        <v>2133</v>
      </c>
      <c r="O781" s="10" t="str">
        <f>HYPERLINK("https://pbs.twimg.com/profile_images/644482436257185792/immN1agH_normal.jpg","View")</f>
        <v>View</v>
      </c>
      <c r="P781" s="10" t="str">
        <f>HYPERLINK("http://ctrlq.org/maps/address/#50.17851,8.63508","Map")</f>
        <v>Map</v>
      </c>
    </row>
    <row r="782" spans="1:16" ht="12.75" x14ac:dyDescent="0.35">
      <c r="A782" s="7">
        <v>42481.670740740738</v>
      </c>
      <c r="B782" s="8" t="str">
        <f>HYPERLINK("https://twitter.com/DieselGate_es","@DieselGate_es")</f>
        <v>@DieselGate_es</v>
      </c>
      <c r="C782" s="9" t="s">
        <v>2158</v>
      </c>
      <c r="D782" s="9" t="s">
        <v>2153</v>
      </c>
      <c r="E782" s="10" t="str">
        <f>HYPERLINK("https://twitter.com/DieselGate_es/status/723097915460345856","723097915460345856")</f>
        <v>723097915460345856</v>
      </c>
      <c r="F782" s="11" t="s">
        <v>20</v>
      </c>
      <c r="G782" s="11">
        <v>13</v>
      </c>
      <c r="H782" s="11">
        <v>20</v>
      </c>
      <c r="I782" s="11">
        <v>4</v>
      </c>
      <c r="J782" s="11">
        <v>0</v>
      </c>
      <c r="K782" s="11" t="s">
        <v>21</v>
      </c>
      <c r="L782" s="7">
        <v>42305.032592592594</v>
      </c>
      <c r="M782" s="12"/>
      <c r="N782" s="12" t="s">
        <v>2159</v>
      </c>
      <c r="O782" s="10" t="str">
        <f>HYPERLINK("https://pbs.twimg.com/profile_images/659086897868861440/czPvIhsj_normal.png","View")</f>
        <v>View</v>
      </c>
      <c r="P782" s="11"/>
    </row>
    <row r="783" spans="1:16" ht="12.75" x14ac:dyDescent="0.35">
      <c r="A783" s="7">
        <v>42481.674143518518</v>
      </c>
      <c r="B783" s="8" t="str">
        <f>HYPERLINK("https://twitter.com/skribjohn","@skribjohn")</f>
        <v>@skribjohn</v>
      </c>
      <c r="C783" s="9" t="s">
        <v>2160</v>
      </c>
      <c r="D783" s="9" t="s">
        <v>2153</v>
      </c>
      <c r="E783" s="10" t="str">
        <f>HYPERLINK("https://twitter.com/skribjohn/status/723099149487497217","723099149487497217")</f>
        <v>723099149487497217</v>
      </c>
      <c r="F783" s="11" t="s">
        <v>48</v>
      </c>
      <c r="G783" s="11">
        <v>542</v>
      </c>
      <c r="H783" s="11">
        <v>1794</v>
      </c>
      <c r="I783" s="11">
        <v>4</v>
      </c>
      <c r="J783" s="11">
        <v>0</v>
      </c>
      <c r="K783" s="11" t="s">
        <v>21</v>
      </c>
      <c r="L783" s="7">
        <v>41374.651886574073</v>
      </c>
      <c r="M783" s="12"/>
      <c r="N783" s="12" t="s">
        <v>2161</v>
      </c>
      <c r="O783" s="10" t="str">
        <f>HYPERLINK("https://pbs.twimg.com/profile_images/667033853249363969/AHcASHUk_normal.jpg","View")</f>
        <v>View</v>
      </c>
      <c r="P783" s="11"/>
    </row>
    <row r="784" spans="1:16" ht="12.75" x14ac:dyDescent="0.35">
      <c r="A784" s="7">
        <v>42481.675034722226</v>
      </c>
      <c r="B784" s="8" t="str">
        <f>HYPERLINK("https://twitter.com/Zaur_705","@Zaur_705")</f>
        <v>@Zaur_705</v>
      </c>
      <c r="C784" s="9" t="s">
        <v>2162</v>
      </c>
      <c r="D784" s="9" t="s">
        <v>2163</v>
      </c>
      <c r="E784" s="10" t="str">
        <f>HYPERLINK("https://twitter.com/Zaur_705/status/723099473539293184","723099473539293184")</f>
        <v>723099473539293184</v>
      </c>
      <c r="F784" s="11" t="s">
        <v>43</v>
      </c>
      <c r="G784" s="11">
        <v>50</v>
      </c>
      <c r="H784" s="11">
        <v>369</v>
      </c>
      <c r="I784" s="11">
        <v>1</v>
      </c>
      <c r="J784" s="11">
        <v>0</v>
      </c>
      <c r="K784" s="11" t="s">
        <v>21</v>
      </c>
      <c r="L784" s="7">
        <v>41521.111666666664</v>
      </c>
      <c r="M784" s="12" t="s">
        <v>2164</v>
      </c>
      <c r="N784" s="12"/>
      <c r="O784" s="10" t="str">
        <f>HYPERLINK("https://pbs.twimg.com/profile_images/701745532595613696/EjnEYipt_normal.jpg","View")</f>
        <v>View</v>
      </c>
      <c r="P784" s="11"/>
    </row>
    <row r="785" spans="1:16" ht="12.75" x14ac:dyDescent="0.35">
      <c r="A785" s="7">
        <v>42481.675775462965</v>
      </c>
      <c r="B785" s="8" t="str">
        <f>HYPERLINK("https://twitter.com/VWBeetleSales","@VWBeetleSales")</f>
        <v>@VWBeetleSales</v>
      </c>
      <c r="C785" s="9" t="s">
        <v>127</v>
      </c>
      <c r="D785" s="9" t="s">
        <v>2165</v>
      </c>
      <c r="E785" s="10" t="str">
        <f>HYPERLINK("https://twitter.com/VWBeetleSales/status/723099742683590656","723099742683590656")</f>
        <v>723099742683590656</v>
      </c>
      <c r="F785" s="10" t="s">
        <v>124</v>
      </c>
      <c r="G785" s="11">
        <v>35</v>
      </c>
      <c r="H785" s="11">
        <v>32</v>
      </c>
      <c r="I785" s="11">
        <v>0</v>
      </c>
      <c r="J785" s="11">
        <v>0</v>
      </c>
      <c r="K785" s="11" t="s">
        <v>21</v>
      </c>
      <c r="L785" s="7">
        <v>42427.019756944443</v>
      </c>
      <c r="M785" s="12" t="s">
        <v>129</v>
      </c>
      <c r="N785" s="12" t="s">
        <v>130</v>
      </c>
      <c r="O785" s="10" t="str">
        <f>HYPERLINK("https://pbs.twimg.com/profile_images/703294545195307008/qeCvrX86_normal.jpg","View")</f>
        <v>View</v>
      </c>
      <c r="P785" s="11"/>
    </row>
    <row r="786" spans="1:16" ht="12.75" x14ac:dyDescent="0.35">
      <c r="A786" s="7">
        <v>42481.67597222222</v>
      </c>
      <c r="B786" s="8" t="str">
        <f>HYPERLINK("https://twitter.com/OnlineCarReview","@OnlineCarReview")</f>
        <v>@OnlineCarReview</v>
      </c>
      <c r="C786" s="9" t="s">
        <v>176</v>
      </c>
      <c r="D786" s="9" t="s">
        <v>2166</v>
      </c>
      <c r="E786" s="10" t="str">
        <f>HYPERLINK("https://twitter.com/OnlineCarReview/status/723099812107702272","723099812107702272")</f>
        <v>723099812107702272</v>
      </c>
      <c r="F786" s="11" t="s">
        <v>34</v>
      </c>
      <c r="G786" s="11">
        <v>839</v>
      </c>
      <c r="H786" s="11">
        <v>568</v>
      </c>
      <c r="I786" s="11">
        <v>0</v>
      </c>
      <c r="J786" s="11">
        <v>0</v>
      </c>
      <c r="K786" s="11" t="s">
        <v>21</v>
      </c>
      <c r="L786" s="7">
        <v>42282.979201388887</v>
      </c>
      <c r="M786" s="12"/>
      <c r="N786" s="12" t="s">
        <v>178</v>
      </c>
      <c r="O786" s="10" t="str">
        <f>HYPERLINK("https://pbs.twimg.com/profile_images/652871584131092480/QA_B6SBO_normal.jpg","View")</f>
        <v>View</v>
      </c>
      <c r="P786" s="11"/>
    </row>
    <row r="787" spans="1:16" ht="12.75" x14ac:dyDescent="0.35">
      <c r="A787" s="7">
        <v>42481.677199074074</v>
      </c>
      <c r="B787" s="8" t="str">
        <f>HYPERLINK("https://twitter.com/VWCamperSales","@VWCamperSales")</f>
        <v>@VWCamperSales</v>
      </c>
      <c r="C787" s="9" t="s">
        <v>216</v>
      </c>
      <c r="D787" s="9" t="s">
        <v>2167</v>
      </c>
      <c r="E787" s="10" t="str">
        <f>HYPERLINK("https://twitter.com/VWCamperSales/status/723100255999299584","723100255999299584")</f>
        <v>723100255999299584</v>
      </c>
      <c r="F787" s="10" t="s">
        <v>124</v>
      </c>
      <c r="G787" s="11">
        <v>615</v>
      </c>
      <c r="H787" s="11">
        <v>580</v>
      </c>
      <c r="I787" s="11">
        <v>0</v>
      </c>
      <c r="J787" s="11">
        <v>0</v>
      </c>
      <c r="K787" s="11" t="s">
        <v>21</v>
      </c>
      <c r="L787" s="7">
        <v>42215.98809027778</v>
      </c>
      <c r="M787" s="12" t="s">
        <v>129</v>
      </c>
      <c r="N787" s="12" t="s">
        <v>218</v>
      </c>
      <c r="O787" s="10" t="str">
        <f>HYPERLINK("https://pbs.twimg.com/profile_images/627949001179037696/skEBkS05_normal.jpg","View")</f>
        <v>View</v>
      </c>
      <c r="P787" s="11"/>
    </row>
    <row r="788" spans="1:16" ht="12.75" x14ac:dyDescent="0.35">
      <c r="A788" s="7">
        <v>42481.677928240737</v>
      </c>
      <c r="B788" s="8" t="str">
        <f>HYPERLINK("https://twitter.com/FiginiiAxel","@FiginiiAxel")</f>
        <v>@FiginiiAxel</v>
      </c>
      <c r="C788" s="9" t="s">
        <v>2168</v>
      </c>
      <c r="D788" s="9" t="s">
        <v>2169</v>
      </c>
      <c r="E788" s="10" t="str">
        <f>HYPERLINK("https://twitter.com/FiginiiAxel/status/723100519661707264","723100519661707264")</f>
        <v>723100519661707264</v>
      </c>
      <c r="F788" s="11" t="s">
        <v>48</v>
      </c>
      <c r="G788" s="11">
        <v>505</v>
      </c>
      <c r="H788" s="11">
        <v>489</v>
      </c>
      <c r="I788" s="11">
        <v>0</v>
      </c>
      <c r="J788" s="11">
        <v>0</v>
      </c>
      <c r="K788" s="11" t="s">
        <v>21</v>
      </c>
      <c r="L788" s="7">
        <v>41922.249768518523</v>
      </c>
      <c r="M788" s="12" t="s">
        <v>2170</v>
      </c>
      <c r="N788" s="12" t="s">
        <v>2171</v>
      </c>
      <c r="O788" s="10" t="str">
        <f>HYPERLINK("https://pbs.twimg.com/profile_images/713855501222674432/O6YWG-cc_normal.jpg","View")</f>
        <v>View</v>
      </c>
      <c r="P788" s="11"/>
    </row>
    <row r="789" spans="1:16" ht="12.75" x14ac:dyDescent="0.35">
      <c r="A789" s="7">
        <v>42481.677928240737</v>
      </c>
      <c r="B789" s="8" t="str">
        <f>HYPERLINK("https://twitter.com/ThomasGleee","@ThomasGleee")</f>
        <v>@ThomasGleee</v>
      </c>
      <c r="C789" s="9" t="s">
        <v>2172</v>
      </c>
      <c r="D789" s="9" t="s">
        <v>2087</v>
      </c>
      <c r="E789" s="10" t="str">
        <f>HYPERLINK("https://twitter.com/ThomasGleee/status/723100522299969536","723100522299969536")</f>
        <v>723100522299969536</v>
      </c>
      <c r="F789" s="11" t="s">
        <v>2173</v>
      </c>
      <c r="G789" s="11">
        <v>2866</v>
      </c>
      <c r="H789" s="11">
        <v>4895</v>
      </c>
      <c r="I789" s="11">
        <v>2</v>
      </c>
      <c r="J789" s="11">
        <v>0</v>
      </c>
      <c r="K789" s="11" t="s">
        <v>21</v>
      </c>
      <c r="L789" s="7">
        <v>42215.864363425921</v>
      </c>
      <c r="M789" s="12"/>
      <c r="N789" s="12" t="s">
        <v>2174</v>
      </c>
      <c r="O789" s="10" t="str">
        <f>HYPERLINK("https://pbs.twimg.com/profile_images/626773115566206976/VmLXjrX1_normal.jpg","View")</f>
        <v>View</v>
      </c>
      <c r="P789" s="11"/>
    </row>
    <row r="790" spans="1:16" ht="12.75" x14ac:dyDescent="0.35">
      <c r="A790" s="7">
        <v>42481.678518518514</v>
      </c>
      <c r="B790" s="8" t="str">
        <f>HYPERLINK("https://twitter.com/willclarkeinoz","@willclarkeinoz")</f>
        <v>@willclarkeinoz</v>
      </c>
      <c r="C790" s="9" t="s">
        <v>2175</v>
      </c>
      <c r="D790" s="9" t="s">
        <v>2176</v>
      </c>
      <c r="E790" s="10" t="str">
        <f>HYPERLINK("https://twitter.com/willclarkeinoz/status/723100734758088704","723100734758088704")</f>
        <v>723100734758088704</v>
      </c>
      <c r="F790" s="11" t="s">
        <v>20</v>
      </c>
      <c r="G790" s="11">
        <v>1084</v>
      </c>
      <c r="H790" s="11">
        <v>1291</v>
      </c>
      <c r="I790" s="11">
        <v>1</v>
      </c>
      <c r="J790" s="11">
        <v>0</v>
      </c>
      <c r="K790" s="11" t="s">
        <v>21</v>
      </c>
      <c r="L790" s="7">
        <v>39715.52103009259</v>
      </c>
      <c r="M790" s="12" t="s">
        <v>1524</v>
      </c>
      <c r="N790" s="12" t="s">
        <v>2177</v>
      </c>
      <c r="O790" s="10" t="str">
        <f>HYPERLINK("https://pbs.twimg.com/profile_images/630988022146686977/5PtGw20c_normal.jpg","View")</f>
        <v>View</v>
      </c>
      <c r="P790" s="11"/>
    </row>
    <row r="791" spans="1:16" ht="12.75" x14ac:dyDescent="0.35">
      <c r="A791" s="7">
        <v>42481.678599537037</v>
      </c>
      <c r="B791" s="8" t="str">
        <f>HYPERLINK("https://twitter.com/AlexisMautoneRC","@AlexisMautoneRC")</f>
        <v>@AlexisMautoneRC</v>
      </c>
      <c r="C791" s="9" t="s">
        <v>2178</v>
      </c>
      <c r="D791" s="9" t="s">
        <v>2179</v>
      </c>
      <c r="E791" s="10" t="str">
        <f>HYPERLINK("https://twitter.com/AlexisMautoneRC/status/723100762532761600","723100762532761600")</f>
        <v>723100762532761600</v>
      </c>
      <c r="F791" s="11" t="s">
        <v>43</v>
      </c>
      <c r="G791" s="11">
        <v>870</v>
      </c>
      <c r="H791" s="11">
        <v>1021</v>
      </c>
      <c r="I791" s="11">
        <v>3</v>
      </c>
      <c r="J791" s="11">
        <v>0</v>
      </c>
      <c r="K791" s="11" t="s">
        <v>21</v>
      </c>
      <c r="L791" s="7">
        <v>41771.084467592591</v>
      </c>
      <c r="M791" s="12" t="s">
        <v>494</v>
      </c>
      <c r="N791" s="12" t="s">
        <v>2180</v>
      </c>
      <c r="O791" s="10" t="str">
        <f>HYPERLINK("https://pbs.twimg.com/profile_images/702550714980155396/zsFrS_dk_normal.jpg","View")</f>
        <v>View</v>
      </c>
      <c r="P791" s="11"/>
    </row>
    <row r="792" spans="1:16" ht="12.75" x14ac:dyDescent="0.35">
      <c r="A792" s="7">
        <v>42481.679270833338</v>
      </c>
      <c r="B792" s="8" t="str">
        <f>HYPERLINK("https://twitter.com/cikuwa1","@cikuwa1")</f>
        <v>@cikuwa1</v>
      </c>
      <c r="C792" s="9" t="s">
        <v>2181</v>
      </c>
      <c r="D792" s="9" t="s">
        <v>724</v>
      </c>
      <c r="E792" s="10" t="str">
        <f>HYPERLINK("https://twitter.com/cikuwa1/status/723101007517896704","723101007517896704")</f>
        <v>723101007517896704</v>
      </c>
      <c r="F792" s="11" t="s">
        <v>91</v>
      </c>
      <c r="G792" s="11">
        <v>249</v>
      </c>
      <c r="H792" s="11">
        <v>332</v>
      </c>
      <c r="I792" s="11">
        <v>5</v>
      </c>
      <c r="J792" s="11">
        <v>0</v>
      </c>
      <c r="K792" s="11" t="s">
        <v>21</v>
      </c>
      <c r="L792" s="7">
        <v>40528.764953703707</v>
      </c>
      <c r="M792" s="12" t="s">
        <v>2182</v>
      </c>
      <c r="N792" s="12" t="s">
        <v>2183</v>
      </c>
      <c r="O792" s="10" t="str">
        <f>HYPERLINK("https://pbs.twimg.com/profile_images/719482832477794305/ANIK9yYM_normal.jpg","View")</f>
        <v>View</v>
      </c>
      <c r="P792" s="11"/>
    </row>
    <row r="793" spans="1:16" ht="12.75" x14ac:dyDescent="0.35">
      <c r="A793" s="7">
        <v>42481.680636574078</v>
      </c>
      <c r="B793" s="8" t="str">
        <f>HYPERLINK("https://twitter.com/VWBeetleSales","@VWBeetleSales")</f>
        <v>@VWBeetleSales</v>
      </c>
      <c r="C793" s="9" t="s">
        <v>127</v>
      </c>
      <c r="D793" s="9" t="s">
        <v>2184</v>
      </c>
      <c r="E793" s="10" t="str">
        <f>HYPERLINK("https://twitter.com/VWBeetleSales/status/723101504563879936","723101504563879936")</f>
        <v>723101504563879936</v>
      </c>
      <c r="F793" s="10" t="s">
        <v>124</v>
      </c>
      <c r="G793" s="11">
        <v>35</v>
      </c>
      <c r="H793" s="11">
        <v>32</v>
      </c>
      <c r="I793" s="11">
        <v>0</v>
      </c>
      <c r="J793" s="11">
        <v>0</v>
      </c>
      <c r="K793" s="11" t="s">
        <v>21</v>
      </c>
      <c r="L793" s="7">
        <v>42427.019756944443</v>
      </c>
      <c r="M793" s="12" t="s">
        <v>129</v>
      </c>
      <c r="N793" s="12" t="s">
        <v>130</v>
      </c>
      <c r="O793" s="10" t="str">
        <f>HYPERLINK("https://pbs.twimg.com/profile_images/703294545195307008/qeCvrX86_normal.jpg","View")</f>
        <v>View</v>
      </c>
      <c r="P793" s="11"/>
    </row>
    <row r="794" spans="1:16" ht="12.75" x14ac:dyDescent="0.35">
      <c r="A794" s="7">
        <v>42481.681273148148</v>
      </c>
      <c r="B794" s="8" t="str">
        <f>HYPERLINK("https://twitter.com/MarkoJokela","@MarkoJokela")</f>
        <v>@MarkoJokela</v>
      </c>
      <c r="C794" s="9" t="s">
        <v>2185</v>
      </c>
      <c r="D794" s="9" t="s">
        <v>2186</v>
      </c>
      <c r="E794" s="10" t="str">
        <f>HYPERLINK("https://twitter.com/MarkoJokela/status/723101733560422403","723101733560422403")</f>
        <v>723101733560422403</v>
      </c>
      <c r="F794" s="11" t="s">
        <v>20</v>
      </c>
      <c r="G794" s="11">
        <v>915</v>
      </c>
      <c r="H794" s="11">
        <v>542</v>
      </c>
      <c r="I794" s="11">
        <v>1</v>
      </c>
      <c r="J794" s="11">
        <v>0</v>
      </c>
      <c r="K794" s="11" t="s">
        <v>21</v>
      </c>
      <c r="L794" s="7">
        <v>41246.59652777778</v>
      </c>
      <c r="M794" s="12" t="s">
        <v>2187</v>
      </c>
      <c r="N794" s="12" t="s">
        <v>2188</v>
      </c>
      <c r="O794" s="10" t="str">
        <f>HYPERLINK("https://pbs.twimg.com/profile_images/432785601452982272/RWDE1b--_normal.jpeg","View")</f>
        <v>View</v>
      </c>
      <c r="P794" s="11"/>
    </row>
    <row r="795" spans="1:16" ht="12.75" x14ac:dyDescent="0.35">
      <c r="A795" s="7">
        <v>42481.681493055556</v>
      </c>
      <c r="B795" s="8" t="str">
        <f>HYPERLINK("https://twitter.com/aus_business","@aus_business")</f>
        <v>@aus_business</v>
      </c>
      <c r="C795" s="9" t="s">
        <v>2189</v>
      </c>
      <c r="D795" s="9" t="s">
        <v>2190</v>
      </c>
      <c r="E795" s="10" t="str">
        <f>HYPERLINK("https://twitter.com/aus_business/status/723101812383842305","723101812383842305")</f>
        <v>723101812383842305</v>
      </c>
      <c r="F795" s="11" t="s">
        <v>43</v>
      </c>
      <c r="G795" s="11">
        <v>22295</v>
      </c>
      <c r="H795" s="11">
        <v>184</v>
      </c>
      <c r="I795" s="11">
        <v>0</v>
      </c>
      <c r="J795" s="11">
        <v>0</v>
      </c>
      <c r="K795" s="11" t="s">
        <v>21</v>
      </c>
      <c r="L795" s="7">
        <v>39896.513981481483</v>
      </c>
      <c r="M795" s="12" t="s">
        <v>934</v>
      </c>
      <c r="N795" s="12" t="s">
        <v>2191</v>
      </c>
      <c r="O795" s="10" t="str">
        <f>HYPERLINK("https://pbs.twimg.com/profile_images/2201085737/twitter_business_normal.png","View")</f>
        <v>View</v>
      </c>
      <c r="P795" s="11"/>
    </row>
    <row r="796" spans="1:16" ht="12.75" x14ac:dyDescent="0.35">
      <c r="A796" s="7">
        <v>42481.681655092594</v>
      </c>
      <c r="B796" s="8" t="str">
        <f>HYPERLINK("https://twitter.com/beetlebug1938","@beetlebug1938")</f>
        <v>@beetlebug1938</v>
      </c>
      <c r="C796" s="9" t="s">
        <v>66</v>
      </c>
      <c r="D796" s="9" t="s">
        <v>2192</v>
      </c>
      <c r="E796" s="10" t="str">
        <f>HYPERLINK("https://twitter.com/beetlebug1938/status/723101872429666305","723101872429666305")</f>
        <v>723101872429666305</v>
      </c>
      <c r="F796" s="11" t="s">
        <v>68</v>
      </c>
      <c r="G796" s="11">
        <v>346</v>
      </c>
      <c r="H796" s="11">
        <v>2222</v>
      </c>
      <c r="I796" s="11">
        <v>0</v>
      </c>
      <c r="J796" s="11">
        <v>1</v>
      </c>
      <c r="K796" s="11" t="s">
        <v>21</v>
      </c>
      <c r="L796" s="7">
        <v>42469.863865740743</v>
      </c>
      <c r="M796" s="12" t="s">
        <v>69</v>
      </c>
      <c r="N796" s="12"/>
      <c r="O796" s="10" t="str">
        <f>HYPERLINK("https://pbs.twimg.com/profile_images/718820712757215233/LXXndPTS_normal.jpg","View")</f>
        <v>View</v>
      </c>
      <c r="P796" s="11"/>
    </row>
    <row r="797" spans="1:16" ht="12.75" x14ac:dyDescent="0.35">
      <c r="A797" s="7">
        <v>42481.68173611111</v>
      </c>
      <c r="B797" s="8" t="str">
        <f>HYPERLINK("https://twitter.com/ciocirlans","@ciocirlans")</f>
        <v>@ciocirlans</v>
      </c>
      <c r="C797" s="9" t="s">
        <v>2193</v>
      </c>
      <c r="D797" s="9" t="s">
        <v>2194</v>
      </c>
      <c r="E797" s="10" t="str">
        <f>HYPERLINK("https://twitter.com/ciocirlans/status/723101903341666304","723101903341666304")</f>
        <v>723101903341666304</v>
      </c>
      <c r="F797" s="11" t="s">
        <v>53</v>
      </c>
      <c r="G797" s="11">
        <v>115</v>
      </c>
      <c r="H797" s="11">
        <v>786</v>
      </c>
      <c r="I797" s="11">
        <v>0</v>
      </c>
      <c r="J797" s="11">
        <v>1</v>
      </c>
      <c r="K797" s="11" t="s">
        <v>21</v>
      </c>
      <c r="L797" s="7">
        <v>40959.108414351853</v>
      </c>
      <c r="M797" s="12" t="s">
        <v>2195</v>
      </c>
      <c r="N797" s="12" t="s">
        <v>2196</v>
      </c>
      <c r="O797" s="10" t="str">
        <f>HYPERLINK("https://pbs.twimg.com/profile_images/477029152441110528/11WmXfGi_normal.jpeg","View")</f>
        <v>View</v>
      </c>
      <c r="P797" s="11"/>
    </row>
    <row r="798" spans="1:16" ht="12.75" x14ac:dyDescent="0.35">
      <c r="A798" s="7">
        <v>42481.681747685187</v>
      </c>
      <c r="B798" s="8" t="str">
        <f t="shared" ref="B798:B800" si="79">HYPERLINK("https://twitter.com/beetlebug1938","@beetlebug1938")</f>
        <v>@beetlebug1938</v>
      </c>
      <c r="C798" s="9" t="s">
        <v>66</v>
      </c>
      <c r="D798" s="9" t="s">
        <v>2197</v>
      </c>
      <c r="E798" s="10" t="str">
        <f>HYPERLINK("https://twitter.com/beetlebug1938/status/723101903412965376","723101903412965376")</f>
        <v>723101903412965376</v>
      </c>
      <c r="F798" s="11" t="s">
        <v>68</v>
      </c>
      <c r="G798" s="11">
        <v>346</v>
      </c>
      <c r="H798" s="11">
        <v>2222</v>
      </c>
      <c r="I798" s="11">
        <v>1</v>
      </c>
      <c r="J798" s="11">
        <v>1</v>
      </c>
      <c r="K798" s="11" t="s">
        <v>21</v>
      </c>
      <c r="L798" s="7">
        <v>42469.863865740743</v>
      </c>
      <c r="M798" s="12" t="s">
        <v>69</v>
      </c>
      <c r="N798" s="12"/>
      <c r="O798" s="10" t="str">
        <f t="shared" ref="O798:O800" si="80">HYPERLINK("https://pbs.twimg.com/profile_images/718820712757215233/LXXndPTS_normal.jpg","View")</f>
        <v>View</v>
      </c>
      <c r="P798" s="11"/>
    </row>
    <row r="799" spans="1:16" ht="12.75" x14ac:dyDescent="0.35">
      <c r="A799" s="7">
        <v>42481.681828703702</v>
      </c>
      <c r="B799" s="8" t="str">
        <f t="shared" si="79"/>
        <v>@beetlebug1938</v>
      </c>
      <c r="C799" s="9" t="s">
        <v>66</v>
      </c>
      <c r="D799" s="9" t="s">
        <v>2198</v>
      </c>
      <c r="E799" s="10" t="str">
        <f>HYPERLINK("https://twitter.com/beetlebug1938/status/723101936040456192","723101936040456192")</f>
        <v>723101936040456192</v>
      </c>
      <c r="F799" s="11" t="s">
        <v>68</v>
      </c>
      <c r="G799" s="11">
        <v>346</v>
      </c>
      <c r="H799" s="11">
        <v>2222</v>
      </c>
      <c r="I799" s="11">
        <v>0</v>
      </c>
      <c r="J799" s="11">
        <v>1</v>
      </c>
      <c r="K799" s="11" t="s">
        <v>21</v>
      </c>
      <c r="L799" s="7">
        <v>42469.863865740743</v>
      </c>
      <c r="M799" s="12" t="s">
        <v>69</v>
      </c>
      <c r="N799" s="12"/>
      <c r="O799" s="10" t="str">
        <f t="shared" si="80"/>
        <v>View</v>
      </c>
      <c r="P799" s="11"/>
    </row>
    <row r="800" spans="1:16" ht="12.75" x14ac:dyDescent="0.35">
      <c r="A800" s="7">
        <v>42481.681851851856</v>
      </c>
      <c r="B800" s="8" t="str">
        <f t="shared" si="79"/>
        <v>@beetlebug1938</v>
      </c>
      <c r="C800" s="9" t="s">
        <v>66</v>
      </c>
      <c r="D800" s="9" t="s">
        <v>2199</v>
      </c>
      <c r="E800" s="10" t="str">
        <f>HYPERLINK("https://twitter.com/beetlebug1938/status/723101943862796288","723101943862796288")</f>
        <v>723101943862796288</v>
      </c>
      <c r="F800" s="11" t="s">
        <v>68</v>
      </c>
      <c r="G800" s="11">
        <v>346</v>
      </c>
      <c r="H800" s="11">
        <v>2222</v>
      </c>
      <c r="I800" s="11">
        <v>0</v>
      </c>
      <c r="J800" s="11">
        <v>0</v>
      </c>
      <c r="K800" s="11" t="s">
        <v>21</v>
      </c>
      <c r="L800" s="7">
        <v>42469.863865740743</v>
      </c>
      <c r="M800" s="12" t="s">
        <v>69</v>
      </c>
      <c r="N800" s="12"/>
      <c r="O800" s="10" t="str">
        <f t="shared" si="80"/>
        <v>View</v>
      </c>
      <c r="P800" s="11"/>
    </row>
    <row r="801" spans="1:16" ht="12.75" x14ac:dyDescent="0.35">
      <c r="A801" s="7">
        <v>42481.68268518518</v>
      </c>
      <c r="B801" s="8" t="str">
        <f>HYPERLINK("https://twitter.com/anadin325","@anadin325")</f>
        <v>@anadin325</v>
      </c>
      <c r="C801" s="9" t="s">
        <v>2200</v>
      </c>
      <c r="D801" s="9" t="s">
        <v>854</v>
      </c>
      <c r="E801" s="10" t="str">
        <f>HYPERLINK("https://twitter.com/anadin325/status/723102246905348097","723102246905348097")</f>
        <v>723102246905348097</v>
      </c>
      <c r="F801" s="11" t="s">
        <v>43</v>
      </c>
      <c r="G801" s="11">
        <v>650</v>
      </c>
      <c r="H801" s="11">
        <v>388</v>
      </c>
      <c r="I801" s="11">
        <v>11</v>
      </c>
      <c r="J801" s="11">
        <v>0</v>
      </c>
      <c r="K801" s="11" t="s">
        <v>21</v>
      </c>
      <c r="L801" s="7">
        <v>41169.164143518516</v>
      </c>
      <c r="M801" s="12" t="s">
        <v>1288</v>
      </c>
      <c r="N801" s="12" t="s">
        <v>2201</v>
      </c>
      <c r="O801" s="10" t="str">
        <f>HYPERLINK("https://pbs.twimg.com/profile_images/710629331001851904/b3UNgZb6_normal.jpg","View")</f>
        <v>View</v>
      </c>
      <c r="P801" s="11"/>
    </row>
    <row r="802" spans="1:16" ht="12.75" x14ac:dyDescent="0.35">
      <c r="A802" s="7">
        <v>42481.682893518519</v>
      </c>
      <c r="B802" s="8" t="str">
        <f t="shared" ref="B802:B803" si="81">HYPERLINK("https://twitter.com/treibholzfilm","@treibholzfilm")</f>
        <v>@treibholzfilm</v>
      </c>
      <c r="C802" s="9" t="s">
        <v>2130</v>
      </c>
      <c r="D802" s="9" t="s">
        <v>2202</v>
      </c>
      <c r="E802" s="10" t="str">
        <f>HYPERLINK("https://twitter.com/treibholzfilm/status/723102321635385345","723102321635385345")</f>
        <v>723102321635385345</v>
      </c>
      <c r="F802" s="11" t="s">
        <v>114</v>
      </c>
      <c r="G802" s="11">
        <v>4032</v>
      </c>
      <c r="H802" s="11">
        <v>4989</v>
      </c>
      <c r="I802" s="11">
        <v>0</v>
      </c>
      <c r="J802" s="11">
        <v>1</v>
      </c>
      <c r="K802" s="11" t="s">
        <v>21</v>
      </c>
      <c r="L802" s="7">
        <v>42264.680555555555</v>
      </c>
      <c r="M802" s="12" t="s">
        <v>2132</v>
      </c>
      <c r="N802" s="12" t="s">
        <v>2133</v>
      </c>
      <c r="O802" s="10" t="str">
        <f t="shared" ref="O802:O803" si="82">HYPERLINK("https://pbs.twimg.com/profile_images/644482436257185792/immN1agH_normal.jpg","View")</f>
        <v>View</v>
      </c>
      <c r="P802" s="10" t="str">
        <f t="shared" ref="P802:P803" si="83">HYPERLINK("http://ctrlq.org/maps/address/#50.17851,8.63508","Map")</f>
        <v>Map</v>
      </c>
    </row>
    <row r="803" spans="1:16" ht="12.75" x14ac:dyDescent="0.35">
      <c r="A803" s="7">
        <v>42481.683263888888</v>
      </c>
      <c r="B803" s="8" t="str">
        <f t="shared" si="81"/>
        <v>@treibholzfilm</v>
      </c>
      <c r="C803" s="9" t="s">
        <v>2130</v>
      </c>
      <c r="D803" s="9" t="s">
        <v>2203</v>
      </c>
      <c r="E803" s="10" t="str">
        <f>HYPERLINK("https://twitter.com/treibholzfilm/status/723102453890191360","723102453890191360")</f>
        <v>723102453890191360</v>
      </c>
      <c r="F803" s="11" t="s">
        <v>114</v>
      </c>
      <c r="G803" s="11">
        <v>4032</v>
      </c>
      <c r="H803" s="11">
        <v>4989</v>
      </c>
      <c r="I803" s="11">
        <v>0</v>
      </c>
      <c r="J803" s="11">
        <v>1</v>
      </c>
      <c r="K803" s="11" t="s">
        <v>21</v>
      </c>
      <c r="L803" s="7">
        <v>42264.680555555555</v>
      </c>
      <c r="M803" s="12" t="s">
        <v>2132</v>
      </c>
      <c r="N803" s="12" t="s">
        <v>2133</v>
      </c>
      <c r="O803" s="10" t="str">
        <f t="shared" si="82"/>
        <v>View</v>
      </c>
      <c r="P803" s="10" t="str">
        <f t="shared" si="83"/>
        <v>Map</v>
      </c>
    </row>
    <row r="804" spans="1:16" ht="12.75" x14ac:dyDescent="0.35">
      <c r="A804" s="7">
        <v>42481.68350694445</v>
      </c>
      <c r="B804" s="8" t="str">
        <f>HYPERLINK("https://twitter.com/MH_Customz","@MH_Customz")</f>
        <v>@MH_Customz</v>
      </c>
      <c r="C804" s="9" t="s">
        <v>2204</v>
      </c>
      <c r="D804" s="9" t="s">
        <v>2205</v>
      </c>
      <c r="E804" s="10" t="str">
        <f>HYPERLINK("https://twitter.com/MH_Customz/status/723102543287599104","723102543287599104")</f>
        <v>723102543287599104</v>
      </c>
      <c r="F804" s="11" t="s">
        <v>2206</v>
      </c>
      <c r="G804" s="11">
        <v>1</v>
      </c>
      <c r="H804" s="11">
        <v>21</v>
      </c>
      <c r="I804" s="11">
        <v>0</v>
      </c>
      <c r="J804" s="11">
        <v>0</v>
      </c>
      <c r="K804" s="11" t="s">
        <v>21</v>
      </c>
      <c r="L804" s="7">
        <v>42414.150347222225</v>
      </c>
      <c r="M804" s="12" t="s">
        <v>2207</v>
      </c>
      <c r="N804" s="12" t="s">
        <v>2208</v>
      </c>
      <c r="O804" s="10" t="str">
        <f>HYPERLINK("https://pbs.twimg.com/profile_images/698629997234417665/Asfz3TvT_normal.jpg","View")</f>
        <v>View</v>
      </c>
      <c r="P804" s="11"/>
    </row>
    <row r="805" spans="1:16" ht="12.75" x14ac:dyDescent="0.35">
      <c r="A805" s="7">
        <v>42481.683657407411</v>
      </c>
      <c r="B805" s="8" t="str">
        <f>HYPERLINK("https://twitter.com/c_garrels","@c_garrels")</f>
        <v>@c_garrels</v>
      </c>
      <c r="C805" s="9" t="s">
        <v>2209</v>
      </c>
      <c r="D805" s="9" t="s">
        <v>2210</v>
      </c>
      <c r="E805" s="10" t="str">
        <f>HYPERLINK("https://twitter.com/c_garrels/status/723102599096856576","723102599096856576")</f>
        <v>723102599096856576</v>
      </c>
      <c r="F805" s="11" t="s">
        <v>43</v>
      </c>
      <c r="G805" s="11">
        <v>464</v>
      </c>
      <c r="H805" s="11">
        <v>172</v>
      </c>
      <c r="I805" s="11">
        <v>0</v>
      </c>
      <c r="J805" s="11">
        <v>1</v>
      </c>
      <c r="K805" s="11" t="s">
        <v>21</v>
      </c>
      <c r="L805" s="7">
        <v>40606.75037037037</v>
      </c>
      <c r="M805" s="12" t="s">
        <v>2211</v>
      </c>
      <c r="N805" s="12" t="s">
        <v>2212</v>
      </c>
      <c r="O805" s="10" t="str">
        <f>HYPERLINK("https://pbs.twimg.com/profile_images/669855217513578496/tHE9dIDO_normal.jpg","View")</f>
        <v>View</v>
      </c>
      <c r="P805" s="11"/>
    </row>
    <row r="806" spans="1:16" ht="12.75" x14ac:dyDescent="0.35">
      <c r="A806" s="7">
        <v>42481.683668981481</v>
      </c>
      <c r="B806" s="8" t="str">
        <f>HYPERLINK("https://twitter.com/treibholzfilm","@treibholzfilm")</f>
        <v>@treibholzfilm</v>
      </c>
      <c r="C806" s="9" t="s">
        <v>2130</v>
      </c>
      <c r="D806" s="9" t="s">
        <v>2213</v>
      </c>
      <c r="E806" s="10" t="str">
        <f>HYPERLINK("https://twitter.com/treibholzfilm/status/723102599998746624","723102599998746624")</f>
        <v>723102599998746624</v>
      </c>
      <c r="F806" s="11" t="s">
        <v>114</v>
      </c>
      <c r="G806" s="11">
        <v>4032</v>
      </c>
      <c r="H806" s="11">
        <v>4989</v>
      </c>
      <c r="I806" s="11">
        <v>0</v>
      </c>
      <c r="J806" s="11">
        <v>1</v>
      </c>
      <c r="K806" s="11" t="s">
        <v>21</v>
      </c>
      <c r="L806" s="7">
        <v>42264.680555555555</v>
      </c>
      <c r="M806" s="12" t="s">
        <v>2132</v>
      </c>
      <c r="N806" s="12" t="s">
        <v>2133</v>
      </c>
      <c r="O806" s="10" t="str">
        <f>HYPERLINK("https://pbs.twimg.com/profile_images/644482436257185792/immN1agH_normal.jpg","View")</f>
        <v>View</v>
      </c>
      <c r="P806" s="10" t="str">
        <f>HYPERLINK("http://ctrlq.org/maps/address/#50.17851,8.63508","Map")</f>
        <v>Map</v>
      </c>
    </row>
    <row r="807" spans="1:16" ht="12.75" x14ac:dyDescent="0.35">
      <c r="A807" s="7">
        <v>42481.683935185181</v>
      </c>
      <c r="B807" s="8" t="str">
        <f>HYPERLINK("https://twitter.com/Bristol_Eats","@Bristol_Eats")</f>
        <v>@Bristol_Eats</v>
      </c>
      <c r="C807" s="9" t="s">
        <v>2214</v>
      </c>
      <c r="D807" s="9" t="s">
        <v>2215</v>
      </c>
      <c r="E807" s="10" t="str">
        <f>HYPERLINK("https://twitter.com/Bristol_Eats/status/723102700204904448","723102700204904448")</f>
        <v>723102700204904448</v>
      </c>
      <c r="F807" s="11" t="s">
        <v>20</v>
      </c>
      <c r="G807" s="11">
        <v>5394</v>
      </c>
      <c r="H807" s="11">
        <v>5038</v>
      </c>
      <c r="I807" s="11">
        <v>1</v>
      </c>
      <c r="J807" s="11">
        <v>0</v>
      </c>
      <c r="K807" s="11" t="s">
        <v>21</v>
      </c>
      <c r="L807" s="7">
        <v>41367.687835648147</v>
      </c>
      <c r="M807" s="12" t="s">
        <v>2216</v>
      </c>
      <c r="N807" s="12" t="s">
        <v>2217</v>
      </c>
      <c r="O807" s="10" t="str">
        <f>HYPERLINK("https://pbs.twimg.com/profile_images/524179364510834688/ypglTT-e_normal.png","View")</f>
        <v>View</v>
      </c>
      <c r="P807" s="11"/>
    </row>
    <row r="808" spans="1:16" ht="12.75" x14ac:dyDescent="0.35">
      <c r="A808" s="7">
        <v>42481.684039351851</v>
      </c>
      <c r="B808" s="8" t="str">
        <f>HYPERLINK("https://twitter.com/businessanglr","@businessanglr")</f>
        <v>@businessanglr</v>
      </c>
      <c r="C808" s="9" t="s">
        <v>325</v>
      </c>
      <c r="D808" s="9" t="s">
        <v>2218</v>
      </c>
      <c r="E808" s="10" t="str">
        <f>HYPERLINK("https://twitter.com/businessanglr/status/723102737479700480","723102737479700480")</f>
        <v>723102737479700480</v>
      </c>
      <c r="F808" s="11" t="s">
        <v>327</v>
      </c>
      <c r="G808" s="11">
        <v>23</v>
      </c>
      <c r="H808" s="11">
        <v>3</v>
      </c>
      <c r="I808" s="11">
        <v>0</v>
      </c>
      <c r="J808" s="11">
        <v>0</v>
      </c>
      <c r="K808" s="11" t="s">
        <v>21</v>
      </c>
      <c r="L808" s="7">
        <v>41878.884942129633</v>
      </c>
      <c r="M808" s="12"/>
      <c r="N808" s="12" t="s">
        <v>328</v>
      </c>
      <c r="O808" s="10" t="str">
        <f>HYPERLINK("https://pbs.twimg.com/profile_images/677530351833608192/lMRcVg2M_normal.png","View")</f>
        <v>View</v>
      </c>
      <c r="P808" s="11"/>
    </row>
    <row r="809" spans="1:16" ht="12.75" x14ac:dyDescent="0.35">
      <c r="A809" s="7">
        <v>42481.684085648143</v>
      </c>
      <c r="B809" s="8" t="str">
        <f>HYPERLINK("https://twitter.com/treibholzfilm","@treibholzfilm")</f>
        <v>@treibholzfilm</v>
      </c>
      <c r="C809" s="9" t="s">
        <v>2130</v>
      </c>
      <c r="D809" s="9" t="s">
        <v>2219</v>
      </c>
      <c r="E809" s="10" t="str">
        <f>HYPERLINK("https://twitter.com/treibholzfilm/status/723102753598349312","723102753598349312")</f>
        <v>723102753598349312</v>
      </c>
      <c r="F809" s="11" t="s">
        <v>114</v>
      </c>
      <c r="G809" s="11">
        <v>4032</v>
      </c>
      <c r="H809" s="11">
        <v>4989</v>
      </c>
      <c r="I809" s="11">
        <v>0</v>
      </c>
      <c r="J809" s="11">
        <v>1</v>
      </c>
      <c r="K809" s="11" t="s">
        <v>21</v>
      </c>
      <c r="L809" s="7">
        <v>42264.680555555555</v>
      </c>
      <c r="M809" s="12" t="s">
        <v>2132</v>
      </c>
      <c r="N809" s="12" t="s">
        <v>2133</v>
      </c>
      <c r="O809" s="10" t="str">
        <f>HYPERLINK("https://pbs.twimg.com/profile_images/644482436257185792/immN1agH_normal.jpg","View")</f>
        <v>View</v>
      </c>
      <c r="P809" s="10" t="str">
        <f>HYPERLINK("http://ctrlq.org/maps/address/#50.17851,8.63508","Map")</f>
        <v>Map</v>
      </c>
    </row>
    <row r="810" spans="1:16" ht="12.75" x14ac:dyDescent="0.35">
      <c r="A810" s="7">
        <v>42481.684479166666</v>
      </c>
      <c r="B810" s="8" t="str">
        <f>HYPERLINK("https://twitter.com/Iteration23","@Iteration23")</f>
        <v>@Iteration23</v>
      </c>
      <c r="C810" s="9" t="s">
        <v>2220</v>
      </c>
      <c r="D810" s="9" t="s">
        <v>854</v>
      </c>
      <c r="E810" s="10" t="str">
        <f>HYPERLINK("https://twitter.com/Iteration23/status/723102893683822592","723102893683822592")</f>
        <v>723102893683822592</v>
      </c>
      <c r="F810" s="11" t="s">
        <v>43</v>
      </c>
      <c r="G810" s="11">
        <v>1628</v>
      </c>
      <c r="H810" s="11">
        <v>2153</v>
      </c>
      <c r="I810" s="11">
        <v>11</v>
      </c>
      <c r="J810" s="11">
        <v>0</v>
      </c>
      <c r="K810" s="11" t="s">
        <v>21</v>
      </c>
      <c r="L810" s="7">
        <v>41150.654664351852</v>
      </c>
      <c r="M810" s="12" t="s">
        <v>2221</v>
      </c>
      <c r="N810" s="12" t="s">
        <v>2222</v>
      </c>
      <c r="O810" s="10" t="str">
        <f>HYPERLINK("https://pbs.twimg.com/profile_images/519414589843206144/kQ4kNi1f_normal.png","View")</f>
        <v>View</v>
      </c>
      <c r="P810" s="11"/>
    </row>
    <row r="811" spans="1:16" ht="12.75" x14ac:dyDescent="0.35">
      <c r="A811" s="7">
        <v>42481.684513888889</v>
      </c>
      <c r="B811" s="8" t="str">
        <f t="shared" ref="B811:B812" si="84">HYPERLINK("https://twitter.com/treibholzfilm","@treibholzfilm")</f>
        <v>@treibholzfilm</v>
      </c>
      <c r="C811" s="9" t="s">
        <v>2130</v>
      </c>
      <c r="D811" s="9" t="s">
        <v>2223</v>
      </c>
      <c r="E811" s="10" t="str">
        <f>HYPERLINK("https://twitter.com/treibholzfilm/status/723102909899124736","723102909899124736")</f>
        <v>723102909899124736</v>
      </c>
      <c r="F811" s="11" t="s">
        <v>114</v>
      </c>
      <c r="G811" s="11">
        <v>4032</v>
      </c>
      <c r="H811" s="11">
        <v>4989</v>
      </c>
      <c r="I811" s="11">
        <v>0</v>
      </c>
      <c r="J811" s="11">
        <v>1</v>
      </c>
      <c r="K811" s="11" t="s">
        <v>21</v>
      </c>
      <c r="L811" s="7">
        <v>42264.680555555555</v>
      </c>
      <c r="M811" s="12" t="s">
        <v>2132</v>
      </c>
      <c r="N811" s="12" t="s">
        <v>2133</v>
      </c>
      <c r="O811" s="10" t="str">
        <f t="shared" ref="O811:O812" si="85">HYPERLINK("https://pbs.twimg.com/profile_images/644482436257185792/immN1agH_normal.jpg","View")</f>
        <v>View</v>
      </c>
      <c r="P811" s="10" t="str">
        <f t="shared" ref="P811:P812" si="86">HYPERLINK("http://ctrlq.org/maps/address/#50.17851,8.63508","Map")</f>
        <v>Map</v>
      </c>
    </row>
    <row r="812" spans="1:16" ht="12.75" x14ac:dyDescent="0.35">
      <c r="A812" s="7">
        <v>42481.68540509259</v>
      </c>
      <c r="B812" s="8" t="str">
        <f t="shared" si="84"/>
        <v>@treibholzfilm</v>
      </c>
      <c r="C812" s="9" t="s">
        <v>2130</v>
      </c>
      <c r="D812" s="9" t="s">
        <v>2224</v>
      </c>
      <c r="E812" s="10" t="str">
        <f>HYPERLINK("https://twitter.com/treibholzfilm/status/723103229333114880","723103229333114880")</f>
        <v>723103229333114880</v>
      </c>
      <c r="F812" s="11" t="s">
        <v>114</v>
      </c>
      <c r="G812" s="11">
        <v>4032</v>
      </c>
      <c r="H812" s="11">
        <v>4989</v>
      </c>
      <c r="I812" s="11">
        <v>1</v>
      </c>
      <c r="J812" s="11">
        <v>1</v>
      </c>
      <c r="K812" s="11" t="s">
        <v>21</v>
      </c>
      <c r="L812" s="7">
        <v>42264.680555555555</v>
      </c>
      <c r="M812" s="12" t="s">
        <v>2132</v>
      </c>
      <c r="N812" s="12" t="s">
        <v>2133</v>
      </c>
      <c r="O812" s="10" t="str">
        <f t="shared" si="85"/>
        <v>View</v>
      </c>
      <c r="P812" s="10" t="str">
        <f t="shared" si="86"/>
        <v>Map</v>
      </c>
    </row>
    <row r="813" spans="1:16" ht="12.75" x14ac:dyDescent="0.35">
      <c r="A813" s="7">
        <v>42481.68550925926</v>
      </c>
      <c r="B813" s="8" t="str">
        <f>HYPERLINK("https://twitter.com/drubald","@drubald")</f>
        <v>@drubald</v>
      </c>
      <c r="C813" s="9" t="s">
        <v>2225</v>
      </c>
      <c r="D813" s="9" t="s">
        <v>2226</v>
      </c>
      <c r="E813" s="10" t="str">
        <f>HYPERLINK("https://twitter.com/drubald/status/723103268126220288","723103268126220288")</f>
        <v>723103268126220288</v>
      </c>
      <c r="F813" s="11" t="s">
        <v>91</v>
      </c>
      <c r="G813" s="11">
        <v>684</v>
      </c>
      <c r="H813" s="11">
        <v>878</v>
      </c>
      <c r="I813" s="11">
        <v>0</v>
      </c>
      <c r="J813" s="11">
        <v>1</v>
      </c>
      <c r="K813" s="11" t="s">
        <v>21</v>
      </c>
      <c r="L813" s="7">
        <v>42021.009479166663</v>
      </c>
      <c r="M813" s="12"/>
      <c r="N813" s="12"/>
      <c r="O813" s="10" t="str">
        <f>HYPERLINK("https://pbs.twimg.com/profile_images/632544277294379008/4oFaNwWv_normal.jpg","View")</f>
        <v>View</v>
      </c>
      <c r="P813" s="11"/>
    </row>
    <row r="814" spans="1:16" ht="12.75" x14ac:dyDescent="0.35">
      <c r="A814" s="7">
        <v>42481.685636574075</v>
      </c>
      <c r="B814" s="8" t="str">
        <f>HYPERLINK("https://twitter.com/shergar777","@shergar777")</f>
        <v>@shergar777</v>
      </c>
      <c r="C814" s="9" t="s">
        <v>2227</v>
      </c>
      <c r="D814" s="9" t="s">
        <v>2228</v>
      </c>
      <c r="E814" s="10" t="str">
        <f>HYPERLINK("https://twitter.com/shergar777/status/723103316469755904","723103316469755904")</f>
        <v>723103316469755904</v>
      </c>
      <c r="F814" s="11" t="s">
        <v>114</v>
      </c>
      <c r="G814" s="11">
        <v>306</v>
      </c>
      <c r="H814" s="11">
        <v>699</v>
      </c>
      <c r="I814" s="11">
        <v>0</v>
      </c>
      <c r="J814" s="11">
        <v>0</v>
      </c>
      <c r="K814" s="11" t="s">
        <v>21</v>
      </c>
      <c r="L814" s="7">
        <v>40862.060069444444</v>
      </c>
      <c r="M814" s="12" t="s">
        <v>2229</v>
      </c>
      <c r="N814" s="12" t="s">
        <v>2230</v>
      </c>
      <c r="O814" s="10" t="str">
        <f>HYPERLINK("https://pbs.twimg.com/profile_images/615837760490983424/48U9iiHd_normal.jpg","View")</f>
        <v>View</v>
      </c>
      <c r="P814" s="11"/>
    </row>
    <row r="815" spans="1:16" ht="12.75" x14ac:dyDescent="0.35">
      <c r="A815" s="7">
        <v>42481.686331018514</v>
      </c>
      <c r="B815" s="8" t="str">
        <f>HYPERLINK("https://twitter.com/tagesschau","@tagesschau")</f>
        <v>@tagesschau</v>
      </c>
      <c r="C815" s="9" t="s">
        <v>1880</v>
      </c>
      <c r="D815" s="9" t="s">
        <v>2231</v>
      </c>
      <c r="E815" s="10" t="str">
        <f>HYPERLINK("https://twitter.com/tagesschau/status/723103564420268032","723103564420268032")</f>
        <v>723103564420268032</v>
      </c>
      <c r="F815" s="10" t="s">
        <v>1882</v>
      </c>
      <c r="G815" s="11">
        <v>1154672</v>
      </c>
      <c r="H815" s="11">
        <v>286</v>
      </c>
      <c r="I815" s="11">
        <v>2</v>
      </c>
      <c r="J815" s="11">
        <v>3</v>
      </c>
      <c r="K815" s="11" t="s">
        <v>21</v>
      </c>
      <c r="L815" s="7">
        <v>39205.592152777775</v>
      </c>
      <c r="M815" s="12" t="s">
        <v>953</v>
      </c>
      <c r="N815" s="12" t="s">
        <v>1883</v>
      </c>
      <c r="O815" s="10" t="str">
        <f>HYPERLINK("https://pbs.twimg.com/profile_images/531688614640365568/U84uXoIT_normal.png","View")</f>
        <v>View</v>
      </c>
      <c r="P815" s="11"/>
    </row>
    <row r="816" spans="1:16" ht="12.75" x14ac:dyDescent="0.35">
      <c r="A816" s="7">
        <v>42481.68649305556</v>
      </c>
      <c r="B816" s="8" t="str">
        <f>HYPERLINK("https://twitter.com/oh1984","@oh1984")</f>
        <v>@oh1984</v>
      </c>
      <c r="C816" s="9" t="s">
        <v>2232</v>
      </c>
      <c r="D816" s="9" t="s">
        <v>2153</v>
      </c>
      <c r="E816" s="10" t="str">
        <f>HYPERLINK("https://twitter.com/oh1984/status/723103626235920385","723103626235920385")</f>
        <v>723103626235920385</v>
      </c>
      <c r="F816" s="11" t="s">
        <v>91</v>
      </c>
      <c r="G816" s="11">
        <v>572</v>
      </c>
      <c r="H816" s="11">
        <v>701</v>
      </c>
      <c r="I816" s="11">
        <v>4</v>
      </c>
      <c r="J816" s="11">
        <v>0</v>
      </c>
      <c r="K816" s="11" t="s">
        <v>21</v>
      </c>
      <c r="L816" s="7">
        <v>40383.691828703704</v>
      </c>
      <c r="M816" s="12" t="s">
        <v>183</v>
      </c>
      <c r="N816" s="12" t="s">
        <v>2233</v>
      </c>
      <c r="O816" s="10" t="str">
        <f>HYPERLINK("https://pbs.twimg.com/profile_images/700972629222535168/o3dpe-y1_normal.png","View")</f>
        <v>View</v>
      </c>
      <c r="P816" s="11"/>
    </row>
    <row r="817" spans="1:16" ht="12.75" x14ac:dyDescent="0.35">
      <c r="A817" s="7">
        <v>42481.686886574069</v>
      </c>
      <c r="B817" s="8" t="str">
        <f>HYPERLINK("https://twitter.com/nickhughesfood","@nickhughesfood")</f>
        <v>@nickhughesfood</v>
      </c>
      <c r="C817" s="9" t="s">
        <v>2234</v>
      </c>
      <c r="D817" s="9" t="s">
        <v>2235</v>
      </c>
      <c r="E817" s="10" t="str">
        <f>HYPERLINK("https://twitter.com/nickhughesfood/status/723103766795431936","723103766795431936")</f>
        <v>723103766795431936</v>
      </c>
      <c r="F817" s="11" t="s">
        <v>20</v>
      </c>
      <c r="G817" s="11">
        <v>506</v>
      </c>
      <c r="H817" s="11">
        <v>609</v>
      </c>
      <c r="I817" s="11">
        <v>1</v>
      </c>
      <c r="J817" s="11">
        <v>0</v>
      </c>
      <c r="K817" s="11" t="s">
        <v>21</v>
      </c>
      <c r="L817" s="7">
        <v>41837.645416666666</v>
      </c>
      <c r="M817" s="12" t="s">
        <v>2236</v>
      </c>
      <c r="N817" s="12" t="s">
        <v>2237</v>
      </c>
      <c r="O817" s="10" t="str">
        <f>HYPERLINK("https://pbs.twimg.com/profile_images/557832372851200000/2Z4dzaBo_normal.jpeg","View")</f>
        <v>View</v>
      </c>
      <c r="P817" s="11"/>
    </row>
    <row r="818" spans="1:16" ht="12.75" x14ac:dyDescent="0.35">
      <c r="A818" s="7">
        <v>42481.686886574069</v>
      </c>
      <c r="B818" s="8" t="str">
        <f>HYPERLINK("https://twitter.com/Dirty_Weekender","@Dirty_Weekender")</f>
        <v>@Dirty_Weekender</v>
      </c>
      <c r="C818" s="9" t="s">
        <v>2238</v>
      </c>
      <c r="D818" s="9" t="s">
        <v>2239</v>
      </c>
      <c r="E818" s="10" t="str">
        <f>HYPERLINK("https://twitter.com/Dirty_Weekender/status/723103767374127104","723103767374127104")</f>
        <v>723103767374127104</v>
      </c>
      <c r="F818" s="11" t="s">
        <v>114</v>
      </c>
      <c r="G818" s="11">
        <v>156</v>
      </c>
      <c r="H818" s="11">
        <v>346</v>
      </c>
      <c r="I818" s="11">
        <v>0</v>
      </c>
      <c r="J818" s="11">
        <v>0</v>
      </c>
      <c r="K818" s="11" t="s">
        <v>21</v>
      </c>
      <c r="L818" s="7">
        <v>41705.984282407408</v>
      </c>
      <c r="M818" s="12" t="s">
        <v>2240</v>
      </c>
      <c r="N818" s="12" t="s">
        <v>2241</v>
      </c>
      <c r="O818" s="10" t="str">
        <f>HYPERLINK("https://pbs.twimg.com/profile_images/707913515613429761/_gfquIcl_normal.jpg","View")</f>
        <v>View</v>
      </c>
      <c r="P818" s="11"/>
    </row>
    <row r="819" spans="1:16" ht="12.75" x14ac:dyDescent="0.35">
      <c r="A819" s="7">
        <v>42481.687210648146</v>
      </c>
      <c r="B819" s="8" t="str">
        <f>HYPERLINK("https://twitter.com/fruitloopsXO","@fruitloopsXO")</f>
        <v>@fruitloopsXO</v>
      </c>
      <c r="C819" s="9" t="s">
        <v>2242</v>
      </c>
      <c r="D819" s="9" t="s">
        <v>2243</v>
      </c>
      <c r="E819" s="10" t="str">
        <f>HYPERLINK("https://twitter.com/fruitloopsXO/status/723103885875929088","723103885875929088")</f>
        <v>723103885875929088</v>
      </c>
      <c r="F819" s="11" t="s">
        <v>114</v>
      </c>
      <c r="G819" s="11">
        <v>288</v>
      </c>
      <c r="H819" s="11">
        <v>248</v>
      </c>
      <c r="I819" s="11">
        <v>0</v>
      </c>
      <c r="J819" s="11">
        <v>0</v>
      </c>
      <c r="K819" s="11" t="s">
        <v>21</v>
      </c>
      <c r="L819" s="7">
        <v>40466.899398148147</v>
      </c>
      <c r="M819" s="12"/>
      <c r="N819" s="12" t="s">
        <v>2244</v>
      </c>
      <c r="O819" s="10" t="str">
        <f>HYPERLINK("https://pbs.twimg.com/profile_images/600712402657800195/trVzvctT_normal.jpg","View")</f>
        <v>View</v>
      </c>
      <c r="P819" s="11"/>
    </row>
    <row r="820" spans="1:16" ht="12.75" x14ac:dyDescent="0.35">
      <c r="A820" s="7">
        <v>42481.687384259261</v>
      </c>
      <c r="B820" s="8" t="str">
        <f>HYPERLINK("https://twitter.com/FuscaWorld","@FuscaWorld")</f>
        <v>@FuscaWorld</v>
      </c>
      <c r="C820" s="9" t="s">
        <v>74</v>
      </c>
      <c r="D820" s="9" t="s">
        <v>2245</v>
      </c>
      <c r="E820" s="10" t="str">
        <f>HYPERLINK("https://twitter.com/FuscaWorld/status/723103946634596352","723103946634596352")</f>
        <v>723103946634596352</v>
      </c>
      <c r="F820" s="11" t="s">
        <v>76</v>
      </c>
      <c r="G820" s="11">
        <v>48</v>
      </c>
      <c r="H820" s="11">
        <v>1</v>
      </c>
      <c r="I820" s="11">
        <v>1</v>
      </c>
      <c r="J820" s="11">
        <v>0</v>
      </c>
      <c r="K820" s="11" t="s">
        <v>21</v>
      </c>
      <c r="L820" s="7">
        <v>42433.880914351852</v>
      </c>
      <c r="M820" s="12"/>
      <c r="N820" s="12" t="s">
        <v>77</v>
      </c>
      <c r="O820" s="10" t="str">
        <f>HYPERLINK("https://pbs.twimg.com/profile_images/705780107844067328/e7O4UBNb_normal.jpg","View")</f>
        <v>View</v>
      </c>
      <c r="P820" s="11"/>
    </row>
    <row r="821" spans="1:16" ht="12.75" x14ac:dyDescent="0.35">
      <c r="A821" s="7">
        <v>42481.688194444447</v>
      </c>
      <c r="B821" s="8" t="str">
        <f>HYPERLINK("https://twitter.com/zeitonline_wir","@zeitonline_wir")</f>
        <v>@zeitonline_wir</v>
      </c>
      <c r="C821" s="9" t="s">
        <v>1559</v>
      </c>
      <c r="D821" s="9" t="s">
        <v>2246</v>
      </c>
      <c r="E821" s="10" t="str">
        <f>HYPERLINK("https://twitter.com/zeitonline_wir/status/723104240588230656","723104240588230656")</f>
        <v>723104240588230656</v>
      </c>
      <c r="F821" s="11" t="s">
        <v>1561</v>
      </c>
      <c r="G821" s="11">
        <v>32134</v>
      </c>
      <c r="H821" s="11">
        <v>38</v>
      </c>
      <c r="I821" s="11">
        <v>0</v>
      </c>
      <c r="J821" s="11">
        <v>0</v>
      </c>
      <c r="K821" s="11" t="s">
        <v>21</v>
      </c>
      <c r="L821" s="7">
        <v>40357.655370370368</v>
      </c>
      <c r="M821" s="12" t="s">
        <v>1562</v>
      </c>
      <c r="N821" s="12" t="s">
        <v>1563</v>
      </c>
      <c r="O821" s="10" t="str">
        <f>HYPERLINK("https://pbs.twimg.com/profile_images/587542294913556480/VN9ydDdE_normal.jpg","View")</f>
        <v>View</v>
      </c>
      <c r="P821" s="11"/>
    </row>
    <row r="822" spans="1:16" ht="12.75" x14ac:dyDescent="0.35">
      <c r="A822" s="7">
        <v>42481.688668981486</v>
      </c>
      <c r="B822" s="8" t="str">
        <f>HYPERLINK("https://twitter.com/AlGrossnickle","@AlGrossnickle")</f>
        <v>@AlGrossnickle</v>
      </c>
      <c r="C822" s="9" t="s">
        <v>2247</v>
      </c>
      <c r="D822" s="9" t="s">
        <v>2248</v>
      </c>
      <c r="E822" s="10" t="str">
        <f>HYPERLINK("https://twitter.com/AlGrossnickle/status/723104414462963712","723104414462963712")</f>
        <v>723104414462963712</v>
      </c>
      <c r="F822" s="11" t="s">
        <v>20</v>
      </c>
      <c r="G822" s="11">
        <v>2713</v>
      </c>
      <c r="H822" s="11">
        <v>2380</v>
      </c>
      <c r="I822" s="11">
        <v>0</v>
      </c>
      <c r="J822" s="11">
        <v>0</v>
      </c>
      <c r="K822" s="11" t="s">
        <v>21</v>
      </c>
      <c r="L822" s="7">
        <v>41132.315671296295</v>
      </c>
      <c r="M822" s="12" t="s">
        <v>2249</v>
      </c>
      <c r="N822" s="12" t="s">
        <v>2250</v>
      </c>
      <c r="O822" s="10" t="str">
        <f>HYPERLINK("https://pbs.twimg.com/profile_images/3678787525/68f7625c0ddc0805d5f8b7ed0f9db98f_normal.jpeg","View")</f>
        <v>View</v>
      </c>
      <c r="P822" s="11"/>
    </row>
    <row r="823" spans="1:16" ht="12.75" x14ac:dyDescent="0.35">
      <c r="A823" s="7">
        <v>42481.688935185186</v>
      </c>
      <c r="B823" s="8" t="str">
        <f>HYPERLINK("https://twitter.com/Markenartikler","@Markenartikler")</f>
        <v>@Markenartikler</v>
      </c>
      <c r="C823" s="9" t="s">
        <v>2251</v>
      </c>
      <c r="D823" s="9" t="s">
        <v>2252</v>
      </c>
      <c r="E823" s="10" t="str">
        <f>HYPERLINK("https://twitter.com/Markenartikler/status/723104509082230784","723104509082230784")</f>
        <v>723104509082230784</v>
      </c>
      <c r="F823" s="11" t="s">
        <v>63</v>
      </c>
      <c r="G823" s="11">
        <v>1418</v>
      </c>
      <c r="H823" s="11">
        <v>417</v>
      </c>
      <c r="I823" s="11">
        <v>1</v>
      </c>
      <c r="J823" s="11">
        <v>1</v>
      </c>
      <c r="K823" s="11" t="s">
        <v>21</v>
      </c>
      <c r="L823" s="7">
        <v>41599.61445601852</v>
      </c>
      <c r="M823" s="12" t="s">
        <v>953</v>
      </c>
      <c r="N823" s="12" t="s">
        <v>2253</v>
      </c>
      <c r="O823" s="10" t="str">
        <f>HYPERLINK("https://pbs.twimg.com/profile_images/684297499461423104/URLCw8tn_normal.jpg","View")</f>
        <v>View</v>
      </c>
      <c r="P823" s="11"/>
    </row>
    <row r="824" spans="1:16" ht="12.75" x14ac:dyDescent="0.35">
      <c r="A824" s="7">
        <v>42481.688946759255</v>
      </c>
      <c r="B824" s="8" t="str">
        <f t="shared" ref="B824:B825" si="87">HYPERLINK("https://twitter.com/VWBeetleSales","@VWBeetleSales")</f>
        <v>@VWBeetleSales</v>
      </c>
      <c r="C824" s="9" t="s">
        <v>127</v>
      </c>
      <c r="D824" s="9" t="s">
        <v>2254</v>
      </c>
      <c r="E824" s="10" t="str">
        <f>HYPERLINK("https://twitter.com/VWBeetleSales/status/723104513133965312","723104513133965312")</f>
        <v>723104513133965312</v>
      </c>
      <c r="F824" s="10" t="s">
        <v>124</v>
      </c>
      <c r="G824" s="11">
        <v>35</v>
      </c>
      <c r="H824" s="11">
        <v>32</v>
      </c>
      <c r="I824" s="11">
        <v>0</v>
      </c>
      <c r="J824" s="11">
        <v>0</v>
      </c>
      <c r="K824" s="11" t="s">
        <v>21</v>
      </c>
      <c r="L824" s="7">
        <v>42427.019756944443</v>
      </c>
      <c r="M824" s="12" t="s">
        <v>129</v>
      </c>
      <c r="N824" s="12" t="s">
        <v>130</v>
      </c>
      <c r="O824" s="10" t="str">
        <f t="shared" ref="O824:O825" si="88">HYPERLINK("https://pbs.twimg.com/profile_images/703294545195307008/qeCvrX86_normal.jpg","View")</f>
        <v>View</v>
      </c>
      <c r="P824" s="11"/>
    </row>
    <row r="825" spans="1:16" ht="12.75" x14ac:dyDescent="0.35">
      <c r="A825" s="7">
        <v>42481.688958333332</v>
      </c>
      <c r="B825" s="8" t="str">
        <f t="shared" si="87"/>
        <v>@VWBeetleSales</v>
      </c>
      <c r="C825" s="9" t="s">
        <v>127</v>
      </c>
      <c r="D825" s="9" t="s">
        <v>2255</v>
      </c>
      <c r="E825" s="10" t="str">
        <f>HYPERLINK("https://twitter.com/VWBeetleSales/status/723104517005283328","723104517005283328")</f>
        <v>723104517005283328</v>
      </c>
      <c r="F825" s="10" t="s">
        <v>124</v>
      </c>
      <c r="G825" s="11">
        <v>35</v>
      </c>
      <c r="H825" s="11">
        <v>32</v>
      </c>
      <c r="I825" s="11">
        <v>0</v>
      </c>
      <c r="J825" s="11">
        <v>0</v>
      </c>
      <c r="K825" s="11" t="s">
        <v>21</v>
      </c>
      <c r="L825" s="7">
        <v>42427.019756944443</v>
      </c>
      <c r="M825" s="12" t="s">
        <v>129</v>
      </c>
      <c r="N825" s="12" t="s">
        <v>130</v>
      </c>
      <c r="O825" s="10" t="str">
        <f t="shared" si="88"/>
        <v>View</v>
      </c>
      <c r="P825" s="11"/>
    </row>
    <row r="826" spans="1:16" ht="12.75" x14ac:dyDescent="0.35">
      <c r="A826" s="7">
        <v>42481.688981481479</v>
      </c>
      <c r="B826" s="8" t="str">
        <f>HYPERLINK("https://twitter.com/LombardaMotori","@LombardaMotori")</f>
        <v>@LombardaMotori</v>
      </c>
      <c r="C826" s="9" t="s">
        <v>2256</v>
      </c>
      <c r="D826" s="9" t="s">
        <v>2257</v>
      </c>
      <c r="E826" s="10" t="str">
        <f>HYPERLINK("https://twitter.com/LombardaMotori/status/723104526115442688","723104526115442688")</f>
        <v>723104526115442688</v>
      </c>
      <c r="F826" s="11" t="s">
        <v>2256</v>
      </c>
      <c r="G826" s="11">
        <v>67</v>
      </c>
      <c r="H826" s="11">
        <v>113</v>
      </c>
      <c r="I826" s="11">
        <v>0</v>
      </c>
      <c r="J826" s="11">
        <v>0</v>
      </c>
      <c r="K826" s="11" t="s">
        <v>21</v>
      </c>
      <c r="L826" s="7">
        <v>41359.948877314819</v>
      </c>
      <c r="M826" s="12" t="s">
        <v>2258</v>
      </c>
      <c r="N826" s="12" t="s">
        <v>2259</v>
      </c>
      <c r="O826" s="10" t="str">
        <f>HYPERLINK("https://pbs.twimg.com/profile_images/558298291985608704/57n8APEK_normal.jpeg","View")</f>
        <v>View</v>
      </c>
      <c r="P826" s="10" t="str">
        <f>HYPERLINK("http://ctrlq.org/maps/address/#45.5801,9.2725","Map")</f>
        <v>Map</v>
      </c>
    </row>
    <row r="827" spans="1:16" ht="12.75" x14ac:dyDescent="0.35">
      <c r="A827" s="7">
        <v>42481.689780092594</v>
      </c>
      <c r="B827" s="8" t="str">
        <f>HYPERLINK("https://twitter.com/vwpress_de","@vwpress_de")</f>
        <v>@vwpress_de</v>
      </c>
      <c r="C827" s="9" t="s">
        <v>1685</v>
      </c>
      <c r="D827" s="9" t="s">
        <v>2260</v>
      </c>
      <c r="E827" s="10" t="str">
        <f>HYPERLINK("https://twitter.com/vwpress_de/status/723104815820234752","723104815820234752")</f>
        <v>723104815820234752</v>
      </c>
      <c r="F827" s="11" t="s">
        <v>152</v>
      </c>
      <c r="G827" s="11">
        <v>5763</v>
      </c>
      <c r="H827" s="11">
        <v>610</v>
      </c>
      <c r="I827" s="11">
        <v>5</v>
      </c>
      <c r="J827" s="11">
        <v>9</v>
      </c>
      <c r="K827" s="11" t="s">
        <v>21</v>
      </c>
      <c r="L827" s="7">
        <v>42041.830381944441</v>
      </c>
      <c r="M827" s="12" t="s">
        <v>1690</v>
      </c>
      <c r="N827" s="12" t="s">
        <v>1691</v>
      </c>
      <c r="O827" s="10" t="str">
        <f>HYPERLINK("https://pbs.twimg.com/profile_images/682117656502222848/Ge7YeAF3_normal.png","View")</f>
        <v>View</v>
      </c>
      <c r="P827" s="11"/>
    </row>
    <row r="828" spans="1:16" ht="12.75" x14ac:dyDescent="0.35">
      <c r="A828" s="7">
        <v>42481.690011574072</v>
      </c>
      <c r="B828" s="8" t="str">
        <f>HYPERLINK("https://twitter.com/renesari","@renesari")</f>
        <v>@renesari</v>
      </c>
      <c r="C828" s="9" t="s">
        <v>2261</v>
      </c>
      <c r="D828" s="9" t="s">
        <v>2262</v>
      </c>
      <c r="E828" s="10" t="str">
        <f>HYPERLINK("https://twitter.com/renesari/status/723104899995574274","723104899995574274")</f>
        <v>723104899995574274</v>
      </c>
      <c r="F828" s="11" t="s">
        <v>43</v>
      </c>
      <c r="G828" s="11">
        <v>311</v>
      </c>
      <c r="H828" s="11">
        <v>833</v>
      </c>
      <c r="I828" s="11">
        <v>0</v>
      </c>
      <c r="J828" s="11">
        <v>0</v>
      </c>
      <c r="K828" s="11" t="s">
        <v>21</v>
      </c>
      <c r="L828" s="7">
        <v>40085.003958333335</v>
      </c>
      <c r="M828" s="12" t="s">
        <v>2263</v>
      </c>
      <c r="N828" s="12" t="s">
        <v>2264</v>
      </c>
      <c r="O828" s="10" t="str">
        <f>HYPERLINK("https://pbs.twimg.com/profile_images/441387643/Imageprofil_normal.jpg","View")</f>
        <v>View</v>
      </c>
      <c r="P828" s="11"/>
    </row>
    <row r="829" spans="1:16" ht="12.75" x14ac:dyDescent="0.35">
      <c r="A829" s="7">
        <v>42481.690567129626</v>
      </c>
      <c r="B829" s="8" t="str">
        <f>HYPERLINK("https://twitter.com/VCDeV","@VCDeV")</f>
        <v>@VCDeV</v>
      </c>
      <c r="C829" s="9" t="s">
        <v>2265</v>
      </c>
      <c r="D829" s="9" t="s">
        <v>2266</v>
      </c>
      <c r="E829" s="10" t="str">
        <f>HYPERLINK("https://twitter.com/VCDeV/status/723105101586391040","723105101586391040")</f>
        <v>723105101586391040</v>
      </c>
      <c r="F829" s="11" t="s">
        <v>43</v>
      </c>
      <c r="G829" s="11">
        <v>1986</v>
      </c>
      <c r="H829" s="11">
        <v>515</v>
      </c>
      <c r="I829" s="11">
        <v>5</v>
      </c>
      <c r="J829" s="11">
        <v>11</v>
      </c>
      <c r="K829" s="11" t="s">
        <v>21</v>
      </c>
      <c r="L829" s="7">
        <v>40653.774259259255</v>
      </c>
      <c r="M829" s="12" t="s">
        <v>1359</v>
      </c>
      <c r="N829" s="12" t="s">
        <v>2267</v>
      </c>
      <c r="O829" s="10" t="str">
        <f>HYPERLINK("https://pbs.twimg.com/profile_images/448813982271291392/3ey9jQV0_normal.jpeg","View")</f>
        <v>View</v>
      </c>
      <c r="P829" s="11"/>
    </row>
    <row r="830" spans="1:16" ht="12.75" x14ac:dyDescent="0.35">
      <c r="A830" s="7">
        <v>42481.691203703704</v>
      </c>
      <c r="B830" s="8" t="str">
        <f>HYPERLINK("https://twitter.com/kurmava","@kurmava")</f>
        <v>@kurmava</v>
      </c>
      <c r="C830" s="9" t="s">
        <v>2268</v>
      </c>
      <c r="D830" s="9" t="s">
        <v>2269</v>
      </c>
      <c r="E830" s="10" t="str">
        <f>HYPERLINK("https://twitter.com/kurmava/status/723105331497181184","723105331497181184")</f>
        <v>723105331497181184</v>
      </c>
      <c r="F830" s="11" t="s">
        <v>43</v>
      </c>
      <c r="G830" s="11">
        <v>62</v>
      </c>
      <c r="H830" s="11">
        <v>67</v>
      </c>
      <c r="I830" s="11">
        <v>0</v>
      </c>
      <c r="J830" s="11">
        <v>0</v>
      </c>
      <c r="K830" s="11" t="s">
        <v>21</v>
      </c>
      <c r="L830" s="7">
        <v>40931.625115740739</v>
      </c>
      <c r="M830" s="12" t="s">
        <v>2270</v>
      </c>
      <c r="N830" s="12" t="s">
        <v>2271</v>
      </c>
      <c r="O830" s="10" t="str">
        <f>HYPERLINK("https://pbs.twimg.com/profile_images/2856462943/2f13ac323ea0958d3b575c5144487626_normal.jpeg","View")</f>
        <v>View</v>
      </c>
      <c r="P830" s="11"/>
    </row>
    <row r="831" spans="1:16" ht="12.75" x14ac:dyDescent="0.35">
      <c r="A831" s="7">
        <v>42481.69121527778</v>
      </c>
      <c r="B831" s="8" t="str">
        <f>HYPERLINK("https://twitter.com/AaronShamrock","@AaronShamrock")</f>
        <v>@AaronShamrock</v>
      </c>
      <c r="C831" s="9" t="s">
        <v>2272</v>
      </c>
      <c r="D831" s="9" t="s">
        <v>2273</v>
      </c>
      <c r="E831" s="10" t="str">
        <f>HYPERLINK("https://twitter.com/AaronShamrock/status/723105338342273025","723105338342273025")</f>
        <v>723105338342273025</v>
      </c>
      <c r="F831" s="11" t="s">
        <v>43</v>
      </c>
      <c r="G831" s="11">
        <v>256</v>
      </c>
      <c r="H831" s="11">
        <v>606</v>
      </c>
      <c r="I831" s="11">
        <v>0</v>
      </c>
      <c r="J831" s="11">
        <v>1</v>
      </c>
      <c r="K831" s="11" t="s">
        <v>21</v>
      </c>
      <c r="L831" s="7">
        <v>42258.79991898148</v>
      </c>
      <c r="M831" s="12" t="s">
        <v>2274</v>
      </c>
      <c r="N831" s="12" t="s">
        <v>2275</v>
      </c>
      <c r="O831" s="10" t="str">
        <f>HYPERLINK("https://pbs.twimg.com/profile_images/723119904141000704/OBGf_2Ph_normal.jpg","View")</f>
        <v>View</v>
      </c>
      <c r="P831" s="11"/>
    </row>
    <row r="832" spans="1:16" ht="12.75" x14ac:dyDescent="0.35">
      <c r="A832" s="7">
        <v>42481.692025462966</v>
      </c>
      <c r="B832" s="8" t="str">
        <f>HYPERLINK("https://twitter.com/HolloConsultant","@HolloConsultant")</f>
        <v>@HolloConsultant</v>
      </c>
      <c r="C832" s="9" t="s">
        <v>2276</v>
      </c>
      <c r="D832" s="9" t="s">
        <v>2277</v>
      </c>
      <c r="E832" s="10" t="str">
        <f>HYPERLINK("https://twitter.com/HolloConsultant/status/723105628672110592","723105628672110592")</f>
        <v>723105628672110592</v>
      </c>
      <c r="F832" s="11" t="s">
        <v>152</v>
      </c>
      <c r="G832" s="11">
        <v>299</v>
      </c>
      <c r="H832" s="11">
        <v>309</v>
      </c>
      <c r="I832" s="11">
        <v>1</v>
      </c>
      <c r="J832" s="11">
        <v>0</v>
      </c>
      <c r="K832" s="11" t="s">
        <v>21</v>
      </c>
      <c r="L832" s="7">
        <v>40371.799375000002</v>
      </c>
      <c r="M832" s="12" t="s">
        <v>2278</v>
      </c>
      <c r="N832" s="12" t="s">
        <v>2279</v>
      </c>
      <c r="O832" s="10" t="str">
        <f>HYPERLINK("https://pbs.twimg.com/profile_images/650264967120318464/tVAdbNhW_normal.jpg","View")</f>
        <v>View</v>
      </c>
      <c r="P832" s="11"/>
    </row>
    <row r="833" spans="1:16" ht="12.75" x14ac:dyDescent="0.35">
      <c r="A833" s="7">
        <v>42481.692025462966</v>
      </c>
      <c r="B833" s="8" t="str">
        <f>HYPERLINK("https://twitter.com/VRwatchingU","@VRwatchingU")</f>
        <v>@VRwatchingU</v>
      </c>
      <c r="C833" s="9" t="s">
        <v>2280</v>
      </c>
      <c r="D833" s="9" t="s">
        <v>2281</v>
      </c>
      <c r="E833" s="10" t="str">
        <f>HYPERLINK("https://twitter.com/VRwatchingU/status/723105630114836480","723105630114836480")</f>
        <v>723105630114836480</v>
      </c>
      <c r="F833" s="11" t="s">
        <v>43</v>
      </c>
      <c r="G833" s="11">
        <v>1060</v>
      </c>
      <c r="H833" s="11">
        <v>997</v>
      </c>
      <c r="I833" s="11">
        <v>1</v>
      </c>
      <c r="J833" s="11">
        <v>0</v>
      </c>
      <c r="K833" s="11" t="s">
        <v>21</v>
      </c>
      <c r="L833" s="7">
        <v>40789.069664351853</v>
      </c>
      <c r="M833" s="12" t="s">
        <v>2282</v>
      </c>
      <c r="N833" s="12" t="s">
        <v>2283</v>
      </c>
      <c r="O833" s="10" t="str">
        <f>HYPERLINK("https://pbs.twimg.com/profile_images/1616567344/VRwatch2_normal.jpg","View")</f>
        <v>View</v>
      </c>
      <c r="P833" s="11"/>
    </row>
    <row r="834" spans="1:16" ht="12.75" x14ac:dyDescent="0.35">
      <c r="A834" s="7">
        <v>42481.692094907412</v>
      </c>
      <c r="B834" s="8" t="str">
        <f>HYPERLINK("https://twitter.com/vwpress_PL","@vwpress_PL")</f>
        <v>@vwpress_PL</v>
      </c>
      <c r="C834" s="9" t="s">
        <v>2284</v>
      </c>
      <c r="D834" s="9" t="s">
        <v>2285</v>
      </c>
      <c r="E834" s="10" t="str">
        <f>HYPERLINK("https://twitter.com/vwpress_PL/status/723105656744505345","723105656744505345")</f>
        <v>723105656744505345</v>
      </c>
      <c r="F834" s="11" t="s">
        <v>43</v>
      </c>
      <c r="G834" s="11">
        <v>244</v>
      </c>
      <c r="H834" s="11">
        <v>57</v>
      </c>
      <c r="I834" s="11">
        <v>1</v>
      </c>
      <c r="J834" s="11">
        <v>3</v>
      </c>
      <c r="K834" s="11" t="s">
        <v>21</v>
      </c>
      <c r="L834" s="7">
        <v>42078.681157407409</v>
      </c>
      <c r="M834" s="12" t="s">
        <v>2286</v>
      </c>
      <c r="N834" s="12" t="s">
        <v>2287</v>
      </c>
      <c r="O834" s="10" t="str">
        <f>HYPERLINK("https://pbs.twimg.com/profile_images/578161844965154816/nanRJ9Ax_normal.jpeg","View")</f>
        <v>View</v>
      </c>
      <c r="P834" s="11"/>
    </row>
    <row r="835" spans="1:16" ht="12.75" x14ac:dyDescent="0.35">
      <c r="A835" s="7">
        <v>42481.692615740743</v>
      </c>
      <c r="B835" s="8" t="str">
        <f>HYPERLINK("https://twitter.com/snn_aslan","@snn_aslan")</f>
        <v>@snn_aslan</v>
      </c>
      <c r="C835" s="9" t="s">
        <v>2288</v>
      </c>
      <c r="D835" s="9" t="s">
        <v>2289</v>
      </c>
      <c r="E835" s="10" t="str">
        <f>HYPERLINK("https://twitter.com/snn_aslan/status/723105843747651584","723105843747651584")</f>
        <v>723105843747651584</v>
      </c>
      <c r="F835" s="11" t="s">
        <v>114</v>
      </c>
      <c r="G835" s="11">
        <v>75</v>
      </c>
      <c r="H835" s="11">
        <v>185</v>
      </c>
      <c r="I835" s="11">
        <v>0</v>
      </c>
      <c r="J835" s="11">
        <v>0</v>
      </c>
      <c r="K835" s="11" t="s">
        <v>21</v>
      </c>
      <c r="L835" s="7">
        <v>40153.944502314815</v>
      </c>
      <c r="M835" s="12" t="s">
        <v>2290</v>
      </c>
      <c r="N835" s="12" t="s">
        <v>2291</v>
      </c>
      <c r="O835" s="10" t="str">
        <f>HYPERLINK("https://pbs.twimg.com/profile_images/442904929033003008/3NrMgCyx_normal.jpeg","View")</f>
        <v>View</v>
      </c>
      <c r="P835" s="11"/>
    </row>
    <row r="836" spans="1:16" ht="12.75" x14ac:dyDescent="0.35">
      <c r="A836" s="7">
        <v>42481.692719907413</v>
      </c>
      <c r="B836" s="8" t="str">
        <f>HYPERLINK("https://twitter.com/FrVision","@FrVision")</f>
        <v>@FrVision</v>
      </c>
      <c r="C836" s="9" t="s">
        <v>2292</v>
      </c>
      <c r="D836" s="9" t="s">
        <v>2293</v>
      </c>
      <c r="E836" s="10" t="str">
        <f>HYPERLINK("https://twitter.com/FrVision/status/723105881034903552","723105881034903552")</f>
        <v>723105881034903552</v>
      </c>
      <c r="F836" s="11" t="s">
        <v>43</v>
      </c>
      <c r="G836" s="11">
        <v>351</v>
      </c>
      <c r="H836" s="11">
        <v>567</v>
      </c>
      <c r="I836" s="11">
        <v>1</v>
      </c>
      <c r="J836" s="11">
        <v>0</v>
      </c>
      <c r="K836" s="11" t="s">
        <v>21</v>
      </c>
      <c r="L836" s="7">
        <v>42294.64844907407</v>
      </c>
      <c r="M836" s="12"/>
      <c r="N836" s="12"/>
      <c r="O836" s="10" t="str">
        <f>HYPERLINK("https://pbs.twimg.com/profile_images/655324200245272576/n6_8jlJ2_normal.jpg","View")</f>
        <v>View</v>
      </c>
      <c r="P836" s="11"/>
    </row>
    <row r="837" spans="1:16" ht="12.75" x14ac:dyDescent="0.35">
      <c r="A837" s="7">
        <v>42481.692986111113</v>
      </c>
      <c r="B837" s="8" t="str">
        <f>HYPERLINK("https://twitter.com/EvvoNewBeetles","@EvvoNewBeetles")</f>
        <v>@EvvoNewBeetles</v>
      </c>
      <c r="C837" s="9" t="s">
        <v>2294</v>
      </c>
      <c r="D837" s="9" t="s">
        <v>2295</v>
      </c>
      <c r="E837" s="10" t="str">
        <f>HYPERLINK("https://twitter.com/EvvoNewBeetles/status/723105976249929728","723105976249929728")</f>
        <v>723105976249929728</v>
      </c>
      <c r="F837" s="11" t="s">
        <v>114</v>
      </c>
      <c r="G837" s="11">
        <v>51</v>
      </c>
      <c r="H837" s="11">
        <v>46</v>
      </c>
      <c r="I837" s="11">
        <v>0</v>
      </c>
      <c r="J837" s="11">
        <v>0</v>
      </c>
      <c r="K837" s="11" t="s">
        <v>21</v>
      </c>
      <c r="L837" s="7">
        <v>41199.473483796297</v>
      </c>
      <c r="M837" s="12" t="s">
        <v>2296</v>
      </c>
      <c r="N837" s="12" t="s">
        <v>2297</v>
      </c>
      <c r="O837" s="10" t="str">
        <f>HYPERLINK("https://pbs.twimg.com/profile_images/633346486823190529/bN4Fxs99_normal.jpg","View")</f>
        <v>View</v>
      </c>
      <c r="P837" s="11"/>
    </row>
    <row r="838" spans="1:16" ht="12.75" x14ac:dyDescent="0.35">
      <c r="A838" s="7">
        <v>42481.693148148144</v>
      </c>
      <c r="B838" s="8" t="str">
        <f>HYPERLINK("https://twitter.com/instagramcc","@instagramcc")</f>
        <v>@instagramcc</v>
      </c>
      <c r="C838" s="9" t="s">
        <v>2298</v>
      </c>
      <c r="D838" s="9" t="s">
        <v>2299</v>
      </c>
      <c r="E838" s="10" t="str">
        <f>HYPERLINK("https://twitter.com/instagramcc/status/723106035238592512","723106035238592512")</f>
        <v>723106035238592512</v>
      </c>
      <c r="F838" s="11" t="s">
        <v>68</v>
      </c>
      <c r="G838" s="11">
        <v>2205</v>
      </c>
      <c r="H838" s="11">
        <v>1663</v>
      </c>
      <c r="I838" s="11">
        <v>0</v>
      </c>
      <c r="J838" s="11">
        <v>0</v>
      </c>
      <c r="K838" s="11" t="s">
        <v>21</v>
      </c>
      <c r="L838" s="7">
        <v>41978.012650462959</v>
      </c>
      <c r="M838" s="12" t="s">
        <v>2300</v>
      </c>
      <c r="N838" s="12" t="s">
        <v>2301</v>
      </c>
      <c r="O838" s="10" t="str">
        <f>HYPERLINK("https://pbs.twimg.com/profile_images/540938088189411328/gw2_sYLD_normal.jpeg","View")</f>
        <v>View</v>
      </c>
      <c r="P838" s="11"/>
    </row>
    <row r="839" spans="1:16" ht="12.75" x14ac:dyDescent="0.35">
      <c r="A839" s="7">
        <v>42481.695428240739</v>
      </c>
      <c r="B839" s="8" t="str">
        <f>HYPERLINK("https://twitter.com/wehrs18","@wehrs18")</f>
        <v>@wehrs18</v>
      </c>
      <c r="C839" s="9" t="s">
        <v>1964</v>
      </c>
      <c r="D839" s="9" t="s">
        <v>2302</v>
      </c>
      <c r="E839" s="10" t="str">
        <f>HYPERLINK("https://twitter.com/wehrs18/status/723106862896394240","723106862896394240")</f>
        <v>723106862896394240</v>
      </c>
      <c r="F839" s="11" t="s">
        <v>48</v>
      </c>
      <c r="G839" s="11">
        <v>122</v>
      </c>
      <c r="H839" s="11">
        <v>241</v>
      </c>
      <c r="I839" s="11">
        <v>2</v>
      </c>
      <c r="J839" s="11">
        <v>0</v>
      </c>
      <c r="K839" s="11" t="s">
        <v>21</v>
      </c>
      <c r="L839" s="7">
        <v>41836.590428240743</v>
      </c>
      <c r="M839" s="12" t="s">
        <v>1116</v>
      </c>
      <c r="N839" s="12" t="s">
        <v>1965</v>
      </c>
      <c r="O839" s="10" t="str">
        <f>HYPERLINK("https://pbs.twimg.com/profile_images/687314255507513346/a83L5Opq_normal.jpg","View")</f>
        <v>View</v>
      </c>
      <c r="P839" s="11"/>
    </row>
    <row r="840" spans="1:16" ht="12.75" x14ac:dyDescent="0.35">
      <c r="A840" s="7">
        <v>42481.695972222224</v>
      </c>
      <c r="B840" s="8" t="str">
        <f>HYPERLINK("https://twitter.com/ArcticPreserve","@ArcticPreserve")</f>
        <v>@ArcticPreserve</v>
      </c>
      <c r="C840" s="9" t="s">
        <v>2303</v>
      </c>
      <c r="D840" s="9" t="s">
        <v>2304</v>
      </c>
      <c r="E840" s="10" t="str">
        <f>HYPERLINK("https://twitter.com/ArcticPreserve/status/723107059626074112","723107059626074112")</f>
        <v>723107059626074112</v>
      </c>
      <c r="F840" s="11" t="s">
        <v>20</v>
      </c>
      <c r="G840" s="11">
        <v>204</v>
      </c>
      <c r="H840" s="11">
        <v>446</v>
      </c>
      <c r="I840" s="11">
        <v>0</v>
      </c>
      <c r="J840" s="11">
        <v>0</v>
      </c>
      <c r="K840" s="11" t="s">
        <v>21</v>
      </c>
      <c r="L840" s="7">
        <v>41133.782048611109</v>
      </c>
      <c r="M840" s="12"/>
      <c r="N840" s="12" t="s">
        <v>2305</v>
      </c>
      <c r="O840" s="10" t="str">
        <f>HYPERLINK("https://pbs.twimg.com/profile_images/3398986760/169ef7953adf953270106ccfa5b90065_normal.jpeg","View")</f>
        <v>View</v>
      </c>
      <c r="P840" s="11"/>
    </row>
    <row r="841" spans="1:16" ht="12.75" x14ac:dyDescent="0.35">
      <c r="A841" s="7">
        <v>42481.696712962963</v>
      </c>
      <c r="B841" s="8" t="str">
        <f>HYPERLINK("https://twitter.com/vzbv","@vzbv")</f>
        <v>@vzbv</v>
      </c>
      <c r="C841" s="9" t="s">
        <v>2306</v>
      </c>
      <c r="D841" s="9" t="s">
        <v>2307</v>
      </c>
      <c r="E841" s="10" t="str">
        <f>HYPERLINK("https://twitter.com/vzbv/status/723107329579737088","723107329579737088")</f>
        <v>723107329579737088</v>
      </c>
      <c r="F841" s="11" t="s">
        <v>43</v>
      </c>
      <c r="G841" s="11">
        <v>9416</v>
      </c>
      <c r="H841" s="11">
        <v>471</v>
      </c>
      <c r="I841" s="11">
        <v>5</v>
      </c>
      <c r="J841" s="11">
        <v>1</v>
      </c>
      <c r="K841" s="11" t="s">
        <v>21</v>
      </c>
      <c r="L841" s="7">
        <v>39985.132523148146</v>
      </c>
      <c r="M841" s="12" t="s">
        <v>1116</v>
      </c>
      <c r="N841" s="12" t="s">
        <v>2308</v>
      </c>
      <c r="O841" s="10" t="str">
        <f>HYPERLINK("https://pbs.twimg.com/profile_images/617979796744568832/YHw6Izem_normal.jpg","View")</f>
        <v>View</v>
      </c>
      <c r="P841" s="11"/>
    </row>
    <row r="842" spans="1:16" ht="12.75" x14ac:dyDescent="0.35">
      <c r="A842" s="7">
        <v>42481.696921296301</v>
      </c>
      <c r="B842" s="8" t="str">
        <f>HYPERLINK("https://twitter.com/kekkocanu10","@kekkocanu10")</f>
        <v>@kekkocanu10</v>
      </c>
      <c r="C842" s="9" t="s">
        <v>2309</v>
      </c>
      <c r="D842" s="9" t="s">
        <v>2310</v>
      </c>
      <c r="E842" s="10" t="str">
        <f>HYPERLINK("https://twitter.com/kekkocanu10/status/723107403718336512","723107403718336512")</f>
        <v>723107403718336512</v>
      </c>
      <c r="F842" s="11" t="s">
        <v>114</v>
      </c>
      <c r="G842" s="11">
        <v>352</v>
      </c>
      <c r="H842" s="11">
        <v>370</v>
      </c>
      <c r="I842" s="11">
        <v>0</v>
      </c>
      <c r="J842" s="11">
        <v>0</v>
      </c>
      <c r="K842" s="11" t="s">
        <v>21</v>
      </c>
      <c r="L842" s="7">
        <v>40269.686736111107</v>
      </c>
      <c r="M842" s="12" t="s">
        <v>2311</v>
      </c>
      <c r="N842" s="12" t="s">
        <v>2312</v>
      </c>
      <c r="O842" s="10" t="str">
        <f>HYPERLINK("https://pbs.twimg.com/profile_images/665582079892131841/703-QxKz_normal.jpg","View")</f>
        <v>View</v>
      </c>
      <c r="P842" s="11"/>
    </row>
    <row r="843" spans="1:16" ht="12.75" x14ac:dyDescent="0.35">
      <c r="A843" s="7">
        <v>42481.697847222225</v>
      </c>
      <c r="B843" s="8" t="str">
        <f>HYPERLINK("https://twitter.com/BioFares","@BioFares")</f>
        <v>@BioFares</v>
      </c>
      <c r="C843" s="9" t="s">
        <v>2313</v>
      </c>
      <c r="D843" s="9" t="s">
        <v>2314</v>
      </c>
      <c r="E843" s="10" t="str">
        <f>HYPERLINK("https://twitter.com/BioFares/status/723107739782643712","723107739782643712")</f>
        <v>723107739782643712</v>
      </c>
      <c r="F843" s="11" t="s">
        <v>43</v>
      </c>
      <c r="G843" s="11">
        <v>3624</v>
      </c>
      <c r="H843" s="11">
        <v>3686</v>
      </c>
      <c r="I843" s="11">
        <v>1</v>
      </c>
      <c r="J843" s="11">
        <v>0</v>
      </c>
      <c r="K843" s="11" t="s">
        <v>21</v>
      </c>
      <c r="L843" s="7">
        <v>41077.879375000004</v>
      </c>
      <c r="M843" s="12"/>
      <c r="N843" s="12"/>
      <c r="O843" s="10" t="str">
        <f>HYPERLINK("https://pbs.twimg.com/profile_images/459716655581364224/L2RGYkk5_normal.jpeg","View")</f>
        <v>View</v>
      </c>
      <c r="P843" s="11"/>
    </row>
    <row r="844" spans="1:16" ht="12.75" x14ac:dyDescent="0.35">
      <c r="A844" s="7">
        <v>42481.697893518518</v>
      </c>
      <c r="B844" s="8" t="str">
        <f>HYPERLINK("https://twitter.com/worstwriter","@worstwriter")</f>
        <v>@worstwriter</v>
      </c>
      <c r="C844" s="9" t="s">
        <v>2315</v>
      </c>
      <c r="D844" s="9" t="s">
        <v>2316</v>
      </c>
      <c r="E844" s="10" t="str">
        <f>HYPERLINK("https://twitter.com/worstwriter/status/723107757507809281","723107757507809281")</f>
        <v>723107757507809281</v>
      </c>
      <c r="F844" s="11" t="s">
        <v>43</v>
      </c>
      <c r="G844" s="11">
        <v>56</v>
      </c>
      <c r="H844" s="11">
        <v>81</v>
      </c>
      <c r="I844" s="11">
        <v>0</v>
      </c>
      <c r="J844" s="11">
        <v>0</v>
      </c>
      <c r="K844" s="11" t="s">
        <v>21</v>
      </c>
      <c r="L844" s="7">
        <v>39874.545104166667</v>
      </c>
      <c r="M844" s="12" t="s">
        <v>2317</v>
      </c>
      <c r="N844" s="12" t="s">
        <v>2318</v>
      </c>
      <c r="O844" s="10" t="str">
        <f>HYPERLINK("https://pbs.twimg.com/profile_images/701151335853506560/mD3xM1Vm_normal.png","View")</f>
        <v>View</v>
      </c>
      <c r="P844" s="11"/>
    </row>
    <row r="845" spans="1:16" ht="12.75" x14ac:dyDescent="0.35">
      <c r="A845" s="7">
        <v>42481.699699074074</v>
      </c>
      <c r="B845" s="8" t="str">
        <f>HYPERLINK("https://twitter.com/SheBuysCars","@SheBuysCars")</f>
        <v>@SheBuysCars</v>
      </c>
      <c r="C845" s="9" t="s">
        <v>2319</v>
      </c>
      <c r="D845" s="9" t="s">
        <v>2320</v>
      </c>
      <c r="E845" s="10" t="str">
        <f>HYPERLINK("https://twitter.com/SheBuysCars/status/723108411370426368","723108411370426368")</f>
        <v>723108411370426368</v>
      </c>
      <c r="F845" s="11" t="s">
        <v>2321</v>
      </c>
      <c r="G845" s="11">
        <v>13746</v>
      </c>
      <c r="H845" s="11">
        <v>13889</v>
      </c>
      <c r="I845" s="11">
        <v>0</v>
      </c>
      <c r="J845" s="11">
        <v>0</v>
      </c>
      <c r="K845" s="11" t="s">
        <v>21</v>
      </c>
      <c r="L845" s="7">
        <v>41095.947638888887</v>
      </c>
      <c r="M845" s="12" t="s">
        <v>2322</v>
      </c>
      <c r="N845" s="12" t="s">
        <v>2323</v>
      </c>
      <c r="O845" s="10" t="str">
        <f>HYPERLINK("https://pbs.twimg.com/profile_images/2407676510/apohx30f0kmstf96p08a_normal.jpeg","View")</f>
        <v>View</v>
      </c>
      <c r="P845" s="11"/>
    </row>
    <row r="846" spans="1:16" ht="12.75" x14ac:dyDescent="0.35">
      <c r="A846" s="7">
        <v>42481.700300925921</v>
      </c>
      <c r="B846" s="8" t="str">
        <f>HYPERLINK("https://twitter.com/m_jaremczuk","@m_jaremczuk")</f>
        <v>@m_jaremczuk</v>
      </c>
      <c r="C846" s="9" t="s">
        <v>2324</v>
      </c>
      <c r="D846" s="9" t="s">
        <v>2325</v>
      </c>
      <c r="E846" s="10" t="str">
        <f>HYPERLINK("https://twitter.com/m_jaremczuk/status/723108628669018112","723108628669018112")</f>
        <v>723108628669018112</v>
      </c>
      <c r="F846" s="11" t="s">
        <v>20</v>
      </c>
      <c r="G846" s="11">
        <v>40</v>
      </c>
      <c r="H846" s="11">
        <v>190</v>
      </c>
      <c r="I846" s="11">
        <v>1</v>
      </c>
      <c r="J846" s="11">
        <v>0</v>
      </c>
      <c r="K846" s="11" t="s">
        <v>21</v>
      </c>
      <c r="L846" s="7">
        <v>40500.802025462966</v>
      </c>
      <c r="M846" s="12" t="s">
        <v>2326</v>
      </c>
      <c r="N846" s="12"/>
      <c r="O846" s="10" t="str">
        <f>HYPERLINK("https://pbs.twimg.com/profile_images/658039201645109252/pYRgJI8U_normal.jpg","View")</f>
        <v>View</v>
      </c>
      <c r="P846" s="11"/>
    </row>
    <row r="847" spans="1:16" ht="12.75" x14ac:dyDescent="0.35">
      <c r="A847" s="7">
        <v>42481.700752314813</v>
      </c>
      <c r="B847" s="8" t="str">
        <f>HYPERLINK("https://twitter.com/VWCamperSales","@VWCamperSales")</f>
        <v>@VWCamperSales</v>
      </c>
      <c r="C847" s="9" t="s">
        <v>216</v>
      </c>
      <c r="D847" s="9" t="s">
        <v>2327</v>
      </c>
      <c r="E847" s="10" t="str">
        <f>HYPERLINK("https://twitter.com/VWCamperSales/status/723108792695590912","723108792695590912")</f>
        <v>723108792695590912</v>
      </c>
      <c r="F847" s="10" t="s">
        <v>124</v>
      </c>
      <c r="G847" s="11">
        <v>615</v>
      </c>
      <c r="H847" s="11">
        <v>580</v>
      </c>
      <c r="I847" s="11">
        <v>0</v>
      </c>
      <c r="J847" s="11">
        <v>0</v>
      </c>
      <c r="K847" s="11" t="s">
        <v>21</v>
      </c>
      <c r="L847" s="7">
        <v>42215.98809027778</v>
      </c>
      <c r="M847" s="12" t="s">
        <v>129</v>
      </c>
      <c r="N847" s="12" t="s">
        <v>218</v>
      </c>
      <c r="O847" s="10" t="str">
        <f>HYPERLINK("https://pbs.twimg.com/profile_images/627949001179037696/skEBkS05_normal.jpg","View")</f>
        <v>View</v>
      </c>
      <c r="P847" s="11"/>
    </row>
    <row r="848" spans="1:16" ht="12.75" x14ac:dyDescent="0.35">
      <c r="A848" s="7">
        <v>42481.701354166667</v>
      </c>
      <c r="B848" s="8" t="str">
        <f>HYPERLINK("https://twitter.com/EvvoNewBeetles","@EvvoNewBeetles")</f>
        <v>@EvvoNewBeetles</v>
      </c>
      <c r="C848" s="9" t="s">
        <v>2294</v>
      </c>
      <c r="D848" s="9" t="s">
        <v>2328</v>
      </c>
      <c r="E848" s="10" t="str">
        <f>HYPERLINK("https://twitter.com/EvvoNewBeetles/status/723109010786926593","723109010786926593")</f>
        <v>723109010786926593</v>
      </c>
      <c r="F848" s="11" t="s">
        <v>114</v>
      </c>
      <c r="G848" s="11">
        <v>51</v>
      </c>
      <c r="H848" s="11">
        <v>46</v>
      </c>
      <c r="I848" s="11">
        <v>0</v>
      </c>
      <c r="J848" s="11">
        <v>0</v>
      </c>
      <c r="K848" s="11" t="s">
        <v>21</v>
      </c>
      <c r="L848" s="7">
        <v>41199.473483796297</v>
      </c>
      <c r="M848" s="12" t="s">
        <v>2296</v>
      </c>
      <c r="N848" s="12" t="s">
        <v>2297</v>
      </c>
      <c r="O848" s="10" t="str">
        <f>HYPERLINK("https://pbs.twimg.com/profile_images/633346486823190529/bN4Fxs99_normal.jpg","View")</f>
        <v>View</v>
      </c>
      <c r="P848" s="11"/>
    </row>
    <row r="849" spans="1:16" ht="12.75" x14ac:dyDescent="0.35">
      <c r="A849" s="7">
        <v>42481.70211805556</v>
      </c>
      <c r="B849" s="8" t="str">
        <f>HYPERLINK("https://twitter.com/Klaus_Mueller","@Klaus_Mueller")</f>
        <v>@Klaus_Mueller</v>
      </c>
      <c r="C849" s="9" t="s">
        <v>2329</v>
      </c>
      <c r="D849" s="9" t="s">
        <v>2330</v>
      </c>
      <c r="E849" s="10" t="str">
        <f>HYPERLINK("https://twitter.com/Klaus_Mueller/status/723109285807403008","723109285807403008")</f>
        <v>723109285807403008</v>
      </c>
      <c r="F849" s="11" t="s">
        <v>91</v>
      </c>
      <c r="G849" s="11">
        <v>2468</v>
      </c>
      <c r="H849" s="11">
        <v>578</v>
      </c>
      <c r="I849" s="11">
        <v>5</v>
      </c>
      <c r="J849" s="11">
        <v>0</v>
      </c>
      <c r="K849" s="11" t="s">
        <v>21</v>
      </c>
      <c r="L849" s="7">
        <v>39830.767175925925</v>
      </c>
      <c r="M849" s="12" t="s">
        <v>1359</v>
      </c>
      <c r="N849" s="12" t="s">
        <v>2331</v>
      </c>
      <c r="O849" s="10" t="str">
        <f>HYPERLINK("https://pbs.twimg.com/profile_images/461785939711258624/FzsPRmqR_normal.jpeg","View")</f>
        <v>View</v>
      </c>
      <c r="P849" s="11"/>
    </row>
    <row r="850" spans="1:16" ht="12.75" x14ac:dyDescent="0.35">
      <c r="A850" s="7">
        <v>42481.70239583333</v>
      </c>
      <c r="B850" s="8" t="str">
        <f t="shared" ref="B850:B851" si="89">HYPERLINK("https://twitter.com/EvvoNewBeetles","@EvvoNewBeetles")</f>
        <v>@EvvoNewBeetles</v>
      </c>
      <c r="C850" s="9" t="s">
        <v>2294</v>
      </c>
      <c r="D850" s="9" t="s">
        <v>2332</v>
      </c>
      <c r="E850" s="10" t="str">
        <f>HYPERLINK("https://twitter.com/EvvoNewBeetles/status/723109389436108800","723109389436108800")</f>
        <v>723109389436108800</v>
      </c>
      <c r="F850" s="11" t="s">
        <v>114</v>
      </c>
      <c r="G850" s="11">
        <v>51</v>
      </c>
      <c r="H850" s="11">
        <v>46</v>
      </c>
      <c r="I850" s="11">
        <v>0</v>
      </c>
      <c r="J850" s="11">
        <v>0</v>
      </c>
      <c r="K850" s="11" t="s">
        <v>21</v>
      </c>
      <c r="L850" s="7">
        <v>41199.473483796297</v>
      </c>
      <c r="M850" s="12" t="s">
        <v>2296</v>
      </c>
      <c r="N850" s="12" t="s">
        <v>2297</v>
      </c>
      <c r="O850" s="10" t="str">
        <f t="shared" ref="O850:O851" si="90">HYPERLINK("https://pbs.twimg.com/profile_images/633346486823190529/bN4Fxs99_normal.jpg","View")</f>
        <v>View</v>
      </c>
      <c r="P850" s="11"/>
    </row>
    <row r="851" spans="1:16" ht="12.75" x14ac:dyDescent="0.35">
      <c r="A851" s="7">
        <v>42481.702673611115</v>
      </c>
      <c r="B851" s="8" t="str">
        <f t="shared" si="89"/>
        <v>@EvvoNewBeetles</v>
      </c>
      <c r="C851" s="9" t="s">
        <v>2294</v>
      </c>
      <c r="D851" s="9" t="s">
        <v>2333</v>
      </c>
      <c r="E851" s="10" t="str">
        <f>HYPERLINK("https://twitter.com/EvvoNewBeetles/status/723109486861402112","723109486861402112")</f>
        <v>723109486861402112</v>
      </c>
      <c r="F851" s="11" t="s">
        <v>114</v>
      </c>
      <c r="G851" s="11">
        <v>51</v>
      </c>
      <c r="H851" s="11">
        <v>46</v>
      </c>
      <c r="I851" s="11">
        <v>0</v>
      </c>
      <c r="J851" s="11">
        <v>0</v>
      </c>
      <c r="K851" s="11" t="s">
        <v>21</v>
      </c>
      <c r="L851" s="7">
        <v>41199.473483796297</v>
      </c>
      <c r="M851" s="12" t="s">
        <v>2296</v>
      </c>
      <c r="N851" s="12" t="s">
        <v>2297</v>
      </c>
      <c r="O851" s="10" t="str">
        <f t="shared" si="90"/>
        <v>View</v>
      </c>
      <c r="P851" s="11"/>
    </row>
    <row r="852" spans="1:16" ht="12.75" x14ac:dyDescent="0.35">
      <c r="A852" s="7">
        <v>42481.702986111108</v>
      </c>
      <c r="B852" s="8" t="str">
        <f>HYPERLINK("https://twitter.com/TLA_Chloe","@TLA_Chloe")</f>
        <v>@TLA_Chloe</v>
      </c>
      <c r="C852" s="9" t="s">
        <v>2334</v>
      </c>
      <c r="D852" s="9" t="s">
        <v>2335</v>
      </c>
      <c r="E852" s="10" t="str">
        <f>HYPERLINK("https://twitter.com/TLA_Chloe/status/723109603802648577","723109603802648577")</f>
        <v>723109603802648577</v>
      </c>
      <c r="F852" s="11" t="s">
        <v>43</v>
      </c>
      <c r="G852" s="11">
        <v>615</v>
      </c>
      <c r="H852" s="11">
        <v>1464</v>
      </c>
      <c r="I852" s="11">
        <v>1</v>
      </c>
      <c r="J852" s="11">
        <v>0</v>
      </c>
      <c r="K852" s="11" t="s">
        <v>21</v>
      </c>
      <c r="L852" s="7">
        <v>42340.890706018516</v>
      </c>
      <c r="M852" s="12" t="s">
        <v>2336</v>
      </c>
      <c r="N852" s="12" t="s">
        <v>2337</v>
      </c>
      <c r="O852" s="10" t="str">
        <f>HYPERLINK("https://pbs.twimg.com/profile_images/711506811044630528/iPmEbHu-_normal.jpg","View")</f>
        <v>View</v>
      </c>
      <c r="P852" s="11"/>
    </row>
    <row r="853" spans="1:16" ht="12.75" x14ac:dyDescent="0.35">
      <c r="A853" s="7">
        <v>42481.703217592592</v>
      </c>
      <c r="B853" s="8" t="str">
        <f>HYPERLINK("https://twitter.com/lovemyclassic","@lovemyclassic")</f>
        <v>@lovemyclassic</v>
      </c>
      <c r="C853" s="9" t="s">
        <v>2338</v>
      </c>
      <c r="D853" s="9" t="s">
        <v>2339</v>
      </c>
      <c r="E853" s="10" t="str">
        <f>HYPERLINK("https://twitter.com/lovemyclassic/status/723109683884527616","723109683884527616")</f>
        <v>723109683884527616</v>
      </c>
      <c r="F853" s="11" t="s">
        <v>43</v>
      </c>
      <c r="G853" s="11">
        <v>908</v>
      </c>
      <c r="H853" s="11">
        <v>766</v>
      </c>
      <c r="I853" s="11">
        <v>0</v>
      </c>
      <c r="J853" s="11">
        <v>0</v>
      </c>
      <c r="K853" s="11" t="s">
        <v>21</v>
      </c>
      <c r="L853" s="7">
        <v>41824.81695601852</v>
      </c>
      <c r="M853" s="12"/>
      <c r="N853" s="12" t="s">
        <v>2340</v>
      </c>
      <c r="O853" s="10" t="str">
        <f>HYPERLINK("https://pbs.twimg.com/profile_images/491512724430389248/olmYLPA8_normal.png","View")</f>
        <v>View</v>
      </c>
      <c r="P853" s="11"/>
    </row>
    <row r="854" spans="1:16" ht="12.75" x14ac:dyDescent="0.35">
      <c r="A854" s="7">
        <v>42481.705092592594</v>
      </c>
      <c r="B854" s="8" t="str">
        <f>HYPERLINK("https://twitter.com/Nick_Buckland","@Nick_Buckland")</f>
        <v>@Nick_Buckland</v>
      </c>
      <c r="C854" s="9" t="s">
        <v>2341</v>
      </c>
      <c r="D854" s="9" t="s">
        <v>2342</v>
      </c>
      <c r="E854" s="10" t="str">
        <f>HYPERLINK("https://twitter.com/Nick_Buckland/status/723110365144465408","723110365144465408")</f>
        <v>723110365144465408</v>
      </c>
      <c r="F854" s="11" t="s">
        <v>20</v>
      </c>
      <c r="G854" s="11">
        <v>479</v>
      </c>
      <c r="H854" s="11">
        <v>1802</v>
      </c>
      <c r="I854" s="11">
        <v>0</v>
      </c>
      <c r="J854" s="11">
        <v>0</v>
      </c>
      <c r="K854" s="11" t="s">
        <v>21</v>
      </c>
      <c r="L854" s="7">
        <v>40022.898935185185</v>
      </c>
      <c r="M854" s="12" t="s">
        <v>2343</v>
      </c>
      <c r="N854" s="12" t="s">
        <v>2344</v>
      </c>
      <c r="O854" s="10" t="str">
        <f>HYPERLINK("https://pbs.twimg.com/profile_images/718944783939579904/yhlqqgZE_normal.jpg","View")</f>
        <v>View</v>
      </c>
      <c r="P854" s="11"/>
    </row>
    <row r="855" spans="1:16" ht="12.75" x14ac:dyDescent="0.35">
      <c r="A855" s="7">
        <v>42481.705439814818</v>
      </c>
      <c r="B855" s="8" t="str">
        <f>HYPERLINK("https://twitter.com/modautomotive","@modautomotive")</f>
        <v>@modautomotive</v>
      </c>
      <c r="C855" s="9" t="s">
        <v>2345</v>
      </c>
      <c r="D855" s="9" t="s">
        <v>2346</v>
      </c>
      <c r="E855" s="10" t="str">
        <f>HYPERLINK("https://twitter.com/modautomotive/status/723110490407342080","723110490407342080")</f>
        <v>723110490407342080</v>
      </c>
      <c r="F855" s="11" t="s">
        <v>20</v>
      </c>
      <c r="G855" s="11">
        <v>636</v>
      </c>
      <c r="H855" s="11">
        <v>512</v>
      </c>
      <c r="I855" s="11">
        <v>0</v>
      </c>
      <c r="J855" s="11">
        <v>1</v>
      </c>
      <c r="K855" s="11" t="s">
        <v>21</v>
      </c>
      <c r="L855" s="7">
        <v>41031.710833333331</v>
      </c>
      <c r="M855" s="12" t="s">
        <v>2347</v>
      </c>
      <c r="N855" s="12" t="s">
        <v>2348</v>
      </c>
      <c r="O855" s="10" t="str">
        <f>HYPERLINK("https://pbs.twimg.com/profile_images/690858619840155649/8GrzU3w1_normal.jpg","View")</f>
        <v>View</v>
      </c>
      <c r="P855" s="11"/>
    </row>
    <row r="856" spans="1:16" ht="12.75" x14ac:dyDescent="0.35">
      <c r="A856" s="7">
        <v>42481.705613425926</v>
      </c>
      <c r="B856" s="8" t="str">
        <f>HYPERLINK("https://twitter.com/KNordlichtW","@KNordlichtW")</f>
        <v>@KNordlichtW</v>
      </c>
      <c r="C856" s="9" t="s">
        <v>2349</v>
      </c>
      <c r="D856" s="9" t="s">
        <v>2350</v>
      </c>
      <c r="E856" s="10" t="str">
        <f>HYPERLINK("https://twitter.com/KNordlichtW/status/723110555632848896","723110555632848896")</f>
        <v>723110555632848896</v>
      </c>
      <c r="F856" s="11" t="s">
        <v>43</v>
      </c>
      <c r="G856" s="11">
        <v>1303</v>
      </c>
      <c r="H856" s="11">
        <v>2815</v>
      </c>
      <c r="I856" s="11">
        <v>0</v>
      </c>
      <c r="J856" s="11">
        <v>0</v>
      </c>
      <c r="K856" s="11" t="s">
        <v>21</v>
      </c>
      <c r="L856" s="7">
        <v>41425.106793981482</v>
      </c>
      <c r="M856" s="12"/>
      <c r="N856" s="12" t="s">
        <v>2351</v>
      </c>
      <c r="O856" s="10" t="str">
        <f>HYPERLINK("https://pbs.twimg.com/profile_images/712334466585333760/rN4Fnyef_normal.jpg","View")</f>
        <v>View</v>
      </c>
      <c r="P856" s="11"/>
    </row>
    <row r="857" spans="1:16" ht="12.75" x14ac:dyDescent="0.35">
      <c r="A857" s="7">
        <v>42481.706990740742</v>
      </c>
      <c r="B857" s="8" t="str">
        <f>HYPERLINK("https://twitter.com/SPIEGELONLINE","@SPIEGELONLINE")</f>
        <v>@SPIEGELONLINE</v>
      </c>
      <c r="C857" s="9" t="s">
        <v>962</v>
      </c>
      <c r="D857" s="9" t="s">
        <v>2352</v>
      </c>
      <c r="E857" s="10" t="str">
        <f>HYPERLINK("https://twitter.com/SPIEGELONLINE/status/723111051999354882","723111051999354882")</f>
        <v>723111051999354882</v>
      </c>
      <c r="F857" s="11" t="s">
        <v>63</v>
      </c>
      <c r="G857" s="11">
        <v>1327301</v>
      </c>
      <c r="H857" s="11">
        <v>295</v>
      </c>
      <c r="I857" s="11">
        <v>1</v>
      </c>
      <c r="J857" s="11">
        <v>8</v>
      </c>
      <c r="K857" s="11" t="s">
        <v>21</v>
      </c>
      <c r="L857" s="7">
        <v>39170.767199074078</v>
      </c>
      <c r="M857" s="12" t="s">
        <v>964</v>
      </c>
      <c r="N857" s="12" t="s">
        <v>965</v>
      </c>
      <c r="O857" s="10" t="str">
        <f>HYPERLINK("https://pbs.twimg.com/profile_images/1719664041/tw_spon_normal.jpg","View")</f>
        <v>View</v>
      </c>
      <c r="P857" s="11"/>
    </row>
    <row r="858" spans="1:16" ht="12.75" x14ac:dyDescent="0.35">
      <c r="A858" s="7">
        <v>42481.707974537036</v>
      </c>
      <c r="B858" s="8" t="str">
        <f>HYPERLINK("https://twitter.com/StefkaWiese","@StefkaWiese")</f>
        <v>@StefkaWiese</v>
      </c>
      <c r="C858" s="9" t="s">
        <v>2353</v>
      </c>
      <c r="D858" s="9" t="s">
        <v>2330</v>
      </c>
      <c r="E858" s="10" t="str">
        <f>HYPERLINK("https://twitter.com/StefkaWiese/status/723111411677712384","723111411677712384")</f>
        <v>723111411677712384</v>
      </c>
      <c r="F858" s="11" t="s">
        <v>43</v>
      </c>
      <c r="G858" s="11">
        <v>230</v>
      </c>
      <c r="H858" s="11">
        <v>400</v>
      </c>
      <c r="I858" s="11">
        <v>5</v>
      </c>
      <c r="J858" s="11">
        <v>0</v>
      </c>
      <c r="K858" s="11" t="s">
        <v>21</v>
      </c>
      <c r="L858" s="7">
        <v>42089.096608796295</v>
      </c>
      <c r="M858" s="12" t="s">
        <v>2354</v>
      </c>
      <c r="N858" s="12" t="s">
        <v>2355</v>
      </c>
      <c r="O858" s="10" t="str">
        <f>HYPERLINK("https://pbs.twimg.com/profile_images/580855319364018176/SQZHsdYj_normal.jpg","View")</f>
        <v>View</v>
      </c>
      <c r="P858" s="11"/>
    </row>
    <row r="859" spans="1:16" ht="12.75" x14ac:dyDescent="0.35">
      <c r="A859" s="7">
        <v>42481.708831018521</v>
      </c>
      <c r="B859" s="8" t="str">
        <f>HYPERLINK("https://twitter.com/ADAC","@ADAC")</f>
        <v>@ADAC</v>
      </c>
      <c r="C859" s="9" t="s">
        <v>1928</v>
      </c>
      <c r="D859" s="9" t="s">
        <v>2356</v>
      </c>
      <c r="E859" s="10" t="str">
        <f>HYPERLINK("https://twitter.com/ADAC/status/723111722194706432","723111722194706432")</f>
        <v>723111722194706432</v>
      </c>
      <c r="F859" s="11" t="s">
        <v>1930</v>
      </c>
      <c r="G859" s="11">
        <v>12477</v>
      </c>
      <c r="H859" s="11">
        <v>428</v>
      </c>
      <c r="I859" s="11">
        <v>2</v>
      </c>
      <c r="J859" s="11">
        <v>0</v>
      </c>
      <c r="K859" s="11" t="s">
        <v>21</v>
      </c>
      <c r="L859" s="7">
        <v>40359.628761574073</v>
      </c>
      <c r="M859" s="12" t="s">
        <v>1931</v>
      </c>
      <c r="N859" s="12" t="s">
        <v>1932</v>
      </c>
      <c r="O859" s="10" t="str">
        <f>HYPERLINK("https://pbs.twimg.com/profile_images/1064577918/Logo_340_tcm11-225485_normal.jpg","View")</f>
        <v>View</v>
      </c>
      <c r="P859" s="11"/>
    </row>
    <row r="860" spans="1:16" ht="12.75" x14ac:dyDescent="0.35">
      <c r="A860" s="7">
        <v>42481.709247685183</v>
      </c>
      <c r="B860" s="8" t="str">
        <f>HYPERLINK("https://twitter.com/Prinze484","@Prinze484")</f>
        <v>@Prinze484</v>
      </c>
      <c r="C860" s="9" t="s">
        <v>2357</v>
      </c>
      <c r="D860" s="9" t="s">
        <v>2330</v>
      </c>
      <c r="E860" s="10" t="str">
        <f>HYPERLINK("https://twitter.com/Prinze484/status/723111871566348288","723111871566348288")</f>
        <v>723111871566348288</v>
      </c>
      <c r="F860" s="11" t="s">
        <v>43</v>
      </c>
      <c r="G860" s="11">
        <v>651</v>
      </c>
      <c r="H860" s="11">
        <v>511</v>
      </c>
      <c r="I860" s="11">
        <v>5</v>
      </c>
      <c r="J860" s="11">
        <v>0</v>
      </c>
      <c r="K860" s="11" t="s">
        <v>21</v>
      </c>
      <c r="L860" s="7">
        <v>41541.000798611109</v>
      </c>
      <c r="M860" s="12"/>
      <c r="N860" s="12" t="s">
        <v>2358</v>
      </c>
      <c r="O860" s="10" t="str">
        <f>HYPERLINK("https://pbs.twimg.com/profile_images/515113940322250752/9fqy5PIg_normal.jpeg","View")</f>
        <v>View</v>
      </c>
      <c r="P860" s="11"/>
    </row>
    <row r="861" spans="1:16" ht="12.75" x14ac:dyDescent="0.35">
      <c r="A861" s="7">
        <v>42481.709282407406</v>
      </c>
      <c r="B861" s="8" t="str">
        <f>HYPERLINK("https://twitter.com/NetzwerkggS21","@NetzwerkggS21")</f>
        <v>@NetzwerkggS21</v>
      </c>
      <c r="C861" s="9" t="s">
        <v>2359</v>
      </c>
      <c r="D861" s="9" t="s">
        <v>2360</v>
      </c>
      <c r="E861" s="10" t="str">
        <f>HYPERLINK("https://twitter.com/NetzwerkggS21/status/723111884786814977","723111884786814977")</f>
        <v>723111884786814977</v>
      </c>
      <c r="F861" s="11" t="s">
        <v>43</v>
      </c>
      <c r="G861" s="11">
        <v>853</v>
      </c>
      <c r="H861" s="11">
        <v>2109</v>
      </c>
      <c r="I861" s="11">
        <v>5</v>
      </c>
      <c r="J861" s="11">
        <v>0</v>
      </c>
      <c r="K861" s="11" t="s">
        <v>21</v>
      </c>
      <c r="L861" s="7">
        <v>41326.709363425922</v>
      </c>
      <c r="M861" s="13" t="s">
        <v>2361</v>
      </c>
      <c r="N861" s="12" t="s">
        <v>2362</v>
      </c>
      <c r="O861" s="10" t="str">
        <f>HYPERLINK("https://pbs.twimg.com/profile_images/378800000528765970/3ab9f2a00010e9cac08d5ca1638926e9_normal.png","View")</f>
        <v>View</v>
      </c>
      <c r="P861" s="11"/>
    </row>
    <row r="862" spans="1:16" ht="12.75" x14ac:dyDescent="0.35">
      <c r="A862" s="7">
        <v>42481.709363425922</v>
      </c>
      <c r="B862" s="8" t="str">
        <f>HYPERLINK("https://twitter.com/RituKarjalainen","@RituKarjalainen")</f>
        <v>@RituKarjalainen</v>
      </c>
      <c r="C862" s="9" t="s">
        <v>2363</v>
      </c>
      <c r="D862" s="9" t="s">
        <v>2364</v>
      </c>
      <c r="E862" s="10" t="str">
        <f>HYPERLINK("https://twitter.com/RituKarjalainen/status/723111913907957761","723111913907957761")</f>
        <v>723111913907957761</v>
      </c>
      <c r="F862" s="11" t="s">
        <v>20</v>
      </c>
      <c r="G862" s="11">
        <v>180</v>
      </c>
      <c r="H862" s="11">
        <v>137</v>
      </c>
      <c r="I862" s="11">
        <v>1</v>
      </c>
      <c r="J862" s="11">
        <v>0</v>
      </c>
      <c r="K862" s="11" t="s">
        <v>21</v>
      </c>
      <c r="L862" s="7">
        <v>41801.047974537039</v>
      </c>
      <c r="M862" s="12" t="s">
        <v>2365</v>
      </c>
      <c r="N862" s="12" t="s">
        <v>2366</v>
      </c>
      <c r="O862" s="10" t="str">
        <f>HYPERLINK("https://pbs.twimg.com/profile_images/481810327156191233/aUNwJkiV_normal.jpeg","View")</f>
        <v>View</v>
      </c>
      <c r="P862" s="11"/>
    </row>
    <row r="863" spans="1:16" ht="12.75" x14ac:dyDescent="0.35">
      <c r="A863" s="7">
        <v>42481.709560185191</v>
      </c>
      <c r="B863" s="8" t="str">
        <f>HYPERLINK("https://twitter.com/Insta_VWT","@Insta_VWT")</f>
        <v>@Insta_VWT</v>
      </c>
      <c r="C863" s="9" t="s">
        <v>181</v>
      </c>
      <c r="D863" s="9" t="s">
        <v>2367</v>
      </c>
      <c r="E863" s="10" t="str">
        <f>HYPERLINK("https://twitter.com/Insta_VWT/status/723111983734763520","723111983734763520")</f>
        <v>723111983734763520</v>
      </c>
      <c r="F863" s="11" t="s">
        <v>68</v>
      </c>
      <c r="G863" s="11">
        <v>480</v>
      </c>
      <c r="H863" s="11">
        <v>0</v>
      </c>
      <c r="I863" s="11">
        <v>0</v>
      </c>
      <c r="J863" s="11">
        <v>1</v>
      </c>
      <c r="K863" s="11" t="s">
        <v>21</v>
      </c>
      <c r="L863" s="7">
        <v>41658.782800925925</v>
      </c>
      <c r="M863" s="12" t="s">
        <v>183</v>
      </c>
      <c r="N863" s="12" t="s">
        <v>184</v>
      </c>
      <c r="O863" s="10" t="str">
        <f>HYPERLINK("https://pbs.twimg.com/profile_images/424893967197433858/iQ86NktX_normal.jpeg","View")</f>
        <v>View</v>
      </c>
      <c r="P863" s="11"/>
    </row>
    <row r="864" spans="1:16" ht="12.75" x14ac:dyDescent="0.35">
      <c r="A864" s="7">
        <v>42481.709722222222</v>
      </c>
      <c r="B864" s="8" t="str">
        <f>HYPERLINK("https://twitter.com/yukoh27472","@yukoh27472")</f>
        <v>@yukoh27472</v>
      </c>
      <c r="C864" s="9" t="s">
        <v>2368</v>
      </c>
      <c r="D864" s="9" t="s">
        <v>714</v>
      </c>
      <c r="E864" s="10" t="str">
        <f>HYPERLINK("https://twitter.com/yukoh27472/status/723112042974978051","723112042974978051")</f>
        <v>723112042974978051</v>
      </c>
      <c r="F864" s="11" t="s">
        <v>48</v>
      </c>
      <c r="G864" s="11">
        <v>54</v>
      </c>
      <c r="H864" s="11">
        <v>94</v>
      </c>
      <c r="I864" s="11">
        <v>7</v>
      </c>
      <c r="J864" s="11">
        <v>0</v>
      </c>
      <c r="K864" s="11" t="s">
        <v>21</v>
      </c>
      <c r="L864" s="7">
        <v>41797.594085648147</v>
      </c>
      <c r="M864" s="12"/>
      <c r="N864" s="12"/>
      <c r="O864" s="10" t="str">
        <f>HYPERLINK("https://pbs.twimg.com/profile_images/513583037305479168/v4d-8gC6_normal.jpeg","View")</f>
        <v>View</v>
      </c>
      <c r="P864" s="11"/>
    </row>
    <row r="865" spans="1:16" ht="12.75" x14ac:dyDescent="0.35">
      <c r="A865" s="7">
        <v>42481.709895833337</v>
      </c>
      <c r="B865" s="8" t="str">
        <f>HYPERLINK("https://twitter.com/AutoConception","@AutoConception")</f>
        <v>@AutoConception</v>
      </c>
      <c r="C865" s="8" t="s">
        <v>2369</v>
      </c>
      <c r="D865" s="9" t="s">
        <v>2370</v>
      </c>
      <c r="E865" s="10" t="str">
        <f>HYPERLINK("https://twitter.com/AutoConception/status/723112106615181313","723112106615181313")</f>
        <v>723112106615181313</v>
      </c>
      <c r="F865" s="11" t="s">
        <v>43</v>
      </c>
      <c r="G865" s="11">
        <v>375</v>
      </c>
      <c r="H865" s="11">
        <v>668</v>
      </c>
      <c r="I865" s="11">
        <v>1</v>
      </c>
      <c r="J865" s="11">
        <v>0</v>
      </c>
      <c r="K865" s="11" t="s">
        <v>21</v>
      </c>
      <c r="L865" s="7">
        <v>40334.048611111109</v>
      </c>
      <c r="M865" s="12"/>
      <c r="N865" s="12" t="s">
        <v>2371</v>
      </c>
      <c r="O865" s="10" t="str">
        <f>HYPERLINK("https://pbs.twimg.com/profile_images/1629189820/YouTubeIcon_normal.png","View")</f>
        <v>View</v>
      </c>
      <c r="P865" s="11"/>
    </row>
    <row r="866" spans="1:16" ht="12.75" x14ac:dyDescent="0.35">
      <c r="A866" s="7">
        <v>42481.710856481484</v>
      </c>
      <c r="B866" s="8" t="str">
        <f>HYPERLINK("https://twitter.com/sleepinggiantpa","@sleepinggiantpa")</f>
        <v>@sleepinggiantpa</v>
      </c>
      <c r="C866" s="9" t="s">
        <v>2372</v>
      </c>
      <c r="D866" s="9" t="s">
        <v>2373</v>
      </c>
      <c r="E866" s="10" t="str">
        <f>HYPERLINK("https://twitter.com/sleepinggiantpa/status/723112455744970752","723112455744970752")</f>
        <v>723112455744970752</v>
      </c>
      <c r="F866" s="11" t="s">
        <v>114</v>
      </c>
      <c r="G866" s="11">
        <v>99</v>
      </c>
      <c r="H866" s="11">
        <v>244</v>
      </c>
      <c r="I866" s="11">
        <v>0</v>
      </c>
      <c r="J866" s="11">
        <v>0</v>
      </c>
      <c r="K866" s="11" t="s">
        <v>21</v>
      </c>
      <c r="L866" s="7">
        <v>39987.349699074075</v>
      </c>
      <c r="M866" s="12" t="s">
        <v>2374</v>
      </c>
      <c r="N866" s="12"/>
      <c r="O866" s="10" t="str">
        <f>HYPERLINK("https://pbs.twimg.com/profile_images/499353630844411904/wvzkvaU5_normal.jpeg","View")</f>
        <v>View</v>
      </c>
      <c r="P866" s="11"/>
    </row>
    <row r="867" spans="1:16" ht="12.75" x14ac:dyDescent="0.35">
      <c r="A867" s="7">
        <v>42481.711030092592</v>
      </c>
      <c r="B867" s="8" t="str">
        <f>HYPERLINK("https://twitter.com/VeeDubMk1_","@VeeDubMk1_")</f>
        <v>@VeeDubMk1_</v>
      </c>
      <c r="C867" s="9" t="s">
        <v>185</v>
      </c>
      <c r="D867" s="9" t="s">
        <v>2375</v>
      </c>
      <c r="E867" s="10" t="str">
        <f>HYPERLINK("https://twitter.com/VeeDubMk1_/status/723112517682225152","723112517682225152")</f>
        <v>723112517682225152</v>
      </c>
      <c r="F867" s="11" t="s">
        <v>68</v>
      </c>
      <c r="G867" s="11">
        <v>545</v>
      </c>
      <c r="H867" s="11">
        <v>3527</v>
      </c>
      <c r="I867" s="11">
        <v>0</v>
      </c>
      <c r="J867" s="11">
        <v>0</v>
      </c>
      <c r="K867" s="11" t="s">
        <v>21</v>
      </c>
      <c r="L867" s="7">
        <v>42343.063356481478</v>
      </c>
      <c r="M867" s="12"/>
      <c r="N867" s="12"/>
      <c r="O867" s="10" t="str">
        <f>HYPERLINK("https://pbs.twimg.com/profile_images/672878354127839232/M7OYc-zx_normal.jpg","View")</f>
        <v>View</v>
      </c>
      <c r="P867" s="11"/>
    </row>
    <row r="868" spans="1:16" ht="12.75" x14ac:dyDescent="0.35">
      <c r="A868" s="7">
        <v>42481.711087962962</v>
      </c>
      <c r="B868" s="8" t="str">
        <f>HYPERLINK("https://twitter.com/tejaschafekar","@tejaschafekar")</f>
        <v>@tejaschafekar</v>
      </c>
      <c r="C868" s="9" t="s">
        <v>2376</v>
      </c>
      <c r="D868" s="9" t="s">
        <v>2377</v>
      </c>
      <c r="E868" s="10" t="str">
        <f>HYPERLINK("https://twitter.com/tejaschafekar/status/723112538448125952","723112538448125952")</f>
        <v>723112538448125952</v>
      </c>
      <c r="F868" s="11" t="s">
        <v>48</v>
      </c>
      <c r="G868" s="11">
        <v>122</v>
      </c>
      <c r="H868" s="11">
        <v>192</v>
      </c>
      <c r="I868" s="11">
        <v>0</v>
      </c>
      <c r="J868" s="11">
        <v>0</v>
      </c>
      <c r="K868" s="11" t="s">
        <v>21</v>
      </c>
      <c r="L868" s="7">
        <v>41226.256643518514</v>
      </c>
      <c r="M868" s="12" t="s">
        <v>2378</v>
      </c>
      <c r="N868" s="12" t="s">
        <v>2379</v>
      </c>
      <c r="O868" s="10" t="str">
        <f>HYPERLINK("https://pbs.twimg.com/profile_images/3696725466/16c199ed66ba708d4680c34e9e960d1d_normal.png","View")</f>
        <v>View</v>
      </c>
      <c r="P868" s="11"/>
    </row>
    <row r="869" spans="1:16" ht="12.75" x14ac:dyDescent="0.35">
      <c r="A869" s="7">
        <v>42481.711122685185</v>
      </c>
      <c r="B869" s="8" t="str">
        <f>HYPERLINK("https://twitter.com/VeeDubMk1_","@VeeDubMk1_")</f>
        <v>@VeeDubMk1_</v>
      </c>
      <c r="C869" s="9" t="s">
        <v>185</v>
      </c>
      <c r="D869" s="9" t="s">
        <v>2380</v>
      </c>
      <c r="E869" s="10" t="str">
        <f>HYPERLINK("https://twitter.com/VeeDubMk1_/status/723112550716583936","723112550716583936")</f>
        <v>723112550716583936</v>
      </c>
      <c r="F869" s="11" t="s">
        <v>68</v>
      </c>
      <c r="G869" s="11">
        <v>545</v>
      </c>
      <c r="H869" s="11">
        <v>3527</v>
      </c>
      <c r="I869" s="11">
        <v>0</v>
      </c>
      <c r="J869" s="11">
        <v>0</v>
      </c>
      <c r="K869" s="11" t="s">
        <v>21</v>
      </c>
      <c r="L869" s="7">
        <v>42343.063356481478</v>
      </c>
      <c r="M869" s="12"/>
      <c r="N869" s="12"/>
      <c r="O869" s="10" t="str">
        <f>HYPERLINK("https://pbs.twimg.com/profile_images/672878354127839232/M7OYc-zx_normal.jpg","View")</f>
        <v>View</v>
      </c>
      <c r="P869" s="11"/>
    </row>
    <row r="870" spans="1:16" ht="12.75" x14ac:dyDescent="0.35">
      <c r="A870" s="7">
        <v>42481.711956018524</v>
      </c>
      <c r="B870" s="8" t="str">
        <f>HYPERLINK("https://twitter.com/Deejay_1KK","@Deejay_1KK")</f>
        <v>@Deejay_1KK</v>
      </c>
      <c r="C870" s="9" t="s">
        <v>2381</v>
      </c>
      <c r="D870" s="9" t="s">
        <v>2382</v>
      </c>
      <c r="E870" s="10" t="str">
        <f>HYPERLINK("https://twitter.com/Deejay_1KK/status/723112854166102016","723112854166102016")</f>
        <v>723112854166102016</v>
      </c>
      <c r="F870" s="11" t="s">
        <v>114</v>
      </c>
      <c r="G870" s="11">
        <v>109</v>
      </c>
      <c r="H870" s="11">
        <v>88</v>
      </c>
      <c r="I870" s="11">
        <v>0</v>
      </c>
      <c r="J870" s="11">
        <v>1</v>
      </c>
      <c r="K870" s="11" t="s">
        <v>21</v>
      </c>
      <c r="L870" s="7">
        <v>41265.044456018521</v>
      </c>
      <c r="M870" s="12" t="s">
        <v>2383</v>
      </c>
      <c r="N870" s="12" t="s">
        <v>2384</v>
      </c>
      <c r="O870" s="10" t="str">
        <f>HYPERLINK("https://pbs.twimg.com/profile_images/688805610838687744/Stm6eG31_normal.jpg","View")</f>
        <v>View</v>
      </c>
      <c r="P870" s="10" t="str">
        <f>HYPERLINK("http://ctrlq.org/maps/address/#-1.21754389,36.87976127","Map")</f>
        <v>Map</v>
      </c>
    </row>
    <row r="871" spans="1:16" ht="12.75" x14ac:dyDescent="0.35">
      <c r="A871" s="7">
        <v>42481.712094907409</v>
      </c>
      <c r="B871" s="8" t="str">
        <f>HYPERLINK("https://twitter.com/Tkarera","@Tkarera")</f>
        <v>@Tkarera</v>
      </c>
      <c r="C871" s="9" t="s">
        <v>280</v>
      </c>
      <c r="D871" s="9" t="s">
        <v>2385</v>
      </c>
      <c r="E871" s="10" t="str">
        <f>HYPERLINK("https://twitter.com/Tkarera/status/723112903751028736","723112903751028736")</f>
        <v>723112903751028736</v>
      </c>
      <c r="F871" s="11" t="s">
        <v>91</v>
      </c>
      <c r="G871" s="11">
        <v>9108</v>
      </c>
      <c r="H871" s="11">
        <v>8038</v>
      </c>
      <c r="I871" s="11">
        <v>0</v>
      </c>
      <c r="J871" s="11">
        <v>0</v>
      </c>
      <c r="K871" s="11" t="s">
        <v>21</v>
      </c>
      <c r="L871" s="7">
        <v>40632.289988425924</v>
      </c>
      <c r="M871" s="12" t="s">
        <v>282</v>
      </c>
      <c r="N871" s="12" t="s">
        <v>283</v>
      </c>
      <c r="O871" s="10" t="str">
        <f>HYPERLINK("https://pbs.twimg.com/profile_images/2678224876/e0d50fddebcbb0ae56734edce9d553a0_normal.jpeg","View")</f>
        <v>View</v>
      </c>
      <c r="P871" s="11"/>
    </row>
    <row r="872" spans="1:16" ht="12.75" x14ac:dyDescent="0.35">
      <c r="A872" s="7">
        <v>42481.712256944447</v>
      </c>
      <c r="B872" s="8" t="str">
        <f>HYPERLINK("https://twitter.com/franka_kuehn","@franka_kuehn")</f>
        <v>@franka_kuehn</v>
      </c>
      <c r="C872" s="9" t="s">
        <v>2386</v>
      </c>
      <c r="D872" s="9" t="s">
        <v>2330</v>
      </c>
      <c r="E872" s="10" t="str">
        <f>HYPERLINK("https://twitter.com/franka_kuehn/status/723112962299334656","723112962299334656")</f>
        <v>723112962299334656</v>
      </c>
      <c r="F872" s="11" t="s">
        <v>43</v>
      </c>
      <c r="G872" s="11">
        <v>392</v>
      </c>
      <c r="H872" s="11">
        <v>412</v>
      </c>
      <c r="I872" s="11">
        <v>5</v>
      </c>
      <c r="J872" s="11">
        <v>0</v>
      </c>
      <c r="K872" s="11" t="s">
        <v>21</v>
      </c>
      <c r="L872" s="7">
        <v>41792.855011574073</v>
      </c>
      <c r="M872" s="12" t="s">
        <v>1359</v>
      </c>
      <c r="N872" s="12" t="s">
        <v>2387</v>
      </c>
      <c r="O872" s="10" t="str">
        <f>HYPERLINK("https://pbs.twimg.com/profile_images/530281935289851905/gYVTeJZK_normal.jpeg","View")</f>
        <v>View</v>
      </c>
      <c r="P872" s="11"/>
    </row>
    <row r="873" spans="1:16" ht="12.75" x14ac:dyDescent="0.35">
      <c r="A873" s="7">
        <v>42481.713009259256</v>
      </c>
      <c r="B873" s="8" t="str">
        <f>HYPERLINK("https://twitter.com/RebSamona","@RebSamona")</f>
        <v>@RebSamona</v>
      </c>
      <c r="C873" s="9" t="s">
        <v>2388</v>
      </c>
      <c r="D873" s="9" t="s">
        <v>2389</v>
      </c>
      <c r="E873" s="10" t="str">
        <f>HYPERLINK("https://twitter.com/RebSamona/status/723113233922428929","723113233922428929")</f>
        <v>723113233922428929</v>
      </c>
      <c r="F873" s="11" t="s">
        <v>43</v>
      </c>
      <c r="G873" s="11">
        <v>604</v>
      </c>
      <c r="H873" s="11">
        <v>254</v>
      </c>
      <c r="I873" s="11">
        <v>1</v>
      </c>
      <c r="J873" s="11">
        <v>1</v>
      </c>
      <c r="K873" s="11" t="s">
        <v>21</v>
      </c>
      <c r="L873" s="7">
        <v>41664.033009259263</v>
      </c>
      <c r="M873" s="12" t="s">
        <v>2390</v>
      </c>
      <c r="N873" s="12" t="s">
        <v>2391</v>
      </c>
      <c r="O873" s="10" t="str">
        <f>HYPERLINK("https://pbs.twimg.com/profile_images/678249126216232960/ilIUMSIf_normal.jpg","View")</f>
        <v>View</v>
      </c>
      <c r="P873" s="11"/>
    </row>
    <row r="874" spans="1:16" ht="12.75" x14ac:dyDescent="0.35">
      <c r="A874" s="7">
        <v>42481.714039351849</v>
      </c>
      <c r="B874" s="8" t="str">
        <f>HYPERLINK("https://twitter.com/matzke40","@matzke40")</f>
        <v>@matzke40</v>
      </c>
      <c r="C874" s="9" t="s">
        <v>2392</v>
      </c>
      <c r="D874" s="9" t="s">
        <v>2393</v>
      </c>
      <c r="E874" s="10" t="str">
        <f>HYPERLINK("https://twitter.com/matzke40/status/723113605659529216","723113605659529216")</f>
        <v>723113605659529216</v>
      </c>
      <c r="F874" s="11" t="s">
        <v>48</v>
      </c>
      <c r="G874" s="11">
        <v>1699</v>
      </c>
      <c r="H874" s="11">
        <v>2841</v>
      </c>
      <c r="I874" s="11">
        <v>9</v>
      </c>
      <c r="J874" s="11">
        <v>0</v>
      </c>
      <c r="K874" s="11" t="s">
        <v>21</v>
      </c>
      <c r="L874" s="7">
        <v>42232.86854166667</v>
      </c>
      <c r="M874" s="12" t="s">
        <v>1116</v>
      </c>
      <c r="N874" s="12" t="s">
        <v>2394</v>
      </c>
      <c r="O874" s="10" t="str">
        <f>HYPERLINK("https://pbs.twimg.com/profile_images/679947479798968320/XbB1jetP_normal.jpg","View")</f>
        <v>View</v>
      </c>
      <c r="P874" s="11"/>
    </row>
    <row r="875" spans="1:16" ht="12.75" x14ac:dyDescent="0.35">
      <c r="A875" s="7">
        <v>42481.714479166665</v>
      </c>
      <c r="B875" s="8" t="str">
        <f>HYPERLINK("https://twitter.com/StefkaWiese","@StefkaWiese")</f>
        <v>@StefkaWiese</v>
      </c>
      <c r="C875" s="9" t="s">
        <v>2353</v>
      </c>
      <c r="D875" s="9" t="s">
        <v>2395</v>
      </c>
      <c r="E875" s="10" t="str">
        <f>HYPERLINK("https://twitter.com/StefkaWiese/status/723113765013606402","723113765013606402")</f>
        <v>723113765013606402</v>
      </c>
      <c r="F875" s="11" t="s">
        <v>43</v>
      </c>
      <c r="G875" s="11">
        <v>230</v>
      </c>
      <c r="H875" s="11">
        <v>400</v>
      </c>
      <c r="I875" s="11">
        <v>0</v>
      </c>
      <c r="J875" s="11">
        <v>1</v>
      </c>
      <c r="K875" s="11" t="s">
        <v>21</v>
      </c>
      <c r="L875" s="7">
        <v>42089.096608796295</v>
      </c>
      <c r="M875" s="12" t="s">
        <v>2354</v>
      </c>
      <c r="N875" s="12" t="s">
        <v>2355</v>
      </c>
      <c r="O875" s="10" t="str">
        <f>HYPERLINK("https://pbs.twimg.com/profile_images/580855319364018176/SQZHsdYj_normal.jpg","View")</f>
        <v>View</v>
      </c>
      <c r="P875" s="11"/>
    </row>
    <row r="876" spans="1:16" ht="12.75" x14ac:dyDescent="0.35">
      <c r="A876" s="7">
        <v>42481.714618055557</v>
      </c>
      <c r="B876" s="8" t="str">
        <f>HYPERLINK("https://twitter.com/therealautoblog","@therealautoblog")</f>
        <v>@therealautoblog</v>
      </c>
      <c r="C876" s="8" t="s">
        <v>2396</v>
      </c>
      <c r="D876" s="9" t="s">
        <v>2397</v>
      </c>
      <c r="E876" s="10" t="str">
        <f>HYPERLINK("https://twitter.com/therealautoblog/status/723113816813408256","723113816813408256")</f>
        <v>723113816813408256</v>
      </c>
      <c r="F876" s="11" t="s">
        <v>63</v>
      </c>
      <c r="G876" s="11">
        <v>163768</v>
      </c>
      <c r="H876" s="11">
        <v>1201</v>
      </c>
      <c r="I876" s="11">
        <v>10</v>
      </c>
      <c r="J876" s="11">
        <v>9</v>
      </c>
      <c r="K876" s="11" t="s">
        <v>21</v>
      </c>
      <c r="L876" s="7">
        <v>39730.766435185185</v>
      </c>
      <c r="M876" s="12" t="s">
        <v>172</v>
      </c>
      <c r="N876" s="12" t="s">
        <v>2398</v>
      </c>
      <c r="O876" s="10" t="str">
        <f>HYPERLINK("https://pbs.twimg.com/profile_images/534452284294299648/J4ly-IrA_normal.png","View")</f>
        <v>View</v>
      </c>
      <c r="P876" s="11"/>
    </row>
    <row r="877" spans="1:16" ht="12.75" x14ac:dyDescent="0.35">
      <c r="A877" s="7">
        <v>42481.715208333335</v>
      </c>
      <c r="B877" s="8" t="str">
        <f>HYPERLINK("https://twitter.com/5BIEG_PL","@5BIEG_PL")</f>
        <v>@5BIEG_PL</v>
      </c>
      <c r="C877" s="8" t="s">
        <v>2399</v>
      </c>
      <c r="D877" s="9" t="s">
        <v>2400</v>
      </c>
      <c r="E877" s="10" t="str">
        <f>HYPERLINK("https://twitter.com/5BIEG_PL/status/723114029904842753","723114029904842753")</f>
        <v>723114029904842753</v>
      </c>
      <c r="F877" s="11" t="s">
        <v>43</v>
      </c>
      <c r="G877" s="11">
        <v>1</v>
      </c>
      <c r="H877" s="11">
        <v>24</v>
      </c>
      <c r="I877" s="11">
        <v>0</v>
      </c>
      <c r="J877" s="11">
        <v>0</v>
      </c>
      <c r="K877" s="11" t="s">
        <v>21</v>
      </c>
      <c r="L877" s="7">
        <v>42317.756944444445</v>
      </c>
      <c r="M877" s="12"/>
      <c r="N877" s="12" t="s">
        <v>2401</v>
      </c>
      <c r="O877" s="10" t="str">
        <f>HYPERLINK("https://pbs.twimg.com/profile_images/693146533311684608/uuwVBrx__normal.png","View")</f>
        <v>View</v>
      </c>
      <c r="P877" s="11"/>
    </row>
    <row r="878" spans="1:16" ht="12.75" x14ac:dyDescent="0.35">
      <c r="A878" s="7">
        <v>42481.716145833328</v>
      </c>
      <c r="B878" s="8" t="str">
        <f>HYPERLINK("https://twitter.com/marinasegura23","@marinasegura23")</f>
        <v>@marinasegura23</v>
      </c>
      <c r="C878" s="9" t="s">
        <v>2402</v>
      </c>
      <c r="D878" s="9" t="s">
        <v>1739</v>
      </c>
      <c r="E878" s="10" t="str">
        <f>HYPERLINK("https://twitter.com/marinasegura23/status/723114371350589440","723114371350589440")</f>
        <v>723114371350589440</v>
      </c>
      <c r="F878" s="11" t="s">
        <v>43</v>
      </c>
      <c r="G878" s="11">
        <v>1131</v>
      </c>
      <c r="H878" s="11">
        <v>651</v>
      </c>
      <c r="I878" s="11">
        <v>3</v>
      </c>
      <c r="J878" s="11">
        <v>0</v>
      </c>
      <c r="K878" s="11" t="s">
        <v>21</v>
      </c>
      <c r="L878" s="7">
        <v>40559.012777777782</v>
      </c>
      <c r="M878" s="12" t="s">
        <v>2403</v>
      </c>
      <c r="N878" s="12" t="s">
        <v>2404</v>
      </c>
      <c r="O878" s="10" t="str">
        <f>HYPERLINK("https://pbs.twimg.com/profile_images/721790264902356993/ATLbgX15_normal.jpg","View")</f>
        <v>View</v>
      </c>
      <c r="P878" s="11"/>
    </row>
    <row r="879" spans="1:16" ht="12.75" x14ac:dyDescent="0.35">
      <c r="A879" s="7">
        <v>42481.716145833328</v>
      </c>
      <c r="B879" s="8" t="str">
        <f>HYPERLINK("https://twitter.com/PaulMillerAG","@PaulMillerAG")</f>
        <v>@PaulMillerAG</v>
      </c>
      <c r="C879" s="9" t="s">
        <v>2405</v>
      </c>
      <c r="D879" s="9" t="s">
        <v>2406</v>
      </c>
      <c r="E879" s="10" t="str">
        <f>HYPERLINK("https://twitter.com/PaulMillerAG/status/723114372353134592","723114372353134592")</f>
        <v>723114372353134592</v>
      </c>
      <c r="F879" s="11" t="s">
        <v>2407</v>
      </c>
      <c r="G879" s="11">
        <v>962</v>
      </c>
      <c r="H879" s="11">
        <v>1997</v>
      </c>
      <c r="I879" s="11">
        <v>1</v>
      </c>
      <c r="J879" s="11">
        <v>0</v>
      </c>
      <c r="K879" s="11" t="s">
        <v>21</v>
      </c>
      <c r="L879" s="7">
        <v>41131.403356481482</v>
      </c>
      <c r="M879" s="12" t="s">
        <v>2408</v>
      </c>
      <c r="N879" s="12" t="s">
        <v>2409</v>
      </c>
      <c r="O879" s="10" t="str">
        <f>HYPERLINK("https://pbs.twimg.com/profile_images/441617884725276672/SnZtRMvP_normal.jpeg","View")</f>
        <v>View</v>
      </c>
      <c r="P879" s="11"/>
    </row>
    <row r="880" spans="1:16" ht="12.75" x14ac:dyDescent="0.35">
      <c r="A880" s="7">
        <v>42481.716574074075</v>
      </c>
      <c r="B880" s="8" t="str">
        <f>HYPERLINK("https://twitter.com/GTIcrazy","@GTIcrazy")</f>
        <v>@GTIcrazy</v>
      </c>
      <c r="C880" s="9" t="s">
        <v>2410</v>
      </c>
      <c r="D880" s="9" t="s">
        <v>2411</v>
      </c>
      <c r="E880" s="10" t="str">
        <f>HYPERLINK("https://twitter.com/GTIcrazy/status/723114526149869568","723114526149869568")</f>
        <v>723114526149869568</v>
      </c>
      <c r="F880" s="11" t="s">
        <v>48</v>
      </c>
      <c r="G880" s="11">
        <v>19921</v>
      </c>
      <c r="H880" s="11">
        <v>19644</v>
      </c>
      <c r="I880" s="11">
        <v>2</v>
      </c>
      <c r="J880" s="11">
        <v>0</v>
      </c>
      <c r="K880" s="11" t="s">
        <v>21</v>
      </c>
      <c r="L880" s="7">
        <v>41179.285798611112</v>
      </c>
      <c r="M880" s="12" t="s">
        <v>2412</v>
      </c>
      <c r="N880" s="12" t="s">
        <v>2413</v>
      </c>
      <c r="O880" s="10" t="str">
        <f>HYPERLINK("https://pbs.twimg.com/profile_images/3049506048/e1f3fdb530b5ad7c7a945508782e6f8f_normal.jpeg","View")</f>
        <v>View</v>
      </c>
      <c r="P880" s="11"/>
    </row>
    <row r="881" spans="1:16" ht="12.75" x14ac:dyDescent="0.35">
      <c r="A881" s="7">
        <v>42481.71670138889</v>
      </c>
      <c r="B881" s="8" t="str">
        <f>HYPERLINK("https://twitter.com/ME262P","@ME262P")</f>
        <v>@ME262P</v>
      </c>
      <c r="C881" s="9" t="s">
        <v>1651</v>
      </c>
      <c r="D881" s="9" t="s">
        <v>2414</v>
      </c>
      <c r="E881" s="10" t="str">
        <f>HYPERLINK("https://twitter.com/ME262P/status/723114572823977985","723114572823977985")</f>
        <v>723114572823977985</v>
      </c>
      <c r="F881" s="11" t="s">
        <v>43</v>
      </c>
      <c r="G881" s="11">
        <v>176</v>
      </c>
      <c r="H881" s="11">
        <v>455</v>
      </c>
      <c r="I881" s="11">
        <v>2</v>
      </c>
      <c r="J881" s="11">
        <v>0</v>
      </c>
      <c r="K881" s="11" t="s">
        <v>21</v>
      </c>
      <c r="L881" s="7">
        <v>41883.920868055553</v>
      </c>
      <c r="M881" s="12"/>
      <c r="N881" s="12" t="s">
        <v>1653</v>
      </c>
      <c r="O881" s="10" t="str">
        <f>HYPERLINK("https://pbs.twimg.com/profile_images/534347903415091200/7vSjzA4l_normal.jpeg","View")</f>
        <v>View</v>
      </c>
      <c r="P881" s="11"/>
    </row>
    <row r="882" spans="1:16" ht="12.75" x14ac:dyDescent="0.35">
      <c r="A882" s="7">
        <v>42481.717002314814</v>
      </c>
      <c r="B882" s="8" t="str">
        <f>HYPERLINK("https://twitter.com/Anjake12","@Anjake12")</f>
        <v>@Anjake12</v>
      </c>
      <c r="C882" s="9" t="s">
        <v>2415</v>
      </c>
      <c r="D882" s="9" t="s">
        <v>1151</v>
      </c>
      <c r="E882" s="10" t="str">
        <f>HYPERLINK("https://twitter.com/Anjake12/status/723114681754365952","723114681754365952")</f>
        <v>723114681754365952</v>
      </c>
      <c r="F882" s="11" t="s">
        <v>48</v>
      </c>
      <c r="G882" s="11">
        <v>51</v>
      </c>
      <c r="H882" s="11">
        <v>87</v>
      </c>
      <c r="I882" s="11">
        <v>7</v>
      </c>
      <c r="J882" s="11">
        <v>0</v>
      </c>
      <c r="K882" s="11" t="s">
        <v>21</v>
      </c>
      <c r="L882" s="7">
        <v>41281.96947916667</v>
      </c>
      <c r="M882" s="12" t="s">
        <v>2416</v>
      </c>
      <c r="N882" s="12" t="s">
        <v>2417</v>
      </c>
      <c r="O882" s="10" t="str">
        <f>HYPERLINK("https://pbs.twimg.com/profile_images/720700937740935169/acYmA4IX_normal.jpg","View")</f>
        <v>View</v>
      </c>
      <c r="P882" s="11"/>
    </row>
    <row r="883" spans="1:16" ht="12.75" x14ac:dyDescent="0.35">
      <c r="A883" s="7">
        <v>42481.71739583333</v>
      </c>
      <c r="B883" s="8" t="str">
        <f>HYPERLINK("https://twitter.com/eRevalue","@eRevalue")</f>
        <v>@eRevalue</v>
      </c>
      <c r="C883" s="9" t="s">
        <v>2418</v>
      </c>
      <c r="D883" s="9" t="s">
        <v>2419</v>
      </c>
      <c r="E883" s="10" t="str">
        <f>HYPERLINK("https://twitter.com/eRevalue/status/723114825404940288","723114825404940288")</f>
        <v>723114825404940288</v>
      </c>
      <c r="F883" s="11" t="s">
        <v>43</v>
      </c>
      <c r="G883" s="11">
        <v>629</v>
      </c>
      <c r="H883" s="11">
        <v>660</v>
      </c>
      <c r="I883" s="11">
        <v>0</v>
      </c>
      <c r="J883" s="11">
        <v>0</v>
      </c>
      <c r="K883" s="11" t="s">
        <v>21</v>
      </c>
      <c r="L883" s="7">
        <v>41726.009108796294</v>
      </c>
      <c r="M883" s="12" t="s">
        <v>2420</v>
      </c>
      <c r="N883" s="12" t="s">
        <v>2421</v>
      </c>
      <c r="O883" s="10" t="str">
        <f>HYPERLINK("https://pbs.twimg.com/profile_images/555049684830412800/Czd6hV4I_normal.jpeg","View")</f>
        <v>View</v>
      </c>
      <c r="P883" s="11"/>
    </row>
    <row r="884" spans="1:16" ht="12.75" x14ac:dyDescent="0.35">
      <c r="A884" s="7">
        <v>42481.717824074076</v>
      </c>
      <c r="B884" s="8" t="str">
        <f>HYPERLINK("https://twitter.com/ReynaldoRodz","@ReynaldoRodz")</f>
        <v>@ReynaldoRodz</v>
      </c>
      <c r="C884" s="9" t="s">
        <v>2422</v>
      </c>
      <c r="D884" s="9" t="s">
        <v>2423</v>
      </c>
      <c r="E884" s="10" t="str">
        <f>HYPERLINK("https://twitter.com/ReynaldoRodz/status/723114980829204480","723114980829204480")</f>
        <v>723114980829204480</v>
      </c>
      <c r="F884" s="11" t="s">
        <v>20</v>
      </c>
      <c r="G884" s="11">
        <v>87</v>
      </c>
      <c r="H884" s="11">
        <v>54</v>
      </c>
      <c r="I884" s="11">
        <v>10</v>
      </c>
      <c r="J884" s="11">
        <v>0</v>
      </c>
      <c r="K884" s="11" t="s">
        <v>21</v>
      </c>
      <c r="L884" s="7">
        <v>41748.131736111114</v>
      </c>
      <c r="M884" s="12" t="s">
        <v>2424</v>
      </c>
      <c r="N884" s="12" t="s">
        <v>2425</v>
      </c>
      <c r="O884" s="10" t="str">
        <f>HYPERLINK("https://pbs.twimg.com/profile_images/632301170313285632/51luKl6f_normal.jpg","View")</f>
        <v>View</v>
      </c>
      <c r="P884" s="11"/>
    </row>
    <row r="885" spans="1:16" ht="12.75" x14ac:dyDescent="0.35">
      <c r="A885" s="7">
        <v>42481.7183912037</v>
      </c>
      <c r="B885" s="8" t="str">
        <f>HYPERLINK("https://twitter.com/TonyCantero","@TonyCantero")</f>
        <v>@TonyCantero</v>
      </c>
      <c r="C885" s="9" t="s">
        <v>2426</v>
      </c>
      <c r="D885" s="9" t="s">
        <v>861</v>
      </c>
      <c r="E885" s="10" t="str">
        <f>HYPERLINK("https://twitter.com/TonyCantero/status/723115183133102080","723115183133102080")</f>
        <v>723115183133102080</v>
      </c>
      <c r="F885" s="11" t="s">
        <v>48</v>
      </c>
      <c r="G885" s="11">
        <v>4321</v>
      </c>
      <c r="H885" s="11">
        <v>5011</v>
      </c>
      <c r="I885" s="11">
        <v>21</v>
      </c>
      <c r="J885" s="11">
        <v>0</v>
      </c>
      <c r="K885" s="11" t="s">
        <v>21</v>
      </c>
      <c r="L885" s="7">
        <v>40338.614479166667</v>
      </c>
      <c r="M885" s="12" t="s">
        <v>2427</v>
      </c>
      <c r="N885" s="12" t="s">
        <v>2428</v>
      </c>
      <c r="O885" s="10" t="str">
        <f>HYPERLINK("https://pbs.twimg.com/profile_images/686584469227188224/J9Rr0kEb_normal.jpg","View")</f>
        <v>View</v>
      </c>
      <c r="P885" s="11"/>
    </row>
    <row r="886" spans="1:16" ht="12.75" x14ac:dyDescent="0.35">
      <c r="A886" s="7">
        <v>42481.7191087963</v>
      </c>
      <c r="B886" s="8" t="str">
        <f>HYPERLINK("https://twitter.com/Mphilpot1","@Mphilpot1")</f>
        <v>@Mphilpot1</v>
      </c>
      <c r="C886" s="9" t="s">
        <v>1280</v>
      </c>
      <c r="D886" s="9" t="s">
        <v>2429</v>
      </c>
      <c r="E886" s="10" t="str">
        <f>HYPERLINK("https://twitter.com/Mphilpot1/status/723115443607588864","723115443607588864")</f>
        <v>723115443607588864</v>
      </c>
      <c r="F886" s="11" t="s">
        <v>34</v>
      </c>
      <c r="G886" s="11">
        <v>114</v>
      </c>
      <c r="H886" s="11">
        <v>141</v>
      </c>
      <c r="I886" s="11">
        <v>0</v>
      </c>
      <c r="J886" s="11">
        <v>0</v>
      </c>
      <c r="K886" s="11" t="s">
        <v>21</v>
      </c>
      <c r="L886" s="7">
        <v>41137.855208333334</v>
      </c>
      <c r="M886" s="12"/>
      <c r="N886" s="12"/>
      <c r="O886" s="10" t="str">
        <f>HYPERLINK("https://pbs.twimg.com/profile_images/422164778639839234/LVnS1q1c_normal.jpeg","View")</f>
        <v>View</v>
      </c>
      <c r="P886" s="11"/>
    </row>
    <row r="887" spans="1:16" ht="12.75" x14ac:dyDescent="0.35">
      <c r="A887" s="7">
        <v>42481.720625000002</v>
      </c>
      <c r="B887" s="8" t="str">
        <f>HYPERLINK("https://twitter.com/FLMedia1","@FLMedia1")</f>
        <v>@FLMedia1</v>
      </c>
      <c r="C887" s="9" t="s">
        <v>2430</v>
      </c>
      <c r="D887" s="9" t="s">
        <v>2423</v>
      </c>
      <c r="E887" s="10" t="str">
        <f>HYPERLINK("https://twitter.com/FLMedia1/status/723115992776237057","723115992776237057")</f>
        <v>723115992776237057</v>
      </c>
      <c r="F887" s="11" t="s">
        <v>20</v>
      </c>
      <c r="G887" s="11">
        <v>214</v>
      </c>
      <c r="H887" s="11">
        <v>311</v>
      </c>
      <c r="I887" s="11">
        <v>10</v>
      </c>
      <c r="J887" s="11">
        <v>0</v>
      </c>
      <c r="K887" s="11" t="s">
        <v>21</v>
      </c>
      <c r="L887" s="7">
        <v>41254.608275462961</v>
      </c>
      <c r="M887" s="12" t="s">
        <v>2431</v>
      </c>
      <c r="N887" s="12" t="s">
        <v>2432</v>
      </c>
      <c r="O887" s="10" t="str">
        <f>HYPERLINK("https://pbs.twimg.com/profile_images/492533556606816256/w2hi5mtM_normal.jpeg","View")</f>
        <v>View</v>
      </c>
      <c r="P887" s="11"/>
    </row>
    <row r="888" spans="1:16" ht="12.75" x14ac:dyDescent="0.35">
      <c r="A888" s="7">
        <v>42481.720775462964</v>
      </c>
      <c r="B888" s="8" t="str">
        <f>HYPERLINK("https://twitter.com/LaurenMolloy7","@LaurenMolloy7")</f>
        <v>@LaurenMolloy7</v>
      </c>
      <c r="C888" s="9" t="s">
        <v>2433</v>
      </c>
      <c r="D888" s="9" t="s">
        <v>2434</v>
      </c>
      <c r="E888" s="10" t="str">
        <f>HYPERLINK("https://twitter.com/LaurenMolloy7/status/723116049139290112","723116049139290112")</f>
        <v>723116049139290112</v>
      </c>
      <c r="F888" s="11" t="s">
        <v>114</v>
      </c>
      <c r="G888" s="11">
        <v>132</v>
      </c>
      <c r="H888" s="11">
        <v>450</v>
      </c>
      <c r="I888" s="11">
        <v>0</v>
      </c>
      <c r="J888" s="11">
        <v>1</v>
      </c>
      <c r="K888" s="11" t="s">
        <v>21</v>
      </c>
      <c r="L888" s="7">
        <v>40295.120358796295</v>
      </c>
      <c r="M888" s="12"/>
      <c r="N888" s="12" t="s">
        <v>2435</v>
      </c>
      <c r="O888" s="10" t="str">
        <f>HYPERLINK("https://pbs.twimg.com/profile_images/723139895712161793/8ypTS_GM_normal.jpg","View")</f>
        <v>View</v>
      </c>
      <c r="P888" s="11"/>
    </row>
    <row r="889" spans="1:16" ht="12.75" x14ac:dyDescent="0.35">
      <c r="A889" s="7">
        <v>42481.721226851849</v>
      </c>
      <c r="B889" s="8" t="str">
        <f>HYPERLINK("https://twitter.com/AceNewsServices","@AceNewsServices")</f>
        <v>@AceNewsServices</v>
      </c>
      <c r="C889" s="9" t="s">
        <v>2436</v>
      </c>
      <c r="D889" s="9" t="s">
        <v>2437</v>
      </c>
      <c r="E889" s="10" t="str">
        <f>HYPERLINK("https://twitter.com/AceNewsServices/status/723116211110694914","723116211110694914")</f>
        <v>723116211110694914</v>
      </c>
      <c r="F889" s="10" t="s">
        <v>2076</v>
      </c>
      <c r="G889" s="11">
        <v>807</v>
      </c>
      <c r="H889" s="11">
        <v>1419</v>
      </c>
      <c r="I889" s="11">
        <v>0</v>
      </c>
      <c r="J889" s="11">
        <v>0</v>
      </c>
      <c r="K889" s="11" t="s">
        <v>21</v>
      </c>
      <c r="L889" s="7">
        <v>39581.953240740739</v>
      </c>
      <c r="M889" s="12" t="s">
        <v>2438</v>
      </c>
      <c r="N889" s="12" t="s">
        <v>2439</v>
      </c>
      <c r="O889" s="10" t="str">
        <f>HYPERLINK("https://pbs.twimg.com/profile_images/604315907402436609/rgk1l1Kq_normal.jpg","View")</f>
        <v>View</v>
      </c>
      <c r="P889" s="11"/>
    </row>
    <row r="890" spans="1:16" ht="12.75" x14ac:dyDescent="0.35">
      <c r="A890" s="7">
        <v>42481.721886574072</v>
      </c>
      <c r="B890" s="8" t="str">
        <f>HYPERLINK("https://twitter.com/UDelSustainable","@UDelSustainable")</f>
        <v>@UDelSustainable</v>
      </c>
      <c r="C890" s="9" t="s">
        <v>2440</v>
      </c>
      <c r="D890" s="9" t="s">
        <v>2441</v>
      </c>
      <c r="E890" s="10" t="str">
        <f>HYPERLINK("https://twitter.com/UDelSustainable/status/723116453348540417","723116453348540417")</f>
        <v>723116453348540417</v>
      </c>
      <c r="F890" s="11" t="s">
        <v>43</v>
      </c>
      <c r="G890" s="11">
        <v>542</v>
      </c>
      <c r="H890" s="11">
        <v>1349</v>
      </c>
      <c r="I890" s="11">
        <v>0</v>
      </c>
      <c r="J890" s="11">
        <v>0</v>
      </c>
      <c r="K890" s="11" t="s">
        <v>21</v>
      </c>
      <c r="L890" s="7">
        <v>42265.750798611116</v>
      </c>
      <c r="M890" s="12" t="s">
        <v>2442</v>
      </c>
      <c r="N890" s="12" t="s">
        <v>2443</v>
      </c>
      <c r="O890" s="10" t="str">
        <f>HYPERLINK("https://pbs.twimg.com/profile_images/719568169359261696/UghcJUcE_normal.jpg","View")</f>
        <v>View</v>
      </c>
      <c r="P890" s="11"/>
    </row>
    <row r="891" spans="1:16" ht="12.75" x14ac:dyDescent="0.35">
      <c r="A891" s="7">
        <v>42481.723182870366</v>
      </c>
      <c r="B891" s="8" t="str">
        <f>HYPERLINK("https://twitter.com/yog2uk","@yog2uk")</f>
        <v>@yog2uk</v>
      </c>
      <c r="C891" s="9" t="s">
        <v>2444</v>
      </c>
      <c r="D891" s="9" t="s">
        <v>2445</v>
      </c>
      <c r="E891" s="10" t="str">
        <f>HYPERLINK("https://twitter.com/yog2uk/status/723116923152519172","723116923152519172")</f>
        <v>723116923152519172</v>
      </c>
      <c r="F891" s="11" t="s">
        <v>2446</v>
      </c>
      <c r="G891" s="11">
        <v>5999</v>
      </c>
      <c r="H891" s="11">
        <v>2801</v>
      </c>
      <c r="I891" s="11">
        <v>0</v>
      </c>
      <c r="J891" s="11">
        <v>0</v>
      </c>
      <c r="K891" s="11" t="s">
        <v>21</v>
      </c>
      <c r="L891" s="7">
        <v>39964.135358796295</v>
      </c>
      <c r="M891" s="12" t="s">
        <v>2447</v>
      </c>
      <c r="N891" s="12" t="s">
        <v>2448</v>
      </c>
      <c r="O891" s="10" t="str">
        <f>HYPERLINK("https://pbs.twimg.com/profile_images/702752945155264512/xL5DpDRh_normal.jpg","View")</f>
        <v>View</v>
      </c>
      <c r="P891" s="11"/>
    </row>
    <row r="892" spans="1:16" ht="12.75" x14ac:dyDescent="0.35">
      <c r="A892" s="7">
        <v>42481.723310185189</v>
      </c>
      <c r="B892" s="8" t="str">
        <f>HYPERLINK("https://twitter.com/VWCamperSales","@VWCamperSales")</f>
        <v>@VWCamperSales</v>
      </c>
      <c r="C892" s="9" t="s">
        <v>216</v>
      </c>
      <c r="D892" s="9" t="s">
        <v>2449</v>
      </c>
      <c r="E892" s="10" t="str">
        <f>HYPERLINK("https://twitter.com/VWCamperSales/status/723116967104651265","723116967104651265")</f>
        <v>723116967104651265</v>
      </c>
      <c r="F892" s="10" t="s">
        <v>124</v>
      </c>
      <c r="G892" s="11">
        <v>615</v>
      </c>
      <c r="H892" s="11">
        <v>580</v>
      </c>
      <c r="I892" s="11">
        <v>0</v>
      </c>
      <c r="J892" s="11">
        <v>0</v>
      </c>
      <c r="K892" s="11" t="s">
        <v>21</v>
      </c>
      <c r="L892" s="7">
        <v>42215.98809027778</v>
      </c>
      <c r="M892" s="12" t="s">
        <v>129</v>
      </c>
      <c r="N892" s="12" t="s">
        <v>218</v>
      </c>
      <c r="O892" s="10" t="str">
        <f>HYPERLINK("https://pbs.twimg.com/profile_images/627949001179037696/skEBkS05_normal.jpg","View")</f>
        <v>View</v>
      </c>
      <c r="P892" s="11"/>
    </row>
    <row r="893" spans="1:16" ht="12.75" x14ac:dyDescent="0.35">
      <c r="A893" s="7">
        <v>42481.723402777774</v>
      </c>
      <c r="B893" s="8" t="str">
        <f>HYPERLINK("https://twitter.com/yog2uk","@yog2uk")</f>
        <v>@yog2uk</v>
      </c>
      <c r="C893" s="9" t="s">
        <v>2444</v>
      </c>
      <c r="D893" s="9" t="s">
        <v>2450</v>
      </c>
      <c r="E893" s="10" t="str">
        <f>HYPERLINK("https://twitter.com/yog2uk/status/723117000277430272","723117000277430272")</f>
        <v>723117000277430272</v>
      </c>
      <c r="F893" s="11" t="s">
        <v>2446</v>
      </c>
      <c r="G893" s="11">
        <v>5999</v>
      </c>
      <c r="H893" s="11">
        <v>2801</v>
      </c>
      <c r="I893" s="11">
        <v>0</v>
      </c>
      <c r="J893" s="11">
        <v>0</v>
      </c>
      <c r="K893" s="11" t="s">
        <v>21</v>
      </c>
      <c r="L893" s="7">
        <v>39964.135358796295</v>
      </c>
      <c r="M893" s="12" t="s">
        <v>2447</v>
      </c>
      <c r="N893" s="12" t="s">
        <v>2448</v>
      </c>
      <c r="O893" s="10" t="str">
        <f>HYPERLINK("https://pbs.twimg.com/profile_images/702752945155264512/xL5DpDRh_normal.jpg","View")</f>
        <v>View</v>
      </c>
      <c r="P893" s="11"/>
    </row>
    <row r="894" spans="1:16" ht="12.75" x14ac:dyDescent="0.35">
      <c r="A894" s="7">
        <v>42481.723645833335</v>
      </c>
      <c r="B894" s="8" t="str">
        <f>HYPERLINK("https://twitter.com/phoenix_kom","@phoenix_kom")</f>
        <v>@phoenix_kom</v>
      </c>
      <c r="C894" s="9" t="s">
        <v>2451</v>
      </c>
      <c r="D894" s="9" t="s">
        <v>2452</v>
      </c>
      <c r="E894" s="10" t="str">
        <f>HYPERLINK("https://twitter.com/phoenix_kom/status/723117088064212992","723117088064212992")</f>
        <v>723117088064212992</v>
      </c>
      <c r="F894" s="11" t="s">
        <v>63</v>
      </c>
      <c r="G894" s="11">
        <v>2197</v>
      </c>
      <c r="H894" s="11">
        <v>1262</v>
      </c>
      <c r="I894" s="11">
        <v>0</v>
      </c>
      <c r="J894" s="11">
        <v>0</v>
      </c>
      <c r="K894" s="11" t="s">
        <v>21</v>
      </c>
      <c r="L894" s="7">
        <v>41681.80332175926</v>
      </c>
      <c r="M894" s="12" t="s">
        <v>2453</v>
      </c>
      <c r="N894" s="12" t="s">
        <v>2454</v>
      </c>
      <c r="O894" s="10" t="str">
        <f>HYPERLINK("https://pbs.twimg.com/profile_images/433240550620147713/gn7IHF5i_normal.jpeg","View")</f>
        <v>View</v>
      </c>
      <c r="P894" s="11"/>
    </row>
    <row r="895" spans="1:16" ht="12.75" x14ac:dyDescent="0.35">
      <c r="A895" s="7">
        <v>42481.724791666667</v>
      </c>
      <c r="B895" s="8" t="str">
        <f>HYPERLINK("https://twitter.com/OtoStil","@OtoStil")</f>
        <v>@OtoStil</v>
      </c>
      <c r="C895" s="9" t="s">
        <v>2455</v>
      </c>
      <c r="D895" s="9" t="s">
        <v>2456</v>
      </c>
      <c r="E895" s="10" t="str">
        <f>HYPERLINK("https://twitter.com/OtoStil/status/723117502604005377","723117502604005377")</f>
        <v>723117502604005377</v>
      </c>
      <c r="F895" s="11" t="s">
        <v>43</v>
      </c>
      <c r="G895" s="11">
        <v>20031</v>
      </c>
      <c r="H895" s="11">
        <v>645</v>
      </c>
      <c r="I895" s="11">
        <v>0</v>
      </c>
      <c r="J895" s="11">
        <v>0</v>
      </c>
      <c r="K895" s="11" t="s">
        <v>21</v>
      </c>
      <c r="L895" s="7">
        <v>41575.594560185185</v>
      </c>
      <c r="M895" s="12"/>
      <c r="N895" s="12" t="s">
        <v>2457</v>
      </c>
      <c r="O895" s="10" t="str">
        <f>HYPERLINK("https://pbs.twimg.com/profile_images/719203862402506752/l2tnOgWj_normal.jpg","View")</f>
        <v>View</v>
      </c>
      <c r="P895" s="11"/>
    </row>
    <row r="896" spans="1:16" ht="12.75" x14ac:dyDescent="0.35">
      <c r="A896" s="7">
        <v>42481.725138888884</v>
      </c>
      <c r="B896" s="8" t="str">
        <f>HYPERLINK("https://twitter.com/AnetteRogers","@AnetteRogers")</f>
        <v>@AnetteRogers</v>
      </c>
      <c r="C896" s="9" t="s">
        <v>2458</v>
      </c>
      <c r="D896" s="9" t="s">
        <v>2459</v>
      </c>
      <c r="E896" s="10" t="str">
        <f>HYPERLINK("https://twitter.com/AnetteRogers/status/723117630253461506","723117630253461506")</f>
        <v>723117630253461506</v>
      </c>
      <c r="F896" s="11" t="s">
        <v>114</v>
      </c>
      <c r="G896" s="11">
        <v>361</v>
      </c>
      <c r="H896" s="11">
        <v>582</v>
      </c>
      <c r="I896" s="11">
        <v>0</v>
      </c>
      <c r="J896" s="11">
        <v>0</v>
      </c>
      <c r="K896" s="11" t="s">
        <v>21</v>
      </c>
      <c r="L896" s="7">
        <v>39698.678541666668</v>
      </c>
      <c r="M896" s="12" t="s">
        <v>2460</v>
      </c>
      <c r="N896" s="12" t="s">
        <v>2461</v>
      </c>
      <c r="O896" s="10" t="str">
        <f>HYPERLINK("https://pbs.twimg.com/profile_images/524307961380749314/55lMOIX2_normal.jpeg","View")</f>
        <v>View</v>
      </c>
      <c r="P896" s="11"/>
    </row>
    <row r="897" spans="1:16" ht="12.75" x14ac:dyDescent="0.35">
      <c r="A897" s="7">
        <v>42481.725381944445</v>
      </c>
      <c r="B897" s="8" t="str">
        <f>HYPERLINK("https://twitter.com/VWBeetleSales","@VWBeetleSales")</f>
        <v>@VWBeetleSales</v>
      </c>
      <c r="C897" s="9" t="s">
        <v>127</v>
      </c>
      <c r="D897" s="9" t="s">
        <v>2462</v>
      </c>
      <c r="E897" s="10" t="str">
        <f>HYPERLINK("https://twitter.com/VWBeetleSales/status/723117716110905346","723117716110905346")</f>
        <v>723117716110905346</v>
      </c>
      <c r="F897" s="10" t="s">
        <v>124</v>
      </c>
      <c r="G897" s="11">
        <v>35</v>
      </c>
      <c r="H897" s="11">
        <v>32</v>
      </c>
      <c r="I897" s="11">
        <v>0</v>
      </c>
      <c r="J897" s="11">
        <v>0</v>
      </c>
      <c r="K897" s="11" t="s">
        <v>21</v>
      </c>
      <c r="L897" s="7">
        <v>42427.019756944443</v>
      </c>
      <c r="M897" s="12" t="s">
        <v>129</v>
      </c>
      <c r="N897" s="12" t="s">
        <v>130</v>
      </c>
      <c r="O897" s="10" t="str">
        <f>HYPERLINK("https://pbs.twimg.com/profile_images/703294545195307008/qeCvrX86_normal.jpg","View")</f>
        <v>View</v>
      </c>
      <c r="P897" s="11"/>
    </row>
    <row r="898" spans="1:16" ht="12.75" x14ac:dyDescent="0.35">
      <c r="A898" s="7">
        <v>42481.725729166668</v>
      </c>
      <c r="B898" s="8" t="str">
        <f>HYPERLINK("https://twitter.com/maria26915","@maria26915")</f>
        <v>@maria26915</v>
      </c>
      <c r="C898" s="9" t="s">
        <v>2463</v>
      </c>
      <c r="D898" s="9" t="s">
        <v>2464</v>
      </c>
      <c r="E898" s="10" t="str">
        <f>HYPERLINK("https://twitter.com/maria26915/status/723117845450731520","723117845450731520")</f>
        <v>723117845450731520</v>
      </c>
      <c r="F898" s="11" t="s">
        <v>2465</v>
      </c>
      <c r="G898" s="11">
        <v>266</v>
      </c>
      <c r="H898" s="11">
        <v>227</v>
      </c>
      <c r="I898" s="11">
        <v>0</v>
      </c>
      <c r="J898" s="11">
        <v>0</v>
      </c>
      <c r="K898" s="11" t="s">
        <v>21</v>
      </c>
      <c r="L898" s="7">
        <v>42407.599143518513</v>
      </c>
      <c r="M898" s="12" t="s">
        <v>862</v>
      </c>
      <c r="N898" s="12" t="s">
        <v>2466</v>
      </c>
      <c r="O898" s="10" t="str">
        <f>HYPERLINK("https://pbs.twimg.com/profile_images/696261703361761280/aFAtBJW5_normal.jpg","View")</f>
        <v>View</v>
      </c>
      <c r="P898" s="11"/>
    </row>
    <row r="899" spans="1:16" ht="12.75" x14ac:dyDescent="0.35">
      <c r="A899" s="7">
        <v>42481.725787037038</v>
      </c>
      <c r="B899" s="8" t="str">
        <f>HYPERLINK("https://twitter.com/TheCarCentre","@TheCarCentre")</f>
        <v>@TheCarCentre</v>
      </c>
      <c r="C899" s="9" t="s">
        <v>2467</v>
      </c>
      <c r="D899" s="9" t="s">
        <v>2468</v>
      </c>
      <c r="E899" s="10" t="str">
        <f>HYPERLINK("https://twitter.com/TheCarCentre/status/723117866099331072","723117866099331072")</f>
        <v>723117866099331072</v>
      </c>
      <c r="F899" s="11" t="s">
        <v>68</v>
      </c>
      <c r="G899" s="11">
        <v>78</v>
      </c>
      <c r="H899" s="11">
        <v>225</v>
      </c>
      <c r="I899" s="11">
        <v>0</v>
      </c>
      <c r="J899" s="11">
        <v>0</v>
      </c>
      <c r="K899" s="11" t="s">
        <v>21</v>
      </c>
      <c r="L899" s="7">
        <v>41219.67428240741</v>
      </c>
      <c r="M899" s="12" t="s">
        <v>2469</v>
      </c>
      <c r="N899" s="12" t="s">
        <v>2470</v>
      </c>
      <c r="O899" s="10" t="str">
        <f>HYPERLINK("https://pbs.twimg.com/profile_images/470231671434772480/xlDH2t7D_normal.png","View")</f>
        <v>View</v>
      </c>
      <c r="P899" s="11"/>
    </row>
    <row r="900" spans="1:16" ht="12.75" x14ac:dyDescent="0.35">
      <c r="A900" s="7">
        <v>42481.727129629631</v>
      </c>
      <c r="B900" s="8" t="str">
        <f>HYPERLINK("https://twitter.com/dw_deutsch","@dw_deutsch")</f>
        <v>@dw_deutsch</v>
      </c>
      <c r="C900" s="9" t="s">
        <v>1476</v>
      </c>
      <c r="D900" s="9" t="s">
        <v>2471</v>
      </c>
      <c r="E900" s="10" t="str">
        <f>HYPERLINK("https://twitter.com/dw_deutsch/status/723118350402871303","723118350402871303")</f>
        <v>723118350402871303</v>
      </c>
      <c r="F900" s="11" t="s">
        <v>63</v>
      </c>
      <c r="G900" s="11">
        <v>46684</v>
      </c>
      <c r="H900" s="11">
        <v>279</v>
      </c>
      <c r="I900" s="11">
        <v>0</v>
      </c>
      <c r="J900" s="11">
        <v>0</v>
      </c>
      <c r="K900" s="11" t="s">
        <v>21</v>
      </c>
      <c r="L900" s="7">
        <v>39216.619826388887</v>
      </c>
      <c r="M900" s="12" t="s">
        <v>1303</v>
      </c>
      <c r="N900" s="12" t="s">
        <v>1478</v>
      </c>
      <c r="O900" s="10" t="str">
        <f>HYPERLINK("https://pbs.twimg.com/profile_images/461118397548212226/84PnzODQ_normal.png","View")</f>
        <v>View</v>
      </c>
      <c r="P900" s="11"/>
    </row>
    <row r="901" spans="1:16" ht="12.75" x14ac:dyDescent="0.35">
      <c r="A901" s="7">
        <v>42481.727141203708</v>
      </c>
      <c r="B901" s="8" t="str">
        <f>HYPERLINK("https://twitter.com/MediaPost","@MediaPost")</f>
        <v>@MediaPost</v>
      </c>
      <c r="C901" s="9" t="s">
        <v>2472</v>
      </c>
      <c r="D901" s="9" t="s">
        <v>2473</v>
      </c>
      <c r="E901" s="10" t="str">
        <f>HYPERLINK("https://twitter.com/MediaPost/status/723118354299535360","723118354299535360")</f>
        <v>723118354299535360</v>
      </c>
      <c r="F901" s="11" t="s">
        <v>2472</v>
      </c>
      <c r="G901" s="11">
        <v>98073</v>
      </c>
      <c r="H901" s="11">
        <v>1088</v>
      </c>
      <c r="I901" s="11">
        <v>0</v>
      </c>
      <c r="J901" s="11">
        <v>0</v>
      </c>
      <c r="K901" s="11" t="s">
        <v>21</v>
      </c>
      <c r="L901" s="7">
        <v>39575.844502314816</v>
      </c>
      <c r="M901" s="12" t="s">
        <v>2474</v>
      </c>
      <c r="N901" s="12" t="s">
        <v>2475</v>
      </c>
      <c r="O901" s="10" t="str">
        <f>HYPERLINK("https://pbs.twimg.com/profile_images/710208767569354752/1AWaTjuP_normal.jpg","View")</f>
        <v>View</v>
      </c>
      <c r="P901" s="11"/>
    </row>
    <row r="902" spans="1:16" ht="12.75" x14ac:dyDescent="0.35">
      <c r="A902" s="7">
        <v>42481.727962962963</v>
      </c>
      <c r="B902" s="8" t="str">
        <f>HYPERLINK("https://twitter.com/zdmak","@zdmak")</f>
        <v>@zdmak</v>
      </c>
      <c r="C902" s="9" t="s">
        <v>2476</v>
      </c>
      <c r="D902" s="9" t="s">
        <v>2477</v>
      </c>
      <c r="E902" s="10" t="str">
        <f>HYPERLINK("https://twitter.com/zdmak/status/723118654649327616","723118654649327616")</f>
        <v>723118654649327616</v>
      </c>
      <c r="F902" s="11" t="s">
        <v>43</v>
      </c>
      <c r="G902" s="11">
        <v>585</v>
      </c>
      <c r="H902" s="11">
        <v>1252</v>
      </c>
      <c r="I902" s="11">
        <v>0</v>
      </c>
      <c r="J902" s="11">
        <v>0</v>
      </c>
      <c r="K902" s="11" t="s">
        <v>21</v>
      </c>
      <c r="L902" s="7">
        <v>40478.984224537038</v>
      </c>
      <c r="M902" s="12" t="s">
        <v>305</v>
      </c>
      <c r="N902" s="12" t="s">
        <v>2478</v>
      </c>
      <c r="O902" s="10" t="str">
        <f>HYPERLINK("https://pbs.twimg.com/profile_images/573248726212325376/60EMO_jJ_normal.jpeg","View")</f>
        <v>View</v>
      </c>
      <c r="P902" s="11"/>
    </row>
    <row r="903" spans="1:16" ht="12.75" x14ac:dyDescent="0.35">
      <c r="A903" s="7">
        <v>42481.72929398148</v>
      </c>
      <c r="B903" s="8" t="str">
        <f>HYPERLINK("https://twitter.com/WMGLeasing","@WMGLeasing")</f>
        <v>@WMGLeasing</v>
      </c>
      <c r="C903" s="9" t="s">
        <v>2479</v>
      </c>
      <c r="D903" s="9" t="s">
        <v>2480</v>
      </c>
      <c r="E903" s="10" t="str">
        <f>HYPERLINK("https://twitter.com/WMGLeasing/status/723119136881037312","723119136881037312")</f>
        <v>723119136881037312</v>
      </c>
      <c r="F903" s="11" t="s">
        <v>43</v>
      </c>
      <c r="G903" s="11">
        <v>21</v>
      </c>
      <c r="H903" s="11">
        <v>55</v>
      </c>
      <c r="I903" s="11">
        <v>0</v>
      </c>
      <c r="J903" s="11">
        <v>0</v>
      </c>
      <c r="K903" s="11" t="s">
        <v>21</v>
      </c>
      <c r="L903" s="7">
        <v>42446.822870370372</v>
      </c>
      <c r="M903" s="12" t="s">
        <v>2481</v>
      </c>
      <c r="N903" s="12" t="s">
        <v>2482</v>
      </c>
      <c r="O903" s="10" t="str">
        <f>HYPERLINK("https://pbs.twimg.com/profile_images/710494317421400064/KSQWG4Kw_normal.jpg","View")</f>
        <v>View</v>
      </c>
      <c r="P903" s="11"/>
    </row>
    <row r="904" spans="1:16" ht="12.75" x14ac:dyDescent="0.35">
      <c r="A904" s="7">
        <v>42481.729363425926</v>
      </c>
      <c r="B904" s="8" t="str">
        <f>HYPERLINK("https://twitter.com/dermaschinist","@dermaschinist")</f>
        <v>@dermaschinist</v>
      </c>
      <c r="C904" s="9" t="s">
        <v>2483</v>
      </c>
      <c r="D904" s="9" t="s">
        <v>2484</v>
      </c>
      <c r="E904" s="10" t="str">
        <f>HYPERLINK("https://twitter.com/dermaschinist/status/723119161606574081","723119161606574081")</f>
        <v>723119161606574081</v>
      </c>
      <c r="F904" s="11" t="s">
        <v>2485</v>
      </c>
      <c r="G904" s="11">
        <v>1832</v>
      </c>
      <c r="H904" s="11">
        <v>1014</v>
      </c>
      <c r="I904" s="11">
        <v>0</v>
      </c>
      <c r="J904" s="11">
        <v>0</v>
      </c>
      <c r="K904" s="11" t="s">
        <v>21</v>
      </c>
      <c r="L904" s="7">
        <v>40022.197916666664</v>
      </c>
      <c r="M904" s="12"/>
      <c r="N904" s="12" t="s">
        <v>2486</v>
      </c>
      <c r="O904" s="10" t="str">
        <f>HYPERLINK("https://pbs.twimg.com/profile_images/2990215932/3d67f4dbdf71510d4c8e81b422b73de8_normal.jpeg","View")</f>
        <v>View</v>
      </c>
      <c r="P904" s="11"/>
    </row>
    <row r="905" spans="1:16" ht="12.75" x14ac:dyDescent="0.35">
      <c r="A905" s="7">
        <v>42481.729618055557</v>
      </c>
      <c r="B905" s="8" t="str">
        <f>HYPERLINK("https://twitter.com/kngeuro","@kngeuro")</f>
        <v>@kngeuro</v>
      </c>
      <c r="C905" s="9" t="s">
        <v>833</v>
      </c>
      <c r="D905" s="9" t="s">
        <v>2487</v>
      </c>
      <c r="E905" s="10" t="str">
        <f>HYPERLINK("https://twitter.com/kngeuro/status/723119254657241088","723119254657241088")</f>
        <v>723119254657241088</v>
      </c>
      <c r="F905" s="11" t="s">
        <v>53</v>
      </c>
      <c r="G905" s="11">
        <v>760</v>
      </c>
      <c r="H905" s="11">
        <v>451</v>
      </c>
      <c r="I905" s="11">
        <v>2</v>
      </c>
      <c r="J905" s="11">
        <v>0</v>
      </c>
      <c r="K905" s="11" t="s">
        <v>21</v>
      </c>
      <c r="L905" s="7">
        <v>40319.120925925927</v>
      </c>
      <c r="M905" s="12" t="s">
        <v>835</v>
      </c>
      <c r="N905" s="12" t="s">
        <v>836</v>
      </c>
      <c r="O905" s="10" t="str">
        <f>HYPERLINK("https://pbs.twimg.com/profile_images/570375988065935360/ooT_Nq7x_normal.jpeg","View")</f>
        <v>View</v>
      </c>
      <c r="P905" s="11"/>
    </row>
    <row r="906" spans="1:16" ht="12.75" x14ac:dyDescent="0.35">
      <c r="A906" s="7">
        <v>42481.729641203703</v>
      </c>
      <c r="B906" s="8" t="str">
        <f>HYPERLINK("https://twitter.com/WIAT42","@WIAT42")</f>
        <v>@WIAT42</v>
      </c>
      <c r="C906" s="9" t="s">
        <v>2488</v>
      </c>
      <c r="D906" s="9" t="s">
        <v>2489</v>
      </c>
      <c r="E906" s="10" t="str">
        <f>HYPERLINK("https://twitter.com/WIAT42/status/723119262966009856","723119262966009856")</f>
        <v>723119262966009856</v>
      </c>
      <c r="F906" s="10" t="s">
        <v>2076</v>
      </c>
      <c r="G906" s="11">
        <v>30892</v>
      </c>
      <c r="H906" s="11">
        <v>1425</v>
      </c>
      <c r="I906" s="11">
        <v>2</v>
      </c>
      <c r="J906" s="11">
        <v>0</v>
      </c>
      <c r="K906" s="11" t="s">
        <v>21</v>
      </c>
      <c r="L906" s="7">
        <v>39562.10229166667</v>
      </c>
      <c r="M906" s="12" t="s">
        <v>2490</v>
      </c>
      <c r="N906" s="12" t="s">
        <v>2491</v>
      </c>
      <c r="O906" s="10" t="str">
        <f>HYPERLINK("https://pbs.twimg.com/profile_images/604398644410777600/M9wZ3s4s_normal.png","View")</f>
        <v>View</v>
      </c>
      <c r="P906" s="11"/>
    </row>
    <row r="907" spans="1:16" ht="12.75" x14ac:dyDescent="0.35">
      <c r="A907" s="7">
        <v>42481.729849537034</v>
      </c>
      <c r="B907" s="8" t="str">
        <f>HYPERLINK("https://twitter.com/vagmenhq","@vagmenhq")</f>
        <v>@vagmenhq</v>
      </c>
      <c r="C907" s="9" t="s">
        <v>2492</v>
      </c>
      <c r="D907" s="9" t="s">
        <v>2493</v>
      </c>
      <c r="E907" s="10" t="str">
        <f>HYPERLINK("https://twitter.com/vagmenhq/status/723119337557602305","723119337557602305")</f>
        <v>723119337557602305</v>
      </c>
      <c r="F907" s="11" t="s">
        <v>53</v>
      </c>
      <c r="G907" s="11">
        <v>157</v>
      </c>
      <c r="H907" s="11">
        <v>92</v>
      </c>
      <c r="I907" s="11">
        <v>0</v>
      </c>
      <c r="J907" s="11">
        <v>0</v>
      </c>
      <c r="K907" s="11" t="s">
        <v>21</v>
      </c>
      <c r="L907" s="7">
        <v>41401.814722222218</v>
      </c>
      <c r="M907" s="12" t="s">
        <v>2494</v>
      </c>
      <c r="N907" s="12" t="s">
        <v>2495</v>
      </c>
      <c r="O907" s="10" t="str">
        <f>HYPERLINK("https://pbs.twimg.com/profile_images/446781974452371456/rqBZF-KN_normal.jpeg","View")</f>
        <v>View</v>
      </c>
      <c r="P907" s="11"/>
    </row>
    <row r="908" spans="1:16" ht="12.75" x14ac:dyDescent="0.35">
      <c r="A908" s="7">
        <v>42481.729930555557</v>
      </c>
      <c r="B908" s="8" t="str">
        <f>HYPERLINK("https://twitter.com/techhippie","@techhippie")</f>
        <v>@techhippie</v>
      </c>
      <c r="C908" s="9" t="s">
        <v>246</v>
      </c>
      <c r="D908" s="9" t="s">
        <v>2496</v>
      </c>
      <c r="E908" s="10" t="str">
        <f>HYPERLINK("https://twitter.com/techhippie/status/723119367341412352","723119367341412352")</f>
        <v>723119367341412352</v>
      </c>
      <c r="F908" s="11" t="s">
        <v>68</v>
      </c>
      <c r="G908" s="11">
        <v>2471</v>
      </c>
      <c r="H908" s="11">
        <v>3835</v>
      </c>
      <c r="I908" s="11">
        <v>0</v>
      </c>
      <c r="J908" s="11">
        <v>0</v>
      </c>
      <c r="K908" s="11" t="s">
        <v>21</v>
      </c>
      <c r="L908" s="7">
        <v>42424.852152777778</v>
      </c>
      <c r="M908" s="12" t="s">
        <v>248</v>
      </c>
      <c r="N908" s="12" t="s">
        <v>249</v>
      </c>
      <c r="O908" s="10" t="str">
        <f>HYPERLINK("https://pbs.twimg.com/profile_images/702511217793863680/lty8h9vE_normal.jpg","View")</f>
        <v>View</v>
      </c>
      <c r="P908" s="11"/>
    </row>
    <row r="909" spans="1:16" ht="12.75" x14ac:dyDescent="0.35">
      <c r="A909" s="7">
        <v>42481.730046296296</v>
      </c>
      <c r="B909" s="8" t="str">
        <f>HYPERLINK("https://twitter.com/pphunky","@pphunky")</f>
        <v>@pphunky</v>
      </c>
      <c r="C909" s="9" t="s">
        <v>2497</v>
      </c>
      <c r="D909" s="9" t="s">
        <v>2423</v>
      </c>
      <c r="E909" s="10" t="str">
        <f>HYPERLINK("https://twitter.com/pphunky/status/723119408579792896","723119408579792896")</f>
        <v>723119408579792896</v>
      </c>
      <c r="F909" s="11" t="s">
        <v>20</v>
      </c>
      <c r="G909" s="11">
        <v>98</v>
      </c>
      <c r="H909" s="11">
        <v>1286</v>
      </c>
      <c r="I909" s="11">
        <v>10</v>
      </c>
      <c r="J909" s="11">
        <v>0</v>
      </c>
      <c r="K909" s="11" t="s">
        <v>21</v>
      </c>
      <c r="L909" s="7">
        <v>40518.007673611108</v>
      </c>
      <c r="M909" s="12"/>
      <c r="N909" s="12"/>
      <c r="O909" s="10" t="str">
        <f>HYPERLINK("https://pbs.twimg.com/profile_images/1190749746/image_normal.jpg","View")</f>
        <v>View</v>
      </c>
      <c r="P909" s="11"/>
    </row>
    <row r="910" spans="1:16" ht="12.75" x14ac:dyDescent="0.35">
      <c r="A910" s="7">
        <v>42481.731238425928</v>
      </c>
      <c r="B910" s="8" t="str">
        <f>HYPERLINK("https://twitter.com/PeterConstant","@PeterConstant")</f>
        <v>@PeterConstant</v>
      </c>
      <c r="C910" s="9" t="s">
        <v>2498</v>
      </c>
      <c r="D910" s="9" t="s">
        <v>2499</v>
      </c>
      <c r="E910" s="10" t="str">
        <f>HYPERLINK("https://twitter.com/PeterConstant/status/723119840580395009","723119840580395009")</f>
        <v>723119840580395009</v>
      </c>
      <c r="F910" s="11" t="s">
        <v>43</v>
      </c>
      <c r="G910" s="11">
        <v>373</v>
      </c>
      <c r="H910" s="11">
        <v>1069</v>
      </c>
      <c r="I910" s="11">
        <v>0</v>
      </c>
      <c r="J910" s="11">
        <v>0</v>
      </c>
      <c r="K910" s="11" t="s">
        <v>21</v>
      </c>
      <c r="L910" s="7">
        <v>40880.997858796298</v>
      </c>
      <c r="M910" s="12" t="s">
        <v>2500</v>
      </c>
      <c r="N910" s="12" t="s">
        <v>2501</v>
      </c>
      <c r="O910" s="10" t="str">
        <f>HYPERLINK("https://abs.twimg.com/sticky/default_profile_images/default_profile_5_normal.png","View")</f>
        <v>View</v>
      </c>
      <c r="P910" s="11"/>
    </row>
    <row r="911" spans="1:16" ht="12.75" x14ac:dyDescent="0.35">
      <c r="A911" s="7">
        <v>42481.731249999997</v>
      </c>
      <c r="B911" s="8" t="str">
        <f>HYPERLINK("https://twitter.com/Decafinator","@Decafinator")</f>
        <v>@Decafinator</v>
      </c>
      <c r="C911" s="9" t="s">
        <v>2502</v>
      </c>
      <c r="D911" s="9" t="s">
        <v>2503</v>
      </c>
      <c r="E911" s="10" t="str">
        <f>HYPERLINK("https://twitter.com/Decafinator/status/723119846167203840","723119846167203840")</f>
        <v>723119846167203840</v>
      </c>
      <c r="F911" s="11" t="s">
        <v>43</v>
      </c>
      <c r="G911" s="11">
        <v>766</v>
      </c>
      <c r="H911" s="11">
        <v>918</v>
      </c>
      <c r="I911" s="11">
        <v>2</v>
      </c>
      <c r="J911" s="11">
        <v>0</v>
      </c>
      <c r="K911" s="11" t="s">
        <v>21</v>
      </c>
      <c r="L911" s="7">
        <v>39921.708495370374</v>
      </c>
      <c r="M911" s="12" t="s">
        <v>2504</v>
      </c>
      <c r="N911" s="12" t="s">
        <v>2505</v>
      </c>
      <c r="O911" s="10" t="str">
        <f>HYPERLINK("https://pbs.twimg.com/profile_images/642837022965522432/8L7ZHdgl_normal.jpg","View")</f>
        <v>View</v>
      </c>
      <c r="P911" s="11"/>
    </row>
    <row r="912" spans="1:16" ht="12.75" x14ac:dyDescent="0.35">
      <c r="A912" s="7">
        <v>42481.732187500005</v>
      </c>
      <c r="B912" s="8" t="str">
        <f>HYPERLINK("https://twitter.com/paulrobertsrcz","@paulrobertsrcz")</f>
        <v>@paulrobertsrcz</v>
      </c>
      <c r="C912" s="9" t="s">
        <v>2506</v>
      </c>
      <c r="D912" s="9" t="s">
        <v>1955</v>
      </c>
      <c r="E912" s="10" t="str">
        <f>HYPERLINK("https://twitter.com/paulrobertsrcz/status/723120183829733376","723120183829733376")</f>
        <v>723120183829733376</v>
      </c>
      <c r="F912" s="11" t="s">
        <v>48</v>
      </c>
      <c r="G912" s="11">
        <v>116</v>
      </c>
      <c r="H912" s="11">
        <v>68</v>
      </c>
      <c r="I912" s="11">
        <v>2</v>
      </c>
      <c r="J912" s="11">
        <v>0</v>
      </c>
      <c r="K912" s="11" t="s">
        <v>21</v>
      </c>
      <c r="L912" s="7">
        <v>42199.058182870373</v>
      </c>
      <c r="M912" s="12" t="s">
        <v>2507</v>
      </c>
      <c r="N912" s="12" t="s">
        <v>2508</v>
      </c>
      <c r="O912" s="10" t="str">
        <f>HYPERLINK("https://pbs.twimg.com/profile_images/721744365744427008/6HnVLqsd_normal.jpg","View")</f>
        <v>View</v>
      </c>
      <c r="P912" s="11"/>
    </row>
    <row r="913" spans="1:16" ht="12.75" x14ac:dyDescent="0.35">
      <c r="A913" s="7">
        <v>42481.732615740737</v>
      </c>
      <c r="B913" s="8" t="str">
        <f>HYPERLINK("https://twitter.com/ConsumerSOS","@ConsumerSOS")</f>
        <v>@ConsumerSOS</v>
      </c>
      <c r="C913" s="9" t="s">
        <v>2509</v>
      </c>
      <c r="D913" s="9" t="s">
        <v>2510</v>
      </c>
      <c r="E913" s="10" t="str">
        <f>HYPERLINK("https://twitter.com/ConsumerSOS/status/723120339006459904","723120339006459904")</f>
        <v>723120339006459904</v>
      </c>
      <c r="F913" s="11" t="s">
        <v>20</v>
      </c>
      <c r="G913" s="11">
        <v>5433</v>
      </c>
      <c r="H913" s="11">
        <v>3768</v>
      </c>
      <c r="I913" s="11">
        <v>0</v>
      </c>
      <c r="J913" s="11">
        <v>2</v>
      </c>
      <c r="K913" s="11" t="s">
        <v>21</v>
      </c>
      <c r="L913" s="7">
        <v>39802.334953703699</v>
      </c>
      <c r="M913" s="12" t="s">
        <v>2511</v>
      </c>
      <c r="N913" s="12" t="s">
        <v>2512</v>
      </c>
      <c r="O913" s="10" t="str">
        <f>HYPERLINK("https://pbs.twimg.com/profile_images/613314855534067712/hWfpdtSO_normal.jpg","View")</f>
        <v>View</v>
      </c>
      <c r="P913" s="11"/>
    </row>
    <row r="914" spans="1:16" ht="12.75" x14ac:dyDescent="0.35">
      <c r="A914" s="7">
        <v>42481.733043981483</v>
      </c>
      <c r="B914" s="8" t="str">
        <f>HYPERLINK("https://twitter.com/bvdvliet","@bvdvliet")</f>
        <v>@bvdvliet</v>
      </c>
      <c r="C914" s="9" t="s">
        <v>2513</v>
      </c>
      <c r="D914" s="9" t="s">
        <v>2302</v>
      </c>
      <c r="E914" s="10" t="str">
        <f>HYPERLINK("https://twitter.com/bvdvliet/status/723120492996079616","723120492996079616")</f>
        <v>723120492996079616</v>
      </c>
      <c r="F914" s="11" t="s">
        <v>20</v>
      </c>
      <c r="G914" s="11">
        <v>158</v>
      </c>
      <c r="H914" s="11">
        <v>267</v>
      </c>
      <c r="I914" s="11">
        <v>2</v>
      </c>
      <c r="J914" s="11">
        <v>0</v>
      </c>
      <c r="K914" s="11" t="s">
        <v>21</v>
      </c>
      <c r="L914" s="7">
        <v>41594.873657407406</v>
      </c>
      <c r="M914" s="12"/>
      <c r="N914" s="12"/>
      <c r="O914" s="10" t="str">
        <f>HYPERLINK("https://pbs.twimg.com/profile_images/378800000747750946/394d9f0f5e6dde5137683d9c98c5c8a9_normal.jpeg","View")</f>
        <v>View</v>
      </c>
      <c r="P914" s="11"/>
    </row>
    <row r="915" spans="1:16" ht="12.75" x14ac:dyDescent="0.35">
      <c r="A915" s="7">
        <v>42481.733344907407</v>
      </c>
      <c r="B915" s="8" t="str">
        <f>HYPERLINK("https://twitter.com/RSTOKAR","@RSTOKAR")</f>
        <v>@RSTOKAR</v>
      </c>
      <c r="C915" s="9" t="s">
        <v>2514</v>
      </c>
      <c r="D915" s="9" t="s">
        <v>2423</v>
      </c>
      <c r="E915" s="10" t="str">
        <f>HYPERLINK("https://twitter.com/RSTOKAR/status/723120605730471940","723120605730471940")</f>
        <v>723120605730471940</v>
      </c>
      <c r="F915" s="11" t="s">
        <v>43</v>
      </c>
      <c r="G915" s="11">
        <v>154</v>
      </c>
      <c r="H915" s="11">
        <v>333</v>
      </c>
      <c r="I915" s="11">
        <v>10</v>
      </c>
      <c r="J915" s="11">
        <v>0</v>
      </c>
      <c r="K915" s="11" t="s">
        <v>21</v>
      </c>
      <c r="L915" s="7">
        <v>41055.080138888887</v>
      </c>
      <c r="M915" s="12" t="s">
        <v>2515</v>
      </c>
      <c r="N915" s="12" t="s">
        <v>2516</v>
      </c>
      <c r="O915" s="10" t="str">
        <f>HYPERLINK("https://pbs.twimg.com/profile_images/3282181310/09912193e3b2ecc229b9028eb0f19def_normal.jpeg","View")</f>
        <v>View</v>
      </c>
      <c r="P915" s="11"/>
    </row>
    <row r="916" spans="1:16" ht="12.75" x14ac:dyDescent="0.35">
      <c r="A916" s="7">
        <v>42481.7347337963</v>
      </c>
      <c r="B916" s="8" t="str">
        <f>HYPERLINK("https://twitter.com/MarkoJokela","@MarkoJokela")</f>
        <v>@MarkoJokela</v>
      </c>
      <c r="C916" s="9" t="s">
        <v>2185</v>
      </c>
      <c r="D916" s="9" t="s">
        <v>2517</v>
      </c>
      <c r="E916" s="10" t="str">
        <f>HYPERLINK("https://twitter.com/MarkoJokela/status/723121107709075456","723121107709075456")</f>
        <v>723121107709075456</v>
      </c>
      <c r="F916" s="11" t="s">
        <v>20</v>
      </c>
      <c r="G916" s="11">
        <v>915</v>
      </c>
      <c r="H916" s="11">
        <v>542</v>
      </c>
      <c r="I916" s="11">
        <v>0</v>
      </c>
      <c r="J916" s="11">
        <v>1</v>
      </c>
      <c r="K916" s="11" t="s">
        <v>21</v>
      </c>
      <c r="L916" s="7">
        <v>41246.59652777778</v>
      </c>
      <c r="M916" s="12" t="s">
        <v>2187</v>
      </c>
      <c r="N916" s="12" t="s">
        <v>2188</v>
      </c>
      <c r="O916" s="10" t="str">
        <f>HYPERLINK("https://pbs.twimg.com/profile_images/432785601452982272/RWDE1b--_normal.jpeg","View")</f>
        <v>View</v>
      </c>
      <c r="P916" s="11"/>
    </row>
    <row r="917" spans="1:16" ht="12.75" x14ac:dyDescent="0.35">
      <c r="A917" s="7">
        <v>42481.734814814816</v>
      </c>
      <c r="B917" s="8" t="str">
        <f>HYPERLINK("https://twitter.com/aktionaer","@aktionaer")</f>
        <v>@aktionaer</v>
      </c>
      <c r="C917" s="9" t="s">
        <v>1252</v>
      </c>
      <c r="D917" s="9" t="s">
        <v>2518</v>
      </c>
      <c r="E917" s="10" t="str">
        <f>HYPERLINK("https://twitter.com/aktionaer/status/723121135575916545","723121135575916545")</f>
        <v>723121135575916545</v>
      </c>
      <c r="F917" s="11" t="s">
        <v>43</v>
      </c>
      <c r="G917" s="11">
        <v>4631</v>
      </c>
      <c r="H917" s="11">
        <v>1111</v>
      </c>
      <c r="I917" s="11">
        <v>0</v>
      </c>
      <c r="J917" s="11">
        <v>0</v>
      </c>
      <c r="K917" s="11" t="s">
        <v>21</v>
      </c>
      <c r="L917" s="7">
        <v>39844.695729166662</v>
      </c>
      <c r="M917" s="12" t="s">
        <v>1254</v>
      </c>
      <c r="N917" s="12" t="s">
        <v>1255</v>
      </c>
      <c r="O917" s="10" t="str">
        <f>HYPERLINK("https://pbs.twimg.com/profile_images/679552623641509888/_vPw9IS2_normal.png","View")</f>
        <v>View</v>
      </c>
      <c r="P917" s="11"/>
    </row>
    <row r="918" spans="1:16" ht="12.75" x14ac:dyDescent="0.35">
      <c r="A918" s="7">
        <v>42481.73542824074</v>
      </c>
      <c r="B918" s="8" t="str">
        <f>HYPERLINK("https://twitter.com/cmsGOMEX","@cmsGOMEX")</f>
        <v>@cmsGOMEX</v>
      </c>
      <c r="C918" s="9" t="s">
        <v>2519</v>
      </c>
      <c r="D918" s="9" t="s">
        <v>2520</v>
      </c>
      <c r="E918" s="10" t="str">
        <f>HYPERLINK("https://twitter.com/cmsGOMEX/status/723121359467909121","723121359467909121")</f>
        <v>723121359467909121</v>
      </c>
      <c r="F918" s="11" t="s">
        <v>43</v>
      </c>
      <c r="G918" s="11">
        <v>653</v>
      </c>
      <c r="H918" s="11">
        <v>462</v>
      </c>
      <c r="I918" s="11">
        <v>0</v>
      </c>
      <c r="J918" s="11">
        <v>0</v>
      </c>
      <c r="K918" s="11" t="s">
        <v>21</v>
      </c>
      <c r="L918" s="7">
        <v>39983.775879629626</v>
      </c>
      <c r="M918" s="12" t="s">
        <v>1116</v>
      </c>
      <c r="N918" s="12" t="s">
        <v>2521</v>
      </c>
      <c r="O918" s="10" t="str">
        <f>HYPERLINK("https://pbs.twimg.com/profile_images/472298206483607552/UogAMiRI_normal.png","View")</f>
        <v>View</v>
      </c>
      <c r="P918" s="11"/>
    </row>
    <row r="919" spans="1:16" ht="12.75" x14ac:dyDescent="0.35">
      <c r="A919" s="7">
        <v>42481.735995370371</v>
      </c>
      <c r="B919" s="8" t="str">
        <f t="shared" ref="B919:B921" si="91">HYPERLINK("https://twitter.com/DubLuvTuning","@DubLuvTuning")</f>
        <v>@DubLuvTuning</v>
      </c>
      <c r="C919" s="9" t="s">
        <v>299</v>
      </c>
      <c r="D919" s="9" t="s">
        <v>2522</v>
      </c>
      <c r="E919" s="10" t="str">
        <f>HYPERLINK("https://twitter.com/DubLuvTuning/status/723121565408342020","723121565408342020")</f>
        <v>723121565408342020</v>
      </c>
      <c r="F919" s="11" t="s">
        <v>288</v>
      </c>
      <c r="G919" s="11">
        <v>690</v>
      </c>
      <c r="H919" s="11">
        <v>431</v>
      </c>
      <c r="I919" s="11">
        <v>1</v>
      </c>
      <c r="J919" s="11">
        <v>0</v>
      </c>
      <c r="K919" s="11" t="s">
        <v>21</v>
      </c>
      <c r="L919" s="7">
        <v>41549.898287037038</v>
      </c>
      <c r="M919" s="12" t="s">
        <v>301</v>
      </c>
      <c r="N919" s="12" t="s">
        <v>302</v>
      </c>
      <c r="O919" s="10" t="str">
        <f t="shared" ref="O919:O921" si="92">HYPERLINK("https://pbs.twimg.com/profile_images/378800000572104796/1de43e1cf23efb3f4101c02afad0d3b6_normal.png","View")</f>
        <v>View</v>
      </c>
      <c r="P919" s="11"/>
    </row>
    <row r="920" spans="1:16" ht="12.75" x14ac:dyDescent="0.35">
      <c r="A920" s="7">
        <v>42481.735995370371</v>
      </c>
      <c r="B920" s="8" t="str">
        <f t="shared" si="91"/>
        <v>@DubLuvTuning</v>
      </c>
      <c r="C920" s="9" t="s">
        <v>299</v>
      </c>
      <c r="D920" s="9" t="s">
        <v>2523</v>
      </c>
      <c r="E920" s="10" t="str">
        <f>HYPERLINK("https://twitter.com/DubLuvTuning/status/723121566129741824","723121566129741824")</f>
        <v>723121566129741824</v>
      </c>
      <c r="F920" s="11" t="s">
        <v>288</v>
      </c>
      <c r="G920" s="11">
        <v>690</v>
      </c>
      <c r="H920" s="11">
        <v>431</v>
      </c>
      <c r="I920" s="11">
        <v>2</v>
      </c>
      <c r="J920" s="11">
        <v>0</v>
      </c>
      <c r="K920" s="11" t="s">
        <v>21</v>
      </c>
      <c r="L920" s="7">
        <v>41549.898287037038</v>
      </c>
      <c r="M920" s="12" t="s">
        <v>301</v>
      </c>
      <c r="N920" s="12" t="s">
        <v>302</v>
      </c>
      <c r="O920" s="10" t="str">
        <f t="shared" si="92"/>
        <v>View</v>
      </c>
      <c r="P920" s="11"/>
    </row>
    <row r="921" spans="1:16" ht="12.75" x14ac:dyDescent="0.35">
      <c r="A921" s="7">
        <v>42481.73600694444</v>
      </c>
      <c r="B921" s="8" t="str">
        <f t="shared" si="91"/>
        <v>@DubLuvTuning</v>
      </c>
      <c r="C921" s="9" t="s">
        <v>299</v>
      </c>
      <c r="D921" s="9" t="s">
        <v>2524</v>
      </c>
      <c r="E921" s="10" t="str">
        <f>HYPERLINK("https://twitter.com/DubLuvTuning/status/723121567375437824","723121567375437824")</f>
        <v>723121567375437824</v>
      </c>
      <c r="F921" s="11" t="s">
        <v>288</v>
      </c>
      <c r="G921" s="11">
        <v>690</v>
      </c>
      <c r="H921" s="11">
        <v>431</v>
      </c>
      <c r="I921" s="11">
        <v>2</v>
      </c>
      <c r="J921" s="11">
        <v>0</v>
      </c>
      <c r="K921" s="11" t="s">
        <v>21</v>
      </c>
      <c r="L921" s="7">
        <v>41549.898287037038</v>
      </c>
      <c r="M921" s="12" t="s">
        <v>301</v>
      </c>
      <c r="N921" s="12" t="s">
        <v>302</v>
      </c>
      <c r="O921" s="10" t="str">
        <f t="shared" si="92"/>
        <v>View</v>
      </c>
      <c r="P921" s="11"/>
    </row>
    <row r="922" spans="1:16" ht="12.75" x14ac:dyDescent="0.35">
      <c r="A922" s="7">
        <v>42481.736111111109</v>
      </c>
      <c r="B922" s="8" t="str">
        <f>HYPERLINK("https://twitter.com/CordwallisGroup","@CordwallisGroup")</f>
        <v>@CordwallisGroup</v>
      </c>
      <c r="C922" s="9" t="s">
        <v>2525</v>
      </c>
      <c r="D922" s="9" t="s">
        <v>2526</v>
      </c>
      <c r="E922" s="10" t="str">
        <f>HYPERLINK("https://twitter.com/CordwallisGroup/status/723121607783272449","723121607783272449")</f>
        <v>723121607783272449</v>
      </c>
      <c r="F922" s="11" t="s">
        <v>43</v>
      </c>
      <c r="G922" s="11">
        <v>980</v>
      </c>
      <c r="H922" s="11">
        <v>1522</v>
      </c>
      <c r="I922" s="11">
        <v>0</v>
      </c>
      <c r="J922" s="11">
        <v>0</v>
      </c>
      <c r="K922" s="11" t="s">
        <v>21</v>
      </c>
      <c r="L922" s="7">
        <v>40050.575787037036</v>
      </c>
      <c r="M922" s="12" t="s">
        <v>2527</v>
      </c>
      <c r="N922" s="12" t="s">
        <v>2528</v>
      </c>
      <c r="O922" s="10" t="str">
        <f>HYPERLINK("https://pbs.twimg.com/profile_images/2342275131/7y3aojour1wv5eptfttj_normal.png","View")</f>
        <v>View</v>
      </c>
      <c r="P922" s="11"/>
    </row>
    <row r="923" spans="1:16" ht="12.75" x14ac:dyDescent="0.35">
      <c r="A923" s="7">
        <v>42481.736168981486</v>
      </c>
      <c r="B923" s="8" t="str">
        <f>HYPERLINK("https://twitter.com/pochotcom","@pochotcom")</f>
        <v>@pochotcom</v>
      </c>
      <c r="C923" s="9" t="s">
        <v>2529</v>
      </c>
      <c r="D923" s="9" t="s">
        <v>2530</v>
      </c>
      <c r="E923" s="10" t="str">
        <f>HYPERLINK("https://twitter.com/pochotcom/status/723121629044301825","723121629044301825")</f>
        <v>723121629044301825</v>
      </c>
      <c r="F923" s="11" t="s">
        <v>20</v>
      </c>
      <c r="G923" s="11">
        <v>1019</v>
      </c>
      <c r="H923" s="11">
        <v>1436</v>
      </c>
      <c r="I923" s="11">
        <v>1</v>
      </c>
      <c r="J923" s="11">
        <v>0</v>
      </c>
      <c r="K923" s="11" t="s">
        <v>21</v>
      </c>
      <c r="L923" s="7">
        <v>41241.593842592592</v>
      </c>
      <c r="M923" s="12" t="s">
        <v>2531</v>
      </c>
      <c r="N923" s="12" t="s">
        <v>2532</v>
      </c>
      <c r="O923" s="10" t="str">
        <f>HYPERLINK("https://pbs.twimg.com/profile_images/3320583681/4cf05549dc8209dff98e4b9b09a11b44_normal.jpeg","View")</f>
        <v>View</v>
      </c>
      <c r="P923" s="11"/>
    </row>
    <row r="924" spans="1:16" ht="12.75" x14ac:dyDescent="0.35">
      <c r="A924" s="7">
        <v>42481.736273148148</v>
      </c>
      <c r="B924" s="8" t="str">
        <f>HYPERLINK("https://twitter.com/lennbc","@lennbc")</f>
        <v>@lennbc</v>
      </c>
      <c r="C924" s="9" t="s">
        <v>2533</v>
      </c>
      <c r="D924" s="9" t="s">
        <v>2534</v>
      </c>
      <c r="E924" s="10" t="str">
        <f>HYPERLINK("https://twitter.com/lennbc/status/723121665803210752","723121665803210752")</f>
        <v>723121665803210752</v>
      </c>
      <c r="F924" s="11" t="s">
        <v>20</v>
      </c>
      <c r="G924" s="11">
        <v>4091</v>
      </c>
      <c r="H924" s="11">
        <v>2108</v>
      </c>
      <c r="I924" s="11">
        <v>0</v>
      </c>
      <c r="J924" s="11">
        <v>0</v>
      </c>
      <c r="K924" s="11" t="s">
        <v>21</v>
      </c>
      <c r="L924" s="7">
        <v>40104.930902777778</v>
      </c>
      <c r="M924" s="12" t="s">
        <v>2535</v>
      </c>
      <c r="N924" s="12" t="s">
        <v>2536</v>
      </c>
      <c r="O924" s="10" t="str">
        <f>HYPERLINK("https://pbs.twimg.com/profile_images/1114950889/image_normal.jpg","View")</f>
        <v>View</v>
      </c>
      <c r="P924" s="11"/>
    </row>
    <row r="925" spans="1:16" ht="12.75" x14ac:dyDescent="0.35">
      <c r="A925" s="7">
        <v>42481.737233796295</v>
      </c>
      <c r="B925" s="8" t="str">
        <f>HYPERLINK("https://twitter.com/NorthWestDubs","@NorthWestDubs")</f>
        <v>@NorthWestDubs</v>
      </c>
      <c r="C925" s="9" t="s">
        <v>2537</v>
      </c>
      <c r="D925" s="9" t="s">
        <v>2523</v>
      </c>
      <c r="E925" s="10" t="str">
        <f>HYPERLINK("https://twitter.com/NorthWestDubs/status/723122014874132480","723122014874132480")</f>
        <v>723122014874132480</v>
      </c>
      <c r="F925" s="11" t="s">
        <v>288</v>
      </c>
      <c r="G925" s="11">
        <v>774</v>
      </c>
      <c r="H925" s="11">
        <v>543</v>
      </c>
      <c r="I925" s="11">
        <v>2</v>
      </c>
      <c r="J925" s="11">
        <v>0</v>
      </c>
      <c r="K925" s="11" t="s">
        <v>21</v>
      </c>
      <c r="L925" s="7">
        <v>41052.970451388886</v>
      </c>
      <c r="M925" s="12" t="s">
        <v>2538</v>
      </c>
      <c r="N925" s="12" t="s">
        <v>2539</v>
      </c>
      <c r="O925" s="10" t="str">
        <f>HYPERLINK("https://pbs.twimg.com/profile_images/3325520037/cf2027069deae5dc44e82172d33a6683_normal.jpeg","View")</f>
        <v>View</v>
      </c>
      <c r="P925" s="11"/>
    </row>
    <row r="926" spans="1:16" ht="12.75" x14ac:dyDescent="0.35">
      <c r="A926" s="7">
        <v>42481.737523148149</v>
      </c>
      <c r="B926" s="8" t="str">
        <f>HYPERLINK("https://twitter.com/PaolettoDoro","@PaolettoDoro")</f>
        <v>@PaolettoDoro</v>
      </c>
      <c r="C926" s="9" t="s">
        <v>2540</v>
      </c>
      <c r="D926" s="9" t="s">
        <v>2541</v>
      </c>
      <c r="E926" s="10" t="str">
        <f>HYPERLINK("https://twitter.com/PaolettoDoro/status/723122115961081857","723122115961081857")</f>
        <v>723122115961081857</v>
      </c>
      <c r="F926" s="11" t="s">
        <v>48</v>
      </c>
      <c r="G926" s="11">
        <v>272</v>
      </c>
      <c r="H926" s="11">
        <v>141</v>
      </c>
      <c r="I926" s="11">
        <v>1</v>
      </c>
      <c r="J926" s="11">
        <v>0</v>
      </c>
      <c r="K926" s="11" t="s">
        <v>21</v>
      </c>
      <c r="L926" s="7">
        <v>42144.799027777779</v>
      </c>
      <c r="M926" s="12" t="s">
        <v>2542</v>
      </c>
      <c r="N926" s="12" t="s">
        <v>2543</v>
      </c>
      <c r="O926" s="10" t="str">
        <f>HYPERLINK("https://pbs.twimg.com/profile_images/719116119676751873/joqZkyAQ_normal.jpg","View")</f>
        <v>View</v>
      </c>
      <c r="P926" s="11"/>
    </row>
    <row r="927" spans="1:16" ht="12.75" x14ac:dyDescent="0.35">
      <c r="A927" s="7">
        <v>42481.737650462965</v>
      </c>
      <c r="B927" s="8" t="str">
        <f>HYPERLINK("https://twitter.com/radiotool","@radiotool")</f>
        <v>@radiotool</v>
      </c>
      <c r="C927" s="9" t="s">
        <v>2544</v>
      </c>
      <c r="D927" s="9" t="s">
        <v>2545</v>
      </c>
      <c r="E927" s="10" t="str">
        <f>HYPERLINK("https://twitter.com/radiotool/status/723122164593876993","723122164593876993")</f>
        <v>723122164593876993</v>
      </c>
      <c r="F927" s="11" t="s">
        <v>20</v>
      </c>
      <c r="G927" s="11">
        <v>731</v>
      </c>
      <c r="H927" s="11">
        <v>668</v>
      </c>
      <c r="I927" s="11">
        <v>0</v>
      </c>
      <c r="J927" s="11">
        <v>0</v>
      </c>
      <c r="K927" s="11" t="s">
        <v>21</v>
      </c>
      <c r="L927" s="7">
        <v>39715.248831018514</v>
      </c>
      <c r="M927" s="12" t="s">
        <v>2546</v>
      </c>
      <c r="N927" s="12" t="s">
        <v>2547</v>
      </c>
      <c r="O927" s="10" t="str">
        <f>HYPERLINK("https://pbs.twimg.com/profile_images/618632809339432960/eMmhsqgG_normal.jpg","View")</f>
        <v>View</v>
      </c>
      <c r="P927" s="11"/>
    </row>
    <row r="928" spans="1:16" ht="12.75" x14ac:dyDescent="0.35">
      <c r="A928" s="7">
        <v>42481.737870370373</v>
      </c>
      <c r="B928" s="8" t="str">
        <f t="shared" ref="B928:B930" si="93">HYPERLINK("https://twitter.com/VWCamperSales","@VWCamperSales")</f>
        <v>@VWCamperSales</v>
      </c>
      <c r="C928" s="9" t="s">
        <v>216</v>
      </c>
      <c r="D928" s="9" t="s">
        <v>2548</v>
      </c>
      <c r="E928" s="10" t="str">
        <f>HYPERLINK("https://twitter.com/VWCamperSales/status/723122243912372226","723122243912372226")</f>
        <v>723122243912372226</v>
      </c>
      <c r="F928" s="10" t="s">
        <v>124</v>
      </c>
      <c r="G928" s="11">
        <v>615</v>
      </c>
      <c r="H928" s="11">
        <v>580</v>
      </c>
      <c r="I928" s="11">
        <v>0</v>
      </c>
      <c r="J928" s="11">
        <v>0</v>
      </c>
      <c r="K928" s="11" t="s">
        <v>21</v>
      </c>
      <c r="L928" s="7">
        <v>42215.98809027778</v>
      </c>
      <c r="M928" s="12" t="s">
        <v>129</v>
      </c>
      <c r="N928" s="12" t="s">
        <v>218</v>
      </c>
      <c r="O928" s="10" t="str">
        <f t="shared" ref="O928:O930" si="94">HYPERLINK("https://pbs.twimg.com/profile_images/627949001179037696/skEBkS05_normal.jpg","View")</f>
        <v>View</v>
      </c>
      <c r="P928" s="11"/>
    </row>
    <row r="929" spans="1:16" ht="12.75" x14ac:dyDescent="0.35">
      <c r="A929" s="7">
        <v>42481.737881944442</v>
      </c>
      <c r="B929" s="8" t="str">
        <f t="shared" si="93"/>
        <v>@VWCamperSales</v>
      </c>
      <c r="C929" s="9" t="s">
        <v>216</v>
      </c>
      <c r="D929" s="9" t="s">
        <v>2549</v>
      </c>
      <c r="E929" s="10" t="str">
        <f>HYPERLINK("https://twitter.com/VWCamperSales/status/723122247603384321","723122247603384321")</f>
        <v>723122247603384321</v>
      </c>
      <c r="F929" s="10" t="s">
        <v>124</v>
      </c>
      <c r="G929" s="11">
        <v>615</v>
      </c>
      <c r="H929" s="11">
        <v>580</v>
      </c>
      <c r="I929" s="11">
        <v>0</v>
      </c>
      <c r="J929" s="11">
        <v>0</v>
      </c>
      <c r="K929" s="11" t="s">
        <v>21</v>
      </c>
      <c r="L929" s="7">
        <v>42215.98809027778</v>
      </c>
      <c r="M929" s="12" t="s">
        <v>129</v>
      </c>
      <c r="N929" s="12" t="s">
        <v>218</v>
      </c>
      <c r="O929" s="10" t="str">
        <f t="shared" si="94"/>
        <v>View</v>
      </c>
      <c r="P929" s="11"/>
    </row>
    <row r="930" spans="1:16" ht="12.75" x14ac:dyDescent="0.35">
      <c r="A930" s="7">
        <v>42481.737893518519</v>
      </c>
      <c r="B930" s="8" t="str">
        <f t="shared" si="93"/>
        <v>@VWCamperSales</v>
      </c>
      <c r="C930" s="9" t="s">
        <v>216</v>
      </c>
      <c r="D930" s="9" t="s">
        <v>2550</v>
      </c>
      <c r="E930" s="10" t="str">
        <f>HYPERLINK("https://twitter.com/VWCamperSales/status/723122251470503936","723122251470503936")</f>
        <v>723122251470503936</v>
      </c>
      <c r="F930" s="10" t="s">
        <v>124</v>
      </c>
      <c r="G930" s="11">
        <v>615</v>
      </c>
      <c r="H930" s="11">
        <v>580</v>
      </c>
      <c r="I930" s="11">
        <v>0</v>
      </c>
      <c r="J930" s="11">
        <v>0</v>
      </c>
      <c r="K930" s="11" t="s">
        <v>21</v>
      </c>
      <c r="L930" s="7">
        <v>42215.98809027778</v>
      </c>
      <c r="M930" s="12" t="s">
        <v>129</v>
      </c>
      <c r="N930" s="12" t="s">
        <v>218</v>
      </c>
      <c r="O930" s="10" t="str">
        <f t="shared" si="94"/>
        <v>View</v>
      </c>
      <c r="P930" s="11"/>
    </row>
    <row r="931" spans="1:16" ht="12.75" x14ac:dyDescent="0.35">
      <c r="A931" s="7">
        <v>42481.738703703704</v>
      </c>
      <c r="B931" s="8" t="str">
        <f>HYPERLINK("https://twitter.com/rotefahnenews","@rotefahnenews")</f>
        <v>@rotefahnenews</v>
      </c>
      <c r="C931" s="9" t="s">
        <v>2551</v>
      </c>
      <c r="D931" s="9" t="s">
        <v>2552</v>
      </c>
      <c r="E931" s="10" t="str">
        <f>HYPERLINK("https://twitter.com/rotefahnenews/status/723122543553445888","723122543553445888")</f>
        <v>723122543553445888</v>
      </c>
      <c r="F931" s="11" t="s">
        <v>43</v>
      </c>
      <c r="G931" s="11">
        <v>2060</v>
      </c>
      <c r="H931" s="11">
        <v>1119</v>
      </c>
      <c r="I931" s="11">
        <v>1</v>
      </c>
      <c r="J931" s="11">
        <v>0</v>
      </c>
      <c r="K931" s="11" t="s">
        <v>21</v>
      </c>
      <c r="L931" s="7">
        <v>40181.758923611109</v>
      </c>
      <c r="M931" s="12" t="s">
        <v>262</v>
      </c>
      <c r="N931" s="12" t="s">
        <v>2553</v>
      </c>
      <c r="O931" s="10" t="str">
        <f>HYPERLINK("https://pbs.twimg.com/profile_images/607397136/image_normal.gif","View")</f>
        <v>View</v>
      </c>
      <c r="P931" s="11"/>
    </row>
    <row r="932" spans="1:16" ht="12.75" x14ac:dyDescent="0.35">
      <c r="A932" s="7">
        <v>42481.738715277781</v>
      </c>
      <c r="B932" s="8" t="str">
        <f t="shared" ref="B932:B933" si="95">HYPERLINK("https://twitter.com/ae_cuellar","@ae_cuellar")</f>
        <v>@ae_cuellar</v>
      </c>
      <c r="C932" s="9" t="s">
        <v>2554</v>
      </c>
      <c r="D932" s="9" t="s">
        <v>1996</v>
      </c>
      <c r="E932" s="10" t="str">
        <f>HYPERLINK("https://twitter.com/ae_cuellar/status/723122549295570944","723122549295570944")</f>
        <v>723122549295570944</v>
      </c>
      <c r="F932" s="11" t="s">
        <v>48</v>
      </c>
      <c r="G932" s="11">
        <v>188</v>
      </c>
      <c r="H932" s="11">
        <v>75</v>
      </c>
      <c r="I932" s="11">
        <v>5</v>
      </c>
      <c r="J932" s="11">
        <v>0</v>
      </c>
      <c r="K932" s="11" t="s">
        <v>21</v>
      </c>
      <c r="L932" s="7">
        <v>40969.987175925926</v>
      </c>
      <c r="M932" s="12" t="s">
        <v>2555</v>
      </c>
      <c r="N932" s="12" t="s">
        <v>2556</v>
      </c>
      <c r="O932" s="10" t="str">
        <f t="shared" ref="O932:O933" si="96">HYPERLINK("https://pbs.twimg.com/profile_images/1865228787/seat_pp_normal.jpg","View")</f>
        <v>View</v>
      </c>
      <c r="P932" s="11"/>
    </row>
    <row r="933" spans="1:16" ht="12.75" x14ac:dyDescent="0.35">
      <c r="A933" s="7">
        <v>42481.738761574074</v>
      </c>
      <c r="B933" s="8" t="str">
        <f t="shared" si="95"/>
        <v>@ae_cuellar</v>
      </c>
      <c r="C933" s="9" t="s">
        <v>2554</v>
      </c>
      <c r="D933" s="9" t="s">
        <v>2557</v>
      </c>
      <c r="E933" s="10" t="str">
        <f>HYPERLINK("https://twitter.com/ae_cuellar/status/723122568031535104","723122568031535104")</f>
        <v>723122568031535104</v>
      </c>
      <c r="F933" s="11" t="s">
        <v>53</v>
      </c>
      <c r="G933" s="11">
        <v>188</v>
      </c>
      <c r="H933" s="11">
        <v>75</v>
      </c>
      <c r="I933" s="11">
        <v>0</v>
      </c>
      <c r="J933" s="11">
        <v>1</v>
      </c>
      <c r="K933" s="11" t="s">
        <v>21</v>
      </c>
      <c r="L933" s="7">
        <v>40969.987175925926</v>
      </c>
      <c r="M933" s="12" t="s">
        <v>2555</v>
      </c>
      <c r="N933" s="12" t="s">
        <v>2556</v>
      </c>
      <c r="O933" s="10" t="str">
        <f t="shared" si="96"/>
        <v>View</v>
      </c>
      <c r="P933" s="11"/>
    </row>
    <row r="934" spans="1:16" ht="12.75" x14ac:dyDescent="0.35">
      <c r="A934" s="7">
        <v>42481.738900462966</v>
      </c>
      <c r="B934" s="8" t="str">
        <f>HYPERLINK("https://twitter.com/swanswaygroup","@swanswaygroup")</f>
        <v>@swanswaygroup</v>
      </c>
      <c r="C934" s="9" t="s">
        <v>2558</v>
      </c>
      <c r="D934" s="9" t="s">
        <v>2559</v>
      </c>
      <c r="E934" s="10" t="str">
        <f>HYPERLINK("https://twitter.com/swanswaygroup/status/723122617012514817","723122617012514817")</f>
        <v>723122617012514817</v>
      </c>
      <c r="F934" s="11" t="s">
        <v>140</v>
      </c>
      <c r="G934" s="11">
        <v>6195</v>
      </c>
      <c r="H934" s="11">
        <v>4459</v>
      </c>
      <c r="I934" s="11">
        <v>1</v>
      </c>
      <c r="J934" s="11">
        <v>0</v>
      </c>
      <c r="K934" s="11" t="s">
        <v>21</v>
      </c>
      <c r="L934" s="7">
        <v>40137.651365740741</v>
      </c>
      <c r="M934" s="12" t="s">
        <v>2560</v>
      </c>
      <c r="N934" s="12" t="s">
        <v>2561</v>
      </c>
      <c r="O934" s="10" t="str">
        <f>HYPERLINK("https://pbs.twimg.com/profile_images/552037189328982016/r65JRGTS_normal.jpeg","View")</f>
        <v>View</v>
      </c>
      <c r="P934" s="11"/>
    </row>
    <row r="935" spans="1:16" ht="12.75" x14ac:dyDescent="0.35">
      <c r="A935" s="7">
        <v>42481.738900462966</v>
      </c>
      <c r="B935" s="8" t="str">
        <f>HYPERLINK("https://twitter.com/crewevw","@crewevw")</f>
        <v>@crewevw</v>
      </c>
      <c r="C935" s="9" t="s">
        <v>2562</v>
      </c>
      <c r="D935" s="9" t="s">
        <v>2563</v>
      </c>
      <c r="E935" s="10" t="str">
        <f>HYPERLINK("https://twitter.com/crewevw/status/723122617889095682","723122617889095682")</f>
        <v>723122617889095682</v>
      </c>
      <c r="F935" s="11" t="s">
        <v>140</v>
      </c>
      <c r="G935" s="11">
        <v>2779</v>
      </c>
      <c r="H935" s="11">
        <v>2269</v>
      </c>
      <c r="I935" s="11">
        <v>1</v>
      </c>
      <c r="J935" s="11">
        <v>1</v>
      </c>
      <c r="K935" s="11" t="s">
        <v>21</v>
      </c>
      <c r="L935" s="7">
        <v>40240.83458333333</v>
      </c>
      <c r="M935" s="12" t="s">
        <v>2564</v>
      </c>
      <c r="N935" s="12" t="s">
        <v>2565</v>
      </c>
      <c r="O935" s="10" t="str">
        <f>HYPERLINK("https://pbs.twimg.com/profile_images/488678354338324481/_qtBruR6_normal.jpeg","View")</f>
        <v>View</v>
      </c>
      <c r="P935" s="11"/>
    </row>
    <row r="936" spans="1:16" ht="12.75" x14ac:dyDescent="0.35">
      <c r="A936" s="7">
        <v>42481.739108796297</v>
      </c>
      <c r="B936" s="8" t="str">
        <f>HYPERLINK("https://twitter.com/aktionaer","@aktionaer")</f>
        <v>@aktionaer</v>
      </c>
      <c r="C936" s="9" t="s">
        <v>1252</v>
      </c>
      <c r="D936" s="9" t="s">
        <v>2566</v>
      </c>
      <c r="E936" s="10" t="str">
        <f>HYPERLINK("https://twitter.com/aktionaer/status/723122692891762692","723122692891762692")</f>
        <v>723122692891762692</v>
      </c>
      <c r="F936" s="11" t="s">
        <v>2567</v>
      </c>
      <c r="G936" s="11">
        <v>4631</v>
      </c>
      <c r="H936" s="11">
        <v>1111</v>
      </c>
      <c r="I936" s="11">
        <v>0</v>
      </c>
      <c r="J936" s="11">
        <v>0</v>
      </c>
      <c r="K936" s="11" t="s">
        <v>21</v>
      </c>
      <c r="L936" s="7">
        <v>39844.695729166662</v>
      </c>
      <c r="M936" s="12" t="s">
        <v>1254</v>
      </c>
      <c r="N936" s="12" t="s">
        <v>1255</v>
      </c>
      <c r="O936" s="10" t="str">
        <f>HYPERLINK("https://pbs.twimg.com/profile_images/679552623641509888/_vPw9IS2_normal.png","View")</f>
        <v>View</v>
      </c>
      <c r="P936" s="11"/>
    </row>
    <row r="937" spans="1:16" ht="12.75" x14ac:dyDescent="0.35">
      <c r="A937" s="7">
        <v>42481.739317129628</v>
      </c>
      <c r="B937" s="8" t="str">
        <f>HYPERLINK("https://twitter.com/shamereflect","@shamereflect")</f>
        <v>@shamereflect</v>
      </c>
      <c r="C937" s="9" t="s">
        <v>2113</v>
      </c>
      <c r="D937" s="9" t="s">
        <v>2568</v>
      </c>
      <c r="E937" s="10" t="str">
        <f>HYPERLINK("https://twitter.com/shamereflect/status/723122769332867072","723122769332867072")</f>
        <v>723122769332867072</v>
      </c>
      <c r="F937" s="11" t="s">
        <v>43</v>
      </c>
      <c r="G937" s="11">
        <v>8</v>
      </c>
      <c r="H937" s="11">
        <v>105</v>
      </c>
      <c r="I937" s="11">
        <v>0</v>
      </c>
      <c r="J937" s="11">
        <v>0</v>
      </c>
      <c r="K937" s="11" t="s">
        <v>21</v>
      </c>
      <c r="L937" s="7">
        <v>42137.803935185184</v>
      </c>
      <c r="M937" s="12"/>
      <c r="N937" s="12" t="s">
        <v>2115</v>
      </c>
      <c r="O937" s="10" t="str">
        <f>HYPERLINK("https://pbs.twimg.com/profile_images/598485163241267200/wFl-W3I2_normal.jpg","View")</f>
        <v>View</v>
      </c>
      <c r="P937" s="11"/>
    </row>
    <row r="938" spans="1:16" ht="12.75" x14ac:dyDescent="0.35">
      <c r="A938" s="7">
        <v>42481.74013888889</v>
      </c>
      <c r="B938" s="8" t="str">
        <f>HYPERLINK("https://twitter.com/SloughSwapmeet","@SloughSwapmeet")</f>
        <v>@SloughSwapmeet</v>
      </c>
      <c r="C938" s="9" t="s">
        <v>2569</v>
      </c>
      <c r="D938" s="9" t="s">
        <v>2570</v>
      </c>
      <c r="E938" s="10" t="str">
        <f>HYPERLINK("https://twitter.com/SloughSwapmeet/status/723123067619147779","723123067619147779")</f>
        <v>723123067619147779</v>
      </c>
      <c r="F938" s="11" t="s">
        <v>114</v>
      </c>
      <c r="G938" s="11">
        <v>9</v>
      </c>
      <c r="H938" s="11">
        <v>33</v>
      </c>
      <c r="I938" s="11">
        <v>0</v>
      </c>
      <c r="J938" s="11">
        <v>0</v>
      </c>
      <c r="K938" s="11" t="s">
        <v>21</v>
      </c>
      <c r="L938" s="7">
        <v>42474.046539351853</v>
      </c>
      <c r="M938" s="12" t="s">
        <v>2571</v>
      </c>
      <c r="N938" s="12" t="s">
        <v>2572</v>
      </c>
      <c r="O938" s="10" t="str">
        <f>HYPERLINK("https://pbs.twimg.com/profile_images/720336295822823424/zexFaGmZ_normal.jpg","View")</f>
        <v>View</v>
      </c>
      <c r="P938" s="11"/>
    </row>
    <row r="939" spans="1:16" ht="12.75" x14ac:dyDescent="0.35">
      <c r="A939" s="7">
        <v>42481.741354166668</v>
      </c>
      <c r="B939" s="8" t="str">
        <f>HYPERLINK("https://twitter.com/OerlikonGroup","@OerlikonGroup")</f>
        <v>@OerlikonGroup</v>
      </c>
      <c r="C939" s="9" t="s">
        <v>2573</v>
      </c>
      <c r="D939" s="9" t="s">
        <v>2574</v>
      </c>
      <c r="E939" s="10" t="str">
        <f>HYPERLINK("https://twitter.com/OerlikonGroup/status/723123505655468032","723123505655468032")</f>
        <v>723123505655468032</v>
      </c>
      <c r="F939" s="11" t="s">
        <v>43</v>
      </c>
      <c r="G939" s="11">
        <v>848</v>
      </c>
      <c r="H939" s="11">
        <v>5</v>
      </c>
      <c r="I939" s="11">
        <v>1</v>
      </c>
      <c r="J939" s="11">
        <v>1</v>
      </c>
      <c r="K939" s="11" t="s">
        <v>21</v>
      </c>
      <c r="L939" s="7">
        <v>41036.757094907407</v>
      </c>
      <c r="M939" s="12"/>
      <c r="N939" s="12" t="s">
        <v>2575</v>
      </c>
      <c r="O939" s="10" t="str">
        <f>HYPERLINK("https://pbs.twimg.com/profile_images/378800000190719226/b77e55769d8dad9e6ea8d8c41c7c27bf_normal.png","View")</f>
        <v>View</v>
      </c>
      <c r="P939" s="11"/>
    </row>
    <row r="940" spans="1:16" ht="12.75" x14ac:dyDescent="0.35">
      <c r="A940" s="7">
        <v>42481.741377314815</v>
      </c>
      <c r="B940" s="8" t="str">
        <f>HYPERLINK("https://twitter.com/VRwatchingU","@VRwatchingU")</f>
        <v>@VRwatchingU</v>
      </c>
      <c r="C940" s="9" t="s">
        <v>2280</v>
      </c>
      <c r="D940" s="9" t="s">
        <v>2576</v>
      </c>
      <c r="E940" s="10" t="str">
        <f>HYPERLINK("https://twitter.com/VRwatchingU/status/723123514593538048","723123514593538048")</f>
        <v>723123514593538048</v>
      </c>
      <c r="F940" s="11" t="s">
        <v>43</v>
      </c>
      <c r="G940" s="11">
        <v>1060</v>
      </c>
      <c r="H940" s="11">
        <v>997</v>
      </c>
      <c r="I940" s="11">
        <v>0</v>
      </c>
      <c r="J940" s="11">
        <v>0</v>
      </c>
      <c r="K940" s="11" t="s">
        <v>21</v>
      </c>
      <c r="L940" s="7">
        <v>40789.069664351853</v>
      </c>
      <c r="M940" s="12" t="s">
        <v>2282</v>
      </c>
      <c r="N940" s="12" t="s">
        <v>2283</v>
      </c>
      <c r="O940" s="10" t="str">
        <f>HYPERLINK("https://pbs.twimg.com/profile_images/1616567344/VRwatch2_normal.jpg","View")</f>
        <v>View</v>
      </c>
      <c r="P940" s="11"/>
    </row>
    <row r="941" spans="1:16" ht="12.75" x14ac:dyDescent="0.35">
      <c r="A941" s="7">
        <v>42481.741516203707</v>
      </c>
      <c r="B941" s="8" t="str">
        <f t="shared" ref="B941:B942" si="97">HYPERLINK("https://twitter.com/shamereflect","@shamereflect")</f>
        <v>@shamereflect</v>
      </c>
      <c r="C941" s="9" t="s">
        <v>2113</v>
      </c>
      <c r="D941" s="9" t="s">
        <v>2577</v>
      </c>
      <c r="E941" s="10" t="str">
        <f>HYPERLINK("https://twitter.com/shamereflect/status/723123564262477824","723123564262477824")</f>
        <v>723123564262477824</v>
      </c>
      <c r="F941" s="11" t="s">
        <v>43</v>
      </c>
      <c r="G941" s="11">
        <v>8</v>
      </c>
      <c r="H941" s="11">
        <v>105</v>
      </c>
      <c r="I941" s="11">
        <v>0</v>
      </c>
      <c r="J941" s="11">
        <v>0</v>
      </c>
      <c r="K941" s="11" t="s">
        <v>21</v>
      </c>
      <c r="L941" s="7">
        <v>42137.803935185184</v>
      </c>
      <c r="M941" s="12"/>
      <c r="N941" s="12" t="s">
        <v>2115</v>
      </c>
      <c r="O941" s="10" t="str">
        <f t="shared" ref="O941:O942" si="98">HYPERLINK("https://pbs.twimg.com/profile_images/598485163241267200/wFl-W3I2_normal.jpg","View")</f>
        <v>View</v>
      </c>
      <c r="P941" s="11"/>
    </row>
    <row r="942" spans="1:16" ht="12.75" x14ac:dyDescent="0.35">
      <c r="A942" s="7">
        <v>42481.742060185185</v>
      </c>
      <c r="B942" s="8" t="str">
        <f t="shared" si="97"/>
        <v>@shamereflect</v>
      </c>
      <c r="C942" s="9" t="s">
        <v>2113</v>
      </c>
      <c r="D942" s="9" t="s">
        <v>2578</v>
      </c>
      <c r="E942" s="10" t="str">
        <f>HYPERLINK("https://twitter.com/shamereflect/status/723123760664965120","723123760664965120")</f>
        <v>723123760664965120</v>
      </c>
      <c r="F942" s="11" t="s">
        <v>43</v>
      </c>
      <c r="G942" s="11">
        <v>8</v>
      </c>
      <c r="H942" s="11">
        <v>105</v>
      </c>
      <c r="I942" s="11">
        <v>0</v>
      </c>
      <c r="J942" s="11">
        <v>1</v>
      </c>
      <c r="K942" s="11" t="s">
        <v>21</v>
      </c>
      <c r="L942" s="7">
        <v>42137.803935185184</v>
      </c>
      <c r="M942" s="12"/>
      <c r="N942" s="12" t="s">
        <v>2115</v>
      </c>
      <c r="O942" s="10" t="str">
        <f t="shared" si="98"/>
        <v>View</v>
      </c>
      <c r="P942" s="11"/>
    </row>
    <row r="943" spans="1:16" ht="12.75" x14ac:dyDescent="0.35">
      <c r="A943" s="7">
        <v>42481.74282407407</v>
      </c>
      <c r="B943" s="8" t="str">
        <f>HYPERLINK("https://twitter.com/deutch_az","@deutch_az")</f>
        <v>@deutch_az</v>
      </c>
      <c r="C943" s="9" t="s">
        <v>1188</v>
      </c>
      <c r="D943" s="9" t="s">
        <v>2579</v>
      </c>
      <c r="E943" s="10" t="str">
        <f>HYPERLINK("https://twitter.com/deutch_az/status/723124039305187328","723124039305187328")</f>
        <v>723124039305187328</v>
      </c>
      <c r="F943" s="11" t="s">
        <v>43</v>
      </c>
      <c r="G943" s="11">
        <v>521</v>
      </c>
      <c r="H943" s="11">
        <v>1444</v>
      </c>
      <c r="I943" s="11">
        <v>1</v>
      </c>
      <c r="J943" s="11">
        <v>0</v>
      </c>
      <c r="K943" s="11" t="s">
        <v>21</v>
      </c>
      <c r="L943" s="7">
        <v>42305.594456018516</v>
      </c>
      <c r="M943" s="12"/>
      <c r="N943" s="12"/>
      <c r="O943" s="10" t="str">
        <f>HYPERLINK("https://pbs.twimg.com/profile_images/659295730222280705/W1FqHCVo_normal.jpg","View")</f>
        <v>View</v>
      </c>
      <c r="P943" s="11"/>
    </row>
    <row r="944" spans="1:16" ht="12.75" x14ac:dyDescent="0.35">
      <c r="A944" s="7">
        <v>42481.742939814816</v>
      </c>
      <c r="B944" s="8" t="str">
        <f>HYPERLINK("https://twitter.com/esdefren_az","@esdefren_az")</f>
        <v>@esdefren_az</v>
      </c>
      <c r="C944" s="9" t="s">
        <v>2580</v>
      </c>
      <c r="D944" s="9" t="s">
        <v>2581</v>
      </c>
      <c r="E944" s="10" t="str">
        <f>HYPERLINK("https://twitter.com/esdefren_az/status/723124082741399558","723124082741399558")</f>
        <v>723124082741399558</v>
      </c>
      <c r="F944" s="11" t="s">
        <v>43</v>
      </c>
      <c r="G944" s="11">
        <v>26</v>
      </c>
      <c r="H944" s="11">
        <v>41</v>
      </c>
      <c r="I944" s="11">
        <v>1</v>
      </c>
      <c r="J944" s="11">
        <v>0</v>
      </c>
      <c r="K944" s="11" t="s">
        <v>21</v>
      </c>
      <c r="L944" s="7">
        <v>42478.740671296298</v>
      </c>
      <c r="M944" s="12"/>
      <c r="N944" s="12"/>
      <c r="O944" s="10" t="str">
        <f>HYPERLINK("https://pbs.twimg.com/profile_images/722036542416556034/a5ulwDIW_normal.jpg","View")</f>
        <v>View</v>
      </c>
      <c r="P944" s="11"/>
    </row>
    <row r="945" spans="1:16" ht="12.75" x14ac:dyDescent="0.35">
      <c r="A945" s="7">
        <v>42481.743969907402</v>
      </c>
      <c r="B945" s="8" t="str">
        <f>HYPERLINK("https://twitter.com/saudi_carz","@saudi_carz")</f>
        <v>@saudi_carz</v>
      </c>
      <c r="C945" s="9" t="s">
        <v>2582</v>
      </c>
      <c r="D945" s="9" t="s">
        <v>2423</v>
      </c>
      <c r="E945" s="10" t="str">
        <f>HYPERLINK("https://twitter.com/saudi_carz/status/723124455854202880","723124455854202880")</f>
        <v>723124455854202880</v>
      </c>
      <c r="F945" s="11" t="s">
        <v>20</v>
      </c>
      <c r="G945" s="11">
        <v>263</v>
      </c>
      <c r="H945" s="11">
        <v>812</v>
      </c>
      <c r="I945" s="11">
        <v>10</v>
      </c>
      <c r="J945" s="11">
        <v>0</v>
      </c>
      <c r="K945" s="11" t="s">
        <v>21</v>
      </c>
      <c r="L945" s="7">
        <v>40704.095011574071</v>
      </c>
      <c r="M945" s="12"/>
      <c r="N945" s="12" t="s">
        <v>2583</v>
      </c>
      <c r="O945" s="10" t="str">
        <f>HYPERLINK("https://pbs.twimg.com/profile_images/669116837360246784/ej1M5xaG_normal.jpg","View")</f>
        <v>View</v>
      </c>
      <c r="P945" s="11"/>
    </row>
    <row r="946" spans="1:16" ht="12.75" x14ac:dyDescent="0.35">
      <c r="A946" s="7">
        <v>42481.744444444441</v>
      </c>
      <c r="B946" s="8" t="str">
        <f>HYPERLINK("https://twitter.com/ae_cuellar","@ae_cuellar")</f>
        <v>@ae_cuellar</v>
      </c>
      <c r="C946" s="9" t="s">
        <v>2554</v>
      </c>
      <c r="D946" s="9" t="s">
        <v>2584</v>
      </c>
      <c r="E946" s="10" t="str">
        <f>HYPERLINK("https://twitter.com/ae_cuellar/status/723124625610301440","723124625610301440")</f>
        <v>723124625610301440</v>
      </c>
      <c r="F946" s="11" t="s">
        <v>53</v>
      </c>
      <c r="G946" s="11">
        <v>188</v>
      </c>
      <c r="H946" s="11">
        <v>75</v>
      </c>
      <c r="I946" s="11">
        <v>0</v>
      </c>
      <c r="J946" s="11">
        <v>1</v>
      </c>
      <c r="K946" s="11" t="s">
        <v>21</v>
      </c>
      <c r="L946" s="7">
        <v>40969.987175925926</v>
      </c>
      <c r="M946" s="12" t="s">
        <v>2555</v>
      </c>
      <c r="N946" s="12" t="s">
        <v>2556</v>
      </c>
      <c r="O946" s="10" t="str">
        <f>HYPERLINK("https://pbs.twimg.com/profile_images/1865228787/seat_pp_normal.jpg","View")</f>
        <v>View</v>
      </c>
      <c r="P946" s="11"/>
    </row>
    <row r="947" spans="1:16" ht="12.75" x14ac:dyDescent="0.35">
      <c r="A947" s="7">
        <v>42481.745763888888</v>
      </c>
      <c r="B947" s="8" t="str">
        <f>HYPERLINK("https://twitter.com/Baum_Reiter","@Baum_Reiter")</f>
        <v>@Baum_Reiter</v>
      </c>
      <c r="C947" s="9" t="s">
        <v>2585</v>
      </c>
      <c r="D947" s="9" t="s">
        <v>2586</v>
      </c>
      <c r="E947" s="10" t="str">
        <f>HYPERLINK("https://twitter.com/Baum_Reiter/status/723125106118004737","723125106118004737")</f>
        <v>723125106118004737</v>
      </c>
      <c r="F947" s="11" t="s">
        <v>43</v>
      </c>
      <c r="G947" s="11">
        <v>174</v>
      </c>
      <c r="H947" s="11">
        <v>23</v>
      </c>
      <c r="I947" s="11">
        <v>0</v>
      </c>
      <c r="J947" s="11">
        <v>0</v>
      </c>
      <c r="K947" s="11" t="s">
        <v>21</v>
      </c>
      <c r="L947" s="7">
        <v>41344.152384259258</v>
      </c>
      <c r="M947" s="12" t="s">
        <v>2587</v>
      </c>
      <c r="N947" s="12" t="s">
        <v>2588</v>
      </c>
      <c r="O947" s="10" t="str">
        <f>HYPERLINK("https://pbs.twimg.com/profile_images/646694490569318400/VDYV8UdL_normal.jpg","View")</f>
        <v>View</v>
      </c>
      <c r="P947" s="11"/>
    </row>
    <row r="948" spans="1:16" ht="12.75" x14ac:dyDescent="0.35">
      <c r="A948" s="7">
        <v>42481.74732638889</v>
      </c>
      <c r="B948" s="8" t="str">
        <f>HYPERLINK("https://twitter.com/hyoutanntugi","@hyoutanntugi")</f>
        <v>@hyoutanntugi</v>
      </c>
      <c r="C948" s="9" t="s">
        <v>2589</v>
      </c>
      <c r="D948" s="9" t="s">
        <v>2590</v>
      </c>
      <c r="E948" s="10" t="str">
        <f>HYPERLINK("https://twitter.com/hyoutanntugi/status/723125669459189761","723125669459189761")</f>
        <v>723125669459189761</v>
      </c>
      <c r="F948" s="11" t="s">
        <v>43</v>
      </c>
      <c r="G948" s="11">
        <v>70</v>
      </c>
      <c r="H948" s="11">
        <v>59</v>
      </c>
      <c r="I948" s="11">
        <v>0</v>
      </c>
      <c r="J948" s="11">
        <v>0</v>
      </c>
      <c r="K948" s="11" t="s">
        <v>21</v>
      </c>
      <c r="L948" s="7">
        <v>40627.816307870373</v>
      </c>
      <c r="M948" s="12" t="s">
        <v>2591</v>
      </c>
      <c r="N948" s="12" t="s">
        <v>2592</v>
      </c>
      <c r="O948" s="10" t="str">
        <f>HYPERLINK("https://pbs.twimg.com/profile_images/1341393807/14171822_s_1__normal.jpg","View")</f>
        <v>View</v>
      </c>
      <c r="P948" s="11"/>
    </row>
    <row r="949" spans="1:16" ht="12.75" x14ac:dyDescent="0.35">
      <c r="A949" s="7">
        <v>42481.748449074075</v>
      </c>
      <c r="B949" s="8" t="str">
        <f>HYPERLINK("https://twitter.com/noz_de","@noz_de")</f>
        <v>@noz_de</v>
      </c>
      <c r="C949" s="9" t="s">
        <v>2593</v>
      </c>
      <c r="D949" s="9" t="s">
        <v>2594</v>
      </c>
      <c r="E949" s="10" t="str">
        <f>HYPERLINK("https://twitter.com/noz_de/status/723126076805931008","723126076805931008")</f>
        <v>723126076805931008</v>
      </c>
      <c r="F949" s="11" t="s">
        <v>63</v>
      </c>
      <c r="G949" s="11">
        <v>11052</v>
      </c>
      <c r="H949" s="11">
        <v>361</v>
      </c>
      <c r="I949" s="11">
        <v>1</v>
      </c>
      <c r="J949" s="11">
        <v>1</v>
      </c>
      <c r="K949" s="11" t="s">
        <v>21</v>
      </c>
      <c r="L949" s="7">
        <v>39906.609907407408</v>
      </c>
      <c r="M949" s="12" t="s">
        <v>2595</v>
      </c>
      <c r="N949" s="12" t="s">
        <v>2596</v>
      </c>
      <c r="O949" s="10" t="str">
        <f>HYPERLINK("https://pbs.twimg.com/profile_images/632074137289277440/vJykSc8L_normal.png","View")</f>
        <v>View</v>
      </c>
      <c r="P949" s="11"/>
    </row>
    <row r="950" spans="1:16" ht="12.75" x14ac:dyDescent="0.35">
      <c r="A950" s="7">
        <v>42481.748692129629</v>
      </c>
      <c r="B950" s="8" t="str">
        <f>HYPERLINK("https://twitter.com/noz_el","@noz_el")</f>
        <v>@noz_el</v>
      </c>
      <c r="C950" s="9" t="s">
        <v>2597</v>
      </c>
      <c r="D950" s="9" t="s">
        <v>2598</v>
      </c>
      <c r="E950" s="10" t="str">
        <f>HYPERLINK("https://twitter.com/noz_el/status/723126164244574208","723126164244574208")</f>
        <v>723126164244574208</v>
      </c>
      <c r="F950" s="11" t="s">
        <v>63</v>
      </c>
      <c r="G950" s="11">
        <v>1530</v>
      </c>
      <c r="H950" s="11">
        <v>80</v>
      </c>
      <c r="I950" s="11">
        <v>1</v>
      </c>
      <c r="J950" s="11">
        <v>0</v>
      </c>
      <c r="K950" s="11" t="s">
        <v>21</v>
      </c>
      <c r="L950" s="7">
        <v>41292.907337962963</v>
      </c>
      <c r="M950" s="12" t="s">
        <v>2595</v>
      </c>
      <c r="N950" s="12" t="s">
        <v>2599</v>
      </c>
      <c r="O950" s="10" t="str">
        <f>HYPERLINK("https://pbs.twimg.com/profile_images/632074492798443520/j3zHKAI2_normal.png","View")</f>
        <v>View</v>
      </c>
      <c r="P950" s="11"/>
    </row>
    <row r="951" spans="1:16" ht="12.75" x14ac:dyDescent="0.35">
      <c r="A951" s="7">
        <v>42481.749247685184</v>
      </c>
      <c r="B951" s="8" t="str">
        <f>HYPERLINK("https://twitter.com/hameles","@hameles")</f>
        <v>@hameles</v>
      </c>
      <c r="C951" s="9" t="s">
        <v>2600</v>
      </c>
      <c r="D951" s="9" t="s">
        <v>2601</v>
      </c>
      <c r="E951" s="10" t="str">
        <f>HYPERLINK("https://twitter.com/hameles/status/723126367441850368","723126367441850368")</f>
        <v>723126367441850368</v>
      </c>
      <c r="F951" s="11" t="s">
        <v>367</v>
      </c>
      <c r="G951" s="11">
        <v>257</v>
      </c>
      <c r="H951" s="11">
        <v>164</v>
      </c>
      <c r="I951" s="11">
        <v>1</v>
      </c>
      <c r="J951" s="11">
        <v>0</v>
      </c>
      <c r="K951" s="11" t="s">
        <v>21</v>
      </c>
      <c r="L951" s="7">
        <v>41789.724826388891</v>
      </c>
      <c r="M951" s="12"/>
      <c r="N951" s="12"/>
      <c r="O951" s="10" t="str">
        <f>HYPERLINK("https://pbs.twimg.com/profile_images/720884007152394240/OWYVobwN_normal.jpg","View")</f>
        <v>View</v>
      </c>
      <c r="P951" s="11"/>
    </row>
    <row r="952" spans="1:16" ht="12.75" x14ac:dyDescent="0.35">
      <c r="A952" s="7">
        <v>42481.74962962963</v>
      </c>
      <c r="B952" s="8" t="str">
        <f>HYPERLINK("https://twitter.com/RWFleetServices","@RWFleetServices")</f>
        <v>@RWFleetServices</v>
      </c>
      <c r="C952" s="9" t="s">
        <v>2602</v>
      </c>
      <c r="D952" s="9" t="s">
        <v>2603</v>
      </c>
      <c r="E952" s="10" t="str">
        <f>HYPERLINK("https://twitter.com/RWFleetServices/status/723126504457154560","723126504457154560")</f>
        <v>723126504457154560</v>
      </c>
      <c r="F952" s="11" t="s">
        <v>2604</v>
      </c>
      <c r="G952" s="11">
        <v>289</v>
      </c>
      <c r="H952" s="11">
        <v>261</v>
      </c>
      <c r="I952" s="11">
        <v>0</v>
      </c>
      <c r="J952" s="11">
        <v>0</v>
      </c>
      <c r="K952" s="11" t="s">
        <v>21</v>
      </c>
      <c r="L952" s="7">
        <v>41607.82476851852</v>
      </c>
      <c r="M952" s="12" t="s">
        <v>2605</v>
      </c>
      <c r="N952" s="12" t="s">
        <v>2606</v>
      </c>
      <c r="O952" s="10" t="str">
        <f>HYPERLINK("https://pbs.twimg.com/profile_images/710902676310134784/rj4E7WD1_normal.jpg","View")</f>
        <v>View</v>
      </c>
      <c r="P952" s="11"/>
    </row>
    <row r="953" spans="1:16" ht="12.75" x14ac:dyDescent="0.35">
      <c r="A953" s="7">
        <v>42481.749814814815</v>
      </c>
      <c r="B953" s="8" t="str">
        <f>HYPERLINK("https://twitter.com/flpmontanheiro","@flpmontanheiro")</f>
        <v>@flpmontanheiro</v>
      </c>
      <c r="C953" s="9" t="s">
        <v>2607</v>
      </c>
      <c r="D953" s="9" t="s">
        <v>2608</v>
      </c>
      <c r="E953" s="10" t="str">
        <f>HYPERLINK("https://twitter.com/flpmontanheiro/status/723126571268235264","723126571268235264")</f>
        <v>723126571268235264</v>
      </c>
      <c r="F953" s="11" t="s">
        <v>114</v>
      </c>
      <c r="G953" s="11">
        <v>106</v>
      </c>
      <c r="H953" s="11">
        <v>281</v>
      </c>
      <c r="I953" s="11">
        <v>0</v>
      </c>
      <c r="J953" s="11">
        <v>0</v>
      </c>
      <c r="K953" s="11" t="s">
        <v>21</v>
      </c>
      <c r="L953" s="7">
        <v>39995.322187500002</v>
      </c>
      <c r="M953" s="12" t="s">
        <v>2609</v>
      </c>
      <c r="N953" s="12"/>
      <c r="O953" s="10" t="str">
        <f>HYPERLINK("https://pbs.twimg.com/profile_images/665334663288877056/qFW2jCdT_normal.jpg","View")</f>
        <v>View</v>
      </c>
      <c r="P953" s="11"/>
    </row>
    <row r="954" spans="1:16" ht="12.75" x14ac:dyDescent="0.35">
      <c r="A954" s="7">
        <v>42481.751527777778</v>
      </c>
      <c r="B954" s="8" t="str">
        <f>HYPERLINK("https://twitter.com/FSHDaily","@FSHDaily")</f>
        <v>@FSHDaily</v>
      </c>
      <c r="C954" s="9" t="s">
        <v>2610</v>
      </c>
      <c r="D954" s="9" t="s">
        <v>2611</v>
      </c>
      <c r="E954" s="10" t="str">
        <f>HYPERLINK("https://twitter.com/FSHDaily/status/723127191001829376","723127191001829376")</f>
        <v>723127191001829376</v>
      </c>
      <c r="F954" s="11" t="s">
        <v>68</v>
      </c>
      <c r="G954" s="11">
        <v>33</v>
      </c>
      <c r="H954" s="11">
        <v>32</v>
      </c>
      <c r="I954" s="11">
        <v>1</v>
      </c>
      <c r="J954" s="11">
        <v>1</v>
      </c>
      <c r="K954" s="11" t="s">
        <v>21</v>
      </c>
      <c r="L954" s="7">
        <v>42387.965370370366</v>
      </c>
      <c r="M954" s="12" t="s">
        <v>1129</v>
      </c>
      <c r="N954" s="12" t="s">
        <v>2612</v>
      </c>
      <c r="O954" s="10" t="str">
        <f>HYPERLINK("https://pbs.twimg.com/profile_images/689419528917258241/vnF9fVgG_normal.png","View")</f>
        <v>View</v>
      </c>
      <c r="P954" s="11"/>
    </row>
    <row r="955" spans="1:16" ht="12.75" x14ac:dyDescent="0.35">
      <c r="A955" s="7">
        <v>42481.752083333333</v>
      </c>
      <c r="B955" s="8" t="str">
        <f t="shared" ref="B955:B957" si="99">HYPERLINK("https://twitter.com/VolkswagenPost","@VolkswagenPost")</f>
        <v>@VolkswagenPost</v>
      </c>
      <c r="C955" s="9" t="s">
        <v>321</v>
      </c>
      <c r="D955" s="9" t="s">
        <v>2524</v>
      </c>
      <c r="E955" s="10" t="str">
        <f>HYPERLINK("https://twitter.com/VolkswagenPost/status/723127393808949248","723127393808949248")</f>
        <v>723127393808949248</v>
      </c>
      <c r="F955" s="11" t="s">
        <v>288</v>
      </c>
      <c r="G955" s="11">
        <v>571</v>
      </c>
      <c r="H955" s="11">
        <v>446</v>
      </c>
      <c r="I955" s="11">
        <v>2</v>
      </c>
      <c r="J955" s="11">
        <v>0</v>
      </c>
      <c r="K955" s="11" t="s">
        <v>21</v>
      </c>
      <c r="L955" s="7">
        <v>41940.618379629632</v>
      </c>
      <c r="M955" s="12"/>
      <c r="N955" s="12"/>
      <c r="O955" s="10" t="str">
        <f t="shared" ref="O955:O957" si="100">HYPERLINK("https://pbs.twimg.com/profile_images/530071272881803264/a_jcCmPZ_normal.png","View")</f>
        <v>View</v>
      </c>
      <c r="P955" s="11"/>
    </row>
    <row r="956" spans="1:16" ht="12.75" x14ac:dyDescent="0.35">
      <c r="A956" s="7">
        <v>42481.752083333333</v>
      </c>
      <c r="B956" s="8" t="str">
        <f t="shared" si="99"/>
        <v>@VolkswagenPost</v>
      </c>
      <c r="C956" s="9" t="s">
        <v>321</v>
      </c>
      <c r="D956" s="9" t="s">
        <v>2613</v>
      </c>
      <c r="E956" s="10" t="str">
        <f>HYPERLINK("https://twitter.com/VolkswagenPost/status/723127394626863104","723127394626863104")</f>
        <v>723127394626863104</v>
      </c>
      <c r="F956" s="11" t="s">
        <v>288</v>
      </c>
      <c r="G956" s="11">
        <v>571</v>
      </c>
      <c r="H956" s="11">
        <v>446</v>
      </c>
      <c r="I956" s="11">
        <v>1</v>
      </c>
      <c r="J956" s="11">
        <v>0</v>
      </c>
      <c r="K956" s="11" t="s">
        <v>21</v>
      </c>
      <c r="L956" s="7">
        <v>41940.618379629632</v>
      </c>
      <c r="M956" s="12"/>
      <c r="N956" s="12"/>
      <c r="O956" s="10" t="str">
        <f t="shared" si="100"/>
        <v>View</v>
      </c>
      <c r="P956" s="11"/>
    </row>
    <row r="957" spans="1:16" ht="12.75" x14ac:dyDescent="0.35">
      <c r="A957" s="7">
        <v>42481.752083333333</v>
      </c>
      <c r="B957" s="8" t="str">
        <f t="shared" si="99"/>
        <v>@VolkswagenPost</v>
      </c>
      <c r="C957" s="9" t="s">
        <v>321</v>
      </c>
      <c r="D957" s="9" t="s">
        <v>2614</v>
      </c>
      <c r="E957" s="10" t="str">
        <f>HYPERLINK("https://twitter.com/VolkswagenPost/status/723127395402809344","723127395402809344")</f>
        <v>723127395402809344</v>
      </c>
      <c r="F957" s="11" t="s">
        <v>288</v>
      </c>
      <c r="G957" s="11">
        <v>571</v>
      </c>
      <c r="H957" s="11">
        <v>446</v>
      </c>
      <c r="I957" s="11">
        <v>1</v>
      </c>
      <c r="J957" s="11">
        <v>0</v>
      </c>
      <c r="K957" s="11" t="s">
        <v>21</v>
      </c>
      <c r="L957" s="7">
        <v>41940.618379629632</v>
      </c>
      <c r="M957" s="12"/>
      <c r="N957" s="12"/>
      <c r="O957" s="10" t="str">
        <f t="shared" si="100"/>
        <v>View</v>
      </c>
      <c r="P957" s="11"/>
    </row>
    <row r="958" spans="1:16" ht="12.75" x14ac:dyDescent="0.35">
      <c r="A958" s="7">
        <v>42481.752546296295</v>
      </c>
      <c r="B958" s="8" t="str">
        <f>HYPERLINK("https://twitter.com/ProjectCarsUK","@ProjectCarsUK")</f>
        <v>@ProjectCarsUK</v>
      </c>
      <c r="C958" s="9" t="s">
        <v>2615</v>
      </c>
      <c r="D958" s="9" t="s">
        <v>2616</v>
      </c>
      <c r="E958" s="10" t="str">
        <f>HYPERLINK("https://twitter.com/ProjectCarsUK/status/723127560293498880","723127560293498880")</f>
        <v>723127560293498880</v>
      </c>
      <c r="F958" s="11" t="s">
        <v>152</v>
      </c>
      <c r="G958" s="11">
        <v>4249</v>
      </c>
      <c r="H958" s="11">
        <v>3909</v>
      </c>
      <c r="I958" s="11">
        <v>0</v>
      </c>
      <c r="J958" s="11">
        <v>1</v>
      </c>
      <c r="K958" s="11" t="s">
        <v>21</v>
      </c>
      <c r="L958" s="7">
        <v>41877.782546296294</v>
      </c>
      <c r="M958" s="12" t="s">
        <v>129</v>
      </c>
      <c r="N958" s="12" t="s">
        <v>2617</v>
      </c>
      <c r="O958" s="10" t="str">
        <f>HYPERLINK("https://pbs.twimg.com/profile_images/706833390725681152/IaXMLicB_normal.jpg","View")</f>
        <v>View</v>
      </c>
      <c r="P958" s="11"/>
    </row>
    <row r="959" spans="1:16" ht="12.75" x14ac:dyDescent="0.35">
      <c r="A959" s="7">
        <v>42481.754155092596</v>
      </c>
      <c r="B959" s="8" t="str">
        <f>HYPERLINK("https://twitter.com/billingspg","@billingspg")</f>
        <v>@billingspg</v>
      </c>
      <c r="C959" s="9" t="s">
        <v>2618</v>
      </c>
      <c r="D959" s="9" t="s">
        <v>2619</v>
      </c>
      <c r="E959" s="10" t="str">
        <f>HYPERLINK("https://twitter.com/billingspg/status/723128145004642304","723128145004642304")</f>
        <v>723128145004642304</v>
      </c>
      <c r="F959" s="11" t="s">
        <v>63</v>
      </c>
      <c r="G959" s="11">
        <v>495</v>
      </c>
      <c r="H959" s="11">
        <v>707</v>
      </c>
      <c r="I959" s="11">
        <v>2</v>
      </c>
      <c r="J959" s="11">
        <v>0</v>
      </c>
      <c r="K959" s="11" t="s">
        <v>21</v>
      </c>
      <c r="L959" s="7">
        <v>40598.172951388886</v>
      </c>
      <c r="M959" s="12"/>
      <c r="N959" s="12" t="s">
        <v>2620</v>
      </c>
      <c r="O959" s="10" t="str">
        <f>HYPERLINK("https://pbs.twimg.com/profile_images/722739206779486208/kLEwa01b_normal.jpg","View")</f>
        <v>View</v>
      </c>
      <c r="P959" s="11"/>
    </row>
    <row r="960" spans="1:16" ht="12.75" x14ac:dyDescent="0.35">
      <c r="A960" s="7">
        <v>42481.754282407404</v>
      </c>
      <c r="B960" s="8" t="str">
        <f>HYPERLINK("https://twitter.com/Joccck","@Joccck")</f>
        <v>@Joccck</v>
      </c>
      <c r="C960" s="9" t="s">
        <v>2621</v>
      </c>
      <c r="D960" s="9" t="s">
        <v>1385</v>
      </c>
      <c r="E960" s="10" t="str">
        <f>HYPERLINK("https://twitter.com/Joccck/status/723128189573173248","723128189573173248")</f>
        <v>723128189573173248</v>
      </c>
      <c r="F960" s="11" t="s">
        <v>43</v>
      </c>
      <c r="G960" s="11">
        <v>72</v>
      </c>
      <c r="H960" s="11">
        <v>305</v>
      </c>
      <c r="I960" s="11">
        <v>5</v>
      </c>
      <c r="J960" s="11">
        <v>0</v>
      </c>
      <c r="K960" s="11" t="s">
        <v>21</v>
      </c>
      <c r="L960" s="7">
        <v>40150.099328703705</v>
      </c>
      <c r="M960" s="12" t="s">
        <v>2622</v>
      </c>
      <c r="N960" s="12"/>
      <c r="O960" s="10" t="str">
        <f>HYPERLINK("https://pbs.twimg.com/profile_images/582541186/tw_normal.png","View")</f>
        <v>View</v>
      </c>
      <c r="P960" s="11"/>
    </row>
    <row r="961" spans="1:16" ht="12.75" x14ac:dyDescent="0.35">
      <c r="A961" s="7">
        <v>42481.754490740743</v>
      </c>
      <c r="B961" s="8" t="str">
        <f>HYPERLINK("https://twitter.com/LVIaLondres","@LVIaLondres")</f>
        <v>@LVIaLondres</v>
      </c>
      <c r="C961" s="9" t="s">
        <v>2623</v>
      </c>
      <c r="D961" s="9" t="s">
        <v>2624</v>
      </c>
      <c r="E961" s="10" t="str">
        <f>HYPERLINK("https://twitter.com/LVIaLondres/status/723128264986910720","723128264986910720")</f>
        <v>723128264986910720</v>
      </c>
      <c r="F961" s="11" t="s">
        <v>20</v>
      </c>
      <c r="G961" s="11">
        <v>243</v>
      </c>
      <c r="H961" s="11">
        <v>706</v>
      </c>
      <c r="I961" s="11">
        <v>0</v>
      </c>
      <c r="J961" s="11">
        <v>0</v>
      </c>
      <c r="K961" s="11" t="s">
        <v>21</v>
      </c>
      <c r="L961" s="7">
        <v>42168.849282407406</v>
      </c>
      <c r="M961" s="12"/>
      <c r="N961" s="12" t="s">
        <v>2625</v>
      </c>
      <c r="O961" s="10" t="str">
        <f>HYPERLINK("https://pbs.twimg.com/profile_images/620156890274766848/QTu02poy_normal.jpg","View")</f>
        <v>View</v>
      </c>
      <c r="P961" s="11"/>
    </row>
    <row r="962" spans="1:16" ht="12.75" x14ac:dyDescent="0.35">
      <c r="A962" s="7">
        <v>42481.755462962959</v>
      </c>
      <c r="B962" s="8" t="str">
        <f>HYPERLINK("https://twitter.com/johnvoelcker","@johnvoelcker")</f>
        <v>@johnvoelcker</v>
      </c>
      <c r="C962" s="9" t="s">
        <v>2626</v>
      </c>
      <c r="D962" s="9" t="s">
        <v>2627</v>
      </c>
      <c r="E962" s="10" t="str">
        <f>HYPERLINK("https://twitter.com/johnvoelcker/status/723128620953149440","723128620953149440")</f>
        <v>723128620953149440</v>
      </c>
      <c r="F962" s="11" t="s">
        <v>43</v>
      </c>
      <c r="G962" s="11">
        <v>10660</v>
      </c>
      <c r="H962" s="11">
        <v>7323</v>
      </c>
      <c r="I962" s="11">
        <v>1</v>
      </c>
      <c r="J962" s="11">
        <v>0</v>
      </c>
      <c r="K962" s="11" t="s">
        <v>21</v>
      </c>
      <c r="L962" s="7">
        <v>39847.678935185184</v>
      </c>
      <c r="M962" s="12" t="s">
        <v>2628</v>
      </c>
      <c r="N962" s="12" t="s">
        <v>2629</v>
      </c>
      <c r="O962" s="10" t="str">
        <f>HYPERLINK("https://pbs.twimg.com/profile_images/2136613539/JV-headshot_normal.jpg","View")</f>
        <v>View</v>
      </c>
      <c r="P962" s="11"/>
    </row>
    <row r="963" spans="1:16" ht="12.75" x14ac:dyDescent="0.35">
      <c r="A963" s="7">
        <v>42481.756597222222</v>
      </c>
      <c r="B963" s="8" t="str">
        <f>HYPERLINK("https://twitter.com/TrustYourTiming","@TrustYourTiming")</f>
        <v>@TrustYourTiming</v>
      </c>
      <c r="C963" s="9" t="s">
        <v>2630</v>
      </c>
      <c r="D963" s="9" t="s">
        <v>2631</v>
      </c>
      <c r="E963" s="10" t="str">
        <f>HYPERLINK("https://twitter.com/TrustYourTiming/status/723129030984114176","723129030984114176")</f>
        <v>723129030984114176</v>
      </c>
      <c r="F963" s="11" t="s">
        <v>43</v>
      </c>
      <c r="G963" s="11">
        <v>336</v>
      </c>
      <c r="H963" s="11">
        <v>61</v>
      </c>
      <c r="I963" s="11">
        <v>1</v>
      </c>
      <c r="J963" s="11">
        <v>0</v>
      </c>
      <c r="K963" s="11" t="s">
        <v>21</v>
      </c>
      <c r="L963" s="7">
        <v>42048.70711805555</v>
      </c>
      <c r="M963" s="12" t="s">
        <v>2632</v>
      </c>
      <c r="N963" s="12" t="s">
        <v>2633</v>
      </c>
      <c r="O963" s="10" t="str">
        <f>HYPERLINK("https://pbs.twimg.com/profile_images/686470579168346112/DnV3Y8p7_normal.jpg","View")</f>
        <v>View</v>
      </c>
      <c r="P963" s="11"/>
    </row>
    <row r="964" spans="1:16" ht="12.75" x14ac:dyDescent="0.35">
      <c r="A964" s="7">
        <v>42481.757094907407</v>
      </c>
      <c r="B964" s="8" t="str">
        <f>HYPERLINK("https://twitter.com/Jothipala_Bot","@Jothipala_Bot")</f>
        <v>@Jothipala_Bot</v>
      </c>
      <c r="C964" s="9" t="s">
        <v>2634</v>
      </c>
      <c r="D964" s="9" t="s">
        <v>2635</v>
      </c>
      <c r="E964" s="10" t="str">
        <f>HYPERLINK("https://twitter.com/Jothipala_Bot/status/723129211347673092","723129211347673092")</f>
        <v>723129211347673092</v>
      </c>
      <c r="F964" s="11" t="s">
        <v>2634</v>
      </c>
      <c r="G964" s="11">
        <v>1060</v>
      </c>
      <c r="H964" s="11">
        <v>1</v>
      </c>
      <c r="I964" s="11">
        <v>1</v>
      </c>
      <c r="J964" s="11">
        <v>0</v>
      </c>
      <c r="K964" s="11" t="s">
        <v>21</v>
      </c>
      <c r="L964" s="7">
        <v>41981.117268518516</v>
      </c>
      <c r="M964" s="12" t="s">
        <v>2632</v>
      </c>
      <c r="N964" s="12" t="s">
        <v>2636</v>
      </c>
      <c r="O964" s="10" t="str">
        <f>HYPERLINK("https://pbs.twimg.com/profile_images/541706340779831296/i3McDBwN_normal.png","View")</f>
        <v>View</v>
      </c>
      <c r="P964" s="11"/>
    </row>
    <row r="965" spans="1:16" ht="12.75" x14ac:dyDescent="0.35">
      <c r="A965" s="7">
        <v>42481.757141203707</v>
      </c>
      <c r="B965" s="8" t="str">
        <f>HYPERLINK("https://twitter.com/MaxDecker67","@MaxDecker67")</f>
        <v>@MaxDecker67</v>
      </c>
      <c r="C965" s="9" t="s">
        <v>2637</v>
      </c>
      <c r="D965" s="9" t="s">
        <v>2638</v>
      </c>
      <c r="E965" s="10" t="str">
        <f>HYPERLINK("https://twitter.com/MaxDecker67/status/723129226875011072","723129226875011072")</f>
        <v>723129226875011072</v>
      </c>
      <c r="F965" s="11" t="s">
        <v>63</v>
      </c>
      <c r="G965" s="11">
        <v>201</v>
      </c>
      <c r="H965" s="11">
        <v>478</v>
      </c>
      <c r="I965" s="11">
        <v>0</v>
      </c>
      <c r="J965" s="11">
        <v>0</v>
      </c>
      <c r="K965" s="11" t="s">
        <v>21</v>
      </c>
      <c r="L965" s="7">
        <v>41650.877002314817</v>
      </c>
      <c r="M965" s="12" t="s">
        <v>1874</v>
      </c>
      <c r="N965" s="12" t="s">
        <v>2639</v>
      </c>
      <c r="O965" s="10" t="str">
        <f>HYPERLINK("https://pbs.twimg.com/profile_images/452432873757212672/LJOSgKYx_normal.png","View")</f>
        <v>View</v>
      </c>
      <c r="P965" s="11"/>
    </row>
    <row r="966" spans="1:16" ht="12.75" x14ac:dyDescent="0.35">
      <c r="A966" s="7">
        <v>42481.757627314815</v>
      </c>
      <c r="B966" s="8" t="str">
        <f>HYPERLINK("https://twitter.com/DS_1962","@DS_1962")</f>
        <v>@DS_1962</v>
      </c>
      <c r="C966" s="9" t="s">
        <v>1007</v>
      </c>
      <c r="D966" s="9" t="s">
        <v>2640</v>
      </c>
      <c r="E966" s="10" t="str">
        <f>HYPERLINK("https://twitter.com/DS_1962/status/723129404969218049","723129404969218049")</f>
        <v>723129404969218049</v>
      </c>
      <c r="F966" s="11" t="s">
        <v>43</v>
      </c>
      <c r="G966" s="11">
        <v>61</v>
      </c>
      <c r="H966" s="11">
        <v>139</v>
      </c>
      <c r="I966" s="11">
        <v>0</v>
      </c>
      <c r="J966" s="11">
        <v>0</v>
      </c>
      <c r="K966" s="11" t="s">
        <v>21</v>
      </c>
      <c r="L966" s="7">
        <v>40696.542615740742</v>
      </c>
      <c r="M966" s="12" t="s">
        <v>2641</v>
      </c>
      <c r="N966" s="12" t="s">
        <v>2642</v>
      </c>
      <c r="O966" s="10" t="str">
        <f>HYPERLINK("https://pbs.twimg.com/profile_images/722467945360859139/6OG2p13n_normal.jpg","View")</f>
        <v>View</v>
      </c>
      <c r="P966" s="11"/>
    </row>
    <row r="967" spans="1:16" ht="12.75" x14ac:dyDescent="0.35">
      <c r="A967" s="7">
        <v>42481.75844907407</v>
      </c>
      <c r="B967" s="8" t="str">
        <f>HYPERLINK("https://twitter.com/nolenje","@nolenje")</f>
        <v>@nolenje</v>
      </c>
      <c r="C967" s="9" t="s">
        <v>2643</v>
      </c>
      <c r="D967" s="9" t="s">
        <v>2644</v>
      </c>
      <c r="E967" s="10" t="str">
        <f>HYPERLINK("https://twitter.com/nolenje/status/723129700390940672","723129700390940672")</f>
        <v>723129700390940672</v>
      </c>
      <c r="F967" s="11" t="s">
        <v>2645</v>
      </c>
      <c r="G967" s="11">
        <v>305</v>
      </c>
      <c r="H967" s="11">
        <v>562</v>
      </c>
      <c r="I967" s="11">
        <v>2</v>
      </c>
      <c r="J967" s="11">
        <v>0</v>
      </c>
      <c r="K967" s="11" t="s">
        <v>21</v>
      </c>
      <c r="L967" s="7">
        <v>39880.101469907408</v>
      </c>
      <c r="M967" s="12" t="s">
        <v>2646</v>
      </c>
      <c r="N967" s="12" t="s">
        <v>2647</v>
      </c>
      <c r="O967" s="10" t="str">
        <f>HYPERLINK("https://pbs.twimg.com/profile_images/716766247204044801/7l0XyxS9_normal.jpg","View")</f>
        <v>View</v>
      </c>
      <c r="P967" s="11"/>
    </row>
    <row r="968" spans="1:16" ht="12.75" x14ac:dyDescent="0.35">
      <c r="A968" s="7">
        <v>42481.75880787037</v>
      </c>
      <c r="B968" s="8" t="str">
        <f>HYPERLINK("https://twitter.com/romboke","@romboke")</f>
        <v>@romboke</v>
      </c>
      <c r="C968" s="9" t="s">
        <v>2648</v>
      </c>
      <c r="D968" s="9" t="s">
        <v>2649</v>
      </c>
      <c r="E968" s="10" t="str">
        <f>HYPERLINK("https://twitter.com/romboke/status/723129829252567040","723129829252567040")</f>
        <v>723129829252567040</v>
      </c>
      <c r="F968" s="11" t="s">
        <v>367</v>
      </c>
      <c r="G968" s="11">
        <v>592</v>
      </c>
      <c r="H968" s="11">
        <v>1290</v>
      </c>
      <c r="I968" s="11">
        <v>0</v>
      </c>
      <c r="J968" s="11">
        <v>1</v>
      </c>
      <c r="K968" s="11" t="s">
        <v>21</v>
      </c>
      <c r="L968" s="7">
        <v>39879.484756944446</v>
      </c>
      <c r="M968" s="12" t="s">
        <v>2650</v>
      </c>
      <c r="N968" s="12" t="s">
        <v>2651</v>
      </c>
      <c r="O968" s="10" t="str">
        <f>HYPERLINK("https://pbs.twimg.com/profile_images/3477322189/129c4efd2a6b9f5acda002db81cea53b_normal.jpeg","View")</f>
        <v>View</v>
      </c>
      <c r="P968" s="11"/>
    </row>
    <row r="969" spans="1:16" ht="12.75" x14ac:dyDescent="0.35">
      <c r="A969" s="7">
        <v>42481.759328703702</v>
      </c>
      <c r="B969" s="8" t="str">
        <f>HYPERLINK("https://twitter.com/ebaycampervans","@ebaycampervans")</f>
        <v>@ebaycampervans</v>
      </c>
      <c r="C969" s="9" t="s">
        <v>682</v>
      </c>
      <c r="D969" s="9" t="s">
        <v>2652</v>
      </c>
      <c r="E969" s="10" t="str">
        <f>HYPERLINK("https://twitter.com/ebaycampervans/status/723130021112508417","723130021112508417")</f>
        <v>723130021112508417</v>
      </c>
      <c r="F969" s="11" t="s">
        <v>34</v>
      </c>
      <c r="G969" s="11">
        <v>380</v>
      </c>
      <c r="H969" s="11">
        <v>1002</v>
      </c>
      <c r="I969" s="11">
        <v>0</v>
      </c>
      <c r="J969" s="11">
        <v>0</v>
      </c>
      <c r="K969" s="11" t="s">
        <v>21</v>
      </c>
      <c r="L969" s="7">
        <v>42140.207604166666</v>
      </c>
      <c r="M969" s="12"/>
      <c r="N969" s="12" t="s">
        <v>684</v>
      </c>
      <c r="O969" s="10" t="str">
        <f>HYPERLINK("https://pbs.twimg.com/profile_images/599357023407464449/BL9Bpo6T_normal.jpg","View")</f>
        <v>View</v>
      </c>
      <c r="P969" s="11"/>
    </row>
    <row r="970" spans="1:16" ht="12.75" x14ac:dyDescent="0.35">
      <c r="A970" s="7">
        <v>42481.760092592594</v>
      </c>
      <c r="B970" s="8" t="str">
        <f>HYPERLINK("https://twitter.com/pedpsychdoc","@pedpsychdoc")</f>
        <v>@pedpsychdoc</v>
      </c>
      <c r="C970" s="9" t="s">
        <v>2653</v>
      </c>
      <c r="D970" s="9" t="s">
        <v>2654</v>
      </c>
      <c r="E970" s="10" t="str">
        <f>HYPERLINK("https://twitter.com/pedpsychdoc/status/723130294836953088","723130294836953088")</f>
        <v>723130294836953088</v>
      </c>
      <c r="F970" s="11" t="s">
        <v>53</v>
      </c>
      <c r="G970" s="11">
        <v>352</v>
      </c>
      <c r="H970" s="11">
        <v>326</v>
      </c>
      <c r="I970" s="11">
        <v>0</v>
      </c>
      <c r="J970" s="11">
        <v>0</v>
      </c>
      <c r="K970" s="11" t="s">
        <v>21</v>
      </c>
      <c r="L970" s="7">
        <v>40323.707511574074</v>
      </c>
      <c r="M970" s="12"/>
      <c r="N970" s="12" t="s">
        <v>2655</v>
      </c>
      <c r="O970" s="10" t="str">
        <f>HYPERLINK("https://pbs.twimg.com/profile_images/930095687/childdoc-210-Me_normal.jpg","View")</f>
        <v>View</v>
      </c>
      <c r="P970" s="11"/>
    </row>
    <row r="971" spans="1:16" ht="12.75" x14ac:dyDescent="0.35">
      <c r="A971" s="7">
        <v>42481.761203703703</v>
      </c>
      <c r="B971" s="8" t="str">
        <f>HYPERLINK("https://twitter.com/filipepontes","@filipepontes")</f>
        <v>@filipepontes</v>
      </c>
      <c r="C971" s="9" t="s">
        <v>2656</v>
      </c>
      <c r="D971" s="9" t="s">
        <v>2657</v>
      </c>
      <c r="E971" s="10" t="str">
        <f>HYPERLINK("https://twitter.com/filipepontes/status/723130700342263808","723130700342263808")</f>
        <v>723130700342263808</v>
      </c>
      <c r="F971" s="11" t="s">
        <v>933</v>
      </c>
      <c r="G971" s="11">
        <v>1389</v>
      </c>
      <c r="H971" s="11">
        <v>2028</v>
      </c>
      <c r="I971" s="11">
        <v>0</v>
      </c>
      <c r="J971" s="11">
        <v>0</v>
      </c>
      <c r="K971" s="11" t="s">
        <v>21</v>
      </c>
      <c r="L971" s="7">
        <v>39292.057511574072</v>
      </c>
      <c r="M971" s="12" t="s">
        <v>2658</v>
      </c>
      <c r="N971" s="12" t="s">
        <v>2659</v>
      </c>
      <c r="O971" s="10" t="str">
        <f>HYPERLINK("https://pbs.twimg.com/profile_images/720410079938416640/Kyf-6Ysh_normal.jpg","View")</f>
        <v>View</v>
      </c>
      <c r="P971" s="11"/>
    </row>
    <row r="972" spans="1:16" ht="12.75" x14ac:dyDescent="0.35">
      <c r="A972" s="7">
        <v>42481.761874999997</v>
      </c>
      <c r="B972" s="8" t="str">
        <f>HYPERLINK("https://twitter.com/VWCamperSales","@VWCamperSales")</f>
        <v>@VWCamperSales</v>
      </c>
      <c r="C972" s="9" t="s">
        <v>216</v>
      </c>
      <c r="D972" s="9" t="s">
        <v>2660</v>
      </c>
      <c r="E972" s="10" t="str">
        <f>HYPERLINK("https://twitter.com/VWCamperSales/status/723130943041466368","723130943041466368")</f>
        <v>723130943041466368</v>
      </c>
      <c r="F972" s="10" t="s">
        <v>124</v>
      </c>
      <c r="G972" s="11">
        <v>615</v>
      </c>
      <c r="H972" s="11">
        <v>580</v>
      </c>
      <c r="I972" s="11">
        <v>0</v>
      </c>
      <c r="J972" s="11">
        <v>0</v>
      </c>
      <c r="K972" s="11" t="s">
        <v>21</v>
      </c>
      <c r="L972" s="7">
        <v>42215.98809027778</v>
      </c>
      <c r="M972" s="12" t="s">
        <v>129</v>
      </c>
      <c r="N972" s="12" t="s">
        <v>218</v>
      </c>
      <c r="O972" s="10" t="str">
        <f>HYPERLINK("https://pbs.twimg.com/profile_images/627949001179037696/skEBkS05_normal.jpg","View")</f>
        <v>View</v>
      </c>
      <c r="P972" s="11"/>
    </row>
    <row r="973" spans="1:16" ht="12.75" x14ac:dyDescent="0.35">
      <c r="A973" s="7">
        <v>42481.762303240743</v>
      </c>
      <c r="B973" s="8" t="str">
        <f>HYPERLINK("https://twitter.com/motorionline","@motorionline")</f>
        <v>@motorionline</v>
      </c>
      <c r="C973" s="8" t="s">
        <v>2661</v>
      </c>
      <c r="D973" s="9" t="s">
        <v>2662</v>
      </c>
      <c r="E973" s="10" t="str">
        <f>HYPERLINK("https://twitter.com/motorionline/status/723131096573992962","723131096573992962")</f>
        <v>723131096573992962</v>
      </c>
      <c r="F973" s="11" t="s">
        <v>43</v>
      </c>
      <c r="G973" s="11">
        <v>4332</v>
      </c>
      <c r="H973" s="11">
        <v>2233</v>
      </c>
      <c r="I973" s="11">
        <v>0</v>
      </c>
      <c r="J973" s="11">
        <v>0</v>
      </c>
      <c r="K973" s="11" t="s">
        <v>21</v>
      </c>
      <c r="L973" s="7">
        <v>40114.845289351855</v>
      </c>
      <c r="M973" s="12" t="s">
        <v>2663</v>
      </c>
      <c r="N973" s="12" t="s">
        <v>2664</v>
      </c>
      <c r="O973" s="10" t="str">
        <f>HYPERLINK("https://pbs.twimg.com/profile_images/699554732944203777/mRk8LwQj_normal.jpg","View")</f>
        <v>View</v>
      </c>
      <c r="P973" s="11"/>
    </row>
    <row r="974" spans="1:16" ht="12.75" x14ac:dyDescent="0.35">
      <c r="A974" s="7">
        <v>42481.76258101852</v>
      </c>
      <c r="B974" s="8" t="str">
        <f>HYPERLINK("https://twitter.com/migladin","@migladin")</f>
        <v>@migladin</v>
      </c>
      <c r="C974" s="9" t="s">
        <v>2665</v>
      </c>
      <c r="D974" s="9" t="s">
        <v>2666</v>
      </c>
      <c r="E974" s="10" t="str">
        <f>HYPERLINK("https://twitter.com/migladin/status/723131199565103104","723131199565103104")</f>
        <v>723131199565103104</v>
      </c>
      <c r="F974" s="11" t="s">
        <v>63</v>
      </c>
      <c r="G974" s="11">
        <v>10116</v>
      </c>
      <c r="H974" s="11">
        <v>10149</v>
      </c>
      <c r="I974" s="11">
        <v>4</v>
      </c>
      <c r="J974" s="11">
        <v>1</v>
      </c>
      <c r="K974" s="11" t="s">
        <v>21</v>
      </c>
      <c r="L974" s="7">
        <v>41762.080185185187</v>
      </c>
      <c r="M974" s="12" t="s">
        <v>2667</v>
      </c>
      <c r="N974" s="12" t="s">
        <v>2668</v>
      </c>
      <c r="O974" s="10" t="str">
        <f>HYPERLINK("https://pbs.twimg.com/profile_images/712297937951395841/ImQevxFP_normal.jpg","View")</f>
        <v>View</v>
      </c>
      <c r="P974" s="11"/>
    </row>
    <row r="975" spans="1:16" ht="12.75" x14ac:dyDescent="0.35">
      <c r="A975" s="7">
        <v>42481.76357638889</v>
      </c>
      <c r="B975" s="8" t="str">
        <f>HYPERLINK("https://twitter.com/NinjaRemoval","@NinjaRemoval")</f>
        <v>@NinjaRemoval</v>
      </c>
      <c r="C975" s="9" t="s">
        <v>2669</v>
      </c>
      <c r="D975" s="9" t="s">
        <v>2670</v>
      </c>
      <c r="E975" s="10" t="str">
        <f>HYPERLINK("https://twitter.com/NinjaRemoval/status/723131558010429440","723131558010429440")</f>
        <v>723131558010429440</v>
      </c>
      <c r="F975" s="11" t="s">
        <v>288</v>
      </c>
      <c r="G975" s="11">
        <v>1029</v>
      </c>
      <c r="H975" s="11">
        <v>629</v>
      </c>
      <c r="I975" s="11">
        <v>4</v>
      </c>
      <c r="J975" s="11">
        <v>0</v>
      </c>
      <c r="K975" s="11" t="s">
        <v>21</v>
      </c>
      <c r="L975" s="7">
        <v>42128.939571759256</v>
      </c>
      <c r="M975" s="12" t="s">
        <v>2671</v>
      </c>
      <c r="N975" s="12" t="s">
        <v>2672</v>
      </c>
      <c r="O975" s="10" t="str">
        <f>HYPERLINK("https://pbs.twimg.com/profile_images/596424269996896256/HlGX8sy-_normal.png","View")</f>
        <v>View</v>
      </c>
      <c r="P975" s="11"/>
    </row>
    <row r="976" spans="1:16" ht="12.75" x14ac:dyDescent="0.35">
      <c r="A976" s="7">
        <v>42481.764999999999</v>
      </c>
      <c r="B976" s="8" t="str">
        <f>HYPERLINK("https://twitter.com/VWBeetleSales","@VWBeetleSales")</f>
        <v>@VWBeetleSales</v>
      </c>
      <c r="C976" s="9" t="s">
        <v>127</v>
      </c>
      <c r="D976" s="9" t="s">
        <v>2673</v>
      </c>
      <c r="E976" s="10" t="str">
        <f>HYPERLINK("https://twitter.com/VWBeetleSales/status/723132074983444480","723132074983444480")</f>
        <v>723132074983444480</v>
      </c>
      <c r="F976" s="10" t="s">
        <v>124</v>
      </c>
      <c r="G976" s="11">
        <v>35</v>
      </c>
      <c r="H976" s="11">
        <v>32</v>
      </c>
      <c r="I976" s="11">
        <v>0</v>
      </c>
      <c r="J976" s="11">
        <v>0</v>
      </c>
      <c r="K976" s="11" t="s">
        <v>21</v>
      </c>
      <c r="L976" s="7">
        <v>42427.019756944443</v>
      </c>
      <c r="M976" s="12" t="s">
        <v>129</v>
      </c>
      <c r="N976" s="12" t="s">
        <v>130</v>
      </c>
      <c r="O976" s="10" t="str">
        <f>HYPERLINK("https://pbs.twimg.com/profile_images/703294545195307008/qeCvrX86_normal.jpg","View")</f>
        <v>View</v>
      </c>
      <c r="P976" s="11"/>
    </row>
    <row r="977" spans="1:16" ht="12.75" x14ac:dyDescent="0.35">
      <c r="A977" s="7">
        <v>42481.765462962961</v>
      </c>
      <c r="B977" s="8" t="str">
        <f>HYPERLINK("https://twitter.com/dan290888","@dan290888")</f>
        <v>@dan290888</v>
      </c>
      <c r="C977" s="9" t="s">
        <v>2674</v>
      </c>
      <c r="D977" s="9" t="s">
        <v>2675</v>
      </c>
      <c r="E977" s="10" t="str">
        <f>HYPERLINK("https://twitter.com/dan290888/status/723132242495606785","723132242495606785")</f>
        <v>723132242495606785</v>
      </c>
      <c r="F977" s="11" t="s">
        <v>43</v>
      </c>
      <c r="G977" s="11">
        <v>49</v>
      </c>
      <c r="H977" s="11">
        <v>279</v>
      </c>
      <c r="I977" s="11">
        <v>1</v>
      </c>
      <c r="J977" s="11">
        <v>0</v>
      </c>
      <c r="K977" s="11" t="s">
        <v>21</v>
      </c>
      <c r="L977" s="7">
        <v>40667.066666666666</v>
      </c>
      <c r="M977" s="12"/>
      <c r="N977" s="12"/>
      <c r="O977" s="10" t="str">
        <f>HYPERLINK("https://pbs.twimg.com/profile_images/523068031220854784/Q6ETXmwJ_normal.jpeg","View")</f>
        <v>View</v>
      </c>
      <c r="P977" s="11"/>
    </row>
    <row r="978" spans="1:16" ht="12.75" x14ac:dyDescent="0.35">
      <c r="A978" s="7">
        <v>42481.766655092593</v>
      </c>
      <c r="B978" s="8" t="str">
        <f t="shared" ref="B978:B979" si="101">HYPERLINK("https://twitter.com/VolkswagenPost","@VolkswagenPost")</f>
        <v>@VolkswagenPost</v>
      </c>
      <c r="C978" s="9" t="s">
        <v>321</v>
      </c>
      <c r="D978" s="9" t="s">
        <v>2676</v>
      </c>
      <c r="E978" s="10" t="str">
        <f>HYPERLINK("https://twitter.com/VolkswagenPost/status/723132674215317505","723132674215317505")</f>
        <v>723132674215317505</v>
      </c>
      <c r="F978" s="11" t="s">
        <v>34</v>
      </c>
      <c r="G978" s="11">
        <v>571</v>
      </c>
      <c r="H978" s="11">
        <v>446</v>
      </c>
      <c r="I978" s="11">
        <v>0</v>
      </c>
      <c r="J978" s="11">
        <v>0</v>
      </c>
      <c r="K978" s="11" t="s">
        <v>21</v>
      </c>
      <c r="L978" s="7">
        <v>41940.618379629632</v>
      </c>
      <c r="M978" s="12"/>
      <c r="N978" s="12"/>
      <c r="O978" s="10" t="str">
        <f t="shared" ref="O978:O979" si="102">HYPERLINK("https://pbs.twimg.com/profile_images/530071272881803264/a_jcCmPZ_normal.png","View")</f>
        <v>View</v>
      </c>
      <c r="P978" s="11"/>
    </row>
    <row r="979" spans="1:16" ht="12.75" x14ac:dyDescent="0.35">
      <c r="A979" s="7">
        <v>42481.766655092593</v>
      </c>
      <c r="B979" s="8" t="str">
        <f t="shared" si="101"/>
        <v>@VolkswagenPost</v>
      </c>
      <c r="C979" s="9" t="s">
        <v>321</v>
      </c>
      <c r="D979" s="9" t="s">
        <v>2677</v>
      </c>
      <c r="E979" s="10" t="str">
        <f>HYPERLINK("https://twitter.com/VolkswagenPost/status/723132675477766147","723132675477766147")</f>
        <v>723132675477766147</v>
      </c>
      <c r="F979" s="11" t="s">
        <v>34</v>
      </c>
      <c r="G979" s="11">
        <v>571</v>
      </c>
      <c r="H979" s="11">
        <v>446</v>
      </c>
      <c r="I979" s="11">
        <v>0</v>
      </c>
      <c r="J979" s="11">
        <v>0</v>
      </c>
      <c r="K979" s="11" t="s">
        <v>21</v>
      </c>
      <c r="L979" s="7">
        <v>41940.618379629632</v>
      </c>
      <c r="M979" s="12"/>
      <c r="N979" s="12"/>
      <c r="O979" s="10" t="str">
        <f t="shared" si="102"/>
        <v>View</v>
      </c>
      <c r="P979" s="11"/>
    </row>
    <row r="980" spans="1:16" ht="12.75" x14ac:dyDescent="0.35">
      <c r="A980" s="7">
        <v>42481.766712962963</v>
      </c>
      <c r="B980" s="8" t="str">
        <f t="shared" ref="B980:B981" si="103">HYPERLINK("https://twitter.com/OnlineCarReview","@OnlineCarReview")</f>
        <v>@OnlineCarReview</v>
      </c>
      <c r="C980" s="9" t="s">
        <v>176</v>
      </c>
      <c r="D980" s="9" t="s">
        <v>2678</v>
      </c>
      <c r="E980" s="10" t="str">
        <f>HYPERLINK("https://twitter.com/OnlineCarReview/status/723132696394788865","723132696394788865")</f>
        <v>723132696394788865</v>
      </c>
      <c r="F980" s="11" t="s">
        <v>34</v>
      </c>
      <c r="G980" s="11">
        <v>839</v>
      </c>
      <c r="H980" s="11">
        <v>568</v>
      </c>
      <c r="I980" s="11">
        <v>0</v>
      </c>
      <c r="J980" s="11">
        <v>0</v>
      </c>
      <c r="K980" s="11" t="s">
        <v>21</v>
      </c>
      <c r="L980" s="7">
        <v>42282.979201388887</v>
      </c>
      <c r="M980" s="12"/>
      <c r="N980" s="12" t="s">
        <v>178</v>
      </c>
      <c r="O980" s="10" t="str">
        <f t="shared" ref="O980:O981" si="104">HYPERLINK("https://pbs.twimg.com/profile_images/652871584131092480/QA_B6SBO_normal.jpg","View")</f>
        <v>View</v>
      </c>
      <c r="P980" s="11"/>
    </row>
    <row r="981" spans="1:16" ht="12.75" x14ac:dyDescent="0.35">
      <c r="A981" s="7">
        <v>42481.766712962963</v>
      </c>
      <c r="B981" s="8" t="str">
        <f t="shared" si="103"/>
        <v>@OnlineCarReview</v>
      </c>
      <c r="C981" s="9" t="s">
        <v>176</v>
      </c>
      <c r="D981" s="9" t="s">
        <v>2679</v>
      </c>
      <c r="E981" s="10" t="str">
        <f>HYPERLINK("https://twitter.com/OnlineCarReview/status/723132697313337344","723132697313337344")</f>
        <v>723132697313337344</v>
      </c>
      <c r="F981" s="11" t="s">
        <v>34</v>
      </c>
      <c r="G981" s="11">
        <v>839</v>
      </c>
      <c r="H981" s="11">
        <v>568</v>
      </c>
      <c r="I981" s="11">
        <v>0</v>
      </c>
      <c r="J981" s="11">
        <v>0</v>
      </c>
      <c r="K981" s="11" t="s">
        <v>21</v>
      </c>
      <c r="L981" s="7">
        <v>42282.979201388887</v>
      </c>
      <c r="M981" s="12"/>
      <c r="N981" s="12" t="s">
        <v>178</v>
      </c>
      <c r="O981" s="10" t="str">
        <f t="shared" si="104"/>
        <v>View</v>
      </c>
      <c r="P981" s="11"/>
    </row>
    <row r="982" spans="1:16" ht="12.75" x14ac:dyDescent="0.35">
      <c r="A982" s="7">
        <v>42481.76697916667</v>
      </c>
      <c r="B982" s="8" t="str">
        <f>HYPERLINK("https://twitter.com/Stony_BS","@Stony_BS")</f>
        <v>@Stony_BS</v>
      </c>
      <c r="C982" s="9" t="s">
        <v>2680</v>
      </c>
      <c r="D982" s="9" t="s">
        <v>2681</v>
      </c>
      <c r="E982" s="10" t="str">
        <f>HYPERLINK("https://twitter.com/Stony_BS/status/723132794096885760","723132794096885760")</f>
        <v>723132794096885760</v>
      </c>
      <c r="F982" s="11" t="s">
        <v>43</v>
      </c>
      <c r="G982" s="11">
        <v>36</v>
      </c>
      <c r="H982" s="11">
        <v>51</v>
      </c>
      <c r="I982" s="11">
        <v>0</v>
      </c>
      <c r="J982" s="11">
        <v>0</v>
      </c>
      <c r="K982" s="11" t="s">
        <v>21</v>
      </c>
      <c r="L982" s="7">
        <v>41928.806030092594</v>
      </c>
      <c r="M982" s="12" t="s">
        <v>2682</v>
      </c>
      <c r="N982" s="12" t="s">
        <v>2683</v>
      </c>
      <c r="O982" s="10" t="str">
        <f>HYPERLINK("https://pbs.twimg.com/profile_images/668091779313500160/ZepxnJcI_normal.jpg","View")</f>
        <v>View</v>
      </c>
      <c r="P982" s="11"/>
    </row>
    <row r="983" spans="1:16" ht="12.75" x14ac:dyDescent="0.35">
      <c r="A983" s="7">
        <v>42481.767453703702</v>
      </c>
      <c r="B983" s="8" t="str">
        <f>HYPERLINK("https://twitter.com/sat1nrw","@sat1nrw")</f>
        <v>@sat1nrw</v>
      </c>
      <c r="C983" s="9" t="s">
        <v>2684</v>
      </c>
      <c r="D983" s="9" t="s">
        <v>2685</v>
      </c>
      <c r="E983" s="10" t="str">
        <f>HYPERLINK("https://twitter.com/sat1nrw/status/723132963978776577","723132963978776577")</f>
        <v>723132963978776577</v>
      </c>
      <c r="F983" s="11" t="s">
        <v>43</v>
      </c>
      <c r="G983" s="11">
        <v>1248</v>
      </c>
      <c r="H983" s="11">
        <v>282</v>
      </c>
      <c r="I983" s="11">
        <v>0</v>
      </c>
      <c r="J983" s="11">
        <v>0</v>
      </c>
      <c r="K983" s="11" t="s">
        <v>21</v>
      </c>
      <c r="L983" s="7">
        <v>40666.70140046296</v>
      </c>
      <c r="M983" s="12" t="s">
        <v>2686</v>
      </c>
      <c r="N983" s="12" t="s">
        <v>2687</v>
      </c>
      <c r="O983" s="10" t="str">
        <f>HYPERLINK("https://pbs.twimg.com/profile_images/433531340911149056/UUguipZ9_normal.jpeg","View")</f>
        <v>View</v>
      </c>
      <c r="P983" s="11"/>
    </row>
    <row r="984" spans="1:16" ht="12.75" x14ac:dyDescent="0.35">
      <c r="A984" s="7">
        <v>42481.76834490741</v>
      </c>
      <c r="B984" s="8" t="str">
        <f>HYPERLINK("https://twitter.com/contactTodd","@contactTodd")</f>
        <v>@contactTodd</v>
      </c>
      <c r="C984" s="9" t="s">
        <v>718</v>
      </c>
      <c r="D984" s="9" t="s">
        <v>2688</v>
      </c>
      <c r="E984" s="10" t="str">
        <f>HYPERLINK("https://twitter.com/contactTodd/status/723133288940892160","723133288940892160")</f>
        <v>723133288940892160</v>
      </c>
      <c r="F984" s="11" t="s">
        <v>114</v>
      </c>
      <c r="G984" s="11">
        <v>599</v>
      </c>
      <c r="H984" s="11">
        <v>1402</v>
      </c>
      <c r="I984" s="11">
        <v>0</v>
      </c>
      <c r="J984" s="11">
        <v>0</v>
      </c>
      <c r="K984" s="11" t="s">
        <v>21</v>
      </c>
      <c r="L984" s="7">
        <v>39887.760636574072</v>
      </c>
      <c r="M984" s="12" t="s">
        <v>305</v>
      </c>
      <c r="N984" s="12" t="s">
        <v>2689</v>
      </c>
      <c r="O984" s="10" t="str">
        <f>HYPERLINK("https://pbs.twimg.com/profile_images/512530551446589442/4-aW6c2w_normal.jpeg","View")</f>
        <v>View</v>
      </c>
      <c r="P984" s="11"/>
    </row>
    <row r="985" spans="1:16" ht="12.75" x14ac:dyDescent="0.35">
      <c r="A985" s="7">
        <v>42481.76866898148</v>
      </c>
      <c r="B985" s="8" t="str">
        <f>HYPERLINK("https://twitter.com/beetlebug1938","@beetlebug1938")</f>
        <v>@beetlebug1938</v>
      </c>
      <c r="C985" s="9" t="s">
        <v>66</v>
      </c>
      <c r="D985" s="9" t="s">
        <v>2690</v>
      </c>
      <c r="E985" s="10" t="str">
        <f>HYPERLINK("https://twitter.com/beetlebug1938/status/723133402787024896","723133402787024896")</f>
        <v>723133402787024896</v>
      </c>
      <c r="F985" s="11" t="s">
        <v>68</v>
      </c>
      <c r="G985" s="11">
        <v>346</v>
      </c>
      <c r="H985" s="11">
        <v>2222</v>
      </c>
      <c r="I985" s="11">
        <v>0</v>
      </c>
      <c r="J985" s="11">
        <v>1</v>
      </c>
      <c r="K985" s="11" t="s">
        <v>21</v>
      </c>
      <c r="L985" s="7">
        <v>42469.863865740743</v>
      </c>
      <c r="M985" s="12" t="s">
        <v>69</v>
      </c>
      <c r="N985" s="12"/>
      <c r="O985" s="10" t="str">
        <f>HYPERLINK("https://pbs.twimg.com/profile_images/718820712757215233/LXXndPTS_normal.jpg","View")</f>
        <v>View</v>
      </c>
      <c r="P985" s="11"/>
    </row>
    <row r="986" spans="1:16" ht="12.75" x14ac:dyDescent="0.35">
      <c r="A986" s="7">
        <v>42481.769513888888</v>
      </c>
      <c r="B986" s="8" t="str">
        <f>HYPERLINK("https://twitter.com/VWBeetleSales","@VWBeetleSales")</f>
        <v>@VWBeetleSales</v>
      </c>
      <c r="C986" s="9" t="s">
        <v>127</v>
      </c>
      <c r="D986" s="9" t="s">
        <v>2691</v>
      </c>
      <c r="E986" s="10" t="str">
        <f>HYPERLINK("https://twitter.com/VWBeetleSales/status/723133710812368897","723133710812368897")</f>
        <v>723133710812368897</v>
      </c>
      <c r="F986" s="10" t="s">
        <v>124</v>
      </c>
      <c r="G986" s="11">
        <v>35</v>
      </c>
      <c r="H986" s="11">
        <v>32</v>
      </c>
      <c r="I986" s="11">
        <v>0</v>
      </c>
      <c r="J986" s="11">
        <v>0</v>
      </c>
      <c r="K986" s="11" t="s">
        <v>21</v>
      </c>
      <c r="L986" s="7">
        <v>42427.019756944443</v>
      </c>
      <c r="M986" s="12" t="s">
        <v>129</v>
      </c>
      <c r="N986" s="12" t="s">
        <v>130</v>
      </c>
      <c r="O986" s="10" t="str">
        <f>HYPERLINK("https://pbs.twimg.com/profile_images/703294545195307008/qeCvrX86_normal.jpg","View")</f>
        <v>View</v>
      </c>
      <c r="P986" s="11"/>
    </row>
    <row r="987" spans="1:16" ht="12.75" x14ac:dyDescent="0.35">
      <c r="A987" s="7">
        <v>42481.771284722221</v>
      </c>
      <c r="B987" s="8" t="str">
        <f>HYPERLINK("https://twitter.com/VWOlympia","@VWOlympia")</f>
        <v>@VWOlympia</v>
      </c>
      <c r="C987" s="9" t="s">
        <v>2692</v>
      </c>
      <c r="D987" s="9" t="s">
        <v>2693</v>
      </c>
      <c r="E987" s="10" t="str">
        <f>HYPERLINK("https://twitter.com/VWOlympia/status/723134351991541760","723134351991541760")</f>
        <v>723134351991541760</v>
      </c>
      <c r="F987" s="11" t="s">
        <v>2694</v>
      </c>
      <c r="G987" s="11">
        <v>4143</v>
      </c>
      <c r="H987" s="11">
        <v>98</v>
      </c>
      <c r="I987" s="11">
        <v>1</v>
      </c>
      <c r="J987" s="11">
        <v>2</v>
      </c>
      <c r="K987" s="11" t="s">
        <v>21</v>
      </c>
      <c r="L987" s="7">
        <v>41544.306909722218</v>
      </c>
      <c r="M987" s="12" t="s">
        <v>2695</v>
      </c>
      <c r="N987" s="12" t="s">
        <v>2696</v>
      </c>
      <c r="O987" s="10" t="str">
        <f>HYPERLINK("https://pbs.twimg.com/profile_images/659060605869907968/W4yPKbgf_normal.jpg","View")</f>
        <v>View</v>
      </c>
      <c r="P987" s="11"/>
    </row>
    <row r="988" spans="1:16" ht="12.75" x14ac:dyDescent="0.35">
      <c r="A988" s="7">
        <v>42481.771354166667</v>
      </c>
      <c r="B988" s="8" t="str">
        <f>HYPERLINK("https://twitter.com/BerHerg","@BerHerg")</f>
        <v>@BerHerg</v>
      </c>
      <c r="C988" s="9" t="s">
        <v>2697</v>
      </c>
      <c r="D988" s="9" t="s">
        <v>1811</v>
      </c>
      <c r="E988" s="10" t="str">
        <f>HYPERLINK("https://twitter.com/BerHerg/status/723134379774496768","723134379774496768")</f>
        <v>723134379774496768</v>
      </c>
      <c r="F988" s="11" t="s">
        <v>43</v>
      </c>
      <c r="G988" s="11">
        <v>244</v>
      </c>
      <c r="H988" s="11">
        <v>82</v>
      </c>
      <c r="I988" s="11">
        <v>4</v>
      </c>
      <c r="J988" s="11">
        <v>0</v>
      </c>
      <c r="K988" s="11" t="s">
        <v>21</v>
      </c>
      <c r="L988" s="7">
        <v>40269.782847222225</v>
      </c>
      <c r="M988" s="12" t="s">
        <v>2698</v>
      </c>
      <c r="N988" s="12" t="s">
        <v>2699</v>
      </c>
      <c r="O988" s="10" t="str">
        <f>HYPERLINK("https://pbs.twimg.com/profile_images/1648827386/image_normal.jpg","View")</f>
        <v>View</v>
      </c>
      <c r="P988" s="11"/>
    </row>
    <row r="989" spans="1:16" ht="12.75" x14ac:dyDescent="0.35">
      <c r="A989" s="7">
        <v>42481.771828703699</v>
      </c>
      <c r="B989" s="8" t="str">
        <f>HYPERLINK("https://twitter.com/Cosmic_Crafts","@Cosmic_Crafts")</f>
        <v>@Cosmic_Crafts</v>
      </c>
      <c r="C989" s="9" t="s">
        <v>2700</v>
      </c>
      <c r="D989" s="9" t="s">
        <v>2670</v>
      </c>
      <c r="E989" s="10" t="str">
        <f>HYPERLINK("https://twitter.com/Cosmic_Crafts/status/723134550596038656","723134550596038656")</f>
        <v>723134550596038656</v>
      </c>
      <c r="F989" s="11" t="s">
        <v>288</v>
      </c>
      <c r="G989" s="11">
        <v>1455</v>
      </c>
      <c r="H989" s="11">
        <v>953</v>
      </c>
      <c r="I989" s="11">
        <v>4</v>
      </c>
      <c r="J989" s="11">
        <v>0</v>
      </c>
      <c r="K989" s="11" t="s">
        <v>21</v>
      </c>
      <c r="L989" s="7">
        <v>42283.869398148148</v>
      </c>
      <c r="M989" s="12" t="s">
        <v>2701</v>
      </c>
      <c r="N989" s="12" t="s">
        <v>2702</v>
      </c>
      <c r="O989" s="10" t="str">
        <f>HYPERLINK("https://pbs.twimg.com/profile_images/708996674396549120/_NTeAG51_normal.jpg","View")</f>
        <v>View</v>
      </c>
      <c r="P989" s="11"/>
    </row>
    <row r="990" spans="1:16" ht="12.75" x14ac:dyDescent="0.35">
      <c r="A990" s="7">
        <v>42481.772893518515</v>
      </c>
      <c r="B990" s="8" t="str">
        <f>HYPERLINK("https://twitter.com/dapper013","@dapper013")</f>
        <v>@dapper013</v>
      </c>
      <c r="C990" s="9" t="s">
        <v>1567</v>
      </c>
      <c r="D990" s="9" t="s">
        <v>2703</v>
      </c>
      <c r="E990" s="10" t="str">
        <f>HYPERLINK("https://twitter.com/dapper013/status/723134935482138624","723134935482138624")</f>
        <v>723134935482138624</v>
      </c>
      <c r="F990" s="11" t="s">
        <v>48</v>
      </c>
      <c r="G990" s="11">
        <v>291</v>
      </c>
      <c r="H990" s="11">
        <v>304</v>
      </c>
      <c r="I990" s="11">
        <v>0</v>
      </c>
      <c r="J990" s="11">
        <v>1</v>
      </c>
      <c r="K990" s="11" t="s">
        <v>21</v>
      </c>
      <c r="L990" s="7">
        <v>40871.767500000002</v>
      </c>
      <c r="M990" s="12" t="s">
        <v>1569</v>
      </c>
      <c r="N990" s="12" t="s">
        <v>1570</v>
      </c>
      <c r="O990" s="10" t="str">
        <f>HYPERLINK("https://pbs.twimg.com/profile_images/704424786777280513/YQVkJF57_normal.jpg","View")</f>
        <v>View</v>
      </c>
      <c r="P990" s="11"/>
    </row>
    <row r="991" spans="1:16" ht="12.75" x14ac:dyDescent="0.35">
      <c r="A991" s="7">
        <v>42481.774039351847</v>
      </c>
      <c r="B991" s="8" t="str">
        <f>HYPERLINK("https://twitter.com/Scirocco_Tuning","@Scirocco_Tuning")</f>
        <v>@Scirocco_Tuning</v>
      </c>
      <c r="C991" s="9" t="s">
        <v>51</v>
      </c>
      <c r="D991" s="9" t="s">
        <v>2704</v>
      </c>
      <c r="E991" s="10" t="str">
        <f>HYPERLINK("https://twitter.com/Scirocco_Tuning/status/723135351737454592","723135351737454592")</f>
        <v>723135351737454592</v>
      </c>
      <c r="F991" s="11" t="s">
        <v>53</v>
      </c>
      <c r="G991" s="11">
        <v>69</v>
      </c>
      <c r="H991" s="11">
        <v>215</v>
      </c>
      <c r="I991" s="11">
        <v>0</v>
      </c>
      <c r="J991" s="11">
        <v>0</v>
      </c>
      <c r="K991" s="11" t="s">
        <v>21</v>
      </c>
      <c r="L991" s="7">
        <v>40844.564722222218</v>
      </c>
      <c r="M991" s="12"/>
      <c r="N991" s="12"/>
      <c r="O991" s="10" t="str">
        <f>HYPERLINK("https://pbs.twimg.com/profile_images/1610421423/Image2_normal.jpg","View")</f>
        <v>View</v>
      </c>
      <c r="P991" s="11"/>
    </row>
    <row r="992" spans="1:16" ht="12.75" x14ac:dyDescent="0.35">
      <c r="A992" s="7">
        <v>42481.775601851856</v>
      </c>
      <c r="B992" s="8" t="str">
        <f>HYPERLINK("https://twitter.com/vwpress_de","@vwpress_de")</f>
        <v>@vwpress_de</v>
      </c>
      <c r="C992" s="9" t="s">
        <v>1685</v>
      </c>
      <c r="D992" s="9" t="s">
        <v>2705</v>
      </c>
      <c r="E992" s="10" t="str">
        <f>HYPERLINK("https://twitter.com/vwpress_de/status/723135916462747648","723135916462747648")</f>
        <v>723135916462747648</v>
      </c>
      <c r="F992" s="11" t="s">
        <v>152</v>
      </c>
      <c r="G992" s="11">
        <v>5763</v>
      </c>
      <c r="H992" s="11">
        <v>610</v>
      </c>
      <c r="I992" s="11">
        <v>0</v>
      </c>
      <c r="J992" s="11">
        <v>2</v>
      </c>
      <c r="K992" s="11" t="s">
        <v>21</v>
      </c>
      <c r="L992" s="7">
        <v>42041.830381944441</v>
      </c>
      <c r="M992" s="12" t="s">
        <v>1690</v>
      </c>
      <c r="N992" s="12" t="s">
        <v>1691</v>
      </c>
      <c r="O992" s="10" t="str">
        <f>HYPERLINK("https://pbs.twimg.com/profile_images/682117656502222848/Ge7YeAF3_normal.png","View")</f>
        <v>View</v>
      </c>
      <c r="P992" s="11"/>
    </row>
    <row r="993" spans="1:16" ht="12.75" x14ac:dyDescent="0.35">
      <c r="A993" s="7">
        <v>42481.779606481483</v>
      </c>
      <c r="B993" s="8" t="str">
        <f>HYPERLINK("https://twitter.com/henrrycarpenter","@henrrycarpenter")</f>
        <v>@henrrycarpenter</v>
      </c>
      <c r="C993" s="9" t="s">
        <v>2706</v>
      </c>
      <c r="D993" s="9" t="s">
        <v>2423</v>
      </c>
      <c r="E993" s="10" t="str">
        <f>HYPERLINK("https://twitter.com/henrrycarpenter/status/723137368748752900","723137368748752900")</f>
        <v>723137368748752900</v>
      </c>
      <c r="F993" s="11" t="s">
        <v>367</v>
      </c>
      <c r="G993" s="11">
        <v>160</v>
      </c>
      <c r="H993" s="11">
        <v>569</v>
      </c>
      <c r="I993" s="11">
        <v>10</v>
      </c>
      <c r="J993" s="11">
        <v>0</v>
      </c>
      <c r="K993" s="11" t="s">
        <v>21</v>
      </c>
      <c r="L993" s="7">
        <v>41599.973993055552</v>
      </c>
      <c r="M993" s="12"/>
      <c r="N993" s="12" t="s">
        <v>2707</v>
      </c>
      <c r="O993" s="10" t="str">
        <f>HYPERLINK("https://pbs.twimg.com/profile_images/416294340630036480/TM6cLoZ3_normal.jpeg","View")</f>
        <v>View</v>
      </c>
      <c r="P993" s="11"/>
    </row>
    <row r="994" spans="1:16" ht="12.75" x14ac:dyDescent="0.35">
      <c r="A994" s="7">
        <v>42481.780023148152</v>
      </c>
      <c r="B994" s="8" t="str">
        <f>HYPERLINK("https://twitter.com/greenback78","@greenback78")</f>
        <v>@greenback78</v>
      </c>
      <c r="C994" s="9" t="s">
        <v>2708</v>
      </c>
      <c r="D994" s="9" t="s">
        <v>2709</v>
      </c>
      <c r="E994" s="10" t="str">
        <f>HYPERLINK("https://twitter.com/greenback78/status/723137518435098624","723137518435098624")</f>
        <v>723137518435098624</v>
      </c>
      <c r="F994" s="11" t="s">
        <v>48</v>
      </c>
      <c r="G994" s="11">
        <v>2183</v>
      </c>
      <c r="H994" s="11">
        <v>5002</v>
      </c>
      <c r="I994" s="11">
        <v>1</v>
      </c>
      <c r="J994" s="11">
        <v>0</v>
      </c>
      <c r="K994" s="11" t="s">
        <v>21</v>
      </c>
      <c r="L994" s="7">
        <v>42259.135011574079</v>
      </c>
      <c r="M994" s="12" t="s">
        <v>517</v>
      </c>
      <c r="N994" s="12" t="s">
        <v>2710</v>
      </c>
      <c r="O994" s="10" t="str">
        <f>HYPERLINK("https://pbs.twimg.com/profile_images/711875123771543552/VBKWbg4u_normal.jpg","View")</f>
        <v>View</v>
      </c>
      <c r="P994" s="11"/>
    </row>
    <row r="995" spans="1:16" ht="12.75" x14ac:dyDescent="0.35">
      <c r="A995" s="7">
        <v>42481.780416666668</v>
      </c>
      <c r="B995" s="8" t="str">
        <f>HYPERLINK("https://twitter.com/HPtechnik","@HPtechnik")</f>
        <v>@HPtechnik</v>
      </c>
      <c r="C995" s="9" t="s">
        <v>2711</v>
      </c>
      <c r="D995" s="9" t="s">
        <v>2712</v>
      </c>
      <c r="E995" s="10" t="str">
        <f>HYPERLINK("https://twitter.com/HPtechnik/status/723137662559899648","723137662559899648")</f>
        <v>723137662559899648</v>
      </c>
      <c r="F995" s="11" t="s">
        <v>20</v>
      </c>
      <c r="G995" s="11">
        <v>293</v>
      </c>
      <c r="H995" s="11">
        <v>448</v>
      </c>
      <c r="I995" s="11">
        <v>1</v>
      </c>
      <c r="J995" s="11">
        <v>0</v>
      </c>
      <c r="K995" s="11" t="s">
        <v>21</v>
      </c>
      <c r="L995" s="7">
        <v>41985.977268518516</v>
      </c>
      <c r="M995" s="12" t="s">
        <v>2713</v>
      </c>
      <c r="N995" s="12" t="s">
        <v>2714</v>
      </c>
      <c r="O995" s="10" t="str">
        <f>HYPERLINK("https://pbs.twimg.com/profile_images/684689030848581632/5zR21Hk9_normal.jpg","View")</f>
        <v>View</v>
      </c>
      <c r="P995" s="11"/>
    </row>
    <row r="996" spans="1:16" ht="12.75" x14ac:dyDescent="0.35">
      <c r="A996" s="7">
        <v>42481.780729166669</v>
      </c>
      <c r="B996" s="8" t="str">
        <f>HYPERLINK("https://twitter.com/KraeuterVerbena","@KraeuterVerbena")</f>
        <v>@KraeuterVerbena</v>
      </c>
      <c r="C996" s="9" t="s">
        <v>2715</v>
      </c>
      <c r="D996" s="9" t="s">
        <v>2716</v>
      </c>
      <c r="E996" s="10" t="str">
        <f>HYPERLINK("https://twitter.com/KraeuterVerbena/status/723137773654302721","723137773654302721")</f>
        <v>723137773654302721</v>
      </c>
      <c r="F996" s="11" t="s">
        <v>34</v>
      </c>
      <c r="G996" s="11">
        <v>893</v>
      </c>
      <c r="H996" s="11">
        <v>176</v>
      </c>
      <c r="I996" s="11">
        <v>0</v>
      </c>
      <c r="J996" s="11">
        <v>0</v>
      </c>
      <c r="K996" s="11" t="s">
        <v>21</v>
      </c>
      <c r="L996" s="7">
        <v>41464.854224537034</v>
      </c>
      <c r="M996" s="12" t="s">
        <v>2717</v>
      </c>
      <c r="N996" s="12" t="s">
        <v>2718</v>
      </c>
      <c r="O996" s="10" t="str">
        <f>HYPERLINK("https://pbs.twimg.com/profile_images/378800000109961888/1fe63c1eeb42ea998aeb8b47c703db0c_normal.jpeg","View")</f>
        <v>View</v>
      </c>
      <c r="P996" s="11"/>
    </row>
    <row r="997" spans="1:16" ht="12.75" x14ac:dyDescent="0.35">
      <c r="A997" s="7">
        <v>42481.781122685185</v>
      </c>
      <c r="B997" s="8" t="str">
        <f>HYPERLINK("https://twitter.com/Russ_und_Klima","@Russ_und_Klima")</f>
        <v>@Russ_und_Klima</v>
      </c>
      <c r="C997" s="9" t="s">
        <v>2719</v>
      </c>
      <c r="D997" s="9" t="s">
        <v>2360</v>
      </c>
      <c r="E997" s="10" t="str">
        <f>HYPERLINK("https://twitter.com/Russ_und_Klima/status/723137917900582918","723137917900582918")</f>
        <v>723137917900582918</v>
      </c>
      <c r="F997" s="11" t="s">
        <v>43</v>
      </c>
      <c r="G997" s="11">
        <v>373</v>
      </c>
      <c r="H997" s="11">
        <v>285</v>
      </c>
      <c r="I997" s="11">
        <v>5</v>
      </c>
      <c r="J997" s="11">
        <v>0</v>
      </c>
      <c r="K997" s="11" t="s">
        <v>21</v>
      </c>
      <c r="L997" s="7">
        <v>40004.657685185186</v>
      </c>
      <c r="M997" s="12" t="s">
        <v>2720</v>
      </c>
      <c r="N997" s="12" t="s">
        <v>2721</v>
      </c>
      <c r="O997" s="10" t="str">
        <f>HYPERLINK("https://pbs.twimg.com/profile_images/306827227/Logo_Russfrei_normal.jpg","View")</f>
        <v>View</v>
      </c>
      <c r="P997" s="11"/>
    </row>
    <row r="998" spans="1:16" ht="12.75" x14ac:dyDescent="0.35">
      <c r="A998" s="7">
        <v>42481.782731481479</v>
      </c>
      <c r="B998" s="8" t="str">
        <f>HYPERLINK("https://twitter.com/TheMutti","@TheMutti")</f>
        <v>@TheMutti</v>
      </c>
      <c r="C998" s="9" t="s">
        <v>2722</v>
      </c>
      <c r="D998" s="9" t="s">
        <v>2723</v>
      </c>
      <c r="E998" s="10" t="str">
        <f>HYPERLINK("https://twitter.com/TheMutti/status/723138499310813186","723138499310813186")</f>
        <v>723138499310813186</v>
      </c>
      <c r="F998" s="11" t="s">
        <v>43</v>
      </c>
      <c r="G998" s="11">
        <v>3675</v>
      </c>
      <c r="H998" s="11">
        <v>841</v>
      </c>
      <c r="I998" s="11">
        <v>0</v>
      </c>
      <c r="J998" s="11">
        <v>1</v>
      </c>
      <c r="K998" s="11" t="s">
        <v>21</v>
      </c>
      <c r="L998" s="7">
        <v>39890.963425925926</v>
      </c>
      <c r="M998" s="12" t="s">
        <v>2724</v>
      </c>
      <c r="N998" s="12" t="s">
        <v>2725</v>
      </c>
      <c r="O998" s="10" t="str">
        <f>HYPERLINK("https://pbs.twimg.com/profile_images/687612388103819269/iXaQbnrH_normal.png","View")</f>
        <v>View</v>
      </c>
      <c r="P998" s="11"/>
    </row>
    <row r="999" spans="1:16" ht="12.75" x14ac:dyDescent="0.35">
      <c r="A999" s="7">
        <v>42481.783449074079</v>
      </c>
      <c r="B999" s="8" t="str">
        <f>HYPERLINK("https://twitter.com/Karlomart","@Karlomart")</f>
        <v>@Karlomart</v>
      </c>
      <c r="C999" s="9" t="s">
        <v>2726</v>
      </c>
      <c r="D999" s="9" t="s">
        <v>2727</v>
      </c>
      <c r="E999" s="10" t="str">
        <f>HYPERLINK("https://twitter.com/Karlomart/status/723138761555496960","723138761555496960")</f>
        <v>723138761555496960</v>
      </c>
      <c r="F999" s="11" t="s">
        <v>43</v>
      </c>
      <c r="G999" s="11">
        <v>56</v>
      </c>
      <c r="H999" s="11">
        <v>34</v>
      </c>
      <c r="I999" s="11">
        <v>0</v>
      </c>
      <c r="J999" s="11">
        <v>0</v>
      </c>
      <c r="K999" s="11" t="s">
        <v>21</v>
      </c>
      <c r="L999" s="7">
        <v>40860.371331018519</v>
      </c>
      <c r="M999" s="12" t="s">
        <v>2728</v>
      </c>
      <c r="N999" s="12"/>
      <c r="O999" s="10" t="str">
        <f>HYPERLINK("https://pbs.twimg.com/profile_images/441017002224660480/wMS_0yBK_normal.jpeg","View")</f>
        <v>View</v>
      </c>
      <c r="P999" s="11"/>
    </row>
    <row r="1000" spans="1:16" ht="12.75" x14ac:dyDescent="0.35">
      <c r="A1000" s="7">
        <v>42481.783726851849</v>
      </c>
      <c r="B1000" s="8" t="str">
        <f>HYPERLINK("https://twitter.com/VWCamperSales","@VWCamperSales")</f>
        <v>@VWCamperSales</v>
      </c>
      <c r="C1000" s="9" t="s">
        <v>216</v>
      </c>
      <c r="D1000" s="9" t="s">
        <v>2729</v>
      </c>
      <c r="E1000" s="10" t="str">
        <f>HYPERLINK("https://twitter.com/VWCamperSales/status/723138860415242241","723138860415242241")</f>
        <v>723138860415242241</v>
      </c>
      <c r="F1000" s="10" t="s">
        <v>124</v>
      </c>
      <c r="G1000" s="11">
        <v>615</v>
      </c>
      <c r="H1000" s="11">
        <v>580</v>
      </c>
      <c r="I1000" s="11">
        <v>0</v>
      </c>
      <c r="J1000" s="11">
        <v>0</v>
      </c>
      <c r="K1000" s="11" t="s">
        <v>21</v>
      </c>
      <c r="L1000" s="7">
        <v>42215.98809027778</v>
      </c>
      <c r="M1000" s="12" t="s">
        <v>129</v>
      </c>
      <c r="N1000" s="12" t="s">
        <v>218</v>
      </c>
      <c r="O1000" s="10" t="str">
        <f>HYPERLINK("https://pbs.twimg.com/profile_images/627949001179037696/skEBkS05_normal.jpg","View")</f>
        <v>View</v>
      </c>
      <c r="P1000" s="11"/>
    </row>
    <row r="1001" spans="1:16" ht="12.75" x14ac:dyDescent="0.35">
      <c r="A1001" s="7">
        <v>42481.784618055557</v>
      </c>
      <c r="B1001" s="8" t="str">
        <f>HYPERLINK("https://twitter.com/jenkers_en","@jenkers_en")</f>
        <v>@jenkers_en</v>
      </c>
      <c r="C1001" s="9" t="s">
        <v>2730</v>
      </c>
      <c r="D1001" s="9" t="s">
        <v>2731</v>
      </c>
      <c r="E1001" s="10" t="str">
        <f>HYPERLINK("https://twitter.com/jenkers_en/status/723139182827282432","723139182827282432")</f>
        <v>723139182827282432</v>
      </c>
      <c r="F1001" s="11" t="s">
        <v>2732</v>
      </c>
      <c r="G1001" s="11">
        <v>1179</v>
      </c>
      <c r="H1001" s="11">
        <v>335</v>
      </c>
      <c r="I1001" s="11">
        <v>0</v>
      </c>
      <c r="J1001" s="11">
        <v>0</v>
      </c>
      <c r="K1001" s="11" t="s">
        <v>21</v>
      </c>
      <c r="L1001" s="7">
        <v>42082.76226851852</v>
      </c>
      <c r="M1001" s="12" t="s">
        <v>155</v>
      </c>
      <c r="N1001" s="12" t="s">
        <v>2733</v>
      </c>
      <c r="O1001" s="10" t="str">
        <f>HYPERLINK("https://pbs.twimg.com/profile_images/588324718677254145/-y5BbeY4_normal.png","View")</f>
        <v>View</v>
      </c>
      <c r="P1001" s="11"/>
    </row>
    <row r="1002" spans="1:16" ht="12.75" x14ac:dyDescent="0.35">
      <c r="A1002" s="7">
        <v>42481.785798611112</v>
      </c>
      <c r="B1002" s="8" t="str">
        <f>HYPERLINK("https://twitter.com/CarNotaFridge","@CarNotaFridge")</f>
        <v>@CarNotaFridge</v>
      </c>
      <c r="C1002" s="9" t="s">
        <v>2734</v>
      </c>
      <c r="D1002" s="9" t="s">
        <v>2735</v>
      </c>
      <c r="E1002" s="10" t="str">
        <f>HYPERLINK("https://twitter.com/CarNotaFridge/status/723139610914643969","723139610914643969")</f>
        <v>723139610914643969</v>
      </c>
      <c r="F1002" s="11" t="s">
        <v>91</v>
      </c>
      <c r="G1002" s="11">
        <v>307</v>
      </c>
      <c r="H1002" s="11">
        <v>380</v>
      </c>
      <c r="I1002" s="11">
        <v>0</v>
      </c>
      <c r="J1002" s="11">
        <v>0</v>
      </c>
      <c r="K1002" s="11" t="s">
        <v>21</v>
      </c>
      <c r="L1002" s="7">
        <v>40525.380381944444</v>
      </c>
      <c r="M1002" s="12" t="s">
        <v>209</v>
      </c>
      <c r="N1002" s="12" t="s">
        <v>2736</v>
      </c>
      <c r="O1002" s="10" t="str">
        <f>HYPERLINK("https://pbs.twimg.com/profile_images/1622195010/TEBNYC062011_normal.jpg","View")</f>
        <v>View</v>
      </c>
      <c r="P1002" s="11"/>
    </row>
    <row r="1003" spans="1:16" ht="12.75" x14ac:dyDescent="0.35">
      <c r="A1003" s="7">
        <v>42481.787905092591</v>
      </c>
      <c r="B1003" s="8" t="str">
        <f>HYPERLINK("https://twitter.com/VWBeetleSales","@VWBeetleSales")</f>
        <v>@VWBeetleSales</v>
      </c>
      <c r="C1003" s="9" t="s">
        <v>127</v>
      </c>
      <c r="D1003" s="9" t="s">
        <v>2737</v>
      </c>
      <c r="E1003" s="10" t="str">
        <f>HYPERLINK("https://twitter.com/VWBeetleSales/status/723140376257679362","723140376257679362")</f>
        <v>723140376257679362</v>
      </c>
      <c r="F1003" s="10" t="s">
        <v>124</v>
      </c>
      <c r="G1003" s="11">
        <v>35</v>
      </c>
      <c r="H1003" s="11">
        <v>32</v>
      </c>
      <c r="I1003" s="11">
        <v>0</v>
      </c>
      <c r="J1003" s="11">
        <v>0</v>
      </c>
      <c r="K1003" s="11" t="s">
        <v>21</v>
      </c>
      <c r="L1003" s="7">
        <v>42427.019756944443</v>
      </c>
      <c r="M1003" s="12" t="s">
        <v>129</v>
      </c>
      <c r="N1003" s="12" t="s">
        <v>130</v>
      </c>
      <c r="O1003" s="10" t="str">
        <f>HYPERLINK("https://pbs.twimg.com/profile_images/703294545195307008/qeCvrX86_normal.jpg","View")</f>
        <v>View</v>
      </c>
      <c r="P1003" s="11"/>
    </row>
    <row r="1004" spans="1:16" ht="12.75" x14ac:dyDescent="0.35">
      <c r="A1004" s="7">
        <v>42481.7887962963</v>
      </c>
      <c r="B1004" s="8" t="str">
        <f>HYPERLINK("https://twitter.com/svetnovca","@svetnovca")</f>
        <v>@svetnovca</v>
      </c>
      <c r="C1004" s="9" t="s">
        <v>2738</v>
      </c>
      <c r="D1004" s="9" t="s">
        <v>2739</v>
      </c>
      <c r="E1004" s="10" t="str">
        <f>HYPERLINK("https://twitter.com/svetnovca/status/723140698220974080","723140698220974080")</f>
        <v>723140698220974080</v>
      </c>
      <c r="F1004" s="10" t="s">
        <v>2083</v>
      </c>
      <c r="G1004" s="11">
        <v>110</v>
      </c>
      <c r="H1004" s="11">
        <v>204</v>
      </c>
      <c r="I1004" s="11">
        <v>0</v>
      </c>
      <c r="J1004" s="11">
        <v>0</v>
      </c>
      <c r="K1004" s="11" t="s">
        <v>21</v>
      </c>
      <c r="L1004" s="7">
        <v>41544.884594907409</v>
      </c>
      <c r="M1004" s="12" t="s">
        <v>2740</v>
      </c>
      <c r="N1004" s="12" t="s">
        <v>2741</v>
      </c>
      <c r="O1004" s="10" t="str">
        <f>HYPERLINK("https://pbs.twimg.com/profile_images/515116111235272704/3SRLYum5_normal.jpeg","View")</f>
        <v>View</v>
      </c>
      <c r="P1004" s="11"/>
    </row>
    <row r="1005" spans="1:16" ht="12.75" x14ac:dyDescent="0.35">
      <c r="A1005" s="7">
        <v>42481.788958333331</v>
      </c>
      <c r="B1005" s="8" t="str">
        <f>HYPERLINK("https://twitter.com/IAQforMN","@IAQforMN")</f>
        <v>@IAQforMN</v>
      </c>
      <c r="C1005" s="9" t="s">
        <v>2742</v>
      </c>
      <c r="D1005" s="9" t="s">
        <v>2743</v>
      </c>
      <c r="E1005" s="10" t="str">
        <f>HYPERLINK("https://twitter.com/IAQforMN/status/723140758451134464","723140758451134464")</f>
        <v>723140758451134464</v>
      </c>
      <c r="F1005" s="11" t="s">
        <v>48</v>
      </c>
      <c r="G1005" s="11">
        <v>42</v>
      </c>
      <c r="H1005" s="11">
        <v>74</v>
      </c>
      <c r="I1005" s="11">
        <v>0</v>
      </c>
      <c r="J1005" s="11">
        <v>0</v>
      </c>
      <c r="K1005" s="11" t="s">
        <v>21</v>
      </c>
      <c r="L1005" s="7">
        <v>41043.914976851855</v>
      </c>
      <c r="M1005" s="12" t="s">
        <v>2744</v>
      </c>
      <c r="N1005" s="12" t="s">
        <v>2745</v>
      </c>
      <c r="O1005" s="10" t="str">
        <f>HYPERLINK("https://pbs.twimg.com/profile_images/2218224860/small_logo_normal.jpg","View")</f>
        <v>View</v>
      </c>
      <c r="P1005" s="11"/>
    </row>
    <row r="1006" spans="1:16" ht="12.75" x14ac:dyDescent="0.35">
      <c r="A1006" s="7">
        <v>42481.791516203702</v>
      </c>
      <c r="B1006" s="8" t="str">
        <f>HYPERLINK("https://twitter.com/TheLastDonDiva","@TheLastDonDiva")</f>
        <v>@TheLastDonDiva</v>
      </c>
      <c r="C1006" s="9" t="s">
        <v>2746</v>
      </c>
      <c r="D1006" s="9" t="s">
        <v>2747</v>
      </c>
      <c r="E1006" s="10" t="str">
        <f>HYPERLINK("https://twitter.com/TheLastDonDiva/status/723141682347139073","723141682347139073")</f>
        <v>723141682347139073</v>
      </c>
      <c r="F1006" s="11" t="s">
        <v>20</v>
      </c>
      <c r="G1006" s="11">
        <v>194</v>
      </c>
      <c r="H1006" s="11">
        <v>479</v>
      </c>
      <c r="I1006" s="11">
        <v>0</v>
      </c>
      <c r="J1006" s="11">
        <v>0</v>
      </c>
      <c r="K1006" s="11" t="s">
        <v>21</v>
      </c>
      <c r="L1006" s="7">
        <v>41204.089108796295</v>
      </c>
      <c r="M1006" s="12" t="s">
        <v>305</v>
      </c>
      <c r="N1006" s="12" t="s">
        <v>2748</v>
      </c>
      <c r="O1006" s="10" t="str">
        <f>HYPERLINK("https://pbs.twimg.com/profile_images/378800000553614858/a0b1bede0abb0d25abffa0307f37509b_normal.png","View")</f>
        <v>View</v>
      </c>
      <c r="P1006" s="11"/>
    </row>
    <row r="1007" spans="1:16" ht="12.75" x14ac:dyDescent="0.35">
      <c r="A1007" s="7">
        <v>42481.792303240742</v>
      </c>
      <c r="B1007" s="8" t="str">
        <f>HYPERLINK("https://twitter.com/mrtimochee","@mrtimochee")</f>
        <v>@mrtimochee</v>
      </c>
      <c r="C1007" s="9" t="s">
        <v>2749</v>
      </c>
      <c r="D1007" s="9" t="s">
        <v>2750</v>
      </c>
      <c r="E1007" s="10" t="str">
        <f>HYPERLINK("https://twitter.com/mrtimochee/status/723141970386915328","723141970386915328")</f>
        <v>723141970386915328</v>
      </c>
      <c r="F1007" s="11" t="s">
        <v>48</v>
      </c>
      <c r="G1007" s="11">
        <v>31</v>
      </c>
      <c r="H1007" s="11">
        <v>37</v>
      </c>
      <c r="I1007" s="11">
        <v>0</v>
      </c>
      <c r="J1007" s="11">
        <v>0</v>
      </c>
      <c r="K1007" s="11" t="s">
        <v>21</v>
      </c>
      <c r="L1007" s="7">
        <v>41447.830104166671</v>
      </c>
      <c r="M1007" s="12" t="s">
        <v>172</v>
      </c>
      <c r="N1007" s="12"/>
      <c r="O1007" s="10" t="str">
        <f>HYPERLINK("https://pbs.twimg.com/profile_images/378800000029735186/0e21db349c499d999a6ad25272a152db_normal.jpeg","View")</f>
        <v>View</v>
      </c>
      <c r="P1007" s="11"/>
    </row>
    <row r="1008" spans="1:16" ht="12.75" x14ac:dyDescent="0.35">
      <c r="A1008" s="7">
        <v>42481.793900462959</v>
      </c>
      <c r="B1008" s="8" t="str">
        <f t="shared" ref="B1008:B1009" si="105">HYPERLINK("https://twitter.com/VWCamperSales","@VWCamperSales")</f>
        <v>@VWCamperSales</v>
      </c>
      <c r="C1008" s="9" t="s">
        <v>216</v>
      </c>
      <c r="D1008" s="9" t="s">
        <v>2751</v>
      </c>
      <c r="E1008" s="10" t="str">
        <f>HYPERLINK("https://twitter.com/VWCamperSales/status/723142546369601540","723142546369601540")</f>
        <v>723142546369601540</v>
      </c>
      <c r="F1008" s="10" t="s">
        <v>124</v>
      </c>
      <c r="G1008" s="11">
        <v>615</v>
      </c>
      <c r="H1008" s="11">
        <v>580</v>
      </c>
      <c r="I1008" s="11">
        <v>0</v>
      </c>
      <c r="J1008" s="11">
        <v>0</v>
      </c>
      <c r="K1008" s="11" t="s">
        <v>21</v>
      </c>
      <c r="L1008" s="7">
        <v>42215.98809027778</v>
      </c>
      <c r="M1008" s="12" t="s">
        <v>129</v>
      </c>
      <c r="N1008" s="12" t="s">
        <v>218</v>
      </c>
      <c r="O1008" s="10" t="str">
        <f t="shared" ref="O1008:O1009" si="106">HYPERLINK("https://pbs.twimg.com/profile_images/627949001179037696/skEBkS05_normal.jpg","View")</f>
        <v>View</v>
      </c>
      <c r="P1008" s="11"/>
    </row>
    <row r="1009" spans="1:16" ht="12.75" x14ac:dyDescent="0.35">
      <c r="A1009" s="7">
        <v>42481.793912037036</v>
      </c>
      <c r="B1009" s="8" t="str">
        <f t="shared" si="105"/>
        <v>@VWCamperSales</v>
      </c>
      <c r="C1009" s="9" t="s">
        <v>216</v>
      </c>
      <c r="D1009" s="9" t="s">
        <v>2752</v>
      </c>
      <c r="E1009" s="10" t="str">
        <f>HYPERLINK("https://twitter.com/VWCamperSales/status/723142553009184769","723142553009184769")</f>
        <v>723142553009184769</v>
      </c>
      <c r="F1009" s="10" t="s">
        <v>124</v>
      </c>
      <c r="G1009" s="11">
        <v>615</v>
      </c>
      <c r="H1009" s="11">
        <v>580</v>
      </c>
      <c r="I1009" s="11">
        <v>0</v>
      </c>
      <c r="J1009" s="11">
        <v>0</v>
      </c>
      <c r="K1009" s="11" t="s">
        <v>21</v>
      </c>
      <c r="L1009" s="7">
        <v>42215.98809027778</v>
      </c>
      <c r="M1009" s="12" t="s">
        <v>129</v>
      </c>
      <c r="N1009" s="12" t="s">
        <v>218</v>
      </c>
      <c r="O1009" s="10" t="str">
        <f t="shared" si="106"/>
        <v>View</v>
      </c>
      <c r="P1009" s="11"/>
    </row>
    <row r="1010" spans="1:16" ht="12.75" x14ac:dyDescent="0.35">
      <c r="A1010" s="7">
        <v>42481.794363425928</v>
      </c>
      <c r="B1010" s="8" t="str">
        <f>HYPERLINK("https://twitter.com/GNTools_","@GNTools_")</f>
        <v>@GNTools_</v>
      </c>
      <c r="C1010" s="9" t="s">
        <v>2753</v>
      </c>
      <c r="D1010" s="9" t="s">
        <v>2670</v>
      </c>
      <c r="E1010" s="10" t="str">
        <f>HYPERLINK("https://twitter.com/GNTools_/status/723142715517591552","723142715517591552")</f>
        <v>723142715517591552</v>
      </c>
      <c r="F1010" s="11" t="s">
        <v>288</v>
      </c>
      <c r="G1010" s="11">
        <v>2369</v>
      </c>
      <c r="H1010" s="11">
        <v>1461</v>
      </c>
      <c r="I1010" s="11">
        <v>4</v>
      </c>
      <c r="J1010" s="11">
        <v>0</v>
      </c>
      <c r="K1010" s="11" t="s">
        <v>21</v>
      </c>
      <c r="L1010" s="7">
        <v>41661.027430555558</v>
      </c>
      <c r="M1010" s="12" t="s">
        <v>2754</v>
      </c>
      <c r="N1010" s="12" t="s">
        <v>2755</v>
      </c>
      <c r="O1010" s="10" t="str">
        <f>HYPERLINK("https://pbs.twimg.com/profile_images/714823479841988610/NhkMmQXO_normal.jpg","View")</f>
        <v>View</v>
      </c>
      <c r="P1010" s="11"/>
    </row>
    <row r="1011" spans="1:16" ht="12.75" x14ac:dyDescent="0.35">
      <c r="A1011" s="7">
        <v>42481.79488425926</v>
      </c>
      <c r="B1011" s="8" t="str">
        <f>HYPERLINK("https://twitter.com/Rubyrocket67","@Rubyrocket67")</f>
        <v>@Rubyrocket67</v>
      </c>
      <c r="C1011" s="9" t="s">
        <v>2756</v>
      </c>
      <c r="D1011" s="9" t="s">
        <v>2757</v>
      </c>
      <c r="E1011" s="10" t="str">
        <f>HYPERLINK("https://twitter.com/Rubyrocket67/status/723142906584961024","723142906584961024")</f>
        <v>723142906584961024</v>
      </c>
      <c r="F1011" s="11" t="s">
        <v>48</v>
      </c>
      <c r="G1011" s="11">
        <v>1826</v>
      </c>
      <c r="H1011" s="11">
        <v>2198</v>
      </c>
      <c r="I1011" s="11">
        <v>3</v>
      </c>
      <c r="J1011" s="11">
        <v>0</v>
      </c>
      <c r="K1011" s="11" t="s">
        <v>21</v>
      </c>
      <c r="L1011" s="7">
        <v>41530.982361111113</v>
      </c>
      <c r="M1011" s="12"/>
      <c r="N1011" s="12" t="s">
        <v>2758</v>
      </c>
      <c r="O1011" s="10" t="str">
        <f>HYPERLINK("https://pbs.twimg.com/profile_images/638932143205322753/4WrhW3lA_normal.jpg","View")</f>
        <v>View</v>
      </c>
      <c r="P1011" s="11"/>
    </row>
    <row r="1012" spans="1:16" ht="12.75" x14ac:dyDescent="0.35">
      <c r="A1012" s="7">
        <v>42481.795474537037</v>
      </c>
      <c r="B1012" s="8" t="str">
        <f>HYPERLINK("https://twitter.com/dhenneton","@dhenneton")</f>
        <v>@dhenneton</v>
      </c>
      <c r="C1012" s="9" t="s">
        <v>2759</v>
      </c>
      <c r="D1012" s="9" t="s">
        <v>1429</v>
      </c>
      <c r="E1012" s="10" t="str">
        <f>HYPERLINK("https://twitter.com/dhenneton/status/723143119684833280","723143119684833280")</f>
        <v>723143119684833280</v>
      </c>
      <c r="F1012" s="11" t="s">
        <v>43</v>
      </c>
      <c r="G1012" s="11">
        <v>722</v>
      </c>
      <c r="H1012" s="11">
        <v>736</v>
      </c>
      <c r="I1012" s="11">
        <v>13</v>
      </c>
      <c r="J1012" s="11">
        <v>0</v>
      </c>
      <c r="K1012" s="11" t="s">
        <v>21</v>
      </c>
      <c r="L1012" s="7">
        <v>40924.575613425928</v>
      </c>
      <c r="M1012" s="12" t="s">
        <v>2760</v>
      </c>
      <c r="N1012" s="12" t="s">
        <v>2761</v>
      </c>
      <c r="O1012" s="10" t="str">
        <f>HYPERLINK("https://pbs.twimg.com/profile_images/529657323615424512/qo5NPKe2_normal.jpeg","View")</f>
        <v>View</v>
      </c>
      <c r="P1012" s="11"/>
    </row>
    <row r="1013" spans="1:16" ht="12.75" x14ac:dyDescent="0.35">
      <c r="A1013" s="7">
        <v>42481.795902777776</v>
      </c>
      <c r="B1013" s="8" t="str">
        <f>HYPERLINK("https://twitter.com/dwnews","@dwnews")</f>
        <v>@dwnews</v>
      </c>
      <c r="C1013" s="9" t="s">
        <v>1302</v>
      </c>
      <c r="D1013" s="9" t="s">
        <v>2762</v>
      </c>
      <c r="E1013" s="10" t="str">
        <f>HYPERLINK("https://twitter.com/dwnews/status/723143274597216257","723143274597216257")</f>
        <v>723143274597216257</v>
      </c>
      <c r="F1013" s="11" t="s">
        <v>63</v>
      </c>
      <c r="G1013" s="11">
        <v>91214</v>
      </c>
      <c r="H1013" s="11">
        <v>542</v>
      </c>
      <c r="I1013" s="11">
        <v>5</v>
      </c>
      <c r="J1013" s="11">
        <v>1</v>
      </c>
      <c r="K1013" s="11" t="s">
        <v>21</v>
      </c>
      <c r="L1013" s="7">
        <v>39220.688078703708</v>
      </c>
      <c r="M1013" s="12" t="s">
        <v>1303</v>
      </c>
      <c r="N1013" s="12" t="s">
        <v>1304</v>
      </c>
      <c r="O1013" s="10" t="str">
        <f>HYPERLINK("https://pbs.twimg.com/profile_images/608213167496417280/QSxgcLn__normal.png","View")</f>
        <v>View</v>
      </c>
      <c r="P1013" s="11"/>
    </row>
    <row r="1014" spans="1:16" ht="12.75" x14ac:dyDescent="0.35">
      <c r="A1014" s="7">
        <v>42481.796828703707</v>
      </c>
      <c r="B1014" s="8" t="str">
        <f>HYPERLINK("https://twitter.com/benkymens","@benkymens")</f>
        <v>@benkymens</v>
      </c>
      <c r="C1014" s="9" t="s">
        <v>2763</v>
      </c>
      <c r="D1014" s="9" t="s">
        <v>2764</v>
      </c>
      <c r="E1014" s="10" t="str">
        <f>HYPERLINK("https://twitter.com/benkymens/status/723143610502258688","723143610502258688")</f>
        <v>723143610502258688</v>
      </c>
      <c r="F1014" s="11" t="s">
        <v>43</v>
      </c>
      <c r="G1014" s="11">
        <v>755</v>
      </c>
      <c r="H1014" s="11">
        <v>591</v>
      </c>
      <c r="I1014" s="11">
        <v>5</v>
      </c>
      <c r="J1014" s="11">
        <v>0</v>
      </c>
      <c r="K1014" s="11" t="s">
        <v>21</v>
      </c>
      <c r="L1014" s="7">
        <v>41733.922569444447</v>
      </c>
      <c r="M1014" s="12" t="s">
        <v>2765</v>
      </c>
      <c r="N1014" s="12" t="s">
        <v>2766</v>
      </c>
      <c r="O1014" s="10" t="str">
        <f>HYPERLINK("https://pbs.twimg.com/profile_images/723239346351013888/wzCCXB_d_normal.jpg","View")</f>
        <v>View</v>
      </c>
      <c r="P1014" s="11"/>
    </row>
    <row r="1015" spans="1:16" ht="12.75" x14ac:dyDescent="0.35">
      <c r="A1015" s="7">
        <v>42481.797106481477</v>
      </c>
      <c r="B1015" s="8" t="str">
        <f>HYPERLINK("https://twitter.com/zbunny01","@zbunny01")</f>
        <v>@zbunny01</v>
      </c>
      <c r="C1015" s="9" t="s">
        <v>2767</v>
      </c>
      <c r="D1015" s="9" t="s">
        <v>2768</v>
      </c>
      <c r="E1015" s="10" t="str">
        <f>HYPERLINK("https://twitter.com/zbunny01/status/723143709823537152","723143709823537152")</f>
        <v>723143709823537152</v>
      </c>
      <c r="F1015" s="11" t="s">
        <v>48</v>
      </c>
      <c r="G1015" s="11">
        <v>90</v>
      </c>
      <c r="H1015" s="11">
        <v>236</v>
      </c>
      <c r="I1015" s="11">
        <v>0</v>
      </c>
      <c r="J1015" s="11">
        <v>0</v>
      </c>
      <c r="K1015" s="11" t="s">
        <v>21</v>
      </c>
      <c r="L1015" s="7">
        <v>40872.829074074078</v>
      </c>
      <c r="M1015" s="12" t="s">
        <v>1129</v>
      </c>
      <c r="N1015" s="12" t="s">
        <v>2769</v>
      </c>
      <c r="O1015" s="10" t="str">
        <f>HYPERLINK("https://pbs.twimg.com/profile_images/684827448278646784/GTQkjjky_normal.jpg","View")</f>
        <v>View</v>
      </c>
      <c r="P1015" s="11"/>
    </row>
    <row r="1016" spans="1:16" ht="12.75" x14ac:dyDescent="0.35">
      <c r="A1016" s="7">
        <v>42481.797280092593</v>
      </c>
      <c r="B1016" s="8" t="str">
        <f>HYPERLINK("https://twitter.com/JSYorkshire","@JSYorkshire")</f>
        <v>@JSYorkshire</v>
      </c>
      <c r="C1016" s="9" t="s">
        <v>2770</v>
      </c>
      <c r="D1016" s="9" t="s">
        <v>2670</v>
      </c>
      <c r="E1016" s="10" t="str">
        <f>HYPERLINK("https://twitter.com/JSYorkshire/status/723143771265880064","723143771265880064")</f>
        <v>723143771265880064</v>
      </c>
      <c r="F1016" s="11" t="s">
        <v>48</v>
      </c>
      <c r="G1016" s="11">
        <v>2083</v>
      </c>
      <c r="H1016" s="11">
        <v>1415</v>
      </c>
      <c r="I1016" s="11">
        <v>4</v>
      </c>
      <c r="J1016" s="11">
        <v>0</v>
      </c>
      <c r="K1016" s="11" t="s">
        <v>21</v>
      </c>
      <c r="L1016" s="7">
        <v>42395.910393518519</v>
      </c>
      <c r="M1016" s="12" t="s">
        <v>2771</v>
      </c>
      <c r="N1016" s="12" t="s">
        <v>2772</v>
      </c>
      <c r="O1016" s="10" t="str">
        <f>HYPERLINK("https://pbs.twimg.com/profile_images/694562460947353600/LXwVOUmX_normal.jpg","View")</f>
        <v>View</v>
      </c>
      <c r="P1016" s="11"/>
    </row>
    <row r="1017" spans="1:16" ht="12.75" x14ac:dyDescent="0.35">
      <c r="A1017" s="7">
        <v>42481.797962962963</v>
      </c>
      <c r="B1017" s="8" t="str">
        <f>HYPERLINK("https://twitter.com/faznet","@faznet")</f>
        <v>@faznet</v>
      </c>
      <c r="C1017" s="8" t="s">
        <v>1590</v>
      </c>
      <c r="D1017" s="9" t="s">
        <v>2773</v>
      </c>
      <c r="E1017" s="10" t="str">
        <f>HYPERLINK("https://twitter.com/faznet/status/723144020227059712","723144020227059712")</f>
        <v>723144020227059712</v>
      </c>
      <c r="F1017" s="11" t="s">
        <v>63</v>
      </c>
      <c r="G1017" s="11">
        <v>308484</v>
      </c>
      <c r="H1017" s="11">
        <v>211</v>
      </c>
      <c r="I1017" s="11">
        <v>3</v>
      </c>
      <c r="J1017" s="11">
        <v>1</v>
      </c>
      <c r="K1017" s="11" t="s">
        <v>21</v>
      </c>
      <c r="L1017" s="7">
        <v>39793.822881944448</v>
      </c>
      <c r="M1017" s="12" t="s">
        <v>1464</v>
      </c>
      <c r="N1017" s="12" t="s">
        <v>1592</v>
      </c>
      <c r="O1017" s="10" t="str">
        <f>HYPERLINK("https://pbs.twimg.com/profile_images/477438671151304705/8XlAQ509_normal.jpeg","View")</f>
        <v>View</v>
      </c>
      <c r="P1017" s="11"/>
    </row>
    <row r="1018" spans="1:16" ht="12.75" x14ac:dyDescent="0.35">
      <c r="A1018" s="7">
        <v>42481.798009259262</v>
      </c>
      <c r="B1018" s="8" t="str">
        <f>HYPERLINK("https://twitter.com/VWCamperSales","@VWCamperSales")</f>
        <v>@VWCamperSales</v>
      </c>
      <c r="C1018" s="9" t="s">
        <v>216</v>
      </c>
      <c r="D1018" s="9" t="s">
        <v>2774</v>
      </c>
      <c r="E1018" s="10" t="str">
        <f>HYPERLINK("https://twitter.com/VWCamperSales/status/723144036458991618","723144036458991618")</f>
        <v>723144036458991618</v>
      </c>
      <c r="F1018" s="10" t="s">
        <v>124</v>
      </c>
      <c r="G1018" s="11">
        <v>615</v>
      </c>
      <c r="H1018" s="11">
        <v>580</v>
      </c>
      <c r="I1018" s="11">
        <v>0</v>
      </c>
      <c r="J1018" s="11">
        <v>0</v>
      </c>
      <c r="K1018" s="11" t="s">
        <v>21</v>
      </c>
      <c r="L1018" s="7">
        <v>42215.98809027778</v>
      </c>
      <c r="M1018" s="12" t="s">
        <v>129</v>
      </c>
      <c r="N1018" s="12" t="s">
        <v>218</v>
      </c>
      <c r="O1018" s="10" t="str">
        <f>HYPERLINK("https://pbs.twimg.com/profile_images/627949001179037696/skEBkS05_normal.jpg","View")</f>
        <v>View</v>
      </c>
      <c r="P1018" s="11"/>
    </row>
    <row r="1019" spans="1:16" ht="12.75" x14ac:dyDescent="0.35">
      <c r="A1019" s="7">
        <v>42481.798159722224</v>
      </c>
      <c r="B1019" s="8" t="str">
        <f t="shared" ref="B1019:B1020" si="107">HYPERLINK("https://twitter.com/oldcar_photo","@oldcar_photo")</f>
        <v>@oldcar_photo</v>
      </c>
      <c r="C1019" s="9" t="s">
        <v>1046</v>
      </c>
      <c r="D1019" s="9" t="s">
        <v>2775</v>
      </c>
      <c r="E1019" s="10" t="str">
        <f>HYPERLINK("https://twitter.com/oldcar_photo/status/723144090586591233","723144090586591233")</f>
        <v>723144090586591233</v>
      </c>
      <c r="F1019" s="11" t="s">
        <v>68</v>
      </c>
      <c r="G1019" s="11">
        <v>1977</v>
      </c>
      <c r="H1019" s="11">
        <v>0</v>
      </c>
      <c r="I1019" s="11">
        <v>0</v>
      </c>
      <c r="J1019" s="11">
        <v>1</v>
      </c>
      <c r="K1019" s="11" t="s">
        <v>21</v>
      </c>
      <c r="L1019" s="7">
        <v>42184.7341087963</v>
      </c>
      <c r="M1019" s="12"/>
      <c r="N1019" s="12"/>
      <c r="O1019" s="10" t="str">
        <f t="shared" ref="O1019:O1020" si="108">HYPERLINK("https://pbs.twimg.com/profile_images/615493650785660928/XHUh6HOk_normal.jpg","View")</f>
        <v>View</v>
      </c>
      <c r="P1019" s="11"/>
    </row>
    <row r="1020" spans="1:16" ht="12.75" x14ac:dyDescent="0.35">
      <c r="A1020" s="7">
        <v>42481.798194444447</v>
      </c>
      <c r="B1020" s="8" t="str">
        <f t="shared" si="107"/>
        <v>@oldcar_photo</v>
      </c>
      <c r="C1020" s="9" t="s">
        <v>1046</v>
      </c>
      <c r="D1020" s="9" t="s">
        <v>2776</v>
      </c>
      <c r="E1020" s="10" t="str">
        <f>HYPERLINK("https://twitter.com/oldcar_photo/status/723144104327127040","723144104327127040")</f>
        <v>723144104327127040</v>
      </c>
      <c r="F1020" s="11" t="s">
        <v>68</v>
      </c>
      <c r="G1020" s="11">
        <v>1977</v>
      </c>
      <c r="H1020" s="11">
        <v>0</v>
      </c>
      <c r="I1020" s="11">
        <v>0</v>
      </c>
      <c r="J1020" s="11">
        <v>1</v>
      </c>
      <c r="K1020" s="11" t="s">
        <v>21</v>
      </c>
      <c r="L1020" s="7">
        <v>42184.7341087963</v>
      </c>
      <c r="M1020" s="12"/>
      <c r="N1020" s="12"/>
      <c r="O1020" s="10" t="str">
        <f t="shared" si="108"/>
        <v>View</v>
      </c>
      <c r="P1020" s="11"/>
    </row>
    <row r="1021" spans="1:16" ht="12.75" x14ac:dyDescent="0.35">
      <c r="A1021" s="7">
        <v>42481.798622685186</v>
      </c>
      <c r="B1021" s="8" t="str">
        <f t="shared" ref="B1021:B1023" si="109">HYPERLINK("https://twitter.com/Insta_VWT","@Insta_VWT")</f>
        <v>@Insta_VWT</v>
      </c>
      <c r="C1021" s="9" t="s">
        <v>181</v>
      </c>
      <c r="D1021" s="9" t="s">
        <v>2777</v>
      </c>
      <c r="E1021" s="10" t="str">
        <f>HYPERLINK("https://twitter.com/Insta_VWT/status/723144259264720896","723144259264720896")</f>
        <v>723144259264720896</v>
      </c>
      <c r="F1021" s="11" t="s">
        <v>68</v>
      </c>
      <c r="G1021" s="11">
        <v>480</v>
      </c>
      <c r="H1021" s="11">
        <v>0</v>
      </c>
      <c r="I1021" s="11">
        <v>1</v>
      </c>
      <c r="J1021" s="11">
        <v>1</v>
      </c>
      <c r="K1021" s="11" t="s">
        <v>21</v>
      </c>
      <c r="L1021" s="7">
        <v>41658.782800925925</v>
      </c>
      <c r="M1021" s="12" t="s">
        <v>183</v>
      </c>
      <c r="N1021" s="12" t="s">
        <v>184</v>
      </c>
      <c r="O1021" s="10" t="str">
        <f t="shared" ref="O1021:O1023" si="110">HYPERLINK("https://pbs.twimg.com/profile_images/424893967197433858/iQ86NktX_normal.jpeg","View")</f>
        <v>View</v>
      </c>
      <c r="P1021" s="11"/>
    </row>
    <row r="1022" spans="1:16" ht="12.75" x14ac:dyDescent="0.35">
      <c r="A1022" s="7">
        <v>42481.798668981486</v>
      </c>
      <c r="B1022" s="8" t="str">
        <f t="shared" si="109"/>
        <v>@Insta_VWT</v>
      </c>
      <c r="C1022" s="9" t="s">
        <v>181</v>
      </c>
      <c r="D1022" s="9" t="s">
        <v>2778</v>
      </c>
      <c r="E1022" s="10" t="str">
        <f>HYPERLINK("https://twitter.com/Insta_VWT/status/723144274678812672","723144274678812672")</f>
        <v>723144274678812672</v>
      </c>
      <c r="F1022" s="11" t="s">
        <v>68</v>
      </c>
      <c r="G1022" s="11">
        <v>480</v>
      </c>
      <c r="H1022" s="11">
        <v>0</v>
      </c>
      <c r="I1022" s="11">
        <v>1</v>
      </c>
      <c r="J1022" s="11">
        <v>1</v>
      </c>
      <c r="K1022" s="11" t="s">
        <v>21</v>
      </c>
      <c r="L1022" s="7">
        <v>41658.782800925925</v>
      </c>
      <c r="M1022" s="12" t="s">
        <v>183</v>
      </c>
      <c r="N1022" s="12" t="s">
        <v>184</v>
      </c>
      <c r="O1022" s="10" t="str">
        <f t="shared" si="110"/>
        <v>View</v>
      </c>
      <c r="P1022" s="11"/>
    </row>
    <row r="1023" spans="1:16" ht="12.75" x14ac:dyDescent="0.35">
      <c r="A1023" s="7">
        <v>42481.798703703702</v>
      </c>
      <c r="B1023" s="8" t="str">
        <f t="shared" si="109"/>
        <v>@Insta_VWT</v>
      </c>
      <c r="C1023" s="9" t="s">
        <v>181</v>
      </c>
      <c r="D1023" s="9" t="s">
        <v>2779</v>
      </c>
      <c r="E1023" s="10" t="str">
        <f>HYPERLINK("https://twitter.com/Insta_VWT/status/723144289203703809","723144289203703809")</f>
        <v>723144289203703809</v>
      </c>
      <c r="F1023" s="11" t="s">
        <v>68</v>
      </c>
      <c r="G1023" s="11">
        <v>480</v>
      </c>
      <c r="H1023" s="11">
        <v>0</v>
      </c>
      <c r="I1023" s="11">
        <v>1</v>
      </c>
      <c r="J1023" s="11">
        <v>1</v>
      </c>
      <c r="K1023" s="11" t="s">
        <v>21</v>
      </c>
      <c r="L1023" s="7">
        <v>41658.782800925925</v>
      </c>
      <c r="M1023" s="12" t="s">
        <v>183</v>
      </c>
      <c r="N1023" s="12" t="s">
        <v>184</v>
      </c>
      <c r="O1023" s="10" t="str">
        <f t="shared" si="110"/>
        <v>View</v>
      </c>
      <c r="P1023" s="11"/>
    </row>
    <row r="1024" spans="1:16" ht="12.75" x14ac:dyDescent="0.35">
      <c r="A1024" s="7">
        <v>42481.798738425925</v>
      </c>
      <c r="B1024" s="8" t="str">
        <f>HYPERLINK("https://twitter.com/VWofLaurel","@VWofLaurel")</f>
        <v>@VWofLaurel</v>
      </c>
      <c r="C1024" s="9" t="s">
        <v>2780</v>
      </c>
      <c r="D1024" s="9" t="s">
        <v>2781</v>
      </c>
      <c r="E1024" s="10" t="str">
        <f>HYPERLINK("https://twitter.com/VWofLaurel/status/723144300003995648","723144300003995648")</f>
        <v>723144300003995648</v>
      </c>
      <c r="F1024" s="11" t="s">
        <v>2782</v>
      </c>
      <c r="G1024" s="11">
        <v>9</v>
      </c>
      <c r="H1024" s="11">
        <v>12</v>
      </c>
      <c r="I1024" s="11">
        <v>0</v>
      </c>
      <c r="J1024" s="11">
        <v>1</v>
      </c>
      <c r="K1024" s="11" t="s">
        <v>21</v>
      </c>
      <c r="L1024" s="7">
        <v>42438.781643518523</v>
      </c>
      <c r="M1024" s="12" t="s">
        <v>2783</v>
      </c>
      <c r="N1024" s="12"/>
      <c r="O1024" s="10" t="str">
        <f>HYPERLINK("https://pbs.twimg.com/profile_images/707556127202881537/wxyyuNEr_normal.jpg","View")</f>
        <v>View</v>
      </c>
      <c r="P1024" s="11"/>
    </row>
    <row r="1025" spans="1:16" ht="12.75" x14ac:dyDescent="0.35">
      <c r="A1025" s="7">
        <v>42481.798761574071</v>
      </c>
      <c r="B1025" s="8" t="str">
        <f>HYPERLINK("https://twitter.com/Insta_VWT","@Insta_VWT")</f>
        <v>@Insta_VWT</v>
      </c>
      <c r="C1025" s="9" t="s">
        <v>181</v>
      </c>
      <c r="D1025" s="9" t="s">
        <v>2784</v>
      </c>
      <c r="E1025" s="10" t="str">
        <f>HYPERLINK("https://twitter.com/Insta_VWT/status/723144309193760769","723144309193760769")</f>
        <v>723144309193760769</v>
      </c>
      <c r="F1025" s="11" t="s">
        <v>68</v>
      </c>
      <c r="G1025" s="11">
        <v>480</v>
      </c>
      <c r="H1025" s="11">
        <v>0</v>
      </c>
      <c r="I1025" s="11">
        <v>0</v>
      </c>
      <c r="J1025" s="11">
        <v>0</v>
      </c>
      <c r="K1025" s="11" t="s">
        <v>21</v>
      </c>
      <c r="L1025" s="7">
        <v>41658.782800925925</v>
      </c>
      <c r="M1025" s="12" t="s">
        <v>183</v>
      </c>
      <c r="N1025" s="12" t="s">
        <v>184</v>
      </c>
      <c r="O1025" s="10" t="str">
        <f>HYPERLINK("https://pbs.twimg.com/profile_images/424893967197433858/iQ86NktX_normal.jpeg","View")</f>
        <v>View</v>
      </c>
      <c r="P1025" s="11"/>
    </row>
    <row r="1026" spans="1:16" ht="12.75" x14ac:dyDescent="0.35">
      <c r="A1026" s="7">
        <v>42481.79887731481</v>
      </c>
      <c r="B1026" s="8" t="str">
        <f>HYPERLINK("https://twitter.com/AnnaVizzari","@AnnaVizzari")</f>
        <v>@AnnaVizzari</v>
      </c>
      <c r="C1026" s="9" t="s">
        <v>2785</v>
      </c>
      <c r="D1026" s="9" t="s">
        <v>1429</v>
      </c>
      <c r="E1026" s="10" t="str">
        <f>HYPERLINK("https://twitter.com/AnnaVizzari/status/723144353061965824","723144353061965824")</f>
        <v>723144353061965824</v>
      </c>
      <c r="F1026" s="11" t="s">
        <v>20</v>
      </c>
      <c r="G1026" s="11">
        <v>204</v>
      </c>
      <c r="H1026" s="11">
        <v>328</v>
      </c>
      <c r="I1026" s="11">
        <v>13</v>
      </c>
      <c r="J1026" s="11">
        <v>0</v>
      </c>
      <c r="K1026" s="11" t="s">
        <v>21</v>
      </c>
      <c r="L1026" s="7">
        <v>40968.580370370371</v>
      </c>
      <c r="M1026" s="12" t="s">
        <v>2663</v>
      </c>
      <c r="N1026" s="12" t="s">
        <v>2786</v>
      </c>
      <c r="O1026" s="10" t="str">
        <f>HYPERLINK("https://pbs.twimg.com/profile_images/487991398982230016/CCHagZ06_normal.jpeg","View")</f>
        <v>View</v>
      </c>
      <c r="P1026" s="11"/>
    </row>
    <row r="1027" spans="1:16" ht="12.75" x14ac:dyDescent="0.35">
      <c r="A1027" s="7">
        <v>42481.799074074079</v>
      </c>
      <c r="B1027" s="8" t="str">
        <f>HYPERLINK("https://twitter.com/VeeDubMk1_","@VeeDubMk1_")</f>
        <v>@VeeDubMk1_</v>
      </c>
      <c r="C1027" s="9" t="s">
        <v>185</v>
      </c>
      <c r="D1027" s="9" t="s">
        <v>2787</v>
      </c>
      <c r="E1027" s="10" t="str">
        <f>HYPERLINK("https://twitter.com/VeeDubMk1_/status/723144422997786624","723144422997786624")</f>
        <v>723144422997786624</v>
      </c>
      <c r="F1027" s="11" t="s">
        <v>68</v>
      </c>
      <c r="G1027" s="11">
        <v>545</v>
      </c>
      <c r="H1027" s="11">
        <v>3527</v>
      </c>
      <c r="I1027" s="11">
        <v>0</v>
      </c>
      <c r="J1027" s="11">
        <v>1</v>
      </c>
      <c r="K1027" s="11" t="s">
        <v>21</v>
      </c>
      <c r="L1027" s="7">
        <v>42343.063356481478</v>
      </c>
      <c r="M1027" s="12"/>
      <c r="N1027" s="12"/>
      <c r="O1027" s="10" t="str">
        <f>HYPERLINK("https://pbs.twimg.com/profile_images/672878354127839232/M7OYc-zx_normal.jpg","View")</f>
        <v>View</v>
      </c>
      <c r="P1027" s="11"/>
    </row>
    <row r="1028" spans="1:16" ht="12.75" x14ac:dyDescent="0.35">
      <c r="A1028" s="7">
        <v>42481.799166666664</v>
      </c>
      <c r="B1028" s="8" t="str">
        <f>HYPERLINK("https://twitter.com/EcoImQuadrat","@EcoImQuadrat")</f>
        <v>@EcoImQuadrat</v>
      </c>
      <c r="C1028" s="9" t="s">
        <v>2788</v>
      </c>
      <c r="D1028" s="9" t="s">
        <v>2789</v>
      </c>
      <c r="E1028" s="10" t="str">
        <f>HYPERLINK("https://twitter.com/EcoImQuadrat/status/723144458510823424","723144458510823424")</f>
        <v>723144458510823424</v>
      </c>
      <c r="F1028" s="11" t="s">
        <v>43</v>
      </c>
      <c r="G1028" s="11">
        <v>1213</v>
      </c>
      <c r="H1028" s="11">
        <v>1369</v>
      </c>
      <c r="I1028" s="11">
        <v>3</v>
      </c>
      <c r="J1028" s="11">
        <v>0</v>
      </c>
      <c r="K1028" s="11" t="s">
        <v>21</v>
      </c>
      <c r="L1028" s="7">
        <v>41776.155150462961</v>
      </c>
      <c r="M1028" s="12" t="s">
        <v>2790</v>
      </c>
      <c r="N1028" s="12" t="s">
        <v>2791</v>
      </c>
      <c r="O1028" s="10" t="str">
        <f>HYPERLINK("https://pbs.twimg.com/profile_images/664405900933877760/msXV_X2e_normal.jpg","View")</f>
        <v>View</v>
      </c>
      <c r="P1028" s="11"/>
    </row>
    <row r="1029" spans="1:16" ht="12.75" x14ac:dyDescent="0.35">
      <c r="A1029" s="7">
        <v>42481.799189814818</v>
      </c>
      <c r="B1029" s="8" t="str">
        <f>HYPERLINK("https://twitter.com/Martin_0607","@Martin_0607")</f>
        <v>@Martin_0607</v>
      </c>
      <c r="C1029" s="9" t="s">
        <v>2792</v>
      </c>
      <c r="D1029" s="9" t="s">
        <v>2757</v>
      </c>
      <c r="E1029" s="10" t="str">
        <f>HYPERLINK("https://twitter.com/Martin_0607/status/723144466220064768","723144466220064768")</f>
        <v>723144466220064768</v>
      </c>
      <c r="F1029" s="11" t="s">
        <v>48</v>
      </c>
      <c r="G1029" s="11">
        <v>594</v>
      </c>
      <c r="H1029" s="11">
        <v>2067</v>
      </c>
      <c r="I1029" s="11">
        <v>3</v>
      </c>
      <c r="J1029" s="11">
        <v>0</v>
      </c>
      <c r="K1029" s="11" t="s">
        <v>21</v>
      </c>
      <c r="L1029" s="7">
        <v>41008.750833333332</v>
      </c>
      <c r="M1029" s="12"/>
      <c r="N1029" s="12" t="s">
        <v>2793</v>
      </c>
      <c r="O1029" s="10" t="str">
        <f>HYPERLINK("https://pbs.twimg.com/profile_images/693135738511216640/ZmX5wPdy_normal.jpg","View")</f>
        <v>View</v>
      </c>
      <c r="P1029" s="11"/>
    </row>
    <row r="1030" spans="1:16" ht="12.75" x14ac:dyDescent="0.35">
      <c r="A1030" s="7">
        <v>42481.799398148149</v>
      </c>
      <c r="B1030" s="8" t="str">
        <f>HYPERLINK("https://twitter.com/KarlHarenbrock","@KarlHarenbrock")</f>
        <v>@KarlHarenbrock</v>
      </c>
      <c r="C1030" s="9" t="s">
        <v>2794</v>
      </c>
      <c r="D1030" s="9" t="s">
        <v>2764</v>
      </c>
      <c r="E1030" s="10" t="str">
        <f>HYPERLINK("https://twitter.com/KarlHarenbrock/status/723144540287295488","723144540287295488")</f>
        <v>723144540287295488</v>
      </c>
      <c r="F1030" s="11" t="s">
        <v>48</v>
      </c>
      <c r="G1030" s="11">
        <v>388</v>
      </c>
      <c r="H1030" s="11">
        <v>726</v>
      </c>
      <c r="I1030" s="11">
        <v>5</v>
      </c>
      <c r="J1030" s="11">
        <v>0</v>
      </c>
      <c r="K1030" s="11" t="s">
        <v>21</v>
      </c>
      <c r="L1030" s="7">
        <v>41597.176736111112</v>
      </c>
      <c r="M1030" s="12" t="s">
        <v>2795</v>
      </c>
      <c r="N1030" s="12" t="s">
        <v>2796</v>
      </c>
      <c r="O1030" s="10" t="str">
        <f>HYPERLINK("https://pbs.twimg.com/profile_images/672388164602982402/VUyn5Uy1_normal.jpg","View")</f>
        <v>View</v>
      </c>
      <c r="P1030" s="11"/>
    </row>
    <row r="1031" spans="1:16" ht="12.75" x14ac:dyDescent="0.35">
      <c r="A1031" s="7">
        <v>42481.799722222218</v>
      </c>
      <c r="B1031" s="8" t="str">
        <f>HYPERLINK("https://twitter.com/FAZ_Wirtschaft","@FAZ_Wirtschaft")</f>
        <v>@FAZ_Wirtschaft</v>
      </c>
      <c r="C1031" s="9" t="s">
        <v>2797</v>
      </c>
      <c r="D1031" s="9" t="s">
        <v>2789</v>
      </c>
      <c r="E1031" s="10" t="str">
        <f>HYPERLINK("https://twitter.com/FAZ_Wirtschaft/status/723144660047134724","723144660047134724")</f>
        <v>723144660047134724</v>
      </c>
      <c r="F1031" s="11" t="s">
        <v>43</v>
      </c>
      <c r="G1031" s="11">
        <v>74449</v>
      </c>
      <c r="H1031" s="11">
        <v>53</v>
      </c>
      <c r="I1031" s="11">
        <v>3</v>
      </c>
      <c r="J1031" s="11">
        <v>0</v>
      </c>
      <c r="K1031" s="11" t="s">
        <v>21</v>
      </c>
      <c r="L1031" s="7">
        <v>39889.722812499997</v>
      </c>
      <c r="M1031" s="12" t="s">
        <v>1464</v>
      </c>
      <c r="N1031" s="12" t="s">
        <v>2798</v>
      </c>
      <c r="O1031" s="10" t="str">
        <f>HYPERLINK("https://pbs.twimg.com/profile_images/477440204932796419/Ubdok5z2_normal.jpeg","View")</f>
        <v>View</v>
      </c>
      <c r="P1031" s="11"/>
    </row>
    <row r="1032" spans="1:16" ht="12.75" x14ac:dyDescent="0.35">
      <c r="A1032" s="7">
        <v>42481.799988425926</v>
      </c>
      <c r="B1032" s="8" t="str">
        <f>HYPERLINK("https://twitter.com/Ken_Weene","@Ken_Weene")</f>
        <v>@Ken_Weene</v>
      </c>
      <c r="C1032" s="9" t="s">
        <v>2799</v>
      </c>
      <c r="D1032" s="9" t="s">
        <v>2800</v>
      </c>
      <c r="E1032" s="10" t="str">
        <f>HYPERLINK("https://twitter.com/Ken_Weene/status/723144752586211328","723144752586211328")</f>
        <v>723144752586211328</v>
      </c>
      <c r="F1032" s="10" t="s">
        <v>2801</v>
      </c>
      <c r="G1032" s="11">
        <v>7462</v>
      </c>
      <c r="H1032" s="11">
        <v>8151</v>
      </c>
      <c r="I1032" s="11">
        <v>0</v>
      </c>
      <c r="J1032" s="11">
        <v>0</v>
      </c>
      <c r="K1032" s="11" t="s">
        <v>21</v>
      </c>
      <c r="L1032" s="7">
        <v>40012.801064814819</v>
      </c>
      <c r="M1032" s="12" t="s">
        <v>84</v>
      </c>
      <c r="N1032" s="12" t="s">
        <v>2802</v>
      </c>
      <c r="O1032" s="10" t="str">
        <f>HYPERLINK("https://pbs.twimg.com/profile_images/462453254639472641/Cza-umzP_normal.png","View")</f>
        <v>View</v>
      </c>
      <c r="P1032" s="11"/>
    </row>
    <row r="1033" spans="1:16" ht="12.75" x14ac:dyDescent="0.35">
      <c r="A1033" s="7">
        <v>42481.799988425926</v>
      </c>
      <c r="B1033" s="8" t="str">
        <f>HYPERLINK("https://twitter.com/ExCEO_","@ExCEO_")</f>
        <v>@ExCEO_</v>
      </c>
      <c r="C1033" s="9" t="s">
        <v>2803</v>
      </c>
      <c r="D1033" s="9" t="s">
        <v>2804</v>
      </c>
      <c r="E1033" s="10" t="str">
        <f>HYPERLINK("https://twitter.com/ExCEO_/status/723144753798217730","723144753798217730")</f>
        <v>723144753798217730</v>
      </c>
      <c r="F1033" s="11" t="s">
        <v>43</v>
      </c>
      <c r="G1033" s="11">
        <v>3222</v>
      </c>
      <c r="H1033" s="11">
        <v>2931</v>
      </c>
      <c r="I1033" s="11">
        <v>0</v>
      </c>
      <c r="J1033" s="11">
        <v>0</v>
      </c>
      <c r="K1033" s="11" t="s">
        <v>21</v>
      </c>
      <c r="L1033" s="7">
        <v>41340.071620370371</v>
      </c>
      <c r="M1033" s="12" t="s">
        <v>2805</v>
      </c>
      <c r="N1033" s="12" t="s">
        <v>2806</v>
      </c>
      <c r="O1033" s="10" t="str">
        <f>HYPERLINK("https://pbs.twimg.com/profile_images/3346543471/c7c79480b7b405ee902a5fcb600153a0_normal.jpeg","View")</f>
        <v>View</v>
      </c>
      <c r="P1033" s="11"/>
    </row>
    <row r="1034" spans="1:16" ht="12.75" x14ac:dyDescent="0.35">
      <c r="A1034" s="7">
        <v>42481.800451388888</v>
      </c>
      <c r="B1034" s="8" t="str">
        <f>HYPERLINK("https://twitter.com/Elitet5","@Elitet5")</f>
        <v>@Elitet5</v>
      </c>
      <c r="C1034" s="9" t="s">
        <v>2807</v>
      </c>
      <c r="D1034" s="9" t="s">
        <v>2808</v>
      </c>
      <c r="E1034" s="10" t="str">
        <f>HYPERLINK("https://twitter.com/Elitet5/status/723144922497470464","723144922497470464")</f>
        <v>723144922497470464</v>
      </c>
      <c r="F1034" s="11" t="s">
        <v>20</v>
      </c>
      <c r="G1034" s="11">
        <v>414</v>
      </c>
      <c r="H1034" s="11">
        <v>581</v>
      </c>
      <c r="I1034" s="11">
        <v>1</v>
      </c>
      <c r="J1034" s="11">
        <v>0</v>
      </c>
      <c r="K1034" s="11" t="s">
        <v>21</v>
      </c>
      <c r="L1034" s="7">
        <v>41566.857361111113</v>
      </c>
      <c r="M1034" s="12" t="s">
        <v>2809</v>
      </c>
      <c r="N1034" s="12" t="s">
        <v>2810</v>
      </c>
      <c r="O1034" s="10" t="str">
        <f>HYPERLINK("https://pbs.twimg.com/profile_images/431166006807904256/QQuD9iZE_normal.jpeg","View")</f>
        <v>View</v>
      </c>
      <c r="P1034" s="11"/>
    </row>
    <row r="1035" spans="1:16" ht="12.75" x14ac:dyDescent="0.35">
      <c r="A1035" s="7">
        <v>42481.800532407404</v>
      </c>
      <c r="B1035" s="8" t="str">
        <f>HYPERLINK("https://twitter.com/Way_Cool_","@Way_Cool_")</f>
        <v>@Way_Cool_</v>
      </c>
      <c r="C1035" s="9" t="s">
        <v>2811</v>
      </c>
      <c r="D1035" s="9" t="s">
        <v>2812</v>
      </c>
      <c r="E1035" s="10" t="str">
        <f>HYPERLINK("https://twitter.com/Way_Cool_/status/723144952297959424","723144952297959424")</f>
        <v>723144952297959424</v>
      </c>
      <c r="F1035" s="11" t="s">
        <v>1838</v>
      </c>
      <c r="G1035" s="11">
        <v>18</v>
      </c>
      <c r="H1035" s="11">
        <v>50</v>
      </c>
      <c r="I1035" s="11">
        <v>0</v>
      </c>
      <c r="J1035" s="11">
        <v>0</v>
      </c>
      <c r="K1035" s="11" t="s">
        <v>21</v>
      </c>
      <c r="L1035" s="7">
        <v>42440.771284722221</v>
      </c>
      <c r="M1035" s="12"/>
      <c r="N1035" s="12"/>
      <c r="O1035" s="10" t="str">
        <f>HYPERLINK("https://pbs.twimg.com/profile_images/708280127025598464/akwVZYwc_normal.jpg","View")</f>
        <v>View</v>
      </c>
      <c r="P1035" s="11"/>
    </row>
    <row r="1036" spans="1:16" ht="12.75" x14ac:dyDescent="0.35">
      <c r="A1036" s="7">
        <v>42481.800833333335</v>
      </c>
      <c r="B1036" s="8" t="str">
        <f>HYPERLINK("https://twitter.com/DubLuvTuning","@DubLuvTuning")</f>
        <v>@DubLuvTuning</v>
      </c>
      <c r="C1036" s="9" t="s">
        <v>299</v>
      </c>
      <c r="D1036" s="9" t="s">
        <v>2813</v>
      </c>
      <c r="E1036" s="10" t="str">
        <f>HYPERLINK("https://twitter.com/DubLuvTuning/status/723145060783656960","723145060783656960")</f>
        <v>723145060783656960</v>
      </c>
      <c r="F1036" s="11" t="s">
        <v>288</v>
      </c>
      <c r="G1036" s="11">
        <v>690</v>
      </c>
      <c r="H1036" s="11">
        <v>431</v>
      </c>
      <c r="I1036" s="11">
        <v>1</v>
      </c>
      <c r="J1036" s="11">
        <v>0</v>
      </c>
      <c r="K1036" s="11" t="s">
        <v>21</v>
      </c>
      <c r="L1036" s="7">
        <v>41549.898287037038</v>
      </c>
      <c r="M1036" s="12" t="s">
        <v>301</v>
      </c>
      <c r="N1036" s="12" t="s">
        <v>302</v>
      </c>
      <c r="O1036" s="10" t="str">
        <f>HYPERLINK("https://pbs.twimg.com/profile_images/378800000572104796/1de43e1cf23efb3f4101c02afad0d3b6_normal.png","View")</f>
        <v>View</v>
      </c>
      <c r="P1036" s="11"/>
    </row>
    <row r="1037" spans="1:16" ht="12.75" x14ac:dyDescent="0.35">
      <c r="A1037" s="7">
        <v>42481.801168981481</v>
      </c>
      <c r="B1037" s="8" t="str">
        <f>HYPERLINK("https://twitter.com/WesHellyar","@WesHellyar")</f>
        <v>@WesHellyar</v>
      </c>
      <c r="C1037" s="9" t="s">
        <v>2814</v>
      </c>
      <c r="D1037" s="9" t="s">
        <v>2815</v>
      </c>
      <c r="E1037" s="10" t="str">
        <f>HYPERLINK("https://twitter.com/WesHellyar/status/723145181256523776","723145181256523776")</f>
        <v>723145181256523776</v>
      </c>
      <c r="F1037" s="11" t="s">
        <v>43</v>
      </c>
      <c r="G1037" s="11">
        <v>2711</v>
      </c>
      <c r="H1037" s="11">
        <v>1893</v>
      </c>
      <c r="I1037" s="11">
        <v>0</v>
      </c>
      <c r="J1037" s="11">
        <v>2</v>
      </c>
      <c r="K1037" s="11" t="s">
        <v>21</v>
      </c>
      <c r="L1037" s="7">
        <v>39943.908148148148</v>
      </c>
      <c r="M1037" s="12" t="s">
        <v>2816</v>
      </c>
      <c r="N1037" s="12" t="s">
        <v>2817</v>
      </c>
      <c r="O1037" s="10" t="str">
        <f>HYPERLINK("https://pbs.twimg.com/profile_images/651826175686348800/Ayt2FVOc_normal.jpg","View")</f>
        <v>View</v>
      </c>
      <c r="P1037" s="11"/>
    </row>
    <row r="1038" spans="1:16" ht="12.75" x14ac:dyDescent="0.35">
      <c r="A1038" s="7">
        <v>42481.801168981481</v>
      </c>
      <c r="B1038" s="8" t="str">
        <f>HYPERLINK("https://twitter.com/instock_de","@instock_de")</f>
        <v>@instock_de</v>
      </c>
      <c r="C1038" s="8" t="s">
        <v>1723</v>
      </c>
      <c r="D1038" s="9" t="s">
        <v>2818</v>
      </c>
      <c r="E1038" s="10" t="str">
        <f>HYPERLINK("https://twitter.com/instock_de/status/723145182472871936","723145182472871936")</f>
        <v>723145182472871936</v>
      </c>
      <c r="F1038" s="11" t="s">
        <v>43</v>
      </c>
      <c r="G1038" s="11">
        <v>155</v>
      </c>
      <c r="H1038" s="11">
        <v>82</v>
      </c>
      <c r="I1038" s="11">
        <v>0</v>
      </c>
      <c r="J1038" s="11">
        <v>0</v>
      </c>
      <c r="K1038" s="11" t="s">
        <v>21</v>
      </c>
      <c r="L1038" s="7">
        <v>40441.683877314819</v>
      </c>
      <c r="M1038" s="12" t="s">
        <v>1725</v>
      </c>
      <c r="N1038" s="12" t="s">
        <v>1726</v>
      </c>
      <c r="O1038" s="10" t="str">
        <f>HYPERLINK("https://pbs.twimg.com/profile_images/1200648485/instock_normal.jpg","View")</f>
        <v>View</v>
      </c>
      <c r="P1038" s="11"/>
    </row>
    <row r="1039" spans="1:16" ht="12.75" x14ac:dyDescent="0.35">
      <c r="A1039" s="7">
        <v>42481.801631944443</v>
      </c>
      <c r="B1039" s="8" t="str">
        <f>HYPERLINK("https://twitter.com/AutosAlPisoARG","@AutosAlPisoARG")</f>
        <v>@AutosAlPisoARG</v>
      </c>
      <c r="C1039" s="9" t="s">
        <v>2819</v>
      </c>
      <c r="D1039" s="9" t="s">
        <v>2820</v>
      </c>
      <c r="E1039" s="10" t="str">
        <f>HYPERLINK("https://twitter.com/AutosAlPisoARG/status/723145349104316416","723145349104316416")</f>
        <v>723145349104316416</v>
      </c>
      <c r="F1039" s="11" t="s">
        <v>367</v>
      </c>
      <c r="G1039" s="11">
        <v>4781</v>
      </c>
      <c r="H1039" s="11">
        <v>2292</v>
      </c>
      <c r="I1039" s="11">
        <v>53</v>
      </c>
      <c r="J1039" s="11">
        <v>109</v>
      </c>
      <c r="K1039" s="11" t="s">
        <v>21</v>
      </c>
      <c r="L1039" s="7">
        <v>42281.077627314815</v>
      </c>
      <c r="M1039" s="12" t="s">
        <v>2821</v>
      </c>
      <c r="N1039" s="12" t="s">
        <v>2822</v>
      </c>
      <c r="O1039" s="10" t="str">
        <f>HYPERLINK("https://pbs.twimg.com/profile_images/703044094143160320/3TabT6hG_normal.jpg","View")</f>
        <v>View</v>
      </c>
      <c r="P1039" s="11"/>
    </row>
    <row r="1040" spans="1:16" ht="12.75" x14ac:dyDescent="0.35">
      <c r="A1040" s="7">
        <v>42481.801678240736</v>
      </c>
      <c r="B1040" s="8" t="str">
        <f>HYPERLINK("https://twitter.com/VCT_Tweets","@VCT_Tweets")</f>
        <v>@VCT_Tweets</v>
      </c>
      <c r="C1040" s="9" t="s">
        <v>199</v>
      </c>
      <c r="D1040" s="9" t="s">
        <v>2823</v>
      </c>
      <c r="E1040" s="10" t="str">
        <f>HYPERLINK("https://twitter.com/VCT_Tweets/status/723145365894115328","723145365894115328")</f>
        <v>723145365894115328</v>
      </c>
      <c r="F1040" s="11" t="s">
        <v>68</v>
      </c>
      <c r="G1040" s="11">
        <v>884</v>
      </c>
      <c r="H1040" s="11">
        <v>211</v>
      </c>
      <c r="I1040" s="11">
        <v>0</v>
      </c>
      <c r="J1040" s="11">
        <v>1</v>
      </c>
      <c r="K1040" s="11" t="s">
        <v>21</v>
      </c>
      <c r="L1040" s="7">
        <v>40744.914837962962</v>
      </c>
      <c r="M1040" s="12" t="s">
        <v>201</v>
      </c>
      <c r="N1040" s="12" t="s">
        <v>202</v>
      </c>
      <c r="O1040" s="10" t="str">
        <f>HYPERLINK("https://pbs.twimg.com/profile_images/569800899141177344/nVFLMSdb_normal.png","View")</f>
        <v>View</v>
      </c>
      <c r="P1040" s="11"/>
    </row>
    <row r="1041" spans="1:16" ht="12.75" x14ac:dyDescent="0.35">
      <c r="A1041" s="7">
        <v>42481.801944444444</v>
      </c>
      <c r="B1041" s="8" t="str">
        <f>HYPERLINK("https://twitter.com/alsopi1","@alsopi1")</f>
        <v>@alsopi1</v>
      </c>
      <c r="C1041" s="9" t="s">
        <v>2824</v>
      </c>
      <c r="D1041" s="9" t="s">
        <v>2825</v>
      </c>
      <c r="E1041" s="10" t="str">
        <f>HYPERLINK("https://twitter.com/alsopi1/status/723145463852052480","723145463852052480")</f>
        <v>723145463852052480</v>
      </c>
      <c r="F1041" s="11" t="s">
        <v>20</v>
      </c>
      <c r="G1041" s="11">
        <v>217</v>
      </c>
      <c r="H1041" s="11">
        <v>1429</v>
      </c>
      <c r="I1041" s="11">
        <v>53</v>
      </c>
      <c r="J1041" s="11">
        <v>0</v>
      </c>
      <c r="K1041" s="11" t="s">
        <v>21</v>
      </c>
      <c r="L1041" s="7">
        <v>42391.349803240737</v>
      </c>
      <c r="M1041" s="12"/>
      <c r="N1041" s="12"/>
      <c r="O1041" s="10" t="str">
        <f>HYPERLINK("https://pbs.twimg.com/profile_images/722939606061158402/0mK_jA0z_normal.jpg","View")</f>
        <v>View</v>
      </c>
      <c r="P1041" s="11"/>
    </row>
    <row r="1042" spans="1:16" ht="12.75" x14ac:dyDescent="0.35">
      <c r="A1042" s="7">
        <v>42481.802002314813</v>
      </c>
      <c r="B1042" s="8" t="str">
        <f>HYPERLINK("https://twitter.com/Luchyokk","@Luchyokk")</f>
        <v>@Luchyokk</v>
      </c>
      <c r="C1042" s="9" t="s">
        <v>2826</v>
      </c>
      <c r="D1042" s="9" t="s">
        <v>2825</v>
      </c>
      <c r="E1042" s="10" t="str">
        <f>HYPERLINK("https://twitter.com/Luchyokk/status/723145486127996928","723145486127996928")</f>
        <v>723145486127996928</v>
      </c>
      <c r="F1042" s="11" t="s">
        <v>48</v>
      </c>
      <c r="G1042" s="11">
        <v>325</v>
      </c>
      <c r="H1042" s="11">
        <v>231</v>
      </c>
      <c r="I1042" s="11">
        <v>53</v>
      </c>
      <c r="J1042" s="11">
        <v>0</v>
      </c>
      <c r="K1042" s="11" t="s">
        <v>21</v>
      </c>
      <c r="L1042" s="7">
        <v>41855.46230324074</v>
      </c>
      <c r="M1042" s="12" t="s">
        <v>2827</v>
      </c>
      <c r="N1042" s="12" t="s">
        <v>2828</v>
      </c>
      <c r="O1042" s="10" t="str">
        <f>HYPERLINK("https://pbs.twimg.com/profile_images/675866578760634369/Wu-DqRQO_normal.jpg","View")</f>
        <v>View</v>
      </c>
      <c r="P1042" s="11"/>
    </row>
    <row r="1043" spans="1:16" ht="12.75" x14ac:dyDescent="0.35">
      <c r="A1043" s="7">
        <v>42481.802037037036</v>
      </c>
      <c r="B1043" s="8" t="str">
        <f>HYPERLINK("https://twitter.com/krynauwx","@krynauwx")</f>
        <v>@krynauwx</v>
      </c>
      <c r="C1043" s="9" t="s">
        <v>2829</v>
      </c>
      <c r="D1043" s="9" t="s">
        <v>2764</v>
      </c>
      <c r="E1043" s="10" t="str">
        <f>HYPERLINK("https://twitter.com/krynauwx/status/723145498111123456","723145498111123456")</f>
        <v>723145498111123456</v>
      </c>
      <c r="F1043" s="11" t="s">
        <v>20</v>
      </c>
      <c r="G1043" s="11">
        <v>103</v>
      </c>
      <c r="H1043" s="11">
        <v>1583</v>
      </c>
      <c r="I1043" s="11">
        <v>5</v>
      </c>
      <c r="J1043" s="11">
        <v>0</v>
      </c>
      <c r="K1043" s="11" t="s">
        <v>21</v>
      </c>
      <c r="L1043" s="7">
        <v>39905.742337962962</v>
      </c>
      <c r="M1043" s="12" t="s">
        <v>2378</v>
      </c>
      <c r="N1043" s="12" t="s">
        <v>2830</v>
      </c>
      <c r="O1043" s="10" t="str">
        <f>HYPERLINK("https://pbs.twimg.com/profile_images/547582382313078784/f174KBJh_normal.jpeg","View")</f>
        <v>View</v>
      </c>
      <c r="P1043" s="11"/>
    </row>
    <row r="1044" spans="1:16" ht="12.75" x14ac:dyDescent="0.35">
      <c r="A1044" s="7">
        <v>42481.802222222221</v>
      </c>
      <c r="B1044" s="8" t="str">
        <f>HYPERLINK("https://twitter.com/jaaviPR","@jaaviPR")</f>
        <v>@jaaviPR</v>
      </c>
      <c r="C1044" s="9" t="s">
        <v>2831</v>
      </c>
      <c r="D1044" s="9" t="s">
        <v>2825</v>
      </c>
      <c r="E1044" s="10" t="str">
        <f>HYPERLINK("https://twitter.com/jaaviPR/status/723145565828079618","723145565828079618")</f>
        <v>723145565828079618</v>
      </c>
      <c r="F1044" s="11" t="s">
        <v>43</v>
      </c>
      <c r="G1044" s="11">
        <v>392</v>
      </c>
      <c r="H1044" s="11">
        <v>379</v>
      </c>
      <c r="I1044" s="11">
        <v>53</v>
      </c>
      <c r="J1044" s="11">
        <v>0</v>
      </c>
      <c r="K1044" s="11" t="s">
        <v>21</v>
      </c>
      <c r="L1044" s="7">
        <v>41674.031087962961</v>
      </c>
      <c r="M1044" s="12"/>
      <c r="N1044" s="12" t="s">
        <v>2832</v>
      </c>
      <c r="O1044" s="10" t="str">
        <f>HYPERLINK("https://pbs.twimg.com/profile_images/701224634591682560/MAVaohWB_normal.jpg","View")</f>
        <v>View</v>
      </c>
      <c r="P1044" s="11"/>
    </row>
    <row r="1045" spans="1:16" ht="12.75" x14ac:dyDescent="0.35">
      <c r="A1045" s="7">
        <v>42481.802256944444</v>
      </c>
      <c r="B1045" s="8" t="str">
        <f>HYPERLINK("https://twitter.com/Saantiiiaag","@Saantiiiaag")</f>
        <v>@Saantiiiaag</v>
      </c>
      <c r="C1045" s="9" t="s">
        <v>2833</v>
      </c>
      <c r="D1045" s="9" t="s">
        <v>2825</v>
      </c>
      <c r="E1045" s="10" t="str">
        <f>HYPERLINK("https://twitter.com/Saantiiiaag/status/723145576099909632","723145576099909632")</f>
        <v>723145576099909632</v>
      </c>
      <c r="F1045" s="11" t="s">
        <v>43</v>
      </c>
      <c r="G1045" s="11">
        <v>491</v>
      </c>
      <c r="H1045" s="11">
        <v>268</v>
      </c>
      <c r="I1045" s="11">
        <v>53</v>
      </c>
      <c r="J1045" s="11">
        <v>0</v>
      </c>
      <c r="K1045" s="11" t="s">
        <v>21</v>
      </c>
      <c r="L1045" s="7">
        <v>41976.191782407404</v>
      </c>
      <c r="M1045" s="12" t="s">
        <v>866</v>
      </c>
      <c r="N1045" s="12" t="s">
        <v>2834</v>
      </c>
      <c r="O1045" s="10" t="str">
        <f>HYPERLINK("https://pbs.twimg.com/profile_images/717909170180263939/Srf5v8iP_normal.jpg","View")</f>
        <v>View</v>
      </c>
      <c r="P1045" s="11"/>
    </row>
    <row r="1046" spans="1:16" ht="12.75" x14ac:dyDescent="0.35">
      <c r="A1046" s="7">
        <v>42481.802361111113</v>
      </c>
      <c r="B1046" s="8" t="str">
        <f>HYPERLINK("https://twitter.com/lucas_medel","@lucas_medel")</f>
        <v>@lucas_medel</v>
      </c>
      <c r="C1046" s="9" t="s">
        <v>2835</v>
      </c>
      <c r="D1046" s="9" t="s">
        <v>2825</v>
      </c>
      <c r="E1046" s="10" t="str">
        <f>HYPERLINK("https://twitter.com/lucas_medel/status/723145613400018945","723145613400018945")</f>
        <v>723145613400018945</v>
      </c>
      <c r="F1046" s="11" t="s">
        <v>48</v>
      </c>
      <c r="G1046" s="11">
        <v>385</v>
      </c>
      <c r="H1046" s="11">
        <v>401</v>
      </c>
      <c r="I1046" s="11">
        <v>53</v>
      </c>
      <c r="J1046" s="11">
        <v>0</v>
      </c>
      <c r="K1046" s="11" t="s">
        <v>21</v>
      </c>
      <c r="L1046" s="7">
        <v>42139.715254629627</v>
      </c>
      <c r="M1046" s="12"/>
      <c r="N1046" s="12" t="s">
        <v>2836</v>
      </c>
      <c r="O1046" s="10" t="str">
        <f>HYPERLINK("https://pbs.twimg.com/profile_images/721352520015159296/hos8kuLH_normal.jpg","View")</f>
        <v>View</v>
      </c>
      <c r="P1046" s="11"/>
    </row>
    <row r="1047" spans="1:16" ht="12.75" x14ac:dyDescent="0.35">
      <c r="A1047" s="7">
        <v>42481.802465277782</v>
      </c>
      <c r="B1047" s="8" t="str">
        <f>HYPERLINK("https://twitter.com/VWCamperSales","@VWCamperSales")</f>
        <v>@VWCamperSales</v>
      </c>
      <c r="C1047" s="9" t="s">
        <v>216</v>
      </c>
      <c r="D1047" s="9" t="s">
        <v>2837</v>
      </c>
      <c r="E1047" s="10" t="str">
        <f>HYPERLINK("https://twitter.com/VWCamperSales/status/723145653652590597","723145653652590597")</f>
        <v>723145653652590597</v>
      </c>
      <c r="F1047" s="10" t="s">
        <v>124</v>
      </c>
      <c r="G1047" s="11">
        <v>615</v>
      </c>
      <c r="H1047" s="11">
        <v>580</v>
      </c>
      <c r="I1047" s="11">
        <v>0</v>
      </c>
      <c r="J1047" s="11">
        <v>0</v>
      </c>
      <c r="K1047" s="11" t="s">
        <v>21</v>
      </c>
      <c r="L1047" s="7">
        <v>42215.98809027778</v>
      </c>
      <c r="M1047" s="12" t="s">
        <v>129</v>
      </c>
      <c r="N1047" s="12" t="s">
        <v>218</v>
      </c>
      <c r="O1047" s="10" t="str">
        <f>HYPERLINK("https://pbs.twimg.com/profile_images/627949001179037696/skEBkS05_normal.jpg","View")</f>
        <v>View</v>
      </c>
      <c r="P1047" s="11"/>
    </row>
    <row r="1048" spans="1:16" ht="12.75" x14ac:dyDescent="0.35">
      <c r="A1048" s="7">
        <v>42481.802500000005</v>
      </c>
      <c r="B1048" s="8" t="str">
        <f>HYPERLINK("https://twitter.com/SanhuezaGonza99","@SanhuezaGonza99")</f>
        <v>@SanhuezaGonza99</v>
      </c>
      <c r="C1048" s="9" t="s">
        <v>2838</v>
      </c>
      <c r="D1048" s="9" t="s">
        <v>2825</v>
      </c>
      <c r="E1048" s="10" t="str">
        <f>HYPERLINK("https://twitter.com/SanhuezaGonza99/status/723145664410972160","723145664410972160")</f>
        <v>723145664410972160</v>
      </c>
      <c r="F1048" s="11" t="s">
        <v>43</v>
      </c>
      <c r="G1048" s="11">
        <v>311</v>
      </c>
      <c r="H1048" s="11">
        <v>257</v>
      </c>
      <c r="I1048" s="11">
        <v>53</v>
      </c>
      <c r="J1048" s="11">
        <v>0</v>
      </c>
      <c r="K1048" s="11" t="s">
        <v>21</v>
      </c>
      <c r="L1048" s="7">
        <v>42247.286909722221</v>
      </c>
      <c r="M1048" s="12" t="s">
        <v>2839</v>
      </c>
      <c r="N1048" s="12" t="s">
        <v>2840</v>
      </c>
      <c r="O1048" s="10" t="str">
        <f>HYPERLINK("https://pbs.twimg.com/profile_images/723297570173378560/FidV7al0_normal.jpg","View")</f>
        <v>View</v>
      </c>
      <c r="P1048" s="11"/>
    </row>
    <row r="1049" spans="1:16" ht="12.75" x14ac:dyDescent="0.35">
      <c r="A1049" s="7">
        <v>42481.802858796298</v>
      </c>
      <c r="B1049" s="8" t="str">
        <f>HYPERLINK("https://twitter.com/sprinter_bc","@sprinter_bc")</f>
        <v>@sprinter_bc</v>
      </c>
      <c r="C1049" s="9" t="s">
        <v>2841</v>
      </c>
      <c r="D1049" s="9" t="s">
        <v>2842</v>
      </c>
      <c r="E1049" s="10" t="str">
        <f>HYPERLINK("https://twitter.com/sprinter_bc/status/723145793700417538","723145793700417538")</f>
        <v>723145793700417538</v>
      </c>
      <c r="F1049" s="11" t="s">
        <v>43</v>
      </c>
      <c r="G1049" s="11">
        <v>81</v>
      </c>
      <c r="H1049" s="11">
        <v>26</v>
      </c>
      <c r="I1049" s="11">
        <v>0</v>
      </c>
      <c r="J1049" s="11">
        <v>0</v>
      </c>
      <c r="K1049" s="11" t="s">
        <v>21</v>
      </c>
      <c r="L1049" s="7">
        <v>42353.664965277778</v>
      </c>
      <c r="M1049" s="12"/>
      <c r="N1049" s="12"/>
      <c r="O1049" s="10" t="str">
        <f>HYPERLINK("https://pbs.twimg.com/profile_images/676710547753066496/z2Ws4-C5_normal.jpg","View")</f>
        <v>View</v>
      </c>
      <c r="P1049" s="11"/>
    </row>
    <row r="1050" spans="1:16" ht="12.75" x14ac:dyDescent="0.35">
      <c r="A1050" s="7">
        <v>42481.803240740745</v>
      </c>
      <c r="B1050" s="8" t="str">
        <f>HYPERLINK("https://twitter.com/Clari_2011R","@Clari_2011R")</f>
        <v>@Clari_2011R</v>
      </c>
      <c r="C1050" s="9" t="s">
        <v>2843</v>
      </c>
      <c r="D1050" s="9" t="s">
        <v>2825</v>
      </c>
      <c r="E1050" s="10" t="str">
        <f>HYPERLINK("https://twitter.com/Clari_2011R/status/723145931550543872","723145931550543872")</f>
        <v>723145931550543872</v>
      </c>
      <c r="F1050" s="11" t="s">
        <v>48</v>
      </c>
      <c r="G1050" s="11">
        <v>977</v>
      </c>
      <c r="H1050" s="11">
        <v>840</v>
      </c>
      <c r="I1050" s="11">
        <v>53</v>
      </c>
      <c r="J1050" s="11">
        <v>0</v>
      </c>
      <c r="K1050" s="11" t="s">
        <v>21</v>
      </c>
      <c r="L1050" s="7">
        <v>40857.080358796295</v>
      </c>
      <c r="M1050" s="12" t="s">
        <v>2844</v>
      </c>
      <c r="N1050" s="12" t="s">
        <v>2845</v>
      </c>
      <c r="O1050" s="10" t="str">
        <f>HYPERLINK("https://pbs.twimg.com/profile_images/721153651134345217/09aHTCSW_normal.jpg","View")</f>
        <v>View</v>
      </c>
      <c r="P1050" s="11"/>
    </row>
    <row r="1051" spans="1:16" ht="12.75" x14ac:dyDescent="0.35">
      <c r="A1051" s="7">
        <v>42481.803576388891</v>
      </c>
      <c r="B1051" s="8" t="str">
        <f>HYPERLINK("https://twitter.com/YokohamaRides","@YokohamaRides")</f>
        <v>@YokohamaRides</v>
      </c>
      <c r="C1051" s="9" t="s">
        <v>2846</v>
      </c>
      <c r="D1051" s="9" t="s">
        <v>2847</v>
      </c>
      <c r="E1051" s="10" t="str">
        <f>HYPERLINK("https://twitter.com/YokohamaRides/status/723146054254743552","723146054254743552")</f>
        <v>723146054254743552</v>
      </c>
      <c r="F1051" s="11" t="s">
        <v>43</v>
      </c>
      <c r="G1051" s="11">
        <v>815</v>
      </c>
      <c r="H1051" s="11">
        <v>1680</v>
      </c>
      <c r="I1051" s="11">
        <v>4</v>
      </c>
      <c r="J1051" s="11">
        <v>6</v>
      </c>
      <c r="K1051" s="11" t="s">
        <v>21</v>
      </c>
      <c r="L1051" s="7">
        <v>40815.46601851852</v>
      </c>
      <c r="M1051" s="12" t="s">
        <v>2848</v>
      </c>
      <c r="N1051" s="12" t="s">
        <v>2849</v>
      </c>
      <c r="O1051" s="10" t="str">
        <f>HYPERLINK("https://pbs.twimg.com/profile_images/686739283462365184/x_Wz7nZw_normal.jpg","View")</f>
        <v>View</v>
      </c>
      <c r="P1051" s="11"/>
    </row>
    <row r="1052" spans="1:16" ht="12.75" x14ac:dyDescent="0.35">
      <c r="A1052" s="7">
        <v>42481.804120370369</v>
      </c>
      <c r="B1052" s="8" t="str">
        <f>HYPERLINK("https://twitter.com/bikes_vs_cars","@bikes_vs_cars")</f>
        <v>@bikes_vs_cars</v>
      </c>
      <c r="C1052" s="9" t="s">
        <v>2850</v>
      </c>
      <c r="D1052" s="9" t="s">
        <v>2851</v>
      </c>
      <c r="E1052" s="10" t="str">
        <f>HYPERLINK("https://twitter.com/bikes_vs_cars/status/723146252129431553","723146252129431553")</f>
        <v>723146252129431553</v>
      </c>
      <c r="F1052" s="11" t="s">
        <v>43</v>
      </c>
      <c r="G1052" s="11">
        <v>4638</v>
      </c>
      <c r="H1052" s="11">
        <v>2123</v>
      </c>
      <c r="I1052" s="11">
        <v>4</v>
      </c>
      <c r="J1052" s="11">
        <v>0</v>
      </c>
      <c r="K1052" s="11" t="s">
        <v>21</v>
      </c>
      <c r="L1052" s="7">
        <v>41439.751504629632</v>
      </c>
      <c r="M1052" s="12"/>
      <c r="N1052" s="12" t="s">
        <v>2852</v>
      </c>
      <c r="O1052" s="10" t="str">
        <f>HYPERLINK("https://pbs.twimg.com/profile_images/378800000418599621/7e5eb885f760734c14d5b951deacc01b_normal.jpeg","View")</f>
        <v>View</v>
      </c>
      <c r="P1052" s="11"/>
    </row>
    <row r="1053" spans="1:16" ht="12.75" x14ac:dyDescent="0.35">
      <c r="A1053" s="7">
        <v>42481.804398148146</v>
      </c>
      <c r="B1053" s="8" t="str">
        <f>HYPERLINK("https://twitter.com/alsternerd","@alsternerd")</f>
        <v>@alsternerd</v>
      </c>
      <c r="C1053" s="9" t="s">
        <v>2853</v>
      </c>
      <c r="D1053" s="9" t="s">
        <v>2851</v>
      </c>
      <c r="E1053" s="10" t="str">
        <f>HYPERLINK("https://twitter.com/alsternerd/status/723146353384280064","723146353384280064")</f>
        <v>723146353384280064</v>
      </c>
      <c r="F1053" s="11" t="s">
        <v>63</v>
      </c>
      <c r="G1053" s="11">
        <v>547</v>
      </c>
      <c r="H1053" s="11">
        <v>395</v>
      </c>
      <c r="I1053" s="11">
        <v>4</v>
      </c>
      <c r="J1053" s="11">
        <v>0</v>
      </c>
      <c r="K1053" s="11" t="s">
        <v>21</v>
      </c>
      <c r="L1053" s="7">
        <v>40326.691967592589</v>
      </c>
      <c r="M1053" s="12" t="s">
        <v>2854</v>
      </c>
      <c r="N1053" s="12" t="s">
        <v>2855</v>
      </c>
      <c r="O1053" s="10" t="str">
        <f>HYPERLINK("https://pbs.twimg.com/profile_images/660409900472868864/CP1M066D_normal.png","View")</f>
        <v>View</v>
      </c>
      <c r="P1053" s="11"/>
    </row>
    <row r="1054" spans="1:16" ht="12.75" x14ac:dyDescent="0.35">
      <c r="A1054" s="7">
        <v>42481.806898148148</v>
      </c>
      <c r="B1054" s="8" t="str">
        <f>HYPERLINK("https://twitter.com/HaugHenseler","@HaugHenseler")</f>
        <v>@HaugHenseler</v>
      </c>
      <c r="C1054" s="9" t="s">
        <v>2856</v>
      </c>
      <c r="D1054" s="9" t="s">
        <v>1231</v>
      </c>
      <c r="E1054" s="10" t="str">
        <f>HYPERLINK("https://twitter.com/HaugHenseler/status/723147256795254785","723147256795254785")</f>
        <v>723147256795254785</v>
      </c>
      <c r="F1054" s="11" t="s">
        <v>43</v>
      </c>
      <c r="G1054" s="11">
        <v>4007</v>
      </c>
      <c r="H1054" s="11">
        <v>3563</v>
      </c>
      <c r="I1054" s="11">
        <v>5</v>
      </c>
      <c r="J1054" s="11">
        <v>0</v>
      </c>
      <c r="K1054" s="11" t="s">
        <v>21</v>
      </c>
      <c r="L1054" s="7">
        <v>40364.677233796298</v>
      </c>
      <c r="M1054" s="12" t="s">
        <v>2857</v>
      </c>
      <c r="N1054" s="12" t="s">
        <v>2858</v>
      </c>
      <c r="O1054" s="10" t="str">
        <f>HYPERLINK("https://pbs.twimg.com/profile_images/1052064111/Naturheilpraxis_Haug-Henseler_normal.jpg","View")</f>
        <v>View</v>
      </c>
      <c r="P1054" s="11"/>
    </row>
    <row r="1055" spans="1:16" ht="12.75" x14ac:dyDescent="0.35">
      <c r="A1055" s="7">
        <v>42481.807592592595</v>
      </c>
      <c r="B1055" s="8" t="str">
        <f>HYPERLINK("https://twitter.com/Fabrii_Prado","@Fabrii_Prado")</f>
        <v>@Fabrii_Prado</v>
      </c>
      <c r="C1055" s="9" t="s">
        <v>2859</v>
      </c>
      <c r="D1055" s="9" t="s">
        <v>2825</v>
      </c>
      <c r="E1055" s="10" t="str">
        <f>HYPERLINK("https://twitter.com/Fabrii_Prado/status/723147508910792704","723147508910792704")</f>
        <v>723147508910792704</v>
      </c>
      <c r="F1055" s="11" t="s">
        <v>48</v>
      </c>
      <c r="G1055" s="11">
        <v>883</v>
      </c>
      <c r="H1055" s="11">
        <v>667</v>
      </c>
      <c r="I1055" s="11">
        <v>53</v>
      </c>
      <c r="J1055" s="11">
        <v>0</v>
      </c>
      <c r="K1055" s="11" t="s">
        <v>21</v>
      </c>
      <c r="L1055" s="7">
        <v>41546.023495370369</v>
      </c>
      <c r="M1055" s="12" t="s">
        <v>2860</v>
      </c>
      <c r="N1055" s="12" t="s">
        <v>2861</v>
      </c>
      <c r="O1055" s="10" t="str">
        <f>HYPERLINK("https://pbs.twimg.com/profile_images/719522978208358400/47O1X8OI_normal.jpg","View")</f>
        <v>View</v>
      </c>
      <c r="P1055" s="11"/>
    </row>
    <row r="1056" spans="1:16" ht="12.75" x14ac:dyDescent="0.35">
      <c r="A1056" s="7">
        <v>42481.809074074074</v>
      </c>
      <c r="B1056" s="8" t="str">
        <f>HYPERLINK("https://twitter.com/AshFeky","@AshFeky")</f>
        <v>@AshFeky</v>
      </c>
      <c r="C1056" s="9" t="s">
        <v>2862</v>
      </c>
      <c r="D1056" s="9" t="s">
        <v>2863</v>
      </c>
      <c r="E1056" s="10" t="str">
        <f>HYPERLINK("https://twitter.com/AshFeky/status/723148047803359232","723148047803359232")</f>
        <v>723148047803359232</v>
      </c>
      <c r="F1056" s="11" t="s">
        <v>20</v>
      </c>
      <c r="G1056" s="11">
        <v>113</v>
      </c>
      <c r="H1056" s="11">
        <v>174</v>
      </c>
      <c r="I1056" s="11">
        <v>0</v>
      </c>
      <c r="J1056" s="11">
        <v>0</v>
      </c>
      <c r="K1056" s="11" t="s">
        <v>21</v>
      </c>
      <c r="L1056" s="7">
        <v>40008.664502314816</v>
      </c>
      <c r="M1056" s="12"/>
      <c r="N1056" s="12" t="s">
        <v>2864</v>
      </c>
      <c r="O1056" s="10" t="str">
        <f>HYPERLINK("https://pbs.twimg.com/profile_images/577875328866992128/5rfOkUgb_normal.jpg","View")</f>
        <v>View</v>
      </c>
      <c r="P1056" s="11"/>
    </row>
    <row r="1057" spans="1:16" ht="12.75" x14ac:dyDescent="0.35">
      <c r="A1057" s="7">
        <v>42481.809317129635</v>
      </c>
      <c r="B1057" s="8" t="str">
        <f>HYPERLINK("https://twitter.com/GastonBrandt","@GastonBrandt")</f>
        <v>@GastonBrandt</v>
      </c>
      <c r="C1057" s="9" t="s">
        <v>2865</v>
      </c>
      <c r="D1057" s="9" t="s">
        <v>2866</v>
      </c>
      <c r="E1057" s="10" t="str">
        <f>HYPERLINK("https://twitter.com/GastonBrandt/status/723148135674068992","723148135674068992")</f>
        <v>723148135674068992</v>
      </c>
      <c r="F1057" s="11" t="s">
        <v>48</v>
      </c>
      <c r="G1057" s="11">
        <v>377</v>
      </c>
      <c r="H1057" s="11">
        <v>329</v>
      </c>
      <c r="I1057" s="11">
        <v>0</v>
      </c>
      <c r="J1057" s="11">
        <v>0</v>
      </c>
      <c r="K1057" s="11" t="s">
        <v>21</v>
      </c>
      <c r="L1057" s="7">
        <v>41232.850428240738</v>
      </c>
      <c r="M1057" s="12" t="s">
        <v>2867</v>
      </c>
      <c r="N1057" s="12"/>
      <c r="O1057" s="10" t="str">
        <f>HYPERLINK("https://pbs.twimg.com/profile_images/690007073774505984/peLfetii_normal.jpg","View")</f>
        <v>View</v>
      </c>
      <c r="P1057" s="11"/>
    </row>
    <row r="1058" spans="1:16" ht="12.75" x14ac:dyDescent="0.35">
      <c r="A1058" s="7">
        <v>42481.809571759259</v>
      </c>
      <c r="B1058" s="8" t="str">
        <f>HYPERLINK("https://twitter.com/mairaargaras","@mairaargaras")</f>
        <v>@mairaargaras</v>
      </c>
      <c r="C1058" s="9" t="s">
        <v>2868</v>
      </c>
      <c r="D1058" s="9" t="s">
        <v>2825</v>
      </c>
      <c r="E1058" s="10" t="str">
        <f>HYPERLINK("https://twitter.com/mairaargaras/status/723148226212315136","723148226212315136")</f>
        <v>723148226212315136</v>
      </c>
      <c r="F1058" s="11" t="s">
        <v>48</v>
      </c>
      <c r="G1058" s="11">
        <v>445</v>
      </c>
      <c r="H1058" s="11">
        <v>719</v>
      </c>
      <c r="I1058" s="11">
        <v>53</v>
      </c>
      <c r="J1058" s="11">
        <v>0</v>
      </c>
      <c r="K1058" s="11" t="s">
        <v>21</v>
      </c>
      <c r="L1058" s="7">
        <v>41033.254780092597</v>
      </c>
      <c r="M1058" s="12"/>
      <c r="N1058" s="12" t="s">
        <v>2869</v>
      </c>
      <c r="O1058" s="10" t="str">
        <f>HYPERLINK("https://pbs.twimg.com/profile_images/722636584831610880/WUR1le85_normal.jpg","View")</f>
        <v>View</v>
      </c>
      <c r="P1058" s="11"/>
    </row>
    <row r="1059" spans="1:16" ht="12.75" x14ac:dyDescent="0.35">
      <c r="A1059" s="7">
        <v>42481.809872685189</v>
      </c>
      <c r="B1059" s="8" t="str">
        <f>HYPERLINK("https://twitter.com/BtoBolz","@BtoBolz")</f>
        <v>@BtoBolz</v>
      </c>
      <c r="C1059" s="9" t="s">
        <v>2870</v>
      </c>
      <c r="D1059" s="9" t="s">
        <v>2871</v>
      </c>
      <c r="E1059" s="10" t="str">
        <f>HYPERLINK("https://twitter.com/BtoBolz/status/723148337331859456","723148337331859456")</f>
        <v>723148337331859456</v>
      </c>
      <c r="F1059" s="11" t="s">
        <v>48</v>
      </c>
      <c r="G1059" s="11">
        <v>266</v>
      </c>
      <c r="H1059" s="11">
        <v>399</v>
      </c>
      <c r="I1059" s="11">
        <v>0</v>
      </c>
      <c r="J1059" s="11">
        <v>0</v>
      </c>
      <c r="K1059" s="11" t="s">
        <v>21</v>
      </c>
      <c r="L1059" s="7">
        <v>40176.044965277775</v>
      </c>
      <c r="M1059" s="12" t="s">
        <v>2872</v>
      </c>
      <c r="N1059" s="12" t="s">
        <v>2873</v>
      </c>
      <c r="O1059" s="10" t="str">
        <f>HYPERLINK("https://pbs.twimg.com/profile_images/436341664961929216/qLfn4wH6_normal.jpeg","View")</f>
        <v>View</v>
      </c>
      <c r="P1059" s="11"/>
    </row>
    <row r="1060" spans="1:16" ht="12.75" x14ac:dyDescent="0.35">
      <c r="A1060" s="7">
        <v>42481.810277777782</v>
      </c>
      <c r="B1060" s="8" t="str">
        <f>HYPERLINK("https://twitter.com/cjwich","@cjwich")</f>
        <v>@cjwich</v>
      </c>
      <c r="C1060" s="9" t="s">
        <v>2874</v>
      </c>
      <c r="D1060" s="9" t="s">
        <v>2875</v>
      </c>
      <c r="E1060" s="10" t="str">
        <f>HYPERLINK("https://twitter.com/cjwich/status/723148482136137728","723148482136137728")</f>
        <v>723148482136137728</v>
      </c>
      <c r="F1060" s="11" t="s">
        <v>20</v>
      </c>
      <c r="G1060" s="11">
        <v>93</v>
      </c>
      <c r="H1060" s="11">
        <v>181</v>
      </c>
      <c r="I1060" s="11">
        <v>0</v>
      </c>
      <c r="J1060" s="11">
        <v>2</v>
      </c>
      <c r="K1060" s="11" t="s">
        <v>21</v>
      </c>
      <c r="L1060" s="7">
        <v>40117.986701388887</v>
      </c>
      <c r="M1060" s="12" t="s">
        <v>2876</v>
      </c>
      <c r="N1060" s="12" t="s">
        <v>2877</v>
      </c>
      <c r="O1060" s="10" t="str">
        <f>HYPERLINK("https://pbs.twimg.com/profile_images/643840369289990145/RMvcWYkS_normal.jpg","View")</f>
        <v>View</v>
      </c>
      <c r="P1060" s="11"/>
    </row>
    <row r="1061" spans="1:16" ht="12.75" x14ac:dyDescent="0.35">
      <c r="A1061" s="7">
        <v>42481.810891203699</v>
      </c>
      <c r="B1061" s="8" t="str">
        <f>HYPERLINK("https://twitter.com/kentsbike","@kentsbike")</f>
        <v>@kentsbike</v>
      </c>
      <c r="C1061" s="9" t="s">
        <v>2878</v>
      </c>
      <c r="D1061" s="9" t="s">
        <v>2851</v>
      </c>
      <c r="E1061" s="10" t="str">
        <f>HYPERLINK("https://twitter.com/kentsbike/status/723148706107654144","723148706107654144")</f>
        <v>723148706107654144</v>
      </c>
      <c r="F1061" s="11" t="s">
        <v>48</v>
      </c>
      <c r="G1061" s="11">
        <v>4416</v>
      </c>
      <c r="H1061" s="11">
        <v>4583</v>
      </c>
      <c r="I1061" s="11">
        <v>4</v>
      </c>
      <c r="J1061" s="11">
        <v>0</v>
      </c>
      <c r="K1061" s="11" t="s">
        <v>21</v>
      </c>
      <c r="L1061" s="7">
        <v>39970.42224537037</v>
      </c>
      <c r="M1061" s="12" t="s">
        <v>2879</v>
      </c>
      <c r="N1061" s="12" t="s">
        <v>2880</v>
      </c>
      <c r="O1061" s="10" t="str">
        <f>HYPERLINK("https://pbs.twimg.com/profile_images/663003309138055169/BpIBwSQM_normal.jpg","View")</f>
        <v>View</v>
      </c>
      <c r="P1061" s="11"/>
    </row>
    <row r="1062" spans="1:16" ht="12.75" x14ac:dyDescent="0.35">
      <c r="A1062" s="7">
        <v>42481.811527777776</v>
      </c>
      <c r="B1062" s="8" t="str">
        <f>HYPERLINK("https://twitter.com/VolkswagenPost","@VolkswagenPost")</f>
        <v>@VolkswagenPost</v>
      </c>
      <c r="C1062" s="9" t="s">
        <v>321</v>
      </c>
      <c r="D1062" s="9" t="s">
        <v>2881</v>
      </c>
      <c r="E1062" s="10" t="str">
        <f>HYPERLINK("https://twitter.com/VolkswagenPost/status/723148935808700416","723148935808700416")</f>
        <v>723148935808700416</v>
      </c>
      <c r="F1062" s="11" t="s">
        <v>34</v>
      </c>
      <c r="G1062" s="11">
        <v>571</v>
      </c>
      <c r="H1062" s="11">
        <v>446</v>
      </c>
      <c r="I1062" s="11">
        <v>0</v>
      </c>
      <c r="J1062" s="11">
        <v>0</v>
      </c>
      <c r="K1062" s="11" t="s">
        <v>21</v>
      </c>
      <c r="L1062" s="7">
        <v>41940.618379629632</v>
      </c>
      <c r="M1062" s="12"/>
      <c r="N1062" s="12"/>
      <c r="O1062" s="10" t="str">
        <f>HYPERLINK("https://pbs.twimg.com/profile_images/530071272881803264/a_jcCmPZ_normal.png","View")</f>
        <v>View</v>
      </c>
      <c r="P1062" s="11"/>
    </row>
    <row r="1063" spans="1:16" ht="12.75" x14ac:dyDescent="0.35">
      <c r="A1063" s="7">
        <v>42481.811736111107</v>
      </c>
      <c r="B1063" s="8" t="str">
        <f>HYPERLINK("https://twitter.com/OnlineCarReview","@OnlineCarReview")</f>
        <v>@OnlineCarReview</v>
      </c>
      <c r="C1063" s="9" t="s">
        <v>176</v>
      </c>
      <c r="D1063" s="9" t="s">
        <v>2882</v>
      </c>
      <c r="E1063" s="10" t="str">
        <f>HYPERLINK("https://twitter.com/OnlineCarReview/status/723149011062906881","723149011062906881")</f>
        <v>723149011062906881</v>
      </c>
      <c r="F1063" s="11" t="s">
        <v>34</v>
      </c>
      <c r="G1063" s="11">
        <v>839</v>
      </c>
      <c r="H1063" s="11">
        <v>568</v>
      </c>
      <c r="I1063" s="11">
        <v>0</v>
      </c>
      <c r="J1063" s="11">
        <v>0</v>
      </c>
      <c r="K1063" s="11" t="s">
        <v>21</v>
      </c>
      <c r="L1063" s="7">
        <v>42282.979201388887</v>
      </c>
      <c r="M1063" s="12"/>
      <c r="N1063" s="12" t="s">
        <v>178</v>
      </c>
      <c r="O1063" s="10" t="str">
        <f>HYPERLINK("https://pbs.twimg.com/profile_images/652871584131092480/QA_B6SBO_normal.jpg","View")</f>
        <v>View</v>
      </c>
      <c r="P1063" s="11"/>
    </row>
    <row r="1064" spans="1:16" ht="12.75" x14ac:dyDescent="0.35">
      <c r="A1064" s="7">
        <v>42481.812731481477</v>
      </c>
      <c r="B1064" s="8" t="str">
        <f>HYPERLINK("https://twitter.com/kngeuro","@kngeuro")</f>
        <v>@kngeuro</v>
      </c>
      <c r="C1064" s="9" t="s">
        <v>833</v>
      </c>
      <c r="D1064" s="9" t="s">
        <v>2883</v>
      </c>
      <c r="E1064" s="10" t="str">
        <f>HYPERLINK("https://twitter.com/kngeuro/status/723149373962473472","723149373962473472")</f>
        <v>723149373962473472</v>
      </c>
      <c r="F1064" s="11" t="s">
        <v>53</v>
      </c>
      <c r="G1064" s="11">
        <v>760</v>
      </c>
      <c r="H1064" s="11">
        <v>451</v>
      </c>
      <c r="I1064" s="11">
        <v>1</v>
      </c>
      <c r="J1064" s="11">
        <v>0</v>
      </c>
      <c r="K1064" s="11" t="s">
        <v>21</v>
      </c>
      <c r="L1064" s="7">
        <v>40319.120925925927</v>
      </c>
      <c r="M1064" s="12" t="s">
        <v>835</v>
      </c>
      <c r="N1064" s="12" t="s">
        <v>836</v>
      </c>
      <c r="O1064" s="10" t="str">
        <f>HYPERLINK("https://pbs.twimg.com/profile_images/570375988065935360/ooT_Nq7x_normal.jpeg","View")</f>
        <v>View</v>
      </c>
      <c r="P1064" s="11"/>
    </row>
    <row r="1065" spans="1:16" ht="12.75" x14ac:dyDescent="0.35">
      <c r="A1065" s="7">
        <v>42481.8127662037</v>
      </c>
      <c r="B1065" s="8" t="str">
        <f>HYPERLINK("https://twitter.com/lhmvolkswagenaz","@lhmvolkswagenaz")</f>
        <v>@lhmvolkswagenaz</v>
      </c>
      <c r="C1065" s="9" t="s">
        <v>2884</v>
      </c>
      <c r="D1065" s="9" t="s">
        <v>2885</v>
      </c>
      <c r="E1065" s="10" t="str">
        <f>HYPERLINK("https://twitter.com/lhmvolkswagenaz/status/723149383047335937","723149383047335937")</f>
        <v>723149383047335937</v>
      </c>
      <c r="F1065" s="11" t="s">
        <v>2886</v>
      </c>
      <c r="G1065" s="11">
        <v>463</v>
      </c>
      <c r="H1065" s="11">
        <v>596</v>
      </c>
      <c r="I1065" s="11">
        <v>1</v>
      </c>
      <c r="J1065" s="11">
        <v>0</v>
      </c>
      <c r="K1065" s="11" t="s">
        <v>21</v>
      </c>
      <c r="L1065" s="7">
        <v>40619.127696759257</v>
      </c>
      <c r="M1065" s="12" t="s">
        <v>2887</v>
      </c>
      <c r="N1065" s="12" t="s">
        <v>2888</v>
      </c>
      <c r="O1065" s="10" t="str">
        <f>HYPERLINK("https://pbs.twimg.com/profile_images/378800000416406708/3b2345851c1a8ba98340affd455888ce_normal.jpeg","View")</f>
        <v>View</v>
      </c>
      <c r="P1065" s="11"/>
    </row>
    <row r="1066" spans="1:16" ht="12.75" x14ac:dyDescent="0.35">
      <c r="A1066" s="7">
        <v>42481.813078703708</v>
      </c>
      <c r="B1066" s="8" t="str">
        <f>HYPERLINK("https://twitter.com/RJMrim","@RJMrim")</f>
        <v>@RJMrim</v>
      </c>
      <c r="C1066" s="9" t="s">
        <v>2889</v>
      </c>
      <c r="D1066" s="9" t="s">
        <v>2890</v>
      </c>
      <c r="E1066" s="10" t="str">
        <f>HYPERLINK("https://twitter.com/RJMrim/status/723149499623981056","723149499623981056")</f>
        <v>723149499623981056</v>
      </c>
      <c r="F1066" s="11" t="s">
        <v>152</v>
      </c>
      <c r="G1066" s="11">
        <v>697</v>
      </c>
      <c r="H1066" s="11">
        <v>328</v>
      </c>
      <c r="I1066" s="11">
        <v>0</v>
      </c>
      <c r="J1066" s="11">
        <v>0</v>
      </c>
      <c r="K1066" s="11" t="s">
        <v>21</v>
      </c>
      <c r="L1066" s="7">
        <v>40805.746423611112</v>
      </c>
      <c r="M1066" s="12"/>
      <c r="N1066" s="12" t="s">
        <v>2891</v>
      </c>
      <c r="O1066" s="10" t="str">
        <f>HYPERLINK("https://pbs.twimg.com/profile_images/1551461505/RJM_normal.jpg","View")</f>
        <v>View</v>
      </c>
      <c r="P1066" s="11"/>
    </row>
    <row r="1067" spans="1:16" ht="12.75" x14ac:dyDescent="0.35">
      <c r="A1067" s="7">
        <v>42481.813113425931</v>
      </c>
      <c r="B1067" s="8" t="str">
        <f>HYPERLINK("https://twitter.com/VWCamperSales","@VWCamperSales")</f>
        <v>@VWCamperSales</v>
      </c>
      <c r="C1067" s="9" t="s">
        <v>216</v>
      </c>
      <c r="D1067" s="9" t="s">
        <v>2892</v>
      </c>
      <c r="E1067" s="10" t="str">
        <f>HYPERLINK("https://twitter.com/VWCamperSales/status/723149508972961799","723149508972961799")</f>
        <v>723149508972961799</v>
      </c>
      <c r="F1067" s="10" t="s">
        <v>124</v>
      </c>
      <c r="G1067" s="11">
        <v>615</v>
      </c>
      <c r="H1067" s="11">
        <v>580</v>
      </c>
      <c r="I1067" s="11">
        <v>0</v>
      </c>
      <c r="J1067" s="11">
        <v>0</v>
      </c>
      <c r="K1067" s="11" t="s">
        <v>21</v>
      </c>
      <c r="L1067" s="7">
        <v>42215.98809027778</v>
      </c>
      <c r="M1067" s="12" t="s">
        <v>129</v>
      </c>
      <c r="N1067" s="12" t="s">
        <v>218</v>
      </c>
      <c r="O1067" s="10" t="str">
        <f>HYPERLINK("https://pbs.twimg.com/profile_images/627949001179037696/skEBkS05_normal.jpg","View")</f>
        <v>View</v>
      </c>
      <c r="P1067" s="11"/>
    </row>
    <row r="1068" spans="1:16" ht="12.75" x14ac:dyDescent="0.35">
      <c r="A1068" s="7">
        <v>42481.813576388886</v>
      </c>
      <c r="B1068" s="8" t="str">
        <f>HYPERLINK("https://twitter.com/DubLuvTuning","@DubLuvTuning")</f>
        <v>@DubLuvTuning</v>
      </c>
      <c r="C1068" s="9" t="s">
        <v>299</v>
      </c>
      <c r="D1068" s="9" t="s">
        <v>2893</v>
      </c>
      <c r="E1068" s="10" t="str">
        <f>HYPERLINK("https://twitter.com/DubLuvTuning/status/723149676942372864","723149676942372864")</f>
        <v>723149676942372864</v>
      </c>
      <c r="F1068" s="11" t="s">
        <v>288</v>
      </c>
      <c r="G1068" s="11">
        <v>690</v>
      </c>
      <c r="H1068" s="11">
        <v>431</v>
      </c>
      <c r="I1068" s="11">
        <v>1</v>
      </c>
      <c r="J1068" s="11">
        <v>0</v>
      </c>
      <c r="K1068" s="11" t="s">
        <v>21</v>
      </c>
      <c r="L1068" s="7">
        <v>41549.898287037038</v>
      </c>
      <c r="M1068" s="12" t="s">
        <v>301</v>
      </c>
      <c r="N1068" s="12" t="s">
        <v>302</v>
      </c>
      <c r="O1068" s="10" t="str">
        <f>HYPERLINK("https://pbs.twimg.com/profile_images/378800000572104796/1de43e1cf23efb3f4101c02afad0d3b6_normal.png","View")</f>
        <v>View</v>
      </c>
      <c r="P1068" s="11"/>
    </row>
    <row r="1069" spans="1:16" ht="12.75" x14ac:dyDescent="0.35">
      <c r="A1069" s="7">
        <v>42481.814780092594</v>
      </c>
      <c r="B1069" s="8" t="str">
        <f>HYPERLINK("https://twitter.com/Tarcil","@Tarcil")</f>
        <v>@Tarcil</v>
      </c>
      <c r="C1069" s="9" t="s">
        <v>2894</v>
      </c>
      <c r="D1069" s="9" t="s">
        <v>1385</v>
      </c>
      <c r="E1069" s="10" t="str">
        <f>HYPERLINK("https://twitter.com/Tarcil/status/723150113892233216","723150113892233216")</f>
        <v>723150113892233216</v>
      </c>
      <c r="F1069" s="11" t="s">
        <v>43</v>
      </c>
      <c r="G1069" s="11">
        <v>222</v>
      </c>
      <c r="H1069" s="11">
        <v>101</v>
      </c>
      <c r="I1069" s="11">
        <v>5</v>
      </c>
      <c r="J1069" s="11">
        <v>0</v>
      </c>
      <c r="K1069" s="11" t="s">
        <v>21</v>
      </c>
      <c r="L1069" s="7">
        <v>40004.06521990741</v>
      </c>
      <c r="M1069" s="12" t="s">
        <v>2895</v>
      </c>
      <c r="N1069" s="12" t="s">
        <v>2896</v>
      </c>
      <c r="O1069" s="10" t="str">
        <f>HYPERLINK("https://pbs.twimg.com/profile_images/556765567663603712/LglvzIPk_normal.jpeg","View")</f>
        <v>View</v>
      </c>
      <c r="P1069" s="11"/>
    </row>
    <row r="1070" spans="1:16" ht="12.75" x14ac:dyDescent="0.35">
      <c r="A1070" s="7">
        <v>42481.815682870365</v>
      </c>
      <c r="B1070" s="8" t="str">
        <f>HYPERLINK("https://twitter.com/CarjojoCorp","@CarjojoCorp")</f>
        <v>@CarjojoCorp</v>
      </c>
      <c r="C1070" s="9" t="s">
        <v>2897</v>
      </c>
      <c r="D1070" s="9" t="s">
        <v>2898</v>
      </c>
      <c r="E1070" s="10" t="str">
        <f>HYPERLINK("https://twitter.com/CarjojoCorp/status/723150440645427201","723150440645427201")</f>
        <v>723150440645427201</v>
      </c>
      <c r="F1070" s="11" t="s">
        <v>80</v>
      </c>
      <c r="G1070" s="11">
        <v>4566</v>
      </c>
      <c r="H1070" s="11">
        <v>3089</v>
      </c>
      <c r="I1070" s="11">
        <v>0</v>
      </c>
      <c r="J1070" s="11">
        <v>0</v>
      </c>
      <c r="K1070" s="11" t="s">
        <v>21</v>
      </c>
      <c r="L1070" s="7">
        <v>41675.899699074071</v>
      </c>
      <c r="M1070" s="12" t="s">
        <v>2899</v>
      </c>
      <c r="N1070" s="12" t="s">
        <v>2900</v>
      </c>
      <c r="O1070" s="10" t="str">
        <f>HYPERLINK("https://pbs.twimg.com/profile_images/708422551605620736/X-RALn8W_normal.jpg","View")</f>
        <v>View</v>
      </c>
      <c r="P1070" s="11"/>
    </row>
    <row r="1071" spans="1:16" ht="12.75" x14ac:dyDescent="0.35">
      <c r="A1071" s="7">
        <v>42481.816134259258</v>
      </c>
      <c r="B1071" s="8" t="str">
        <f>HYPERLINK("https://twitter.com/CamiGoyecheaOk","@CamiGoyecheaOk")</f>
        <v>@CamiGoyecheaOk</v>
      </c>
      <c r="C1071" s="9" t="s">
        <v>2901</v>
      </c>
      <c r="D1071" s="9" t="s">
        <v>2902</v>
      </c>
      <c r="E1071" s="10" t="str">
        <f>HYPERLINK("https://twitter.com/CamiGoyecheaOk/status/723150604881788928","723150604881788928")</f>
        <v>723150604881788928</v>
      </c>
      <c r="F1071" s="11" t="s">
        <v>48</v>
      </c>
      <c r="G1071" s="11">
        <v>187</v>
      </c>
      <c r="H1071" s="11">
        <v>747</v>
      </c>
      <c r="I1071" s="11">
        <v>0</v>
      </c>
      <c r="J1071" s="11">
        <v>0</v>
      </c>
      <c r="K1071" s="11" t="s">
        <v>21</v>
      </c>
      <c r="L1071" s="7">
        <v>41534.034178240741</v>
      </c>
      <c r="M1071" s="12" t="s">
        <v>2903</v>
      </c>
      <c r="N1071" s="12" t="s">
        <v>2904</v>
      </c>
      <c r="O1071" s="10" t="str">
        <f>HYPERLINK("https://pbs.twimg.com/profile_images/722609828598792193/dMWp5Tag_normal.jpg","View")</f>
        <v>View</v>
      </c>
      <c r="P1071" s="11"/>
    </row>
    <row r="1072" spans="1:16" ht="12.75" x14ac:dyDescent="0.35">
      <c r="A1072" s="7">
        <v>42481.816145833334</v>
      </c>
      <c r="B1072" s="8" t="str">
        <f>HYPERLINK("https://twitter.com/CargoBikeJetzt","@CargoBikeJetzt")</f>
        <v>@CargoBikeJetzt</v>
      </c>
      <c r="C1072" s="9" t="s">
        <v>2905</v>
      </c>
      <c r="D1072" s="9" t="s">
        <v>2906</v>
      </c>
      <c r="E1072" s="10" t="str">
        <f>HYPERLINK("https://twitter.com/CargoBikeJetzt/status/723150610837565440","723150610837565440")</f>
        <v>723150610837565440</v>
      </c>
      <c r="F1072" s="11" t="s">
        <v>43</v>
      </c>
      <c r="G1072" s="11">
        <v>204</v>
      </c>
      <c r="H1072" s="11">
        <v>168</v>
      </c>
      <c r="I1072" s="11">
        <v>0</v>
      </c>
      <c r="J1072" s="11">
        <v>1</v>
      </c>
      <c r="K1072" s="11" t="s">
        <v>21</v>
      </c>
      <c r="L1072" s="7">
        <v>42249.559872685189</v>
      </c>
      <c r="M1072" s="12" t="s">
        <v>2907</v>
      </c>
      <c r="N1072" s="12" t="s">
        <v>2908</v>
      </c>
      <c r="O1072" s="10" t="str">
        <f>HYPERLINK("https://pbs.twimg.com/profile_images/717457130983395328/qfNQ5HYt_normal.jpg","View")</f>
        <v>View</v>
      </c>
      <c r="P1072" s="11"/>
    </row>
    <row r="1073" spans="1:16" ht="12.75" x14ac:dyDescent="0.35">
      <c r="A1073" s="7">
        <v>42481.81659722222</v>
      </c>
      <c r="B1073" s="8" t="str">
        <f>HYPERLINK("https://twitter.com/_danielthomas","@_danielthomas")</f>
        <v>@_danielthomas</v>
      </c>
      <c r="C1073" s="9" t="s">
        <v>2909</v>
      </c>
      <c r="D1073" s="9" t="s">
        <v>2910</v>
      </c>
      <c r="E1073" s="10" t="str">
        <f>HYPERLINK("https://twitter.com/_danielthomas/status/723150772234407938","723150772234407938")</f>
        <v>723150772234407938</v>
      </c>
      <c r="F1073" s="11" t="s">
        <v>114</v>
      </c>
      <c r="G1073" s="11">
        <v>309</v>
      </c>
      <c r="H1073" s="11">
        <v>405</v>
      </c>
      <c r="I1073" s="11">
        <v>0</v>
      </c>
      <c r="J1073" s="11">
        <v>2</v>
      </c>
      <c r="K1073" s="11" t="s">
        <v>21</v>
      </c>
      <c r="L1073" s="7">
        <v>40026.671921296293</v>
      </c>
      <c r="M1073" s="12" t="s">
        <v>2911</v>
      </c>
      <c r="N1073" s="12" t="s">
        <v>2912</v>
      </c>
      <c r="O1073" s="10" t="str">
        <f>HYPERLINK("https://pbs.twimg.com/profile_images/691321706057699328/TfV5p97t_normal.jpg","View")</f>
        <v>View</v>
      </c>
      <c r="P1073" s="10" t="str">
        <f>HYPERLINK("http://ctrlq.org/maps/address/#53.15,-2.2","Map")</f>
        <v>Map</v>
      </c>
    </row>
    <row r="1074" spans="1:16" ht="12.75" x14ac:dyDescent="0.35">
      <c r="A1074" s="7">
        <v>42481.816620370373</v>
      </c>
      <c r="B1074" s="8" t="str">
        <f>HYPERLINK("https://twitter.com/Antopinero_","@Antopinero_")</f>
        <v>@Antopinero_</v>
      </c>
      <c r="C1074" s="9" t="s">
        <v>2913</v>
      </c>
      <c r="D1074" s="9" t="s">
        <v>2825</v>
      </c>
      <c r="E1074" s="10" t="str">
        <f>HYPERLINK("https://twitter.com/Antopinero_/status/723150781734621184","723150781734621184")</f>
        <v>723150781734621184</v>
      </c>
      <c r="F1074" s="11" t="s">
        <v>48</v>
      </c>
      <c r="G1074" s="11">
        <v>357</v>
      </c>
      <c r="H1074" s="11">
        <v>301</v>
      </c>
      <c r="I1074" s="11">
        <v>53</v>
      </c>
      <c r="J1074" s="11">
        <v>0</v>
      </c>
      <c r="K1074" s="11" t="s">
        <v>21</v>
      </c>
      <c r="L1074" s="7">
        <v>42203.173657407402</v>
      </c>
      <c r="M1074" s="12" t="s">
        <v>2914</v>
      </c>
      <c r="N1074" s="12" t="s">
        <v>2915</v>
      </c>
      <c r="O1074" s="10" t="str">
        <f>HYPERLINK("https://pbs.twimg.com/profile_images/720394081952743425/XUEIaQ_2_normal.jpg","View")</f>
        <v>View</v>
      </c>
      <c r="P1074" s="11"/>
    </row>
    <row r="1075" spans="1:16" ht="12.75" x14ac:dyDescent="0.35">
      <c r="A1075" s="7">
        <v>42481.817500000005</v>
      </c>
      <c r="B1075" s="8" t="str">
        <f>HYPERLINK("https://twitter.com/Immortaliized","@Immortaliized")</f>
        <v>@Immortaliized</v>
      </c>
      <c r="C1075" s="9" t="s">
        <v>2916</v>
      </c>
      <c r="D1075" s="9" t="s">
        <v>2917</v>
      </c>
      <c r="E1075" s="10" t="str">
        <f>HYPERLINK("https://twitter.com/Immortaliized/status/723151102523248641","723151102523248641")</f>
        <v>723151102523248641</v>
      </c>
      <c r="F1075" s="11" t="s">
        <v>114</v>
      </c>
      <c r="G1075" s="11">
        <v>169</v>
      </c>
      <c r="H1075" s="11">
        <v>104</v>
      </c>
      <c r="I1075" s="11">
        <v>0</v>
      </c>
      <c r="J1075" s="11">
        <v>0</v>
      </c>
      <c r="K1075" s="11" t="s">
        <v>21</v>
      </c>
      <c r="L1075" s="7">
        <v>40796.130393518521</v>
      </c>
      <c r="M1075" s="12" t="s">
        <v>2918</v>
      </c>
      <c r="N1075" s="12" t="s">
        <v>2919</v>
      </c>
      <c r="O1075" s="10" t="str">
        <f>HYPERLINK("https://pbs.twimg.com/profile_images/705621568781570048/95--t7AT_normal.jpg","View")</f>
        <v>View</v>
      </c>
      <c r="P1075" s="11"/>
    </row>
    <row r="1076" spans="1:16" ht="12.75" x14ac:dyDescent="0.35">
      <c r="A1076" s="7">
        <v>42481.819282407407</v>
      </c>
      <c r="B1076" s="8" t="str">
        <f>HYPERLINK("https://twitter.com/techhippie","@techhippie")</f>
        <v>@techhippie</v>
      </c>
      <c r="C1076" s="9" t="s">
        <v>246</v>
      </c>
      <c r="D1076" s="9" t="s">
        <v>2920</v>
      </c>
      <c r="E1076" s="10" t="str">
        <f>HYPERLINK("https://twitter.com/techhippie/status/723151746831388672","723151746831388672")</f>
        <v>723151746831388672</v>
      </c>
      <c r="F1076" s="11" t="s">
        <v>68</v>
      </c>
      <c r="G1076" s="11">
        <v>2471</v>
      </c>
      <c r="H1076" s="11">
        <v>3835</v>
      </c>
      <c r="I1076" s="11">
        <v>0</v>
      </c>
      <c r="J1076" s="11">
        <v>0</v>
      </c>
      <c r="K1076" s="11" t="s">
        <v>21</v>
      </c>
      <c r="L1076" s="7">
        <v>42424.852152777778</v>
      </c>
      <c r="M1076" s="12" t="s">
        <v>248</v>
      </c>
      <c r="N1076" s="12" t="s">
        <v>249</v>
      </c>
      <c r="O1076" s="10" t="str">
        <f>HYPERLINK("https://pbs.twimg.com/profile_images/702511217793863680/lty8h9vE_normal.jpg","View")</f>
        <v>View</v>
      </c>
      <c r="P1076" s="11"/>
    </row>
    <row r="1077" spans="1:16" ht="12.75" x14ac:dyDescent="0.35">
      <c r="A1077" s="7">
        <v>42481.819513888884</v>
      </c>
      <c r="B1077" s="8" t="str">
        <f>HYPERLINK("https://twitter.com/economia_feed_1","@economia_feed_1")</f>
        <v>@economia_feed_1</v>
      </c>
      <c r="C1077" s="9" t="s">
        <v>2921</v>
      </c>
      <c r="D1077" s="9" t="s">
        <v>2922</v>
      </c>
      <c r="E1077" s="10" t="str">
        <f>HYPERLINK("https://twitter.com/economia_feed_1/status/723151831233400832","723151831233400832")</f>
        <v>723151831233400832</v>
      </c>
      <c r="F1077" s="11" t="s">
        <v>2923</v>
      </c>
      <c r="G1077" s="11">
        <v>713</v>
      </c>
      <c r="H1077" s="11">
        <v>0</v>
      </c>
      <c r="I1077" s="11">
        <v>0</v>
      </c>
      <c r="J1077" s="11">
        <v>0</v>
      </c>
      <c r="K1077" s="11" t="s">
        <v>21</v>
      </c>
      <c r="L1077" s="7">
        <v>40653.670798611114</v>
      </c>
      <c r="M1077" s="12"/>
      <c r="N1077" s="12"/>
      <c r="O1077" s="10" t="str">
        <f>HYPERLINK("https://abs.twimg.com/sticky/default_profile_images/default_profile_0_normal.png","View")</f>
        <v>View</v>
      </c>
      <c r="P1077" s="11"/>
    </row>
    <row r="1078" spans="1:16" ht="12.75" x14ac:dyDescent="0.35">
      <c r="A1078" s="7">
        <v>42481.819918981477</v>
      </c>
      <c r="B1078" s="8" t="str">
        <f t="shared" ref="B1078:B1079" si="111">HYPERLINK("https://twitter.com/hashtagvanlife","@hashtagvanlife")</f>
        <v>@hashtagvanlife</v>
      </c>
      <c r="C1078" s="9" t="s">
        <v>187</v>
      </c>
      <c r="D1078" s="9" t="s">
        <v>2924</v>
      </c>
      <c r="E1078" s="10" t="str">
        <f>HYPERLINK("https://twitter.com/hashtagvanlife/status/723151978147266560","723151978147266560")</f>
        <v>723151978147266560</v>
      </c>
      <c r="F1078" s="11" t="s">
        <v>189</v>
      </c>
      <c r="G1078" s="11">
        <v>1016</v>
      </c>
      <c r="H1078" s="11">
        <v>29</v>
      </c>
      <c r="I1078" s="11">
        <v>1</v>
      </c>
      <c r="J1078" s="11">
        <v>0</v>
      </c>
      <c r="K1078" s="11" t="s">
        <v>21</v>
      </c>
      <c r="L1078" s="7">
        <v>42289.994583333333</v>
      </c>
      <c r="M1078" s="12"/>
      <c r="N1078" s="12" t="s">
        <v>190</v>
      </c>
      <c r="O1078" s="10" t="str">
        <f t="shared" ref="O1078:O1079" si="112">HYPERLINK("https://pbs.twimg.com/profile_images/653637535545995264/gHuXQ5Bt_normal.jpg","View")</f>
        <v>View</v>
      </c>
      <c r="P1078" s="11"/>
    </row>
    <row r="1079" spans="1:16" ht="12.75" x14ac:dyDescent="0.35">
      <c r="A1079" s="7">
        <v>42481.820057870369</v>
      </c>
      <c r="B1079" s="8" t="str">
        <f t="shared" si="111"/>
        <v>@hashtagvanlife</v>
      </c>
      <c r="C1079" s="9" t="s">
        <v>187</v>
      </c>
      <c r="D1079" s="9" t="s">
        <v>2925</v>
      </c>
      <c r="E1079" s="10" t="str">
        <f>HYPERLINK("https://twitter.com/hashtagvanlife/status/723152025756798976","723152025756798976")</f>
        <v>723152025756798976</v>
      </c>
      <c r="F1079" s="11" t="s">
        <v>189</v>
      </c>
      <c r="G1079" s="11">
        <v>1016</v>
      </c>
      <c r="H1079" s="11">
        <v>29</v>
      </c>
      <c r="I1079" s="11">
        <v>1</v>
      </c>
      <c r="J1079" s="11">
        <v>0</v>
      </c>
      <c r="K1079" s="11" t="s">
        <v>21</v>
      </c>
      <c r="L1079" s="7">
        <v>42289.994583333333</v>
      </c>
      <c r="M1079" s="12"/>
      <c r="N1079" s="12" t="s">
        <v>190</v>
      </c>
      <c r="O1079" s="10" t="str">
        <f t="shared" si="112"/>
        <v>View</v>
      </c>
      <c r="P1079" s="11"/>
    </row>
    <row r="1080" spans="1:16" ht="12.75" x14ac:dyDescent="0.35">
      <c r="A1080" s="7">
        <v>42481.820104166662</v>
      </c>
      <c r="B1080" s="8" t="str">
        <f>HYPERLINK("https://twitter.com/MultivaRv","@MultivaRv")</f>
        <v>@MultivaRv</v>
      </c>
      <c r="C1080" s="9" t="s">
        <v>2926</v>
      </c>
      <c r="D1080" s="9" t="s">
        <v>2927</v>
      </c>
      <c r="E1080" s="10" t="str">
        <f>HYPERLINK("https://twitter.com/MultivaRv/status/723152043322400768","723152043322400768")</f>
        <v>723152043322400768</v>
      </c>
      <c r="F1080" s="11" t="s">
        <v>48</v>
      </c>
      <c r="G1080" s="11">
        <v>365</v>
      </c>
      <c r="H1080" s="11">
        <v>459</v>
      </c>
      <c r="I1080" s="11">
        <v>1</v>
      </c>
      <c r="J1080" s="11">
        <v>3</v>
      </c>
      <c r="K1080" s="11" t="s">
        <v>21</v>
      </c>
      <c r="L1080" s="7">
        <v>42268.198749999996</v>
      </c>
      <c r="M1080" s="12" t="s">
        <v>2928</v>
      </c>
      <c r="N1080" s="12" t="s">
        <v>2929</v>
      </c>
      <c r="O1080" s="10" t="str">
        <f>HYPERLINK("https://pbs.twimg.com/profile_images/676628116488392705/ELc0HmSX_normal.jpg","View")</f>
        <v>View</v>
      </c>
      <c r="P1080" s="11"/>
    </row>
    <row r="1081" spans="1:16" ht="12.75" x14ac:dyDescent="0.35">
      <c r="A1081" s="7">
        <v>42481.820243055554</v>
      </c>
      <c r="B1081" s="8" t="str">
        <f>HYPERLINK("https://twitter.com/rickehansen","@rickehansen")</f>
        <v>@rickehansen</v>
      </c>
      <c r="C1081" s="9" t="s">
        <v>2930</v>
      </c>
      <c r="D1081" s="9" t="s">
        <v>2931</v>
      </c>
      <c r="E1081" s="10" t="str">
        <f>HYPERLINK("https://twitter.com/rickehansen/status/723152095084322816","723152095084322816")</f>
        <v>723152095084322816</v>
      </c>
      <c r="F1081" s="11" t="s">
        <v>43</v>
      </c>
      <c r="G1081" s="11">
        <v>1377</v>
      </c>
      <c r="H1081" s="11">
        <v>1689</v>
      </c>
      <c r="I1081" s="11">
        <v>0</v>
      </c>
      <c r="J1081" s="11">
        <v>0</v>
      </c>
      <c r="K1081" s="11" t="s">
        <v>21</v>
      </c>
      <c r="L1081" s="7">
        <v>40358.97388888889</v>
      </c>
      <c r="M1081" s="12" t="s">
        <v>2932</v>
      </c>
      <c r="N1081" s="12" t="s">
        <v>2933</v>
      </c>
      <c r="O1081" s="10" t="str">
        <f>HYPERLINK("https://pbs.twimg.com/profile_images/523268538182557696/FTujGmJu_normal.jpeg","View")</f>
        <v>View</v>
      </c>
      <c r="P1081" s="11"/>
    </row>
    <row r="1082" spans="1:16" ht="12.75" x14ac:dyDescent="0.35">
      <c r="A1082" s="7">
        <v>42481.820636574077</v>
      </c>
      <c r="B1082" s="8" t="str">
        <f>HYPERLINK("https://twitter.com/hashtagvanlife","@hashtagvanlife")</f>
        <v>@hashtagvanlife</v>
      </c>
      <c r="C1082" s="9" t="s">
        <v>187</v>
      </c>
      <c r="D1082" s="9" t="s">
        <v>2934</v>
      </c>
      <c r="E1082" s="10" t="str">
        <f>HYPERLINK("https://twitter.com/hashtagvanlife/status/723152235815948288","723152235815948288")</f>
        <v>723152235815948288</v>
      </c>
      <c r="F1082" s="11" t="s">
        <v>189</v>
      </c>
      <c r="G1082" s="11">
        <v>1016</v>
      </c>
      <c r="H1082" s="11">
        <v>29</v>
      </c>
      <c r="I1082" s="11">
        <v>1</v>
      </c>
      <c r="J1082" s="11">
        <v>0</v>
      </c>
      <c r="K1082" s="11" t="s">
        <v>21</v>
      </c>
      <c r="L1082" s="7">
        <v>42289.994583333333</v>
      </c>
      <c r="M1082" s="12"/>
      <c r="N1082" s="12" t="s">
        <v>190</v>
      </c>
      <c r="O1082" s="10" t="str">
        <f>HYPERLINK("https://pbs.twimg.com/profile_images/653637535545995264/gHuXQ5Bt_normal.jpg","View")</f>
        <v>View</v>
      </c>
      <c r="P1082" s="11"/>
    </row>
    <row r="1083" spans="1:16" ht="12.75" x14ac:dyDescent="0.35">
      <c r="A1083" s="7">
        <v>42481.821886574078</v>
      </c>
      <c r="B1083" s="8" t="str">
        <f>HYPERLINK("https://twitter.com/CamilaJuarezG","@CamilaJuarezG")</f>
        <v>@CamilaJuarezG</v>
      </c>
      <c r="C1083" s="9" t="s">
        <v>2935</v>
      </c>
      <c r="D1083" s="9" t="s">
        <v>2936</v>
      </c>
      <c r="E1083" s="10" t="str">
        <f>HYPERLINK("https://twitter.com/CamilaJuarezG/status/723152691518705664","723152691518705664")</f>
        <v>723152691518705664</v>
      </c>
      <c r="F1083" s="11" t="s">
        <v>68</v>
      </c>
      <c r="G1083" s="11">
        <v>47</v>
      </c>
      <c r="H1083" s="11">
        <v>83</v>
      </c>
      <c r="I1083" s="11">
        <v>0</v>
      </c>
      <c r="J1083" s="11">
        <v>0</v>
      </c>
      <c r="K1083" s="11" t="s">
        <v>21</v>
      </c>
      <c r="L1083" s="7">
        <v>42472.289282407408</v>
      </c>
      <c r="M1083" s="12"/>
      <c r="N1083" s="12"/>
      <c r="O1083" s="10" t="str">
        <f>HYPERLINK("https://abs.twimg.com/sticky/default_profile_images/default_profile_5_normal.png","View")</f>
        <v>View</v>
      </c>
      <c r="P1083" s="11"/>
    </row>
    <row r="1084" spans="1:16" ht="12.75" x14ac:dyDescent="0.35">
      <c r="A1084" s="7">
        <v>42481.821956018517</v>
      </c>
      <c r="B1084" s="8" t="str">
        <f>HYPERLINK("https://twitter.com/vwpress_de","@vwpress_de")</f>
        <v>@vwpress_de</v>
      </c>
      <c r="C1084" s="9" t="s">
        <v>1685</v>
      </c>
      <c r="D1084" s="9" t="s">
        <v>2937</v>
      </c>
      <c r="E1084" s="10" t="str">
        <f>HYPERLINK("https://twitter.com/vwpress_de/status/723152716864823297","723152716864823297")</f>
        <v>723152716864823297</v>
      </c>
      <c r="F1084" s="11" t="s">
        <v>152</v>
      </c>
      <c r="G1084" s="11">
        <v>5763</v>
      </c>
      <c r="H1084" s="11">
        <v>610</v>
      </c>
      <c r="I1084" s="11">
        <v>0</v>
      </c>
      <c r="J1084" s="11">
        <v>0</v>
      </c>
      <c r="K1084" s="11" t="s">
        <v>21</v>
      </c>
      <c r="L1084" s="7">
        <v>42041.830381944441</v>
      </c>
      <c r="M1084" s="12" t="s">
        <v>1690</v>
      </c>
      <c r="N1084" s="12" t="s">
        <v>1691</v>
      </c>
      <c r="O1084" s="10" t="str">
        <f>HYPERLINK("https://pbs.twimg.com/profile_images/682117656502222848/Ge7YeAF3_normal.png","View")</f>
        <v>View</v>
      </c>
      <c r="P1084" s="11"/>
    </row>
    <row r="1085" spans="1:16" ht="12.75" x14ac:dyDescent="0.35">
      <c r="A1085" s="7">
        <v>42481.822256944448</v>
      </c>
      <c r="B1085" s="8" t="str">
        <f>HYPERLINK("https://twitter.com/SaschaSmid","@SaschaSmid")</f>
        <v>@SaschaSmid</v>
      </c>
      <c r="C1085" s="9" t="s">
        <v>2938</v>
      </c>
      <c r="D1085" s="9" t="s">
        <v>2939</v>
      </c>
      <c r="E1085" s="10" t="str">
        <f>HYPERLINK("https://twitter.com/SaschaSmid/status/723152825853693953","723152825853693953")</f>
        <v>723152825853693953</v>
      </c>
      <c r="F1085" s="11" t="s">
        <v>43</v>
      </c>
      <c r="G1085" s="11">
        <v>561</v>
      </c>
      <c r="H1085" s="11">
        <v>590</v>
      </c>
      <c r="I1085" s="11">
        <v>0</v>
      </c>
      <c r="J1085" s="11">
        <v>0</v>
      </c>
      <c r="K1085" s="11" t="s">
        <v>21</v>
      </c>
      <c r="L1085" s="7">
        <v>41822.655150462961</v>
      </c>
      <c r="M1085" s="12"/>
      <c r="N1085" s="12" t="s">
        <v>2940</v>
      </c>
      <c r="O1085" s="10" t="str">
        <f>HYPERLINK("https://pbs.twimg.com/profile_images/695609466620940288/lvg9H3ch_normal.jpg","View")</f>
        <v>View</v>
      </c>
      <c r="P1085" s="11"/>
    </row>
    <row r="1086" spans="1:16" ht="12.75" x14ac:dyDescent="0.35">
      <c r="A1086" s="7">
        <v>42481.822523148148</v>
      </c>
      <c r="B1086" s="8" t="str">
        <f>HYPERLINK("https://twitter.com/BlancoGoonzalo","@BlancoGoonzalo")</f>
        <v>@BlancoGoonzalo</v>
      </c>
      <c r="C1086" s="9" t="s">
        <v>2941</v>
      </c>
      <c r="D1086" s="9" t="s">
        <v>2825</v>
      </c>
      <c r="E1086" s="10" t="str">
        <f>HYPERLINK("https://twitter.com/BlancoGoonzalo/status/723152918728286208","723152918728286208")</f>
        <v>723152918728286208</v>
      </c>
      <c r="F1086" s="11" t="s">
        <v>48</v>
      </c>
      <c r="G1086" s="11">
        <v>644</v>
      </c>
      <c r="H1086" s="11">
        <v>413</v>
      </c>
      <c r="I1086" s="11">
        <v>53</v>
      </c>
      <c r="J1086" s="11">
        <v>0</v>
      </c>
      <c r="K1086" s="11" t="s">
        <v>21</v>
      </c>
      <c r="L1086" s="7">
        <v>42239.29488425926</v>
      </c>
      <c r="M1086" s="12"/>
      <c r="N1086" s="12" t="s">
        <v>2942</v>
      </c>
      <c r="O1086" s="10" t="str">
        <f>HYPERLINK("https://pbs.twimg.com/profile_images/688188016326623232/CRrQy5_H_normal.jpg","View")</f>
        <v>View</v>
      </c>
      <c r="P1086" s="11"/>
    </row>
    <row r="1087" spans="1:16" ht="12.75" x14ac:dyDescent="0.35">
      <c r="A1087" s="7">
        <v>42481.823124999995</v>
      </c>
      <c r="B1087" s="8" t="str">
        <f>HYPERLINK("https://twitter.com/cashlos_Rosales","@cashlos_Rosales")</f>
        <v>@cashlos_Rosales</v>
      </c>
      <c r="C1087" s="9" t="s">
        <v>2943</v>
      </c>
      <c r="D1087" s="9" t="s">
        <v>2944</v>
      </c>
      <c r="E1087" s="10" t="str">
        <f>HYPERLINK("https://twitter.com/cashlos_Rosales/status/723153138518085634","723153138518085634")</f>
        <v>723153138518085634</v>
      </c>
      <c r="F1087" s="11" t="s">
        <v>43</v>
      </c>
      <c r="G1087" s="11">
        <v>167</v>
      </c>
      <c r="H1087" s="11">
        <v>205</v>
      </c>
      <c r="I1087" s="11">
        <v>12</v>
      </c>
      <c r="J1087" s="11">
        <v>0</v>
      </c>
      <c r="K1087" s="11" t="s">
        <v>21</v>
      </c>
      <c r="L1087" s="7">
        <v>42206.047453703708</v>
      </c>
      <c r="M1087" s="12" t="s">
        <v>2945</v>
      </c>
      <c r="N1087" s="12" t="s">
        <v>2946</v>
      </c>
      <c r="O1087" s="10" t="str">
        <f>HYPERLINK("https://pbs.twimg.com/profile_images/722975984488747012/FGcD-3rJ_normal.jpg","View")</f>
        <v>View</v>
      </c>
      <c r="P1087" s="11"/>
    </row>
    <row r="1088" spans="1:16" ht="12.75" x14ac:dyDescent="0.35">
      <c r="A1088" s="7">
        <v>42481.823738425926</v>
      </c>
      <c r="B1088" s="8" t="str">
        <f>HYPERLINK("https://twitter.com/VWCamperSales","@VWCamperSales")</f>
        <v>@VWCamperSales</v>
      </c>
      <c r="C1088" s="9" t="s">
        <v>216</v>
      </c>
      <c r="D1088" s="9" t="s">
        <v>2947</v>
      </c>
      <c r="E1088" s="10" t="str">
        <f>HYPERLINK("https://twitter.com/VWCamperSales/status/723153359620857856","723153359620857856")</f>
        <v>723153359620857856</v>
      </c>
      <c r="F1088" s="10" t="s">
        <v>124</v>
      </c>
      <c r="G1088" s="11">
        <v>615</v>
      </c>
      <c r="H1088" s="11">
        <v>580</v>
      </c>
      <c r="I1088" s="11">
        <v>0</v>
      </c>
      <c r="J1088" s="11">
        <v>0</v>
      </c>
      <c r="K1088" s="11" t="s">
        <v>21</v>
      </c>
      <c r="L1088" s="7">
        <v>42215.98809027778</v>
      </c>
      <c r="M1088" s="12" t="s">
        <v>129</v>
      </c>
      <c r="N1088" s="12" t="s">
        <v>218</v>
      </c>
      <c r="O1088" s="10" t="str">
        <f>HYPERLINK("https://pbs.twimg.com/profile_images/627949001179037696/skEBkS05_normal.jpg","View")</f>
        <v>View</v>
      </c>
      <c r="P1088" s="11"/>
    </row>
    <row r="1089" spans="1:16" ht="12.75" x14ac:dyDescent="0.35">
      <c r="A1089" s="7">
        <v>42481.824687500004</v>
      </c>
      <c r="B1089" s="8" t="str">
        <f>HYPERLINK("https://twitter.com/SJ_LOWTEC","@SJ_LOWTEC")</f>
        <v>@SJ_LOWTEC</v>
      </c>
      <c r="C1089" s="9" t="s">
        <v>1938</v>
      </c>
      <c r="D1089" s="9" t="s">
        <v>2948</v>
      </c>
      <c r="E1089" s="10" t="str">
        <f>HYPERLINK("https://twitter.com/SJ_LOWTEC/status/723153706166837248","723153706166837248")</f>
        <v>723153706166837248</v>
      </c>
      <c r="F1089" s="11" t="s">
        <v>53</v>
      </c>
      <c r="G1089" s="11">
        <v>54</v>
      </c>
      <c r="H1089" s="11">
        <v>82</v>
      </c>
      <c r="I1089" s="11">
        <v>0</v>
      </c>
      <c r="J1089" s="11">
        <v>0</v>
      </c>
      <c r="K1089" s="11" t="s">
        <v>21</v>
      </c>
      <c r="L1089" s="7">
        <v>41157.77925925926</v>
      </c>
      <c r="M1089" s="12" t="s">
        <v>1940</v>
      </c>
      <c r="N1089" s="12" t="s">
        <v>1941</v>
      </c>
      <c r="O1089" s="10" t="str">
        <f>HYPERLINK("https://pbs.twimg.com/profile_images/2598553252/qoojuj09m53kdh24r09y_normal.jpeg","View")</f>
        <v>View</v>
      </c>
      <c r="P1089" s="11"/>
    </row>
    <row r="1090" spans="1:16" ht="12.75" x14ac:dyDescent="0.35">
      <c r="A1090" s="7">
        <v>42481.824976851851</v>
      </c>
      <c r="B1090" s="8" t="str">
        <f>HYPERLINK("https://twitter.com/UT_TEXAS_PROMO","@UT_TEXAS_PROMO")</f>
        <v>@UT_TEXAS_PROMO</v>
      </c>
      <c r="C1090" s="9" t="s">
        <v>2949</v>
      </c>
      <c r="D1090" s="9" t="s">
        <v>2950</v>
      </c>
      <c r="E1090" s="10" t="str">
        <f>HYPERLINK("https://twitter.com/UT_TEXAS_PROMO/status/723153808092590081","723153808092590081")</f>
        <v>723153808092590081</v>
      </c>
      <c r="F1090" s="11" t="s">
        <v>43</v>
      </c>
      <c r="G1090" s="11">
        <v>941</v>
      </c>
      <c r="H1090" s="11">
        <v>1034</v>
      </c>
      <c r="I1090" s="11">
        <v>1</v>
      </c>
      <c r="J1090" s="11">
        <v>0</v>
      </c>
      <c r="K1090" s="11" t="s">
        <v>21</v>
      </c>
      <c r="L1090" s="7">
        <v>42032.390289351853</v>
      </c>
      <c r="M1090" s="12"/>
      <c r="N1090" s="12" t="s">
        <v>2951</v>
      </c>
      <c r="O1090" s="10" t="str">
        <f>HYPERLINK("https://pbs.twimg.com/profile_images/562056883729473536/M4lVp6Fb_normal.jpeg","View")</f>
        <v>View</v>
      </c>
      <c r="P1090" s="11"/>
    </row>
    <row r="1091" spans="1:16" ht="12.75" x14ac:dyDescent="0.35">
      <c r="A1091" s="7">
        <v>42481.825335648144</v>
      </c>
      <c r="B1091" s="8" t="str">
        <f>HYPERLINK("https://twitter.com/Enigma424","@Enigma424")</f>
        <v>@Enigma424</v>
      </c>
      <c r="C1091" s="9" t="s">
        <v>2952</v>
      </c>
      <c r="D1091" s="9" t="s">
        <v>2953</v>
      </c>
      <c r="E1091" s="10" t="str">
        <f>HYPERLINK("https://twitter.com/Enigma424/status/723153941278646272","723153941278646272")</f>
        <v>723153941278646272</v>
      </c>
      <c r="F1091" s="11" t="s">
        <v>20</v>
      </c>
      <c r="G1091" s="11">
        <v>5766</v>
      </c>
      <c r="H1091" s="11">
        <v>2436</v>
      </c>
      <c r="I1091" s="11">
        <v>2</v>
      </c>
      <c r="J1091" s="11">
        <v>1</v>
      </c>
      <c r="K1091" s="11" t="s">
        <v>21</v>
      </c>
      <c r="L1091" s="7">
        <v>39886.950787037036</v>
      </c>
      <c r="M1091" s="12" t="s">
        <v>2954</v>
      </c>
      <c r="N1091" s="12" t="s">
        <v>2955</v>
      </c>
      <c r="O1091" s="10" t="str">
        <f>HYPERLINK("https://pbs.twimg.com/profile_images/587617946538745856/_S5LOe4F_normal.jpg","View")</f>
        <v>View</v>
      </c>
      <c r="P1091" s="11"/>
    </row>
    <row r="1092" spans="1:16" ht="12.75" x14ac:dyDescent="0.35">
      <c r="A1092" s="7">
        <v>42481.825613425928</v>
      </c>
      <c r="B1092" s="8" t="str">
        <f>HYPERLINK("https://twitter.com/visit_dresden","@visit_dresden")</f>
        <v>@visit_dresden</v>
      </c>
      <c r="C1092" s="9" t="s">
        <v>2956</v>
      </c>
      <c r="D1092" s="9" t="s">
        <v>2957</v>
      </c>
      <c r="E1092" s="10" t="str">
        <f>HYPERLINK("https://twitter.com/visit_dresden/status/723154038582190080","723154038582190080")</f>
        <v>723154038582190080</v>
      </c>
      <c r="F1092" s="11" t="s">
        <v>43</v>
      </c>
      <c r="G1092" s="11">
        <v>3074</v>
      </c>
      <c r="H1092" s="11">
        <v>401</v>
      </c>
      <c r="I1092" s="11">
        <v>5</v>
      </c>
      <c r="J1092" s="11">
        <v>0</v>
      </c>
      <c r="K1092" s="11" t="s">
        <v>21</v>
      </c>
      <c r="L1092" s="7">
        <v>40379.556550925925</v>
      </c>
      <c r="M1092" s="12" t="s">
        <v>2958</v>
      </c>
      <c r="N1092" s="12" t="s">
        <v>2959</v>
      </c>
      <c r="O1092" s="10" t="str">
        <f>HYPERLINK("https://pbs.twimg.com/profile_images/468741202754273280/0A6LRzkF_normal.png","View")</f>
        <v>View</v>
      </c>
      <c r="P1092" s="11"/>
    </row>
    <row r="1093" spans="1:16" ht="12.75" x14ac:dyDescent="0.35">
      <c r="A1093" s="7">
        <v>42481.825752314813</v>
      </c>
      <c r="B1093" s="8" t="str">
        <f>HYPERLINK("https://twitter.com/seunthorpe","@seunthorpe")</f>
        <v>@seunthorpe</v>
      </c>
      <c r="C1093" s="9" t="s">
        <v>2960</v>
      </c>
      <c r="D1093" s="9" t="s">
        <v>2961</v>
      </c>
      <c r="E1093" s="10" t="str">
        <f>HYPERLINK("https://twitter.com/seunthorpe/status/723154091061436416","723154091061436416")</f>
        <v>723154091061436416</v>
      </c>
      <c r="F1093" s="11" t="s">
        <v>114</v>
      </c>
      <c r="G1093" s="11">
        <v>245</v>
      </c>
      <c r="H1093" s="11">
        <v>245</v>
      </c>
      <c r="I1093" s="11">
        <v>0</v>
      </c>
      <c r="J1093" s="11">
        <v>0</v>
      </c>
      <c r="K1093" s="11" t="s">
        <v>21</v>
      </c>
      <c r="L1093" s="7">
        <v>41064.015138888892</v>
      </c>
      <c r="M1093" s="12" t="s">
        <v>2962</v>
      </c>
      <c r="N1093" s="12" t="s">
        <v>2963</v>
      </c>
      <c r="O1093" s="10" t="str">
        <f>HYPERLINK("https://pbs.twimg.com/profile_images/652520472035348480/KB5WAjZ8_normal.jpg","View")</f>
        <v>View</v>
      </c>
      <c r="P1093" s="11"/>
    </row>
    <row r="1094" spans="1:16" ht="12.75" x14ac:dyDescent="0.35">
      <c r="A1094" s="7">
        <v>42481.826180555552</v>
      </c>
      <c r="B1094" s="8" t="str">
        <f>HYPERLINK("https://twitter.com/campercino_uk","@campercino_uk")</f>
        <v>@campercino_uk</v>
      </c>
      <c r="C1094" s="9" t="s">
        <v>2964</v>
      </c>
      <c r="D1094" s="9" t="s">
        <v>2965</v>
      </c>
      <c r="E1094" s="10" t="str">
        <f>HYPERLINK("https://twitter.com/campercino_uk/status/723154246598684673","723154246598684673")</f>
        <v>723154246598684673</v>
      </c>
      <c r="F1094" s="11" t="s">
        <v>114</v>
      </c>
      <c r="G1094" s="11">
        <v>5</v>
      </c>
      <c r="H1094" s="11">
        <v>22</v>
      </c>
      <c r="I1094" s="11">
        <v>0</v>
      </c>
      <c r="J1094" s="11">
        <v>0</v>
      </c>
      <c r="K1094" s="11" t="s">
        <v>21</v>
      </c>
      <c r="L1094" s="7">
        <v>42397.424166666664</v>
      </c>
      <c r="M1094" s="12"/>
      <c r="N1094" s="12" t="s">
        <v>2966</v>
      </c>
      <c r="O1094" s="10" t="str">
        <f>HYPERLINK("https://pbs.twimg.com/profile_images/695303050580385793/wXS47Pgy_normal.jpg","View")</f>
        <v>View</v>
      </c>
      <c r="P1094" s="11"/>
    </row>
    <row r="1095" spans="1:16" ht="12.75" x14ac:dyDescent="0.35">
      <c r="A1095" s="7">
        <v>42481.826284722221</v>
      </c>
      <c r="B1095" s="8" t="str">
        <f>HYPERLINK("https://twitter.com/DJMattDavid","@DJMattDavid")</f>
        <v>@DJMattDavid</v>
      </c>
      <c r="C1095" s="9" t="s">
        <v>2967</v>
      </c>
      <c r="D1095" s="9" t="s">
        <v>2968</v>
      </c>
      <c r="E1095" s="10" t="str">
        <f>HYPERLINK("https://twitter.com/DJMattDavid/status/723154282011320320","723154282011320320")</f>
        <v>723154282011320320</v>
      </c>
      <c r="F1095" s="11" t="s">
        <v>53</v>
      </c>
      <c r="G1095" s="11">
        <v>295</v>
      </c>
      <c r="H1095" s="11">
        <v>152</v>
      </c>
      <c r="I1095" s="11">
        <v>0</v>
      </c>
      <c r="J1095" s="11">
        <v>0</v>
      </c>
      <c r="K1095" s="11" t="s">
        <v>21</v>
      </c>
      <c r="L1095" s="7">
        <v>39852.327372685184</v>
      </c>
      <c r="M1095" s="12" t="s">
        <v>2969</v>
      </c>
      <c r="N1095" s="12" t="s">
        <v>2970</v>
      </c>
      <c r="O1095" s="10" t="str">
        <f>HYPERLINK("https://pbs.twimg.com/profile_images/434295813154816000/Zl69okbD_normal.jpeg","View")</f>
        <v>View</v>
      </c>
      <c r="P1095" s="11"/>
    </row>
    <row r="1096" spans="1:16" ht="12.75" x14ac:dyDescent="0.35">
      <c r="A1096" s="7">
        <v>42481.827210648145</v>
      </c>
      <c r="B1096" s="8" t="str">
        <f>HYPERLINK("https://twitter.com/Enigma424","@Enigma424")</f>
        <v>@Enigma424</v>
      </c>
      <c r="C1096" s="9" t="s">
        <v>2952</v>
      </c>
      <c r="D1096" s="9" t="s">
        <v>2971</v>
      </c>
      <c r="E1096" s="10" t="str">
        <f>HYPERLINK("https://twitter.com/Enigma424/status/723154618688147456","723154618688147456")</f>
        <v>723154618688147456</v>
      </c>
      <c r="F1096" s="11" t="s">
        <v>20</v>
      </c>
      <c r="G1096" s="11">
        <v>5766</v>
      </c>
      <c r="H1096" s="11">
        <v>2436</v>
      </c>
      <c r="I1096" s="11">
        <v>2</v>
      </c>
      <c r="J1096" s="11">
        <v>1</v>
      </c>
      <c r="K1096" s="11" t="s">
        <v>21</v>
      </c>
      <c r="L1096" s="7">
        <v>39886.950787037036</v>
      </c>
      <c r="M1096" s="12" t="s">
        <v>2954</v>
      </c>
      <c r="N1096" s="12" t="s">
        <v>2955</v>
      </c>
      <c r="O1096" s="10" t="str">
        <f>HYPERLINK("https://pbs.twimg.com/profile_images/587617946538745856/_S5LOe4F_normal.jpg","View")</f>
        <v>View</v>
      </c>
      <c r="P1096" s="11"/>
    </row>
    <row r="1097" spans="1:16" ht="12.75" x14ac:dyDescent="0.35">
      <c r="A1097" s="7">
        <v>42481.827418981484</v>
      </c>
      <c r="B1097" s="8" t="str">
        <f>HYPERLINK("https://twitter.com/VolkswagenPost","@VolkswagenPost")</f>
        <v>@VolkswagenPost</v>
      </c>
      <c r="C1097" s="9" t="s">
        <v>321</v>
      </c>
      <c r="D1097" s="9" t="s">
        <v>2972</v>
      </c>
      <c r="E1097" s="10" t="str">
        <f>HYPERLINK("https://twitter.com/VolkswagenPost/status/723154694919561216","723154694919561216")</f>
        <v>723154694919561216</v>
      </c>
      <c r="F1097" s="11" t="s">
        <v>288</v>
      </c>
      <c r="G1097" s="11">
        <v>571</v>
      </c>
      <c r="H1097" s="11">
        <v>446</v>
      </c>
      <c r="I1097" s="11">
        <v>1</v>
      </c>
      <c r="J1097" s="11">
        <v>0</v>
      </c>
      <c r="K1097" s="11" t="s">
        <v>21</v>
      </c>
      <c r="L1097" s="7">
        <v>41940.618379629632</v>
      </c>
      <c r="M1097" s="12"/>
      <c r="N1097" s="12"/>
      <c r="O1097" s="10" t="str">
        <f>HYPERLINK("https://pbs.twimg.com/profile_images/530071272881803264/a_jcCmPZ_normal.png","View")</f>
        <v>View</v>
      </c>
      <c r="P1097" s="11"/>
    </row>
    <row r="1098" spans="1:16" ht="12.75" x14ac:dyDescent="0.35">
      <c r="A1098" s="7">
        <v>42481.828599537039</v>
      </c>
      <c r="B1098" s="8" t="str">
        <f>HYPERLINK("https://twitter.com/Dahie","@Dahie")</f>
        <v>@Dahie</v>
      </c>
      <c r="C1098" s="9" t="s">
        <v>2973</v>
      </c>
      <c r="D1098" s="9" t="s">
        <v>2974</v>
      </c>
      <c r="E1098" s="10" t="str">
        <f>HYPERLINK("https://twitter.com/Dahie/status/723155122058993664","723155122058993664")</f>
        <v>723155122058993664</v>
      </c>
      <c r="F1098" s="11" t="s">
        <v>43</v>
      </c>
      <c r="G1098" s="11">
        <v>534</v>
      </c>
      <c r="H1098" s="11">
        <v>211</v>
      </c>
      <c r="I1098" s="11">
        <v>2</v>
      </c>
      <c r="J1098" s="11">
        <v>0</v>
      </c>
      <c r="K1098" s="11" t="s">
        <v>21</v>
      </c>
      <c r="L1098" s="7">
        <v>39989.77003472222</v>
      </c>
      <c r="M1098" s="12" t="s">
        <v>2975</v>
      </c>
      <c r="N1098" s="12" t="s">
        <v>2976</v>
      </c>
      <c r="O1098" s="10" t="str">
        <f>HYPERLINK("https://pbs.twimg.com/profile_images/721708689942519812/vyTKoQU9_normal.jpg","View")</f>
        <v>View</v>
      </c>
      <c r="P1098" s="11"/>
    </row>
    <row r="1099" spans="1:16" ht="12.75" x14ac:dyDescent="0.35">
      <c r="A1099" s="7">
        <v>42481.828611111108</v>
      </c>
      <c r="B1099" s="8" t="str">
        <f>HYPERLINK("https://twitter.com/Fotobiene","@Fotobiene")</f>
        <v>@Fotobiene</v>
      </c>
      <c r="C1099" s="9" t="s">
        <v>2977</v>
      </c>
      <c r="D1099" s="9" t="s">
        <v>2789</v>
      </c>
      <c r="E1099" s="10" t="str">
        <f>HYPERLINK("https://twitter.com/Fotobiene/status/723155125250981889","723155125250981889")</f>
        <v>723155125250981889</v>
      </c>
      <c r="F1099" s="11" t="s">
        <v>160</v>
      </c>
      <c r="G1099" s="11">
        <v>372</v>
      </c>
      <c r="H1099" s="11">
        <v>588</v>
      </c>
      <c r="I1099" s="11">
        <v>3</v>
      </c>
      <c r="J1099" s="11">
        <v>0</v>
      </c>
      <c r="K1099" s="11" t="s">
        <v>21</v>
      </c>
      <c r="L1099" s="7">
        <v>40363.94840277778</v>
      </c>
      <c r="M1099" s="12" t="s">
        <v>1116</v>
      </c>
      <c r="N1099" s="12" t="s">
        <v>2978</v>
      </c>
      <c r="O1099" s="10" t="str">
        <f>HYPERLINK("https://pbs.twimg.com/profile_images/476894592051056640/bqGCxWkq_normal.jpeg","View")</f>
        <v>View</v>
      </c>
      <c r="P1099" s="11"/>
    </row>
    <row r="1100" spans="1:16" ht="12.75" x14ac:dyDescent="0.35">
      <c r="A1100" s="7">
        <v>42481.82880787037</v>
      </c>
      <c r="B1100" s="8" t="str">
        <f>HYPERLINK("https://twitter.com/Dahie","@Dahie")</f>
        <v>@Dahie</v>
      </c>
      <c r="C1100" s="9" t="s">
        <v>2973</v>
      </c>
      <c r="D1100" s="9" t="s">
        <v>2979</v>
      </c>
      <c r="E1100" s="10" t="str">
        <f>HYPERLINK("https://twitter.com/Dahie/status/723155200156930054","723155200156930054")</f>
        <v>723155200156930054</v>
      </c>
      <c r="F1100" s="11" t="s">
        <v>43</v>
      </c>
      <c r="G1100" s="11">
        <v>534</v>
      </c>
      <c r="H1100" s="11">
        <v>211</v>
      </c>
      <c r="I1100" s="11">
        <v>2</v>
      </c>
      <c r="J1100" s="11">
        <v>0</v>
      </c>
      <c r="K1100" s="11" t="s">
        <v>21</v>
      </c>
      <c r="L1100" s="7">
        <v>39989.77003472222</v>
      </c>
      <c r="M1100" s="12" t="s">
        <v>2975</v>
      </c>
      <c r="N1100" s="12" t="s">
        <v>2976</v>
      </c>
      <c r="O1100" s="10" t="str">
        <f>HYPERLINK("https://pbs.twimg.com/profile_images/721708689942519812/vyTKoQU9_normal.jpg","View")</f>
        <v>View</v>
      </c>
      <c r="P1100" s="11"/>
    </row>
    <row r="1101" spans="1:16" ht="12.75" x14ac:dyDescent="0.35">
      <c r="A1101" s="7">
        <v>42481.828912037032</v>
      </c>
      <c r="B1101" s="8" t="str">
        <f>HYPERLINK("https://twitter.com/matiascorrea250","@matiascorrea250")</f>
        <v>@matiascorrea250</v>
      </c>
      <c r="C1101" s="9" t="s">
        <v>2980</v>
      </c>
      <c r="D1101" s="9" t="s">
        <v>2825</v>
      </c>
      <c r="E1101" s="10" t="str">
        <f>HYPERLINK("https://twitter.com/matiascorrea250/status/723155236651712516","723155236651712516")</f>
        <v>723155236651712516</v>
      </c>
      <c r="F1101" s="11" t="s">
        <v>48</v>
      </c>
      <c r="G1101" s="11">
        <v>213</v>
      </c>
      <c r="H1101" s="11">
        <v>187</v>
      </c>
      <c r="I1101" s="11">
        <v>53</v>
      </c>
      <c r="J1101" s="11">
        <v>0</v>
      </c>
      <c r="K1101" s="11" t="s">
        <v>21</v>
      </c>
      <c r="L1101" s="7">
        <v>42065.944085648152</v>
      </c>
      <c r="M1101" s="12" t="s">
        <v>494</v>
      </c>
      <c r="N1101" s="12" t="s">
        <v>2981</v>
      </c>
      <c r="O1101" s="10" t="str">
        <f>HYPERLINK("https://pbs.twimg.com/profile_images/714185931406852096/-RUhTa30_normal.jpg","View")</f>
        <v>View</v>
      </c>
      <c r="P1101" s="11"/>
    </row>
    <row r="1102" spans="1:16" ht="12.75" x14ac:dyDescent="0.35">
      <c r="A1102" s="7">
        <v>42481.83221064815</v>
      </c>
      <c r="B1102" s="8" t="str">
        <f>HYPERLINK("https://twitter.com/vagmenhq","@vagmenhq")</f>
        <v>@vagmenhq</v>
      </c>
      <c r="C1102" s="9" t="s">
        <v>2492</v>
      </c>
      <c r="D1102" s="9" t="s">
        <v>2982</v>
      </c>
      <c r="E1102" s="10" t="str">
        <f>HYPERLINK("https://twitter.com/vagmenhq/status/723156432938504192","723156432938504192")</f>
        <v>723156432938504192</v>
      </c>
      <c r="F1102" s="11" t="s">
        <v>53</v>
      </c>
      <c r="G1102" s="11">
        <v>157</v>
      </c>
      <c r="H1102" s="11">
        <v>92</v>
      </c>
      <c r="I1102" s="11">
        <v>0</v>
      </c>
      <c r="J1102" s="11">
        <v>0</v>
      </c>
      <c r="K1102" s="11" t="s">
        <v>21</v>
      </c>
      <c r="L1102" s="7">
        <v>41401.814722222218</v>
      </c>
      <c r="M1102" s="12" t="s">
        <v>2494</v>
      </c>
      <c r="N1102" s="12" t="s">
        <v>2495</v>
      </c>
      <c r="O1102" s="10" t="str">
        <f>HYPERLINK("https://pbs.twimg.com/profile_images/446781974452371456/rqBZF-KN_normal.jpeg","View")</f>
        <v>View</v>
      </c>
      <c r="P1102" s="11"/>
    </row>
    <row r="1103" spans="1:16" ht="12.75" x14ac:dyDescent="0.35">
      <c r="A1103" s="7">
        <v>42481.832384259258</v>
      </c>
      <c r="B1103" s="8" t="str">
        <f>HYPERLINK("https://twitter.com/321usw","@321usw")</f>
        <v>@321usw</v>
      </c>
      <c r="C1103" s="9" t="s">
        <v>2983</v>
      </c>
      <c r="D1103" s="9" t="s">
        <v>2984</v>
      </c>
      <c r="E1103" s="10" t="str">
        <f>HYPERLINK("https://twitter.com/321usw/status/723156496360583168","723156496360583168")</f>
        <v>723156496360583168</v>
      </c>
      <c r="F1103" s="11" t="s">
        <v>48</v>
      </c>
      <c r="G1103" s="11">
        <v>18</v>
      </c>
      <c r="H1103" s="11">
        <v>30</v>
      </c>
      <c r="I1103" s="11">
        <v>0</v>
      </c>
      <c r="J1103" s="11">
        <v>1</v>
      </c>
      <c r="K1103" s="11" t="s">
        <v>21</v>
      </c>
      <c r="L1103" s="7">
        <v>41732.867164351854</v>
      </c>
      <c r="M1103" s="12" t="s">
        <v>2985</v>
      </c>
      <c r="N1103" s="12" t="s">
        <v>2986</v>
      </c>
      <c r="O1103" s="10" t="str">
        <f>HYPERLINK("https://pbs.twimg.com/profile_images/713674684613705728/xqZYcsd-_normal.jpg","View")</f>
        <v>View</v>
      </c>
      <c r="P1103" s="11"/>
    </row>
    <row r="1104" spans="1:16" ht="12.75" x14ac:dyDescent="0.35">
      <c r="A1104" s="7">
        <v>42481.832754629635</v>
      </c>
      <c r="B1104" s="8" t="str">
        <f>HYPERLINK("https://twitter.com/Lucas_esquiivel","@Lucas_esquiivel")</f>
        <v>@Lucas_esquiivel</v>
      </c>
      <c r="C1104" s="9" t="s">
        <v>905</v>
      </c>
      <c r="D1104" s="9" t="s">
        <v>2987</v>
      </c>
      <c r="E1104" s="10" t="str">
        <f>HYPERLINK("https://twitter.com/Lucas_esquiivel/status/723156626476269568","723156626476269568")</f>
        <v>723156626476269568</v>
      </c>
      <c r="F1104" s="11" t="s">
        <v>114</v>
      </c>
      <c r="G1104" s="11">
        <v>358</v>
      </c>
      <c r="H1104" s="11">
        <v>271</v>
      </c>
      <c r="I1104" s="11">
        <v>0</v>
      </c>
      <c r="J1104" s="11">
        <v>0</v>
      </c>
      <c r="K1104" s="11" t="s">
        <v>21</v>
      </c>
      <c r="L1104" s="7">
        <v>40542.997210648144</v>
      </c>
      <c r="M1104" s="12"/>
      <c r="N1104" s="12" t="s">
        <v>907</v>
      </c>
      <c r="O1104" s="10" t="str">
        <f>HYPERLINK("https://pbs.twimg.com/profile_images/693277089785577473/8EuV76Ni_normal.png","View")</f>
        <v>View</v>
      </c>
      <c r="P1104" s="11"/>
    </row>
    <row r="1105" spans="1:16" ht="12.75" x14ac:dyDescent="0.35">
      <c r="A1105" s="7">
        <v>42481.833275462966</v>
      </c>
      <c r="B1105" s="8" t="str">
        <f>HYPERLINK("https://twitter.com/WowbaggerXX7","@WowbaggerXX7")</f>
        <v>@WowbaggerXX7</v>
      </c>
      <c r="C1105" s="9" t="s">
        <v>2988</v>
      </c>
      <c r="D1105" s="9" t="s">
        <v>2989</v>
      </c>
      <c r="E1105" s="10" t="str">
        <f>HYPERLINK("https://twitter.com/WowbaggerXX7/status/723156818222964736","723156818222964736")</f>
        <v>723156818222964736</v>
      </c>
      <c r="F1105" s="11" t="s">
        <v>43</v>
      </c>
      <c r="G1105" s="11">
        <v>106</v>
      </c>
      <c r="H1105" s="11">
        <v>200</v>
      </c>
      <c r="I1105" s="11">
        <v>0</v>
      </c>
      <c r="J1105" s="11">
        <v>0</v>
      </c>
      <c r="K1105" s="11" t="s">
        <v>21</v>
      </c>
      <c r="L1105" s="7">
        <v>40878.039513888885</v>
      </c>
      <c r="M1105" s="12"/>
      <c r="N1105" s="12" t="s">
        <v>2990</v>
      </c>
      <c r="O1105" s="10" t="str">
        <f>HYPERLINK("https://pbs.twimg.com/profile_images/543163066599219200/dUy-AYOX_normal.jpeg","View")</f>
        <v>View</v>
      </c>
      <c r="P1105" s="11"/>
    </row>
    <row r="1106" spans="1:16" ht="12.75" x14ac:dyDescent="0.35">
      <c r="A1106" s="7">
        <v>42481.834004629629</v>
      </c>
      <c r="B1106" s="8" t="str">
        <f>HYPERLINK("https://twitter.com/periodismomotor","@periodismomotor")</f>
        <v>@periodismomotor</v>
      </c>
      <c r="C1106" s="9" t="s">
        <v>2991</v>
      </c>
      <c r="D1106" s="9" t="s">
        <v>2992</v>
      </c>
      <c r="E1106" s="10" t="str">
        <f>HYPERLINK("https://twitter.com/periodismomotor/status/723157080807485440","723157080807485440")</f>
        <v>723157080807485440</v>
      </c>
      <c r="F1106" s="11" t="s">
        <v>152</v>
      </c>
      <c r="G1106" s="11">
        <v>21459</v>
      </c>
      <c r="H1106" s="11">
        <v>2439</v>
      </c>
      <c r="I1106" s="11">
        <v>1</v>
      </c>
      <c r="J1106" s="11">
        <v>0</v>
      </c>
      <c r="K1106" s="11" t="s">
        <v>21</v>
      </c>
      <c r="L1106" s="7">
        <v>40238.739340277782</v>
      </c>
      <c r="M1106" s="12"/>
      <c r="N1106" s="12" t="s">
        <v>2993</v>
      </c>
      <c r="O1106" s="10" t="str">
        <f>HYPERLINK("https://pbs.twimg.com/profile_images/486242402366021632/9tgjTPqT_normal.jpeg","View")</f>
        <v>View</v>
      </c>
      <c r="P1106" s="11"/>
    </row>
    <row r="1107" spans="1:16" ht="12.75" x14ac:dyDescent="0.35">
      <c r="A1107" s="7">
        <v>42481.835150462968</v>
      </c>
      <c r="B1107" s="8" t="str">
        <f>HYPERLINK("https://twitter.com/FitmentLife","@FitmentLife")</f>
        <v>@FitmentLife</v>
      </c>
      <c r="C1107" s="9" t="s">
        <v>2994</v>
      </c>
      <c r="D1107" s="9" t="s">
        <v>38</v>
      </c>
      <c r="E1107" s="10" t="str">
        <f>HYPERLINK("https://twitter.com/FitmentLife/status/723157495590461440","723157495590461440")</f>
        <v>723157495590461440</v>
      </c>
      <c r="F1107" s="11" t="s">
        <v>20</v>
      </c>
      <c r="G1107" s="11">
        <v>202</v>
      </c>
      <c r="H1107" s="11">
        <v>218</v>
      </c>
      <c r="I1107" s="11">
        <v>11</v>
      </c>
      <c r="J1107" s="11">
        <v>0</v>
      </c>
      <c r="K1107" s="11" t="s">
        <v>21</v>
      </c>
      <c r="L1107" s="7">
        <v>42141.455868055556</v>
      </c>
      <c r="M1107" s="12"/>
      <c r="N1107" s="12" t="s">
        <v>2995</v>
      </c>
      <c r="O1107" s="10" t="str">
        <f>HYPERLINK("https://pbs.twimg.com/profile_images/599808886548205568/gfgn377S_normal.jpg","View")</f>
        <v>View</v>
      </c>
      <c r="P1107" s="11"/>
    </row>
    <row r="1108" spans="1:16" ht="12.75" x14ac:dyDescent="0.35">
      <c r="A1108" s="7">
        <v>42481.835358796292</v>
      </c>
      <c r="B1108" s="8" t="str">
        <f>HYPERLINK("https://twitter.com/nizoo1213","@nizoo1213")</f>
        <v>@nizoo1213</v>
      </c>
      <c r="C1108" s="9" t="s">
        <v>2996</v>
      </c>
      <c r="D1108" s="9" t="s">
        <v>2997</v>
      </c>
      <c r="E1108" s="10" t="str">
        <f>HYPERLINK("https://twitter.com/nizoo1213/status/723157573130543104","723157573130543104")</f>
        <v>723157573130543104</v>
      </c>
      <c r="F1108" s="11" t="s">
        <v>43</v>
      </c>
      <c r="G1108" s="11">
        <v>541</v>
      </c>
      <c r="H1108" s="11">
        <v>1683</v>
      </c>
      <c r="I1108" s="11">
        <v>3</v>
      </c>
      <c r="J1108" s="11">
        <v>0</v>
      </c>
      <c r="K1108" s="11" t="s">
        <v>21</v>
      </c>
      <c r="L1108" s="7">
        <v>42393.025000000001</v>
      </c>
      <c r="M1108" s="12"/>
      <c r="N1108" s="12"/>
      <c r="O1108" s="10" t="str">
        <f>HYPERLINK("https://pbs.twimg.com/profile_images/690974305321005056/zlb2R_Vb_normal.jpg","View")</f>
        <v>View</v>
      </c>
      <c r="P1108" s="11"/>
    </row>
    <row r="1109" spans="1:16" ht="12.75" x14ac:dyDescent="0.35">
      <c r="A1109" s="7">
        <v>42481.835543981477</v>
      </c>
      <c r="B1109" s="8" t="str">
        <f>HYPERLINK("https://twitter.com/Alexeinatan","@Alexeinatan")</f>
        <v>@Alexeinatan</v>
      </c>
      <c r="C1109" s="9" t="s">
        <v>2998</v>
      </c>
      <c r="D1109" s="9" t="s">
        <v>2999</v>
      </c>
      <c r="E1109" s="10" t="str">
        <f>HYPERLINK("https://twitter.com/Alexeinatan/status/723157637492281345","723157637492281345")</f>
        <v>723157637492281345</v>
      </c>
      <c r="F1109" s="11" t="s">
        <v>48</v>
      </c>
      <c r="G1109" s="11">
        <v>84</v>
      </c>
      <c r="H1109" s="11">
        <v>205</v>
      </c>
      <c r="I1109" s="11">
        <v>1</v>
      </c>
      <c r="J1109" s="11">
        <v>0</v>
      </c>
      <c r="K1109" s="11" t="s">
        <v>21</v>
      </c>
      <c r="L1109" s="7">
        <v>40981.943738425922</v>
      </c>
      <c r="M1109" s="12" t="s">
        <v>3000</v>
      </c>
      <c r="N1109" s="12" t="s">
        <v>3001</v>
      </c>
      <c r="O1109" s="10" t="str">
        <f>HYPERLINK("https://pbs.twimg.com/profile_images/627228859319091200/o4EHzTTr_normal.jpg","View")</f>
        <v>View</v>
      </c>
      <c r="P1109" s="11"/>
    </row>
    <row r="1110" spans="1:16" ht="12.75" x14ac:dyDescent="0.35">
      <c r="A1110" s="7">
        <v>42481.836076388892</v>
      </c>
      <c r="B1110" s="8" t="str">
        <f>HYPERLINK("https://twitter.com/Lolaa_Fierrera","@Lolaa_Fierrera")</f>
        <v>@Lolaa_Fierrera</v>
      </c>
      <c r="C1110" s="9" t="s">
        <v>3002</v>
      </c>
      <c r="D1110" s="9" t="s">
        <v>2825</v>
      </c>
      <c r="E1110" s="10" t="str">
        <f>HYPERLINK("https://twitter.com/Lolaa_Fierrera/status/723157831499825152","723157831499825152")</f>
        <v>723157831499825152</v>
      </c>
      <c r="F1110" s="11" t="s">
        <v>48</v>
      </c>
      <c r="G1110" s="11">
        <v>1100</v>
      </c>
      <c r="H1110" s="11">
        <v>1109</v>
      </c>
      <c r="I1110" s="11">
        <v>53</v>
      </c>
      <c r="J1110" s="11">
        <v>0</v>
      </c>
      <c r="K1110" s="11" t="s">
        <v>21</v>
      </c>
      <c r="L1110" s="7">
        <v>41569.153425925928</v>
      </c>
      <c r="M1110" s="12"/>
      <c r="N1110" s="12" t="s">
        <v>3003</v>
      </c>
      <c r="O1110" s="10" t="str">
        <f>HYPERLINK("https://pbs.twimg.com/profile_images/722291661661958144/00EAfHcT_normal.jpg","View")</f>
        <v>View</v>
      </c>
      <c r="P1110" s="11"/>
    </row>
    <row r="1111" spans="1:16" ht="12.75" x14ac:dyDescent="0.35">
      <c r="A1111" s="7">
        <v>42481.836192129631</v>
      </c>
      <c r="B1111" s="8" t="str">
        <f>HYPERLINK("https://twitter.com/SimziiN","@SimziiN")</f>
        <v>@SimziiN</v>
      </c>
      <c r="C1111" s="9" t="s">
        <v>3004</v>
      </c>
      <c r="D1111" s="9" t="s">
        <v>3005</v>
      </c>
      <c r="E1111" s="10" t="str">
        <f>HYPERLINK("https://twitter.com/SimziiN/status/723157873019129856","723157873019129856")</f>
        <v>723157873019129856</v>
      </c>
      <c r="F1111" s="11" t="s">
        <v>114</v>
      </c>
      <c r="G1111" s="11">
        <v>333</v>
      </c>
      <c r="H1111" s="11">
        <v>216</v>
      </c>
      <c r="I1111" s="11">
        <v>0</v>
      </c>
      <c r="J1111" s="11">
        <v>2</v>
      </c>
      <c r="K1111" s="11" t="s">
        <v>21</v>
      </c>
      <c r="L1111" s="7">
        <v>41250.191990740743</v>
      </c>
      <c r="M1111" s="12"/>
      <c r="N1111" s="12" t="s">
        <v>3006</v>
      </c>
      <c r="O1111" s="10" t="str">
        <f>HYPERLINK("https://pbs.twimg.com/profile_images/635800022383259648/c4Dg1dfx_normal.jpg","View")</f>
        <v>View</v>
      </c>
      <c r="P1111" s="10" t="str">
        <f>HYPERLINK("http://ctrlq.org/maps/address/#37.01444444,-7.93527778","Map")</f>
        <v>Map</v>
      </c>
    </row>
    <row r="1112" spans="1:16" ht="12.75" x14ac:dyDescent="0.35">
      <c r="A1112" s="7">
        <v>42481.837083333332</v>
      </c>
      <c r="B1112" s="8" t="str">
        <f>HYPERLINK("https://twitter.com/Pellicole_Auto","@Pellicole_Auto")</f>
        <v>@Pellicole_Auto</v>
      </c>
      <c r="C1112" s="9" t="s">
        <v>3007</v>
      </c>
      <c r="D1112" s="9" t="s">
        <v>3008</v>
      </c>
      <c r="E1112" s="10" t="str">
        <f>HYPERLINK("https://twitter.com/Pellicole_Auto/status/723158196379115520","723158196379115520")</f>
        <v>723158196379115520</v>
      </c>
      <c r="F1112" s="11" t="s">
        <v>152</v>
      </c>
      <c r="G1112" s="11">
        <v>22</v>
      </c>
      <c r="H1112" s="11">
        <v>34</v>
      </c>
      <c r="I1112" s="11">
        <v>0</v>
      </c>
      <c r="J1112" s="11">
        <v>0</v>
      </c>
      <c r="K1112" s="11" t="s">
        <v>21</v>
      </c>
      <c r="L1112" s="7">
        <v>42090.601400462961</v>
      </c>
      <c r="M1112" s="12" t="s">
        <v>3009</v>
      </c>
      <c r="N1112" s="12" t="s">
        <v>3010</v>
      </c>
      <c r="O1112" s="10" t="str">
        <f>HYPERLINK("https://pbs.twimg.com/profile_images/651002411952148481/acRSynhx_normal.png","View")</f>
        <v>View</v>
      </c>
      <c r="P1112" s="11"/>
    </row>
    <row r="1113" spans="1:16" ht="12.75" x14ac:dyDescent="0.35">
      <c r="A1113" s="7">
        <v>42481.837673611109</v>
      </c>
      <c r="B1113" s="8" t="str">
        <f>HYPERLINK("https://twitter.com/Florcitaa38","@Florcitaa38")</f>
        <v>@Florcitaa38</v>
      </c>
      <c r="C1113" s="9" t="s">
        <v>3011</v>
      </c>
      <c r="D1113" s="9" t="s">
        <v>2825</v>
      </c>
      <c r="E1113" s="10" t="str">
        <f>HYPERLINK("https://twitter.com/Florcitaa38/status/723158411722907649","723158411722907649")</f>
        <v>723158411722907649</v>
      </c>
      <c r="F1113" s="11" t="s">
        <v>43</v>
      </c>
      <c r="G1113" s="11">
        <v>165</v>
      </c>
      <c r="H1113" s="11">
        <v>243</v>
      </c>
      <c r="I1113" s="11">
        <v>53</v>
      </c>
      <c r="J1113" s="11">
        <v>0</v>
      </c>
      <c r="K1113" s="11" t="s">
        <v>21</v>
      </c>
      <c r="L1113" s="7">
        <v>42270.298182870371</v>
      </c>
      <c r="M1113" s="12"/>
      <c r="N1113" s="12"/>
      <c r="O1113" s="10" t="str">
        <f>HYPERLINK("https://pbs.twimg.com/profile_images/709379964542590976/9PSr9HgL_normal.jpg","View")</f>
        <v>View</v>
      </c>
      <c r="P1113" s="11"/>
    </row>
    <row r="1114" spans="1:16" ht="12.75" x14ac:dyDescent="0.35">
      <c r="A1114" s="7">
        <v>42481.837905092594</v>
      </c>
      <c r="B1114" s="8" t="str">
        <f>HYPERLINK("https://twitter.com/9_KISHAN_9","@9_KISHAN_9")</f>
        <v>@9_KISHAN_9</v>
      </c>
      <c r="C1114" s="9" t="s">
        <v>3012</v>
      </c>
      <c r="D1114" s="9" t="s">
        <v>3013</v>
      </c>
      <c r="E1114" s="10" t="str">
        <f>HYPERLINK("https://twitter.com/9_KISHAN_9/status/723158494988382208","723158494988382208")</f>
        <v>723158494988382208</v>
      </c>
      <c r="F1114" s="11" t="s">
        <v>114</v>
      </c>
      <c r="G1114" s="11">
        <v>180</v>
      </c>
      <c r="H1114" s="11">
        <v>481</v>
      </c>
      <c r="I1114" s="11">
        <v>0</v>
      </c>
      <c r="J1114" s="11">
        <v>0</v>
      </c>
      <c r="K1114" s="11" t="s">
        <v>21</v>
      </c>
      <c r="L1114" s="7">
        <v>40521.814930555556</v>
      </c>
      <c r="M1114" s="12" t="s">
        <v>3014</v>
      </c>
      <c r="N1114" s="12" t="s">
        <v>3015</v>
      </c>
      <c r="O1114" s="10" t="str">
        <f>HYPERLINK("https://pbs.twimg.com/profile_images/706037104950833152/TSCw0eTE_normal.jpg","View")</f>
        <v>View</v>
      </c>
      <c r="P1114" s="11"/>
    </row>
    <row r="1115" spans="1:16" ht="12.75" x14ac:dyDescent="0.35">
      <c r="A1115" s="7">
        <v>42481.838391203702</v>
      </c>
      <c r="B1115" s="8" t="str">
        <f>HYPERLINK("https://twitter.com/Scirocco_Tuning","@Scirocco_Tuning")</f>
        <v>@Scirocco_Tuning</v>
      </c>
      <c r="C1115" s="9" t="s">
        <v>51</v>
      </c>
      <c r="D1115" s="9" t="s">
        <v>3016</v>
      </c>
      <c r="E1115" s="10" t="str">
        <f>HYPERLINK("https://twitter.com/Scirocco_Tuning/status/723158670570348544","723158670570348544")</f>
        <v>723158670570348544</v>
      </c>
      <c r="F1115" s="11" t="s">
        <v>53</v>
      </c>
      <c r="G1115" s="11">
        <v>69</v>
      </c>
      <c r="H1115" s="11">
        <v>215</v>
      </c>
      <c r="I1115" s="11">
        <v>0</v>
      </c>
      <c r="J1115" s="11">
        <v>0</v>
      </c>
      <c r="K1115" s="11" t="s">
        <v>21</v>
      </c>
      <c r="L1115" s="7">
        <v>40844.564722222218</v>
      </c>
      <c r="M1115" s="12"/>
      <c r="N1115" s="12"/>
      <c r="O1115" s="10" t="str">
        <f>HYPERLINK("https://pbs.twimg.com/profile_images/1610421423/Image2_normal.jpg","View")</f>
        <v>View</v>
      </c>
      <c r="P1115" s="11"/>
    </row>
    <row r="1116" spans="1:16" ht="12.75" x14ac:dyDescent="0.35">
      <c r="A1116" s="7">
        <v>42481.838969907403</v>
      </c>
      <c r="B1116" s="8" t="str">
        <f>HYPERLINK("https://twitter.com/Autokiste","@Autokiste")</f>
        <v>@Autokiste</v>
      </c>
      <c r="C1116" s="9" t="s">
        <v>3017</v>
      </c>
      <c r="D1116" s="9" t="s">
        <v>3018</v>
      </c>
      <c r="E1116" s="10" t="str">
        <f>HYPERLINK("https://twitter.com/Autokiste/status/723158881086525443","723158881086525443")</f>
        <v>723158881086525443</v>
      </c>
      <c r="F1116" s="11" t="s">
        <v>43</v>
      </c>
      <c r="G1116" s="11">
        <v>173</v>
      </c>
      <c r="H1116" s="11">
        <v>131</v>
      </c>
      <c r="I1116" s="11">
        <v>0</v>
      </c>
      <c r="J1116" s="11">
        <v>0</v>
      </c>
      <c r="K1116" s="11" t="s">
        <v>21</v>
      </c>
      <c r="L1116" s="7">
        <v>40494.896967592591</v>
      </c>
      <c r="M1116" s="12" t="s">
        <v>262</v>
      </c>
      <c r="N1116" s="12" t="s">
        <v>3019</v>
      </c>
      <c r="O1116" s="10" t="str">
        <f>HYPERLINK("https://pbs.twimg.com/profile_images/378800000231238477/e933a4aebe026c34c17e298372b17935_normal.png","View")</f>
        <v>View</v>
      </c>
      <c r="P1116" s="11"/>
    </row>
    <row r="1117" spans="1:16" ht="12.75" x14ac:dyDescent="0.35">
      <c r="A1117" s="7">
        <v>42481.83965277778</v>
      </c>
      <c r="B1117" s="8" t="str">
        <f>HYPERLINK("https://twitter.com/SexenioCDMX","@SexenioCDMX")</f>
        <v>@SexenioCDMX</v>
      </c>
      <c r="C1117" s="9" t="s">
        <v>3020</v>
      </c>
      <c r="D1117" s="9" t="s">
        <v>3021</v>
      </c>
      <c r="E1117" s="10" t="str">
        <f>HYPERLINK("https://twitter.com/SexenioCDMX/status/723159126658834434","723159126658834434")</f>
        <v>723159126658834434</v>
      </c>
      <c r="F1117" s="11" t="s">
        <v>63</v>
      </c>
      <c r="G1117" s="11">
        <v>91697</v>
      </c>
      <c r="H1117" s="11">
        <v>81619</v>
      </c>
      <c r="I1117" s="11">
        <v>0</v>
      </c>
      <c r="J1117" s="11">
        <v>0</v>
      </c>
      <c r="K1117" s="11" t="s">
        <v>21</v>
      </c>
      <c r="L1117" s="7">
        <v>41029.45988425926</v>
      </c>
      <c r="M1117" s="12" t="s">
        <v>3022</v>
      </c>
      <c r="N1117" s="12" t="s">
        <v>3023</v>
      </c>
      <c r="O1117" s="10" t="str">
        <f>HYPERLINK("https://pbs.twimg.com/profile_images/693156293842894848/THX8L389_normal.jpg","View")</f>
        <v>View</v>
      </c>
      <c r="P1117" s="11"/>
    </row>
    <row r="1118" spans="1:16" ht="12.75" x14ac:dyDescent="0.35">
      <c r="A1118" s="7">
        <v>42481.83965277778</v>
      </c>
      <c r="B1118" s="8" t="str">
        <f>HYPERLINK("https://twitter.com/SexenioMX","@SexenioMX")</f>
        <v>@SexenioMX</v>
      </c>
      <c r="C1118" s="9" t="s">
        <v>3024</v>
      </c>
      <c r="D1118" s="9" t="s">
        <v>3025</v>
      </c>
      <c r="E1118" s="10" t="str">
        <f>HYPERLINK("https://twitter.com/SexenioMX/status/723159126658846721","723159126658846721")</f>
        <v>723159126658846721</v>
      </c>
      <c r="F1118" s="11" t="s">
        <v>63</v>
      </c>
      <c r="G1118" s="11">
        <v>1789832</v>
      </c>
      <c r="H1118" s="11">
        <v>476</v>
      </c>
      <c r="I1118" s="11">
        <v>0</v>
      </c>
      <c r="J1118" s="11">
        <v>0</v>
      </c>
      <c r="K1118" s="11" t="s">
        <v>21</v>
      </c>
      <c r="L1118" s="7">
        <v>40619.200162037036</v>
      </c>
      <c r="M1118" s="12" t="s">
        <v>462</v>
      </c>
      <c r="N1118" s="12" t="s">
        <v>3026</v>
      </c>
      <c r="O1118" s="10" t="str">
        <f>HYPERLINK("https://pbs.twimg.com/profile_images/700415860230397952/tCGmCj6M_normal.jpg","View")</f>
        <v>View</v>
      </c>
      <c r="P1118" s="11"/>
    </row>
    <row r="1119" spans="1:16" ht="12.75" x14ac:dyDescent="0.35">
      <c r="A1119" s="7">
        <v>42481.83975694445</v>
      </c>
      <c r="B1119" s="8" t="str">
        <f>HYPERLINK("https://twitter.com/WRC_App","@WRC_App")</f>
        <v>@WRC_App</v>
      </c>
      <c r="C1119" s="9" t="s">
        <v>3027</v>
      </c>
      <c r="D1119" s="9" t="s">
        <v>3028</v>
      </c>
      <c r="E1119" s="10" t="str">
        <f>HYPERLINK("https://twitter.com/WRC_App/status/723159165766643716","723159165766643716")</f>
        <v>723159165766643716</v>
      </c>
      <c r="F1119" s="11" t="s">
        <v>3029</v>
      </c>
      <c r="G1119" s="11">
        <v>4</v>
      </c>
      <c r="H1119" s="11">
        <v>61</v>
      </c>
      <c r="I1119" s="11">
        <v>1</v>
      </c>
      <c r="J1119" s="11">
        <v>0</v>
      </c>
      <c r="K1119" s="11" t="s">
        <v>21</v>
      </c>
      <c r="L1119" s="7">
        <v>42478.122800925921</v>
      </c>
      <c r="M1119" s="12"/>
      <c r="N1119" s="12"/>
      <c r="O1119" s="10" t="str">
        <f>HYPERLINK("https://pbs.twimg.com/profile_images/723087824044580864/Y9hsVAQv_normal.jpg","View")</f>
        <v>View</v>
      </c>
      <c r="P1119" s="11"/>
    </row>
    <row r="1120" spans="1:16" ht="12.75" x14ac:dyDescent="0.35">
      <c r="A1120" s="7">
        <v>42481.840069444443</v>
      </c>
      <c r="B1120" s="8" t="str">
        <f>HYPERLINK("https://twitter.com/EasyGasGroup","@EasyGasGroup")</f>
        <v>@EasyGasGroup</v>
      </c>
      <c r="C1120" s="9" t="s">
        <v>3030</v>
      </c>
      <c r="D1120" s="9" t="s">
        <v>1996</v>
      </c>
      <c r="E1120" s="10" t="str">
        <f>HYPERLINK("https://twitter.com/EasyGasGroup/status/723159280480751617","723159280480751617")</f>
        <v>723159280480751617</v>
      </c>
      <c r="F1120" s="11" t="s">
        <v>43</v>
      </c>
      <c r="G1120" s="11">
        <v>1308</v>
      </c>
      <c r="H1120" s="11">
        <v>3756</v>
      </c>
      <c r="I1120" s="11">
        <v>5</v>
      </c>
      <c r="J1120" s="11">
        <v>0</v>
      </c>
      <c r="K1120" s="11" t="s">
        <v>21</v>
      </c>
      <c r="L1120" s="7">
        <v>41797.203703703708</v>
      </c>
      <c r="M1120" s="12"/>
      <c r="N1120" s="12" t="s">
        <v>3031</v>
      </c>
      <c r="O1120" s="10" t="str">
        <f>HYPERLINK("https://pbs.twimg.com/profile_images/661893848235384832/10AOdchX_normal.png","View")</f>
        <v>View</v>
      </c>
      <c r="P1120" s="11"/>
    </row>
    <row r="1121" spans="1:16" ht="12.75" x14ac:dyDescent="0.35">
      <c r="A1121" s="7">
        <v>42481.840474537035</v>
      </c>
      <c r="B1121" s="8" t="str">
        <f>HYPERLINK("https://twitter.com/PortalAlemania","@PortalAlemania")</f>
        <v>@PortalAlemania</v>
      </c>
      <c r="C1121" s="9" t="s">
        <v>3032</v>
      </c>
      <c r="D1121" s="9" t="s">
        <v>3033</v>
      </c>
      <c r="E1121" s="10" t="str">
        <f>HYPERLINK("https://twitter.com/PortalAlemania/status/723159427629506563","723159427629506563")</f>
        <v>723159427629506563</v>
      </c>
      <c r="F1121" s="11" t="s">
        <v>43</v>
      </c>
      <c r="G1121" s="11">
        <v>5453</v>
      </c>
      <c r="H1121" s="11">
        <v>5998</v>
      </c>
      <c r="I1121" s="11">
        <v>0</v>
      </c>
      <c r="J1121" s="11">
        <v>0</v>
      </c>
      <c r="K1121" s="11" t="s">
        <v>21</v>
      </c>
      <c r="L1121" s="7">
        <v>41306.767233796294</v>
      </c>
      <c r="M1121" s="12" t="s">
        <v>3034</v>
      </c>
      <c r="N1121" s="12" t="s">
        <v>3035</v>
      </c>
      <c r="O1121" s="10" t="str">
        <f>HYPERLINK("https://pbs.twimg.com/profile_images/667101652479029249/acksmKgE_normal.png","View")</f>
        <v>View</v>
      </c>
      <c r="P1121" s="11"/>
    </row>
    <row r="1122" spans="1:16" ht="12.75" x14ac:dyDescent="0.35">
      <c r="A1122" s="7">
        <v>42481.840520833328</v>
      </c>
      <c r="B1122" s="8" t="str">
        <f>HYPERLINK("https://twitter.com/Pedego101","@Pedego101")</f>
        <v>@Pedego101</v>
      </c>
      <c r="C1122" s="9" t="s">
        <v>3036</v>
      </c>
      <c r="D1122" s="9" t="s">
        <v>2851</v>
      </c>
      <c r="E1122" s="10" t="str">
        <f>HYPERLINK("https://twitter.com/Pedego101/status/723159444012421121","723159444012421121")</f>
        <v>723159444012421121</v>
      </c>
      <c r="F1122" s="11" t="s">
        <v>91</v>
      </c>
      <c r="G1122" s="11">
        <v>109</v>
      </c>
      <c r="H1122" s="11">
        <v>231</v>
      </c>
      <c r="I1122" s="11">
        <v>4</v>
      </c>
      <c r="J1122" s="11">
        <v>0</v>
      </c>
      <c r="K1122" s="11" t="s">
        <v>21</v>
      </c>
      <c r="L1122" s="7">
        <v>41846.150833333333</v>
      </c>
      <c r="M1122" s="12" t="s">
        <v>3037</v>
      </c>
      <c r="N1122" s="12" t="s">
        <v>3038</v>
      </c>
      <c r="O1122" s="10" t="str">
        <f>HYPERLINK("https://pbs.twimg.com/profile_images/553213444791357440/cFm-7x2l_normal.jpeg","View")</f>
        <v>View</v>
      </c>
      <c r="P1122" s="11"/>
    </row>
    <row r="1123" spans="1:16" ht="12.75" x14ac:dyDescent="0.35">
      <c r="A1123" s="7">
        <v>42481.84075231482</v>
      </c>
      <c r="B1123" s="8" t="str">
        <f>HYPERLINK("https://twitter.com/Danny_GTI04","@Danny_GTI04")</f>
        <v>@Danny_GTI04</v>
      </c>
      <c r="C1123" s="9" t="s">
        <v>3039</v>
      </c>
      <c r="D1123" s="9" t="s">
        <v>3040</v>
      </c>
      <c r="E1123" s="10" t="str">
        <f>HYPERLINK("https://twitter.com/Danny_GTI04/status/723159527869149184","723159527869149184")</f>
        <v>723159527869149184</v>
      </c>
      <c r="F1123" s="11" t="s">
        <v>48</v>
      </c>
      <c r="G1123" s="11">
        <v>96</v>
      </c>
      <c r="H1123" s="11">
        <v>150</v>
      </c>
      <c r="I1123" s="11">
        <v>0</v>
      </c>
      <c r="J1123" s="11">
        <v>0</v>
      </c>
      <c r="K1123" s="11" t="s">
        <v>21</v>
      </c>
      <c r="L1123" s="7">
        <v>40000.433738425927</v>
      </c>
      <c r="M1123" s="12" t="s">
        <v>3041</v>
      </c>
      <c r="N1123" s="12" t="s">
        <v>3042</v>
      </c>
      <c r="O1123" s="10" t="str">
        <f>HYPERLINK("https://pbs.twimg.com/profile_images/1464170825/sarajean_normal.JPG","View")</f>
        <v>View</v>
      </c>
      <c r="P1123" s="11"/>
    </row>
    <row r="1124" spans="1:16" ht="12.75" x14ac:dyDescent="0.35">
      <c r="A1124" s="7">
        <v>42481.841435185182</v>
      </c>
      <c r="B1124" s="8" t="str">
        <f>HYPERLINK("https://twitter.com/CarNotaFridge","@CarNotaFridge")</f>
        <v>@CarNotaFridge</v>
      </c>
      <c r="C1124" s="9" t="s">
        <v>2734</v>
      </c>
      <c r="D1124" s="9" t="s">
        <v>3043</v>
      </c>
      <c r="E1124" s="10" t="str">
        <f>HYPERLINK("https://twitter.com/CarNotaFridge/status/723159774053855234","723159774053855234")</f>
        <v>723159774053855234</v>
      </c>
      <c r="F1124" s="11" t="s">
        <v>43</v>
      </c>
      <c r="G1124" s="11">
        <v>307</v>
      </c>
      <c r="H1124" s="11">
        <v>380</v>
      </c>
      <c r="I1124" s="11">
        <v>0</v>
      </c>
      <c r="J1124" s="11">
        <v>0</v>
      </c>
      <c r="K1124" s="11" t="s">
        <v>21</v>
      </c>
      <c r="L1124" s="7">
        <v>40525.380381944444</v>
      </c>
      <c r="M1124" s="12" t="s">
        <v>209</v>
      </c>
      <c r="N1124" s="12" t="s">
        <v>2736</v>
      </c>
      <c r="O1124" s="10" t="str">
        <f>HYPERLINK("https://pbs.twimg.com/profile_images/1622195010/TEBNYC062011_normal.jpg","View")</f>
        <v>View</v>
      </c>
      <c r="P1124" s="11"/>
    </row>
    <row r="1125" spans="1:16" ht="12.75" x14ac:dyDescent="0.35">
      <c r="A1125" s="7">
        <v>42481.841736111106</v>
      </c>
      <c r="B1125" s="8" t="str">
        <f>HYPERLINK("https://twitter.com/StarkLS1","@StarkLS1")</f>
        <v>@StarkLS1</v>
      </c>
      <c r="C1125" s="9" t="s">
        <v>3044</v>
      </c>
      <c r="D1125" s="9" t="s">
        <v>422</v>
      </c>
      <c r="E1125" s="10" t="str">
        <f>HYPERLINK("https://twitter.com/StarkLS1/status/723159884217229313","723159884217229313")</f>
        <v>723159884217229313</v>
      </c>
      <c r="F1125" s="11" t="s">
        <v>43</v>
      </c>
      <c r="G1125" s="11">
        <v>1860</v>
      </c>
      <c r="H1125" s="11">
        <v>1488</v>
      </c>
      <c r="I1125" s="11">
        <v>2</v>
      </c>
      <c r="J1125" s="11">
        <v>0</v>
      </c>
      <c r="K1125" s="11" t="s">
        <v>21</v>
      </c>
      <c r="L1125" s="7">
        <v>41843.800428240742</v>
      </c>
      <c r="M1125" s="12" t="s">
        <v>3045</v>
      </c>
      <c r="N1125" s="12" t="s">
        <v>3046</v>
      </c>
      <c r="O1125" s="10" t="str">
        <f>HYPERLINK("https://pbs.twimg.com/profile_images/491944341934309377/xnt3hdy-_normal.jpeg","View")</f>
        <v>View</v>
      </c>
      <c r="P1125" s="11"/>
    </row>
    <row r="1126" spans="1:16" ht="12.75" x14ac:dyDescent="0.35">
      <c r="A1126" s="7">
        <v>42481.842511574076</v>
      </c>
      <c r="B1126" s="8" t="str">
        <f>HYPERLINK("https://twitter.com/apronline","@apronline")</f>
        <v>@apronline</v>
      </c>
      <c r="C1126" s="9" t="s">
        <v>1146</v>
      </c>
      <c r="D1126" s="9" t="s">
        <v>3047</v>
      </c>
      <c r="E1126" s="10" t="str">
        <f>HYPERLINK("https://twitter.com/apronline/status/723160163708854273","723160163708854273")</f>
        <v>723160163708854273</v>
      </c>
      <c r="F1126" s="11" t="s">
        <v>43</v>
      </c>
      <c r="G1126" s="11">
        <v>1918</v>
      </c>
      <c r="H1126" s="11">
        <v>413</v>
      </c>
      <c r="I1126" s="11">
        <v>0</v>
      </c>
      <c r="J1126" s="11">
        <v>0</v>
      </c>
      <c r="K1126" s="11" t="s">
        <v>21</v>
      </c>
      <c r="L1126" s="7">
        <v>40593.924247685187</v>
      </c>
      <c r="M1126" s="12" t="s">
        <v>1148</v>
      </c>
      <c r="N1126" s="12" t="s">
        <v>1149</v>
      </c>
      <c r="O1126" s="10" t="str">
        <f>HYPERLINK("https://pbs.twimg.com/profile_images/1249555569/apr_twitter_normal.jpg","View")</f>
        <v>View</v>
      </c>
      <c r="P1126" s="11"/>
    </row>
    <row r="1127" spans="1:16" ht="12.75" x14ac:dyDescent="0.35">
      <c r="A1127" s="7">
        <v>42481.842766203699</v>
      </c>
      <c r="B1127" s="8" t="str">
        <f>HYPERLINK("https://twitter.com/J0ann3","@J0ann3")</f>
        <v>@J0ann3</v>
      </c>
      <c r="C1127" s="9" t="s">
        <v>3048</v>
      </c>
      <c r="D1127" s="9" t="s">
        <v>3049</v>
      </c>
      <c r="E1127" s="10" t="str">
        <f>HYPERLINK("https://twitter.com/J0ann3/status/723160258466603009","723160258466603009")</f>
        <v>723160258466603009</v>
      </c>
      <c r="F1127" s="11" t="s">
        <v>43</v>
      </c>
      <c r="G1127" s="11">
        <v>1774</v>
      </c>
      <c r="H1127" s="11">
        <v>1466</v>
      </c>
      <c r="I1127" s="11">
        <v>1</v>
      </c>
      <c r="J1127" s="11">
        <v>3</v>
      </c>
      <c r="K1127" s="11" t="s">
        <v>21</v>
      </c>
      <c r="L1127" s="7">
        <v>39730.889513888891</v>
      </c>
      <c r="M1127" s="12"/>
      <c r="N1127" s="12" t="s">
        <v>3050</v>
      </c>
      <c r="O1127" s="10" t="str">
        <f>HYPERLINK("https://pbs.twimg.com/profile_images/613491176654553088/Bi2iPURR_normal.jpg","View")</f>
        <v>View</v>
      </c>
      <c r="P1127" s="11"/>
    </row>
    <row r="1128" spans="1:16" ht="12.75" x14ac:dyDescent="0.35">
      <c r="A1128" s="7">
        <v>42481.842858796299</v>
      </c>
      <c r="B1128" s="8" t="str">
        <f>HYPERLINK("https://twitter.com/vwoutaouais","@vwoutaouais")</f>
        <v>@vwoutaouais</v>
      </c>
      <c r="C1128" s="9" t="s">
        <v>3051</v>
      </c>
      <c r="D1128" s="9" t="s">
        <v>3052</v>
      </c>
      <c r="E1128" s="10" t="str">
        <f>HYPERLINK("https://twitter.com/vwoutaouais/status/723160290141966336","723160290141966336")</f>
        <v>723160290141966336</v>
      </c>
      <c r="F1128" s="11" t="s">
        <v>43</v>
      </c>
      <c r="G1128" s="11">
        <v>272</v>
      </c>
      <c r="H1128" s="11">
        <v>464</v>
      </c>
      <c r="I1128" s="11">
        <v>0</v>
      </c>
      <c r="J1128" s="11">
        <v>0</v>
      </c>
      <c r="K1128" s="11" t="s">
        <v>21</v>
      </c>
      <c r="L1128" s="7">
        <v>39924.687974537039</v>
      </c>
      <c r="M1128" s="12" t="s">
        <v>3053</v>
      </c>
      <c r="N1128" s="12" t="s">
        <v>3054</v>
      </c>
      <c r="O1128" s="10" t="str">
        <f>HYPERLINK("https://pbs.twimg.com/profile_images/692371838601666561/UFu4nf8q_normal.png","View")</f>
        <v>View</v>
      </c>
      <c r="P1128" s="11"/>
    </row>
    <row r="1129" spans="1:16" ht="12.75" x14ac:dyDescent="0.35">
      <c r="A1129" s="7">
        <v>42481.842870370368</v>
      </c>
      <c r="B1129" s="8" t="str">
        <f>HYPERLINK("https://twitter.com/luiis_mendoozaa","@luiis_mendoozaa")</f>
        <v>@luiis_mendoozaa</v>
      </c>
      <c r="C1129" s="9" t="s">
        <v>3055</v>
      </c>
      <c r="D1129" s="9" t="s">
        <v>3056</v>
      </c>
      <c r="E1129" s="10" t="str">
        <f>HYPERLINK("https://twitter.com/luiis_mendoozaa/status/723160296320196611","723160296320196611")</f>
        <v>723160296320196611</v>
      </c>
      <c r="F1129" s="11" t="s">
        <v>48</v>
      </c>
      <c r="G1129" s="11">
        <v>148</v>
      </c>
      <c r="H1129" s="11">
        <v>341</v>
      </c>
      <c r="I1129" s="11">
        <v>0</v>
      </c>
      <c r="J1129" s="11">
        <v>0</v>
      </c>
      <c r="K1129" s="11" t="s">
        <v>21</v>
      </c>
      <c r="L1129" s="7">
        <v>40494.888425925928</v>
      </c>
      <c r="M1129" s="12"/>
      <c r="N1129" s="12" t="s">
        <v>3057</v>
      </c>
      <c r="O1129" s="10" t="str">
        <f>HYPERLINK("https://pbs.twimg.com/profile_images/378800000696181601/c2a849b4a9c8def1647340ff66d1113a_normal.jpeg","View")</f>
        <v>View</v>
      </c>
      <c r="P1129" s="11"/>
    </row>
    <row r="1130" spans="1:16" ht="12.75" x14ac:dyDescent="0.35">
      <c r="A1130" s="7">
        <v>42481.843159722222</v>
      </c>
      <c r="B1130" s="8" t="str">
        <f>HYPERLINK("https://twitter.com/camiii_zalazar","@camiii_zalazar")</f>
        <v>@camiii_zalazar</v>
      </c>
      <c r="C1130" s="9" t="s">
        <v>3058</v>
      </c>
      <c r="D1130" s="9" t="s">
        <v>2825</v>
      </c>
      <c r="E1130" s="10" t="str">
        <f>HYPERLINK("https://twitter.com/camiii_zalazar/status/723160401089822720","723160401089822720")</f>
        <v>723160401089822720</v>
      </c>
      <c r="F1130" s="11" t="s">
        <v>48</v>
      </c>
      <c r="G1130" s="11">
        <v>204</v>
      </c>
      <c r="H1130" s="11">
        <v>301</v>
      </c>
      <c r="I1130" s="11">
        <v>53</v>
      </c>
      <c r="J1130" s="11">
        <v>0</v>
      </c>
      <c r="K1130" s="11" t="s">
        <v>21</v>
      </c>
      <c r="L1130" s="7">
        <v>41988.187847222223</v>
      </c>
      <c r="M1130" s="12"/>
      <c r="N1130" s="12" t="s">
        <v>3059</v>
      </c>
      <c r="O1130" s="10" t="str">
        <f>HYPERLINK("https://pbs.twimg.com/profile_images/720834831408443392/brx71tjG_normal.jpg","View")</f>
        <v>View</v>
      </c>
      <c r="P1130" s="11"/>
    </row>
    <row r="1131" spans="1:16" ht="12.75" x14ac:dyDescent="0.35">
      <c r="A1131" s="7">
        <v>42481.843541666662</v>
      </c>
      <c r="B1131" s="8" t="str">
        <f>HYPERLINK("https://twitter.com/ValeMartin_","@ValeMartin_")</f>
        <v>@ValeMartin_</v>
      </c>
      <c r="C1131" s="9" t="s">
        <v>3060</v>
      </c>
      <c r="D1131" s="9" t="s">
        <v>2825</v>
      </c>
      <c r="E1131" s="10" t="str">
        <f>HYPERLINK("https://twitter.com/ValeMartin_/status/723160537484410880","723160537484410880")</f>
        <v>723160537484410880</v>
      </c>
      <c r="F1131" s="11" t="s">
        <v>48</v>
      </c>
      <c r="G1131" s="11">
        <v>491</v>
      </c>
      <c r="H1131" s="11">
        <v>340</v>
      </c>
      <c r="I1131" s="11">
        <v>53</v>
      </c>
      <c r="J1131" s="11">
        <v>0</v>
      </c>
      <c r="K1131" s="11" t="s">
        <v>21</v>
      </c>
      <c r="L1131" s="7">
        <v>40712.324872685189</v>
      </c>
      <c r="M1131" s="12" t="s">
        <v>3061</v>
      </c>
      <c r="N1131" s="12" t="s">
        <v>3062</v>
      </c>
      <c r="O1131" s="10" t="str">
        <f>HYPERLINK("https://pbs.twimg.com/profile_images/704630027053375488/mC7xHedR_normal.jpg","View")</f>
        <v>View</v>
      </c>
      <c r="P1131" s="11"/>
    </row>
    <row r="1132" spans="1:16" ht="12.75" x14ac:dyDescent="0.35">
      <c r="A1132" s="7">
        <v>42481.843576388885</v>
      </c>
      <c r="B1132" s="8" t="str">
        <f>HYPERLINK("https://twitter.com/FilthyFitment","@FilthyFitment")</f>
        <v>@FilthyFitment</v>
      </c>
      <c r="C1132" s="9" t="s">
        <v>3063</v>
      </c>
      <c r="D1132" s="9" t="s">
        <v>38</v>
      </c>
      <c r="E1132" s="10" t="str">
        <f>HYPERLINK("https://twitter.com/FilthyFitment/status/723160548611780609","723160548611780609")</f>
        <v>723160548611780609</v>
      </c>
      <c r="F1132" s="11" t="s">
        <v>20</v>
      </c>
      <c r="G1132" s="11">
        <v>10989</v>
      </c>
      <c r="H1132" s="11">
        <v>5495</v>
      </c>
      <c r="I1132" s="11">
        <v>11</v>
      </c>
      <c r="J1132" s="11">
        <v>0</v>
      </c>
      <c r="K1132" s="11" t="s">
        <v>21</v>
      </c>
      <c r="L1132" s="7">
        <v>41961.421851851846</v>
      </c>
      <c r="M1132" s="12" t="s">
        <v>3064</v>
      </c>
      <c r="N1132" s="12" t="s">
        <v>3065</v>
      </c>
      <c r="O1132" s="10" t="str">
        <f>HYPERLINK("https://pbs.twimg.com/profile_images/717914776274354176/xI6HAzkq_normal.jpg","View")</f>
        <v>View</v>
      </c>
      <c r="P1132" s="11"/>
    </row>
    <row r="1133" spans="1:16" ht="12.75" x14ac:dyDescent="0.35">
      <c r="A1133" s="7">
        <v>42481.843587962961</v>
      </c>
      <c r="B1133" s="8" t="str">
        <f>HYPERLINK("https://twitter.com/HuguinVargas","@HuguinVargas")</f>
        <v>@HuguinVargas</v>
      </c>
      <c r="C1133" s="9" t="s">
        <v>3066</v>
      </c>
      <c r="D1133" s="9" t="s">
        <v>2825</v>
      </c>
      <c r="E1133" s="10" t="str">
        <f>HYPERLINK("https://twitter.com/HuguinVargas/status/723160552487424001","723160552487424001")</f>
        <v>723160552487424001</v>
      </c>
      <c r="F1133" s="11" t="s">
        <v>48</v>
      </c>
      <c r="G1133" s="11">
        <v>365</v>
      </c>
      <c r="H1133" s="11">
        <v>195</v>
      </c>
      <c r="I1133" s="11">
        <v>53</v>
      </c>
      <c r="J1133" s="11">
        <v>0</v>
      </c>
      <c r="K1133" s="11" t="s">
        <v>21</v>
      </c>
      <c r="L1133" s="7">
        <v>41250.339143518519</v>
      </c>
      <c r="M1133" s="12" t="s">
        <v>3067</v>
      </c>
      <c r="N1133" s="12"/>
      <c r="O1133" s="10" t="str">
        <f>HYPERLINK("https://pbs.twimg.com/profile_images/711363527974522880/4n9QulCl_normal.jpg","View")</f>
        <v>View</v>
      </c>
      <c r="P1133" s="11"/>
    </row>
    <row r="1134" spans="1:16" ht="12.75" x14ac:dyDescent="0.35">
      <c r="A1134" s="7">
        <v>42481.843912037039</v>
      </c>
      <c r="B1134" s="8" t="str">
        <f>HYPERLINK("https://twitter.com/FannyFacsar","@FannyFacsar")</f>
        <v>@FannyFacsar</v>
      </c>
      <c r="C1134" s="9" t="s">
        <v>3068</v>
      </c>
      <c r="D1134" s="9" t="s">
        <v>3069</v>
      </c>
      <c r="E1134" s="10" t="str">
        <f>HYPERLINK("https://twitter.com/FannyFacsar/status/723160669852340226","723160669852340226")</f>
        <v>723160669852340226</v>
      </c>
      <c r="F1134" s="11" t="s">
        <v>43</v>
      </c>
      <c r="G1134" s="11">
        <v>1175</v>
      </c>
      <c r="H1134" s="11">
        <v>900</v>
      </c>
      <c r="I1134" s="11">
        <v>1</v>
      </c>
      <c r="J1134" s="11">
        <v>2</v>
      </c>
      <c r="K1134" s="11" t="s">
        <v>21</v>
      </c>
      <c r="L1134" s="7">
        <v>39973.268333333333</v>
      </c>
      <c r="M1134" s="12" t="s">
        <v>3070</v>
      </c>
      <c r="N1134" s="12" t="s">
        <v>3071</v>
      </c>
      <c r="O1134" s="10" t="str">
        <f>HYPERLINK("https://pbs.twimg.com/profile_images/669131956140048384/21kN8qiy_normal.jpg","View")</f>
        <v>View</v>
      </c>
      <c r="P1134" s="11"/>
    </row>
    <row r="1135" spans="1:16" ht="12.75" x14ac:dyDescent="0.35">
      <c r="A1135" s="7">
        <v>42481.843981481477</v>
      </c>
      <c r="B1135" s="8" t="str">
        <f>HYPERLINK("https://twitter.com/SCGsoflo","@SCGsoflo")</f>
        <v>@SCGsoflo</v>
      </c>
      <c r="C1135" s="9" t="s">
        <v>220</v>
      </c>
      <c r="D1135" s="9" t="s">
        <v>3072</v>
      </c>
      <c r="E1135" s="10" t="str">
        <f>HYPERLINK("https://twitter.com/SCGsoflo/status/723160695546630144","723160695546630144")</f>
        <v>723160695546630144</v>
      </c>
      <c r="F1135" s="11" t="s">
        <v>114</v>
      </c>
      <c r="G1135" s="11">
        <v>320</v>
      </c>
      <c r="H1135" s="11">
        <v>96</v>
      </c>
      <c r="I1135" s="11">
        <v>1</v>
      </c>
      <c r="J1135" s="11">
        <v>1</v>
      </c>
      <c r="K1135" s="11" t="s">
        <v>21</v>
      </c>
      <c r="L1135" s="7">
        <v>41515.987268518518</v>
      </c>
      <c r="M1135" s="12" t="s">
        <v>222</v>
      </c>
      <c r="N1135" s="12" t="s">
        <v>223</v>
      </c>
      <c r="O1135" s="10" t="str">
        <f>HYPERLINK("https://pbs.twimg.com/profile_images/717892743075340288/Xxt7RaLM_normal.jpg","View")</f>
        <v>View</v>
      </c>
      <c r="P1135" s="11"/>
    </row>
    <row r="1136" spans="1:16" ht="12.75" x14ac:dyDescent="0.35">
      <c r="A1136" s="7">
        <v>42481.844305555554</v>
      </c>
      <c r="B1136" s="8" t="str">
        <f>HYPERLINK("https://twitter.com/avaeburjassot","@avaeburjassot")</f>
        <v>@avaeburjassot</v>
      </c>
      <c r="C1136" s="9" t="s">
        <v>3073</v>
      </c>
      <c r="D1136" s="9" t="s">
        <v>1996</v>
      </c>
      <c r="E1136" s="10" t="str">
        <f>HYPERLINK("https://twitter.com/avaeburjassot/status/723160815793258496","723160815793258496")</f>
        <v>723160815793258496</v>
      </c>
      <c r="F1136" s="11" t="s">
        <v>48</v>
      </c>
      <c r="G1136" s="11">
        <v>152</v>
      </c>
      <c r="H1136" s="11">
        <v>213</v>
      </c>
      <c r="I1136" s="11">
        <v>5</v>
      </c>
      <c r="J1136" s="11">
        <v>0</v>
      </c>
      <c r="K1136" s="11" t="s">
        <v>21</v>
      </c>
      <c r="L1136" s="7">
        <v>41260.229745370372</v>
      </c>
      <c r="M1136" s="12" t="s">
        <v>3074</v>
      </c>
      <c r="N1136" s="12" t="s">
        <v>3075</v>
      </c>
      <c r="O1136" s="10" t="str">
        <f>HYPERLINK("https://pbs.twimg.com/profile_images/2984667859/2d3be96d9f861d5e4429090bd545ad3e_normal.jpeg","View")</f>
        <v>View</v>
      </c>
      <c r="P1136" s="11"/>
    </row>
    <row r="1137" spans="1:16" ht="12.75" x14ac:dyDescent="0.35">
      <c r="A1137" s="7">
        <v>42481.845763888894</v>
      </c>
      <c r="B1137" s="8" t="str">
        <f>HYPERLINK("https://twitter.com/juliiimuoz1","@juliiimuoz1")</f>
        <v>@juliiimuoz1</v>
      </c>
      <c r="C1137" s="9" t="s">
        <v>3076</v>
      </c>
      <c r="D1137" s="9" t="s">
        <v>2825</v>
      </c>
      <c r="E1137" s="10" t="str">
        <f>HYPERLINK("https://twitter.com/juliiimuoz1/status/723161344665653248","723161344665653248")</f>
        <v>723161344665653248</v>
      </c>
      <c r="F1137" s="11" t="s">
        <v>48</v>
      </c>
      <c r="G1137" s="11">
        <v>874</v>
      </c>
      <c r="H1137" s="11">
        <v>829</v>
      </c>
      <c r="I1137" s="11">
        <v>53</v>
      </c>
      <c r="J1137" s="11">
        <v>0</v>
      </c>
      <c r="K1137" s="11" t="s">
        <v>21</v>
      </c>
      <c r="L1137" s="7">
        <v>41790.40185185185</v>
      </c>
      <c r="M1137" s="12" t="s">
        <v>3077</v>
      </c>
      <c r="N1137" s="12" t="s">
        <v>3078</v>
      </c>
      <c r="O1137" s="10" t="str">
        <f>HYPERLINK("https://pbs.twimg.com/profile_images/723344673968906241/aJhqxNhP_normal.jpg","View")</f>
        <v>View</v>
      </c>
      <c r="P1137" s="11"/>
    </row>
    <row r="1138" spans="1:16" ht="12.75" x14ac:dyDescent="0.35">
      <c r="A1138" s="7">
        <v>42481.845775462964</v>
      </c>
      <c r="B1138" s="8" t="str">
        <f>HYPERLINK("https://twitter.com/Scirocco_Tuning","@Scirocco_Tuning")</f>
        <v>@Scirocco_Tuning</v>
      </c>
      <c r="C1138" s="9" t="s">
        <v>51</v>
      </c>
      <c r="D1138" s="9" t="s">
        <v>3079</v>
      </c>
      <c r="E1138" s="10" t="str">
        <f>HYPERLINK("https://twitter.com/Scirocco_Tuning/status/723161348197244929","723161348197244929")</f>
        <v>723161348197244929</v>
      </c>
      <c r="F1138" s="11" t="s">
        <v>53</v>
      </c>
      <c r="G1138" s="11">
        <v>69</v>
      </c>
      <c r="H1138" s="11">
        <v>215</v>
      </c>
      <c r="I1138" s="11">
        <v>0</v>
      </c>
      <c r="J1138" s="11">
        <v>0</v>
      </c>
      <c r="K1138" s="11" t="s">
        <v>21</v>
      </c>
      <c r="L1138" s="7">
        <v>40844.564722222218</v>
      </c>
      <c r="M1138" s="12"/>
      <c r="N1138" s="12"/>
      <c r="O1138" s="10" t="str">
        <f>HYPERLINK("https://pbs.twimg.com/profile_images/1610421423/Image2_normal.jpg","View")</f>
        <v>View</v>
      </c>
      <c r="P1138" s="11"/>
    </row>
    <row r="1139" spans="1:16" ht="12.75" x14ac:dyDescent="0.35">
      <c r="A1139" s="7">
        <v>42481.846030092594</v>
      </c>
      <c r="B1139" s="8" t="str">
        <f>HYPERLINK("https://twitter.com/lemberglaw","@lemberglaw")</f>
        <v>@lemberglaw</v>
      </c>
      <c r="C1139" s="9" t="s">
        <v>3080</v>
      </c>
      <c r="D1139" s="9" t="s">
        <v>594</v>
      </c>
      <c r="E1139" s="10" t="str">
        <f>HYPERLINK("https://twitter.com/lemberglaw/status/723161438672572420","723161438672572420")</f>
        <v>723161438672572420</v>
      </c>
      <c r="F1139" s="11" t="s">
        <v>152</v>
      </c>
      <c r="G1139" s="11">
        <v>398</v>
      </c>
      <c r="H1139" s="11">
        <v>101</v>
      </c>
      <c r="I1139" s="11">
        <v>33</v>
      </c>
      <c r="J1139" s="11">
        <v>0</v>
      </c>
      <c r="K1139" s="11" t="s">
        <v>21</v>
      </c>
      <c r="L1139" s="7">
        <v>40281.963761574072</v>
      </c>
      <c r="M1139" s="12" t="s">
        <v>3081</v>
      </c>
      <c r="N1139" s="12" t="s">
        <v>3082</v>
      </c>
      <c r="O1139" s="10" t="str">
        <f>HYPERLINK("https://pbs.twimg.com/profile_images/514874399703322624/pqgpNd2g_normal.jpeg","View")</f>
        <v>View</v>
      </c>
      <c r="P1139" s="11"/>
    </row>
    <row r="1140" spans="1:16" ht="12.75" x14ac:dyDescent="0.35">
      <c r="A1140" s="7">
        <v>42481.846099537041</v>
      </c>
      <c r="B1140" s="8" t="str">
        <f>HYPERLINK("https://twitter.com/TurboBlankets","@TurboBlankets")</f>
        <v>@TurboBlankets</v>
      </c>
      <c r="C1140" s="9" t="s">
        <v>3083</v>
      </c>
      <c r="D1140" s="9" t="s">
        <v>3084</v>
      </c>
      <c r="E1140" s="10" t="str">
        <f>HYPERLINK("https://twitter.com/TurboBlankets/status/723161463355908096","723161463355908096")</f>
        <v>723161463355908096</v>
      </c>
      <c r="F1140" s="11" t="s">
        <v>43</v>
      </c>
      <c r="G1140" s="11">
        <v>132</v>
      </c>
      <c r="H1140" s="11">
        <v>235</v>
      </c>
      <c r="I1140" s="11">
        <v>0</v>
      </c>
      <c r="J1140" s="11">
        <v>0</v>
      </c>
      <c r="K1140" s="11" t="s">
        <v>21</v>
      </c>
      <c r="L1140" s="7">
        <v>41659.933634259258</v>
      </c>
      <c r="M1140" s="12" t="s">
        <v>3085</v>
      </c>
      <c r="N1140" s="12" t="s">
        <v>3086</v>
      </c>
      <c r="O1140" s="10" t="str">
        <f>HYPERLINK("https://pbs.twimg.com/profile_images/451111072607387648/1yuX8rHy_normal.png","View")</f>
        <v>View</v>
      </c>
      <c r="P1140" s="11"/>
    </row>
    <row r="1141" spans="1:16" ht="12.75" x14ac:dyDescent="0.35">
      <c r="A1141" s="7">
        <v>42481.846192129626</v>
      </c>
      <c r="B1141" s="8" t="str">
        <f>HYPERLINK("https://twitter.com/deanomsport","@deanomsport")</f>
        <v>@deanomsport</v>
      </c>
      <c r="C1141" s="9" t="s">
        <v>1282</v>
      </c>
      <c r="D1141" s="9" t="s">
        <v>3087</v>
      </c>
      <c r="E1141" s="10" t="str">
        <f>HYPERLINK("https://twitter.com/deanomsport/status/723161498873376768","723161498873376768")</f>
        <v>723161498873376768</v>
      </c>
      <c r="F1141" s="11" t="s">
        <v>20</v>
      </c>
      <c r="G1141" s="11">
        <v>215</v>
      </c>
      <c r="H1141" s="11">
        <v>386</v>
      </c>
      <c r="I1141" s="11">
        <v>1</v>
      </c>
      <c r="J1141" s="11">
        <v>0</v>
      </c>
      <c r="K1141" s="11" t="s">
        <v>21</v>
      </c>
      <c r="L1141" s="7">
        <v>40496.158229166671</v>
      </c>
      <c r="M1141" s="12" t="s">
        <v>1284</v>
      </c>
      <c r="N1141" s="12" t="s">
        <v>1285</v>
      </c>
      <c r="O1141" s="10" t="str">
        <f>HYPERLINK("https://pbs.twimg.com/profile_images/653310353653297153/bYVyhn8J_normal.jpg","View")</f>
        <v>View</v>
      </c>
      <c r="P1141" s="11"/>
    </row>
    <row r="1142" spans="1:16" ht="12.75" x14ac:dyDescent="0.35">
      <c r="A1142" s="7">
        <v>42481.846655092595</v>
      </c>
      <c r="B1142" s="8" t="str">
        <f>HYPERLINK("https://twitter.com/GUILLEN2507","@GUILLEN2507")</f>
        <v>@GUILLEN2507</v>
      </c>
      <c r="C1142" s="9" t="s">
        <v>3088</v>
      </c>
      <c r="D1142" s="9" t="s">
        <v>38</v>
      </c>
      <c r="E1142" s="10" t="str">
        <f>HYPERLINK("https://twitter.com/GUILLEN2507/status/723161664539910144","723161664539910144")</f>
        <v>723161664539910144</v>
      </c>
      <c r="F1142" s="11" t="s">
        <v>48</v>
      </c>
      <c r="G1142" s="11">
        <v>531</v>
      </c>
      <c r="H1142" s="11">
        <v>1131</v>
      </c>
      <c r="I1142" s="11">
        <v>11</v>
      </c>
      <c r="J1142" s="11">
        <v>0</v>
      </c>
      <c r="K1142" s="11" t="s">
        <v>21</v>
      </c>
      <c r="L1142" s="7">
        <v>41093.005601851852</v>
      </c>
      <c r="M1142" s="12" t="s">
        <v>3089</v>
      </c>
      <c r="N1142" s="12" t="s">
        <v>3090</v>
      </c>
      <c r="O1142" s="10" t="str">
        <f>HYPERLINK("https://pbs.twimg.com/profile_images/722619235722072064/saRJAyAw_normal.jpg","View")</f>
        <v>View</v>
      </c>
      <c r="P1142" s="11"/>
    </row>
    <row r="1143" spans="1:16" ht="12.75" x14ac:dyDescent="0.35">
      <c r="A1143" s="7">
        <v>42481.847037037034</v>
      </c>
      <c r="B1143" s="8" t="str">
        <f>HYPERLINK("https://twitter.com/pcbritz","@pcbritz")</f>
        <v>@pcbritz</v>
      </c>
      <c r="C1143" s="9" t="s">
        <v>3091</v>
      </c>
      <c r="D1143" s="9" t="s">
        <v>3092</v>
      </c>
      <c r="E1143" s="10" t="str">
        <f>HYPERLINK("https://twitter.com/pcbritz/status/723161805992919040","723161805992919040")</f>
        <v>723161805992919040</v>
      </c>
      <c r="F1143" s="11" t="s">
        <v>48</v>
      </c>
      <c r="G1143" s="11">
        <v>1036</v>
      </c>
      <c r="H1143" s="11">
        <v>885</v>
      </c>
      <c r="I1143" s="11">
        <v>1</v>
      </c>
      <c r="J1143" s="11">
        <v>0</v>
      </c>
      <c r="K1143" s="11" t="s">
        <v>21</v>
      </c>
      <c r="L1143" s="7">
        <v>39910.072002314817</v>
      </c>
      <c r="M1143" s="12" t="s">
        <v>3093</v>
      </c>
      <c r="N1143" s="12" t="s">
        <v>3094</v>
      </c>
      <c r="O1143" s="10" t="str">
        <f>HYPERLINK("https://pbs.twimg.com/profile_images/722823782017200130/VreCKi-k_normal.jpg","View")</f>
        <v>View</v>
      </c>
      <c r="P1143" s="11"/>
    </row>
    <row r="1144" spans="1:16" ht="12.75" x14ac:dyDescent="0.35">
      <c r="A1144" s="7">
        <v>42481.847384259258</v>
      </c>
      <c r="B1144" s="8" t="str">
        <f>HYPERLINK("https://twitter.com/cpaul7547","@cpaul7547")</f>
        <v>@cpaul7547</v>
      </c>
      <c r="C1144" s="9" t="s">
        <v>3095</v>
      </c>
      <c r="D1144" s="9" t="s">
        <v>3096</v>
      </c>
      <c r="E1144" s="10" t="str">
        <f>HYPERLINK("https://twitter.com/cpaul7547/status/723161929485787136","723161929485787136")</f>
        <v>723161929485787136</v>
      </c>
      <c r="F1144" s="11" t="s">
        <v>48</v>
      </c>
      <c r="G1144" s="11">
        <v>1601</v>
      </c>
      <c r="H1144" s="11">
        <v>2088</v>
      </c>
      <c r="I1144" s="11">
        <v>1</v>
      </c>
      <c r="J1144" s="11">
        <v>0</v>
      </c>
      <c r="K1144" s="11" t="s">
        <v>21</v>
      </c>
      <c r="L1144" s="7">
        <v>41234.249328703707</v>
      </c>
      <c r="M1144" s="12" t="s">
        <v>3097</v>
      </c>
      <c r="N1144" s="12" t="s">
        <v>3098</v>
      </c>
      <c r="O1144" s="10" t="str">
        <f>HYPERLINK("https://pbs.twimg.com/profile_images/3705435656/90d60ece05d7734690b85c0cb40089e0_normal.jpeg","View")</f>
        <v>View</v>
      </c>
      <c r="P1144" s="11"/>
    </row>
    <row r="1145" spans="1:16" ht="12.75" x14ac:dyDescent="0.35">
      <c r="A1145" s="7">
        <v>42481.847893518519</v>
      </c>
      <c r="B1145" s="8" t="str">
        <f>HYPERLINK("https://twitter.com/paredes_fina","@paredes_fina")</f>
        <v>@paredes_fina</v>
      </c>
      <c r="C1145" s="9" t="s">
        <v>3099</v>
      </c>
      <c r="D1145" s="9" t="s">
        <v>1236</v>
      </c>
      <c r="E1145" s="10" t="str">
        <f>HYPERLINK("https://twitter.com/paredes_fina/status/723162113003425792","723162113003425792")</f>
        <v>723162113003425792</v>
      </c>
      <c r="F1145" s="11" t="s">
        <v>20</v>
      </c>
      <c r="G1145" s="11">
        <v>6</v>
      </c>
      <c r="H1145" s="11">
        <v>36</v>
      </c>
      <c r="I1145" s="11">
        <v>7</v>
      </c>
      <c r="J1145" s="11">
        <v>0</v>
      </c>
      <c r="K1145" s="11" t="s">
        <v>21</v>
      </c>
      <c r="L1145" s="7">
        <v>42049.69835648148</v>
      </c>
      <c r="M1145" s="12"/>
      <c r="N1145" s="12"/>
      <c r="O1145" s="10" t="str">
        <f>HYPERLINK("https://pbs.twimg.com/profile_images/566615573308915715/HKcVROj0_normal.jpeg","View")</f>
        <v>View</v>
      </c>
      <c r="P1145" s="11"/>
    </row>
    <row r="1146" spans="1:16" ht="12.75" x14ac:dyDescent="0.35">
      <c r="A1146" s="7">
        <v>42481.848750000005</v>
      </c>
      <c r="B1146" s="8" t="str">
        <f>HYPERLINK("https://twitter.com/franz_rother","@franz_rother")</f>
        <v>@franz_rother</v>
      </c>
      <c r="C1146" s="9" t="s">
        <v>1350</v>
      </c>
      <c r="D1146" s="9" t="s">
        <v>3100</v>
      </c>
      <c r="E1146" s="10" t="str">
        <f>HYPERLINK("https://twitter.com/franz_rother/status/723162425491640320","723162425491640320")</f>
        <v>723162425491640320</v>
      </c>
      <c r="F1146" s="11" t="s">
        <v>20</v>
      </c>
      <c r="G1146" s="11">
        <v>770</v>
      </c>
      <c r="H1146" s="11">
        <v>212</v>
      </c>
      <c r="I1146" s="11">
        <v>0</v>
      </c>
      <c r="J1146" s="11">
        <v>0</v>
      </c>
      <c r="K1146" s="11" t="s">
        <v>21</v>
      </c>
      <c r="L1146" s="7">
        <v>40387.831180555557</v>
      </c>
      <c r="M1146" s="12" t="s">
        <v>975</v>
      </c>
      <c r="N1146" s="12" t="s">
        <v>1352</v>
      </c>
      <c r="O1146" s="10" t="str">
        <f>HYPERLINK("https://pbs.twimg.com/profile_images/3228351590/aadb36f2b020cc27adac139aac4a5663_normal.jpeg","View")</f>
        <v>View</v>
      </c>
      <c r="P1146" s="11"/>
    </row>
    <row r="1147" spans="1:16" ht="12.75" x14ac:dyDescent="0.35">
      <c r="A1147" s="7">
        <v>42481.849143518513</v>
      </c>
      <c r="B1147" s="8" t="str">
        <f>HYPERLINK("https://twitter.com/vwfamilyrd","@vwfamilyrd")</f>
        <v>@vwfamilyrd</v>
      </c>
      <c r="C1147" s="9" t="s">
        <v>3101</v>
      </c>
      <c r="D1147" s="9" t="s">
        <v>3102</v>
      </c>
      <c r="E1147" s="10" t="str">
        <f>HYPERLINK("https://twitter.com/vwfamilyrd/status/723162568785715200","723162568785715200")</f>
        <v>723162568785715200</v>
      </c>
      <c r="F1147" s="11" t="s">
        <v>114</v>
      </c>
      <c r="G1147" s="11">
        <v>11</v>
      </c>
      <c r="H1147" s="11">
        <v>21</v>
      </c>
      <c r="I1147" s="11">
        <v>0</v>
      </c>
      <c r="J1147" s="11">
        <v>0</v>
      </c>
      <c r="K1147" s="11" t="s">
        <v>21</v>
      </c>
      <c r="L1147" s="7">
        <v>42402.053576388891</v>
      </c>
      <c r="M1147" s="12" t="s">
        <v>3103</v>
      </c>
      <c r="N1147" s="12" t="s">
        <v>3104</v>
      </c>
      <c r="O1147" s="10" t="str">
        <f>HYPERLINK("https://pbs.twimg.com/profile_images/694246082092531713/R0PNmJwq_normal.jpg","View")</f>
        <v>View</v>
      </c>
      <c r="P1147" s="11"/>
    </row>
    <row r="1148" spans="1:16" ht="12.75" x14ac:dyDescent="0.35">
      <c r="A1148" s="7">
        <v>42481.850081018521</v>
      </c>
      <c r="B1148" s="8" t="str">
        <f>HYPERLINK("https://twitter.com/JosefaTT1","@JosefaTT1")</f>
        <v>@JosefaTT1</v>
      </c>
      <c r="C1148" s="9" t="s">
        <v>3105</v>
      </c>
      <c r="D1148" s="9" t="s">
        <v>3106</v>
      </c>
      <c r="E1148" s="10" t="str">
        <f>HYPERLINK("https://twitter.com/JosefaTT1/status/723162907400278016","723162907400278016")</f>
        <v>723162907400278016</v>
      </c>
      <c r="F1148" s="11" t="s">
        <v>1370</v>
      </c>
      <c r="G1148" s="11">
        <v>160</v>
      </c>
      <c r="H1148" s="11">
        <v>15</v>
      </c>
      <c r="I1148" s="11">
        <v>1</v>
      </c>
      <c r="J1148" s="11">
        <v>0</v>
      </c>
      <c r="K1148" s="11" t="s">
        <v>21</v>
      </c>
      <c r="L1148" s="7">
        <v>41342.149340277778</v>
      </c>
      <c r="M1148" s="12"/>
      <c r="N1148" s="12"/>
      <c r="O1148" s="10" t="str">
        <f>HYPERLINK("https://abs.twimg.com/sticky/default_profile_images/default_profile_4_normal.png","View")</f>
        <v>View</v>
      </c>
      <c r="P1148" s="11"/>
    </row>
    <row r="1149" spans="1:16" ht="12.75" x14ac:dyDescent="0.35">
      <c r="A1149" s="7">
        <v>42481.850370370375</v>
      </c>
      <c r="B1149" s="8" t="str">
        <f>HYPERLINK("https://twitter.com/doern","@doern")</f>
        <v>@doern</v>
      </c>
      <c r="C1149" s="9" t="s">
        <v>3107</v>
      </c>
      <c r="D1149" s="9" t="s">
        <v>3108</v>
      </c>
      <c r="E1149" s="10" t="str">
        <f>HYPERLINK("https://twitter.com/doern/status/723163014019596288","723163014019596288")</f>
        <v>723163014019596288</v>
      </c>
      <c r="F1149" s="11" t="s">
        <v>20</v>
      </c>
      <c r="G1149" s="11">
        <v>342</v>
      </c>
      <c r="H1149" s="11">
        <v>63</v>
      </c>
      <c r="I1149" s="11">
        <v>3</v>
      </c>
      <c r="J1149" s="11">
        <v>4</v>
      </c>
      <c r="K1149" s="11" t="s">
        <v>21</v>
      </c>
      <c r="L1149" s="7">
        <v>39909.663194444445</v>
      </c>
      <c r="M1149" s="12" t="s">
        <v>262</v>
      </c>
      <c r="N1149" s="12" t="s">
        <v>3109</v>
      </c>
      <c r="O1149" s="10" t="str">
        <f>HYPERLINK("https://pbs.twimg.com/profile_images/657853466384191488/J6vAnfZr_normal.jpg","View")</f>
        <v>View</v>
      </c>
      <c r="P1149" s="11"/>
    </row>
    <row r="1150" spans="1:16" ht="12.75" x14ac:dyDescent="0.35">
      <c r="A1150" s="7">
        <v>42481.850393518514</v>
      </c>
      <c r="B1150" s="8" t="str">
        <f>HYPERLINK("https://twitter.com/VWCamperSales","@VWCamperSales")</f>
        <v>@VWCamperSales</v>
      </c>
      <c r="C1150" s="9" t="s">
        <v>216</v>
      </c>
      <c r="D1150" s="9" t="s">
        <v>3110</v>
      </c>
      <c r="E1150" s="10" t="str">
        <f>HYPERLINK("https://twitter.com/VWCamperSales/status/723163019149111296","723163019149111296")</f>
        <v>723163019149111296</v>
      </c>
      <c r="F1150" s="10" t="s">
        <v>124</v>
      </c>
      <c r="G1150" s="11">
        <v>615</v>
      </c>
      <c r="H1150" s="11">
        <v>580</v>
      </c>
      <c r="I1150" s="11">
        <v>0</v>
      </c>
      <c r="J1150" s="11">
        <v>0</v>
      </c>
      <c r="K1150" s="11" t="s">
        <v>21</v>
      </c>
      <c r="L1150" s="7">
        <v>42215.98809027778</v>
      </c>
      <c r="M1150" s="12" t="s">
        <v>129</v>
      </c>
      <c r="N1150" s="12" t="s">
        <v>218</v>
      </c>
      <c r="O1150" s="10" t="str">
        <f>HYPERLINK("https://pbs.twimg.com/profile_images/627949001179037696/skEBkS05_normal.jpg","View")</f>
        <v>View</v>
      </c>
      <c r="P1150" s="11"/>
    </row>
    <row r="1151" spans="1:16" ht="12.75" x14ac:dyDescent="0.35">
      <c r="A1151" s="7">
        <v>42481.850393518514</v>
      </c>
      <c r="B1151" s="8" t="str">
        <f>HYPERLINK("https://twitter.com/bigbobblehats","@bigbobblehats")</f>
        <v>@bigbobblehats</v>
      </c>
      <c r="C1151" s="9" t="s">
        <v>3111</v>
      </c>
      <c r="D1151" s="9" t="s">
        <v>3112</v>
      </c>
      <c r="E1151" s="10" t="str">
        <f>HYPERLINK("https://twitter.com/bigbobblehats/status/723163022424985601","723163022424985601")</f>
        <v>723163022424985601</v>
      </c>
      <c r="F1151" s="11" t="s">
        <v>53</v>
      </c>
      <c r="G1151" s="11">
        <v>1126</v>
      </c>
      <c r="H1151" s="11">
        <v>235</v>
      </c>
      <c r="I1151" s="11">
        <v>1</v>
      </c>
      <c r="J1151" s="11">
        <v>2</v>
      </c>
      <c r="K1151" s="11" t="s">
        <v>21</v>
      </c>
      <c r="L1151" s="7">
        <v>40441.883425925924</v>
      </c>
      <c r="M1151" s="12" t="s">
        <v>3113</v>
      </c>
      <c r="N1151" s="12"/>
      <c r="O1151" s="10" t="str">
        <f>HYPERLINK("https://pbs.twimg.com/profile_images/1147531135/Bus_Card_Logo_normal.jpg","View")</f>
        <v>View</v>
      </c>
      <c r="P1151" s="11"/>
    </row>
    <row r="1152" spans="1:16" ht="12.75" x14ac:dyDescent="0.35">
      <c r="A1152" s="7">
        <v>42481.851782407408</v>
      </c>
      <c r="B1152" s="8" t="str">
        <f>HYPERLINK("https://twitter.com/luiis_mendoozaa","@luiis_mendoozaa")</f>
        <v>@luiis_mendoozaa</v>
      </c>
      <c r="C1152" s="9" t="s">
        <v>3055</v>
      </c>
      <c r="D1152" s="9" t="s">
        <v>3114</v>
      </c>
      <c r="E1152" s="10" t="str">
        <f>HYPERLINK("https://twitter.com/luiis_mendoozaa/status/723163523337986048","723163523337986048")</f>
        <v>723163523337986048</v>
      </c>
      <c r="F1152" s="11" t="s">
        <v>48</v>
      </c>
      <c r="G1152" s="11">
        <v>148</v>
      </c>
      <c r="H1152" s="11">
        <v>341</v>
      </c>
      <c r="I1152" s="11">
        <v>0</v>
      </c>
      <c r="J1152" s="11">
        <v>0</v>
      </c>
      <c r="K1152" s="11" t="s">
        <v>21</v>
      </c>
      <c r="L1152" s="7">
        <v>40494.888425925928</v>
      </c>
      <c r="M1152" s="12"/>
      <c r="N1152" s="12" t="s">
        <v>3057</v>
      </c>
      <c r="O1152" s="10" t="str">
        <f>HYPERLINK("https://pbs.twimg.com/profile_images/378800000696181601/c2a849b4a9c8def1647340ff66d1113a_normal.jpeg","View")</f>
        <v>View</v>
      </c>
      <c r="P1152" s="11"/>
    </row>
    <row r="1153" spans="1:16" ht="12.75" x14ac:dyDescent="0.35">
      <c r="A1153" s="7">
        <v>42481.852222222224</v>
      </c>
      <c r="B1153" s="8" t="str">
        <f>HYPERLINK("https://twitter.com/nacchomoreno","@nacchomoreno")</f>
        <v>@nacchomoreno</v>
      </c>
      <c r="C1153" s="9" t="s">
        <v>3115</v>
      </c>
      <c r="D1153" s="9" t="s">
        <v>2825</v>
      </c>
      <c r="E1153" s="10" t="str">
        <f>HYPERLINK("https://twitter.com/nacchomoreno/status/723163681941557248","723163681941557248")</f>
        <v>723163681941557248</v>
      </c>
      <c r="F1153" s="11" t="s">
        <v>48</v>
      </c>
      <c r="G1153" s="11">
        <v>835</v>
      </c>
      <c r="H1153" s="11">
        <v>666</v>
      </c>
      <c r="I1153" s="11">
        <v>53</v>
      </c>
      <c r="J1153" s="11">
        <v>0</v>
      </c>
      <c r="K1153" s="11" t="s">
        <v>21</v>
      </c>
      <c r="L1153" s="7">
        <v>40981.305925925924</v>
      </c>
      <c r="M1153" s="12" t="s">
        <v>3116</v>
      </c>
      <c r="N1153" s="12" t="s">
        <v>3117</v>
      </c>
      <c r="O1153" s="10" t="str">
        <f>HYPERLINK("https://pbs.twimg.com/profile_images/713980481411350528/O76wUBck_normal.jpg","View")</f>
        <v>View</v>
      </c>
      <c r="P1153" s="11"/>
    </row>
    <row r="1154" spans="1:16" ht="12.75" x14ac:dyDescent="0.35">
      <c r="A1154" s="7">
        <v>42481.852384259255</v>
      </c>
      <c r="B1154" s="8" t="str">
        <f>HYPERLINK("https://twitter.com/ClarkWDerry","@ClarkWDerry")</f>
        <v>@ClarkWDerry</v>
      </c>
      <c r="C1154" s="9" t="s">
        <v>3118</v>
      </c>
      <c r="D1154" s="9" t="s">
        <v>3119</v>
      </c>
      <c r="E1154" s="10" t="str">
        <f>HYPERLINK("https://twitter.com/ClarkWDerry/status/723163741626355712","723163741626355712")</f>
        <v>723163741626355712</v>
      </c>
      <c r="F1154" s="11" t="s">
        <v>43</v>
      </c>
      <c r="G1154" s="11">
        <v>634</v>
      </c>
      <c r="H1154" s="11">
        <v>564</v>
      </c>
      <c r="I1154" s="11">
        <v>0</v>
      </c>
      <c r="J1154" s="11">
        <v>0</v>
      </c>
      <c r="K1154" s="11" t="s">
        <v>21</v>
      </c>
      <c r="L1154" s="7">
        <v>39891.823993055557</v>
      </c>
      <c r="M1154" s="12" t="s">
        <v>3120</v>
      </c>
      <c r="N1154" s="12" t="s">
        <v>3121</v>
      </c>
      <c r="O1154" s="10" t="str">
        <f>HYPERLINK("https://pbs.twimg.com/profile_images/461183491531497472/BvYhImr6_normal.jpeg","View")</f>
        <v>View</v>
      </c>
      <c r="P1154" s="11"/>
    </row>
    <row r="1155" spans="1:16" ht="12.75" x14ac:dyDescent="0.35">
      <c r="A1155" s="7">
        <v>42481.852592592593</v>
      </c>
      <c r="B1155" s="8" t="str">
        <f>HYPERLINK("https://twitter.com/CedricGracia","@CedricGracia")</f>
        <v>@CedricGracia</v>
      </c>
      <c r="C1155" s="9" t="s">
        <v>3122</v>
      </c>
      <c r="D1155" s="9" t="s">
        <v>3123</v>
      </c>
      <c r="E1155" s="10" t="str">
        <f>HYPERLINK("https://twitter.com/CedricGracia/status/723163816964558849","723163816964558849")</f>
        <v>723163816964558849</v>
      </c>
      <c r="F1155" s="11" t="s">
        <v>53</v>
      </c>
      <c r="G1155" s="11">
        <v>31198</v>
      </c>
      <c r="H1155" s="11">
        <v>145</v>
      </c>
      <c r="I1155" s="11">
        <v>1</v>
      </c>
      <c r="J1155" s="11">
        <v>3</v>
      </c>
      <c r="K1155" s="11" t="s">
        <v>21</v>
      </c>
      <c r="L1155" s="7">
        <v>40054.113518518519</v>
      </c>
      <c r="M1155" s="12" t="s">
        <v>3124</v>
      </c>
      <c r="N1155" s="12"/>
      <c r="O1155" s="10" t="str">
        <f>HYPERLINK("https://pbs.twimg.com/profile_images/3217712064/cf244c7a705a5d0a3b9c21c8cb5ee9ee_normal.jpeg","View")</f>
        <v>View</v>
      </c>
      <c r="P1155" s="11"/>
    </row>
    <row r="1156" spans="1:16" ht="12.75" x14ac:dyDescent="0.35">
      <c r="A1156" s="7">
        <v>42481.853483796294</v>
      </c>
      <c r="B1156" s="8" t="str">
        <f>HYPERLINK("https://twitter.com/nakulshetty88","@nakulshetty88")</f>
        <v>@nakulshetty88</v>
      </c>
      <c r="C1156" s="9" t="s">
        <v>3125</v>
      </c>
      <c r="D1156" s="9" t="s">
        <v>25</v>
      </c>
      <c r="E1156" s="10" t="str">
        <f>HYPERLINK("https://twitter.com/nakulshetty88/status/723164139850440704","723164139850440704")</f>
        <v>723164139850440704</v>
      </c>
      <c r="F1156" s="11" t="s">
        <v>367</v>
      </c>
      <c r="G1156" s="11">
        <v>370</v>
      </c>
      <c r="H1156" s="11">
        <v>1073</v>
      </c>
      <c r="I1156" s="11">
        <v>95</v>
      </c>
      <c r="J1156" s="11">
        <v>0</v>
      </c>
      <c r="K1156" s="11" t="s">
        <v>21</v>
      </c>
      <c r="L1156" s="7">
        <v>41588.020115740743</v>
      </c>
      <c r="M1156" s="12" t="s">
        <v>3126</v>
      </c>
      <c r="N1156" s="12" t="s">
        <v>3127</v>
      </c>
      <c r="O1156" s="10" t="str">
        <f>HYPERLINK("https://pbs.twimg.com/profile_images/661119826530709506/sRaMAZJk_normal.png","View")</f>
        <v>View</v>
      </c>
      <c r="P1156" s="11"/>
    </row>
    <row r="1157" spans="1:16" ht="12.75" x14ac:dyDescent="0.35">
      <c r="A1157" s="7">
        <v>42481.854155092587</v>
      </c>
      <c r="B1157" s="8" t="str">
        <f>HYPERLINK("https://twitter.com/phoenix_de","@phoenix_de")</f>
        <v>@phoenix_de</v>
      </c>
      <c r="C1157" s="9" t="s">
        <v>3128</v>
      </c>
      <c r="D1157" s="9" t="s">
        <v>3129</v>
      </c>
      <c r="E1157" s="10" t="str">
        <f>HYPERLINK("https://twitter.com/phoenix_de/status/723164385485545472","723164385485545472")</f>
        <v>723164385485545472</v>
      </c>
      <c r="F1157" s="11" t="s">
        <v>43</v>
      </c>
      <c r="G1157" s="11">
        <v>46748</v>
      </c>
      <c r="H1157" s="11">
        <v>539</v>
      </c>
      <c r="I1157" s="11">
        <v>0</v>
      </c>
      <c r="J1157" s="11">
        <v>0</v>
      </c>
      <c r="K1157" s="11" t="s">
        <v>21</v>
      </c>
      <c r="L1157" s="7">
        <v>39889.850462962961</v>
      </c>
      <c r="M1157" s="12" t="s">
        <v>3130</v>
      </c>
      <c r="N1157" s="12" t="s">
        <v>3131</v>
      </c>
      <c r="O1157" s="10" t="str">
        <f>HYPERLINK("https://pbs.twimg.com/profile_images/432828941061988353/mSj7d1eO_normal.png","View")</f>
        <v>View</v>
      </c>
      <c r="P1157" s="11"/>
    </row>
    <row r="1158" spans="1:16" ht="12.75" x14ac:dyDescent="0.35">
      <c r="A1158" s="7">
        <v>42481.854224537034</v>
      </c>
      <c r="B1158" s="8" t="str">
        <f t="shared" ref="B1158:B1159" si="113">HYPERLINK("https://twitter.com/VWBeetleSales","@VWBeetleSales")</f>
        <v>@VWBeetleSales</v>
      </c>
      <c r="C1158" s="9" t="s">
        <v>127</v>
      </c>
      <c r="D1158" s="9" t="s">
        <v>3132</v>
      </c>
      <c r="E1158" s="10" t="str">
        <f>HYPERLINK("https://twitter.com/VWBeetleSales/status/723164409808351232","723164409808351232")</f>
        <v>723164409808351232</v>
      </c>
      <c r="F1158" s="10" t="s">
        <v>124</v>
      </c>
      <c r="G1158" s="11">
        <v>35</v>
      </c>
      <c r="H1158" s="11">
        <v>32</v>
      </c>
      <c r="I1158" s="11">
        <v>0</v>
      </c>
      <c r="J1158" s="11">
        <v>0</v>
      </c>
      <c r="K1158" s="11" t="s">
        <v>21</v>
      </c>
      <c r="L1158" s="7">
        <v>42427.019756944443</v>
      </c>
      <c r="M1158" s="12" t="s">
        <v>129</v>
      </c>
      <c r="N1158" s="12" t="s">
        <v>130</v>
      </c>
      <c r="O1158" s="10" t="str">
        <f t="shared" ref="O1158:O1159" si="114">HYPERLINK("https://pbs.twimg.com/profile_images/703294545195307008/qeCvrX86_normal.jpg","View")</f>
        <v>View</v>
      </c>
      <c r="P1158" s="11"/>
    </row>
    <row r="1159" spans="1:16" ht="12.75" x14ac:dyDescent="0.35">
      <c r="A1159" s="7">
        <v>42481.854259259257</v>
      </c>
      <c r="B1159" s="8" t="str">
        <f t="shared" si="113"/>
        <v>@VWBeetleSales</v>
      </c>
      <c r="C1159" s="9" t="s">
        <v>127</v>
      </c>
      <c r="D1159" s="9" t="s">
        <v>3133</v>
      </c>
      <c r="E1159" s="10" t="str">
        <f>HYPERLINK("https://twitter.com/VWBeetleSales/status/723164421086826498","723164421086826498")</f>
        <v>723164421086826498</v>
      </c>
      <c r="F1159" s="10" t="s">
        <v>124</v>
      </c>
      <c r="G1159" s="11">
        <v>35</v>
      </c>
      <c r="H1159" s="11">
        <v>32</v>
      </c>
      <c r="I1159" s="11">
        <v>0</v>
      </c>
      <c r="J1159" s="11">
        <v>0</v>
      </c>
      <c r="K1159" s="11" t="s">
        <v>21</v>
      </c>
      <c r="L1159" s="7">
        <v>42427.019756944443</v>
      </c>
      <c r="M1159" s="12" t="s">
        <v>129</v>
      </c>
      <c r="N1159" s="12" t="s">
        <v>130</v>
      </c>
      <c r="O1159" s="10" t="str">
        <f t="shared" si="114"/>
        <v>View</v>
      </c>
      <c r="P1159" s="11"/>
    </row>
    <row r="1160" spans="1:16" ht="12.75" x14ac:dyDescent="0.35">
      <c r="A1160" s="7">
        <v>42481.855486111112</v>
      </c>
      <c r="B1160" s="8" t="str">
        <f>HYPERLINK("https://twitter.com/urotuning","@urotuning")</f>
        <v>@urotuning</v>
      </c>
      <c r="C1160" s="9" t="s">
        <v>3134</v>
      </c>
      <c r="D1160" s="9" t="s">
        <v>3135</v>
      </c>
      <c r="E1160" s="10" t="str">
        <f>HYPERLINK("https://twitter.com/urotuning/status/723164865335009280","723164865335009280")</f>
        <v>723164865335009280</v>
      </c>
      <c r="F1160" s="11" t="s">
        <v>53</v>
      </c>
      <c r="G1160" s="11">
        <v>1085</v>
      </c>
      <c r="H1160" s="11">
        <v>226</v>
      </c>
      <c r="I1160" s="11">
        <v>0</v>
      </c>
      <c r="J1160" s="11">
        <v>0</v>
      </c>
      <c r="K1160" s="11" t="s">
        <v>21</v>
      </c>
      <c r="L1160" s="7">
        <v>39905.98065972222</v>
      </c>
      <c r="M1160" s="12" t="s">
        <v>3136</v>
      </c>
      <c r="N1160" s="12" t="s">
        <v>3137</v>
      </c>
      <c r="O1160" s="10" t="str">
        <f>HYPERLINK("https://pbs.twimg.com/profile_images/652593086124527616/onf0J8iL_normal.png","View")</f>
        <v>View</v>
      </c>
      <c r="P1160" s="11"/>
    </row>
    <row r="1161" spans="1:16" ht="12.75" x14ac:dyDescent="0.35">
      <c r="A1161" s="7">
        <v>42481.855902777781</v>
      </c>
      <c r="B1161" s="8" t="str">
        <f>HYPERLINK("https://twitter.com/jrosevear","@jrosevear")</f>
        <v>@jrosevear</v>
      </c>
      <c r="C1161" s="9" t="s">
        <v>3138</v>
      </c>
      <c r="D1161" s="9" t="s">
        <v>3139</v>
      </c>
      <c r="E1161" s="10" t="str">
        <f>HYPERLINK("https://twitter.com/jrosevear/status/723165018775273473","723165018775273473")</f>
        <v>723165018775273473</v>
      </c>
      <c r="F1161" s="11" t="s">
        <v>243</v>
      </c>
      <c r="G1161" s="11">
        <v>867</v>
      </c>
      <c r="H1161" s="11">
        <v>596</v>
      </c>
      <c r="I1161" s="11">
        <v>0</v>
      </c>
      <c r="J1161" s="11">
        <v>0</v>
      </c>
      <c r="K1161" s="11" t="s">
        <v>21</v>
      </c>
      <c r="L1161" s="7">
        <v>40001.761770833335</v>
      </c>
      <c r="M1161" s="12" t="s">
        <v>3140</v>
      </c>
      <c r="N1161" s="12" t="s">
        <v>3141</v>
      </c>
      <c r="O1161" s="10" t="str">
        <f>HYPERLINK("https://pbs.twimg.com/profile_images/301633481/fishers_isabella_0709_normal.jpg","View")</f>
        <v>View</v>
      </c>
      <c r="P1161" s="11"/>
    </row>
    <row r="1162" spans="1:16" ht="12.75" x14ac:dyDescent="0.35">
      <c r="A1162" s="7">
        <v>42481.856157407412</v>
      </c>
      <c r="B1162" s="8" t="str">
        <f t="shared" ref="B1162:B1164" si="115">HYPERLINK("https://twitter.com/VolkswagenPost","@VolkswagenPost")</f>
        <v>@VolkswagenPost</v>
      </c>
      <c r="C1162" s="9" t="s">
        <v>321</v>
      </c>
      <c r="D1162" s="9" t="s">
        <v>3142</v>
      </c>
      <c r="E1162" s="10" t="str">
        <f>HYPERLINK("https://twitter.com/VolkswagenPost/status/723165108180901888","723165108180901888")</f>
        <v>723165108180901888</v>
      </c>
      <c r="F1162" s="11" t="s">
        <v>34</v>
      </c>
      <c r="G1162" s="11">
        <v>571</v>
      </c>
      <c r="H1162" s="11">
        <v>446</v>
      </c>
      <c r="I1162" s="11">
        <v>0</v>
      </c>
      <c r="J1162" s="11">
        <v>0</v>
      </c>
      <c r="K1162" s="11" t="s">
        <v>21</v>
      </c>
      <c r="L1162" s="7">
        <v>41940.618379629632</v>
      </c>
      <c r="M1162" s="12"/>
      <c r="N1162" s="12"/>
      <c r="O1162" s="10" t="str">
        <f t="shared" ref="O1162:O1164" si="116">HYPERLINK("https://pbs.twimg.com/profile_images/530071272881803264/a_jcCmPZ_normal.png","View")</f>
        <v>View</v>
      </c>
      <c r="P1162" s="11"/>
    </row>
    <row r="1163" spans="1:16" ht="12.75" x14ac:dyDescent="0.35">
      <c r="A1163" s="7">
        <v>42481.856157407412</v>
      </c>
      <c r="B1163" s="8" t="str">
        <f t="shared" si="115"/>
        <v>@VolkswagenPost</v>
      </c>
      <c r="C1163" s="9" t="s">
        <v>321</v>
      </c>
      <c r="D1163" s="9" t="s">
        <v>3143</v>
      </c>
      <c r="E1163" s="10" t="str">
        <f>HYPERLINK("https://twitter.com/VolkswagenPost/status/723165109284020225","723165109284020225")</f>
        <v>723165109284020225</v>
      </c>
      <c r="F1163" s="11" t="s">
        <v>34</v>
      </c>
      <c r="G1163" s="11">
        <v>571</v>
      </c>
      <c r="H1163" s="11">
        <v>446</v>
      </c>
      <c r="I1163" s="11">
        <v>1</v>
      </c>
      <c r="J1163" s="11">
        <v>0</v>
      </c>
      <c r="K1163" s="11" t="s">
        <v>21</v>
      </c>
      <c r="L1163" s="7">
        <v>41940.618379629632</v>
      </c>
      <c r="M1163" s="12"/>
      <c r="N1163" s="12"/>
      <c r="O1163" s="10" t="str">
        <f t="shared" si="116"/>
        <v>View</v>
      </c>
      <c r="P1163" s="11"/>
    </row>
    <row r="1164" spans="1:16" ht="12.75" x14ac:dyDescent="0.35">
      <c r="A1164" s="7">
        <v>42481.856157407412</v>
      </c>
      <c r="B1164" s="8" t="str">
        <f t="shared" si="115"/>
        <v>@VolkswagenPost</v>
      </c>
      <c r="C1164" s="9" t="s">
        <v>321</v>
      </c>
      <c r="D1164" s="9" t="s">
        <v>3144</v>
      </c>
      <c r="E1164" s="10" t="str">
        <f>HYPERLINK("https://twitter.com/VolkswagenPost/status/723165110538137600","723165110538137600")</f>
        <v>723165110538137600</v>
      </c>
      <c r="F1164" s="11" t="s">
        <v>34</v>
      </c>
      <c r="G1164" s="11">
        <v>571</v>
      </c>
      <c r="H1164" s="11">
        <v>446</v>
      </c>
      <c r="I1164" s="11">
        <v>0</v>
      </c>
      <c r="J1164" s="11">
        <v>0</v>
      </c>
      <c r="K1164" s="11" t="s">
        <v>21</v>
      </c>
      <c r="L1164" s="7">
        <v>41940.618379629632</v>
      </c>
      <c r="M1164" s="12"/>
      <c r="N1164" s="12"/>
      <c r="O1164" s="10" t="str">
        <f t="shared" si="116"/>
        <v>View</v>
      </c>
      <c r="P1164" s="11"/>
    </row>
    <row r="1165" spans="1:16" ht="12.75" x14ac:dyDescent="0.35">
      <c r="A1165" s="7">
        <v>42481.856261574074</v>
      </c>
      <c r="B1165" s="8" t="str">
        <f>HYPERLINK("https://twitter.com/franz_rother","@franz_rother")</f>
        <v>@franz_rother</v>
      </c>
      <c r="C1165" s="9" t="s">
        <v>1350</v>
      </c>
      <c r="D1165" s="9" t="s">
        <v>3145</v>
      </c>
      <c r="E1165" s="10" t="str">
        <f>HYPERLINK("https://twitter.com/franz_rother/status/723165146550509568","723165146550509568")</f>
        <v>723165146550509568</v>
      </c>
      <c r="F1165" s="11" t="s">
        <v>20</v>
      </c>
      <c r="G1165" s="11">
        <v>770</v>
      </c>
      <c r="H1165" s="11">
        <v>212</v>
      </c>
      <c r="I1165" s="11">
        <v>0</v>
      </c>
      <c r="J1165" s="11">
        <v>1</v>
      </c>
      <c r="K1165" s="11" t="s">
        <v>21</v>
      </c>
      <c r="L1165" s="7">
        <v>40387.831180555557</v>
      </c>
      <c r="M1165" s="12" t="s">
        <v>975</v>
      </c>
      <c r="N1165" s="12" t="s">
        <v>1352</v>
      </c>
      <c r="O1165" s="10" t="str">
        <f>HYPERLINK("https://pbs.twimg.com/profile_images/3228351590/aadb36f2b020cc27adac139aac4a5663_normal.jpeg","View")</f>
        <v>View</v>
      </c>
      <c r="P1165" s="11"/>
    </row>
    <row r="1166" spans="1:16" ht="12.75" x14ac:dyDescent="0.35">
      <c r="A1166" s="7">
        <v>42481.856990740736</v>
      </c>
      <c r="B1166" s="8" t="str">
        <f>HYPERLINK("https://twitter.com/jenkers_en","@jenkers_en")</f>
        <v>@jenkers_en</v>
      </c>
      <c r="C1166" s="9" t="s">
        <v>2730</v>
      </c>
      <c r="D1166" s="9" t="s">
        <v>3146</v>
      </c>
      <c r="E1166" s="10" t="str">
        <f>HYPERLINK("https://twitter.com/jenkers_en/status/723165412544942080","723165412544942080")</f>
        <v>723165412544942080</v>
      </c>
      <c r="F1166" s="11" t="s">
        <v>2732</v>
      </c>
      <c r="G1166" s="11">
        <v>1179</v>
      </c>
      <c r="H1166" s="11">
        <v>335</v>
      </c>
      <c r="I1166" s="11">
        <v>0</v>
      </c>
      <c r="J1166" s="11">
        <v>0</v>
      </c>
      <c r="K1166" s="11" t="s">
        <v>21</v>
      </c>
      <c r="L1166" s="7">
        <v>42082.76226851852</v>
      </c>
      <c r="M1166" s="12" t="s">
        <v>155</v>
      </c>
      <c r="N1166" s="12" t="s">
        <v>2733</v>
      </c>
      <c r="O1166" s="10" t="str">
        <f>HYPERLINK("https://pbs.twimg.com/profile_images/588324718677254145/-y5BbeY4_normal.png","View")</f>
        <v>View</v>
      </c>
      <c r="P1166" s="11"/>
    </row>
    <row r="1167" spans="1:16" ht="12.75" x14ac:dyDescent="0.35">
      <c r="A1167" s="7">
        <v>42481.857662037037</v>
      </c>
      <c r="B1167" s="8" t="str">
        <f>HYPERLINK("https://twitter.com/Kop_of_Parisii","@Kop_of_Parisii")</f>
        <v>@Kop_of_Parisii</v>
      </c>
      <c r="C1167" s="9" t="s">
        <v>3147</v>
      </c>
      <c r="D1167" s="9" t="s">
        <v>3148</v>
      </c>
      <c r="E1167" s="10" t="str">
        <f>HYPERLINK("https://twitter.com/Kop_of_Parisii/status/723165656519196672","723165656519196672")</f>
        <v>723165656519196672</v>
      </c>
      <c r="F1167" s="11" t="s">
        <v>20</v>
      </c>
      <c r="G1167" s="11">
        <v>62</v>
      </c>
      <c r="H1167" s="11">
        <v>161</v>
      </c>
      <c r="I1167" s="11">
        <v>1</v>
      </c>
      <c r="J1167" s="11">
        <v>0</v>
      </c>
      <c r="K1167" s="11" t="s">
        <v>21</v>
      </c>
      <c r="L1167" s="7">
        <v>41462.90079861111</v>
      </c>
      <c r="M1167" s="12" t="s">
        <v>3149</v>
      </c>
      <c r="N1167" s="12"/>
      <c r="O1167" s="10" t="str">
        <f>HYPERLINK("https://pbs.twimg.com/profile_images/602072660466659328/noLEC5Ip_normal.jpg","View")</f>
        <v>View</v>
      </c>
      <c r="P1167" s="11"/>
    </row>
    <row r="1168" spans="1:16" ht="12.75" x14ac:dyDescent="0.35">
      <c r="A1168" s="7">
        <v>42481.857812499999</v>
      </c>
      <c r="B1168" s="8" t="str">
        <f>HYPERLINK("https://twitter.com/Carscoop","@Carscoop")</f>
        <v>@Carscoop</v>
      </c>
      <c r="C1168" s="9" t="s">
        <v>122</v>
      </c>
      <c r="D1168" s="9" t="s">
        <v>3150</v>
      </c>
      <c r="E1168" s="10" t="str">
        <f>HYPERLINK("https://twitter.com/Carscoop/status/723165707354042368","723165707354042368")</f>
        <v>723165707354042368</v>
      </c>
      <c r="F1168" s="10" t="s">
        <v>124</v>
      </c>
      <c r="G1168" s="11">
        <v>34894</v>
      </c>
      <c r="H1168" s="11">
        <v>323</v>
      </c>
      <c r="I1168" s="11">
        <v>1</v>
      </c>
      <c r="J1168" s="11">
        <v>4</v>
      </c>
      <c r="K1168" s="11" t="s">
        <v>21</v>
      </c>
      <c r="L1168" s="7">
        <v>39731.013483796298</v>
      </c>
      <c r="M1168" s="12" t="s">
        <v>125</v>
      </c>
      <c r="N1168" s="12" t="s">
        <v>126</v>
      </c>
      <c r="O1168" s="10" t="str">
        <f>HYPERLINK("https://pbs.twimg.com/profile_images/599709666017435648/r0vhT_9C_normal.png","View")</f>
        <v>View</v>
      </c>
      <c r="P1168" s="11"/>
    </row>
    <row r="1169" spans="1:16" ht="12.75" x14ac:dyDescent="0.35">
      <c r="A1169" s="7">
        <v>42481.858506944445</v>
      </c>
      <c r="B1169" s="8" t="str">
        <f>HYPERLINK("https://twitter.com/XBudhoo","@XBudhoo")</f>
        <v>@XBudhoo</v>
      </c>
      <c r="C1169" s="9" t="s">
        <v>3151</v>
      </c>
      <c r="D1169" s="9" t="s">
        <v>38</v>
      </c>
      <c r="E1169" s="10" t="str">
        <f>HYPERLINK("https://twitter.com/XBudhoo/status/723165962829221888","723165962829221888")</f>
        <v>723165962829221888</v>
      </c>
      <c r="F1169" s="11" t="s">
        <v>20</v>
      </c>
      <c r="G1169" s="11">
        <v>358</v>
      </c>
      <c r="H1169" s="11">
        <v>310</v>
      </c>
      <c r="I1169" s="11">
        <v>11</v>
      </c>
      <c r="J1169" s="11">
        <v>0</v>
      </c>
      <c r="K1169" s="11" t="s">
        <v>21</v>
      </c>
      <c r="L1169" s="7">
        <v>42144.318969907406</v>
      </c>
      <c r="M1169" s="12"/>
      <c r="N1169" s="12" t="s">
        <v>3152</v>
      </c>
      <c r="O1169" s="10" t="str">
        <f>HYPERLINK("https://pbs.twimg.com/profile_images/722951328964677633/w1iChjiw_normal.jpg","View")</f>
        <v>View</v>
      </c>
      <c r="P1169" s="11"/>
    </row>
    <row r="1170" spans="1:16" ht="12.75" x14ac:dyDescent="0.35">
      <c r="A1170" s="7">
        <v>42481.858599537038</v>
      </c>
      <c r="B1170" s="8" t="str">
        <f>HYPERLINK("https://twitter.com/MaikeruType1","@MaikeruType1")</f>
        <v>@MaikeruType1</v>
      </c>
      <c r="C1170" s="9" t="s">
        <v>3153</v>
      </c>
      <c r="D1170" s="9" t="s">
        <v>3154</v>
      </c>
      <c r="E1170" s="10" t="str">
        <f>HYPERLINK("https://twitter.com/MaikeruType1/status/723165992914964480","723165992914964480")</f>
        <v>723165992914964480</v>
      </c>
      <c r="F1170" s="11" t="s">
        <v>114</v>
      </c>
      <c r="G1170" s="11">
        <v>150</v>
      </c>
      <c r="H1170" s="11">
        <v>151</v>
      </c>
      <c r="I1170" s="11">
        <v>0</v>
      </c>
      <c r="J1170" s="11">
        <v>0</v>
      </c>
      <c r="K1170" s="11" t="s">
        <v>21</v>
      </c>
      <c r="L1170" s="7">
        <v>41425.267500000002</v>
      </c>
      <c r="M1170" s="12" t="s">
        <v>3155</v>
      </c>
      <c r="N1170" s="12" t="s">
        <v>3156</v>
      </c>
      <c r="O1170" s="10" t="str">
        <f>HYPERLINK("https://pbs.twimg.com/profile_images/722331798747750400/ojnef0Iw_normal.jpg","View")</f>
        <v>View</v>
      </c>
      <c r="P1170" s="10" t="str">
        <f>HYPERLINK("http://ctrlq.org/maps/address/#43.7667,142.367","Map")</f>
        <v>Map</v>
      </c>
    </row>
    <row r="1171" spans="1:16" ht="12.75" x14ac:dyDescent="0.35">
      <c r="A1171" s="7">
        <v>42481.85864583333</v>
      </c>
      <c r="B1171" s="8" t="str">
        <f t="shared" ref="B1171:B1177" si="117">HYPERLINK("https://twitter.com/beetlebug1938","@beetlebug1938")</f>
        <v>@beetlebug1938</v>
      </c>
      <c r="C1171" s="9" t="s">
        <v>66</v>
      </c>
      <c r="D1171" s="9" t="s">
        <v>3157</v>
      </c>
      <c r="E1171" s="10" t="str">
        <f>HYPERLINK("https://twitter.com/beetlebug1938/status/723166009293713408","723166009293713408")</f>
        <v>723166009293713408</v>
      </c>
      <c r="F1171" s="11" t="s">
        <v>68</v>
      </c>
      <c r="G1171" s="11">
        <v>346</v>
      </c>
      <c r="H1171" s="11">
        <v>2222</v>
      </c>
      <c r="I1171" s="11">
        <v>0</v>
      </c>
      <c r="J1171" s="11">
        <v>1</v>
      </c>
      <c r="K1171" s="11" t="s">
        <v>21</v>
      </c>
      <c r="L1171" s="7">
        <v>42469.863865740743</v>
      </c>
      <c r="M1171" s="12" t="s">
        <v>69</v>
      </c>
      <c r="N1171" s="12"/>
      <c r="O1171" s="10" t="str">
        <f t="shared" ref="O1171:O1177" si="118">HYPERLINK("https://pbs.twimg.com/profile_images/718820712757215233/LXXndPTS_normal.jpg","View")</f>
        <v>View</v>
      </c>
      <c r="P1171" s="11"/>
    </row>
    <row r="1172" spans="1:16" ht="12.75" x14ac:dyDescent="0.35">
      <c r="A1172" s="7">
        <v>42481.858715277776</v>
      </c>
      <c r="B1172" s="8" t="str">
        <f t="shared" si="117"/>
        <v>@beetlebug1938</v>
      </c>
      <c r="C1172" s="9" t="s">
        <v>66</v>
      </c>
      <c r="D1172" s="9" t="s">
        <v>3158</v>
      </c>
      <c r="E1172" s="10" t="str">
        <f>HYPERLINK("https://twitter.com/beetlebug1938/status/723166036384731136","723166036384731136")</f>
        <v>723166036384731136</v>
      </c>
      <c r="F1172" s="11" t="s">
        <v>68</v>
      </c>
      <c r="G1172" s="11">
        <v>346</v>
      </c>
      <c r="H1172" s="11">
        <v>2222</v>
      </c>
      <c r="I1172" s="11">
        <v>0</v>
      </c>
      <c r="J1172" s="11">
        <v>2</v>
      </c>
      <c r="K1172" s="11" t="s">
        <v>21</v>
      </c>
      <c r="L1172" s="7">
        <v>42469.863865740743</v>
      </c>
      <c r="M1172" s="12" t="s">
        <v>69</v>
      </c>
      <c r="N1172" s="12"/>
      <c r="O1172" s="10" t="str">
        <f t="shared" si="118"/>
        <v>View</v>
      </c>
      <c r="P1172" s="11"/>
    </row>
    <row r="1173" spans="1:16" ht="12.75" x14ac:dyDescent="0.35">
      <c r="A1173" s="7">
        <v>42481.858749999999</v>
      </c>
      <c r="B1173" s="8" t="str">
        <f t="shared" si="117"/>
        <v>@beetlebug1938</v>
      </c>
      <c r="C1173" s="9" t="s">
        <v>66</v>
      </c>
      <c r="D1173" s="9" t="s">
        <v>3159</v>
      </c>
      <c r="E1173" s="10" t="str">
        <f>HYPERLINK("https://twitter.com/beetlebug1938/status/723166050947338240","723166050947338240")</f>
        <v>723166050947338240</v>
      </c>
      <c r="F1173" s="11" t="s">
        <v>68</v>
      </c>
      <c r="G1173" s="11">
        <v>346</v>
      </c>
      <c r="H1173" s="11">
        <v>2222</v>
      </c>
      <c r="I1173" s="11">
        <v>1</v>
      </c>
      <c r="J1173" s="11">
        <v>1</v>
      </c>
      <c r="K1173" s="11" t="s">
        <v>21</v>
      </c>
      <c r="L1173" s="7">
        <v>42469.863865740743</v>
      </c>
      <c r="M1173" s="12" t="s">
        <v>69</v>
      </c>
      <c r="N1173" s="12"/>
      <c r="O1173" s="10" t="str">
        <f t="shared" si="118"/>
        <v>View</v>
      </c>
      <c r="P1173" s="11"/>
    </row>
    <row r="1174" spans="1:16" ht="12.75" x14ac:dyDescent="0.35">
      <c r="A1174" s="7">
        <v>42481.858796296292</v>
      </c>
      <c r="B1174" s="8" t="str">
        <f t="shared" si="117"/>
        <v>@beetlebug1938</v>
      </c>
      <c r="C1174" s="9" t="s">
        <v>66</v>
      </c>
      <c r="D1174" s="9" t="s">
        <v>3160</v>
      </c>
      <c r="E1174" s="10" t="str">
        <f>HYPERLINK("https://twitter.com/beetlebug1938/status/723166064205541376","723166064205541376")</f>
        <v>723166064205541376</v>
      </c>
      <c r="F1174" s="11" t="s">
        <v>68</v>
      </c>
      <c r="G1174" s="11">
        <v>346</v>
      </c>
      <c r="H1174" s="11">
        <v>2222</v>
      </c>
      <c r="I1174" s="11">
        <v>2</v>
      </c>
      <c r="J1174" s="11">
        <v>1</v>
      </c>
      <c r="K1174" s="11" t="s">
        <v>21</v>
      </c>
      <c r="L1174" s="7">
        <v>42469.863865740743</v>
      </c>
      <c r="M1174" s="12" t="s">
        <v>69</v>
      </c>
      <c r="N1174" s="12"/>
      <c r="O1174" s="10" t="str">
        <f t="shared" si="118"/>
        <v>View</v>
      </c>
      <c r="P1174" s="11"/>
    </row>
    <row r="1175" spans="1:16" ht="12.75" x14ac:dyDescent="0.35">
      <c r="A1175" s="7">
        <v>42481.858831018515</v>
      </c>
      <c r="B1175" s="8" t="str">
        <f t="shared" si="117"/>
        <v>@beetlebug1938</v>
      </c>
      <c r="C1175" s="9" t="s">
        <v>66</v>
      </c>
      <c r="D1175" s="9" t="s">
        <v>3161</v>
      </c>
      <c r="E1175" s="10" t="str">
        <f>HYPERLINK("https://twitter.com/beetlebug1938/status/723166076285100032","723166076285100032")</f>
        <v>723166076285100032</v>
      </c>
      <c r="F1175" s="11" t="s">
        <v>68</v>
      </c>
      <c r="G1175" s="11">
        <v>346</v>
      </c>
      <c r="H1175" s="11">
        <v>2222</v>
      </c>
      <c r="I1175" s="11">
        <v>0</v>
      </c>
      <c r="J1175" s="11">
        <v>2</v>
      </c>
      <c r="K1175" s="11" t="s">
        <v>21</v>
      </c>
      <c r="L1175" s="7">
        <v>42469.863865740743</v>
      </c>
      <c r="M1175" s="12" t="s">
        <v>69</v>
      </c>
      <c r="N1175" s="12"/>
      <c r="O1175" s="10" t="str">
        <f t="shared" si="118"/>
        <v>View</v>
      </c>
      <c r="P1175" s="11"/>
    </row>
    <row r="1176" spans="1:16" ht="12.75" x14ac:dyDescent="0.35">
      <c r="A1176" s="7">
        <v>42481.858854166669</v>
      </c>
      <c r="B1176" s="8" t="str">
        <f t="shared" si="117"/>
        <v>@beetlebug1938</v>
      </c>
      <c r="C1176" s="9" t="s">
        <v>66</v>
      </c>
      <c r="D1176" s="9" t="s">
        <v>3162</v>
      </c>
      <c r="E1176" s="10" t="str">
        <f>HYPERLINK("https://twitter.com/beetlebug1938/status/723166087886561280","723166087886561280")</f>
        <v>723166087886561280</v>
      </c>
      <c r="F1176" s="11" t="s">
        <v>68</v>
      </c>
      <c r="G1176" s="11">
        <v>346</v>
      </c>
      <c r="H1176" s="11">
        <v>2222</v>
      </c>
      <c r="I1176" s="11">
        <v>1</v>
      </c>
      <c r="J1176" s="11">
        <v>2</v>
      </c>
      <c r="K1176" s="11" t="s">
        <v>21</v>
      </c>
      <c r="L1176" s="7">
        <v>42469.863865740743</v>
      </c>
      <c r="M1176" s="12" t="s">
        <v>69</v>
      </c>
      <c r="N1176" s="12"/>
      <c r="O1176" s="10" t="str">
        <f t="shared" si="118"/>
        <v>View</v>
      </c>
      <c r="P1176" s="11"/>
    </row>
    <row r="1177" spans="1:16" ht="12.75" x14ac:dyDescent="0.35">
      <c r="A1177" s="7">
        <v>42481.858981481477</v>
      </c>
      <c r="B1177" s="8" t="str">
        <f t="shared" si="117"/>
        <v>@beetlebug1938</v>
      </c>
      <c r="C1177" s="9" t="s">
        <v>66</v>
      </c>
      <c r="D1177" s="9" t="s">
        <v>3163</v>
      </c>
      <c r="E1177" s="10" t="str">
        <f>HYPERLINK("https://twitter.com/beetlebug1938/status/723166133004713984","723166133004713984")</f>
        <v>723166133004713984</v>
      </c>
      <c r="F1177" s="11" t="s">
        <v>68</v>
      </c>
      <c r="G1177" s="11">
        <v>346</v>
      </c>
      <c r="H1177" s="11">
        <v>2222</v>
      </c>
      <c r="I1177" s="11">
        <v>0</v>
      </c>
      <c r="J1177" s="11">
        <v>2</v>
      </c>
      <c r="K1177" s="11" t="s">
        <v>21</v>
      </c>
      <c r="L1177" s="7">
        <v>42469.863865740743</v>
      </c>
      <c r="M1177" s="12" t="s">
        <v>69</v>
      </c>
      <c r="N1177" s="12"/>
      <c r="O1177" s="10" t="str">
        <f t="shared" si="118"/>
        <v>View</v>
      </c>
      <c r="P1177" s="11"/>
    </row>
    <row r="1178" spans="1:16" ht="12.75" x14ac:dyDescent="0.35">
      <c r="A1178" s="7">
        <v>42481.859351851846</v>
      </c>
      <c r="B1178" s="8" t="str">
        <f>HYPERLINK("https://twitter.com/KateGalbraith","@KateGalbraith")</f>
        <v>@KateGalbraith</v>
      </c>
      <c r="C1178" s="9" t="s">
        <v>3164</v>
      </c>
      <c r="D1178" s="9" t="s">
        <v>3165</v>
      </c>
      <c r="E1178" s="10" t="str">
        <f>HYPERLINK("https://twitter.com/KateGalbraith/status/723166266765107200","723166266765107200")</f>
        <v>723166266765107200</v>
      </c>
      <c r="F1178" s="11" t="s">
        <v>43</v>
      </c>
      <c r="G1178" s="11">
        <v>14217</v>
      </c>
      <c r="H1178" s="11">
        <v>1155</v>
      </c>
      <c r="I1178" s="11">
        <v>0</v>
      </c>
      <c r="J1178" s="11">
        <v>1</v>
      </c>
      <c r="K1178" s="11" t="s">
        <v>21</v>
      </c>
      <c r="L1178" s="7">
        <v>40236.186041666668</v>
      </c>
      <c r="M1178" s="12" t="s">
        <v>244</v>
      </c>
      <c r="N1178" s="12" t="s">
        <v>3166</v>
      </c>
      <c r="O1178" s="10" t="str">
        <f>HYPERLINK("https://pbs.twimg.com/profile_images/742861504/KG_normal.jpg","View")</f>
        <v>View</v>
      </c>
      <c r="P1178" s="11"/>
    </row>
    <row r="1179" spans="1:16" ht="12.75" x14ac:dyDescent="0.35">
      <c r="A1179" s="7">
        <v>42481.859537037039</v>
      </c>
      <c r="B1179" s="8" t="str">
        <f>HYPERLINK("https://twitter.com/bayl","@bayl")</f>
        <v>@bayl</v>
      </c>
      <c r="C1179" s="9" t="s">
        <v>3167</v>
      </c>
      <c r="D1179" s="9" t="s">
        <v>3168</v>
      </c>
      <c r="E1179" s="10" t="str">
        <f>HYPERLINK("https://twitter.com/bayl/status/723166334226321408","723166334226321408")</f>
        <v>723166334226321408</v>
      </c>
      <c r="F1179" s="11" t="s">
        <v>43</v>
      </c>
      <c r="G1179" s="11">
        <v>576</v>
      </c>
      <c r="H1179" s="11">
        <v>825</v>
      </c>
      <c r="I1179" s="11">
        <v>1</v>
      </c>
      <c r="J1179" s="11">
        <v>0</v>
      </c>
      <c r="K1179" s="11" t="s">
        <v>21</v>
      </c>
      <c r="L1179" s="7">
        <v>39567.463831018518</v>
      </c>
      <c r="M1179" s="12"/>
      <c r="N1179" s="12" t="s">
        <v>3169</v>
      </c>
      <c r="O1179" s="10" t="str">
        <f>HYPERLINK("https://pbs.twimg.com/profile_images/438619338942062592/OBEQvg6R_normal.jpeg","View")</f>
        <v>View</v>
      </c>
      <c r="P1179" s="11"/>
    </row>
    <row r="1180" spans="1:16" ht="12.75" x14ac:dyDescent="0.35">
      <c r="A1180" s="7">
        <v>42481.8596412037</v>
      </c>
      <c r="B1180" s="8" t="str">
        <f>HYPERLINK("https://twitter.com/oliwkagrochal","@oliwkagrochal")</f>
        <v>@oliwkagrochal</v>
      </c>
      <c r="C1180" s="9" t="s">
        <v>3170</v>
      </c>
      <c r="D1180" s="9" t="s">
        <v>3171</v>
      </c>
      <c r="E1180" s="10" t="str">
        <f>HYPERLINK("https://twitter.com/oliwkagrochal/status/723166369961922560","723166369961922560")</f>
        <v>723166369961922560</v>
      </c>
      <c r="F1180" s="11" t="s">
        <v>114</v>
      </c>
      <c r="G1180" s="11">
        <v>36</v>
      </c>
      <c r="H1180" s="11">
        <v>32</v>
      </c>
      <c r="I1180" s="11">
        <v>0</v>
      </c>
      <c r="J1180" s="11">
        <v>0</v>
      </c>
      <c r="K1180" s="11" t="s">
        <v>21</v>
      </c>
      <c r="L1180" s="7">
        <v>41156.627326388887</v>
      </c>
      <c r="M1180" s="12" t="s">
        <v>3172</v>
      </c>
      <c r="N1180" s="12" t="s">
        <v>3173</v>
      </c>
      <c r="O1180" s="10" t="str">
        <f>HYPERLINK("https://pbs.twimg.com/profile_images/623412520561283072/MnxFCk29_normal.jpg","View")</f>
        <v>View</v>
      </c>
      <c r="P1180" s="11"/>
    </row>
    <row r="1181" spans="1:16" ht="12.75" x14ac:dyDescent="0.35">
      <c r="A1181" s="7">
        <v>42481.859803240739</v>
      </c>
      <c r="B1181" s="8" t="str">
        <f>HYPERLINK("https://twitter.com/doern","@doern")</f>
        <v>@doern</v>
      </c>
      <c r="C1181" s="9" t="s">
        <v>3107</v>
      </c>
      <c r="D1181" s="9" t="s">
        <v>3174</v>
      </c>
      <c r="E1181" s="10" t="str">
        <f>HYPERLINK("https://twitter.com/doern/status/723166432683548673","723166432683548673")</f>
        <v>723166432683548673</v>
      </c>
      <c r="F1181" s="11" t="s">
        <v>20</v>
      </c>
      <c r="G1181" s="11">
        <v>342</v>
      </c>
      <c r="H1181" s="11">
        <v>63</v>
      </c>
      <c r="I1181" s="11">
        <v>5</v>
      </c>
      <c r="J1181" s="11">
        <v>5</v>
      </c>
      <c r="K1181" s="11" t="s">
        <v>21</v>
      </c>
      <c r="L1181" s="7">
        <v>39909.663194444445</v>
      </c>
      <c r="M1181" s="12" t="s">
        <v>262</v>
      </c>
      <c r="N1181" s="12" t="s">
        <v>3109</v>
      </c>
      <c r="O1181" s="10" t="str">
        <f>HYPERLINK("https://pbs.twimg.com/profile_images/657853466384191488/J6vAnfZr_normal.jpg","View")</f>
        <v>View</v>
      </c>
      <c r="P1181" s="11"/>
    </row>
    <row r="1182" spans="1:16" ht="12.75" x14ac:dyDescent="0.35">
      <c r="A1182" s="7">
        <v>42481.859814814816</v>
      </c>
      <c r="B1182" s="8" t="str">
        <f>HYPERLINK("https://twitter.com/VWBeetleSales","@VWBeetleSales")</f>
        <v>@VWBeetleSales</v>
      </c>
      <c r="C1182" s="9" t="s">
        <v>127</v>
      </c>
      <c r="D1182" s="9" t="s">
        <v>3175</v>
      </c>
      <c r="E1182" s="10" t="str">
        <f>HYPERLINK("https://twitter.com/VWBeetleSales/status/723166436303106054","723166436303106054")</f>
        <v>723166436303106054</v>
      </c>
      <c r="F1182" s="10" t="s">
        <v>124</v>
      </c>
      <c r="G1182" s="11">
        <v>35</v>
      </c>
      <c r="H1182" s="11">
        <v>32</v>
      </c>
      <c r="I1182" s="11">
        <v>0</v>
      </c>
      <c r="J1182" s="11">
        <v>0</v>
      </c>
      <c r="K1182" s="11" t="s">
        <v>21</v>
      </c>
      <c r="L1182" s="7">
        <v>42427.019756944443</v>
      </c>
      <c r="M1182" s="12" t="s">
        <v>129</v>
      </c>
      <c r="N1182" s="12" t="s">
        <v>130</v>
      </c>
      <c r="O1182" s="10" t="str">
        <f>HYPERLINK("https://pbs.twimg.com/profile_images/703294545195307008/qeCvrX86_normal.jpg","View")</f>
        <v>View</v>
      </c>
      <c r="P1182" s="11"/>
    </row>
    <row r="1183" spans="1:16" ht="12.75" x14ac:dyDescent="0.35">
      <c r="A1183" s="7">
        <v>42481.859953703708</v>
      </c>
      <c r="B1183" s="8" t="str">
        <f>HYPERLINK("https://twitter.com/VolkerVotsmeier","@VolkerVotsmeier")</f>
        <v>@VolkerVotsmeier</v>
      </c>
      <c r="C1183" s="9" t="s">
        <v>1220</v>
      </c>
      <c r="D1183" s="9" t="s">
        <v>3176</v>
      </c>
      <c r="E1183" s="10" t="str">
        <f>HYPERLINK("https://twitter.com/VolkerVotsmeier/status/723166485686956032","723166485686956032")</f>
        <v>723166485686956032</v>
      </c>
      <c r="F1183" s="11" t="s">
        <v>63</v>
      </c>
      <c r="G1183" s="11">
        <v>1735</v>
      </c>
      <c r="H1183" s="11">
        <v>819</v>
      </c>
      <c r="I1183" s="11">
        <v>1</v>
      </c>
      <c r="J1183" s="11">
        <v>0</v>
      </c>
      <c r="K1183" s="11" t="s">
        <v>21</v>
      </c>
      <c r="L1183" s="7">
        <v>41289.594131944446</v>
      </c>
      <c r="M1183" s="12" t="s">
        <v>975</v>
      </c>
      <c r="N1183" s="12" t="s">
        <v>1222</v>
      </c>
      <c r="O1183" s="10" t="str">
        <f>HYPERLINK("https://pbs.twimg.com/profile_images/507897198911053824/7OqYAonJ_normal.jpeg","View")</f>
        <v>View</v>
      </c>
      <c r="P1183" s="11"/>
    </row>
    <row r="1184" spans="1:16" ht="12.75" x14ac:dyDescent="0.35">
      <c r="A1184" s="7">
        <v>42481.860659722224</v>
      </c>
      <c r="B1184" s="8" t="str">
        <f>HYPERLINK("https://twitter.com/NiicoleBeleen","@NiicoleBeleen")</f>
        <v>@NiicoleBeleen</v>
      </c>
      <c r="C1184" s="9" t="s">
        <v>3177</v>
      </c>
      <c r="D1184" s="9" t="s">
        <v>2825</v>
      </c>
      <c r="E1184" s="10" t="str">
        <f>HYPERLINK("https://twitter.com/NiicoleBeleen/status/723166742403530752","723166742403530752")</f>
        <v>723166742403530752</v>
      </c>
      <c r="F1184" s="11" t="s">
        <v>48</v>
      </c>
      <c r="G1184" s="11">
        <v>206</v>
      </c>
      <c r="H1184" s="11">
        <v>372</v>
      </c>
      <c r="I1184" s="11">
        <v>53</v>
      </c>
      <c r="J1184" s="11">
        <v>0</v>
      </c>
      <c r="K1184" s="11" t="s">
        <v>21</v>
      </c>
      <c r="L1184" s="7">
        <v>42288.340520833328</v>
      </c>
      <c r="M1184" s="12" t="s">
        <v>3178</v>
      </c>
      <c r="N1184" s="12" t="s">
        <v>3179</v>
      </c>
      <c r="O1184" s="10" t="str">
        <f>HYPERLINK("https://pbs.twimg.com/profile_images/707661630289616897/q6J9iGZF_normal.jpg","View")</f>
        <v>View</v>
      </c>
      <c r="P1184" s="11"/>
    </row>
    <row r="1185" spans="1:16" ht="12.75" x14ac:dyDescent="0.35">
      <c r="A1185" s="7">
        <v>42481.861296296294</v>
      </c>
      <c r="B1185" s="8" t="str">
        <f>HYPERLINK("https://twitter.com/marioamontero","@marioamontero")</f>
        <v>@marioamontero</v>
      </c>
      <c r="C1185" s="9" t="s">
        <v>3180</v>
      </c>
      <c r="D1185" s="9" t="s">
        <v>3181</v>
      </c>
      <c r="E1185" s="10" t="str">
        <f>HYPERLINK("https://twitter.com/marioamontero/status/723166973736177664","723166973736177664")</f>
        <v>723166973736177664</v>
      </c>
      <c r="F1185" s="11" t="s">
        <v>152</v>
      </c>
      <c r="G1185" s="11">
        <v>4249</v>
      </c>
      <c r="H1185" s="11">
        <v>2708</v>
      </c>
      <c r="I1185" s="11">
        <v>0</v>
      </c>
      <c r="J1185" s="11">
        <v>0</v>
      </c>
      <c r="K1185" s="11" t="s">
        <v>21</v>
      </c>
      <c r="L1185" s="7">
        <v>40108.476712962962</v>
      </c>
      <c r="M1185" s="12" t="s">
        <v>3182</v>
      </c>
      <c r="N1185" s="12" t="s">
        <v>3183</v>
      </c>
      <c r="O1185" s="10" t="str">
        <f>HYPERLINK("https://pbs.twimg.com/profile_images/654737728123240448/2iBYs_8M_normal.jpg","View")</f>
        <v>View</v>
      </c>
      <c r="P1185" s="11"/>
    </row>
    <row r="1186" spans="1:16" ht="12.75" x14ac:dyDescent="0.35">
      <c r="A1186" s="7">
        <v>42481.861493055556</v>
      </c>
      <c r="B1186" s="8" t="str">
        <f>HYPERLINK("https://twitter.com/ZDFheute","@ZDFheute")</f>
        <v>@ZDFheute</v>
      </c>
      <c r="C1186" s="9" t="s">
        <v>3184</v>
      </c>
      <c r="D1186" s="9" t="s">
        <v>3185</v>
      </c>
      <c r="E1186" s="10" t="str">
        <f>HYPERLINK("https://twitter.com/ZDFheute/status/723167041885245440","723167041885245440")</f>
        <v>723167041885245440</v>
      </c>
      <c r="F1186" s="11" t="s">
        <v>63</v>
      </c>
      <c r="G1186" s="11">
        <v>158255</v>
      </c>
      <c r="H1186" s="11">
        <v>199</v>
      </c>
      <c r="I1186" s="11">
        <v>0</v>
      </c>
      <c r="J1186" s="11">
        <v>2</v>
      </c>
      <c r="K1186" s="11" t="s">
        <v>21</v>
      </c>
      <c r="L1186" s="7">
        <v>41292.901747685188</v>
      </c>
      <c r="M1186" s="12" t="s">
        <v>3186</v>
      </c>
      <c r="N1186" s="12" t="s">
        <v>3187</v>
      </c>
      <c r="O1186" s="10" t="str">
        <f>HYPERLINK("https://pbs.twimg.com/profile_images/465803701647446016/jAlkirAe_normal.jpeg","View")</f>
        <v>View</v>
      </c>
      <c r="P1186" s="11"/>
    </row>
    <row r="1187" spans="1:16" ht="12.75" x14ac:dyDescent="0.35">
      <c r="A1187" s="7">
        <v>42481.861504629633</v>
      </c>
      <c r="B1187" s="8" t="str">
        <f>HYPERLINK("https://twitter.com/ratemycamper","@ratemycamper")</f>
        <v>@ratemycamper</v>
      </c>
      <c r="C1187" s="9" t="s">
        <v>1529</v>
      </c>
      <c r="D1187" s="9" t="s">
        <v>3188</v>
      </c>
      <c r="E1187" s="10" t="str">
        <f>HYPERLINK("https://twitter.com/ratemycamper/status/723167047547539456","723167047547539456")</f>
        <v>723167047547539456</v>
      </c>
      <c r="F1187" s="11" t="s">
        <v>20</v>
      </c>
      <c r="G1187" s="11">
        <v>166</v>
      </c>
      <c r="H1187" s="11">
        <v>1991</v>
      </c>
      <c r="I1187" s="11">
        <v>2</v>
      </c>
      <c r="J1187" s="11">
        <v>2</v>
      </c>
      <c r="K1187" s="11" t="s">
        <v>21</v>
      </c>
      <c r="L1187" s="7">
        <v>42387.075486111113</v>
      </c>
      <c r="M1187" s="12" t="s">
        <v>1129</v>
      </c>
      <c r="N1187" s="12" t="s">
        <v>1531</v>
      </c>
      <c r="O1187" s="10" t="str">
        <f>HYPERLINK("https://pbs.twimg.com/profile_images/710929065939755009/-Rgs_z20_normal.jpg","View")</f>
        <v>View</v>
      </c>
      <c r="P1187" s="11"/>
    </row>
    <row r="1188" spans="1:16" ht="12.75" x14ac:dyDescent="0.35">
      <c r="A1188" s="7">
        <v>42481.861516203702</v>
      </c>
      <c r="B1188" s="8" t="str">
        <f>HYPERLINK("https://twitter.com/MaartinDk","@MaartinDk")</f>
        <v>@MaartinDk</v>
      </c>
      <c r="C1188" s="9" t="s">
        <v>3189</v>
      </c>
      <c r="D1188" s="9" t="s">
        <v>2825</v>
      </c>
      <c r="E1188" s="10" t="str">
        <f>HYPERLINK("https://twitter.com/MaartinDk/status/723167049837588480","723167049837588480")</f>
        <v>723167049837588480</v>
      </c>
      <c r="F1188" s="11" t="s">
        <v>48</v>
      </c>
      <c r="G1188" s="11">
        <v>538</v>
      </c>
      <c r="H1188" s="11">
        <v>383</v>
      </c>
      <c r="I1188" s="11">
        <v>53</v>
      </c>
      <c r="J1188" s="11">
        <v>0</v>
      </c>
      <c r="K1188" s="11" t="s">
        <v>21</v>
      </c>
      <c r="L1188" s="7">
        <v>40608.05259259259</v>
      </c>
      <c r="M1188" s="12" t="s">
        <v>3190</v>
      </c>
      <c r="N1188" s="12" t="s">
        <v>3191</v>
      </c>
      <c r="O1188" s="10" t="str">
        <f>HYPERLINK("https://pbs.twimg.com/profile_images/720756791525711872/8ZCEEyUb_normal.jpg","View")</f>
        <v>View</v>
      </c>
      <c r="P1188" s="11"/>
    </row>
    <row r="1189" spans="1:16" ht="12.75" x14ac:dyDescent="0.35">
      <c r="A1189" s="7">
        <v>42481.861585648148</v>
      </c>
      <c r="B1189" s="8" t="str">
        <f>HYPERLINK("https://twitter.com/Cognisant2000","@Cognisant2000")</f>
        <v>@Cognisant2000</v>
      </c>
      <c r="C1189" s="9" t="s">
        <v>3192</v>
      </c>
      <c r="D1189" s="9" t="s">
        <v>3193</v>
      </c>
      <c r="E1189" s="10" t="str">
        <f>HYPERLINK("https://twitter.com/Cognisant2000/status/723167075921883136","723167075921883136")</f>
        <v>723167075921883136</v>
      </c>
      <c r="F1189" s="11" t="s">
        <v>933</v>
      </c>
      <c r="G1189" s="11">
        <v>312</v>
      </c>
      <c r="H1189" s="11">
        <v>322</v>
      </c>
      <c r="I1189" s="11">
        <v>0</v>
      </c>
      <c r="J1189" s="11">
        <v>0</v>
      </c>
      <c r="K1189" s="11" t="s">
        <v>21</v>
      </c>
      <c r="L1189" s="7">
        <v>40154.864305555559</v>
      </c>
      <c r="M1189" s="12" t="s">
        <v>3194</v>
      </c>
      <c r="N1189" s="12" t="s">
        <v>3195</v>
      </c>
      <c r="O1189" s="10" t="str">
        <f>HYPERLINK("https://pbs.twimg.com/profile_images/479652486806904832/u9M5aNOk_normal.jpeg","View")</f>
        <v>View</v>
      </c>
      <c r="P1189" s="11"/>
    </row>
    <row r="1190" spans="1:16" ht="12.75" x14ac:dyDescent="0.35">
      <c r="A1190" s="7">
        <v>42481.86173611111</v>
      </c>
      <c r="B1190" s="8" t="str">
        <f t="shared" ref="B1190:B1191" si="119">HYPERLINK("https://twitter.com/hb_investigativ","@hb_investigativ")</f>
        <v>@hb_investigativ</v>
      </c>
      <c r="C1190" s="9" t="s">
        <v>3196</v>
      </c>
      <c r="D1190" s="9" t="s">
        <v>3197</v>
      </c>
      <c r="E1190" s="10" t="str">
        <f>HYPERLINK("https://twitter.com/hb_investigativ/status/723167129185472513","723167129185472513")</f>
        <v>723167129185472513</v>
      </c>
      <c r="F1190" s="11" t="s">
        <v>20</v>
      </c>
      <c r="G1190" s="11">
        <v>354</v>
      </c>
      <c r="H1190" s="11">
        <v>8</v>
      </c>
      <c r="I1190" s="11">
        <v>3</v>
      </c>
      <c r="J1190" s="11">
        <v>0</v>
      </c>
      <c r="K1190" s="11" t="s">
        <v>21</v>
      </c>
      <c r="L1190" s="7">
        <v>42045.811458333337</v>
      </c>
      <c r="M1190" s="12" t="s">
        <v>1116</v>
      </c>
      <c r="N1190" s="12" t="s">
        <v>3198</v>
      </c>
      <c r="O1190" s="10" t="str">
        <f t="shared" ref="O1190:O1191" si="120">HYPERLINK("https://pbs.twimg.com/profile_images/565148280066035712/_9CeN1GE_normal.jpeg","View")</f>
        <v>View</v>
      </c>
      <c r="P1190" s="11"/>
    </row>
    <row r="1191" spans="1:16" ht="12.75" x14ac:dyDescent="0.35">
      <c r="A1191" s="7">
        <v>42481.861828703702</v>
      </c>
      <c r="B1191" s="8" t="str">
        <f t="shared" si="119"/>
        <v>@hb_investigativ</v>
      </c>
      <c r="C1191" s="9" t="s">
        <v>3196</v>
      </c>
      <c r="D1191" s="9" t="s">
        <v>3199</v>
      </c>
      <c r="E1191" s="10" t="str">
        <f>HYPERLINK("https://twitter.com/hb_investigativ/status/723167164681850880","723167164681850880")</f>
        <v>723167164681850880</v>
      </c>
      <c r="F1191" s="11" t="s">
        <v>20</v>
      </c>
      <c r="G1191" s="11">
        <v>354</v>
      </c>
      <c r="H1191" s="11">
        <v>8</v>
      </c>
      <c r="I1191" s="11">
        <v>5</v>
      </c>
      <c r="J1191" s="11">
        <v>0</v>
      </c>
      <c r="K1191" s="11" t="s">
        <v>21</v>
      </c>
      <c r="L1191" s="7">
        <v>42045.811458333337</v>
      </c>
      <c r="M1191" s="12" t="s">
        <v>1116</v>
      </c>
      <c r="N1191" s="12" t="s">
        <v>3198</v>
      </c>
      <c r="O1191" s="10" t="str">
        <f t="shared" si="120"/>
        <v>View</v>
      </c>
      <c r="P1191" s="11"/>
    </row>
    <row r="1192" spans="1:16" ht="12.75" x14ac:dyDescent="0.35">
      <c r="A1192" s="7">
        <v>42481.862060185187</v>
      </c>
      <c r="B1192" s="8" t="str">
        <f>HYPERLINK("https://twitter.com/hrinfo","@hrinfo")</f>
        <v>@hrinfo</v>
      </c>
      <c r="C1192" s="9" t="s">
        <v>3200</v>
      </c>
      <c r="D1192" s="9" t="s">
        <v>3201</v>
      </c>
      <c r="E1192" s="10" t="str">
        <f>HYPERLINK("https://twitter.com/hrinfo/status/723167247045259265","723167247045259265")</f>
        <v>723167247045259265</v>
      </c>
      <c r="F1192" s="11" t="s">
        <v>43</v>
      </c>
      <c r="G1192" s="11">
        <v>7148</v>
      </c>
      <c r="H1192" s="11">
        <v>452</v>
      </c>
      <c r="I1192" s="11">
        <v>0</v>
      </c>
      <c r="J1192" s="11">
        <v>0</v>
      </c>
      <c r="K1192" s="11" t="s">
        <v>21</v>
      </c>
      <c r="L1192" s="7">
        <v>40466.888171296298</v>
      </c>
      <c r="M1192" s="12" t="s">
        <v>1464</v>
      </c>
      <c r="N1192" s="12" t="s">
        <v>3202</v>
      </c>
      <c r="O1192" s="10" t="str">
        <f>HYPERLINK("https://pbs.twimg.com/profile_images/531837173612285952/71rzDAAY_normal.jpeg","View")</f>
        <v>View</v>
      </c>
      <c r="P1192" s="11"/>
    </row>
    <row r="1193" spans="1:16" ht="12.75" x14ac:dyDescent="0.35">
      <c r="A1193" s="7">
        <v>42481.862118055556</v>
      </c>
      <c r="B1193" s="8" t="str">
        <f>HYPERLINK("https://twitter.com/dpa","@dpa")</f>
        <v>@dpa</v>
      </c>
      <c r="C1193" s="9" t="s">
        <v>3203</v>
      </c>
      <c r="D1193" s="9" t="s">
        <v>3204</v>
      </c>
      <c r="E1193" s="10" t="str">
        <f>HYPERLINK("https://twitter.com/dpa/status/723167267987533824","723167267987533824")</f>
        <v>723167267987533824</v>
      </c>
      <c r="F1193" s="11" t="s">
        <v>63</v>
      </c>
      <c r="G1193" s="11">
        <v>178952</v>
      </c>
      <c r="H1193" s="11">
        <v>1521</v>
      </c>
      <c r="I1193" s="11">
        <v>7</v>
      </c>
      <c r="J1193" s="11">
        <v>4</v>
      </c>
      <c r="K1193" s="11" t="s">
        <v>21</v>
      </c>
      <c r="L1193" s="7">
        <v>39948.739537037036</v>
      </c>
      <c r="M1193" s="12" t="s">
        <v>1359</v>
      </c>
      <c r="N1193" s="12" t="s">
        <v>3205</v>
      </c>
      <c r="O1193" s="10" t="str">
        <f>HYPERLINK("https://pbs.twimg.com/profile_images/231479009/logo_dpa_infoline_normal.jpg","View")</f>
        <v>View</v>
      </c>
      <c r="P1193" s="11"/>
    </row>
    <row r="1194" spans="1:16" ht="12.75" x14ac:dyDescent="0.35">
      <c r="A1194" s="7">
        <v>42481.862615740742</v>
      </c>
      <c r="B1194" s="8" t="str">
        <f>HYPERLINK("https://twitter.com/handelsblatt","@handelsblatt")</f>
        <v>@handelsblatt</v>
      </c>
      <c r="C1194" s="9" t="s">
        <v>973</v>
      </c>
      <c r="D1194" s="9" t="s">
        <v>3199</v>
      </c>
      <c r="E1194" s="10" t="str">
        <f>HYPERLINK("https://twitter.com/handelsblatt/status/723167450557235200","723167450557235200")</f>
        <v>723167450557235200</v>
      </c>
      <c r="F1194" s="11" t="s">
        <v>63</v>
      </c>
      <c r="G1194" s="11">
        <v>239918</v>
      </c>
      <c r="H1194" s="11">
        <v>534</v>
      </c>
      <c r="I1194" s="11">
        <v>5</v>
      </c>
      <c r="J1194" s="11">
        <v>0</v>
      </c>
      <c r="K1194" s="11" t="s">
        <v>21</v>
      </c>
      <c r="L1194" s="7">
        <v>39207.128182870372</v>
      </c>
      <c r="M1194" s="12" t="s">
        <v>975</v>
      </c>
      <c r="N1194" s="12" t="s">
        <v>976</v>
      </c>
      <c r="O1194" s="10" t="str">
        <f>HYPERLINK("https://pbs.twimg.com/profile_images/562563461171798017/AkHF4keI_normal.png","View")</f>
        <v>View</v>
      </c>
      <c r="P1194" s="11"/>
    </row>
    <row r="1195" spans="1:16" ht="12.75" x14ac:dyDescent="0.35">
      <c r="A1195" s="7">
        <v>42481.862696759257</v>
      </c>
      <c r="B1195" s="8" t="str">
        <f>HYPERLINK("https://twitter.com/aktionaer","@aktionaer")</f>
        <v>@aktionaer</v>
      </c>
      <c r="C1195" s="9" t="s">
        <v>1252</v>
      </c>
      <c r="D1195" s="9" t="s">
        <v>3206</v>
      </c>
      <c r="E1195" s="10" t="str">
        <f>HYPERLINK("https://twitter.com/aktionaer/status/723167481083252738","723167481083252738")</f>
        <v>723167481083252738</v>
      </c>
      <c r="F1195" s="11" t="s">
        <v>43</v>
      </c>
      <c r="G1195" s="11">
        <v>4631</v>
      </c>
      <c r="H1195" s="11">
        <v>1111</v>
      </c>
      <c r="I1195" s="11">
        <v>0</v>
      </c>
      <c r="J1195" s="11">
        <v>0</v>
      </c>
      <c r="K1195" s="11" t="s">
        <v>21</v>
      </c>
      <c r="L1195" s="7">
        <v>39844.695729166662</v>
      </c>
      <c r="M1195" s="12" t="s">
        <v>1254</v>
      </c>
      <c r="N1195" s="12" t="s">
        <v>1255</v>
      </c>
      <c r="O1195" s="10" t="str">
        <f>HYPERLINK("https://pbs.twimg.com/profile_images/679552623641509888/_vPw9IS2_normal.png","View")</f>
        <v>View</v>
      </c>
      <c r="P1195" s="11"/>
    </row>
    <row r="1196" spans="1:16" ht="12.75" x14ac:dyDescent="0.35">
      <c r="A1196" s="7">
        <v>42481.863668981481</v>
      </c>
      <c r="B1196" s="8" t="str">
        <f>HYPERLINK("https://twitter.com/franz_rother","@franz_rother")</f>
        <v>@franz_rother</v>
      </c>
      <c r="C1196" s="9" t="s">
        <v>1350</v>
      </c>
      <c r="D1196" s="9" t="s">
        <v>3207</v>
      </c>
      <c r="E1196" s="10" t="str">
        <f>HYPERLINK("https://twitter.com/franz_rother/status/723167829470658560","723167829470658560")</f>
        <v>723167829470658560</v>
      </c>
      <c r="F1196" s="11" t="s">
        <v>20</v>
      </c>
      <c r="G1196" s="11">
        <v>770</v>
      </c>
      <c r="H1196" s="11">
        <v>212</v>
      </c>
      <c r="I1196" s="11">
        <v>1</v>
      </c>
      <c r="J1196" s="11">
        <v>0</v>
      </c>
      <c r="K1196" s="11" t="s">
        <v>21</v>
      </c>
      <c r="L1196" s="7">
        <v>40387.831180555557</v>
      </c>
      <c r="M1196" s="12" t="s">
        <v>975</v>
      </c>
      <c r="N1196" s="12" t="s">
        <v>1352</v>
      </c>
      <c r="O1196" s="10" t="str">
        <f>HYPERLINK("https://pbs.twimg.com/profile_images/3228351590/aadb36f2b020cc27adac139aac4a5663_normal.jpeg","View")</f>
        <v>View</v>
      </c>
      <c r="P1196" s="11"/>
    </row>
    <row r="1197" spans="1:16" ht="12.75" x14ac:dyDescent="0.35">
      <c r="A1197" s="7">
        <v>42481.863715277781</v>
      </c>
      <c r="B1197" s="8" t="str">
        <f>HYPERLINK("https://twitter.com/KateGalbraith","@KateGalbraith")</f>
        <v>@KateGalbraith</v>
      </c>
      <c r="C1197" s="9" t="s">
        <v>3164</v>
      </c>
      <c r="D1197" s="9" t="s">
        <v>3208</v>
      </c>
      <c r="E1197" s="10" t="str">
        <f>HYPERLINK("https://twitter.com/KateGalbraith/status/723167850060378112","723167850060378112")</f>
        <v>723167850060378112</v>
      </c>
      <c r="F1197" s="11" t="s">
        <v>43</v>
      </c>
      <c r="G1197" s="11">
        <v>14217</v>
      </c>
      <c r="H1197" s="11">
        <v>1155</v>
      </c>
      <c r="I1197" s="11">
        <v>0</v>
      </c>
      <c r="J1197" s="11">
        <v>0</v>
      </c>
      <c r="K1197" s="11" t="s">
        <v>21</v>
      </c>
      <c r="L1197" s="7">
        <v>40236.186041666668</v>
      </c>
      <c r="M1197" s="12" t="s">
        <v>244</v>
      </c>
      <c r="N1197" s="12" t="s">
        <v>3166</v>
      </c>
      <c r="O1197" s="10" t="str">
        <f>HYPERLINK("https://pbs.twimg.com/profile_images/742861504/KG_normal.jpg","View")</f>
        <v>View</v>
      </c>
      <c r="P1197" s="11"/>
    </row>
    <row r="1198" spans="1:16" ht="12.75" x14ac:dyDescent="0.35">
      <c r="A1198" s="7">
        <v>42481.864004629635</v>
      </c>
      <c r="B1198" s="8" t="str">
        <f>HYPERLINK("https://twitter.com/Theothebald","@Theothebald")</f>
        <v>@Theothebald</v>
      </c>
      <c r="C1198" s="9" t="s">
        <v>3209</v>
      </c>
      <c r="D1198" s="9" t="s">
        <v>3210</v>
      </c>
      <c r="E1198" s="10" t="str">
        <f>HYPERLINK("https://twitter.com/Theothebald/status/723167953374568448","723167953374568448")</f>
        <v>723167953374568448</v>
      </c>
      <c r="F1198" s="11" t="s">
        <v>20</v>
      </c>
      <c r="G1198" s="11">
        <v>1097</v>
      </c>
      <c r="H1198" s="11">
        <v>803</v>
      </c>
      <c r="I1198" s="11">
        <v>7</v>
      </c>
      <c r="J1198" s="11">
        <v>5</v>
      </c>
      <c r="K1198" s="11" t="s">
        <v>21</v>
      </c>
      <c r="L1198" s="7">
        <v>40470.012418981481</v>
      </c>
      <c r="M1198" s="12" t="s">
        <v>638</v>
      </c>
      <c r="N1198" s="12" t="s">
        <v>3211</v>
      </c>
      <c r="O1198" s="10" t="str">
        <f>HYPERLINK("https://pbs.twimg.com/profile_images/2592181176/udsjv0fy0o3b2krnx52h_normal.jpeg","View")</f>
        <v>View</v>
      </c>
      <c r="P1198" s="11"/>
    </row>
    <row r="1199" spans="1:16" ht="12.75" x14ac:dyDescent="0.35">
      <c r="A1199" s="7">
        <v>42481.864074074074</v>
      </c>
      <c r="B1199" s="8" t="str">
        <f>HYPERLINK("https://twitter.com/MarkCSchneider","@MarkCSchneider")</f>
        <v>@MarkCSchneider</v>
      </c>
      <c r="C1199" s="9" t="s">
        <v>952</v>
      </c>
      <c r="D1199" s="9" t="s">
        <v>3212</v>
      </c>
      <c r="E1199" s="10" t="str">
        <f>HYPERLINK("https://twitter.com/MarkCSchneider/status/723167979719020544","723167979719020544")</f>
        <v>723167979719020544</v>
      </c>
      <c r="F1199" s="11" t="s">
        <v>20</v>
      </c>
      <c r="G1199" s="11">
        <v>370</v>
      </c>
      <c r="H1199" s="11">
        <v>335</v>
      </c>
      <c r="I1199" s="11">
        <v>0</v>
      </c>
      <c r="J1199" s="11">
        <v>0</v>
      </c>
      <c r="K1199" s="11" t="s">
        <v>21</v>
      </c>
      <c r="L1199" s="7">
        <v>41495.558136574073</v>
      </c>
      <c r="M1199" s="12" t="s">
        <v>953</v>
      </c>
      <c r="N1199" s="12"/>
      <c r="O1199" s="10" t="str">
        <f>HYPERLINK("https://pbs.twimg.com/profile_images/706784695795769345/XGXgdjww_normal.jpg","View")</f>
        <v>View</v>
      </c>
      <c r="P1199" s="11"/>
    </row>
    <row r="1200" spans="1:16" ht="12.75" x14ac:dyDescent="0.35">
      <c r="A1200" s="7">
        <v>42481.864085648151</v>
      </c>
      <c r="B1200" s="8" t="str">
        <f>HYPERLINK("https://twitter.com/StephChuang","@StephChuang")</f>
        <v>@StephChuang</v>
      </c>
      <c r="C1200" s="9" t="s">
        <v>3213</v>
      </c>
      <c r="D1200" s="9" t="s">
        <v>3214</v>
      </c>
      <c r="E1200" s="10" t="str">
        <f>HYPERLINK("https://twitter.com/StephChuang/status/723167981417570304","723167981417570304")</f>
        <v>723167981417570304</v>
      </c>
      <c r="F1200" s="11" t="s">
        <v>43</v>
      </c>
      <c r="G1200" s="11">
        <v>4489</v>
      </c>
      <c r="H1200" s="11">
        <v>549</v>
      </c>
      <c r="I1200" s="11">
        <v>2</v>
      </c>
      <c r="J1200" s="11">
        <v>1</v>
      </c>
      <c r="K1200" s="11" t="s">
        <v>21</v>
      </c>
      <c r="L1200" s="7">
        <v>40086.078368055554</v>
      </c>
      <c r="M1200" s="13" t="s">
        <v>3215</v>
      </c>
      <c r="N1200" s="12" t="s">
        <v>3216</v>
      </c>
      <c r="O1200" s="10" t="str">
        <f>HYPERLINK("https://pbs.twimg.com/profile_images/722768033307975681/Q0TfBDBg_normal.jpg","View")</f>
        <v>View</v>
      </c>
      <c r="P1200" s="11"/>
    </row>
    <row r="1201" spans="1:16" ht="12.75" x14ac:dyDescent="0.35">
      <c r="A1201" s="7">
        <v>42481.864259259259</v>
      </c>
      <c r="B1201" s="8" t="str">
        <f>HYPERLINK("https://twitter.com/nbcbayarea","@nbcbayarea")</f>
        <v>@nbcbayarea</v>
      </c>
      <c r="C1201" s="9" t="s">
        <v>3217</v>
      </c>
      <c r="D1201" s="9" t="s">
        <v>3218</v>
      </c>
      <c r="E1201" s="10" t="str">
        <f>HYPERLINK("https://twitter.com/nbcbayarea/status/723168044973850627","723168044973850627")</f>
        <v>723168044973850627</v>
      </c>
      <c r="F1201" s="11" t="s">
        <v>43</v>
      </c>
      <c r="G1201" s="11">
        <v>143372</v>
      </c>
      <c r="H1201" s="11">
        <v>2378</v>
      </c>
      <c r="I1201" s="11">
        <v>2</v>
      </c>
      <c r="J1201" s="11">
        <v>0</v>
      </c>
      <c r="K1201" s="11" t="s">
        <v>21</v>
      </c>
      <c r="L1201" s="7">
        <v>39849.132939814815</v>
      </c>
      <c r="M1201" s="12" t="s">
        <v>3219</v>
      </c>
      <c r="N1201" s="12" t="s">
        <v>3220</v>
      </c>
      <c r="O1201" s="10" t="str">
        <f>HYPERLINK("https://pbs.twimg.com/profile_images/459486317982674944/U6v1KsKl_normal.jpeg","View")</f>
        <v>View</v>
      </c>
      <c r="P1201" s="11"/>
    </row>
    <row r="1202" spans="1:16" ht="12.75" x14ac:dyDescent="0.35">
      <c r="A1202" s="7">
        <v>42481.864317129628</v>
      </c>
      <c r="B1202" s="8" t="str">
        <f>HYPERLINK("https://twitter.com/Fat4y","@Fat4y")</f>
        <v>@Fat4y</v>
      </c>
      <c r="C1202" s="9" t="s">
        <v>3221</v>
      </c>
      <c r="D1202" s="9" t="s">
        <v>3222</v>
      </c>
      <c r="E1202" s="10" t="str">
        <f>HYPERLINK("https://twitter.com/Fat4y/status/723168066264260612","723168066264260612")</f>
        <v>723168066264260612</v>
      </c>
      <c r="F1202" s="11" t="s">
        <v>68</v>
      </c>
      <c r="G1202" s="11">
        <v>230</v>
      </c>
      <c r="H1202" s="11">
        <v>233</v>
      </c>
      <c r="I1202" s="11">
        <v>0</v>
      </c>
      <c r="J1202" s="11">
        <v>0</v>
      </c>
      <c r="K1202" s="11" t="s">
        <v>21</v>
      </c>
      <c r="L1202" s="7">
        <v>41092.757604166669</v>
      </c>
      <c r="M1202" s="12" t="s">
        <v>3223</v>
      </c>
      <c r="N1202" s="12" t="s">
        <v>3224</v>
      </c>
      <c r="O1202" s="10" t="str">
        <f>HYPERLINK("https://pbs.twimg.com/profile_images/701348099290218496/iXTmp1jH_normal.jpg","View")</f>
        <v>View</v>
      </c>
      <c r="P1202" s="11"/>
    </row>
    <row r="1203" spans="1:16" ht="12.75" x14ac:dyDescent="0.35">
      <c r="A1203" s="7">
        <v>42481.864641203705</v>
      </c>
      <c r="B1203" s="8" t="str">
        <f>HYPERLINK("https://twitter.com/VWBeetleSales","@VWBeetleSales")</f>
        <v>@VWBeetleSales</v>
      </c>
      <c r="C1203" s="9" t="s">
        <v>127</v>
      </c>
      <c r="D1203" s="9" t="s">
        <v>3225</v>
      </c>
      <c r="E1203" s="10" t="str">
        <f>HYPERLINK("https://twitter.com/VWBeetleSales/status/723168183255883780","723168183255883780")</f>
        <v>723168183255883780</v>
      </c>
      <c r="F1203" s="10" t="s">
        <v>124</v>
      </c>
      <c r="G1203" s="11">
        <v>35</v>
      </c>
      <c r="H1203" s="11">
        <v>32</v>
      </c>
      <c r="I1203" s="11">
        <v>0</v>
      </c>
      <c r="J1203" s="11">
        <v>0</v>
      </c>
      <c r="K1203" s="11" t="s">
        <v>21</v>
      </c>
      <c r="L1203" s="7">
        <v>42427.019756944443</v>
      </c>
      <c r="M1203" s="12" t="s">
        <v>129</v>
      </c>
      <c r="N1203" s="12" t="s">
        <v>130</v>
      </c>
      <c r="O1203" s="10" t="str">
        <f>HYPERLINK("https://pbs.twimg.com/profile_images/703294545195307008/qeCvrX86_normal.jpg","View")</f>
        <v>View</v>
      </c>
      <c r="P1203" s="11"/>
    </row>
    <row r="1204" spans="1:16" ht="12.75" x14ac:dyDescent="0.35">
      <c r="A1204" s="7">
        <v>42481.864849537036</v>
      </c>
      <c r="B1204" s="8" t="str">
        <f>HYPERLINK("https://twitter.com/MarkCSchneider","@MarkCSchneider")</f>
        <v>@MarkCSchneider</v>
      </c>
      <c r="C1204" s="9" t="s">
        <v>952</v>
      </c>
      <c r="D1204" s="9" t="s">
        <v>3226</v>
      </c>
      <c r="E1204" s="10" t="str">
        <f>HYPERLINK("https://twitter.com/MarkCSchneider/status/723168257461653505","723168257461653505")</f>
        <v>723168257461653505</v>
      </c>
      <c r="F1204" s="11" t="s">
        <v>20</v>
      </c>
      <c r="G1204" s="11">
        <v>370</v>
      </c>
      <c r="H1204" s="11">
        <v>335</v>
      </c>
      <c r="I1204" s="11">
        <v>1</v>
      </c>
      <c r="J1204" s="11">
        <v>0</v>
      </c>
      <c r="K1204" s="11" t="s">
        <v>21</v>
      </c>
      <c r="L1204" s="7">
        <v>41495.558136574073</v>
      </c>
      <c r="M1204" s="12" t="s">
        <v>953</v>
      </c>
      <c r="N1204" s="12"/>
      <c r="O1204" s="10" t="str">
        <f>HYPERLINK("https://pbs.twimg.com/profile_images/706784695795769345/XGXgdjww_normal.jpg","View")</f>
        <v>View</v>
      </c>
      <c r="P1204" s="11"/>
    </row>
    <row r="1205" spans="1:16" ht="12.75" x14ac:dyDescent="0.35">
      <c r="A1205" s="7">
        <v>42481.864965277782</v>
      </c>
      <c r="B1205" s="8" t="str">
        <f>HYPERLINK("https://twitter.com/dfmboy","@dfmboy")</f>
        <v>@dfmboy</v>
      </c>
      <c r="C1205" s="9" t="s">
        <v>3227</v>
      </c>
      <c r="D1205" s="9" t="s">
        <v>3228</v>
      </c>
      <c r="E1205" s="10" t="str">
        <f>HYPERLINK("https://twitter.com/dfmboy/status/723168302902726656","723168302902726656")</f>
        <v>723168302902726656</v>
      </c>
      <c r="F1205" s="11" t="s">
        <v>48</v>
      </c>
      <c r="G1205" s="11">
        <v>1068</v>
      </c>
      <c r="H1205" s="11">
        <v>1973</v>
      </c>
      <c r="I1205" s="11">
        <v>7</v>
      </c>
      <c r="J1205" s="11">
        <v>0</v>
      </c>
      <c r="K1205" s="11" t="s">
        <v>21</v>
      </c>
      <c r="L1205" s="7">
        <v>39909.474641203706</v>
      </c>
      <c r="M1205" s="12" t="s">
        <v>3229</v>
      </c>
      <c r="N1205" s="12" t="s">
        <v>3230</v>
      </c>
      <c r="O1205" s="10" t="str">
        <f>HYPERLINK("https://pbs.twimg.com/profile_images/713274484128616448/5CURMCDr_normal.jpg","View")</f>
        <v>View</v>
      </c>
      <c r="P1205" s="11"/>
    </row>
    <row r="1206" spans="1:16" ht="12.75" x14ac:dyDescent="0.35">
      <c r="A1206" s="7">
        <v>42481.865034722221</v>
      </c>
      <c r="B1206" s="8" t="str">
        <f>HYPERLINK("https://twitter.com/089stadt","@089stadt")</f>
        <v>@089stadt</v>
      </c>
      <c r="C1206" s="9" t="s">
        <v>3231</v>
      </c>
      <c r="D1206" s="9" t="s">
        <v>3232</v>
      </c>
      <c r="E1206" s="10" t="str">
        <f>HYPERLINK("https://twitter.com/089stadt/status/723168326353051648","723168326353051648")</f>
        <v>723168326353051648</v>
      </c>
      <c r="F1206" s="11" t="s">
        <v>2206</v>
      </c>
      <c r="G1206" s="11">
        <v>229</v>
      </c>
      <c r="H1206" s="11">
        <v>5</v>
      </c>
      <c r="I1206" s="11">
        <v>0</v>
      </c>
      <c r="J1206" s="11">
        <v>0</v>
      </c>
      <c r="K1206" s="11" t="s">
        <v>21</v>
      </c>
      <c r="L1206" s="7">
        <v>40873.942430555559</v>
      </c>
      <c r="M1206" s="12" t="s">
        <v>3233</v>
      </c>
      <c r="N1206" s="12" t="s">
        <v>3234</v>
      </c>
      <c r="O1206" s="10" t="str">
        <f>HYPERLINK("https://pbs.twimg.com/profile_images/1785128505/munich_normal.png","View")</f>
        <v>View</v>
      </c>
      <c r="P1206" s="11"/>
    </row>
    <row r="1207" spans="1:16" ht="12.75" x14ac:dyDescent="0.35">
      <c r="A1207" s="7">
        <v>42481.865057870367</v>
      </c>
      <c r="B1207" s="8" t="str">
        <f>HYPERLINK("https://twitter.com/die_socke","@die_socke")</f>
        <v>@die_socke</v>
      </c>
      <c r="C1207" s="9" t="s">
        <v>3235</v>
      </c>
      <c r="D1207" s="9" t="s">
        <v>854</v>
      </c>
      <c r="E1207" s="10" t="str">
        <f>HYPERLINK("https://twitter.com/die_socke/status/723168335286964224","723168335286964224")</f>
        <v>723168335286964224</v>
      </c>
      <c r="F1207" s="11" t="s">
        <v>80</v>
      </c>
      <c r="G1207" s="11">
        <v>634</v>
      </c>
      <c r="H1207" s="11">
        <v>749</v>
      </c>
      <c r="I1207" s="11">
        <v>11</v>
      </c>
      <c r="J1207" s="11">
        <v>0</v>
      </c>
      <c r="K1207" s="11" t="s">
        <v>21</v>
      </c>
      <c r="L1207" s="7">
        <v>39890.000937500001</v>
      </c>
      <c r="M1207" s="12" t="s">
        <v>3236</v>
      </c>
      <c r="N1207" s="12" t="s">
        <v>3237</v>
      </c>
      <c r="O1207" s="10" t="str">
        <f>HYPERLINK("https://pbs.twimg.com/profile_images/720406265957101568/m_NCBs1d_normal.jpg","View")</f>
        <v>View</v>
      </c>
      <c r="P1207" s="11"/>
    </row>
    <row r="1208" spans="1:16" ht="12.75" x14ac:dyDescent="0.35">
      <c r="A1208" s="7">
        <v>42481.865069444444</v>
      </c>
      <c r="B1208" s="8" t="str">
        <f>HYPERLINK("https://twitter.com/Fernandez_Diego","@Fernandez_Diego")</f>
        <v>@Fernandez_Diego</v>
      </c>
      <c r="C1208" s="9" t="s">
        <v>3238</v>
      </c>
      <c r="D1208" s="9" t="s">
        <v>3239</v>
      </c>
      <c r="E1208" s="10" t="str">
        <f>HYPERLINK("https://twitter.com/Fernandez_Diego/status/723168340064260096","723168340064260096")</f>
        <v>723168340064260096</v>
      </c>
      <c r="F1208" s="11" t="s">
        <v>48</v>
      </c>
      <c r="G1208" s="11">
        <v>1347</v>
      </c>
      <c r="H1208" s="11">
        <v>1316</v>
      </c>
      <c r="I1208" s="11">
        <v>16</v>
      </c>
      <c r="J1208" s="11">
        <v>0</v>
      </c>
      <c r="K1208" s="11" t="s">
        <v>21</v>
      </c>
      <c r="L1208" s="7">
        <v>40011.965914351851</v>
      </c>
      <c r="M1208" s="12"/>
      <c r="N1208" s="12" t="s">
        <v>3240</v>
      </c>
      <c r="O1208" s="10" t="str">
        <f>HYPERLINK("https://pbs.twimg.com/profile_images/556255417714503681/B78CvKEX_normal.jpeg","View")</f>
        <v>View</v>
      </c>
      <c r="P1208" s="11"/>
    </row>
    <row r="1209" spans="1:16" ht="12.75" x14ac:dyDescent="0.35">
      <c r="A1209" s="7">
        <v>42481.865370370375</v>
      </c>
      <c r="B1209" s="8" t="str">
        <f>HYPERLINK("https://twitter.com/AutoExpress","@AutoExpress")</f>
        <v>@AutoExpress</v>
      </c>
      <c r="C1209" s="9" t="s">
        <v>1973</v>
      </c>
      <c r="D1209" s="9" t="s">
        <v>3241</v>
      </c>
      <c r="E1209" s="10" t="str">
        <f>HYPERLINK("https://twitter.com/AutoExpress/status/723168446339407872","723168446339407872")</f>
        <v>723168446339407872</v>
      </c>
      <c r="F1209" s="11" t="s">
        <v>63</v>
      </c>
      <c r="G1209" s="11">
        <v>93139</v>
      </c>
      <c r="H1209" s="11">
        <v>776</v>
      </c>
      <c r="I1209" s="11">
        <v>3</v>
      </c>
      <c r="J1209" s="11">
        <v>4</v>
      </c>
      <c r="K1209" s="11" t="s">
        <v>21</v>
      </c>
      <c r="L1209" s="7">
        <v>39869.653437499997</v>
      </c>
      <c r="M1209" s="12" t="s">
        <v>638</v>
      </c>
      <c r="N1209" s="12" t="s">
        <v>1975</v>
      </c>
      <c r="O1209" s="10" t="str">
        <f>HYPERLINK("https://pbs.twimg.com/profile_images/378800000673633859/9729e4c280465095c6f835c9f6b36378_normal.jpeg","View")</f>
        <v>View</v>
      </c>
      <c r="P1209" s="11"/>
    </row>
    <row r="1210" spans="1:16" ht="12.75" x14ac:dyDescent="0.35">
      <c r="A1210" s="7">
        <v>42481.86550925926</v>
      </c>
      <c r="B1210" s="8" t="str">
        <f>HYPERLINK("https://twitter.com/emshapro","@emshapro")</f>
        <v>@emshapro</v>
      </c>
      <c r="C1210" s="9" t="s">
        <v>3242</v>
      </c>
      <c r="D1210" s="9" t="s">
        <v>3243</v>
      </c>
      <c r="E1210" s="10" t="str">
        <f>HYPERLINK("https://twitter.com/emshapro/status/723168497270939648","723168497270939648")</f>
        <v>723168497270939648</v>
      </c>
      <c r="F1210" s="11" t="s">
        <v>63</v>
      </c>
      <c r="G1210" s="11">
        <v>368</v>
      </c>
      <c r="H1210" s="11">
        <v>200</v>
      </c>
      <c r="I1210" s="11">
        <v>0</v>
      </c>
      <c r="J1210" s="11">
        <v>1</v>
      </c>
      <c r="K1210" s="11" t="s">
        <v>21</v>
      </c>
      <c r="L1210" s="7">
        <v>41686.104988425926</v>
      </c>
      <c r="M1210" s="12" t="s">
        <v>1931</v>
      </c>
      <c r="N1210" s="12" t="s">
        <v>3244</v>
      </c>
      <c r="O1210" s="10" t="str">
        <f>HYPERLINK("https://pbs.twimg.com/profile_images/655100507963396096/MpbRxsYA_normal.jpg","View")</f>
        <v>View</v>
      </c>
      <c r="P1210" s="11"/>
    </row>
    <row r="1211" spans="1:16" ht="12.75" x14ac:dyDescent="0.35">
      <c r="A1211" s="7">
        <v>42481.865590277783</v>
      </c>
      <c r="B1211" s="8" t="str">
        <f>HYPERLINK("https://twitter.com/ARDText","@ARDText")</f>
        <v>@ARDText</v>
      </c>
      <c r="C1211" s="9" t="s">
        <v>3245</v>
      </c>
      <c r="D1211" s="9" t="s">
        <v>3246</v>
      </c>
      <c r="E1211" s="10" t="str">
        <f>HYPERLINK("https://twitter.com/ARDText/status/723168529546133505","723168529546133505")</f>
        <v>723168529546133505</v>
      </c>
      <c r="F1211" s="11" t="s">
        <v>20</v>
      </c>
      <c r="G1211" s="11">
        <v>1104</v>
      </c>
      <c r="H1211" s="11">
        <v>159</v>
      </c>
      <c r="I1211" s="11">
        <v>0</v>
      </c>
      <c r="J1211" s="11">
        <v>0</v>
      </c>
      <c r="K1211" s="11" t="s">
        <v>21</v>
      </c>
      <c r="L1211" s="7">
        <v>40495.812939814816</v>
      </c>
      <c r="M1211" s="12"/>
      <c r="N1211" s="12" t="s">
        <v>3247</v>
      </c>
      <c r="O1211" s="10" t="str">
        <f>HYPERLINK("https://pbs.twimg.com/profile_images/378800000379330396/77552c79299d74516d67ff64d69658a6_normal.jpeg","View")</f>
        <v>View</v>
      </c>
      <c r="P1211" s="11"/>
    </row>
    <row r="1212" spans="1:16" ht="12.75" x14ac:dyDescent="0.35">
      <c r="A1212" s="7">
        <v>42481.865787037037</v>
      </c>
      <c r="B1212" s="8" t="str">
        <f>HYPERLINK("https://twitter.com/Aethonaia","@Aethonaia")</f>
        <v>@Aethonaia</v>
      </c>
      <c r="C1212" s="9" t="s">
        <v>3248</v>
      </c>
      <c r="D1212" s="9" t="s">
        <v>2764</v>
      </c>
      <c r="E1212" s="10" t="str">
        <f>HYPERLINK("https://twitter.com/Aethonaia/status/723168598240321536","723168598240321536")</f>
        <v>723168598240321536</v>
      </c>
      <c r="F1212" s="11" t="s">
        <v>43</v>
      </c>
      <c r="G1212" s="11">
        <v>1699</v>
      </c>
      <c r="H1212" s="11">
        <v>1961</v>
      </c>
      <c r="I1212" s="11">
        <v>5</v>
      </c>
      <c r="J1212" s="11">
        <v>0</v>
      </c>
      <c r="K1212" s="11" t="s">
        <v>21</v>
      </c>
      <c r="L1212" s="7">
        <v>41745.710347222222</v>
      </c>
      <c r="M1212" s="12"/>
      <c r="N1212" s="12" t="s">
        <v>3249</v>
      </c>
      <c r="O1212" s="10" t="str">
        <f>HYPERLINK("https://pbs.twimg.com/profile_images/456425310192291840/EItuhA9j_normal.jpeg","View")</f>
        <v>View</v>
      </c>
      <c r="P1212" s="11"/>
    </row>
    <row r="1213" spans="1:16" ht="12.75" x14ac:dyDescent="0.35">
      <c r="A1213" s="7">
        <v>42481.865787037037</v>
      </c>
      <c r="B1213" s="8" t="str">
        <f>HYPERLINK("https://twitter.com/BungerKCBS","@BungerKCBS")</f>
        <v>@BungerKCBS</v>
      </c>
      <c r="C1213" s="9" t="s">
        <v>3250</v>
      </c>
      <c r="D1213" s="9" t="s">
        <v>3251</v>
      </c>
      <c r="E1213" s="10" t="str">
        <f>HYPERLINK("https://twitter.com/BungerKCBS/status/723168599188217858","723168599188217858")</f>
        <v>723168599188217858</v>
      </c>
      <c r="F1213" s="11" t="s">
        <v>63</v>
      </c>
      <c r="G1213" s="11">
        <v>4038</v>
      </c>
      <c r="H1213" s="11">
        <v>747</v>
      </c>
      <c r="I1213" s="11">
        <v>1</v>
      </c>
      <c r="J1213" s="11">
        <v>0</v>
      </c>
      <c r="K1213" s="11" t="s">
        <v>21</v>
      </c>
      <c r="L1213" s="7">
        <v>39856.84511574074</v>
      </c>
      <c r="M1213" s="12" t="s">
        <v>155</v>
      </c>
      <c r="N1213" s="12" t="s">
        <v>3252</v>
      </c>
      <c r="O1213" s="10" t="str">
        <f>HYPERLINK("https://pbs.twimg.com/profile_images/199472915/stan_twitter_normal.jpg","View")</f>
        <v>View</v>
      </c>
      <c r="P1213" s="11"/>
    </row>
    <row r="1214" spans="1:16" ht="12.75" x14ac:dyDescent="0.35">
      <c r="A1214" s="7">
        <v>42481.86583333333</v>
      </c>
      <c r="B1214" s="8" t="str">
        <f>HYPERLINK("https://twitter.com/boerseonline","@boerseonline")</f>
        <v>@boerseonline</v>
      </c>
      <c r="C1214" s="9" t="s">
        <v>3253</v>
      </c>
      <c r="D1214" s="9" t="s">
        <v>3254</v>
      </c>
      <c r="E1214" s="10" t="str">
        <f>HYPERLINK("https://twitter.com/boerseonline/status/723168615290150912","723168615290150912")</f>
        <v>723168615290150912</v>
      </c>
      <c r="F1214" s="11" t="s">
        <v>43</v>
      </c>
      <c r="G1214" s="11">
        <v>5966</v>
      </c>
      <c r="H1214" s="11">
        <v>19</v>
      </c>
      <c r="I1214" s="11">
        <v>0</v>
      </c>
      <c r="J1214" s="11">
        <v>0</v>
      </c>
      <c r="K1214" s="11" t="s">
        <v>21</v>
      </c>
      <c r="L1214" s="7">
        <v>39574.886840277773</v>
      </c>
      <c r="M1214" s="12" t="s">
        <v>1931</v>
      </c>
      <c r="N1214" s="12" t="s">
        <v>3255</v>
      </c>
      <c r="O1214" s="10" t="str">
        <f>HYPERLINK("https://pbs.twimg.com/profile_images/522305770503696384/J6guKsKV_normal.jpeg","View")</f>
        <v>View</v>
      </c>
      <c r="P1214" s="11"/>
    </row>
    <row r="1215" spans="1:16" ht="12.75" x14ac:dyDescent="0.35">
      <c r="A1215" s="7">
        <v>42481.865972222222</v>
      </c>
      <c r="B1215" s="8" t="str">
        <f>HYPERLINK("https://twitter.com/rpo_wirtschaft","@rpo_wirtschaft")</f>
        <v>@rpo_wirtschaft</v>
      </c>
      <c r="C1215" s="9" t="s">
        <v>1131</v>
      </c>
      <c r="D1215" s="9" t="s">
        <v>3256</v>
      </c>
      <c r="E1215" s="10" t="str">
        <f>HYPERLINK("https://twitter.com/rpo_wirtschaft/status/723168664866967552","723168664866967552")</f>
        <v>723168664866967552</v>
      </c>
      <c r="F1215" s="11" t="s">
        <v>1133</v>
      </c>
      <c r="G1215" s="11">
        <v>562</v>
      </c>
      <c r="H1215" s="11">
        <v>0</v>
      </c>
      <c r="I1215" s="11">
        <v>0</v>
      </c>
      <c r="J1215" s="11">
        <v>1</v>
      </c>
      <c r="K1215" s="11" t="s">
        <v>21</v>
      </c>
      <c r="L1215" s="7">
        <v>39745.628877314812</v>
      </c>
      <c r="M1215" s="12" t="s">
        <v>975</v>
      </c>
      <c r="N1215" s="12" t="s">
        <v>1134</v>
      </c>
      <c r="O1215" s="10" t="str">
        <f>HYPERLINK("https://pbs.twimg.com/profile_images/62751185/logo_rp_normal.gif","View")</f>
        <v>View</v>
      </c>
      <c r="P1215" s="11"/>
    </row>
    <row r="1216" spans="1:16" ht="12.75" x14ac:dyDescent="0.35">
      <c r="A1216" s="7">
        <v>42481.866273148145</v>
      </c>
      <c r="B1216" s="8" t="str">
        <f>HYPERLINK("https://twitter.com/CV_OT","@CV_OT")</f>
        <v>@CV_OT</v>
      </c>
      <c r="C1216" s="9" t="s">
        <v>3257</v>
      </c>
      <c r="D1216" s="9" t="s">
        <v>3258</v>
      </c>
      <c r="E1216" s="10" t="str">
        <f>HYPERLINK("https://twitter.com/CV_OT/status/723168776473157632","723168776473157632")</f>
        <v>723168776473157632</v>
      </c>
      <c r="F1216" s="11" t="s">
        <v>20</v>
      </c>
      <c r="G1216" s="11">
        <v>146</v>
      </c>
      <c r="H1216" s="11">
        <v>476</v>
      </c>
      <c r="I1216" s="11">
        <v>1</v>
      </c>
      <c r="J1216" s="11">
        <v>0</v>
      </c>
      <c r="K1216" s="11" t="s">
        <v>21</v>
      </c>
      <c r="L1216" s="7">
        <v>41001.960509259261</v>
      </c>
      <c r="M1216" s="12" t="s">
        <v>3259</v>
      </c>
      <c r="N1216" s="12" t="s">
        <v>3260</v>
      </c>
      <c r="O1216" s="10" t="str">
        <f>HYPERLINK("https://pbs.twimg.com/profile_images/712300319754084352/j0AUDBX6_normal.jpg","View")</f>
        <v>View</v>
      </c>
      <c r="P1216" s="11"/>
    </row>
    <row r="1217" spans="1:16" ht="12.75" x14ac:dyDescent="0.35">
      <c r="A1217" s="7">
        <v>42481.866319444445</v>
      </c>
      <c r="B1217" s="8" t="str">
        <f>HYPERLINK("https://twitter.com/aktuelle_stunde","@aktuelle_stunde")</f>
        <v>@aktuelle_stunde</v>
      </c>
      <c r="C1217" s="9" t="s">
        <v>3261</v>
      </c>
      <c r="D1217" s="9" t="s">
        <v>3262</v>
      </c>
      <c r="E1217" s="10" t="str">
        <f>HYPERLINK("https://twitter.com/aktuelle_stunde/status/723168791677411328","723168791677411328")</f>
        <v>723168791677411328</v>
      </c>
      <c r="F1217" s="11" t="s">
        <v>43</v>
      </c>
      <c r="G1217" s="11">
        <v>32526</v>
      </c>
      <c r="H1217" s="11">
        <v>261</v>
      </c>
      <c r="I1217" s="11">
        <v>0</v>
      </c>
      <c r="J1217" s="11">
        <v>0</v>
      </c>
      <c r="K1217" s="11" t="s">
        <v>21</v>
      </c>
      <c r="L1217" s="7">
        <v>40914.826516203706</v>
      </c>
      <c r="M1217" s="12" t="s">
        <v>975</v>
      </c>
      <c r="N1217" s="12" t="s">
        <v>3263</v>
      </c>
      <c r="O1217" s="10" t="str">
        <f>HYPERLINK("https://pbs.twimg.com/profile_images/488939589520740353/HVTIWICi_normal.jpeg","View")</f>
        <v>View</v>
      </c>
      <c r="P1217" s="11"/>
    </row>
    <row r="1218" spans="1:16" ht="12.75" x14ac:dyDescent="0.35">
      <c r="A1218" s="7">
        <v>42481.866585648153</v>
      </c>
      <c r="B1218" s="8" t="str">
        <f>HYPERLINK("https://twitter.com/andym1908","@andym1908")</f>
        <v>@andym1908</v>
      </c>
      <c r="C1218" s="9" t="s">
        <v>3264</v>
      </c>
      <c r="D1218" s="9" t="s">
        <v>3265</v>
      </c>
      <c r="E1218" s="10" t="str">
        <f>HYPERLINK("https://twitter.com/andym1908/status/723168886762409984","723168886762409984")</f>
        <v>723168886762409984</v>
      </c>
      <c r="F1218" s="11" t="s">
        <v>48</v>
      </c>
      <c r="G1218" s="11">
        <v>608</v>
      </c>
      <c r="H1218" s="11">
        <v>1013</v>
      </c>
      <c r="I1218" s="11">
        <v>3</v>
      </c>
      <c r="J1218" s="11">
        <v>0</v>
      </c>
      <c r="K1218" s="11" t="s">
        <v>21</v>
      </c>
      <c r="L1218" s="7">
        <v>41177.013437499998</v>
      </c>
      <c r="M1218" s="12" t="s">
        <v>3266</v>
      </c>
      <c r="N1218" s="12" t="s">
        <v>3267</v>
      </c>
      <c r="O1218" s="10" t="str">
        <f>HYPERLINK("https://pbs.twimg.com/profile_images/499178356295094272/IWQKuDTS_normal.jpeg","View")</f>
        <v>View</v>
      </c>
      <c r="P1218" s="11"/>
    </row>
    <row r="1219" spans="1:16" ht="12.75" x14ac:dyDescent="0.35">
      <c r="A1219" s="7">
        <v>42481.866631944446</v>
      </c>
      <c r="B1219" s="8" t="str">
        <f>HYPERLINK("https://twitter.com/emilyrusch","@emilyrusch")</f>
        <v>@emilyrusch</v>
      </c>
      <c r="C1219" s="9" t="s">
        <v>3268</v>
      </c>
      <c r="D1219" s="9" t="s">
        <v>3269</v>
      </c>
      <c r="E1219" s="10" t="str">
        <f>HYPERLINK("https://twitter.com/emilyrusch/status/723168904160272384","723168904160272384")</f>
        <v>723168904160272384</v>
      </c>
      <c r="F1219" s="11" t="s">
        <v>20</v>
      </c>
      <c r="G1219" s="11">
        <v>149</v>
      </c>
      <c r="H1219" s="11">
        <v>378</v>
      </c>
      <c r="I1219" s="11">
        <v>0</v>
      </c>
      <c r="J1219" s="11">
        <v>2</v>
      </c>
      <c r="K1219" s="11" t="s">
        <v>21</v>
      </c>
      <c r="L1219" s="7">
        <v>40230.948171296295</v>
      </c>
      <c r="M1219" s="12" t="s">
        <v>3270</v>
      </c>
      <c r="N1219" s="12" t="s">
        <v>3271</v>
      </c>
      <c r="O1219" s="10" t="str">
        <f>HYPERLINK("https://pbs.twimg.com/profile_images/649282853226745858/VsTbEl77_normal.jpg","View")</f>
        <v>View</v>
      </c>
      <c r="P1219" s="11"/>
    </row>
    <row r="1220" spans="1:16" ht="12.75" x14ac:dyDescent="0.35">
      <c r="A1220" s="7">
        <v>42481.866643518515</v>
      </c>
      <c r="B1220" s="8" t="str">
        <f>HYPERLINK("https://twitter.com/fr","@fr")</f>
        <v>@fr</v>
      </c>
      <c r="C1220" s="9" t="s">
        <v>3272</v>
      </c>
      <c r="D1220" s="9" t="s">
        <v>3273</v>
      </c>
      <c r="E1220" s="10" t="str">
        <f>HYPERLINK("https://twitter.com/fr/status/723168909185167360","723168909185167360")</f>
        <v>723168909185167360</v>
      </c>
      <c r="F1220" s="11" t="s">
        <v>63</v>
      </c>
      <c r="G1220" s="11">
        <v>91662</v>
      </c>
      <c r="H1220" s="11">
        <v>315</v>
      </c>
      <c r="I1220" s="11">
        <v>0</v>
      </c>
      <c r="J1220" s="11">
        <v>0</v>
      </c>
      <c r="K1220" s="11" t="s">
        <v>21</v>
      </c>
      <c r="L1220" s="7">
        <v>39785.789351851854</v>
      </c>
      <c r="M1220" s="12" t="s">
        <v>3274</v>
      </c>
      <c r="N1220" s="12" t="s">
        <v>3275</v>
      </c>
      <c r="O1220" s="10" t="str">
        <f>HYPERLINK("https://pbs.twimg.com/profile_images/378800000730199993/4cc42b7be5291c568b05b651a903d3d3_normal.jpeg","View")</f>
        <v>View</v>
      </c>
      <c r="P1220" s="11"/>
    </row>
    <row r="1221" spans="1:16" ht="12.75" x14ac:dyDescent="0.35">
      <c r="A1221" s="7">
        <v>42481.866666666669</v>
      </c>
      <c r="B1221" s="8" t="str">
        <f>HYPERLINK("https://twitter.com/emilyrusch","@emilyrusch")</f>
        <v>@emilyrusch</v>
      </c>
      <c r="C1221" s="9" t="s">
        <v>3268</v>
      </c>
      <c r="D1221" s="9" t="s">
        <v>3276</v>
      </c>
      <c r="E1221" s="10" t="str">
        <f>HYPERLINK("https://twitter.com/emilyrusch/status/723168915983986688","723168915983986688")</f>
        <v>723168915983986688</v>
      </c>
      <c r="F1221" s="11" t="s">
        <v>20</v>
      </c>
      <c r="G1221" s="11">
        <v>149</v>
      </c>
      <c r="H1221" s="11">
        <v>378</v>
      </c>
      <c r="I1221" s="11">
        <v>0</v>
      </c>
      <c r="J1221" s="11">
        <v>3</v>
      </c>
      <c r="K1221" s="11" t="s">
        <v>21</v>
      </c>
      <c r="L1221" s="7">
        <v>40230.948171296295</v>
      </c>
      <c r="M1221" s="12" t="s">
        <v>3270</v>
      </c>
      <c r="N1221" s="12" t="s">
        <v>3271</v>
      </c>
      <c r="O1221" s="10" t="str">
        <f>HYPERLINK("https://pbs.twimg.com/profile_images/649282853226745858/VsTbEl77_normal.jpg","View")</f>
        <v>View</v>
      </c>
      <c r="P1221" s="11"/>
    </row>
    <row r="1222" spans="1:16" ht="12.75" x14ac:dyDescent="0.35">
      <c r="A1222" s="7">
        <v>42481.866736111115</v>
      </c>
      <c r="B1222" s="8" t="str">
        <f>HYPERLINK("https://twitter.com/aktionaer","@aktionaer")</f>
        <v>@aktionaer</v>
      </c>
      <c r="C1222" s="9" t="s">
        <v>1252</v>
      </c>
      <c r="D1222" s="9" t="s">
        <v>3277</v>
      </c>
      <c r="E1222" s="10" t="str">
        <f>HYPERLINK("https://twitter.com/aktionaer/status/723168941590241286","723168941590241286")</f>
        <v>723168941590241286</v>
      </c>
      <c r="F1222" s="11" t="s">
        <v>43</v>
      </c>
      <c r="G1222" s="11">
        <v>4631</v>
      </c>
      <c r="H1222" s="11">
        <v>1111</v>
      </c>
      <c r="I1222" s="11">
        <v>0</v>
      </c>
      <c r="J1222" s="11">
        <v>0</v>
      </c>
      <c r="K1222" s="11" t="s">
        <v>21</v>
      </c>
      <c r="L1222" s="7">
        <v>39844.695729166662</v>
      </c>
      <c r="M1222" s="12" t="s">
        <v>1254</v>
      </c>
      <c r="N1222" s="12" t="s">
        <v>1255</v>
      </c>
      <c r="O1222" s="10" t="str">
        <f>HYPERLINK("https://pbs.twimg.com/profile_images/679552623641509888/_vPw9IS2_normal.png","View")</f>
        <v>View</v>
      </c>
      <c r="P1222" s="11"/>
    </row>
    <row r="1223" spans="1:16" ht="12.75" x14ac:dyDescent="0.35">
      <c r="A1223" s="7">
        <v>42481.867430555554</v>
      </c>
      <c r="B1223" s="8" t="str">
        <f>HYPERLINK("https://twitter.com/BBCBusiness","@BBCBusiness")</f>
        <v>@BBCBusiness</v>
      </c>
      <c r="C1223" s="9" t="s">
        <v>3278</v>
      </c>
      <c r="D1223" s="9" t="s">
        <v>3279</v>
      </c>
      <c r="E1223" s="10" t="str">
        <f>HYPERLINK("https://twitter.com/BBCBusiness/status/723169192678174720","723169192678174720")</f>
        <v>723169192678174720</v>
      </c>
      <c r="F1223" s="11" t="s">
        <v>63</v>
      </c>
      <c r="G1223" s="11">
        <v>1763005</v>
      </c>
      <c r="H1223" s="11">
        <v>153</v>
      </c>
      <c r="I1223" s="11">
        <v>7</v>
      </c>
      <c r="J1223" s="11">
        <v>0</v>
      </c>
      <c r="K1223" s="11" t="s">
        <v>21</v>
      </c>
      <c r="L1223" s="7">
        <v>39092.751909722225</v>
      </c>
      <c r="M1223" s="12" t="s">
        <v>3280</v>
      </c>
      <c r="N1223" s="12" t="s">
        <v>3281</v>
      </c>
      <c r="O1223" s="10" t="str">
        <f>HYPERLINK("https://pbs.twimg.com/profile_images/631839981611388932/vD22OUWu_normal.png","View")</f>
        <v>View</v>
      </c>
      <c r="P1223" s="11"/>
    </row>
    <row r="1224" spans="1:16" ht="12.75" x14ac:dyDescent="0.35">
      <c r="A1224" s="7">
        <v>42481.867650462962</v>
      </c>
      <c r="B1224" s="8" t="str">
        <f>HYPERLINK("https://twitter.com/HAZ","@HAZ")</f>
        <v>@HAZ</v>
      </c>
      <c r="C1224" s="9" t="s">
        <v>3282</v>
      </c>
      <c r="D1224" s="9" t="s">
        <v>3283</v>
      </c>
      <c r="E1224" s="10" t="str">
        <f>HYPERLINK("https://twitter.com/HAZ/status/723169276106936321","723169276106936321")</f>
        <v>723169276106936321</v>
      </c>
      <c r="F1224" s="11" t="s">
        <v>43</v>
      </c>
      <c r="G1224" s="11">
        <v>36671</v>
      </c>
      <c r="H1224" s="11">
        <v>211</v>
      </c>
      <c r="I1224" s="11">
        <v>0</v>
      </c>
      <c r="J1224" s="11">
        <v>1</v>
      </c>
      <c r="K1224" s="11" t="s">
        <v>21</v>
      </c>
      <c r="L1224" s="7">
        <v>39675.965497685189</v>
      </c>
      <c r="M1224" s="12" t="s">
        <v>3284</v>
      </c>
      <c r="N1224" s="12" t="s">
        <v>3285</v>
      </c>
      <c r="O1224" s="10" t="str">
        <f>HYPERLINK("https://pbs.twimg.com/profile_images/603240721072726016/PyXJlsR9_normal.png","View")</f>
        <v>View</v>
      </c>
      <c r="P1224" s="11"/>
    </row>
    <row r="1225" spans="1:16" ht="12.75" x14ac:dyDescent="0.35">
      <c r="A1225" s="7">
        <v>42481.867800925931</v>
      </c>
      <c r="B1225" s="8" t="str">
        <f>HYPERLINK("https://twitter.com/bayl","@bayl")</f>
        <v>@bayl</v>
      </c>
      <c r="C1225" s="9" t="s">
        <v>3167</v>
      </c>
      <c r="D1225" s="9" t="s">
        <v>3286</v>
      </c>
      <c r="E1225" s="10" t="str">
        <f>HYPERLINK("https://twitter.com/bayl/status/723169328783204354","723169328783204354")</f>
        <v>723169328783204354</v>
      </c>
      <c r="F1225" s="11" t="s">
        <v>43</v>
      </c>
      <c r="G1225" s="11">
        <v>576</v>
      </c>
      <c r="H1225" s="11">
        <v>825</v>
      </c>
      <c r="I1225" s="11">
        <v>0</v>
      </c>
      <c r="J1225" s="11">
        <v>0</v>
      </c>
      <c r="K1225" s="11" t="s">
        <v>21</v>
      </c>
      <c r="L1225" s="7">
        <v>39567.463831018518</v>
      </c>
      <c r="M1225" s="12"/>
      <c r="N1225" s="12" t="s">
        <v>3169</v>
      </c>
      <c r="O1225" s="10" t="str">
        <f>HYPERLINK("https://pbs.twimg.com/profile_images/438619338942062592/OBEQvg6R_normal.jpeg","View")</f>
        <v>View</v>
      </c>
      <c r="P1225" s="11"/>
    </row>
    <row r="1226" spans="1:16" ht="12.75" x14ac:dyDescent="0.35">
      <c r="A1226" s="7">
        <v>42481.867962962962</v>
      </c>
      <c r="B1226" s="8" t="str">
        <f>HYPERLINK("https://twitter.com/KURIERat","@KURIERat")</f>
        <v>@KURIERat</v>
      </c>
      <c r="C1226" s="9" t="s">
        <v>3287</v>
      </c>
      <c r="D1226" s="9" t="s">
        <v>3288</v>
      </c>
      <c r="E1226" s="10" t="str">
        <f>HYPERLINK("https://twitter.com/KURIERat/status/723169388443000832","723169388443000832")</f>
        <v>723169388443000832</v>
      </c>
      <c r="F1226" s="11" t="s">
        <v>43</v>
      </c>
      <c r="G1226" s="11">
        <v>49121</v>
      </c>
      <c r="H1226" s="11">
        <v>1441</v>
      </c>
      <c r="I1226" s="11">
        <v>0</v>
      </c>
      <c r="J1226" s="11">
        <v>0</v>
      </c>
      <c r="K1226" s="11" t="s">
        <v>21</v>
      </c>
      <c r="L1226" s="7">
        <v>39983.861678240741</v>
      </c>
      <c r="M1226" s="12" t="s">
        <v>3289</v>
      </c>
      <c r="N1226" s="12" t="s">
        <v>3290</v>
      </c>
      <c r="O1226" s="10" t="str">
        <f>HYPERLINK("https://pbs.twimg.com/profile_images/646648362381516800/cNhozYEx_normal.png","View")</f>
        <v>View</v>
      </c>
      <c r="P1226" s="11"/>
    </row>
    <row r="1227" spans="1:16" ht="12.75" x14ac:dyDescent="0.35">
      <c r="A1227" s="7">
        <v>42481.868171296301</v>
      </c>
      <c r="B1227" s="8" t="str">
        <f>HYPERLINK("https://twitter.com/ricetex","@ricetex")</f>
        <v>@ricetex</v>
      </c>
      <c r="C1227" s="9" t="s">
        <v>3291</v>
      </c>
      <c r="D1227" s="9" t="s">
        <v>3279</v>
      </c>
      <c r="E1227" s="10" t="str">
        <f>HYPERLINK("https://twitter.com/ricetex/status/723169462074105856","723169462074105856")</f>
        <v>723169462074105856</v>
      </c>
      <c r="F1227" s="11" t="s">
        <v>48</v>
      </c>
      <c r="G1227" s="11">
        <v>541</v>
      </c>
      <c r="H1227" s="11">
        <v>1113</v>
      </c>
      <c r="I1227" s="11">
        <v>7</v>
      </c>
      <c r="J1227" s="11">
        <v>0</v>
      </c>
      <c r="K1227" s="11" t="s">
        <v>21</v>
      </c>
      <c r="L1227" s="7">
        <v>40279.991226851853</v>
      </c>
      <c r="M1227" s="12" t="s">
        <v>3292</v>
      </c>
      <c r="N1227" s="12" t="s">
        <v>3293</v>
      </c>
      <c r="O1227" s="10" t="str">
        <f>HYPERLINK("https://pbs.twimg.com/profile_images/670605597268680704/HHih7NjA_normal.jpg","View")</f>
        <v>View</v>
      </c>
      <c r="P1227" s="11"/>
    </row>
    <row r="1228" spans="1:16" ht="12.75" x14ac:dyDescent="0.35">
      <c r="A1228" s="7">
        <v>42481.868483796294</v>
      </c>
      <c r="B1228" s="8" t="str">
        <f>HYPERLINK("https://twitter.com/nidabektas","@nidabektas")</f>
        <v>@nidabektas</v>
      </c>
      <c r="C1228" s="9" t="s">
        <v>3294</v>
      </c>
      <c r="D1228" s="9" t="s">
        <v>3279</v>
      </c>
      <c r="E1228" s="10" t="str">
        <f>HYPERLINK("https://twitter.com/nidabektas/status/723169578239426562","723169578239426562")</f>
        <v>723169578239426562</v>
      </c>
      <c r="F1228" s="11" t="s">
        <v>20</v>
      </c>
      <c r="G1228" s="11">
        <v>63</v>
      </c>
      <c r="H1228" s="11">
        <v>166</v>
      </c>
      <c r="I1228" s="11">
        <v>7</v>
      </c>
      <c r="J1228" s="11">
        <v>0</v>
      </c>
      <c r="K1228" s="11" t="s">
        <v>21</v>
      </c>
      <c r="L1228" s="7">
        <v>41341.058900462966</v>
      </c>
      <c r="M1228" s="12"/>
      <c r="N1228" s="12"/>
      <c r="O1228" s="10" t="str">
        <f>HYPERLINK("https://pbs.twimg.com/profile_images/378800000340113147/3ba2d92f1d1724ff10f9c8da3cbb5e56_normal.jpeg","View")</f>
        <v>View</v>
      </c>
      <c r="P1228" s="11"/>
    </row>
    <row r="1229" spans="1:16" ht="12.75" x14ac:dyDescent="0.35">
      <c r="A1229" s="7">
        <v>42481.86854166667</v>
      </c>
      <c r="B1229" s="8" t="str">
        <f>HYPERLINK("https://twitter.com/Ruchser","@Ruchser")</f>
        <v>@Ruchser</v>
      </c>
      <c r="C1229" s="9" t="s">
        <v>3295</v>
      </c>
      <c r="D1229" s="9" t="s">
        <v>2330</v>
      </c>
      <c r="E1229" s="10" t="str">
        <f>HYPERLINK("https://twitter.com/Ruchser/status/723169595348135936","723169595348135936")</f>
        <v>723169595348135936</v>
      </c>
      <c r="F1229" s="11" t="s">
        <v>20</v>
      </c>
      <c r="G1229" s="11">
        <v>177</v>
      </c>
      <c r="H1229" s="11">
        <v>45</v>
      </c>
      <c r="I1229" s="11">
        <v>5</v>
      </c>
      <c r="J1229" s="11">
        <v>0</v>
      </c>
      <c r="K1229" s="11" t="s">
        <v>21</v>
      </c>
      <c r="L1229" s="7">
        <v>41955.946712962963</v>
      </c>
      <c r="M1229" s="12"/>
      <c r="N1229" s="12" t="s">
        <v>3296</v>
      </c>
      <c r="O1229" s="10" t="str">
        <f>HYPERLINK("https://pbs.twimg.com/profile_images/532583024743837696/nWwsp4Vd_normal.jpeg","View")</f>
        <v>View</v>
      </c>
      <c r="P1229" s="11"/>
    </row>
    <row r="1230" spans="1:16" ht="12.75" x14ac:dyDescent="0.35">
      <c r="A1230" s="7">
        <v>42481.868888888886</v>
      </c>
      <c r="B1230" s="8" t="str">
        <f>HYPERLINK("https://twitter.com/VCDeV","@VCDeV")</f>
        <v>@VCDeV</v>
      </c>
      <c r="C1230" s="9" t="s">
        <v>2265</v>
      </c>
      <c r="D1230" s="9" t="s">
        <v>3297</v>
      </c>
      <c r="E1230" s="10" t="str">
        <f>HYPERLINK("https://twitter.com/VCDeV/status/723169724557750274","723169724557750274")</f>
        <v>723169724557750274</v>
      </c>
      <c r="F1230" s="11" t="s">
        <v>43</v>
      </c>
      <c r="G1230" s="11">
        <v>1986</v>
      </c>
      <c r="H1230" s="11">
        <v>515</v>
      </c>
      <c r="I1230" s="11">
        <v>5</v>
      </c>
      <c r="J1230" s="11">
        <v>10</v>
      </c>
      <c r="K1230" s="11" t="s">
        <v>21</v>
      </c>
      <c r="L1230" s="7">
        <v>40653.774259259255</v>
      </c>
      <c r="M1230" s="12" t="s">
        <v>1359</v>
      </c>
      <c r="N1230" s="12" t="s">
        <v>2267</v>
      </c>
      <c r="O1230" s="10" t="str">
        <f>HYPERLINK("https://pbs.twimg.com/profile_images/448813982271291392/3ey9jQV0_normal.jpeg","View")</f>
        <v>View</v>
      </c>
      <c r="P1230" s="11"/>
    </row>
    <row r="1231" spans="1:16" ht="12.75" x14ac:dyDescent="0.35">
      <c r="A1231" s="7">
        <v>42481.868900462963</v>
      </c>
      <c r="B1231" s="8" t="str">
        <f>HYPERLINK("https://twitter.com/VolkerVotsmeier","@VolkerVotsmeier")</f>
        <v>@VolkerVotsmeier</v>
      </c>
      <c r="C1231" s="9" t="s">
        <v>1220</v>
      </c>
      <c r="D1231" s="9" t="s">
        <v>3298</v>
      </c>
      <c r="E1231" s="10" t="str">
        <f>HYPERLINK("https://twitter.com/VolkerVotsmeier/status/723169726982053888","723169726982053888")</f>
        <v>723169726982053888</v>
      </c>
      <c r="F1231" s="11" t="s">
        <v>43</v>
      </c>
      <c r="G1231" s="11">
        <v>1735</v>
      </c>
      <c r="H1231" s="11">
        <v>819</v>
      </c>
      <c r="I1231" s="11">
        <v>2</v>
      </c>
      <c r="J1231" s="11">
        <v>0</v>
      </c>
      <c r="K1231" s="11" t="s">
        <v>21</v>
      </c>
      <c r="L1231" s="7">
        <v>41289.594131944446</v>
      </c>
      <c r="M1231" s="12" t="s">
        <v>975</v>
      </c>
      <c r="N1231" s="12" t="s">
        <v>1222</v>
      </c>
      <c r="O1231" s="10" t="str">
        <f>HYPERLINK("https://pbs.twimg.com/profile_images/507897198911053824/7OqYAonJ_normal.jpeg","View")</f>
        <v>View</v>
      </c>
      <c r="P1231" s="11"/>
    </row>
    <row r="1232" spans="1:16" ht="12.75" x14ac:dyDescent="0.35">
      <c r="A1232" s="7">
        <v>42481.869016203702</v>
      </c>
      <c r="B1232" s="8" t="str">
        <f>HYPERLINK("https://twitter.com/priyank3089","@priyank3089")</f>
        <v>@priyank3089</v>
      </c>
      <c r="C1232" s="9" t="s">
        <v>3299</v>
      </c>
      <c r="D1232" s="9" t="s">
        <v>3279</v>
      </c>
      <c r="E1232" s="10" t="str">
        <f>HYPERLINK("https://twitter.com/priyank3089/status/723169767746592769","723169767746592769")</f>
        <v>723169767746592769</v>
      </c>
      <c r="F1232" s="11" t="s">
        <v>48</v>
      </c>
      <c r="G1232" s="11">
        <v>294</v>
      </c>
      <c r="H1232" s="11">
        <v>606</v>
      </c>
      <c r="I1232" s="11">
        <v>7</v>
      </c>
      <c r="J1232" s="11">
        <v>0</v>
      </c>
      <c r="K1232" s="11" t="s">
        <v>21</v>
      </c>
      <c r="L1232" s="7">
        <v>40233.784583333334</v>
      </c>
      <c r="M1232" s="12" t="s">
        <v>3300</v>
      </c>
      <c r="N1232" s="12" t="s">
        <v>3301</v>
      </c>
      <c r="O1232" s="10" t="str">
        <f>HYPERLINK("https://pbs.twimg.com/profile_images/712272430815952896/G1maMxM5_normal.jpg","View")</f>
        <v>View</v>
      </c>
      <c r="P1232" s="11"/>
    </row>
    <row r="1233" spans="1:16" ht="12.75" x14ac:dyDescent="0.35">
      <c r="A1233" s="7">
        <v>42481.869016203702</v>
      </c>
      <c r="B1233" s="8" t="str">
        <f>HYPERLINK("https://twitter.com/franz_rother","@franz_rother")</f>
        <v>@franz_rother</v>
      </c>
      <c r="C1233" s="9" t="s">
        <v>1350</v>
      </c>
      <c r="D1233" s="9" t="s">
        <v>3302</v>
      </c>
      <c r="E1233" s="10" t="str">
        <f>HYPERLINK("https://twitter.com/franz_rother/status/723169770804224000","723169770804224000")</f>
        <v>723169770804224000</v>
      </c>
      <c r="F1233" s="11" t="s">
        <v>20</v>
      </c>
      <c r="G1233" s="11">
        <v>770</v>
      </c>
      <c r="H1233" s="11">
        <v>212</v>
      </c>
      <c r="I1233" s="11">
        <v>1</v>
      </c>
      <c r="J1233" s="11">
        <v>0</v>
      </c>
      <c r="K1233" s="11" t="s">
        <v>21</v>
      </c>
      <c r="L1233" s="7">
        <v>40387.831180555557</v>
      </c>
      <c r="M1233" s="12" t="s">
        <v>975</v>
      </c>
      <c r="N1233" s="12" t="s">
        <v>1352</v>
      </c>
      <c r="O1233" s="10" t="str">
        <f>HYPERLINK("https://pbs.twimg.com/profile_images/3228351590/aadb36f2b020cc27adac139aac4a5663_normal.jpeg","View")</f>
        <v>View</v>
      </c>
      <c r="P1233" s="11"/>
    </row>
    <row r="1234" spans="1:16" ht="12.75" x14ac:dyDescent="0.35">
      <c r="A1234" s="7">
        <v>42481.869363425925</v>
      </c>
      <c r="B1234" s="8" t="str">
        <f>HYPERLINK("https://twitter.com/Samusart","@Samusart")</f>
        <v>@Samusart</v>
      </c>
      <c r="C1234" s="9" t="s">
        <v>3303</v>
      </c>
      <c r="D1234" s="9" t="s">
        <v>3279</v>
      </c>
      <c r="E1234" s="10" t="str">
        <f>HYPERLINK("https://twitter.com/Samusart/status/723169894863241216","723169894863241216")</f>
        <v>723169894863241216</v>
      </c>
      <c r="F1234" s="11" t="s">
        <v>367</v>
      </c>
      <c r="G1234" s="11">
        <v>179</v>
      </c>
      <c r="H1234" s="11">
        <v>205</v>
      </c>
      <c r="I1234" s="11">
        <v>7</v>
      </c>
      <c r="J1234" s="11">
        <v>0</v>
      </c>
      <c r="K1234" s="11" t="s">
        <v>21</v>
      </c>
      <c r="L1234" s="7">
        <v>41034.773645833331</v>
      </c>
      <c r="M1234" s="12" t="s">
        <v>3304</v>
      </c>
      <c r="N1234" s="12" t="s">
        <v>3305</v>
      </c>
      <c r="O1234" s="10" t="str">
        <f>HYPERLINK("https://pbs.twimg.com/profile_images/698350568230653953/1oTyiUmx_normal.jpg","View")</f>
        <v>View</v>
      </c>
      <c r="P1234" s="11"/>
    </row>
    <row r="1235" spans="1:16" ht="12.75" x14ac:dyDescent="0.35">
      <c r="A1235" s="7">
        <v>42481.869606481487</v>
      </c>
      <c r="B1235" s="8" t="str">
        <f>HYPERLINK("https://twitter.com/PeterDanaher","@PeterDanaher")</f>
        <v>@PeterDanaher</v>
      </c>
      <c r="C1235" s="9" t="s">
        <v>3306</v>
      </c>
      <c r="D1235" s="9" t="s">
        <v>3307</v>
      </c>
      <c r="E1235" s="10" t="str">
        <f>HYPERLINK("https://twitter.com/PeterDanaher/status/723169981995819008","723169981995819008")</f>
        <v>723169981995819008</v>
      </c>
      <c r="F1235" s="11" t="s">
        <v>91</v>
      </c>
      <c r="G1235" s="11">
        <v>1551</v>
      </c>
      <c r="H1235" s="11">
        <v>2198</v>
      </c>
      <c r="I1235" s="11">
        <v>1</v>
      </c>
      <c r="J1235" s="11">
        <v>0</v>
      </c>
      <c r="K1235" s="11" t="s">
        <v>21</v>
      </c>
      <c r="L1235" s="7">
        <v>40007.761793981481</v>
      </c>
      <c r="M1235" s="12" t="s">
        <v>3308</v>
      </c>
      <c r="N1235" s="12" t="s">
        <v>3309</v>
      </c>
      <c r="O1235" s="10" t="str">
        <f>HYPERLINK("https://pbs.twimg.com/profile_images/548839137605087232/8CSTk0Bz_normal.jpeg","View")</f>
        <v>View</v>
      </c>
      <c r="P1235" s="11"/>
    </row>
    <row r="1236" spans="1:16" ht="12.75" x14ac:dyDescent="0.35">
      <c r="A1236" s="7">
        <v>42481.869826388887</v>
      </c>
      <c r="B1236" s="8" t="str">
        <f>HYPERLINK("https://twitter.com/dk_tuning","@dk_tuning")</f>
        <v>@dk_tuning</v>
      </c>
      <c r="C1236" s="9" t="s">
        <v>3310</v>
      </c>
      <c r="D1236" s="9" t="s">
        <v>3311</v>
      </c>
      <c r="E1236" s="10" t="str">
        <f>HYPERLINK("https://twitter.com/dk_tuning/status/723170061351968771","723170061351968771")</f>
        <v>723170061351968771</v>
      </c>
      <c r="F1236" s="11" t="s">
        <v>114</v>
      </c>
      <c r="G1236" s="11">
        <v>513</v>
      </c>
      <c r="H1236" s="11">
        <v>1990</v>
      </c>
      <c r="I1236" s="11">
        <v>0</v>
      </c>
      <c r="J1236" s="11">
        <v>0</v>
      </c>
      <c r="K1236" s="11" t="s">
        <v>21</v>
      </c>
      <c r="L1236" s="7">
        <v>42080.978229166663</v>
      </c>
      <c r="M1236" s="12" t="s">
        <v>3312</v>
      </c>
      <c r="N1236" s="12" t="s">
        <v>3313</v>
      </c>
      <c r="O1236" s="10" t="str">
        <f>HYPERLINK("https://pbs.twimg.com/profile_images/577892224605663232/LG201Y25_normal.jpeg","View")</f>
        <v>View</v>
      </c>
      <c r="P1236" s="11"/>
    </row>
    <row r="1237" spans="1:16" ht="12.75" x14ac:dyDescent="0.35">
      <c r="A1237" s="7">
        <v>42481.869826388887</v>
      </c>
      <c r="B1237" s="8" t="str">
        <f>HYPERLINK("https://twitter.com/VolkerVotsmeier","@VolkerVotsmeier")</f>
        <v>@VolkerVotsmeier</v>
      </c>
      <c r="C1237" s="9" t="s">
        <v>1220</v>
      </c>
      <c r="D1237" s="9" t="s">
        <v>3314</v>
      </c>
      <c r="E1237" s="10" t="str">
        <f>HYPERLINK("https://twitter.com/VolkerVotsmeier/status/723170061393883136","723170061393883136")</f>
        <v>723170061393883136</v>
      </c>
      <c r="F1237" s="11" t="s">
        <v>43</v>
      </c>
      <c r="G1237" s="11">
        <v>1735</v>
      </c>
      <c r="H1237" s="11">
        <v>819</v>
      </c>
      <c r="I1237" s="11">
        <v>3</v>
      </c>
      <c r="J1237" s="11">
        <v>2</v>
      </c>
      <c r="K1237" s="11" t="s">
        <v>21</v>
      </c>
      <c r="L1237" s="7">
        <v>41289.594131944446</v>
      </c>
      <c r="M1237" s="12" t="s">
        <v>975</v>
      </c>
      <c r="N1237" s="12" t="s">
        <v>1222</v>
      </c>
      <c r="O1237" s="10" t="str">
        <f>HYPERLINK("https://pbs.twimg.com/profile_images/507897198911053824/7OqYAonJ_normal.jpeg","View")</f>
        <v>View</v>
      </c>
      <c r="P1237" s="11"/>
    </row>
    <row r="1238" spans="1:16" ht="12.75" x14ac:dyDescent="0.35">
      <c r="A1238" s="7">
        <v>42481.869849537034</v>
      </c>
      <c r="B1238" s="8" t="str">
        <f>HYPERLINK("https://twitter.com/InesWiese_RHH","@InesWiese_RHH")</f>
        <v>@InesWiese_RHH</v>
      </c>
      <c r="C1238" s="9" t="s">
        <v>3315</v>
      </c>
      <c r="D1238" s="9" t="s">
        <v>3316</v>
      </c>
      <c r="E1238" s="10" t="str">
        <f>HYPERLINK("https://twitter.com/InesWiese_RHH/status/723170070000746496","723170070000746496")</f>
        <v>723170070000746496</v>
      </c>
      <c r="F1238" s="11" t="s">
        <v>63</v>
      </c>
      <c r="G1238" s="11">
        <v>439</v>
      </c>
      <c r="H1238" s="11">
        <v>293</v>
      </c>
      <c r="I1238" s="11">
        <v>1</v>
      </c>
      <c r="J1238" s="11">
        <v>2</v>
      </c>
      <c r="K1238" s="11" t="s">
        <v>21</v>
      </c>
      <c r="L1238" s="7">
        <v>42151.924826388888</v>
      </c>
      <c r="M1238" s="12"/>
      <c r="N1238" s="12" t="s">
        <v>3317</v>
      </c>
      <c r="O1238" s="10" t="str">
        <f>HYPERLINK("https://pbs.twimg.com/profile_images/720354947305455616/R33mUz9j_normal.jpg","View")</f>
        <v>View</v>
      </c>
      <c r="P1238" s="11"/>
    </row>
    <row r="1239" spans="1:16" ht="12.75" x14ac:dyDescent="0.35">
      <c r="A1239" s="7">
        <v>42481.869942129633</v>
      </c>
      <c r="B1239" s="8" t="str">
        <f>HYPERLINK("https://twitter.com/aktionaer","@aktionaer")</f>
        <v>@aktionaer</v>
      </c>
      <c r="C1239" s="9" t="s">
        <v>1252</v>
      </c>
      <c r="D1239" s="9" t="s">
        <v>3318</v>
      </c>
      <c r="E1239" s="10" t="str">
        <f>HYPERLINK("https://twitter.com/aktionaer/status/723170103764766720","723170103764766720")</f>
        <v>723170103764766720</v>
      </c>
      <c r="F1239" s="11" t="s">
        <v>43</v>
      </c>
      <c r="G1239" s="11">
        <v>4631</v>
      </c>
      <c r="H1239" s="11">
        <v>1111</v>
      </c>
      <c r="I1239" s="11">
        <v>0</v>
      </c>
      <c r="J1239" s="11">
        <v>0</v>
      </c>
      <c r="K1239" s="11" t="s">
        <v>21</v>
      </c>
      <c r="L1239" s="7">
        <v>39844.695729166662</v>
      </c>
      <c r="M1239" s="12" t="s">
        <v>1254</v>
      </c>
      <c r="N1239" s="12" t="s">
        <v>1255</v>
      </c>
      <c r="O1239" s="10" t="str">
        <f>HYPERLINK("https://pbs.twimg.com/profile_images/679552623641509888/_vPw9IS2_normal.png","View")</f>
        <v>View</v>
      </c>
      <c r="P1239" s="11"/>
    </row>
    <row r="1240" spans="1:16" ht="12.75" x14ac:dyDescent="0.35">
      <c r="A1240" s="7">
        <v>42481.869999999995</v>
      </c>
      <c r="B1240" s="8" t="str">
        <f>HYPERLINK("https://twitter.com/MarkCSchneider","@MarkCSchneider")</f>
        <v>@MarkCSchneider</v>
      </c>
      <c r="C1240" s="9" t="s">
        <v>952</v>
      </c>
      <c r="D1240" s="9" t="s">
        <v>3319</v>
      </c>
      <c r="E1240" s="10" t="str">
        <f>HYPERLINK("https://twitter.com/MarkCSchneider/status/723170126338600960","723170126338600960")</f>
        <v>723170126338600960</v>
      </c>
      <c r="F1240" s="11" t="s">
        <v>20</v>
      </c>
      <c r="G1240" s="11">
        <v>370</v>
      </c>
      <c r="H1240" s="11">
        <v>335</v>
      </c>
      <c r="I1240" s="11">
        <v>1</v>
      </c>
      <c r="J1240" s="11">
        <v>0</v>
      </c>
      <c r="K1240" s="11" t="s">
        <v>21</v>
      </c>
      <c r="L1240" s="7">
        <v>41495.558136574073</v>
      </c>
      <c r="M1240" s="12" t="s">
        <v>953</v>
      </c>
      <c r="N1240" s="12"/>
      <c r="O1240" s="10" t="str">
        <f>HYPERLINK("https://pbs.twimg.com/profile_images/706784695795769345/XGXgdjww_normal.jpg","View")</f>
        <v>View</v>
      </c>
      <c r="P1240" s="11"/>
    </row>
    <row r="1241" spans="1:16" ht="12.75" x14ac:dyDescent="0.35">
      <c r="A1241" s="7">
        <v>42481.870011574079</v>
      </c>
      <c r="B1241" s="8" t="str">
        <f>HYPERLINK("https://twitter.com/Radio_Hamburg","@Radio_Hamburg")</f>
        <v>@Radio_Hamburg</v>
      </c>
      <c r="C1241" s="9" t="s">
        <v>3320</v>
      </c>
      <c r="D1241" s="9" t="s">
        <v>3321</v>
      </c>
      <c r="E1241" s="10" t="str">
        <f>HYPERLINK("https://twitter.com/Radio_Hamburg/status/723170128968470528","723170128968470528")</f>
        <v>723170128968470528</v>
      </c>
      <c r="F1241" s="11" t="s">
        <v>63</v>
      </c>
      <c r="G1241" s="11">
        <v>20573</v>
      </c>
      <c r="H1241" s="11">
        <v>366</v>
      </c>
      <c r="I1241" s="11">
        <v>1</v>
      </c>
      <c r="J1241" s="11">
        <v>0</v>
      </c>
      <c r="K1241" s="11" t="s">
        <v>21</v>
      </c>
      <c r="L1241" s="7">
        <v>39881.818368055552</v>
      </c>
      <c r="M1241" s="12" t="s">
        <v>953</v>
      </c>
      <c r="N1241" s="12" t="s">
        <v>3322</v>
      </c>
      <c r="O1241" s="10" t="str">
        <f>HYPERLINK("https://pbs.twimg.com/profile_images/2783902857/c37fa6228daf6d6b8bbc7d51d761aac3_normal.jpeg","View")</f>
        <v>View</v>
      </c>
      <c r="P1241" s="11"/>
    </row>
    <row r="1242" spans="1:16" ht="12.75" x14ac:dyDescent="0.35">
      <c r="A1242" s="7">
        <v>42481.870324074072</v>
      </c>
      <c r="B1242" s="8" t="str">
        <f>HYPERLINK("https://twitter.com/franz_rother","@franz_rother")</f>
        <v>@franz_rother</v>
      </c>
      <c r="C1242" s="9" t="s">
        <v>1350</v>
      </c>
      <c r="D1242" s="9" t="s">
        <v>3323</v>
      </c>
      <c r="E1242" s="10" t="str">
        <f>HYPERLINK("https://twitter.com/franz_rother/status/723170243275821057","723170243275821057")</f>
        <v>723170243275821057</v>
      </c>
      <c r="F1242" s="11" t="s">
        <v>20</v>
      </c>
      <c r="G1242" s="11">
        <v>770</v>
      </c>
      <c r="H1242" s="11">
        <v>212</v>
      </c>
      <c r="I1242" s="11">
        <v>0</v>
      </c>
      <c r="J1242" s="11">
        <v>0</v>
      </c>
      <c r="K1242" s="11" t="s">
        <v>21</v>
      </c>
      <c r="L1242" s="7">
        <v>40387.831180555557</v>
      </c>
      <c r="M1242" s="12" t="s">
        <v>975</v>
      </c>
      <c r="N1242" s="12" t="s">
        <v>1352</v>
      </c>
      <c r="O1242" s="10" t="str">
        <f>HYPERLINK("https://pbs.twimg.com/profile_images/3228351590/aadb36f2b020cc27adac139aac4a5663_normal.jpeg","View")</f>
        <v>View</v>
      </c>
      <c r="P1242" s="11"/>
    </row>
    <row r="1243" spans="1:16" ht="12.75" x14ac:dyDescent="0.35">
      <c r="A1243" s="7">
        <v>42481.870393518519</v>
      </c>
      <c r="B1243" s="8" t="str">
        <f>HYPERLINK("https://twitter.com/stekauf","@stekauf")</f>
        <v>@stekauf</v>
      </c>
      <c r="C1243" s="9" t="s">
        <v>3324</v>
      </c>
      <c r="D1243" s="9" t="s">
        <v>3325</v>
      </c>
      <c r="E1243" s="10" t="str">
        <f>HYPERLINK("https://twitter.com/stekauf/status/723170269091663872","723170269091663872")</f>
        <v>723170269091663872</v>
      </c>
      <c r="F1243" s="11" t="s">
        <v>43</v>
      </c>
      <c r="G1243" s="11">
        <v>944</v>
      </c>
      <c r="H1243" s="11">
        <v>516</v>
      </c>
      <c r="I1243" s="11">
        <v>2</v>
      </c>
      <c r="J1243" s="11">
        <v>0</v>
      </c>
      <c r="K1243" s="11" t="s">
        <v>21</v>
      </c>
      <c r="L1243" s="7">
        <v>40181.064282407409</v>
      </c>
      <c r="M1243" s="12" t="s">
        <v>975</v>
      </c>
      <c r="N1243" s="12" t="s">
        <v>3326</v>
      </c>
      <c r="O1243" s="10" t="str">
        <f>HYPERLINK("https://pbs.twimg.com/profile_images/607750884/Kaufmann_neu_normal.jpg","View")</f>
        <v>View</v>
      </c>
      <c r="P1243" s="11"/>
    </row>
    <row r="1244" spans="1:16" ht="12.75" x14ac:dyDescent="0.35">
      <c r="A1244" s="7">
        <v>42481.870486111111</v>
      </c>
      <c r="B1244" s="8" t="str">
        <f>HYPERLINK("https://twitter.com/gerliman","@gerliman")</f>
        <v>@gerliman</v>
      </c>
      <c r="C1244" s="9" t="s">
        <v>3327</v>
      </c>
      <c r="D1244" s="9" t="s">
        <v>3228</v>
      </c>
      <c r="E1244" s="10" t="str">
        <f>HYPERLINK("https://twitter.com/gerliman/status/723170301530480640","723170301530480640")</f>
        <v>723170301530480640</v>
      </c>
      <c r="F1244" s="11" t="s">
        <v>63</v>
      </c>
      <c r="G1244" s="11">
        <v>48</v>
      </c>
      <c r="H1244" s="11">
        <v>101</v>
      </c>
      <c r="I1244" s="11">
        <v>7</v>
      </c>
      <c r="J1244" s="11">
        <v>0</v>
      </c>
      <c r="K1244" s="11" t="s">
        <v>21</v>
      </c>
      <c r="L1244" s="7">
        <v>40153.011793981481</v>
      </c>
      <c r="M1244" s="12"/>
      <c r="N1244" s="12"/>
      <c r="O1244" s="10" t="str">
        <f>HYPERLINK("https://pbs.twimg.com/profile_images/460353506525057024/0mVmjBcX_normal.jpeg","View")</f>
        <v>View</v>
      </c>
      <c r="P1244" s="11"/>
    </row>
    <row r="1245" spans="1:16" ht="12.75" x14ac:dyDescent="0.35">
      <c r="A1245" s="7">
        <v>42481.870879629627</v>
      </c>
      <c r="B1245" s="8" t="str">
        <f>HYPERLINK("https://twitter.com/TammoBeishuizen","@TammoBeishuizen")</f>
        <v>@TammoBeishuizen</v>
      </c>
      <c r="C1245" s="9" t="s">
        <v>3328</v>
      </c>
      <c r="D1245" s="9" t="s">
        <v>3228</v>
      </c>
      <c r="E1245" s="10" t="str">
        <f>HYPERLINK("https://twitter.com/TammoBeishuizen/status/723170445650989056","723170445650989056")</f>
        <v>723170445650989056</v>
      </c>
      <c r="F1245" s="11" t="s">
        <v>20</v>
      </c>
      <c r="G1245" s="11">
        <v>1124</v>
      </c>
      <c r="H1245" s="11">
        <v>163</v>
      </c>
      <c r="I1245" s="11">
        <v>7</v>
      </c>
      <c r="J1245" s="11">
        <v>0</v>
      </c>
      <c r="K1245" s="11" t="s">
        <v>21</v>
      </c>
      <c r="L1245" s="7">
        <v>40710.75277777778</v>
      </c>
      <c r="M1245" s="12" t="s">
        <v>3329</v>
      </c>
      <c r="N1245" s="12" t="s">
        <v>3330</v>
      </c>
      <c r="O1245" s="10" t="str">
        <f>HYPERLINK("https://pbs.twimg.com/profile_images/710572956238389253/CXNSydPb_normal.jpg","View")</f>
        <v>View</v>
      </c>
      <c r="P1245" s="11"/>
    </row>
    <row r="1246" spans="1:16" ht="12.75" x14ac:dyDescent="0.35">
      <c r="A1246" s="7">
        <v>42481.871157407411</v>
      </c>
      <c r="B1246" s="8" t="str">
        <f>HYPERLINK("https://twitter.com/jannikkel6","@jannikkel6")</f>
        <v>@jannikkel6</v>
      </c>
      <c r="C1246" s="9" t="s">
        <v>3331</v>
      </c>
      <c r="D1246" s="9" t="s">
        <v>3332</v>
      </c>
      <c r="E1246" s="10" t="str">
        <f>HYPERLINK("https://twitter.com/jannikkel6/status/723170543420231680","723170543420231680")</f>
        <v>723170543420231680</v>
      </c>
      <c r="F1246" s="11" t="s">
        <v>48</v>
      </c>
      <c r="G1246" s="11">
        <v>188</v>
      </c>
      <c r="H1246" s="11">
        <v>240</v>
      </c>
      <c r="I1246" s="11">
        <v>0</v>
      </c>
      <c r="J1246" s="11">
        <v>0</v>
      </c>
      <c r="K1246" s="11" t="s">
        <v>21</v>
      </c>
      <c r="L1246" s="7">
        <v>42109.826608796298</v>
      </c>
      <c r="M1246" s="12"/>
      <c r="N1246" s="12" t="s">
        <v>3333</v>
      </c>
      <c r="O1246" s="10" t="str">
        <f>HYPERLINK("https://pbs.twimg.com/profile_images/588735849979842560/-5qGoCul_normal.png","View")</f>
        <v>View</v>
      </c>
      <c r="P1246" s="11"/>
    </row>
    <row r="1247" spans="1:16" ht="12.75" x14ac:dyDescent="0.35">
      <c r="A1247" s="7">
        <v>42481.871388888889</v>
      </c>
      <c r="B1247" s="8" t="str">
        <f>HYPERLINK("https://twitter.com/DasRechtsportal","@DasRechtsportal")</f>
        <v>@DasRechtsportal</v>
      </c>
      <c r="C1247" s="9" t="s">
        <v>3334</v>
      </c>
      <c r="D1247" s="9" t="s">
        <v>3335</v>
      </c>
      <c r="E1247" s="10" t="str">
        <f>HYPERLINK("https://twitter.com/DasRechtsportal/status/723170629759836160","723170629759836160")</f>
        <v>723170629759836160</v>
      </c>
      <c r="F1247" s="11" t="s">
        <v>43</v>
      </c>
      <c r="G1247" s="11">
        <v>3664</v>
      </c>
      <c r="H1247" s="11">
        <v>2547</v>
      </c>
      <c r="I1247" s="11">
        <v>0</v>
      </c>
      <c r="J1247" s="11">
        <v>0</v>
      </c>
      <c r="K1247" s="11" t="s">
        <v>21</v>
      </c>
      <c r="L1247" s="7">
        <v>40616.6487962963</v>
      </c>
      <c r="M1247" s="12" t="s">
        <v>3336</v>
      </c>
      <c r="N1247" s="12" t="s">
        <v>3337</v>
      </c>
      <c r="O1247" s="10" t="str">
        <f>HYPERLINK("https://pbs.twimg.com/profile_images/3753617229/0494c0929a3cef43be7b2e9f7f2d5114_normal.jpeg","View")</f>
        <v>View</v>
      </c>
      <c r="P1247" s="11"/>
    </row>
    <row r="1248" spans="1:16" ht="12.75" x14ac:dyDescent="0.35">
      <c r="A1248" s="7">
        <v>42481.871550925927</v>
      </c>
      <c r="B1248" s="8" t="str">
        <f>HYPERLINK("https://twitter.com/ZDFheute","@ZDFheute")</f>
        <v>@ZDFheute</v>
      </c>
      <c r="C1248" s="9" t="s">
        <v>3184</v>
      </c>
      <c r="D1248" s="9" t="s">
        <v>3338</v>
      </c>
      <c r="E1248" s="10" t="str">
        <f>HYPERLINK("https://twitter.com/ZDFheute/status/723170686722777088","723170686722777088")</f>
        <v>723170686722777088</v>
      </c>
      <c r="F1248" s="11" t="s">
        <v>63</v>
      </c>
      <c r="G1248" s="11">
        <v>158255</v>
      </c>
      <c r="H1248" s="11">
        <v>199</v>
      </c>
      <c r="I1248" s="11">
        <v>5</v>
      </c>
      <c r="J1248" s="11">
        <v>3</v>
      </c>
      <c r="K1248" s="11" t="s">
        <v>21</v>
      </c>
      <c r="L1248" s="7">
        <v>41292.901747685188</v>
      </c>
      <c r="M1248" s="12" t="s">
        <v>3186</v>
      </c>
      <c r="N1248" s="12" t="s">
        <v>3187</v>
      </c>
      <c r="O1248" s="10" t="str">
        <f>HYPERLINK("https://pbs.twimg.com/profile_images/465803701647446016/jAlkirAe_normal.jpeg","View")</f>
        <v>View</v>
      </c>
      <c r="P1248" s="11"/>
    </row>
    <row r="1249" spans="1:16" ht="12.75" x14ac:dyDescent="0.35">
      <c r="A1249" s="7">
        <v>42481.87164351852</v>
      </c>
      <c r="B1249" s="8" t="str">
        <f>HYPERLINK("https://twitter.com/JanoSanjuan","@JanoSanjuan")</f>
        <v>@JanoSanjuan</v>
      </c>
      <c r="C1249" s="9" t="s">
        <v>3339</v>
      </c>
      <c r="D1249" s="9" t="s">
        <v>3340</v>
      </c>
      <c r="E1249" s="10" t="str">
        <f>HYPERLINK("https://twitter.com/JanoSanjuan/status/723170721170526209","723170721170526209")</f>
        <v>723170721170526209</v>
      </c>
      <c r="F1249" s="11" t="s">
        <v>114</v>
      </c>
      <c r="G1249" s="11">
        <v>103</v>
      </c>
      <c r="H1249" s="11">
        <v>230</v>
      </c>
      <c r="I1249" s="11">
        <v>0</v>
      </c>
      <c r="J1249" s="11">
        <v>0</v>
      </c>
      <c r="K1249" s="11" t="s">
        <v>21</v>
      </c>
      <c r="L1249" s="7">
        <v>41010.029583333337</v>
      </c>
      <c r="M1249" s="12" t="s">
        <v>3341</v>
      </c>
      <c r="N1249" s="12" t="s">
        <v>3342</v>
      </c>
      <c r="O1249" s="10" t="str">
        <f>HYPERLINK("https://pbs.twimg.com/profile_images/713091974811807749/yW8T_qBX_normal.jpg","View")</f>
        <v>View</v>
      </c>
      <c r="P1249" s="10" t="str">
        <f>HYPERLINK("http://ctrlq.org/maps/address/#-39.85142667,-71.94092667","Map")</f>
        <v>Map</v>
      </c>
    </row>
    <row r="1250" spans="1:16" ht="12.75" x14ac:dyDescent="0.35">
      <c r="A1250" s="7">
        <v>42481.871655092589</v>
      </c>
      <c r="B1250" s="8" t="str">
        <f>HYPERLINK("https://twitter.com/SloggettRyan","@SloggettRyan")</f>
        <v>@SloggettRyan</v>
      </c>
      <c r="C1250" s="9" t="s">
        <v>3343</v>
      </c>
      <c r="D1250" s="9" t="s">
        <v>3265</v>
      </c>
      <c r="E1250" s="10" t="str">
        <f>HYPERLINK("https://twitter.com/SloggettRyan/status/723170725507543040","723170725507543040")</f>
        <v>723170725507543040</v>
      </c>
      <c r="F1250" s="11" t="s">
        <v>48</v>
      </c>
      <c r="G1250" s="11">
        <v>962</v>
      </c>
      <c r="H1250" s="11">
        <v>2079</v>
      </c>
      <c r="I1250" s="11">
        <v>3</v>
      </c>
      <c r="J1250" s="11">
        <v>0</v>
      </c>
      <c r="K1250" s="11" t="s">
        <v>21</v>
      </c>
      <c r="L1250" s="7">
        <v>41452.308518518519</v>
      </c>
      <c r="M1250" s="12" t="s">
        <v>3344</v>
      </c>
      <c r="N1250" s="12" t="s">
        <v>3345</v>
      </c>
      <c r="O1250" s="10" t="str">
        <f>HYPERLINK("https://pbs.twimg.com/profile_images/716449848669708288/IgQJwanL_normal.jpg","View")</f>
        <v>View</v>
      </c>
      <c r="P1250" s="11"/>
    </row>
    <row r="1251" spans="1:16" ht="12.75" x14ac:dyDescent="0.35">
      <c r="A1251" s="7">
        <v>42481.871770833328</v>
      </c>
      <c r="B1251" s="8" t="str">
        <f>HYPERLINK("https://twitter.com/jrg_o","@jrg_o")</f>
        <v>@jrg_o</v>
      </c>
      <c r="C1251" s="9" t="s">
        <v>3346</v>
      </c>
      <c r="D1251" s="9" t="s">
        <v>3347</v>
      </c>
      <c r="E1251" s="10" t="str">
        <f>HYPERLINK("https://twitter.com/jrg_o/status/723170767794495488","723170767794495488")</f>
        <v>723170767794495488</v>
      </c>
      <c r="F1251" s="11" t="s">
        <v>48</v>
      </c>
      <c r="G1251" s="11">
        <v>482</v>
      </c>
      <c r="H1251" s="11">
        <v>1541</v>
      </c>
      <c r="I1251" s="11">
        <v>5</v>
      </c>
      <c r="J1251" s="11">
        <v>0</v>
      </c>
      <c r="K1251" s="11" t="s">
        <v>21</v>
      </c>
      <c r="L1251" s="7">
        <v>41205.889618055553</v>
      </c>
      <c r="M1251" s="12"/>
      <c r="N1251" s="12" t="s">
        <v>3348</v>
      </c>
      <c r="O1251" s="10" t="str">
        <f>HYPERLINK("https://pbs.twimg.com/profile_images/693744736260210688/UdPi_WWL_normal.jpg","View")</f>
        <v>View</v>
      </c>
      <c r="P1251" s="11"/>
    </row>
    <row r="1252" spans="1:16" ht="12.75" x14ac:dyDescent="0.35">
      <c r="A1252" s="7">
        <v>42481.871863425928</v>
      </c>
      <c r="B1252" s="8" t="str">
        <f>HYPERLINK("https://twitter.com/Frontal21","@Frontal21")</f>
        <v>@Frontal21</v>
      </c>
      <c r="C1252" s="9" t="s">
        <v>3349</v>
      </c>
      <c r="D1252" s="9" t="s">
        <v>3350</v>
      </c>
      <c r="E1252" s="10" t="str">
        <f>HYPERLINK("https://twitter.com/Frontal21/status/723170802938474496","723170802938474496")</f>
        <v>723170802938474496</v>
      </c>
      <c r="F1252" s="11" t="s">
        <v>43</v>
      </c>
      <c r="G1252" s="11">
        <v>7741</v>
      </c>
      <c r="H1252" s="11">
        <v>132</v>
      </c>
      <c r="I1252" s="11">
        <v>3</v>
      </c>
      <c r="J1252" s="11">
        <v>0</v>
      </c>
      <c r="K1252" s="11" t="s">
        <v>21</v>
      </c>
      <c r="L1252" s="7">
        <v>41208.765763888892</v>
      </c>
      <c r="M1252" s="12" t="s">
        <v>2907</v>
      </c>
      <c r="N1252" s="12" t="s">
        <v>3351</v>
      </c>
      <c r="O1252" s="10" t="str">
        <f>HYPERLINK("https://pbs.twimg.com/profile_images/2783814203/4b5dc0bf52ddee4fe7fcfee4cb816dea_normal.jpeg","View")</f>
        <v>View</v>
      </c>
      <c r="P1252" s="11"/>
    </row>
    <row r="1253" spans="1:16" ht="12.75" x14ac:dyDescent="0.35">
      <c r="A1253" s="7">
        <v>42481.871990740736</v>
      </c>
      <c r="B1253" s="8" t="str">
        <f>HYPERLINK("https://twitter.com/franz_rother","@franz_rother")</f>
        <v>@franz_rother</v>
      </c>
      <c r="C1253" s="9" t="s">
        <v>1350</v>
      </c>
      <c r="D1253" s="9" t="s">
        <v>3352</v>
      </c>
      <c r="E1253" s="10" t="str">
        <f>HYPERLINK("https://twitter.com/franz_rother/status/723170847758946304","723170847758946304")</f>
        <v>723170847758946304</v>
      </c>
      <c r="F1253" s="11" t="s">
        <v>20</v>
      </c>
      <c r="G1253" s="11">
        <v>770</v>
      </c>
      <c r="H1253" s="11">
        <v>212</v>
      </c>
      <c r="I1253" s="11">
        <v>0</v>
      </c>
      <c r="J1253" s="11">
        <v>0</v>
      </c>
      <c r="K1253" s="11" t="s">
        <v>21</v>
      </c>
      <c r="L1253" s="7">
        <v>40387.831180555557</v>
      </c>
      <c r="M1253" s="12" t="s">
        <v>975</v>
      </c>
      <c r="N1253" s="12" t="s">
        <v>1352</v>
      </c>
      <c r="O1253" s="10" t="str">
        <f>HYPERLINK("https://pbs.twimg.com/profile_images/3228351590/aadb36f2b020cc27adac139aac4a5663_normal.jpeg","View")</f>
        <v>View</v>
      </c>
      <c r="P1253" s="11"/>
    </row>
    <row r="1254" spans="1:16" ht="12.75" x14ac:dyDescent="0.35">
      <c r="A1254" s="7">
        <v>42481.872754629629</v>
      </c>
      <c r="B1254" s="8" t="str">
        <f>HYPERLINK("https://twitter.com/kevalramraj","@kevalramraj")</f>
        <v>@kevalramraj</v>
      </c>
      <c r="C1254" s="9" t="s">
        <v>3353</v>
      </c>
      <c r="D1254" s="9" t="s">
        <v>3354</v>
      </c>
      <c r="E1254" s="10" t="str">
        <f>HYPERLINK("https://twitter.com/kevalramraj/status/723171123354058752","723171123354058752")</f>
        <v>723171123354058752</v>
      </c>
      <c r="F1254" s="11" t="s">
        <v>114</v>
      </c>
      <c r="G1254" s="11">
        <v>200</v>
      </c>
      <c r="H1254" s="11">
        <v>208</v>
      </c>
      <c r="I1254" s="11">
        <v>0</v>
      </c>
      <c r="J1254" s="11">
        <v>0</v>
      </c>
      <c r="K1254" s="11" t="s">
        <v>21</v>
      </c>
      <c r="L1254" s="7">
        <v>40775.822905092595</v>
      </c>
      <c r="M1254" s="12" t="s">
        <v>3355</v>
      </c>
      <c r="N1254" s="12" t="s">
        <v>3356</v>
      </c>
      <c r="O1254" s="10" t="str">
        <f>HYPERLINK("https://pbs.twimg.com/profile_images/703880794528464896/nbUoj4Hv_normal.jpg","View")</f>
        <v>View</v>
      </c>
      <c r="P1254" s="11"/>
    </row>
    <row r="1255" spans="1:16" ht="12.75" x14ac:dyDescent="0.35">
      <c r="A1255" s="7">
        <v>42481.87290509259</v>
      </c>
      <c r="B1255" s="8" t="str">
        <f>HYPERLINK("https://twitter.com/angulosiete","@angulosiete")</f>
        <v>@angulosiete</v>
      </c>
      <c r="C1255" s="9" t="s">
        <v>3357</v>
      </c>
      <c r="D1255" s="9" t="s">
        <v>3358</v>
      </c>
      <c r="E1255" s="10" t="str">
        <f>HYPERLINK("https://twitter.com/angulosiete/status/723171178253262848","723171178253262848")</f>
        <v>723171178253262848</v>
      </c>
      <c r="F1255" s="11" t="s">
        <v>152</v>
      </c>
      <c r="G1255" s="11">
        <v>4767</v>
      </c>
      <c r="H1255" s="11">
        <v>262</v>
      </c>
      <c r="I1255" s="11">
        <v>0</v>
      </c>
      <c r="J1255" s="11">
        <v>0</v>
      </c>
      <c r="K1255" s="11" t="s">
        <v>21</v>
      </c>
      <c r="L1255" s="7">
        <v>41374.87777777778</v>
      </c>
      <c r="M1255" s="12" t="s">
        <v>3359</v>
      </c>
      <c r="N1255" s="12" t="s">
        <v>3360</v>
      </c>
      <c r="O1255" s="10" t="str">
        <f>HYPERLINK("https://pbs.twimg.com/profile_images/662021761534332932/p5J2iws__normal.jpg","View")</f>
        <v>View</v>
      </c>
      <c r="P1255" s="11"/>
    </row>
    <row r="1256" spans="1:16" ht="12.75" x14ac:dyDescent="0.35">
      <c r="A1256" s="7">
        <v>42481.872974537036</v>
      </c>
      <c r="B1256" s="8" t="str">
        <f>HYPERLINK("https://twitter.com/matthiasgott","@matthiasgott")</f>
        <v>@matthiasgott</v>
      </c>
      <c r="C1256" s="9" t="s">
        <v>3361</v>
      </c>
      <c r="D1256" s="9" t="s">
        <v>3228</v>
      </c>
      <c r="E1256" s="10" t="str">
        <f>HYPERLINK("https://twitter.com/matthiasgott/status/723171205251997696","723171205251997696")</f>
        <v>723171205251997696</v>
      </c>
      <c r="F1256" s="11" t="s">
        <v>48</v>
      </c>
      <c r="G1256" s="11">
        <v>90</v>
      </c>
      <c r="H1256" s="11">
        <v>377</v>
      </c>
      <c r="I1256" s="11">
        <v>7</v>
      </c>
      <c r="J1256" s="11">
        <v>0</v>
      </c>
      <c r="K1256" s="11" t="s">
        <v>21</v>
      </c>
      <c r="L1256" s="7">
        <v>40745.042592592596</v>
      </c>
      <c r="M1256" s="12" t="s">
        <v>3362</v>
      </c>
      <c r="N1256" s="12" t="s">
        <v>3363</v>
      </c>
      <c r="O1256" s="10" t="str">
        <f>HYPERLINK("https://pbs.twimg.com/profile_images/705886226382004225/XiB0Gu5e_normal.jpg","View")</f>
        <v>View</v>
      </c>
      <c r="P1256" s="11"/>
    </row>
    <row r="1257" spans="1:16" ht="12.75" x14ac:dyDescent="0.35">
      <c r="A1257" s="7">
        <v>42481.87299768519</v>
      </c>
      <c r="B1257" s="8" t="str">
        <f>HYPERLINK("https://twitter.com/handelsblatt","@handelsblatt")</f>
        <v>@handelsblatt</v>
      </c>
      <c r="C1257" s="9" t="s">
        <v>973</v>
      </c>
      <c r="D1257" s="9" t="s">
        <v>3364</v>
      </c>
      <c r="E1257" s="10" t="str">
        <f>HYPERLINK("https://twitter.com/handelsblatt/status/723171211107246080","723171211107246080")</f>
        <v>723171211107246080</v>
      </c>
      <c r="F1257" s="11" t="s">
        <v>288</v>
      </c>
      <c r="G1257" s="11">
        <v>239918</v>
      </c>
      <c r="H1257" s="11">
        <v>534</v>
      </c>
      <c r="I1257" s="11">
        <v>3</v>
      </c>
      <c r="J1257" s="11">
        <v>0</v>
      </c>
      <c r="K1257" s="11" t="s">
        <v>21</v>
      </c>
      <c r="L1257" s="7">
        <v>39207.128182870372</v>
      </c>
      <c r="M1257" s="12" t="s">
        <v>975</v>
      </c>
      <c r="N1257" s="12" t="s">
        <v>976</v>
      </c>
      <c r="O1257" s="10" t="str">
        <f>HYPERLINK("https://pbs.twimg.com/profile_images/562563461171798017/AkHF4keI_normal.png","View")</f>
        <v>View</v>
      </c>
      <c r="P1257" s="11"/>
    </row>
    <row r="1258" spans="1:16" ht="12.75" x14ac:dyDescent="0.35">
      <c r="A1258" s="7">
        <v>42481.873055555552</v>
      </c>
      <c r="B1258" s="8" t="str">
        <f>HYPERLINK("https://twitter.com/JMLarena","@JMLarena")</f>
        <v>@JMLarena</v>
      </c>
      <c r="C1258" s="9" t="s">
        <v>3365</v>
      </c>
      <c r="D1258" s="9" t="s">
        <v>3366</v>
      </c>
      <c r="E1258" s="10" t="str">
        <f>HYPERLINK("https://twitter.com/JMLarena/status/723171232057798656","723171232057798656")</f>
        <v>723171232057798656</v>
      </c>
      <c r="F1258" s="11" t="s">
        <v>48</v>
      </c>
      <c r="G1258" s="11">
        <v>16586</v>
      </c>
      <c r="H1258" s="11">
        <v>16489</v>
      </c>
      <c r="I1258" s="11">
        <v>0</v>
      </c>
      <c r="J1258" s="11">
        <v>0</v>
      </c>
      <c r="K1258" s="11" t="s">
        <v>21</v>
      </c>
      <c r="L1258" s="7">
        <v>40532.86037037037</v>
      </c>
      <c r="M1258" s="12" t="s">
        <v>3367</v>
      </c>
      <c r="N1258" s="12" t="s">
        <v>3368</v>
      </c>
      <c r="O1258" s="10" t="str">
        <f>HYPERLINK("https://pbs.twimg.com/profile_images/587228919696379904/r63-phGC_normal.jpg","View")</f>
        <v>View</v>
      </c>
      <c r="P1258" s="11"/>
    </row>
    <row r="1259" spans="1:16" ht="12.75" x14ac:dyDescent="0.35">
      <c r="A1259" s="7">
        <v>42481.873067129629</v>
      </c>
      <c r="B1259" s="8" t="str">
        <f>HYPERLINK("https://twitter.com/DLFNachrichten","@DLFNachrichten")</f>
        <v>@DLFNachrichten</v>
      </c>
      <c r="C1259" s="9" t="s">
        <v>3369</v>
      </c>
      <c r="D1259" s="9" t="s">
        <v>3370</v>
      </c>
      <c r="E1259" s="10" t="str">
        <f>HYPERLINK("https://twitter.com/DLFNachrichten/status/723171236591853568","723171236591853568")</f>
        <v>723171236591853568</v>
      </c>
      <c r="F1259" s="11" t="s">
        <v>63</v>
      </c>
      <c r="G1259" s="11">
        <v>3172</v>
      </c>
      <c r="H1259" s="11">
        <v>27</v>
      </c>
      <c r="I1259" s="11">
        <v>0</v>
      </c>
      <c r="J1259" s="11">
        <v>0</v>
      </c>
      <c r="K1259" s="11" t="s">
        <v>21</v>
      </c>
      <c r="L1259" s="7">
        <v>42324.81086805556</v>
      </c>
      <c r="M1259" s="12" t="s">
        <v>3371</v>
      </c>
      <c r="N1259" s="12" t="s">
        <v>3372</v>
      </c>
      <c r="O1259" s="10" t="str">
        <f>HYPERLINK("https://pbs.twimg.com/profile_images/669541061711261696/eOfP0YD8_normal.png","View")</f>
        <v>View</v>
      </c>
      <c r="P1259" s="11"/>
    </row>
    <row r="1260" spans="1:16" ht="12.75" x14ac:dyDescent="0.35">
      <c r="A1260" s="7">
        <v>42481.873217592598</v>
      </c>
      <c r="B1260" s="8" t="str">
        <f>HYPERLINK("https://twitter.com/KCBSNews","@KCBSNews")</f>
        <v>@KCBSNews</v>
      </c>
      <c r="C1260" s="9" t="s">
        <v>3373</v>
      </c>
      <c r="D1260" s="9" t="s">
        <v>3374</v>
      </c>
      <c r="E1260" s="10" t="str">
        <f>HYPERLINK("https://twitter.com/KCBSNews/status/723171292975783937","723171292975783937")</f>
        <v>723171292975783937</v>
      </c>
      <c r="F1260" s="11" t="s">
        <v>3375</v>
      </c>
      <c r="G1260" s="11">
        <v>35346</v>
      </c>
      <c r="H1260" s="11">
        <v>6253</v>
      </c>
      <c r="I1260" s="11">
        <v>1</v>
      </c>
      <c r="J1260" s="11">
        <v>0</v>
      </c>
      <c r="K1260" s="11" t="s">
        <v>21</v>
      </c>
      <c r="L1260" s="7">
        <v>39704.02579861111</v>
      </c>
      <c r="M1260" s="12" t="s">
        <v>3219</v>
      </c>
      <c r="N1260" s="12" t="s">
        <v>3376</v>
      </c>
      <c r="O1260" s="10" t="str">
        <f>HYPERLINK("https://pbs.twimg.com/profile_images/705915659411177472/uwwzgqKD_normal.jpg","View")</f>
        <v>View</v>
      </c>
      <c r="P1260" s="11"/>
    </row>
    <row r="1261" spans="1:16" ht="12.75" x14ac:dyDescent="0.35">
      <c r="A1261" s="7">
        <v>42481.873402777783</v>
      </c>
      <c r="B1261" s="8" t="str">
        <f>HYPERLINK("https://twitter.com/Fotobiene","@Fotobiene")</f>
        <v>@Fotobiene</v>
      </c>
      <c r="C1261" s="9" t="s">
        <v>2977</v>
      </c>
      <c r="D1261" s="9" t="s">
        <v>3325</v>
      </c>
      <c r="E1261" s="10" t="str">
        <f>HYPERLINK("https://twitter.com/Fotobiene/status/723171356926423040","723171356926423040")</f>
        <v>723171356926423040</v>
      </c>
      <c r="F1261" s="11" t="s">
        <v>160</v>
      </c>
      <c r="G1261" s="11">
        <v>372</v>
      </c>
      <c r="H1261" s="11">
        <v>588</v>
      </c>
      <c r="I1261" s="11">
        <v>2</v>
      </c>
      <c r="J1261" s="11">
        <v>0</v>
      </c>
      <c r="K1261" s="11" t="s">
        <v>21</v>
      </c>
      <c r="L1261" s="7">
        <v>40363.94840277778</v>
      </c>
      <c r="M1261" s="12" t="s">
        <v>1116</v>
      </c>
      <c r="N1261" s="12" t="s">
        <v>2978</v>
      </c>
      <c r="O1261" s="10" t="str">
        <f>HYPERLINK("https://pbs.twimg.com/profile_images/476894592051056640/bqGCxWkq_normal.jpeg","View")</f>
        <v>View</v>
      </c>
      <c r="P1261" s="11"/>
    </row>
    <row r="1262" spans="1:16" ht="12.75" x14ac:dyDescent="0.35">
      <c r="A1262" s="7">
        <v>42481.873495370368</v>
      </c>
      <c r="B1262" s="8" t="str">
        <f>HYPERLINK("https://twitter.com/andreasgust1966","@andreasgust1966")</f>
        <v>@andreasgust1966</v>
      </c>
      <c r="C1262" s="9" t="s">
        <v>3377</v>
      </c>
      <c r="D1262" s="9" t="s">
        <v>3347</v>
      </c>
      <c r="E1262" s="10" t="str">
        <f>HYPERLINK("https://twitter.com/andreasgust1966/status/723171392968110080","723171392968110080")</f>
        <v>723171392968110080</v>
      </c>
      <c r="F1262" s="11" t="s">
        <v>20</v>
      </c>
      <c r="G1262" s="11">
        <v>11</v>
      </c>
      <c r="H1262" s="11">
        <v>142</v>
      </c>
      <c r="I1262" s="11">
        <v>5</v>
      </c>
      <c r="J1262" s="11">
        <v>0</v>
      </c>
      <c r="K1262" s="11" t="s">
        <v>21</v>
      </c>
      <c r="L1262" s="7">
        <v>41886.097858796296</v>
      </c>
      <c r="M1262" s="12" t="s">
        <v>953</v>
      </c>
      <c r="N1262" s="12" t="s">
        <v>3378</v>
      </c>
      <c r="O1262" s="10" t="str">
        <f>HYPERLINK("https://pbs.twimg.com/profile_images/509789391783337984/0tR1gcFP_normal.jpeg","View")</f>
        <v>View</v>
      </c>
      <c r="P1262" s="11"/>
    </row>
    <row r="1263" spans="1:16" ht="12.75" x14ac:dyDescent="0.35">
      <c r="A1263" s="7">
        <v>42481.873530092591</v>
      </c>
      <c r="B1263" s="8" t="str">
        <f>HYPERLINK("https://twitter.com/tooppermann","@tooppermann")</f>
        <v>@tooppermann</v>
      </c>
      <c r="C1263" s="9" t="s">
        <v>3379</v>
      </c>
      <c r="D1263" s="9" t="s">
        <v>3380</v>
      </c>
      <c r="E1263" s="10" t="str">
        <f>HYPERLINK("https://twitter.com/tooppermann/status/723171404783431680","723171404783431680")</f>
        <v>723171404783431680</v>
      </c>
      <c r="F1263" s="11" t="s">
        <v>20</v>
      </c>
      <c r="G1263" s="11">
        <v>588</v>
      </c>
      <c r="H1263" s="11">
        <v>480</v>
      </c>
      <c r="I1263" s="11">
        <v>0</v>
      </c>
      <c r="J1263" s="11">
        <v>0</v>
      </c>
      <c r="K1263" s="11" t="s">
        <v>21</v>
      </c>
      <c r="L1263" s="7">
        <v>39837.267662037033</v>
      </c>
      <c r="M1263" s="12" t="s">
        <v>3381</v>
      </c>
      <c r="N1263" s="12" t="s">
        <v>3382</v>
      </c>
      <c r="O1263" s="10" t="str">
        <f>HYPERLINK("https://pbs.twimg.com/profile_images/569498266786877440/eYP0jdWw_normal.jpeg","View")</f>
        <v>View</v>
      </c>
      <c r="P1263" s="11"/>
    </row>
    <row r="1264" spans="1:16" ht="12.75" x14ac:dyDescent="0.35">
      <c r="A1264" s="7">
        <v>42481.873564814814</v>
      </c>
      <c r="B1264" s="8" t="str">
        <f>HYPERLINK("https://twitter.com/LDBGruppe","@LDBGruppe")</f>
        <v>@LDBGruppe</v>
      </c>
      <c r="C1264" s="9" t="s">
        <v>3383</v>
      </c>
      <c r="D1264" s="9" t="s">
        <v>3364</v>
      </c>
      <c r="E1264" s="10" t="str">
        <f>HYPERLINK("https://twitter.com/LDBGruppe/status/723171419438227456","723171419438227456")</f>
        <v>723171419438227456</v>
      </c>
      <c r="F1264" s="11" t="s">
        <v>43</v>
      </c>
      <c r="G1264" s="11">
        <v>188</v>
      </c>
      <c r="H1264" s="11">
        <v>214</v>
      </c>
      <c r="I1264" s="11">
        <v>3</v>
      </c>
      <c r="J1264" s="11">
        <v>0</v>
      </c>
      <c r="K1264" s="11" t="s">
        <v>21</v>
      </c>
      <c r="L1264" s="7">
        <v>41625.602037037039</v>
      </c>
      <c r="M1264" s="12" t="s">
        <v>3384</v>
      </c>
      <c r="N1264" s="12" t="s">
        <v>3385</v>
      </c>
      <c r="O1264" s="10" t="str">
        <f>HYPERLINK("https://pbs.twimg.com/profile_images/412910706640445440/DgCGRrcy_normal.jpeg","View")</f>
        <v>View</v>
      </c>
      <c r="P1264" s="11"/>
    </row>
    <row r="1265" spans="1:16" ht="12.75" x14ac:dyDescent="0.35">
      <c r="A1265" s="7">
        <v>42481.873969907407</v>
      </c>
      <c r="B1265" s="8" t="str">
        <f>HYPERLINK("https://twitter.com/SuncoastVW","@SuncoastVW")</f>
        <v>@SuncoastVW</v>
      </c>
      <c r="C1265" s="9" t="s">
        <v>3386</v>
      </c>
      <c r="D1265" s="9" t="s">
        <v>3387</v>
      </c>
      <c r="E1265" s="10" t="str">
        <f>HYPERLINK("https://twitter.com/SuncoastVW/status/723171563286106112","723171563286106112")</f>
        <v>723171563286106112</v>
      </c>
      <c r="F1265" s="11" t="s">
        <v>53</v>
      </c>
      <c r="G1265" s="11">
        <v>1827</v>
      </c>
      <c r="H1265" s="11">
        <v>60</v>
      </c>
      <c r="I1265" s="11">
        <v>0</v>
      </c>
      <c r="J1265" s="11">
        <v>0</v>
      </c>
      <c r="K1265" s="11" t="s">
        <v>21</v>
      </c>
      <c r="L1265" s="7">
        <v>41484.865173611113</v>
      </c>
      <c r="M1265" s="12" t="s">
        <v>3388</v>
      </c>
      <c r="N1265" s="12" t="s">
        <v>3389</v>
      </c>
      <c r="O1265" s="10" t="str">
        <f>HYPERLINK("https://pbs.twimg.com/profile_images/689488184812535809/4owRuclt_normal.png","View")</f>
        <v>View</v>
      </c>
      <c r="P1265" s="11"/>
    </row>
    <row r="1266" spans="1:16" ht="12.75" x14ac:dyDescent="0.35">
      <c r="A1266" s="7">
        <v>42481.873981481476</v>
      </c>
      <c r="B1266" s="8" t="str">
        <f>HYPERLINK("https://twitter.com/franz_rother","@franz_rother")</f>
        <v>@franz_rother</v>
      </c>
      <c r="C1266" s="9" t="s">
        <v>1350</v>
      </c>
      <c r="D1266" s="9" t="s">
        <v>3390</v>
      </c>
      <c r="E1266" s="10" t="str">
        <f>HYPERLINK("https://twitter.com/franz_rother/status/723171567547650048","723171567547650048")</f>
        <v>723171567547650048</v>
      </c>
      <c r="F1266" s="11" t="s">
        <v>20</v>
      </c>
      <c r="G1266" s="11">
        <v>770</v>
      </c>
      <c r="H1266" s="11">
        <v>212</v>
      </c>
      <c r="I1266" s="11">
        <v>0</v>
      </c>
      <c r="J1266" s="11">
        <v>0</v>
      </c>
      <c r="K1266" s="11" t="s">
        <v>21</v>
      </c>
      <c r="L1266" s="7">
        <v>40387.831180555557</v>
      </c>
      <c r="M1266" s="12" t="s">
        <v>975</v>
      </c>
      <c r="N1266" s="12" t="s">
        <v>1352</v>
      </c>
      <c r="O1266" s="10" t="str">
        <f>HYPERLINK("https://pbs.twimg.com/profile_images/3228351590/aadb36f2b020cc27adac139aac4a5663_normal.jpeg","View")</f>
        <v>View</v>
      </c>
      <c r="P1266" s="11"/>
    </row>
    <row r="1267" spans="1:16" ht="12.75" x14ac:dyDescent="0.35">
      <c r="A1267" s="7">
        <v>42481.874490740738</v>
      </c>
      <c r="B1267" s="8" t="str">
        <f>HYPERLINK("https://twitter.com/MarkOkanagan","@MarkOkanagan")</f>
        <v>@MarkOkanagan</v>
      </c>
      <c r="C1267" s="9" t="s">
        <v>3391</v>
      </c>
      <c r="D1267" s="9" t="s">
        <v>3392</v>
      </c>
      <c r="E1267" s="10" t="str">
        <f>HYPERLINK("https://twitter.com/MarkOkanagan/status/723171755146125313","723171755146125313")</f>
        <v>723171755146125313</v>
      </c>
      <c r="F1267" s="11" t="s">
        <v>43</v>
      </c>
      <c r="G1267" s="11">
        <v>833</v>
      </c>
      <c r="H1267" s="11">
        <v>640</v>
      </c>
      <c r="I1267" s="11">
        <v>0</v>
      </c>
      <c r="J1267" s="11">
        <v>0</v>
      </c>
      <c r="K1267" s="11" t="s">
        <v>21</v>
      </c>
      <c r="L1267" s="7">
        <v>41762.000300925924</v>
      </c>
      <c r="M1267" s="12"/>
      <c r="N1267" s="12" t="s">
        <v>3393</v>
      </c>
      <c r="O1267" s="10" t="str">
        <f>HYPERLINK("https://pbs.twimg.com/profile_images/721866175332782080/-RQch6_t_normal.jpg","View")</f>
        <v>View</v>
      </c>
      <c r="P1267" s="11"/>
    </row>
    <row r="1268" spans="1:16" ht="12.75" x14ac:dyDescent="0.35">
      <c r="A1268" s="7">
        <v>42481.874745370369</v>
      </c>
      <c r="B1268" s="8" t="str">
        <f>HYPERLINK("https://twitter.com/JosephAzam","@JosephAzam")</f>
        <v>@JosephAzam</v>
      </c>
      <c r="C1268" s="9" t="s">
        <v>3394</v>
      </c>
      <c r="D1268" s="9" t="s">
        <v>3395</v>
      </c>
      <c r="E1268" s="10" t="str">
        <f>HYPERLINK("https://twitter.com/JosephAzam/status/723171845252493312","723171845252493312")</f>
        <v>723171845252493312</v>
      </c>
      <c r="F1268" s="11" t="s">
        <v>20</v>
      </c>
      <c r="G1268" s="11">
        <v>172</v>
      </c>
      <c r="H1268" s="11">
        <v>584</v>
      </c>
      <c r="I1268" s="11">
        <v>0</v>
      </c>
      <c r="J1268" s="11">
        <v>0</v>
      </c>
      <c r="K1268" s="11" t="s">
        <v>21</v>
      </c>
      <c r="L1268" s="7">
        <v>41760.151307870372</v>
      </c>
      <c r="M1268" s="12"/>
      <c r="N1268" s="12" t="s">
        <v>3396</v>
      </c>
      <c r="O1268" s="10" t="str">
        <f>HYPERLINK("https://pbs.twimg.com/profile_images/614472629311926272/COQFQX5q_normal.jpg","View")</f>
        <v>View</v>
      </c>
      <c r="P1268" s="11"/>
    </row>
    <row r="1269" spans="1:16" ht="12.75" x14ac:dyDescent="0.35">
      <c r="A1269" s="7">
        <v>42481.874837962961</v>
      </c>
      <c r="B1269" s="8" t="str">
        <f>HYPERLINK("https://twitter.com/zapher134","@zapher134")</f>
        <v>@zapher134</v>
      </c>
      <c r="C1269" s="9" t="s">
        <v>3397</v>
      </c>
      <c r="D1269" s="9" t="s">
        <v>3398</v>
      </c>
      <c r="E1269" s="10" t="str">
        <f>HYPERLINK("https://twitter.com/zapher134/status/723171877573767168","723171877573767168")</f>
        <v>723171877573767168</v>
      </c>
      <c r="F1269" s="11" t="s">
        <v>48</v>
      </c>
      <c r="G1269" s="11">
        <v>1722</v>
      </c>
      <c r="H1269" s="11">
        <v>2007</v>
      </c>
      <c r="I1269" s="11">
        <v>0</v>
      </c>
      <c r="J1269" s="11">
        <v>0</v>
      </c>
      <c r="K1269" s="11" t="s">
        <v>21</v>
      </c>
      <c r="L1269" s="7">
        <v>39986.738692129627</v>
      </c>
      <c r="M1269" s="12" t="s">
        <v>3399</v>
      </c>
      <c r="N1269" s="12" t="s">
        <v>3400</v>
      </c>
      <c r="O1269" s="10" t="str">
        <f>HYPERLINK("https://pbs.twimg.com/profile_images/722514769450770432/QtLveTR6_normal.jpg","View")</f>
        <v>View</v>
      </c>
      <c r="P1269" s="11"/>
    </row>
    <row r="1270" spans="1:16" ht="12.75" x14ac:dyDescent="0.35">
      <c r="A1270" s="7">
        <v>42481.875162037039</v>
      </c>
      <c r="B1270" s="8" t="str">
        <f>HYPERLINK("https://twitter.com/LashVW","@LashVW")</f>
        <v>@LashVW</v>
      </c>
      <c r="C1270" s="9" t="s">
        <v>3401</v>
      </c>
      <c r="D1270" s="9" t="s">
        <v>3402</v>
      </c>
      <c r="E1270" s="10" t="str">
        <f>HYPERLINK("https://twitter.com/LashVW/status/723171997614772224","723171997614772224")</f>
        <v>723171997614772224</v>
      </c>
      <c r="F1270" s="11" t="s">
        <v>152</v>
      </c>
      <c r="G1270" s="11">
        <v>27</v>
      </c>
      <c r="H1270" s="11">
        <v>16</v>
      </c>
      <c r="I1270" s="11">
        <v>0</v>
      </c>
      <c r="J1270" s="11">
        <v>0</v>
      </c>
      <c r="K1270" s="11" t="s">
        <v>21</v>
      </c>
      <c r="L1270" s="7">
        <v>41458.931840277779</v>
      </c>
      <c r="M1270" s="12" t="s">
        <v>3403</v>
      </c>
      <c r="N1270" s="12" t="s">
        <v>3404</v>
      </c>
      <c r="O1270" s="10" t="str">
        <f>HYPERLINK("https://pbs.twimg.com/profile_images/378800000082888816/deaf339872b103bd6f769366228f123b_normal.jpeg","View")</f>
        <v>View</v>
      </c>
      <c r="P1270" s="11"/>
    </row>
    <row r="1271" spans="1:16" ht="12.75" x14ac:dyDescent="0.35">
      <c r="A1271" s="7">
        <v>42481.875243055554</v>
      </c>
      <c r="B1271" s="8" t="str">
        <f>HYPERLINK("https://twitter.com/zdmak","@zdmak")</f>
        <v>@zdmak</v>
      </c>
      <c r="C1271" s="9" t="s">
        <v>2476</v>
      </c>
      <c r="D1271" s="9" t="s">
        <v>3405</v>
      </c>
      <c r="E1271" s="10" t="str">
        <f>HYPERLINK("https://twitter.com/zdmak/status/723172023879389184","723172023879389184")</f>
        <v>723172023879389184</v>
      </c>
      <c r="F1271" s="11" t="s">
        <v>43</v>
      </c>
      <c r="G1271" s="11">
        <v>585</v>
      </c>
      <c r="H1271" s="11">
        <v>1252</v>
      </c>
      <c r="I1271" s="11">
        <v>0</v>
      </c>
      <c r="J1271" s="11">
        <v>0</v>
      </c>
      <c r="K1271" s="11" t="s">
        <v>21</v>
      </c>
      <c r="L1271" s="7">
        <v>40478.984224537038</v>
      </c>
      <c r="M1271" s="12" t="s">
        <v>305</v>
      </c>
      <c r="N1271" s="12" t="s">
        <v>2478</v>
      </c>
      <c r="O1271" s="10" t="str">
        <f>HYPERLINK("https://pbs.twimg.com/profile_images/573248726212325376/60EMO_jJ_normal.jpeg","View")</f>
        <v>View</v>
      </c>
      <c r="P1271" s="11"/>
    </row>
    <row r="1272" spans="1:16" ht="12.75" x14ac:dyDescent="0.35">
      <c r="A1272" s="7">
        <v>42481.875289351854</v>
      </c>
      <c r="B1272" s="8" t="str">
        <f>HYPERLINK("https://twitter.com/DartsArrow","@DartsArrow")</f>
        <v>@DartsArrow</v>
      </c>
      <c r="C1272" s="9" t="s">
        <v>3406</v>
      </c>
      <c r="D1272" s="9" t="s">
        <v>2979</v>
      </c>
      <c r="E1272" s="10" t="str">
        <f>HYPERLINK("https://twitter.com/DartsArrow/status/723172042237865984","723172042237865984")</f>
        <v>723172042237865984</v>
      </c>
      <c r="F1272" s="11" t="s">
        <v>43</v>
      </c>
      <c r="G1272" s="11">
        <v>26</v>
      </c>
      <c r="H1272" s="11">
        <v>36</v>
      </c>
      <c r="I1272" s="11">
        <v>2</v>
      </c>
      <c r="J1272" s="11">
        <v>0</v>
      </c>
      <c r="K1272" s="11" t="s">
        <v>21</v>
      </c>
      <c r="L1272" s="7">
        <v>41331.040902777779</v>
      </c>
      <c r="M1272" s="12"/>
      <c r="N1272" s="12" t="s">
        <v>3407</v>
      </c>
      <c r="O1272" s="10" t="str">
        <f>HYPERLINK("https://pbs.twimg.com/profile_images/3312431638/6817add775260b013c84fad03c72eb8c_normal.jpeg","View")</f>
        <v>View</v>
      </c>
      <c r="P1272" s="11"/>
    </row>
    <row r="1273" spans="1:16" ht="12.75" x14ac:dyDescent="0.35">
      <c r="A1273" s="7">
        <v>42481.875347222223</v>
      </c>
      <c r="B1273" s="8" t="str">
        <f>HYPERLINK("https://twitter.com/Sandy_Tang_Ge","@Sandy_Tang_Ge")</f>
        <v>@Sandy_Tang_Ge</v>
      </c>
      <c r="C1273" s="9" t="s">
        <v>3408</v>
      </c>
      <c r="D1273" s="9" t="s">
        <v>3347</v>
      </c>
      <c r="E1273" s="10" t="str">
        <f>HYPERLINK("https://twitter.com/Sandy_Tang_Ge/status/723172063737995264","723172063737995264")</f>
        <v>723172063737995264</v>
      </c>
      <c r="F1273" s="11" t="s">
        <v>288</v>
      </c>
      <c r="G1273" s="11">
        <v>989</v>
      </c>
      <c r="H1273" s="11">
        <v>1016</v>
      </c>
      <c r="I1273" s="11">
        <v>5</v>
      </c>
      <c r="J1273" s="11">
        <v>0</v>
      </c>
      <c r="K1273" s="11" t="s">
        <v>21</v>
      </c>
      <c r="L1273" s="7">
        <v>42411.055081018523</v>
      </c>
      <c r="M1273" s="12" t="s">
        <v>262</v>
      </c>
      <c r="N1273" s="12" t="s">
        <v>3409</v>
      </c>
      <c r="O1273" s="10" t="str">
        <f>HYPERLINK("https://pbs.twimg.com/profile_images/710116856074522624/Z39UW3uF_normal.jpg","View")</f>
        <v>View</v>
      </c>
      <c r="P1273" s="11"/>
    </row>
    <row r="1274" spans="1:16" ht="12.75" x14ac:dyDescent="0.35">
      <c r="A1274" s="7">
        <v>42481.875972222224</v>
      </c>
      <c r="B1274" s="8" t="str">
        <f>HYPERLINK("https://twitter.com/Frontal21","@Frontal21")</f>
        <v>@Frontal21</v>
      </c>
      <c r="C1274" s="9" t="s">
        <v>3349</v>
      </c>
      <c r="D1274" s="9" t="s">
        <v>3410</v>
      </c>
      <c r="E1274" s="10" t="str">
        <f>HYPERLINK("https://twitter.com/Frontal21/status/723172290247036929","723172290247036929")</f>
        <v>723172290247036929</v>
      </c>
      <c r="F1274" s="11" t="s">
        <v>43</v>
      </c>
      <c r="G1274" s="11">
        <v>7741</v>
      </c>
      <c r="H1274" s="11">
        <v>132</v>
      </c>
      <c r="I1274" s="11">
        <v>0</v>
      </c>
      <c r="J1274" s="11">
        <v>1</v>
      </c>
      <c r="K1274" s="11" t="s">
        <v>21</v>
      </c>
      <c r="L1274" s="7">
        <v>41208.765763888892</v>
      </c>
      <c r="M1274" s="12" t="s">
        <v>2907</v>
      </c>
      <c r="N1274" s="12" t="s">
        <v>3351</v>
      </c>
      <c r="O1274" s="10" t="str">
        <f>HYPERLINK("https://pbs.twimg.com/profile_images/2783814203/4b5dc0bf52ddee4fe7fcfee4cb816dea_normal.jpeg","View")</f>
        <v>View</v>
      </c>
      <c r="P1274" s="11"/>
    </row>
    <row r="1275" spans="1:16" ht="12.75" x14ac:dyDescent="0.35">
      <c r="A1275" s="7">
        <v>42481.876030092593</v>
      </c>
      <c r="B1275" s="8" t="str">
        <f>HYPERLINK("https://twitter.com/tom_tadah","@tom_tadah")</f>
        <v>@tom_tadah</v>
      </c>
      <c r="C1275" s="9" t="s">
        <v>3411</v>
      </c>
      <c r="D1275" s="9" t="s">
        <v>3412</v>
      </c>
      <c r="E1275" s="10" t="str">
        <f>HYPERLINK("https://twitter.com/tom_tadah/status/723172309561810944","723172309561810944")</f>
        <v>723172309561810944</v>
      </c>
      <c r="F1275" s="11" t="s">
        <v>367</v>
      </c>
      <c r="G1275" s="11">
        <v>3</v>
      </c>
      <c r="H1275" s="11">
        <v>27</v>
      </c>
      <c r="I1275" s="11">
        <v>0</v>
      </c>
      <c r="J1275" s="11">
        <v>0</v>
      </c>
      <c r="K1275" s="11" t="s">
        <v>21</v>
      </c>
      <c r="L1275" s="7">
        <v>42469.738483796296</v>
      </c>
      <c r="M1275" s="12"/>
      <c r="N1275" s="12"/>
      <c r="O1275" s="10" t="str">
        <f>HYPERLINK("https://abs.twimg.com/sticky/default_profile_images/default_profile_1_normal.png","View")</f>
        <v>View</v>
      </c>
      <c r="P1275" s="11"/>
    </row>
    <row r="1276" spans="1:16" ht="12.75" x14ac:dyDescent="0.35">
      <c r="A1276" s="7">
        <v>42481.876261574071</v>
      </c>
      <c r="B1276" s="8" t="str">
        <f>HYPERLINK("https://twitter.com/mueller_mw","@mueller_mw")</f>
        <v>@mueller_mw</v>
      </c>
      <c r="C1276" s="9" t="s">
        <v>3413</v>
      </c>
      <c r="D1276" s="9" t="s">
        <v>3414</v>
      </c>
      <c r="E1276" s="10" t="str">
        <f>HYPERLINK("https://twitter.com/mueller_mw/status/723172393074712578","723172393074712578")</f>
        <v>723172393074712578</v>
      </c>
      <c r="F1276" s="11" t="s">
        <v>53</v>
      </c>
      <c r="G1276" s="11">
        <v>170</v>
      </c>
      <c r="H1276" s="11">
        <v>657</v>
      </c>
      <c r="I1276" s="11">
        <v>0</v>
      </c>
      <c r="J1276" s="11">
        <v>0</v>
      </c>
      <c r="K1276" s="11" t="s">
        <v>21</v>
      </c>
      <c r="L1276" s="7">
        <v>40317.283067129625</v>
      </c>
      <c r="M1276" s="12" t="s">
        <v>3415</v>
      </c>
      <c r="N1276" s="12" t="s">
        <v>3416</v>
      </c>
      <c r="O1276" s="10" t="str">
        <f>HYPERLINK("https://pbs.twimg.com/profile_images/913336993/mmw_twitterLogo_normal.png","View")</f>
        <v>View</v>
      </c>
      <c r="P1276" s="11"/>
    </row>
    <row r="1277" spans="1:16" ht="12.75" x14ac:dyDescent="0.35">
      <c r="A1277" s="7">
        <v>42481.876400462963</v>
      </c>
      <c r="B1277" s="8" t="str">
        <f>HYPERLINK("https://twitter.com/kayabendroth","@kayabendroth")</f>
        <v>@kayabendroth</v>
      </c>
      <c r="C1277" s="9" t="s">
        <v>3417</v>
      </c>
      <c r="D1277" s="9" t="s">
        <v>3418</v>
      </c>
      <c r="E1277" s="10" t="str">
        <f>HYPERLINK("https://twitter.com/kayabendroth/status/723172443603501056","723172443603501056")</f>
        <v>723172443603501056</v>
      </c>
      <c r="F1277" s="11" t="s">
        <v>20</v>
      </c>
      <c r="G1277" s="11">
        <v>496</v>
      </c>
      <c r="H1277" s="11">
        <v>2044</v>
      </c>
      <c r="I1277" s="11">
        <v>0</v>
      </c>
      <c r="J1277" s="11">
        <v>0</v>
      </c>
      <c r="K1277" s="11" t="s">
        <v>21</v>
      </c>
      <c r="L1277" s="7">
        <v>40443.692523148144</v>
      </c>
      <c r="M1277" s="12" t="s">
        <v>3419</v>
      </c>
      <c r="N1277" s="12" t="s">
        <v>3420</v>
      </c>
      <c r="O1277" s="10" t="str">
        <f>HYPERLINK("https://pbs.twimg.com/profile_images/1128952252/me_normal.jpeg","View")</f>
        <v>View</v>
      </c>
      <c r="P1277" s="11"/>
    </row>
    <row r="1278" spans="1:16" ht="12.75" x14ac:dyDescent="0.35">
      <c r="A1278" s="7">
        <v>42481.87663194444</v>
      </c>
      <c r="B1278" s="8" t="str">
        <f>HYPERLINK("https://twitter.com/at_trend","@at_trend")</f>
        <v>@at_trend</v>
      </c>
      <c r="C1278" s="9" t="s">
        <v>3421</v>
      </c>
      <c r="D1278" s="9" t="s">
        <v>3422</v>
      </c>
      <c r="E1278" s="10" t="str">
        <f>HYPERLINK("https://twitter.com/at_trend/status/723172529242689536","723172529242689536")</f>
        <v>723172529242689536</v>
      </c>
      <c r="F1278" s="11" t="s">
        <v>43</v>
      </c>
      <c r="G1278" s="11">
        <v>2083</v>
      </c>
      <c r="H1278" s="11">
        <v>5001</v>
      </c>
      <c r="I1278" s="11">
        <v>0</v>
      </c>
      <c r="J1278" s="11">
        <v>0</v>
      </c>
      <c r="K1278" s="11" t="s">
        <v>21</v>
      </c>
      <c r="L1278" s="7">
        <v>41865.819606481484</v>
      </c>
      <c r="M1278" s="12"/>
      <c r="N1278" s="12"/>
      <c r="O1278" s="10" t="str">
        <f>HYPERLINK("https://pbs.twimg.com/profile_images/687907717470646273/LKIt4F-O_normal.jpg","View")</f>
        <v>View</v>
      </c>
      <c r="P1278" s="11"/>
    </row>
    <row r="1279" spans="1:16" ht="12.75" x14ac:dyDescent="0.35">
      <c r="A1279" s="7">
        <v>42481.876689814817</v>
      </c>
      <c r="B1279" s="8" t="str">
        <f>HYPERLINK("https://twitter.com/franz_rother","@franz_rother")</f>
        <v>@franz_rother</v>
      </c>
      <c r="C1279" s="9" t="s">
        <v>1350</v>
      </c>
      <c r="D1279" s="9" t="s">
        <v>3423</v>
      </c>
      <c r="E1279" s="10" t="str">
        <f>HYPERLINK("https://twitter.com/franz_rother/status/723172550998646784","723172550998646784")</f>
        <v>723172550998646784</v>
      </c>
      <c r="F1279" s="11" t="s">
        <v>20</v>
      </c>
      <c r="G1279" s="11">
        <v>770</v>
      </c>
      <c r="H1279" s="11">
        <v>212</v>
      </c>
      <c r="I1279" s="11">
        <v>0</v>
      </c>
      <c r="J1279" s="11">
        <v>0</v>
      </c>
      <c r="K1279" s="11" t="s">
        <v>21</v>
      </c>
      <c r="L1279" s="7">
        <v>40387.831180555557</v>
      </c>
      <c r="M1279" s="12" t="s">
        <v>975</v>
      </c>
      <c r="N1279" s="12" t="s">
        <v>1352</v>
      </c>
      <c r="O1279" s="10" t="str">
        <f>HYPERLINK("https://pbs.twimg.com/profile_images/3228351590/aadb36f2b020cc27adac139aac4a5663_normal.jpeg","View")</f>
        <v>View</v>
      </c>
      <c r="P1279" s="11"/>
    </row>
    <row r="1280" spans="1:16" ht="12.75" x14ac:dyDescent="0.35">
      <c r="A1280" s="7">
        <v>42481.876851851848</v>
      </c>
      <c r="B1280" s="8" t="str">
        <f>HYPERLINK("https://twitter.com/terrybryantlaw","@terrybryantlaw")</f>
        <v>@terrybryantlaw</v>
      </c>
      <c r="C1280" s="9" t="s">
        <v>3424</v>
      </c>
      <c r="D1280" s="9" t="s">
        <v>3425</v>
      </c>
      <c r="E1280" s="10" t="str">
        <f>HYPERLINK("https://twitter.com/terrybryantlaw/status/723172609328844801","723172609328844801")</f>
        <v>723172609328844801</v>
      </c>
      <c r="F1280" s="11" t="s">
        <v>53</v>
      </c>
      <c r="G1280" s="11">
        <v>8928</v>
      </c>
      <c r="H1280" s="11">
        <v>10206</v>
      </c>
      <c r="I1280" s="11">
        <v>0</v>
      </c>
      <c r="J1280" s="11">
        <v>0</v>
      </c>
      <c r="K1280" s="11" t="s">
        <v>21</v>
      </c>
      <c r="L1280" s="7">
        <v>39876.544988425929</v>
      </c>
      <c r="M1280" s="12" t="s">
        <v>1604</v>
      </c>
      <c r="N1280" s="12" t="s">
        <v>3426</v>
      </c>
      <c r="O1280" s="10" t="str">
        <f>HYPERLINK("https://pbs.twimg.com/profile_images/836239160/icon_normal.jpg","View")</f>
        <v>View</v>
      </c>
      <c r="P1280" s="11"/>
    </row>
    <row r="1281" spans="1:16" ht="12.75" x14ac:dyDescent="0.35">
      <c r="A1281" s="7">
        <v>42481.876944444448</v>
      </c>
      <c r="B1281" s="8" t="str">
        <f>HYPERLINK("https://twitter.com/rodelurmatan","@rodelurmatan")</f>
        <v>@rodelurmatan</v>
      </c>
      <c r="C1281" s="9" t="s">
        <v>3427</v>
      </c>
      <c r="D1281" s="9" t="s">
        <v>3428</v>
      </c>
      <c r="E1281" s="10" t="str">
        <f>HYPERLINK("https://twitter.com/rodelurmatan/status/723172643923349504","723172643923349504")</f>
        <v>723172643923349504</v>
      </c>
      <c r="F1281" s="11" t="s">
        <v>20</v>
      </c>
      <c r="G1281" s="11">
        <v>621</v>
      </c>
      <c r="H1281" s="11">
        <v>961</v>
      </c>
      <c r="I1281" s="11">
        <v>0</v>
      </c>
      <c r="J1281" s="11">
        <v>0</v>
      </c>
      <c r="K1281" s="11" t="s">
        <v>21</v>
      </c>
      <c r="L1281" s="7">
        <v>39640.233599537038</v>
      </c>
      <c r="M1281" s="12" t="s">
        <v>3429</v>
      </c>
      <c r="N1281" s="12" t="s">
        <v>3430</v>
      </c>
      <c r="O1281" s="10" t="str">
        <f>HYPERLINK("https://pbs.twimg.com/profile_images/722293771489021952/0XUEFKIG_normal.jpg","View")</f>
        <v>View</v>
      </c>
      <c r="P1281" s="11"/>
    </row>
    <row r="1282" spans="1:16" ht="12.75" x14ac:dyDescent="0.35">
      <c r="A1282" s="7">
        <v>42481.87704861111</v>
      </c>
      <c r="B1282" s="8" t="str">
        <f>HYPERLINK("https://twitter.com/YorkieAH","@YorkieAH")</f>
        <v>@YorkieAH</v>
      </c>
      <c r="C1282" s="9" t="s">
        <v>3431</v>
      </c>
      <c r="D1282" s="9" t="s">
        <v>3432</v>
      </c>
      <c r="E1282" s="10" t="str">
        <f>HYPERLINK("https://twitter.com/YorkieAH/status/723172680304877568","723172680304877568")</f>
        <v>723172680304877568</v>
      </c>
      <c r="F1282" s="11" t="s">
        <v>20</v>
      </c>
      <c r="G1282" s="11">
        <v>306</v>
      </c>
      <c r="H1282" s="11">
        <v>661</v>
      </c>
      <c r="I1282" s="11">
        <v>0</v>
      </c>
      <c r="J1282" s="11">
        <v>0</v>
      </c>
      <c r="K1282" s="11" t="s">
        <v>21</v>
      </c>
      <c r="L1282" s="7">
        <v>40827.096828703703</v>
      </c>
      <c r="M1282" s="12" t="s">
        <v>3433</v>
      </c>
      <c r="N1282" s="12" t="s">
        <v>3434</v>
      </c>
      <c r="O1282" s="10" t="str">
        <f>HYPERLINK("https://pbs.twimg.com/profile_images/637188461481431040/v18IsDwJ_normal.png","View")</f>
        <v>View</v>
      </c>
      <c r="P1282" s="11"/>
    </row>
    <row r="1283" spans="1:16" ht="12.75" x14ac:dyDescent="0.35">
      <c r="A1283" s="7">
        <v>42481.877592592587</v>
      </c>
      <c r="B1283" s="8" t="str">
        <f>HYPERLINK("https://twitter.com/Lebeaucarnews","@Lebeaucarnews")</f>
        <v>@Lebeaucarnews</v>
      </c>
      <c r="C1283" s="9" t="s">
        <v>3435</v>
      </c>
      <c r="D1283" s="9" t="s">
        <v>3436</v>
      </c>
      <c r="E1283" s="10" t="str">
        <f>HYPERLINK("https://twitter.com/Lebeaucarnews/status/723172876392783872","723172876392783872")</f>
        <v>723172876392783872</v>
      </c>
      <c r="F1283" s="11" t="s">
        <v>63</v>
      </c>
      <c r="G1283" s="11">
        <v>22730</v>
      </c>
      <c r="H1283" s="11">
        <v>1498</v>
      </c>
      <c r="I1283" s="11">
        <v>11</v>
      </c>
      <c r="J1283" s="11">
        <v>7</v>
      </c>
      <c r="K1283" s="11" t="s">
        <v>21</v>
      </c>
      <c r="L1283" s="7">
        <v>40058.861111111109</v>
      </c>
      <c r="M1283" s="12" t="s">
        <v>3437</v>
      </c>
      <c r="N1283" s="12" t="s">
        <v>3438</v>
      </c>
      <c r="O1283" s="10" t="str">
        <f>HYPERLINK("https://pbs.twimg.com/profile_images/1795205245/DSC04821_normal.jpg","View")</f>
        <v>View</v>
      </c>
      <c r="P1283" s="11"/>
    </row>
    <row r="1284" spans="1:16" ht="12.75" x14ac:dyDescent="0.35">
      <c r="A1284" s="7">
        <v>42481.87799768518</v>
      </c>
      <c r="B1284" s="8" t="str">
        <f>HYPERLINK("https://twitter.com/Automotive_News","@Automotive_News")</f>
        <v>@Automotive_News</v>
      </c>
      <c r="C1284" s="9" t="s">
        <v>3439</v>
      </c>
      <c r="D1284" s="9" t="s">
        <v>3440</v>
      </c>
      <c r="E1284" s="10" t="str">
        <f>HYPERLINK("https://twitter.com/Automotive_News/status/723173023264579584","723173023264579584")</f>
        <v>723173023264579584</v>
      </c>
      <c r="F1284" s="11" t="s">
        <v>43</v>
      </c>
      <c r="G1284" s="11">
        <v>134095</v>
      </c>
      <c r="H1284" s="11">
        <v>2606</v>
      </c>
      <c r="I1284" s="11">
        <v>11</v>
      </c>
      <c r="J1284" s="11">
        <v>0</v>
      </c>
      <c r="K1284" s="11" t="s">
        <v>21</v>
      </c>
      <c r="L1284" s="7">
        <v>39570.981458333335</v>
      </c>
      <c r="M1284" s="12" t="s">
        <v>3441</v>
      </c>
      <c r="N1284" s="12" t="s">
        <v>3442</v>
      </c>
      <c r="O1284" s="10" t="str">
        <f>HYPERLINK("https://pbs.twimg.com/profile_images/378800000534775382/4bec857571a11a945880576a81c8720e_normal.jpeg","View")</f>
        <v>View</v>
      </c>
      <c r="P1284" s="11"/>
    </row>
    <row r="1285" spans="1:16" ht="12.75" x14ac:dyDescent="0.35">
      <c r="A1285" s="7">
        <v>42481.87804398148</v>
      </c>
      <c r="B1285" s="8" t="str">
        <f>HYPERLINK("https://twitter.com/transporter_ne","@transporter_ne")</f>
        <v>@transporter_ne</v>
      </c>
      <c r="C1285" s="9" t="s">
        <v>3443</v>
      </c>
      <c r="D1285" s="9" t="s">
        <v>3440</v>
      </c>
      <c r="E1285" s="10" t="str">
        <f>HYPERLINK("https://twitter.com/transporter_ne/status/723173038871732224","723173038871732224")</f>
        <v>723173038871732224</v>
      </c>
      <c r="F1285" s="11" t="s">
        <v>20</v>
      </c>
      <c r="G1285" s="11">
        <v>1889</v>
      </c>
      <c r="H1285" s="11">
        <v>2668</v>
      </c>
      <c r="I1285" s="11">
        <v>11</v>
      </c>
      <c r="J1285" s="11">
        <v>0</v>
      </c>
      <c r="K1285" s="11" t="s">
        <v>21</v>
      </c>
      <c r="L1285" s="7">
        <v>40866.339675925927</v>
      </c>
      <c r="M1285" s="12" t="s">
        <v>3444</v>
      </c>
      <c r="N1285" s="12" t="s">
        <v>3445</v>
      </c>
      <c r="O1285" s="10" t="str">
        <f>HYPERLINK("https://pbs.twimg.com/profile_images/612380730828570625/ueTZGetC_normal.jpg","View")</f>
        <v>View</v>
      </c>
      <c r="P1285" s="11"/>
    </row>
    <row r="1286" spans="1:16" ht="12.75" x14ac:dyDescent="0.35">
      <c r="A1286" s="7">
        <v>42481.878263888888</v>
      </c>
      <c r="B1286" s="8" t="str">
        <f>HYPERLINK("https://twitter.com/zdmak","@zdmak")</f>
        <v>@zdmak</v>
      </c>
      <c r="C1286" s="9" t="s">
        <v>2476</v>
      </c>
      <c r="D1286" s="9" t="s">
        <v>3446</v>
      </c>
      <c r="E1286" s="10" t="str">
        <f>HYPERLINK("https://twitter.com/zdmak/status/723173120702447617","723173120702447617")</f>
        <v>723173120702447617</v>
      </c>
      <c r="F1286" s="11" t="s">
        <v>43</v>
      </c>
      <c r="G1286" s="11">
        <v>585</v>
      </c>
      <c r="H1286" s="11">
        <v>1252</v>
      </c>
      <c r="I1286" s="11">
        <v>0</v>
      </c>
      <c r="J1286" s="11">
        <v>0</v>
      </c>
      <c r="K1286" s="11" t="s">
        <v>21</v>
      </c>
      <c r="L1286" s="7">
        <v>40478.984224537038</v>
      </c>
      <c r="M1286" s="12" t="s">
        <v>305</v>
      </c>
      <c r="N1286" s="12" t="s">
        <v>2478</v>
      </c>
      <c r="O1286" s="10" t="str">
        <f>HYPERLINK("https://pbs.twimg.com/profile_images/573248726212325376/60EMO_jJ_normal.jpeg","View")</f>
        <v>View</v>
      </c>
      <c r="P1286" s="11"/>
    </row>
    <row r="1287" spans="1:16" ht="12.75" x14ac:dyDescent="0.35">
      <c r="A1287" s="7">
        <v>42481.878344907411</v>
      </c>
      <c r="B1287" s="8" t="str">
        <f>HYPERLINK("https://twitter.com/MagpieFields","@MagpieFields")</f>
        <v>@MagpieFields</v>
      </c>
      <c r="C1287" s="9" t="s">
        <v>3447</v>
      </c>
      <c r="D1287" s="9" t="s">
        <v>3448</v>
      </c>
      <c r="E1287" s="10" t="str">
        <f>HYPERLINK("https://twitter.com/MagpieFields/status/723173148846338048","723173148846338048")</f>
        <v>723173148846338048</v>
      </c>
      <c r="F1287" s="11" t="s">
        <v>68</v>
      </c>
      <c r="G1287" s="11">
        <v>335</v>
      </c>
      <c r="H1287" s="11">
        <v>258</v>
      </c>
      <c r="I1287" s="11">
        <v>0</v>
      </c>
      <c r="J1287" s="11">
        <v>0</v>
      </c>
      <c r="K1287" s="11" t="s">
        <v>21</v>
      </c>
      <c r="L1287" s="7">
        <v>40750.960462962961</v>
      </c>
      <c r="M1287" s="12" t="s">
        <v>3449</v>
      </c>
      <c r="N1287" s="12" t="s">
        <v>3450</v>
      </c>
      <c r="O1287" s="10" t="str">
        <f>HYPERLINK("https://pbs.twimg.com/profile_images/668867936208031744/3E1Dt1Ld_normal.jpg","View")</f>
        <v>View</v>
      </c>
      <c r="P1287" s="11"/>
    </row>
    <row r="1288" spans="1:16" ht="12.75" x14ac:dyDescent="0.35">
      <c r="A1288" s="7">
        <v>42481.878564814819</v>
      </c>
      <c r="B1288" s="8" t="str">
        <f>HYPERLINK("https://twitter.com/kirstein_sandra","@kirstein_sandra")</f>
        <v>@kirstein_sandra</v>
      </c>
      <c r="C1288" s="9" t="s">
        <v>3451</v>
      </c>
      <c r="D1288" s="9" t="s">
        <v>3452</v>
      </c>
      <c r="E1288" s="10" t="str">
        <f>HYPERLINK("https://twitter.com/kirstein_sandra/status/723173227736997892","723173227736997892")</f>
        <v>723173227736997892</v>
      </c>
      <c r="F1288" s="11" t="s">
        <v>20</v>
      </c>
      <c r="G1288" s="11">
        <v>155</v>
      </c>
      <c r="H1288" s="11">
        <v>738</v>
      </c>
      <c r="I1288" s="11">
        <v>0</v>
      </c>
      <c r="J1288" s="11">
        <v>0</v>
      </c>
      <c r="K1288" s="11" t="s">
        <v>21</v>
      </c>
      <c r="L1288" s="7">
        <v>41046.514675925922</v>
      </c>
      <c r="M1288" s="12" t="s">
        <v>3453</v>
      </c>
      <c r="N1288" s="12" t="s">
        <v>3454</v>
      </c>
      <c r="O1288" s="10" t="str">
        <f>HYPERLINK("https://pbs.twimg.com/profile_images/694584728985452544/3zgs0YER_normal.jpg","View")</f>
        <v>View</v>
      </c>
      <c r="P1288" s="11"/>
    </row>
    <row r="1289" spans="1:16" ht="12.75" x14ac:dyDescent="0.35">
      <c r="A1289" s="7">
        <v>42481.878680555557</v>
      </c>
      <c r="B1289" s="8" t="str">
        <f>HYPERLINK("https://twitter.com/GQBert","@GQBert")</f>
        <v>@GQBert</v>
      </c>
      <c r="C1289" s="9" t="s">
        <v>3455</v>
      </c>
      <c r="D1289" s="9" t="s">
        <v>3456</v>
      </c>
      <c r="E1289" s="10" t="str">
        <f>HYPERLINK("https://twitter.com/GQBert/status/723173270212714496","723173270212714496")</f>
        <v>723173270212714496</v>
      </c>
      <c r="F1289" s="11" t="s">
        <v>20</v>
      </c>
      <c r="G1289" s="11">
        <v>9</v>
      </c>
      <c r="H1289" s="11">
        <v>17</v>
      </c>
      <c r="I1289" s="11">
        <v>1</v>
      </c>
      <c r="J1289" s="11">
        <v>0</v>
      </c>
      <c r="K1289" s="11" t="s">
        <v>21</v>
      </c>
      <c r="L1289" s="7">
        <v>41946.917175925926</v>
      </c>
      <c r="M1289" s="12"/>
      <c r="N1289" s="12"/>
      <c r="O1289" s="10" t="str">
        <f>HYPERLINK("https://pbs.twimg.com/profile_images/661277053791137792/nznU4QQi_normal.jpg","View")</f>
        <v>View</v>
      </c>
      <c r="P1289" s="11"/>
    </row>
    <row r="1290" spans="1:16" ht="12.75" x14ac:dyDescent="0.35">
      <c r="A1290" s="7">
        <v>42481.879120370373</v>
      </c>
      <c r="B1290" s="8" t="str">
        <f>HYPERLINK("https://twitter.com/DiePressecom","@DiePressecom")</f>
        <v>@DiePressecom</v>
      </c>
      <c r="C1290" s="8" t="s">
        <v>3457</v>
      </c>
      <c r="D1290" s="9" t="s">
        <v>3458</v>
      </c>
      <c r="E1290" s="10" t="str">
        <f>HYPERLINK("https://twitter.com/DiePressecom/status/723173430892195841","723173430892195841")</f>
        <v>723173430892195841</v>
      </c>
      <c r="F1290" s="11" t="s">
        <v>43</v>
      </c>
      <c r="G1290" s="11">
        <v>13136</v>
      </c>
      <c r="H1290" s="11">
        <v>806</v>
      </c>
      <c r="I1290" s="11">
        <v>1</v>
      </c>
      <c r="J1290" s="11">
        <v>1</v>
      </c>
      <c r="K1290" s="11" t="s">
        <v>21</v>
      </c>
      <c r="L1290" s="7">
        <v>39878.698055555556</v>
      </c>
      <c r="M1290" s="12" t="s">
        <v>3459</v>
      </c>
      <c r="N1290" s="12" t="s">
        <v>3460</v>
      </c>
      <c r="O1290" s="10" t="str">
        <f>HYPERLINK("https://pbs.twimg.com/profile_images/695271772820787200/a3KEfinY_normal.png","View")</f>
        <v>View</v>
      </c>
      <c r="P1290" s="11"/>
    </row>
    <row r="1291" spans="1:16" ht="12.75" x14ac:dyDescent="0.35">
      <c r="A1291" s="7">
        <v>42481.879178240742</v>
      </c>
      <c r="B1291" s="8" t="str">
        <f>HYPERLINK("https://twitter.com/DPWerks","@DPWerks")</f>
        <v>@DPWerks</v>
      </c>
      <c r="C1291" s="9" t="s">
        <v>3461</v>
      </c>
      <c r="D1291" s="9" t="s">
        <v>3462</v>
      </c>
      <c r="E1291" s="10" t="str">
        <f>HYPERLINK("https://twitter.com/DPWerks/status/723173453579333632","723173453579333632")</f>
        <v>723173453579333632</v>
      </c>
      <c r="F1291" s="11" t="s">
        <v>114</v>
      </c>
      <c r="G1291" s="11">
        <v>222</v>
      </c>
      <c r="H1291" s="11">
        <v>440</v>
      </c>
      <c r="I1291" s="11">
        <v>0</v>
      </c>
      <c r="J1291" s="11">
        <v>0</v>
      </c>
      <c r="K1291" s="11" t="s">
        <v>21</v>
      </c>
      <c r="L1291" s="7">
        <v>40571.409328703703</v>
      </c>
      <c r="M1291" s="12" t="s">
        <v>3463</v>
      </c>
      <c r="N1291" s="12" t="s">
        <v>3464</v>
      </c>
      <c r="O1291" s="10" t="str">
        <f>HYPERLINK("https://pbs.twimg.com/profile_images/716681249511714816/cTserxry_normal.jpg","View")</f>
        <v>View</v>
      </c>
      <c r="P1291" s="11"/>
    </row>
    <row r="1292" spans="1:16" ht="12.75" x14ac:dyDescent="0.35">
      <c r="A1292" s="7">
        <v>42481.879189814819</v>
      </c>
      <c r="B1292" s="8" t="str">
        <f>HYPERLINK("https://twitter.com/Stony_BS","@Stony_BS")</f>
        <v>@Stony_BS</v>
      </c>
      <c r="C1292" s="9" t="s">
        <v>2680</v>
      </c>
      <c r="D1292" s="9" t="s">
        <v>3465</v>
      </c>
      <c r="E1292" s="10" t="str">
        <f>HYPERLINK("https://twitter.com/Stony_BS/status/723173456511037440","723173456511037440")</f>
        <v>723173456511037440</v>
      </c>
      <c r="F1292" s="11" t="s">
        <v>43</v>
      </c>
      <c r="G1292" s="11">
        <v>36</v>
      </c>
      <c r="H1292" s="11">
        <v>51</v>
      </c>
      <c r="I1292" s="11">
        <v>0</v>
      </c>
      <c r="J1292" s="11">
        <v>0</v>
      </c>
      <c r="K1292" s="11" t="s">
        <v>21</v>
      </c>
      <c r="L1292" s="7">
        <v>41928.806030092594</v>
      </c>
      <c r="M1292" s="12" t="s">
        <v>2682</v>
      </c>
      <c r="N1292" s="12" t="s">
        <v>2683</v>
      </c>
      <c r="O1292" s="10" t="str">
        <f>HYPERLINK("https://pbs.twimg.com/profile_images/668091779313500160/ZepxnJcI_normal.jpg","View")</f>
        <v>View</v>
      </c>
      <c r="P1292" s="11"/>
    </row>
    <row r="1293" spans="1:16" ht="12.75" x14ac:dyDescent="0.35">
      <c r="A1293" s="7">
        <v>42481.879317129627</v>
      </c>
      <c r="B1293" s="8" t="str">
        <f>HYPERLINK("https://twitter.com/Geoffreytsmith","@Geoffreytsmith")</f>
        <v>@Geoffreytsmith</v>
      </c>
      <c r="C1293" s="9" t="s">
        <v>3466</v>
      </c>
      <c r="D1293" s="9" t="s">
        <v>3467</v>
      </c>
      <c r="E1293" s="10" t="str">
        <f>HYPERLINK("https://twitter.com/Geoffreytsmith/status/723173501251801088","723173501251801088")</f>
        <v>723173501251801088</v>
      </c>
      <c r="F1293" s="11" t="s">
        <v>63</v>
      </c>
      <c r="G1293" s="11">
        <v>2343</v>
      </c>
      <c r="H1293" s="11">
        <v>434</v>
      </c>
      <c r="I1293" s="11">
        <v>0</v>
      </c>
      <c r="J1293" s="11">
        <v>0</v>
      </c>
      <c r="K1293" s="11" t="s">
        <v>21</v>
      </c>
      <c r="L1293" s="7">
        <v>40746.008831018517</v>
      </c>
      <c r="M1293" s="12" t="s">
        <v>638</v>
      </c>
      <c r="N1293" s="12" t="s">
        <v>3468</v>
      </c>
      <c r="O1293" s="10" t="str">
        <f>HYPERLINK("https://pbs.twimg.com/profile_images/428946684312170496/JhiJB2NG_normal.jpeg","View")</f>
        <v>View</v>
      </c>
      <c r="P1293" s="11"/>
    </row>
    <row r="1294" spans="1:16" ht="12.75" x14ac:dyDescent="0.35">
      <c r="A1294" s="7">
        <v>42481.879976851851</v>
      </c>
      <c r="B1294" s="8" t="str">
        <f>HYPERLINK("https://twitter.com/danielschwenger","@danielschwenger")</f>
        <v>@danielschwenger</v>
      </c>
      <c r="C1294" s="9" t="s">
        <v>3469</v>
      </c>
      <c r="D1294" s="9" t="s">
        <v>3470</v>
      </c>
      <c r="E1294" s="10" t="str">
        <f>HYPERLINK("https://twitter.com/danielschwenger/status/723173741522505728","723173741522505728")</f>
        <v>723173741522505728</v>
      </c>
      <c r="F1294" s="11" t="s">
        <v>20</v>
      </c>
      <c r="G1294" s="11">
        <v>2587</v>
      </c>
      <c r="H1294" s="11">
        <v>296</v>
      </c>
      <c r="I1294" s="11">
        <v>1</v>
      </c>
      <c r="J1294" s="11">
        <v>0</v>
      </c>
      <c r="K1294" s="11" t="s">
        <v>21</v>
      </c>
      <c r="L1294" s="7">
        <v>41478.81858796296</v>
      </c>
      <c r="M1294" s="12" t="s">
        <v>3471</v>
      </c>
      <c r="N1294" s="12" t="s">
        <v>3472</v>
      </c>
      <c r="O1294" s="10" t="str">
        <f>HYPERLINK("https://pbs.twimg.com/profile_images/710190221397258240/-8Y1LilA_normal.jpg","View")</f>
        <v>View</v>
      </c>
      <c r="P1294" s="11"/>
    </row>
    <row r="1295" spans="1:16" ht="12.75" x14ac:dyDescent="0.35">
      <c r="A1295" s="7">
        <v>42481.880740740744</v>
      </c>
      <c r="B1295" s="8" t="str">
        <f>HYPERLINK("https://twitter.com/kuerzel_td","@kuerzel_td")</f>
        <v>@kuerzel_td</v>
      </c>
      <c r="C1295" s="9" t="s">
        <v>3473</v>
      </c>
      <c r="D1295" s="9" t="s">
        <v>3197</v>
      </c>
      <c r="E1295" s="10" t="str">
        <f>HYPERLINK("https://twitter.com/kuerzel_td/status/723174017251827716","723174017251827716")</f>
        <v>723174017251827716</v>
      </c>
      <c r="F1295" s="11" t="s">
        <v>63</v>
      </c>
      <c r="G1295" s="11">
        <v>879</v>
      </c>
      <c r="H1295" s="11">
        <v>974</v>
      </c>
      <c r="I1295" s="11">
        <v>3</v>
      </c>
      <c r="J1295" s="11">
        <v>0</v>
      </c>
      <c r="K1295" s="11" t="s">
        <v>21</v>
      </c>
      <c r="L1295" s="7">
        <v>40031.897418981483</v>
      </c>
      <c r="M1295" s="12" t="s">
        <v>3474</v>
      </c>
      <c r="N1295" s="12" t="s">
        <v>3475</v>
      </c>
      <c r="O1295" s="10" t="str">
        <f>HYPERLINK("https://pbs.twimg.com/profile_images/393094957/td_normal.jpg","View")</f>
        <v>View</v>
      </c>
      <c r="P1295" s="11"/>
    </row>
    <row r="1296" spans="1:16" ht="12.75" x14ac:dyDescent="0.35">
      <c r="A1296" s="7">
        <v>42481.88082175926</v>
      </c>
      <c r="B1296" s="8" t="str">
        <f>HYPERLINK("https://twitter.com/updayDE","@updayDE")</f>
        <v>@updayDE</v>
      </c>
      <c r="C1296" s="9" t="s">
        <v>3476</v>
      </c>
      <c r="D1296" s="9" t="s">
        <v>3477</v>
      </c>
      <c r="E1296" s="10" t="str">
        <f>HYPERLINK("https://twitter.com/updayDE/status/723174046393864193","723174046393864193")</f>
        <v>723174046393864193</v>
      </c>
      <c r="F1296" s="11" t="s">
        <v>63</v>
      </c>
      <c r="G1296" s="11">
        <v>550</v>
      </c>
      <c r="H1296" s="11">
        <v>63</v>
      </c>
      <c r="I1296" s="11">
        <v>0</v>
      </c>
      <c r="J1296" s="11">
        <v>0</v>
      </c>
      <c r="K1296" s="11" t="s">
        <v>21</v>
      </c>
      <c r="L1296" s="7">
        <v>42243.740763888884</v>
      </c>
      <c r="M1296" s="12" t="s">
        <v>3478</v>
      </c>
      <c r="N1296" s="12" t="s">
        <v>3479</v>
      </c>
      <c r="O1296" s="10" t="str">
        <f>HYPERLINK("https://pbs.twimg.com/profile_images/699880935366488064/uot0hGbb_normal.png","View")</f>
        <v>View</v>
      </c>
      <c r="P1296" s="11"/>
    </row>
    <row r="1297" spans="1:16" ht="12.75" x14ac:dyDescent="0.35">
      <c r="A1297" s="7">
        <v>42481.881053240737</v>
      </c>
      <c r="B1297" s="8" t="str">
        <f>HYPERLINK("https://twitter.com/_Ekow_Andoh","@_Ekow_Andoh")</f>
        <v>@_Ekow_Andoh</v>
      </c>
      <c r="C1297" s="9" t="s">
        <v>3480</v>
      </c>
      <c r="D1297" s="9" t="s">
        <v>3279</v>
      </c>
      <c r="E1297" s="10" t="str">
        <f>HYPERLINK("https://twitter.com/_Ekow_Andoh/status/723174132020580352","723174132020580352")</f>
        <v>723174132020580352</v>
      </c>
      <c r="F1297" s="11" t="s">
        <v>48</v>
      </c>
      <c r="G1297" s="11">
        <v>83</v>
      </c>
      <c r="H1297" s="11">
        <v>186</v>
      </c>
      <c r="I1297" s="11">
        <v>7</v>
      </c>
      <c r="J1297" s="11">
        <v>0</v>
      </c>
      <c r="K1297" s="11" t="s">
        <v>21</v>
      </c>
      <c r="L1297" s="7">
        <v>42410.918923611112</v>
      </c>
      <c r="M1297" s="12" t="s">
        <v>3481</v>
      </c>
      <c r="N1297" s="12" t="s">
        <v>3482</v>
      </c>
      <c r="O1297" s="10" t="str">
        <f>HYPERLINK("https://pbs.twimg.com/profile_images/697469194976120832/RSWHvLNo_normal.jpg","View")</f>
        <v>View</v>
      </c>
      <c r="P1297" s="11"/>
    </row>
    <row r="1298" spans="1:16" ht="12.75" x14ac:dyDescent="0.35">
      <c r="A1298" s="7">
        <v>42481.881319444445</v>
      </c>
      <c r="B1298" s="8" t="str">
        <f>HYPERLINK("https://twitter.com/cyberdoc60","@cyberdoc60")</f>
        <v>@cyberdoc60</v>
      </c>
      <c r="C1298" s="9" t="s">
        <v>3483</v>
      </c>
      <c r="D1298" s="9" t="s">
        <v>3484</v>
      </c>
      <c r="E1298" s="10" t="str">
        <f>HYPERLINK("https://twitter.com/cyberdoc60/status/723174229592686592","723174229592686592")</f>
        <v>723174229592686592</v>
      </c>
      <c r="F1298" s="11" t="s">
        <v>48</v>
      </c>
      <c r="G1298" s="11">
        <v>1813</v>
      </c>
      <c r="H1298" s="11">
        <v>2094</v>
      </c>
      <c r="I1298" s="11">
        <v>6</v>
      </c>
      <c r="J1298" s="11">
        <v>13</v>
      </c>
      <c r="K1298" s="11" t="s">
        <v>21</v>
      </c>
      <c r="L1298" s="7">
        <v>40448.646157407406</v>
      </c>
      <c r="M1298" s="12" t="s">
        <v>3485</v>
      </c>
      <c r="N1298" s="12" t="s">
        <v>3486</v>
      </c>
      <c r="O1298" s="10" t="str">
        <f>HYPERLINK("https://pbs.twimg.com/profile_images/720976736691875841/5ITqpDn6_normal.jpg","View")</f>
        <v>View</v>
      </c>
      <c r="P1298" s="11"/>
    </row>
    <row r="1299" spans="1:16" ht="12.75" x14ac:dyDescent="0.35">
      <c r="A1299" s="7">
        <v>42481.881793981476</v>
      </c>
      <c r="B1299" s="8" t="str">
        <f>HYPERLINK("https://twitter.com/xicanism","@xicanism")</f>
        <v>@xicanism</v>
      </c>
      <c r="C1299" s="9" t="s">
        <v>3487</v>
      </c>
      <c r="D1299" s="9" t="s">
        <v>3488</v>
      </c>
      <c r="E1299" s="10" t="str">
        <f>HYPERLINK("https://twitter.com/xicanism/status/723174398383906816","723174398383906816")</f>
        <v>723174398383906816</v>
      </c>
      <c r="F1299" s="11" t="s">
        <v>193</v>
      </c>
      <c r="G1299" s="11">
        <v>128</v>
      </c>
      <c r="H1299" s="11">
        <v>83</v>
      </c>
      <c r="I1299" s="11">
        <v>0</v>
      </c>
      <c r="J1299" s="11">
        <v>0</v>
      </c>
      <c r="K1299" s="11" t="s">
        <v>21</v>
      </c>
      <c r="L1299" s="7">
        <v>40543.211168981477</v>
      </c>
      <c r="M1299" s="12"/>
      <c r="N1299" s="12" t="s">
        <v>3489</v>
      </c>
      <c r="O1299" s="10" t="str">
        <f>HYPERLINK("https://pbs.twimg.com/profile_images/630263245421461504/UKhfOxLe_normal.jpg","View")</f>
        <v>View</v>
      </c>
      <c r="P1299" s="11"/>
    </row>
    <row r="1300" spans="1:16" ht="12.75" x14ac:dyDescent="0.35">
      <c r="A1300" s="7">
        <v>42481.881863425922</v>
      </c>
      <c r="B1300" s="8" t="str">
        <f>HYPERLINK("https://twitter.com/hans_obermeier","@hans_obermeier")</f>
        <v>@hans_obermeier</v>
      </c>
      <c r="C1300" s="9" t="s">
        <v>3490</v>
      </c>
      <c r="D1300" s="9" t="s">
        <v>3228</v>
      </c>
      <c r="E1300" s="10" t="str">
        <f>HYPERLINK("https://twitter.com/hans_obermeier/status/723174423629574144","723174423629574144")</f>
        <v>723174423629574144</v>
      </c>
      <c r="F1300" s="11" t="s">
        <v>48</v>
      </c>
      <c r="G1300" s="11">
        <v>352</v>
      </c>
      <c r="H1300" s="11">
        <v>224</v>
      </c>
      <c r="I1300" s="11">
        <v>7</v>
      </c>
      <c r="J1300" s="11">
        <v>0</v>
      </c>
      <c r="K1300" s="11" t="s">
        <v>21</v>
      </c>
      <c r="L1300" s="7">
        <v>42360.911851851852</v>
      </c>
      <c r="M1300" s="12" t="s">
        <v>3491</v>
      </c>
      <c r="N1300" s="12" t="s">
        <v>3492</v>
      </c>
      <c r="O1300" s="10" t="str">
        <f>HYPERLINK("https://pbs.twimg.com/profile_images/700358604315086848/EgnxZmpR_normal.jpg","View")</f>
        <v>View</v>
      </c>
      <c r="P1300" s="11"/>
    </row>
    <row r="1301" spans="1:16" ht="12.75" x14ac:dyDescent="0.35">
      <c r="A1301" s="7">
        <v>42481.882025462968</v>
      </c>
      <c r="B1301" s="8" t="str">
        <f>HYPERLINK("https://twitter.com/HotRidesDaily1","@HotRidesDaily1")</f>
        <v>@HotRidesDaily1</v>
      </c>
      <c r="C1301" s="9" t="s">
        <v>3493</v>
      </c>
      <c r="D1301" s="9" t="s">
        <v>3440</v>
      </c>
      <c r="E1301" s="10" t="str">
        <f>HYPERLINK("https://twitter.com/HotRidesDaily1/status/723174482756640768","723174482756640768")</f>
        <v>723174482756640768</v>
      </c>
      <c r="F1301" s="11" t="s">
        <v>288</v>
      </c>
      <c r="G1301" s="11">
        <v>5862</v>
      </c>
      <c r="H1301" s="11">
        <v>5856</v>
      </c>
      <c r="I1301" s="11">
        <v>11</v>
      </c>
      <c r="J1301" s="11">
        <v>0</v>
      </c>
      <c r="K1301" s="11" t="s">
        <v>21</v>
      </c>
      <c r="L1301" s="7">
        <v>42081.312824074077</v>
      </c>
      <c r="M1301" s="12"/>
      <c r="N1301" s="12" t="s">
        <v>3494</v>
      </c>
      <c r="O1301" s="10" t="str">
        <f>HYPERLINK("https://pbs.twimg.com/profile_images/578040776237588480/ExmIRu0n_normal.jpeg","View")</f>
        <v>View</v>
      </c>
      <c r="P1301" s="11"/>
    </row>
    <row r="1302" spans="1:16" ht="12.75" x14ac:dyDescent="0.35">
      <c r="A1302" s="7">
        <v>42481.8824537037</v>
      </c>
      <c r="B1302" s="8" t="str">
        <f>HYPERLINK("https://twitter.com/MPrez76","@MPrez76")</f>
        <v>@MPrez76</v>
      </c>
      <c r="C1302" s="9" t="s">
        <v>3495</v>
      </c>
      <c r="D1302" s="9" t="s">
        <v>3496</v>
      </c>
      <c r="E1302" s="10" t="str">
        <f>HYPERLINK("https://twitter.com/MPrez76/status/723174637732016128","723174637732016128")</f>
        <v>723174637732016128</v>
      </c>
      <c r="F1302" s="11" t="s">
        <v>367</v>
      </c>
      <c r="G1302" s="11">
        <v>174</v>
      </c>
      <c r="H1302" s="11">
        <v>408</v>
      </c>
      <c r="I1302" s="11">
        <v>6</v>
      </c>
      <c r="J1302" s="11">
        <v>0</v>
      </c>
      <c r="K1302" s="11" t="s">
        <v>21</v>
      </c>
      <c r="L1302" s="7">
        <v>42047.838391203702</v>
      </c>
      <c r="M1302" s="12" t="s">
        <v>1359</v>
      </c>
      <c r="N1302" s="12" t="s">
        <v>3497</v>
      </c>
      <c r="O1302" s="10" t="str">
        <f>HYPERLINK("https://pbs.twimg.com/profile_images/565888770176991232/jBhf_t8__normal.jpeg","View")</f>
        <v>View</v>
      </c>
      <c r="P1302" s="11"/>
    </row>
    <row r="1303" spans="1:16" ht="12.75" x14ac:dyDescent="0.35">
      <c r="A1303" s="7">
        <v>42481.882685185185</v>
      </c>
      <c r="B1303" s="8" t="str">
        <f t="shared" ref="B1303:B1304" si="121">HYPERLINK("https://twitter.com/VWBeetleSales","@VWBeetleSales")</f>
        <v>@VWBeetleSales</v>
      </c>
      <c r="C1303" s="9" t="s">
        <v>127</v>
      </c>
      <c r="D1303" s="9" t="s">
        <v>3498</v>
      </c>
      <c r="E1303" s="10" t="str">
        <f>HYPERLINK("https://twitter.com/VWBeetleSales/status/723174722037411841","723174722037411841")</f>
        <v>723174722037411841</v>
      </c>
      <c r="F1303" s="10" t="s">
        <v>124</v>
      </c>
      <c r="G1303" s="11">
        <v>35</v>
      </c>
      <c r="H1303" s="11">
        <v>32</v>
      </c>
      <c r="I1303" s="11">
        <v>0</v>
      </c>
      <c r="J1303" s="11">
        <v>0</v>
      </c>
      <c r="K1303" s="11" t="s">
        <v>21</v>
      </c>
      <c r="L1303" s="7">
        <v>42427.019756944443</v>
      </c>
      <c r="M1303" s="12" t="s">
        <v>129</v>
      </c>
      <c r="N1303" s="12" t="s">
        <v>130</v>
      </c>
      <c r="O1303" s="10" t="str">
        <f t="shared" ref="O1303:O1304" si="122">HYPERLINK("https://pbs.twimg.com/profile_images/703294545195307008/qeCvrX86_normal.jpg","View")</f>
        <v>View</v>
      </c>
      <c r="P1303" s="11"/>
    </row>
    <row r="1304" spans="1:16" ht="12.75" x14ac:dyDescent="0.35">
      <c r="A1304" s="7">
        <v>42481.882696759261</v>
      </c>
      <c r="B1304" s="8" t="str">
        <f t="shared" si="121"/>
        <v>@VWBeetleSales</v>
      </c>
      <c r="C1304" s="9" t="s">
        <v>127</v>
      </c>
      <c r="D1304" s="9" t="s">
        <v>3499</v>
      </c>
      <c r="E1304" s="10" t="str">
        <f>HYPERLINK("https://twitter.com/VWBeetleSales/status/723174725602570241","723174725602570241")</f>
        <v>723174725602570241</v>
      </c>
      <c r="F1304" s="10" t="s">
        <v>124</v>
      </c>
      <c r="G1304" s="11">
        <v>35</v>
      </c>
      <c r="H1304" s="11">
        <v>32</v>
      </c>
      <c r="I1304" s="11">
        <v>0</v>
      </c>
      <c r="J1304" s="11">
        <v>0</v>
      </c>
      <c r="K1304" s="11" t="s">
        <v>21</v>
      </c>
      <c r="L1304" s="7">
        <v>42427.019756944443</v>
      </c>
      <c r="M1304" s="12" t="s">
        <v>129</v>
      </c>
      <c r="N1304" s="12" t="s">
        <v>130</v>
      </c>
      <c r="O1304" s="10" t="str">
        <f t="shared" si="122"/>
        <v>View</v>
      </c>
      <c r="P1304" s="11"/>
    </row>
    <row r="1305" spans="1:16" ht="12.75" x14ac:dyDescent="0.35">
      <c r="A1305" s="7">
        <v>42481.882719907408</v>
      </c>
      <c r="B1305" s="8" t="str">
        <f>HYPERLINK("https://twitter.com/KWsays","@KWsays")</f>
        <v>@KWsays</v>
      </c>
      <c r="C1305" s="9" t="s">
        <v>3500</v>
      </c>
      <c r="D1305" s="9" t="s">
        <v>3501</v>
      </c>
      <c r="E1305" s="10" t="str">
        <f>HYPERLINK("https://twitter.com/KWsays/status/723174735681441796","723174735681441796")</f>
        <v>723174735681441796</v>
      </c>
      <c r="F1305" s="11" t="s">
        <v>63</v>
      </c>
      <c r="G1305" s="11">
        <v>1161</v>
      </c>
      <c r="H1305" s="11">
        <v>1275</v>
      </c>
      <c r="I1305" s="11">
        <v>0</v>
      </c>
      <c r="J1305" s="11">
        <v>0</v>
      </c>
      <c r="K1305" s="11" t="s">
        <v>21</v>
      </c>
      <c r="L1305" s="7">
        <v>41868.841064814813</v>
      </c>
      <c r="M1305" s="12" t="s">
        <v>3502</v>
      </c>
      <c r="N1305" s="12" t="s">
        <v>3503</v>
      </c>
      <c r="O1305" s="10" t="str">
        <f>HYPERLINK("https://pbs.twimg.com/profile_images/509041315418341376/An5FK3Av_normal.jpeg","View")</f>
        <v>View</v>
      </c>
      <c r="P1305" s="11"/>
    </row>
    <row r="1306" spans="1:16" ht="12.75" x14ac:dyDescent="0.35">
      <c r="A1306" s="7">
        <v>42481.883032407408</v>
      </c>
      <c r="B1306" s="8" t="str">
        <f>HYPERLINK("https://twitter.com/SocialAutos","@SocialAutos")</f>
        <v>@SocialAutos</v>
      </c>
      <c r="C1306" s="9" t="s">
        <v>3504</v>
      </c>
      <c r="D1306" s="9" t="s">
        <v>3505</v>
      </c>
      <c r="E1306" s="10" t="str">
        <f>HYPERLINK("https://twitter.com/SocialAutos/status/723174850177675264","723174850177675264")</f>
        <v>723174850177675264</v>
      </c>
      <c r="F1306" s="10" t="s">
        <v>3506</v>
      </c>
      <c r="G1306" s="11">
        <v>75</v>
      </c>
      <c r="H1306" s="11">
        <v>72</v>
      </c>
      <c r="I1306" s="11">
        <v>0</v>
      </c>
      <c r="J1306" s="11">
        <v>0</v>
      </c>
      <c r="K1306" s="11" t="s">
        <v>21</v>
      </c>
      <c r="L1306" s="7">
        <v>41613.191724537035</v>
      </c>
      <c r="M1306" s="12" t="s">
        <v>3507</v>
      </c>
      <c r="N1306" s="12" t="s">
        <v>3508</v>
      </c>
      <c r="O1306" s="10" t="str">
        <f>HYPERLINK("https://pbs.twimg.com/profile_images/378800000830360955/5fb295e74c438beb9dd7777a56295953_normal.jpeg","View")</f>
        <v>View</v>
      </c>
      <c r="P1306" s="11"/>
    </row>
    <row r="1307" spans="1:16" ht="12.75" x14ac:dyDescent="0.35">
      <c r="A1307" s="7">
        <v>42481.8830787037</v>
      </c>
      <c r="B1307" s="8" t="str">
        <f>HYPERLINK("https://twitter.com/rgsmith46","@rgsmith46")</f>
        <v>@rgsmith46</v>
      </c>
      <c r="C1307" s="9" t="s">
        <v>3509</v>
      </c>
      <c r="D1307" s="9" t="s">
        <v>3510</v>
      </c>
      <c r="E1307" s="10" t="str">
        <f>HYPERLINK("https://twitter.com/rgsmith46/status/723174865180626948","723174865180626948")</f>
        <v>723174865180626948</v>
      </c>
      <c r="F1307" s="11" t="s">
        <v>48</v>
      </c>
      <c r="G1307" s="11">
        <v>9</v>
      </c>
      <c r="H1307" s="11">
        <v>22</v>
      </c>
      <c r="I1307" s="11">
        <v>0</v>
      </c>
      <c r="J1307" s="11">
        <v>0</v>
      </c>
      <c r="K1307" s="11" t="s">
        <v>21</v>
      </c>
      <c r="L1307" s="7">
        <v>41543.195868055554</v>
      </c>
      <c r="M1307" s="12">
        <v>76028</v>
      </c>
      <c r="N1307" s="12"/>
      <c r="O1307" s="10" t="str">
        <f>HYPERLINK("https://pbs.twimg.com/profile_images/378800000509009557/b8bb8758941de339f73190d8e0bc936e_normal.jpeg","View")</f>
        <v>View</v>
      </c>
      <c r="P1307" s="11"/>
    </row>
    <row r="1308" spans="1:16" ht="12.75" x14ac:dyDescent="0.35">
      <c r="A1308" s="7">
        <v>42481.883263888885</v>
      </c>
      <c r="B1308" s="8" t="str">
        <f>HYPERLINK("https://twitter.com/emilyrusch","@emilyrusch")</f>
        <v>@emilyrusch</v>
      </c>
      <c r="C1308" s="9" t="s">
        <v>3268</v>
      </c>
      <c r="D1308" s="9" t="s">
        <v>3511</v>
      </c>
      <c r="E1308" s="10" t="str">
        <f>HYPERLINK("https://twitter.com/emilyrusch/status/723174933837176832","723174933837176832")</f>
        <v>723174933837176832</v>
      </c>
      <c r="F1308" s="11" t="s">
        <v>20</v>
      </c>
      <c r="G1308" s="11">
        <v>149</v>
      </c>
      <c r="H1308" s="11">
        <v>378</v>
      </c>
      <c r="I1308" s="11">
        <v>3</v>
      </c>
      <c r="J1308" s="11">
        <v>3</v>
      </c>
      <c r="K1308" s="11" t="s">
        <v>21</v>
      </c>
      <c r="L1308" s="7">
        <v>40230.948171296295</v>
      </c>
      <c r="M1308" s="12" t="s">
        <v>3270</v>
      </c>
      <c r="N1308" s="12" t="s">
        <v>3271</v>
      </c>
      <c r="O1308" s="10" t="str">
        <f>HYPERLINK("https://pbs.twimg.com/profile_images/649282853226745858/VsTbEl77_normal.jpg","View")</f>
        <v>View</v>
      </c>
      <c r="P1308" s="11"/>
    </row>
    <row r="1309" spans="1:16" ht="12.75" x14ac:dyDescent="0.35">
      <c r="A1309" s="7">
        <v>42481.883402777778</v>
      </c>
      <c r="B1309" s="8" t="str">
        <f>HYPERLINK("https://twitter.com/dw_business","@dw_business")</f>
        <v>@dw_business</v>
      </c>
      <c r="C1309" s="9" t="s">
        <v>3512</v>
      </c>
      <c r="D1309" s="9" t="s">
        <v>3513</v>
      </c>
      <c r="E1309" s="10" t="str">
        <f>HYPERLINK("https://twitter.com/dw_business/status/723174983011180544","723174983011180544")</f>
        <v>723174983011180544</v>
      </c>
      <c r="F1309" s="11" t="s">
        <v>43</v>
      </c>
      <c r="G1309" s="11">
        <v>6211</v>
      </c>
      <c r="H1309" s="11">
        <v>250</v>
      </c>
      <c r="I1309" s="11">
        <v>12</v>
      </c>
      <c r="J1309" s="11">
        <v>3</v>
      </c>
      <c r="K1309" s="11" t="s">
        <v>21</v>
      </c>
      <c r="L1309" s="7">
        <v>39919.595196759255</v>
      </c>
      <c r="M1309" s="12" t="s">
        <v>1303</v>
      </c>
      <c r="N1309" s="12" t="s">
        <v>3514</v>
      </c>
      <c r="O1309" s="10" t="str">
        <f>HYPERLINK("https://pbs.twimg.com/profile_images/474178130312044544/-U2TP65D_normal.png","View")</f>
        <v>View</v>
      </c>
      <c r="P1309" s="11"/>
    </row>
    <row r="1310" spans="1:16" ht="12.75" x14ac:dyDescent="0.35">
      <c r="A1310" s="7">
        <v>42481.883668981478</v>
      </c>
      <c r="B1310" s="8" t="str">
        <f>HYPERLINK("https://twitter.com/DonohooAuto","@DonohooAuto")</f>
        <v>@DonohooAuto</v>
      </c>
      <c r="C1310" s="9" t="s">
        <v>3515</v>
      </c>
      <c r="D1310" s="9" t="s">
        <v>3516</v>
      </c>
      <c r="E1310" s="10" t="str">
        <f>HYPERLINK("https://twitter.com/DonohooAuto/status/723175080574898177","723175080574898177")</f>
        <v>723175080574898177</v>
      </c>
      <c r="F1310" s="11" t="s">
        <v>43</v>
      </c>
      <c r="G1310" s="11">
        <v>369</v>
      </c>
      <c r="H1310" s="11">
        <v>517</v>
      </c>
      <c r="I1310" s="11">
        <v>0</v>
      </c>
      <c r="J1310" s="11">
        <v>0</v>
      </c>
      <c r="K1310" s="11" t="s">
        <v>21</v>
      </c>
      <c r="L1310" s="7">
        <v>40121.930185185185</v>
      </c>
      <c r="M1310" s="12" t="s">
        <v>3517</v>
      </c>
      <c r="N1310" s="12" t="s">
        <v>3518</v>
      </c>
      <c r="O1310" s="10" t="str">
        <f>HYPERLINK("https://pbs.twimg.com/profile_images/467006648448348161/LeC0f2D8_normal.jpeg","View")</f>
        <v>View</v>
      </c>
      <c r="P1310" s="11"/>
    </row>
    <row r="1311" spans="1:16" ht="12.75" x14ac:dyDescent="0.35">
      <c r="A1311" s="7">
        <v>42481.883680555555</v>
      </c>
      <c r="B1311" s="8" t="str">
        <f>HYPERLINK("https://twitter.com/DSArtDon","@DSArtDon")</f>
        <v>@DSArtDon</v>
      </c>
      <c r="C1311" s="9" t="s">
        <v>3519</v>
      </c>
      <c r="D1311" s="9" t="s">
        <v>3520</v>
      </c>
      <c r="E1311" s="10" t="str">
        <f>HYPERLINK("https://twitter.com/DSArtDon/status/723175084924379136","723175084924379136")</f>
        <v>723175084924379136</v>
      </c>
      <c r="F1311" s="11" t="s">
        <v>43</v>
      </c>
      <c r="G1311" s="11">
        <v>638</v>
      </c>
      <c r="H1311" s="11">
        <v>1333</v>
      </c>
      <c r="I1311" s="11">
        <v>0</v>
      </c>
      <c r="J1311" s="11">
        <v>0</v>
      </c>
      <c r="K1311" s="11" t="s">
        <v>21</v>
      </c>
      <c r="L1311" s="7">
        <v>41054.147662037038</v>
      </c>
      <c r="M1311" s="12" t="s">
        <v>3521</v>
      </c>
      <c r="N1311" s="12" t="s">
        <v>3522</v>
      </c>
      <c r="O1311" s="10" t="str">
        <f>HYPERLINK("https://pbs.twimg.com/profile_images/664507758708989952/8167DJgD_normal.jpg","View")</f>
        <v>View</v>
      </c>
      <c r="P1311" s="11"/>
    </row>
    <row r="1312" spans="1:16" ht="12.75" x14ac:dyDescent="0.35">
      <c r="A1312" s="7">
        <v>42481.883738425924</v>
      </c>
      <c r="B1312" s="8" t="str">
        <f>HYPERLINK("https://twitter.com/pcbritz","@pcbritz")</f>
        <v>@pcbritz</v>
      </c>
      <c r="C1312" s="9" t="s">
        <v>3091</v>
      </c>
      <c r="D1312" s="9" t="s">
        <v>3523</v>
      </c>
      <c r="E1312" s="10" t="str">
        <f>HYPERLINK("https://twitter.com/pcbritz/status/723175103966654464","723175103966654464")</f>
        <v>723175103966654464</v>
      </c>
      <c r="F1312" s="11" t="s">
        <v>48</v>
      </c>
      <c r="G1312" s="11">
        <v>1036</v>
      </c>
      <c r="H1312" s="11">
        <v>885</v>
      </c>
      <c r="I1312" s="11">
        <v>12</v>
      </c>
      <c r="J1312" s="11">
        <v>0</v>
      </c>
      <c r="K1312" s="11" t="s">
        <v>21</v>
      </c>
      <c r="L1312" s="7">
        <v>39910.072002314817</v>
      </c>
      <c r="M1312" s="12" t="s">
        <v>3093</v>
      </c>
      <c r="N1312" s="12" t="s">
        <v>3094</v>
      </c>
      <c r="O1312" s="10" t="str">
        <f>HYPERLINK("https://pbs.twimg.com/profile_images/722823782017200130/VreCKi-k_normal.jpg","View")</f>
        <v>View</v>
      </c>
      <c r="P1312" s="11"/>
    </row>
    <row r="1313" spans="1:16" ht="12.75" x14ac:dyDescent="0.35">
      <c r="A1313" s="7">
        <v>42481.883981481486</v>
      </c>
      <c r="B1313" s="8" t="str">
        <f>HYPERLINK("https://twitter.com/EveeNaveyraa","@EveeNaveyraa")</f>
        <v>@EveeNaveyraa</v>
      </c>
      <c r="C1313" s="9" t="s">
        <v>3524</v>
      </c>
      <c r="D1313" s="9" t="s">
        <v>3525</v>
      </c>
      <c r="E1313" s="10" t="str">
        <f>HYPERLINK("https://twitter.com/EveeNaveyraa/status/723175193816997888","723175193816997888")</f>
        <v>723175193816997888</v>
      </c>
      <c r="F1313" s="11" t="s">
        <v>48</v>
      </c>
      <c r="G1313" s="11">
        <v>891</v>
      </c>
      <c r="H1313" s="11">
        <v>655</v>
      </c>
      <c r="I1313" s="11">
        <v>0</v>
      </c>
      <c r="J1313" s="11">
        <v>0</v>
      </c>
      <c r="K1313" s="11" t="s">
        <v>21</v>
      </c>
      <c r="L1313" s="7">
        <v>40568.008263888885</v>
      </c>
      <c r="M1313" s="12"/>
      <c r="N1313" s="12" t="s">
        <v>3526</v>
      </c>
      <c r="O1313" s="10" t="str">
        <f>HYPERLINK("https://pbs.twimg.com/profile_images/717842897396219905/v1FD6_yv_normal.jpg","View")</f>
        <v>View</v>
      </c>
      <c r="P1313" s="11"/>
    </row>
    <row r="1314" spans="1:16" ht="12.75" x14ac:dyDescent="0.35">
      <c r="A1314" s="7">
        <v>42481.884340277778</v>
      </c>
      <c r="B1314" s="8" t="str">
        <f>HYPERLINK("https://twitter.com/RoadandTrack","@RoadandTrack")</f>
        <v>@RoadandTrack</v>
      </c>
      <c r="C1314" s="9" t="s">
        <v>3527</v>
      </c>
      <c r="D1314" s="9" t="s">
        <v>3528</v>
      </c>
      <c r="E1314" s="10" t="str">
        <f>HYPERLINK("https://twitter.com/RoadandTrack/status/723175322980589568","723175322980589568")</f>
        <v>723175322980589568</v>
      </c>
      <c r="F1314" s="11" t="s">
        <v>63</v>
      </c>
      <c r="G1314" s="11">
        <v>122245</v>
      </c>
      <c r="H1314" s="11">
        <v>1199</v>
      </c>
      <c r="I1314" s="11">
        <v>9</v>
      </c>
      <c r="J1314" s="11">
        <v>8</v>
      </c>
      <c r="K1314" s="11" t="s">
        <v>21</v>
      </c>
      <c r="L1314" s="7">
        <v>39862.838888888888</v>
      </c>
      <c r="M1314" s="12" t="s">
        <v>3529</v>
      </c>
      <c r="N1314" s="12" t="s">
        <v>3530</v>
      </c>
      <c r="O1314" s="10" t="str">
        <f>HYPERLINK("https://pbs.twimg.com/profile_images/3409982974/bd0f28332cb786fda82370530a545c64_normal.png","View")</f>
        <v>View</v>
      </c>
      <c r="P1314" s="11"/>
    </row>
    <row r="1315" spans="1:16" ht="12.75" x14ac:dyDescent="0.35">
      <c r="A1315" s="7">
        <v>42481.884386574078</v>
      </c>
      <c r="B1315" s="8" t="str">
        <f>HYPERLINK("https://twitter.com/NochexLtd","@NochexLtd")</f>
        <v>@NochexLtd</v>
      </c>
      <c r="C1315" s="9" t="s">
        <v>3531</v>
      </c>
      <c r="D1315" s="9" t="s">
        <v>3532</v>
      </c>
      <c r="E1315" s="10" t="str">
        <f>HYPERLINK("https://twitter.com/NochexLtd/status/723175340214874112","723175340214874112")</f>
        <v>723175340214874112</v>
      </c>
      <c r="F1315" s="11" t="s">
        <v>43</v>
      </c>
      <c r="G1315" s="11">
        <v>805</v>
      </c>
      <c r="H1315" s="11">
        <v>1048</v>
      </c>
      <c r="I1315" s="11">
        <v>0</v>
      </c>
      <c r="J1315" s="11">
        <v>0</v>
      </c>
      <c r="K1315" s="11" t="s">
        <v>21</v>
      </c>
      <c r="L1315" s="7">
        <v>41130.789224537039</v>
      </c>
      <c r="M1315" s="12" t="s">
        <v>3533</v>
      </c>
      <c r="N1315" s="12" t="s">
        <v>3534</v>
      </c>
      <c r="O1315" s="10" t="str">
        <f>HYPERLINK("https://pbs.twimg.com/profile_images/552038030886723585/cVw-1hQ6_normal.jpeg","View")</f>
        <v>View</v>
      </c>
      <c r="P1315" s="11"/>
    </row>
    <row r="1316" spans="1:16" ht="12.75" x14ac:dyDescent="0.35">
      <c r="A1316" s="7">
        <v>42481.884502314817</v>
      </c>
      <c r="B1316" s="8" t="str">
        <f>HYPERLINK("https://twitter.com/KPRC2","@KPRC2")</f>
        <v>@KPRC2</v>
      </c>
      <c r="C1316" s="9" t="s">
        <v>3535</v>
      </c>
      <c r="D1316" s="9" t="s">
        <v>3536</v>
      </c>
      <c r="E1316" s="10" t="str">
        <f>HYPERLINK("https://twitter.com/KPRC2/status/723175379796549635","723175379796549635")</f>
        <v>723175379796549635</v>
      </c>
      <c r="F1316" s="11" t="s">
        <v>63</v>
      </c>
      <c r="G1316" s="11">
        <v>227554</v>
      </c>
      <c r="H1316" s="11">
        <v>1378</v>
      </c>
      <c r="I1316" s="11">
        <v>3</v>
      </c>
      <c r="J1316" s="11">
        <v>1</v>
      </c>
      <c r="K1316" s="11" t="s">
        <v>21</v>
      </c>
      <c r="L1316" s="7">
        <v>39902.413761574076</v>
      </c>
      <c r="M1316" s="12" t="s">
        <v>3537</v>
      </c>
      <c r="N1316" s="12" t="s">
        <v>3538</v>
      </c>
      <c r="O1316" s="10" t="str">
        <f>HYPERLINK("https://pbs.twimg.com/profile_images/711998974417178624/NvNGo4s4_normal.jpg","View")</f>
        <v>View</v>
      </c>
      <c r="P1316" s="11"/>
    </row>
    <row r="1317" spans="1:16" ht="12.75" x14ac:dyDescent="0.35">
      <c r="A1317" s="7">
        <v>42481.884722222225</v>
      </c>
      <c r="B1317" s="8" t="str">
        <f>HYPERLINK("https://twitter.com/OLRAK","@OLRAK")</f>
        <v>@OLRAK</v>
      </c>
      <c r="C1317" s="9" t="s">
        <v>3539</v>
      </c>
      <c r="D1317" s="9" t="s">
        <v>3540</v>
      </c>
      <c r="E1317" s="10" t="str">
        <f>HYPERLINK("https://twitter.com/OLRAK/status/723175459295485956","723175459295485956")</f>
        <v>723175459295485956</v>
      </c>
      <c r="F1317" s="11" t="s">
        <v>48</v>
      </c>
      <c r="G1317" s="11">
        <v>125</v>
      </c>
      <c r="H1317" s="11">
        <v>32</v>
      </c>
      <c r="I1317" s="11">
        <v>0</v>
      </c>
      <c r="J1317" s="11">
        <v>0</v>
      </c>
      <c r="K1317" s="11" t="s">
        <v>21</v>
      </c>
      <c r="L1317" s="7">
        <v>39656.339016203703</v>
      </c>
      <c r="M1317" s="12" t="s">
        <v>3097</v>
      </c>
      <c r="N1317" s="12" t="s">
        <v>3541</v>
      </c>
      <c r="O1317" s="10" t="str">
        <f>HYPERLINK("https://pbs.twimg.com/profile_images/669723690934927360/3WA7fMwa_normal.jpg","View")</f>
        <v>View</v>
      </c>
      <c r="P1317" s="11"/>
    </row>
    <row r="1318" spans="1:16" ht="12.75" x14ac:dyDescent="0.35">
      <c r="A1318" s="7">
        <v>42481.885138888887</v>
      </c>
      <c r="B1318" s="8" t="str">
        <f>HYPERLINK("https://twitter.com/WienerZeitung","@WienerZeitung")</f>
        <v>@WienerZeitung</v>
      </c>
      <c r="C1318" s="9" t="s">
        <v>3542</v>
      </c>
      <c r="D1318" s="9" t="s">
        <v>3543</v>
      </c>
      <c r="E1318" s="10" t="str">
        <f>HYPERLINK("https://twitter.com/WienerZeitung/status/723175610940411904","723175610940411904")</f>
        <v>723175610940411904</v>
      </c>
      <c r="F1318" s="11" t="s">
        <v>43</v>
      </c>
      <c r="G1318" s="11">
        <v>18507</v>
      </c>
      <c r="H1318" s="11">
        <v>515</v>
      </c>
      <c r="I1318" s="11">
        <v>1</v>
      </c>
      <c r="J1318" s="11">
        <v>1</v>
      </c>
      <c r="K1318" s="11" t="s">
        <v>21</v>
      </c>
      <c r="L1318" s="7">
        <v>40465.533182870371</v>
      </c>
      <c r="M1318" s="12" t="s">
        <v>3544</v>
      </c>
      <c r="N1318" s="12" t="s">
        <v>3545</v>
      </c>
      <c r="O1318" s="10" t="str">
        <f>HYPERLINK("https://pbs.twimg.com/profile_images/3758029083/652cc2eb54b11c504c059b3495e2c5c0_normal.png","View")</f>
        <v>View</v>
      </c>
      <c r="P1318" s="11"/>
    </row>
    <row r="1319" spans="1:16" ht="12.75" x14ac:dyDescent="0.35">
      <c r="A1319" s="7">
        <v>42481.885231481487</v>
      </c>
      <c r="B1319" s="8" t="str">
        <f>HYPERLINK("https://twitter.com/MiManske","@MiManske")</f>
        <v>@MiManske</v>
      </c>
      <c r="C1319" s="9" t="s">
        <v>1409</v>
      </c>
      <c r="D1319" s="9" t="s">
        <v>3546</v>
      </c>
      <c r="E1319" s="10" t="str">
        <f>HYPERLINK("https://twitter.com/MiManske/status/723175647552491525","723175647552491525")</f>
        <v>723175647552491525</v>
      </c>
      <c r="F1319" s="11" t="s">
        <v>43</v>
      </c>
      <c r="G1319" s="11">
        <v>1311</v>
      </c>
      <c r="H1319" s="11">
        <v>796</v>
      </c>
      <c r="I1319" s="11">
        <v>3</v>
      </c>
      <c r="J1319" s="11">
        <v>2</v>
      </c>
      <c r="K1319" s="11" t="s">
        <v>21</v>
      </c>
      <c r="L1319" s="7">
        <v>40522.240474537037</v>
      </c>
      <c r="M1319" s="12" t="s">
        <v>1411</v>
      </c>
      <c r="N1319" s="12" t="s">
        <v>1412</v>
      </c>
      <c r="O1319" s="10" t="str">
        <f>HYPERLINK("https://pbs.twimg.com/profile_images/652191269934993408/5bZKOI8y_normal.jpg","View")</f>
        <v>View</v>
      </c>
      <c r="P1319" s="11"/>
    </row>
    <row r="1320" spans="1:16" ht="12.75" x14ac:dyDescent="0.35">
      <c r="A1320" s="7">
        <v>42481.885312500002</v>
      </c>
      <c r="B1320" s="8" t="str">
        <f>HYPERLINK("https://twitter.com/michael1206791","@michael1206791")</f>
        <v>@michael1206791</v>
      </c>
      <c r="C1320" s="9" t="s">
        <v>3547</v>
      </c>
      <c r="D1320" s="9" t="s">
        <v>3548</v>
      </c>
      <c r="E1320" s="10" t="str">
        <f>HYPERLINK("https://twitter.com/michael1206791/status/723175674605871104","723175674605871104")</f>
        <v>723175674605871104</v>
      </c>
      <c r="F1320" s="11" t="s">
        <v>48</v>
      </c>
      <c r="G1320" s="11">
        <v>56</v>
      </c>
      <c r="H1320" s="11">
        <v>77</v>
      </c>
      <c r="I1320" s="11">
        <v>1</v>
      </c>
      <c r="J1320" s="11">
        <v>0</v>
      </c>
      <c r="K1320" s="11" t="s">
        <v>21</v>
      </c>
      <c r="L1320" s="7">
        <v>42390.941111111111</v>
      </c>
      <c r="M1320" s="12"/>
      <c r="N1320" s="12"/>
      <c r="O1320" s="10" t="str">
        <f>HYPERLINK("https://pbs.twimg.com/profile_images/692704337752113152/nlZEoS2p_normal.jpg","View")</f>
        <v>View</v>
      </c>
      <c r="P1320" s="11"/>
    </row>
    <row r="1321" spans="1:16" ht="12.75" x14ac:dyDescent="0.35">
      <c r="A1321" s="7">
        <v>42481.885439814811</v>
      </c>
      <c r="B1321" s="8" t="str">
        <f>HYPERLINK("https://twitter.com/MarkCSchneider","@MarkCSchneider")</f>
        <v>@MarkCSchneider</v>
      </c>
      <c r="C1321" s="9" t="s">
        <v>952</v>
      </c>
      <c r="D1321" s="9" t="s">
        <v>3549</v>
      </c>
      <c r="E1321" s="10" t="str">
        <f>HYPERLINK("https://twitter.com/MarkCSchneider/status/723175721510674435","723175721510674435")</f>
        <v>723175721510674435</v>
      </c>
      <c r="F1321" s="11" t="s">
        <v>43</v>
      </c>
      <c r="G1321" s="11">
        <v>370</v>
      </c>
      <c r="H1321" s="11">
        <v>335</v>
      </c>
      <c r="I1321" s="11">
        <v>0</v>
      </c>
      <c r="J1321" s="11">
        <v>0</v>
      </c>
      <c r="K1321" s="11" t="s">
        <v>21</v>
      </c>
      <c r="L1321" s="7">
        <v>41495.558136574073</v>
      </c>
      <c r="M1321" s="12" t="s">
        <v>953</v>
      </c>
      <c r="N1321" s="12"/>
      <c r="O1321" s="10" t="str">
        <f>HYPERLINK("https://pbs.twimg.com/profile_images/706784695795769345/XGXgdjww_normal.jpg","View")</f>
        <v>View</v>
      </c>
      <c r="P1321" s="11"/>
    </row>
    <row r="1322" spans="1:16" ht="12.75" x14ac:dyDescent="0.35">
      <c r="A1322" s="7">
        <v>42481.885636574079</v>
      </c>
      <c r="B1322" s="8" t="str">
        <f>HYPERLINK("https://twitter.com/SouthVW","@SouthVW")</f>
        <v>@SouthVW</v>
      </c>
      <c r="C1322" s="9" t="s">
        <v>3550</v>
      </c>
      <c r="D1322" s="9" t="s">
        <v>3551</v>
      </c>
      <c r="E1322" s="10" t="str">
        <f>HYPERLINK("https://twitter.com/SouthVW/status/723175793036120066","723175793036120066")</f>
        <v>723175793036120066</v>
      </c>
      <c r="F1322" s="11" t="s">
        <v>3552</v>
      </c>
      <c r="G1322" s="11">
        <v>299</v>
      </c>
      <c r="H1322" s="11">
        <v>102</v>
      </c>
      <c r="I1322" s="11">
        <v>0</v>
      </c>
      <c r="J1322" s="11">
        <v>0</v>
      </c>
      <c r="K1322" s="11" t="s">
        <v>21</v>
      </c>
      <c r="L1322" s="7">
        <v>39942.9840625</v>
      </c>
      <c r="M1322" s="12" t="s">
        <v>3553</v>
      </c>
      <c r="N1322" s="12" t="s">
        <v>3554</v>
      </c>
      <c r="O1322" s="10" t="str">
        <f>HYPERLINK("https://pbs.twimg.com/profile_images/657560747271032833/Q4Z58w0-_normal.jpg","View")</f>
        <v>View</v>
      </c>
      <c r="P1322" s="11"/>
    </row>
    <row r="1323" spans="1:16" ht="12.75" x14ac:dyDescent="0.35">
      <c r="A1323" s="7">
        <v>42481.885648148149</v>
      </c>
      <c r="B1323" s="8" t="str">
        <f>HYPERLINK("https://twitter.com/NikiTurleyBH","@NikiTurleyBH")</f>
        <v>@NikiTurleyBH</v>
      </c>
      <c r="C1323" s="9" t="s">
        <v>3555</v>
      </c>
      <c r="D1323" s="9" t="s">
        <v>3556</v>
      </c>
      <c r="E1323" s="10" t="str">
        <f>HYPERLINK("https://twitter.com/NikiTurleyBH/status/723175798115581952","723175798115581952")</f>
        <v>723175798115581952</v>
      </c>
      <c r="F1323" s="11" t="s">
        <v>20</v>
      </c>
      <c r="G1323" s="11">
        <v>124</v>
      </c>
      <c r="H1323" s="11">
        <v>144</v>
      </c>
      <c r="I1323" s="11">
        <v>0</v>
      </c>
      <c r="J1323" s="11">
        <v>0</v>
      </c>
      <c r="K1323" s="11" t="s">
        <v>21</v>
      </c>
      <c r="L1323" s="7">
        <v>41495.777083333334</v>
      </c>
      <c r="M1323" s="12" t="s">
        <v>3557</v>
      </c>
      <c r="N1323" s="12" t="s">
        <v>3558</v>
      </c>
      <c r="O1323" s="10" t="str">
        <f>HYPERLINK("https://pbs.twimg.com/profile_images/721848392230576130/FrhD8kGT_normal.jpg","View")</f>
        <v>View</v>
      </c>
      <c r="P1323" s="11"/>
    </row>
    <row r="1324" spans="1:16" ht="12.75" x14ac:dyDescent="0.35">
      <c r="A1324" s="7">
        <v>42481.885706018518</v>
      </c>
      <c r="B1324" s="8" t="str">
        <f>HYPERLINK("https://twitter.com/x3m_f","@x3m_f")</f>
        <v>@x3m_f</v>
      </c>
      <c r="C1324" s="9" t="s">
        <v>3559</v>
      </c>
      <c r="D1324" s="9" t="s">
        <v>3560</v>
      </c>
      <c r="E1324" s="10" t="str">
        <f>HYPERLINK("https://twitter.com/x3m_f/status/723175818931896320","723175818931896320")</f>
        <v>723175818931896320</v>
      </c>
      <c r="F1324" s="11" t="s">
        <v>68</v>
      </c>
      <c r="G1324" s="11">
        <v>109</v>
      </c>
      <c r="H1324" s="11">
        <v>92</v>
      </c>
      <c r="I1324" s="11">
        <v>0</v>
      </c>
      <c r="J1324" s="11">
        <v>0</v>
      </c>
      <c r="K1324" s="11" t="s">
        <v>21</v>
      </c>
      <c r="L1324" s="7">
        <v>42363.436157407406</v>
      </c>
      <c r="M1324" s="12" t="s">
        <v>3274</v>
      </c>
      <c r="N1324" s="12" t="s">
        <v>3561</v>
      </c>
      <c r="O1324" s="10" t="str">
        <f>HYPERLINK("https://pbs.twimg.com/profile_images/680251329592344576/lnXUGVBa_normal.jpg","View")</f>
        <v>View</v>
      </c>
      <c r="P1324" s="11"/>
    </row>
    <row r="1325" spans="1:16" ht="12.75" x14ac:dyDescent="0.35">
      <c r="A1325" s="7">
        <v>42481.885752314818</v>
      </c>
      <c r="B1325" s="8" t="str">
        <f>HYPERLINK("https://twitter.com/money_location","@money_location")</f>
        <v>@money_location</v>
      </c>
      <c r="C1325" s="9" t="s">
        <v>3562</v>
      </c>
      <c r="D1325" s="9" t="s">
        <v>3563</v>
      </c>
      <c r="E1325" s="10" t="str">
        <f>HYPERLINK("https://twitter.com/money_location/status/723175833498750977","723175833498750977")</f>
        <v>723175833498750977</v>
      </c>
      <c r="F1325" s="11" t="s">
        <v>20</v>
      </c>
      <c r="G1325" s="11">
        <v>68</v>
      </c>
      <c r="H1325" s="11">
        <v>132</v>
      </c>
      <c r="I1325" s="11">
        <v>0</v>
      </c>
      <c r="J1325" s="11">
        <v>1</v>
      </c>
      <c r="K1325" s="11" t="s">
        <v>21</v>
      </c>
      <c r="L1325" s="7">
        <v>42158.092164351852</v>
      </c>
      <c r="M1325" s="12" t="s">
        <v>3564</v>
      </c>
      <c r="N1325" s="12" t="s">
        <v>3565</v>
      </c>
      <c r="O1325" s="10" t="str">
        <f>HYPERLINK("https://pbs.twimg.com/profile_images/616915099790508033/LH4OxL70_normal.jpg","View")</f>
        <v>View</v>
      </c>
      <c r="P1325" s="11"/>
    </row>
    <row r="1326" spans="1:16" ht="12.75" x14ac:dyDescent="0.35">
      <c r="A1326" s="7">
        <v>42481.885763888888</v>
      </c>
      <c r="B1326" s="8" t="str">
        <f>HYPERLINK("https://twitter.com/x3m_f","@x3m_f")</f>
        <v>@x3m_f</v>
      </c>
      <c r="C1326" s="9" t="s">
        <v>3559</v>
      </c>
      <c r="D1326" s="9" t="s">
        <v>3566</v>
      </c>
      <c r="E1326" s="10" t="str">
        <f>HYPERLINK("https://twitter.com/x3m_f/status/723175840243191808","723175840243191808")</f>
        <v>723175840243191808</v>
      </c>
      <c r="F1326" s="11" t="s">
        <v>68</v>
      </c>
      <c r="G1326" s="11">
        <v>109</v>
      </c>
      <c r="H1326" s="11">
        <v>92</v>
      </c>
      <c r="I1326" s="11">
        <v>0</v>
      </c>
      <c r="J1326" s="11">
        <v>0</v>
      </c>
      <c r="K1326" s="11" t="s">
        <v>21</v>
      </c>
      <c r="L1326" s="7">
        <v>42363.436157407406</v>
      </c>
      <c r="M1326" s="12" t="s">
        <v>3274</v>
      </c>
      <c r="N1326" s="12" t="s">
        <v>3561</v>
      </c>
      <c r="O1326" s="10" t="str">
        <f>HYPERLINK("https://pbs.twimg.com/profile_images/680251329592344576/lnXUGVBa_normal.jpg","View")</f>
        <v>View</v>
      </c>
      <c r="P1326" s="11"/>
    </row>
    <row r="1327" spans="1:16" ht="12.75" x14ac:dyDescent="0.35">
      <c r="A1327" s="7">
        <v>42481.886041666672</v>
      </c>
      <c r="B1327" s="8" t="str">
        <f>HYPERLINK("https://twitter.com/Geoffreytsmith","@Geoffreytsmith")</f>
        <v>@Geoffreytsmith</v>
      </c>
      <c r="C1327" s="9" t="s">
        <v>3466</v>
      </c>
      <c r="D1327" s="9" t="s">
        <v>3567</v>
      </c>
      <c r="E1327" s="10" t="str">
        <f>HYPERLINK("https://twitter.com/Geoffreytsmith/status/723175939874656256","723175939874656256")</f>
        <v>723175939874656256</v>
      </c>
      <c r="F1327" s="11" t="s">
        <v>63</v>
      </c>
      <c r="G1327" s="11">
        <v>2343</v>
      </c>
      <c r="H1327" s="11">
        <v>434</v>
      </c>
      <c r="I1327" s="11">
        <v>1</v>
      </c>
      <c r="J1327" s="11">
        <v>0</v>
      </c>
      <c r="K1327" s="11" t="s">
        <v>21</v>
      </c>
      <c r="L1327" s="7">
        <v>40746.008831018517</v>
      </c>
      <c r="M1327" s="12" t="s">
        <v>638</v>
      </c>
      <c r="N1327" s="12" t="s">
        <v>3468</v>
      </c>
      <c r="O1327" s="10" t="str">
        <f>HYPERLINK("https://pbs.twimg.com/profile_images/428946684312170496/JhiJB2NG_normal.jpeg","View")</f>
        <v>View</v>
      </c>
      <c r="P1327" s="11"/>
    </row>
    <row r="1328" spans="1:16" ht="12.75" x14ac:dyDescent="0.35">
      <c r="A1328" s="7">
        <v>42481.886087962965</v>
      </c>
      <c r="B1328" s="8" t="str">
        <f>HYPERLINK("https://twitter.com/franz_rother","@franz_rother")</f>
        <v>@franz_rother</v>
      </c>
      <c r="C1328" s="9" t="s">
        <v>1350</v>
      </c>
      <c r="D1328" s="9" t="s">
        <v>3568</v>
      </c>
      <c r="E1328" s="10" t="str">
        <f>HYPERLINK("https://twitter.com/franz_rother/status/723175955687038977","723175955687038977")</f>
        <v>723175955687038977</v>
      </c>
      <c r="F1328" s="11" t="s">
        <v>20</v>
      </c>
      <c r="G1328" s="11">
        <v>770</v>
      </c>
      <c r="H1328" s="11">
        <v>212</v>
      </c>
      <c r="I1328" s="11">
        <v>0</v>
      </c>
      <c r="J1328" s="11">
        <v>1</v>
      </c>
      <c r="K1328" s="11" t="s">
        <v>21</v>
      </c>
      <c r="L1328" s="7">
        <v>40387.831180555557</v>
      </c>
      <c r="M1328" s="12" t="s">
        <v>975</v>
      </c>
      <c r="N1328" s="12" t="s">
        <v>1352</v>
      </c>
      <c r="O1328" s="10" t="str">
        <f>HYPERLINK("https://pbs.twimg.com/profile_images/3228351590/aadb36f2b020cc27adac139aac4a5663_normal.jpeg","View")</f>
        <v>View</v>
      </c>
      <c r="P1328" s="11"/>
    </row>
    <row r="1329" spans="1:16" ht="12.75" x14ac:dyDescent="0.35">
      <c r="A1329" s="7">
        <v>42481.886400462958</v>
      </c>
      <c r="B1329" s="8" t="str">
        <f>HYPERLINK("https://twitter.com/KeyoKage","@KeyoKage")</f>
        <v>@KeyoKage</v>
      </c>
      <c r="C1329" s="9" t="s">
        <v>3569</v>
      </c>
      <c r="D1329" s="9" t="s">
        <v>3570</v>
      </c>
      <c r="E1329" s="10" t="str">
        <f>HYPERLINK("https://twitter.com/KeyoKage/status/723176069247959040","723176069247959040")</f>
        <v>723176069247959040</v>
      </c>
      <c r="F1329" s="11" t="s">
        <v>152</v>
      </c>
      <c r="G1329" s="11">
        <v>234</v>
      </c>
      <c r="H1329" s="11">
        <v>495</v>
      </c>
      <c r="I1329" s="11">
        <v>0</v>
      </c>
      <c r="J1329" s="11">
        <v>0</v>
      </c>
      <c r="K1329" s="11" t="s">
        <v>21</v>
      </c>
      <c r="L1329" s="7">
        <v>42405.955185185187</v>
      </c>
      <c r="M1329" s="12"/>
      <c r="N1329" s="12" t="s">
        <v>3571</v>
      </c>
      <c r="O1329" s="10" t="str">
        <f>HYPERLINK("https://pbs.twimg.com/profile_images/695660627096784896/LI-iXxy3_normal.jpg","View")</f>
        <v>View</v>
      </c>
      <c r="P1329" s="11"/>
    </row>
    <row r="1330" spans="1:16" ht="12.75" x14ac:dyDescent="0.35">
      <c r="A1330" s="7">
        <v>42481.886944444443</v>
      </c>
      <c r="B1330" s="8" t="str">
        <f>HYPERLINK("https://twitter.com/Duped","@Duped")</f>
        <v>@Duped</v>
      </c>
      <c r="C1330" s="9" t="s">
        <v>3572</v>
      </c>
      <c r="D1330" s="9" t="s">
        <v>3573</v>
      </c>
      <c r="E1330" s="10" t="str">
        <f>HYPERLINK("https://twitter.com/Duped/status/723176266187329536","723176266187329536")</f>
        <v>723176266187329536</v>
      </c>
      <c r="F1330" s="11" t="s">
        <v>48</v>
      </c>
      <c r="G1330" s="11">
        <v>602</v>
      </c>
      <c r="H1330" s="11">
        <v>1254</v>
      </c>
      <c r="I1330" s="11">
        <v>0</v>
      </c>
      <c r="J1330" s="11">
        <v>0</v>
      </c>
      <c r="K1330" s="11" t="s">
        <v>21</v>
      </c>
      <c r="L1330" s="7">
        <v>39774.288159722222</v>
      </c>
      <c r="M1330" s="12"/>
      <c r="N1330" s="12" t="s">
        <v>3574</v>
      </c>
      <c r="O1330" s="10" t="str">
        <f>HYPERLINK("https://pbs.twimg.com/profile_images/2614527612/qjcdvigyia7ykhqunc2f_normal.jpeg","View")</f>
        <v>View</v>
      </c>
      <c r="P1330" s="11"/>
    </row>
    <row r="1331" spans="1:16" ht="12.75" x14ac:dyDescent="0.35">
      <c r="A1331" s="7">
        <v>42481.887164351851</v>
      </c>
      <c r="B1331" s="8" t="str">
        <f>HYPERLINK("https://twitter.com/RayPanneton","@RayPanneton")</f>
        <v>@RayPanneton</v>
      </c>
      <c r="C1331" s="9" t="s">
        <v>3575</v>
      </c>
      <c r="D1331" s="9" t="s">
        <v>3576</v>
      </c>
      <c r="E1331" s="10" t="str">
        <f>HYPERLINK("https://twitter.com/RayPanneton/status/723176344570355712","723176344570355712")</f>
        <v>723176344570355712</v>
      </c>
      <c r="F1331" s="11" t="s">
        <v>20</v>
      </c>
      <c r="G1331" s="11">
        <v>167</v>
      </c>
      <c r="H1331" s="11">
        <v>379</v>
      </c>
      <c r="I1331" s="11">
        <v>3</v>
      </c>
      <c r="J1331" s="11">
        <v>0</v>
      </c>
      <c r="K1331" s="11" t="s">
        <v>21</v>
      </c>
      <c r="L1331" s="7">
        <v>42375.86273148148</v>
      </c>
      <c r="M1331" s="12" t="s">
        <v>3537</v>
      </c>
      <c r="N1331" s="12" t="s">
        <v>3577</v>
      </c>
      <c r="O1331" s="10" t="str">
        <f>HYPERLINK("https://pbs.twimg.com/profile_images/687110730647117825/qke5vlC5_normal.jpg","View")</f>
        <v>View</v>
      </c>
      <c r="P1331" s="11"/>
    </row>
    <row r="1332" spans="1:16" ht="12.75" x14ac:dyDescent="0.35">
      <c r="A1332" s="7">
        <v>42481.887314814812</v>
      </c>
      <c r="B1332" s="8" t="str">
        <f>HYPERLINK("https://twitter.com/BILD_Reporter","@BILD_Reporter")</f>
        <v>@BILD_Reporter</v>
      </c>
      <c r="C1332" s="9" t="s">
        <v>1423</v>
      </c>
      <c r="D1332" s="9" t="s">
        <v>3578</v>
      </c>
      <c r="E1332" s="10" t="str">
        <f>HYPERLINK("https://twitter.com/BILD_Reporter/status/723176399180300288","723176399180300288")</f>
        <v>723176399180300288</v>
      </c>
      <c r="F1332" s="11" t="s">
        <v>20</v>
      </c>
      <c r="G1332" s="11">
        <v>2149</v>
      </c>
      <c r="H1332" s="11">
        <v>238</v>
      </c>
      <c r="I1332" s="11">
        <v>3</v>
      </c>
      <c r="J1332" s="11">
        <v>0</v>
      </c>
      <c r="K1332" s="11" t="s">
        <v>21</v>
      </c>
      <c r="L1332" s="7">
        <v>41430.766331018516</v>
      </c>
      <c r="M1332" s="12" t="s">
        <v>1359</v>
      </c>
      <c r="N1332" s="12" t="s">
        <v>1425</v>
      </c>
      <c r="O1332" s="10" t="str">
        <f>HYPERLINK("https://pbs.twimg.com/profile_images/578542636140781568/2T_ukEU0_normal.jpeg","View")</f>
        <v>View</v>
      </c>
      <c r="P1332" s="11"/>
    </row>
    <row r="1333" spans="1:16" ht="12.75" x14ac:dyDescent="0.35">
      <c r="A1333" s="7">
        <v>42481.887418981481</v>
      </c>
      <c r="B1333" s="8" t="str">
        <f>HYPERLINK("https://twitter.com/mysafetyfirst1","@mysafetyfirst1")</f>
        <v>@mysafetyfirst1</v>
      </c>
      <c r="C1333" s="9" t="s">
        <v>3579</v>
      </c>
      <c r="D1333" s="9" t="s">
        <v>3576</v>
      </c>
      <c r="E1333" s="10" t="str">
        <f>HYPERLINK("https://twitter.com/mysafetyfirst1/status/723176438665334784","723176438665334784")</f>
        <v>723176438665334784</v>
      </c>
      <c r="F1333" s="11" t="s">
        <v>48</v>
      </c>
      <c r="G1333" s="11">
        <v>5416</v>
      </c>
      <c r="H1333" s="11">
        <v>4381</v>
      </c>
      <c r="I1333" s="11">
        <v>3</v>
      </c>
      <c r="J1333" s="11">
        <v>0</v>
      </c>
      <c r="K1333" s="11" t="s">
        <v>21</v>
      </c>
      <c r="L1333" s="7">
        <v>40720.261631944442</v>
      </c>
      <c r="M1333" s="12" t="s">
        <v>1604</v>
      </c>
      <c r="N1333" s="12" t="s">
        <v>3580</v>
      </c>
      <c r="O1333" s="10" t="str">
        <f>HYPERLINK("https://pbs.twimg.com/profile_images/722217523651842048/Ry3gzzZD_normal.jpg","View")</f>
        <v>View</v>
      </c>
      <c r="P1333" s="11"/>
    </row>
    <row r="1334" spans="1:16" ht="12.75" x14ac:dyDescent="0.35">
      <c r="A1334" s="7">
        <v>42481.887766203705</v>
      </c>
      <c r="B1334" s="8" t="str">
        <f>HYPERLINK("https://twitter.com/970wfla","@970wfla")</f>
        <v>@970wfla</v>
      </c>
      <c r="C1334" s="9" t="s">
        <v>3581</v>
      </c>
      <c r="D1334" s="9" t="s">
        <v>3582</v>
      </c>
      <c r="E1334" s="10" t="str">
        <f>HYPERLINK("https://twitter.com/970wfla/status/723176564784005120","723176564784005120")</f>
        <v>723176564784005120</v>
      </c>
      <c r="F1334" s="11" t="s">
        <v>63</v>
      </c>
      <c r="G1334" s="11">
        <v>13329</v>
      </c>
      <c r="H1334" s="11">
        <v>4746</v>
      </c>
      <c r="I1334" s="11">
        <v>2</v>
      </c>
      <c r="J1334" s="11">
        <v>1</v>
      </c>
      <c r="K1334" s="11" t="s">
        <v>21</v>
      </c>
      <c r="L1334" s="7">
        <v>39897.159675925926</v>
      </c>
      <c r="M1334" s="12" t="s">
        <v>316</v>
      </c>
      <c r="N1334" s="12" t="s">
        <v>3583</v>
      </c>
      <c r="O1334" s="10" t="str">
        <f>HYPERLINK("https://pbs.twimg.com/profile_images/3113972934/ba2ef96158b52ff911e1ffc5e9b9108f_normal.jpeg","View")</f>
        <v>View</v>
      </c>
      <c r="P1334" s="11"/>
    </row>
    <row r="1335" spans="1:16" ht="12.75" x14ac:dyDescent="0.35">
      <c r="A1335" s="7">
        <v>42481.887916666667</v>
      </c>
      <c r="B1335" s="8" t="str">
        <f>HYPERLINK("https://twitter.com/pphunky","@pphunky")</f>
        <v>@pphunky</v>
      </c>
      <c r="C1335" s="9" t="s">
        <v>2497</v>
      </c>
      <c r="D1335" s="9" t="s">
        <v>3584</v>
      </c>
      <c r="E1335" s="10" t="str">
        <f>HYPERLINK("https://twitter.com/pphunky/status/723176617288167426","723176617288167426")</f>
        <v>723176617288167426</v>
      </c>
      <c r="F1335" s="11" t="s">
        <v>20</v>
      </c>
      <c r="G1335" s="11">
        <v>98</v>
      </c>
      <c r="H1335" s="11">
        <v>1286</v>
      </c>
      <c r="I1335" s="11">
        <v>9</v>
      </c>
      <c r="J1335" s="11">
        <v>0</v>
      </c>
      <c r="K1335" s="11" t="s">
        <v>21</v>
      </c>
      <c r="L1335" s="7">
        <v>40518.007673611108</v>
      </c>
      <c r="M1335" s="12"/>
      <c r="N1335" s="12"/>
      <c r="O1335" s="10" t="str">
        <f>HYPERLINK("https://pbs.twimg.com/profile_images/1190749746/image_normal.jpg","View")</f>
        <v>View</v>
      </c>
      <c r="P1335" s="11"/>
    </row>
    <row r="1336" spans="1:16" ht="12.75" x14ac:dyDescent="0.35">
      <c r="A1336" s="7">
        <v>42481.888275462959</v>
      </c>
      <c r="B1336" s="8" t="str">
        <f>HYPERLINK("https://twitter.com/GavinoGaray","@GavinoGaray")</f>
        <v>@GavinoGaray</v>
      </c>
      <c r="C1336" s="9" t="s">
        <v>3585</v>
      </c>
      <c r="D1336" s="9" t="s">
        <v>3586</v>
      </c>
      <c r="E1336" s="10" t="str">
        <f>HYPERLINK("https://twitter.com/GavinoGaray/status/723176749933023232","723176749933023232")</f>
        <v>723176749933023232</v>
      </c>
      <c r="F1336" s="11" t="s">
        <v>43</v>
      </c>
      <c r="G1336" s="11">
        <v>940</v>
      </c>
      <c r="H1336" s="11">
        <v>113</v>
      </c>
      <c r="I1336" s="11">
        <v>0</v>
      </c>
      <c r="J1336" s="11">
        <v>0</v>
      </c>
      <c r="K1336" s="11" t="s">
        <v>21</v>
      </c>
      <c r="L1336" s="7">
        <v>40530.957314814819</v>
      </c>
      <c r="M1336" s="12" t="s">
        <v>3587</v>
      </c>
      <c r="N1336" s="12" t="s">
        <v>3588</v>
      </c>
      <c r="O1336" s="10" t="str">
        <f>HYPERLINK("https://pbs.twimg.com/profile_images/704594081368793088/3Ry122y7_normal.jpg","View")</f>
        <v>View</v>
      </c>
      <c r="P1336" s="11"/>
    </row>
    <row r="1337" spans="1:16" ht="12.75" x14ac:dyDescent="0.35">
      <c r="A1337" s="7">
        <v>42481.888298611113</v>
      </c>
      <c r="B1337" s="8" t="str">
        <f>HYPERLINK("https://twitter.com/zoekeenzzper","@zoekeenzzper")</f>
        <v>@zoekeenzzper</v>
      </c>
      <c r="C1337" s="9" t="s">
        <v>3589</v>
      </c>
      <c r="D1337" s="9" t="s">
        <v>3590</v>
      </c>
      <c r="E1337" s="10" t="str">
        <f>HYPERLINK("https://twitter.com/zoekeenzzper/status/723176758858637312","723176758858637312")</f>
        <v>723176758858637312</v>
      </c>
      <c r="F1337" s="11" t="s">
        <v>3591</v>
      </c>
      <c r="G1337" s="11">
        <v>134</v>
      </c>
      <c r="H1337" s="11">
        <v>101</v>
      </c>
      <c r="I1337" s="11">
        <v>0</v>
      </c>
      <c r="J1337" s="11">
        <v>0</v>
      </c>
      <c r="K1337" s="11" t="s">
        <v>21</v>
      </c>
      <c r="L1337" s="7">
        <v>40636.013935185183</v>
      </c>
      <c r="M1337" s="12" t="s">
        <v>3592</v>
      </c>
      <c r="N1337" s="12" t="s">
        <v>3593</v>
      </c>
      <c r="O1337" s="10" t="str">
        <f>HYPERLINK("https://pbs.twimg.com/profile_images/561109601270001667/izPdhpZH_normal.png","View")</f>
        <v>View</v>
      </c>
      <c r="P1337" s="11"/>
    </row>
    <row r="1338" spans="1:16" ht="12.75" x14ac:dyDescent="0.35">
      <c r="A1338" s="7">
        <v>42481.888703703706</v>
      </c>
      <c r="B1338" s="8" t="str">
        <f>HYPERLINK("https://twitter.com/project1half","@project1half")</f>
        <v>@project1half</v>
      </c>
      <c r="C1338" s="9" t="s">
        <v>3594</v>
      </c>
      <c r="D1338" s="9" t="s">
        <v>3218</v>
      </c>
      <c r="E1338" s="10" t="str">
        <f>HYPERLINK("https://twitter.com/project1half/status/723176905524944896","723176905524944896")</f>
        <v>723176905524944896</v>
      </c>
      <c r="F1338" s="11" t="s">
        <v>20</v>
      </c>
      <c r="G1338" s="11">
        <v>184</v>
      </c>
      <c r="H1338" s="11">
        <v>481</v>
      </c>
      <c r="I1338" s="11">
        <v>2</v>
      </c>
      <c r="J1338" s="11">
        <v>0</v>
      </c>
      <c r="K1338" s="11" t="s">
        <v>21</v>
      </c>
      <c r="L1338" s="7">
        <v>39169.78638888889</v>
      </c>
      <c r="M1338" s="12"/>
      <c r="N1338" s="12" t="s">
        <v>3595</v>
      </c>
      <c r="O1338" s="10" t="str">
        <f>HYPERLINK("https://pbs.twimg.com/profile_images/633451240706281472/Tc016-Gw_normal.jpg","View")</f>
        <v>View</v>
      </c>
      <c r="P1338" s="11"/>
    </row>
    <row r="1339" spans="1:16" ht="12.75" x14ac:dyDescent="0.35">
      <c r="A1339" s="7">
        <v>42481.889085648145</v>
      </c>
      <c r="B1339" s="8" t="str">
        <f>HYPERLINK("https://twitter.com/MilitaryAutoSrc","@MilitaryAutoSrc")</f>
        <v>@MilitaryAutoSrc</v>
      </c>
      <c r="C1339" s="9" t="s">
        <v>3596</v>
      </c>
      <c r="D1339" s="9" t="s">
        <v>3597</v>
      </c>
      <c r="E1339" s="10" t="str">
        <f>HYPERLINK("https://twitter.com/MilitaryAutoSrc/status/723177040720048128","723177040720048128")</f>
        <v>723177040720048128</v>
      </c>
      <c r="F1339" s="11" t="s">
        <v>152</v>
      </c>
      <c r="G1339" s="11">
        <v>249</v>
      </c>
      <c r="H1339" s="11">
        <v>66</v>
      </c>
      <c r="I1339" s="11">
        <v>0</v>
      </c>
      <c r="J1339" s="11">
        <v>0</v>
      </c>
      <c r="K1339" s="11" t="s">
        <v>21</v>
      </c>
      <c r="L1339" s="7">
        <v>40242.049710648149</v>
      </c>
      <c r="M1339" s="12"/>
      <c r="N1339" s="12" t="s">
        <v>3598</v>
      </c>
      <c r="O1339" s="10" t="str">
        <f>HYPERLINK("https://pbs.twimg.com/profile_images/378800000157798316/ea887fcc259d5aa4fc4698ceccfca899_normal.jpeg","View")</f>
        <v>View</v>
      </c>
      <c r="P1339" s="11"/>
    </row>
    <row r="1340" spans="1:16" ht="12.75" x14ac:dyDescent="0.35">
      <c r="A1340" s="7">
        <v>42481.889085648145</v>
      </c>
      <c r="B1340" s="8" t="str">
        <f>HYPERLINK("https://twitter.com/Militarycars","@Militarycars")</f>
        <v>@Militarycars</v>
      </c>
      <c r="C1340" s="9" t="s">
        <v>3596</v>
      </c>
      <c r="D1340" s="9" t="s">
        <v>3599</v>
      </c>
      <c r="E1340" s="10" t="str">
        <f>HYPERLINK("https://twitter.com/Militarycars/status/723177040728477696","723177040728477696")</f>
        <v>723177040728477696</v>
      </c>
      <c r="F1340" s="11" t="s">
        <v>152</v>
      </c>
      <c r="G1340" s="11">
        <v>690</v>
      </c>
      <c r="H1340" s="11">
        <v>1047</v>
      </c>
      <c r="I1340" s="11">
        <v>1</v>
      </c>
      <c r="J1340" s="11">
        <v>0</v>
      </c>
      <c r="K1340" s="11" t="s">
        <v>21</v>
      </c>
      <c r="L1340" s="7">
        <v>39902.175763888888</v>
      </c>
      <c r="M1340" s="12" t="s">
        <v>3600</v>
      </c>
      <c r="N1340" s="12" t="s">
        <v>3601</v>
      </c>
      <c r="O1340" s="10" t="str">
        <f>HYPERLINK("https://pbs.twimg.com/profile_images/601753807664521217/Cxu6updO_normal.jpg","View")</f>
        <v>View</v>
      </c>
      <c r="P1340" s="11"/>
    </row>
    <row r="1341" spans="1:16" ht="12.75" x14ac:dyDescent="0.35">
      <c r="A1341" s="7">
        <v>42481.889120370368</v>
      </c>
      <c r="B1341" s="8" t="str">
        <f>HYPERLINK("https://twitter.com/FLI75thm","@FLI75thm")</f>
        <v>@FLI75thm</v>
      </c>
      <c r="C1341" s="9" t="s">
        <v>3602</v>
      </c>
      <c r="D1341" s="9" t="s">
        <v>3603</v>
      </c>
      <c r="E1341" s="10" t="str">
        <f>HYPERLINK("https://twitter.com/FLI75thm/status/723177054896816128","723177054896816128")</f>
        <v>723177054896816128</v>
      </c>
      <c r="F1341" s="11" t="s">
        <v>3604</v>
      </c>
      <c r="G1341" s="11">
        <v>558</v>
      </c>
      <c r="H1341" s="11">
        <v>274</v>
      </c>
      <c r="I1341" s="11">
        <v>2</v>
      </c>
      <c r="J1341" s="11">
        <v>0</v>
      </c>
      <c r="K1341" s="11" t="s">
        <v>21</v>
      </c>
      <c r="L1341" s="7">
        <v>40364.789675925924</v>
      </c>
      <c r="M1341" s="12" t="s">
        <v>517</v>
      </c>
      <c r="N1341" s="12" t="s">
        <v>3605</v>
      </c>
      <c r="O1341" s="10" t="str">
        <f>HYPERLINK("https://pbs.twimg.com/profile_images/1157454131/FL75_normal.png","View")</f>
        <v>View</v>
      </c>
      <c r="P1341" s="11"/>
    </row>
    <row r="1342" spans="1:16" ht="12.75" x14ac:dyDescent="0.35">
      <c r="A1342" s="7">
        <v>42481.889201388884</v>
      </c>
      <c r="B1342" s="8" t="str">
        <f>HYPERLINK("https://twitter.com/dwnews","@dwnews")</f>
        <v>@dwnews</v>
      </c>
      <c r="C1342" s="9" t="s">
        <v>1302</v>
      </c>
      <c r="D1342" s="9" t="s">
        <v>3523</v>
      </c>
      <c r="E1342" s="10" t="str">
        <f>HYPERLINK("https://twitter.com/dwnews/status/723177083606802432","723177083606802432")</f>
        <v>723177083606802432</v>
      </c>
      <c r="F1342" s="11" t="s">
        <v>63</v>
      </c>
      <c r="G1342" s="11">
        <v>91214</v>
      </c>
      <c r="H1342" s="11">
        <v>542</v>
      </c>
      <c r="I1342" s="11">
        <v>12</v>
      </c>
      <c r="J1342" s="11">
        <v>0</v>
      </c>
      <c r="K1342" s="11" t="s">
        <v>21</v>
      </c>
      <c r="L1342" s="7">
        <v>39220.688078703708</v>
      </c>
      <c r="M1342" s="12" t="s">
        <v>1303</v>
      </c>
      <c r="N1342" s="12" t="s">
        <v>1304</v>
      </c>
      <c r="O1342" s="10" t="str">
        <f>HYPERLINK("https://pbs.twimg.com/profile_images/608213167496417280/QSxgcLn__normal.png","View")</f>
        <v>View</v>
      </c>
      <c r="P1342" s="11"/>
    </row>
    <row r="1343" spans="1:16" ht="12.75" x14ac:dyDescent="0.35">
      <c r="A1343" s="7">
        <v>42481.889363425929</v>
      </c>
      <c r="B1343" s="8" t="str">
        <f>HYPERLINK("https://twitter.com/tillamookcoast","@tillamookcoast")</f>
        <v>@tillamookcoast</v>
      </c>
      <c r="C1343" s="9" t="s">
        <v>3606</v>
      </c>
      <c r="D1343" s="9" t="s">
        <v>3607</v>
      </c>
      <c r="E1343" s="10" t="str">
        <f>HYPERLINK("https://twitter.com/tillamookcoast/status/723177143535017984","723177143535017984")</f>
        <v>723177143535017984</v>
      </c>
      <c r="F1343" s="11" t="s">
        <v>152</v>
      </c>
      <c r="G1343" s="11">
        <v>1500</v>
      </c>
      <c r="H1343" s="11">
        <v>1515</v>
      </c>
      <c r="I1343" s="11">
        <v>1</v>
      </c>
      <c r="J1343" s="11">
        <v>2</v>
      </c>
      <c r="K1343" s="11" t="s">
        <v>21</v>
      </c>
      <c r="L1343" s="7">
        <v>41876.07172453704</v>
      </c>
      <c r="M1343" s="12" t="s">
        <v>3608</v>
      </c>
      <c r="N1343" s="12" t="s">
        <v>3609</v>
      </c>
      <c r="O1343" s="10" t="str">
        <f>HYPERLINK("https://pbs.twimg.com/profile_images/586648861097103360/AfnYO6JR_normal.png","View")</f>
        <v>View</v>
      </c>
      <c r="P1343" s="11"/>
    </row>
    <row r="1344" spans="1:16" ht="12.75" x14ac:dyDescent="0.35">
      <c r="A1344" s="7">
        <v>42481.889479166668</v>
      </c>
      <c r="B1344" s="8" t="str">
        <f>HYPERLINK("https://twitter.com/Philippe_Leviez","@Philippe_Leviez")</f>
        <v>@Philippe_Leviez</v>
      </c>
      <c r="C1344" s="9" t="s">
        <v>3610</v>
      </c>
      <c r="D1344" s="9" t="s">
        <v>3611</v>
      </c>
      <c r="E1344" s="10" t="str">
        <f>HYPERLINK("https://twitter.com/Philippe_Leviez/status/723177183712145409","723177183712145409")</f>
        <v>723177183712145409</v>
      </c>
      <c r="F1344" s="11" t="s">
        <v>43</v>
      </c>
      <c r="G1344" s="11">
        <v>34</v>
      </c>
      <c r="H1344" s="11">
        <v>61</v>
      </c>
      <c r="I1344" s="11">
        <v>0</v>
      </c>
      <c r="J1344" s="11">
        <v>0</v>
      </c>
      <c r="K1344" s="11" t="s">
        <v>21</v>
      </c>
      <c r="L1344" s="7">
        <v>41615.133009259262</v>
      </c>
      <c r="M1344" s="12" t="s">
        <v>3612</v>
      </c>
      <c r="N1344" s="12" t="s">
        <v>3613</v>
      </c>
      <c r="O1344" s="10" t="str">
        <f>HYPERLINK("https://pbs.twimg.com/profile_images/378800000838147699/1b1d5a634aedb62ab272ba7fa17a9902_normal.jpeg","View")</f>
        <v>View</v>
      </c>
      <c r="P1344" s="11"/>
    </row>
    <row r="1345" spans="1:16" ht="12.75" x14ac:dyDescent="0.35">
      <c r="A1345" s="7">
        <v>42481.889594907407</v>
      </c>
      <c r="B1345" s="8" t="str">
        <f>HYPERLINK("https://twitter.com/ItoParedes","@ItoParedes")</f>
        <v>@ItoParedes</v>
      </c>
      <c r="C1345" s="9" t="s">
        <v>1297</v>
      </c>
      <c r="D1345" s="9" t="s">
        <v>3523</v>
      </c>
      <c r="E1345" s="10" t="str">
        <f>HYPERLINK("https://twitter.com/ItoParedes/status/723177227379179520","723177227379179520")</f>
        <v>723177227379179520</v>
      </c>
      <c r="F1345" s="11" t="s">
        <v>3614</v>
      </c>
      <c r="G1345" s="11">
        <v>56</v>
      </c>
      <c r="H1345" s="11">
        <v>105</v>
      </c>
      <c r="I1345" s="11">
        <v>12</v>
      </c>
      <c r="J1345" s="11">
        <v>0</v>
      </c>
      <c r="K1345" s="11" t="s">
        <v>21</v>
      </c>
      <c r="L1345" s="7">
        <v>40659.229409722218</v>
      </c>
      <c r="M1345" s="12" t="s">
        <v>1299</v>
      </c>
      <c r="N1345" s="12" t="s">
        <v>1300</v>
      </c>
      <c r="O1345" s="10" t="str">
        <f>HYPERLINK("https://pbs.twimg.com/profile_images/1602774074/IMG_0924_normal.JPG","View")</f>
        <v>View</v>
      </c>
      <c r="P1345" s="11"/>
    </row>
    <row r="1346" spans="1:16" ht="12.75" x14ac:dyDescent="0.35">
      <c r="A1346" s="7">
        <v>42481.889814814815</v>
      </c>
      <c r="B1346" s="8" t="str">
        <f>HYPERLINK("https://twitter.com/CALPIRG","@CALPIRG")</f>
        <v>@CALPIRG</v>
      </c>
      <c r="C1346" s="9" t="s">
        <v>3615</v>
      </c>
      <c r="D1346" s="9" t="s">
        <v>3616</v>
      </c>
      <c r="E1346" s="10" t="str">
        <f>HYPERLINK("https://twitter.com/CALPIRG/status/723177304726233089","723177304726233089")</f>
        <v>723177304726233089</v>
      </c>
      <c r="F1346" s="11" t="s">
        <v>20</v>
      </c>
      <c r="G1346" s="11">
        <v>1660</v>
      </c>
      <c r="H1346" s="11">
        <v>930</v>
      </c>
      <c r="I1346" s="11">
        <v>3</v>
      </c>
      <c r="J1346" s="11">
        <v>0</v>
      </c>
      <c r="K1346" s="11" t="s">
        <v>21</v>
      </c>
      <c r="L1346" s="7">
        <v>39997.05940972222</v>
      </c>
      <c r="M1346" s="12" t="s">
        <v>3270</v>
      </c>
      <c r="N1346" s="12" t="s">
        <v>3617</v>
      </c>
      <c r="O1346" s="10" t="str">
        <f>HYPERLINK("https://pbs.twimg.com/profile_images/652625032246530048/mn0-PwJ4_normal.jpg","View")</f>
        <v>View</v>
      </c>
      <c r="P1346" s="11"/>
    </row>
    <row r="1347" spans="1:16" ht="12.75" x14ac:dyDescent="0.35">
      <c r="A1347" s="7">
        <v>42481.889965277776</v>
      </c>
      <c r="B1347" s="8" t="str">
        <f>HYPERLINK("https://twitter.com/GuzmanDiiego","@GuzmanDiiego")</f>
        <v>@GuzmanDiiego</v>
      </c>
      <c r="C1347" s="9" t="s">
        <v>3618</v>
      </c>
      <c r="D1347" s="9" t="s">
        <v>3619</v>
      </c>
      <c r="E1347" s="10" t="str">
        <f>HYPERLINK("https://twitter.com/GuzmanDiiego/status/723177362955866113","723177362955866113")</f>
        <v>723177362955866113</v>
      </c>
      <c r="F1347" s="11" t="s">
        <v>114</v>
      </c>
      <c r="G1347" s="11">
        <v>723</v>
      </c>
      <c r="H1347" s="11">
        <v>618</v>
      </c>
      <c r="I1347" s="11">
        <v>0</v>
      </c>
      <c r="J1347" s="11">
        <v>0</v>
      </c>
      <c r="K1347" s="11" t="s">
        <v>21</v>
      </c>
      <c r="L1347" s="7">
        <v>41244.221307870372</v>
      </c>
      <c r="M1347" s="12" t="s">
        <v>3620</v>
      </c>
      <c r="N1347" s="12" t="s">
        <v>3621</v>
      </c>
      <c r="O1347" s="10" t="str">
        <f>HYPERLINK("https://pbs.twimg.com/profile_images/603499430898184192/wl3kABJd_normal.jpg","View")</f>
        <v>View</v>
      </c>
      <c r="P1347" s="11"/>
    </row>
    <row r="1348" spans="1:16" ht="12.75" x14ac:dyDescent="0.35">
      <c r="A1348" s="7">
        <v>42481.889976851853</v>
      </c>
      <c r="B1348" s="8" t="str">
        <f>HYPERLINK("https://twitter.com/VWCamperSales","@VWCamperSales")</f>
        <v>@VWCamperSales</v>
      </c>
      <c r="C1348" s="9" t="s">
        <v>216</v>
      </c>
      <c r="D1348" s="9" t="s">
        <v>3622</v>
      </c>
      <c r="E1348" s="10" t="str">
        <f>HYPERLINK("https://twitter.com/VWCamperSales/status/723177366114070528","723177366114070528")</f>
        <v>723177366114070528</v>
      </c>
      <c r="F1348" s="10" t="s">
        <v>124</v>
      </c>
      <c r="G1348" s="11">
        <v>615</v>
      </c>
      <c r="H1348" s="11">
        <v>580</v>
      </c>
      <c r="I1348" s="11">
        <v>0</v>
      </c>
      <c r="J1348" s="11">
        <v>0</v>
      </c>
      <c r="K1348" s="11" t="s">
        <v>21</v>
      </c>
      <c r="L1348" s="7">
        <v>42215.98809027778</v>
      </c>
      <c r="M1348" s="12" t="s">
        <v>129</v>
      </c>
      <c r="N1348" s="12" t="s">
        <v>218</v>
      </c>
      <c r="O1348" s="10" t="str">
        <f>HYPERLINK("https://pbs.twimg.com/profile_images/627949001179037696/skEBkS05_normal.jpg","View")</f>
        <v>View</v>
      </c>
      <c r="P1348" s="11"/>
    </row>
    <row r="1349" spans="1:16" ht="12.75" x14ac:dyDescent="0.35">
      <c r="A1349" s="7">
        <v>42481.890081018515</v>
      </c>
      <c r="B1349" s="8" t="str">
        <f>HYPERLINK("https://twitter.com/stvharry","@stvharry")</f>
        <v>@stvharry</v>
      </c>
      <c r="C1349" s="9" t="s">
        <v>3623</v>
      </c>
      <c r="D1349" s="9" t="s">
        <v>3523</v>
      </c>
      <c r="E1349" s="10" t="str">
        <f>HYPERLINK("https://twitter.com/stvharry/status/723177403024064512","723177403024064512")</f>
        <v>723177403024064512</v>
      </c>
      <c r="F1349" s="11" t="s">
        <v>20</v>
      </c>
      <c r="G1349" s="11">
        <v>3946</v>
      </c>
      <c r="H1349" s="11">
        <v>305</v>
      </c>
      <c r="I1349" s="11">
        <v>12</v>
      </c>
      <c r="J1349" s="11">
        <v>0</v>
      </c>
      <c r="K1349" s="11" t="s">
        <v>21</v>
      </c>
      <c r="L1349" s="7">
        <v>40280.623969907407</v>
      </c>
      <c r="M1349" s="12" t="s">
        <v>3624</v>
      </c>
      <c r="N1349" s="12" t="s">
        <v>3625</v>
      </c>
      <c r="O1349" s="10" t="str">
        <f>HYPERLINK("https://pbs.twimg.com/profile_images/817507723/Harry_Smith_cropped_normal.jpg","View")</f>
        <v>View</v>
      </c>
      <c r="P1349" s="11"/>
    </row>
    <row r="1350" spans="1:16" ht="12.75" x14ac:dyDescent="0.35">
      <c r="A1350" s="7">
        <v>42481.890127314815</v>
      </c>
      <c r="B1350" s="8" t="str">
        <f>HYPERLINK("https://twitter.com/MDRaktuell","@MDRaktuell")</f>
        <v>@MDRaktuell</v>
      </c>
      <c r="C1350" s="9" t="s">
        <v>3626</v>
      </c>
      <c r="D1350" s="9" t="s">
        <v>3627</v>
      </c>
      <c r="E1350" s="10" t="str">
        <f>HYPERLINK("https://twitter.com/MDRaktuell/status/723177417758498816","723177417758498816")</f>
        <v>723177417758498816</v>
      </c>
      <c r="F1350" s="11" t="s">
        <v>43</v>
      </c>
      <c r="G1350" s="11">
        <v>9900</v>
      </c>
      <c r="H1350" s="11">
        <v>242</v>
      </c>
      <c r="I1350" s="11">
        <v>5</v>
      </c>
      <c r="J1350" s="11">
        <v>2</v>
      </c>
      <c r="K1350" s="11" t="s">
        <v>21</v>
      </c>
      <c r="L1350" s="7">
        <v>41361.618368055555</v>
      </c>
      <c r="M1350" s="12" t="s">
        <v>1658</v>
      </c>
      <c r="N1350" s="12" t="s">
        <v>3628</v>
      </c>
      <c r="O1350" s="10" t="str">
        <f>HYPERLINK("https://pbs.twimg.com/profile_images/459281313409667072/7lylhzVW_normal.png","View")</f>
        <v>View</v>
      </c>
      <c r="P1350" s="11"/>
    </row>
    <row r="1351" spans="1:16" ht="12.75" x14ac:dyDescent="0.35">
      <c r="A1351" s="7">
        <v>42481.890138888892</v>
      </c>
      <c r="B1351" s="8" t="str">
        <f>HYPERLINK("https://twitter.com/BS_Verkehr","@BS_Verkehr")</f>
        <v>@BS_Verkehr</v>
      </c>
      <c r="C1351" s="9" t="s">
        <v>3629</v>
      </c>
      <c r="D1351" s="9" t="s">
        <v>3630</v>
      </c>
      <c r="E1351" s="10" t="str">
        <f>HYPERLINK("https://twitter.com/BS_Verkehr/status/723177424725254146","723177424725254146")</f>
        <v>723177424725254146</v>
      </c>
      <c r="F1351" s="11" t="s">
        <v>43</v>
      </c>
      <c r="G1351" s="11">
        <v>80</v>
      </c>
      <c r="H1351" s="11">
        <v>8</v>
      </c>
      <c r="I1351" s="11">
        <v>0</v>
      </c>
      <c r="J1351" s="11">
        <v>0</v>
      </c>
      <c r="K1351" s="11" t="s">
        <v>21</v>
      </c>
      <c r="L1351" s="7">
        <v>41928.833622685182</v>
      </c>
      <c r="M1351" s="12" t="s">
        <v>2682</v>
      </c>
      <c r="N1351" s="12" t="s">
        <v>3631</v>
      </c>
      <c r="O1351" s="10" t="str">
        <f>HYPERLINK("https://pbs.twimg.com/profile_images/522759312028884992/6n24auYw_normal.png","View")</f>
        <v>View</v>
      </c>
      <c r="P1351" s="11"/>
    </row>
    <row r="1352" spans="1:16" ht="12.75" x14ac:dyDescent="0.35">
      <c r="A1352" s="7">
        <v>42481.890196759261</v>
      </c>
      <c r="B1352" s="8" t="str">
        <f>HYPERLINK("https://twitter.com/mimosa416","@mimosa416")</f>
        <v>@mimosa416</v>
      </c>
      <c r="C1352" s="9" t="s">
        <v>3632</v>
      </c>
      <c r="D1352" s="9" t="s">
        <v>3523</v>
      </c>
      <c r="E1352" s="10" t="str">
        <f>HYPERLINK("https://twitter.com/mimosa416/status/723177444732076032","723177444732076032")</f>
        <v>723177444732076032</v>
      </c>
      <c r="F1352" s="11" t="s">
        <v>48</v>
      </c>
      <c r="G1352" s="11">
        <v>101</v>
      </c>
      <c r="H1352" s="11">
        <v>351</v>
      </c>
      <c r="I1352" s="11">
        <v>12</v>
      </c>
      <c r="J1352" s="11">
        <v>0</v>
      </c>
      <c r="K1352" s="11" t="s">
        <v>21</v>
      </c>
      <c r="L1352" s="7">
        <v>40624.426666666666</v>
      </c>
      <c r="M1352" s="12" t="s">
        <v>3633</v>
      </c>
      <c r="N1352" s="12" t="s">
        <v>3634</v>
      </c>
      <c r="O1352" s="10" t="str">
        <f>HYPERLINK("https://pbs.twimg.com/profile_images/1613397544/imagesCAR4XFH4_normal.jpg","View")</f>
        <v>View</v>
      </c>
      <c r="P1352" s="11"/>
    </row>
    <row r="1353" spans="1:16" ht="12.75" x14ac:dyDescent="0.35">
      <c r="A1353" s="7">
        <v>42481.890567129631</v>
      </c>
      <c r="B1353" s="8" t="str">
        <f>HYPERLINK("https://twitter.com/MedAgness","@MedAgness")</f>
        <v>@MedAgness</v>
      </c>
      <c r="C1353" s="9" t="s">
        <v>3635</v>
      </c>
      <c r="D1353" s="9" t="s">
        <v>3636</v>
      </c>
      <c r="E1353" s="10" t="str">
        <f>HYPERLINK("https://twitter.com/MedAgness/status/723177577779736576","723177577779736576")</f>
        <v>723177577779736576</v>
      </c>
      <c r="F1353" s="11" t="s">
        <v>68</v>
      </c>
      <c r="G1353" s="11">
        <v>8139</v>
      </c>
      <c r="H1353" s="11">
        <v>865</v>
      </c>
      <c r="I1353" s="11">
        <v>0</v>
      </c>
      <c r="J1353" s="11">
        <v>0</v>
      </c>
      <c r="K1353" s="11" t="s">
        <v>21</v>
      </c>
      <c r="L1353" s="7">
        <v>40612.342650462961</v>
      </c>
      <c r="M1353" s="12" t="s">
        <v>3637</v>
      </c>
      <c r="N1353" s="12" t="s">
        <v>3638</v>
      </c>
      <c r="O1353" s="10" t="str">
        <f>HYPERLINK("https://pbs.twimg.com/profile_images/631084316802482176/y_wtMQWR_normal.png","View")</f>
        <v>View</v>
      </c>
      <c r="P1353" s="11"/>
    </row>
    <row r="1354" spans="1:16" ht="12.75" x14ac:dyDescent="0.35">
      <c r="A1354" s="7">
        <v>42481.890590277777</v>
      </c>
      <c r="B1354" s="8" t="str">
        <f>HYPERLINK("https://twitter.com/WhiteRockVW","@WhiteRockVW")</f>
        <v>@WhiteRockVW</v>
      </c>
      <c r="C1354" s="9" t="s">
        <v>3639</v>
      </c>
      <c r="D1354" s="9" t="s">
        <v>3640</v>
      </c>
      <c r="E1354" s="10" t="str">
        <f>HYPERLINK("https://twitter.com/WhiteRockVW/status/723177585983803392","723177585983803392")</f>
        <v>723177585983803392</v>
      </c>
      <c r="F1354" s="11" t="s">
        <v>152</v>
      </c>
      <c r="G1354" s="11">
        <v>3092</v>
      </c>
      <c r="H1354" s="11">
        <v>4240</v>
      </c>
      <c r="I1354" s="11">
        <v>3</v>
      </c>
      <c r="J1354" s="11">
        <v>5</v>
      </c>
      <c r="K1354" s="11" t="s">
        <v>21</v>
      </c>
      <c r="L1354" s="7">
        <v>41684.938900462963</v>
      </c>
      <c r="M1354" s="12" t="s">
        <v>3641</v>
      </c>
      <c r="N1354" s="12" t="s">
        <v>3642</v>
      </c>
      <c r="O1354" s="10" t="str">
        <f>HYPERLINK("https://pbs.twimg.com/profile_images/459004924907380736/5rd4PRWK_normal.jpeg","View")</f>
        <v>View</v>
      </c>
      <c r="P1354" s="11"/>
    </row>
    <row r="1355" spans="1:16" ht="12.75" x14ac:dyDescent="0.35">
      <c r="A1355" s="7">
        <v>42481.890717592592</v>
      </c>
      <c r="B1355" s="8" t="str">
        <f>HYPERLINK("https://twitter.com/WashAutoPress","@WashAutoPress")</f>
        <v>@WashAutoPress</v>
      </c>
      <c r="C1355" s="9" t="s">
        <v>3643</v>
      </c>
      <c r="D1355" s="9" t="s">
        <v>3644</v>
      </c>
      <c r="E1355" s="10" t="str">
        <f>HYPERLINK("https://twitter.com/WashAutoPress/status/723177632532062208","723177632532062208")</f>
        <v>723177632532062208</v>
      </c>
      <c r="F1355" s="11" t="s">
        <v>48</v>
      </c>
      <c r="G1355" s="11">
        <v>623</v>
      </c>
      <c r="H1355" s="11">
        <v>329</v>
      </c>
      <c r="I1355" s="11">
        <v>0</v>
      </c>
      <c r="J1355" s="11">
        <v>1</v>
      </c>
      <c r="K1355" s="11" t="s">
        <v>21</v>
      </c>
      <c r="L1355" s="7">
        <v>41032.133159722223</v>
      </c>
      <c r="M1355" s="12" t="s">
        <v>2646</v>
      </c>
      <c r="N1355" s="12" t="s">
        <v>3645</v>
      </c>
      <c r="O1355" s="10" t="str">
        <f>HYPERLINK("https://pbs.twimg.com/profile_images/565535762720894976/d0L_JvdB_normal.png","View")</f>
        <v>View</v>
      </c>
      <c r="P1355" s="11"/>
    </row>
    <row r="1356" spans="1:16" ht="12.75" x14ac:dyDescent="0.35">
      <c r="A1356" s="7">
        <v>42481.890717592592</v>
      </c>
      <c r="B1356" s="8" t="str">
        <f>HYPERLINK("https://twitter.com/MDRINFO","@MDRINFO")</f>
        <v>@MDRINFO</v>
      </c>
      <c r="C1356" s="9" t="s">
        <v>3646</v>
      </c>
      <c r="D1356" s="9" t="s">
        <v>3647</v>
      </c>
      <c r="E1356" s="10" t="str">
        <f>HYPERLINK("https://twitter.com/MDRINFO/status/723177633190690816","723177633190690816")</f>
        <v>723177633190690816</v>
      </c>
      <c r="F1356" s="11" t="s">
        <v>63</v>
      </c>
      <c r="G1356" s="11">
        <v>17531</v>
      </c>
      <c r="H1356" s="11">
        <v>324</v>
      </c>
      <c r="I1356" s="11">
        <v>5</v>
      </c>
      <c r="J1356" s="11">
        <v>0</v>
      </c>
      <c r="K1356" s="11" t="s">
        <v>21</v>
      </c>
      <c r="L1356" s="7">
        <v>39833.671817129631</v>
      </c>
      <c r="M1356" s="12" t="s">
        <v>3648</v>
      </c>
      <c r="N1356" s="12" t="s">
        <v>3649</v>
      </c>
      <c r="O1356" s="10" t="str">
        <f>HYPERLINK("https://pbs.twimg.com/profile_images/2289706087/q66ajanznpfm87cybp5p_normal.jpeg","View")</f>
        <v>View</v>
      </c>
      <c r="P1356" s="11"/>
    </row>
    <row r="1357" spans="1:16" ht="12.75" x14ac:dyDescent="0.35">
      <c r="A1357" s="7">
        <v>42481.890914351854</v>
      </c>
      <c r="B1357" s="8" t="str">
        <f>HYPERLINK("https://twitter.com/NetzwerkggS21","@NetzwerkggS21")</f>
        <v>@NetzwerkggS21</v>
      </c>
      <c r="C1357" s="9" t="s">
        <v>2359</v>
      </c>
      <c r="D1357" s="9" t="s">
        <v>3650</v>
      </c>
      <c r="E1357" s="10" t="str">
        <f>HYPERLINK("https://twitter.com/NetzwerkggS21/status/723177705307414528","723177705307414528")</f>
        <v>723177705307414528</v>
      </c>
      <c r="F1357" s="11" t="s">
        <v>43</v>
      </c>
      <c r="G1357" s="11">
        <v>853</v>
      </c>
      <c r="H1357" s="11">
        <v>2109</v>
      </c>
      <c r="I1357" s="11">
        <v>5</v>
      </c>
      <c r="J1357" s="11">
        <v>0</v>
      </c>
      <c r="K1357" s="11" t="s">
        <v>21</v>
      </c>
      <c r="L1357" s="7">
        <v>41326.709363425922</v>
      </c>
      <c r="M1357" s="13" t="s">
        <v>2361</v>
      </c>
      <c r="N1357" s="12" t="s">
        <v>2362</v>
      </c>
      <c r="O1357" s="10" t="str">
        <f>HYPERLINK("https://pbs.twimg.com/profile_images/378800000528765970/3ab9f2a00010e9cac08d5ca1638926e9_normal.png","View")</f>
        <v>View</v>
      </c>
      <c r="P1357" s="11"/>
    </row>
    <row r="1358" spans="1:16" ht="12.75" x14ac:dyDescent="0.35">
      <c r="A1358" s="7">
        <v>42481.890949074077</v>
      </c>
      <c r="B1358" s="8" t="str">
        <f>HYPERLINK("https://twitter.com/BungerKCBS","@BungerKCBS")</f>
        <v>@BungerKCBS</v>
      </c>
      <c r="C1358" s="9" t="s">
        <v>3250</v>
      </c>
      <c r="D1358" s="9" t="s">
        <v>3651</v>
      </c>
      <c r="E1358" s="10" t="str">
        <f>HYPERLINK("https://twitter.com/BungerKCBS/status/723177717399609347","723177717399609347")</f>
        <v>723177717399609347</v>
      </c>
      <c r="F1358" s="11" t="s">
        <v>3375</v>
      </c>
      <c r="G1358" s="11">
        <v>4038</v>
      </c>
      <c r="H1358" s="11">
        <v>747</v>
      </c>
      <c r="I1358" s="11">
        <v>3</v>
      </c>
      <c r="J1358" s="11">
        <v>1</v>
      </c>
      <c r="K1358" s="11" t="s">
        <v>21</v>
      </c>
      <c r="L1358" s="7">
        <v>39856.84511574074</v>
      </c>
      <c r="M1358" s="12" t="s">
        <v>155</v>
      </c>
      <c r="N1358" s="12" t="s">
        <v>3252</v>
      </c>
      <c r="O1358" s="10" t="str">
        <f>HYPERLINK("https://pbs.twimg.com/profile_images/199472915/stan_twitter_normal.jpg","View")</f>
        <v>View</v>
      </c>
      <c r="P1358" s="11"/>
    </row>
    <row r="1359" spans="1:16" ht="12.75" x14ac:dyDescent="0.35">
      <c r="A1359" s="7">
        <v>42481.891157407408</v>
      </c>
      <c r="B1359" s="8" t="str">
        <f>HYPERLINK("https://twitter.com/eiifi","@eiifi")</f>
        <v>@eiifi</v>
      </c>
      <c r="C1359" s="9" t="s">
        <v>3652</v>
      </c>
      <c r="D1359" s="9" t="s">
        <v>3496</v>
      </c>
      <c r="E1359" s="10" t="str">
        <f>HYPERLINK("https://twitter.com/eiifi/status/723177793173876736","723177793173876736")</f>
        <v>723177793173876736</v>
      </c>
      <c r="F1359" s="11" t="s">
        <v>43</v>
      </c>
      <c r="G1359" s="11">
        <v>40</v>
      </c>
      <c r="H1359" s="11">
        <v>119</v>
      </c>
      <c r="I1359" s="11">
        <v>6</v>
      </c>
      <c r="J1359" s="11">
        <v>0</v>
      </c>
      <c r="K1359" s="11" t="s">
        <v>21</v>
      </c>
      <c r="L1359" s="7">
        <v>39830.576874999999</v>
      </c>
      <c r="M1359" s="12" t="s">
        <v>3653</v>
      </c>
      <c r="N1359" s="12" t="s">
        <v>3654</v>
      </c>
      <c r="O1359" s="10" t="str">
        <f>HYPERLINK("https://pbs.twimg.com/profile_images/1763763708/Ich4_normal.jpg","View")</f>
        <v>View</v>
      </c>
      <c r="P1359" s="11"/>
    </row>
    <row r="1360" spans="1:16" ht="12.75" x14ac:dyDescent="0.35">
      <c r="A1360" s="7">
        <v>42481.891180555554</v>
      </c>
      <c r="B1360" s="8" t="str">
        <f>HYPERLINK("https://twitter.com/KCBSNews","@KCBSNews")</f>
        <v>@KCBSNews</v>
      </c>
      <c r="C1360" s="9" t="s">
        <v>3373</v>
      </c>
      <c r="D1360" s="9" t="s">
        <v>3655</v>
      </c>
      <c r="E1360" s="10" t="str">
        <f>HYPERLINK("https://twitter.com/KCBSNews/status/723177800102871040","723177800102871040")</f>
        <v>723177800102871040</v>
      </c>
      <c r="F1360" s="11" t="s">
        <v>3375</v>
      </c>
      <c r="G1360" s="11">
        <v>35346</v>
      </c>
      <c r="H1360" s="11">
        <v>6253</v>
      </c>
      <c r="I1360" s="11">
        <v>3</v>
      </c>
      <c r="J1360" s="11">
        <v>0</v>
      </c>
      <c r="K1360" s="11" t="s">
        <v>21</v>
      </c>
      <c r="L1360" s="7">
        <v>39704.02579861111</v>
      </c>
      <c r="M1360" s="12" t="s">
        <v>3219</v>
      </c>
      <c r="N1360" s="12" t="s">
        <v>3376</v>
      </c>
      <c r="O1360" s="10" t="str">
        <f>HYPERLINK("https://pbs.twimg.com/profile_images/705915659411177472/uwwzgqKD_normal.jpg","View")</f>
        <v>View</v>
      </c>
      <c r="P1360" s="11"/>
    </row>
    <row r="1361" spans="1:16" ht="12.75" x14ac:dyDescent="0.35">
      <c r="A1361" s="7">
        <v>42481.89126157407</v>
      </c>
      <c r="B1361" s="8" t="str">
        <f>HYPERLINK("https://twitter.com/lgbeutin","@lgbeutin")</f>
        <v>@lgbeutin</v>
      </c>
      <c r="C1361" s="9" t="s">
        <v>3656</v>
      </c>
      <c r="D1361" s="9" t="s">
        <v>3657</v>
      </c>
      <c r="E1361" s="10" t="str">
        <f>HYPERLINK("https://twitter.com/lgbeutin/status/723177830587215872","723177830587215872")</f>
        <v>723177830587215872</v>
      </c>
      <c r="F1361" s="11" t="s">
        <v>48</v>
      </c>
      <c r="G1361" s="11">
        <v>222</v>
      </c>
      <c r="H1361" s="11">
        <v>442</v>
      </c>
      <c r="I1361" s="11">
        <v>1</v>
      </c>
      <c r="J1361" s="11">
        <v>1</v>
      </c>
      <c r="K1361" s="11" t="s">
        <v>21</v>
      </c>
      <c r="L1361" s="7">
        <v>40291.778946759259</v>
      </c>
      <c r="M1361" s="12" t="s">
        <v>3658</v>
      </c>
      <c r="N1361" s="12" t="s">
        <v>3659</v>
      </c>
      <c r="O1361" s="10" t="str">
        <f>HYPERLINK("https://pbs.twimg.com/profile_images/651395083871256576/COkZuWn6_normal.jpg","View")</f>
        <v>View</v>
      </c>
      <c r="P1361" s="11"/>
    </row>
    <row r="1362" spans="1:16" ht="12.75" x14ac:dyDescent="0.35">
      <c r="A1362" s="7">
        <v>42481.891493055555</v>
      </c>
      <c r="B1362" s="8" t="str">
        <f>HYPERLINK("https://twitter.com/oldcar_photo","@oldcar_photo")</f>
        <v>@oldcar_photo</v>
      </c>
      <c r="C1362" s="9" t="s">
        <v>1046</v>
      </c>
      <c r="D1362" s="9" t="s">
        <v>3660</v>
      </c>
      <c r="E1362" s="10" t="str">
        <f>HYPERLINK("https://twitter.com/oldcar_photo/status/723177913940643840","723177913940643840")</f>
        <v>723177913940643840</v>
      </c>
      <c r="F1362" s="11" t="s">
        <v>68</v>
      </c>
      <c r="G1362" s="11">
        <v>1977</v>
      </c>
      <c r="H1362" s="11">
        <v>0</v>
      </c>
      <c r="I1362" s="11">
        <v>1</v>
      </c>
      <c r="J1362" s="11">
        <v>0</v>
      </c>
      <c r="K1362" s="11" t="s">
        <v>21</v>
      </c>
      <c r="L1362" s="7">
        <v>42184.7341087963</v>
      </c>
      <c r="M1362" s="12"/>
      <c r="N1362" s="12"/>
      <c r="O1362" s="10" t="str">
        <f>HYPERLINK("https://pbs.twimg.com/profile_images/615493650785660928/XHUh6HOk_normal.jpg","View")</f>
        <v>View</v>
      </c>
      <c r="P1362" s="11"/>
    </row>
    <row r="1363" spans="1:16" ht="12.75" x14ac:dyDescent="0.35">
      <c r="A1363" s="7">
        <v>42481.891655092593</v>
      </c>
      <c r="B1363" s="8" t="str">
        <f>HYPERLINK("https://twitter.com/_snid","@_snid")</f>
        <v>@_snid</v>
      </c>
      <c r="C1363" s="9" t="s">
        <v>3661</v>
      </c>
      <c r="D1363" s="9" t="s">
        <v>3662</v>
      </c>
      <c r="E1363" s="10" t="str">
        <f>HYPERLINK("https://twitter.com/_snid/status/723177974921490432","723177974921490432")</f>
        <v>723177974921490432</v>
      </c>
      <c r="F1363" s="11" t="s">
        <v>43</v>
      </c>
      <c r="G1363" s="11">
        <v>205</v>
      </c>
      <c r="H1363" s="11">
        <v>175</v>
      </c>
      <c r="I1363" s="11">
        <v>0</v>
      </c>
      <c r="J1363" s="11">
        <v>0</v>
      </c>
      <c r="K1363" s="11" t="s">
        <v>21</v>
      </c>
      <c r="L1363" s="7">
        <v>40243.889074074075</v>
      </c>
      <c r="M1363" s="12" t="s">
        <v>3280</v>
      </c>
      <c r="N1363" s="12" t="s">
        <v>3663</v>
      </c>
      <c r="O1363" s="10" t="str">
        <f>HYPERLINK("https://pbs.twimg.com/profile_images/655011782356922368/moVyMdJP_normal.jpg","View")</f>
        <v>View</v>
      </c>
      <c r="P1363" s="11"/>
    </row>
    <row r="1364" spans="1:16" ht="12.75" x14ac:dyDescent="0.35">
      <c r="A1364" s="7">
        <v>42481.891689814816</v>
      </c>
      <c r="B1364" s="8" t="str">
        <f>HYPERLINK("https://twitter.com/faznet","@faznet")</f>
        <v>@faznet</v>
      </c>
      <c r="C1364" s="8" t="s">
        <v>1590</v>
      </c>
      <c r="D1364" s="9" t="s">
        <v>3664</v>
      </c>
      <c r="E1364" s="10" t="str">
        <f>HYPERLINK("https://twitter.com/faznet/status/723177984740352003","723177984740352003")</f>
        <v>723177984740352003</v>
      </c>
      <c r="F1364" s="11" t="s">
        <v>63</v>
      </c>
      <c r="G1364" s="11">
        <v>308484</v>
      </c>
      <c r="H1364" s="11">
        <v>211</v>
      </c>
      <c r="I1364" s="11">
        <v>5</v>
      </c>
      <c r="J1364" s="11">
        <v>2</v>
      </c>
      <c r="K1364" s="11" t="s">
        <v>21</v>
      </c>
      <c r="L1364" s="7">
        <v>39793.822881944448</v>
      </c>
      <c r="M1364" s="12" t="s">
        <v>1464</v>
      </c>
      <c r="N1364" s="12" t="s">
        <v>1592</v>
      </c>
      <c r="O1364" s="10" t="str">
        <f>HYPERLINK("https://pbs.twimg.com/profile_images/477438671151304705/8XlAQ509_normal.jpeg","View")</f>
        <v>View</v>
      </c>
      <c r="P1364" s="11"/>
    </row>
    <row r="1365" spans="1:16" ht="12.75" x14ac:dyDescent="0.35">
      <c r="A1365" s="7">
        <v>42481.891817129625</v>
      </c>
      <c r="B1365" s="8" t="str">
        <f>HYPERLINK("https://twitter.com/reeve_anthony","@reeve_anthony")</f>
        <v>@reeve_anthony</v>
      </c>
      <c r="C1365" s="9" t="s">
        <v>3665</v>
      </c>
      <c r="D1365" s="9" t="s">
        <v>3666</v>
      </c>
      <c r="E1365" s="10" t="str">
        <f>HYPERLINK("https://twitter.com/reeve_anthony/status/723178032110788608","723178032110788608")</f>
        <v>723178032110788608</v>
      </c>
      <c r="F1365" s="11" t="s">
        <v>20</v>
      </c>
      <c r="G1365" s="11">
        <v>143</v>
      </c>
      <c r="H1365" s="11">
        <v>340</v>
      </c>
      <c r="I1365" s="11">
        <v>2</v>
      </c>
      <c r="J1365" s="11">
        <v>0</v>
      </c>
      <c r="K1365" s="11" t="s">
        <v>21</v>
      </c>
      <c r="L1365" s="7">
        <v>41372.799120370371</v>
      </c>
      <c r="M1365" s="12" t="s">
        <v>3667</v>
      </c>
      <c r="N1365" s="12"/>
      <c r="O1365" s="10" t="str">
        <f>HYPERLINK("https://pbs.twimg.com/profile_images/663822892933713920/KdDaNdJB_normal.jpg","View")</f>
        <v>View</v>
      </c>
      <c r="P1365" s="11"/>
    </row>
    <row r="1366" spans="1:16" ht="12.75" x14ac:dyDescent="0.35">
      <c r="A1366" s="7">
        <v>42481.891875000001</v>
      </c>
      <c r="B1366" s="8" t="str">
        <f>HYPERLINK("https://twitter.com/malheurwoman","@malheurwoman")</f>
        <v>@malheurwoman</v>
      </c>
      <c r="C1366" s="9" t="s">
        <v>3668</v>
      </c>
      <c r="D1366" s="9" t="s">
        <v>3669</v>
      </c>
      <c r="E1366" s="10" t="str">
        <f>HYPERLINK("https://twitter.com/malheurwoman/status/723178054114144256","723178054114144256")</f>
        <v>723178054114144256</v>
      </c>
      <c r="F1366" s="11" t="s">
        <v>43</v>
      </c>
      <c r="G1366" s="11">
        <v>773</v>
      </c>
      <c r="H1366" s="11">
        <v>1308</v>
      </c>
      <c r="I1366" s="11">
        <v>1</v>
      </c>
      <c r="J1366" s="11">
        <v>0</v>
      </c>
      <c r="K1366" s="11" t="s">
        <v>21</v>
      </c>
      <c r="L1366" s="7">
        <v>40601.313252314816</v>
      </c>
      <c r="M1366" s="12" t="s">
        <v>507</v>
      </c>
      <c r="N1366" s="12" t="s">
        <v>3670</v>
      </c>
      <c r="O1366" s="10" t="str">
        <f>HYPERLINK("https://pbs.twimg.com/profile_images/713217056687022080/K-LbhXQJ_normal.jpg","View")</f>
        <v>View</v>
      </c>
      <c r="P1366" s="11"/>
    </row>
    <row r="1367" spans="1:16" ht="12.75" x14ac:dyDescent="0.35">
      <c r="A1367" s="7">
        <v>42481.891921296294</v>
      </c>
      <c r="B1367" s="8" t="str">
        <f>HYPERLINK("https://twitter.com/Veiffingerz","@Veiffingerz")</f>
        <v>@Veiffingerz</v>
      </c>
      <c r="C1367" s="9" t="s">
        <v>3671</v>
      </c>
      <c r="D1367" s="9" t="s">
        <v>3347</v>
      </c>
      <c r="E1367" s="10" t="str">
        <f>HYPERLINK("https://twitter.com/Veiffingerz/status/723178068131614720","723178068131614720")</f>
        <v>723178068131614720</v>
      </c>
      <c r="F1367" s="11" t="s">
        <v>20</v>
      </c>
      <c r="G1367" s="11">
        <v>170</v>
      </c>
      <c r="H1367" s="11">
        <v>175</v>
      </c>
      <c r="I1367" s="11">
        <v>5</v>
      </c>
      <c r="J1367" s="11">
        <v>0</v>
      </c>
      <c r="K1367" s="11" t="s">
        <v>21</v>
      </c>
      <c r="L1367" s="7">
        <v>40936.528981481482</v>
      </c>
      <c r="M1367" s="12"/>
      <c r="N1367" s="12" t="s">
        <v>3672</v>
      </c>
      <c r="O1367" s="10" t="str">
        <f>HYPERLINK("https://pbs.twimg.com/profile_images/690447053588152320/wUHIbKgi_normal.jpg","View")</f>
        <v>View</v>
      </c>
      <c r="P1367" s="11"/>
    </row>
    <row r="1368" spans="1:16" ht="12.75" x14ac:dyDescent="0.35">
      <c r="A1368" s="7">
        <v>42481.891944444447</v>
      </c>
      <c r="B1368" s="8" t="str">
        <f>HYPERLINK("https://twitter.com/tagesschau","@tagesschau")</f>
        <v>@tagesschau</v>
      </c>
      <c r="C1368" s="9" t="s">
        <v>1880</v>
      </c>
      <c r="D1368" s="9" t="s">
        <v>3673</v>
      </c>
      <c r="E1368" s="10" t="str">
        <f>HYPERLINK("https://twitter.com/tagesschau/status/723178077912764416","723178077912764416")</f>
        <v>723178077912764416</v>
      </c>
      <c r="F1368" s="10" t="s">
        <v>1882</v>
      </c>
      <c r="G1368" s="11">
        <v>1154671</v>
      </c>
      <c r="H1368" s="11">
        <v>286</v>
      </c>
      <c r="I1368" s="11">
        <v>4</v>
      </c>
      <c r="J1368" s="11">
        <v>11</v>
      </c>
      <c r="K1368" s="11" t="s">
        <v>21</v>
      </c>
      <c r="L1368" s="7">
        <v>39205.592152777775</v>
      </c>
      <c r="M1368" s="12" t="s">
        <v>953</v>
      </c>
      <c r="N1368" s="12" t="s">
        <v>1883</v>
      </c>
      <c r="O1368" s="10" t="str">
        <f>HYPERLINK("https://pbs.twimg.com/profile_images/531688614640365568/U84uXoIT_normal.png","View")</f>
        <v>View</v>
      </c>
      <c r="P1368" s="11"/>
    </row>
    <row r="1369" spans="1:16" ht="12.75" x14ac:dyDescent="0.35">
      <c r="A1369" s="7">
        <v>42481.891967592594</v>
      </c>
      <c r="B1369" s="8" t="str">
        <f>HYPERLINK("https://twitter.com/MarcusCJung","@MarcusCJung")</f>
        <v>@MarcusCJung</v>
      </c>
      <c r="C1369" s="9" t="s">
        <v>3674</v>
      </c>
      <c r="D1369" s="9" t="s">
        <v>3675</v>
      </c>
      <c r="E1369" s="10" t="str">
        <f>HYPERLINK("https://twitter.com/MarcusCJung/status/723178084564918272","723178084564918272")</f>
        <v>723178084564918272</v>
      </c>
      <c r="F1369" s="11" t="s">
        <v>367</v>
      </c>
      <c r="G1369" s="11">
        <v>1847</v>
      </c>
      <c r="H1369" s="11">
        <v>2205</v>
      </c>
      <c r="I1369" s="11">
        <v>5</v>
      </c>
      <c r="J1369" s="11">
        <v>0</v>
      </c>
      <c r="K1369" s="11" t="s">
        <v>21</v>
      </c>
      <c r="L1369" s="7">
        <v>41292.895821759259</v>
      </c>
      <c r="M1369" s="12" t="s">
        <v>3676</v>
      </c>
      <c r="N1369" s="12" t="s">
        <v>3677</v>
      </c>
      <c r="O1369" s="10" t="str">
        <f>HYPERLINK("https://pbs.twimg.com/profile_images/658684970106507264/fAjFcyfX_normal.jpg","View")</f>
        <v>View</v>
      </c>
      <c r="P1369" s="11"/>
    </row>
    <row r="1370" spans="1:16" ht="12.75" x14ac:dyDescent="0.35">
      <c r="A1370" s="7">
        <v>42481.892002314809</v>
      </c>
      <c r="B1370" s="8" t="str">
        <f>HYPERLINK("https://twitter.com/Tarela","@Tarela")</f>
        <v>@Tarela</v>
      </c>
      <c r="C1370" s="9" t="s">
        <v>3678</v>
      </c>
      <c r="D1370" s="9" t="s">
        <v>3584</v>
      </c>
      <c r="E1370" s="10" t="str">
        <f>HYPERLINK("https://twitter.com/Tarela/status/723178101014847492","723178101014847492")</f>
        <v>723178101014847492</v>
      </c>
      <c r="F1370" s="11" t="s">
        <v>48</v>
      </c>
      <c r="G1370" s="11">
        <v>1086</v>
      </c>
      <c r="H1370" s="11">
        <v>2270</v>
      </c>
      <c r="I1370" s="11">
        <v>9</v>
      </c>
      <c r="J1370" s="11">
        <v>0</v>
      </c>
      <c r="K1370" s="11" t="s">
        <v>21</v>
      </c>
      <c r="L1370" s="7">
        <v>39927.784317129626</v>
      </c>
      <c r="M1370" s="12" t="s">
        <v>3679</v>
      </c>
      <c r="N1370" s="12" t="s">
        <v>3680</v>
      </c>
      <c r="O1370" s="10" t="str">
        <f>HYPERLINK("https://pbs.twimg.com/profile_images/599924836933234690/uCLP2NR5_normal.jpg","View")</f>
        <v>View</v>
      </c>
      <c r="P1370" s="11"/>
    </row>
    <row r="1371" spans="1:16" ht="12.75" x14ac:dyDescent="0.35">
      <c r="A1371" s="7">
        <v>42481.892245370371</v>
      </c>
      <c r="B1371" s="8" t="str">
        <f>HYPERLINK("https://twitter.com/RobertaKPIX","@RobertaKPIX")</f>
        <v>@RobertaKPIX</v>
      </c>
      <c r="C1371" s="9" t="s">
        <v>3681</v>
      </c>
      <c r="D1371" s="9" t="s">
        <v>3655</v>
      </c>
      <c r="E1371" s="10" t="str">
        <f>HYPERLINK("https://twitter.com/RobertaKPIX/status/723178186209529863","723178186209529863")</f>
        <v>723178186209529863</v>
      </c>
      <c r="F1371" s="11" t="s">
        <v>43</v>
      </c>
      <c r="G1371" s="11">
        <v>3992</v>
      </c>
      <c r="H1371" s="11">
        <v>685</v>
      </c>
      <c r="I1371" s="11">
        <v>3</v>
      </c>
      <c r="J1371" s="11">
        <v>0</v>
      </c>
      <c r="K1371" s="11" t="s">
        <v>21</v>
      </c>
      <c r="L1371" s="7">
        <v>40233.553287037037</v>
      </c>
      <c r="M1371" s="12" t="s">
        <v>3682</v>
      </c>
      <c r="N1371" s="12" t="s">
        <v>3683</v>
      </c>
      <c r="O1371" s="10" t="str">
        <f>HYPERLINK("https://pbs.twimg.com/profile_images/692168890638536705/WgaWAosA_normal.jpg","View")</f>
        <v>View</v>
      </c>
      <c r="P1371" s="11"/>
    </row>
    <row r="1372" spans="1:16" ht="12.75" x14ac:dyDescent="0.35">
      <c r="A1372" s="7">
        <v>42481.89225694444</v>
      </c>
      <c r="B1372" s="8" t="str">
        <f t="shared" ref="B1372:B1375" si="123">HYPERLINK("https://twitter.com/VeeDubMk1_","@VeeDubMk1_")</f>
        <v>@VeeDubMk1_</v>
      </c>
      <c r="C1372" s="9" t="s">
        <v>185</v>
      </c>
      <c r="D1372" s="9" t="s">
        <v>3684</v>
      </c>
      <c r="E1372" s="10" t="str">
        <f>HYPERLINK("https://twitter.com/VeeDubMk1_/status/723178191712604160","723178191712604160")</f>
        <v>723178191712604160</v>
      </c>
      <c r="F1372" s="11" t="s">
        <v>68</v>
      </c>
      <c r="G1372" s="11">
        <v>545</v>
      </c>
      <c r="H1372" s="11">
        <v>3527</v>
      </c>
      <c r="I1372" s="11">
        <v>0</v>
      </c>
      <c r="J1372" s="11">
        <v>1</v>
      </c>
      <c r="K1372" s="11" t="s">
        <v>21</v>
      </c>
      <c r="L1372" s="7">
        <v>42343.063356481478</v>
      </c>
      <c r="M1372" s="12"/>
      <c r="N1372" s="12"/>
      <c r="O1372" s="10" t="str">
        <f t="shared" ref="O1372:O1375" si="124">HYPERLINK("https://pbs.twimg.com/profile_images/672878354127839232/M7OYc-zx_normal.jpg","View")</f>
        <v>View</v>
      </c>
      <c r="P1372" s="11"/>
    </row>
    <row r="1373" spans="1:16" ht="12.75" x14ac:dyDescent="0.35">
      <c r="A1373" s="7">
        <v>42481.892291666663</v>
      </c>
      <c r="B1373" s="8" t="str">
        <f t="shared" si="123"/>
        <v>@VeeDubMk1_</v>
      </c>
      <c r="C1373" s="9" t="s">
        <v>185</v>
      </c>
      <c r="D1373" s="9" t="s">
        <v>3685</v>
      </c>
      <c r="E1373" s="10" t="str">
        <f>HYPERLINK("https://twitter.com/VeeDubMk1_/status/723178205813825536","723178205813825536")</f>
        <v>723178205813825536</v>
      </c>
      <c r="F1373" s="11" t="s">
        <v>68</v>
      </c>
      <c r="G1373" s="11">
        <v>545</v>
      </c>
      <c r="H1373" s="11">
        <v>3527</v>
      </c>
      <c r="I1373" s="11">
        <v>0</v>
      </c>
      <c r="J1373" s="11">
        <v>0</v>
      </c>
      <c r="K1373" s="11" t="s">
        <v>21</v>
      </c>
      <c r="L1373" s="7">
        <v>42343.063356481478</v>
      </c>
      <c r="M1373" s="12"/>
      <c r="N1373" s="12"/>
      <c r="O1373" s="10" t="str">
        <f t="shared" si="124"/>
        <v>View</v>
      </c>
      <c r="P1373" s="11"/>
    </row>
    <row r="1374" spans="1:16" ht="12.75" x14ac:dyDescent="0.35">
      <c r="A1374" s="7">
        <v>42481.892337962963</v>
      </c>
      <c r="B1374" s="8" t="str">
        <f t="shared" si="123"/>
        <v>@VeeDubMk1_</v>
      </c>
      <c r="C1374" s="9" t="s">
        <v>185</v>
      </c>
      <c r="D1374" s="9" t="s">
        <v>3686</v>
      </c>
      <c r="E1374" s="10" t="str">
        <f>HYPERLINK("https://twitter.com/VeeDubMk1_/status/723178220812664833","723178220812664833")</f>
        <v>723178220812664833</v>
      </c>
      <c r="F1374" s="11" t="s">
        <v>68</v>
      </c>
      <c r="G1374" s="11">
        <v>545</v>
      </c>
      <c r="H1374" s="11">
        <v>3527</v>
      </c>
      <c r="I1374" s="11">
        <v>0</v>
      </c>
      <c r="J1374" s="11">
        <v>0</v>
      </c>
      <c r="K1374" s="11" t="s">
        <v>21</v>
      </c>
      <c r="L1374" s="7">
        <v>42343.063356481478</v>
      </c>
      <c r="M1374" s="12"/>
      <c r="N1374" s="12"/>
      <c r="O1374" s="10" t="str">
        <f t="shared" si="124"/>
        <v>View</v>
      </c>
      <c r="P1374" s="11"/>
    </row>
    <row r="1375" spans="1:16" ht="12.75" x14ac:dyDescent="0.35">
      <c r="A1375" s="7">
        <v>42481.892361111109</v>
      </c>
      <c r="B1375" s="8" t="str">
        <f t="shared" si="123"/>
        <v>@VeeDubMk1_</v>
      </c>
      <c r="C1375" s="9" t="s">
        <v>185</v>
      </c>
      <c r="D1375" s="9" t="s">
        <v>3687</v>
      </c>
      <c r="E1375" s="10" t="str">
        <f>HYPERLINK("https://twitter.com/VeeDubMk1_/status/723178228781862912","723178228781862912")</f>
        <v>723178228781862912</v>
      </c>
      <c r="F1375" s="11" t="s">
        <v>68</v>
      </c>
      <c r="G1375" s="11">
        <v>545</v>
      </c>
      <c r="H1375" s="11">
        <v>3527</v>
      </c>
      <c r="I1375" s="11">
        <v>0</v>
      </c>
      <c r="J1375" s="11">
        <v>1</v>
      </c>
      <c r="K1375" s="11" t="s">
        <v>21</v>
      </c>
      <c r="L1375" s="7">
        <v>42343.063356481478</v>
      </c>
      <c r="M1375" s="12"/>
      <c r="N1375" s="12"/>
      <c r="O1375" s="10" t="str">
        <f t="shared" si="124"/>
        <v>View</v>
      </c>
      <c r="P1375" s="11"/>
    </row>
    <row r="1376" spans="1:16" ht="12.75" x14ac:dyDescent="0.35">
      <c r="A1376" s="7">
        <v>42481.892430555556</v>
      </c>
      <c r="B1376" s="8" t="str">
        <f>HYPERLINK("https://twitter.com/Scheinriesig","@Scheinriesig")</f>
        <v>@Scheinriesig</v>
      </c>
      <c r="C1376" s="9" t="s">
        <v>3688</v>
      </c>
      <c r="D1376" s="9" t="s">
        <v>3689</v>
      </c>
      <c r="E1376" s="10" t="str">
        <f>HYPERLINK("https://twitter.com/Scheinriesig/status/723178254543257600","723178254543257600")</f>
        <v>723178254543257600</v>
      </c>
      <c r="F1376" s="11" t="s">
        <v>20</v>
      </c>
      <c r="G1376" s="11">
        <v>110</v>
      </c>
      <c r="H1376" s="11">
        <v>1319</v>
      </c>
      <c r="I1376" s="11">
        <v>1</v>
      </c>
      <c r="J1376" s="11">
        <v>0</v>
      </c>
      <c r="K1376" s="11" t="s">
        <v>21</v>
      </c>
      <c r="L1376" s="7">
        <v>42408.026759259257</v>
      </c>
      <c r="M1376" s="12"/>
      <c r="N1376" s="12" t="s">
        <v>3690</v>
      </c>
      <c r="O1376" s="10" t="str">
        <f>HYPERLINK("https://pbs.twimg.com/profile_images/696411580800626692/rxxGIVjg_normal.jpg","View")</f>
        <v>View</v>
      </c>
      <c r="P1376" s="11"/>
    </row>
    <row r="1377" spans="1:16" ht="12.75" x14ac:dyDescent="0.35">
      <c r="A1377" s="7">
        <v>42481.892557870371</v>
      </c>
      <c r="B1377" s="8" t="str">
        <f>HYPERLINK("https://twitter.com/TheMartecGroup","@TheMartecGroup")</f>
        <v>@TheMartecGroup</v>
      </c>
      <c r="C1377" s="9" t="s">
        <v>3691</v>
      </c>
      <c r="D1377" s="9" t="s">
        <v>3692</v>
      </c>
      <c r="E1377" s="10" t="str">
        <f>HYPERLINK("https://twitter.com/TheMartecGroup/status/723178300118540288","723178300118540288")</f>
        <v>723178300118540288</v>
      </c>
      <c r="F1377" s="11" t="s">
        <v>152</v>
      </c>
      <c r="G1377" s="11">
        <v>300</v>
      </c>
      <c r="H1377" s="11">
        <v>427</v>
      </c>
      <c r="I1377" s="11">
        <v>0</v>
      </c>
      <c r="J1377" s="11">
        <v>0</v>
      </c>
      <c r="K1377" s="11" t="s">
        <v>21</v>
      </c>
      <c r="L1377" s="7">
        <v>40802.040648148148</v>
      </c>
      <c r="M1377" s="12"/>
      <c r="N1377" s="12" t="s">
        <v>3693</v>
      </c>
      <c r="O1377" s="10" t="str">
        <f>HYPERLINK("https://pbs.twimg.com/profile_images/649644968877924356/wEYJCMH1_normal.jpg","View")</f>
        <v>View</v>
      </c>
      <c r="P1377" s="11"/>
    </row>
    <row r="1378" spans="1:16" ht="12.75" x14ac:dyDescent="0.35">
      <c r="A1378" s="7">
        <v>42481.892731481479</v>
      </c>
      <c r="B1378" s="8" t="str">
        <f>HYPERLINK("https://twitter.com/FabledMP","@FabledMP")</f>
        <v>@FabledMP</v>
      </c>
      <c r="C1378" s="9" t="s">
        <v>3694</v>
      </c>
      <c r="D1378" s="9" t="s">
        <v>3695</v>
      </c>
      <c r="E1378" s="10" t="str">
        <f>HYPERLINK("https://twitter.com/FabledMP/status/723178362206711809","723178362206711809")</f>
        <v>723178362206711809</v>
      </c>
      <c r="F1378" s="11" t="s">
        <v>43</v>
      </c>
      <c r="G1378" s="11">
        <v>191</v>
      </c>
      <c r="H1378" s="11">
        <v>31</v>
      </c>
      <c r="I1378" s="11">
        <v>1</v>
      </c>
      <c r="J1378" s="11">
        <v>0</v>
      </c>
      <c r="K1378" s="11" t="s">
        <v>21</v>
      </c>
      <c r="L1378" s="7">
        <v>41104.105694444443</v>
      </c>
      <c r="M1378" s="12" t="s">
        <v>3696</v>
      </c>
      <c r="N1378" s="12" t="s">
        <v>3697</v>
      </c>
      <c r="O1378" s="10" t="str">
        <f>HYPERLINK("https://pbs.twimg.com/profile_images/610657709398999040/UV5cwarn_normal.png","View")</f>
        <v>View</v>
      </c>
      <c r="P1378" s="11"/>
    </row>
    <row r="1379" spans="1:16" ht="12.75" x14ac:dyDescent="0.35">
      <c r="A1379" s="7">
        <v>42481.892824074079</v>
      </c>
      <c r="B1379" s="8" t="str">
        <f>HYPERLINK("https://twitter.com/bradleebone","@bradleebone")</f>
        <v>@bradleebone</v>
      </c>
      <c r="C1379" s="9" t="s">
        <v>3698</v>
      </c>
      <c r="D1379" s="9" t="s">
        <v>3603</v>
      </c>
      <c r="E1379" s="10" t="str">
        <f>HYPERLINK("https://twitter.com/bradleebone/status/723178395958411264","723178395958411264")</f>
        <v>723178395958411264</v>
      </c>
      <c r="F1379" s="11" t="s">
        <v>288</v>
      </c>
      <c r="G1379" s="11">
        <v>1435</v>
      </c>
      <c r="H1379" s="11">
        <v>826</v>
      </c>
      <c r="I1379" s="11">
        <v>2</v>
      </c>
      <c r="J1379" s="11">
        <v>0</v>
      </c>
      <c r="K1379" s="11" t="s">
        <v>21</v>
      </c>
      <c r="L1379" s="7">
        <v>42029.693240740744</v>
      </c>
      <c r="M1379" s="12"/>
      <c r="N1379" s="12" t="s">
        <v>3699</v>
      </c>
      <c r="O1379" s="10" t="str">
        <f>HYPERLINK("https://pbs.twimg.com/profile_images/657833979471634433/OT9DQrOV_normal.png","View")</f>
        <v>View</v>
      </c>
      <c r="P1379" s="11"/>
    </row>
    <row r="1380" spans="1:16" ht="12.75" x14ac:dyDescent="0.35">
      <c r="A1380" s="7">
        <v>42481.892835648148</v>
      </c>
      <c r="B1380" s="8" t="str">
        <f>HYPERLINK("https://twitter.com/campercino_uk","@campercino_uk")</f>
        <v>@campercino_uk</v>
      </c>
      <c r="C1380" s="9" t="s">
        <v>2964</v>
      </c>
      <c r="D1380" s="9" t="s">
        <v>3700</v>
      </c>
      <c r="E1380" s="10" t="str">
        <f>HYPERLINK("https://twitter.com/campercino_uk/status/723178400433745920","723178400433745920")</f>
        <v>723178400433745920</v>
      </c>
      <c r="F1380" s="11" t="s">
        <v>20</v>
      </c>
      <c r="G1380" s="11">
        <v>5</v>
      </c>
      <c r="H1380" s="11">
        <v>22</v>
      </c>
      <c r="I1380" s="11">
        <v>0</v>
      </c>
      <c r="J1380" s="11">
        <v>0</v>
      </c>
      <c r="K1380" s="11" t="s">
        <v>21</v>
      </c>
      <c r="L1380" s="7">
        <v>42397.424166666664</v>
      </c>
      <c r="M1380" s="12"/>
      <c r="N1380" s="12" t="s">
        <v>2966</v>
      </c>
      <c r="O1380" s="10" t="str">
        <f>HYPERLINK("https://pbs.twimg.com/profile_images/695303050580385793/wXS47Pgy_normal.jpg","View")</f>
        <v>View</v>
      </c>
      <c r="P1380" s="11"/>
    </row>
    <row r="1381" spans="1:16" ht="12.75" x14ac:dyDescent="0.35">
      <c r="A1381" s="7">
        <v>42481.892858796295</v>
      </c>
      <c r="B1381" s="8" t="str">
        <f>HYPERLINK("https://twitter.com/adr4517","@adr4517")</f>
        <v>@adr4517</v>
      </c>
      <c r="C1381" s="9" t="s">
        <v>3701</v>
      </c>
      <c r="D1381" s="9" t="s">
        <v>3523</v>
      </c>
      <c r="E1381" s="10" t="str">
        <f>HYPERLINK("https://twitter.com/adr4517/status/723178409182920704","723178409182920704")</f>
        <v>723178409182920704</v>
      </c>
      <c r="F1381" s="11" t="s">
        <v>48</v>
      </c>
      <c r="G1381" s="11">
        <v>428</v>
      </c>
      <c r="H1381" s="11">
        <v>829</v>
      </c>
      <c r="I1381" s="11">
        <v>12</v>
      </c>
      <c r="J1381" s="11">
        <v>0</v>
      </c>
      <c r="K1381" s="11" t="s">
        <v>21</v>
      </c>
      <c r="L1381" s="7">
        <v>40580.02003472222</v>
      </c>
      <c r="M1381" s="12" t="s">
        <v>3702</v>
      </c>
      <c r="N1381" s="12" t="s">
        <v>3703</v>
      </c>
      <c r="O1381" s="10" t="str">
        <f>HYPERLINK("https://pbs.twimg.com/profile_images/690715851897503744/i2pU0xKw_normal.jpg","View")</f>
        <v>View</v>
      </c>
      <c r="P1381" s="11"/>
    </row>
    <row r="1382" spans="1:16" ht="12.75" x14ac:dyDescent="0.35">
      <c r="A1382" s="7">
        <v>42481.892858796295</v>
      </c>
      <c r="B1382" s="8" t="str">
        <f>HYPERLINK("https://twitter.com/JuergenBauer","@JuergenBauer")</f>
        <v>@JuergenBauer</v>
      </c>
      <c r="C1382" s="9" t="s">
        <v>3704</v>
      </c>
      <c r="D1382" s="9" t="s">
        <v>3705</v>
      </c>
      <c r="E1382" s="10" t="str">
        <f>HYPERLINK("https://twitter.com/JuergenBauer/status/723178409933688832","723178409933688832")</f>
        <v>723178409933688832</v>
      </c>
      <c r="F1382" s="11" t="s">
        <v>43</v>
      </c>
      <c r="G1382" s="11">
        <v>15033</v>
      </c>
      <c r="H1382" s="11">
        <v>10126</v>
      </c>
      <c r="I1382" s="11">
        <v>0</v>
      </c>
      <c r="J1382" s="11">
        <v>2</v>
      </c>
      <c r="K1382" s="11" t="s">
        <v>21</v>
      </c>
      <c r="L1382" s="7">
        <v>40342.830729166664</v>
      </c>
      <c r="M1382" s="12" t="s">
        <v>3706</v>
      </c>
      <c r="N1382" s="12" t="s">
        <v>3707</v>
      </c>
      <c r="O1382" s="10" t="str">
        <f>HYPERLINK("https://pbs.twimg.com/profile_images/3392383160/b4c1485fac5d26a64e9be33008b05cf1_normal.jpeg","View")</f>
        <v>View</v>
      </c>
      <c r="P1382" s="11"/>
    </row>
    <row r="1383" spans="1:16" ht="12.75" x14ac:dyDescent="0.35">
      <c r="A1383" s="7">
        <v>42481.893078703702</v>
      </c>
      <c r="B1383" s="8" t="str">
        <f>HYPERLINK("https://twitter.com/JayleenHeft","@JayleenHeft")</f>
        <v>@JayleenHeft</v>
      </c>
      <c r="C1383" s="9" t="s">
        <v>3708</v>
      </c>
      <c r="D1383" s="9" t="s">
        <v>3709</v>
      </c>
      <c r="E1383" s="10" t="str">
        <f>HYPERLINK("https://twitter.com/JayleenHeft/status/723178489923264512","723178489923264512")</f>
        <v>723178489923264512</v>
      </c>
      <c r="F1383" s="11" t="s">
        <v>63</v>
      </c>
      <c r="G1383" s="11">
        <v>82</v>
      </c>
      <c r="H1383" s="11">
        <v>69</v>
      </c>
      <c r="I1383" s="11">
        <v>0</v>
      </c>
      <c r="J1383" s="11">
        <v>0</v>
      </c>
      <c r="K1383" s="11" t="s">
        <v>21</v>
      </c>
      <c r="L1383" s="7">
        <v>40608.129606481481</v>
      </c>
      <c r="M1383" s="12" t="s">
        <v>3710</v>
      </c>
      <c r="N1383" s="12" t="s">
        <v>3711</v>
      </c>
      <c r="O1383" s="10" t="str">
        <f>HYPERLINK("https://pbs.twimg.com/profile_images/515673279718105088/xInjQ-S0_normal.jpeg","View")</f>
        <v>View</v>
      </c>
      <c r="P1383" s="11"/>
    </row>
    <row r="1384" spans="1:16" ht="12.75" x14ac:dyDescent="0.35">
      <c r="A1384" s="7">
        <v>42481.893136574072</v>
      </c>
      <c r="B1384" s="8" t="str">
        <f>HYPERLINK("https://twitter.com/dw_wirtschaft","@dw_wirtschaft")</f>
        <v>@dw_wirtschaft</v>
      </c>
      <c r="C1384" s="9" t="s">
        <v>3712</v>
      </c>
      <c r="D1384" s="9" t="s">
        <v>3713</v>
      </c>
      <c r="E1384" s="10" t="str">
        <f>HYPERLINK("https://twitter.com/dw_wirtschaft/status/723178508264984576","723178508264984576")</f>
        <v>723178508264984576</v>
      </c>
      <c r="F1384" s="11" t="s">
        <v>43</v>
      </c>
      <c r="G1384" s="11">
        <v>11259</v>
      </c>
      <c r="H1384" s="11">
        <v>188</v>
      </c>
      <c r="I1384" s="11">
        <v>0</v>
      </c>
      <c r="J1384" s="11">
        <v>0</v>
      </c>
      <c r="K1384" s="11" t="s">
        <v>21</v>
      </c>
      <c r="L1384" s="7">
        <v>39919.591817129629</v>
      </c>
      <c r="M1384" s="12" t="s">
        <v>3714</v>
      </c>
      <c r="N1384" s="12" t="s">
        <v>3715</v>
      </c>
      <c r="O1384" s="10" t="str">
        <f>HYPERLINK("https://pbs.twimg.com/profile_images/474185502388518912/sROk9L0u_normal.png","View")</f>
        <v>View</v>
      </c>
      <c r="P1384" s="11"/>
    </row>
    <row r="1385" spans="1:16" ht="12.75" x14ac:dyDescent="0.35">
      <c r="A1385" s="7">
        <v>42481.893275462964</v>
      </c>
      <c r="B1385" s="8" t="str">
        <f>HYPERLINK("https://twitter.com/vicharmonnyc","@vicharmonnyc")</f>
        <v>@vicharmonnyc</v>
      </c>
      <c r="C1385" s="9" t="s">
        <v>3716</v>
      </c>
      <c r="D1385" s="9" t="s">
        <v>3717</v>
      </c>
      <c r="E1385" s="10" t="str">
        <f>HYPERLINK("https://twitter.com/vicharmonnyc/status/723178561541033986","723178561541033986")</f>
        <v>723178561541033986</v>
      </c>
      <c r="F1385" s="11" t="s">
        <v>43</v>
      </c>
      <c r="G1385" s="11">
        <v>560</v>
      </c>
      <c r="H1385" s="11">
        <v>942</v>
      </c>
      <c r="I1385" s="11">
        <v>0</v>
      </c>
      <c r="J1385" s="11">
        <v>0</v>
      </c>
      <c r="K1385" s="11" t="s">
        <v>21</v>
      </c>
      <c r="L1385" s="7">
        <v>40395.779479166667</v>
      </c>
      <c r="M1385" s="12" t="s">
        <v>2070</v>
      </c>
      <c r="N1385" s="12" t="s">
        <v>3718</v>
      </c>
      <c r="O1385" s="10" t="str">
        <f>HYPERLINK("https://pbs.twimg.com/profile_images/641727245841747968/wzxt2q1V_normal.jpg","View")</f>
        <v>View</v>
      </c>
      <c r="P1385" s="11"/>
    </row>
    <row r="1386" spans="1:16" ht="12.75" x14ac:dyDescent="0.35">
      <c r="A1386" s="7">
        <v>42481.893460648149</v>
      </c>
      <c r="B1386" s="8" t="str">
        <f>HYPERLINK("https://twitter.com/doublefelix7","@doublefelix7")</f>
        <v>@doublefelix7</v>
      </c>
      <c r="C1386" s="9" t="s">
        <v>3719</v>
      </c>
      <c r="D1386" s="9" t="s">
        <v>3720</v>
      </c>
      <c r="E1386" s="10" t="str">
        <f>HYPERLINK("https://twitter.com/doublefelix7/status/723178629748805632","723178629748805632")</f>
        <v>723178629748805632</v>
      </c>
      <c r="F1386" s="11" t="s">
        <v>3721</v>
      </c>
      <c r="G1386" s="11">
        <v>239</v>
      </c>
      <c r="H1386" s="11">
        <v>167</v>
      </c>
      <c r="I1386" s="11">
        <v>2</v>
      </c>
      <c r="J1386" s="11">
        <v>1</v>
      </c>
      <c r="K1386" s="11" t="s">
        <v>21</v>
      </c>
      <c r="L1386" s="7">
        <v>41458.448287037041</v>
      </c>
      <c r="M1386" s="12" t="s">
        <v>3722</v>
      </c>
      <c r="N1386" s="12" t="s">
        <v>3723</v>
      </c>
      <c r="O1386" s="10" t="str">
        <f>HYPERLINK("https://pbs.twimg.com/profile_images/378800000755674736/92a02f0ee27f7109ec8a8d88ce898410_normal.jpeg","View")</f>
        <v>View</v>
      </c>
      <c r="P1386" s="11"/>
    </row>
    <row r="1387" spans="1:16" ht="12.75" x14ac:dyDescent="0.35">
      <c r="A1387" s="7">
        <v>42481.893518518518</v>
      </c>
      <c r="B1387" s="8" t="str">
        <f>HYPERLINK("https://twitter.com/FuscaWorld","@FuscaWorld")</f>
        <v>@FuscaWorld</v>
      </c>
      <c r="C1387" s="9" t="s">
        <v>74</v>
      </c>
      <c r="D1387" s="9" t="s">
        <v>3724</v>
      </c>
      <c r="E1387" s="10" t="str">
        <f>HYPERLINK("https://twitter.com/FuscaWorld/status/723178648770105344","723178648770105344")</f>
        <v>723178648770105344</v>
      </c>
      <c r="F1387" s="11" t="s">
        <v>76</v>
      </c>
      <c r="G1387" s="11">
        <v>48</v>
      </c>
      <c r="H1387" s="11">
        <v>1</v>
      </c>
      <c r="I1387" s="11">
        <v>1</v>
      </c>
      <c r="J1387" s="11">
        <v>0</v>
      </c>
      <c r="K1387" s="11" t="s">
        <v>21</v>
      </c>
      <c r="L1387" s="7">
        <v>42433.880914351852</v>
      </c>
      <c r="M1387" s="12"/>
      <c r="N1387" s="12" t="s">
        <v>77</v>
      </c>
      <c r="O1387" s="10" t="str">
        <f>HYPERLINK("https://pbs.twimg.com/profile_images/705780107844067328/e7O4UBNb_normal.jpg","View")</f>
        <v>View</v>
      </c>
      <c r="P1387" s="11"/>
    </row>
    <row r="1388" spans="1:16" ht="12.75" x14ac:dyDescent="0.35">
      <c r="A1388" s="7">
        <v>42481.893657407403</v>
      </c>
      <c r="B1388" s="8" t="str">
        <f>HYPERLINK("https://twitter.com/engelderliebe80","@engelderliebe80")</f>
        <v>@engelderliebe80</v>
      </c>
      <c r="C1388" s="9" t="s">
        <v>3725</v>
      </c>
      <c r="D1388" s="9" t="s">
        <v>3647</v>
      </c>
      <c r="E1388" s="10" t="str">
        <f>HYPERLINK("https://twitter.com/engelderliebe80/status/723178697839226880","723178697839226880")</f>
        <v>723178697839226880</v>
      </c>
      <c r="F1388" s="11" t="s">
        <v>48</v>
      </c>
      <c r="G1388" s="11">
        <v>439</v>
      </c>
      <c r="H1388" s="11">
        <v>1743</v>
      </c>
      <c r="I1388" s="11">
        <v>5</v>
      </c>
      <c r="J1388" s="11">
        <v>0</v>
      </c>
      <c r="K1388" s="11" t="s">
        <v>21</v>
      </c>
      <c r="L1388" s="7">
        <v>40266.748113425929</v>
      </c>
      <c r="M1388" s="12"/>
      <c r="N1388" s="12"/>
      <c r="O1388" s="10" t="str">
        <f>HYPERLINK("https://pbs.twimg.com/profile_images/783167280/gehaekeltesauto_normal.jpg","View")</f>
        <v>View</v>
      </c>
      <c r="P1388" s="11"/>
    </row>
    <row r="1389" spans="1:16" ht="12.75" x14ac:dyDescent="0.35">
      <c r="A1389" s="7">
        <v>42481.893784722226</v>
      </c>
      <c r="B1389" s="8" t="str">
        <f>HYPERLINK("https://twitter.com/SquawkStreet","@SquawkStreet")</f>
        <v>@SquawkStreet</v>
      </c>
      <c r="C1389" s="9" t="s">
        <v>3726</v>
      </c>
      <c r="D1389" s="9" t="s">
        <v>3440</v>
      </c>
      <c r="E1389" s="10" t="str">
        <f>HYPERLINK("https://twitter.com/SquawkStreet/status/723178743787827205","723178743787827205")</f>
        <v>723178743787827205</v>
      </c>
      <c r="F1389" s="11" t="s">
        <v>63</v>
      </c>
      <c r="G1389" s="11">
        <v>108100</v>
      </c>
      <c r="H1389" s="11">
        <v>471</v>
      </c>
      <c r="I1389" s="11">
        <v>11</v>
      </c>
      <c r="J1389" s="11">
        <v>0</v>
      </c>
      <c r="K1389" s="11" t="s">
        <v>21</v>
      </c>
      <c r="L1389" s="7">
        <v>40198.03670138889</v>
      </c>
      <c r="M1389" s="12" t="s">
        <v>3727</v>
      </c>
      <c r="N1389" s="12" t="s">
        <v>3728</v>
      </c>
      <c r="O1389" s="10" t="str">
        <f>HYPERLINK("https://pbs.twimg.com/profile_images/565605558581878784/6hvy8vZH_normal.jpeg","View")</f>
        <v>View</v>
      </c>
      <c r="P1389" s="11"/>
    </row>
    <row r="1390" spans="1:16" ht="12.75" x14ac:dyDescent="0.35">
      <c r="A1390" s="7">
        <v>42481.893888888888</v>
      </c>
      <c r="B1390" s="8" t="str">
        <f>HYPERLINK("https://twitter.com/Cluhch","@Cluhch")</f>
        <v>@Cluhch</v>
      </c>
      <c r="C1390" s="9" t="s">
        <v>3729</v>
      </c>
      <c r="D1390" s="9" t="s">
        <v>3584</v>
      </c>
      <c r="E1390" s="10" t="str">
        <f>HYPERLINK("https://twitter.com/Cluhch/status/723178783776219137","723178783776219137")</f>
        <v>723178783776219137</v>
      </c>
      <c r="F1390" s="11" t="s">
        <v>43</v>
      </c>
      <c r="G1390" s="11">
        <v>37</v>
      </c>
      <c r="H1390" s="11">
        <v>151</v>
      </c>
      <c r="I1390" s="11">
        <v>9</v>
      </c>
      <c r="J1390" s="11">
        <v>0</v>
      </c>
      <c r="K1390" s="11" t="s">
        <v>21</v>
      </c>
      <c r="L1390" s="7">
        <v>42110.238252314812</v>
      </c>
      <c r="M1390" s="12" t="s">
        <v>155</v>
      </c>
      <c r="N1390" s="12" t="s">
        <v>3730</v>
      </c>
      <c r="O1390" s="10" t="str">
        <f>HYPERLINK("https://pbs.twimg.com/profile_images/626052646990774272/HTo6x37c_normal.jpg","View")</f>
        <v>View</v>
      </c>
      <c r="P1390" s="11"/>
    </row>
    <row r="1391" spans="1:16" ht="12.75" x14ac:dyDescent="0.35">
      <c r="A1391" s="7">
        <v>42481.893935185188</v>
      </c>
      <c r="B1391" s="8" t="str">
        <f>HYPERLINK("https://twitter.com/adamsona","@adamsona")</f>
        <v>@adamsona</v>
      </c>
      <c r="C1391" s="9" t="s">
        <v>3731</v>
      </c>
      <c r="D1391" s="9" t="s">
        <v>3732</v>
      </c>
      <c r="E1391" s="10" t="str">
        <f>HYPERLINK("https://twitter.com/adamsona/status/723178798326386688","723178798326386688")</f>
        <v>723178798326386688</v>
      </c>
      <c r="F1391" s="11" t="s">
        <v>43</v>
      </c>
      <c r="G1391" s="11">
        <v>1972</v>
      </c>
      <c r="H1391" s="11">
        <v>1679</v>
      </c>
      <c r="I1391" s="11">
        <v>0</v>
      </c>
      <c r="J1391" s="11">
        <v>0</v>
      </c>
      <c r="K1391" s="11" t="s">
        <v>21</v>
      </c>
      <c r="L1391" s="7">
        <v>39470.312418981484</v>
      </c>
      <c r="M1391" s="12" t="s">
        <v>3733</v>
      </c>
      <c r="N1391" s="12" t="s">
        <v>3734</v>
      </c>
      <c r="O1391" s="10" t="str">
        <f>HYPERLINK("https://pbs.twimg.com/profile_images/3401568079/1f8937c689f8267ed02ebe9edc3c2739_normal.jpeg","View")</f>
        <v>View</v>
      </c>
      <c r="P1391" s="11"/>
    </row>
    <row r="1392" spans="1:16" ht="12.75" x14ac:dyDescent="0.35">
      <c r="A1392" s="7">
        <v>42481.893969907411</v>
      </c>
      <c r="B1392" s="8" t="str">
        <f>HYPERLINK("https://twitter.com/smoothblinkhost","@smoothblinkhost")</f>
        <v>@smoothblinkhost</v>
      </c>
      <c r="C1392" s="9" t="s">
        <v>3735</v>
      </c>
      <c r="D1392" s="9" t="s">
        <v>3736</v>
      </c>
      <c r="E1392" s="10" t="str">
        <f>HYPERLINK("https://twitter.com/smoothblinkhost/status/723178811508977664","723178811508977664")</f>
        <v>723178811508977664</v>
      </c>
      <c r="F1392" s="11" t="s">
        <v>3737</v>
      </c>
      <c r="G1392" s="11">
        <v>1723</v>
      </c>
      <c r="H1392" s="11">
        <v>1317</v>
      </c>
      <c r="I1392" s="11">
        <v>2</v>
      </c>
      <c r="J1392" s="11">
        <v>0</v>
      </c>
      <c r="K1392" s="11" t="s">
        <v>21</v>
      </c>
      <c r="L1392" s="7">
        <v>42209.309606481482</v>
      </c>
      <c r="M1392" s="12" t="s">
        <v>1072</v>
      </c>
      <c r="N1392" s="13" t="s">
        <v>3738</v>
      </c>
      <c r="O1392" s="10" t="str">
        <f>HYPERLINK("https://pbs.twimg.com/profile_images/624398233352171520/3uTWdNE4_normal.jpg","View")</f>
        <v>View</v>
      </c>
      <c r="P1392" s="11"/>
    </row>
    <row r="1393" spans="1:16" ht="12.75" x14ac:dyDescent="0.35">
      <c r="A1393" s="7">
        <v>42481.894085648149</v>
      </c>
      <c r="B1393" s="8" t="str">
        <f>HYPERLINK("https://twitter.com/WangsonAdele","@WangsonAdele")</f>
        <v>@WangsonAdele</v>
      </c>
      <c r="C1393" s="9" t="s">
        <v>3739</v>
      </c>
      <c r="D1393" s="9" t="s">
        <v>3740</v>
      </c>
      <c r="E1393" s="10" t="str">
        <f>HYPERLINK("https://twitter.com/WangsonAdele/status/723178854773350400","723178854773350400")</f>
        <v>723178854773350400</v>
      </c>
      <c r="F1393" s="11" t="s">
        <v>91</v>
      </c>
      <c r="G1393" s="11">
        <v>124</v>
      </c>
      <c r="H1393" s="11">
        <v>475</v>
      </c>
      <c r="I1393" s="11">
        <v>0</v>
      </c>
      <c r="J1393" s="11">
        <v>0</v>
      </c>
      <c r="K1393" s="11" t="s">
        <v>21</v>
      </c>
      <c r="L1393" s="7">
        <v>42226.990879629629</v>
      </c>
      <c r="M1393" s="12" t="s">
        <v>3741</v>
      </c>
      <c r="N1393" s="12"/>
      <c r="O1393" s="10" t="str">
        <f>HYPERLINK("https://pbs.twimg.com/profile_images/714481274187083776/Eitfvl8a_normal.jpg","View")</f>
        <v>View</v>
      </c>
      <c r="P1393" s="11"/>
    </row>
    <row r="1394" spans="1:16" ht="12.75" x14ac:dyDescent="0.35">
      <c r="A1394" s="7">
        <v>42481.89435185185</v>
      </c>
      <c r="B1394" s="8" t="str">
        <f>HYPERLINK("https://twitter.com/franka_kuehn","@franka_kuehn")</f>
        <v>@franka_kuehn</v>
      </c>
      <c r="C1394" s="9" t="s">
        <v>2386</v>
      </c>
      <c r="D1394" s="9" t="s">
        <v>3742</v>
      </c>
      <c r="E1394" s="10" t="str">
        <f>HYPERLINK("https://twitter.com/franka_kuehn/status/723178949728030720","723178949728030720")</f>
        <v>723178949728030720</v>
      </c>
      <c r="F1394" s="11" t="s">
        <v>43</v>
      </c>
      <c r="G1394" s="11">
        <v>392</v>
      </c>
      <c r="H1394" s="11">
        <v>412</v>
      </c>
      <c r="I1394" s="11">
        <v>5</v>
      </c>
      <c r="J1394" s="11">
        <v>3</v>
      </c>
      <c r="K1394" s="11" t="s">
        <v>21</v>
      </c>
      <c r="L1394" s="7">
        <v>41792.855011574073</v>
      </c>
      <c r="M1394" s="12" t="s">
        <v>1359</v>
      </c>
      <c r="N1394" s="12" t="s">
        <v>2387</v>
      </c>
      <c r="O1394" s="10" t="str">
        <f>HYPERLINK("https://pbs.twimg.com/profile_images/530281935289851905/gYVTeJZK_normal.jpeg","View")</f>
        <v>View</v>
      </c>
      <c r="P1394" s="11"/>
    </row>
    <row r="1395" spans="1:16" ht="12.75" x14ac:dyDescent="0.35">
      <c r="A1395" s="7">
        <v>42481.894490740742</v>
      </c>
      <c r="B1395" s="8" t="str">
        <f>HYPERLINK("https://twitter.com/BILD_Reporter","@BILD_Reporter")</f>
        <v>@BILD_Reporter</v>
      </c>
      <c r="C1395" s="9" t="s">
        <v>1423</v>
      </c>
      <c r="D1395" s="9" t="s">
        <v>3743</v>
      </c>
      <c r="E1395" s="10" t="str">
        <f>HYPERLINK("https://twitter.com/BILD_Reporter/status/723179002140233728","723179002140233728")</f>
        <v>723179002140233728</v>
      </c>
      <c r="F1395" s="11" t="s">
        <v>20</v>
      </c>
      <c r="G1395" s="11">
        <v>2149</v>
      </c>
      <c r="H1395" s="11">
        <v>238</v>
      </c>
      <c r="I1395" s="11">
        <v>0</v>
      </c>
      <c r="J1395" s="11">
        <v>0</v>
      </c>
      <c r="K1395" s="11" t="s">
        <v>21</v>
      </c>
      <c r="L1395" s="7">
        <v>41430.766331018516</v>
      </c>
      <c r="M1395" s="12" t="s">
        <v>1359</v>
      </c>
      <c r="N1395" s="12" t="s">
        <v>1425</v>
      </c>
      <c r="O1395" s="10" t="str">
        <f>HYPERLINK("https://pbs.twimg.com/profile_images/578542636140781568/2T_ukEU0_normal.jpeg","View")</f>
        <v>View</v>
      </c>
      <c r="P1395" s="11"/>
    </row>
    <row r="1396" spans="1:16" ht="12.75" x14ac:dyDescent="0.35">
      <c r="A1396" s="7">
        <v>42481.894594907411</v>
      </c>
      <c r="B1396" s="8" t="str">
        <f>HYPERLINK("https://twitter.com/vzbv","@vzbv")</f>
        <v>@vzbv</v>
      </c>
      <c r="C1396" s="9" t="s">
        <v>2306</v>
      </c>
      <c r="D1396" s="9" t="s">
        <v>3744</v>
      </c>
      <c r="E1396" s="10" t="str">
        <f>HYPERLINK("https://twitter.com/vzbv/status/723179037946875904","723179037946875904")</f>
        <v>723179037946875904</v>
      </c>
      <c r="F1396" s="11" t="s">
        <v>43</v>
      </c>
      <c r="G1396" s="11">
        <v>9416</v>
      </c>
      <c r="H1396" s="11">
        <v>471</v>
      </c>
      <c r="I1396" s="11">
        <v>5</v>
      </c>
      <c r="J1396" s="11">
        <v>0</v>
      </c>
      <c r="K1396" s="11" t="s">
        <v>21</v>
      </c>
      <c r="L1396" s="7">
        <v>39985.132523148146</v>
      </c>
      <c r="M1396" s="12" t="s">
        <v>1116</v>
      </c>
      <c r="N1396" s="12" t="s">
        <v>2308</v>
      </c>
      <c r="O1396" s="10" t="str">
        <f>HYPERLINK("https://pbs.twimg.com/profile_images/617979796744568832/YHw6Izem_normal.jpg","View")</f>
        <v>View</v>
      </c>
      <c r="P1396" s="11"/>
    </row>
    <row r="1397" spans="1:16" ht="12.75" x14ac:dyDescent="0.35">
      <c r="A1397" s="7">
        <v>42481.894756944443</v>
      </c>
      <c r="B1397" s="8" t="str">
        <f>HYPERLINK("https://twitter.com/carrieella","@carrieella")</f>
        <v>@carrieella</v>
      </c>
      <c r="C1397" s="9" t="s">
        <v>3745</v>
      </c>
      <c r="D1397" s="9" t="s">
        <v>3746</v>
      </c>
      <c r="E1397" s="10" t="str">
        <f>HYPERLINK("https://twitter.com/carrieella/status/723179097824718848","723179097824718848")</f>
        <v>723179097824718848</v>
      </c>
      <c r="F1397" s="11" t="s">
        <v>20</v>
      </c>
      <c r="G1397" s="11">
        <v>1164</v>
      </c>
      <c r="H1397" s="11">
        <v>2427</v>
      </c>
      <c r="I1397" s="11">
        <v>1</v>
      </c>
      <c r="J1397" s="11">
        <v>0</v>
      </c>
      <c r="K1397" s="11" t="s">
        <v>21</v>
      </c>
      <c r="L1397" s="7">
        <v>39569.340324074074</v>
      </c>
      <c r="M1397" s="12" t="s">
        <v>274</v>
      </c>
      <c r="N1397" s="12" t="s">
        <v>3747</v>
      </c>
      <c r="O1397" s="10" t="str">
        <f>HYPERLINK("https://pbs.twimg.com/profile_images/646754277088739328/Tk9LwWoJ_normal.jpg","View")</f>
        <v>View</v>
      </c>
      <c r="P1397" s="11"/>
    </row>
    <row r="1398" spans="1:16" ht="12.75" x14ac:dyDescent="0.35">
      <c r="A1398" s="7">
        <v>42481.894942129627</v>
      </c>
      <c r="B1398" s="8" t="str">
        <f>HYPERLINK("https://twitter.com/DarthSquig","@DarthSquig")</f>
        <v>@DarthSquig</v>
      </c>
      <c r="C1398" s="9" t="s">
        <v>3748</v>
      </c>
      <c r="D1398" s="9" t="s">
        <v>3749</v>
      </c>
      <c r="E1398" s="10" t="str">
        <f>HYPERLINK("https://twitter.com/DarthSquig/status/723179166456250369","723179166456250369")</f>
        <v>723179166456250369</v>
      </c>
      <c r="F1398" s="11" t="s">
        <v>63</v>
      </c>
      <c r="G1398" s="11">
        <v>696</v>
      </c>
      <c r="H1398" s="11">
        <v>913</v>
      </c>
      <c r="I1398" s="11">
        <v>1</v>
      </c>
      <c r="J1398" s="11">
        <v>0</v>
      </c>
      <c r="K1398" s="11" t="s">
        <v>21</v>
      </c>
      <c r="L1398" s="7">
        <v>39843.884756944448</v>
      </c>
      <c r="M1398" s="12" t="s">
        <v>3750</v>
      </c>
      <c r="N1398" s="12" t="s">
        <v>3751</v>
      </c>
      <c r="O1398" s="10" t="str">
        <f>HYPERLINK("https://pbs.twimg.com/profile_images/1783348997/Hanomag_normal.jpg","View")</f>
        <v>View</v>
      </c>
      <c r="P1398" s="11"/>
    </row>
    <row r="1399" spans="1:16" ht="12.75" x14ac:dyDescent="0.35">
      <c r="A1399" s="7">
        <v>42481.895011574074</v>
      </c>
      <c r="B1399" s="8" t="str">
        <f>HYPERLINK("https://twitter.com/VWCamperSales","@VWCamperSales")</f>
        <v>@VWCamperSales</v>
      </c>
      <c r="C1399" s="9" t="s">
        <v>216</v>
      </c>
      <c r="D1399" s="9" t="s">
        <v>3752</v>
      </c>
      <c r="E1399" s="10" t="str">
        <f>HYPERLINK("https://twitter.com/VWCamperSales/status/723179191185727489","723179191185727489")</f>
        <v>723179191185727489</v>
      </c>
      <c r="F1399" s="10" t="s">
        <v>124</v>
      </c>
      <c r="G1399" s="11">
        <v>615</v>
      </c>
      <c r="H1399" s="11">
        <v>580</v>
      </c>
      <c r="I1399" s="11">
        <v>0</v>
      </c>
      <c r="J1399" s="11">
        <v>0</v>
      </c>
      <c r="K1399" s="11" t="s">
        <v>21</v>
      </c>
      <c r="L1399" s="7">
        <v>42215.98809027778</v>
      </c>
      <c r="M1399" s="12" t="s">
        <v>129</v>
      </c>
      <c r="N1399" s="12" t="s">
        <v>218</v>
      </c>
      <c r="O1399" s="10" t="str">
        <f>HYPERLINK("https://pbs.twimg.com/profile_images/627949001179037696/skEBkS05_normal.jpg","View")</f>
        <v>View</v>
      </c>
      <c r="P1399" s="11"/>
    </row>
    <row r="1400" spans="1:16" ht="12.75" x14ac:dyDescent="0.35">
      <c r="A1400" s="7">
        <v>42481.895057870366</v>
      </c>
      <c r="B1400" s="8" t="str">
        <f>HYPERLINK("https://twitter.com/DeLausert","@DeLausert")</f>
        <v>@DeLausert</v>
      </c>
      <c r="C1400" s="9" t="s">
        <v>3753</v>
      </c>
      <c r="D1400" s="9" t="s">
        <v>3744</v>
      </c>
      <c r="E1400" s="10" t="str">
        <f>HYPERLINK("https://twitter.com/DeLausert/status/723179205857406976","723179205857406976")</f>
        <v>723179205857406976</v>
      </c>
      <c r="F1400" s="11" t="s">
        <v>43</v>
      </c>
      <c r="G1400" s="11">
        <v>130</v>
      </c>
      <c r="H1400" s="11">
        <v>196</v>
      </c>
      <c r="I1400" s="11">
        <v>5</v>
      </c>
      <c r="J1400" s="11">
        <v>0</v>
      </c>
      <c r="K1400" s="11" t="s">
        <v>21</v>
      </c>
      <c r="L1400" s="7">
        <v>41340.682569444441</v>
      </c>
      <c r="M1400" s="12"/>
      <c r="N1400" s="12" t="s">
        <v>3754</v>
      </c>
      <c r="O1400" s="10" t="str">
        <f>HYPERLINK("https://pbs.twimg.com/profile_images/672181739301822465/2EHqX_W1_normal.jpg","View")</f>
        <v>View</v>
      </c>
      <c r="P1400" s="11"/>
    </row>
    <row r="1401" spans="1:16" ht="12.75" x14ac:dyDescent="0.35">
      <c r="A1401" s="7">
        <v>42481.895127314812</v>
      </c>
      <c r="B1401" s="8" t="str">
        <f>HYPERLINK("https://twitter.com/Scirocco_Tuning","@Scirocco_Tuning")</f>
        <v>@Scirocco_Tuning</v>
      </c>
      <c r="C1401" s="9" t="s">
        <v>51</v>
      </c>
      <c r="D1401" s="9" t="s">
        <v>3755</v>
      </c>
      <c r="E1401" s="10" t="str">
        <f>HYPERLINK("https://twitter.com/Scirocco_Tuning/status/723179230998224897","723179230998224897")</f>
        <v>723179230998224897</v>
      </c>
      <c r="F1401" s="11" t="s">
        <v>53</v>
      </c>
      <c r="G1401" s="11">
        <v>69</v>
      </c>
      <c r="H1401" s="11">
        <v>215</v>
      </c>
      <c r="I1401" s="11">
        <v>0</v>
      </c>
      <c r="J1401" s="11">
        <v>0</v>
      </c>
      <c r="K1401" s="11" t="s">
        <v>21</v>
      </c>
      <c r="L1401" s="7">
        <v>40844.564722222218</v>
      </c>
      <c r="M1401" s="12"/>
      <c r="N1401" s="12"/>
      <c r="O1401" s="10" t="str">
        <f>HYPERLINK("https://pbs.twimg.com/profile_images/1610421423/Image2_normal.jpg","View")</f>
        <v>View</v>
      </c>
      <c r="P1401" s="11"/>
    </row>
    <row r="1402" spans="1:16" ht="12.75" x14ac:dyDescent="0.35">
      <c r="A1402" s="7">
        <v>42481.895196759258</v>
      </c>
      <c r="B1402" s="8" t="str">
        <f>HYPERLINK("https://twitter.com/instock_de","@instock_de")</f>
        <v>@instock_de</v>
      </c>
      <c r="C1402" s="8" t="s">
        <v>1723</v>
      </c>
      <c r="D1402" s="9" t="s">
        <v>3756</v>
      </c>
      <c r="E1402" s="10" t="str">
        <f>HYPERLINK("https://twitter.com/instock_de/status/723179258298802176","723179258298802176")</f>
        <v>723179258298802176</v>
      </c>
      <c r="F1402" s="11" t="s">
        <v>43</v>
      </c>
      <c r="G1402" s="11">
        <v>155</v>
      </c>
      <c r="H1402" s="11">
        <v>82</v>
      </c>
      <c r="I1402" s="11">
        <v>0</v>
      </c>
      <c r="J1402" s="11">
        <v>0</v>
      </c>
      <c r="K1402" s="11" t="s">
        <v>21</v>
      </c>
      <c r="L1402" s="7">
        <v>40441.683877314819</v>
      </c>
      <c r="M1402" s="12" t="s">
        <v>1725</v>
      </c>
      <c r="N1402" s="12" t="s">
        <v>1726</v>
      </c>
      <c r="O1402" s="10" t="str">
        <f>HYPERLINK("https://pbs.twimg.com/profile_images/1200648485/instock_normal.jpg","View")</f>
        <v>View</v>
      </c>
      <c r="P1402" s="11"/>
    </row>
    <row r="1403" spans="1:16" ht="12.75" x14ac:dyDescent="0.35">
      <c r="A1403" s="7">
        <v>42481.89534722222</v>
      </c>
      <c r="B1403" s="8" t="str">
        <f>HYPERLINK("https://twitter.com/ksolo56","@ksolo56")</f>
        <v>@ksolo56</v>
      </c>
      <c r="C1403" s="9" t="s">
        <v>3757</v>
      </c>
      <c r="D1403" s="9" t="s">
        <v>3758</v>
      </c>
      <c r="E1403" s="10" t="str">
        <f>HYPERLINK("https://twitter.com/ksolo56/status/723179313365966848","723179313365966848")</f>
        <v>723179313365966848</v>
      </c>
      <c r="F1403" s="11" t="s">
        <v>48</v>
      </c>
      <c r="G1403" s="11">
        <v>122</v>
      </c>
      <c r="H1403" s="11">
        <v>71</v>
      </c>
      <c r="I1403" s="11">
        <v>0</v>
      </c>
      <c r="J1403" s="11">
        <v>0</v>
      </c>
      <c r="K1403" s="11" t="s">
        <v>21</v>
      </c>
      <c r="L1403" s="7">
        <v>39976.631921296299</v>
      </c>
      <c r="M1403" s="12"/>
      <c r="N1403" s="12" t="s">
        <v>3759</v>
      </c>
      <c r="O1403" s="10" t="str">
        <f>HYPERLINK("https://pbs.twimg.com/profile_images/2187518786/novitec-rosso-ferrari-458-spider-hr-02_normal.jpg","View")</f>
        <v>View</v>
      </c>
      <c r="P1403" s="11"/>
    </row>
    <row r="1404" spans="1:16" ht="12.75" x14ac:dyDescent="0.35">
      <c r="A1404" s="7">
        <v>42481.895474537036</v>
      </c>
      <c r="B1404" s="8" t="str">
        <f>HYPERLINK("https://twitter.com/WashAutoPress","@WashAutoPress")</f>
        <v>@WashAutoPress</v>
      </c>
      <c r="C1404" s="9" t="s">
        <v>3643</v>
      </c>
      <c r="D1404" s="9" t="s">
        <v>3760</v>
      </c>
      <c r="E1404" s="10" t="str">
        <f>HYPERLINK("https://twitter.com/WashAutoPress/status/723179357833969664","723179357833969664")</f>
        <v>723179357833969664</v>
      </c>
      <c r="F1404" s="11" t="s">
        <v>48</v>
      </c>
      <c r="G1404" s="11">
        <v>623</v>
      </c>
      <c r="H1404" s="11">
        <v>329</v>
      </c>
      <c r="I1404" s="11">
        <v>0</v>
      </c>
      <c r="J1404" s="11">
        <v>0</v>
      </c>
      <c r="K1404" s="11" t="s">
        <v>21</v>
      </c>
      <c r="L1404" s="7">
        <v>41032.133159722223</v>
      </c>
      <c r="M1404" s="12" t="s">
        <v>2646</v>
      </c>
      <c r="N1404" s="12" t="s">
        <v>3645</v>
      </c>
      <c r="O1404" s="10" t="str">
        <f>HYPERLINK("https://pbs.twimg.com/profile_images/565535762720894976/d0L_JvdB_normal.png","View")</f>
        <v>View</v>
      </c>
      <c r="P1404" s="11"/>
    </row>
    <row r="1405" spans="1:16" ht="12.75" x14ac:dyDescent="0.35">
      <c r="A1405" s="7">
        <v>42481.895555555559</v>
      </c>
      <c r="B1405" s="8" t="str">
        <f>HYPERLINK("https://twitter.com/giselaBoezio","@giselaBoezio")</f>
        <v>@giselaBoezio</v>
      </c>
      <c r="C1405" s="9" t="s">
        <v>3761</v>
      </c>
      <c r="D1405" s="9" t="s">
        <v>3762</v>
      </c>
      <c r="E1405" s="10" t="str">
        <f>HYPERLINK("https://twitter.com/giselaBoezio/status/723179388464934912","723179388464934912")</f>
        <v>723179388464934912</v>
      </c>
      <c r="F1405" s="11" t="s">
        <v>48</v>
      </c>
      <c r="G1405" s="11">
        <v>282</v>
      </c>
      <c r="H1405" s="11">
        <v>250</v>
      </c>
      <c r="I1405" s="11">
        <v>4</v>
      </c>
      <c r="J1405" s="11">
        <v>0</v>
      </c>
      <c r="K1405" s="11" t="s">
        <v>21</v>
      </c>
      <c r="L1405" s="7">
        <v>41550.277673611112</v>
      </c>
      <c r="M1405" s="12"/>
      <c r="N1405" s="12" t="s">
        <v>3763</v>
      </c>
      <c r="O1405" s="10" t="str">
        <f>HYPERLINK("https://pbs.twimg.com/profile_images/430023681977634816/gBNGcukd_normal.jpeg","View")</f>
        <v>View</v>
      </c>
      <c r="P1405" s="11"/>
    </row>
    <row r="1406" spans="1:16" ht="12.75" x14ac:dyDescent="0.35">
      <c r="A1406" s="7">
        <v>42481.895740740743</v>
      </c>
      <c r="B1406" s="8" t="str">
        <f>HYPERLINK("https://twitter.com/hamdipinar","@hamdipinar")</f>
        <v>@hamdipinar</v>
      </c>
      <c r="C1406" s="9" t="s">
        <v>3764</v>
      </c>
      <c r="D1406" s="9" t="s">
        <v>3765</v>
      </c>
      <c r="E1406" s="10" t="str">
        <f>HYPERLINK("https://twitter.com/hamdipinar/status/723179455443787776","723179455443787776")</f>
        <v>723179455443787776</v>
      </c>
      <c r="F1406" s="11" t="s">
        <v>20</v>
      </c>
      <c r="G1406" s="11">
        <v>927</v>
      </c>
      <c r="H1406" s="11">
        <v>823</v>
      </c>
      <c r="I1406" s="11">
        <v>1</v>
      </c>
      <c r="J1406" s="11">
        <v>0</v>
      </c>
      <c r="K1406" s="11" t="s">
        <v>21</v>
      </c>
      <c r="L1406" s="7">
        <v>40585.956597222219</v>
      </c>
      <c r="M1406" s="12" t="s">
        <v>3766</v>
      </c>
      <c r="N1406" s="12" t="s">
        <v>3767</v>
      </c>
      <c r="O1406" s="10" t="str">
        <f>HYPERLINK("https://pbs.twimg.com/profile_images/588633732694859776/83iKcl2y_normal.jpg","View")</f>
        <v>View</v>
      </c>
      <c r="P1406" s="11"/>
    </row>
    <row r="1407" spans="1:16" ht="12.75" x14ac:dyDescent="0.35">
      <c r="A1407" s="7">
        <v>42481.895787037036</v>
      </c>
      <c r="B1407" s="8" t="str">
        <f>HYPERLINK("https://twitter.com/srfnews","@srfnews")</f>
        <v>@srfnews</v>
      </c>
      <c r="C1407" s="9" t="s">
        <v>3768</v>
      </c>
      <c r="D1407" s="9" t="s">
        <v>3769</v>
      </c>
      <c r="E1407" s="10" t="str">
        <f>HYPERLINK("https://twitter.com/srfnews/status/723179471344427008","723179471344427008")</f>
        <v>723179471344427008</v>
      </c>
      <c r="F1407" s="11" t="s">
        <v>63</v>
      </c>
      <c r="G1407" s="11">
        <v>141358</v>
      </c>
      <c r="H1407" s="11">
        <v>23</v>
      </c>
      <c r="I1407" s="11">
        <v>1</v>
      </c>
      <c r="J1407" s="11">
        <v>3</v>
      </c>
      <c r="K1407" s="11" t="s">
        <v>21</v>
      </c>
      <c r="L1407" s="7">
        <v>39786.642754629633</v>
      </c>
      <c r="M1407" s="12" t="s">
        <v>3770</v>
      </c>
      <c r="N1407" s="12" t="s">
        <v>3771</v>
      </c>
      <c r="O1407" s="10" t="str">
        <f>HYPERLINK("https://pbs.twimg.com/profile_images/471294691783098369/x9C02baa_normal.png","View")</f>
        <v>View</v>
      </c>
      <c r="P1407" s="11"/>
    </row>
    <row r="1408" spans="1:16" ht="12.75" x14ac:dyDescent="0.35">
      <c r="A1408" s="7">
        <v>42481.895914351851</v>
      </c>
      <c r="B1408" s="8" t="str">
        <f t="shared" ref="B1408:B1409" si="125">HYPERLINK("https://twitter.com/VWBeetleSales","@VWBeetleSales")</f>
        <v>@VWBeetleSales</v>
      </c>
      <c r="C1408" s="9" t="s">
        <v>127</v>
      </c>
      <c r="D1408" s="9" t="s">
        <v>3772</v>
      </c>
      <c r="E1408" s="10" t="str">
        <f>HYPERLINK("https://twitter.com/VWBeetleSales/status/723179517812965376","723179517812965376")</f>
        <v>723179517812965376</v>
      </c>
      <c r="F1408" s="10" t="s">
        <v>124</v>
      </c>
      <c r="G1408" s="11">
        <v>35</v>
      </c>
      <c r="H1408" s="11">
        <v>32</v>
      </c>
      <c r="I1408" s="11">
        <v>0</v>
      </c>
      <c r="J1408" s="11">
        <v>0</v>
      </c>
      <c r="K1408" s="11" t="s">
        <v>21</v>
      </c>
      <c r="L1408" s="7">
        <v>42427.019756944443</v>
      </c>
      <c r="M1408" s="12" t="s">
        <v>129</v>
      </c>
      <c r="N1408" s="12" t="s">
        <v>130</v>
      </c>
      <c r="O1408" s="10" t="str">
        <f t="shared" ref="O1408:O1409" si="126">HYPERLINK("https://pbs.twimg.com/profile_images/703294545195307008/qeCvrX86_normal.jpg","View")</f>
        <v>View</v>
      </c>
      <c r="P1408" s="11"/>
    </row>
    <row r="1409" spans="1:16" ht="12.75" x14ac:dyDescent="0.35">
      <c r="A1409" s="7">
        <v>42481.895925925928</v>
      </c>
      <c r="B1409" s="8" t="str">
        <f t="shared" si="125"/>
        <v>@VWBeetleSales</v>
      </c>
      <c r="C1409" s="9" t="s">
        <v>127</v>
      </c>
      <c r="D1409" s="9" t="s">
        <v>3773</v>
      </c>
      <c r="E1409" s="10" t="str">
        <f>HYPERLINK("https://twitter.com/VWBeetleSales/status/723179521516564480","723179521516564480")</f>
        <v>723179521516564480</v>
      </c>
      <c r="F1409" s="10" t="s">
        <v>124</v>
      </c>
      <c r="G1409" s="11">
        <v>35</v>
      </c>
      <c r="H1409" s="11">
        <v>32</v>
      </c>
      <c r="I1409" s="11">
        <v>0</v>
      </c>
      <c r="J1409" s="11">
        <v>0</v>
      </c>
      <c r="K1409" s="11" t="s">
        <v>21</v>
      </c>
      <c r="L1409" s="7">
        <v>42427.019756944443</v>
      </c>
      <c r="M1409" s="12" t="s">
        <v>129</v>
      </c>
      <c r="N1409" s="12" t="s">
        <v>130</v>
      </c>
      <c r="O1409" s="10" t="str">
        <f t="shared" si="126"/>
        <v>View</v>
      </c>
      <c r="P1409" s="11"/>
    </row>
    <row r="1410" spans="1:16" ht="12.75" x14ac:dyDescent="0.35">
      <c r="A1410" s="7">
        <v>42481.895937499998</v>
      </c>
      <c r="B1410" s="8" t="str">
        <f>HYPERLINK("https://twitter.com/nordlohner","@nordlohner")</f>
        <v>@nordlohner</v>
      </c>
      <c r="C1410" s="9" t="s">
        <v>3774</v>
      </c>
      <c r="D1410" s="9" t="s">
        <v>3775</v>
      </c>
      <c r="E1410" s="10" t="str">
        <f>HYPERLINK("https://twitter.com/nordlohner/status/723179524695953409","723179524695953409")</f>
        <v>723179524695953409</v>
      </c>
      <c r="F1410" s="11" t="s">
        <v>20</v>
      </c>
      <c r="G1410" s="11">
        <v>292</v>
      </c>
      <c r="H1410" s="11">
        <v>260</v>
      </c>
      <c r="I1410" s="11">
        <v>0</v>
      </c>
      <c r="J1410" s="11">
        <v>0</v>
      </c>
      <c r="K1410" s="11" t="s">
        <v>21</v>
      </c>
      <c r="L1410" s="7">
        <v>40830.607534722221</v>
      </c>
      <c r="M1410" s="12" t="s">
        <v>3776</v>
      </c>
      <c r="N1410" s="12" t="s">
        <v>3777</v>
      </c>
      <c r="O1410" s="10" t="str">
        <f>HYPERLINK("https://pbs.twimg.com/profile_images/689490163639123968/KvB_Hdux_normal.jpg","View")</f>
        <v>View</v>
      </c>
      <c r="P1410" s="11"/>
    </row>
    <row r="1411" spans="1:16" ht="12.75" x14ac:dyDescent="0.35">
      <c r="A1411" s="7">
        <v>42481.896006944444</v>
      </c>
      <c r="B1411" s="8" t="str">
        <f>HYPERLINK("https://twitter.com/VWSouthCoast","@VWSouthCoast")</f>
        <v>@VWSouthCoast</v>
      </c>
      <c r="C1411" s="9" t="s">
        <v>3778</v>
      </c>
      <c r="D1411" s="9" t="s">
        <v>3779</v>
      </c>
      <c r="E1411" s="10" t="str">
        <f>HYPERLINK("https://twitter.com/VWSouthCoast/status/723179551770046464","723179551770046464")</f>
        <v>723179551770046464</v>
      </c>
      <c r="F1411" s="11" t="s">
        <v>140</v>
      </c>
      <c r="G1411" s="11">
        <v>1712</v>
      </c>
      <c r="H1411" s="11">
        <v>1360</v>
      </c>
      <c r="I1411" s="11">
        <v>0</v>
      </c>
      <c r="J1411" s="11">
        <v>0</v>
      </c>
      <c r="K1411" s="11" t="s">
        <v>21</v>
      </c>
      <c r="L1411" s="7">
        <v>39850.224340277782</v>
      </c>
      <c r="M1411" s="12" t="s">
        <v>3780</v>
      </c>
      <c r="N1411" s="12" t="s">
        <v>3781</v>
      </c>
      <c r="O1411" s="10" t="str">
        <f>HYPERLINK("https://pbs.twimg.com/profile_images/674737771588685824/QJjqWVJf_normal.jpg","View")</f>
        <v>View</v>
      </c>
      <c r="P1411" s="11"/>
    </row>
    <row r="1412" spans="1:16" ht="12.75" x14ac:dyDescent="0.35">
      <c r="A1412" s="7">
        <v>42481.896030092597</v>
      </c>
      <c r="B1412" s="8" t="str">
        <f>HYPERLINK("https://twitter.com/Produktion_de","@Produktion_de")</f>
        <v>@Produktion_de</v>
      </c>
      <c r="C1412" s="9" t="s">
        <v>3782</v>
      </c>
      <c r="D1412" s="9" t="s">
        <v>3783</v>
      </c>
      <c r="E1412" s="10" t="str">
        <f>HYPERLINK("https://twitter.com/Produktion_de/status/723179559001067521","723179559001067521")</f>
        <v>723179559001067521</v>
      </c>
      <c r="F1412" s="11" t="s">
        <v>43</v>
      </c>
      <c r="G1412" s="11">
        <v>2303</v>
      </c>
      <c r="H1412" s="11">
        <v>323</v>
      </c>
      <c r="I1412" s="11">
        <v>1</v>
      </c>
      <c r="J1412" s="11">
        <v>0</v>
      </c>
      <c r="K1412" s="11" t="s">
        <v>21</v>
      </c>
      <c r="L1412" s="7">
        <v>40654.626192129632</v>
      </c>
      <c r="M1412" s="12" t="s">
        <v>3784</v>
      </c>
      <c r="N1412" s="12" t="s">
        <v>3785</v>
      </c>
      <c r="O1412" s="10" t="str">
        <f>HYPERLINK("https://pbs.twimg.com/profile_images/572855664553115648/RuqOSgao_normal.jpeg","View")</f>
        <v>View</v>
      </c>
      <c r="P1412" s="11"/>
    </row>
    <row r="1413" spans="1:16" ht="12.75" x14ac:dyDescent="0.35">
      <c r="A1413" s="7">
        <v>42481.896041666667</v>
      </c>
      <c r="B1413" s="8" t="str">
        <f>HYPERLINK("https://twitter.com/jallen191","@jallen191")</f>
        <v>@jallen191</v>
      </c>
      <c r="C1413" s="9" t="s">
        <v>3786</v>
      </c>
      <c r="D1413" s="9" t="s">
        <v>3787</v>
      </c>
      <c r="E1413" s="10" t="str">
        <f>HYPERLINK("https://twitter.com/jallen191/status/723179561177894912","723179561177894912")</f>
        <v>723179561177894912</v>
      </c>
      <c r="F1413" s="11" t="s">
        <v>48</v>
      </c>
      <c r="G1413" s="11">
        <v>167</v>
      </c>
      <c r="H1413" s="11">
        <v>348</v>
      </c>
      <c r="I1413" s="11">
        <v>0</v>
      </c>
      <c r="J1413" s="11">
        <v>0</v>
      </c>
      <c r="K1413" s="11" t="s">
        <v>21</v>
      </c>
      <c r="L1413" s="7">
        <v>40755.358298611114</v>
      </c>
      <c r="M1413" s="12" t="s">
        <v>1534</v>
      </c>
      <c r="N1413" s="12"/>
      <c r="O1413" s="10" t="str">
        <f>HYPERLINK("https://pbs.twimg.com/profile_images/720541135949688832/utGATvGP_normal.jpg","View")</f>
        <v>View</v>
      </c>
      <c r="P1413" s="11"/>
    </row>
    <row r="1414" spans="1:16" ht="12.75" x14ac:dyDescent="0.35">
      <c r="A1414" s="7">
        <v>42481.89607638889</v>
      </c>
      <c r="B1414" s="8" t="str">
        <f>HYPERLINK("https://twitter.com/napletonvolksu1","@napletonvolksu1")</f>
        <v>@napletonvolksu1</v>
      </c>
      <c r="C1414" s="9" t="s">
        <v>3788</v>
      </c>
      <c r="D1414" s="9" t="s">
        <v>3789</v>
      </c>
      <c r="E1414" s="10" t="str">
        <f>HYPERLINK("https://twitter.com/napletonvolksu1/status/723179574931152896","723179574931152896")</f>
        <v>723179574931152896</v>
      </c>
      <c r="F1414" s="11" t="s">
        <v>2694</v>
      </c>
      <c r="G1414" s="11">
        <v>6</v>
      </c>
      <c r="H1414" s="11">
        <v>1</v>
      </c>
      <c r="I1414" s="11">
        <v>0</v>
      </c>
      <c r="J1414" s="11">
        <v>0</v>
      </c>
      <c r="K1414" s="11" t="s">
        <v>21</v>
      </c>
      <c r="L1414" s="7">
        <v>42310.870393518519</v>
      </c>
      <c r="M1414" s="12" t="s">
        <v>3790</v>
      </c>
      <c r="N1414" s="12" t="s">
        <v>3791</v>
      </c>
      <c r="O1414" s="10" t="str">
        <f>HYPERLINK("https://pbs.twimg.com/profile_images/661203197172649984/8NlJaRzL_normal.png","View")</f>
        <v>View</v>
      </c>
      <c r="P1414" s="11"/>
    </row>
    <row r="1415" spans="1:16" ht="12.75" x14ac:dyDescent="0.35">
      <c r="A1415" s="7">
        <v>42481.896111111113</v>
      </c>
      <c r="B1415" s="8" t="str">
        <f>HYPERLINK("https://twitter.com/FreshDialogues","@FreshDialogues")</f>
        <v>@FreshDialogues</v>
      </c>
      <c r="C1415" s="9" t="s">
        <v>3792</v>
      </c>
      <c r="D1415" s="9" t="s">
        <v>3793</v>
      </c>
      <c r="E1415" s="10" t="str">
        <f>HYPERLINK("https://twitter.com/FreshDialogues/status/723179589376176130","723179589376176130")</f>
        <v>723179589376176130</v>
      </c>
      <c r="F1415" s="11" t="s">
        <v>43</v>
      </c>
      <c r="G1415" s="11">
        <v>3641</v>
      </c>
      <c r="H1415" s="11">
        <v>3035</v>
      </c>
      <c r="I1415" s="11">
        <v>0</v>
      </c>
      <c r="J1415" s="11">
        <v>0</v>
      </c>
      <c r="K1415" s="11" t="s">
        <v>21</v>
      </c>
      <c r="L1415" s="7">
        <v>39925.999502314815</v>
      </c>
      <c r="M1415" s="12" t="s">
        <v>3794</v>
      </c>
      <c r="N1415" s="12" t="s">
        <v>3795</v>
      </c>
      <c r="O1415" s="10" t="str">
        <f>HYPERLINK("https://pbs.twimg.com/profile_images/2532291627/vj4vtc89cwsvidlta5i4_normal.jpeg","View")</f>
        <v>View</v>
      </c>
      <c r="P1415" s="11"/>
    </row>
    <row r="1416" spans="1:16" ht="12.75" x14ac:dyDescent="0.35">
      <c r="A1416" s="7">
        <v>42481.896122685182</v>
      </c>
      <c r="B1416" s="8" t="str">
        <f>HYPERLINK("https://twitter.com/kngeuro","@kngeuro")</f>
        <v>@kngeuro</v>
      </c>
      <c r="C1416" s="9" t="s">
        <v>833</v>
      </c>
      <c r="D1416" s="9" t="s">
        <v>3796</v>
      </c>
      <c r="E1416" s="10" t="str">
        <f>HYPERLINK("https://twitter.com/kngeuro/status/723179591364276224","723179591364276224")</f>
        <v>723179591364276224</v>
      </c>
      <c r="F1416" s="11" t="s">
        <v>53</v>
      </c>
      <c r="G1416" s="11">
        <v>760</v>
      </c>
      <c r="H1416" s="11">
        <v>451</v>
      </c>
      <c r="I1416" s="11">
        <v>1</v>
      </c>
      <c r="J1416" s="11">
        <v>0</v>
      </c>
      <c r="K1416" s="11" t="s">
        <v>21</v>
      </c>
      <c r="L1416" s="7">
        <v>40319.120925925927</v>
      </c>
      <c r="M1416" s="12" t="s">
        <v>835</v>
      </c>
      <c r="N1416" s="12" t="s">
        <v>836</v>
      </c>
      <c r="O1416" s="10" t="str">
        <f>HYPERLINK("https://pbs.twimg.com/profile_images/570375988065935360/ooT_Nq7x_normal.jpeg","View")</f>
        <v>View</v>
      </c>
      <c r="P1416" s="11"/>
    </row>
    <row r="1417" spans="1:16" ht="12.75" x14ac:dyDescent="0.35">
      <c r="A1417" s="7">
        <v>42481.896238425921</v>
      </c>
      <c r="B1417" s="8" t="str">
        <f>HYPERLINK("https://twitter.com/Stony_BS","@Stony_BS")</f>
        <v>@Stony_BS</v>
      </c>
      <c r="C1417" s="9" t="s">
        <v>2680</v>
      </c>
      <c r="D1417" s="9" t="s">
        <v>3797</v>
      </c>
      <c r="E1417" s="10" t="str">
        <f>HYPERLINK("https://twitter.com/Stony_BS/status/723179635878420484","723179635878420484")</f>
        <v>723179635878420484</v>
      </c>
      <c r="F1417" s="11" t="s">
        <v>43</v>
      </c>
      <c r="G1417" s="11">
        <v>36</v>
      </c>
      <c r="H1417" s="11">
        <v>51</v>
      </c>
      <c r="I1417" s="11">
        <v>0</v>
      </c>
      <c r="J1417" s="11">
        <v>0</v>
      </c>
      <c r="K1417" s="11" t="s">
        <v>21</v>
      </c>
      <c r="L1417" s="7">
        <v>41928.806030092594</v>
      </c>
      <c r="M1417" s="12" t="s">
        <v>2682</v>
      </c>
      <c r="N1417" s="12" t="s">
        <v>2683</v>
      </c>
      <c r="O1417" s="10" t="str">
        <f>HYPERLINK("https://pbs.twimg.com/profile_images/668091779313500160/ZepxnJcI_normal.jpg","View")</f>
        <v>View</v>
      </c>
      <c r="P1417" s="11"/>
    </row>
    <row r="1418" spans="1:16" ht="12.75" x14ac:dyDescent="0.35">
      <c r="A1418" s="7">
        <v>42481.896273148144</v>
      </c>
      <c r="B1418" s="8" t="str">
        <f>HYPERLINK("https://twitter.com/Sumsi_","@Sumsi_")</f>
        <v>@Sumsi_</v>
      </c>
      <c r="C1418" s="9" t="s">
        <v>3798</v>
      </c>
      <c r="D1418" s="9" t="s">
        <v>3744</v>
      </c>
      <c r="E1418" s="10" t="str">
        <f>HYPERLINK("https://twitter.com/Sumsi_/status/723179648180473857","723179648180473857")</f>
        <v>723179648180473857</v>
      </c>
      <c r="F1418" s="11" t="s">
        <v>3799</v>
      </c>
      <c r="G1418" s="11">
        <v>121</v>
      </c>
      <c r="H1418" s="11">
        <v>422</v>
      </c>
      <c r="I1418" s="11">
        <v>5</v>
      </c>
      <c r="J1418" s="11">
        <v>0</v>
      </c>
      <c r="K1418" s="11" t="s">
        <v>21</v>
      </c>
      <c r="L1418" s="7">
        <v>40616.964432870373</v>
      </c>
      <c r="M1418" s="12"/>
      <c r="N1418" s="12"/>
      <c r="O1418" s="10" t="str">
        <f>HYPERLINK("https://pbs.twimg.com/profile_images/1944127722/image_normal.jpg","View")</f>
        <v>View</v>
      </c>
      <c r="P1418" s="11"/>
    </row>
    <row r="1419" spans="1:16" ht="12.75" x14ac:dyDescent="0.35">
      <c r="A1419" s="7">
        <v>42481.896331018521</v>
      </c>
      <c r="B1419" s="8" t="str">
        <f>HYPERLINK("https://twitter.com/brucenilles","@brucenilles")</f>
        <v>@brucenilles</v>
      </c>
      <c r="C1419" s="9" t="s">
        <v>3800</v>
      </c>
      <c r="D1419" s="9" t="s">
        <v>3616</v>
      </c>
      <c r="E1419" s="10" t="str">
        <f>HYPERLINK("https://twitter.com/brucenilles/status/723179666505228290","723179666505228290")</f>
        <v>723179666505228290</v>
      </c>
      <c r="F1419" s="11" t="s">
        <v>48</v>
      </c>
      <c r="G1419" s="11">
        <v>1302</v>
      </c>
      <c r="H1419" s="11">
        <v>1375</v>
      </c>
      <c r="I1419" s="11">
        <v>3</v>
      </c>
      <c r="J1419" s="11">
        <v>0</v>
      </c>
      <c r="K1419" s="11" t="s">
        <v>21</v>
      </c>
      <c r="L1419" s="7">
        <v>41321.995208333334</v>
      </c>
      <c r="M1419" s="12" t="s">
        <v>3801</v>
      </c>
      <c r="N1419" s="12" t="s">
        <v>3802</v>
      </c>
      <c r="O1419" s="10" t="str">
        <f>HYPERLINK("https://pbs.twimg.com/profile_images/717214720055443457/QPIdZYtQ_normal.jpg","View")</f>
        <v>View</v>
      </c>
      <c r="P1419" s="11"/>
    </row>
    <row r="1420" spans="1:16" ht="12.75" x14ac:dyDescent="0.35">
      <c r="A1420" s="7">
        <v>42481.896331018521</v>
      </c>
      <c r="B1420" s="8" t="str">
        <f>HYPERLINK("https://twitter.com/ARD_BaB","@ARD_BaB")</f>
        <v>@ARD_BaB</v>
      </c>
      <c r="C1420" s="9" t="s">
        <v>3803</v>
      </c>
      <c r="D1420" s="9" t="s">
        <v>3762</v>
      </c>
      <c r="E1420" s="10" t="str">
        <f>HYPERLINK("https://twitter.com/ARD_BaB/status/723179669919420416","723179669919420416")</f>
        <v>723179669919420416</v>
      </c>
      <c r="F1420" s="11" t="s">
        <v>43</v>
      </c>
      <c r="G1420" s="11">
        <v>17743</v>
      </c>
      <c r="H1420" s="11">
        <v>540</v>
      </c>
      <c r="I1420" s="11">
        <v>4</v>
      </c>
      <c r="J1420" s="11">
        <v>0</v>
      </c>
      <c r="K1420" s="11" t="s">
        <v>21</v>
      </c>
      <c r="L1420" s="7">
        <v>40975.765474537038</v>
      </c>
      <c r="M1420" s="12" t="s">
        <v>3804</v>
      </c>
      <c r="N1420" s="12" t="s">
        <v>3805</v>
      </c>
      <c r="O1420" s="10" t="str">
        <f>HYPERLINK("https://pbs.twimg.com/profile_images/474912768143802368/eg4eVSBM_normal.jpeg","View")</f>
        <v>View</v>
      </c>
      <c r="P1420" s="11"/>
    </row>
    <row r="1421" spans="1:16" ht="12.75" x14ac:dyDescent="0.35">
      <c r="A1421" s="7">
        <v>42481.896504629629</v>
      </c>
      <c r="B1421" s="8" t="str">
        <f>HYPERLINK("https://twitter.com/franka_kuehn","@franka_kuehn")</f>
        <v>@franka_kuehn</v>
      </c>
      <c r="C1421" s="9" t="s">
        <v>2386</v>
      </c>
      <c r="D1421" s="9" t="s">
        <v>3806</v>
      </c>
      <c r="E1421" s="10" t="str">
        <f>HYPERLINK("https://twitter.com/franka_kuehn/status/723179731504390145","723179731504390145")</f>
        <v>723179731504390145</v>
      </c>
      <c r="F1421" s="11" t="s">
        <v>43</v>
      </c>
      <c r="G1421" s="11">
        <v>392</v>
      </c>
      <c r="H1421" s="11">
        <v>412</v>
      </c>
      <c r="I1421" s="11">
        <v>0</v>
      </c>
      <c r="J1421" s="11">
        <v>1</v>
      </c>
      <c r="K1421" s="11" t="s">
        <v>21</v>
      </c>
      <c r="L1421" s="7">
        <v>41792.855011574073</v>
      </c>
      <c r="M1421" s="12" t="s">
        <v>1359</v>
      </c>
      <c r="N1421" s="12" t="s">
        <v>2387</v>
      </c>
      <c r="O1421" s="10" t="str">
        <f>HYPERLINK("https://pbs.twimg.com/profile_images/530281935289851905/gYVTeJZK_normal.jpeg","View")</f>
        <v>View</v>
      </c>
      <c r="P1421" s="11"/>
    </row>
    <row r="1422" spans="1:16" ht="12.75" x14ac:dyDescent="0.35">
      <c r="A1422" s="7">
        <v>42481.896747685183</v>
      </c>
      <c r="B1422" s="8" t="str">
        <f>HYPERLINK("https://twitter.com/samiamebarki1","@samiamebarki1")</f>
        <v>@samiamebarki1</v>
      </c>
      <c r="C1422" s="9" t="s">
        <v>1743</v>
      </c>
      <c r="D1422" s="9" t="s">
        <v>3807</v>
      </c>
      <c r="E1422" s="10" t="str">
        <f>HYPERLINK("https://twitter.com/samiamebarki1/status/723179818129432576","723179818129432576")</f>
        <v>723179818129432576</v>
      </c>
      <c r="F1422" s="11" t="s">
        <v>193</v>
      </c>
      <c r="G1422" s="11">
        <v>4048</v>
      </c>
      <c r="H1422" s="11">
        <v>1335</v>
      </c>
      <c r="I1422" s="11">
        <v>0</v>
      </c>
      <c r="J1422" s="11">
        <v>0</v>
      </c>
      <c r="K1422" s="11" t="s">
        <v>21</v>
      </c>
      <c r="L1422" s="7">
        <v>40960.174212962964</v>
      </c>
      <c r="M1422" s="12"/>
      <c r="N1422" s="12" t="s">
        <v>1745</v>
      </c>
      <c r="O1422" s="10" t="str">
        <f>HYPERLINK("https://pbs.twimg.com/profile_images/2346135175/qykofyyqb1o1mchiek3d_normal.jpeg","View")</f>
        <v>View</v>
      </c>
      <c r="P1422" s="11"/>
    </row>
    <row r="1423" spans="1:16" ht="12.75" x14ac:dyDescent="0.35">
      <c r="A1423" s="7">
        <v>42481.896793981483</v>
      </c>
      <c r="B1423" s="8" t="str">
        <f>HYPERLINK("https://twitter.com/selmissary","@selmissary")</f>
        <v>@selmissary</v>
      </c>
      <c r="C1423" s="9" t="s">
        <v>3808</v>
      </c>
      <c r="D1423" s="9" t="s">
        <v>3523</v>
      </c>
      <c r="E1423" s="10" t="str">
        <f>HYPERLINK("https://twitter.com/selmissary/status/723179837591031808","723179837591031808")</f>
        <v>723179837591031808</v>
      </c>
      <c r="F1423" s="11" t="s">
        <v>20</v>
      </c>
      <c r="G1423" s="11">
        <v>82</v>
      </c>
      <c r="H1423" s="11">
        <v>299</v>
      </c>
      <c r="I1423" s="11">
        <v>12</v>
      </c>
      <c r="J1423" s="11">
        <v>0</v>
      </c>
      <c r="K1423" s="11" t="s">
        <v>21</v>
      </c>
      <c r="L1423" s="7">
        <v>40817.926944444444</v>
      </c>
      <c r="M1423" s="12" t="s">
        <v>3809</v>
      </c>
      <c r="N1423" s="12"/>
      <c r="O1423" s="10" t="str">
        <f>HYPERLINK("https://pbs.twimg.com/profile_images/3023094301/7299b75257d79082c0ff884278e113cd_normal.png","View")</f>
        <v>View</v>
      </c>
      <c r="P1423" s="11"/>
    </row>
    <row r="1424" spans="1:16" ht="12.75" x14ac:dyDescent="0.35">
      <c r="A1424" s="7">
        <v>42481.896967592591</v>
      </c>
      <c r="B1424" s="8" t="str">
        <f>HYPERLINK("https://twitter.com/DanBama420","@DanBama420")</f>
        <v>@DanBama420</v>
      </c>
      <c r="C1424" s="9" t="s">
        <v>3810</v>
      </c>
      <c r="D1424" s="9" t="s">
        <v>3576</v>
      </c>
      <c r="E1424" s="10" t="str">
        <f>HYPERLINK("https://twitter.com/DanBama420/status/723179896613253120","723179896613253120")</f>
        <v>723179896613253120</v>
      </c>
      <c r="F1424" s="11" t="s">
        <v>20</v>
      </c>
      <c r="G1424" s="11">
        <v>198</v>
      </c>
      <c r="H1424" s="11">
        <v>545</v>
      </c>
      <c r="I1424" s="11">
        <v>3</v>
      </c>
      <c r="J1424" s="11">
        <v>0</v>
      </c>
      <c r="K1424" s="11" t="s">
        <v>21</v>
      </c>
      <c r="L1424" s="7">
        <v>40868.722615740742</v>
      </c>
      <c r="M1424" s="12" t="s">
        <v>3811</v>
      </c>
      <c r="N1424" s="12" t="s">
        <v>3812</v>
      </c>
      <c r="O1424" s="10" t="str">
        <f>HYPERLINK("https://pbs.twimg.com/profile_images/637891439343484928/orseP7gi_normal.jpg","View")</f>
        <v>View</v>
      </c>
      <c r="P1424" s="11"/>
    </row>
    <row r="1425" spans="1:16" ht="12.75" x14ac:dyDescent="0.35">
      <c r="A1425" s="7">
        <v>42481.897037037037</v>
      </c>
      <c r="B1425" s="8" t="str">
        <f>HYPERLINK("https://twitter.com/zeeshan_shah_dc","@zeeshan_shah_dc")</f>
        <v>@zeeshan_shah_dc</v>
      </c>
      <c r="C1425" s="9" t="s">
        <v>3813</v>
      </c>
      <c r="D1425" s="9" t="s">
        <v>3440</v>
      </c>
      <c r="E1425" s="10" t="str">
        <f>HYPERLINK("https://twitter.com/zeeshan_shah_dc/status/723179923351937024","723179923351937024")</f>
        <v>723179923351937024</v>
      </c>
      <c r="F1425" s="11" t="s">
        <v>20</v>
      </c>
      <c r="G1425" s="11">
        <v>1441</v>
      </c>
      <c r="H1425" s="11">
        <v>218</v>
      </c>
      <c r="I1425" s="11">
        <v>11</v>
      </c>
      <c r="J1425" s="11">
        <v>0</v>
      </c>
      <c r="K1425" s="11" t="s">
        <v>21</v>
      </c>
      <c r="L1425" s="7">
        <v>41058.40111111111</v>
      </c>
      <c r="M1425" s="12" t="s">
        <v>2646</v>
      </c>
      <c r="N1425" s="12" t="s">
        <v>3814</v>
      </c>
      <c r="O1425" s="10" t="str">
        <f>HYPERLINK("https://pbs.twimg.com/profile_images/702712678146580480/HkTHbbRI_normal.jpg","View")</f>
        <v>View</v>
      </c>
      <c r="P1425" s="11"/>
    </row>
    <row r="1426" spans="1:16" ht="12.75" x14ac:dyDescent="0.35">
      <c r="A1426" s="7">
        <v>42481.897199074076</v>
      </c>
      <c r="B1426" s="8" t="str">
        <f>HYPERLINK("https://twitter.com/berlin_ny","@berlin_ny")</f>
        <v>@berlin_ny</v>
      </c>
      <c r="C1426" s="9" t="s">
        <v>3815</v>
      </c>
      <c r="D1426" s="9" t="s">
        <v>3228</v>
      </c>
      <c r="E1426" s="10" t="str">
        <f>HYPERLINK("https://twitter.com/berlin_ny/status/723179983674466304","723179983674466304")</f>
        <v>723179983674466304</v>
      </c>
      <c r="F1426" s="11" t="s">
        <v>20</v>
      </c>
      <c r="G1426" s="11">
        <v>55</v>
      </c>
      <c r="H1426" s="11">
        <v>137</v>
      </c>
      <c r="I1426" s="11">
        <v>7</v>
      </c>
      <c r="J1426" s="11">
        <v>0</v>
      </c>
      <c r="K1426" s="11" t="s">
        <v>21</v>
      </c>
      <c r="L1426" s="7">
        <v>42257.818182870367</v>
      </c>
      <c r="M1426" s="12" t="s">
        <v>2907</v>
      </c>
      <c r="N1426" s="12" t="s">
        <v>3816</v>
      </c>
      <c r="O1426" s="10" t="str">
        <f>HYPERLINK("https://pbs.twimg.com/profile_images/651119142670499840/QYoBetcy_normal.jpg","View")</f>
        <v>View</v>
      </c>
      <c r="P1426" s="11"/>
    </row>
    <row r="1427" spans="1:16" ht="12.75" x14ac:dyDescent="0.35">
      <c r="A1427" s="7">
        <v>42481.897314814814</v>
      </c>
      <c r="B1427" s="8" t="str">
        <f>HYPERLINK("https://twitter.com/mdrde","@mdrde")</f>
        <v>@mdrde</v>
      </c>
      <c r="C1427" s="9" t="s">
        <v>3817</v>
      </c>
      <c r="D1427" s="9" t="s">
        <v>3647</v>
      </c>
      <c r="E1427" s="10" t="str">
        <f>HYPERLINK("https://twitter.com/mdrde/status/723180026087104512","723180026087104512")</f>
        <v>723180026087104512</v>
      </c>
      <c r="F1427" s="11" t="s">
        <v>43</v>
      </c>
      <c r="G1427" s="11">
        <v>3750</v>
      </c>
      <c r="H1427" s="11">
        <v>73</v>
      </c>
      <c r="I1427" s="11">
        <v>5</v>
      </c>
      <c r="J1427" s="11">
        <v>0</v>
      </c>
      <c r="K1427" s="11" t="s">
        <v>21</v>
      </c>
      <c r="L1427" s="7">
        <v>40795.743645833332</v>
      </c>
      <c r="M1427" s="12"/>
      <c r="N1427" s="12" t="s">
        <v>3818</v>
      </c>
      <c r="O1427" s="10" t="str">
        <f>HYPERLINK("https://pbs.twimg.com/profile_images/1815194206/twitter-icon-mdr-180_normal.png","View")</f>
        <v>View</v>
      </c>
      <c r="P1427" s="11"/>
    </row>
    <row r="1428" spans="1:16" ht="12.75" x14ac:dyDescent="0.35">
      <c r="A1428" s="7">
        <v>42481.897534722222</v>
      </c>
      <c r="B1428" s="8" t="str">
        <f t="shared" ref="B1428:B1429" si="127">HYPERLINK("https://twitter.com/MarkCSchneider","@MarkCSchneider")</f>
        <v>@MarkCSchneider</v>
      </c>
      <c r="C1428" s="9" t="s">
        <v>952</v>
      </c>
      <c r="D1428" s="9" t="s">
        <v>3819</v>
      </c>
      <c r="E1428" s="10" t="str">
        <f>HYPERLINK("https://twitter.com/MarkCSchneider/status/723180103304400896","723180103304400896")</f>
        <v>723180103304400896</v>
      </c>
      <c r="F1428" s="11" t="s">
        <v>20</v>
      </c>
      <c r="G1428" s="11">
        <v>370</v>
      </c>
      <c r="H1428" s="11">
        <v>335</v>
      </c>
      <c r="I1428" s="11">
        <v>1</v>
      </c>
      <c r="J1428" s="11">
        <v>0</v>
      </c>
      <c r="K1428" s="11" t="s">
        <v>21</v>
      </c>
      <c r="L1428" s="7">
        <v>41495.558136574073</v>
      </c>
      <c r="M1428" s="12" t="s">
        <v>953</v>
      </c>
      <c r="N1428" s="12"/>
      <c r="O1428" s="10" t="str">
        <f t="shared" ref="O1428:O1429" si="128">HYPERLINK("https://pbs.twimg.com/profile_images/706784695795769345/XGXgdjww_normal.jpg","View")</f>
        <v>View</v>
      </c>
      <c r="P1428" s="11"/>
    </row>
    <row r="1429" spans="1:16" ht="12.75" x14ac:dyDescent="0.35">
      <c r="A1429" s="7">
        <v>42481.897847222222</v>
      </c>
      <c r="B1429" s="8" t="str">
        <f t="shared" si="127"/>
        <v>@MarkCSchneider</v>
      </c>
      <c r="C1429" s="9" t="s">
        <v>952</v>
      </c>
      <c r="D1429" s="9" t="s">
        <v>3675</v>
      </c>
      <c r="E1429" s="10" t="str">
        <f>HYPERLINK("https://twitter.com/MarkCSchneider/status/723180217947291648","723180217947291648")</f>
        <v>723180217947291648</v>
      </c>
      <c r="F1429" s="11" t="s">
        <v>20</v>
      </c>
      <c r="G1429" s="11">
        <v>370</v>
      </c>
      <c r="H1429" s="11">
        <v>335</v>
      </c>
      <c r="I1429" s="11">
        <v>5</v>
      </c>
      <c r="J1429" s="11">
        <v>0</v>
      </c>
      <c r="K1429" s="11" t="s">
        <v>21</v>
      </c>
      <c r="L1429" s="7">
        <v>41495.558136574073</v>
      </c>
      <c r="M1429" s="12" t="s">
        <v>953</v>
      </c>
      <c r="N1429" s="12"/>
      <c r="O1429" s="10" t="str">
        <f t="shared" si="128"/>
        <v>View</v>
      </c>
      <c r="P1429" s="11"/>
    </row>
    <row r="1430" spans="1:16" ht="12.75" x14ac:dyDescent="0.35">
      <c r="A1430" s="7">
        <v>42481.898009259261</v>
      </c>
      <c r="B1430" s="8" t="str">
        <f>HYPERLINK("https://twitter.com/Autourtiti","@Autourtiti")</f>
        <v>@Autourtiti</v>
      </c>
      <c r="C1430" s="9" t="s">
        <v>3820</v>
      </c>
      <c r="D1430" s="9" t="s">
        <v>3821</v>
      </c>
      <c r="E1430" s="10" t="str">
        <f>HYPERLINK("https://twitter.com/Autourtiti/status/723180274406834176","723180274406834176")</f>
        <v>723180274406834176</v>
      </c>
      <c r="F1430" s="11" t="s">
        <v>3822</v>
      </c>
      <c r="G1430" s="11">
        <v>43</v>
      </c>
      <c r="H1430" s="11">
        <v>0</v>
      </c>
      <c r="I1430" s="11">
        <v>0</v>
      </c>
      <c r="J1430" s="11">
        <v>0</v>
      </c>
      <c r="K1430" s="11" t="s">
        <v>21</v>
      </c>
      <c r="L1430" s="7">
        <v>41590.915937500002</v>
      </c>
      <c r="M1430" s="12"/>
      <c r="N1430" s="12" t="s">
        <v>3823</v>
      </c>
      <c r="O1430" s="10" t="str">
        <f>HYPERLINK("https://pbs.twimg.com/profile_images/378800000756387886/c547a918bcad5d95a42507361c94d2fa_normal.png","View")</f>
        <v>View</v>
      </c>
      <c r="P1430" s="11"/>
    </row>
    <row r="1431" spans="1:16" ht="12.75" x14ac:dyDescent="0.35">
      <c r="A1431" s="7">
        <v>42481.898125</v>
      </c>
      <c r="B1431" s="8" t="str">
        <f>HYPERLINK("https://twitter.com/JuLoewe","@JuLoewe")</f>
        <v>@JuLoewe</v>
      </c>
      <c r="C1431" s="9" t="s">
        <v>3824</v>
      </c>
      <c r="D1431" s="9" t="s">
        <v>3675</v>
      </c>
      <c r="E1431" s="10" t="str">
        <f>HYPERLINK("https://twitter.com/JuLoewe/status/723180318858027008","723180318858027008")</f>
        <v>723180318858027008</v>
      </c>
      <c r="F1431" s="11" t="s">
        <v>20</v>
      </c>
      <c r="G1431" s="11">
        <v>185</v>
      </c>
      <c r="H1431" s="11">
        <v>319</v>
      </c>
      <c r="I1431" s="11">
        <v>5</v>
      </c>
      <c r="J1431" s="11">
        <v>0</v>
      </c>
      <c r="K1431" s="11" t="s">
        <v>21</v>
      </c>
      <c r="L1431" s="7">
        <v>41430.11246527778</v>
      </c>
      <c r="M1431" s="12"/>
      <c r="N1431" s="13" t="s">
        <v>3825</v>
      </c>
      <c r="O1431" s="10" t="str">
        <f>HYPERLINK("https://pbs.twimg.com/profile_images/609682170458804225/WAAXyFob_normal.jpg","View")</f>
        <v>View</v>
      </c>
      <c r="P1431" s="11"/>
    </row>
    <row r="1432" spans="1:16" ht="12.75" x14ac:dyDescent="0.35">
      <c r="A1432" s="7">
        <v>42481.898379629631</v>
      </c>
      <c r="B1432" s="8" t="str">
        <f>HYPERLINK("https://twitter.com/dw_wirtschaft","@dw_wirtschaft")</f>
        <v>@dw_wirtschaft</v>
      </c>
      <c r="C1432" s="9" t="s">
        <v>3712</v>
      </c>
      <c r="D1432" s="9" t="s">
        <v>3826</v>
      </c>
      <c r="E1432" s="10" t="str">
        <f>HYPERLINK("https://twitter.com/dw_wirtschaft/status/723180409886924800","723180409886924800")</f>
        <v>723180409886924800</v>
      </c>
      <c r="F1432" s="11" t="s">
        <v>43</v>
      </c>
      <c r="G1432" s="11">
        <v>11259</v>
      </c>
      <c r="H1432" s="11">
        <v>188</v>
      </c>
      <c r="I1432" s="11">
        <v>1</v>
      </c>
      <c r="J1432" s="11">
        <v>0</v>
      </c>
      <c r="K1432" s="11" t="s">
        <v>21</v>
      </c>
      <c r="L1432" s="7">
        <v>39919.591817129629</v>
      </c>
      <c r="M1432" s="12" t="s">
        <v>3714</v>
      </c>
      <c r="N1432" s="12" t="s">
        <v>3715</v>
      </c>
      <c r="O1432" s="10" t="str">
        <f>HYPERLINK("https://pbs.twimg.com/profile_images/474185502388518912/sROk9L0u_normal.png","View")</f>
        <v>View</v>
      </c>
      <c r="P1432" s="11"/>
    </row>
    <row r="1433" spans="1:16" ht="12.75" x14ac:dyDescent="0.35">
      <c r="A1433" s="7">
        <v>42481.898587962962</v>
      </c>
      <c r="B1433" s="8" t="str">
        <f>HYPERLINK("https://twitter.com/Lake13Simon","@Lake13Simon")</f>
        <v>@Lake13Simon</v>
      </c>
      <c r="C1433" s="9" t="s">
        <v>3827</v>
      </c>
      <c r="D1433" s="9" t="s">
        <v>3828</v>
      </c>
      <c r="E1433" s="10" t="str">
        <f>HYPERLINK("https://twitter.com/Lake13Simon/status/723180487343280128","723180487343280128")</f>
        <v>723180487343280128</v>
      </c>
      <c r="F1433" s="11" t="s">
        <v>48</v>
      </c>
      <c r="G1433" s="11">
        <v>88</v>
      </c>
      <c r="H1433" s="11">
        <v>231</v>
      </c>
      <c r="I1433" s="11">
        <v>0</v>
      </c>
      <c r="J1433" s="11">
        <v>0</v>
      </c>
      <c r="K1433" s="11" t="s">
        <v>21</v>
      </c>
      <c r="L1433" s="7">
        <v>42153.539988425924</v>
      </c>
      <c r="M1433" s="12" t="s">
        <v>3829</v>
      </c>
      <c r="N1433" s="12" t="s">
        <v>3830</v>
      </c>
      <c r="O1433" s="10" t="str">
        <f>HYPERLINK("https://pbs.twimg.com/profile_images/604194481609560064/MJb6qcex_normal.jpg","View")</f>
        <v>View</v>
      </c>
      <c r="P1433" s="11"/>
    </row>
    <row r="1434" spans="1:16" ht="12.75" x14ac:dyDescent="0.35">
      <c r="A1434" s="7">
        <v>42481.898993055554</v>
      </c>
      <c r="B1434" s="8" t="str">
        <f>HYPERLINK("https://twitter.com/rbpr","@rbpr")</f>
        <v>@rbpr</v>
      </c>
      <c r="C1434" s="9" t="s">
        <v>3831</v>
      </c>
      <c r="D1434" s="9" t="s">
        <v>3832</v>
      </c>
      <c r="E1434" s="10" t="str">
        <f>HYPERLINK("https://twitter.com/rbpr/status/723180631614615553","723180631614615553")</f>
        <v>723180631614615553</v>
      </c>
      <c r="F1434" s="11" t="s">
        <v>43</v>
      </c>
      <c r="G1434" s="11">
        <v>274</v>
      </c>
      <c r="H1434" s="11">
        <v>546</v>
      </c>
      <c r="I1434" s="11">
        <v>0</v>
      </c>
      <c r="J1434" s="11">
        <v>0</v>
      </c>
      <c r="K1434" s="11" t="s">
        <v>21</v>
      </c>
      <c r="L1434" s="7">
        <v>39624.883877314816</v>
      </c>
      <c r="M1434" s="12" t="s">
        <v>3833</v>
      </c>
      <c r="N1434" s="12" t="s">
        <v>3834</v>
      </c>
      <c r="O1434" s="10" t="str">
        <f>HYPERLINK("https://pbs.twimg.com/profile_images/1875408305/RB2004_bigger_normal.jpg","View")</f>
        <v>View</v>
      </c>
      <c r="P1434" s="11"/>
    </row>
    <row r="1435" spans="1:16" ht="12.75" x14ac:dyDescent="0.35">
      <c r="A1435" s="7">
        <v>42481.899039351847</v>
      </c>
      <c r="B1435" s="8" t="str">
        <f>HYPERLINK("https://twitter.com/VWSouthtowne","@VWSouthtowne")</f>
        <v>@VWSouthtowne</v>
      </c>
      <c r="C1435" s="9" t="s">
        <v>3835</v>
      </c>
      <c r="D1435" s="9" t="s">
        <v>3836</v>
      </c>
      <c r="E1435" s="10" t="str">
        <f>HYPERLINK("https://twitter.com/VWSouthtowne/status/723180649260015616","723180649260015616")</f>
        <v>723180649260015616</v>
      </c>
      <c r="F1435" s="11" t="s">
        <v>43</v>
      </c>
      <c r="G1435" s="11">
        <v>602</v>
      </c>
      <c r="H1435" s="11">
        <v>874</v>
      </c>
      <c r="I1435" s="11">
        <v>2</v>
      </c>
      <c r="J1435" s="11">
        <v>1</v>
      </c>
      <c r="K1435" s="11" t="s">
        <v>21</v>
      </c>
      <c r="L1435" s="7">
        <v>40667.917245370372</v>
      </c>
      <c r="M1435" s="12" t="s">
        <v>3837</v>
      </c>
      <c r="N1435" s="12" t="s">
        <v>3838</v>
      </c>
      <c r="O1435" s="10" t="str">
        <f>HYPERLINK("https://pbs.twimg.com/profile_images/478629247192272896/W8LDSRdj_normal.jpeg","View")</f>
        <v>View</v>
      </c>
      <c r="P1435" s="11"/>
    </row>
    <row r="1436" spans="1:16" ht="12.75" x14ac:dyDescent="0.35">
      <c r="A1436" s="7">
        <v>42481.899641203709</v>
      </c>
      <c r="B1436" s="8" t="str">
        <f>HYPERLINK("https://twitter.com/SuleymanMezgil","@SuleymanMezgil")</f>
        <v>@SuleymanMezgil</v>
      </c>
      <c r="C1436" s="9" t="s">
        <v>3839</v>
      </c>
      <c r="D1436" s="9" t="s">
        <v>3840</v>
      </c>
      <c r="E1436" s="10" t="str">
        <f>HYPERLINK("https://twitter.com/SuleymanMezgil/status/723180867200385024","723180867200385024")</f>
        <v>723180867200385024</v>
      </c>
      <c r="F1436" s="11" t="s">
        <v>20</v>
      </c>
      <c r="G1436" s="11">
        <v>2044</v>
      </c>
      <c r="H1436" s="11">
        <v>3256</v>
      </c>
      <c r="I1436" s="11">
        <v>3</v>
      </c>
      <c r="J1436" s="11">
        <v>0</v>
      </c>
      <c r="K1436" s="11" t="s">
        <v>21</v>
      </c>
      <c r="L1436" s="7">
        <v>41019.538368055553</v>
      </c>
      <c r="M1436" s="12"/>
      <c r="N1436" s="12" t="s">
        <v>3841</v>
      </c>
      <c r="O1436" s="10" t="str">
        <f>HYPERLINK("https://pbs.twimg.com/profile_images/2595928027/9e5t4gep0bnb2uylzwzb_normal.jpeg","View")</f>
        <v>View</v>
      </c>
      <c r="P1436" s="11"/>
    </row>
    <row r="1437" spans="1:16" ht="12.75" x14ac:dyDescent="0.35">
      <c r="A1437" s="7">
        <v>42481.899849537032</v>
      </c>
      <c r="B1437" s="8" t="str">
        <f>HYPERLINK("https://twitter.com/034Motorsport","@034Motorsport")</f>
        <v>@034Motorsport</v>
      </c>
      <c r="C1437" s="9" t="s">
        <v>3842</v>
      </c>
      <c r="D1437" s="9" t="s">
        <v>3843</v>
      </c>
      <c r="E1437" s="10" t="str">
        <f>HYPERLINK("https://twitter.com/034Motorsport/status/723180943473827840","723180943473827840")</f>
        <v>723180943473827840</v>
      </c>
      <c r="F1437" s="11" t="s">
        <v>152</v>
      </c>
      <c r="G1437" s="11">
        <v>502</v>
      </c>
      <c r="H1437" s="11">
        <v>76</v>
      </c>
      <c r="I1437" s="11">
        <v>1</v>
      </c>
      <c r="J1437" s="11">
        <v>2</v>
      </c>
      <c r="K1437" s="11" t="s">
        <v>21</v>
      </c>
      <c r="L1437" s="7">
        <v>40926.101712962962</v>
      </c>
      <c r="M1437" s="12" t="s">
        <v>3844</v>
      </c>
      <c r="N1437" s="12" t="s">
        <v>3845</v>
      </c>
      <c r="O1437" s="10" t="str">
        <f>HYPERLINK("https://pbs.twimg.com/profile_images/1762425632/034_ETGP_09_1080p_v4_Small_normal.jpg","View")</f>
        <v>View</v>
      </c>
      <c r="P1437" s="11"/>
    </row>
    <row r="1438" spans="1:16" ht="12.75" x14ac:dyDescent="0.35">
      <c r="A1438" s="7">
        <v>42481.899942129632</v>
      </c>
      <c r="B1438" s="8" t="str">
        <f>HYPERLINK("https://twitter.com/ABC_Driver","@ABC_Driver")</f>
        <v>@ABC_Driver</v>
      </c>
      <c r="C1438" s="9" t="s">
        <v>3846</v>
      </c>
      <c r="D1438" s="9" t="s">
        <v>3847</v>
      </c>
      <c r="E1438" s="10" t="str">
        <f>HYPERLINK("https://twitter.com/ABC_Driver/status/723180975581192192","723180975581192192")</f>
        <v>723180975581192192</v>
      </c>
      <c r="F1438" s="11" t="s">
        <v>20</v>
      </c>
      <c r="G1438" s="11">
        <v>220</v>
      </c>
      <c r="H1438" s="11">
        <v>317</v>
      </c>
      <c r="I1438" s="11">
        <v>0</v>
      </c>
      <c r="J1438" s="11">
        <v>0</v>
      </c>
      <c r="K1438" s="11" t="s">
        <v>21</v>
      </c>
      <c r="L1438" s="7">
        <v>41636.308229166665</v>
      </c>
      <c r="M1438" s="12" t="s">
        <v>3848</v>
      </c>
      <c r="N1438" s="12" t="s">
        <v>3849</v>
      </c>
      <c r="O1438" s="10" t="str">
        <f>HYPERLINK("https://pbs.twimg.com/profile_images/416996128757149696/MJkc9QTs_normal.jpeg","View")</f>
        <v>View</v>
      </c>
      <c r="P1438" s="11"/>
    </row>
    <row r="1439" spans="1:16" ht="12.75" x14ac:dyDescent="0.35">
      <c r="A1439" s="7">
        <v>42481.900243055556</v>
      </c>
      <c r="B1439" s="8" t="str">
        <f>HYPERLINK("https://twitter.com/IFeelPossessed","@IFeelPossessed")</f>
        <v>@IFeelPossessed</v>
      </c>
      <c r="C1439" s="9" t="s">
        <v>1206</v>
      </c>
      <c r="D1439" s="9" t="s">
        <v>3850</v>
      </c>
      <c r="E1439" s="10" t="str">
        <f>HYPERLINK("https://twitter.com/IFeelPossessed/status/723181086004662273","723181086004662273")</f>
        <v>723181086004662273</v>
      </c>
      <c r="F1439" s="11" t="s">
        <v>20</v>
      </c>
      <c r="G1439" s="11">
        <v>236</v>
      </c>
      <c r="H1439" s="11">
        <v>188</v>
      </c>
      <c r="I1439" s="11">
        <v>0</v>
      </c>
      <c r="J1439" s="11">
        <v>0</v>
      </c>
      <c r="K1439" s="11" t="s">
        <v>21</v>
      </c>
      <c r="L1439" s="7">
        <v>40058.007743055554</v>
      </c>
      <c r="M1439" s="12"/>
      <c r="N1439" s="12" t="s">
        <v>1208</v>
      </c>
      <c r="O1439" s="10" t="str">
        <f>HYPERLINK("https://pbs.twimg.com/profile_images/602201660635652097/MOKTWd4d_normal.jpg","View")</f>
        <v>View</v>
      </c>
      <c r="P1439" s="11"/>
    </row>
    <row r="1440" spans="1:16" ht="12.75" x14ac:dyDescent="0.35">
      <c r="A1440" s="7">
        <v>42481.900312500002</v>
      </c>
      <c r="B1440" s="8" t="str">
        <f>HYPERLINK("https://twitter.com/johnny_cash","@johnny_cash")</f>
        <v>@johnny_cash</v>
      </c>
      <c r="C1440" s="9" t="s">
        <v>3851</v>
      </c>
      <c r="D1440" s="9" t="s">
        <v>3852</v>
      </c>
      <c r="E1440" s="10" t="str">
        <f>HYPERLINK("https://twitter.com/johnny_cash/status/723181111703166976","723181111703166976")</f>
        <v>723181111703166976</v>
      </c>
      <c r="F1440" s="11" t="s">
        <v>3721</v>
      </c>
      <c r="G1440" s="11">
        <v>1714</v>
      </c>
      <c r="H1440" s="11">
        <v>341</v>
      </c>
      <c r="I1440" s="11">
        <v>0</v>
      </c>
      <c r="J1440" s="11">
        <v>0</v>
      </c>
      <c r="K1440" s="11" t="s">
        <v>21</v>
      </c>
      <c r="L1440" s="7">
        <v>39653.820879629631</v>
      </c>
      <c r="M1440" s="12" t="s">
        <v>2682</v>
      </c>
      <c r="N1440" s="12" t="s">
        <v>3853</v>
      </c>
      <c r="O1440" s="10" t="str">
        <f>HYPERLINK("https://pbs.twimg.com/profile_images/2471426330/Twitter_normal.jpg","View")</f>
        <v>View</v>
      </c>
      <c r="P1440" s="11"/>
    </row>
    <row r="1441" spans="1:16" ht="12.75" x14ac:dyDescent="0.35">
      <c r="A1441" s="7">
        <v>42481.900381944448</v>
      </c>
      <c r="B1441" s="8" t="str">
        <f>HYPERLINK("https://twitter.com/VWCamperSales","@VWCamperSales")</f>
        <v>@VWCamperSales</v>
      </c>
      <c r="C1441" s="9" t="s">
        <v>216</v>
      </c>
      <c r="D1441" s="9" t="s">
        <v>3854</v>
      </c>
      <c r="E1441" s="10" t="str">
        <f>HYPERLINK("https://twitter.com/VWCamperSales/status/723181137170862081","723181137170862081")</f>
        <v>723181137170862081</v>
      </c>
      <c r="F1441" s="10" t="s">
        <v>124</v>
      </c>
      <c r="G1441" s="11">
        <v>615</v>
      </c>
      <c r="H1441" s="11">
        <v>580</v>
      </c>
      <c r="I1441" s="11">
        <v>0</v>
      </c>
      <c r="J1441" s="11">
        <v>0</v>
      </c>
      <c r="K1441" s="11" t="s">
        <v>21</v>
      </c>
      <c r="L1441" s="7">
        <v>42215.98809027778</v>
      </c>
      <c r="M1441" s="12" t="s">
        <v>129</v>
      </c>
      <c r="N1441" s="12" t="s">
        <v>218</v>
      </c>
      <c r="O1441" s="10" t="str">
        <f>HYPERLINK("https://pbs.twimg.com/profile_images/627949001179037696/skEBkS05_normal.jpg","View")</f>
        <v>View</v>
      </c>
      <c r="P1441" s="11"/>
    </row>
    <row r="1442" spans="1:16" ht="12.75" x14ac:dyDescent="0.35">
      <c r="A1442" s="7">
        <v>42481.900613425925</v>
      </c>
      <c r="B1442" s="8" t="str">
        <f>HYPERLINK("https://twitter.com/emilyrusch","@emilyrusch")</f>
        <v>@emilyrusch</v>
      </c>
      <c r="C1442" s="9" t="s">
        <v>3268</v>
      </c>
      <c r="D1442" s="9" t="s">
        <v>3855</v>
      </c>
      <c r="E1442" s="10" t="str">
        <f>HYPERLINK("https://twitter.com/emilyrusch/status/723181220587143169","723181220587143169")</f>
        <v>723181220587143169</v>
      </c>
      <c r="F1442" s="11" t="s">
        <v>20</v>
      </c>
      <c r="G1442" s="11">
        <v>149</v>
      </c>
      <c r="H1442" s="11">
        <v>378</v>
      </c>
      <c r="I1442" s="11">
        <v>0</v>
      </c>
      <c r="J1442" s="11">
        <v>0</v>
      </c>
      <c r="K1442" s="11" t="s">
        <v>21</v>
      </c>
      <c r="L1442" s="7">
        <v>40230.948171296295</v>
      </c>
      <c r="M1442" s="12" t="s">
        <v>3270</v>
      </c>
      <c r="N1442" s="12" t="s">
        <v>3271</v>
      </c>
      <c r="O1442" s="10" t="str">
        <f>HYPERLINK("https://pbs.twimg.com/profile_images/649282853226745858/VsTbEl77_normal.jpg","View")</f>
        <v>View</v>
      </c>
      <c r="P1442" s="11"/>
    </row>
    <row r="1443" spans="1:16" ht="12.75" x14ac:dyDescent="0.35">
      <c r="A1443" s="7">
        <v>42481.900706018518</v>
      </c>
      <c r="B1443" s="8" t="str">
        <f>HYPERLINK("https://twitter.com/tstephensvw","@tstephensvw")</f>
        <v>@tstephensvw</v>
      </c>
      <c r="C1443" s="9" t="s">
        <v>3856</v>
      </c>
      <c r="D1443" s="9" t="s">
        <v>3857</v>
      </c>
      <c r="E1443" s="10" t="str">
        <f>HYPERLINK("https://twitter.com/tstephensvw/status/723181252140920832","723181252140920832")</f>
        <v>723181252140920832</v>
      </c>
      <c r="F1443" s="11" t="s">
        <v>43</v>
      </c>
      <c r="G1443" s="11">
        <v>303</v>
      </c>
      <c r="H1443" s="11">
        <v>599</v>
      </c>
      <c r="I1443" s="11">
        <v>0</v>
      </c>
      <c r="J1443" s="11">
        <v>0</v>
      </c>
      <c r="K1443" s="11" t="s">
        <v>21</v>
      </c>
      <c r="L1443" s="7">
        <v>39719.070509259262</v>
      </c>
      <c r="M1443" s="12" t="s">
        <v>3858</v>
      </c>
      <c r="N1443" s="12" t="s">
        <v>3859</v>
      </c>
      <c r="O1443" s="10" t="str">
        <f>HYPERLINK("https://pbs.twimg.com/profile_images/3728372457/d25cb856aa9642e9a22278b90fefb04a_normal.jpeg","View")</f>
        <v>View</v>
      </c>
      <c r="P1443" s="11"/>
    </row>
    <row r="1444" spans="1:16" ht="12.75" x14ac:dyDescent="0.35">
      <c r="A1444" s="7">
        <v>42481.900810185187</v>
      </c>
      <c r="B1444" s="8" t="str">
        <f t="shared" ref="B1444:B1446" si="129">HYPERLINK("https://twitter.com/OnlineCarReview","@OnlineCarReview")</f>
        <v>@OnlineCarReview</v>
      </c>
      <c r="C1444" s="9" t="s">
        <v>176</v>
      </c>
      <c r="D1444" s="9" t="s">
        <v>3860</v>
      </c>
      <c r="E1444" s="10" t="str">
        <f>HYPERLINK("https://twitter.com/OnlineCarReview/status/723181289667330049","723181289667330049")</f>
        <v>723181289667330049</v>
      </c>
      <c r="F1444" s="11" t="s">
        <v>34</v>
      </c>
      <c r="G1444" s="11">
        <v>839</v>
      </c>
      <c r="H1444" s="11">
        <v>568</v>
      </c>
      <c r="I1444" s="11">
        <v>0</v>
      </c>
      <c r="J1444" s="11">
        <v>0</v>
      </c>
      <c r="K1444" s="11" t="s">
        <v>21</v>
      </c>
      <c r="L1444" s="7">
        <v>42282.979201388887</v>
      </c>
      <c r="M1444" s="12"/>
      <c r="N1444" s="12" t="s">
        <v>178</v>
      </c>
      <c r="O1444" s="10" t="str">
        <f t="shared" ref="O1444:O1446" si="130">HYPERLINK("https://pbs.twimg.com/profile_images/652871584131092480/QA_B6SBO_normal.jpg","View")</f>
        <v>View</v>
      </c>
      <c r="P1444" s="11"/>
    </row>
    <row r="1445" spans="1:16" ht="12.75" x14ac:dyDescent="0.35">
      <c r="A1445" s="7">
        <v>42481.900810185187</v>
      </c>
      <c r="B1445" s="8" t="str">
        <f t="shared" si="129"/>
        <v>@OnlineCarReview</v>
      </c>
      <c r="C1445" s="9" t="s">
        <v>176</v>
      </c>
      <c r="D1445" s="9" t="s">
        <v>3861</v>
      </c>
      <c r="E1445" s="10" t="str">
        <f>HYPERLINK("https://twitter.com/OnlineCarReview/status/723181290770452480","723181290770452480")</f>
        <v>723181290770452480</v>
      </c>
      <c r="F1445" s="11" t="s">
        <v>34</v>
      </c>
      <c r="G1445" s="11">
        <v>839</v>
      </c>
      <c r="H1445" s="11">
        <v>568</v>
      </c>
      <c r="I1445" s="11">
        <v>0</v>
      </c>
      <c r="J1445" s="11">
        <v>0</v>
      </c>
      <c r="K1445" s="11" t="s">
        <v>21</v>
      </c>
      <c r="L1445" s="7">
        <v>42282.979201388887</v>
      </c>
      <c r="M1445" s="12"/>
      <c r="N1445" s="12" t="s">
        <v>178</v>
      </c>
      <c r="O1445" s="10" t="str">
        <f t="shared" si="130"/>
        <v>View</v>
      </c>
      <c r="P1445" s="11"/>
    </row>
    <row r="1446" spans="1:16" ht="12.75" x14ac:dyDescent="0.35">
      <c r="A1446" s="7">
        <v>42481.900810185187</v>
      </c>
      <c r="B1446" s="8" t="str">
        <f t="shared" si="129"/>
        <v>@OnlineCarReview</v>
      </c>
      <c r="C1446" s="9" t="s">
        <v>176</v>
      </c>
      <c r="D1446" s="9" t="s">
        <v>3862</v>
      </c>
      <c r="E1446" s="10" t="str">
        <f>HYPERLINK("https://twitter.com/OnlineCarReview/status/723181292406218754","723181292406218754")</f>
        <v>723181292406218754</v>
      </c>
      <c r="F1446" s="11" t="s">
        <v>34</v>
      </c>
      <c r="G1446" s="11">
        <v>839</v>
      </c>
      <c r="H1446" s="11">
        <v>568</v>
      </c>
      <c r="I1446" s="11">
        <v>0</v>
      </c>
      <c r="J1446" s="11">
        <v>0</v>
      </c>
      <c r="K1446" s="11" t="s">
        <v>21</v>
      </c>
      <c r="L1446" s="7">
        <v>42282.979201388887</v>
      </c>
      <c r="M1446" s="12"/>
      <c r="N1446" s="12" t="s">
        <v>178</v>
      </c>
      <c r="O1446" s="10" t="str">
        <f t="shared" si="130"/>
        <v>View</v>
      </c>
      <c r="P1446" s="11"/>
    </row>
    <row r="1447" spans="1:16" ht="12.75" x14ac:dyDescent="0.35">
      <c r="A1447" s="7">
        <v>42481.900960648149</v>
      </c>
      <c r="B1447" s="8" t="str">
        <f>HYPERLINK("https://twitter.com/nichols_ellen","@nichols_ellen")</f>
        <v>@nichols_ellen</v>
      </c>
      <c r="C1447" s="9" t="s">
        <v>3863</v>
      </c>
      <c r="D1447" s="9" t="s">
        <v>3864</v>
      </c>
      <c r="E1447" s="10" t="str">
        <f>HYPERLINK("https://twitter.com/nichols_ellen/status/723181345585946624","723181345585946624")</f>
        <v>723181345585946624</v>
      </c>
      <c r="F1447" s="11" t="s">
        <v>20</v>
      </c>
      <c r="G1447" s="11">
        <v>14</v>
      </c>
      <c r="H1447" s="11">
        <v>81</v>
      </c>
      <c r="I1447" s="11">
        <v>2</v>
      </c>
      <c r="J1447" s="11">
        <v>0</v>
      </c>
      <c r="K1447" s="11" t="s">
        <v>21</v>
      </c>
      <c r="L1447" s="7">
        <v>41169.911516203705</v>
      </c>
      <c r="M1447" s="12"/>
      <c r="N1447" s="12"/>
      <c r="O1447" s="10" t="str">
        <f>HYPERLINK("https://pbs.twimg.com/profile_images/2620197512/image_normal.jpg","View")</f>
        <v>View</v>
      </c>
      <c r="P1447" s="11"/>
    </row>
    <row r="1448" spans="1:16" ht="12.75" x14ac:dyDescent="0.35">
      <c r="A1448" s="7">
        <v>42481.901030092587</v>
      </c>
      <c r="B1448" s="8" t="str">
        <f>HYPERLINK("https://twitter.com/rbpr","@rbpr")</f>
        <v>@rbpr</v>
      </c>
      <c r="C1448" s="9" t="s">
        <v>3831</v>
      </c>
      <c r="D1448" s="9" t="s">
        <v>3865</v>
      </c>
      <c r="E1448" s="10" t="str">
        <f>HYPERLINK("https://twitter.com/rbpr/status/723181370411884545","723181370411884545")</f>
        <v>723181370411884545</v>
      </c>
      <c r="F1448" s="11" t="s">
        <v>43</v>
      </c>
      <c r="G1448" s="11">
        <v>274</v>
      </c>
      <c r="H1448" s="11">
        <v>546</v>
      </c>
      <c r="I1448" s="11">
        <v>0</v>
      </c>
      <c r="J1448" s="11">
        <v>1</v>
      </c>
      <c r="K1448" s="11" t="s">
        <v>21</v>
      </c>
      <c r="L1448" s="7">
        <v>39624.883877314816</v>
      </c>
      <c r="M1448" s="12" t="s">
        <v>3833</v>
      </c>
      <c r="N1448" s="12" t="s">
        <v>3834</v>
      </c>
      <c r="O1448" s="10" t="str">
        <f>HYPERLINK("https://pbs.twimg.com/profile_images/1875408305/RB2004_bigger_normal.jpg","View")</f>
        <v>View</v>
      </c>
      <c r="P1448" s="11"/>
    </row>
    <row r="1449" spans="1:16" ht="12.75" x14ac:dyDescent="0.35">
      <c r="A1449" s="7">
        <v>42481.901574074072</v>
      </c>
      <c r="B1449" s="8" t="str">
        <f>HYPERLINK("https://twitter.com/RH_Way","@RH_Way")</f>
        <v>@RH_Way</v>
      </c>
      <c r="C1449" s="9" t="s">
        <v>3866</v>
      </c>
      <c r="D1449" s="9" t="s">
        <v>3867</v>
      </c>
      <c r="E1449" s="10" t="str">
        <f>HYPERLINK("https://twitter.com/RH_Way/status/723181566260817920","723181566260817920")</f>
        <v>723181566260817920</v>
      </c>
      <c r="F1449" s="11" t="s">
        <v>20</v>
      </c>
      <c r="G1449" s="11">
        <v>268</v>
      </c>
      <c r="H1449" s="11">
        <v>114</v>
      </c>
      <c r="I1449" s="11">
        <v>0</v>
      </c>
      <c r="J1449" s="11">
        <v>0</v>
      </c>
      <c r="K1449" s="11" t="s">
        <v>21</v>
      </c>
      <c r="L1449" s="7">
        <v>40803.089189814811</v>
      </c>
      <c r="M1449" s="12" t="s">
        <v>1359</v>
      </c>
      <c r="N1449" s="12" t="s">
        <v>3868</v>
      </c>
      <c r="O1449" s="10" t="str">
        <f>HYPERLINK("https://pbs.twimg.com/profile_images/645709342763712512/cv89VSa-_normal.jpg","View")</f>
        <v>View</v>
      </c>
      <c r="P1449" s="11"/>
    </row>
    <row r="1450" spans="1:16" ht="12.75" x14ac:dyDescent="0.35">
      <c r="A1450" s="7">
        <v>42481.901678240742</v>
      </c>
      <c r="B1450" s="8" t="str">
        <f>HYPERLINK("https://twitter.com/AttorneyLending","@AttorneyLending")</f>
        <v>@AttorneyLending</v>
      </c>
      <c r="C1450" s="9" t="s">
        <v>3869</v>
      </c>
      <c r="D1450" s="9" t="s">
        <v>3870</v>
      </c>
      <c r="E1450" s="10" t="str">
        <f>HYPERLINK("https://twitter.com/AttorneyLending/status/723181605490188288","723181605490188288")</f>
        <v>723181605490188288</v>
      </c>
      <c r="F1450" s="11" t="s">
        <v>3871</v>
      </c>
      <c r="G1450" s="11">
        <v>135</v>
      </c>
      <c r="H1450" s="11">
        <v>199</v>
      </c>
      <c r="I1450" s="11">
        <v>2</v>
      </c>
      <c r="J1450" s="11">
        <v>0</v>
      </c>
      <c r="K1450" s="11" t="s">
        <v>21</v>
      </c>
      <c r="L1450" s="7">
        <v>40782.085266203707</v>
      </c>
      <c r="M1450" s="12" t="s">
        <v>237</v>
      </c>
      <c r="N1450" s="12" t="s">
        <v>3872</v>
      </c>
      <c r="O1450" s="10" t="str">
        <f>HYPERLINK("https://pbs.twimg.com/profile_images/489869773597986816/qXB3yWJn_normal.jpeg","View")</f>
        <v>View</v>
      </c>
      <c r="P1450" s="11"/>
    </row>
    <row r="1451" spans="1:16" ht="12.75" x14ac:dyDescent="0.35">
      <c r="A1451" s="7">
        <v>42481.901886574073</v>
      </c>
      <c r="B1451" s="8" t="str">
        <f>HYPERLINK("https://twitter.com/andrewsduncan1","@andrewsduncan1")</f>
        <v>@andrewsduncan1</v>
      </c>
      <c r="C1451" s="9" t="s">
        <v>117</v>
      </c>
      <c r="D1451" s="9" t="s">
        <v>3873</v>
      </c>
      <c r="E1451" s="10" t="str">
        <f>HYPERLINK("https://twitter.com/andrewsduncan1/status/723181679448305664","723181679448305664")</f>
        <v>723181679448305664</v>
      </c>
      <c r="F1451" s="11" t="s">
        <v>91</v>
      </c>
      <c r="G1451" s="11">
        <v>681</v>
      </c>
      <c r="H1451" s="11">
        <v>681</v>
      </c>
      <c r="I1451" s="11">
        <v>0</v>
      </c>
      <c r="J1451" s="11">
        <v>0</v>
      </c>
      <c r="K1451" s="11" t="s">
        <v>21</v>
      </c>
      <c r="L1451" s="7">
        <v>41230.802256944444</v>
      </c>
      <c r="M1451" s="12" t="s">
        <v>120</v>
      </c>
      <c r="N1451" s="12" t="s">
        <v>121</v>
      </c>
      <c r="O1451" s="10" t="str">
        <f>HYPERLINK("https://pbs.twimg.com/profile_images/663730127906463744/l017r0-__normal.jpg","View")</f>
        <v>View</v>
      </c>
      <c r="P1451" s="11"/>
    </row>
    <row r="1452" spans="1:16" ht="12.75" x14ac:dyDescent="0.35">
      <c r="A1452" s="7">
        <v>42481.901979166665</v>
      </c>
      <c r="B1452" s="8" t="str">
        <f>HYPERLINK("https://twitter.com/pcbritz","@pcbritz")</f>
        <v>@pcbritz</v>
      </c>
      <c r="C1452" s="9" t="s">
        <v>3091</v>
      </c>
      <c r="D1452" s="9" t="s">
        <v>3874</v>
      </c>
      <c r="E1452" s="10" t="str">
        <f>HYPERLINK("https://twitter.com/pcbritz/status/723181715120873472","723181715120873472")</f>
        <v>723181715120873472</v>
      </c>
      <c r="F1452" s="11" t="s">
        <v>48</v>
      </c>
      <c r="G1452" s="11">
        <v>1036</v>
      </c>
      <c r="H1452" s="11">
        <v>885</v>
      </c>
      <c r="I1452" s="11">
        <v>1</v>
      </c>
      <c r="J1452" s="11">
        <v>0</v>
      </c>
      <c r="K1452" s="11" t="s">
        <v>21</v>
      </c>
      <c r="L1452" s="7">
        <v>39910.072002314817</v>
      </c>
      <c r="M1452" s="12" t="s">
        <v>3093</v>
      </c>
      <c r="N1452" s="12" t="s">
        <v>3094</v>
      </c>
      <c r="O1452" s="10" t="str">
        <f>HYPERLINK("https://pbs.twimg.com/profile_images/722823782017200130/VreCKi-k_normal.jpg","View")</f>
        <v>View</v>
      </c>
      <c r="P1452" s="11"/>
    </row>
    <row r="1453" spans="1:16" ht="12.75" x14ac:dyDescent="0.35">
      <c r="A1453" s="7">
        <v>42481.902118055557</v>
      </c>
      <c r="B1453" s="8" t="str">
        <f>HYPERLINK("https://twitter.com/SexenioCDMX","@SexenioCDMX")</f>
        <v>@SexenioCDMX</v>
      </c>
      <c r="C1453" s="9" t="s">
        <v>3020</v>
      </c>
      <c r="D1453" s="9" t="s">
        <v>3875</v>
      </c>
      <c r="E1453" s="10" t="str">
        <f>HYPERLINK("https://twitter.com/SexenioCDMX/status/723181764806512640","723181764806512640")</f>
        <v>723181764806512640</v>
      </c>
      <c r="F1453" s="11" t="s">
        <v>63</v>
      </c>
      <c r="G1453" s="11">
        <v>91697</v>
      </c>
      <c r="H1453" s="11">
        <v>81619</v>
      </c>
      <c r="I1453" s="11">
        <v>0</v>
      </c>
      <c r="J1453" s="11">
        <v>0</v>
      </c>
      <c r="K1453" s="11" t="s">
        <v>21</v>
      </c>
      <c r="L1453" s="7">
        <v>41029.45988425926</v>
      </c>
      <c r="M1453" s="12" t="s">
        <v>3022</v>
      </c>
      <c r="N1453" s="12" t="s">
        <v>3023</v>
      </c>
      <c r="O1453" s="10" t="str">
        <f>HYPERLINK("https://pbs.twimg.com/profile_images/693156293842894848/THX8L389_normal.jpg","View")</f>
        <v>View</v>
      </c>
      <c r="P1453" s="11"/>
    </row>
    <row r="1454" spans="1:16" ht="12.75" x14ac:dyDescent="0.35">
      <c r="A1454" s="7">
        <v>42481.902129629627</v>
      </c>
      <c r="B1454" s="8" t="str">
        <f>HYPERLINK("https://twitter.com/SexenioMX","@SexenioMX")</f>
        <v>@SexenioMX</v>
      </c>
      <c r="C1454" s="9" t="s">
        <v>3024</v>
      </c>
      <c r="D1454" s="9" t="s">
        <v>3876</v>
      </c>
      <c r="E1454" s="10" t="str">
        <f>HYPERLINK("https://twitter.com/SexenioMX/status/723181770938535936","723181770938535936")</f>
        <v>723181770938535936</v>
      </c>
      <c r="F1454" s="11" t="s">
        <v>63</v>
      </c>
      <c r="G1454" s="11">
        <v>1789832</v>
      </c>
      <c r="H1454" s="11">
        <v>476</v>
      </c>
      <c r="I1454" s="11">
        <v>1</v>
      </c>
      <c r="J1454" s="11">
        <v>4</v>
      </c>
      <c r="K1454" s="11" t="s">
        <v>21</v>
      </c>
      <c r="L1454" s="7">
        <v>40619.200162037036</v>
      </c>
      <c r="M1454" s="12" t="s">
        <v>462</v>
      </c>
      <c r="N1454" s="12" t="s">
        <v>3026</v>
      </c>
      <c r="O1454" s="10" t="str">
        <f>HYPERLINK("https://pbs.twimg.com/profile_images/700415860230397952/tCGmCj6M_normal.jpg","View")</f>
        <v>View</v>
      </c>
      <c r="P1454" s="11"/>
    </row>
    <row r="1455" spans="1:16" ht="12.75" x14ac:dyDescent="0.35">
      <c r="A1455" s="7">
        <v>42481.902222222227</v>
      </c>
      <c r="B1455" s="8" t="str">
        <f>HYPERLINK("https://twitter.com/iCaramba","@iCaramba")</f>
        <v>@iCaramba</v>
      </c>
      <c r="C1455" s="9" t="s">
        <v>3877</v>
      </c>
      <c r="D1455" s="9" t="s">
        <v>3878</v>
      </c>
      <c r="E1455" s="10" t="str">
        <f>HYPERLINK("https://twitter.com/iCaramba/status/723181800814600192","723181800814600192")</f>
        <v>723181800814600192</v>
      </c>
      <c r="F1455" s="11" t="s">
        <v>43</v>
      </c>
      <c r="G1455" s="11">
        <v>327</v>
      </c>
      <c r="H1455" s="11">
        <v>191</v>
      </c>
      <c r="I1455" s="11">
        <v>1</v>
      </c>
      <c r="J1455" s="11">
        <v>0</v>
      </c>
      <c r="K1455" s="11" t="s">
        <v>21</v>
      </c>
      <c r="L1455" s="7">
        <v>39839.758761574078</v>
      </c>
      <c r="M1455" s="12" t="s">
        <v>2515</v>
      </c>
      <c r="N1455" s="12" t="s">
        <v>3879</v>
      </c>
      <c r="O1455" s="10" t="str">
        <f>HYPERLINK("https://pbs.twimg.com/profile_images/621306610389020672/EYzptdxf_normal.jpg","View")</f>
        <v>View</v>
      </c>
      <c r="P1455" s="11"/>
    </row>
    <row r="1456" spans="1:16" ht="12.75" x14ac:dyDescent="0.35">
      <c r="A1456" s="7">
        <v>42481.902222222227</v>
      </c>
      <c r="B1456" s="8" t="str">
        <f>HYPERLINK("https://twitter.com/Spicer_Meg","@Spicer_Meg")</f>
        <v>@Spicer_Meg</v>
      </c>
      <c r="C1456" s="9" t="s">
        <v>3880</v>
      </c>
      <c r="D1456" s="9" t="s">
        <v>3881</v>
      </c>
      <c r="E1456" s="10" t="str">
        <f>HYPERLINK("https://twitter.com/Spicer_Meg/status/723181804669292544","723181804669292544")</f>
        <v>723181804669292544</v>
      </c>
      <c r="F1456" s="11" t="s">
        <v>63</v>
      </c>
      <c r="G1456" s="11">
        <v>601</v>
      </c>
      <c r="H1456" s="11">
        <v>943</v>
      </c>
      <c r="I1456" s="11">
        <v>0</v>
      </c>
      <c r="J1456" s="11">
        <v>0</v>
      </c>
      <c r="K1456" s="11" t="s">
        <v>21</v>
      </c>
      <c r="L1456" s="7">
        <v>41309.966990740737</v>
      </c>
      <c r="M1456" s="12" t="s">
        <v>2535</v>
      </c>
      <c r="N1456" s="12" t="s">
        <v>3882</v>
      </c>
      <c r="O1456" s="10" t="str">
        <f>HYPERLINK("https://pbs.twimg.com/profile_images/709020108849545216/-1alR0dU_normal.jpg","View")</f>
        <v>View</v>
      </c>
      <c r="P1456" s="11"/>
    </row>
    <row r="1457" spans="1:16" ht="12.75" x14ac:dyDescent="0.35">
      <c r="A1457" s="7">
        <v>42481.902222222227</v>
      </c>
      <c r="B1457" s="8" t="str">
        <f>HYPERLINK("https://twitter.com/CTLawTribune","@CTLawTribune")</f>
        <v>@CTLawTribune</v>
      </c>
      <c r="C1457" s="9" t="s">
        <v>3883</v>
      </c>
      <c r="D1457" s="9" t="s">
        <v>3884</v>
      </c>
      <c r="E1457" s="10" t="str">
        <f>HYPERLINK("https://twitter.com/CTLawTribune/status/723181804727996417","723181804727996417")</f>
        <v>723181804727996417</v>
      </c>
      <c r="F1457" s="11" t="s">
        <v>63</v>
      </c>
      <c r="G1457" s="11">
        <v>1831</v>
      </c>
      <c r="H1457" s="11">
        <v>1082</v>
      </c>
      <c r="I1457" s="11">
        <v>2</v>
      </c>
      <c r="J1457" s="11">
        <v>0</v>
      </c>
      <c r="K1457" s="11" t="s">
        <v>21</v>
      </c>
      <c r="L1457" s="7">
        <v>40654.890081018515</v>
      </c>
      <c r="M1457" s="12" t="s">
        <v>2535</v>
      </c>
      <c r="N1457" s="12" t="s">
        <v>3885</v>
      </c>
      <c r="O1457" s="10" t="str">
        <f>HYPERLINK("https://pbs.twimg.com/profile_images/1320001153/CLTweb_normal.gif","View")</f>
        <v>View</v>
      </c>
      <c r="P1457" s="11"/>
    </row>
    <row r="1458" spans="1:16" ht="12.75" x14ac:dyDescent="0.35">
      <c r="A1458" s="7">
        <v>42481.902233796296</v>
      </c>
      <c r="B1458" s="8" t="str">
        <f>HYPERLINK("https://twitter.com/Einstein_MTMP","@Einstein_MTMP")</f>
        <v>@Einstein_MTMP</v>
      </c>
      <c r="C1458" s="9" t="s">
        <v>3886</v>
      </c>
      <c r="D1458" s="9" t="s">
        <v>3887</v>
      </c>
      <c r="E1458" s="10" t="str">
        <f>HYPERLINK("https://twitter.com/Einstein_MTMP/status/723181806909054976","723181806909054976")</f>
        <v>723181806909054976</v>
      </c>
      <c r="F1458" s="11" t="s">
        <v>152</v>
      </c>
      <c r="G1458" s="11">
        <v>19</v>
      </c>
      <c r="H1458" s="11">
        <v>60</v>
      </c>
      <c r="I1458" s="11">
        <v>1</v>
      </c>
      <c r="J1458" s="11">
        <v>0</v>
      </c>
      <c r="K1458" s="11" t="s">
        <v>21</v>
      </c>
      <c r="L1458" s="7">
        <v>42447.104027777779</v>
      </c>
      <c r="M1458" s="12" t="s">
        <v>3722</v>
      </c>
      <c r="N1458" s="12" t="s">
        <v>3888</v>
      </c>
      <c r="O1458" s="10" t="str">
        <f>HYPERLINK("https://pbs.twimg.com/profile_images/710571670709243905/MpmsNXj6_normal.jpg","View")</f>
        <v>View</v>
      </c>
      <c r="P1458" s="11"/>
    </row>
    <row r="1459" spans="1:16" ht="12.75" x14ac:dyDescent="0.35">
      <c r="A1459" s="7">
        <v>42481.90225694445</v>
      </c>
      <c r="B1459" s="8" t="str">
        <f>HYPERLINK("https://twitter.com/RodriMachado15","@RodriMachado15")</f>
        <v>@RodriMachado15</v>
      </c>
      <c r="C1459" s="9" t="s">
        <v>3889</v>
      </c>
      <c r="D1459" s="9" t="s">
        <v>2825</v>
      </c>
      <c r="E1459" s="10" t="str">
        <f>HYPERLINK("https://twitter.com/RodriMachado15/status/723181816623042560","723181816623042560")</f>
        <v>723181816623042560</v>
      </c>
      <c r="F1459" s="11" t="s">
        <v>48</v>
      </c>
      <c r="G1459" s="11">
        <v>678</v>
      </c>
      <c r="H1459" s="11">
        <v>549</v>
      </c>
      <c r="I1459" s="11">
        <v>53</v>
      </c>
      <c r="J1459" s="11">
        <v>0</v>
      </c>
      <c r="K1459" s="11" t="s">
        <v>21</v>
      </c>
      <c r="L1459" s="7">
        <v>41699.483634259261</v>
      </c>
      <c r="M1459" s="12"/>
      <c r="N1459" s="12" t="s">
        <v>3890</v>
      </c>
      <c r="O1459" s="10" t="str">
        <f>HYPERLINK("https://pbs.twimg.com/profile_images/720808785275723781/lvAei3oI_normal.jpg","View")</f>
        <v>View</v>
      </c>
      <c r="P1459" s="11"/>
    </row>
    <row r="1460" spans="1:16" ht="12.75" x14ac:dyDescent="0.35">
      <c r="A1460" s="7">
        <v>42481.902291666665</v>
      </c>
      <c r="B1460" s="8" t="str">
        <f>HYPERLINK("https://twitter.com/Tonelli22","@Tonelli22")</f>
        <v>@Tonelli22</v>
      </c>
      <c r="C1460" s="9" t="s">
        <v>3891</v>
      </c>
      <c r="D1460" s="9" t="s">
        <v>3892</v>
      </c>
      <c r="E1460" s="10" t="str">
        <f>HYPERLINK("https://twitter.com/Tonelli22/status/723181826538348544","723181826538348544")</f>
        <v>723181826538348544</v>
      </c>
      <c r="F1460" s="11" t="s">
        <v>48</v>
      </c>
      <c r="G1460" s="11">
        <v>694</v>
      </c>
      <c r="H1460" s="11">
        <v>719</v>
      </c>
      <c r="I1460" s="11">
        <v>25</v>
      </c>
      <c r="J1460" s="11">
        <v>0</v>
      </c>
      <c r="K1460" s="11" t="s">
        <v>21</v>
      </c>
      <c r="L1460" s="7">
        <v>41388.24055555556</v>
      </c>
      <c r="M1460" s="12"/>
      <c r="N1460" s="12" t="s">
        <v>3893</v>
      </c>
      <c r="O1460" s="10" t="str">
        <f>HYPERLINK("https://pbs.twimg.com/profile_images/722256787009859584/vkuTNBGF_normal.jpg","View")</f>
        <v>View</v>
      </c>
      <c r="P1460" s="11"/>
    </row>
    <row r="1461" spans="1:16" ht="12.75" x14ac:dyDescent="0.35">
      <c r="A1461" s="7">
        <v>42481.902418981481</v>
      </c>
      <c r="B1461" s="8" t="str">
        <f>HYPERLINK("https://twitter.com/EinsteinLaw","@EinsteinLaw")</f>
        <v>@EinsteinLaw</v>
      </c>
      <c r="C1461" s="9" t="s">
        <v>3886</v>
      </c>
      <c r="D1461" s="9" t="s">
        <v>3894</v>
      </c>
      <c r="E1461" s="10" t="str">
        <f>HYPERLINK("https://twitter.com/EinsteinLaw/status/723181872839168000","723181872839168000")</f>
        <v>723181872839168000</v>
      </c>
      <c r="F1461" s="11" t="s">
        <v>43</v>
      </c>
      <c r="G1461" s="11">
        <v>1014</v>
      </c>
      <c r="H1461" s="11">
        <v>846</v>
      </c>
      <c r="I1461" s="11">
        <v>2</v>
      </c>
      <c r="J1461" s="11">
        <v>0</v>
      </c>
      <c r="K1461" s="11" t="s">
        <v>21</v>
      </c>
      <c r="L1461" s="7">
        <v>41117.1015625</v>
      </c>
      <c r="M1461" s="12" t="s">
        <v>3722</v>
      </c>
      <c r="N1461" s="12" t="s">
        <v>3895</v>
      </c>
      <c r="O1461" s="10" t="str">
        <f>HYPERLINK("https://pbs.twimg.com/profile_images/601443139006566400/jVD8Xyb1_normal.png","View")</f>
        <v>View</v>
      </c>
      <c r="P1461" s="11"/>
    </row>
    <row r="1462" spans="1:16" ht="12.75" x14ac:dyDescent="0.35">
      <c r="A1462" s="7">
        <v>42481.90252314815</v>
      </c>
      <c r="B1462" s="8" t="str">
        <f>HYPERLINK("https://twitter.com/jannikkel6","@jannikkel6")</f>
        <v>@jannikkel6</v>
      </c>
      <c r="C1462" s="9" t="s">
        <v>3331</v>
      </c>
      <c r="D1462" s="9" t="s">
        <v>3896</v>
      </c>
      <c r="E1462" s="10" t="str">
        <f>HYPERLINK("https://twitter.com/jannikkel6/status/723181910223106051","723181910223106051")</f>
        <v>723181910223106051</v>
      </c>
      <c r="F1462" s="11" t="s">
        <v>48</v>
      </c>
      <c r="G1462" s="11">
        <v>188</v>
      </c>
      <c r="H1462" s="11">
        <v>240</v>
      </c>
      <c r="I1462" s="11">
        <v>0</v>
      </c>
      <c r="J1462" s="11">
        <v>0</v>
      </c>
      <c r="K1462" s="11" t="s">
        <v>21</v>
      </c>
      <c r="L1462" s="7">
        <v>42109.826608796298</v>
      </c>
      <c r="M1462" s="12"/>
      <c r="N1462" s="12" t="s">
        <v>3333</v>
      </c>
      <c r="O1462" s="10" t="str">
        <f>HYPERLINK("https://pbs.twimg.com/profile_images/588735849979842560/-5qGoCul_normal.png","View")</f>
        <v>View</v>
      </c>
      <c r="P1462" s="11"/>
    </row>
    <row r="1463" spans="1:16" ht="12.75" x14ac:dyDescent="0.35">
      <c r="A1463" s="7">
        <v>42481.902777777781</v>
      </c>
      <c r="B1463" s="8" t="str">
        <f>HYPERLINK("https://twitter.com/Einstein_MTMP","@Einstein_MTMP")</f>
        <v>@Einstein_MTMP</v>
      </c>
      <c r="C1463" s="9" t="s">
        <v>3886</v>
      </c>
      <c r="D1463" s="9" t="s">
        <v>3894</v>
      </c>
      <c r="E1463" s="10" t="str">
        <f>HYPERLINK("https://twitter.com/Einstein_MTMP/status/723182003072307200","723182003072307200")</f>
        <v>723182003072307200</v>
      </c>
      <c r="F1463" s="11" t="s">
        <v>43</v>
      </c>
      <c r="G1463" s="11">
        <v>19</v>
      </c>
      <c r="H1463" s="11">
        <v>60</v>
      </c>
      <c r="I1463" s="11">
        <v>2</v>
      </c>
      <c r="J1463" s="11">
        <v>0</v>
      </c>
      <c r="K1463" s="11" t="s">
        <v>21</v>
      </c>
      <c r="L1463" s="7">
        <v>42447.104027777779</v>
      </c>
      <c r="M1463" s="12" t="s">
        <v>3722</v>
      </c>
      <c r="N1463" s="12" t="s">
        <v>3888</v>
      </c>
      <c r="O1463" s="10" t="str">
        <f>HYPERLINK("https://pbs.twimg.com/profile_images/710571670709243905/MpmsNXj6_normal.jpg","View")</f>
        <v>View</v>
      </c>
      <c r="P1463" s="11"/>
    </row>
    <row r="1464" spans="1:16" ht="12.75" x14ac:dyDescent="0.35">
      <c r="A1464" s="7">
        <v>42481.902777777781</v>
      </c>
      <c r="B1464" s="8" t="str">
        <f>HYPERLINK("https://twitter.com/drivingsales","@drivingsales")</f>
        <v>@drivingsales</v>
      </c>
      <c r="C1464" s="9" t="s">
        <v>3897</v>
      </c>
      <c r="D1464" s="9" t="s">
        <v>3898</v>
      </c>
      <c r="E1464" s="10" t="str">
        <f>HYPERLINK("https://twitter.com/drivingsales/status/723182004464922624","723182004464922624")</f>
        <v>723182004464922624</v>
      </c>
      <c r="F1464" s="11" t="s">
        <v>3871</v>
      </c>
      <c r="G1464" s="11">
        <v>11193</v>
      </c>
      <c r="H1464" s="11">
        <v>1122</v>
      </c>
      <c r="I1464" s="11">
        <v>0</v>
      </c>
      <c r="J1464" s="11">
        <v>1</v>
      </c>
      <c r="K1464" s="11" t="s">
        <v>21</v>
      </c>
      <c r="L1464" s="7">
        <v>39673.986400462964</v>
      </c>
      <c r="M1464" s="12" t="s">
        <v>3899</v>
      </c>
      <c r="N1464" s="12" t="s">
        <v>3900</v>
      </c>
      <c r="O1464" s="10" t="str">
        <f>HYPERLINK("https://pbs.twimg.com/profile_images/654794006421856256/WvLcZ_Wx_normal.png","View")</f>
        <v>View</v>
      </c>
      <c r="P1464" s="11"/>
    </row>
    <row r="1465" spans="1:16" ht="12.75" x14ac:dyDescent="0.35">
      <c r="A1465" s="7">
        <v>42481.902986111112</v>
      </c>
      <c r="B1465" s="8" t="str">
        <f>HYPERLINK("https://twitter.com/franka_kuehn","@franka_kuehn")</f>
        <v>@franka_kuehn</v>
      </c>
      <c r="C1465" s="9" t="s">
        <v>2386</v>
      </c>
      <c r="D1465" s="9" t="s">
        <v>3901</v>
      </c>
      <c r="E1465" s="10" t="str">
        <f>HYPERLINK("https://twitter.com/franka_kuehn/status/723182078074843136","723182078074843136")</f>
        <v>723182078074843136</v>
      </c>
      <c r="F1465" s="11" t="s">
        <v>43</v>
      </c>
      <c r="G1465" s="11">
        <v>392</v>
      </c>
      <c r="H1465" s="11">
        <v>412</v>
      </c>
      <c r="I1465" s="11">
        <v>4</v>
      </c>
      <c r="J1465" s="11">
        <v>1</v>
      </c>
      <c r="K1465" s="11" t="s">
        <v>21</v>
      </c>
      <c r="L1465" s="7">
        <v>41792.855011574073</v>
      </c>
      <c r="M1465" s="12" t="s">
        <v>1359</v>
      </c>
      <c r="N1465" s="12" t="s">
        <v>2387</v>
      </c>
      <c r="O1465" s="10" t="str">
        <f>HYPERLINK("https://pbs.twimg.com/profile_images/530281935289851905/gYVTeJZK_normal.jpeg","View")</f>
        <v>View</v>
      </c>
      <c r="P1465" s="11"/>
    </row>
    <row r="1466" spans="1:16" ht="12.75" x14ac:dyDescent="0.35">
      <c r="A1466" s="7">
        <v>42481.902986111112</v>
      </c>
      <c r="B1466" s="8" t="str">
        <f>HYPERLINK("https://twitter.com/Tonelli22","@Tonelli22")</f>
        <v>@Tonelli22</v>
      </c>
      <c r="C1466" s="9" t="s">
        <v>3891</v>
      </c>
      <c r="D1466" s="9" t="s">
        <v>3902</v>
      </c>
      <c r="E1466" s="10" t="str">
        <f>HYPERLINK("https://twitter.com/Tonelli22/status/723182080105037824","723182080105037824")</f>
        <v>723182080105037824</v>
      </c>
      <c r="F1466" s="11" t="s">
        <v>48</v>
      </c>
      <c r="G1466" s="11">
        <v>694</v>
      </c>
      <c r="H1466" s="11">
        <v>719</v>
      </c>
      <c r="I1466" s="11">
        <v>14</v>
      </c>
      <c r="J1466" s="11">
        <v>0</v>
      </c>
      <c r="K1466" s="11" t="s">
        <v>21</v>
      </c>
      <c r="L1466" s="7">
        <v>41388.24055555556</v>
      </c>
      <c r="M1466" s="12"/>
      <c r="N1466" s="12" t="s">
        <v>3893</v>
      </c>
      <c r="O1466" s="10" t="str">
        <f>HYPERLINK("https://pbs.twimg.com/profile_images/722256787009859584/vkuTNBGF_normal.jpg","View")</f>
        <v>View</v>
      </c>
      <c r="P1466" s="11"/>
    </row>
    <row r="1467" spans="1:16" ht="12.75" x14ac:dyDescent="0.35">
      <c r="A1467" s="7">
        <v>42481.902997685189</v>
      </c>
      <c r="B1467" s="8" t="str">
        <f>HYPERLINK("https://twitter.com/daniel_st_unam","@daniel_st_unam")</f>
        <v>@daniel_st_unam</v>
      </c>
      <c r="C1467" s="9" t="s">
        <v>3903</v>
      </c>
      <c r="D1467" s="9" t="s">
        <v>3904</v>
      </c>
      <c r="E1467" s="10" t="str">
        <f>HYPERLINK("https://twitter.com/daniel_st_unam/status/723182083149983745","723182083149983745")</f>
        <v>723182083149983745</v>
      </c>
      <c r="F1467" s="11" t="s">
        <v>43</v>
      </c>
      <c r="G1467" s="11">
        <v>273</v>
      </c>
      <c r="H1467" s="11">
        <v>1418</v>
      </c>
      <c r="I1467" s="11">
        <v>1</v>
      </c>
      <c r="J1467" s="11">
        <v>0</v>
      </c>
      <c r="K1467" s="11" t="s">
        <v>21</v>
      </c>
      <c r="L1467" s="7">
        <v>40338.340312500004</v>
      </c>
      <c r="M1467" s="12" t="s">
        <v>3905</v>
      </c>
      <c r="N1467" s="12" t="s">
        <v>3906</v>
      </c>
      <c r="O1467" s="10" t="str">
        <f>HYPERLINK("https://pbs.twimg.com/profile_images/695655565431689216/5HrvLsLP_normal.jpg","View")</f>
        <v>View</v>
      </c>
      <c r="P1467" s="11"/>
    </row>
    <row r="1468" spans="1:16" ht="12.75" x14ac:dyDescent="0.35">
      <c r="A1468" s="7">
        <v>42481.903032407412</v>
      </c>
      <c r="B1468" s="8" t="str">
        <f>HYPERLINK("https://twitter.com/NachoSinatra","@NachoSinatra")</f>
        <v>@NachoSinatra</v>
      </c>
      <c r="C1468" s="9" t="s">
        <v>3907</v>
      </c>
      <c r="D1468" s="9" t="s">
        <v>2825</v>
      </c>
      <c r="E1468" s="10" t="str">
        <f>HYPERLINK("https://twitter.com/NachoSinatra/status/723182096202735616","723182096202735616")</f>
        <v>723182096202735616</v>
      </c>
      <c r="F1468" s="11" t="s">
        <v>48</v>
      </c>
      <c r="G1468" s="11">
        <v>380</v>
      </c>
      <c r="H1468" s="11">
        <v>339</v>
      </c>
      <c r="I1468" s="11">
        <v>53</v>
      </c>
      <c r="J1468" s="11">
        <v>0</v>
      </c>
      <c r="K1468" s="11" t="s">
        <v>21</v>
      </c>
      <c r="L1468" s="7">
        <v>40665.1015625</v>
      </c>
      <c r="M1468" s="12" t="s">
        <v>3908</v>
      </c>
      <c r="N1468" s="12" t="s">
        <v>3909</v>
      </c>
      <c r="O1468" s="10" t="str">
        <f>HYPERLINK("https://pbs.twimg.com/profile_images/677367923506311168/QwkQcBVL_normal.jpg","View")</f>
        <v>View</v>
      </c>
      <c r="P1468" s="11"/>
    </row>
    <row r="1469" spans="1:16" ht="12.75" x14ac:dyDescent="0.35">
      <c r="A1469" s="7">
        <v>42481.903043981481</v>
      </c>
      <c r="B1469" s="8" t="str">
        <f t="shared" ref="B1469:B1470" si="131">HYPERLINK("https://twitter.com/Tonelli22","@Tonelli22")</f>
        <v>@Tonelli22</v>
      </c>
      <c r="C1469" s="9" t="s">
        <v>3891</v>
      </c>
      <c r="D1469" s="9" t="s">
        <v>3910</v>
      </c>
      <c r="E1469" s="10" t="str">
        <f>HYPERLINK("https://twitter.com/Tonelli22/status/723182101126909952","723182101126909952")</f>
        <v>723182101126909952</v>
      </c>
      <c r="F1469" s="11" t="s">
        <v>48</v>
      </c>
      <c r="G1469" s="11">
        <v>694</v>
      </c>
      <c r="H1469" s="11">
        <v>719</v>
      </c>
      <c r="I1469" s="11">
        <v>67</v>
      </c>
      <c r="J1469" s="11">
        <v>0</v>
      </c>
      <c r="K1469" s="11" t="s">
        <v>21</v>
      </c>
      <c r="L1469" s="7">
        <v>41388.24055555556</v>
      </c>
      <c r="M1469" s="12"/>
      <c r="N1469" s="12" t="s">
        <v>3893</v>
      </c>
      <c r="O1469" s="10" t="str">
        <f t="shared" ref="O1469:O1470" si="132">HYPERLINK("https://pbs.twimg.com/profile_images/722256787009859584/vkuTNBGF_normal.jpg","View")</f>
        <v>View</v>
      </c>
      <c r="P1469" s="11"/>
    </row>
    <row r="1470" spans="1:16" ht="12.75" x14ac:dyDescent="0.35">
      <c r="A1470" s="7">
        <v>42481.903113425928</v>
      </c>
      <c r="B1470" s="8" t="str">
        <f t="shared" si="131"/>
        <v>@Tonelli22</v>
      </c>
      <c r="C1470" s="9" t="s">
        <v>3891</v>
      </c>
      <c r="D1470" s="9" t="s">
        <v>3911</v>
      </c>
      <c r="E1470" s="10" t="str">
        <f>HYPERLINK("https://twitter.com/Tonelli22/status/723182124753408000","723182124753408000")</f>
        <v>723182124753408000</v>
      </c>
      <c r="F1470" s="11" t="s">
        <v>48</v>
      </c>
      <c r="G1470" s="11">
        <v>694</v>
      </c>
      <c r="H1470" s="11">
        <v>719</v>
      </c>
      <c r="I1470" s="11">
        <v>135</v>
      </c>
      <c r="J1470" s="11">
        <v>0</v>
      </c>
      <c r="K1470" s="11" t="s">
        <v>21</v>
      </c>
      <c r="L1470" s="7">
        <v>41388.24055555556</v>
      </c>
      <c r="M1470" s="12"/>
      <c r="N1470" s="12" t="s">
        <v>3893</v>
      </c>
      <c r="O1470" s="10" t="str">
        <f t="shared" si="132"/>
        <v>View</v>
      </c>
      <c r="P1470" s="11"/>
    </row>
    <row r="1471" spans="1:16" ht="12.75" x14ac:dyDescent="0.35">
      <c r="A1471" s="7">
        <v>42481.903287037036</v>
      </c>
      <c r="B1471" s="8" t="str">
        <f>HYPERLINK("https://twitter.com/rbpr","@rbpr")</f>
        <v>@rbpr</v>
      </c>
      <c r="C1471" s="9" t="s">
        <v>3831</v>
      </c>
      <c r="D1471" s="9" t="s">
        <v>3912</v>
      </c>
      <c r="E1471" s="10" t="str">
        <f>HYPERLINK("https://twitter.com/rbpr/status/723182188536041475","723182188536041475")</f>
        <v>723182188536041475</v>
      </c>
      <c r="F1471" s="11" t="s">
        <v>43</v>
      </c>
      <c r="G1471" s="11">
        <v>274</v>
      </c>
      <c r="H1471" s="11">
        <v>546</v>
      </c>
      <c r="I1471" s="11">
        <v>0</v>
      </c>
      <c r="J1471" s="11">
        <v>0</v>
      </c>
      <c r="K1471" s="11" t="s">
        <v>21</v>
      </c>
      <c r="L1471" s="7">
        <v>39624.883877314816</v>
      </c>
      <c r="M1471" s="12" t="s">
        <v>3833</v>
      </c>
      <c r="N1471" s="12" t="s">
        <v>3834</v>
      </c>
      <c r="O1471" s="10" t="str">
        <f>HYPERLINK("https://pbs.twimg.com/profile_images/1875408305/RB2004_bigger_normal.jpg","View")</f>
        <v>View</v>
      </c>
      <c r="P1471" s="11"/>
    </row>
    <row r="1472" spans="1:16" ht="12.75" x14ac:dyDescent="0.35">
      <c r="A1472" s="7">
        <v>42481.903333333335</v>
      </c>
      <c r="B1472" s="8" t="str">
        <f>HYPERLINK("https://twitter.com/volcombug","@volcombug")</f>
        <v>@volcombug</v>
      </c>
      <c r="C1472" s="9" t="s">
        <v>3913</v>
      </c>
      <c r="D1472" s="9" t="s">
        <v>3584</v>
      </c>
      <c r="E1472" s="10" t="str">
        <f>HYPERLINK("https://twitter.com/volcombug/status/723182204050804736","723182204050804736")</f>
        <v>723182204050804736</v>
      </c>
      <c r="F1472" s="11" t="s">
        <v>43</v>
      </c>
      <c r="G1472" s="11">
        <v>265</v>
      </c>
      <c r="H1472" s="11">
        <v>500</v>
      </c>
      <c r="I1472" s="11">
        <v>9</v>
      </c>
      <c r="J1472" s="11">
        <v>0</v>
      </c>
      <c r="K1472" s="11" t="s">
        <v>21</v>
      </c>
      <c r="L1472" s="7">
        <v>39800.298009259262</v>
      </c>
      <c r="M1472" s="12" t="s">
        <v>3914</v>
      </c>
      <c r="N1472" s="12" t="s">
        <v>3915</v>
      </c>
      <c r="O1472" s="10" t="str">
        <f>HYPERLINK("https://pbs.twimg.com/profile_images/683168753639489536/ooTROAP5_normal.jpg","View")</f>
        <v>View</v>
      </c>
      <c r="P1472" s="11"/>
    </row>
    <row r="1473" spans="1:16" ht="12.75" x14ac:dyDescent="0.35">
      <c r="A1473" s="7">
        <v>42481.903344907405</v>
      </c>
      <c r="B1473" s="8" t="str">
        <f>HYPERLINK("https://twitter.com/EinsteinLaw","@EinsteinLaw")</f>
        <v>@EinsteinLaw</v>
      </c>
      <c r="C1473" s="9" t="s">
        <v>3886</v>
      </c>
      <c r="D1473" s="9" t="s">
        <v>3916</v>
      </c>
      <c r="E1473" s="10" t="str">
        <f>HYPERLINK("https://twitter.com/EinsteinLaw/status/723182208786128896","723182208786128896")</f>
        <v>723182208786128896</v>
      </c>
      <c r="F1473" s="11" t="s">
        <v>43</v>
      </c>
      <c r="G1473" s="11">
        <v>1014</v>
      </c>
      <c r="H1473" s="11">
        <v>846</v>
      </c>
      <c r="I1473" s="11">
        <v>1</v>
      </c>
      <c r="J1473" s="11">
        <v>0</v>
      </c>
      <c r="K1473" s="11" t="s">
        <v>21</v>
      </c>
      <c r="L1473" s="7">
        <v>41117.1015625</v>
      </c>
      <c r="M1473" s="12" t="s">
        <v>3722</v>
      </c>
      <c r="N1473" s="12" t="s">
        <v>3895</v>
      </c>
      <c r="O1473" s="10" t="str">
        <f>HYPERLINK("https://pbs.twimg.com/profile_images/601443139006566400/jVD8Xyb1_normal.png","View")</f>
        <v>View</v>
      </c>
      <c r="P1473" s="11"/>
    </row>
    <row r="1474" spans="1:16" ht="12.75" x14ac:dyDescent="0.35">
      <c r="A1474" s="7">
        <v>42481.903356481482</v>
      </c>
      <c r="B1474" s="8" t="str">
        <f>HYPERLINK("https://twitter.com/AndyGER","@AndyGER")</f>
        <v>@AndyGER</v>
      </c>
      <c r="C1474" s="9" t="s">
        <v>3917</v>
      </c>
      <c r="D1474" s="9" t="s">
        <v>3762</v>
      </c>
      <c r="E1474" s="10" t="str">
        <f>HYPERLINK("https://twitter.com/AndyGER/status/723182213454553088","723182213454553088")</f>
        <v>723182213454553088</v>
      </c>
      <c r="F1474" s="11" t="s">
        <v>160</v>
      </c>
      <c r="G1474" s="11">
        <v>882</v>
      </c>
      <c r="H1474" s="11">
        <v>653</v>
      </c>
      <c r="I1474" s="11">
        <v>4</v>
      </c>
      <c r="J1474" s="11">
        <v>0</v>
      </c>
      <c r="K1474" s="11" t="s">
        <v>21</v>
      </c>
      <c r="L1474" s="7">
        <v>39883.119814814811</v>
      </c>
      <c r="M1474" s="12" t="s">
        <v>3918</v>
      </c>
      <c r="N1474" s="12" t="s">
        <v>3919</v>
      </c>
      <c r="O1474" s="10" t="str">
        <f>HYPERLINK("https://pbs.twimg.com/profile_images/722397159664934912/FokUg6EX_normal.jpg","View")</f>
        <v>View</v>
      </c>
      <c r="P1474" s="11"/>
    </row>
    <row r="1475" spans="1:16" ht="12.75" x14ac:dyDescent="0.35">
      <c r="A1475" s="7">
        <v>42481.903391203705</v>
      </c>
      <c r="B1475" s="8" t="str">
        <f>HYPERLINK("https://twitter.com/Tonelli22","@Tonelli22")</f>
        <v>@Tonelli22</v>
      </c>
      <c r="C1475" s="9" t="s">
        <v>3891</v>
      </c>
      <c r="D1475" s="9" t="s">
        <v>3920</v>
      </c>
      <c r="E1475" s="10" t="str">
        <f>HYPERLINK("https://twitter.com/Tonelli22/status/723182226075213825","723182226075213825")</f>
        <v>723182226075213825</v>
      </c>
      <c r="F1475" s="11" t="s">
        <v>48</v>
      </c>
      <c r="G1475" s="11">
        <v>694</v>
      </c>
      <c r="H1475" s="11">
        <v>719</v>
      </c>
      <c r="I1475" s="11">
        <v>48</v>
      </c>
      <c r="J1475" s="11">
        <v>0</v>
      </c>
      <c r="K1475" s="11" t="s">
        <v>21</v>
      </c>
      <c r="L1475" s="7">
        <v>41388.24055555556</v>
      </c>
      <c r="M1475" s="12"/>
      <c r="N1475" s="12" t="s">
        <v>3893</v>
      </c>
      <c r="O1475" s="10" t="str">
        <f>HYPERLINK("https://pbs.twimg.com/profile_images/722256787009859584/vkuTNBGF_normal.jpg","View")</f>
        <v>View</v>
      </c>
      <c r="P1475" s="11"/>
    </row>
    <row r="1476" spans="1:16" ht="12.75" x14ac:dyDescent="0.35">
      <c r="A1476" s="7">
        <v>42481.903402777782</v>
      </c>
      <c r="B1476" s="8" t="str">
        <f>HYPERLINK("https://twitter.com/Stressless_Teen","@Stressless_Teen")</f>
        <v>@Stressless_Teen</v>
      </c>
      <c r="C1476" s="9" t="s">
        <v>3921</v>
      </c>
      <c r="D1476" s="9" t="s">
        <v>3922</v>
      </c>
      <c r="E1476" s="10" t="str">
        <f>HYPERLINK("https://twitter.com/Stressless_Teen/status/723182232085643265","723182232085643265")</f>
        <v>723182232085643265</v>
      </c>
      <c r="F1476" s="11" t="s">
        <v>152</v>
      </c>
      <c r="G1476" s="11">
        <v>13723</v>
      </c>
      <c r="H1476" s="11">
        <v>12321</v>
      </c>
      <c r="I1476" s="11">
        <v>0</v>
      </c>
      <c r="J1476" s="11">
        <v>0</v>
      </c>
      <c r="K1476" s="11" t="s">
        <v>21</v>
      </c>
      <c r="L1476" s="7">
        <v>41295.919259259259</v>
      </c>
      <c r="M1476" s="12" t="s">
        <v>172</v>
      </c>
      <c r="N1476" s="12" t="s">
        <v>3923</v>
      </c>
      <c r="O1476" s="10" t="str">
        <f>HYPERLINK("https://pbs.twimg.com/profile_images/699336490526965760/0Cvd6KG6_normal.png","View")</f>
        <v>View</v>
      </c>
      <c r="P1476" s="11"/>
    </row>
    <row r="1477" spans="1:16" ht="12.75" x14ac:dyDescent="0.35">
      <c r="A1477" s="7">
        <v>42481.903437500005</v>
      </c>
      <c r="B1477" s="8" t="str">
        <f>HYPERLINK("https://twitter.com/AndyGER","@AndyGER")</f>
        <v>@AndyGER</v>
      </c>
      <c r="C1477" s="9" t="s">
        <v>3917</v>
      </c>
      <c r="D1477" s="9" t="s">
        <v>3675</v>
      </c>
      <c r="E1477" s="10" t="str">
        <f>HYPERLINK("https://twitter.com/AndyGER/status/723182241707372547","723182241707372547")</f>
        <v>723182241707372547</v>
      </c>
      <c r="F1477" s="11" t="s">
        <v>160</v>
      </c>
      <c r="G1477" s="11">
        <v>882</v>
      </c>
      <c r="H1477" s="11">
        <v>653</v>
      </c>
      <c r="I1477" s="11">
        <v>5</v>
      </c>
      <c r="J1477" s="11">
        <v>0</v>
      </c>
      <c r="K1477" s="11" t="s">
        <v>21</v>
      </c>
      <c r="L1477" s="7">
        <v>39883.119814814811</v>
      </c>
      <c r="M1477" s="12" t="s">
        <v>3918</v>
      </c>
      <c r="N1477" s="12" t="s">
        <v>3919</v>
      </c>
      <c r="O1477" s="10" t="str">
        <f>HYPERLINK("https://pbs.twimg.com/profile_images/722397159664934912/FokUg6EX_normal.jpg","View")</f>
        <v>View</v>
      </c>
      <c r="P1477" s="11"/>
    </row>
    <row r="1478" spans="1:16" ht="12.75" x14ac:dyDescent="0.35">
      <c r="A1478" s="7">
        <v>42481.903819444444</v>
      </c>
      <c r="B1478" s="8" t="str">
        <f>HYPERLINK("https://twitter.com/inkalex","@inkalex")</f>
        <v>@inkalex</v>
      </c>
      <c r="C1478" s="9" t="s">
        <v>3924</v>
      </c>
      <c r="D1478" s="9" t="s">
        <v>265</v>
      </c>
      <c r="E1478" s="10" t="str">
        <f>HYPERLINK("https://twitter.com/inkalex/status/723182380694024192","723182380694024192")</f>
        <v>723182380694024192</v>
      </c>
      <c r="F1478" s="11" t="s">
        <v>20</v>
      </c>
      <c r="G1478" s="11">
        <v>3907</v>
      </c>
      <c r="H1478" s="11">
        <v>884</v>
      </c>
      <c r="I1478" s="11">
        <v>7</v>
      </c>
      <c r="J1478" s="11">
        <v>0</v>
      </c>
      <c r="K1478" s="11" t="s">
        <v>21</v>
      </c>
      <c r="L1478" s="7">
        <v>40242.112037037034</v>
      </c>
      <c r="M1478" s="12" t="s">
        <v>3925</v>
      </c>
      <c r="N1478" s="12" t="s">
        <v>3926</v>
      </c>
      <c r="O1478" s="10" t="str">
        <f>HYPERLINK("https://pbs.twimg.com/profile_images/666011856532840448/YndAzmJg_normal.jpg","View")</f>
        <v>View</v>
      </c>
      <c r="P1478" s="11"/>
    </row>
    <row r="1479" spans="1:16" ht="12.75" x14ac:dyDescent="0.35">
      <c r="A1479" s="7">
        <v>42481.903969907406</v>
      </c>
      <c r="B1479" s="8" t="str">
        <f>HYPERLINK("https://twitter.com/SnarkyLemur","@SnarkyLemur")</f>
        <v>@SnarkyLemur</v>
      </c>
      <c r="C1479" s="9" t="s">
        <v>3927</v>
      </c>
      <c r="D1479" s="9" t="s">
        <v>3523</v>
      </c>
      <c r="E1479" s="10" t="str">
        <f>HYPERLINK("https://twitter.com/SnarkyLemur/status/723182436889174017","723182436889174017")</f>
        <v>723182436889174017</v>
      </c>
      <c r="F1479" s="11" t="s">
        <v>160</v>
      </c>
      <c r="G1479" s="11">
        <v>6797</v>
      </c>
      <c r="H1479" s="11">
        <v>5950</v>
      </c>
      <c r="I1479" s="11">
        <v>12</v>
      </c>
      <c r="J1479" s="11">
        <v>0</v>
      </c>
      <c r="K1479" s="11" t="s">
        <v>21</v>
      </c>
      <c r="L1479" s="7">
        <v>39640.160138888888</v>
      </c>
      <c r="M1479" s="12" t="s">
        <v>3928</v>
      </c>
      <c r="N1479" s="12" t="s">
        <v>3929</v>
      </c>
      <c r="O1479" s="10" t="str">
        <f>HYPERLINK("https://pbs.twimg.com/profile_images/713589878378864640/-CkEq-7W_normal.jpg","View")</f>
        <v>View</v>
      </c>
      <c r="P1479" s="11"/>
    </row>
    <row r="1480" spans="1:16" ht="12.75" x14ac:dyDescent="0.35">
      <c r="A1480" s="7">
        <v>42481.903981481482</v>
      </c>
      <c r="B1480" s="8" t="str">
        <f>HYPERLINK("https://twitter.com/Tonelli22","@Tonelli22")</f>
        <v>@Tonelli22</v>
      </c>
      <c r="C1480" s="9" t="s">
        <v>3891</v>
      </c>
      <c r="D1480" s="9" t="s">
        <v>3930</v>
      </c>
      <c r="E1480" s="10" t="str">
        <f>HYPERLINK("https://twitter.com/Tonelli22/status/723182441201020928","723182441201020928")</f>
        <v>723182441201020928</v>
      </c>
      <c r="F1480" s="11" t="s">
        <v>48</v>
      </c>
      <c r="G1480" s="11">
        <v>694</v>
      </c>
      <c r="H1480" s="11">
        <v>719</v>
      </c>
      <c r="I1480" s="11">
        <v>42</v>
      </c>
      <c r="J1480" s="11">
        <v>0</v>
      </c>
      <c r="K1480" s="11" t="s">
        <v>21</v>
      </c>
      <c r="L1480" s="7">
        <v>41388.24055555556</v>
      </c>
      <c r="M1480" s="12"/>
      <c r="N1480" s="12" t="s">
        <v>3893</v>
      </c>
      <c r="O1480" s="10" t="str">
        <f>HYPERLINK("https://pbs.twimg.com/profile_images/722256787009859584/vkuTNBGF_normal.jpg","View")</f>
        <v>View</v>
      </c>
      <c r="P1480" s="11"/>
    </row>
    <row r="1481" spans="1:16" ht="12.75" x14ac:dyDescent="0.35">
      <c r="A1481" s="7">
        <v>42481.904062500005</v>
      </c>
      <c r="B1481" s="8" t="str">
        <f>HYPERLINK("https://twitter.com/xpeten","@xpeten")</f>
        <v>@xpeten</v>
      </c>
      <c r="C1481" s="9" t="s">
        <v>3931</v>
      </c>
      <c r="D1481" s="9" t="s">
        <v>3744</v>
      </c>
      <c r="E1481" s="10" t="str">
        <f>HYPERLINK("https://twitter.com/xpeten/status/723182467612565504","723182467612565504")</f>
        <v>723182467612565504</v>
      </c>
      <c r="F1481" s="11" t="s">
        <v>20</v>
      </c>
      <c r="G1481" s="11">
        <v>513</v>
      </c>
      <c r="H1481" s="11">
        <v>941</v>
      </c>
      <c r="I1481" s="11">
        <v>5</v>
      </c>
      <c r="J1481" s="11">
        <v>0</v>
      </c>
      <c r="K1481" s="11" t="s">
        <v>21</v>
      </c>
      <c r="L1481" s="7">
        <v>41710.977939814817</v>
      </c>
      <c r="M1481" s="12" t="s">
        <v>1679</v>
      </c>
      <c r="N1481" s="12" t="s">
        <v>3932</v>
      </c>
      <c r="O1481" s="10" t="str">
        <f>HYPERLINK("https://pbs.twimg.com/profile_images/443812586782355456/0KDnCULg_normal.jpeg","View")</f>
        <v>View</v>
      </c>
      <c r="P1481" s="11"/>
    </row>
    <row r="1482" spans="1:16" ht="12.75" x14ac:dyDescent="0.35">
      <c r="A1482" s="7">
        <v>42481.904074074075</v>
      </c>
      <c r="B1482" s="8" t="str">
        <f t="shared" ref="B1482:B1483" si="133">HYPERLINK("https://twitter.com/Tonelli22","@Tonelli22")</f>
        <v>@Tonelli22</v>
      </c>
      <c r="C1482" s="9" t="s">
        <v>3891</v>
      </c>
      <c r="D1482" s="9" t="s">
        <v>3933</v>
      </c>
      <c r="E1482" s="10" t="str">
        <f>HYPERLINK("https://twitter.com/Tonelli22/status/723182473945993216","723182473945993216")</f>
        <v>723182473945993216</v>
      </c>
      <c r="F1482" s="11" t="s">
        <v>48</v>
      </c>
      <c r="G1482" s="11">
        <v>694</v>
      </c>
      <c r="H1482" s="11">
        <v>719</v>
      </c>
      <c r="I1482" s="11">
        <v>39</v>
      </c>
      <c r="J1482" s="11">
        <v>0</v>
      </c>
      <c r="K1482" s="11" t="s">
        <v>21</v>
      </c>
      <c r="L1482" s="7">
        <v>41388.24055555556</v>
      </c>
      <c r="M1482" s="12"/>
      <c r="N1482" s="12" t="s">
        <v>3893</v>
      </c>
      <c r="O1482" s="10" t="str">
        <f t="shared" ref="O1482:O1483" si="134">HYPERLINK("https://pbs.twimg.com/profile_images/722256787009859584/vkuTNBGF_normal.jpg","View")</f>
        <v>View</v>
      </c>
      <c r="P1482" s="11"/>
    </row>
    <row r="1483" spans="1:16" ht="12.75" x14ac:dyDescent="0.35">
      <c r="A1483" s="7">
        <v>42481.904479166667</v>
      </c>
      <c r="B1483" s="8" t="str">
        <f t="shared" si="133"/>
        <v>@Tonelli22</v>
      </c>
      <c r="C1483" s="9" t="s">
        <v>3891</v>
      </c>
      <c r="D1483" s="9" t="s">
        <v>3934</v>
      </c>
      <c r="E1483" s="10" t="str">
        <f>HYPERLINK("https://twitter.com/Tonelli22/status/723182620679540736","723182620679540736")</f>
        <v>723182620679540736</v>
      </c>
      <c r="F1483" s="11" t="s">
        <v>48</v>
      </c>
      <c r="G1483" s="11">
        <v>694</v>
      </c>
      <c r="H1483" s="11">
        <v>719</v>
      </c>
      <c r="I1483" s="11">
        <v>42</v>
      </c>
      <c r="J1483" s="11">
        <v>0</v>
      </c>
      <c r="K1483" s="11" t="s">
        <v>21</v>
      </c>
      <c r="L1483" s="7">
        <v>41388.24055555556</v>
      </c>
      <c r="M1483" s="12"/>
      <c r="N1483" s="12" t="s">
        <v>3893</v>
      </c>
      <c r="O1483" s="10" t="str">
        <f t="shared" si="134"/>
        <v>View</v>
      </c>
      <c r="P1483" s="11"/>
    </row>
    <row r="1484" spans="1:16" ht="12.75" x14ac:dyDescent="0.35">
      <c r="A1484" s="7">
        <v>42481.90457175926</v>
      </c>
      <c r="B1484" s="8" t="str">
        <f>HYPERLINK("https://twitter.com/Its_All_Dave","@Its_All_Dave")</f>
        <v>@Its_All_Dave</v>
      </c>
      <c r="C1484" s="9" t="s">
        <v>3935</v>
      </c>
      <c r="D1484" s="9" t="s">
        <v>3584</v>
      </c>
      <c r="E1484" s="10" t="str">
        <f>HYPERLINK("https://twitter.com/Its_All_Dave/status/723182653147586561","723182653147586561")</f>
        <v>723182653147586561</v>
      </c>
      <c r="F1484" s="11" t="s">
        <v>20</v>
      </c>
      <c r="G1484" s="11">
        <v>166</v>
      </c>
      <c r="H1484" s="11">
        <v>202</v>
      </c>
      <c r="I1484" s="11">
        <v>9</v>
      </c>
      <c r="J1484" s="11">
        <v>0</v>
      </c>
      <c r="K1484" s="11" t="s">
        <v>21</v>
      </c>
      <c r="L1484" s="7">
        <v>41409.037361111114</v>
      </c>
      <c r="M1484" s="12" t="s">
        <v>2744</v>
      </c>
      <c r="N1484" s="12" t="s">
        <v>3936</v>
      </c>
      <c r="O1484" s="10" t="str">
        <f>HYPERLINK("https://pbs.twimg.com/profile_images/642145911359995904/NqIYe9Zp_normal.jpg","View")</f>
        <v>View</v>
      </c>
      <c r="P1484" s="11"/>
    </row>
    <row r="1485" spans="1:16" ht="12.75" x14ac:dyDescent="0.35">
      <c r="A1485" s="7">
        <v>42481.904942129629</v>
      </c>
      <c r="B1485" s="8" t="str">
        <f>HYPERLINK("https://twitter.com/AndreasAndy3131","@AndreasAndy3131")</f>
        <v>@AndreasAndy3131</v>
      </c>
      <c r="C1485" s="9" t="s">
        <v>3937</v>
      </c>
      <c r="D1485" s="9" t="s">
        <v>3938</v>
      </c>
      <c r="E1485" s="10" t="str">
        <f>HYPERLINK("https://twitter.com/AndreasAndy3131/status/723182788384555009","723182788384555009")</f>
        <v>723182788384555009</v>
      </c>
      <c r="F1485" s="11" t="s">
        <v>91</v>
      </c>
      <c r="G1485" s="11">
        <v>748</v>
      </c>
      <c r="H1485" s="11">
        <v>463</v>
      </c>
      <c r="I1485" s="11">
        <v>1</v>
      </c>
      <c r="J1485" s="11">
        <v>0</v>
      </c>
      <c r="K1485" s="11" t="s">
        <v>21</v>
      </c>
      <c r="L1485" s="7">
        <v>41685.664664351854</v>
      </c>
      <c r="M1485" s="12" t="s">
        <v>3939</v>
      </c>
      <c r="N1485" s="12" t="s">
        <v>3940</v>
      </c>
      <c r="O1485" s="10" t="str">
        <f>HYPERLINK("https://pbs.twimg.com/profile_images/705409156363063296/L-9HeIjW_normal.jpg","View")</f>
        <v>View</v>
      </c>
      <c r="P1485" s="11"/>
    </row>
    <row r="1486" spans="1:16" ht="12.75" x14ac:dyDescent="0.35">
      <c r="A1486" s="7">
        <v>42481.905162037037</v>
      </c>
      <c r="B1486" s="8" t="str">
        <f>HYPERLINK("https://twitter.com/Tonelli22","@Tonelli22")</f>
        <v>@Tonelli22</v>
      </c>
      <c r="C1486" s="9" t="s">
        <v>3891</v>
      </c>
      <c r="D1486" s="9" t="s">
        <v>3941</v>
      </c>
      <c r="E1486" s="10" t="str">
        <f>HYPERLINK("https://twitter.com/Tonelli22/status/723182866348269568","723182866348269568")</f>
        <v>723182866348269568</v>
      </c>
      <c r="F1486" s="11" t="s">
        <v>48</v>
      </c>
      <c r="G1486" s="11">
        <v>694</v>
      </c>
      <c r="H1486" s="11">
        <v>719</v>
      </c>
      <c r="I1486" s="11">
        <v>110</v>
      </c>
      <c r="J1486" s="11">
        <v>0</v>
      </c>
      <c r="K1486" s="11" t="s">
        <v>21</v>
      </c>
      <c r="L1486" s="7">
        <v>41388.24055555556</v>
      </c>
      <c r="M1486" s="12"/>
      <c r="N1486" s="12" t="s">
        <v>3893</v>
      </c>
      <c r="O1486" s="10" t="str">
        <f>HYPERLINK("https://pbs.twimg.com/profile_images/722256787009859584/vkuTNBGF_normal.jpg","View")</f>
        <v>View</v>
      </c>
      <c r="P1486" s="11"/>
    </row>
    <row r="1487" spans="1:16" ht="12.75" x14ac:dyDescent="0.35">
      <c r="A1487" s="7">
        <v>42481.905289351853</v>
      </c>
      <c r="B1487" s="8" t="str">
        <f>HYPERLINK("https://twitter.com/evka_tweets","@evka_tweets")</f>
        <v>@evka_tweets</v>
      </c>
      <c r="C1487" s="9" t="s">
        <v>3942</v>
      </c>
      <c r="D1487" s="9" t="s">
        <v>3943</v>
      </c>
      <c r="E1487" s="10" t="str">
        <f>HYPERLINK("https://twitter.com/evka_tweets/status/723182912770691073","723182912770691073")</f>
        <v>723182912770691073</v>
      </c>
      <c r="F1487" s="11" t="s">
        <v>114</v>
      </c>
      <c r="G1487" s="11">
        <v>28</v>
      </c>
      <c r="H1487" s="11">
        <v>47</v>
      </c>
      <c r="I1487" s="11">
        <v>0</v>
      </c>
      <c r="J1487" s="11">
        <v>1</v>
      </c>
      <c r="K1487" s="11" t="s">
        <v>21</v>
      </c>
      <c r="L1487" s="7">
        <v>42234.851724537039</v>
      </c>
      <c r="M1487" s="12" t="s">
        <v>3944</v>
      </c>
      <c r="N1487" s="12"/>
      <c r="O1487" s="10" t="str">
        <f>HYPERLINK("https://pbs.twimg.com/profile_images/633655869830529024/0gwOAoYF_normal.jpg","View")</f>
        <v>View</v>
      </c>
      <c r="P1487" s="11"/>
    </row>
    <row r="1488" spans="1:16" ht="12.75" x14ac:dyDescent="0.35">
      <c r="A1488" s="7">
        <v>42481.9058912037</v>
      </c>
      <c r="B1488" s="8" t="str">
        <f>HYPERLINK("https://twitter.com/celiacernadas","@celiacernadas")</f>
        <v>@celiacernadas</v>
      </c>
      <c r="C1488" s="9" t="s">
        <v>3945</v>
      </c>
      <c r="D1488" s="9" t="s">
        <v>3946</v>
      </c>
      <c r="E1488" s="10" t="str">
        <f>HYPERLINK("https://twitter.com/celiacernadas/status/723183131931475968","723183131931475968")</f>
        <v>723183131931475968</v>
      </c>
      <c r="F1488" s="11" t="s">
        <v>43</v>
      </c>
      <c r="G1488" s="11">
        <v>1316</v>
      </c>
      <c r="H1488" s="11">
        <v>416</v>
      </c>
      <c r="I1488" s="11">
        <v>3</v>
      </c>
      <c r="J1488" s="11">
        <v>0</v>
      </c>
      <c r="K1488" s="11" t="s">
        <v>21</v>
      </c>
      <c r="L1488" s="7">
        <v>40804.080868055556</v>
      </c>
      <c r="M1488" s="12" t="s">
        <v>2646</v>
      </c>
      <c r="N1488" s="12" t="s">
        <v>3947</v>
      </c>
      <c r="O1488" s="10" t="str">
        <f>HYPERLINK("https://pbs.twimg.com/profile_images/691097936181215232/Ocy36TIb_normal.jpg","View")</f>
        <v>View</v>
      </c>
      <c r="P1488" s="11"/>
    </row>
    <row r="1489" spans="1:16" ht="12.75" x14ac:dyDescent="0.35">
      <c r="A1489" s="7">
        <v>42481.90625</v>
      </c>
      <c r="B1489" s="8" t="str">
        <f>HYPERLINK("https://twitter.com/Klaus_Mueller","@Klaus_Mueller")</f>
        <v>@Klaus_Mueller</v>
      </c>
      <c r="C1489" s="9" t="s">
        <v>2329</v>
      </c>
      <c r="D1489" s="9" t="s">
        <v>3948</v>
      </c>
      <c r="E1489" s="10" t="str">
        <f>HYPERLINK("https://twitter.com/Klaus_Mueller/status/723183264119304192","723183264119304192")</f>
        <v>723183264119304192</v>
      </c>
      <c r="F1489" s="11" t="s">
        <v>91</v>
      </c>
      <c r="G1489" s="11">
        <v>2468</v>
      </c>
      <c r="H1489" s="11">
        <v>578</v>
      </c>
      <c r="I1489" s="11">
        <v>4</v>
      </c>
      <c r="J1489" s="11">
        <v>0</v>
      </c>
      <c r="K1489" s="11" t="s">
        <v>21</v>
      </c>
      <c r="L1489" s="7">
        <v>39830.767175925925</v>
      </c>
      <c r="M1489" s="12" t="s">
        <v>1359</v>
      </c>
      <c r="N1489" s="12" t="s">
        <v>2331</v>
      </c>
      <c r="O1489" s="10" t="str">
        <f>HYPERLINK("https://pbs.twimg.com/profile_images/461785939711258624/FzsPRmqR_normal.jpeg","View")</f>
        <v>View</v>
      </c>
      <c r="P1489" s="11"/>
    </row>
    <row r="1490" spans="1:16" ht="12.75" x14ac:dyDescent="0.35">
      <c r="A1490" s="7">
        <v>42481.906331018516</v>
      </c>
      <c r="B1490" s="8" t="str">
        <f>HYPERLINK("https://twitter.com/VWBeetleSales","@VWBeetleSales")</f>
        <v>@VWBeetleSales</v>
      </c>
      <c r="C1490" s="9" t="s">
        <v>127</v>
      </c>
      <c r="D1490" s="9" t="s">
        <v>3949</v>
      </c>
      <c r="E1490" s="10" t="str">
        <f>HYPERLINK("https://twitter.com/VWBeetleSales/status/723183293479325697","723183293479325697")</f>
        <v>723183293479325697</v>
      </c>
      <c r="F1490" s="10" t="s">
        <v>124</v>
      </c>
      <c r="G1490" s="11">
        <v>35</v>
      </c>
      <c r="H1490" s="11">
        <v>32</v>
      </c>
      <c r="I1490" s="11">
        <v>0</v>
      </c>
      <c r="J1490" s="11">
        <v>0</v>
      </c>
      <c r="K1490" s="11" t="s">
        <v>21</v>
      </c>
      <c r="L1490" s="7">
        <v>42427.019756944443</v>
      </c>
      <c r="M1490" s="12" t="s">
        <v>129</v>
      </c>
      <c r="N1490" s="12" t="s">
        <v>130</v>
      </c>
      <c r="O1490" s="10" t="str">
        <f>HYPERLINK("https://pbs.twimg.com/profile_images/703294545195307008/qeCvrX86_normal.jpg","View")</f>
        <v>View</v>
      </c>
      <c r="P1490" s="11"/>
    </row>
    <row r="1491" spans="1:16" ht="12.75" x14ac:dyDescent="0.35">
      <c r="A1491" s="7">
        <v>42481.906342592592</v>
      </c>
      <c r="B1491" s="8" t="str">
        <f>HYPERLINK("https://twitter.com/1JulianMartinez","@1JulianMartinez")</f>
        <v>@1JulianMartinez</v>
      </c>
      <c r="C1491" s="9" t="s">
        <v>3950</v>
      </c>
      <c r="D1491" s="9" t="s">
        <v>2825</v>
      </c>
      <c r="E1491" s="10" t="str">
        <f>HYPERLINK("https://twitter.com/1JulianMartinez/status/723183297577254912","723183297577254912")</f>
        <v>723183297577254912</v>
      </c>
      <c r="F1491" s="11" t="s">
        <v>48</v>
      </c>
      <c r="G1491" s="11">
        <v>684</v>
      </c>
      <c r="H1491" s="11">
        <v>584</v>
      </c>
      <c r="I1491" s="11">
        <v>53</v>
      </c>
      <c r="J1491" s="11">
        <v>0</v>
      </c>
      <c r="K1491" s="11" t="s">
        <v>21</v>
      </c>
      <c r="L1491" s="7">
        <v>41026.950648148151</v>
      </c>
      <c r="M1491" s="12"/>
      <c r="N1491" s="12" t="s">
        <v>3951</v>
      </c>
      <c r="O1491" s="10" t="str">
        <f>HYPERLINK("https://pbs.twimg.com/profile_images/722462618556960768/JE-_sTXq_normal.jpg","View")</f>
        <v>View</v>
      </c>
      <c r="P1491" s="11"/>
    </row>
    <row r="1492" spans="1:16" ht="12.75" x14ac:dyDescent="0.35">
      <c r="A1492" s="7">
        <v>42481.906342592592</v>
      </c>
      <c r="B1492" s="8" t="str">
        <f>HYPERLINK("https://twitter.com/VWBeetleSales","@VWBeetleSales")</f>
        <v>@VWBeetleSales</v>
      </c>
      <c r="C1492" s="9" t="s">
        <v>127</v>
      </c>
      <c r="D1492" s="9" t="s">
        <v>3952</v>
      </c>
      <c r="E1492" s="10" t="str">
        <f>HYPERLINK("https://twitter.com/VWBeetleSales/status/723183297619062789","723183297619062789")</f>
        <v>723183297619062789</v>
      </c>
      <c r="F1492" s="10" t="s">
        <v>124</v>
      </c>
      <c r="G1492" s="11">
        <v>35</v>
      </c>
      <c r="H1492" s="11">
        <v>32</v>
      </c>
      <c r="I1492" s="11">
        <v>0</v>
      </c>
      <c r="J1492" s="11">
        <v>0</v>
      </c>
      <c r="K1492" s="11" t="s">
        <v>21</v>
      </c>
      <c r="L1492" s="7">
        <v>42427.019756944443</v>
      </c>
      <c r="M1492" s="12" t="s">
        <v>129</v>
      </c>
      <c r="N1492" s="12" t="s">
        <v>130</v>
      </c>
      <c r="O1492" s="10" t="str">
        <f>HYPERLINK("https://pbs.twimg.com/profile_images/703294545195307008/qeCvrX86_normal.jpg","View")</f>
        <v>View</v>
      </c>
      <c r="P1492" s="11"/>
    </row>
    <row r="1493" spans="1:16" ht="12.75" x14ac:dyDescent="0.35">
      <c r="A1493" s="7">
        <v>42481.906365740739</v>
      </c>
      <c r="B1493" s="8" t="str">
        <f>HYPERLINK("https://twitter.com/philippvetter","@philippvetter")</f>
        <v>@philippvetter</v>
      </c>
      <c r="C1493" s="9" t="s">
        <v>3953</v>
      </c>
      <c r="D1493" s="9" t="s">
        <v>3954</v>
      </c>
      <c r="E1493" s="10" t="str">
        <f>HYPERLINK("https://twitter.com/philippvetter/status/723183303860211712","723183303860211712")</f>
        <v>723183303860211712</v>
      </c>
      <c r="F1493" s="11" t="s">
        <v>43</v>
      </c>
      <c r="G1493" s="11">
        <v>1089</v>
      </c>
      <c r="H1493" s="11">
        <v>356</v>
      </c>
      <c r="I1493" s="11">
        <v>1</v>
      </c>
      <c r="J1493" s="11">
        <v>1</v>
      </c>
      <c r="K1493" s="11" t="s">
        <v>21</v>
      </c>
      <c r="L1493" s="7">
        <v>40938.911770833336</v>
      </c>
      <c r="M1493" s="12" t="s">
        <v>1931</v>
      </c>
      <c r="N1493" s="12" t="s">
        <v>3955</v>
      </c>
      <c r="O1493" s="10" t="str">
        <f>HYPERLINK("https://pbs.twimg.com/profile_images/553276249788129280/CF4iC9q-_normal.jpeg","View")</f>
        <v>View</v>
      </c>
      <c r="P1493" s="11"/>
    </row>
    <row r="1494" spans="1:16" ht="12.75" x14ac:dyDescent="0.35">
      <c r="A1494" s="7">
        <v>42481.906967592593</v>
      </c>
      <c r="B1494" s="8" t="str">
        <f>HYPERLINK("https://twitter.com/dwnews","@dwnews")</f>
        <v>@dwnews</v>
      </c>
      <c r="C1494" s="9" t="s">
        <v>1302</v>
      </c>
      <c r="D1494" s="9" t="s">
        <v>3956</v>
      </c>
      <c r="E1494" s="10" t="str">
        <f>HYPERLINK("https://twitter.com/dwnews/status/723183521280323588","723183521280323588")</f>
        <v>723183521280323588</v>
      </c>
      <c r="F1494" s="11" t="s">
        <v>63</v>
      </c>
      <c r="G1494" s="11">
        <v>91214</v>
      </c>
      <c r="H1494" s="11">
        <v>542</v>
      </c>
      <c r="I1494" s="11">
        <v>5</v>
      </c>
      <c r="J1494" s="11">
        <v>2</v>
      </c>
      <c r="K1494" s="11" t="s">
        <v>21</v>
      </c>
      <c r="L1494" s="7">
        <v>39220.688078703708</v>
      </c>
      <c r="M1494" s="12" t="s">
        <v>1303</v>
      </c>
      <c r="N1494" s="12" t="s">
        <v>1304</v>
      </c>
      <c r="O1494" s="10" t="str">
        <f>HYPERLINK("https://pbs.twimg.com/profile_images/608213167496417280/QSxgcLn__normal.png","View")</f>
        <v>View</v>
      </c>
      <c r="P1494" s="11"/>
    </row>
    <row r="1495" spans="1:16" ht="12.75" x14ac:dyDescent="0.35">
      <c r="A1495" s="7">
        <v>42481.907002314816</v>
      </c>
      <c r="B1495" s="8" t="str">
        <f>HYPERLINK("https://twitter.com/JClaesz","@JClaesz")</f>
        <v>@JClaesz</v>
      </c>
      <c r="C1495" s="9" t="s">
        <v>1340</v>
      </c>
      <c r="D1495" s="9" t="s">
        <v>3957</v>
      </c>
      <c r="E1495" s="10" t="str">
        <f>HYPERLINK("https://twitter.com/JClaesz/status/723183535633235969","723183535633235969")</f>
        <v>723183535633235969</v>
      </c>
      <c r="F1495" s="11" t="s">
        <v>43</v>
      </c>
      <c r="G1495" s="11">
        <v>143</v>
      </c>
      <c r="H1495" s="11">
        <v>545</v>
      </c>
      <c r="I1495" s="11">
        <v>0</v>
      </c>
      <c r="J1495" s="11">
        <v>0</v>
      </c>
      <c r="K1495" s="11" t="s">
        <v>21</v>
      </c>
      <c r="L1495" s="7">
        <v>42389.290254629625</v>
      </c>
      <c r="M1495" s="12" t="s">
        <v>1342</v>
      </c>
      <c r="N1495" s="12" t="s">
        <v>1343</v>
      </c>
      <c r="O1495" s="10" t="str">
        <f>HYPERLINK("https://pbs.twimg.com/profile_images/695000806655811584/7lC1MdUr_normal.png","View")</f>
        <v>View</v>
      </c>
      <c r="P1495" s="11"/>
    </row>
    <row r="1496" spans="1:16" ht="12.75" x14ac:dyDescent="0.35">
      <c r="A1496" s="7">
        <v>42481.90725694444</v>
      </c>
      <c r="B1496" s="8" t="str">
        <f>HYPERLINK("https://twitter.com/apronline","@apronline")</f>
        <v>@apronline</v>
      </c>
      <c r="C1496" s="9" t="s">
        <v>1146</v>
      </c>
      <c r="D1496" s="9" t="s">
        <v>3958</v>
      </c>
      <c r="E1496" s="10" t="str">
        <f>HYPERLINK("https://twitter.com/apronline/status/723183625391329280","723183625391329280")</f>
        <v>723183625391329280</v>
      </c>
      <c r="F1496" s="11" t="s">
        <v>43</v>
      </c>
      <c r="G1496" s="11">
        <v>1918</v>
      </c>
      <c r="H1496" s="11">
        <v>413</v>
      </c>
      <c r="I1496" s="11">
        <v>0</v>
      </c>
      <c r="J1496" s="11">
        <v>0</v>
      </c>
      <c r="K1496" s="11" t="s">
        <v>21</v>
      </c>
      <c r="L1496" s="7">
        <v>40593.924247685187</v>
      </c>
      <c r="M1496" s="12" t="s">
        <v>1148</v>
      </c>
      <c r="N1496" s="12" t="s">
        <v>1149</v>
      </c>
      <c r="O1496" s="10" t="str">
        <f>HYPERLINK("https://pbs.twimg.com/profile_images/1249555569/apr_twitter_normal.jpg","View")</f>
        <v>View</v>
      </c>
      <c r="P1496" s="11"/>
    </row>
    <row r="1497" spans="1:16" ht="12.75" x14ac:dyDescent="0.35">
      <c r="A1497" s="7">
        <v>42481.907407407409</v>
      </c>
      <c r="B1497" s="8" t="str">
        <f>HYPERLINK("https://twitter.com/inespohl","@inespohl")</f>
        <v>@inespohl</v>
      </c>
      <c r="C1497" s="9" t="s">
        <v>3959</v>
      </c>
      <c r="D1497" s="9" t="s">
        <v>3960</v>
      </c>
      <c r="E1497" s="10" t="str">
        <f>HYPERLINK("https://twitter.com/inespohl/status/723183680764653569","723183680764653569")</f>
        <v>723183680764653569</v>
      </c>
      <c r="F1497" s="11" t="s">
        <v>20</v>
      </c>
      <c r="G1497" s="11">
        <v>24828</v>
      </c>
      <c r="H1497" s="11">
        <v>241</v>
      </c>
      <c r="I1497" s="11">
        <v>5</v>
      </c>
      <c r="J1497" s="11">
        <v>0</v>
      </c>
      <c r="K1497" s="11" t="s">
        <v>21</v>
      </c>
      <c r="L1497" s="7">
        <v>39940.871481481481</v>
      </c>
      <c r="M1497" s="12" t="s">
        <v>2646</v>
      </c>
      <c r="N1497" s="12" t="s">
        <v>3961</v>
      </c>
      <c r="O1497" s="10" t="str">
        <f>HYPERLINK("https://pbs.twimg.com/profile_images/694724038237777920/NkP3MbMV_normal.png","View")</f>
        <v>View</v>
      </c>
      <c r="P1497" s="11"/>
    </row>
    <row r="1498" spans="1:16" ht="12.75" x14ac:dyDescent="0.35">
      <c r="A1498" s="7">
        <v>42481.907465277778</v>
      </c>
      <c r="B1498" s="8" t="str">
        <f>HYPERLINK("https://twitter.com/ldavidmarquet","@ldavidmarquet")</f>
        <v>@ldavidmarquet</v>
      </c>
      <c r="C1498" s="9" t="s">
        <v>3962</v>
      </c>
      <c r="D1498" s="9" t="s">
        <v>3963</v>
      </c>
      <c r="E1498" s="10" t="str">
        <f>HYPERLINK("https://twitter.com/ldavidmarquet/status/723183700746203137","723183700746203137")</f>
        <v>723183700746203137</v>
      </c>
      <c r="F1498" s="11" t="s">
        <v>43</v>
      </c>
      <c r="G1498" s="11">
        <v>11483</v>
      </c>
      <c r="H1498" s="11">
        <v>25</v>
      </c>
      <c r="I1498" s="11">
        <v>1</v>
      </c>
      <c r="J1498" s="11">
        <v>2</v>
      </c>
      <c r="K1498" s="11" t="s">
        <v>21</v>
      </c>
      <c r="L1498" s="7">
        <v>40369.880324074074</v>
      </c>
      <c r="M1498" s="12" t="s">
        <v>3964</v>
      </c>
      <c r="N1498" s="12" t="s">
        <v>3965</v>
      </c>
      <c r="O1498" s="10" t="str">
        <f>HYPERLINK("https://pbs.twimg.com/profile_images/525651227585941504/1DFb50tl_normal.jpeg","View")</f>
        <v>View</v>
      </c>
      <c r="P1498" s="11"/>
    </row>
    <row r="1499" spans="1:16" ht="12.75" x14ac:dyDescent="0.35">
      <c r="A1499" s="7">
        <v>42481.907557870371</v>
      </c>
      <c r="B1499" s="8" t="str">
        <f>HYPERLINK("https://twitter.com/Hans__Larsson","@Hans__Larsson")</f>
        <v>@Hans__Larsson</v>
      </c>
      <c r="C1499" s="9" t="s">
        <v>3966</v>
      </c>
      <c r="D1499" s="9" t="s">
        <v>3967</v>
      </c>
      <c r="E1499" s="10" t="str">
        <f>HYPERLINK("https://twitter.com/Hans__Larsson/status/723183737530253312","723183737530253312")</f>
        <v>723183737530253312</v>
      </c>
      <c r="F1499" s="11" t="s">
        <v>933</v>
      </c>
      <c r="G1499" s="11">
        <v>39</v>
      </c>
      <c r="H1499" s="11">
        <v>37</v>
      </c>
      <c r="I1499" s="11">
        <v>0</v>
      </c>
      <c r="J1499" s="11">
        <v>0</v>
      </c>
      <c r="K1499" s="11" t="s">
        <v>21</v>
      </c>
      <c r="L1499" s="7">
        <v>40047.680914351848</v>
      </c>
      <c r="M1499" s="12"/>
      <c r="N1499" s="13" t="s">
        <v>3968</v>
      </c>
      <c r="O1499" s="10" t="str">
        <f>HYPERLINK("https://pbs.twimg.com/profile_images/378800000399282318/73eadc01d81c5fc6fc4d4044f4e72ca3_normal.jpeg","View")</f>
        <v>View</v>
      </c>
      <c r="P1499" s="11"/>
    </row>
    <row r="1500" spans="1:16" ht="12.75" x14ac:dyDescent="0.35">
      <c r="A1500" s="7">
        <v>42481.907754629632</v>
      </c>
      <c r="B1500" s="8" t="str">
        <f>HYPERLINK("https://twitter.com/DubLuvTuning","@DubLuvTuning")</f>
        <v>@DubLuvTuning</v>
      </c>
      <c r="C1500" s="9" t="s">
        <v>299</v>
      </c>
      <c r="D1500" s="9" t="s">
        <v>3969</v>
      </c>
      <c r="E1500" s="10" t="str">
        <f>HYPERLINK("https://twitter.com/DubLuvTuning/status/723183807956979712","723183807956979712")</f>
        <v>723183807956979712</v>
      </c>
      <c r="F1500" s="11" t="s">
        <v>288</v>
      </c>
      <c r="G1500" s="11">
        <v>690</v>
      </c>
      <c r="H1500" s="11">
        <v>431</v>
      </c>
      <c r="I1500" s="11">
        <v>1</v>
      </c>
      <c r="J1500" s="11">
        <v>0</v>
      </c>
      <c r="K1500" s="11" t="s">
        <v>21</v>
      </c>
      <c r="L1500" s="7">
        <v>41549.898287037038</v>
      </c>
      <c r="M1500" s="12" t="s">
        <v>301</v>
      </c>
      <c r="N1500" s="12" t="s">
        <v>302</v>
      </c>
      <c r="O1500" s="10" t="str">
        <f>HYPERLINK("https://pbs.twimg.com/profile_images/378800000572104796/1de43e1cf23efb3f4101c02afad0d3b6_normal.png","View")</f>
        <v>View</v>
      </c>
      <c r="P1500" s="11"/>
    </row>
    <row r="1501" spans="1:16" ht="12.75" x14ac:dyDescent="0.35">
      <c r="A1501" s="7">
        <v>42481.907835648148</v>
      </c>
      <c r="B1501" s="8" t="str">
        <f>HYPERLINK("https://twitter.com/nomkhita12","@nomkhita12")</f>
        <v>@nomkhita12</v>
      </c>
      <c r="C1501" s="9" t="s">
        <v>3970</v>
      </c>
      <c r="D1501" s="9" t="s">
        <v>2957</v>
      </c>
      <c r="E1501" s="10" t="str">
        <f>HYPERLINK("https://twitter.com/nomkhita12/status/723183835932954624","723183835932954624")</f>
        <v>723183835932954624</v>
      </c>
      <c r="F1501" s="11" t="s">
        <v>20</v>
      </c>
      <c r="G1501" s="11">
        <v>275</v>
      </c>
      <c r="H1501" s="11">
        <v>306</v>
      </c>
      <c r="I1501" s="11">
        <v>5</v>
      </c>
      <c r="J1501" s="11">
        <v>0</v>
      </c>
      <c r="K1501" s="11" t="s">
        <v>21</v>
      </c>
      <c r="L1501" s="7">
        <v>40718.836018518516</v>
      </c>
      <c r="M1501" s="12" t="s">
        <v>3971</v>
      </c>
      <c r="N1501" s="12" t="s">
        <v>3972</v>
      </c>
      <c r="O1501" s="10" t="str">
        <f>HYPERLINK("https://pbs.twimg.com/profile_images/378800000341166778/f53681e83985bbd49e5ff4ae1267bf66_normal.jpeg","View")</f>
        <v>View</v>
      </c>
      <c r="P1501" s="11"/>
    </row>
    <row r="1502" spans="1:16" ht="12.75" x14ac:dyDescent="0.35">
      <c r="A1502" s="7">
        <v>42481.90792824074</v>
      </c>
      <c r="B1502" s="8" t="str">
        <f>HYPERLINK("https://twitter.com/dknightvaleting","@dknightvaleting")</f>
        <v>@dknightvaleting</v>
      </c>
      <c r="C1502" s="9" t="s">
        <v>3973</v>
      </c>
      <c r="D1502" s="9" t="s">
        <v>3974</v>
      </c>
      <c r="E1502" s="10" t="str">
        <f>HYPERLINK("https://twitter.com/dknightvaleting/status/723183872066879488","723183872066879488")</f>
        <v>723183872066879488</v>
      </c>
      <c r="F1502" s="11" t="s">
        <v>20</v>
      </c>
      <c r="G1502" s="11">
        <v>11</v>
      </c>
      <c r="H1502" s="11">
        <v>15</v>
      </c>
      <c r="I1502" s="11">
        <v>0</v>
      </c>
      <c r="J1502" s="11">
        <v>1</v>
      </c>
      <c r="K1502" s="11" t="s">
        <v>21</v>
      </c>
      <c r="L1502" s="7">
        <v>42415.648125</v>
      </c>
      <c r="M1502" s="12" t="s">
        <v>3975</v>
      </c>
      <c r="N1502" s="12" t="s">
        <v>3976</v>
      </c>
      <c r="O1502" s="10" t="str">
        <f>HYPERLINK("https://pbs.twimg.com/profile_images/699913841388449792/Bz17p4to_normal.jpg","View")</f>
        <v>View</v>
      </c>
      <c r="P1502" s="11"/>
    </row>
    <row r="1503" spans="1:16" ht="12.75" x14ac:dyDescent="0.35">
      <c r="A1503" s="7">
        <v>42481.908159722225</v>
      </c>
      <c r="B1503" s="8" t="str">
        <f>HYPERLINK("https://twitter.com/dejbanlaw","@dejbanlaw")</f>
        <v>@dejbanlaw</v>
      </c>
      <c r="C1503" s="9" t="s">
        <v>500</v>
      </c>
      <c r="D1503" s="9" t="s">
        <v>3977</v>
      </c>
      <c r="E1503" s="10" t="str">
        <f>HYPERLINK("https://twitter.com/dejbanlaw/status/723183955537600512","723183955537600512")</f>
        <v>723183955537600512</v>
      </c>
      <c r="F1503" s="11" t="s">
        <v>91</v>
      </c>
      <c r="G1503" s="11">
        <v>21829</v>
      </c>
      <c r="H1503" s="11">
        <v>271</v>
      </c>
      <c r="I1503" s="11">
        <v>24</v>
      </c>
      <c r="J1503" s="11">
        <v>21</v>
      </c>
      <c r="K1503" s="11" t="s">
        <v>21</v>
      </c>
      <c r="L1503" s="7">
        <v>42350.2659837963</v>
      </c>
      <c r="M1503" s="12" t="s">
        <v>502</v>
      </c>
      <c r="N1503" s="12" t="s">
        <v>503</v>
      </c>
      <c r="O1503" s="10" t="str">
        <f>HYPERLINK("https://pbs.twimg.com/profile_images/676465930424082432/zT-RyXf4_normal.jpg","View")</f>
        <v>View</v>
      </c>
      <c r="P1503" s="11"/>
    </row>
    <row r="1504" spans="1:16" ht="12.75" x14ac:dyDescent="0.35">
      <c r="A1504" s="7">
        <v>42481.908171296294</v>
      </c>
      <c r="B1504" s="8" t="str">
        <f>HYPERLINK("https://twitter.com/1ChicagoCarGuy","@1ChicagoCarGuy")</f>
        <v>@1ChicagoCarGuy</v>
      </c>
      <c r="C1504" s="9" t="s">
        <v>3978</v>
      </c>
      <c r="D1504" s="9" t="s">
        <v>3440</v>
      </c>
      <c r="E1504" s="10" t="str">
        <f>HYPERLINK("https://twitter.com/1ChicagoCarGuy/status/723183959761424384","723183959761424384")</f>
        <v>723183959761424384</v>
      </c>
      <c r="F1504" s="11" t="s">
        <v>20</v>
      </c>
      <c r="G1504" s="11">
        <v>272</v>
      </c>
      <c r="H1504" s="11">
        <v>327</v>
      </c>
      <c r="I1504" s="11">
        <v>11</v>
      </c>
      <c r="J1504" s="11">
        <v>0</v>
      </c>
      <c r="K1504" s="11" t="s">
        <v>21</v>
      </c>
      <c r="L1504" s="7">
        <v>42038.990381944444</v>
      </c>
      <c r="M1504" s="12" t="s">
        <v>3437</v>
      </c>
      <c r="N1504" s="12" t="s">
        <v>3979</v>
      </c>
      <c r="O1504" s="10" t="str">
        <f>HYPERLINK("https://pbs.twimg.com/profile_images/562676834957922304/234gJlV6_normal.jpeg","View")</f>
        <v>View</v>
      </c>
      <c r="P1504" s="11"/>
    </row>
    <row r="1505" spans="1:16" ht="12.75" x14ac:dyDescent="0.35">
      <c r="A1505" s="7">
        <v>42481.90829861111</v>
      </c>
      <c r="B1505" s="8" t="str">
        <f>HYPERLINK("https://twitter.com/ebaycampervans","@ebaycampervans")</f>
        <v>@ebaycampervans</v>
      </c>
      <c r="C1505" s="9" t="s">
        <v>682</v>
      </c>
      <c r="D1505" s="9" t="s">
        <v>3980</v>
      </c>
      <c r="E1505" s="10" t="str">
        <f>HYPERLINK("https://twitter.com/ebaycampervans/status/723184003688210433","723184003688210433")</f>
        <v>723184003688210433</v>
      </c>
      <c r="F1505" s="11" t="s">
        <v>34</v>
      </c>
      <c r="G1505" s="11">
        <v>380</v>
      </c>
      <c r="H1505" s="11">
        <v>1002</v>
      </c>
      <c r="I1505" s="11">
        <v>0</v>
      </c>
      <c r="J1505" s="11">
        <v>0</v>
      </c>
      <c r="K1505" s="11" t="s">
        <v>21</v>
      </c>
      <c r="L1505" s="7">
        <v>42140.207604166666</v>
      </c>
      <c r="M1505" s="12"/>
      <c r="N1505" s="12" t="s">
        <v>684</v>
      </c>
      <c r="O1505" s="10" t="str">
        <f>HYPERLINK("https://pbs.twimg.com/profile_images/599357023407464449/BL9Bpo6T_normal.jpg","View")</f>
        <v>View</v>
      </c>
      <c r="P1505" s="11"/>
    </row>
    <row r="1506" spans="1:16" ht="12.75" x14ac:dyDescent="0.35">
      <c r="A1506" s="7">
        <v>42481.908483796295</v>
      </c>
      <c r="B1506" s="8" t="str">
        <f>HYPERLINK("https://twitter.com/twineich","@twineich")</f>
        <v>@twineich</v>
      </c>
      <c r="C1506" s="9" t="s">
        <v>3981</v>
      </c>
      <c r="D1506" s="9" t="s">
        <v>3982</v>
      </c>
      <c r="E1506" s="10" t="str">
        <f>HYPERLINK("https://twitter.com/twineich/status/723184072403628033","723184072403628033")</f>
        <v>723184072403628033</v>
      </c>
      <c r="F1506" s="11" t="s">
        <v>114</v>
      </c>
      <c r="G1506" s="11">
        <v>68</v>
      </c>
      <c r="H1506" s="11">
        <v>569</v>
      </c>
      <c r="I1506" s="11">
        <v>0</v>
      </c>
      <c r="J1506" s="11">
        <v>0</v>
      </c>
      <c r="K1506" s="11" t="s">
        <v>21</v>
      </c>
      <c r="L1506" s="7">
        <v>42445.987233796295</v>
      </c>
      <c r="M1506" s="12"/>
      <c r="N1506" s="12" t="s">
        <v>3983</v>
      </c>
      <c r="O1506" s="10" t="str">
        <f>HYPERLINK("https://pbs.twimg.com/profile_images/722885128339505152/Sc06KH1L_normal.jpg","View")</f>
        <v>View</v>
      </c>
      <c r="P1506" s="10" t="str">
        <f>HYPERLINK("http://ctrlq.org/maps/address/#4.5493695,-75.6611189","Map")</f>
        <v>Map</v>
      </c>
    </row>
    <row r="1507" spans="1:16" ht="12.75" x14ac:dyDescent="0.35">
      <c r="A1507" s="7">
        <v>42481.908715277779</v>
      </c>
      <c r="B1507" s="8" t="str">
        <f>HYPERLINK("https://twitter.com/Catinformacio","@Catinformacio")</f>
        <v>@Catinformacio</v>
      </c>
      <c r="C1507" s="9" t="s">
        <v>3984</v>
      </c>
      <c r="D1507" s="9" t="s">
        <v>3985</v>
      </c>
      <c r="E1507" s="10" t="str">
        <f>HYPERLINK("https://twitter.com/Catinformacio/status/723184155668815872","723184155668815872")</f>
        <v>723184155668815872</v>
      </c>
      <c r="F1507" s="11" t="s">
        <v>43</v>
      </c>
      <c r="G1507" s="11">
        <v>59588</v>
      </c>
      <c r="H1507" s="11">
        <v>76</v>
      </c>
      <c r="I1507" s="11">
        <v>3</v>
      </c>
      <c r="J1507" s="11">
        <v>0</v>
      </c>
      <c r="K1507" s="11" t="s">
        <v>21</v>
      </c>
      <c r="L1507" s="7">
        <v>40610.704525462963</v>
      </c>
      <c r="M1507" s="12" t="s">
        <v>3986</v>
      </c>
      <c r="N1507" s="12" t="s">
        <v>3987</v>
      </c>
      <c r="O1507" s="10" t="str">
        <f>HYPERLINK("https://pbs.twimg.com/profile_images/536851001144143874/ZkA1n-PI_normal.png","View")</f>
        <v>View</v>
      </c>
      <c r="P1507" s="11"/>
    </row>
    <row r="1508" spans="1:16" ht="12.75" x14ac:dyDescent="0.35">
      <c r="A1508" s="7">
        <v>42481.908726851849</v>
      </c>
      <c r="B1508" s="8" t="str">
        <f>HYPERLINK("https://twitter.com/DJMattDavid","@DJMattDavid")</f>
        <v>@DJMattDavid</v>
      </c>
      <c r="C1508" s="9" t="s">
        <v>2967</v>
      </c>
      <c r="D1508" s="9" t="s">
        <v>3988</v>
      </c>
      <c r="E1508" s="10" t="str">
        <f>HYPERLINK("https://twitter.com/DJMattDavid/status/723184161851322369","723184161851322369")</f>
        <v>723184161851322369</v>
      </c>
      <c r="F1508" s="11" t="s">
        <v>53</v>
      </c>
      <c r="G1508" s="11">
        <v>295</v>
      </c>
      <c r="H1508" s="11">
        <v>152</v>
      </c>
      <c r="I1508" s="11">
        <v>0</v>
      </c>
      <c r="J1508" s="11">
        <v>0</v>
      </c>
      <c r="K1508" s="11" t="s">
        <v>21</v>
      </c>
      <c r="L1508" s="7">
        <v>39852.327372685184</v>
      </c>
      <c r="M1508" s="12" t="s">
        <v>2969</v>
      </c>
      <c r="N1508" s="12" t="s">
        <v>2970</v>
      </c>
      <c r="O1508" s="10" t="str">
        <f>HYPERLINK("https://pbs.twimg.com/profile_images/434295813154816000/Zl69okbD_normal.jpeg","View")</f>
        <v>View</v>
      </c>
      <c r="P1508" s="11"/>
    </row>
    <row r="1509" spans="1:16" ht="12.75" x14ac:dyDescent="0.35">
      <c r="A1509" s="7">
        <v>42481.908819444448</v>
      </c>
      <c r="B1509" s="8" t="str">
        <f>HYPERLINK("https://twitter.com/vwpartsonline","@vwpartsonline")</f>
        <v>@vwpartsonline</v>
      </c>
      <c r="C1509" s="9" t="s">
        <v>3989</v>
      </c>
      <c r="D1509" s="9" t="s">
        <v>3990</v>
      </c>
      <c r="E1509" s="10" t="str">
        <f>HYPERLINK("https://twitter.com/vwpartsonline/status/723184192100556800","723184192100556800")</f>
        <v>723184192100556800</v>
      </c>
      <c r="F1509" s="11" t="s">
        <v>20</v>
      </c>
      <c r="G1509" s="11">
        <v>13</v>
      </c>
      <c r="H1509" s="11">
        <v>2</v>
      </c>
      <c r="I1509" s="11">
        <v>0</v>
      </c>
      <c r="J1509" s="11">
        <v>0</v>
      </c>
      <c r="K1509" s="11" t="s">
        <v>21</v>
      </c>
      <c r="L1509" s="7">
        <v>42019.925821759258</v>
      </c>
      <c r="M1509" s="12"/>
      <c r="N1509" s="12" t="s">
        <v>3991</v>
      </c>
      <c r="O1509" s="10" t="str">
        <f>HYPERLINK("https://pbs.twimg.com/profile_images/555774692380782593/9nmpdlPa_normal.jpeg","View")</f>
        <v>View</v>
      </c>
      <c r="P1509" s="11"/>
    </row>
    <row r="1510" spans="1:16" ht="12.75" x14ac:dyDescent="0.35">
      <c r="A1510" s="7">
        <v>42481.909085648149</v>
      </c>
      <c r="B1510" s="8" t="str">
        <f>HYPERLINK("https://twitter.com/scribblerDE","@scribblerDE")</f>
        <v>@scribblerDE</v>
      </c>
      <c r="C1510" s="9" t="s">
        <v>3992</v>
      </c>
      <c r="D1510" s="9" t="s">
        <v>3960</v>
      </c>
      <c r="E1510" s="10" t="str">
        <f>HYPERLINK("https://twitter.com/scribblerDE/status/723184290075385856","723184290075385856")</f>
        <v>723184290075385856</v>
      </c>
      <c r="F1510" s="11" t="s">
        <v>725</v>
      </c>
      <c r="G1510" s="11">
        <v>12</v>
      </c>
      <c r="H1510" s="11">
        <v>101</v>
      </c>
      <c r="I1510" s="11">
        <v>5</v>
      </c>
      <c r="J1510" s="11">
        <v>0</v>
      </c>
      <c r="K1510" s="11" t="s">
        <v>21</v>
      </c>
      <c r="L1510" s="7">
        <v>42252.513506944444</v>
      </c>
      <c r="M1510" s="12" t="s">
        <v>3993</v>
      </c>
      <c r="N1510" s="12" t="s">
        <v>3994</v>
      </c>
      <c r="O1510" s="10" t="str">
        <f>HYPERLINK("https://pbs.twimg.com/profile_images/641984272950251520/57p0i6WY_normal.jpg","View")</f>
        <v>View</v>
      </c>
      <c r="P1510" s="11"/>
    </row>
    <row r="1511" spans="1:16" ht="12.75" x14ac:dyDescent="0.35">
      <c r="A1511" s="7">
        <v>42481.90929398148</v>
      </c>
      <c r="B1511" s="8" t="str">
        <f>HYPERLINK("https://twitter.com/SantaPodRaceway","@SantaPodRaceway")</f>
        <v>@SantaPodRaceway</v>
      </c>
      <c r="C1511" s="9" t="s">
        <v>3995</v>
      </c>
      <c r="D1511" s="9" t="s">
        <v>3996</v>
      </c>
      <c r="E1511" s="10" t="str">
        <f>HYPERLINK("https://twitter.com/SantaPodRaceway/status/723184366914965509","723184366914965509")</f>
        <v>723184366914965509</v>
      </c>
      <c r="F1511" s="11" t="s">
        <v>43</v>
      </c>
      <c r="G1511" s="11">
        <v>12549</v>
      </c>
      <c r="H1511" s="11">
        <v>222</v>
      </c>
      <c r="I1511" s="11">
        <v>2</v>
      </c>
      <c r="J1511" s="11">
        <v>0</v>
      </c>
      <c r="K1511" s="11" t="s">
        <v>21</v>
      </c>
      <c r="L1511" s="7">
        <v>39909.915972222225</v>
      </c>
      <c r="M1511" s="12" t="s">
        <v>3997</v>
      </c>
      <c r="N1511" s="12" t="s">
        <v>3998</v>
      </c>
      <c r="O1511" s="10" t="str">
        <f>HYPERLINK("https://pbs.twimg.com/profile_images/378800000801365829/e9f28f8996ff7f098d9b8a1840e76f50_normal.png","View")</f>
        <v>View</v>
      </c>
      <c r="P1511" s="11"/>
    </row>
    <row r="1512" spans="1:16" ht="12.75" x14ac:dyDescent="0.35">
      <c r="A1512" s="7">
        <v>42481.909513888888</v>
      </c>
      <c r="B1512" s="8" t="str">
        <f>HYPERLINK("https://twitter.com/ExCEO_","@ExCEO_")</f>
        <v>@ExCEO_</v>
      </c>
      <c r="C1512" s="9" t="s">
        <v>2803</v>
      </c>
      <c r="D1512" s="9" t="s">
        <v>3999</v>
      </c>
      <c r="E1512" s="10" t="str">
        <f>HYPERLINK("https://twitter.com/ExCEO_/status/723184446900334593","723184446900334593")</f>
        <v>723184446900334593</v>
      </c>
      <c r="F1512" s="11" t="s">
        <v>43</v>
      </c>
      <c r="G1512" s="11">
        <v>3222</v>
      </c>
      <c r="H1512" s="11">
        <v>2931</v>
      </c>
      <c r="I1512" s="11">
        <v>0</v>
      </c>
      <c r="J1512" s="11">
        <v>1</v>
      </c>
      <c r="K1512" s="11" t="s">
        <v>21</v>
      </c>
      <c r="L1512" s="7">
        <v>41340.071620370371</v>
      </c>
      <c r="M1512" s="12" t="s">
        <v>2805</v>
      </c>
      <c r="N1512" s="12" t="s">
        <v>2806</v>
      </c>
      <c r="O1512" s="10" t="str">
        <f>HYPERLINK("https://pbs.twimg.com/profile_images/3346543471/c7c79480b7b405ee902a5fcb600153a0_normal.jpeg","View")</f>
        <v>View</v>
      </c>
      <c r="P1512" s="11"/>
    </row>
    <row r="1513" spans="1:16" ht="12.75" x14ac:dyDescent="0.35">
      <c r="A1513" s="7">
        <v>42481.909837962958</v>
      </c>
      <c r="B1513" s="8" t="str">
        <f>HYPERLINK("https://twitter.com/Elitet5","@Elitet5")</f>
        <v>@Elitet5</v>
      </c>
      <c r="C1513" s="9" t="s">
        <v>2807</v>
      </c>
      <c r="D1513" s="9" t="s">
        <v>4000</v>
      </c>
      <c r="E1513" s="10" t="str">
        <f>HYPERLINK("https://twitter.com/Elitet5/status/723184562210267136","723184562210267136")</f>
        <v>723184562210267136</v>
      </c>
      <c r="F1513" s="11" t="s">
        <v>20</v>
      </c>
      <c r="G1513" s="11">
        <v>414</v>
      </c>
      <c r="H1513" s="11">
        <v>581</v>
      </c>
      <c r="I1513" s="11">
        <v>2</v>
      </c>
      <c r="J1513" s="11">
        <v>0</v>
      </c>
      <c r="K1513" s="11" t="s">
        <v>21</v>
      </c>
      <c r="L1513" s="7">
        <v>41566.857361111113</v>
      </c>
      <c r="M1513" s="12" t="s">
        <v>2809</v>
      </c>
      <c r="N1513" s="12" t="s">
        <v>2810</v>
      </c>
      <c r="O1513" s="10" t="str">
        <f>HYPERLINK("https://pbs.twimg.com/profile_images/431166006807904256/QQuD9iZE_normal.jpeg","View")</f>
        <v>View</v>
      </c>
      <c r="P1513" s="11"/>
    </row>
    <row r="1514" spans="1:16" ht="12.75" x14ac:dyDescent="0.35">
      <c r="A1514" s="7">
        <v>42481.909837962958</v>
      </c>
      <c r="B1514" s="8" t="str">
        <f>HYPERLINK("https://twitter.com/FollowLANews","@FollowLANews")</f>
        <v>@FollowLANews</v>
      </c>
      <c r="C1514" s="9" t="s">
        <v>4001</v>
      </c>
      <c r="D1514" s="9" t="s">
        <v>4002</v>
      </c>
      <c r="E1514" s="10" t="str">
        <f>HYPERLINK("https://twitter.com/FollowLANews/status/723184563413905408","723184563413905408")</f>
        <v>723184563413905408</v>
      </c>
      <c r="F1514" s="10" t="s">
        <v>124</v>
      </c>
      <c r="G1514" s="11">
        <v>1058</v>
      </c>
      <c r="H1514" s="11">
        <v>26</v>
      </c>
      <c r="I1514" s="11">
        <v>0</v>
      </c>
      <c r="J1514" s="11">
        <v>0</v>
      </c>
      <c r="K1514" s="11" t="s">
        <v>21</v>
      </c>
      <c r="L1514" s="7">
        <v>41816.766087962962</v>
      </c>
      <c r="M1514" s="12" t="s">
        <v>4003</v>
      </c>
      <c r="N1514" s="12" t="s">
        <v>4004</v>
      </c>
      <c r="O1514" s="10" t="str">
        <f>HYPERLINK("https://pbs.twimg.com/profile_images/482151151433834496/OemTzI3a_normal.jpeg","View")</f>
        <v>View</v>
      </c>
      <c r="P1514" s="11"/>
    </row>
    <row r="1515" spans="1:16" ht="12.75" x14ac:dyDescent="0.35">
      <c r="A1515" s="7">
        <v>42481.91106481482</v>
      </c>
      <c r="B1515" s="8" t="str">
        <f>HYPERLINK("https://twitter.com/talk910","@talk910")</f>
        <v>@talk910</v>
      </c>
      <c r="C1515" s="9" t="s">
        <v>4005</v>
      </c>
      <c r="D1515" s="9" t="s">
        <v>4006</v>
      </c>
      <c r="E1515" s="10" t="str">
        <f>HYPERLINK("https://twitter.com/talk910/status/723185008844775428","723185008844775428")</f>
        <v>723185008844775428</v>
      </c>
      <c r="F1515" s="11" t="s">
        <v>43</v>
      </c>
      <c r="G1515" s="11">
        <v>1660</v>
      </c>
      <c r="H1515" s="11">
        <v>519</v>
      </c>
      <c r="I1515" s="11">
        <v>0</v>
      </c>
      <c r="J1515" s="11">
        <v>0</v>
      </c>
      <c r="K1515" s="11" t="s">
        <v>21</v>
      </c>
      <c r="L1515" s="7">
        <v>40061.001967592594</v>
      </c>
      <c r="M1515" s="12" t="s">
        <v>4007</v>
      </c>
      <c r="N1515" s="12" t="s">
        <v>4008</v>
      </c>
      <c r="O1515" s="10" t="str">
        <f>HYPERLINK("https://pbs.twimg.com/profile_images/3461286994/b5d08f32f3fe123de6674ab786ab8e50_normal.png","View")</f>
        <v>View</v>
      </c>
      <c r="P1515" s="11"/>
    </row>
    <row r="1516" spans="1:16" ht="12.75" x14ac:dyDescent="0.35">
      <c r="A1516" s="7">
        <v>42481.91128472222</v>
      </c>
      <c r="B1516" s="8" t="str">
        <f>HYPERLINK("https://twitter.com/EricRitter","@EricRitter")</f>
        <v>@EricRitter</v>
      </c>
      <c r="C1516" s="9" t="s">
        <v>4009</v>
      </c>
      <c r="D1516" s="9" t="s">
        <v>4010</v>
      </c>
      <c r="E1516" s="10" t="str">
        <f>HYPERLINK("https://twitter.com/EricRitter/status/723185088171749376","723185088171749376")</f>
        <v>723185088171749376</v>
      </c>
      <c r="F1516" s="11" t="s">
        <v>80</v>
      </c>
      <c r="G1516" s="11">
        <v>1352</v>
      </c>
      <c r="H1516" s="11">
        <v>896</v>
      </c>
      <c r="I1516" s="11">
        <v>0</v>
      </c>
      <c r="J1516" s="11">
        <v>0</v>
      </c>
      <c r="K1516" s="11" t="s">
        <v>21</v>
      </c>
      <c r="L1516" s="7">
        <v>39638.837118055555</v>
      </c>
      <c r="M1516" s="12" t="s">
        <v>316</v>
      </c>
      <c r="N1516" s="12" t="s">
        <v>4011</v>
      </c>
      <c r="O1516" s="10" t="str">
        <f>HYPERLINK("https://pbs.twimg.com/profile_images/674572079707070464/FyMvIgJp_normal.jpg","View")</f>
        <v>View</v>
      </c>
      <c r="P1516" s="11"/>
    </row>
    <row r="1517" spans="1:16" ht="12.75" x14ac:dyDescent="0.35">
      <c r="A1517" s="7">
        <v>42481.91138888889</v>
      </c>
      <c r="B1517" s="8" t="str">
        <f>HYPERLINK("https://twitter.com/GrahameLucas","@GrahameLucas")</f>
        <v>@GrahameLucas</v>
      </c>
      <c r="C1517" s="9" t="s">
        <v>4012</v>
      </c>
      <c r="D1517" s="9" t="s">
        <v>4013</v>
      </c>
      <c r="E1517" s="10" t="str">
        <f>HYPERLINK("https://twitter.com/GrahameLucas/status/723185125933088769","723185125933088769")</f>
        <v>723185125933088769</v>
      </c>
      <c r="F1517" s="10" t="s">
        <v>2083</v>
      </c>
      <c r="G1517" s="11">
        <v>10764</v>
      </c>
      <c r="H1517" s="11">
        <v>9808</v>
      </c>
      <c r="I1517" s="11">
        <v>1</v>
      </c>
      <c r="J1517" s="11">
        <v>0</v>
      </c>
      <c r="K1517" s="11" t="s">
        <v>21</v>
      </c>
      <c r="L1517" s="7">
        <v>39940.958749999998</v>
      </c>
      <c r="M1517" s="12" t="s">
        <v>1303</v>
      </c>
      <c r="N1517" s="12" t="s">
        <v>4014</v>
      </c>
      <c r="O1517" s="10" t="str">
        <f>HYPERLINK("https://pbs.twimg.com/profile_images/550005315048333314/YipuE0ON_normal.jpeg","View")</f>
        <v>View</v>
      </c>
      <c r="P1517" s="11"/>
    </row>
    <row r="1518" spans="1:16" ht="12.75" x14ac:dyDescent="0.35">
      <c r="A1518" s="7">
        <v>42481.911979166667</v>
      </c>
      <c r="B1518" s="8" t="str">
        <f>HYPERLINK("https://twitter.com/CornwallBzForum","@CornwallBzForum")</f>
        <v>@CornwallBzForum</v>
      </c>
      <c r="C1518" s="9" t="s">
        <v>4015</v>
      </c>
      <c r="D1518" s="9" t="s">
        <v>4016</v>
      </c>
      <c r="E1518" s="10" t="str">
        <f>HYPERLINK("https://twitter.com/CornwallBzForum/status/723185337955172352","723185337955172352")</f>
        <v>723185337955172352</v>
      </c>
      <c r="F1518" s="11" t="s">
        <v>43</v>
      </c>
      <c r="G1518" s="11">
        <v>7888</v>
      </c>
      <c r="H1518" s="11">
        <v>6402</v>
      </c>
      <c r="I1518" s="11">
        <v>2</v>
      </c>
      <c r="J1518" s="11">
        <v>0</v>
      </c>
      <c r="K1518" s="11" t="s">
        <v>21</v>
      </c>
      <c r="L1518" s="7">
        <v>40623.805</v>
      </c>
      <c r="M1518" s="12" t="s">
        <v>4017</v>
      </c>
      <c r="N1518" s="12" t="s">
        <v>4018</v>
      </c>
      <c r="O1518" s="10" t="str">
        <f>HYPERLINK("https://pbs.twimg.com/profile_images/3120330421/18166a7606798b1cd07c5596ffc4001f_normal.png","View")</f>
        <v>View</v>
      </c>
      <c r="P1518" s="11"/>
    </row>
    <row r="1519" spans="1:16" ht="12.75" x14ac:dyDescent="0.35">
      <c r="A1519" s="7">
        <v>42481.91233796296</v>
      </c>
      <c r="B1519" s="8" t="str">
        <f>HYPERLINK("https://twitter.com/CAnative89","@CAnative89")</f>
        <v>@CAnative89</v>
      </c>
      <c r="C1519" s="9" t="s">
        <v>4019</v>
      </c>
      <c r="D1519" s="9" t="s">
        <v>4020</v>
      </c>
      <c r="E1519" s="10" t="str">
        <f>HYPERLINK("https://twitter.com/CAnative89/status/723185468225941504","723185468225941504")</f>
        <v>723185468225941504</v>
      </c>
      <c r="F1519" s="11" t="s">
        <v>43</v>
      </c>
      <c r="G1519" s="11">
        <v>33</v>
      </c>
      <c r="H1519" s="11">
        <v>109</v>
      </c>
      <c r="I1519" s="11">
        <v>0</v>
      </c>
      <c r="J1519" s="11">
        <v>0</v>
      </c>
      <c r="K1519" s="11" t="s">
        <v>21</v>
      </c>
      <c r="L1519" s="7">
        <v>40573.126111111109</v>
      </c>
      <c r="M1519" s="12" t="s">
        <v>209</v>
      </c>
      <c r="N1519" s="12" t="s">
        <v>4021</v>
      </c>
      <c r="O1519" s="10" t="str">
        <f>HYPERLINK("https://pbs.twimg.com/profile_images/713527836900986880/BWxJ03rj_normal.jpg","View")</f>
        <v>View</v>
      </c>
      <c r="P1519" s="11"/>
    </row>
    <row r="1520" spans="1:16" ht="12.75" x14ac:dyDescent="0.35">
      <c r="A1520" s="7">
        <v>42481.91243055556</v>
      </c>
      <c r="B1520" s="8" t="str">
        <f t="shared" ref="B1520:B1521" si="135">HYPERLINK("https://twitter.com/VolkswagenPost","@VolkswagenPost")</f>
        <v>@VolkswagenPost</v>
      </c>
      <c r="C1520" s="9" t="s">
        <v>321</v>
      </c>
      <c r="D1520" s="9" t="s">
        <v>3840</v>
      </c>
      <c r="E1520" s="10" t="str">
        <f>HYPERLINK("https://twitter.com/VolkswagenPost/status/723185500069216256","723185500069216256")</f>
        <v>723185500069216256</v>
      </c>
      <c r="F1520" s="11" t="s">
        <v>288</v>
      </c>
      <c r="G1520" s="11">
        <v>571</v>
      </c>
      <c r="H1520" s="11">
        <v>446</v>
      </c>
      <c r="I1520" s="11">
        <v>3</v>
      </c>
      <c r="J1520" s="11">
        <v>0</v>
      </c>
      <c r="K1520" s="11" t="s">
        <v>21</v>
      </c>
      <c r="L1520" s="7">
        <v>41940.618379629632</v>
      </c>
      <c r="M1520" s="12"/>
      <c r="N1520" s="12"/>
      <c r="O1520" s="10" t="str">
        <f t="shared" ref="O1520:O1521" si="136">HYPERLINK("https://pbs.twimg.com/profile_images/530071272881803264/a_jcCmPZ_normal.png","View")</f>
        <v>View</v>
      </c>
      <c r="P1520" s="11"/>
    </row>
    <row r="1521" spans="1:16" ht="12.75" x14ac:dyDescent="0.35">
      <c r="A1521" s="7">
        <v>42481.91243055556</v>
      </c>
      <c r="B1521" s="8" t="str">
        <f t="shared" si="135"/>
        <v>@VolkswagenPost</v>
      </c>
      <c r="C1521" s="9" t="s">
        <v>321</v>
      </c>
      <c r="D1521" s="9" t="s">
        <v>4022</v>
      </c>
      <c r="E1521" s="10" t="str">
        <f>HYPERLINK("https://twitter.com/VolkswagenPost/status/723185501029699584","723185501029699584")</f>
        <v>723185501029699584</v>
      </c>
      <c r="F1521" s="11" t="s">
        <v>288</v>
      </c>
      <c r="G1521" s="11">
        <v>571</v>
      </c>
      <c r="H1521" s="11">
        <v>446</v>
      </c>
      <c r="I1521" s="11">
        <v>2</v>
      </c>
      <c r="J1521" s="11">
        <v>0</v>
      </c>
      <c r="K1521" s="11" t="s">
        <v>21</v>
      </c>
      <c r="L1521" s="7">
        <v>41940.618379629632</v>
      </c>
      <c r="M1521" s="12"/>
      <c r="N1521" s="12"/>
      <c r="O1521" s="10" t="str">
        <f t="shared" si="136"/>
        <v>View</v>
      </c>
      <c r="P1521" s="11"/>
    </row>
    <row r="1522" spans="1:16" ht="12.75" x14ac:dyDescent="0.35">
      <c r="A1522" s="7">
        <v>42481.912453703699</v>
      </c>
      <c r="B1522" s="8" t="str">
        <f>HYPERLINK("https://twitter.com/OntarioCanuck","@OntarioCanuck")</f>
        <v>@OntarioCanuck</v>
      </c>
      <c r="C1522" s="9" t="s">
        <v>4023</v>
      </c>
      <c r="D1522" s="9" t="s">
        <v>4024</v>
      </c>
      <c r="E1522" s="10" t="str">
        <f>HYPERLINK("https://twitter.com/OntarioCanuck/status/723185509065846784","723185509065846784")</f>
        <v>723185509065846784</v>
      </c>
      <c r="F1522" s="11" t="s">
        <v>43</v>
      </c>
      <c r="G1522" s="11">
        <v>74</v>
      </c>
      <c r="H1522" s="11">
        <v>98</v>
      </c>
      <c r="I1522" s="11">
        <v>0</v>
      </c>
      <c r="J1522" s="11">
        <v>0</v>
      </c>
      <c r="K1522" s="11" t="s">
        <v>21</v>
      </c>
      <c r="L1522" s="7">
        <v>39863.870057870372</v>
      </c>
      <c r="M1522" s="12" t="s">
        <v>4025</v>
      </c>
      <c r="N1522" s="12" t="s">
        <v>4026</v>
      </c>
      <c r="O1522" s="10" t="str">
        <f>HYPERLINK("https://pbs.twimg.com/profile_images/521234953393037314/UmHFobq3_normal.jpeg","View")</f>
        <v>View</v>
      </c>
      <c r="P1522" s="11"/>
    </row>
    <row r="1523" spans="1:16" ht="12.75" x14ac:dyDescent="0.35">
      <c r="A1523" s="7">
        <v>42481.912581018521</v>
      </c>
      <c r="B1523" s="8" t="str">
        <f>HYPERLINK("https://twitter.com/jot_el","@jot_el")</f>
        <v>@jot_el</v>
      </c>
      <c r="C1523" s="9" t="s">
        <v>4027</v>
      </c>
      <c r="D1523" s="9" t="s">
        <v>4028</v>
      </c>
      <c r="E1523" s="10" t="str">
        <f>HYPERLINK("https://twitter.com/jot_el/status/723185556721569792","723185556721569792")</f>
        <v>723185556721569792</v>
      </c>
      <c r="F1523" s="11" t="s">
        <v>43</v>
      </c>
      <c r="G1523" s="11">
        <v>900</v>
      </c>
      <c r="H1523" s="11">
        <v>691</v>
      </c>
      <c r="I1523" s="11">
        <v>0</v>
      </c>
      <c r="J1523" s="11">
        <v>0</v>
      </c>
      <c r="K1523" s="11" t="s">
        <v>21</v>
      </c>
      <c r="L1523" s="7">
        <v>40034.527708333335</v>
      </c>
      <c r="M1523" s="12" t="s">
        <v>4029</v>
      </c>
      <c r="N1523" s="12" t="s">
        <v>4030</v>
      </c>
      <c r="O1523" s="10" t="str">
        <f>HYPERLINK("https://pbs.twimg.com/profile_images/658701915895832576/hMUbPXdY_normal.jpg","View")</f>
        <v>View</v>
      </c>
      <c r="P1523" s="11"/>
    </row>
    <row r="1524" spans="1:16" ht="12.75" x14ac:dyDescent="0.35">
      <c r="A1524" s="7">
        <v>42481.912638888884</v>
      </c>
      <c r="B1524" s="8" t="str">
        <f>HYPERLINK("https://twitter.com/thewonkydonkey","@thewonkydonkey")</f>
        <v>@thewonkydonkey</v>
      </c>
      <c r="C1524" s="9" t="s">
        <v>4031</v>
      </c>
      <c r="D1524" s="9" t="s">
        <v>4032</v>
      </c>
      <c r="E1524" s="10" t="str">
        <f>HYPERLINK("https://twitter.com/thewonkydonkey/status/723185578062303232","723185578062303232")</f>
        <v>723185578062303232</v>
      </c>
      <c r="F1524" s="11" t="s">
        <v>20</v>
      </c>
      <c r="G1524" s="11">
        <v>630</v>
      </c>
      <c r="H1524" s="11">
        <v>1107</v>
      </c>
      <c r="I1524" s="11">
        <v>0</v>
      </c>
      <c r="J1524" s="11">
        <v>1</v>
      </c>
      <c r="K1524" s="11" t="s">
        <v>21</v>
      </c>
      <c r="L1524" s="7">
        <v>40212.884155092594</v>
      </c>
      <c r="M1524" s="12" t="s">
        <v>1072</v>
      </c>
      <c r="N1524" s="12" t="s">
        <v>4033</v>
      </c>
      <c r="O1524" s="10" t="str">
        <f>HYPERLINK("https://pbs.twimg.com/profile_images/673462865/wonky_twitter_normal.jpg","View")</f>
        <v>View</v>
      </c>
      <c r="P1524" s="11"/>
    </row>
    <row r="1525" spans="1:16" ht="12.75" x14ac:dyDescent="0.35">
      <c r="A1525" s="7">
        <v>42481.912835648152</v>
      </c>
      <c r="B1525" s="8" t="str">
        <f>HYPERLINK("https://twitter.com/autosmartleics","@autosmartleics")</f>
        <v>@autosmartleics</v>
      </c>
      <c r="C1525" s="9" t="s">
        <v>4034</v>
      </c>
      <c r="D1525" s="9" t="s">
        <v>4035</v>
      </c>
      <c r="E1525" s="10" t="str">
        <f>HYPERLINK("https://twitter.com/autosmartleics/status/723185646966308864","723185646966308864")</f>
        <v>723185646966308864</v>
      </c>
      <c r="F1525" s="11" t="s">
        <v>114</v>
      </c>
      <c r="G1525" s="11">
        <v>2</v>
      </c>
      <c r="H1525" s="11">
        <v>16</v>
      </c>
      <c r="I1525" s="11">
        <v>1</v>
      </c>
      <c r="J1525" s="11">
        <v>0</v>
      </c>
      <c r="K1525" s="11" t="s">
        <v>21</v>
      </c>
      <c r="L1525" s="7">
        <v>42477.494097222225</v>
      </c>
      <c r="M1525" s="12" t="s">
        <v>4036</v>
      </c>
      <c r="N1525" s="12" t="s">
        <v>4037</v>
      </c>
      <c r="O1525" s="10" t="str">
        <f>HYPERLINK("https://pbs.twimg.com/profile_images/721587695231836160/bgJ8Jcnh_normal.jpg","View")</f>
        <v>View</v>
      </c>
      <c r="P1525" s="11"/>
    </row>
    <row r="1526" spans="1:16" ht="12.75" x14ac:dyDescent="0.35">
      <c r="A1526" s="7">
        <v>42481.913206018522</v>
      </c>
      <c r="B1526" s="8" t="str">
        <f>HYPERLINK("https://twitter.com/WrexhamVW","@WrexhamVW")</f>
        <v>@WrexhamVW</v>
      </c>
      <c r="C1526" s="9" t="s">
        <v>4038</v>
      </c>
      <c r="D1526" s="9" t="s">
        <v>4039</v>
      </c>
      <c r="E1526" s="10" t="str">
        <f>HYPERLINK("https://twitter.com/WrexhamVW/status/723185784077996033","723185784077996033")</f>
        <v>723185784077996033</v>
      </c>
      <c r="F1526" s="11" t="s">
        <v>140</v>
      </c>
      <c r="G1526" s="11">
        <v>3135</v>
      </c>
      <c r="H1526" s="11">
        <v>2900</v>
      </c>
      <c r="I1526" s="11">
        <v>1</v>
      </c>
      <c r="J1526" s="11">
        <v>0</v>
      </c>
      <c r="K1526" s="11" t="s">
        <v>21</v>
      </c>
      <c r="L1526" s="7">
        <v>41057.694652777776</v>
      </c>
      <c r="M1526" s="12" t="s">
        <v>4040</v>
      </c>
      <c r="N1526" s="12" t="s">
        <v>4041</v>
      </c>
      <c r="O1526" s="10" t="str">
        <f>HYPERLINK("https://pbs.twimg.com/profile_images/488719995401027584/VzWWQNs__normal.jpeg","View")</f>
        <v>View</v>
      </c>
      <c r="P1526" s="11"/>
    </row>
    <row r="1527" spans="1:16" ht="12.75" x14ac:dyDescent="0.35">
      <c r="A1527" s="7">
        <v>42481.913206018522</v>
      </c>
      <c r="B1527" s="8" t="str">
        <f>HYPERLINK("https://twitter.com/swanswaygroup","@swanswaygroup")</f>
        <v>@swanswaygroup</v>
      </c>
      <c r="C1527" s="9" t="s">
        <v>2558</v>
      </c>
      <c r="D1527" s="9" t="s">
        <v>4042</v>
      </c>
      <c r="E1527" s="10" t="str">
        <f>HYPERLINK("https://twitter.com/swanswaygroup/status/723185784124104708","723185784124104708")</f>
        <v>723185784124104708</v>
      </c>
      <c r="F1527" s="11" t="s">
        <v>140</v>
      </c>
      <c r="G1527" s="11">
        <v>6195</v>
      </c>
      <c r="H1527" s="11">
        <v>4459</v>
      </c>
      <c r="I1527" s="11">
        <v>1</v>
      </c>
      <c r="J1527" s="11">
        <v>0</v>
      </c>
      <c r="K1527" s="11" t="s">
        <v>21</v>
      </c>
      <c r="L1527" s="7">
        <v>40137.651365740741</v>
      </c>
      <c r="M1527" s="12" t="s">
        <v>2560</v>
      </c>
      <c r="N1527" s="12" t="s">
        <v>2561</v>
      </c>
      <c r="O1527" s="10" t="str">
        <f>HYPERLINK("https://pbs.twimg.com/profile_images/552037189328982016/r65JRGTS_normal.jpeg","View")</f>
        <v>View</v>
      </c>
      <c r="P1527" s="11"/>
    </row>
    <row r="1528" spans="1:16" ht="12.75" x14ac:dyDescent="0.35">
      <c r="A1528" s="7">
        <v>42481.913506944446</v>
      </c>
      <c r="B1528" s="8" t="str">
        <f>HYPERLINK("https://twitter.com/CarNotaFridge","@CarNotaFridge")</f>
        <v>@CarNotaFridge</v>
      </c>
      <c r="C1528" s="9" t="s">
        <v>2734</v>
      </c>
      <c r="D1528" s="9" t="s">
        <v>4043</v>
      </c>
      <c r="E1528" s="10" t="str">
        <f>HYPERLINK("https://twitter.com/CarNotaFridge/status/723185894253989888","723185894253989888")</f>
        <v>723185894253989888</v>
      </c>
      <c r="F1528" s="11" t="s">
        <v>43</v>
      </c>
      <c r="G1528" s="11">
        <v>307</v>
      </c>
      <c r="H1528" s="11">
        <v>380</v>
      </c>
      <c r="I1528" s="11">
        <v>0</v>
      </c>
      <c r="J1528" s="11">
        <v>0</v>
      </c>
      <c r="K1528" s="11" t="s">
        <v>21</v>
      </c>
      <c r="L1528" s="7">
        <v>40525.380381944444</v>
      </c>
      <c r="M1528" s="12" t="s">
        <v>209</v>
      </c>
      <c r="N1528" s="12" t="s">
        <v>2736</v>
      </c>
      <c r="O1528" s="10" t="str">
        <f>HYPERLINK("https://pbs.twimg.com/profile_images/1622195010/TEBNYC062011_normal.jpg","View")</f>
        <v>View</v>
      </c>
      <c r="P1528" s="11"/>
    </row>
    <row r="1529" spans="1:16" ht="12.75" x14ac:dyDescent="0.35">
      <c r="A1529" s="7">
        <v>42481.913854166662</v>
      </c>
      <c r="B1529" s="8" t="str">
        <f>HYPERLINK("https://twitter.com/ArtistOfKouroo","@ArtistOfKouroo")</f>
        <v>@ArtistOfKouroo</v>
      </c>
      <c r="C1529" s="9" t="s">
        <v>4044</v>
      </c>
      <c r="D1529" s="9" t="s">
        <v>4045</v>
      </c>
      <c r="E1529" s="10" t="str">
        <f>HYPERLINK("https://twitter.com/ArtistOfKouroo/status/723186016899702784","723186016899702784")</f>
        <v>723186016899702784</v>
      </c>
      <c r="F1529" s="11" t="s">
        <v>48</v>
      </c>
      <c r="G1529" s="11">
        <v>49</v>
      </c>
      <c r="H1529" s="11">
        <v>184</v>
      </c>
      <c r="I1529" s="11">
        <v>0</v>
      </c>
      <c r="J1529" s="11">
        <v>0</v>
      </c>
      <c r="K1529" s="11" t="s">
        <v>21</v>
      </c>
      <c r="L1529" s="7">
        <v>41614.174201388887</v>
      </c>
      <c r="M1529" s="12" t="s">
        <v>4046</v>
      </c>
      <c r="N1529" s="12" t="s">
        <v>4047</v>
      </c>
      <c r="O1529" s="10" t="str">
        <f>HYPERLINK("https://pbs.twimg.com/profile_images/378800000841317070/600109a82bb41562000ddc52550aa968_normal.jpeg","View")</f>
        <v>View</v>
      </c>
      <c r="P1529" s="11"/>
    </row>
    <row r="1530" spans="1:16" ht="12.75" x14ac:dyDescent="0.35">
      <c r="A1530" s="7">
        <v>42481.913993055554</v>
      </c>
      <c r="B1530" s="8" t="str">
        <f>HYPERLINK("https://twitter.com/JordiCerda","@JordiCerda")</f>
        <v>@JordiCerda</v>
      </c>
      <c r="C1530" s="9" t="s">
        <v>4048</v>
      </c>
      <c r="D1530" s="9" t="s">
        <v>3985</v>
      </c>
      <c r="E1530" s="10" t="str">
        <f>HYPERLINK("https://twitter.com/JordiCerda/status/723186069269827584","723186069269827584")</f>
        <v>723186069269827584</v>
      </c>
      <c r="F1530" s="11" t="s">
        <v>20</v>
      </c>
      <c r="G1530" s="11">
        <v>189</v>
      </c>
      <c r="H1530" s="11">
        <v>300</v>
      </c>
      <c r="I1530" s="11">
        <v>3</v>
      </c>
      <c r="J1530" s="11">
        <v>0</v>
      </c>
      <c r="K1530" s="11" t="s">
        <v>21</v>
      </c>
      <c r="L1530" s="7">
        <v>41236.645416666666</v>
      </c>
      <c r="M1530" s="12" t="s">
        <v>4049</v>
      </c>
      <c r="N1530" s="12"/>
      <c r="O1530" s="10" t="str">
        <f>HYPERLINK("https://pbs.twimg.com/profile_images/674596645913366528/Z5afHifu_normal.jpg","View")</f>
        <v>View</v>
      </c>
      <c r="P1530" s="11"/>
    </row>
    <row r="1531" spans="1:16" ht="12.75" x14ac:dyDescent="0.35">
      <c r="A1531" s="7">
        <v>42481.91405092593</v>
      </c>
      <c r="B1531" s="8" t="str">
        <f>HYPERLINK("https://twitter.com/GreillyPost","@GreillyPost")</f>
        <v>@GreillyPost</v>
      </c>
      <c r="C1531" s="9" t="s">
        <v>4050</v>
      </c>
      <c r="D1531" s="9" t="s">
        <v>4051</v>
      </c>
      <c r="E1531" s="10" t="str">
        <f>HYPERLINK("https://twitter.com/GreillyPost/status/723186089175879680","723186089175879680")</f>
        <v>723186089175879680</v>
      </c>
      <c r="F1531" s="11" t="s">
        <v>43</v>
      </c>
      <c r="G1531" s="11">
        <v>673</v>
      </c>
      <c r="H1531" s="11">
        <v>235</v>
      </c>
      <c r="I1531" s="11">
        <v>2</v>
      </c>
      <c r="J1531" s="11">
        <v>0</v>
      </c>
      <c r="K1531" s="11" t="s">
        <v>21</v>
      </c>
      <c r="L1531" s="7">
        <v>40875.977777777778</v>
      </c>
      <c r="M1531" s="12" t="s">
        <v>4052</v>
      </c>
      <c r="N1531" s="12" t="s">
        <v>4053</v>
      </c>
      <c r="O1531" s="10" t="str">
        <f>HYPERLINK("https://pbs.twimg.com/profile_images/1662795540/twitter_normal.jpg","View")</f>
        <v>View</v>
      </c>
      <c r="P1531" s="11"/>
    </row>
    <row r="1532" spans="1:16" ht="12.75" x14ac:dyDescent="0.35">
      <c r="A1532" s="7">
        <v>42481.914236111115</v>
      </c>
      <c r="B1532" s="8" t="str">
        <f>HYPERLINK("https://twitter.com/techhippie","@techhippie")</f>
        <v>@techhippie</v>
      </c>
      <c r="C1532" s="9" t="s">
        <v>246</v>
      </c>
      <c r="D1532" s="9" t="s">
        <v>4054</v>
      </c>
      <c r="E1532" s="10" t="str">
        <f>HYPERLINK("https://twitter.com/techhippie/status/723186158025494528","723186158025494528")</f>
        <v>723186158025494528</v>
      </c>
      <c r="F1532" s="11" t="s">
        <v>68</v>
      </c>
      <c r="G1532" s="11">
        <v>2471</v>
      </c>
      <c r="H1532" s="11">
        <v>3835</v>
      </c>
      <c r="I1532" s="11">
        <v>0</v>
      </c>
      <c r="J1532" s="11">
        <v>0</v>
      </c>
      <c r="K1532" s="11" t="s">
        <v>21</v>
      </c>
      <c r="L1532" s="7">
        <v>42424.852152777778</v>
      </c>
      <c r="M1532" s="12" t="s">
        <v>248</v>
      </c>
      <c r="N1532" s="12" t="s">
        <v>249</v>
      </c>
      <c r="O1532" s="10" t="str">
        <f>HYPERLINK("https://pbs.twimg.com/profile_images/702511217793863680/lty8h9vE_normal.jpg","View")</f>
        <v>View</v>
      </c>
      <c r="P1532" s="11"/>
    </row>
    <row r="1533" spans="1:16" ht="12.75" x14ac:dyDescent="0.35">
      <c r="A1533" s="7">
        <v>42481.914502314816</v>
      </c>
      <c r="B1533" s="8" t="str">
        <f>HYPERLINK("https://twitter.com/chrischeuermann","@chrischeuermann")</f>
        <v>@chrischeuermann</v>
      </c>
      <c r="C1533" s="9" t="s">
        <v>4055</v>
      </c>
      <c r="D1533" s="9" t="s">
        <v>4056</v>
      </c>
      <c r="E1533" s="10" t="str">
        <f>HYPERLINK("https://twitter.com/chrischeuermann/status/723186253928124416","723186253928124416")</f>
        <v>723186253928124416</v>
      </c>
      <c r="F1533" s="11" t="s">
        <v>43</v>
      </c>
      <c r="G1533" s="11">
        <v>969</v>
      </c>
      <c r="H1533" s="11">
        <v>776</v>
      </c>
      <c r="I1533" s="11">
        <v>1</v>
      </c>
      <c r="J1533" s="11">
        <v>0</v>
      </c>
      <c r="K1533" s="11" t="s">
        <v>21</v>
      </c>
      <c r="L1533" s="7">
        <v>39871.727835648147</v>
      </c>
      <c r="M1533" s="12" t="s">
        <v>638</v>
      </c>
      <c r="N1533" s="12" t="s">
        <v>4057</v>
      </c>
      <c r="O1533" s="10" t="str">
        <f>HYPERLINK("https://pbs.twimg.com/profile_images/2766141912/ebd0673f92c3644c0f77722e82cb98cd_normal.jpeg","View")</f>
        <v>View</v>
      </c>
      <c r="P1533" s="11"/>
    </row>
    <row r="1534" spans="1:16" ht="12.75" x14ac:dyDescent="0.35">
      <c r="A1534" s="7">
        <v>42481.914583333331</v>
      </c>
      <c r="B1534" s="8" t="str">
        <f t="shared" ref="B1534:B1535" si="137">HYPERLINK("https://twitter.com/DubLuvTuning","@DubLuvTuning")</f>
        <v>@DubLuvTuning</v>
      </c>
      <c r="C1534" s="9" t="s">
        <v>299</v>
      </c>
      <c r="D1534" s="9" t="s">
        <v>4022</v>
      </c>
      <c r="E1534" s="10" t="str">
        <f>HYPERLINK("https://twitter.com/DubLuvTuning/status/723186281434492928","723186281434492928")</f>
        <v>723186281434492928</v>
      </c>
      <c r="F1534" s="11" t="s">
        <v>288</v>
      </c>
      <c r="G1534" s="11">
        <v>690</v>
      </c>
      <c r="H1534" s="11">
        <v>431</v>
      </c>
      <c r="I1534" s="11">
        <v>2</v>
      </c>
      <c r="J1534" s="11">
        <v>0</v>
      </c>
      <c r="K1534" s="11" t="s">
        <v>21</v>
      </c>
      <c r="L1534" s="7">
        <v>41549.898287037038</v>
      </c>
      <c r="M1534" s="12" t="s">
        <v>301</v>
      </c>
      <c r="N1534" s="12" t="s">
        <v>302</v>
      </c>
      <c r="O1534" s="10" t="str">
        <f t="shared" ref="O1534:O1535" si="138">HYPERLINK("https://pbs.twimg.com/profile_images/378800000572104796/1de43e1cf23efb3f4101c02afad0d3b6_normal.png","View")</f>
        <v>View</v>
      </c>
      <c r="P1534" s="11"/>
    </row>
    <row r="1535" spans="1:16" ht="12.75" x14ac:dyDescent="0.35">
      <c r="A1535" s="7">
        <v>42481.914583333331</v>
      </c>
      <c r="B1535" s="8" t="str">
        <f t="shared" si="137"/>
        <v>@DubLuvTuning</v>
      </c>
      <c r="C1535" s="9" t="s">
        <v>299</v>
      </c>
      <c r="D1535" s="9" t="s">
        <v>4016</v>
      </c>
      <c r="E1535" s="10" t="str">
        <f>HYPERLINK("https://twitter.com/DubLuvTuning/status/723186283347103744","723186283347103744")</f>
        <v>723186283347103744</v>
      </c>
      <c r="F1535" s="11" t="s">
        <v>288</v>
      </c>
      <c r="G1535" s="11">
        <v>690</v>
      </c>
      <c r="H1535" s="11">
        <v>431</v>
      </c>
      <c r="I1535" s="11">
        <v>2</v>
      </c>
      <c r="J1535" s="11">
        <v>0</v>
      </c>
      <c r="K1535" s="11" t="s">
        <v>21</v>
      </c>
      <c r="L1535" s="7">
        <v>41549.898287037038</v>
      </c>
      <c r="M1535" s="12" t="s">
        <v>301</v>
      </c>
      <c r="N1535" s="12" t="s">
        <v>302</v>
      </c>
      <c r="O1535" s="10" t="str">
        <f t="shared" si="138"/>
        <v>View</v>
      </c>
      <c r="P1535" s="11"/>
    </row>
    <row r="1536" spans="1:16" ht="12.75" x14ac:dyDescent="0.35">
      <c r="A1536" s="7">
        <v>42481.914618055554</v>
      </c>
      <c r="B1536" s="8" t="str">
        <f>HYPERLINK("https://twitter.com/balcis","@balcis")</f>
        <v>@balcis</v>
      </c>
      <c r="C1536" s="9" t="s">
        <v>4058</v>
      </c>
      <c r="D1536" s="9" t="s">
        <v>1588</v>
      </c>
      <c r="E1536" s="10" t="str">
        <f>HYPERLINK("https://twitter.com/balcis/status/723186293384028166","723186293384028166")</f>
        <v>723186293384028166</v>
      </c>
      <c r="F1536" s="11" t="s">
        <v>20</v>
      </c>
      <c r="G1536" s="11">
        <v>197</v>
      </c>
      <c r="H1536" s="11">
        <v>106</v>
      </c>
      <c r="I1536" s="11">
        <v>2</v>
      </c>
      <c r="J1536" s="11">
        <v>0</v>
      </c>
      <c r="K1536" s="11" t="s">
        <v>21</v>
      </c>
      <c r="L1536" s="7">
        <v>39665.724340277782</v>
      </c>
      <c r="M1536" s="12"/>
      <c r="N1536" s="12"/>
      <c r="O1536" s="10" t="str">
        <f>HYPERLINK("https://pbs.twimg.com/profile_images/1781026776/z_01bab8f9_normal.jpg","View")</f>
        <v>View</v>
      </c>
      <c r="P1536" s="11"/>
    </row>
    <row r="1537" spans="1:16" ht="12.75" x14ac:dyDescent="0.35">
      <c r="A1537" s="7">
        <v>42481.914629629631</v>
      </c>
      <c r="B1537" s="8" t="str">
        <f>HYPERLINK("https://twitter.com/PowersOlga","@PowersOlga")</f>
        <v>@PowersOlga</v>
      </c>
      <c r="C1537" s="9" t="s">
        <v>4059</v>
      </c>
      <c r="D1537" s="9" t="s">
        <v>4060</v>
      </c>
      <c r="E1537" s="10" t="str">
        <f>HYPERLINK("https://twitter.com/PowersOlga/status/723186298958274560","723186298958274560")</f>
        <v>723186298958274560</v>
      </c>
      <c r="F1537" s="11" t="s">
        <v>20</v>
      </c>
      <c r="G1537" s="11">
        <v>1216</v>
      </c>
      <c r="H1537" s="11">
        <v>349</v>
      </c>
      <c r="I1537" s="11">
        <v>1</v>
      </c>
      <c r="J1537" s="11">
        <v>0</v>
      </c>
      <c r="K1537" s="11" t="s">
        <v>21</v>
      </c>
      <c r="L1537" s="7">
        <v>41377.397881944446</v>
      </c>
      <c r="M1537" s="12" t="s">
        <v>4061</v>
      </c>
      <c r="N1537" s="12" t="s">
        <v>4062</v>
      </c>
      <c r="O1537" s="10" t="str">
        <f>HYPERLINK("https://pbs.twimg.com/profile_images/712389505358045185/XrTyxa27_normal.jpg","View")</f>
        <v>View</v>
      </c>
      <c r="P1537" s="11"/>
    </row>
    <row r="1538" spans="1:16" ht="12.75" x14ac:dyDescent="0.35">
      <c r="A1538" s="7">
        <v>42481.914652777778</v>
      </c>
      <c r="B1538" s="8" t="str">
        <f>HYPERLINK("https://twitter.com/VWCamperSales","@VWCamperSales")</f>
        <v>@VWCamperSales</v>
      </c>
      <c r="C1538" s="9" t="s">
        <v>216</v>
      </c>
      <c r="D1538" s="9" t="s">
        <v>4063</v>
      </c>
      <c r="E1538" s="10" t="str">
        <f>HYPERLINK("https://twitter.com/VWCamperSales/status/723186307980128261","723186307980128261")</f>
        <v>723186307980128261</v>
      </c>
      <c r="F1538" s="10" t="s">
        <v>124</v>
      </c>
      <c r="G1538" s="11">
        <v>615</v>
      </c>
      <c r="H1538" s="11">
        <v>580</v>
      </c>
      <c r="I1538" s="11">
        <v>0</v>
      </c>
      <c r="J1538" s="11">
        <v>0</v>
      </c>
      <c r="K1538" s="11" t="s">
        <v>21</v>
      </c>
      <c r="L1538" s="7">
        <v>42215.98809027778</v>
      </c>
      <c r="M1538" s="12" t="s">
        <v>129</v>
      </c>
      <c r="N1538" s="12" t="s">
        <v>218</v>
      </c>
      <c r="O1538" s="10" t="str">
        <f>HYPERLINK("https://pbs.twimg.com/profile_images/627949001179037696/skEBkS05_normal.jpg","View")</f>
        <v>View</v>
      </c>
      <c r="P1538" s="11"/>
    </row>
    <row r="1539" spans="1:16" ht="12.75" x14ac:dyDescent="0.35">
      <c r="A1539" s="7">
        <v>42481.914965277778</v>
      </c>
      <c r="B1539" s="8" t="str">
        <f>HYPERLINK("https://twitter.com/UAimports","@UAimports")</f>
        <v>@UAimports</v>
      </c>
      <c r="C1539" s="9" t="s">
        <v>4064</v>
      </c>
      <c r="D1539" s="9" t="s">
        <v>4065</v>
      </c>
      <c r="E1539" s="10" t="str">
        <f>HYPERLINK("https://twitter.com/UAimports/status/723186419875872768","723186419875872768")</f>
        <v>723186419875872768</v>
      </c>
      <c r="F1539" s="11" t="s">
        <v>114</v>
      </c>
      <c r="G1539" s="11">
        <v>44</v>
      </c>
      <c r="H1539" s="11">
        <v>127</v>
      </c>
      <c r="I1539" s="11">
        <v>0</v>
      </c>
      <c r="J1539" s="11">
        <v>0</v>
      </c>
      <c r="K1539" s="11" t="s">
        <v>21</v>
      </c>
      <c r="L1539" s="7">
        <v>40200.019062499996</v>
      </c>
      <c r="M1539" s="12" t="s">
        <v>4066</v>
      </c>
      <c r="N1539" s="12" t="s">
        <v>4067</v>
      </c>
      <c r="O1539" s="10" t="str">
        <f>HYPERLINK("https://pbs.twimg.com/profile_images/378800000348226431/5ecdd1e54f9479e0545e239d17942701_normal.jpeg","View")</f>
        <v>View</v>
      </c>
      <c r="P1539" s="11"/>
    </row>
    <row r="1540" spans="1:16" ht="12.75" x14ac:dyDescent="0.35">
      <c r="A1540" s="7">
        <v>42481.915451388893</v>
      </c>
      <c r="B1540" s="8" t="str">
        <f>HYPERLINK("https://twitter.com/MiManske","@MiManske")</f>
        <v>@MiManske</v>
      </c>
      <c r="C1540" s="9" t="s">
        <v>1409</v>
      </c>
      <c r="D1540" s="9" t="s">
        <v>4068</v>
      </c>
      <c r="E1540" s="10" t="str">
        <f>HYPERLINK("https://twitter.com/MiManske/status/723186596430942208","723186596430942208")</f>
        <v>723186596430942208</v>
      </c>
      <c r="F1540" s="11" t="s">
        <v>20</v>
      </c>
      <c r="G1540" s="11">
        <v>1311</v>
      </c>
      <c r="H1540" s="11">
        <v>796</v>
      </c>
      <c r="I1540" s="11">
        <v>2</v>
      </c>
      <c r="J1540" s="11">
        <v>1</v>
      </c>
      <c r="K1540" s="11" t="s">
        <v>21</v>
      </c>
      <c r="L1540" s="7">
        <v>40522.240474537037</v>
      </c>
      <c r="M1540" s="12" t="s">
        <v>1411</v>
      </c>
      <c r="N1540" s="12" t="s">
        <v>1412</v>
      </c>
      <c r="O1540" s="10" t="str">
        <f>HYPERLINK("https://pbs.twimg.com/profile_images/652191269934993408/5bZKOI8y_normal.jpg","View")</f>
        <v>View</v>
      </c>
      <c r="P1540" s="11"/>
    </row>
    <row r="1541" spans="1:16" ht="12.75" x14ac:dyDescent="0.35">
      <c r="A1541" s="7">
        <v>42481.915578703702</v>
      </c>
      <c r="B1541" s="8" t="str">
        <f>HYPERLINK("https://twitter.com/KeyStone_Search","@KeyStone_Search")</f>
        <v>@KeyStone_Search</v>
      </c>
      <c r="C1541" s="9" t="s">
        <v>4069</v>
      </c>
      <c r="D1541" s="9" t="s">
        <v>4070</v>
      </c>
      <c r="E1541" s="10" t="str">
        <f>HYPERLINK("https://twitter.com/KeyStone_Search/status/723186644908695552","723186644908695552")</f>
        <v>723186644908695552</v>
      </c>
      <c r="F1541" s="11" t="s">
        <v>43</v>
      </c>
      <c r="G1541" s="11">
        <v>371</v>
      </c>
      <c r="H1541" s="11">
        <v>420</v>
      </c>
      <c r="I1541" s="11">
        <v>0</v>
      </c>
      <c r="J1541" s="11">
        <v>0</v>
      </c>
      <c r="K1541" s="11" t="s">
        <v>21</v>
      </c>
      <c r="L1541" s="7">
        <v>40969.049803240741</v>
      </c>
      <c r="M1541" s="12" t="s">
        <v>4071</v>
      </c>
      <c r="N1541" s="12" t="s">
        <v>4072</v>
      </c>
      <c r="O1541" s="10" t="str">
        <f>HYPERLINK("https://pbs.twimg.com/profile_images/494223149756456961/0wvIFrE4_normal.jpeg","View")</f>
        <v>View</v>
      </c>
      <c r="P1541" s="11"/>
    </row>
    <row r="1542" spans="1:16" ht="12.75" x14ac:dyDescent="0.35">
      <c r="A1542" s="7">
        <v>42481.91569444444</v>
      </c>
      <c r="B1542" s="8" t="str">
        <f>HYPERLINK("https://twitter.com/KristynHyland","@KristynHyland")</f>
        <v>@KristynHyland</v>
      </c>
      <c r="C1542" s="9" t="s">
        <v>4073</v>
      </c>
      <c r="D1542" s="9" t="s">
        <v>4074</v>
      </c>
      <c r="E1542" s="10" t="str">
        <f>HYPERLINK("https://twitter.com/KristynHyland/status/723186686914531328","723186686914531328")</f>
        <v>723186686914531328</v>
      </c>
      <c r="F1542" s="11" t="s">
        <v>43</v>
      </c>
      <c r="G1542" s="11">
        <v>1136</v>
      </c>
      <c r="H1542" s="11">
        <v>2234</v>
      </c>
      <c r="I1542" s="11">
        <v>0</v>
      </c>
      <c r="J1542" s="11">
        <v>0</v>
      </c>
      <c r="K1542" s="11" t="s">
        <v>21</v>
      </c>
      <c r="L1542" s="7">
        <v>41935.817060185189</v>
      </c>
      <c r="M1542" s="12"/>
      <c r="N1542" s="12" t="s">
        <v>4075</v>
      </c>
      <c r="O1542" s="10" t="str">
        <f>HYPERLINK("https://pbs.twimg.com/profile_images/525288454620336128/_cz57Vaw_normal.jpeg","View")</f>
        <v>View</v>
      </c>
      <c r="P1542" s="11"/>
    </row>
    <row r="1543" spans="1:16" ht="12.75" x14ac:dyDescent="0.35">
      <c r="A1543" s="7">
        <v>42481.915775462963</v>
      </c>
      <c r="B1543" s="8" t="str">
        <f>HYPERLINK("https://twitter.com/alloracomm","@alloracomm")</f>
        <v>@alloracomm</v>
      </c>
      <c r="C1543" s="9" t="s">
        <v>4076</v>
      </c>
      <c r="D1543" s="9" t="s">
        <v>4077</v>
      </c>
      <c r="E1543" s="10" t="str">
        <f>HYPERLINK("https://twitter.com/alloracomm/status/723186713414111234","723186713414111234")</f>
        <v>723186713414111234</v>
      </c>
      <c r="F1543" s="11" t="s">
        <v>43</v>
      </c>
      <c r="G1543" s="11">
        <v>50</v>
      </c>
      <c r="H1543" s="11">
        <v>147</v>
      </c>
      <c r="I1543" s="11">
        <v>0</v>
      </c>
      <c r="J1543" s="11">
        <v>0</v>
      </c>
      <c r="K1543" s="11" t="s">
        <v>21</v>
      </c>
      <c r="L1543" s="7">
        <v>42095.927349537036</v>
      </c>
      <c r="M1543" s="12" t="s">
        <v>305</v>
      </c>
      <c r="N1543" s="12" t="s">
        <v>4078</v>
      </c>
      <c r="O1543" s="10" t="str">
        <f>HYPERLINK("https://pbs.twimg.com/profile_images/583309420223803392/vXE-dk10_normal.png","View")</f>
        <v>View</v>
      </c>
      <c r="P1543" s="11"/>
    </row>
    <row r="1544" spans="1:16" ht="12.75" x14ac:dyDescent="0.35">
      <c r="A1544" s="7">
        <v>42481.91611111111</v>
      </c>
      <c r="B1544" s="8" t="str">
        <f>HYPERLINK("https://twitter.com/BILD_Reporter","@BILD_Reporter")</f>
        <v>@BILD_Reporter</v>
      </c>
      <c r="C1544" s="9" t="s">
        <v>1423</v>
      </c>
      <c r="D1544" s="9" t="s">
        <v>4079</v>
      </c>
      <c r="E1544" s="10" t="str">
        <f>HYPERLINK("https://twitter.com/BILD_Reporter/status/723186837859217408","723186837859217408")</f>
        <v>723186837859217408</v>
      </c>
      <c r="F1544" s="11" t="s">
        <v>20</v>
      </c>
      <c r="G1544" s="11">
        <v>2149</v>
      </c>
      <c r="H1544" s="11">
        <v>238</v>
      </c>
      <c r="I1544" s="11">
        <v>2</v>
      </c>
      <c r="J1544" s="11">
        <v>0</v>
      </c>
      <c r="K1544" s="11" t="s">
        <v>21</v>
      </c>
      <c r="L1544" s="7">
        <v>41430.766331018516</v>
      </c>
      <c r="M1544" s="12" t="s">
        <v>1359</v>
      </c>
      <c r="N1544" s="12" t="s">
        <v>1425</v>
      </c>
      <c r="O1544" s="10" t="str">
        <f>HYPERLINK("https://pbs.twimg.com/profile_images/578542636140781568/2T_ukEU0_normal.jpeg","View")</f>
        <v>View</v>
      </c>
      <c r="P1544" s="11"/>
    </row>
    <row r="1545" spans="1:16" ht="12.75" x14ac:dyDescent="0.35">
      <c r="A1545" s="7">
        <v>42481.916435185187</v>
      </c>
      <c r="B1545" s="8" t="str">
        <f>HYPERLINK("https://twitter.com/KeyStone_Search","@KeyStone_Search")</f>
        <v>@KeyStone_Search</v>
      </c>
      <c r="C1545" s="9" t="s">
        <v>4069</v>
      </c>
      <c r="D1545" s="9" t="s">
        <v>4080</v>
      </c>
      <c r="E1545" s="10" t="str">
        <f>HYPERLINK("https://twitter.com/KeyStone_Search/status/723186951826722816","723186951826722816")</f>
        <v>723186951826722816</v>
      </c>
      <c r="F1545" s="11" t="s">
        <v>43</v>
      </c>
      <c r="G1545" s="11">
        <v>371</v>
      </c>
      <c r="H1545" s="11">
        <v>420</v>
      </c>
      <c r="I1545" s="11">
        <v>0</v>
      </c>
      <c r="J1545" s="11">
        <v>0</v>
      </c>
      <c r="K1545" s="11" t="s">
        <v>21</v>
      </c>
      <c r="L1545" s="7">
        <v>40969.049803240741</v>
      </c>
      <c r="M1545" s="12" t="s">
        <v>4071</v>
      </c>
      <c r="N1545" s="12" t="s">
        <v>4072</v>
      </c>
      <c r="O1545" s="10" t="str">
        <f>HYPERLINK("https://pbs.twimg.com/profile_images/494223149756456961/0wvIFrE4_normal.jpeg","View")</f>
        <v>View</v>
      </c>
      <c r="P1545" s="11"/>
    </row>
    <row r="1546" spans="1:16" ht="12.75" x14ac:dyDescent="0.35">
      <c r="A1546" s="7">
        <v>42481.916481481487</v>
      </c>
      <c r="B1546" s="8" t="str">
        <f>HYPERLINK("https://twitter.com/sine_injuria","@sine_injuria")</f>
        <v>@sine_injuria</v>
      </c>
      <c r="C1546" s="9" t="s">
        <v>4081</v>
      </c>
      <c r="D1546" s="9" t="s">
        <v>4082</v>
      </c>
      <c r="E1546" s="10" t="str">
        <f>HYPERLINK("https://twitter.com/sine_injuria/status/723186971032584192","723186971032584192")</f>
        <v>723186971032584192</v>
      </c>
      <c r="F1546" s="11" t="s">
        <v>20</v>
      </c>
      <c r="G1546" s="11">
        <v>1405</v>
      </c>
      <c r="H1546" s="11">
        <v>2257</v>
      </c>
      <c r="I1546" s="11">
        <v>0</v>
      </c>
      <c r="J1546" s="11">
        <v>0</v>
      </c>
      <c r="K1546" s="11" t="s">
        <v>21</v>
      </c>
      <c r="L1546" s="7">
        <v>41192.704884259263</v>
      </c>
      <c r="M1546" s="12" t="s">
        <v>4083</v>
      </c>
      <c r="N1546" s="12" t="s">
        <v>4084</v>
      </c>
      <c r="O1546" s="10" t="str">
        <f>HYPERLINK("https://pbs.twimg.com/profile_images/642021337809076225/YhbHP0MU_normal.jpg","View")</f>
        <v>View</v>
      </c>
      <c r="P1546" s="11"/>
    </row>
    <row r="1547" spans="1:16" ht="12.75" x14ac:dyDescent="0.35">
      <c r="A1547" s="7">
        <v>42481.916539351849</v>
      </c>
      <c r="B1547" s="8" t="str">
        <f>HYPERLINK("https://twitter.com/UAimports","@UAimports")</f>
        <v>@UAimports</v>
      </c>
      <c r="C1547" s="9" t="s">
        <v>4064</v>
      </c>
      <c r="D1547" s="9" t="s">
        <v>4085</v>
      </c>
      <c r="E1547" s="10" t="str">
        <f>HYPERLINK("https://twitter.com/UAimports/status/723186992725540864","723186992725540864")</f>
        <v>723186992725540864</v>
      </c>
      <c r="F1547" s="11" t="s">
        <v>53</v>
      </c>
      <c r="G1547" s="11">
        <v>44</v>
      </c>
      <c r="H1547" s="11">
        <v>127</v>
      </c>
      <c r="I1547" s="11">
        <v>0</v>
      </c>
      <c r="J1547" s="11">
        <v>0</v>
      </c>
      <c r="K1547" s="11" t="s">
        <v>21</v>
      </c>
      <c r="L1547" s="7">
        <v>40200.019062499996</v>
      </c>
      <c r="M1547" s="12" t="s">
        <v>4066</v>
      </c>
      <c r="N1547" s="12" t="s">
        <v>4067</v>
      </c>
      <c r="O1547" s="10" t="str">
        <f>HYPERLINK("https://pbs.twimg.com/profile_images/378800000348226431/5ecdd1e54f9479e0545e239d17942701_normal.jpeg","View")</f>
        <v>View</v>
      </c>
      <c r="P1547" s="11"/>
    </row>
    <row r="1548" spans="1:16" ht="12.75" x14ac:dyDescent="0.35">
      <c r="A1548" s="7">
        <v>42481.917430555557</v>
      </c>
      <c r="B1548" s="8" t="str">
        <f>HYPERLINK("https://twitter.com/chrispillennews","@chrispillennews")</f>
        <v>@chrispillennews</v>
      </c>
      <c r="C1548" s="9" t="s">
        <v>259</v>
      </c>
      <c r="D1548" s="9" t="s">
        <v>260</v>
      </c>
      <c r="E1548" s="10" t="str">
        <f>HYPERLINK("https://twitter.com/chrispillennews/status/723187314776743936","723187314776743936")</f>
        <v>723187314776743936</v>
      </c>
      <c r="F1548" s="11" t="s">
        <v>261</v>
      </c>
      <c r="G1548" s="11">
        <v>149</v>
      </c>
      <c r="H1548" s="11">
        <v>35</v>
      </c>
      <c r="I1548" s="11">
        <v>0</v>
      </c>
      <c r="J1548" s="11">
        <v>0</v>
      </c>
      <c r="K1548" s="11" t="s">
        <v>21</v>
      </c>
      <c r="L1548" s="7">
        <v>40945.596898148149</v>
      </c>
      <c r="M1548" s="12" t="s">
        <v>262</v>
      </c>
      <c r="N1548" s="12" t="s">
        <v>263</v>
      </c>
      <c r="O1548" s="10" t="str">
        <f>HYPERLINK("https://pbs.twimg.com/profile_images/589041144027357185/LMeiK-X6_normal.jpg","View")</f>
        <v>View</v>
      </c>
      <c r="P1548" s="11"/>
    </row>
    <row r="1549" spans="1:16" ht="12.75" x14ac:dyDescent="0.35">
      <c r="A1549" s="7">
        <v>42481.917465277773</v>
      </c>
      <c r="B1549" s="8" t="str">
        <f>HYPERLINK("https://twitter.com/clydevpg","@clydevpg")</f>
        <v>@clydevpg</v>
      </c>
      <c r="C1549" s="9" t="s">
        <v>4086</v>
      </c>
      <c r="D1549" s="9" t="s">
        <v>4087</v>
      </c>
      <c r="E1549" s="10" t="str">
        <f>HYPERLINK("https://twitter.com/clydevpg/status/723187327414226944","723187327414226944")</f>
        <v>723187327414226944</v>
      </c>
      <c r="F1549" s="11" t="s">
        <v>20</v>
      </c>
      <c r="G1549" s="11">
        <v>2063</v>
      </c>
      <c r="H1549" s="11">
        <v>1667</v>
      </c>
      <c r="I1549" s="11">
        <v>4</v>
      </c>
      <c r="J1549" s="11">
        <v>9</v>
      </c>
      <c r="K1549" s="11" t="s">
        <v>21</v>
      </c>
      <c r="L1549" s="7">
        <v>41317.90388888889</v>
      </c>
      <c r="M1549" s="12" t="s">
        <v>4088</v>
      </c>
      <c r="N1549" s="12" t="s">
        <v>4089</v>
      </c>
      <c r="O1549" s="10" t="str">
        <f>HYPERLINK("https://pbs.twimg.com/profile_images/722023663483138048/HVDEPQwG_normal.jpg","View")</f>
        <v>View</v>
      </c>
      <c r="P1549" s="11"/>
    </row>
    <row r="1550" spans="1:16" ht="12.75" x14ac:dyDescent="0.35">
      <c r="A1550" s="7">
        <v>42481.917592592596</v>
      </c>
      <c r="B1550" s="8" t="str">
        <f>HYPERLINK("https://twitter.com/metricausa","@metricausa")</f>
        <v>@metricausa</v>
      </c>
      <c r="C1550" s="9" t="s">
        <v>4090</v>
      </c>
      <c r="D1550" s="9" t="s">
        <v>3864</v>
      </c>
      <c r="E1550" s="10" t="str">
        <f>HYPERLINK("https://twitter.com/metricausa/status/723187371248775168","723187371248775168")</f>
        <v>723187371248775168</v>
      </c>
      <c r="F1550" s="11" t="s">
        <v>43</v>
      </c>
      <c r="G1550" s="11">
        <v>837</v>
      </c>
      <c r="H1550" s="11">
        <v>1963</v>
      </c>
      <c r="I1550" s="11">
        <v>2</v>
      </c>
      <c r="J1550" s="11">
        <v>0</v>
      </c>
      <c r="K1550" s="11" t="s">
        <v>21</v>
      </c>
      <c r="L1550" s="7">
        <v>40591.400787037041</v>
      </c>
      <c r="M1550" s="12"/>
      <c r="N1550" s="12" t="s">
        <v>4091</v>
      </c>
      <c r="O1550" s="10" t="str">
        <f>HYPERLINK("https://pbs.twimg.com/profile_images/3701280874/727d39d4750c86cc2b21322974b47189_normal.jpeg","View")</f>
        <v>View</v>
      </c>
      <c r="P1550" s="11"/>
    </row>
    <row r="1551" spans="1:16" ht="12.75" x14ac:dyDescent="0.35">
      <c r="A1551" s="7">
        <v>42481.917604166665</v>
      </c>
      <c r="B1551" s="8" t="str">
        <f>HYPERLINK("https://twitter.com/chapmanphilly","@chapmanphilly")</f>
        <v>@chapmanphilly</v>
      </c>
      <c r="C1551" s="9" t="s">
        <v>4092</v>
      </c>
      <c r="D1551" s="9" t="s">
        <v>4093</v>
      </c>
      <c r="E1551" s="10" t="str">
        <f>HYPERLINK("https://twitter.com/chapmanphilly/status/723187375862636544","723187375862636544")</f>
        <v>723187375862636544</v>
      </c>
      <c r="F1551" s="11" t="s">
        <v>152</v>
      </c>
      <c r="G1551" s="11">
        <v>156</v>
      </c>
      <c r="H1551" s="11">
        <v>340</v>
      </c>
      <c r="I1551" s="11">
        <v>0</v>
      </c>
      <c r="J1551" s="11">
        <v>0</v>
      </c>
      <c r="K1551" s="11" t="s">
        <v>21</v>
      </c>
      <c r="L1551" s="7">
        <v>40242.920787037037</v>
      </c>
      <c r="M1551" s="12" t="s">
        <v>4094</v>
      </c>
      <c r="N1551" s="12" t="s">
        <v>4095</v>
      </c>
      <c r="O1551" s="10" t="str">
        <f>HYPERLINK("https://pbs.twimg.com/profile_images/378800000600543486/069e6d3a14dfc922c29d7cecf5dd463a_normal.jpeg","View")</f>
        <v>View</v>
      </c>
      <c r="P1551" s="11"/>
    </row>
    <row r="1552" spans="1:16" ht="12.75" x14ac:dyDescent="0.35">
      <c r="A1552" s="7">
        <v>42481.917662037042</v>
      </c>
      <c r="B1552" s="8" t="str">
        <f>HYPERLINK("https://twitter.com/SerraTVC","@SerraTVC")</f>
        <v>@SerraTVC</v>
      </c>
      <c r="C1552" s="9" t="s">
        <v>4096</v>
      </c>
      <c r="D1552" s="9" t="s">
        <v>4097</v>
      </c>
      <c r="E1552" s="10" t="str">
        <f>HYPERLINK("https://twitter.com/SerraTVC/status/723187399619170304","723187399619170304")</f>
        <v>723187399619170304</v>
      </c>
      <c r="F1552" s="11" t="s">
        <v>152</v>
      </c>
      <c r="G1552" s="11">
        <v>642</v>
      </c>
      <c r="H1552" s="11">
        <v>968</v>
      </c>
      <c r="I1552" s="11">
        <v>0</v>
      </c>
      <c r="J1552" s="11">
        <v>0</v>
      </c>
      <c r="K1552" s="11" t="s">
        <v>21</v>
      </c>
      <c r="L1552" s="7">
        <v>39982.977719907409</v>
      </c>
      <c r="M1552" s="12" t="s">
        <v>4098</v>
      </c>
      <c r="N1552" s="12" t="s">
        <v>4099</v>
      </c>
      <c r="O1552" s="10" t="str">
        <f>HYPERLINK("https://pbs.twimg.com/profile_images/719611202129625088/XNXG8FpF_normal.jpg","View")</f>
        <v>View</v>
      </c>
      <c r="P1552" s="11"/>
    </row>
    <row r="1553" spans="1:16" ht="12.75" x14ac:dyDescent="0.35">
      <c r="A1553" s="7">
        <v>42481.917662037042</v>
      </c>
      <c r="B1553" s="8" t="str">
        <f>HYPERLINK("https://twitter.com/ascrh2015","@ascrh2015")</f>
        <v>@ascrh2015</v>
      </c>
      <c r="C1553" s="9" t="s">
        <v>4100</v>
      </c>
      <c r="D1553" s="9" t="s">
        <v>4101</v>
      </c>
      <c r="E1553" s="10" t="str">
        <f>HYPERLINK("https://twitter.com/ascrh2015/status/723187399631593476","723187399631593476")</f>
        <v>723187399631593476</v>
      </c>
      <c r="F1553" s="11" t="s">
        <v>43</v>
      </c>
      <c r="G1553" s="11">
        <v>1050</v>
      </c>
      <c r="H1553" s="11">
        <v>889</v>
      </c>
      <c r="I1553" s="11">
        <v>0</v>
      </c>
      <c r="J1553" s="11">
        <v>0</v>
      </c>
      <c r="K1553" s="11" t="s">
        <v>21</v>
      </c>
      <c r="L1553" s="7">
        <v>42140.698124999995</v>
      </c>
      <c r="M1553" s="12"/>
      <c r="N1553" s="12"/>
      <c r="O1553" s="10" t="str">
        <f>HYPERLINK("https://pbs.twimg.com/profile_images/600222158296457216/iI4rlpHZ_normal.jpg","View")</f>
        <v>View</v>
      </c>
      <c r="P1553" s="11"/>
    </row>
    <row r="1554" spans="1:16" ht="12.75" x14ac:dyDescent="0.35">
      <c r="A1554" s="7">
        <v>42481.918749999997</v>
      </c>
      <c r="B1554" s="8" t="str">
        <f>HYPERLINK("https://twitter.com/GabrielSaizOk","@GabrielSaizOk")</f>
        <v>@GabrielSaizOk</v>
      </c>
      <c r="C1554" s="9" t="s">
        <v>4102</v>
      </c>
      <c r="D1554" s="9" t="s">
        <v>2825</v>
      </c>
      <c r="E1554" s="10" t="str">
        <f>HYPERLINK("https://twitter.com/GabrielSaizOk/status/723187791232946176","723187791232946176")</f>
        <v>723187791232946176</v>
      </c>
      <c r="F1554" s="11" t="s">
        <v>48</v>
      </c>
      <c r="G1554" s="11">
        <v>874</v>
      </c>
      <c r="H1554" s="11">
        <v>575</v>
      </c>
      <c r="I1554" s="11">
        <v>53</v>
      </c>
      <c r="J1554" s="11">
        <v>0</v>
      </c>
      <c r="K1554" s="11" t="s">
        <v>21</v>
      </c>
      <c r="L1554" s="7">
        <v>41325.269317129627</v>
      </c>
      <c r="M1554" s="12" t="s">
        <v>4103</v>
      </c>
      <c r="N1554" s="12" t="s">
        <v>4104</v>
      </c>
      <c r="O1554" s="10" t="str">
        <f>HYPERLINK("https://pbs.twimg.com/profile_images/723264298739490816/9fjnGkGB_normal.jpg","View")</f>
        <v>View</v>
      </c>
      <c r="P1554" s="11"/>
    </row>
    <row r="1555" spans="1:16" ht="12.75" x14ac:dyDescent="0.35">
      <c r="A1555" s="7">
        <v>42481.918854166666</v>
      </c>
      <c r="B1555" s="8" t="str">
        <f>HYPERLINK("https://twitter.com/celiacernadas","@celiacernadas")</f>
        <v>@celiacernadas</v>
      </c>
      <c r="C1555" s="9" t="s">
        <v>3945</v>
      </c>
      <c r="D1555" s="9" t="s">
        <v>4105</v>
      </c>
      <c r="E1555" s="10" t="str">
        <f>HYPERLINK("https://twitter.com/celiacernadas/status/723187829665198087","723187829665198087")</f>
        <v>723187829665198087</v>
      </c>
      <c r="F1555" s="11" t="s">
        <v>43</v>
      </c>
      <c r="G1555" s="11">
        <v>1316</v>
      </c>
      <c r="H1555" s="11">
        <v>416</v>
      </c>
      <c r="I1555" s="11">
        <v>2</v>
      </c>
      <c r="J1555" s="11">
        <v>0</v>
      </c>
      <c r="K1555" s="11" t="s">
        <v>21</v>
      </c>
      <c r="L1555" s="7">
        <v>40804.080868055556</v>
      </c>
      <c r="M1555" s="12" t="s">
        <v>2646</v>
      </c>
      <c r="N1555" s="12" t="s">
        <v>3947</v>
      </c>
      <c r="O1555" s="10" t="str">
        <f>HYPERLINK("https://pbs.twimg.com/profile_images/691097936181215232/Ocy36TIb_normal.jpg","View")</f>
        <v>View</v>
      </c>
      <c r="P1555" s="11"/>
    </row>
    <row r="1556" spans="1:16" ht="12.75" x14ac:dyDescent="0.35">
      <c r="A1556" s="7">
        <v>42481.919120370367</v>
      </c>
      <c r="B1556" s="8" t="str">
        <f>HYPERLINK("https://twitter.com/Sagenwirmalso","@Sagenwirmalso")</f>
        <v>@Sagenwirmalso</v>
      </c>
      <c r="C1556" s="9" t="s">
        <v>4106</v>
      </c>
      <c r="D1556" s="9" t="s">
        <v>4107</v>
      </c>
      <c r="E1556" s="10" t="str">
        <f>HYPERLINK("https://twitter.com/Sagenwirmalso/status/723187927807889408","723187927807889408")</f>
        <v>723187927807889408</v>
      </c>
      <c r="F1556" s="11" t="s">
        <v>48</v>
      </c>
      <c r="G1556" s="11">
        <v>30</v>
      </c>
      <c r="H1556" s="11">
        <v>71</v>
      </c>
      <c r="I1556" s="11">
        <v>0</v>
      </c>
      <c r="J1556" s="11">
        <v>0</v>
      </c>
      <c r="K1556" s="11" t="s">
        <v>21</v>
      </c>
      <c r="L1556" s="7">
        <v>42313.549456018518</v>
      </c>
      <c r="M1556" s="12" t="s">
        <v>1874</v>
      </c>
      <c r="N1556" s="12" t="s">
        <v>4108</v>
      </c>
      <c r="O1556" s="10" t="str">
        <f>HYPERLINK("https://pbs.twimg.com/profile_images/703246054230200320/MCfrTAk6_normal.jpg","View")</f>
        <v>View</v>
      </c>
      <c r="P1556" s="11"/>
    </row>
    <row r="1557" spans="1:16" ht="12.75" x14ac:dyDescent="0.35">
      <c r="A1557" s="7">
        <v>42481.919467592597</v>
      </c>
      <c r="B1557" s="8" t="str">
        <f>HYPERLINK("https://twitter.com/ramona2382","@ramona2382")</f>
        <v>@ramona2382</v>
      </c>
      <c r="C1557" s="9" t="s">
        <v>4109</v>
      </c>
      <c r="D1557" s="9" t="s">
        <v>3228</v>
      </c>
      <c r="E1557" s="10" t="str">
        <f>HYPERLINK("https://twitter.com/ramona2382/status/723188052554842112","723188052554842112")</f>
        <v>723188052554842112</v>
      </c>
      <c r="F1557" s="11" t="s">
        <v>48</v>
      </c>
      <c r="G1557" s="11">
        <v>21</v>
      </c>
      <c r="H1557" s="11">
        <v>125</v>
      </c>
      <c r="I1557" s="11">
        <v>7</v>
      </c>
      <c r="J1557" s="11">
        <v>0</v>
      </c>
      <c r="K1557" s="11" t="s">
        <v>21</v>
      </c>
      <c r="L1557" s="7">
        <v>41503.564270833333</v>
      </c>
      <c r="M1557" s="12" t="s">
        <v>1116</v>
      </c>
      <c r="N1557" s="12"/>
      <c r="O1557" s="10" t="str">
        <f>HYPERLINK("https://pbs.twimg.com/profile_images/713342453332488192/Lfwu9l2Z_normal.jpg","View")</f>
        <v>View</v>
      </c>
      <c r="P1557" s="11"/>
    </row>
    <row r="1558" spans="1:16" ht="12.75" x14ac:dyDescent="0.35">
      <c r="A1558" s="7">
        <v>42481.919479166667</v>
      </c>
      <c r="B1558" s="8" t="str">
        <f>HYPERLINK("https://twitter.com/msnde","@msnde")</f>
        <v>@msnde</v>
      </c>
      <c r="C1558" s="9" t="s">
        <v>4110</v>
      </c>
      <c r="D1558" s="9" t="s">
        <v>4111</v>
      </c>
      <c r="E1558" s="10" t="str">
        <f>HYPERLINK("https://twitter.com/msnde/status/723188055977299969","723188055977299969")</f>
        <v>723188055977299969</v>
      </c>
      <c r="F1558" s="11" t="s">
        <v>43</v>
      </c>
      <c r="G1558" s="11">
        <v>7750</v>
      </c>
      <c r="H1558" s="11">
        <v>723</v>
      </c>
      <c r="I1558" s="11">
        <v>0</v>
      </c>
      <c r="J1558" s="11">
        <v>0</v>
      </c>
      <c r="K1558" s="11" t="s">
        <v>21</v>
      </c>
      <c r="L1558" s="7">
        <v>40680.765902777777</v>
      </c>
      <c r="M1558" s="12" t="s">
        <v>4112</v>
      </c>
      <c r="N1558" s="12" t="s">
        <v>4113</v>
      </c>
      <c r="O1558" s="10" t="str">
        <f>HYPERLINK("https://pbs.twimg.com/profile_images/689020315003916288/Q3gO6sdj_normal.png","View")</f>
        <v>View</v>
      </c>
      <c r="P1558" s="11"/>
    </row>
    <row r="1559" spans="1:16" ht="12.75" x14ac:dyDescent="0.35">
      <c r="A1559" s="7">
        <v>42481.919629629629</v>
      </c>
      <c r="B1559" s="8" t="str">
        <f>HYPERLINK("https://twitter.com/octagon_iv","@octagon_iv")</f>
        <v>@octagon_iv</v>
      </c>
      <c r="C1559" s="9" t="s">
        <v>4114</v>
      </c>
      <c r="D1559" s="9" t="s">
        <v>4115</v>
      </c>
      <c r="E1559" s="10" t="str">
        <f>HYPERLINK("https://twitter.com/octagon_iv/status/723188112722145284","723188112722145284")</f>
        <v>723188112722145284</v>
      </c>
      <c r="F1559" s="11" t="s">
        <v>91</v>
      </c>
      <c r="G1559" s="11">
        <v>226</v>
      </c>
      <c r="H1559" s="11">
        <v>184</v>
      </c>
      <c r="I1559" s="11">
        <v>4</v>
      </c>
      <c r="J1559" s="11">
        <v>0</v>
      </c>
      <c r="K1559" s="11" t="s">
        <v>21</v>
      </c>
      <c r="L1559" s="7">
        <v>42091.918506944443</v>
      </c>
      <c r="M1559" s="12" t="s">
        <v>4116</v>
      </c>
      <c r="N1559" s="12" t="s">
        <v>4117</v>
      </c>
      <c r="O1559" s="10" t="str">
        <f>HYPERLINK("https://pbs.twimg.com/profile_images/582888318393782272/e9cKvgOr_normal.jpg","View")</f>
        <v>View</v>
      </c>
      <c r="P1559" s="11"/>
    </row>
    <row r="1560" spans="1:16" ht="12.75" x14ac:dyDescent="0.35">
      <c r="A1560" s="7">
        <v>42481.920358796298</v>
      </c>
      <c r="B1560" s="8" t="str">
        <f>HYPERLINK("https://twitter.com/styllnziall","@styllnziall")</f>
        <v>@styllnziall</v>
      </c>
      <c r="C1560" s="9" t="s">
        <v>4118</v>
      </c>
      <c r="D1560" s="9" t="s">
        <v>4119</v>
      </c>
      <c r="E1560" s="10" t="str">
        <f>HYPERLINK("https://twitter.com/styllnziall/status/723188375256227840","723188375256227840")</f>
        <v>723188375256227840</v>
      </c>
      <c r="F1560" s="11" t="s">
        <v>48</v>
      </c>
      <c r="G1560" s="11">
        <v>382</v>
      </c>
      <c r="H1560" s="11">
        <v>198</v>
      </c>
      <c r="I1560" s="11">
        <v>24</v>
      </c>
      <c r="J1560" s="11">
        <v>0</v>
      </c>
      <c r="K1560" s="11" t="s">
        <v>21</v>
      </c>
      <c r="L1560" s="7">
        <v>41566.233067129629</v>
      </c>
      <c r="M1560" s="12" t="s">
        <v>4120</v>
      </c>
      <c r="N1560" s="12" t="s">
        <v>4121</v>
      </c>
      <c r="O1560" s="10" t="str">
        <f>HYPERLINK("https://pbs.twimg.com/profile_images/534267857714937856/rENqjzZq_normal.jpeg","View")</f>
        <v>View</v>
      </c>
      <c r="P1560" s="11"/>
    </row>
    <row r="1561" spans="1:16" ht="12.75" x14ac:dyDescent="0.35">
      <c r="A1561" s="7">
        <v>42481.920370370368</v>
      </c>
      <c r="B1561" s="8" t="str">
        <f t="shared" ref="B1561:B1562" si="139">HYPERLINK("https://twitter.com/VolkswagenPost","@VolkswagenPost")</f>
        <v>@VolkswagenPost</v>
      </c>
      <c r="C1561" s="9" t="s">
        <v>321</v>
      </c>
      <c r="D1561" s="9" t="s">
        <v>4122</v>
      </c>
      <c r="E1561" s="10" t="str">
        <f>HYPERLINK("https://twitter.com/VolkswagenPost/status/723188380591370240","723188380591370240")</f>
        <v>723188380591370240</v>
      </c>
      <c r="F1561" s="11" t="s">
        <v>288</v>
      </c>
      <c r="G1561" s="11">
        <v>571</v>
      </c>
      <c r="H1561" s="11">
        <v>446</v>
      </c>
      <c r="I1561" s="11">
        <v>1</v>
      </c>
      <c r="J1561" s="11">
        <v>0</v>
      </c>
      <c r="K1561" s="11" t="s">
        <v>21</v>
      </c>
      <c r="L1561" s="7">
        <v>41940.618379629632</v>
      </c>
      <c r="M1561" s="12"/>
      <c r="N1561" s="12"/>
      <c r="O1561" s="10" t="str">
        <f t="shared" ref="O1561:O1562" si="140">HYPERLINK("https://pbs.twimg.com/profile_images/530071272881803264/a_jcCmPZ_normal.png","View")</f>
        <v>View</v>
      </c>
      <c r="P1561" s="11"/>
    </row>
    <row r="1562" spans="1:16" ht="12.75" x14ac:dyDescent="0.35">
      <c r="A1562" s="7">
        <v>42481.920381944445</v>
      </c>
      <c r="B1562" s="8" t="str">
        <f t="shared" si="139"/>
        <v>@VolkswagenPost</v>
      </c>
      <c r="C1562" s="9" t="s">
        <v>321</v>
      </c>
      <c r="D1562" s="9" t="s">
        <v>4123</v>
      </c>
      <c r="E1562" s="10" t="str">
        <f>HYPERLINK("https://twitter.com/VolkswagenPost/status/723188381883219968","723188381883219968")</f>
        <v>723188381883219968</v>
      </c>
      <c r="F1562" s="11" t="s">
        <v>288</v>
      </c>
      <c r="G1562" s="11">
        <v>571</v>
      </c>
      <c r="H1562" s="11">
        <v>446</v>
      </c>
      <c r="I1562" s="11">
        <v>1</v>
      </c>
      <c r="J1562" s="11">
        <v>0</v>
      </c>
      <c r="K1562" s="11" t="s">
        <v>21</v>
      </c>
      <c r="L1562" s="7">
        <v>41940.618379629632</v>
      </c>
      <c r="M1562" s="12"/>
      <c r="N1562" s="12"/>
      <c r="O1562" s="10" t="str">
        <f t="shared" si="140"/>
        <v>View</v>
      </c>
      <c r="P1562" s="11"/>
    </row>
    <row r="1563" spans="1:16" ht="12.75" x14ac:dyDescent="0.35">
      <c r="A1563" s="7">
        <v>42481.920405092591</v>
      </c>
      <c r="B1563" s="8" t="str">
        <f>HYPERLINK("https://twitter.com/MhvonS","@MhvonS")</f>
        <v>@MhvonS</v>
      </c>
      <c r="C1563" s="9" t="s">
        <v>4124</v>
      </c>
      <c r="D1563" s="9" t="s">
        <v>4125</v>
      </c>
      <c r="E1563" s="10" t="str">
        <f>HYPERLINK("https://twitter.com/MhvonS/status/723188392528338944","723188392528338944")</f>
        <v>723188392528338944</v>
      </c>
      <c r="F1563" s="11" t="s">
        <v>20</v>
      </c>
      <c r="G1563" s="11">
        <v>5</v>
      </c>
      <c r="H1563" s="11">
        <v>9</v>
      </c>
      <c r="I1563" s="11">
        <v>0</v>
      </c>
      <c r="J1563" s="11">
        <v>0</v>
      </c>
      <c r="K1563" s="11" t="s">
        <v>21</v>
      </c>
      <c r="L1563" s="7">
        <v>42183.851331018523</v>
      </c>
      <c r="M1563" s="12"/>
      <c r="N1563" s="12"/>
      <c r="O1563" s="10" t="str">
        <f>HYPERLINK("https://abs.twimg.com/sticky/default_profile_images/default_profile_6_normal.png","View")</f>
        <v>View</v>
      </c>
      <c r="P1563" s="11"/>
    </row>
    <row r="1564" spans="1:16" ht="12.75" x14ac:dyDescent="0.35">
      <c r="A1564" s="7">
        <v>42481.920567129629</v>
      </c>
      <c r="B1564" s="8" t="str">
        <f>HYPERLINK("https://twitter.com/zeitonline","@zeitonline")</f>
        <v>@zeitonline</v>
      </c>
      <c r="C1564" s="9" t="s">
        <v>1663</v>
      </c>
      <c r="D1564" s="9" t="s">
        <v>4126</v>
      </c>
      <c r="E1564" s="10" t="str">
        <f>HYPERLINK("https://twitter.com/zeitonline/status/723188449793216512","723188449793216512")</f>
        <v>723188449793216512</v>
      </c>
      <c r="F1564" s="11" t="s">
        <v>1561</v>
      </c>
      <c r="G1564" s="11">
        <v>1171091</v>
      </c>
      <c r="H1564" s="11">
        <v>22</v>
      </c>
      <c r="I1564" s="11">
        <v>3</v>
      </c>
      <c r="J1564" s="11">
        <v>8</v>
      </c>
      <c r="K1564" s="11" t="s">
        <v>21</v>
      </c>
      <c r="L1564" s="7">
        <v>39204.865983796299</v>
      </c>
      <c r="M1564" s="12" t="s">
        <v>1666</v>
      </c>
      <c r="N1564" s="12" t="s">
        <v>1667</v>
      </c>
      <c r="O1564" s="10" t="str">
        <f>HYPERLINK("https://pbs.twimg.com/profile_images/702423578608852994/zVbR9TA1_normal.jpg","View")</f>
        <v>View</v>
      </c>
      <c r="P1564" s="11"/>
    </row>
    <row r="1565" spans="1:16" ht="12.75" x14ac:dyDescent="0.35">
      <c r="A1565" s="7">
        <v>42481.920567129629</v>
      </c>
      <c r="B1565" s="8" t="str">
        <f>HYPERLINK("https://twitter.com/zeitonline_wir","@zeitonline_wir")</f>
        <v>@zeitonline_wir</v>
      </c>
      <c r="C1565" s="9" t="s">
        <v>1559</v>
      </c>
      <c r="D1565" s="9" t="s">
        <v>4127</v>
      </c>
      <c r="E1565" s="10" t="str">
        <f>HYPERLINK("https://twitter.com/zeitonline_wir/status/723188451542208512","723188451542208512")</f>
        <v>723188451542208512</v>
      </c>
      <c r="F1565" s="11" t="s">
        <v>1561</v>
      </c>
      <c r="G1565" s="11">
        <v>32134</v>
      </c>
      <c r="H1565" s="11">
        <v>38</v>
      </c>
      <c r="I1565" s="11">
        <v>0</v>
      </c>
      <c r="J1565" s="11">
        <v>0</v>
      </c>
      <c r="K1565" s="11" t="s">
        <v>21</v>
      </c>
      <c r="L1565" s="7">
        <v>40357.655370370368</v>
      </c>
      <c r="M1565" s="12" t="s">
        <v>1562</v>
      </c>
      <c r="N1565" s="12" t="s">
        <v>1563</v>
      </c>
      <c r="O1565" s="10" t="str">
        <f>HYPERLINK("https://pbs.twimg.com/profile_images/587542294913556480/VN9ydDdE_normal.jpg","View")</f>
        <v>View</v>
      </c>
      <c r="P1565" s="11"/>
    </row>
    <row r="1566" spans="1:16" ht="12.75" x14ac:dyDescent="0.35">
      <c r="A1566" s="7">
        <v>42481.920671296291</v>
      </c>
      <c r="B1566" s="8" t="str">
        <f>HYPERLINK("https://twitter.com/angei_samson","@angei_samson")</f>
        <v>@angei_samson</v>
      </c>
      <c r="C1566" s="9" t="s">
        <v>4128</v>
      </c>
      <c r="D1566" s="9" t="s">
        <v>4119</v>
      </c>
      <c r="E1566" s="10" t="str">
        <f>HYPERLINK("https://twitter.com/angei_samson/status/723188487617425408","723188487617425408")</f>
        <v>723188487617425408</v>
      </c>
      <c r="F1566" s="11" t="s">
        <v>48</v>
      </c>
      <c r="G1566" s="11">
        <v>208</v>
      </c>
      <c r="H1566" s="11">
        <v>80</v>
      </c>
      <c r="I1566" s="11">
        <v>24</v>
      </c>
      <c r="J1566" s="11">
        <v>0</v>
      </c>
      <c r="K1566" s="11" t="s">
        <v>21</v>
      </c>
      <c r="L1566" s="7">
        <v>41541.786840277782</v>
      </c>
      <c r="M1566" s="12" t="s">
        <v>4129</v>
      </c>
      <c r="N1566" s="12" t="s">
        <v>4130</v>
      </c>
      <c r="O1566" s="10" t="str">
        <f>HYPERLINK("https://pbs.twimg.com/profile_images/541534187707465729/9Nsiu4TX_normal.jpeg","View")</f>
        <v>View</v>
      </c>
      <c r="P1566" s="11"/>
    </row>
    <row r="1567" spans="1:16" ht="12.75" x14ac:dyDescent="0.35">
      <c r="A1567" s="7">
        <v>42481.920740740738</v>
      </c>
      <c r="B1567" s="8" t="str">
        <f>HYPERLINK("https://twitter.com/lozvaal","@lozvaal")</f>
        <v>@lozvaal</v>
      </c>
      <c r="C1567" s="9" t="s">
        <v>4131</v>
      </c>
      <c r="D1567" s="9" t="s">
        <v>4119</v>
      </c>
      <c r="E1567" s="10" t="str">
        <f>HYPERLINK("https://twitter.com/lozvaal/status/723188512162455552","723188512162455552")</f>
        <v>723188512162455552</v>
      </c>
      <c r="F1567" s="11" t="s">
        <v>48</v>
      </c>
      <c r="G1567" s="11">
        <v>276</v>
      </c>
      <c r="H1567" s="11">
        <v>112</v>
      </c>
      <c r="I1567" s="11">
        <v>24</v>
      </c>
      <c r="J1567" s="11">
        <v>0</v>
      </c>
      <c r="K1567" s="11" t="s">
        <v>21</v>
      </c>
      <c r="L1567" s="7">
        <v>41567.72550925926</v>
      </c>
      <c r="M1567" s="12" t="s">
        <v>4132</v>
      </c>
      <c r="N1567" s="12" t="s">
        <v>4133</v>
      </c>
      <c r="O1567" s="10" t="str">
        <f>HYPERLINK("https://pbs.twimg.com/profile_images/540357012467761152/K8cIiLRk_normal.jpeg","View")</f>
        <v>View</v>
      </c>
      <c r="P1567" s="11"/>
    </row>
    <row r="1568" spans="1:16" ht="12.75" x14ac:dyDescent="0.35">
      <c r="A1568" s="7">
        <v>42481.920937499999</v>
      </c>
      <c r="B1568" s="8" t="str">
        <f>HYPERLINK("https://twitter.com/CaplanComms","@CaplanComms")</f>
        <v>@CaplanComms</v>
      </c>
      <c r="C1568" s="9" t="s">
        <v>4134</v>
      </c>
      <c r="D1568" s="9" t="s">
        <v>2644</v>
      </c>
      <c r="E1568" s="10" t="str">
        <f>HYPERLINK("https://twitter.com/CaplanComms/status/723188584094650370","723188584094650370")</f>
        <v>723188584094650370</v>
      </c>
      <c r="F1568" s="11" t="s">
        <v>43</v>
      </c>
      <c r="G1568" s="11">
        <v>3834</v>
      </c>
      <c r="H1568" s="11">
        <v>1976</v>
      </c>
      <c r="I1568" s="11">
        <v>2</v>
      </c>
      <c r="J1568" s="11">
        <v>0</v>
      </c>
      <c r="K1568" s="11" t="s">
        <v>21</v>
      </c>
      <c r="L1568" s="7">
        <v>39688.41369212963</v>
      </c>
      <c r="M1568" s="12" t="s">
        <v>4135</v>
      </c>
      <c r="N1568" s="12" t="s">
        <v>4136</v>
      </c>
      <c r="O1568" s="10" t="str">
        <f>HYPERLINK("https://pbs.twimg.com/profile_images/722527417584123906/lqqlrdfb_normal.jpg","View")</f>
        <v>View</v>
      </c>
      <c r="P1568" s="11"/>
    </row>
    <row r="1569" spans="1:16" ht="12.75" x14ac:dyDescent="0.35">
      <c r="A1569" s="7">
        <v>42481.921261574069</v>
      </c>
      <c r="B1569" s="8" t="str">
        <f>HYPERLINK("https://twitter.com/franzsch2","@franzsch2")</f>
        <v>@franzsch2</v>
      </c>
      <c r="C1569" s="9" t="s">
        <v>4137</v>
      </c>
      <c r="D1569" s="9" t="s">
        <v>4138</v>
      </c>
      <c r="E1569" s="10" t="str">
        <f>HYPERLINK("https://twitter.com/franzsch2/status/723188700314636288","723188700314636288")</f>
        <v>723188700314636288</v>
      </c>
      <c r="F1569" s="11" t="s">
        <v>43</v>
      </c>
      <c r="G1569" s="11">
        <v>109</v>
      </c>
      <c r="H1569" s="11">
        <v>362</v>
      </c>
      <c r="I1569" s="11">
        <v>0</v>
      </c>
      <c r="J1569" s="11">
        <v>0</v>
      </c>
      <c r="K1569" s="11" t="s">
        <v>21</v>
      </c>
      <c r="L1569" s="7">
        <v>41952.36891203704</v>
      </c>
      <c r="M1569" s="12"/>
      <c r="N1569" s="12" t="s">
        <v>4139</v>
      </c>
      <c r="O1569" s="10" t="str">
        <f>HYPERLINK("https://pbs.twimg.com/profile_images/532009681158295552/ubGun8Mr_normal.jpeg","View")</f>
        <v>View</v>
      </c>
      <c r="P1569" s="11"/>
    </row>
    <row r="1570" spans="1:16" ht="12.75" x14ac:dyDescent="0.35">
      <c r="A1570" s="7">
        <v>42481.921446759261</v>
      </c>
      <c r="B1570" s="8" t="str">
        <f>HYPERLINK("https://twitter.com/borsakahini","@borsakahini")</f>
        <v>@borsakahini</v>
      </c>
      <c r="C1570" s="9" t="s">
        <v>4140</v>
      </c>
      <c r="D1570" s="9" t="s">
        <v>4141</v>
      </c>
      <c r="E1570" s="10" t="str">
        <f>HYPERLINK("https://twitter.com/borsakahini/status/723188769097031680","723188769097031680")</f>
        <v>723188769097031680</v>
      </c>
      <c r="F1570" s="11" t="s">
        <v>43</v>
      </c>
      <c r="G1570" s="11">
        <v>11985</v>
      </c>
      <c r="H1570" s="11">
        <v>270</v>
      </c>
      <c r="I1570" s="11">
        <v>5</v>
      </c>
      <c r="J1570" s="11">
        <v>1</v>
      </c>
      <c r="K1570" s="11" t="s">
        <v>21</v>
      </c>
      <c r="L1570" s="7">
        <v>40222.843298611115</v>
      </c>
      <c r="M1570" s="12" t="s">
        <v>4142</v>
      </c>
      <c r="N1570" s="12" t="s">
        <v>4143</v>
      </c>
      <c r="O1570" s="10" t="str">
        <f>HYPERLINK("https://pbs.twimg.com/profile_images/709353547398303744/t3Y8Osnt_normal.jpg","View")</f>
        <v>View</v>
      </c>
      <c r="P1570" s="11"/>
    </row>
    <row r="1571" spans="1:16" ht="12.75" x14ac:dyDescent="0.35">
      <c r="A1571" s="7">
        <v>42481.921458333338</v>
      </c>
      <c r="B1571" s="8" t="str">
        <f>HYPERLINK("https://twitter.com/ErkanCanKalkmaz","@ErkanCanKalkmaz")</f>
        <v>@ErkanCanKalkmaz</v>
      </c>
      <c r="C1571" s="9" t="s">
        <v>4144</v>
      </c>
      <c r="D1571" s="9" t="s">
        <v>4145</v>
      </c>
      <c r="E1571" s="10" t="str">
        <f>HYPERLINK("https://twitter.com/ErkanCanKalkmaz/status/723188774881079296","723188774881079296")</f>
        <v>723188774881079296</v>
      </c>
      <c r="F1571" s="11" t="s">
        <v>114</v>
      </c>
      <c r="G1571" s="11">
        <v>160</v>
      </c>
      <c r="H1571" s="11">
        <v>127</v>
      </c>
      <c r="I1571" s="11">
        <v>0</v>
      </c>
      <c r="J1571" s="11">
        <v>0</v>
      </c>
      <c r="K1571" s="11" t="s">
        <v>21</v>
      </c>
      <c r="L1571" s="7">
        <v>40986.041712962964</v>
      </c>
      <c r="M1571" s="12" t="s">
        <v>4146</v>
      </c>
      <c r="N1571" s="12" t="s">
        <v>4147</v>
      </c>
      <c r="O1571" s="10" t="str">
        <f>HYPERLINK("https://pbs.twimg.com/profile_images/689225545918328832/z6p4SA9L_normal.jpg","View")</f>
        <v>View</v>
      </c>
      <c r="P1571" s="11"/>
    </row>
    <row r="1572" spans="1:16" ht="12.75" x14ac:dyDescent="0.35">
      <c r="A1572" s="7">
        <v>42481.921550925923</v>
      </c>
      <c r="B1572" s="8" t="str">
        <f>HYPERLINK("https://twitter.com/MuratTebatebai","@MuratTebatebai")</f>
        <v>@MuratTebatebai</v>
      </c>
      <c r="C1572" s="9" t="s">
        <v>4148</v>
      </c>
      <c r="D1572" s="9" t="s">
        <v>4149</v>
      </c>
      <c r="E1572" s="10" t="str">
        <f>HYPERLINK("https://twitter.com/MuratTebatebai/status/723188807584108544","723188807584108544")</f>
        <v>723188807584108544</v>
      </c>
      <c r="F1572" s="11" t="s">
        <v>48</v>
      </c>
      <c r="G1572" s="11">
        <v>76</v>
      </c>
      <c r="H1572" s="11">
        <v>91</v>
      </c>
      <c r="I1572" s="11">
        <v>0</v>
      </c>
      <c r="J1572" s="11">
        <v>0</v>
      </c>
      <c r="K1572" s="11" t="s">
        <v>21</v>
      </c>
      <c r="L1572" s="7">
        <v>40938.073252314818</v>
      </c>
      <c r="M1572" s="12"/>
      <c r="N1572" s="12"/>
      <c r="O1572" s="10" t="str">
        <f>HYPERLINK("https://pbs.twimg.com/profile_images/1790433842/IMG_9431q_normal.jpg","View")</f>
        <v>View</v>
      </c>
      <c r="P1572" s="11"/>
    </row>
    <row r="1573" spans="1:16" ht="12.75" x14ac:dyDescent="0.35">
      <c r="A1573" s="7">
        <v>42481.9216087963</v>
      </c>
      <c r="B1573" s="8" t="str">
        <f>HYPERLINK("https://twitter.com/nicolaborri","@nicolaborri")</f>
        <v>@nicolaborri</v>
      </c>
      <c r="C1573" s="9" t="s">
        <v>4150</v>
      </c>
      <c r="D1573" s="9" t="s">
        <v>4151</v>
      </c>
      <c r="E1573" s="10" t="str">
        <f>HYPERLINK("https://twitter.com/nicolaborri/status/723188829117665280","723188829117665280")</f>
        <v>723188829117665280</v>
      </c>
      <c r="F1573" s="11" t="s">
        <v>4152</v>
      </c>
      <c r="G1573" s="11">
        <v>635</v>
      </c>
      <c r="H1573" s="11">
        <v>482</v>
      </c>
      <c r="I1573" s="11">
        <v>0</v>
      </c>
      <c r="J1573" s="11">
        <v>1</v>
      </c>
      <c r="K1573" s="11" t="s">
        <v>21</v>
      </c>
      <c r="L1573" s="7">
        <v>40699.940578703703</v>
      </c>
      <c r="M1573" s="12" t="s">
        <v>2390</v>
      </c>
      <c r="N1573" s="12" t="s">
        <v>4153</v>
      </c>
      <c r="O1573" s="10" t="str">
        <f>HYPERLINK("https://pbs.twimg.com/profile_images/614420938751385600/eHueZzXs_normal.jpg","View")</f>
        <v>View</v>
      </c>
      <c r="P1573" s="11"/>
    </row>
    <row r="1574" spans="1:16" ht="12.75" x14ac:dyDescent="0.35">
      <c r="A1574" s="7">
        <v>42481.921944444446</v>
      </c>
      <c r="B1574" s="8" t="str">
        <f>HYPERLINK("https://twitter.com/epicurebeauty","@epicurebeauty")</f>
        <v>@epicurebeauty</v>
      </c>
      <c r="C1574" s="9" t="s">
        <v>4154</v>
      </c>
      <c r="D1574" s="9" t="s">
        <v>4155</v>
      </c>
      <c r="E1574" s="10" t="str">
        <f>HYPERLINK("https://twitter.com/epicurebeauty/status/723188949053804544","723188949053804544")</f>
        <v>723188949053804544</v>
      </c>
      <c r="F1574" s="11" t="s">
        <v>20</v>
      </c>
      <c r="G1574" s="11">
        <v>140</v>
      </c>
      <c r="H1574" s="11">
        <v>1057</v>
      </c>
      <c r="I1574" s="11">
        <v>1</v>
      </c>
      <c r="J1574" s="11">
        <v>2</v>
      </c>
      <c r="K1574" s="11" t="s">
        <v>21</v>
      </c>
      <c r="L1574" s="7">
        <v>42329.878530092596</v>
      </c>
      <c r="M1574" s="12" t="s">
        <v>4156</v>
      </c>
      <c r="N1574" s="12" t="s">
        <v>4157</v>
      </c>
      <c r="O1574" s="10" t="str">
        <f>HYPERLINK("https://pbs.twimg.com/profile_images/721817644626755585/gv_O7BfX_normal.jpg","View")</f>
        <v>View</v>
      </c>
      <c r="P1574" s="11"/>
    </row>
    <row r="1575" spans="1:16" ht="12.75" x14ac:dyDescent="0.35">
      <c r="A1575" s="7">
        <v>42481.922083333338</v>
      </c>
      <c r="B1575" s="8" t="str">
        <f>HYPERLINK("https://twitter.com/GlowCreations","@GlowCreations")</f>
        <v>@GlowCreations</v>
      </c>
      <c r="C1575" s="9" t="s">
        <v>4158</v>
      </c>
      <c r="D1575" s="9" t="s">
        <v>4159</v>
      </c>
      <c r="E1575" s="10" t="str">
        <f>HYPERLINK("https://twitter.com/GlowCreations/status/723189002216546304","723189002216546304")</f>
        <v>723189002216546304</v>
      </c>
      <c r="F1575" s="11" t="s">
        <v>114</v>
      </c>
      <c r="G1575" s="11">
        <v>70</v>
      </c>
      <c r="H1575" s="11">
        <v>175</v>
      </c>
      <c r="I1575" s="11">
        <v>0</v>
      </c>
      <c r="J1575" s="11">
        <v>1</v>
      </c>
      <c r="K1575" s="11" t="s">
        <v>21</v>
      </c>
      <c r="L1575" s="7">
        <v>41175.088784722218</v>
      </c>
      <c r="M1575" s="12" t="s">
        <v>4160</v>
      </c>
      <c r="N1575" s="12" t="s">
        <v>4161</v>
      </c>
      <c r="O1575" s="10" t="str">
        <f>HYPERLINK("https://pbs.twimg.com/profile_images/696426954468298752/EygI6rG2_normal.jpg","View")</f>
        <v>View</v>
      </c>
      <c r="P1575" s="11"/>
    </row>
    <row r="1576" spans="1:16" ht="12.75" x14ac:dyDescent="0.35">
      <c r="A1576" s="7">
        <v>42481.922546296293</v>
      </c>
      <c r="B1576" s="8" t="str">
        <f>HYPERLINK("https://twitter.com/msav999","@msav999")</f>
        <v>@msav999</v>
      </c>
      <c r="C1576" s="9" t="s">
        <v>4162</v>
      </c>
      <c r="D1576" s="9" t="s">
        <v>4163</v>
      </c>
      <c r="E1576" s="10" t="str">
        <f>HYPERLINK("https://twitter.com/msav999/status/723189169531424769","723189169531424769")</f>
        <v>723189169531424769</v>
      </c>
      <c r="F1576" s="11" t="s">
        <v>43</v>
      </c>
      <c r="G1576" s="11">
        <v>21</v>
      </c>
      <c r="H1576" s="11">
        <v>128</v>
      </c>
      <c r="I1576" s="11">
        <v>0</v>
      </c>
      <c r="J1576" s="11">
        <v>0</v>
      </c>
      <c r="K1576" s="11" t="s">
        <v>21</v>
      </c>
      <c r="L1576" s="7">
        <v>40825.170624999999</v>
      </c>
      <c r="M1576" s="12" t="s">
        <v>4164</v>
      </c>
      <c r="N1576" s="12" t="s">
        <v>4165</v>
      </c>
      <c r="O1576" s="10" t="str">
        <f>HYPERLINK("https://pbs.twimg.com/profile_images/613550335307612160/IseYDiEM_normal.jpg","View")</f>
        <v>View</v>
      </c>
      <c r="P1576" s="11"/>
    </row>
    <row r="1577" spans="1:16" ht="12.75" x14ac:dyDescent="0.35">
      <c r="A1577" s="7">
        <v>42481.922546296293</v>
      </c>
      <c r="B1577" s="8" t="str">
        <f>HYPERLINK("https://twitter.com/breellveslife","@breellveslife")</f>
        <v>@breellveslife</v>
      </c>
      <c r="C1577" s="9" t="s">
        <v>4166</v>
      </c>
      <c r="D1577" s="9" t="s">
        <v>4119</v>
      </c>
      <c r="E1577" s="10" t="str">
        <f>HYPERLINK("https://twitter.com/breellveslife/status/723189169992900608","723189169992900608")</f>
        <v>723189169992900608</v>
      </c>
      <c r="F1577" s="11" t="s">
        <v>48</v>
      </c>
      <c r="G1577" s="11">
        <v>339</v>
      </c>
      <c r="H1577" s="11">
        <v>100</v>
      </c>
      <c r="I1577" s="11">
        <v>24</v>
      </c>
      <c r="J1577" s="11">
        <v>0</v>
      </c>
      <c r="K1577" s="11" t="s">
        <v>21</v>
      </c>
      <c r="L1577" s="7">
        <v>41567.904537037037</v>
      </c>
      <c r="M1577" s="12" t="s">
        <v>4167</v>
      </c>
      <c r="N1577" s="12" t="s">
        <v>4168</v>
      </c>
      <c r="O1577" s="10" t="str">
        <f>HYPERLINK("https://pbs.twimg.com/profile_images/540337694245916672/kkUJghTm_normal.jpeg","View")</f>
        <v>View</v>
      </c>
      <c r="P1577" s="11"/>
    </row>
    <row r="1578" spans="1:16" ht="12.75" x14ac:dyDescent="0.35">
      <c r="A1578" s="7">
        <v>42481.922569444447</v>
      </c>
      <c r="B1578" s="8" t="str">
        <f>HYPERLINK("https://twitter.com/euleminerva","@euleminerva")</f>
        <v>@euleminerva</v>
      </c>
      <c r="C1578" s="9" t="s">
        <v>4169</v>
      </c>
      <c r="D1578" s="9" t="s">
        <v>4170</v>
      </c>
      <c r="E1578" s="10" t="str">
        <f>HYPERLINK("https://twitter.com/euleminerva/status/723189175327940608","723189175327940608")</f>
        <v>723189175327940608</v>
      </c>
      <c r="F1578" s="11" t="s">
        <v>43</v>
      </c>
      <c r="G1578" s="11">
        <v>2295</v>
      </c>
      <c r="H1578" s="11">
        <v>1895</v>
      </c>
      <c r="I1578" s="11">
        <v>0</v>
      </c>
      <c r="J1578" s="11">
        <v>0</v>
      </c>
      <c r="K1578" s="11" t="s">
        <v>21</v>
      </c>
      <c r="L1578" s="7">
        <v>41200.050578703704</v>
      </c>
      <c r="M1578" s="12" t="s">
        <v>1359</v>
      </c>
      <c r="N1578" s="12" t="s">
        <v>4171</v>
      </c>
      <c r="O1578" s="10" t="str">
        <f>HYPERLINK("https://pbs.twimg.com/profile_images/669248619132952576/p1q_D68x_normal.jpg","View")</f>
        <v>View</v>
      </c>
      <c r="P1578" s="11"/>
    </row>
    <row r="1579" spans="1:16" ht="12.75" x14ac:dyDescent="0.35">
      <c r="A1579" s="7">
        <v>42481.922708333332</v>
      </c>
      <c r="B1579" s="8" t="str">
        <f>HYPERLINK("https://twitter.com/TerryHatfield3","@TerryHatfield3")</f>
        <v>@TerryHatfield3</v>
      </c>
      <c r="C1579" s="9" t="s">
        <v>4172</v>
      </c>
      <c r="D1579" s="9" t="s">
        <v>4173</v>
      </c>
      <c r="E1579" s="10" t="str">
        <f>HYPERLINK("https://twitter.com/TerryHatfield3/status/723189227962306561","723189227962306561")</f>
        <v>723189227962306561</v>
      </c>
      <c r="F1579" s="11" t="s">
        <v>43</v>
      </c>
      <c r="G1579" s="11">
        <v>1407</v>
      </c>
      <c r="H1579" s="11">
        <v>2030</v>
      </c>
      <c r="I1579" s="11">
        <v>0</v>
      </c>
      <c r="J1579" s="11">
        <v>0</v>
      </c>
      <c r="K1579" s="11" t="s">
        <v>21</v>
      </c>
      <c r="L1579" s="7">
        <v>41062.014201388891</v>
      </c>
      <c r="M1579" s="12"/>
      <c r="N1579" s="12" t="s">
        <v>4174</v>
      </c>
      <c r="O1579" s="10" t="str">
        <f>HYPERLINK("https://pbs.twimg.com/profile_images/2269660943/fffmkk7gq9f90g1ahnyg_normal.jpeg","View")</f>
        <v>View</v>
      </c>
      <c r="P1579" s="11"/>
    </row>
    <row r="1580" spans="1:16" ht="12.75" x14ac:dyDescent="0.35">
      <c r="A1580" s="7">
        <v>42481.922905092593</v>
      </c>
      <c r="B1580" s="8" t="str">
        <f>HYPERLINK("https://twitter.com/EmmettBrown1955","@EmmettBrown1955")</f>
        <v>@EmmettBrown1955</v>
      </c>
      <c r="C1580" s="9" t="s">
        <v>4175</v>
      </c>
      <c r="D1580" s="9" t="s">
        <v>4176</v>
      </c>
      <c r="E1580" s="10" t="str">
        <f>HYPERLINK("https://twitter.com/EmmettBrown1955/status/723189297549959169","723189297549959169")</f>
        <v>723189297549959169</v>
      </c>
      <c r="F1580" s="11" t="s">
        <v>43</v>
      </c>
      <c r="G1580" s="11">
        <v>46</v>
      </c>
      <c r="H1580" s="11">
        <v>123</v>
      </c>
      <c r="I1580" s="11">
        <v>0</v>
      </c>
      <c r="J1580" s="11">
        <v>0</v>
      </c>
      <c r="K1580" s="11" t="s">
        <v>21</v>
      </c>
      <c r="L1580" s="7">
        <v>41975.962071759262</v>
      </c>
      <c r="M1580" s="12"/>
      <c r="N1580" s="12"/>
      <c r="O1580" s="10" t="str">
        <f>HYPERLINK("https://pbs.twimg.com/profile_images/539836380839280641/QejEKdZT_normal.jpeg","View")</f>
        <v>View</v>
      </c>
      <c r="P1580" s="11"/>
    </row>
    <row r="1581" spans="1:16" ht="12.75" x14ac:dyDescent="0.35">
      <c r="A1581" s="7">
        <v>42481.922939814816</v>
      </c>
      <c r="B1581" s="8" t="str">
        <f>HYPERLINK("https://twitter.com/aktuelle_stunde","@aktuelle_stunde")</f>
        <v>@aktuelle_stunde</v>
      </c>
      <c r="C1581" s="9" t="s">
        <v>3261</v>
      </c>
      <c r="D1581" s="9" t="s">
        <v>4177</v>
      </c>
      <c r="E1581" s="10" t="str">
        <f>HYPERLINK("https://twitter.com/aktuelle_stunde/status/723189311324057600","723189311324057600")</f>
        <v>723189311324057600</v>
      </c>
      <c r="F1581" s="11" t="s">
        <v>43</v>
      </c>
      <c r="G1581" s="11">
        <v>32526</v>
      </c>
      <c r="H1581" s="11">
        <v>261</v>
      </c>
      <c r="I1581" s="11">
        <v>10</v>
      </c>
      <c r="J1581" s="11">
        <v>6</v>
      </c>
      <c r="K1581" s="11" t="s">
        <v>21</v>
      </c>
      <c r="L1581" s="7">
        <v>40914.826516203706</v>
      </c>
      <c r="M1581" s="12" t="s">
        <v>975</v>
      </c>
      <c r="N1581" s="12" t="s">
        <v>3263</v>
      </c>
      <c r="O1581" s="10" t="str">
        <f>HYPERLINK("https://pbs.twimg.com/profile_images/488939589520740353/HVTIWICi_normal.jpeg","View")</f>
        <v>View</v>
      </c>
      <c r="P1581" s="11"/>
    </row>
    <row r="1582" spans="1:16" ht="12.75" x14ac:dyDescent="0.35">
      <c r="A1582" s="7">
        <v>42481.922997685186</v>
      </c>
      <c r="B1582" s="8" t="str">
        <f>HYPERLINK("https://twitter.com/VWCamperSales","@VWCamperSales")</f>
        <v>@VWCamperSales</v>
      </c>
      <c r="C1582" s="9" t="s">
        <v>216</v>
      </c>
      <c r="D1582" s="9" t="s">
        <v>4178</v>
      </c>
      <c r="E1582" s="10" t="str">
        <f>HYPERLINK("https://twitter.com/VWCamperSales/status/723189329581871104","723189329581871104")</f>
        <v>723189329581871104</v>
      </c>
      <c r="F1582" s="10" t="s">
        <v>124</v>
      </c>
      <c r="G1582" s="11">
        <v>615</v>
      </c>
      <c r="H1582" s="11">
        <v>580</v>
      </c>
      <c r="I1582" s="11">
        <v>0</v>
      </c>
      <c r="J1582" s="11">
        <v>0</v>
      </c>
      <c r="K1582" s="11" t="s">
        <v>21</v>
      </c>
      <c r="L1582" s="7">
        <v>42215.98809027778</v>
      </c>
      <c r="M1582" s="12" t="s">
        <v>129</v>
      </c>
      <c r="N1582" s="12" t="s">
        <v>218</v>
      </c>
      <c r="O1582" s="10" t="str">
        <f>HYPERLINK("https://pbs.twimg.com/profile_images/627949001179037696/skEBkS05_normal.jpg","View")</f>
        <v>View</v>
      </c>
      <c r="P1582" s="11"/>
    </row>
    <row r="1583" spans="1:16" ht="12.75" x14ac:dyDescent="0.35">
      <c r="A1583" s="7">
        <v>42481.923032407409</v>
      </c>
      <c r="B1583" s="8" t="str">
        <f>HYPERLINK("https://twitter.com/abeeson20","@abeeson20")</f>
        <v>@abeeson20</v>
      </c>
      <c r="C1583" s="9" t="s">
        <v>4179</v>
      </c>
      <c r="D1583" s="9" t="s">
        <v>4180</v>
      </c>
      <c r="E1583" s="10" t="str">
        <f>HYPERLINK("https://twitter.com/abeeson20/status/723189342043136001","723189342043136001")</f>
        <v>723189342043136001</v>
      </c>
      <c r="F1583" s="11" t="s">
        <v>43</v>
      </c>
      <c r="G1583" s="11">
        <v>42</v>
      </c>
      <c r="H1583" s="11">
        <v>213</v>
      </c>
      <c r="I1583" s="11">
        <v>0</v>
      </c>
      <c r="J1583" s="11">
        <v>0</v>
      </c>
      <c r="K1583" s="11" t="s">
        <v>21</v>
      </c>
      <c r="L1583" s="7">
        <v>41571.339305555557</v>
      </c>
      <c r="M1583" s="12" t="s">
        <v>4181</v>
      </c>
      <c r="N1583" s="12" t="s">
        <v>4182</v>
      </c>
      <c r="O1583" s="10" t="str">
        <f>HYPERLINK("https://pbs.twimg.com/profile_images/466242245532737538/TClE9jOP_normal.jpeg","View")</f>
        <v>View</v>
      </c>
      <c r="P1583" s="11"/>
    </row>
    <row r="1584" spans="1:16" ht="12.75" x14ac:dyDescent="0.35">
      <c r="A1584" s="7">
        <v>42481.923078703709</v>
      </c>
      <c r="B1584" s="8" t="str">
        <f>HYPERLINK("https://twitter.com/r_kreisel","@r_kreisel")</f>
        <v>@r_kreisel</v>
      </c>
      <c r="C1584" s="9" t="s">
        <v>4183</v>
      </c>
      <c r="D1584" s="9" t="s">
        <v>3675</v>
      </c>
      <c r="E1584" s="10" t="str">
        <f>HYPERLINK("https://twitter.com/r_kreisel/status/723189359726366720","723189359726366720")</f>
        <v>723189359726366720</v>
      </c>
      <c r="F1584" s="11" t="s">
        <v>43</v>
      </c>
      <c r="G1584" s="11">
        <v>52</v>
      </c>
      <c r="H1584" s="11">
        <v>117</v>
      </c>
      <c r="I1584" s="11">
        <v>5</v>
      </c>
      <c r="J1584" s="11">
        <v>0</v>
      </c>
      <c r="K1584" s="11" t="s">
        <v>21</v>
      </c>
      <c r="L1584" s="7">
        <v>41940.65688657407</v>
      </c>
      <c r="M1584" s="12"/>
      <c r="N1584" s="12" t="s">
        <v>4184</v>
      </c>
      <c r="O1584" s="10" t="str">
        <f>HYPERLINK("https://pbs.twimg.com/profile_images/527052537992470529/T_xUcDO1_normal.jpeg","View")</f>
        <v>View</v>
      </c>
      <c r="P1584" s="11"/>
    </row>
    <row r="1585" spans="1:16" ht="12.75" x14ac:dyDescent="0.35">
      <c r="A1585" s="7">
        <v>42481.92324074074</v>
      </c>
      <c r="B1585" s="8" t="str">
        <f>HYPERLINK("https://twitter.com/WDR","@WDR")</f>
        <v>@WDR</v>
      </c>
      <c r="C1585" s="9" t="s">
        <v>4185</v>
      </c>
      <c r="D1585" s="9" t="s">
        <v>4186</v>
      </c>
      <c r="E1585" s="10" t="str">
        <f>HYPERLINK("https://twitter.com/WDR/status/723189421688811520","723189421688811520")</f>
        <v>723189421688811520</v>
      </c>
      <c r="F1585" s="11" t="s">
        <v>43</v>
      </c>
      <c r="G1585" s="11">
        <v>159819</v>
      </c>
      <c r="H1585" s="11">
        <v>817</v>
      </c>
      <c r="I1585" s="11">
        <v>10</v>
      </c>
      <c r="J1585" s="11">
        <v>0</v>
      </c>
      <c r="K1585" s="11" t="s">
        <v>21</v>
      </c>
      <c r="L1585" s="7">
        <v>39841.027627314819</v>
      </c>
      <c r="M1585" s="12" t="s">
        <v>1874</v>
      </c>
      <c r="N1585" s="12" t="s">
        <v>4187</v>
      </c>
      <c r="O1585" s="10" t="str">
        <f>HYPERLINK("https://pbs.twimg.com/profile_images/695941207625695234/gdP_FW0R_normal.jpg","View")</f>
        <v>View</v>
      </c>
      <c r="P1585" s="11"/>
    </row>
    <row r="1586" spans="1:16" ht="12.75" x14ac:dyDescent="0.35">
      <c r="A1586" s="7">
        <v>42481.923460648148</v>
      </c>
      <c r="B1586" s="8" t="str">
        <f>HYPERLINK("https://twitter.com/tagesschau","@tagesschau")</f>
        <v>@tagesschau</v>
      </c>
      <c r="C1586" s="9" t="s">
        <v>1880</v>
      </c>
      <c r="D1586" s="9" t="s">
        <v>4188</v>
      </c>
      <c r="E1586" s="10" t="str">
        <f>HYPERLINK("https://twitter.com/tagesschau/status/723189498302087168","723189498302087168")</f>
        <v>723189498302087168</v>
      </c>
      <c r="F1586" s="10" t="s">
        <v>1882</v>
      </c>
      <c r="G1586" s="11">
        <v>1154671</v>
      </c>
      <c r="H1586" s="11">
        <v>286</v>
      </c>
      <c r="I1586" s="11">
        <v>3</v>
      </c>
      <c r="J1586" s="11">
        <v>6</v>
      </c>
      <c r="K1586" s="11" t="s">
        <v>21</v>
      </c>
      <c r="L1586" s="7">
        <v>39205.592152777775</v>
      </c>
      <c r="M1586" s="12" t="s">
        <v>953</v>
      </c>
      <c r="N1586" s="12" t="s">
        <v>1883</v>
      </c>
      <c r="O1586" s="10" t="str">
        <f>HYPERLINK("https://pbs.twimg.com/profile_images/531688614640365568/U84uXoIT_normal.png","View")</f>
        <v>View</v>
      </c>
      <c r="P1586" s="11"/>
    </row>
    <row r="1587" spans="1:16" ht="12.75" x14ac:dyDescent="0.35">
      <c r="A1587" s="7">
        <v>42481.92359953704</v>
      </c>
      <c r="B1587" s="8" t="str">
        <f>HYPERLINK("https://twitter.com/Ziyaggy","@Ziyaggy")</f>
        <v>@Ziyaggy</v>
      </c>
      <c r="C1587" s="9" t="s">
        <v>4189</v>
      </c>
      <c r="D1587" s="9" t="s">
        <v>3584</v>
      </c>
      <c r="E1587" s="10" t="str">
        <f>HYPERLINK("https://twitter.com/Ziyaggy/status/723189550386958336","723189550386958336")</f>
        <v>723189550386958336</v>
      </c>
      <c r="F1587" s="11" t="s">
        <v>48</v>
      </c>
      <c r="G1587" s="11">
        <v>543</v>
      </c>
      <c r="H1587" s="11">
        <v>603</v>
      </c>
      <c r="I1587" s="11">
        <v>9</v>
      </c>
      <c r="J1587" s="11">
        <v>0</v>
      </c>
      <c r="K1587" s="11" t="s">
        <v>21</v>
      </c>
      <c r="L1587" s="7">
        <v>39909.619814814811</v>
      </c>
      <c r="M1587" s="12" t="s">
        <v>3014</v>
      </c>
      <c r="N1587" s="12" t="s">
        <v>4190</v>
      </c>
      <c r="O1587" s="10" t="str">
        <f>HYPERLINK("https://pbs.twimg.com/profile_images/575930552118812672/abre3ILP_normal.jpeg","View")</f>
        <v>View</v>
      </c>
      <c r="P1587" s="11"/>
    </row>
    <row r="1588" spans="1:16" ht="12.75" x14ac:dyDescent="0.35">
      <c r="A1588" s="7">
        <v>42481.923750000002</v>
      </c>
      <c r="B1588" s="8" t="str">
        <f>HYPERLINK("https://twitter.com/Lebeaucarnews","@Lebeaucarnews")</f>
        <v>@Lebeaucarnews</v>
      </c>
      <c r="C1588" s="9" t="s">
        <v>3435</v>
      </c>
      <c r="D1588" s="9" t="s">
        <v>4191</v>
      </c>
      <c r="E1588" s="10" t="str">
        <f>HYPERLINK("https://twitter.com/Lebeaucarnews/status/723189604233310209","723189604233310209")</f>
        <v>723189604233310209</v>
      </c>
      <c r="F1588" s="11" t="s">
        <v>43</v>
      </c>
      <c r="G1588" s="11">
        <v>22730</v>
      </c>
      <c r="H1588" s="11">
        <v>1498</v>
      </c>
      <c r="I1588" s="11">
        <v>0</v>
      </c>
      <c r="J1588" s="11">
        <v>2</v>
      </c>
      <c r="K1588" s="11" t="s">
        <v>21</v>
      </c>
      <c r="L1588" s="7">
        <v>40058.861111111109</v>
      </c>
      <c r="M1588" s="12" t="s">
        <v>3437</v>
      </c>
      <c r="N1588" s="12" t="s">
        <v>3438</v>
      </c>
      <c r="O1588" s="10" t="str">
        <f>HYPERLINK("https://pbs.twimg.com/profile_images/1795205245/DSC04821_normal.jpg","View")</f>
        <v>View</v>
      </c>
      <c r="P1588" s="11"/>
    </row>
    <row r="1589" spans="1:16" ht="12.75" x14ac:dyDescent="0.35">
      <c r="A1589" s="7">
        <v>42481.923773148148</v>
      </c>
      <c r="B1589" s="8" t="str">
        <f>HYPERLINK("https://twitter.com/PeterConstant","@PeterConstant")</f>
        <v>@PeterConstant</v>
      </c>
      <c r="C1589" s="9" t="s">
        <v>2498</v>
      </c>
      <c r="D1589" s="9" t="s">
        <v>4192</v>
      </c>
      <c r="E1589" s="10" t="str">
        <f>HYPERLINK("https://twitter.com/PeterConstant/status/723189613217505284","723189613217505284")</f>
        <v>723189613217505284</v>
      </c>
      <c r="F1589" s="11" t="s">
        <v>43</v>
      </c>
      <c r="G1589" s="11">
        <v>373</v>
      </c>
      <c r="H1589" s="11">
        <v>1069</v>
      </c>
      <c r="I1589" s="11">
        <v>0</v>
      </c>
      <c r="J1589" s="11">
        <v>0</v>
      </c>
      <c r="K1589" s="11" t="s">
        <v>21</v>
      </c>
      <c r="L1589" s="7">
        <v>40880.997858796298</v>
      </c>
      <c r="M1589" s="12" t="s">
        <v>2500</v>
      </c>
      <c r="N1589" s="12" t="s">
        <v>2501</v>
      </c>
      <c r="O1589" s="10" t="str">
        <f>HYPERLINK("https://abs.twimg.com/sticky/default_profile_images/default_profile_5_normal.png","View")</f>
        <v>View</v>
      </c>
      <c r="P1589" s="11"/>
    </row>
    <row r="1590" spans="1:16" ht="12.75" x14ac:dyDescent="0.35">
      <c r="A1590" s="7">
        <v>42481.924004629633</v>
      </c>
      <c r="B1590" s="8" t="str">
        <f>HYPERLINK("https://twitter.com/Dewickie","@Dewickie")</f>
        <v>@Dewickie</v>
      </c>
      <c r="C1590" s="9" t="s">
        <v>4193</v>
      </c>
      <c r="D1590" s="9" t="s">
        <v>4186</v>
      </c>
      <c r="E1590" s="10" t="str">
        <f>HYPERLINK("https://twitter.com/Dewickie/status/723189695191105537","723189695191105537")</f>
        <v>723189695191105537</v>
      </c>
      <c r="F1590" s="11" t="s">
        <v>48</v>
      </c>
      <c r="G1590" s="11">
        <v>1074</v>
      </c>
      <c r="H1590" s="11">
        <v>1346</v>
      </c>
      <c r="I1590" s="11">
        <v>10</v>
      </c>
      <c r="J1590" s="11">
        <v>0</v>
      </c>
      <c r="K1590" s="11" t="s">
        <v>21</v>
      </c>
      <c r="L1590" s="7">
        <v>41632.122847222221</v>
      </c>
      <c r="M1590" s="12" t="s">
        <v>4194</v>
      </c>
      <c r="N1590" s="12" t="s">
        <v>4195</v>
      </c>
      <c r="O1590" s="10" t="str">
        <f>HYPERLINK("https://pbs.twimg.com/profile_images/718137079163650053/d5AO9qjF_normal.jpg","View")</f>
        <v>View</v>
      </c>
      <c r="P1590" s="11"/>
    </row>
    <row r="1591" spans="1:16" ht="12.75" x14ac:dyDescent="0.35">
      <c r="A1591" s="7">
        <v>42481.924016203702</v>
      </c>
      <c r="B1591" s="8" t="str">
        <f>HYPERLINK("https://twitter.com/Catinformacio","@Catinformacio")</f>
        <v>@Catinformacio</v>
      </c>
      <c r="C1591" s="9" t="s">
        <v>3984</v>
      </c>
      <c r="D1591" s="9" t="s">
        <v>4196</v>
      </c>
      <c r="E1591" s="10" t="str">
        <f>HYPERLINK("https://twitter.com/Catinformacio/status/723189700660322304","723189700660322304")</f>
        <v>723189700660322304</v>
      </c>
      <c r="F1591" s="11" t="s">
        <v>43</v>
      </c>
      <c r="G1591" s="11">
        <v>59588</v>
      </c>
      <c r="H1591" s="11">
        <v>76</v>
      </c>
      <c r="I1591" s="11">
        <v>2</v>
      </c>
      <c r="J1591" s="11">
        <v>0</v>
      </c>
      <c r="K1591" s="11" t="s">
        <v>21</v>
      </c>
      <c r="L1591" s="7">
        <v>40610.704525462963</v>
      </c>
      <c r="M1591" s="12" t="s">
        <v>3986</v>
      </c>
      <c r="N1591" s="12" t="s">
        <v>3987</v>
      </c>
      <c r="O1591" s="10" t="str">
        <f>HYPERLINK("https://pbs.twimg.com/profile_images/536851001144143874/ZkA1n-PI_normal.png","View")</f>
        <v>View</v>
      </c>
      <c r="P1591" s="11"/>
    </row>
    <row r="1592" spans="1:16" ht="12.75" x14ac:dyDescent="0.35">
      <c r="A1592" s="7">
        <v>42481.924456018518</v>
      </c>
      <c r="B1592" s="8" t="str">
        <f>HYPERLINK("https://twitter.com/kudascheffa","@kudascheffa")</f>
        <v>@kudascheffa</v>
      </c>
      <c r="C1592" s="9" t="s">
        <v>4197</v>
      </c>
      <c r="D1592" s="9" t="s">
        <v>4198</v>
      </c>
      <c r="E1592" s="10" t="str">
        <f>HYPERLINK("https://twitter.com/kudascheffa/status/723189858357764096","723189858357764096")</f>
        <v>723189858357764096</v>
      </c>
      <c r="F1592" s="11" t="s">
        <v>43</v>
      </c>
      <c r="G1592" s="11">
        <v>2043</v>
      </c>
      <c r="H1592" s="11">
        <v>2025</v>
      </c>
      <c r="I1592" s="11">
        <v>1</v>
      </c>
      <c r="J1592" s="11">
        <v>2</v>
      </c>
      <c r="K1592" s="11" t="s">
        <v>21</v>
      </c>
      <c r="L1592" s="7">
        <v>40633.68813657407</v>
      </c>
      <c r="M1592" s="12"/>
      <c r="N1592" s="12" t="s">
        <v>4199</v>
      </c>
      <c r="O1592" s="10" t="str">
        <f>HYPERLINK("https://pbs.twimg.com/profile_images/504228370566381569/llQRuM9S_normal.jpeg","View")</f>
        <v>View</v>
      </c>
      <c r="P1592" s="11"/>
    </row>
    <row r="1593" spans="1:16" ht="12.75" x14ac:dyDescent="0.35">
      <c r="A1593" s="7">
        <v>42481.924861111111</v>
      </c>
      <c r="B1593" s="8" t="str">
        <f>HYPERLINK("https://twitter.com/sickgaming1","@sickgaming1")</f>
        <v>@sickgaming1</v>
      </c>
      <c r="C1593" s="9" t="s">
        <v>4200</v>
      </c>
      <c r="D1593" s="9" t="s">
        <v>4201</v>
      </c>
      <c r="E1593" s="10" t="str">
        <f>HYPERLINK("https://twitter.com/sickgaming1/status/723190005477167104","723190005477167104")</f>
        <v>723190005477167104</v>
      </c>
      <c r="F1593" s="11" t="s">
        <v>43</v>
      </c>
      <c r="G1593" s="11">
        <v>13</v>
      </c>
      <c r="H1593" s="11">
        <v>2</v>
      </c>
      <c r="I1593" s="11">
        <v>0</v>
      </c>
      <c r="J1593" s="11">
        <v>0</v>
      </c>
      <c r="K1593" s="11" t="s">
        <v>21</v>
      </c>
      <c r="L1593" s="7">
        <v>40840.995196759257</v>
      </c>
      <c r="M1593" s="12"/>
      <c r="N1593" s="12"/>
      <c r="O1593" s="10" t="str">
        <f>HYPERLINK("https://abs.twimg.com/sticky/default_profile_images/default_profile_1_normal.png","View")</f>
        <v>View</v>
      </c>
      <c r="P1593" s="11"/>
    </row>
    <row r="1594" spans="1:16" ht="12.75" x14ac:dyDescent="0.35">
      <c r="A1594" s="7">
        <v>42481.925173611111</v>
      </c>
      <c r="B1594" s="8" t="str">
        <f>HYPERLINK("https://twitter.com/MiManske","@MiManske")</f>
        <v>@MiManske</v>
      </c>
      <c r="C1594" s="9" t="s">
        <v>1409</v>
      </c>
      <c r="D1594" s="9" t="s">
        <v>4202</v>
      </c>
      <c r="E1594" s="10" t="str">
        <f>HYPERLINK("https://twitter.com/MiManske/status/723190119386243072","723190119386243072")</f>
        <v>723190119386243072</v>
      </c>
      <c r="F1594" s="11" t="s">
        <v>20</v>
      </c>
      <c r="G1594" s="11">
        <v>1311</v>
      </c>
      <c r="H1594" s="11">
        <v>796</v>
      </c>
      <c r="I1594" s="11">
        <v>1</v>
      </c>
      <c r="J1594" s="11">
        <v>0</v>
      </c>
      <c r="K1594" s="11" t="s">
        <v>21</v>
      </c>
      <c r="L1594" s="7">
        <v>40522.240474537037</v>
      </c>
      <c r="M1594" s="12" t="s">
        <v>1411</v>
      </c>
      <c r="N1594" s="12" t="s">
        <v>1412</v>
      </c>
      <c r="O1594" s="10" t="str">
        <f>HYPERLINK("https://pbs.twimg.com/profile_images/652191269934993408/5bZKOI8y_normal.jpg","View")</f>
        <v>View</v>
      </c>
      <c r="P1594" s="11"/>
    </row>
    <row r="1595" spans="1:16" ht="12.75" x14ac:dyDescent="0.35">
      <c r="A1595" s="7">
        <v>42481.925381944442</v>
      </c>
      <c r="B1595" s="8" t="str">
        <f>HYPERLINK("https://twitter.com/AlexanderPiOne","@AlexanderPiOne")</f>
        <v>@AlexanderPiOne</v>
      </c>
      <c r="C1595" s="9" t="s">
        <v>4203</v>
      </c>
      <c r="D1595" s="9" t="s">
        <v>4204</v>
      </c>
      <c r="E1595" s="10" t="str">
        <f>HYPERLINK("https://twitter.com/AlexanderPiOne/status/723190196674674688","723190196674674688")</f>
        <v>723190196674674688</v>
      </c>
      <c r="F1595" s="11" t="s">
        <v>63</v>
      </c>
      <c r="G1595" s="11">
        <v>446</v>
      </c>
      <c r="H1595" s="11">
        <v>428</v>
      </c>
      <c r="I1595" s="11">
        <v>0</v>
      </c>
      <c r="J1595" s="11">
        <v>0</v>
      </c>
      <c r="K1595" s="11" t="s">
        <v>21</v>
      </c>
      <c r="L1595" s="7">
        <v>41658.72965277778</v>
      </c>
      <c r="M1595" s="12" t="s">
        <v>4205</v>
      </c>
      <c r="N1595" s="12" t="s">
        <v>4206</v>
      </c>
      <c r="O1595" s="10" t="str">
        <f>HYPERLINK("https://pbs.twimg.com/profile_images/706421741950738432/AjuMmSTT_normal.jpg","View")</f>
        <v>View</v>
      </c>
      <c r="P1595" s="11"/>
    </row>
    <row r="1596" spans="1:16" ht="12.75" x14ac:dyDescent="0.35">
      <c r="A1596" s="7">
        <v>42481.925844907411</v>
      </c>
      <c r="B1596" s="8" t="str">
        <f>HYPERLINK("https://twitter.com/Ohrgefluester","@Ohrgefluester")</f>
        <v>@Ohrgefluester</v>
      </c>
      <c r="C1596" s="9" t="s">
        <v>4207</v>
      </c>
      <c r="D1596" s="9" t="s">
        <v>854</v>
      </c>
      <c r="E1596" s="10" t="str">
        <f>HYPERLINK("https://twitter.com/Ohrgefluester/status/723190363847024640","723190363847024640")</f>
        <v>723190363847024640</v>
      </c>
      <c r="F1596" s="11" t="s">
        <v>48</v>
      </c>
      <c r="G1596" s="11">
        <v>246</v>
      </c>
      <c r="H1596" s="11">
        <v>867</v>
      </c>
      <c r="I1596" s="11">
        <v>11</v>
      </c>
      <c r="J1596" s="11">
        <v>0</v>
      </c>
      <c r="K1596" s="11" t="s">
        <v>21</v>
      </c>
      <c r="L1596" s="7">
        <v>41140.622418981482</v>
      </c>
      <c r="M1596" s="12" t="s">
        <v>4208</v>
      </c>
      <c r="N1596" s="12" t="s">
        <v>4209</v>
      </c>
      <c r="O1596" s="10" t="str">
        <f>HYPERLINK("https://pbs.twimg.com/profile_images/418819311164063745/kMdsvAjG_normal.jpeg","View")</f>
        <v>View</v>
      </c>
      <c r="P1596" s="11"/>
    </row>
    <row r="1597" spans="1:16" ht="12.75" x14ac:dyDescent="0.35">
      <c r="A1597" s="7">
        <v>42481.925949074073</v>
      </c>
      <c r="B1597" s="8" t="str">
        <f>HYPERLINK("https://twitter.com/johnvoelcker","@johnvoelcker")</f>
        <v>@johnvoelcker</v>
      </c>
      <c r="C1597" s="9" t="s">
        <v>2626</v>
      </c>
      <c r="D1597" s="9" t="s">
        <v>4210</v>
      </c>
      <c r="E1597" s="10" t="str">
        <f>HYPERLINK("https://twitter.com/johnvoelcker/status/723190401331396610","723190401331396610")</f>
        <v>723190401331396610</v>
      </c>
      <c r="F1597" s="11" t="s">
        <v>43</v>
      </c>
      <c r="G1597" s="11">
        <v>10660</v>
      </c>
      <c r="H1597" s="11">
        <v>7323</v>
      </c>
      <c r="I1597" s="11">
        <v>2</v>
      </c>
      <c r="J1597" s="11">
        <v>2</v>
      </c>
      <c r="K1597" s="11" t="s">
        <v>21</v>
      </c>
      <c r="L1597" s="7">
        <v>39847.678935185184</v>
      </c>
      <c r="M1597" s="12" t="s">
        <v>2628</v>
      </c>
      <c r="N1597" s="12" t="s">
        <v>2629</v>
      </c>
      <c r="O1597" s="10" t="str">
        <f>HYPERLINK("https://pbs.twimg.com/profile_images/2136613539/JV-headshot_normal.jpg","View")</f>
        <v>View</v>
      </c>
      <c r="P1597" s="11"/>
    </row>
    <row r="1598" spans="1:16" ht="12.75" x14ac:dyDescent="0.35">
      <c r="A1598" s="7">
        <v>42481.92668981482</v>
      </c>
      <c r="B1598" s="8" t="str">
        <f>HYPERLINK("https://twitter.com/webaraba","@webaraba")</f>
        <v>@webaraba</v>
      </c>
      <c r="C1598" s="8" t="s">
        <v>943</v>
      </c>
      <c r="D1598" s="9" t="s">
        <v>4211</v>
      </c>
      <c r="E1598" s="10" t="str">
        <f>HYPERLINK("https://twitter.com/webaraba/status/723190668382863361","723190668382863361")</f>
        <v>723190668382863361</v>
      </c>
      <c r="F1598" s="10" t="s">
        <v>943</v>
      </c>
      <c r="G1598" s="11">
        <v>984</v>
      </c>
      <c r="H1598" s="11">
        <v>377</v>
      </c>
      <c r="I1598" s="11">
        <v>0</v>
      </c>
      <c r="J1598" s="11">
        <v>0</v>
      </c>
      <c r="K1598" s="11" t="s">
        <v>21</v>
      </c>
      <c r="L1598" s="7">
        <v>41173.388587962967</v>
      </c>
      <c r="M1598" s="12" t="s">
        <v>945</v>
      </c>
      <c r="N1598" s="12" t="s">
        <v>946</v>
      </c>
      <c r="O1598" s="10" t="str">
        <f>HYPERLINK("https://pbs.twimg.com/profile_images/641238966541361152/-oEpQ9XT_normal.png","View")</f>
        <v>View</v>
      </c>
      <c r="P1598" s="11"/>
    </row>
    <row r="1599" spans="1:16" ht="12.75" x14ac:dyDescent="0.35">
      <c r="A1599" s="7">
        <v>42481.92668981482</v>
      </c>
      <c r="B1599" s="8" t="str">
        <f>HYPERLINK("https://twitter.com/dennlstesia","@dennlstesia")</f>
        <v>@dennlstesia</v>
      </c>
      <c r="C1599" s="9" t="s">
        <v>4212</v>
      </c>
      <c r="D1599" s="9" t="s">
        <v>4119</v>
      </c>
      <c r="E1599" s="10" t="str">
        <f>HYPERLINK("https://twitter.com/dennlstesia/status/723190671356628992","723190671356628992")</f>
        <v>723190671356628992</v>
      </c>
      <c r="F1599" s="11" t="s">
        <v>48</v>
      </c>
      <c r="G1599" s="11">
        <v>311</v>
      </c>
      <c r="H1599" s="11">
        <v>96</v>
      </c>
      <c r="I1599" s="11">
        <v>24</v>
      </c>
      <c r="J1599" s="11">
        <v>0</v>
      </c>
      <c r="K1599" s="11" t="s">
        <v>21</v>
      </c>
      <c r="L1599" s="7">
        <v>41567.442453703705</v>
      </c>
      <c r="M1599" s="12"/>
      <c r="N1599" s="12" t="s">
        <v>4213</v>
      </c>
      <c r="O1599" s="10" t="str">
        <f>HYPERLINK("https://pbs.twimg.com/profile_images/540384368779595776/XDieMHYm_normal.jpeg","View")</f>
        <v>View</v>
      </c>
      <c r="P1599" s="11"/>
    </row>
    <row r="1600" spans="1:16" ht="12.75" x14ac:dyDescent="0.35">
      <c r="A1600" s="7">
        <v>42481.926805555559</v>
      </c>
      <c r="B1600" s="8" t="str">
        <f>HYPERLINK("https://twitter.com/ClarkWDerry","@ClarkWDerry")</f>
        <v>@ClarkWDerry</v>
      </c>
      <c r="C1600" s="9" t="s">
        <v>3118</v>
      </c>
      <c r="D1600" s="9" t="s">
        <v>4214</v>
      </c>
      <c r="E1600" s="10" t="str">
        <f>HYPERLINK("https://twitter.com/ClarkWDerry/status/723190711986724864","723190711986724864")</f>
        <v>723190711986724864</v>
      </c>
      <c r="F1600" s="11" t="s">
        <v>43</v>
      </c>
      <c r="G1600" s="11">
        <v>634</v>
      </c>
      <c r="H1600" s="11">
        <v>564</v>
      </c>
      <c r="I1600" s="11">
        <v>0</v>
      </c>
      <c r="J1600" s="11">
        <v>1</v>
      </c>
      <c r="K1600" s="11" t="s">
        <v>21</v>
      </c>
      <c r="L1600" s="7">
        <v>39891.823993055557</v>
      </c>
      <c r="M1600" s="12" t="s">
        <v>3120</v>
      </c>
      <c r="N1600" s="12" t="s">
        <v>3121</v>
      </c>
      <c r="O1600" s="10" t="str">
        <f>HYPERLINK("https://pbs.twimg.com/profile_images/461183491531497472/BvYhImr6_normal.jpeg","View")</f>
        <v>View</v>
      </c>
      <c r="P1600" s="11"/>
    </row>
    <row r="1601" spans="1:16" ht="12.75" x14ac:dyDescent="0.35">
      <c r="A1601" s="7">
        <v>42481.926932870367</v>
      </c>
      <c r="B1601" s="8" t="str">
        <f>HYPERLINK("https://twitter.com/NicoleGeorge951","@NicoleGeorge951")</f>
        <v>@NicoleGeorge951</v>
      </c>
      <c r="C1601" s="9" t="s">
        <v>4215</v>
      </c>
      <c r="D1601" s="9" t="s">
        <v>4119</v>
      </c>
      <c r="E1601" s="10" t="str">
        <f>HYPERLINK("https://twitter.com/NicoleGeorge951/status/723190756215799809","723190756215799809")</f>
        <v>723190756215799809</v>
      </c>
      <c r="F1601" s="11" t="s">
        <v>48</v>
      </c>
      <c r="G1601" s="11">
        <v>250</v>
      </c>
      <c r="H1601" s="11">
        <v>74</v>
      </c>
      <c r="I1601" s="11">
        <v>24</v>
      </c>
      <c r="J1601" s="11">
        <v>0</v>
      </c>
      <c r="K1601" s="11" t="s">
        <v>21</v>
      </c>
      <c r="L1601" s="7">
        <v>41568.297256944446</v>
      </c>
      <c r="M1601" s="12" t="s">
        <v>4216</v>
      </c>
      <c r="N1601" s="12" t="s">
        <v>4217</v>
      </c>
      <c r="O1601" s="10" t="str">
        <f>HYPERLINK("https://pbs.twimg.com/profile_images/541560508802158592/txuMsYDy_normal.jpeg","View")</f>
        <v>View</v>
      </c>
      <c r="P1601" s="11"/>
    </row>
    <row r="1602" spans="1:16" ht="12.75" x14ac:dyDescent="0.35">
      <c r="A1602" s="7">
        <v>42481.927025462966</v>
      </c>
      <c r="B1602" s="8" t="str">
        <f>HYPERLINK("https://twitter.com/wnurnews","@wnurnews")</f>
        <v>@wnurnews</v>
      </c>
      <c r="C1602" s="9" t="s">
        <v>4218</v>
      </c>
      <c r="D1602" s="9" t="s">
        <v>4219</v>
      </c>
      <c r="E1602" s="10" t="str">
        <f>HYPERLINK("https://twitter.com/wnurnews/status/723190791871467520","723190791871467520")</f>
        <v>723190791871467520</v>
      </c>
      <c r="F1602" s="11" t="s">
        <v>43</v>
      </c>
      <c r="G1602" s="11">
        <v>205</v>
      </c>
      <c r="H1602" s="11">
        <v>416</v>
      </c>
      <c r="I1602" s="11">
        <v>0</v>
      </c>
      <c r="J1602" s="11">
        <v>0</v>
      </c>
      <c r="K1602" s="11" t="s">
        <v>21</v>
      </c>
      <c r="L1602" s="7">
        <v>39959.306087962963</v>
      </c>
      <c r="M1602" s="12" t="s">
        <v>4220</v>
      </c>
      <c r="N1602" s="12" t="s">
        <v>4221</v>
      </c>
      <c r="O1602" s="10" t="str">
        <f>HYPERLINK("https://pbs.twimg.com/profile_images/654027844952133632/fMu2jQQm_normal.jpg","View")</f>
        <v>View</v>
      </c>
      <c r="P1602" s="11"/>
    </row>
    <row r="1603" spans="1:16" ht="12.75" x14ac:dyDescent="0.35">
      <c r="A1603" s="7">
        <v>42481.927060185189</v>
      </c>
      <c r="B1603" s="8" t="str">
        <f>HYPERLINK("https://twitter.com/Cati_Economia","@Cati_Economia")</f>
        <v>@Cati_Economia</v>
      </c>
      <c r="C1603" s="9" t="s">
        <v>4222</v>
      </c>
      <c r="D1603" s="9" t="s">
        <v>4196</v>
      </c>
      <c r="E1603" s="10" t="str">
        <f>HYPERLINK("https://twitter.com/Cati_Economia/status/723190801908568064","723190801908568064")</f>
        <v>723190801908568064</v>
      </c>
      <c r="F1603" s="11" t="s">
        <v>63</v>
      </c>
      <c r="G1603" s="11">
        <v>3448</v>
      </c>
      <c r="H1603" s="11">
        <v>66</v>
      </c>
      <c r="I1603" s="11">
        <v>2</v>
      </c>
      <c r="J1603" s="11">
        <v>0</v>
      </c>
      <c r="K1603" s="11" t="s">
        <v>21</v>
      </c>
      <c r="L1603" s="7">
        <v>41320.607164351852</v>
      </c>
      <c r="M1603" s="12"/>
      <c r="N1603" s="12" t="s">
        <v>4223</v>
      </c>
      <c r="O1603" s="10" t="str">
        <f>HYPERLINK("https://pbs.twimg.com/profile_images/536852811401555968/jGIByPyp_normal.png","View")</f>
        <v>View</v>
      </c>
      <c r="P1603" s="11"/>
    </row>
    <row r="1604" spans="1:16" ht="12.75" x14ac:dyDescent="0.35">
      <c r="A1604" s="7">
        <v>42481.927094907413</v>
      </c>
      <c r="B1604" s="8" t="str">
        <f>HYPERLINK("https://twitter.com/VWofStockton","@VWofStockton")</f>
        <v>@VWofStockton</v>
      </c>
      <c r="C1604" s="9" t="s">
        <v>4224</v>
      </c>
      <c r="D1604" s="9" t="s">
        <v>4225</v>
      </c>
      <c r="E1604" s="10" t="str">
        <f>HYPERLINK("https://twitter.com/VWofStockton/status/723190817322577920","723190817322577920")</f>
        <v>723190817322577920</v>
      </c>
      <c r="F1604" s="11" t="s">
        <v>4226</v>
      </c>
      <c r="G1604" s="11">
        <v>12</v>
      </c>
      <c r="H1604" s="11">
        <v>11</v>
      </c>
      <c r="I1604" s="11">
        <v>0</v>
      </c>
      <c r="J1604" s="11">
        <v>0</v>
      </c>
      <c r="K1604" s="11" t="s">
        <v>21</v>
      </c>
      <c r="L1604" s="7">
        <v>41675.234710648147</v>
      </c>
      <c r="M1604" s="12" t="s">
        <v>4227</v>
      </c>
      <c r="N1604" s="12" t="s">
        <v>4228</v>
      </c>
      <c r="O1604" s="10" t="str">
        <f>HYPERLINK("https://pbs.twimg.com/profile_images/688094284558422016/VHQCApoO_normal.jpg","View")</f>
        <v>View</v>
      </c>
      <c r="P1604" s="11"/>
    </row>
    <row r="1605" spans="1:16" ht="12.75" x14ac:dyDescent="0.35">
      <c r="A1605" s="7">
        <v>42481.927141203705</v>
      </c>
      <c r="B1605" s="8" t="str">
        <f>HYPERLINK("https://twitter.com/Cati_Economia","@Cati_Economia")</f>
        <v>@Cati_Economia</v>
      </c>
      <c r="C1605" s="9" t="s">
        <v>4222</v>
      </c>
      <c r="D1605" s="9" t="s">
        <v>3985</v>
      </c>
      <c r="E1605" s="10" t="str">
        <f>HYPERLINK("https://twitter.com/Cati_Economia/status/723190833269358592","723190833269358592")</f>
        <v>723190833269358592</v>
      </c>
      <c r="F1605" s="11" t="s">
        <v>63</v>
      </c>
      <c r="G1605" s="11">
        <v>3448</v>
      </c>
      <c r="H1605" s="11">
        <v>66</v>
      </c>
      <c r="I1605" s="11">
        <v>3</v>
      </c>
      <c r="J1605" s="11">
        <v>0</v>
      </c>
      <c r="K1605" s="11" t="s">
        <v>21</v>
      </c>
      <c r="L1605" s="7">
        <v>41320.607164351852</v>
      </c>
      <c r="M1605" s="12"/>
      <c r="N1605" s="12" t="s">
        <v>4223</v>
      </c>
      <c r="O1605" s="10" t="str">
        <f>HYPERLINK("https://pbs.twimg.com/profile_images/536852811401555968/jGIByPyp_normal.png","View")</f>
        <v>View</v>
      </c>
      <c r="P1605" s="11"/>
    </row>
    <row r="1606" spans="1:16" ht="12.75" x14ac:dyDescent="0.35">
      <c r="A1606" s="7">
        <v>42481.927175925928</v>
      </c>
      <c r="B1606" s="8" t="str">
        <f>HYPERLINK("https://twitter.com/Modhi60","@Modhi60")</f>
        <v>@Modhi60</v>
      </c>
      <c r="C1606" s="9" t="s">
        <v>4229</v>
      </c>
      <c r="D1606" s="9" t="s">
        <v>4119</v>
      </c>
      <c r="E1606" s="10" t="str">
        <f>HYPERLINK("https://twitter.com/Modhi60/status/723190845579640832","723190845579640832")</f>
        <v>723190845579640832</v>
      </c>
      <c r="F1606" s="11" t="s">
        <v>48</v>
      </c>
      <c r="G1606" s="11">
        <v>278</v>
      </c>
      <c r="H1606" s="11">
        <v>116</v>
      </c>
      <c r="I1606" s="11">
        <v>24</v>
      </c>
      <c r="J1606" s="11">
        <v>0</v>
      </c>
      <c r="K1606" s="11" t="s">
        <v>21</v>
      </c>
      <c r="L1606" s="7">
        <v>41567.122604166667</v>
      </c>
      <c r="M1606" s="12" t="s">
        <v>3637</v>
      </c>
      <c r="N1606" s="12" t="s">
        <v>4230</v>
      </c>
      <c r="O1606" s="10" t="str">
        <f>HYPERLINK("https://pbs.twimg.com/profile_images/539547348016582658/ToAwB3dR_normal.jpeg","View")</f>
        <v>View</v>
      </c>
      <c r="P1606" s="11"/>
    </row>
    <row r="1607" spans="1:16" ht="12.75" x14ac:dyDescent="0.35">
      <c r="A1607" s="7">
        <v>42481.927500000005</v>
      </c>
      <c r="B1607" s="8" t="str">
        <f>HYPERLINK("https://twitter.com/_lLoveTini","@_lLoveTini")</f>
        <v>@_lLoveTini</v>
      </c>
      <c r="C1607" s="9" t="s">
        <v>4231</v>
      </c>
      <c r="D1607" s="9" t="s">
        <v>4119</v>
      </c>
      <c r="E1607" s="10" t="str">
        <f>HYPERLINK("https://twitter.com/_lLoveTini/status/723190962697179136","723190962697179136")</f>
        <v>723190962697179136</v>
      </c>
      <c r="F1607" s="11" t="s">
        <v>48</v>
      </c>
      <c r="G1607" s="11">
        <v>352</v>
      </c>
      <c r="H1607" s="11">
        <v>112</v>
      </c>
      <c r="I1607" s="11">
        <v>24</v>
      </c>
      <c r="J1607" s="11">
        <v>0</v>
      </c>
      <c r="K1607" s="11" t="s">
        <v>21</v>
      </c>
      <c r="L1607" s="7">
        <v>41566.746620370366</v>
      </c>
      <c r="M1607" s="12" t="s">
        <v>4232</v>
      </c>
      <c r="N1607" s="12" t="s">
        <v>4233</v>
      </c>
      <c r="O1607" s="10" t="str">
        <f>HYPERLINK("https://pbs.twimg.com/profile_images/539633066374082560/7LVEoXTT_normal.png","View")</f>
        <v>View</v>
      </c>
      <c r="P1607" s="11"/>
    </row>
    <row r="1608" spans="1:16" ht="12.75" x14ac:dyDescent="0.35">
      <c r="A1608" s="7">
        <v>42481.927569444444</v>
      </c>
      <c r="B1608" s="8" t="str">
        <f>HYPERLINK("https://twitter.com/ronixact","@ronixact")</f>
        <v>@ronixact</v>
      </c>
      <c r="C1608" s="9" t="s">
        <v>4234</v>
      </c>
      <c r="D1608" s="9" t="s">
        <v>4235</v>
      </c>
      <c r="E1608" s="10" t="str">
        <f>HYPERLINK("https://twitter.com/ronixact/status/723190986965442560","723190986965442560")</f>
        <v>723190986965442560</v>
      </c>
      <c r="F1608" s="11" t="s">
        <v>20</v>
      </c>
      <c r="G1608" s="11">
        <v>266</v>
      </c>
      <c r="H1608" s="11">
        <v>24</v>
      </c>
      <c r="I1608" s="11">
        <v>0</v>
      </c>
      <c r="J1608" s="11">
        <v>0</v>
      </c>
      <c r="K1608" s="11" t="s">
        <v>21</v>
      </c>
      <c r="L1608" s="7">
        <v>41347.883784722224</v>
      </c>
      <c r="M1608" s="12"/>
      <c r="N1608" s="12"/>
      <c r="O1608" s="10" t="str">
        <f>HYPERLINK("https://pbs.twimg.com/profile_images/640598784163061761/S-0diasw_normal.jpg","View")</f>
        <v>View</v>
      </c>
      <c r="P1608" s="11"/>
    </row>
    <row r="1609" spans="1:16" ht="12.75" x14ac:dyDescent="0.35">
      <c r="A1609" s="7">
        <v>42481.927569444444</v>
      </c>
      <c r="B1609" s="8" t="str">
        <f>HYPERLINK("https://twitter.com/mjplust","@mjplust")</f>
        <v>@mjplust</v>
      </c>
      <c r="C1609" s="9" t="s">
        <v>4236</v>
      </c>
      <c r="D1609" s="9" t="s">
        <v>4237</v>
      </c>
      <c r="E1609" s="10" t="str">
        <f>HYPERLINK("https://twitter.com/mjplust/status/723190987317760000","723190987317760000")</f>
        <v>723190987317760000</v>
      </c>
      <c r="F1609" s="11" t="s">
        <v>48</v>
      </c>
      <c r="G1609" s="11">
        <v>85</v>
      </c>
      <c r="H1609" s="11">
        <v>362</v>
      </c>
      <c r="I1609" s="11">
        <v>0</v>
      </c>
      <c r="J1609" s="11">
        <v>0</v>
      </c>
      <c r="K1609" s="11" t="s">
        <v>21</v>
      </c>
      <c r="L1609" s="7">
        <v>40764.8362962963</v>
      </c>
      <c r="M1609" s="12" t="s">
        <v>2646</v>
      </c>
      <c r="N1609" s="12" t="s">
        <v>4238</v>
      </c>
      <c r="O1609" s="10" t="str">
        <f>HYPERLINK("https://pbs.twimg.com/profile_images/667004289710100480/PaPiOcsb_normal.jpg","View")</f>
        <v>View</v>
      </c>
      <c r="P1609" s="11"/>
    </row>
    <row r="1610" spans="1:16" ht="12.75" x14ac:dyDescent="0.35">
      <c r="A1610" s="7">
        <v>42481.92769675926</v>
      </c>
      <c r="B1610" s="8" t="str">
        <f>HYPERLINK("https://twitter.com/KSWO_7NEWS","@KSWO_7NEWS")</f>
        <v>@KSWO_7NEWS</v>
      </c>
      <c r="C1610" s="9" t="s">
        <v>4239</v>
      </c>
      <c r="D1610" s="9" t="s">
        <v>4240</v>
      </c>
      <c r="E1610" s="10" t="str">
        <f>HYPERLINK("https://twitter.com/KSWO_7NEWS/status/723191035682164737","723191035682164737")</f>
        <v>723191035682164737</v>
      </c>
      <c r="F1610" s="11" t="s">
        <v>43</v>
      </c>
      <c r="G1610" s="11">
        <v>8081</v>
      </c>
      <c r="H1610" s="11">
        <v>80</v>
      </c>
      <c r="I1610" s="11">
        <v>0</v>
      </c>
      <c r="J1610" s="11">
        <v>0</v>
      </c>
      <c r="K1610" s="11" t="s">
        <v>21</v>
      </c>
      <c r="L1610" s="7">
        <v>40044.048935185187</v>
      </c>
      <c r="M1610" s="12" t="s">
        <v>4241</v>
      </c>
      <c r="N1610" s="12" t="s">
        <v>4242</v>
      </c>
      <c r="O1610" s="10" t="str">
        <f>HYPERLINK("https://pbs.twimg.com/profile_images/532260076111679488/n4YfB0VH_normal.jpeg","View")</f>
        <v>View</v>
      </c>
      <c r="P1610" s="11"/>
    </row>
    <row r="1611" spans="1:16" ht="12.75" x14ac:dyDescent="0.35">
      <c r="A1611" s="7">
        <v>42481.927766203706</v>
      </c>
      <c r="B1611" s="8" t="str">
        <f>HYPERLINK("https://twitter.com/MiManske","@MiManske")</f>
        <v>@MiManske</v>
      </c>
      <c r="C1611" s="9" t="s">
        <v>1409</v>
      </c>
      <c r="D1611" s="9" t="s">
        <v>4243</v>
      </c>
      <c r="E1611" s="10" t="str">
        <f>HYPERLINK("https://twitter.com/MiManske/status/723191059006803968","723191059006803968")</f>
        <v>723191059006803968</v>
      </c>
      <c r="F1611" s="11" t="s">
        <v>20</v>
      </c>
      <c r="G1611" s="11">
        <v>1311</v>
      </c>
      <c r="H1611" s="11">
        <v>796</v>
      </c>
      <c r="I1611" s="11">
        <v>1</v>
      </c>
      <c r="J1611" s="11">
        <v>1</v>
      </c>
      <c r="K1611" s="11" t="s">
        <v>21</v>
      </c>
      <c r="L1611" s="7">
        <v>40522.240474537037</v>
      </c>
      <c r="M1611" s="12" t="s">
        <v>1411</v>
      </c>
      <c r="N1611" s="12" t="s">
        <v>1412</v>
      </c>
      <c r="O1611" s="10" t="str">
        <f>HYPERLINK("https://pbs.twimg.com/profile_images/652191269934993408/5bZKOI8y_normal.jpg","View")</f>
        <v>View</v>
      </c>
      <c r="P1611" s="11"/>
    </row>
    <row r="1612" spans="1:16" ht="12.75" x14ac:dyDescent="0.35">
      <c r="A1612" s="7">
        <v>42481.92805555556</v>
      </c>
      <c r="B1612" s="8" t="str">
        <f>HYPERLINK("https://twitter.com/L3onardP","@L3onardP")</f>
        <v>@L3onardP</v>
      </c>
      <c r="C1612" s="9" t="s">
        <v>4244</v>
      </c>
      <c r="D1612" s="9" t="s">
        <v>4245</v>
      </c>
      <c r="E1612" s="10" t="str">
        <f>HYPERLINK("https://twitter.com/L3onardP/status/723191162589327360","723191162589327360")</f>
        <v>723191162589327360</v>
      </c>
      <c r="F1612" s="11" t="s">
        <v>48</v>
      </c>
      <c r="G1612" s="11">
        <v>37</v>
      </c>
      <c r="H1612" s="11">
        <v>99</v>
      </c>
      <c r="I1612" s="11">
        <v>0</v>
      </c>
      <c r="J1612" s="11">
        <v>0</v>
      </c>
      <c r="K1612" s="11" t="s">
        <v>21</v>
      </c>
      <c r="L1612" s="7">
        <v>42032.945613425924</v>
      </c>
      <c r="M1612" s="12" t="s">
        <v>4246</v>
      </c>
      <c r="N1612" s="12" t="s">
        <v>4247</v>
      </c>
      <c r="O1612" s="10" t="str">
        <f>HYPERLINK("https://pbs.twimg.com/profile_images/682948856124960769/OEeDCE0w_normal.jpg","View")</f>
        <v>View</v>
      </c>
      <c r="P1612" s="11"/>
    </row>
    <row r="1613" spans="1:16" ht="12.75" x14ac:dyDescent="0.35">
      <c r="A1613" s="7">
        <v>42481.928703703699</v>
      </c>
      <c r="B1613" s="8" t="str">
        <f>HYPERLINK("https://twitter.com/rlndwbr","@rlndwbr")</f>
        <v>@rlndwbr</v>
      </c>
      <c r="C1613" s="9" t="s">
        <v>4248</v>
      </c>
      <c r="D1613" s="9" t="s">
        <v>3650</v>
      </c>
      <c r="E1613" s="10" t="str">
        <f>HYPERLINK("https://twitter.com/rlndwbr/status/723191397671682048","723191397671682048")</f>
        <v>723191397671682048</v>
      </c>
      <c r="F1613" s="11" t="s">
        <v>3614</v>
      </c>
      <c r="G1613" s="11">
        <v>5</v>
      </c>
      <c r="H1613" s="11">
        <v>3</v>
      </c>
      <c r="I1613" s="11">
        <v>5</v>
      </c>
      <c r="J1613" s="11">
        <v>0</v>
      </c>
      <c r="K1613" s="11" t="s">
        <v>21</v>
      </c>
      <c r="L1613" s="7">
        <v>41566.839918981481</v>
      </c>
      <c r="M1613" s="12"/>
      <c r="N1613" s="12"/>
      <c r="O1613" s="10" t="str">
        <f>HYPERLINK("https://pbs.twimg.com/profile_images/663838045880393728/qlhD2tfi_normal.jpg","View")</f>
        <v>View</v>
      </c>
      <c r="P1613" s="11"/>
    </row>
    <row r="1614" spans="1:16" ht="12.75" x14ac:dyDescent="0.35">
      <c r="A1614" s="7">
        <v>42481.928854166668</v>
      </c>
      <c r="B1614" s="8" t="str">
        <f>HYPERLINK("https://twitter.com/lessismoremike","@lessismoremike")</f>
        <v>@lessismoremike</v>
      </c>
      <c r="C1614" s="9" t="s">
        <v>4249</v>
      </c>
      <c r="D1614" s="9" t="s">
        <v>4250</v>
      </c>
      <c r="E1614" s="10" t="str">
        <f>HYPERLINK("https://twitter.com/lessismoremike/status/723191454781288448","723191454781288448")</f>
        <v>723191454781288448</v>
      </c>
      <c r="F1614" s="11" t="s">
        <v>48</v>
      </c>
      <c r="G1614" s="11">
        <v>2343</v>
      </c>
      <c r="H1614" s="11">
        <v>3160</v>
      </c>
      <c r="I1614" s="11">
        <v>2</v>
      </c>
      <c r="J1614" s="11">
        <v>0</v>
      </c>
      <c r="K1614" s="11" t="s">
        <v>21</v>
      </c>
      <c r="L1614" s="7">
        <v>40504.898773148147</v>
      </c>
      <c r="M1614" s="12"/>
      <c r="N1614" s="12" t="s">
        <v>4251</v>
      </c>
      <c r="O1614" s="10" t="str">
        <f>HYPERLINK("https://pbs.twimg.com/profile_images/1772698594/image_normal.jpg","View")</f>
        <v>View</v>
      </c>
      <c r="P1614" s="11"/>
    </row>
    <row r="1615" spans="1:16" ht="12.75" x14ac:dyDescent="0.35">
      <c r="A1615" s="7">
        <v>42481.929131944446</v>
      </c>
      <c r="B1615" s="8" t="str">
        <f t="shared" ref="B1615:B1616" si="141">HYPERLINK("https://twitter.com/BILD_Reporter","@BILD_Reporter")</f>
        <v>@BILD_Reporter</v>
      </c>
      <c r="C1615" s="9" t="s">
        <v>1423</v>
      </c>
      <c r="D1615" s="9" t="s">
        <v>4252</v>
      </c>
      <c r="E1615" s="10" t="str">
        <f>HYPERLINK("https://twitter.com/BILD_Reporter/status/723191553678802944","723191553678802944")</f>
        <v>723191553678802944</v>
      </c>
      <c r="F1615" s="11" t="s">
        <v>20</v>
      </c>
      <c r="G1615" s="11">
        <v>2149</v>
      </c>
      <c r="H1615" s="11">
        <v>238</v>
      </c>
      <c r="I1615" s="11">
        <v>1</v>
      </c>
      <c r="J1615" s="11">
        <v>0</v>
      </c>
      <c r="K1615" s="11" t="s">
        <v>21</v>
      </c>
      <c r="L1615" s="7">
        <v>41430.766331018516</v>
      </c>
      <c r="M1615" s="12" t="s">
        <v>1359</v>
      </c>
      <c r="N1615" s="12" t="s">
        <v>1425</v>
      </c>
      <c r="O1615" s="10" t="str">
        <f t="shared" ref="O1615:O1616" si="142">HYPERLINK("https://pbs.twimg.com/profile_images/578542636140781568/2T_ukEU0_normal.jpeg","View")</f>
        <v>View</v>
      </c>
      <c r="P1615" s="11"/>
    </row>
    <row r="1616" spans="1:16" ht="12.75" x14ac:dyDescent="0.35">
      <c r="A1616" s="7">
        <v>42481.929166666669</v>
      </c>
      <c r="B1616" s="8" t="str">
        <f t="shared" si="141"/>
        <v>@BILD_Reporter</v>
      </c>
      <c r="C1616" s="9" t="s">
        <v>1423</v>
      </c>
      <c r="D1616" s="9" t="s">
        <v>4253</v>
      </c>
      <c r="E1616" s="10" t="str">
        <f>HYPERLINK("https://twitter.com/BILD_Reporter/status/723191565200592897","723191565200592897")</f>
        <v>723191565200592897</v>
      </c>
      <c r="F1616" s="11" t="s">
        <v>20</v>
      </c>
      <c r="G1616" s="11">
        <v>2149</v>
      </c>
      <c r="H1616" s="11">
        <v>238</v>
      </c>
      <c r="I1616" s="11">
        <v>1</v>
      </c>
      <c r="J1616" s="11">
        <v>0</v>
      </c>
      <c r="K1616" s="11" t="s">
        <v>21</v>
      </c>
      <c r="L1616" s="7">
        <v>41430.766331018516</v>
      </c>
      <c r="M1616" s="12" t="s">
        <v>1359</v>
      </c>
      <c r="N1616" s="12" t="s">
        <v>1425</v>
      </c>
      <c r="O1616" s="10" t="str">
        <f t="shared" si="142"/>
        <v>View</v>
      </c>
      <c r="P1616" s="11"/>
    </row>
    <row r="1617" spans="1:16" ht="12.75" x14ac:dyDescent="0.35">
      <c r="A1617" s="7">
        <v>42481.929270833338</v>
      </c>
      <c r="B1617" s="8" t="str">
        <f>HYPERLINK("https://twitter.com/nealboudette","@nealboudette")</f>
        <v>@nealboudette</v>
      </c>
      <c r="C1617" s="9" t="s">
        <v>454</v>
      </c>
      <c r="D1617" s="9" t="s">
        <v>4254</v>
      </c>
      <c r="E1617" s="10" t="str">
        <f>HYPERLINK("https://twitter.com/nealboudette/status/723191603716718592","723191603716718592")</f>
        <v>723191603716718592</v>
      </c>
      <c r="F1617" s="11" t="s">
        <v>43</v>
      </c>
      <c r="G1617" s="11">
        <v>2409</v>
      </c>
      <c r="H1617" s="11">
        <v>1204</v>
      </c>
      <c r="I1617" s="11">
        <v>0</v>
      </c>
      <c r="J1617" s="11">
        <v>0</v>
      </c>
      <c r="K1617" s="11" t="s">
        <v>21</v>
      </c>
      <c r="L1617" s="7">
        <v>40081.977592592593</v>
      </c>
      <c r="M1617" s="12" t="s">
        <v>456</v>
      </c>
      <c r="N1617" s="12" t="s">
        <v>457</v>
      </c>
      <c r="O1617" s="10" t="str">
        <f>HYPERLINK("https://pbs.twimg.com/profile_images/714548199294418944/5p7GzpJ5_normal.jpg","View")</f>
        <v>View</v>
      </c>
      <c r="P1617" s="11"/>
    </row>
    <row r="1618" spans="1:16" ht="12.75" x14ac:dyDescent="0.35">
      <c r="A1618" s="7">
        <v>42481.929293981477</v>
      </c>
      <c r="B1618" s="8" t="str">
        <f>HYPERLINK("https://twitter.com/aligerb","@aligerb")</f>
        <v>@aligerb</v>
      </c>
      <c r="C1618" s="9" t="s">
        <v>4255</v>
      </c>
      <c r="D1618" s="9" t="s">
        <v>4256</v>
      </c>
      <c r="E1618" s="10" t="str">
        <f>HYPERLINK("https://twitter.com/aligerb/status/723191614437515264","723191614437515264")</f>
        <v>723191614437515264</v>
      </c>
      <c r="F1618" s="11" t="s">
        <v>63</v>
      </c>
      <c r="G1618" s="11">
        <v>697</v>
      </c>
      <c r="H1618" s="11">
        <v>692</v>
      </c>
      <c r="I1618" s="11">
        <v>2</v>
      </c>
      <c r="J1618" s="11">
        <v>1</v>
      </c>
      <c r="K1618" s="11" t="s">
        <v>21</v>
      </c>
      <c r="L1618" s="7">
        <v>39931.289548611108</v>
      </c>
      <c r="M1618" s="12" t="s">
        <v>4257</v>
      </c>
      <c r="N1618" s="12" t="s">
        <v>4258</v>
      </c>
      <c r="O1618" s="10" t="str">
        <f>HYPERLINK("https://pbs.twimg.com/profile_images/717529579779399680/e1OghXlz_normal.jpg","View")</f>
        <v>View</v>
      </c>
      <c r="P1618" s="11"/>
    </row>
    <row r="1619" spans="1:16" ht="12.75" x14ac:dyDescent="0.35">
      <c r="A1619" s="7">
        <v>42481.929409722223</v>
      </c>
      <c r="B1619" s="8" t="str">
        <f>HYPERLINK("https://twitter.com/BirkiBear","@BirkiBear")</f>
        <v>@BirkiBear</v>
      </c>
      <c r="C1619" s="9" t="s">
        <v>4259</v>
      </c>
      <c r="D1619" s="9" t="s">
        <v>4260</v>
      </c>
      <c r="E1619" s="10" t="str">
        <f>HYPERLINK("https://twitter.com/BirkiBear/status/723191656317595648","723191656317595648")</f>
        <v>723191656317595648</v>
      </c>
      <c r="F1619" s="11" t="s">
        <v>91</v>
      </c>
      <c r="G1619" s="11">
        <v>119</v>
      </c>
      <c r="H1619" s="11">
        <v>126</v>
      </c>
      <c r="I1619" s="11">
        <v>0</v>
      </c>
      <c r="J1619" s="11">
        <v>0</v>
      </c>
      <c r="K1619" s="11" t="s">
        <v>21</v>
      </c>
      <c r="L1619" s="7">
        <v>42362.508402777778</v>
      </c>
      <c r="M1619" s="12" t="s">
        <v>4261</v>
      </c>
      <c r="N1619" s="12" t="s">
        <v>4262</v>
      </c>
      <c r="O1619" s="10" t="str">
        <f>HYPERLINK("https://pbs.twimg.com/profile_images/684113820369993728/mURtM6YZ_normal.jpg","View")</f>
        <v>View</v>
      </c>
      <c r="P1619" s="11"/>
    </row>
    <row r="1620" spans="1:16" ht="12.75" x14ac:dyDescent="0.35">
      <c r="A1620" s="7">
        <v>42481.929618055554</v>
      </c>
      <c r="B1620" s="8" t="str">
        <f>HYPERLINK("https://twitter.com/iconcustoms","@iconcustoms")</f>
        <v>@iconcustoms</v>
      </c>
      <c r="C1620" s="9" t="s">
        <v>4263</v>
      </c>
      <c r="D1620" s="9" t="s">
        <v>4264</v>
      </c>
      <c r="E1620" s="10" t="str">
        <f>HYPERLINK("https://twitter.com/iconcustoms/status/723191729155760129","723191729155760129")</f>
        <v>723191729155760129</v>
      </c>
      <c r="F1620" s="11" t="s">
        <v>114</v>
      </c>
      <c r="G1620" s="11">
        <v>3106</v>
      </c>
      <c r="H1620" s="11">
        <v>190</v>
      </c>
      <c r="I1620" s="11">
        <v>0</v>
      </c>
      <c r="J1620" s="11">
        <v>1</v>
      </c>
      <c r="K1620" s="11" t="s">
        <v>21</v>
      </c>
      <c r="L1620" s="7">
        <v>41338.289837962962</v>
      </c>
      <c r="M1620" s="12" t="s">
        <v>4265</v>
      </c>
      <c r="N1620" s="12" t="s">
        <v>4266</v>
      </c>
      <c r="O1620" s="10" t="str">
        <f>HYPERLINK("https://pbs.twimg.com/profile_images/3340115851/e66ca0844e0bdd79fdeebac3e138ac72_normal.png","View")</f>
        <v>View</v>
      </c>
      <c r="P1620" s="11"/>
    </row>
    <row r="1621" spans="1:16" ht="12.75" x14ac:dyDescent="0.35">
      <c r="A1621" s="7">
        <v>42481.929629629631</v>
      </c>
      <c r="B1621" s="8" t="str">
        <f>HYPERLINK("https://twitter.com/MikeElk","@MikeElk")</f>
        <v>@MikeElk</v>
      </c>
      <c r="C1621" s="9" t="s">
        <v>4267</v>
      </c>
      <c r="D1621" s="9" t="s">
        <v>4268</v>
      </c>
      <c r="E1621" s="10" t="str">
        <f>HYPERLINK("https://twitter.com/MikeElk/status/723191734881140736","723191734881140736")</f>
        <v>723191734881140736</v>
      </c>
      <c r="F1621" s="11" t="s">
        <v>20</v>
      </c>
      <c r="G1621" s="11">
        <v>13800</v>
      </c>
      <c r="H1621" s="11">
        <v>993</v>
      </c>
      <c r="I1621" s="11">
        <v>2</v>
      </c>
      <c r="J1621" s="11">
        <v>0</v>
      </c>
      <c r="K1621" s="11" t="s">
        <v>21</v>
      </c>
      <c r="L1621" s="7">
        <v>39995.361215277779</v>
      </c>
      <c r="M1621" s="12" t="s">
        <v>4269</v>
      </c>
      <c r="N1621" s="12" t="s">
        <v>4270</v>
      </c>
      <c r="O1621" s="10" t="str">
        <f>HYPERLINK("https://pbs.twimg.com/profile_images/682287607309549568/eHWN44Jc_normal.jpg","View")</f>
        <v>View</v>
      </c>
      <c r="P1621" s="11"/>
    </row>
    <row r="1622" spans="1:16" ht="12.75" x14ac:dyDescent="0.35">
      <c r="A1622" s="7">
        <v>42481.93</v>
      </c>
      <c r="B1622" s="8" t="str">
        <f>HYPERLINK("https://twitter.com/VaticDJ","@VaticDJ")</f>
        <v>@VaticDJ</v>
      </c>
      <c r="C1622" s="9" t="s">
        <v>4271</v>
      </c>
      <c r="D1622" s="9" t="s">
        <v>4272</v>
      </c>
      <c r="E1622" s="10" t="str">
        <f>HYPERLINK("https://twitter.com/VaticDJ/status/723191868654256128","723191868654256128")</f>
        <v>723191868654256128</v>
      </c>
      <c r="F1622" s="11" t="s">
        <v>114</v>
      </c>
      <c r="G1622" s="11">
        <v>163</v>
      </c>
      <c r="H1622" s="11">
        <v>208</v>
      </c>
      <c r="I1622" s="11">
        <v>0</v>
      </c>
      <c r="J1622" s="11">
        <v>0</v>
      </c>
      <c r="K1622" s="11" t="s">
        <v>21</v>
      </c>
      <c r="L1622" s="7">
        <v>40025.227025462962</v>
      </c>
      <c r="M1622" s="12" t="s">
        <v>964</v>
      </c>
      <c r="N1622" s="12"/>
      <c r="O1622" s="10" t="str">
        <f>HYPERLINK("https://pbs.twimg.com/profile_images/709854680122261504/6ctg6v1O_normal.jpg","View")</f>
        <v>View</v>
      </c>
      <c r="P1622" s="11"/>
    </row>
    <row r="1623" spans="1:16" ht="12.75" x14ac:dyDescent="0.35">
      <c r="A1623" s="7">
        <v>42481.9300462963</v>
      </c>
      <c r="B1623" s="8" t="str">
        <f>HYPERLINK("https://twitter.com/mrswaish","@mrswaish")</f>
        <v>@mrswaish</v>
      </c>
      <c r="C1623" s="9" t="s">
        <v>4273</v>
      </c>
      <c r="D1623" s="9" t="s">
        <v>4119</v>
      </c>
      <c r="E1623" s="10" t="str">
        <f>HYPERLINK("https://twitter.com/mrswaish/status/723191885095944192","723191885095944192")</f>
        <v>723191885095944192</v>
      </c>
      <c r="F1623" s="11" t="s">
        <v>48</v>
      </c>
      <c r="G1623" s="11">
        <v>300</v>
      </c>
      <c r="H1623" s="11">
        <v>161</v>
      </c>
      <c r="I1623" s="11">
        <v>24</v>
      </c>
      <c r="J1623" s="11">
        <v>0</v>
      </c>
      <c r="K1623" s="11" t="s">
        <v>21</v>
      </c>
      <c r="L1623" s="7">
        <v>41567.829594907409</v>
      </c>
      <c r="M1623" s="12" t="s">
        <v>543</v>
      </c>
      <c r="N1623" s="12" t="s">
        <v>4274</v>
      </c>
      <c r="O1623" s="10" t="str">
        <f>HYPERLINK("https://pbs.twimg.com/profile_images/540346017540214786/VhMA3-JB_normal.jpeg","View")</f>
        <v>View</v>
      </c>
      <c r="P1623" s="11"/>
    </row>
    <row r="1624" spans="1:16" ht="12.75" x14ac:dyDescent="0.35">
      <c r="A1624" s="7">
        <v>42481.930150462962</v>
      </c>
      <c r="B1624" s="8" t="str">
        <f>HYPERLINK("https://twitter.com/Passion_4","@Passion_4")</f>
        <v>@Passion_4</v>
      </c>
      <c r="C1624" s="9" t="s">
        <v>4275</v>
      </c>
      <c r="D1624" s="9" t="s">
        <v>4276</v>
      </c>
      <c r="E1624" s="10" t="str">
        <f>HYPERLINK("https://twitter.com/Passion_4/status/723191924597858304","723191924597858304")</f>
        <v>723191924597858304</v>
      </c>
      <c r="F1624" s="11" t="s">
        <v>20</v>
      </c>
      <c r="G1624" s="11">
        <v>267</v>
      </c>
      <c r="H1624" s="11">
        <v>650</v>
      </c>
      <c r="I1624" s="11">
        <v>1</v>
      </c>
      <c r="J1624" s="11">
        <v>0</v>
      </c>
      <c r="K1624" s="11" t="s">
        <v>21</v>
      </c>
      <c r="L1624" s="7">
        <v>40401.231736111113</v>
      </c>
      <c r="M1624" s="12" t="s">
        <v>4277</v>
      </c>
      <c r="N1624" s="12" t="s">
        <v>4278</v>
      </c>
      <c r="O1624" s="10" t="str">
        <f>HYPERLINK("https://pbs.twimg.com/profile_images/378800000767108962/c0a1ecd5352e4efdab50e246ee42dce4_normal.png","View")</f>
        <v>View</v>
      </c>
      <c r="P1624" s="11"/>
    </row>
    <row r="1625" spans="1:16" ht="12.75" x14ac:dyDescent="0.35">
      <c r="A1625" s="7">
        <v>42481.93032407407</v>
      </c>
      <c r="B1625" s="8" t="str">
        <f>HYPERLINK("https://twitter.com/Srry_I_ddnt_kno","@Srry_I_ddnt_kno")</f>
        <v>@Srry_I_ddnt_kno</v>
      </c>
      <c r="C1625" s="9" t="s">
        <v>4279</v>
      </c>
      <c r="D1625" s="9" t="s">
        <v>4280</v>
      </c>
      <c r="E1625" s="10" t="str">
        <f>HYPERLINK("https://twitter.com/Srry_I_ddnt_kno/status/723191986312744961","723191986312744961")</f>
        <v>723191986312744961</v>
      </c>
      <c r="F1625" s="11" t="s">
        <v>43</v>
      </c>
      <c r="G1625" s="11">
        <v>80</v>
      </c>
      <c r="H1625" s="11">
        <v>309</v>
      </c>
      <c r="I1625" s="11">
        <v>0</v>
      </c>
      <c r="J1625" s="11">
        <v>1</v>
      </c>
      <c r="K1625" s="11" t="s">
        <v>21</v>
      </c>
      <c r="L1625" s="7">
        <v>42278.040949074071</v>
      </c>
      <c r="M1625" s="12" t="s">
        <v>4281</v>
      </c>
      <c r="N1625" s="12" t="s">
        <v>4282</v>
      </c>
      <c r="O1625" s="10" t="str">
        <f>HYPERLINK("https://pbs.twimg.com/profile_images/654379371449421825/wDuXHoqa_normal.jpg","View")</f>
        <v>View</v>
      </c>
      <c r="P1625" s="11"/>
    </row>
    <row r="1626" spans="1:16" ht="12.75" x14ac:dyDescent="0.35">
      <c r="A1626" s="7">
        <v>42481.930358796293</v>
      </c>
      <c r="B1626" s="8" t="str">
        <f>HYPERLINK("https://twitter.com/heutejournal","@heutejournal")</f>
        <v>@heutejournal</v>
      </c>
      <c r="C1626" s="9" t="s">
        <v>4283</v>
      </c>
      <c r="D1626" s="9" t="s">
        <v>4284</v>
      </c>
      <c r="E1626" s="10" t="str">
        <f>HYPERLINK("https://twitter.com/heutejournal/status/723191999810134016","723191999810134016")</f>
        <v>723191999810134016</v>
      </c>
      <c r="F1626" s="11" t="s">
        <v>63</v>
      </c>
      <c r="G1626" s="11">
        <v>114782</v>
      </c>
      <c r="H1626" s="11">
        <v>93</v>
      </c>
      <c r="I1626" s="11">
        <v>3</v>
      </c>
      <c r="J1626" s="11">
        <v>2</v>
      </c>
      <c r="K1626" s="11" t="s">
        <v>21</v>
      </c>
      <c r="L1626" s="7">
        <v>41786.977210648147</v>
      </c>
      <c r="M1626" s="12" t="s">
        <v>4285</v>
      </c>
      <c r="N1626" s="12" t="s">
        <v>4286</v>
      </c>
      <c r="O1626" s="10" t="str">
        <f>HYPERLINK("https://pbs.twimg.com/profile_images/477091436634988544/4TdZMAIm_normal.png","View")</f>
        <v>View</v>
      </c>
      <c r="P1626" s="11"/>
    </row>
    <row r="1627" spans="1:16" ht="12.75" x14ac:dyDescent="0.35">
      <c r="A1627" s="7">
        <v>42481.930833333332</v>
      </c>
      <c r="B1627" s="8" t="str">
        <f>HYPERLINK("https://twitter.com/BFSCR","@BFSCR")</f>
        <v>@BFSCR</v>
      </c>
      <c r="C1627" s="9" t="s">
        <v>4287</v>
      </c>
      <c r="D1627" s="9" t="s">
        <v>4268</v>
      </c>
      <c r="E1627" s="10" t="str">
        <f>HYPERLINK("https://twitter.com/BFSCR/status/723192169050173440","723192169050173440")</f>
        <v>723192169050173440</v>
      </c>
      <c r="F1627" s="11" t="s">
        <v>2645</v>
      </c>
      <c r="G1627" s="11">
        <v>1104</v>
      </c>
      <c r="H1627" s="11">
        <v>2408</v>
      </c>
      <c r="I1627" s="11">
        <v>2</v>
      </c>
      <c r="J1627" s="11">
        <v>0</v>
      </c>
      <c r="K1627" s="11" t="s">
        <v>21</v>
      </c>
      <c r="L1627" s="7">
        <v>40083.135347222225</v>
      </c>
      <c r="M1627" s="12" t="s">
        <v>4288</v>
      </c>
      <c r="N1627" s="12" t="s">
        <v>4289</v>
      </c>
      <c r="O1627" s="10" t="str">
        <f>HYPERLINK("https://pbs.twimg.com/profile_images/580401869371105282/OgAHc7s8_normal.png","View")</f>
        <v>View</v>
      </c>
      <c r="P1627" s="11"/>
    </row>
    <row r="1628" spans="1:16" ht="12.75" x14ac:dyDescent="0.35">
      <c r="A1628" s="7">
        <v>42481.931666666671</v>
      </c>
      <c r="B1628" s="8" t="str">
        <f>HYPERLINK("https://twitter.com/Marina_Ilona","@Marina_Ilona")</f>
        <v>@Marina_Ilona</v>
      </c>
      <c r="C1628" s="9" t="s">
        <v>1681</v>
      </c>
      <c r="D1628" s="9" t="s">
        <v>4290</v>
      </c>
      <c r="E1628" s="10" t="str">
        <f>HYPERLINK("https://twitter.com/Marina_Ilona/status/723192472617279488","723192472617279488")</f>
        <v>723192472617279488</v>
      </c>
      <c r="F1628" s="11" t="s">
        <v>20</v>
      </c>
      <c r="G1628" s="11">
        <v>421</v>
      </c>
      <c r="H1628" s="11">
        <v>151</v>
      </c>
      <c r="I1628" s="11">
        <v>3</v>
      </c>
      <c r="J1628" s="11">
        <v>0</v>
      </c>
      <c r="K1628" s="11" t="s">
        <v>21</v>
      </c>
      <c r="L1628" s="7">
        <v>41131.625451388885</v>
      </c>
      <c r="M1628" s="12" t="s">
        <v>1683</v>
      </c>
      <c r="N1628" s="12" t="s">
        <v>1684</v>
      </c>
      <c r="O1628" s="10" t="str">
        <f>HYPERLINK("https://pbs.twimg.com/profile_images/692310744122179588/mSQOWSau_normal.jpg","View")</f>
        <v>View</v>
      </c>
      <c r="P1628" s="11"/>
    </row>
    <row r="1629" spans="1:16" ht="12.75" x14ac:dyDescent="0.35">
      <c r="A1629" s="7">
        <v>42481.931909722218</v>
      </c>
      <c r="B1629" s="8" t="str">
        <f>HYPERLINK("https://twitter.com/urban_aid","@urban_aid")</f>
        <v>@urban_aid</v>
      </c>
      <c r="C1629" s="9" t="s">
        <v>4291</v>
      </c>
      <c r="D1629" s="9" t="s">
        <v>4292</v>
      </c>
      <c r="E1629" s="10" t="str">
        <f>HYPERLINK("https://twitter.com/urban_aid/status/723192559674228736","723192559674228736")</f>
        <v>723192559674228736</v>
      </c>
      <c r="F1629" s="11" t="s">
        <v>68</v>
      </c>
      <c r="G1629" s="11">
        <v>264</v>
      </c>
      <c r="H1629" s="11">
        <v>450</v>
      </c>
      <c r="I1629" s="11">
        <v>0</v>
      </c>
      <c r="J1629" s="11">
        <v>0</v>
      </c>
      <c r="K1629" s="11" t="s">
        <v>21</v>
      </c>
      <c r="L1629" s="7">
        <v>40737.778668981482</v>
      </c>
      <c r="M1629" s="12" t="s">
        <v>1359</v>
      </c>
      <c r="N1629" s="12" t="s">
        <v>4293</v>
      </c>
      <c r="O1629" s="10" t="str">
        <f>HYPERLINK("https://pbs.twimg.com/profile_images/722324463975600129/qFvYOGhr_normal.jpg","View")</f>
        <v>View</v>
      </c>
      <c r="P1629" s="11"/>
    </row>
    <row r="1630" spans="1:16" ht="12.75" x14ac:dyDescent="0.35">
      <c r="A1630" s="7">
        <v>42481.932013888887</v>
      </c>
      <c r="B1630" s="8" t="str">
        <f>HYPERLINK("https://twitter.com/heigion","@heigion")</f>
        <v>@heigion</v>
      </c>
      <c r="C1630" s="9" t="s">
        <v>4294</v>
      </c>
      <c r="D1630" s="9" t="s">
        <v>3496</v>
      </c>
      <c r="E1630" s="10" t="str">
        <f>HYPERLINK("https://twitter.com/heigion/status/723192599494987776","723192599494987776")</f>
        <v>723192599494987776</v>
      </c>
      <c r="F1630" s="11" t="s">
        <v>91</v>
      </c>
      <c r="G1630" s="11">
        <v>231</v>
      </c>
      <c r="H1630" s="11">
        <v>655</v>
      </c>
      <c r="I1630" s="11">
        <v>6</v>
      </c>
      <c r="J1630" s="11">
        <v>0</v>
      </c>
      <c r="K1630" s="11" t="s">
        <v>21</v>
      </c>
      <c r="L1630" s="7">
        <v>41683.027384259258</v>
      </c>
      <c r="M1630" s="12"/>
      <c r="N1630" s="12" t="s">
        <v>4295</v>
      </c>
      <c r="O1630" s="10" t="str">
        <f>HYPERLINK("https://pbs.twimg.com/profile_images/685398869451108352/4CLmtj_w_normal.jpg","View")</f>
        <v>View</v>
      </c>
      <c r="P1630" s="11"/>
    </row>
    <row r="1631" spans="1:16" ht="12.75" x14ac:dyDescent="0.35">
      <c r="A1631" s="7">
        <v>42481.932222222225</v>
      </c>
      <c r="B1631" s="8" t="str">
        <f>HYPERLINK("https://twitter.com/fyhs3unghyun","@fyhs3unghyun")</f>
        <v>@fyhs3unghyun</v>
      </c>
      <c r="C1631" s="9" t="s">
        <v>4296</v>
      </c>
      <c r="D1631" s="9" t="s">
        <v>4119</v>
      </c>
      <c r="E1631" s="10" t="str">
        <f>HYPERLINK("https://twitter.com/fyhs3unghyun/status/723192672421351424","723192672421351424")</f>
        <v>723192672421351424</v>
      </c>
      <c r="F1631" s="11" t="s">
        <v>48</v>
      </c>
      <c r="G1631" s="11">
        <v>322</v>
      </c>
      <c r="H1631" s="11">
        <v>119</v>
      </c>
      <c r="I1631" s="11">
        <v>24</v>
      </c>
      <c r="J1631" s="11">
        <v>0</v>
      </c>
      <c r="K1631" s="11" t="s">
        <v>21</v>
      </c>
      <c r="L1631" s="7">
        <v>41566.332048611112</v>
      </c>
      <c r="M1631" s="12"/>
      <c r="N1631" s="12" t="s">
        <v>4297</v>
      </c>
      <c r="O1631" s="10" t="str">
        <f>HYPERLINK("https://pbs.twimg.com/profile_images/534255639426781184/ql2Dh_Jn_normal.jpeg","View")</f>
        <v>View</v>
      </c>
      <c r="P1631" s="11"/>
    </row>
    <row r="1632" spans="1:16" ht="12.75" x14ac:dyDescent="0.35">
      <c r="A1632" s="7">
        <v>42481.932256944448</v>
      </c>
      <c r="B1632" s="8" t="str">
        <f>HYPERLINK("https://twitter.com/bjdake","@bjdake")</f>
        <v>@bjdake</v>
      </c>
      <c r="C1632" s="9" t="s">
        <v>4298</v>
      </c>
      <c r="D1632" s="9" t="s">
        <v>4299</v>
      </c>
      <c r="E1632" s="10" t="str">
        <f>HYPERLINK("https://twitter.com/bjdake/status/723192685838753793","723192685838753793")</f>
        <v>723192685838753793</v>
      </c>
      <c r="F1632" s="11" t="s">
        <v>43</v>
      </c>
      <c r="G1632" s="11">
        <v>379</v>
      </c>
      <c r="H1632" s="11">
        <v>293</v>
      </c>
      <c r="I1632" s="11">
        <v>2</v>
      </c>
      <c r="J1632" s="11">
        <v>0</v>
      </c>
      <c r="K1632" s="11" t="s">
        <v>21</v>
      </c>
      <c r="L1632" s="7">
        <v>41294.705717592595</v>
      </c>
      <c r="M1632" s="12" t="s">
        <v>1931</v>
      </c>
      <c r="N1632" s="12" t="s">
        <v>4300</v>
      </c>
      <c r="O1632" s="10" t="str">
        <f>HYPERLINK("https://pbs.twimg.com/profile_images/610082049458864128/MPidD5hk_normal.jpg","View")</f>
        <v>View</v>
      </c>
      <c r="P1632" s="11"/>
    </row>
    <row r="1633" spans="1:16" ht="12.75" x14ac:dyDescent="0.35">
      <c r="A1633" s="7">
        <v>42481.932349537034</v>
      </c>
      <c r="B1633" s="8" t="str">
        <f>HYPERLINK("https://twitter.com/VWCamperSales","@VWCamperSales")</f>
        <v>@VWCamperSales</v>
      </c>
      <c r="C1633" s="9" t="s">
        <v>216</v>
      </c>
      <c r="D1633" s="9" t="s">
        <v>4301</v>
      </c>
      <c r="E1633" s="10" t="str">
        <f>HYPERLINK("https://twitter.com/VWCamperSales/status/723192718776651777","723192718776651777")</f>
        <v>723192718776651777</v>
      </c>
      <c r="F1633" s="10" t="s">
        <v>124</v>
      </c>
      <c r="G1633" s="11">
        <v>615</v>
      </c>
      <c r="H1633" s="11">
        <v>580</v>
      </c>
      <c r="I1633" s="11">
        <v>0</v>
      </c>
      <c r="J1633" s="11">
        <v>0</v>
      </c>
      <c r="K1633" s="11" t="s">
        <v>21</v>
      </c>
      <c r="L1633" s="7">
        <v>42215.98809027778</v>
      </c>
      <c r="M1633" s="12" t="s">
        <v>129</v>
      </c>
      <c r="N1633" s="12" t="s">
        <v>218</v>
      </c>
      <c r="O1633" s="10" t="str">
        <f>HYPERLINK("https://pbs.twimg.com/profile_images/627949001179037696/skEBkS05_normal.jpg","View")</f>
        <v>View</v>
      </c>
      <c r="P1633" s="11"/>
    </row>
    <row r="1634" spans="1:16" ht="12.75" x14ac:dyDescent="0.35">
      <c r="A1634" s="7">
        <v>42481.93236111111</v>
      </c>
      <c r="B1634" s="8" t="str">
        <f>HYPERLINK("https://twitter.com/celiacernadas","@celiacernadas")</f>
        <v>@celiacernadas</v>
      </c>
      <c r="C1634" s="9" t="s">
        <v>3945</v>
      </c>
      <c r="D1634" s="9" t="s">
        <v>4302</v>
      </c>
      <c r="E1634" s="10" t="str">
        <f>HYPERLINK("https://twitter.com/celiacernadas/status/723192725118447616","723192725118447616")</f>
        <v>723192725118447616</v>
      </c>
      <c r="F1634" s="11" t="s">
        <v>43</v>
      </c>
      <c r="G1634" s="11">
        <v>1316</v>
      </c>
      <c r="H1634" s="11">
        <v>416</v>
      </c>
      <c r="I1634" s="11">
        <v>4</v>
      </c>
      <c r="J1634" s="11">
        <v>0</v>
      </c>
      <c r="K1634" s="11" t="s">
        <v>21</v>
      </c>
      <c r="L1634" s="7">
        <v>40804.080868055556</v>
      </c>
      <c r="M1634" s="12" t="s">
        <v>2646</v>
      </c>
      <c r="N1634" s="12" t="s">
        <v>3947</v>
      </c>
      <c r="O1634" s="10" t="str">
        <f>HYPERLINK("https://pbs.twimg.com/profile_images/691097936181215232/Ocy36TIb_normal.jpg","View")</f>
        <v>View</v>
      </c>
      <c r="P1634" s="11"/>
    </row>
    <row r="1635" spans="1:16" ht="12.75" x14ac:dyDescent="0.35">
      <c r="A1635" s="7">
        <v>42481.93241898148</v>
      </c>
      <c r="B1635" s="8" t="str">
        <f>HYPERLINK("https://twitter.com/alvaromaxlma","@alvaromaxlma")</f>
        <v>@alvaromaxlma</v>
      </c>
      <c r="C1635" s="9" t="s">
        <v>4303</v>
      </c>
      <c r="D1635" s="9" t="s">
        <v>4119</v>
      </c>
      <c r="E1635" s="10" t="str">
        <f>HYPERLINK("https://twitter.com/alvaromaxlma/status/723192745125371904","723192745125371904")</f>
        <v>723192745125371904</v>
      </c>
      <c r="F1635" s="11" t="s">
        <v>48</v>
      </c>
      <c r="G1635" s="11">
        <v>298</v>
      </c>
      <c r="H1635" s="11">
        <v>100</v>
      </c>
      <c r="I1635" s="11">
        <v>24</v>
      </c>
      <c r="J1635" s="11">
        <v>0</v>
      </c>
      <c r="K1635" s="11" t="s">
        <v>21</v>
      </c>
      <c r="L1635" s="7">
        <v>41567.737442129626</v>
      </c>
      <c r="M1635" s="12" t="s">
        <v>4304</v>
      </c>
      <c r="N1635" s="12" t="s">
        <v>4305</v>
      </c>
      <c r="O1635" s="10" t="str">
        <f>HYPERLINK("https://pbs.twimg.com/profile_images/540354364641382400/QHa2e-f5_normal.jpeg","View")</f>
        <v>View</v>
      </c>
      <c r="P1635" s="11"/>
    </row>
    <row r="1636" spans="1:16" ht="12.75" x14ac:dyDescent="0.35">
      <c r="A1636" s="7">
        <v>42481.932453703703</v>
      </c>
      <c r="B1636" s="8" t="str">
        <f>HYPERLINK("https://twitter.com/jpperl","@jpperl")</f>
        <v>@jpperl</v>
      </c>
      <c r="C1636" s="9" t="s">
        <v>4306</v>
      </c>
      <c r="D1636" s="9" t="s">
        <v>4307</v>
      </c>
      <c r="E1636" s="10" t="str">
        <f>HYPERLINK("https://twitter.com/jpperl/status/723192758039642112","723192758039642112")</f>
        <v>723192758039642112</v>
      </c>
      <c r="F1636" s="11" t="s">
        <v>48</v>
      </c>
      <c r="G1636" s="11">
        <v>320</v>
      </c>
      <c r="H1636" s="11">
        <v>711</v>
      </c>
      <c r="I1636" s="11">
        <v>0</v>
      </c>
      <c r="J1636" s="11">
        <v>0</v>
      </c>
      <c r="K1636" s="11" t="s">
        <v>21</v>
      </c>
      <c r="L1636" s="7">
        <v>39991.835601851853</v>
      </c>
      <c r="M1636" s="12" t="s">
        <v>4308</v>
      </c>
      <c r="N1636" s="12" t="s">
        <v>4309</v>
      </c>
      <c r="O1636" s="10" t="str">
        <f>HYPERLINK("https://pbs.twimg.com/profile_images/695333347594080256/cfTz2HlD_normal.jpg","View")</f>
        <v>View</v>
      </c>
      <c r="P1636" s="11"/>
    </row>
    <row r="1637" spans="1:16" ht="12.75" x14ac:dyDescent="0.35">
      <c r="A1637" s="7">
        <v>42481.932615740741</v>
      </c>
      <c r="B1637" s="8" t="str">
        <f>HYPERLINK("https://twitter.com/balleyreesee","@balleyreesee")</f>
        <v>@balleyreesee</v>
      </c>
      <c r="C1637" s="9" t="s">
        <v>4310</v>
      </c>
      <c r="D1637" s="9" t="s">
        <v>4119</v>
      </c>
      <c r="E1637" s="10" t="str">
        <f>HYPERLINK("https://twitter.com/balleyreesee/status/723192817623945216","723192817623945216")</f>
        <v>723192817623945216</v>
      </c>
      <c r="F1637" s="11" t="s">
        <v>48</v>
      </c>
      <c r="G1637" s="11">
        <v>336</v>
      </c>
      <c r="H1637" s="11">
        <v>128</v>
      </c>
      <c r="I1637" s="11">
        <v>24</v>
      </c>
      <c r="J1637" s="11">
        <v>0</v>
      </c>
      <c r="K1637" s="11" t="s">
        <v>21</v>
      </c>
      <c r="L1637" s="7">
        <v>41566.382881944446</v>
      </c>
      <c r="M1637" s="12"/>
      <c r="N1637" s="12" t="s">
        <v>4311</v>
      </c>
      <c r="O1637" s="10" t="str">
        <f>HYPERLINK("https://pbs.twimg.com/profile_images/534249310582358016/9Op3LOiJ_normal.jpeg","View")</f>
        <v>View</v>
      </c>
      <c r="P1637" s="11"/>
    </row>
    <row r="1638" spans="1:16" ht="12.75" x14ac:dyDescent="0.35">
      <c r="A1638" s="7">
        <v>42481.932754629626</v>
      </c>
      <c r="B1638" s="8" t="str">
        <f>HYPERLINK("https://twitter.com/zlzal7562","@zlzal7562")</f>
        <v>@zlzal7562</v>
      </c>
      <c r="C1638" s="9" t="s">
        <v>4312</v>
      </c>
      <c r="D1638" s="9" t="s">
        <v>4119</v>
      </c>
      <c r="E1638" s="10" t="str">
        <f>HYPERLINK("https://twitter.com/zlzal7562/status/723192865288032257","723192865288032257")</f>
        <v>723192865288032257</v>
      </c>
      <c r="F1638" s="11" t="s">
        <v>48</v>
      </c>
      <c r="G1638" s="11">
        <v>335</v>
      </c>
      <c r="H1638" s="11">
        <v>134</v>
      </c>
      <c r="I1638" s="11">
        <v>24</v>
      </c>
      <c r="J1638" s="11">
        <v>0</v>
      </c>
      <c r="K1638" s="11" t="s">
        <v>21</v>
      </c>
      <c r="L1638" s="7">
        <v>41567.29965277778</v>
      </c>
      <c r="M1638" s="12"/>
      <c r="N1638" s="12"/>
      <c r="O1638" s="10" t="str">
        <f>HYPERLINK("https://pbs.twimg.com/profile_images/539562831142981632/aNGOf_sw_normal.jpeg","View")</f>
        <v>View</v>
      </c>
      <c r="P1638" s="11"/>
    </row>
    <row r="1639" spans="1:16" ht="12.75" x14ac:dyDescent="0.35">
      <c r="A1639" s="7">
        <v>42481.933067129634</v>
      </c>
      <c r="B1639" s="8" t="str">
        <f>HYPERLINK("https://twitter.com/CarNewsBit","@CarNewsBit")</f>
        <v>@CarNewsBit</v>
      </c>
      <c r="C1639" s="9" t="s">
        <v>1824</v>
      </c>
      <c r="D1639" s="9" t="s">
        <v>4313</v>
      </c>
      <c r="E1639" s="10" t="str">
        <f>HYPERLINK("https://twitter.com/CarNewsBit/status/723192981386227712","723192981386227712")</f>
        <v>723192981386227712</v>
      </c>
      <c r="F1639" s="11" t="s">
        <v>1826</v>
      </c>
      <c r="G1639" s="11">
        <v>27</v>
      </c>
      <c r="H1639" s="11">
        <v>80</v>
      </c>
      <c r="I1639" s="11">
        <v>0</v>
      </c>
      <c r="J1639" s="11">
        <v>0</v>
      </c>
      <c r="K1639" s="11" t="s">
        <v>21</v>
      </c>
      <c r="L1639" s="7">
        <v>42449.915625000001</v>
      </c>
      <c r="M1639" s="12" t="s">
        <v>1827</v>
      </c>
      <c r="N1639" s="12" t="s">
        <v>1828</v>
      </c>
      <c r="O1639" s="10" t="str">
        <f>HYPERLINK("https://abs.twimg.com/sticky/default_profile_images/default_profile_5_normal.png","View")</f>
        <v>View</v>
      </c>
      <c r="P1639" s="11"/>
    </row>
    <row r="1640" spans="1:16" ht="12.75" x14ac:dyDescent="0.35">
      <c r="A1640" s="7">
        <v>42481.933078703703</v>
      </c>
      <c r="B1640" s="8" t="str">
        <f>HYPERLINK("https://twitter.com/larskllnt","@larskllnt")</f>
        <v>@larskllnt</v>
      </c>
      <c r="C1640" s="9" t="s">
        <v>4314</v>
      </c>
      <c r="D1640" s="9" t="s">
        <v>4119</v>
      </c>
      <c r="E1640" s="10" t="str">
        <f>HYPERLINK("https://twitter.com/larskllnt/status/723192985177997313","723192985177997313")</f>
        <v>723192985177997313</v>
      </c>
      <c r="F1640" s="11" t="s">
        <v>48</v>
      </c>
      <c r="G1640" s="11">
        <v>286</v>
      </c>
      <c r="H1640" s="11">
        <v>106</v>
      </c>
      <c r="I1640" s="11">
        <v>24</v>
      </c>
      <c r="J1640" s="11">
        <v>0</v>
      </c>
      <c r="K1640" s="11" t="s">
        <v>21</v>
      </c>
      <c r="L1640" s="7">
        <v>41567.814849537041</v>
      </c>
      <c r="M1640" s="12" t="s">
        <v>1524</v>
      </c>
      <c r="N1640" s="12" t="s">
        <v>4315</v>
      </c>
      <c r="O1640" s="10" t="str">
        <f>HYPERLINK("https://pbs.twimg.com/profile_images/540347052673490944/OD4X0c6E_normal.jpeg","View")</f>
        <v>View</v>
      </c>
      <c r="P1640" s="11"/>
    </row>
    <row r="1641" spans="1:16" ht="12.75" x14ac:dyDescent="0.35">
      <c r="A1641" s="7">
        <v>42481.933194444442</v>
      </c>
      <c r="B1641" s="8" t="str">
        <f>HYPERLINK("https://twitter.com/x3m_f","@x3m_f")</f>
        <v>@x3m_f</v>
      </c>
      <c r="C1641" s="9" t="s">
        <v>3559</v>
      </c>
      <c r="D1641" s="9" t="s">
        <v>4316</v>
      </c>
      <c r="E1641" s="10" t="str">
        <f>HYPERLINK("https://twitter.com/x3m_f/status/723193024617013248","723193024617013248")</f>
        <v>723193024617013248</v>
      </c>
      <c r="F1641" s="11" t="s">
        <v>68</v>
      </c>
      <c r="G1641" s="11">
        <v>109</v>
      </c>
      <c r="H1641" s="11">
        <v>92</v>
      </c>
      <c r="I1641" s="11">
        <v>0</v>
      </c>
      <c r="J1641" s="11">
        <v>0</v>
      </c>
      <c r="K1641" s="11" t="s">
        <v>21</v>
      </c>
      <c r="L1641" s="7">
        <v>42363.436157407406</v>
      </c>
      <c r="M1641" s="12" t="s">
        <v>3274</v>
      </c>
      <c r="N1641" s="12" t="s">
        <v>3561</v>
      </c>
      <c r="O1641" s="10" t="str">
        <f>HYPERLINK("https://pbs.twimg.com/profile_images/680251329592344576/lnXUGVBa_normal.jpg","View")</f>
        <v>View</v>
      </c>
      <c r="P1641" s="11"/>
    </row>
    <row r="1642" spans="1:16" ht="12.75" x14ac:dyDescent="0.35">
      <c r="A1642" s="7">
        <v>42481.933518518519</v>
      </c>
      <c r="B1642" s="8" t="str">
        <f>HYPERLINK("https://twitter.com/EPTSchubertAnd","@EPTSchubertAnd")</f>
        <v>@EPTSchubertAnd</v>
      </c>
      <c r="C1642" s="9" t="s">
        <v>4317</v>
      </c>
      <c r="D1642" s="9" t="s">
        <v>4318</v>
      </c>
      <c r="E1642" s="10" t="str">
        <f>HYPERLINK("https://twitter.com/EPTSchubertAnd/status/723193143177392128","723193143177392128")</f>
        <v>723193143177392128</v>
      </c>
      <c r="F1642" s="11" t="s">
        <v>48</v>
      </c>
      <c r="G1642" s="11">
        <v>12296</v>
      </c>
      <c r="H1642" s="11">
        <v>12064</v>
      </c>
      <c r="I1642" s="11">
        <v>1</v>
      </c>
      <c r="J1642" s="11">
        <v>0</v>
      </c>
      <c r="K1642" s="11" t="s">
        <v>21</v>
      </c>
      <c r="L1642" s="7">
        <v>40966.574629629627</v>
      </c>
      <c r="M1642" s="12" t="s">
        <v>4319</v>
      </c>
      <c r="N1642" s="12" t="s">
        <v>4320</v>
      </c>
      <c r="O1642" s="10" t="str">
        <f>HYPERLINK("https://pbs.twimg.com/profile_images/722117972672663552/zJjDQ-lz_normal.png","View")</f>
        <v>View</v>
      </c>
      <c r="P1642" s="11"/>
    </row>
    <row r="1643" spans="1:16" ht="12.75" x14ac:dyDescent="0.35">
      <c r="A1643" s="7">
        <v>42481.933622685188</v>
      </c>
      <c r="B1643" s="8" t="str">
        <f>HYPERLINK("https://twitter.com/Dannl_Beltrami","@Dannl_Beltrami")</f>
        <v>@Dannl_Beltrami</v>
      </c>
      <c r="C1643" s="9" t="s">
        <v>4321</v>
      </c>
      <c r="D1643" s="9" t="s">
        <v>4119</v>
      </c>
      <c r="E1643" s="10" t="str">
        <f>HYPERLINK("https://twitter.com/Dannl_Beltrami/status/723193180594798593","723193180594798593")</f>
        <v>723193180594798593</v>
      </c>
      <c r="F1643" s="11" t="s">
        <v>48</v>
      </c>
      <c r="G1643" s="11">
        <v>389</v>
      </c>
      <c r="H1643" s="11">
        <v>87</v>
      </c>
      <c r="I1643" s="11">
        <v>24</v>
      </c>
      <c r="J1643" s="11">
        <v>0</v>
      </c>
      <c r="K1643" s="11" t="s">
        <v>21</v>
      </c>
      <c r="L1643" s="7">
        <v>41568.572175925925</v>
      </c>
      <c r="M1643" s="12" t="s">
        <v>638</v>
      </c>
      <c r="N1643" s="12"/>
      <c r="O1643" s="10" t="str">
        <f>HYPERLINK("https://pbs.twimg.com/profile_images/541577633860182016/g87TjN_W_normal.jpeg","View")</f>
        <v>View</v>
      </c>
      <c r="P1643" s="11"/>
    </row>
    <row r="1644" spans="1:16" ht="12.75" x14ac:dyDescent="0.35">
      <c r="A1644" s="7">
        <v>42481.933946759258</v>
      </c>
      <c r="B1644" s="8" t="str">
        <f>HYPERLINK("https://twitter.com/mueller_andi","@mueller_andi")</f>
        <v>@mueller_andi</v>
      </c>
      <c r="C1644" s="9" t="s">
        <v>4322</v>
      </c>
      <c r="D1644" s="9" t="s">
        <v>4323</v>
      </c>
      <c r="E1644" s="10" t="str">
        <f>HYPERLINK("https://twitter.com/mueller_andi/status/723193298504978434","723193298504978434")</f>
        <v>723193298504978434</v>
      </c>
      <c r="F1644" s="11" t="s">
        <v>43</v>
      </c>
      <c r="G1644" s="11">
        <v>774</v>
      </c>
      <c r="H1644" s="11">
        <v>1869</v>
      </c>
      <c r="I1644" s="11">
        <v>0</v>
      </c>
      <c r="J1644" s="11">
        <v>0</v>
      </c>
      <c r="K1644" s="11" t="s">
        <v>21</v>
      </c>
      <c r="L1644" s="7">
        <v>40704.813819444447</v>
      </c>
      <c r="M1644" s="12" t="s">
        <v>1359</v>
      </c>
      <c r="N1644" s="12" t="s">
        <v>4324</v>
      </c>
      <c r="O1644" s="10" t="str">
        <f>HYPERLINK("https://pbs.twimg.com/profile_images/581458224513077249/G_D2tx_4_normal.png","View")</f>
        <v>View</v>
      </c>
      <c r="P1644" s="11"/>
    </row>
    <row r="1645" spans="1:16" ht="12.75" x14ac:dyDescent="0.35">
      <c r="A1645" s="7">
        <v>42481.934675925921</v>
      </c>
      <c r="B1645" s="8" t="str">
        <f>HYPERLINK("https://twitter.com/sociokomm","@sociokomm")</f>
        <v>@sociokomm</v>
      </c>
      <c r="C1645" s="9" t="s">
        <v>4325</v>
      </c>
      <c r="D1645" s="9" t="s">
        <v>4326</v>
      </c>
      <c r="E1645" s="10" t="str">
        <f>HYPERLINK("https://twitter.com/sociokomm/status/723193562867896320","723193562867896320")</f>
        <v>723193562867896320</v>
      </c>
      <c r="F1645" s="11" t="s">
        <v>48</v>
      </c>
      <c r="G1645" s="11">
        <v>71</v>
      </c>
      <c r="H1645" s="11">
        <v>191</v>
      </c>
      <c r="I1645" s="11">
        <v>0</v>
      </c>
      <c r="J1645" s="11">
        <v>0</v>
      </c>
      <c r="K1645" s="11" t="s">
        <v>21</v>
      </c>
      <c r="L1645" s="7">
        <v>40271.828715277778</v>
      </c>
      <c r="M1645" s="12" t="s">
        <v>4327</v>
      </c>
      <c r="N1645" s="12" t="s">
        <v>4328</v>
      </c>
      <c r="O1645" s="10" t="str">
        <f>HYPERLINK("https://pbs.twimg.com/profile_images/1230665985/Kerpen_Daniel_normal.png","View")</f>
        <v>View</v>
      </c>
      <c r="P1645" s="11"/>
    </row>
    <row r="1646" spans="1:16" ht="12.75" x14ac:dyDescent="0.35">
      <c r="A1646" s="7">
        <v>42481.934687500005</v>
      </c>
      <c r="B1646" s="8" t="str">
        <f>HYPERLINK("https://twitter.com/Catinformacio","@Catinformacio")</f>
        <v>@Catinformacio</v>
      </c>
      <c r="C1646" s="9" t="s">
        <v>3984</v>
      </c>
      <c r="D1646" s="9" t="s">
        <v>4329</v>
      </c>
      <c r="E1646" s="10" t="str">
        <f>HYPERLINK("https://twitter.com/Catinformacio/status/723193567263363081","723193567263363081")</f>
        <v>723193567263363081</v>
      </c>
      <c r="F1646" s="11" t="s">
        <v>43</v>
      </c>
      <c r="G1646" s="11">
        <v>59588</v>
      </c>
      <c r="H1646" s="11">
        <v>76</v>
      </c>
      <c r="I1646" s="11">
        <v>4</v>
      </c>
      <c r="J1646" s="11">
        <v>0</v>
      </c>
      <c r="K1646" s="11" t="s">
        <v>21</v>
      </c>
      <c r="L1646" s="7">
        <v>40610.704525462963</v>
      </c>
      <c r="M1646" s="12" t="s">
        <v>3986</v>
      </c>
      <c r="N1646" s="12" t="s">
        <v>3987</v>
      </c>
      <c r="O1646" s="10" t="str">
        <f>HYPERLINK("https://pbs.twimg.com/profile_images/536851001144143874/ZkA1n-PI_normal.png","View")</f>
        <v>View</v>
      </c>
      <c r="P1646" s="11"/>
    </row>
    <row r="1647" spans="1:16" ht="12.75" x14ac:dyDescent="0.35">
      <c r="A1647" s="7">
        <v>42481.934745370367</v>
      </c>
      <c r="B1647" s="8" t="str">
        <f>HYPERLINK("https://twitter.com/HansTheGerman","@HansTheGerman")</f>
        <v>@HansTheGerman</v>
      </c>
      <c r="C1647" s="9" t="s">
        <v>4330</v>
      </c>
      <c r="D1647" s="9" t="s">
        <v>4331</v>
      </c>
      <c r="E1647" s="10" t="str">
        <f>HYPERLINK("https://twitter.com/HansTheGerman/status/723193587656089602","723193587656089602")</f>
        <v>723193587656089602</v>
      </c>
      <c r="F1647" s="11" t="s">
        <v>43</v>
      </c>
      <c r="G1647" s="11">
        <v>309</v>
      </c>
      <c r="H1647" s="11">
        <v>760</v>
      </c>
      <c r="I1647" s="11">
        <v>3</v>
      </c>
      <c r="J1647" s="11">
        <v>0</v>
      </c>
      <c r="K1647" s="11" t="s">
        <v>21</v>
      </c>
      <c r="L1647" s="7">
        <v>39950.572777777779</v>
      </c>
      <c r="M1647" s="12" t="s">
        <v>1116</v>
      </c>
      <c r="N1647" s="12" t="s">
        <v>4332</v>
      </c>
      <c r="O1647" s="10" t="str">
        <f>HYPERLINK("https://pbs.twimg.com/profile_images/3012106875/596e712c99a38ec69b925b7f7ab71986_normal.jpeg","View")</f>
        <v>View</v>
      </c>
      <c r="P1647" s="11"/>
    </row>
    <row r="1648" spans="1:16" ht="12.75" x14ac:dyDescent="0.35">
      <c r="A1648" s="7">
        <v>42481.934953703705</v>
      </c>
      <c r="B1648" s="8" t="str">
        <f>HYPERLINK("https://twitter.com/PaddySteen","@PaddySteen")</f>
        <v>@PaddySteen</v>
      </c>
      <c r="C1648" s="9" t="s">
        <v>4333</v>
      </c>
      <c r="D1648" s="9" t="s">
        <v>4334</v>
      </c>
      <c r="E1648" s="10" t="str">
        <f>HYPERLINK("https://twitter.com/PaddySteen/status/723193664659283970","723193664659283970")</f>
        <v>723193664659283970</v>
      </c>
      <c r="F1648" s="11" t="s">
        <v>43</v>
      </c>
      <c r="G1648" s="11">
        <v>783</v>
      </c>
      <c r="H1648" s="11">
        <v>883</v>
      </c>
      <c r="I1648" s="11">
        <v>0</v>
      </c>
      <c r="J1648" s="11">
        <v>0</v>
      </c>
      <c r="K1648" s="11" t="s">
        <v>21</v>
      </c>
      <c r="L1648" s="7">
        <v>40121.206493055557</v>
      </c>
      <c r="M1648" s="12" t="s">
        <v>638</v>
      </c>
      <c r="N1648" s="12" t="s">
        <v>4335</v>
      </c>
      <c r="O1648" s="10" t="str">
        <f>HYPERLINK("https://pbs.twimg.com/profile_images/708003242857340928/cAaQH8tl_normal.jpg","View")</f>
        <v>View</v>
      </c>
      <c r="P1648" s="11"/>
    </row>
    <row r="1649" spans="1:16" ht="12.75" x14ac:dyDescent="0.35">
      <c r="A1649" s="7">
        <v>42481.935069444444</v>
      </c>
      <c r="B1649" s="8" t="str">
        <f>HYPERLINK("https://twitter.com/ibuscke","@ibuscke")</f>
        <v>@ibuscke</v>
      </c>
      <c r="C1649" s="9" t="s">
        <v>4336</v>
      </c>
      <c r="D1649" s="9" t="s">
        <v>4337</v>
      </c>
      <c r="E1649" s="10" t="str">
        <f>HYPERLINK("https://twitter.com/ibuscke/status/723193704312393728","723193704312393728")</f>
        <v>723193704312393728</v>
      </c>
      <c r="F1649" s="11" t="s">
        <v>63</v>
      </c>
      <c r="G1649" s="11">
        <v>916</v>
      </c>
      <c r="H1649" s="11">
        <v>1181</v>
      </c>
      <c r="I1649" s="11">
        <v>1</v>
      </c>
      <c r="J1649" s="11">
        <v>1</v>
      </c>
      <c r="K1649" s="11" t="s">
        <v>21</v>
      </c>
      <c r="L1649" s="7">
        <v>40435.652083333334</v>
      </c>
      <c r="M1649" s="12" t="s">
        <v>980</v>
      </c>
      <c r="N1649" s="12" t="s">
        <v>4338</v>
      </c>
      <c r="O1649" s="10" t="str">
        <f>HYPERLINK("https://pbs.twimg.com/profile_images/672187059751157760/zcl-YTFR_normal.jpg","View")</f>
        <v>View</v>
      </c>
      <c r="P1649" s="11"/>
    </row>
    <row r="1650" spans="1:16" ht="12.75" x14ac:dyDescent="0.35">
      <c r="A1650" s="7">
        <v>42481.935185185182</v>
      </c>
      <c r="B1650" s="8" t="str">
        <f>HYPERLINK("https://twitter.com/sip_media","@sip_media")</f>
        <v>@sip_media</v>
      </c>
      <c r="C1650" s="9" t="s">
        <v>4339</v>
      </c>
      <c r="D1650" s="9" t="s">
        <v>4340</v>
      </c>
      <c r="E1650" s="10" t="str">
        <f>HYPERLINK("https://twitter.com/sip_media/status/723193746926514176","723193746926514176")</f>
        <v>723193746926514176</v>
      </c>
      <c r="F1650" s="11" t="s">
        <v>48</v>
      </c>
      <c r="G1650" s="11">
        <v>2185</v>
      </c>
      <c r="H1650" s="11">
        <v>1037</v>
      </c>
      <c r="I1650" s="11">
        <v>2</v>
      </c>
      <c r="J1650" s="11">
        <v>0</v>
      </c>
      <c r="K1650" s="11" t="s">
        <v>21</v>
      </c>
      <c r="L1650" s="7">
        <v>40991.134780092594</v>
      </c>
      <c r="M1650" s="12" t="s">
        <v>1931</v>
      </c>
      <c r="N1650" s="12" t="s">
        <v>4341</v>
      </c>
      <c r="O1650" s="10" t="str">
        <f>HYPERLINK("https://pbs.twimg.com/profile_images/1933484874/Portrait_Sissi_Pitzer_2011_normal.jpg","View")</f>
        <v>View</v>
      </c>
      <c r="P1650" s="11"/>
    </row>
    <row r="1651" spans="1:16" ht="12.75" x14ac:dyDescent="0.35">
      <c r="A1651" s="7">
        <v>42481.935543981483</v>
      </c>
      <c r="B1651" s="8" t="str">
        <f>HYPERLINK("https://twitter.com/Titoo_Castro","@Titoo_Castro")</f>
        <v>@Titoo_Castro</v>
      </c>
      <c r="C1651" s="9" t="s">
        <v>4342</v>
      </c>
      <c r="D1651" s="9" t="s">
        <v>4343</v>
      </c>
      <c r="E1651" s="10" t="str">
        <f>HYPERLINK("https://twitter.com/Titoo_Castro/status/723193877025443840","723193877025443840")</f>
        <v>723193877025443840</v>
      </c>
      <c r="F1651" s="11" t="s">
        <v>48</v>
      </c>
      <c r="G1651" s="11">
        <v>269</v>
      </c>
      <c r="H1651" s="11">
        <v>241</v>
      </c>
      <c r="I1651" s="11">
        <v>0</v>
      </c>
      <c r="J1651" s="11">
        <v>0</v>
      </c>
      <c r="K1651" s="11" t="s">
        <v>21</v>
      </c>
      <c r="L1651" s="7">
        <v>41137.171886574077</v>
      </c>
      <c r="M1651" s="12"/>
      <c r="N1651" s="12"/>
      <c r="O1651" s="10" t="str">
        <f>HYPERLINK("https://pbs.twimg.com/profile_images/711008838921687040/3msFrTd__normal.jpg","View")</f>
        <v>View</v>
      </c>
      <c r="P1651" s="11"/>
    </row>
    <row r="1652" spans="1:16" ht="12.75" x14ac:dyDescent="0.35">
      <c r="A1652" s="7">
        <v>42481.93586805556</v>
      </c>
      <c r="B1652" s="8" t="str">
        <f>HYPERLINK("https://twitter.com/wvrlaw","@wvrlaw")</f>
        <v>@wvrlaw</v>
      </c>
      <c r="C1652" s="9" t="s">
        <v>4344</v>
      </c>
      <c r="D1652" s="9" t="s">
        <v>4345</v>
      </c>
      <c r="E1652" s="10" t="str">
        <f>HYPERLINK("https://twitter.com/wvrlaw/status/723193993819873280","723193993819873280")</f>
        <v>723193993819873280</v>
      </c>
      <c r="F1652" s="11" t="s">
        <v>43</v>
      </c>
      <c r="G1652" s="11">
        <v>71</v>
      </c>
      <c r="H1652" s="11">
        <v>191</v>
      </c>
      <c r="I1652" s="11">
        <v>0</v>
      </c>
      <c r="J1652" s="11">
        <v>0</v>
      </c>
      <c r="K1652" s="11" t="s">
        <v>21</v>
      </c>
      <c r="L1652" s="7">
        <v>40846.650694444441</v>
      </c>
      <c r="M1652" s="12" t="s">
        <v>1359</v>
      </c>
      <c r="N1652" s="12" t="s">
        <v>4346</v>
      </c>
      <c r="O1652" s="10" t="str">
        <f>HYPERLINK("https://pbs.twimg.com/profile_images/613011463947554816/v7_Hl4O5_normal.png","View")</f>
        <v>View</v>
      </c>
      <c r="P1652" s="11"/>
    </row>
    <row r="1653" spans="1:16" ht="12.75" x14ac:dyDescent="0.35">
      <c r="A1653" s="7">
        <v>42481.936018518521</v>
      </c>
      <c r="B1653" s="8" t="str">
        <f>HYPERLINK("https://twitter.com/ErnstvAll","@ErnstvAll")</f>
        <v>@ErnstvAll</v>
      </c>
      <c r="C1653" s="9" t="s">
        <v>4347</v>
      </c>
      <c r="D1653" s="9" t="s">
        <v>4331</v>
      </c>
      <c r="E1653" s="10" t="str">
        <f>HYPERLINK("https://twitter.com/ErnstvAll/status/723194048719122433","723194048719122433")</f>
        <v>723194048719122433</v>
      </c>
      <c r="F1653" s="11" t="s">
        <v>43</v>
      </c>
      <c r="G1653" s="11">
        <v>3340</v>
      </c>
      <c r="H1653" s="11">
        <v>749</v>
      </c>
      <c r="I1653" s="11">
        <v>3</v>
      </c>
      <c r="J1653" s="11">
        <v>0</v>
      </c>
      <c r="K1653" s="11" t="s">
        <v>21</v>
      </c>
      <c r="L1653" s="7">
        <v>41214.480219907404</v>
      </c>
      <c r="M1653" s="12" t="s">
        <v>4348</v>
      </c>
      <c r="N1653" s="12" t="s">
        <v>4349</v>
      </c>
      <c r="O1653" s="10" t="str">
        <f>HYPERLINK("https://pbs.twimg.com/profile_images/722924621301956608/WYrNe6po_normal.jpg","View")</f>
        <v>View</v>
      </c>
      <c r="P1653" s="11"/>
    </row>
    <row r="1654" spans="1:16" ht="12.75" x14ac:dyDescent="0.35">
      <c r="A1654" s="7">
        <v>42481.936064814814</v>
      </c>
      <c r="B1654" s="8" t="str">
        <f>HYPERLINK("https://twitter.com/chefreporterNRW","@chefreporterNRW")</f>
        <v>@chefreporterNRW</v>
      </c>
      <c r="C1654" s="9" t="s">
        <v>1873</v>
      </c>
      <c r="D1654" s="9" t="s">
        <v>3578</v>
      </c>
      <c r="E1654" s="10" t="str">
        <f>HYPERLINK("https://twitter.com/chefreporterNRW/status/723194065249034240","723194065249034240")</f>
        <v>723194065249034240</v>
      </c>
      <c r="F1654" s="11" t="s">
        <v>20</v>
      </c>
      <c r="G1654" s="11">
        <v>4271</v>
      </c>
      <c r="H1654" s="11">
        <v>674</v>
      </c>
      <c r="I1654" s="11">
        <v>3</v>
      </c>
      <c r="J1654" s="11">
        <v>0</v>
      </c>
      <c r="K1654" s="11" t="s">
        <v>21</v>
      </c>
      <c r="L1654" s="7">
        <v>41459.967719907407</v>
      </c>
      <c r="M1654" s="12" t="s">
        <v>1874</v>
      </c>
      <c r="N1654" s="12" t="s">
        <v>1875</v>
      </c>
      <c r="O1654" s="10" t="str">
        <f>HYPERLINK("https://pbs.twimg.com/profile_images/439735434776940544/23u_i7Km_normal.jpeg","View")</f>
        <v>View</v>
      </c>
      <c r="P1654" s="11"/>
    </row>
    <row r="1655" spans="1:16" ht="12.75" x14ac:dyDescent="0.35">
      <c r="A1655" s="7">
        <v>42481.936273148152</v>
      </c>
      <c r="B1655" s="8" t="str">
        <f>HYPERLINK("https://twitter.com/todeed_com","@todeed_com")</f>
        <v>@todeed_com</v>
      </c>
      <c r="C1655" s="9" t="s">
        <v>4350</v>
      </c>
      <c r="D1655" s="9" t="s">
        <v>4351</v>
      </c>
      <c r="E1655" s="10" t="str">
        <f>HYPERLINK("https://twitter.com/todeed_com/status/723194143397146624","723194143397146624")</f>
        <v>723194143397146624</v>
      </c>
      <c r="F1655" s="11" t="s">
        <v>34</v>
      </c>
      <c r="G1655" s="11">
        <v>1021</v>
      </c>
      <c r="H1655" s="11">
        <v>1089</v>
      </c>
      <c r="I1655" s="11">
        <v>0</v>
      </c>
      <c r="J1655" s="11">
        <v>0</v>
      </c>
      <c r="K1655" s="11" t="s">
        <v>21</v>
      </c>
      <c r="L1655" s="7">
        <v>41089.051874999997</v>
      </c>
      <c r="M1655" s="12" t="s">
        <v>4352</v>
      </c>
      <c r="N1655" s="12" t="s">
        <v>4353</v>
      </c>
      <c r="O1655" s="10" t="str">
        <f>HYPERLINK("https://pbs.twimg.com/profile_images/531921848032698368/e6JpWMNX_normal.png","View")</f>
        <v>View</v>
      </c>
      <c r="P1655" s="11"/>
    </row>
    <row r="1656" spans="1:16" ht="12.75" x14ac:dyDescent="0.35">
      <c r="A1656" s="7">
        <v>42481.936712962968</v>
      </c>
      <c r="B1656" s="8" t="str">
        <f>HYPERLINK("https://twitter.com/derchotv","@derchotv")</f>
        <v>@derchotv</v>
      </c>
      <c r="C1656" s="9" t="s">
        <v>4354</v>
      </c>
      <c r="D1656" s="9" t="s">
        <v>4355</v>
      </c>
      <c r="E1656" s="10" t="str">
        <f>HYPERLINK("https://twitter.com/derchotv/status/723194303577751552","723194303577751552")</f>
        <v>723194303577751552</v>
      </c>
      <c r="F1656" s="11" t="s">
        <v>53</v>
      </c>
      <c r="G1656" s="11">
        <v>149</v>
      </c>
      <c r="H1656" s="11">
        <v>527</v>
      </c>
      <c r="I1656" s="11">
        <v>0</v>
      </c>
      <c r="J1656" s="11">
        <v>0</v>
      </c>
      <c r="K1656" s="11" t="s">
        <v>21</v>
      </c>
      <c r="L1656" s="7">
        <v>41371.870821759258</v>
      </c>
      <c r="M1656" s="12" t="s">
        <v>4356</v>
      </c>
      <c r="N1656" s="12" t="s">
        <v>4357</v>
      </c>
      <c r="O1656" s="10" t="str">
        <f>HYPERLINK("https://pbs.twimg.com/profile_images/714538405372231680/V37hm1RX_normal.jpg","View")</f>
        <v>View</v>
      </c>
      <c r="P1656" s="11"/>
    </row>
    <row r="1657" spans="1:16" ht="12.75" x14ac:dyDescent="0.35">
      <c r="A1657" s="7">
        <v>42481.93681712963</v>
      </c>
      <c r="B1657" s="8" t="str">
        <f>HYPERLINK("https://twitter.com/vanessablum","@vanessablum")</f>
        <v>@vanessablum</v>
      </c>
      <c r="C1657" s="9" t="s">
        <v>4358</v>
      </c>
      <c r="D1657" s="9" t="s">
        <v>4359</v>
      </c>
      <c r="E1657" s="10" t="str">
        <f>HYPERLINK("https://twitter.com/vanessablum/status/723194340470870016","723194340470870016")</f>
        <v>723194340470870016</v>
      </c>
      <c r="F1657" s="11" t="s">
        <v>152</v>
      </c>
      <c r="G1657" s="11">
        <v>1193</v>
      </c>
      <c r="H1657" s="11">
        <v>551</v>
      </c>
      <c r="I1657" s="11">
        <v>0</v>
      </c>
      <c r="J1657" s="11">
        <v>0</v>
      </c>
      <c r="K1657" s="11" t="s">
        <v>21</v>
      </c>
      <c r="L1657" s="7">
        <v>39944.993703703702</v>
      </c>
      <c r="M1657" s="12" t="s">
        <v>155</v>
      </c>
      <c r="N1657" s="12" t="s">
        <v>4360</v>
      </c>
      <c r="O1657" s="10" t="str">
        <f>HYPERLINK("https://pbs.twimg.com/profile_images/647228813428944896/jzdL4KmK_normal.jpg","View")</f>
        <v>View</v>
      </c>
      <c r="P1657" s="11"/>
    </row>
    <row r="1658" spans="1:16" ht="12.75" x14ac:dyDescent="0.35">
      <c r="A1658" s="7">
        <v>42481.93681712963</v>
      </c>
      <c r="B1658" s="8" t="str">
        <f>HYPERLINK("https://twitter.com/RecorderTweets","@RecorderTweets")</f>
        <v>@RecorderTweets</v>
      </c>
      <c r="C1658" s="9" t="s">
        <v>4361</v>
      </c>
      <c r="D1658" s="9" t="s">
        <v>4362</v>
      </c>
      <c r="E1658" s="10" t="str">
        <f>HYPERLINK("https://twitter.com/RecorderTweets/status/723194340659613696","723194340659613696")</f>
        <v>723194340659613696</v>
      </c>
      <c r="F1658" s="11" t="s">
        <v>152</v>
      </c>
      <c r="G1658" s="11">
        <v>4900</v>
      </c>
      <c r="H1658" s="11">
        <v>435</v>
      </c>
      <c r="I1658" s="11">
        <v>2</v>
      </c>
      <c r="J1658" s="11">
        <v>0</v>
      </c>
      <c r="K1658" s="11" t="s">
        <v>21</v>
      </c>
      <c r="L1658" s="7">
        <v>39837.240289351852</v>
      </c>
      <c r="M1658" s="12" t="s">
        <v>3270</v>
      </c>
      <c r="N1658" s="12" t="s">
        <v>4363</v>
      </c>
      <c r="O1658" s="10" t="str">
        <f>HYPERLINK("https://pbs.twimg.com/profile_images/572482317193474048/RjdWJzV5_normal.png","View")</f>
        <v>View</v>
      </c>
      <c r="P1658" s="11"/>
    </row>
    <row r="1659" spans="1:16" ht="12.75" x14ac:dyDescent="0.35">
      <c r="A1659" s="7">
        <v>42481.936956018515</v>
      </c>
      <c r="B1659" s="8" t="str">
        <f>HYPERLINK("https://twitter.com/EuRumtreiber","@EuRumtreiber")</f>
        <v>@EuRumtreiber</v>
      </c>
      <c r="C1659" s="9" t="s">
        <v>4364</v>
      </c>
      <c r="D1659" s="9" t="s">
        <v>2974</v>
      </c>
      <c r="E1659" s="10" t="str">
        <f>HYPERLINK("https://twitter.com/EuRumtreiber/status/723194391867830272","723194391867830272")</f>
        <v>723194391867830272</v>
      </c>
      <c r="F1659" s="11" t="s">
        <v>48</v>
      </c>
      <c r="G1659" s="11">
        <v>120</v>
      </c>
      <c r="H1659" s="11">
        <v>351</v>
      </c>
      <c r="I1659" s="11">
        <v>2</v>
      </c>
      <c r="J1659" s="11">
        <v>0</v>
      </c>
      <c r="K1659" s="11" t="s">
        <v>21</v>
      </c>
      <c r="L1659" s="7">
        <v>41023.430706018517</v>
      </c>
      <c r="M1659" s="12" t="s">
        <v>4365</v>
      </c>
      <c r="N1659" s="12"/>
      <c r="O1659" s="10" t="str">
        <f>HYPERLINK("https://pbs.twimg.com/profile_images/704423419648024578/3xzn3sbK_normal.jpg","View")</f>
        <v>View</v>
      </c>
      <c r="P1659" s="11"/>
    </row>
    <row r="1660" spans="1:16" ht="12.75" x14ac:dyDescent="0.35">
      <c r="A1660" s="7">
        <v>42481.93712962963</v>
      </c>
      <c r="B1660" s="8" t="str">
        <f>HYPERLINK("https://twitter.com/benghancock","@benghancock")</f>
        <v>@benghancock</v>
      </c>
      <c r="C1660" s="9" t="s">
        <v>4366</v>
      </c>
      <c r="D1660" s="9" t="s">
        <v>4367</v>
      </c>
      <c r="E1660" s="10" t="str">
        <f>HYPERLINK("https://twitter.com/benghancock/status/723194454513844226","723194454513844226")</f>
        <v>723194454513844226</v>
      </c>
      <c r="F1660" s="11" t="s">
        <v>20</v>
      </c>
      <c r="G1660" s="11">
        <v>698</v>
      </c>
      <c r="H1660" s="11">
        <v>832</v>
      </c>
      <c r="I1660" s="11">
        <v>2</v>
      </c>
      <c r="J1660" s="11">
        <v>0</v>
      </c>
      <c r="K1660" s="11" t="s">
        <v>21</v>
      </c>
      <c r="L1660" s="7">
        <v>39580.773101851853</v>
      </c>
      <c r="M1660" s="12" t="s">
        <v>244</v>
      </c>
      <c r="N1660" s="12" t="s">
        <v>4368</v>
      </c>
      <c r="O1660" s="10" t="str">
        <f>HYPERLINK("https://pbs.twimg.com/profile_images/507567438519877632/csbN7hbm_normal.jpeg","View")</f>
        <v>View</v>
      </c>
      <c r="P1660" s="11"/>
    </row>
    <row r="1661" spans="1:16" ht="12.75" x14ac:dyDescent="0.35">
      <c r="A1661" s="7">
        <v>42481.937523148154</v>
      </c>
      <c r="B1661" s="8" t="str">
        <f>HYPERLINK("https://twitter.com/autosuperbr","@autosuperbr")</f>
        <v>@autosuperbr</v>
      </c>
      <c r="C1661" s="9" t="s">
        <v>4369</v>
      </c>
      <c r="D1661" s="9" t="s">
        <v>4370</v>
      </c>
      <c r="E1661" s="10" t="str">
        <f>HYPERLINK("https://twitter.com/autosuperbr/status/723194596570763264","723194596570763264")</f>
        <v>723194596570763264</v>
      </c>
      <c r="F1661" s="11" t="s">
        <v>53</v>
      </c>
      <c r="G1661" s="11">
        <v>10</v>
      </c>
      <c r="H1661" s="11">
        <v>221</v>
      </c>
      <c r="I1661" s="11">
        <v>0</v>
      </c>
      <c r="J1661" s="11">
        <v>0</v>
      </c>
      <c r="K1661" s="11" t="s">
        <v>21</v>
      </c>
      <c r="L1661" s="7">
        <v>42464.953263888892</v>
      </c>
      <c r="M1661" s="12"/>
      <c r="N1661" s="12"/>
      <c r="O1661" s="10" t="str">
        <f>HYPERLINK("https://pbs.twimg.com/profile_images/717040085380804608/MnbcjTEy_normal.jpg","View")</f>
        <v>View</v>
      </c>
      <c r="P1661" s="11"/>
    </row>
    <row r="1662" spans="1:16" ht="12.75" x14ac:dyDescent="0.35">
      <c r="A1662" s="7">
        <v>42481.937615740739</v>
      </c>
      <c r="B1662" s="8" t="str">
        <f>HYPERLINK("https://twitter.com/uptownvw","@uptownvw")</f>
        <v>@uptownvw</v>
      </c>
      <c r="C1662" s="9" t="s">
        <v>4371</v>
      </c>
      <c r="D1662" s="9" t="s">
        <v>4372</v>
      </c>
      <c r="E1662" s="10" t="str">
        <f>HYPERLINK("https://twitter.com/uptownvw/status/723194629273862146","723194629273862146")</f>
        <v>723194629273862146</v>
      </c>
      <c r="F1662" s="11" t="s">
        <v>53</v>
      </c>
      <c r="G1662" s="11">
        <v>179</v>
      </c>
      <c r="H1662" s="11">
        <v>33</v>
      </c>
      <c r="I1662" s="11">
        <v>1</v>
      </c>
      <c r="J1662" s="11">
        <v>0</v>
      </c>
      <c r="K1662" s="11" t="s">
        <v>21</v>
      </c>
      <c r="L1662" s="7">
        <v>40877.478043981479</v>
      </c>
      <c r="M1662" s="12" t="s">
        <v>4373</v>
      </c>
      <c r="N1662" s="12" t="s">
        <v>4374</v>
      </c>
      <c r="O1662" s="10" t="str">
        <f>HYPERLINK("https://pbs.twimg.com/profile_images/499568960660992003/KqqMP0le_normal.jpeg","View")</f>
        <v>View</v>
      </c>
      <c r="P1662" s="11"/>
    </row>
    <row r="1663" spans="1:16" ht="12.75" x14ac:dyDescent="0.35">
      <c r="A1663" s="7">
        <v>42481.937754629631</v>
      </c>
      <c r="B1663" s="8" t="str">
        <f>HYPERLINK("https://twitter.com/VWPuyallup","@VWPuyallup")</f>
        <v>@VWPuyallup</v>
      </c>
      <c r="C1663" s="9" t="s">
        <v>4375</v>
      </c>
      <c r="D1663" s="9" t="s">
        <v>4376</v>
      </c>
      <c r="E1663" s="10" t="str">
        <f>HYPERLINK("https://twitter.com/VWPuyallup/status/723194678409986048","723194678409986048")</f>
        <v>723194678409986048</v>
      </c>
      <c r="F1663" s="11" t="s">
        <v>43</v>
      </c>
      <c r="G1663" s="11">
        <v>150</v>
      </c>
      <c r="H1663" s="11">
        <v>733</v>
      </c>
      <c r="I1663" s="11">
        <v>0</v>
      </c>
      <c r="J1663" s="11">
        <v>0</v>
      </c>
      <c r="K1663" s="11" t="s">
        <v>21</v>
      </c>
      <c r="L1663" s="7">
        <v>41439.22592592593</v>
      </c>
      <c r="M1663" s="12" t="s">
        <v>4377</v>
      </c>
      <c r="N1663" s="12"/>
      <c r="O1663" s="10" t="str">
        <f>HYPERLINK("https://pbs.twimg.com/profile_images/435934668228001792/Jra00BM-_normal.jpeg","View")</f>
        <v>View</v>
      </c>
      <c r="P1663" s="11"/>
    </row>
    <row r="1664" spans="1:16" ht="12.75" x14ac:dyDescent="0.35">
      <c r="A1664" s="7">
        <v>42481.938171296293</v>
      </c>
      <c r="B1664" s="8" t="str">
        <f>HYPERLINK("https://twitter.com/kngeuro","@kngeuro")</f>
        <v>@kngeuro</v>
      </c>
      <c r="C1664" s="9" t="s">
        <v>833</v>
      </c>
      <c r="D1664" s="9" t="s">
        <v>4378</v>
      </c>
      <c r="E1664" s="10" t="str">
        <f>HYPERLINK("https://twitter.com/kngeuro/status/723194831749656576","723194831749656576")</f>
        <v>723194831749656576</v>
      </c>
      <c r="F1664" s="11" t="s">
        <v>53</v>
      </c>
      <c r="G1664" s="11">
        <v>760</v>
      </c>
      <c r="H1664" s="11">
        <v>451</v>
      </c>
      <c r="I1664" s="11">
        <v>1</v>
      </c>
      <c r="J1664" s="11">
        <v>0</v>
      </c>
      <c r="K1664" s="11" t="s">
        <v>21</v>
      </c>
      <c r="L1664" s="7">
        <v>40319.120925925927</v>
      </c>
      <c r="M1664" s="12" t="s">
        <v>835</v>
      </c>
      <c r="N1664" s="12" t="s">
        <v>836</v>
      </c>
      <c r="O1664" s="10" t="str">
        <f>HYPERLINK("https://pbs.twimg.com/profile_images/570375988065935360/ooT_Nq7x_normal.jpeg","View")</f>
        <v>View</v>
      </c>
      <c r="P1664" s="11"/>
    </row>
    <row r="1665" spans="1:16" ht="12.75" x14ac:dyDescent="0.35">
      <c r="A1665" s="7">
        <v>42481.938344907408</v>
      </c>
      <c r="B1665" s="8" t="str">
        <f>HYPERLINK("https://twitter.com/cltribunesullo","@cltribunesullo")</f>
        <v>@cltribunesullo</v>
      </c>
      <c r="C1665" s="9" t="s">
        <v>4379</v>
      </c>
      <c r="D1665" s="9" t="s">
        <v>4051</v>
      </c>
      <c r="E1665" s="10" t="str">
        <f>HYPERLINK("https://twitter.com/cltribunesullo/status/723194893590474752","723194893590474752")</f>
        <v>723194893590474752</v>
      </c>
      <c r="F1665" s="11" t="s">
        <v>20</v>
      </c>
      <c r="G1665" s="11">
        <v>714</v>
      </c>
      <c r="H1665" s="11">
        <v>952</v>
      </c>
      <c r="I1665" s="11">
        <v>2</v>
      </c>
      <c r="J1665" s="11">
        <v>0</v>
      </c>
      <c r="K1665" s="11" t="s">
        <v>21</v>
      </c>
      <c r="L1665" s="7">
        <v>40870.080347222218</v>
      </c>
      <c r="M1665" s="12" t="s">
        <v>4380</v>
      </c>
      <c r="N1665" s="12" t="s">
        <v>4381</v>
      </c>
      <c r="O1665" s="10" t="str">
        <f>HYPERLINK("https://pbs.twimg.com/profile_images/1662537456/MichelleTuccittoSullo_normal.jpg","View")</f>
        <v>View</v>
      </c>
      <c r="P1665" s="11"/>
    </row>
    <row r="1666" spans="1:16" ht="12.75" x14ac:dyDescent="0.35">
      <c r="A1666" s="7">
        <v>42481.938449074078</v>
      </c>
      <c r="B1666" s="8" t="str">
        <f>HYPERLINK("https://twitter.com/edstaite","@edstaite")</f>
        <v>@edstaite</v>
      </c>
      <c r="C1666" s="9" t="s">
        <v>4382</v>
      </c>
      <c r="D1666" s="9" t="s">
        <v>4383</v>
      </c>
      <c r="E1666" s="10" t="str">
        <f>HYPERLINK("https://twitter.com/edstaite/status/723194931846758400","723194931846758400")</f>
        <v>723194931846758400</v>
      </c>
      <c r="F1666" s="11" t="s">
        <v>20</v>
      </c>
      <c r="G1666" s="11">
        <v>1265</v>
      </c>
      <c r="H1666" s="11">
        <v>768</v>
      </c>
      <c r="I1666" s="11">
        <v>0</v>
      </c>
      <c r="J1666" s="11">
        <v>0</v>
      </c>
      <c r="K1666" s="11" t="s">
        <v>21</v>
      </c>
      <c r="L1666" s="7">
        <v>39925.734780092593</v>
      </c>
      <c r="M1666" s="12" t="s">
        <v>4384</v>
      </c>
      <c r="N1666" s="12" t="s">
        <v>4385</v>
      </c>
      <c r="O1666" s="10" t="str">
        <f>HYPERLINK("https://pbs.twimg.com/profile_images/512907008442241024/HPk5J0Ju_normal.jpeg","View")</f>
        <v>View</v>
      </c>
      <c r="P1666" s="11"/>
    </row>
    <row r="1667" spans="1:16" ht="12.75" x14ac:dyDescent="0.35">
      <c r="A1667" s="7">
        <v>42481.938668981486</v>
      </c>
      <c r="B1667" s="8" t="str">
        <f>HYPERLINK("https://twitter.com/irmischphoto","@irmischphoto")</f>
        <v>@irmischphoto</v>
      </c>
      <c r="C1667" s="9" t="s">
        <v>4386</v>
      </c>
      <c r="D1667" s="9" t="s">
        <v>4387</v>
      </c>
      <c r="E1667" s="10" t="str">
        <f>HYPERLINK("https://twitter.com/irmischphoto/status/723195009940467712","723195009940467712")</f>
        <v>723195009940467712</v>
      </c>
      <c r="F1667" s="11" t="s">
        <v>114</v>
      </c>
      <c r="G1667" s="11">
        <v>46</v>
      </c>
      <c r="H1667" s="11">
        <v>194</v>
      </c>
      <c r="I1667" s="11">
        <v>0</v>
      </c>
      <c r="J1667" s="11">
        <v>0</v>
      </c>
      <c r="K1667" s="11" t="s">
        <v>21</v>
      </c>
      <c r="L1667" s="7">
        <v>41753.724988425922</v>
      </c>
      <c r="M1667" s="12" t="s">
        <v>1359</v>
      </c>
      <c r="N1667" s="12" t="s">
        <v>4388</v>
      </c>
      <c r="O1667" s="10" t="str">
        <f>HYPERLINK("https://pbs.twimg.com/profile_images/577797886399942656/atQBIC_s_normal.jpeg","View")</f>
        <v>View</v>
      </c>
      <c r="P1667" s="11"/>
    </row>
    <row r="1668" spans="1:16" ht="12.75" x14ac:dyDescent="0.35">
      <c r="A1668" s="7">
        <v>42481.938692129625</v>
      </c>
      <c r="B1668" s="8" t="str">
        <f>HYPERLINK("https://twitter.com/leto769","@leto769")</f>
        <v>@leto769</v>
      </c>
      <c r="C1668" s="9" t="s">
        <v>4389</v>
      </c>
      <c r="D1668" s="9" t="s">
        <v>2825</v>
      </c>
      <c r="E1668" s="10" t="str">
        <f>HYPERLINK("https://twitter.com/leto769/status/723195020304605185","723195020304605185")</f>
        <v>723195020304605185</v>
      </c>
      <c r="F1668" s="11" t="s">
        <v>48</v>
      </c>
      <c r="G1668" s="11">
        <v>211</v>
      </c>
      <c r="H1668" s="11">
        <v>160</v>
      </c>
      <c r="I1668" s="11">
        <v>53</v>
      </c>
      <c r="J1668" s="11">
        <v>0</v>
      </c>
      <c r="K1668" s="11" t="s">
        <v>21</v>
      </c>
      <c r="L1668" s="7">
        <v>41404.815787037034</v>
      </c>
      <c r="M1668" s="12" t="s">
        <v>494</v>
      </c>
      <c r="N1668" s="12" t="s">
        <v>4390</v>
      </c>
      <c r="O1668" s="10" t="str">
        <f>HYPERLINK("https://pbs.twimg.com/profile_images/722192780756414464/-kd2pSKL_normal.jpg","View")</f>
        <v>View</v>
      </c>
      <c r="P1668" s="11"/>
    </row>
    <row r="1669" spans="1:16" ht="12.75" x14ac:dyDescent="0.35">
      <c r="A1669" s="7">
        <v>42481.938726851848</v>
      </c>
      <c r="B1669" s="8" t="str">
        <f>HYPERLINK("https://twitter.com/pepmariavila","@pepmariavila")</f>
        <v>@pepmariavila</v>
      </c>
      <c r="C1669" s="9" t="s">
        <v>4391</v>
      </c>
      <c r="D1669" s="9" t="s">
        <v>4329</v>
      </c>
      <c r="E1669" s="10" t="str">
        <f>HYPERLINK("https://twitter.com/pepmariavila/status/723195032564543489","723195032564543489")</f>
        <v>723195032564543489</v>
      </c>
      <c r="F1669" s="11" t="s">
        <v>48</v>
      </c>
      <c r="G1669" s="11">
        <v>1899</v>
      </c>
      <c r="H1669" s="11">
        <v>2253</v>
      </c>
      <c r="I1669" s="11">
        <v>4</v>
      </c>
      <c r="J1669" s="11">
        <v>0</v>
      </c>
      <c r="K1669" s="11" t="s">
        <v>21</v>
      </c>
      <c r="L1669" s="7">
        <v>40640.815925925926</v>
      </c>
      <c r="M1669" s="12"/>
      <c r="N1669" s="12" t="s">
        <v>4392</v>
      </c>
      <c r="O1669" s="10" t="str">
        <f>HYPERLINK("https://pbs.twimg.com/profile_images/628660521844240384/X6OKBdyU_normal.jpg","View")</f>
        <v>View</v>
      </c>
      <c r="P1669" s="11"/>
    </row>
    <row r="1670" spans="1:16" ht="12.75" x14ac:dyDescent="0.35">
      <c r="A1670" s="7">
        <v>42481.938923611116</v>
      </c>
      <c r="B1670" s="8" t="str">
        <f>HYPERLINK("https://twitter.com/Snoopy92","@Snoopy92")</f>
        <v>@Snoopy92</v>
      </c>
      <c r="C1670" s="9" t="s">
        <v>4393</v>
      </c>
      <c r="D1670" s="9" t="s">
        <v>3199</v>
      </c>
      <c r="E1670" s="10" t="str">
        <f>HYPERLINK("https://twitter.com/Snoopy92/status/723195103259594752","723195103259594752")</f>
        <v>723195103259594752</v>
      </c>
      <c r="F1670" s="11" t="s">
        <v>91</v>
      </c>
      <c r="G1670" s="11">
        <v>532</v>
      </c>
      <c r="H1670" s="11">
        <v>2119</v>
      </c>
      <c r="I1670" s="11">
        <v>5</v>
      </c>
      <c r="J1670" s="11">
        <v>0</v>
      </c>
      <c r="K1670" s="11" t="s">
        <v>21</v>
      </c>
      <c r="L1670" s="7">
        <v>39905.079861111109</v>
      </c>
      <c r="M1670" s="12" t="s">
        <v>4394</v>
      </c>
      <c r="N1670" s="12" t="s">
        <v>4395</v>
      </c>
      <c r="O1670" s="10" t="str">
        <f>HYPERLINK("https://pbs.twimg.com/profile_images/552919983752491008/q5ofDizB_normal.jpeg","View")</f>
        <v>View</v>
      </c>
      <c r="P1670" s="11"/>
    </row>
    <row r="1671" spans="1:16" ht="12.75" x14ac:dyDescent="0.35">
      <c r="A1671" s="7">
        <v>42481.939143518517</v>
      </c>
      <c r="B1671" s="8" t="str">
        <f>HYPERLINK("https://twitter.com/HansKoberstein","@HansKoberstein")</f>
        <v>@HansKoberstein</v>
      </c>
      <c r="C1671" s="9" t="s">
        <v>4396</v>
      </c>
      <c r="D1671" s="9" t="s">
        <v>4397</v>
      </c>
      <c r="E1671" s="10" t="str">
        <f>HYPERLINK("https://twitter.com/HansKoberstein/status/723195184062816256","723195184062816256")</f>
        <v>723195184062816256</v>
      </c>
      <c r="F1671" s="11" t="s">
        <v>48</v>
      </c>
      <c r="G1671" s="11">
        <v>445</v>
      </c>
      <c r="H1671" s="11">
        <v>529</v>
      </c>
      <c r="I1671" s="11">
        <v>3</v>
      </c>
      <c r="J1671" s="11">
        <v>0</v>
      </c>
      <c r="K1671" s="11" t="s">
        <v>21</v>
      </c>
      <c r="L1671" s="7">
        <v>41341.089386574073</v>
      </c>
      <c r="M1671" s="12"/>
      <c r="N1671" s="12" t="s">
        <v>4398</v>
      </c>
      <c r="O1671" s="10" t="str">
        <f>HYPERLINK("https://pbs.twimg.com/profile_images/3400168778/821966172cb238111f037ba37f957cba_normal.jpeg","View")</f>
        <v>View</v>
      </c>
      <c r="P1671" s="11"/>
    </row>
    <row r="1672" spans="1:16" ht="12.75" x14ac:dyDescent="0.35">
      <c r="A1672" s="7">
        <v>42481.939421296294</v>
      </c>
      <c r="B1672" s="8" t="str">
        <f>HYPERLINK("https://twitter.com/UdoMaass","@UdoMaass")</f>
        <v>@UdoMaass</v>
      </c>
      <c r="C1672" s="9" t="s">
        <v>4399</v>
      </c>
      <c r="D1672" s="9" t="s">
        <v>4400</v>
      </c>
      <c r="E1672" s="10" t="str">
        <f>HYPERLINK("https://twitter.com/UdoMaass/status/723195285225267201","723195285225267201")</f>
        <v>723195285225267201</v>
      </c>
      <c r="F1672" s="11" t="s">
        <v>2154</v>
      </c>
      <c r="G1672" s="11">
        <v>43</v>
      </c>
      <c r="H1672" s="11">
        <v>278</v>
      </c>
      <c r="I1672" s="11">
        <v>0</v>
      </c>
      <c r="J1672" s="11">
        <v>0</v>
      </c>
      <c r="K1672" s="11" t="s">
        <v>21</v>
      </c>
      <c r="L1672" s="7">
        <v>41639.922361111108</v>
      </c>
      <c r="M1672" s="12" t="s">
        <v>4401</v>
      </c>
      <c r="N1672" s="12"/>
      <c r="O1672" s="10" t="str">
        <f>HYPERLINK("https://pbs.twimg.com/profile_images/708416378647277568/VruvHzM8_normal.jpg","View")</f>
        <v>View</v>
      </c>
      <c r="P1672" s="11"/>
    </row>
    <row r="1673" spans="1:16" ht="12.75" x14ac:dyDescent="0.35">
      <c r="A1673" s="7">
        <v>42481.939687499995</v>
      </c>
      <c r="B1673" s="8" t="str">
        <f>HYPERLINK("https://twitter.com/JackieLeonard01","@JackieLeonard01")</f>
        <v>@JackieLeonard01</v>
      </c>
      <c r="C1673" s="9" t="s">
        <v>4402</v>
      </c>
      <c r="D1673" s="9" t="s">
        <v>4403</v>
      </c>
      <c r="E1673" s="10" t="str">
        <f>HYPERLINK("https://twitter.com/JackieLeonard01/status/723195379135606787","723195379135606787")</f>
        <v>723195379135606787</v>
      </c>
      <c r="F1673" s="11" t="s">
        <v>43</v>
      </c>
      <c r="G1673" s="11">
        <v>2078</v>
      </c>
      <c r="H1673" s="11">
        <v>1798</v>
      </c>
      <c r="I1673" s="11">
        <v>0</v>
      </c>
      <c r="J1673" s="11">
        <v>0</v>
      </c>
      <c r="K1673" s="11" t="s">
        <v>21</v>
      </c>
      <c r="L1673" s="7">
        <v>40315.99927083333</v>
      </c>
      <c r="M1673" s="12" t="s">
        <v>638</v>
      </c>
      <c r="N1673" s="12" t="s">
        <v>4404</v>
      </c>
      <c r="O1673" s="10" t="str">
        <f>HYPERLINK("https://pbs.twimg.com/profile_images/1646660459/cropped_pic_normal.jpg","View")</f>
        <v>View</v>
      </c>
      <c r="P1673" s="11"/>
    </row>
    <row r="1674" spans="1:16" ht="12.75" x14ac:dyDescent="0.35">
      <c r="A1674" s="7">
        <v>42481.939849537041</v>
      </c>
      <c r="B1674" s="8" t="str">
        <f>HYPERLINK("https://twitter.com/riversidevw","@riversidevw")</f>
        <v>@riversidevw</v>
      </c>
      <c r="C1674" s="9" t="s">
        <v>4405</v>
      </c>
      <c r="D1674" s="9" t="s">
        <v>4406</v>
      </c>
      <c r="E1674" s="10" t="str">
        <f>HYPERLINK("https://twitter.com/riversidevw/status/723195436635402242","723195436635402242")</f>
        <v>723195436635402242</v>
      </c>
      <c r="F1674" s="11" t="s">
        <v>2694</v>
      </c>
      <c r="G1674" s="11">
        <v>250</v>
      </c>
      <c r="H1674" s="11">
        <v>244</v>
      </c>
      <c r="I1674" s="11">
        <v>1</v>
      </c>
      <c r="J1674" s="11">
        <v>0</v>
      </c>
      <c r="K1674" s="11" t="s">
        <v>21</v>
      </c>
      <c r="L1674" s="7">
        <v>40190.994085648148</v>
      </c>
      <c r="M1674" s="12" t="s">
        <v>4407</v>
      </c>
      <c r="N1674" s="12" t="s">
        <v>4408</v>
      </c>
      <c r="O1674" s="10" t="str">
        <f>HYPERLINK("https://pbs.twimg.com/profile_images/672153171607744512/19k3O2VA_normal.png","View")</f>
        <v>View</v>
      </c>
      <c r="P1674" s="11"/>
    </row>
    <row r="1675" spans="1:16" ht="12.75" x14ac:dyDescent="0.35">
      <c r="A1675" s="7">
        <v>42481.940648148149</v>
      </c>
      <c r="B1675" s="8" t="str">
        <f>HYPERLINK("https://twitter.com/decay23","@decay23")</f>
        <v>@decay23</v>
      </c>
      <c r="C1675" s="9" t="s">
        <v>4409</v>
      </c>
      <c r="D1675" s="9" t="s">
        <v>4410</v>
      </c>
      <c r="E1675" s="10" t="str">
        <f>HYPERLINK("https://twitter.com/decay23/status/723195726784794628","723195726784794628")</f>
        <v>723195726784794628</v>
      </c>
      <c r="F1675" s="11" t="s">
        <v>48</v>
      </c>
      <c r="G1675" s="11">
        <v>163</v>
      </c>
      <c r="H1675" s="11">
        <v>159</v>
      </c>
      <c r="I1675" s="11">
        <v>1</v>
      </c>
      <c r="J1675" s="11">
        <v>0</v>
      </c>
      <c r="K1675" s="11" t="s">
        <v>21</v>
      </c>
      <c r="L1675" s="7">
        <v>41314.802754629629</v>
      </c>
      <c r="M1675" s="12" t="s">
        <v>2595</v>
      </c>
      <c r="N1675" s="12" t="s">
        <v>4411</v>
      </c>
      <c r="O1675" s="10" t="str">
        <f>HYPERLINK("https://pbs.twimg.com/profile_images/712690287202668544/EKkMc4vr_normal.jpg","View")</f>
        <v>View</v>
      </c>
      <c r="P1675" s="11"/>
    </row>
    <row r="1676" spans="1:16" ht="12.75" x14ac:dyDescent="0.35">
      <c r="A1676" s="7">
        <v>42481.940648148149</v>
      </c>
      <c r="B1676" s="8" t="str">
        <f>HYPERLINK("https://twitter.com/itscz_org","@itscz_org")</f>
        <v>@itscz_org</v>
      </c>
      <c r="C1676" s="9" t="s">
        <v>3877</v>
      </c>
      <c r="D1676" s="9" t="s">
        <v>4115</v>
      </c>
      <c r="E1676" s="10" t="str">
        <f>HYPERLINK("https://twitter.com/itscz_org/status/723195728546435072","723195728546435072")</f>
        <v>723195728546435072</v>
      </c>
      <c r="F1676" s="11" t="s">
        <v>48</v>
      </c>
      <c r="G1676" s="11">
        <v>744</v>
      </c>
      <c r="H1676" s="11">
        <v>783</v>
      </c>
      <c r="I1676" s="11">
        <v>4</v>
      </c>
      <c r="J1676" s="11">
        <v>0</v>
      </c>
      <c r="K1676" s="11" t="s">
        <v>21</v>
      </c>
      <c r="L1676" s="7">
        <v>41273.786377314813</v>
      </c>
      <c r="M1676" s="12" t="s">
        <v>4412</v>
      </c>
      <c r="N1676" s="12" t="s">
        <v>4413</v>
      </c>
      <c r="O1676" s="10" t="str">
        <f>HYPERLINK("https://pbs.twimg.com/profile_images/475119492251398145/HMtPHV3n_normal.png","View")</f>
        <v>View</v>
      </c>
      <c r="P1676" s="11"/>
    </row>
    <row r="1677" spans="1:16" ht="12.75" x14ac:dyDescent="0.35">
      <c r="A1677" s="7">
        <v>42481.94085648148</v>
      </c>
      <c r="B1677" s="8" t="str">
        <f>HYPERLINK("https://twitter.com/DieMone37","@DieMone37")</f>
        <v>@DieMone37</v>
      </c>
      <c r="C1677" s="9" t="s">
        <v>4414</v>
      </c>
      <c r="D1677" s="9" t="s">
        <v>4415</v>
      </c>
      <c r="E1677" s="10" t="str">
        <f>HYPERLINK("https://twitter.com/DieMone37/status/723195804677099520","723195804677099520")</f>
        <v>723195804677099520</v>
      </c>
      <c r="F1677" s="11" t="s">
        <v>43</v>
      </c>
      <c r="G1677" s="11">
        <v>1379</v>
      </c>
      <c r="H1677" s="11">
        <v>1000</v>
      </c>
      <c r="I1677" s="11">
        <v>0</v>
      </c>
      <c r="J1677" s="11">
        <v>2</v>
      </c>
      <c r="K1677" s="11" t="s">
        <v>21</v>
      </c>
      <c r="L1677" s="7">
        <v>40215.842187499999</v>
      </c>
      <c r="M1677" s="12" t="s">
        <v>4416</v>
      </c>
      <c r="N1677" s="12" t="s">
        <v>4417</v>
      </c>
      <c r="O1677" s="10" t="str">
        <f>HYPERLINK("https://pbs.twimg.com/profile_images/3612471149/16833a41458c8ffd22d99bc873c949b8_normal.jpeg","View")</f>
        <v>View</v>
      </c>
      <c r="P1677" s="11"/>
    </row>
    <row r="1678" spans="1:16" ht="12.75" x14ac:dyDescent="0.35">
      <c r="A1678" s="7">
        <v>42481.940914351857</v>
      </c>
      <c r="B1678" s="8" t="str">
        <f>HYPERLINK("https://twitter.com/TokanP","@TokanP")</f>
        <v>@TokanP</v>
      </c>
      <c r="C1678" s="9" t="s">
        <v>4418</v>
      </c>
      <c r="D1678" s="9" t="s">
        <v>4419</v>
      </c>
      <c r="E1678" s="10" t="str">
        <f>HYPERLINK("https://twitter.com/TokanP/status/723195823387906048","723195823387906048")</f>
        <v>723195823387906048</v>
      </c>
      <c r="F1678" s="11" t="s">
        <v>43</v>
      </c>
      <c r="G1678" s="11">
        <v>32</v>
      </c>
      <c r="H1678" s="11">
        <v>78</v>
      </c>
      <c r="I1678" s="11">
        <v>1</v>
      </c>
      <c r="J1678" s="11">
        <v>0</v>
      </c>
      <c r="K1678" s="11" t="s">
        <v>21</v>
      </c>
      <c r="L1678" s="7">
        <v>41175.648877314816</v>
      </c>
      <c r="M1678" s="12" t="s">
        <v>4420</v>
      </c>
      <c r="N1678" s="12"/>
      <c r="O1678" s="10" t="str">
        <f>HYPERLINK("https://pbs.twimg.com/profile_images/684108288955445250/n4CHc8B8_normal.jpg","View")</f>
        <v>View</v>
      </c>
      <c r="P1678" s="11"/>
    </row>
    <row r="1679" spans="1:16" ht="12.75" x14ac:dyDescent="0.35">
      <c r="A1679" s="7">
        <v>42481.941782407404</v>
      </c>
      <c r="B1679" s="8" t="str">
        <f>HYPERLINK("https://twitter.com/Ziegengewitter","@Ziegengewitter")</f>
        <v>@Ziegengewitter</v>
      </c>
      <c r="C1679" s="9" t="s">
        <v>4421</v>
      </c>
      <c r="D1679" s="9" t="s">
        <v>4422</v>
      </c>
      <c r="E1679" s="10" t="str">
        <f>HYPERLINK("https://twitter.com/Ziegengewitter/status/723196139260903426","723196139260903426")</f>
        <v>723196139260903426</v>
      </c>
      <c r="F1679" s="11" t="s">
        <v>43</v>
      </c>
      <c r="G1679" s="11">
        <v>29</v>
      </c>
      <c r="H1679" s="11">
        <v>35</v>
      </c>
      <c r="I1679" s="11">
        <v>0</v>
      </c>
      <c r="J1679" s="11">
        <v>0</v>
      </c>
      <c r="K1679" s="11" t="s">
        <v>21</v>
      </c>
      <c r="L1679" s="7">
        <v>41182.025000000001</v>
      </c>
      <c r="M1679" s="12"/>
      <c r="N1679" s="12" t="s">
        <v>4423</v>
      </c>
      <c r="O1679" s="10" t="str">
        <f>HYPERLINK("https://pbs.twimg.com/profile_images/3274120603/5ceab6a279edd12004a09e2dcd5ae5d8_normal.png","View")</f>
        <v>View</v>
      </c>
      <c r="P1679" s="11"/>
    </row>
    <row r="1680" spans="1:16" ht="12.75" x14ac:dyDescent="0.35">
      <c r="A1680" s="7">
        <v>42481.941840277781</v>
      </c>
      <c r="B1680" s="8" t="str">
        <f>HYPERLINK("https://twitter.com/countUP","@countUP")</f>
        <v>@countUP</v>
      </c>
      <c r="C1680" s="9" t="s">
        <v>4424</v>
      </c>
      <c r="D1680" s="9" t="s">
        <v>4425</v>
      </c>
      <c r="E1680" s="10" t="str">
        <f>HYPERLINK("https://twitter.com/countUP/status/723196158068285440","723196158068285440")</f>
        <v>723196158068285440</v>
      </c>
      <c r="F1680" s="11" t="s">
        <v>152</v>
      </c>
      <c r="G1680" s="11">
        <v>7378</v>
      </c>
      <c r="H1680" s="11">
        <v>4955</v>
      </c>
      <c r="I1680" s="11">
        <v>0</v>
      </c>
      <c r="J1680" s="11">
        <v>0</v>
      </c>
      <c r="K1680" s="11" t="s">
        <v>21</v>
      </c>
      <c r="L1680" s="7">
        <v>39833.885127314818</v>
      </c>
      <c r="M1680" s="12" t="s">
        <v>1116</v>
      </c>
      <c r="N1680" s="12" t="s">
        <v>4426</v>
      </c>
      <c r="O1680" s="10" t="str">
        <f>HYPERLINK("https://pbs.twimg.com/profile_images/366739006/bewerbungsbild_detail_flyer_13_normal.png","View")</f>
        <v>View</v>
      </c>
      <c r="P1680" s="11"/>
    </row>
    <row r="1681" spans="1:16" ht="12.75" x14ac:dyDescent="0.35">
      <c r="A1681" s="7">
        <v>42481.942511574074</v>
      </c>
      <c r="B1681" s="8" t="str">
        <f>HYPERLINK("https://twitter.com/UniversityVWM","@UniversityVWM")</f>
        <v>@UniversityVWM</v>
      </c>
      <c r="C1681" s="9" t="s">
        <v>4427</v>
      </c>
      <c r="D1681" s="9" t="s">
        <v>4428</v>
      </c>
      <c r="E1681" s="10" t="str">
        <f>HYPERLINK("https://twitter.com/UniversityVWM/status/723196404643028992","723196404643028992")</f>
        <v>723196404643028992</v>
      </c>
      <c r="F1681" s="11" t="s">
        <v>43</v>
      </c>
      <c r="G1681" s="11">
        <v>413</v>
      </c>
      <c r="H1681" s="11">
        <v>1530</v>
      </c>
      <c r="I1681" s="11">
        <v>4</v>
      </c>
      <c r="J1681" s="11">
        <v>5</v>
      </c>
      <c r="K1681" s="11" t="s">
        <v>21</v>
      </c>
      <c r="L1681" s="7">
        <v>40885.016226851854</v>
      </c>
      <c r="M1681" s="12" t="s">
        <v>4373</v>
      </c>
      <c r="N1681" s="12" t="s">
        <v>4429</v>
      </c>
      <c r="O1681" s="10" t="str">
        <f>HYPERLINK("https://pbs.twimg.com/profile_images/564191903151702016/OXB2zx4u_normal.jpeg","View")</f>
        <v>View</v>
      </c>
      <c r="P1681" s="11"/>
    </row>
    <row r="1682" spans="1:16" ht="12.75" x14ac:dyDescent="0.35">
      <c r="A1682" s="7">
        <v>42481.942939814813</v>
      </c>
      <c r="B1682" s="8" t="str">
        <f>HYPERLINK("https://twitter.com/RA_Block","@RA_Block")</f>
        <v>@RA_Block</v>
      </c>
      <c r="C1682" s="9" t="s">
        <v>4430</v>
      </c>
      <c r="D1682" s="9" t="s">
        <v>3364</v>
      </c>
      <c r="E1682" s="10" t="str">
        <f>HYPERLINK("https://twitter.com/RA_Block/status/723196557605126144","723196557605126144")</f>
        <v>723196557605126144</v>
      </c>
      <c r="F1682" s="11" t="s">
        <v>20</v>
      </c>
      <c r="G1682" s="11">
        <v>1691</v>
      </c>
      <c r="H1682" s="11">
        <v>3647</v>
      </c>
      <c r="I1682" s="11">
        <v>3</v>
      </c>
      <c r="J1682" s="11">
        <v>0</v>
      </c>
      <c r="K1682" s="11" t="s">
        <v>21</v>
      </c>
      <c r="L1682" s="7">
        <v>41491.57775462963</v>
      </c>
      <c r="M1682" s="12" t="s">
        <v>4431</v>
      </c>
      <c r="N1682" s="12" t="s">
        <v>4432</v>
      </c>
      <c r="O1682" s="10" t="str">
        <f>HYPERLINK("https://pbs.twimg.com/profile_images/378800000244245667/a08407ea4b970ea93a806987b5ff1554_normal.jpeg","View")</f>
        <v>View</v>
      </c>
      <c r="P1682" s="11"/>
    </row>
    <row r="1683" spans="1:16" ht="12.75" x14ac:dyDescent="0.35">
      <c r="A1683" s="7">
        <v>42481.943530092598</v>
      </c>
      <c r="B1683" s="8" t="str">
        <f>HYPERLINK("https://twitter.com/Fumblkrusch","@Fumblkrusch")</f>
        <v>@Fumblkrusch</v>
      </c>
      <c r="C1683" s="9" t="s">
        <v>1040</v>
      </c>
      <c r="D1683" s="9" t="s">
        <v>4115</v>
      </c>
      <c r="E1683" s="10" t="str">
        <f>HYPERLINK("https://twitter.com/Fumblkrusch/status/723196770298126337","723196770298126337")</f>
        <v>723196770298126337</v>
      </c>
      <c r="F1683" s="11" t="s">
        <v>43</v>
      </c>
      <c r="G1683" s="11">
        <v>104</v>
      </c>
      <c r="H1683" s="11">
        <v>193</v>
      </c>
      <c r="I1683" s="11">
        <v>4</v>
      </c>
      <c r="J1683" s="11">
        <v>0</v>
      </c>
      <c r="K1683" s="11" t="s">
        <v>21</v>
      </c>
      <c r="L1683" s="7">
        <v>42090.916655092587</v>
      </c>
      <c r="M1683" s="12"/>
      <c r="N1683" s="12" t="s">
        <v>1041</v>
      </c>
      <c r="O1683" s="10" t="str">
        <f>HYPERLINK("https://pbs.twimg.com/profile_images/581493900763893760/mHgaLoR5_normal.jpg","View")</f>
        <v>View</v>
      </c>
      <c r="P1683" s="11"/>
    </row>
    <row r="1684" spans="1:16" ht="12.75" x14ac:dyDescent="0.35">
      <c r="A1684" s="7">
        <v>42481.943784722222</v>
      </c>
      <c r="B1684" s="8" t="str">
        <f>HYPERLINK("https://twitter.com/UniversityVWM","@UniversityVWM")</f>
        <v>@UniversityVWM</v>
      </c>
      <c r="C1684" s="9" t="s">
        <v>4427</v>
      </c>
      <c r="D1684" s="9" t="s">
        <v>4433</v>
      </c>
      <c r="E1684" s="10" t="str">
        <f>HYPERLINK("https://twitter.com/UniversityVWM/status/723196864980381696","723196864980381696")</f>
        <v>723196864980381696</v>
      </c>
      <c r="F1684" s="11" t="s">
        <v>43</v>
      </c>
      <c r="G1684" s="11">
        <v>413</v>
      </c>
      <c r="H1684" s="11">
        <v>1530</v>
      </c>
      <c r="I1684" s="11">
        <v>4</v>
      </c>
      <c r="J1684" s="11">
        <v>4</v>
      </c>
      <c r="K1684" s="11" t="s">
        <v>21</v>
      </c>
      <c r="L1684" s="7">
        <v>40885.016226851854</v>
      </c>
      <c r="M1684" s="12" t="s">
        <v>4373</v>
      </c>
      <c r="N1684" s="12" t="s">
        <v>4429</v>
      </c>
      <c r="O1684" s="10" t="str">
        <f>HYPERLINK("https://pbs.twimg.com/profile_images/564191903151702016/OXB2zx4u_normal.jpeg","View")</f>
        <v>View</v>
      </c>
      <c r="P1684" s="11"/>
    </row>
    <row r="1685" spans="1:16" ht="12.75" x14ac:dyDescent="0.35">
      <c r="A1685" s="7">
        <v>42481.943900462968</v>
      </c>
      <c r="B1685" s="8" t="str">
        <f>HYPERLINK("https://twitter.com/dapper013","@dapper013")</f>
        <v>@dapper013</v>
      </c>
      <c r="C1685" s="9" t="s">
        <v>1567</v>
      </c>
      <c r="D1685" s="9" t="s">
        <v>4434</v>
      </c>
      <c r="E1685" s="10" t="str">
        <f>HYPERLINK("https://twitter.com/dapper013/status/723196908316037120","723196908316037120")</f>
        <v>723196908316037120</v>
      </c>
      <c r="F1685" s="11" t="s">
        <v>48</v>
      </c>
      <c r="G1685" s="11">
        <v>291</v>
      </c>
      <c r="H1685" s="11">
        <v>304</v>
      </c>
      <c r="I1685" s="11">
        <v>1</v>
      </c>
      <c r="J1685" s="11">
        <v>2</v>
      </c>
      <c r="K1685" s="11" t="s">
        <v>21</v>
      </c>
      <c r="L1685" s="7">
        <v>40871.767500000002</v>
      </c>
      <c r="M1685" s="12" t="s">
        <v>1569</v>
      </c>
      <c r="N1685" s="12" t="s">
        <v>1570</v>
      </c>
      <c r="O1685" s="10" t="str">
        <f>HYPERLINK("https://pbs.twimg.com/profile_images/704424786777280513/YQVkJF57_normal.jpg","View")</f>
        <v>View</v>
      </c>
      <c r="P1685" s="11"/>
    </row>
    <row r="1686" spans="1:16" ht="12.75" x14ac:dyDescent="0.35">
      <c r="A1686" s="7">
        <v>42481.943981481483</v>
      </c>
      <c r="B1686" s="8" t="str">
        <f>HYPERLINK("https://twitter.com/cmbautomotive","@cmbautomotive")</f>
        <v>@cmbautomotive</v>
      </c>
      <c r="C1686" s="9" t="s">
        <v>1184</v>
      </c>
      <c r="D1686" s="9" t="s">
        <v>4435</v>
      </c>
      <c r="E1686" s="10" t="str">
        <f>HYPERLINK("https://twitter.com/cmbautomotive/status/723196935725809665","723196935725809665")</f>
        <v>723196935725809665</v>
      </c>
      <c r="F1686" s="11" t="s">
        <v>48</v>
      </c>
      <c r="G1686" s="11">
        <v>561</v>
      </c>
      <c r="H1686" s="11">
        <v>926</v>
      </c>
      <c r="I1686" s="11">
        <v>0</v>
      </c>
      <c r="J1686" s="11">
        <v>0</v>
      </c>
      <c r="K1686" s="11" t="s">
        <v>21</v>
      </c>
      <c r="L1686" s="7">
        <v>41138.763124999998</v>
      </c>
      <c r="M1686" s="12" t="s">
        <v>1186</v>
      </c>
      <c r="N1686" s="12" t="s">
        <v>1187</v>
      </c>
      <c r="O1686" s="10" t="str">
        <f>HYPERLINK("https://pbs.twimg.com/profile_images/611551355707240448/Nv7_c41P_normal.jpg","View")</f>
        <v>View</v>
      </c>
      <c r="P1686" s="11"/>
    </row>
    <row r="1687" spans="1:16" ht="12.75" x14ac:dyDescent="0.35">
      <c r="A1687" s="7">
        <v>42481.94430555556</v>
      </c>
      <c r="B1687" s="8" t="str">
        <f>HYPERLINK("https://twitter.com/DubLuvTuning","@DubLuvTuning")</f>
        <v>@DubLuvTuning</v>
      </c>
      <c r="C1687" s="9" t="s">
        <v>299</v>
      </c>
      <c r="D1687" s="9" t="s">
        <v>4436</v>
      </c>
      <c r="E1687" s="10" t="str">
        <f>HYPERLINK("https://twitter.com/DubLuvTuning/status/723197052809781248","723197052809781248")</f>
        <v>723197052809781248</v>
      </c>
      <c r="F1687" s="11" t="s">
        <v>288</v>
      </c>
      <c r="G1687" s="11">
        <v>690</v>
      </c>
      <c r="H1687" s="11">
        <v>431</v>
      </c>
      <c r="I1687" s="11">
        <v>1</v>
      </c>
      <c r="J1687" s="11">
        <v>0</v>
      </c>
      <c r="K1687" s="11" t="s">
        <v>21</v>
      </c>
      <c r="L1687" s="7">
        <v>41549.898287037038</v>
      </c>
      <c r="M1687" s="12" t="s">
        <v>301</v>
      </c>
      <c r="N1687" s="12" t="s">
        <v>302</v>
      </c>
      <c r="O1687" s="10" t="str">
        <f>HYPERLINK("https://pbs.twimg.com/profile_images/378800000572104796/1de43e1cf23efb3f4101c02afad0d3b6_normal.png","View")</f>
        <v>View</v>
      </c>
      <c r="P1687" s="11"/>
    </row>
    <row r="1688" spans="1:16" ht="12.75" x14ac:dyDescent="0.35">
      <c r="A1688" s="7">
        <v>42481.94467592593</v>
      </c>
      <c r="B1688" s="8" t="str">
        <f>HYPERLINK("https://twitter.com/MennoBroers","@MennoBroers")</f>
        <v>@MennoBroers</v>
      </c>
      <c r="C1688" s="9" t="s">
        <v>4437</v>
      </c>
      <c r="D1688" s="9" t="s">
        <v>4438</v>
      </c>
      <c r="E1688" s="10" t="str">
        <f>HYPERLINK("https://twitter.com/MennoBroers/status/723197185496649728","723197185496649728")</f>
        <v>723197185496649728</v>
      </c>
      <c r="F1688" s="11" t="s">
        <v>48</v>
      </c>
      <c r="G1688" s="11">
        <v>107</v>
      </c>
      <c r="H1688" s="11">
        <v>186</v>
      </c>
      <c r="I1688" s="11">
        <v>0</v>
      </c>
      <c r="J1688" s="11">
        <v>0</v>
      </c>
      <c r="K1688" s="11" t="s">
        <v>21</v>
      </c>
      <c r="L1688" s="7">
        <v>40627.564155092594</v>
      </c>
      <c r="M1688" s="12"/>
      <c r="N1688" s="12"/>
      <c r="O1688" s="10" t="str">
        <f>HYPERLINK("https://pbs.twimg.com/profile_images/1286474667/q95g5y1P_normal","View")</f>
        <v>View</v>
      </c>
      <c r="P1688" s="11"/>
    </row>
    <row r="1689" spans="1:16" ht="12.75" x14ac:dyDescent="0.35">
      <c r="A1689" s="7">
        <v>42481.945196759261</v>
      </c>
      <c r="B1689" s="8" t="str">
        <f>HYPERLINK("https://twitter.com/AilenNicolep","@AilenNicolep")</f>
        <v>@AilenNicolep</v>
      </c>
      <c r="C1689" s="9" t="s">
        <v>4439</v>
      </c>
      <c r="D1689" s="9" t="s">
        <v>2825</v>
      </c>
      <c r="E1689" s="10" t="str">
        <f>HYPERLINK("https://twitter.com/AilenNicolep/status/723197374399700992","723197374399700992")</f>
        <v>723197374399700992</v>
      </c>
      <c r="F1689" s="11" t="s">
        <v>48</v>
      </c>
      <c r="G1689" s="11">
        <v>265</v>
      </c>
      <c r="H1689" s="11">
        <v>468</v>
      </c>
      <c r="I1689" s="11">
        <v>53</v>
      </c>
      <c r="J1689" s="11">
        <v>0</v>
      </c>
      <c r="K1689" s="11" t="s">
        <v>21</v>
      </c>
      <c r="L1689" s="7">
        <v>41510.732233796298</v>
      </c>
      <c r="M1689" s="12" t="s">
        <v>4440</v>
      </c>
      <c r="N1689" s="12" t="s">
        <v>4441</v>
      </c>
      <c r="O1689" s="10" t="str">
        <f>HYPERLINK("https://pbs.twimg.com/profile_images/716753631907815424/6pqTIf9D_normal.jpg","View")</f>
        <v>View</v>
      </c>
      <c r="P1689" s="11"/>
    </row>
    <row r="1690" spans="1:16" ht="12.75" x14ac:dyDescent="0.35">
      <c r="A1690" s="7">
        <v>42481.945254629631</v>
      </c>
      <c r="B1690" s="8" t="str">
        <f>HYPERLINK("https://twitter.com/KarinLampart","@KarinLampart")</f>
        <v>@KarinLampart</v>
      </c>
      <c r="C1690" s="9" t="s">
        <v>4442</v>
      </c>
      <c r="D1690" s="9" t="s">
        <v>4340</v>
      </c>
      <c r="E1690" s="10" t="str">
        <f>HYPERLINK("https://twitter.com/KarinLampart/status/723197395513671680","723197395513671680")</f>
        <v>723197395513671680</v>
      </c>
      <c r="F1690" s="11" t="s">
        <v>43</v>
      </c>
      <c r="G1690" s="11">
        <v>128</v>
      </c>
      <c r="H1690" s="11">
        <v>155</v>
      </c>
      <c r="I1690" s="11">
        <v>2</v>
      </c>
      <c r="J1690" s="11">
        <v>0</v>
      </c>
      <c r="K1690" s="11" t="s">
        <v>21</v>
      </c>
      <c r="L1690" s="7">
        <v>41997.494317129633</v>
      </c>
      <c r="M1690" s="12" t="s">
        <v>4443</v>
      </c>
      <c r="N1690" s="12" t="s">
        <v>4444</v>
      </c>
      <c r="O1690" s="10" t="str">
        <f>HYPERLINK("https://pbs.twimg.com/profile_images/549208594885779456/Vrpr1vWp_normal.jpeg","View")</f>
        <v>View</v>
      </c>
      <c r="P1690" s="11"/>
    </row>
    <row r="1691" spans="1:16" ht="12.75" x14ac:dyDescent="0.35">
      <c r="A1691" s="7">
        <v>42481.945428240739</v>
      </c>
      <c r="B1691" s="8" t="str">
        <f>HYPERLINK("https://twitter.com/Histrius","@Histrius")</f>
        <v>@Histrius</v>
      </c>
      <c r="C1691" s="9" t="s">
        <v>4445</v>
      </c>
      <c r="D1691" s="9" t="s">
        <v>4186</v>
      </c>
      <c r="E1691" s="10" t="str">
        <f>HYPERLINK("https://twitter.com/Histrius/status/723197462123548672","723197462123548672")</f>
        <v>723197462123548672</v>
      </c>
      <c r="F1691" s="11" t="s">
        <v>91</v>
      </c>
      <c r="G1691" s="11">
        <v>444</v>
      </c>
      <c r="H1691" s="11">
        <v>440</v>
      </c>
      <c r="I1691" s="11">
        <v>10</v>
      </c>
      <c r="J1691" s="11">
        <v>0</v>
      </c>
      <c r="K1691" s="11" t="s">
        <v>21</v>
      </c>
      <c r="L1691" s="7">
        <v>41019.885416666664</v>
      </c>
      <c r="M1691" s="12"/>
      <c r="N1691" s="12" t="s">
        <v>4446</v>
      </c>
      <c r="O1691" s="10" t="str">
        <f>HYPERLINK("https://pbs.twimg.com/profile_images/378800000567040197/ebbaf357a1ef7aec1e1ad1ad0e246683_normal.jpeg","View")</f>
        <v>View</v>
      </c>
      <c r="P1691" s="11"/>
    </row>
    <row r="1692" spans="1:16" ht="12.75" x14ac:dyDescent="0.35">
      <c r="A1692" s="7">
        <v>42481.945451388892</v>
      </c>
      <c r="B1692" s="8" t="str">
        <f>HYPERLINK("https://twitter.com/raulubian","@raulubian")</f>
        <v>@raulubian</v>
      </c>
      <c r="C1692" s="9" t="s">
        <v>1235</v>
      </c>
      <c r="D1692" s="9" t="s">
        <v>2124</v>
      </c>
      <c r="E1692" s="10" t="str">
        <f>HYPERLINK("https://twitter.com/raulubian/status/723197469044183040","723197469044183040")</f>
        <v>723197469044183040</v>
      </c>
      <c r="F1692" s="11" t="s">
        <v>48</v>
      </c>
      <c r="G1692" s="11">
        <v>54</v>
      </c>
      <c r="H1692" s="11">
        <v>235</v>
      </c>
      <c r="I1692" s="11">
        <v>2</v>
      </c>
      <c r="J1692" s="11">
        <v>0</v>
      </c>
      <c r="K1692" s="11" t="s">
        <v>21</v>
      </c>
      <c r="L1692" s="7">
        <v>40825.863437499997</v>
      </c>
      <c r="M1692" s="12"/>
      <c r="N1692" s="12"/>
      <c r="O1692" s="10" t="str">
        <f>HYPERLINK("https://pbs.twimg.com/profile_images/1756710768/image_normal.jpg","View")</f>
        <v>View</v>
      </c>
      <c r="P1692" s="11"/>
    </row>
    <row r="1693" spans="1:16" ht="12.75" x14ac:dyDescent="0.35">
      <c r="A1693" s="7">
        <v>42481.945555555554</v>
      </c>
      <c r="B1693" s="8" t="str">
        <f>HYPERLINK("https://twitter.com/SeaJaysdetailin","@SeaJaysdetailin")</f>
        <v>@SeaJaysdetailin</v>
      </c>
      <c r="C1693" s="9" t="s">
        <v>4447</v>
      </c>
      <c r="D1693" s="9" t="s">
        <v>4448</v>
      </c>
      <c r="E1693" s="10" t="str">
        <f>HYPERLINK("https://twitter.com/SeaJaysdetailin/status/723197505643667456","723197505643667456")</f>
        <v>723197505643667456</v>
      </c>
      <c r="F1693" s="11" t="s">
        <v>114</v>
      </c>
      <c r="G1693" s="11">
        <v>161</v>
      </c>
      <c r="H1693" s="11">
        <v>184</v>
      </c>
      <c r="I1693" s="11">
        <v>0</v>
      </c>
      <c r="J1693" s="11">
        <v>0</v>
      </c>
      <c r="K1693" s="11" t="s">
        <v>21</v>
      </c>
      <c r="L1693" s="7">
        <v>40609.882141203707</v>
      </c>
      <c r="M1693" s="12" t="s">
        <v>4449</v>
      </c>
      <c r="N1693" s="12" t="s">
        <v>4450</v>
      </c>
      <c r="O1693" s="10" t="str">
        <f>HYPERLINK("https://pbs.twimg.com/profile_images/649649590703030272/Jxn1Hnno_normal.jpg","View")</f>
        <v>View</v>
      </c>
      <c r="P1693" s="10" t="str">
        <f>HYPERLINK("http://ctrlq.org/maps/address/#42.55162212,-71.26549861","Map")</f>
        <v>Map</v>
      </c>
    </row>
    <row r="1694" spans="1:16" ht="12.75" x14ac:dyDescent="0.35">
      <c r="A1694" s="7">
        <v>42481.945694444439</v>
      </c>
      <c r="B1694" s="8" t="str">
        <f>HYPERLINK("https://twitter.com/CarsUK","@CarsUK")</f>
        <v>@CarsUK</v>
      </c>
      <c r="C1694" s="9" t="s">
        <v>4451</v>
      </c>
      <c r="D1694" s="9" t="s">
        <v>4452</v>
      </c>
      <c r="E1694" s="10" t="str">
        <f>HYPERLINK("https://twitter.com/CarsUK/status/723197556847742976","723197556847742976")</f>
        <v>723197556847742976</v>
      </c>
      <c r="F1694" s="11" t="s">
        <v>63</v>
      </c>
      <c r="G1694" s="11">
        <v>6644</v>
      </c>
      <c r="H1694" s="11">
        <v>424</v>
      </c>
      <c r="I1694" s="11">
        <v>3</v>
      </c>
      <c r="J1694" s="11">
        <v>1</v>
      </c>
      <c r="K1694" s="11" t="s">
        <v>21</v>
      </c>
      <c r="L1694" s="7">
        <v>39860.978344907409</v>
      </c>
      <c r="M1694" s="12" t="s">
        <v>35</v>
      </c>
      <c r="N1694" s="12" t="s">
        <v>4453</v>
      </c>
      <c r="O1694" s="10" t="str">
        <f>HYPERLINK("https://pbs.twimg.com/profile_images/1365763712/Twitter-Profile-Logo-5-11_normal.jpg","View")</f>
        <v>View</v>
      </c>
      <c r="P1694" s="11"/>
    </row>
    <row r="1695" spans="1:16" ht="12.75" x14ac:dyDescent="0.35">
      <c r="A1695" s="7">
        <v>42481.945763888885</v>
      </c>
      <c r="B1695" s="8" t="str">
        <f>HYPERLINK("https://twitter.com/CarsUKListings","@CarsUKListings")</f>
        <v>@CarsUKListings</v>
      </c>
      <c r="C1695" s="9" t="s">
        <v>4454</v>
      </c>
      <c r="D1695" s="9" t="s">
        <v>4455</v>
      </c>
      <c r="E1695" s="10" t="str">
        <f>HYPERLINK("https://twitter.com/CarsUKListings/status/723197580830715904","723197580830715904")</f>
        <v>723197580830715904</v>
      </c>
      <c r="F1695" s="11" t="s">
        <v>63</v>
      </c>
      <c r="G1695" s="11">
        <v>293</v>
      </c>
      <c r="H1695" s="11">
        <v>941</v>
      </c>
      <c r="I1695" s="11">
        <v>3</v>
      </c>
      <c r="J1695" s="11">
        <v>0</v>
      </c>
      <c r="K1695" s="11" t="s">
        <v>21</v>
      </c>
      <c r="L1695" s="7">
        <v>42073.002557870372</v>
      </c>
      <c r="M1695" s="12" t="s">
        <v>35</v>
      </c>
      <c r="N1695" s="12" t="s">
        <v>4456</v>
      </c>
      <c r="O1695" s="10" t="str">
        <f>HYPERLINK("https://pbs.twimg.com/profile_images/575050086574510081/bzY4-hT8_normal.jpeg","View")</f>
        <v>View</v>
      </c>
      <c r="P1695" s="11"/>
    </row>
    <row r="1696" spans="1:16" ht="12.75" x14ac:dyDescent="0.35">
      <c r="A1696" s="7">
        <v>42481.945763888885</v>
      </c>
      <c r="B1696" s="8" t="str">
        <f>HYPERLINK("https://twitter.com/jofrov","@jofrov")</f>
        <v>@jofrov</v>
      </c>
      <c r="C1696" s="9" t="s">
        <v>4457</v>
      </c>
      <c r="D1696" s="9" t="s">
        <v>4455</v>
      </c>
      <c r="E1696" s="10" t="str">
        <f>HYPERLINK("https://twitter.com/jofrov/status/723197580839137280","723197580839137280")</f>
        <v>723197580839137280</v>
      </c>
      <c r="F1696" s="11" t="s">
        <v>63</v>
      </c>
      <c r="G1696" s="11">
        <v>26</v>
      </c>
      <c r="H1696" s="11">
        <v>17</v>
      </c>
      <c r="I1696" s="11">
        <v>3</v>
      </c>
      <c r="J1696" s="11">
        <v>0</v>
      </c>
      <c r="K1696" s="11" t="s">
        <v>21</v>
      </c>
      <c r="L1696" s="7">
        <v>41126.805300925924</v>
      </c>
      <c r="M1696" s="12" t="s">
        <v>35</v>
      </c>
      <c r="N1696" s="12" t="s">
        <v>4458</v>
      </c>
      <c r="O1696" s="10" t="str">
        <f>HYPERLINK("https://pbs.twimg.com/profile_images/2470945175/opq1cuuek0823iileemf_normal.jpeg","View")</f>
        <v>View</v>
      </c>
      <c r="P1696" s="11"/>
    </row>
    <row r="1697" spans="1:16" ht="12.75" x14ac:dyDescent="0.35">
      <c r="A1697" s="7">
        <v>42481.945891203708</v>
      </c>
      <c r="B1697" s="8" t="str">
        <f>HYPERLINK("https://twitter.com/DealerCouponsCa","@DealerCouponsCa")</f>
        <v>@DealerCouponsCa</v>
      </c>
      <c r="C1697" s="8" t="s">
        <v>4459</v>
      </c>
      <c r="D1697" s="9" t="s">
        <v>4460</v>
      </c>
      <c r="E1697" s="10" t="str">
        <f>HYPERLINK("https://twitter.com/DealerCouponsCa/status/723197626674458626","723197626674458626")</f>
        <v>723197626674458626</v>
      </c>
      <c r="F1697" s="11" t="s">
        <v>48</v>
      </c>
      <c r="G1697" s="11">
        <v>2789</v>
      </c>
      <c r="H1697" s="11">
        <v>2273</v>
      </c>
      <c r="I1697" s="11">
        <v>1</v>
      </c>
      <c r="J1697" s="11">
        <v>0</v>
      </c>
      <c r="K1697" s="11" t="s">
        <v>21</v>
      </c>
      <c r="L1697" s="7">
        <v>40828.299976851849</v>
      </c>
      <c r="M1697" s="12"/>
      <c r="N1697" s="12" t="s">
        <v>4461</v>
      </c>
      <c r="O1697" s="10" t="str">
        <f>HYPERLINK("https://pbs.twimg.com/profile_images/1584218147/dealercoupons.ca_square_logo_normal.jpg","View")</f>
        <v>View</v>
      </c>
      <c r="P1697" s="11"/>
    </row>
    <row r="1698" spans="1:16" ht="12.75" x14ac:dyDescent="0.35">
      <c r="A1698" s="7">
        <v>42481.946909722217</v>
      </c>
      <c r="B1698" s="8" t="str">
        <f t="shared" ref="B1698:B1700" si="143">HYPERLINK("https://twitter.com/OnlineCarReview","@OnlineCarReview")</f>
        <v>@OnlineCarReview</v>
      </c>
      <c r="C1698" s="9" t="s">
        <v>176</v>
      </c>
      <c r="D1698" s="9" t="s">
        <v>4462</v>
      </c>
      <c r="E1698" s="10" t="str">
        <f>HYPERLINK("https://twitter.com/OnlineCarReview/status/723197997492764672","723197997492764672")</f>
        <v>723197997492764672</v>
      </c>
      <c r="F1698" s="11" t="s">
        <v>34</v>
      </c>
      <c r="G1698" s="11">
        <v>839</v>
      </c>
      <c r="H1698" s="11">
        <v>568</v>
      </c>
      <c r="I1698" s="11">
        <v>0</v>
      </c>
      <c r="J1698" s="11">
        <v>0</v>
      </c>
      <c r="K1698" s="11" t="s">
        <v>21</v>
      </c>
      <c r="L1698" s="7">
        <v>42282.979201388887</v>
      </c>
      <c r="M1698" s="12"/>
      <c r="N1698" s="12" t="s">
        <v>178</v>
      </c>
      <c r="O1698" s="10" t="str">
        <f t="shared" ref="O1698:O1700" si="144">HYPERLINK("https://pbs.twimg.com/profile_images/652871584131092480/QA_B6SBO_normal.jpg","View")</f>
        <v>View</v>
      </c>
      <c r="P1698" s="11"/>
    </row>
    <row r="1699" spans="1:16" ht="12.75" x14ac:dyDescent="0.35">
      <c r="A1699" s="7">
        <v>42481.946909722217</v>
      </c>
      <c r="B1699" s="8" t="str">
        <f t="shared" si="143"/>
        <v>@OnlineCarReview</v>
      </c>
      <c r="C1699" s="9" t="s">
        <v>176</v>
      </c>
      <c r="D1699" s="9" t="s">
        <v>4463</v>
      </c>
      <c r="E1699" s="10" t="str">
        <f>HYPERLINK("https://twitter.com/OnlineCarReview/status/723197998163841025","723197998163841025")</f>
        <v>723197998163841025</v>
      </c>
      <c r="F1699" s="11" t="s">
        <v>34</v>
      </c>
      <c r="G1699" s="11">
        <v>839</v>
      </c>
      <c r="H1699" s="11">
        <v>568</v>
      </c>
      <c r="I1699" s="11">
        <v>0</v>
      </c>
      <c r="J1699" s="11">
        <v>0</v>
      </c>
      <c r="K1699" s="11" t="s">
        <v>21</v>
      </c>
      <c r="L1699" s="7">
        <v>42282.979201388887</v>
      </c>
      <c r="M1699" s="12"/>
      <c r="N1699" s="12" t="s">
        <v>178</v>
      </c>
      <c r="O1699" s="10" t="str">
        <f t="shared" si="144"/>
        <v>View</v>
      </c>
      <c r="P1699" s="11"/>
    </row>
    <row r="1700" spans="1:16" ht="12.75" x14ac:dyDescent="0.35">
      <c r="A1700" s="7">
        <v>42481.946921296301</v>
      </c>
      <c r="B1700" s="8" t="str">
        <f t="shared" si="143"/>
        <v>@OnlineCarReview</v>
      </c>
      <c r="C1700" s="9" t="s">
        <v>176</v>
      </c>
      <c r="D1700" s="9" t="s">
        <v>4464</v>
      </c>
      <c r="E1700" s="10" t="str">
        <f>HYPERLINK("https://twitter.com/OnlineCarReview/status/723197999308894208","723197999308894208")</f>
        <v>723197999308894208</v>
      </c>
      <c r="F1700" s="11" t="s">
        <v>34</v>
      </c>
      <c r="G1700" s="11">
        <v>839</v>
      </c>
      <c r="H1700" s="11">
        <v>568</v>
      </c>
      <c r="I1700" s="11">
        <v>0</v>
      </c>
      <c r="J1700" s="11">
        <v>0</v>
      </c>
      <c r="K1700" s="11" t="s">
        <v>21</v>
      </c>
      <c r="L1700" s="7">
        <v>42282.979201388887</v>
      </c>
      <c r="M1700" s="12"/>
      <c r="N1700" s="12" t="s">
        <v>178</v>
      </c>
      <c r="O1700" s="10" t="str">
        <f t="shared" si="144"/>
        <v>View</v>
      </c>
      <c r="P1700" s="11"/>
    </row>
    <row r="1701" spans="1:16" ht="12.75" x14ac:dyDescent="0.35">
      <c r="A1701" s="7">
        <v>42481.947141203702</v>
      </c>
      <c r="B1701" s="8" t="str">
        <f>HYPERLINK("https://twitter.com/OrchidBeautySp1","@OrchidBeautySp1")</f>
        <v>@OrchidBeautySp1</v>
      </c>
      <c r="C1701" s="9" t="s">
        <v>4465</v>
      </c>
      <c r="D1701" s="9" t="s">
        <v>4466</v>
      </c>
      <c r="E1701" s="10" t="str">
        <f>HYPERLINK("https://twitter.com/OrchidBeautySp1/status/723198082133925888","723198082133925888")</f>
        <v>723198082133925888</v>
      </c>
      <c r="F1701" s="11" t="s">
        <v>4467</v>
      </c>
      <c r="G1701" s="11">
        <v>203</v>
      </c>
      <c r="H1701" s="11">
        <v>70</v>
      </c>
      <c r="I1701" s="11">
        <v>1</v>
      </c>
      <c r="J1701" s="11">
        <v>0</v>
      </c>
      <c r="K1701" s="11" t="s">
        <v>21</v>
      </c>
      <c r="L1701" s="7">
        <v>42131.912835648152</v>
      </c>
      <c r="M1701" s="12" t="s">
        <v>4468</v>
      </c>
      <c r="N1701" s="12" t="s">
        <v>4469</v>
      </c>
      <c r="O1701" s="10" t="str">
        <f>HYPERLINK("https://pbs.twimg.com/profile_images/618724636432461824/pHKXVND5_normal.jpg","View")</f>
        <v>View</v>
      </c>
      <c r="P1701" s="11"/>
    </row>
    <row r="1702" spans="1:16" ht="12.75" x14ac:dyDescent="0.35">
      <c r="A1702" s="7">
        <v>42481.947453703702</v>
      </c>
      <c r="B1702" s="8" t="str">
        <f>HYPERLINK("https://twitter.com/timzim22","@timzim22")</f>
        <v>@timzim22</v>
      </c>
      <c r="C1702" s="9" t="s">
        <v>4470</v>
      </c>
      <c r="D1702" s="9" t="s">
        <v>4290</v>
      </c>
      <c r="E1702" s="10" t="str">
        <f>HYPERLINK("https://twitter.com/timzim22/status/723198193115258880","723198193115258880")</f>
        <v>723198193115258880</v>
      </c>
      <c r="F1702" s="11" t="s">
        <v>20</v>
      </c>
      <c r="G1702" s="11">
        <v>18</v>
      </c>
      <c r="H1702" s="11">
        <v>67</v>
      </c>
      <c r="I1702" s="11">
        <v>3</v>
      </c>
      <c r="J1702" s="11">
        <v>0</v>
      </c>
      <c r="K1702" s="11" t="s">
        <v>21</v>
      </c>
      <c r="L1702" s="7">
        <v>40032.779733796298</v>
      </c>
      <c r="M1702" s="12"/>
      <c r="N1702" s="12"/>
      <c r="O1702" s="10" t="str">
        <f>HYPERLINK("https://abs.twimg.com/sticky/default_profile_images/default_profile_4_normal.png","View")</f>
        <v>View</v>
      </c>
      <c r="P1702" s="11"/>
    </row>
    <row r="1703" spans="1:16" ht="12.75" x14ac:dyDescent="0.35">
      <c r="A1703" s="7">
        <v>42481.947453703702</v>
      </c>
      <c r="B1703" s="8" t="str">
        <f>HYPERLINK("https://twitter.com/NetzwerkggS21","@NetzwerkggS21")</f>
        <v>@NetzwerkggS21</v>
      </c>
      <c r="C1703" s="9" t="s">
        <v>2359</v>
      </c>
      <c r="D1703" s="9" t="s">
        <v>4186</v>
      </c>
      <c r="E1703" s="10" t="str">
        <f>HYPERLINK("https://twitter.com/NetzwerkggS21/status/723198193740062721","723198193740062721")</f>
        <v>723198193740062721</v>
      </c>
      <c r="F1703" s="11" t="s">
        <v>43</v>
      </c>
      <c r="G1703" s="11">
        <v>853</v>
      </c>
      <c r="H1703" s="11">
        <v>2109</v>
      </c>
      <c r="I1703" s="11">
        <v>10</v>
      </c>
      <c r="J1703" s="11">
        <v>0</v>
      </c>
      <c r="K1703" s="11" t="s">
        <v>21</v>
      </c>
      <c r="L1703" s="7">
        <v>41326.709363425922</v>
      </c>
      <c r="M1703" s="13" t="s">
        <v>2361</v>
      </c>
      <c r="N1703" s="12" t="s">
        <v>2362</v>
      </c>
      <c r="O1703" s="10" t="str">
        <f>HYPERLINK("https://pbs.twimg.com/profile_images/378800000528765970/3ab9f2a00010e9cac08d5ca1638926e9_normal.png","View")</f>
        <v>View</v>
      </c>
      <c r="P1703" s="11"/>
    </row>
    <row r="1704" spans="1:16" ht="12.75" x14ac:dyDescent="0.35">
      <c r="A1704" s="7">
        <v>42481.947453703702</v>
      </c>
      <c r="B1704" s="8" t="str">
        <f>HYPERLINK("https://twitter.com/eaymanomar","@eaymanomar")</f>
        <v>@eaymanomar</v>
      </c>
      <c r="C1704" s="9" t="s">
        <v>4471</v>
      </c>
      <c r="D1704" s="9" t="s">
        <v>4472</v>
      </c>
      <c r="E1704" s="10" t="str">
        <f>HYPERLINK("https://twitter.com/eaymanomar/status/723198194268573698","723198194268573698")</f>
        <v>723198194268573698</v>
      </c>
      <c r="F1704" s="11" t="s">
        <v>933</v>
      </c>
      <c r="G1704" s="11">
        <v>143</v>
      </c>
      <c r="H1704" s="11">
        <v>220</v>
      </c>
      <c r="I1704" s="11">
        <v>0</v>
      </c>
      <c r="J1704" s="11">
        <v>0</v>
      </c>
      <c r="K1704" s="11" t="s">
        <v>21</v>
      </c>
      <c r="L1704" s="7">
        <v>41807.044907407406</v>
      </c>
      <c r="M1704" s="12" t="s">
        <v>4473</v>
      </c>
      <c r="N1704" s="12" t="s">
        <v>4474</v>
      </c>
      <c r="O1704" s="10" t="str">
        <f>HYPERLINK("https://pbs.twimg.com/profile_images/713148211439992832/hyBOu4t4_normal.jpg","View")</f>
        <v>View</v>
      </c>
      <c r="P1704" s="11"/>
    </row>
    <row r="1705" spans="1:16" ht="12.75" x14ac:dyDescent="0.35">
      <c r="A1705" s="7">
        <v>42481.948240740741</v>
      </c>
      <c r="B1705" s="8" t="str">
        <f>HYPERLINK("https://twitter.com/RyanLores","@RyanLores")</f>
        <v>@RyanLores</v>
      </c>
      <c r="C1705" s="9" t="s">
        <v>4475</v>
      </c>
      <c r="D1705" s="9" t="s">
        <v>4476</v>
      </c>
      <c r="E1705" s="10" t="str">
        <f>HYPERLINK("https://twitter.com/RyanLores/status/723198478931902464","723198478931902464")</f>
        <v>723198478931902464</v>
      </c>
      <c r="F1705" s="11" t="s">
        <v>48</v>
      </c>
      <c r="G1705" s="11">
        <v>1533</v>
      </c>
      <c r="H1705" s="11">
        <v>3439</v>
      </c>
      <c r="I1705" s="11">
        <v>1</v>
      </c>
      <c r="J1705" s="11">
        <v>1</v>
      </c>
      <c r="K1705" s="11" t="s">
        <v>21</v>
      </c>
      <c r="L1705" s="7">
        <v>40590.32471064815</v>
      </c>
      <c r="M1705" s="12" t="s">
        <v>4477</v>
      </c>
      <c r="N1705" s="12" t="s">
        <v>4478</v>
      </c>
      <c r="O1705" s="10" t="str">
        <f>HYPERLINK("https://pbs.twimg.com/profile_images/1245770021/Ria_and_Papi_staring_up_normal.jpg","View")</f>
        <v>View</v>
      </c>
      <c r="P1705" s="11"/>
    </row>
    <row r="1706" spans="1:16" ht="12.75" x14ac:dyDescent="0.35">
      <c r="A1706" s="7">
        <v>42481.948506944449</v>
      </c>
      <c r="B1706" s="8" t="str">
        <f>HYPERLINK("https://twitter.com/TomsBrinkis","@TomsBrinkis")</f>
        <v>@TomsBrinkis</v>
      </c>
      <c r="C1706" s="9" t="s">
        <v>4479</v>
      </c>
      <c r="D1706" s="9" t="s">
        <v>4480</v>
      </c>
      <c r="E1706" s="10" t="str">
        <f>HYPERLINK("https://twitter.com/TomsBrinkis/status/723198574398451712","723198574398451712")</f>
        <v>723198574398451712</v>
      </c>
      <c r="F1706" s="11" t="s">
        <v>114</v>
      </c>
      <c r="G1706" s="11">
        <v>1259</v>
      </c>
      <c r="H1706" s="11">
        <v>509</v>
      </c>
      <c r="I1706" s="11">
        <v>0</v>
      </c>
      <c r="J1706" s="11">
        <v>0</v>
      </c>
      <c r="K1706" s="11" t="s">
        <v>21</v>
      </c>
      <c r="L1706" s="7">
        <v>39780.243113425924</v>
      </c>
      <c r="M1706" s="12" t="s">
        <v>4481</v>
      </c>
      <c r="N1706" s="12" t="s">
        <v>4482</v>
      </c>
      <c r="O1706" s="10" t="str">
        <f>HYPERLINK("https://pbs.twimg.com/profile_images/437604809596608513/LkK-grWR_normal.jpeg","View")</f>
        <v>View</v>
      </c>
      <c r="P1706" s="11"/>
    </row>
    <row r="1707" spans="1:16" ht="12.75" x14ac:dyDescent="0.35">
      <c r="A1707" s="7">
        <v>42481.948888888888</v>
      </c>
      <c r="B1707" s="8" t="str">
        <f>HYPERLINK("https://twitter.com/BofBB","@BofBB")</f>
        <v>@BofBB</v>
      </c>
      <c r="C1707" s="9" t="s">
        <v>4483</v>
      </c>
      <c r="D1707" s="9" t="s">
        <v>4455</v>
      </c>
      <c r="E1707" s="10" t="str">
        <f>HYPERLINK("https://twitter.com/BofBB/status/723198714010046465","723198714010046465")</f>
        <v>723198714010046465</v>
      </c>
      <c r="F1707" s="11" t="s">
        <v>43</v>
      </c>
      <c r="G1707" s="11">
        <v>314</v>
      </c>
      <c r="H1707" s="11">
        <v>1003</v>
      </c>
      <c r="I1707" s="11">
        <v>3</v>
      </c>
      <c r="J1707" s="11">
        <v>0</v>
      </c>
      <c r="K1707" s="11" t="s">
        <v>21</v>
      </c>
      <c r="L1707" s="7">
        <v>41090.04184027778</v>
      </c>
      <c r="M1707" s="12" t="s">
        <v>35</v>
      </c>
      <c r="N1707" s="12" t="s">
        <v>4484</v>
      </c>
      <c r="O1707" s="10" t="str">
        <f>HYPERLINK("https://pbs.twimg.com/profile_images/3686614487/04c0554ed5e05dd48a8d924a6d576f5c_normal.jpeg","View")</f>
        <v>View</v>
      </c>
      <c r="P1707" s="11"/>
    </row>
    <row r="1708" spans="1:16" ht="12.75" x14ac:dyDescent="0.35">
      <c r="A1708" s="7">
        <v>42481.949247685188</v>
      </c>
      <c r="B1708" s="8" t="str">
        <f>HYPERLINK("https://twitter.com/AlexWitzleben","@AlexWitzleben")</f>
        <v>@AlexWitzleben</v>
      </c>
      <c r="C1708" s="9" t="s">
        <v>1346</v>
      </c>
      <c r="D1708" s="9" t="s">
        <v>4485</v>
      </c>
      <c r="E1708" s="10" t="str">
        <f>HYPERLINK("https://twitter.com/AlexWitzleben/status/723198843601309696","723198843601309696")</f>
        <v>723198843601309696</v>
      </c>
      <c r="F1708" s="11" t="s">
        <v>193</v>
      </c>
      <c r="G1708" s="11">
        <v>1027</v>
      </c>
      <c r="H1708" s="11">
        <v>1000</v>
      </c>
      <c r="I1708" s="11">
        <v>0</v>
      </c>
      <c r="J1708" s="11">
        <v>1</v>
      </c>
      <c r="K1708" s="11" t="s">
        <v>21</v>
      </c>
      <c r="L1708" s="7">
        <v>40591.910462962966</v>
      </c>
      <c r="M1708" s="12" t="s">
        <v>1348</v>
      </c>
      <c r="N1708" s="12" t="s">
        <v>1349</v>
      </c>
      <c r="O1708" s="10" t="str">
        <f>HYPERLINK("https://pbs.twimg.com/profile_images/1913087124/AvW_website_normal.jpg","View")</f>
        <v>View</v>
      </c>
      <c r="P1708" s="11"/>
    </row>
    <row r="1709" spans="1:16" ht="12.75" x14ac:dyDescent="0.35">
      <c r="A1709" s="7">
        <v>42481.949571759258</v>
      </c>
      <c r="B1709" s="8" t="str">
        <f>HYPERLINK("https://twitter.com/blubb_undso","@blubb_undso")</f>
        <v>@blubb_undso</v>
      </c>
      <c r="C1709" s="9" t="s">
        <v>4486</v>
      </c>
      <c r="D1709" s="9" t="s">
        <v>4115</v>
      </c>
      <c r="E1709" s="10" t="str">
        <f>HYPERLINK("https://twitter.com/blubb_undso/status/723198963667476483","723198963667476483")</f>
        <v>723198963667476483</v>
      </c>
      <c r="F1709" s="11" t="s">
        <v>43</v>
      </c>
      <c r="G1709" s="11">
        <v>5</v>
      </c>
      <c r="H1709" s="11">
        <v>44</v>
      </c>
      <c r="I1709" s="11">
        <v>4</v>
      </c>
      <c r="J1709" s="11">
        <v>0</v>
      </c>
      <c r="K1709" s="11" t="s">
        <v>21</v>
      </c>
      <c r="L1709" s="7">
        <v>42189.722604166665</v>
      </c>
      <c r="M1709" s="12"/>
      <c r="N1709" s="12"/>
      <c r="O1709" s="10" t="str">
        <f>HYPERLINK("https://pbs.twimg.com/profile_images/617300156250255360/iyHyBQ-W_normal.jpg","View")</f>
        <v>View</v>
      </c>
      <c r="P1709" s="11"/>
    </row>
    <row r="1710" spans="1:16" ht="12.75" x14ac:dyDescent="0.35">
      <c r="A1710" s="7">
        <v>42481.949837962966</v>
      </c>
      <c r="B1710" s="8" t="str">
        <f>HYPERLINK("https://twitter.com/AlexWitzleben","@AlexWitzleben")</f>
        <v>@AlexWitzleben</v>
      </c>
      <c r="C1710" s="9" t="s">
        <v>1346</v>
      </c>
      <c r="D1710" s="9" t="s">
        <v>4487</v>
      </c>
      <c r="E1710" s="10" t="str">
        <f>HYPERLINK("https://twitter.com/AlexWitzleben/status/723199058588770305","723199058588770305")</f>
        <v>723199058588770305</v>
      </c>
      <c r="F1710" s="11" t="s">
        <v>193</v>
      </c>
      <c r="G1710" s="11">
        <v>1027</v>
      </c>
      <c r="H1710" s="11">
        <v>1000</v>
      </c>
      <c r="I1710" s="11">
        <v>0</v>
      </c>
      <c r="J1710" s="11">
        <v>0</v>
      </c>
      <c r="K1710" s="11" t="s">
        <v>21</v>
      </c>
      <c r="L1710" s="7">
        <v>40591.910462962966</v>
      </c>
      <c r="M1710" s="12" t="s">
        <v>1348</v>
      </c>
      <c r="N1710" s="12" t="s">
        <v>1349</v>
      </c>
      <c r="O1710" s="10" t="str">
        <f>HYPERLINK("https://pbs.twimg.com/profile_images/1913087124/AvW_website_normal.jpg","View")</f>
        <v>View</v>
      </c>
      <c r="P1710" s="11"/>
    </row>
    <row r="1711" spans="1:16" ht="12.75" x14ac:dyDescent="0.35">
      <c r="A1711" s="7">
        <v>42481.950011574074</v>
      </c>
      <c r="B1711" s="8" t="str">
        <f>HYPERLINK("https://twitter.com/Scirocco_Tuning","@Scirocco_Tuning")</f>
        <v>@Scirocco_Tuning</v>
      </c>
      <c r="C1711" s="9" t="s">
        <v>51</v>
      </c>
      <c r="D1711" s="9" t="s">
        <v>4488</v>
      </c>
      <c r="E1711" s="10" t="str">
        <f>HYPERLINK("https://twitter.com/Scirocco_Tuning/status/723199119569891328","723199119569891328")</f>
        <v>723199119569891328</v>
      </c>
      <c r="F1711" s="11" t="s">
        <v>53</v>
      </c>
      <c r="G1711" s="11">
        <v>69</v>
      </c>
      <c r="H1711" s="11">
        <v>215</v>
      </c>
      <c r="I1711" s="11">
        <v>0</v>
      </c>
      <c r="J1711" s="11">
        <v>0</v>
      </c>
      <c r="K1711" s="11" t="s">
        <v>21</v>
      </c>
      <c r="L1711" s="7">
        <v>40844.564722222218</v>
      </c>
      <c r="M1711" s="12"/>
      <c r="N1711" s="12"/>
      <c r="O1711" s="10" t="str">
        <f>HYPERLINK("https://pbs.twimg.com/profile_images/1610421423/Image2_normal.jpg","View")</f>
        <v>View</v>
      </c>
      <c r="P1711" s="11"/>
    </row>
    <row r="1712" spans="1:16" ht="12.75" x14ac:dyDescent="0.35">
      <c r="A1712" s="7">
        <v>42481.950277777782</v>
      </c>
      <c r="B1712" s="8" t="str">
        <f t="shared" ref="B1712:B1713" si="145">HYPERLINK("https://twitter.com/BobCockerham","@BobCockerham")</f>
        <v>@BobCockerham</v>
      </c>
      <c r="C1712" s="9" t="s">
        <v>4489</v>
      </c>
      <c r="D1712" s="9" t="s">
        <v>4490</v>
      </c>
      <c r="E1712" s="10" t="str">
        <f>HYPERLINK("https://twitter.com/BobCockerham/status/723199217108324352","723199217108324352")</f>
        <v>723199217108324352</v>
      </c>
      <c r="F1712" s="11" t="s">
        <v>43</v>
      </c>
      <c r="G1712" s="11">
        <v>2208</v>
      </c>
      <c r="H1712" s="11">
        <v>2611</v>
      </c>
      <c r="I1712" s="11">
        <v>4</v>
      </c>
      <c r="J1712" s="11">
        <v>0</v>
      </c>
      <c r="K1712" s="11" t="s">
        <v>21</v>
      </c>
      <c r="L1712" s="7">
        <v>39810.353483796294</v>
      </c>
      <c r="M1712" s="12" t="s">
        <v>4491</v>
      </c>
      <c r="N1712" s="12" t="s">
        <v>4492</v>
      </c>
      <c r="O1712" s="10" t="str">
        <f t="shared" ref="O1712:O1713" si="146">HYPERLINK("https://pbs.twimg.com/profile_images/658086464819822593/DHjx1zuP_normal.jpg","View")</f>
        <v>View</v>
      </c>
      <c r="P1712" s="11"/>
    </row>
    <row r="1713" spans="1:16" ht="12.75" x14ac:dyDescent="0.35">
      <c r="A1713" s="7">
        <v>42481.950335648144</v>
      </c>
      <c r="B1713" s="8" t="str">
        <f t="shared" si="145"/>
        <v>@BobCockerham</v>
      </c>
      <c r="C1713" s="9" t="s">
        <v>4489</v>
      </c>
      <c r="D1713" s="9" t="s">
        <v>4493</v>
      </c>
      <c r="E1713" s="10" t="str">
        <f>HYPERLINK("https://twitter.com/BobCockerham/status/723199237396135936","723199237396135936")</f>
        <v>723199237396135936</v>
      </c>
      <c r="F1713" s="11" t="s">
        <v>43</v>
      </c>
      <c r="G1713" s="11">
        <v>2208</v>
      </c>
      <c r="H1713" s="11">
        <v>2611</v>
      </c>
      <c r="I1713" s="11">
        <v>4</v>
      </c>
      <c r="J1713" s="11">
        <v>0</v>
      </c>
      <c r="K1713" s="11" t="s">
        <v>21</v>
      </c>
      <c r="L1713" s="7">
        <v>39810.353483796294</v>
      </c>
      <c r="M1713" s="12" t="s">
        <v>4491</v>
      </c>
      <c r="N1713" s="12" t="s">
        <v>4492</v>
      </c>
      <c r="O1713" s="10" t="str">
        <f t="shared" si="146"/>
        <v>View</v>
      </c>
      <c r="P1713" s="11"/>
    </row>
    <row r="1714" spans="1:16" ht="12.75" x14ac:dyDescent="0.35">
      <c r="A1714" s="7">
        <v>42481.950439814813</v>
      </c>
      <c r="B1714" s="8" t="str">
        <f>HYPERLINK("https://twitter.com/vapinggeekgirl","@vapinggeekgirl")</f>
        <v>@vapinggeekgirl</v>
      </c>
      <c r="C1714" s="9" t="s">
        <v>4494</v>
      </c>
      <c r="D1714" s="9" t="s">
        <v>4495</v>
      </c>
      <c r="E1714" s="10" t="str">
        <f>HYPERLINK("https://twitter.com/vapinggeekgirl/status/723199274943574017","723199274943574017")</f>
        <v>723199274943574017</v>
      </c>
      <c r="F1714" s="11" t="s">
        <v>43</v>
      </c>
      <c r="G1714" s="11">
        <v>310</v>
      </c>
      <c r="H1714" s="11">
        <v>53</v>
      </c>
      <c r="I1714" s="11">
        <v>0</v>
      </c>
      <c r="J1714" s="11">
        <v>0</v>
      </c>
      <c r="K1714" s="11" t="s">
        <v>21</v>
      </c>
      <c r="L1714" s="7">
        <v>42196.843229166669</v>
      </c>
      <c r="M1714" s="12" t="s">
        <v>4496</v>
      </c>
      <c r="N1714" s="12" t="s">
        <v>4497</v>
      </c>
      <c r="O1714" s="10" t="str">
        <f>HYPERLINK("https://pbs.twimg.com/profile_images/717676080719597568/5TdCDJzb_normal.jpg","View")</f>
        <v>View</v>
      </c>
      <c r="P1714" s="11"/>
    </row>
    <row r="1715" spans="1:16" ht="12.75" x14ac:dyDescent="0.35">
      <c r="A1715" s="7">
        <v>42481.950543981482</v>
      </c>
      <c r="B1715" s="8" t="str">
        <f>HYPERLINK("https://twitter.com/paolozignone","@paolozignone")</f>
        <v>@paolozignone</v>
      </c>
      <c r="C1715" s="9" t="s">
        <v>4498</v>
      </c>
      <c r="D1715" s="9" t="s">
        <v>4499</v>
      </c>
      <c r="E1715" s="10" t="str">
        <f>HYPERLINK("https://twitter.com/paolozignone/status/723199314609086464","723199314609086464")</f>
        <v>723199314609086464</v>
      </c>
      <c r="F1715" s="11" t="s">
        <v>43</v>
      </c>
      <c r="G1715" s="11">
        <v>1742</v>
      </c>
      <c r="H1715" s="11">
        <v>1729</v>
      </c>
      <c r="I1715" s="11">
        <v>1</v>
      </c>
      <c r="J1715" s="11">
        <v>0</v>
      </c>
      <c r="K1715" s="11" t="s">
        <v>21</v>
      </c>
      <c r="L1715" s="7">
        <v>40749.788483796292</v>
      </c>
      <c r="M1715" s="12" t="s">
        <v>4500</v>
      </c>
      <c r="N1715" s="12" t="s">
        <v>4501</v>
      </c>
      <c r="O1715" s="10" t="str">
        <f>HYPERLINK("https://pbs.twimg.com/profile_images/466910019762397184/I5_k8U5s_normal.jpeg","View")</f>
        <v>View</v>
      </c>
      <c r="P1715" s="11"/>
    </row>
    <row r="1716" spans="1:16" ht="12.75" x14ac:dyDescent="0.35">
      <c r="A1716" s="7">
        <v>42481.950706018513</v>
      </c>
      <c r="B1716" s="8" t="str">
        <f>HYPERLINK("https://twitter.com/DeepLora","@DeepLora")</f>
        <v>@DeepLora</v>
      </c>
      <c r="C1716" s="9" t="s">
        <v>4502</v>
      </c>
      <c r="D1716" s="9" t="s">
        <v>4503</v>
      </c>
      <c r="E1716" s="10" t="str">
        <f>HYPERLINK("https://twitter.com/DeepLora/status/723199374436638720","723199374436638720")</f>
        <v>723199374436638720</v>
      </c>
      <c r="F1716" s="11" t="s">
        <v>43</v>
      </c>
      <c r="G1716" s="11">
        <v>92</v>
      </c>
      <c r="H1716" s="11">
        <v>58</v>
      </c>
      <c r="I1716" s="11">
        <v>0</v>
      </c>
      <c r="J1716" s="11">
        <v>0</v>
      </c>
      <c r="K1716" s="11" t="s">
        <v>21</v>
      </c>
      <c r="L1716" s="7">
        <v>40784.946122685185</v>
      </c>
      <c r="M1716" s="12"/>
      <c r="N1716" s="12" t="s">
        <v>4504</v>
      </c>
      <c r="O1716" s="10" t="str">
        <f>HYPERLINK("https://pbs.twimg.com/profile_images/1994490288/337398_10150423084273171_599358170_8728970_1428231110_o_normal.jpg","View")</f>
        <v>View</v>
      </c>
      <c r="P1716" s="11"/>
    </row>
    <row r="1717" spans="1:16" ht="12.75" x14ac:dyDescent="0.35">
      <c r="A1717" s="7">
        <v>42481.950833333336</v>
      </c>
      <c r="B1717" s="8" t="str">
        <f>HYPERLINK("https://twitter.com/frimuellerfri","@frimuellerfri")</f>
        <v>@frimuellerfri</v>
      </c>
      <c r="C1717" s="9" t="s">
        <v>4505</v>
      </c>
      <c r="D1717" s="9" t="s">
        <v>4186</v>
      </c>
      <c r="E1717" s="10" t="str">
        <f>HYPERLINK("https://twitter.com/frimuellerfri/status/723199420741853184","723199420741853184")</f>
        <v>723199420741853184</v>
      </c>
      <c r="F1717" s="11" t="s">
        <v>20</v>
      </c>
      <c r="G1717" s="11">
        <v>54</v>
      </c>
      <c r="H1717" s="11">
        <v>147</v>
      </c>
      <c r="I1717" s="11">
        <v>10</v>
      </c>
      <c r="J1717" s="11">
        <v>0</v>
      </c>
      <c r="K1717" s="11" t="s">
        <v>21</v>
      </c>
      <c r="L1717" s="7">
        <v>40729.072708333333</v>
      </c>
      <c r="M1717" s="12"/>
      <c r="N1717" s="12"/>
      <c r="O1717" s="10" t="str">
        <f>HYPERLINK("https://abs.twimg.com/sticky/default_profile_images/default_profile_3_normal.png","View")</f>
        <v>View</v>
      </c>
      <c r="P1717" s="11"/>
    </row>
    <row r="1718" spans="1:16" ht="12.75" x14ac:dyDescent="0.35">
      <c r="A1718" s="7">
        <v>42481.950856481482</v>
      </c>
      <c r="B1718" s="8" t="str">
        <f t="shared" ref="B1718:B1719" si="147">HYPERLINK("https://twitter.com/mediaadgroup","@mediaadgroup")</f>
        <v>@mediaadgroup</v>
      </c>
      <c r="C1718" s="9" t="s">
        <v>4506</v>
      </c>
      <c r="D1718" s="9" t="s">
        <v>4490</v>
      </c>
      <c r="E1718" s="10" t="str">
        <f>HYPERLINK("https://twitter.com/mediaadgroup/status/723199428803227650","723199428803227650")</f>
        <v>723199428803227650</v>
      </c>
      <c r="F1718" s="11" t="s">
        <v>43</v>
      </c>
      <c r="G1718" s="11">
        <v>13126</v>
      </c>
      <c r="H1718" s="11">
        <v>14298</v>
      </c>
      <c r="I1718" s="11">
        <v>4</v>
      </c>
      <c r="J1718" s="11">
        <v>0</v>
      </c>
      <c r="K1718" s="11" t="s">
        <v>21</v>
      </c>
      <c r="L1718" s="7">
        <v>39983.387361111112</v>
      </c>
      <c r="M1718" s="12" t="s">
        <v>397</v>
      </c>
      <c r="N1718" s="12" t="s">
        <v>4507</v>
      </c>
      <c r="O1718" s="10" t="str">
        <f t="shared" ref="O1718:O1719" si="148">HYPERLINK("https://pbs.twimg.com/profile_images/651204715607273472/WO_LwRkF_normal.png","View")</f>
        <v>View</v>
      </c>
      <c r="P1718" s="11"/>
    </row>
    <row r="1719" spans="1:16" ht="12.75" x14ac:dyDescent="0.35">
      <c r="A1719" s="7">
        <v>42481.950914351852</v>
      </c>
      <c r="B1719" s="8" t="str">
        <f t="shared" si="147"/>
        <v>@mediaadgroup</v>
      </c>
      <c r="C1719" s="9" t="s">
        <v>4506</v>
      </c>
      <c r="D1719" s="9" t="s">
        <v>4493</v>
      </c>
      <c r="E1719" s="10" t="str">
        <f>HYPERLINK("https://twitter.com/mediaadgroup/status/723199446457012224","723199446457012224")</f>
        <v>723199446457012224</v>
      </c>
      <c r="F1719" s="11" t="s">
        <v>43</v>
      </c>
      <c r="G1719" s="11">
        <v>13126</v>
      </c>
      <c r="H1719" s="11">
        <v>14298</v>
      </c>
      <c r="I1719" s="11">
        <v>4</v>
      </c>
      <c r="J1719" s="11">
        <v>0</v>
      </c>
      <c r="K1719" s="11" t="s">
        <v>21</v>
      </c>
      <c r="L1719" s="7">
        <v>39983.387361111112</v>
      </c>
      <c r="M1719" s="12" t="s">
        <v>397</v>
      </c>
      <c r="N1719" s="12" t="s">
        <v>4507</v>
      </c>
      <c r="O1719" s="10" t="str">
        <f t="shared" si="148"/>
        <v>View</v>
      </c>
      <c r="P1719" s="11"/>
    </row>
    <row r="1720" spans="1:16" ht="12.75" x14ac:dyDescent="0.35">
      <c r="A1720" s="7">
        <v>42481.951018518521</v>
      </c>
      <c r="B1720" s="8" t="str">
        <f>HYPERLINK("https://twitter.com/sparzhick","@sparzhick")</f>
        <v>@sparzhick</v>
      </c>
      <c r="C1720" s="9" t="s">
        <v>4508</v>
      </c>
      <c r="D1720" s="9" t="s">
        <v>4509</v>
      </c>
      <c r="E1720" s="10" t="str">
        <f>HYPERLINK("https://twitter.com/sparzhick/status/723199484193165317","723199484193165317")</f>
        <v>723199484193165317</v>
      </c>
      <c r="F1720" s="11" t="s">
        <v>114</v>
      </c>
      <c r="G1720" s="11">
        <v>1</v>
      </c>
      <c r="H1720" s="11">
        <v>1</v>
      </c>
      <c r="I1720" s="11">
        <v>0</v>
      </c>
      <c r="J1720" s="11">
        <v>0</v>
      </c>
      <c r="K1720" s="11" t="s">
        <v>21</v>
      </c>
      <c r="L1720" s="7">
        <v>42481.948622685188</v>
      </c>
      <c r="M1720" s="12"/>
      <c r="N1720" s="12"/>
      <c r="O1720" s="10" t="str">
        <f>HYPERLINK("https://abs.twimg.com/sticky/default_profile_images/default_profile_2_normal.png","View")</f>
        <v>View</v>
      </c>
      <c r="P1720" s="11"/>
    </row>
    <row r="1721" spans="1:16" ht="12.75" x14ac:dyDescent="0.35">
      <c r="A1721" s="7">
        <v>42481.951111111106</v>
      </c>
      <c r="B1721" s="8" t="str">
        <f>HYPERLINK("https://twitter.com/mediaadgroup","@mediaadgroup")</f>
        <v>@mediaadgroup</v>
      </c>
      <c r="C1721" s="9" t="s">
        <v>4506</v>
      </c>
      <c r="D1721" s="9" t="s">
        <v>396</v>
      </c>
      <c r="E1721" s="10" t="str">
        <f>HYPERLINK("https://twitter.com/mediaadgroup/status/723199520914317313","723199520914317313")</f>
        <v>723199520914317313</v>
      </c>
      <c r="F1721" s="11" t="s">
        <v>43</v>
      </c>
      <c r="G1721" s="11">
        <v>13126</v>
      </c>
      <c r="H1721" s="11">
        <v>14298</v>
      </c>
      <c r="I1721" s="11">
        <v>10</v>
      </c>
      <c r="J1721" s="11">
        <v>0</v>
      </c>
      <c r="K1721" s="11" t="s">
        <v>21</v>
      </c>
      <c r="L1721" s="7">
        <v>39983.387361111112</v>
      </c>
      <c r="M1721" s="12" t="s">
        <v>397</v>
      </c>
      <c r="N1721" s="12" t="s">
        <v>4507</v>
      </c>
      <c r="O1721" s="10" t="str">
        <f>HYPERLINK("https://pbs.twimg.com/profile_images/651204715607273472/WO_LwRkF_normal.png","View")</f>
        <v>View</v>
      </c>
      <c r="P1721" s="11"/>
    </row>
    <row r="1722" spans="1:16" ht="12.75" x14ac:dyDescent="0.35">
      <c r="A1722" s="7">
        <v>42481.951157407406</v>
      </c>
      <c r="B1722" s="8" t="str">
        <f>HYPERLINK("https://twitter.com/keltenblick","@keltenblick")</f>
        <v>@keltenblick</v>
      </c>
      <c r="C1722" s="9" t="s">
        <v>4510</v>
      </c>
      <c r="D1722" s="9" t="s">
        <v>4511</v>
      </c>
      <c r="E1722" s="10" t="str">
        <f>HYPERLINK("https://twitter.com/keltenblick/status/723199534579474432","723199534579474432")</f>
        <v>723199534579474432</v>
      </c>
      <c r="F1722" s="11" t="s">
        <v>48</v>
      </c>
      <c r="G1722" s="11">
        <v>200</v>
      </c>
      <c r="H1722" s="11">
        <v>274</v>
      </c>
      <c r="I1722" s="11">
        <v>0</v>
      </c>
      <c r="J1722" s="11">
        <v>0</v>
      </c>
      <c r="K1722" s="11" t="s">
        <v>21</v>
      </c>
      <c r="L1722" s="7">
        <v>40616.97556712963</v>
      </c>
      <c r="M1722" s="12"/>
      <c r="N1722" s="12" t="s">
        <v>4512</v>
      </c>
      <c r="O1722" s="10" t="str">
        <f>HYPERLINK("https://pbs.twimg.com/profile_images/586434134093864962/91qQombL_normal.jpg","View")</f>
        <v>View</v>
      </c>
      <c r="P1722" s="11"/>
    </row>
    <row r="1723" spans="1:16" ht="12.75" x14ac:dyDescent="0.35">
      <c r="A1723" s="7">
        <v>42481.951168981483</v>
      </c>
      <c r="B1723" s="8" t="str">
        <f>HYPERLINK("https://twitter.com/mediaadgroup","@mediaadgroup")</f>
        <v>@mediaadgroup</v>
      </c>
      <c r="C1723" s="9" t="s">
        <v>4506</v>
      </c>
      <c r="D1723" s="9" t="s">
        <v>4513</v>
      </c>
      <c r="E1723" s="10" t="str">
        <f>HYPERLINK("https://twitter.com/mediaadgroup/status/723199538631069696","723199538631069696")</f>
        <v>723199538631069696</v>
      </c>
      <c r="F1723" s="11" t="s">
        <v>43</v>
      </c>
      <c r="G1723" s="11">
        <v>13126</v>
      </c>
      <c r="H1723" s="11">
        <v>14298</v>
      </c>
      <c r="I1723" s="11">
        <v>3</v>
      </c>
      <c r="J1723" s="11">
        <v>0</v>
      </c>
      <c r="K1723" s="11" t="s">
        <v>21</v>
      </c>
      <c r="L1723" s="7">
        <v>39983.387361111112</v>
      </c>
      <c r="M1723" s="12" t="s">
        <v>397</v>
      </c>
      <c r="N1723" s="12" t="s">
        <v>4507</v>
      </c>
      <c r="O1723" s="10" t="str">
        <f>HYPERLINK("https://pbs.twimg.com/profile_images/651204715607273472/WO_LwRkF_normal.png","View")</f>
        <v>View</v>
      </c>
      <c r="P1723" s="11"/>
    </row>
    <row r="1724" spans="1:16" ht="12.75" x14ac:dyDescent="0.35">
      <c r="A1724" s="7">
        <v>42481.95144675926</v>
      </c>
      <c r="B1724" s="8" t="str">
        <f>HYPERLINK("https://twitter.com/Histrius","@Histrius")</f>
        <v>@Histrius</v>
      </c>
      <c r="C1724" s="9" t="s">
        <v>4445</v>
      </c>
      <c r="D1724" s="9" t="s">
        <v>4514</v>
      </c>
      <c r="E1724" s="10" t="str">
        <f>HYPERLINK("https://twitter.com/Histrius/status/723199642318548992","723199642318548992")</f>
        <v>723199642318548992</v>
      </c>
      <c r="F1724" s="11" t="s">
        <v>91</v>
      </c>
      <c r="G1724" s="11">
        <v>444</v>
      </c>
      <c r="H1724" s="11">
        <v>440</v>
      </c>
      <c r="I1724" s="11">
        <v>0</v>
      </c>
      <c r="J1724" s="11">
        <v>0</v>
      </c>
      <c r="K1724" s="11" t="s">
        <v>21</v>
      </c>
      <c r="L1724" s="7">
        <v>41019.885416666664</v>
      </c>
      <c r="M1724" s="12"/>
      <c r="N1724" s="12" t="s">
        <v>4446</v>
      </c>
      <c r="O1724" s="10" t="str">
        <f>HYPERLINK("https://pbs.twimg.com/profile_images/378800000567040197/ebbaf357a1ef7aec1e1ad1ad0e246683_normal.jpeg","View")</f>
        <v>View</v>
      </c>
      <c r="P1724" s="11"/>
    </row>
    <row r="1725" spans="1:16" ht="12.75" x14ac:dyDescent="0.35">
      <c r="A1725" s="7">
        <v>42481.951608796298</v>
      </c>
      <c r="B1725" s="8" t="str">
        <f>HYPERLINK("https://twitter.com/djuewhan","@djuewhan")</f>
        <v>@djuewhan</v>
      </c>
      <c r="C1725" s="9" t="s">
        <v>4515</v>
      </c>
      <c r="D1725" s="9" t="s">
        <v>25</v>
      </c>
      <c r="E1725" s="10" t="str">
        <f>HYPERLINK("https://twitter.com/djuewhan/status/723199698828431360","723199698828431360")</f>
        <v>723199698828431360</v>
      </c>
      <c r="F1725" s="11" t="s">
        <v>160</v>
      </c>
      <c r="G1725" s="11">
        <v>138</v>
      </c>
      <c r="H1725" s="11">
        <v>98</v>
      </c>
      <c r="I1725" s="11">
        <v>95</v>
      </c>
      <c r="J1725" s="11">
        <v>0</v>
      </c>
      <c r="K1725" s="11" t="s">
        <v>21</v>
      </c>
      <c r="L1725" s="7">
        <v>39860.583738425928</v>
      </c>
      <c r="M1725" s="12" t="s">
        <v>4516</v>
      </c>
      <c r="N1725" s="12" t="s">
        <v>4517</v>
      </c>
      <c r="O1725" s="10" t="str">
        <f>HYPERLINK("https://pbs.twimg.com/profile_images/473560639651475456/3D0bsrWB_normal.jpeg","View")</f>
        <v>View</v>
      </c>
      <c r="P1725" s="11"/>
    </row>
    <row r="1726" spans="1:16" ht="12.75" x14ac:dyDescent="0.35">
      <c r="A1726" s="7">
        <v>42481.951666666668</v>
      </c>
      <c r="B1726" s="8" t="str">
        <f>HYPERLINK("https://twitter.com/Michael_Vasanth","@Michael_Vasanth")</f>
        <v>@Michael_Vasanth</v>
      </c>
      <c r="C1726" s="9" t="s">
        <v>772</v>
      </c>
      <c r="D1726" s="9" t="s">
        <v>4518</v>
      </c>
      <c r="E1726" s="10" t="str">
        <f>HYPERLINK("https://twitter.com/Michael_Vasanth/status/723199719963529216","723199719963529216")</f>
        <v>723199719963529216</v>
      </c>
      <c r="F1726" s="11" t="s">
        <v>68</v>
      </c>
      <c r="G1726" s="11">
        <v>1008</v>
      </c>
      <c r="H1726" s="11">
        <v>16</v>
      </c>
      <c r="I1726" s="11">
        <v>0</v>
      </c>
      <c r="J1726" s="11">
        <v>0</v>
      </c>
      <c r="K1726" s="11" t="s">
        <v>21</v>
      </c>
      <c r="L1726" s="7">
        <v>40198.917881944442</v>
      </c>
      <c r="M1726" s="12" t="s">
        <v>774</v>
      </c>
      <c r="N1726" s="12" t="s">
        <v>775</v>
      </c>
      <c r="O1726" s="10" t="str">
        <f>HYPERLINK("https://pbs.twimg.com/profile_images/693447250224087040/au64Cdjo_normal.jpg","View")</f>
        <v>View</v>
      </c>
      <c r="P1726" s="11"/>
    </row>
    <row r="1727" spans="1:16" ht="12.75" x14ac:dyDescent="0.35">
      <c r="A1727" s="7">
        <v>42481.951921296291</v>
      </c>
      <c r="B1727" s="8" t="str">
        <f t="shared" ref="B1727:B1728" si="149">HYPERLINK("https://twitter.com/SocialMAXorg","@SocialMAXorg")</f>
        <v>@SocialMAXorg</v>
      </c>
      <c r="C1727" s="9" t="s">
        <v>395</v>
      </c>
      <c r="D1727" s="9" t="s">
        <v>4490</v>
      </c>
      <c r="E1727" s="10" t="str">
        <f>HYPERLINK("https://twitter.com/SocialMAXorg/status/723199812191952896","723199812191952896")</f>
        <v>723199812191952896</v>
      </c>
      <c r="F1727" s="11" t="s">
        <v>43</v>
      </c>
      <c r="G1727" s="11">
        <v>34062</v>
      </c>
      <c r="H1727" s="11">
        <v>32688</v>
      </c>
      <c r="I1727" s="11">
        <v>4</v>
      </c>
      <c r="J1727" s="11">
        <v>0</v>
      </c>
      <c r="K1727" s="11" t="s">
        <v>21</v>
      </c>
      <c r="L1727" s="7">
        <v>41122.91946759259</v>
      </c>
      <c r="M1727" s="12" t="s">
        <v>397</v>
      </c>
      <c r="N1727" s="12" t="s">
        <v>398</v>
      </c>
      <c r="O1727" s="10" t="str">
        <f t="shared" ref="O1727:O1728" si="150">HYPERLINK("https://pbs.twimg.com/profile_images/675744269617893376/euzFIoRi_normal.png","View")</f>
        <v>View</v>
      </c>
      <c r="P1727" s="11"/>
    </row>
    <row r="1728" spans="1:16" ht="12.75" x14ac:dyDescent="0.35">
      <c r="A1728" s="7">
        <v>42481.951967592591</v>
      </c>
      <c r="B1728" s="8" t="str">
        <f t="shared" si="149"/>
        <v>@SocialMAXorg</v>
      </c>
      <c r="C1728" s="9" t="s">
        <v>395</v>
      </c>
      <c r="D1728" s="9" t="s">
        <v>4493</v>
      </c>
      <c r="E1728" s="10" t="str">
        <f>HYPERLINK("https://twitter.com/SocialMAXorg/status/723199829707382784","723199829707382784")</f>
        <v>723199829707382784</v>
      </c>
      <c r="F1728" s="11" t="s">
        <v>43</v>
      </c>
      <c r="G1728" s="11">
        <v>34062</v>
      </c>
      <c r="H1728" s="11">
        <v>32688</v>
      </c>
      <c r="I1728" s="11">
        <v>4</v>
      </c>
      <c r="J1728" s="11">
        <v>0</v>
      </c>
      <c r="K1728" s="11" t="s">
        <v>21</v>
      </c>
      <c r="L1728" s="7">
        <v>41122.91946759259</v>
      </c>
      <c r="M1728" s="12" t="s">
        <v>397</v>
      </c>
      <c r="N1728" s="12" t="s">
        <v>398</v>
      </c>
      <c r="O1728" s="10" t="str">
        <f t="shared" si="150"/>
        <v>View</v>
      </c>
      <c r="P1728" s="11"/>
    </row>
    <row r="1729" spans="1:16" ht="12.75" x14ac:dyDescent="0.35">
      <c r="A1729" s="7">
        <v>42481.952048611114</v>
      </c>
      <c r="B1729" s="8" t="str">
        <f>HYPERLINK("https://twitter.com/YakeLeiva","@YakeLeiva")</f>
        <v>@YakeLeiva</v>
      </c>
      <c r="C1729" s="9" t="s">
        <v>4519</v>
      </c>
      <c r="D1729" s="9" t="s">
        <v>2825</v>
      </c>
      <c r="E1729" s="10" t="str">
        <f>HYPERLINK("https://twitter.com/YakeLeiva/status/723199859042349057","723199859042349057")</f>
        <v>723199859042349057</v>
      </c>
      <c r="F1729" s="11" t="s">
        <v>43</v>
      </c>
      <c r="G1729" s="11">
        <v>1364</v>
      </c>
      <c r="H1729" s="11">
        <v>926</v>
      </c>
      <c r="I1729" s="11">
        <v>53</v>
      </c>
      <c r="J1729" s="11">
        <v>0</v>
      </c>
      <c r="K1729" s="11" t="s">
        <v>21</v>
      </c>
      <c r="L1729" s="7">
        <v>42276.228749999995</v>
      </c>
      <c r="M1729" s="12" t="s">
        <v>4520</v>
      </c>
      <c r="N1729" s="12" t="s">
        <v>4521</v>
      </c>
      <c r="O1729" s="10" t="str">
        <f>HYPERLINK("https://pbs.twimg.com/profile_images/719991250435371008/Hk0t_LL7_normal.jpg","View")</f>
        <v>View</v>
      </c>
      <c r="P1729" s="11"/>
    </row>
    <row r="1730" spans="1:16" ht="12.75" x14ac:dyDescent="0.35">
      <c r="A1730" s="7">
        <v>42481.952164351853</v>
      </c>
      <c r="B1730" s="8" t="str">
        <f>HYPERLINK("https://twitter.com/SocialMAXorg","@SocialMAXorg")</f>
        <v>@SocialMAXorg</v>
      </c>
      <c r="C1730" s="9" t="s">
        <v>395</v>
      </c>
      <c r="D1730" s="9" t="s">
        <v>4513</v>
      </c>
      <c r="E1730" s="10" t="str">
        <f>HYPERLINK("https://twitter.com/SocialMAXorg/status/723199902927351808","723199902927351808")</f>
        <v>723199902927351808</v>
      </c>
      <c r="F1730" s="11" t="s">
        <v>43</v>
      </c>
      <c r="G1730" s="11">
        <v>34062</v>
      </c>
      <c r="H1730" s="11">
        <v>32688</v>
      </c>
      <c r="I1730" s="11">
        <v>3</v>
      </c>
      <c r="J1730" s="11">
        <v>0</v>
      </c>
      <c r="K1730" s="11" t="s">
        <v>21</v>
      </c>
      <c r="L1730" s="7">
        <v>41122.91946759259</v>
      </c>
      <c r="M1730" s="12" t="s">
        <v>397</v>
      </c>
      <c r="N1730" s="12" t="s">
        <v>398</v>
      </c>
      <c r="O1730" s="10" t="str">
        <f>HYPERLINK("https://pbs.twimg.com/profile_images/675744269617893376/euzFIoRi_normal.png","View")</f>
        <v>View</v>
      </c>
      <c r="P1730" s="11"/>
    </row>
    <row r="1731" spans="1:16" ht="12.75" x14ac:dyDescent="0.35">
      <c r="A1731" s="7">
        <v>42481.952210648145</v>
      </c>
      <c r="B1731" s="8" t="str">
        <f>HYPERLINK("https://twitter.com/AlexWitzleben","@AlexWitzleben")</f>
        <v>@AlexWitzleben</v>
      </c>
      <c r="C1731" s="9" t="s">
        <v>1346</v>
      </c>
      <c r="D1731" s="9" t="s">
        <v>4522</v>
      </c>
      <c r="E1731" s="10" t="str">
        <f>HYPERLINK("https://twitter.com/AlexWitzleben/status/723199917087318017","723199917087318017")</f>
        <v>723199917087318017</v>
      </c>
      <c r="F1731" s="11" t="s">
        <v>193</v>
      </c>
      <c r="G1731" s="11">
        <v>1027</v>
      </c>
      <c r="H1731" s="11">
        <v>1000</v>
      </c>
      <c r="I1731" s="11">
        <v>0</v>
      </c>
      <c r="J1731" s="11">
        <v>1</v>
      </c>
      <c r="K1731" s="11" t="s">
        <v>21</v>
      </c>
      <c r="L1731" s="7">
        <v>40591.910462962966</v>
      </c>
      <c r="M1731" s="12" t="s">
        <v>1348</v>
      </c>
      <c r="N1731" s="12" t="s">
        <v>1349</v>
      </c>
      <c r="O1731" s="10" t="str">
        <f>HYPERLINK("https://pbs.twimg.com/profile_images/1913087124/AvW_website_normal.jpg","View")</f>
        <v>View</v>
      </c>
      <c r="P1731" s="11"/>
    </row>
    <row r="1732" spans="1:16" ht="12.75" x14ac:dyDescent="0.35">
      <c r="A1732" s="7">
        <v>42481.952546296292</v>
      </c>
      <c r="B1732" s="8" t="str">
        <f>HYPERLINK("https://twitter.com/et_angel","@et_angel")</f>
        <v>@et_angel</v>
      </c>
      <c r="C1732" s="9" t="s">
        <v>4523</v>
      </c>
      <c r="D1732" s="9" t="s">
        <v>4524</v>
      </c>
      <c r="E1732" s="10" t="str">
        <f>HYPERLINK("https://twitter.com/et_angel/status/723200040345415680","723200040345415680")</f>
        <v>723200040345415680</v>
      </c>
      <c r="F1732" s="11" t="s">
        <v>20</v>
      </c>
      <c r="G1732" s="11">
        <v>2</v>
      </c>
      <c r="H1732" s="11">
        <v>8</v>
      </c>
      <c r="I1732" s="11">
        <v>1</v>
      </c>
      <c r="J1732" s="11">
        <v>0</v>
      </c>
      <c r="K1732" s="11" t="s">
        <v>21</v>
      </c>
      <c r="L1732" s="7">
        <v>40880.694340277776</v>
      </c>
      <c r="M1732" s="12"/>
      <c r="N1732" s="12"/>
      <c r="O1732" s="10" t="str">
        <f>HYPERLINK("https://pbs.twimg.com/profile_images/1708557159/Pic_normal.jpg","View")</f>
        <v>View</v>
      </c>
      <c r="P1732" s="11"/>
    </row>
    <row r="1733" spans="1:16" ht="12.75" x14ac:dyDescent="0.35">
      <c r="A1733" s="7">
        <v>42481.952662037038</v>
      </c>
      <c r="B1733" s="8" t="str">
        <f>HYPERLINK("https://twitter.com/MelaniePattyn","@MelaniePattyn")</f>
        <v>@MelaniePattyn</v>
      </c>
      <c r="C1733" s="9" t="s">
        <v>4525</v>
      </c>
      <c r="D1733" s="9" t="s">
        <v>1151</v>
      </c>
      <c r="E1733" s="10" t="str">
        <f>HYPERLINK("https://twitter.com/MelaniePattyn/status/723200080845611008","723200080845611008")</f>
        <v>723200080845611008</v>
      </c>
      <c r="F1733" s="11" t="s">
        <v>48</v>
      </c>
      <c r="G1733" s="11">
        <v>39</v>
      </c>
      <c r="H1733" s="11">
        <v>64</v>
      </c>
      <c r="I1733" s="11">
        <v>7</v>
      </c>
      <c r="J1733" s="11">
        <v>0</v>
      </c>
      <c r="K1733" s="11" t="s">
        <v>21</v>
      </c>
      <c r="L1733" s="7">
        <v>41997.073263888888</v>
      </c>
      <c r="M1733" s="12"/>
      <c r="N1733" s="12" t="s">
        <v>4526</v>
      </c>
      <c r="O1733" s="10" t="str">
        <f>HYPERLINK("https://pbs.twimg.com/profile_images/710575737091321856/xBR1U0rT_normal.jpg","View")</f>
        <v>View</v>
      </c>
      <c r="P1733" s="11"/>
    </row>
    <row r="1734" spans="1:16" ht="12.75" x14ac:dyDescent="0.35">
      <c r="A1734" s="7">
        <v>42481.952696759261</v>
      </c>
      <c r="B1734" s="8" t="str">
        <f>HYPERLINK("https://twitter.com/JoseIPalomo","@JoseIPalomo")</f>
        <v>@JoseIPalomo</v>
      </c>
      <c r="C1734" s="9" t="s">
        <v>4527</v>
      </c>
      <c r="D1734" s="9" t="s">
        <v>1996</v>
      </c>
      <c r="E1734" s="10" t="str">
        <f>HYPERLINK("https://twitter.com/JoseIPalomo/status/723200095538257920","723200095538257920")</f>
        <v>723200095538257920</v>
      </c>
      <c r="F1734" s="11" t="s">
        <v>48</v>
      </c>
      <c r="G1734" s="11">
        <v>32</v>
      </c>
      <c r="H1734" s="11">
        <v>43</v>
      </c>
      <c r="I1734" s="11">
        <v>5</v>
      </c>
      <c r="J1734" s="11">
        <v>0</v>
      </c>
      <c r="K1734" s="11" t="s">
        <v>21</v>
      </c>
      <c r="L1734" s="7">
        <v>41084.584062499998</v>
      </c>
      <c r="M1734" s="12" t="s">
        <v>4528</v>
      </c>
      <c r="N1734" s="12" t="s">
        <v>4529</v>
      </c>
      <c r="O1734" s="10" t="str">
        <f>HYPERLINK("https://pbs.twimg.com/profile_images/2336838264/_DSC0861_normal.JPG","View")</f>
        <v>View</v>
      </c>
      <c r="P1734" s="11"/>
    </row>
    <row r="1735" spans="1:16" ht="12.75" x14ac:dyDescent="0.35">
      <c r="A1735" s="7">
        <v>42481.952881944446</v>
      </c>
      <c r="B1735" s="8" t="str">
        <f>HYPERLINK("https://twitter.com/WowbaggerXX7","@WowbaggerXX7")</f>
        <v>@WowbaggerXX7</v>
      </c>
      <c r="C1735" s="9" t="s">
        <v>2988</v>
      </c>
      <c r="D1735" s="9" t="s">
        <v>4530</v>
      </c>
      <c r="E1735" s="10" t="str">
        <f>HYPERLINK("https://twitter.com/WowbaggerXX7/status/723200162311471104","723200162311471104")</f>
        <v>723200162311471104</v>
      </c>
      <c r="F1735" s="11" t="s">
        <v>43</v>
      </c>
      <c r="G1735" s="11">
        <v>106</v>
      </c>
      <c r="H1735" s="11">
        <v>200</v>
      </c>
      <c r="I1735" s="11">
        <v>0</v>
      </c>
      <c r="J1735" s="11">
        <v>0</v>
      </c>
      <c r="K1735" s="11" t="s">
        <v>21</v>
      </c>
      <c r="L1735" s="7">
        <v>40878.039513888885</v>
      </c>
      <c r="M1735" s="12"/>
      <c r="N1735" s="12" t="s">
        <v>2990</v>
      </c>
      <c r="O1735" s="10" t="str">
        <f>HYPERLINK("https://pbs.twimg.com/profile_images/543163066599219200/dUy-AYOX_normal.jpeg","View")</f>
        <v>View</v>
      </c>
      <c r="P1735" s="11"/>
    </row>
    <row r="1736" spans="1:16" ht="12.75" x14ac:dyDescent="0.35">
      <c r="A1736" s="7">
        <v>42481.952951388885</v>
      </c>
      <c r="B1736" s="8" t="str">
        <f>HYPERLINK("https://twitter.com/44cuneyt44","@44cuneyt44")</f>
        <v>@44cuneyt44</v>
      </c>
      <c r="C1736" s="9" t="s">
        <v>4531</v>
      </c>
      <c r="D1736" s="9" t="s">
        <v>4532</v>
      </c>
      <c r="E1736" s="10" t="str">
        <f>HYPERLINK("https://twitter.com/44cuneyt44/status/723200186047148032","723200186047148032")</f>
        <v>723200186047148032</v>
      </c>
      <c r="F1736" s="11" t="s">
        <v>48</v>
      </c>
      <c r="G1736" s="11">
        <v>20</v>
      </c>
      <c r="H1736" s="11">
        <v>49</v>
      </c>
      <c r="I1736" s="11">
        <v>5</v>
      </c>
      <c r="J1736" s="11">
        <v>0</v>
      </c>
      <c r="K1736" s="11" t="s">
        <v>21</v>
      </c>
      <c r="L1736" s="7">
        <v>42463.457627314812</v>
      </c>
      <c r="M1736" s="12" t="s">
        <v>4533</v>
      </c>
      <c r="N1736" s="12"/>
      <c r="O1736" s="10" t="str">
        <f>HYPERLINK("https://pbs.twimg.com/profile_images/718862192804831232/GtfxmtpL_normal.jpg","View")</f>
        <v>View</v>
      </c>
      <c r="P1736" s="11"/>
    </row>
    <row r="1737" spans="1:16" ht="12.75" x14ac:dyDescent="0.35">
      <c r="A1737" s="7">
        <v>42481.953460648147</v>
      </c>
      <c r="B1737" s="8" t="str">
        <f>HYPERLINK("https://twitter.com/MarylandPIRG","@MarylandPIRG")</f>
        <v>@MarylandPIRG</v>
      </c>
      <c r="C1737" s="9" t="s">
        <v>4534</v>
      </c>
      <c r="D1737" s="9" t="s">
        <v>3616</v>
      </c>
      <c r="E1737" s="10" t="str">
        <f>HYPERLINK("https://twitter.com/MarylandPIRG/status/723200371896782848","723200371896782848")</f>
        <v>723200371896782848</v>
      </c>
      <c r="F1737" s="11" t="s">
        <v>152</v>
      </c>
      <c r="G1737" s="11">
        <v>378</v>
      </c>
      <c r="H1737" s="11">
        <v>435</v>
      </c>
      <c r="I1737" s="11">
        <v>3</v>
      </c>
      <c r="J1737" s="11">
        <v>0</v>
      </c>
      <c r="K1737" s="11" t="s">
        <v>21</v>
      </c>
      <c r="L1737" s="7">
        <v>41366.895266203705</v>
      </c>
      <c r="M1737" s="12"/>
      <c r="N1737" s="12" t="s">
        <v>4535</v>
      </c>
      <c r="O1737" s="10" t="str">
        <f>HYPERLINK("https://pbs.twimg.com/profile_images/3699617939/8efaf21ccb2c1c45462210652dea40c3_normal.png","View")</f>
        <v>View</v>
      </c>
      <c r="P1737" s="11"/>
    </row>
    <row r="1738" spans="1:16" ht="12.75" x14ac:dyDescent="0.35">
      <c r="A1738" s="7">
        <v>42481.953587962962</v>
      </c>
      <c r="B1738" s="8" t="str">
        <f t="shared" ref="B1738:B1741" si="151">HYPERLINK("https://twitter.com/DiscountBomb","@DiscountBomb")</f>
        <v>@DiscountBomb</v>
      </c>
      <c r="C1738" s="8" t="s">
        <v>4536</v>
      </c>
      <c r="D1738" s="9" t="s">
        <v>4490</v>
      </c>
      <c r="E1738" s="10" t="str">
        <f>HYPERLINK("https://twitter.com/DiscountBomb/status/723200415530000384","723200415530000384")</f>
        <v>723200415530000384</v>
      </c>
      <c r="F1738" s="11" t="s">
        <v>43</v>
      </c>
      <c r="G1738" s="11">
        <v>28590</v>
      </c>
      <c r="H1738" s="11">
        <v>29573</v>
      </c>
      <c r="I1738" s="11">
        <v>4</v>
      </c>
      <c r="J1738" s="11">
        <v>0</v>
      </c>
      <c r="K1738" s="11" t="s">
        <v>21</v>
      </c>
      <c r="L1738" s="7">
        <v>40838.934918981482</v>
      </c>
      <c r="M1738" s="12" t="s">
        <v>305</v>
      </c>
      <c r="N1738" s="12" t="s">
        <v>4537</v>
      </c>
      <c r="O1738" s="10" t="str">
        <f t="shared" ref="O1738:O1741" si="152">HYPERLINK("https://pbs.twimg.com/profile_images/2709204996/b880460acdc869254288bfc2187d0176_normal.jpeg","View")</f>
        <v>View</v>
      </c>
      <c r="P1738" s="11"/>
    </row>
    <row r="1739" spans="1:16" ht="12.75" x14ac:dyDescent="0.35">
      <c r="A1739" s="7">
        <v>42481.953634259262</v>
      </c>
      <c r="B1739" s="8" t="str">
        <f t="shared" si="151"/>
        <v>@DiscountBomb</v>
      </c>
      <c r="C1739" s="8" t="s">
        <v>4536</v>
      </c>
      <c r="D1739" s="9" t="s">
        <v>4493</v>
      </c>
      <c r="E1739" s="10" t="str">
        <f>HYPERLINK("https://twitter.com/DiscountBomb/status/723200434215624705","723200434215624705")</f>
        <v>723200434215624705</v>
      </c>
      <c r="F1739" s="11" t="s">
        <v>43</v>
      </c>
      <c r="G1739" s="11">
        <v>28590</v>
      </c>
      <c r="H1739" s="11">
        <v>29573</v>
      </c>
      <c r="I1739" s="11">
        <v>4</v>
      </c>
      <c r="J1739" s="11">
        <v>0</v>
      </c>
      <c r="K1739" s="11" t="s">
        <v>21</v>
      </c>
      <c r="L1739" s="7">
        <v>40838.934918981482</v>
      </c>
      <c r="M1739" s="12" t="s">
        <v>305</v>
      </c>
      <c r="N1739" s="12" t="s">
        <v>4537</v>
      </c>
      <c r="O1739" s="10" t="str">
        <f t="shared" si="152"/>
        <v>View</v>
      </c>
      <c r="P1739" s="11"/>
    </row>
    <row r="1740" spans="1:16" ht="12.75" x14ac:dyDescent="0.35">
      <c r="A1740" s="7">
        <v>42481.953819444447</v>
      </c>
      <c r="B1740" s="8" t="str">
        <f t="shared" si="151"/>
        <v>@DiscountBomb</v>
      </c>
      <c r="C1740" s="8" t="s">
        <v>4536</v>
      </c>
      <c r="D1740" s="9" t="s">
        <v>396</v>
      </c>
      <c r="E1740" s="10" t="str">
        <f>HYPERLINK("https://twitter.com/DiscountBomb/status/723200502209470464","723200502209470464")</f>
        <v>723200502209470464</v>
      </c>
      <c r="F1740" s="11" t="s">
        <v>43</v>
      </c>
      <c r="G1740" s="11">
        <v>28590</v>
      </c>
      <c r="H1740" s="11">
        <v>29573</v>
      </c>
      <c r="I1740" s="11">
        <v>10</v>
      </c>
      <c r="J1740" s="11">
        <v>0</v>
      </c>
      <c r="K1740" s="11" t="s">
        <v>21</v>
      </c>
      <c r="L1740" s="7">
        <v>40838.934918981482</v>
      </c>
      <c r="M1740" s="12" t="s">
        <v>305</v>
      </c>
      <c r="N1740" s="12" t="s">
        <v>4537</v>
      </c>
      <c r="O1740" s="10" t="str">
        <f t="shared" si="152"/>
        <v>View</v>
      </c>
      <c r="P1740" s="11"/>
    </row>
    <row r="1741" spans="1:16" ht="12.75" x14ac:dyDescent="0.35">
      <c r="A1741" s="7">
        <v>42481.953865740739</v>
      </c>
      <c r="B1741" s="8" t="str">
        <f t="shared" si="151"/>
        <v>@DiscountBomb</v>
      </c>
      <c r="C1741" s="8" t="s">
        <v>4536</v>
      </c>
      <c r="D1741" s="9" t="s">
        <v>4513</v>
      </c>
      <c r="E1741" s="10" t="str">
        <f>HYPERLINK("https://twitter.com/DiscountBomb/status/723200518382718976","723200518382718976")</f>
        <v>723200518382718976</v>
      </c>
      <c r="F1741" s="11" t="s">
        <v>43</v>
      </c>
      <c r="G1741" s="11">
        <v>28590</v>
      </c>
      <c r="H1741" s="11">
        <v>29573</v>
      </c>
      <c r="I1741" s="11">
        <v>3</v>
      </c>
      <c r="J1741" s="11">
        <v>0</v>
      </c>
      <c r="K1741" s="11" t="s">
        <v>21</v>
      </c>
      <c r="L1741" s="7">
        <v>40838.934918981482</v>
      </c>
      <c r="M1741" s="12" t="s">
        <v>305</v>
      </c>
      <c r="N1741" s="12" t="s">
        <v>4537</v>
      </c>
      <c r="O1741" s="10" t="str">
        <f t="shared" si="152"/>
        <v>View</v>
      </c>
      <c r="P1741" s="11"/>
    </row>
    <row r="1742" spans="1:16" ht="12.75" x14ac:dyDescent="0.35">
      <c r="A1742" s="7">
        <v>42481.95413194444</v>
      </c>
      <c r="B1742" s="8" t="str">
        <f>HYPERLINK("https://twitter.com/AlexWitzleben","@AlexWitzleben")</f>
        <v>@AlexWitzleben</v>
      </c>
      <c r="C1742" s="9" t="s">
        <v>1346</v>
      </c>
      <c r="D1742" s="9" t="s">
        <v>4538</v>
      </c>
      <c r="E1742" s="10" t="str">
        <f>HYPERLINK("https://twitter.com/AlexWitzleben/status/723200612842635264","723200612842635264")</f>
        <v>723200612842635264</v>
      </c>
      <c r="F1742" s="11" t="s">
        <v>193</v>
      </c>
      <c r="G1742" s="11">
        <v>1027</v>
      </c>
      <c r="H1742" s="11">
        <v>1000</v>
      </c>
      <c r="I1742" s="11">
        <v>0</v>
      </c>
      <c r="J1742" s="11">
        <v>0</v>
      </c>
      <c r="K1742" s="11" t="s">
        <v>21</v>
      </c>
      <c r="L1742" s="7">
        <v>40591.910462962966</v>
      </c>
      <c r="M1742" s="12" t="s">
        <v>1348</v>
      </c>
      <c r="N1742" s="12" t="s">
        <v>1349</v>
      </c>
      <c r="O1742" s="10" t="str">
        <f>HYPERLINK("https://pbs.twimg.com/profile_images/1913087124/AvW_website_normal.jpg","View")</f>
        <v>View</v>
      </c>
      <c r="P1742" s="11"/>
    </row>
    <row r="1743" spans="1:16" ht="12.75" x14ac:dyDescent="0.35">
      <c r="A1743" s="7">
        <v>42481.954293981486</v>
      </c>
      <c r="B1743" s="8" t="str">
        <f t="shared" ref="B1743:B1744" si="153">HYPERLINK("https://twitter.com/beetlebug1938","@beetlebug1938")</f>
        <v>@beetlebug1938</v>
      </c>
      <c r="C1743" s="9" t="s">
        <v>66</v>
      </c>
      <c r="D1743" s="9" t="s">
        <v>4539</v>
      </c>
      <c r="E1743" s="10" t="str">
        <f>HYPERLINK("https://twitter.com/beetlebug1938/status/723200673488220160","723200673488220160")</f>
        <v>723200673488220160</v>
      </c>
      <c r="F1743" s="11" t="s">
        <v>68</v>
      </c>
      <c r="G1743" s="11">
        <v>346</v>
      </c>
      <c r="H1743" s="11">
        <v>2222</v>
      </c>
      <c r="I1743" s="11">
        <v>0</v>
      </c>
      <c r="J1743" s="11">
        <v>1</v>
      </c>
      <c r="K1743" s="11" t="s">
        <v>21</v>
      </c>
      <c r="L1743" s="7">
        <v>42469.863865740743</v>
      </c>
      <c r="M1743" s="12" t="s">
        <v>69</v>
      </c>
      <c r="N1743" s="12"/>
      <c r="O1743" s="10" t="str">
        <f t="shared" ref="O1743:O1744" si="154">HYPERLINK("https://pbs.twimg.com/profile_images/718820712757215233/LXXndPTS_normal.jpg","View")</f>
        <v>View</v>
      </c>
      <c r="P1743" s="11"/>
    </row>
    <row r="1744" spans="1:16" ht="12.75" x14ac:dyDescent="0.35">
      <c r="A1744" s="7">
        <v>42481.954340277778</v>
      </c>
      <c r="B1744" s="8" t="str">
        <f t="shared" si="153"/>
        <v>@beetlebug1938</v>
      </c>
      <c r="C1744" s="9" t="s">
        <v>66</v>
      </c>
      <c r="D1744" s="9" t="s">
        <v>4540</v>
      </c>
      <c r="E1744" s="10" t="str">
        <f>HYPERLINK("https://twitter.com/beetlebug1938/status/723200689342652416","723200689342652416")</f>
        <v>723200689342652416</v>
      </c>
      <c r="F1744" s="11" t="s">
        <v>68</v>
      </c>
      <c r="G1744" s="11">
        <v>346</v>
      </c>
      <c r="H1744" s="11">
        <v>2222</v>
      </c>
      <c r="I1744" s="11">
        <v>0</v>
      </c>
      <c r="J1744" s="11">
        <v>0</v>
      </c>
      <c r="K1744" s="11" t="s">
        <v>21</v>
      </c>
      <c r="L1744" s="7">
        <v>42469.863865740743</v>
      </c>
      <c r="M1744" s="12" t="s">
        <v>69</v>
      </c>
      <c r="N1744" s="12"/>
      <c r="O1744" s="10" t="str">
        <f t="shared" si="154"/>
        <v>View</v>
      </c>
      <c r="P1744" s="11"/>
    </row>
    <row r="1745" spans="1:16" ht="12.75" x14ac:dyDescent="0.35">
      <c r="A1745" s="7">
        <v>42481.954398148147</v>
      </c>
      <c r="B1745" s="8" t="str">
        <f>HYPERLINK("https://twitter.com/roansub","@roansub")</f>
        <v>@roansub</v>
      </c>
      <c r="C1745" s="9" t="s">
        <v>4541</v>
      </c>
      <c r="D1745" s="9" t="s">
        <v>4542</v>
      </c>
      <c r="E1745" s="10" t="str">
        <f>HYPERLINK("https://twitter.com/roansub/status/723200709253042177","723200709253042177")</f>
        <v>723200709253042177</v>
      </c>
      <c r="F1745" s="11" t="s">
        <v>48</v>
      </c>
      <c r="G1745" s="11">
        <v>209</v>
      </c>
      <c r="H1745" s="11">
        <v>168</v>
      </c>
      <c r="I1745" s="11">
        <v>0</v>
      </c>
      <c r="J1745" s="11">
        <v>0</v>
      </c>
      <c r="K1745" s="11" t="s">
        <v>21</v>
      </c>
      <c r="L1745" s="7">
        <v>40573.872129629628</v>
      </c>
      <c r="M1745" s="12"/>
      <c r="N1745" s="12" t="s">
        <v>4543</v>
      </c>
      <c r="O1745" s="10" t="str">
        <f>HYPERLINK("https://pbs.twimg.com/profile_images/638973360169463808/YEbGEWne_normal.jpg","View")</f>
        <v>View</v>
      </c>
      <c r="P1745" s="11"/>
    </row>
    <row r="1746" spans="1:16" ht="12.75" x14ac:dyDescent="0.35">
      <c r="A1746" s="7">
        <v>42481.954548611116</v>
      </c>
      <c r="B1746" s="8" t="str">
        <f>HYPERLINK("https://twitter.com/beetlebug1938","@beetlebug1938")</f>
        <v>@beetlebug1938</v>
      </c>
      <c r="C1746" s="9" t="s">
        <v>66</v>
      </c>
      <c r="D1746" s="9" t="s">
        <v>4544</v>
      </c>
      <c r="E1746" s="10" t="str">
        <f>HYPERLINK("https://twitter.com/beetlebug1938/status/723200764030623744","723200764030623744")</f>
        <v>723200764030623744</v>
      </c>
      <c r="F1746" s="11" t="s">
        <v>68</v>
      </c>
      <c r="G1746" s="11">
        <v>346</v>
      </c>
      <c r="H1746" s="11">
        <v>2222</v>
      </c>
      <c r="I1746" s="11">
        <v>0</v>
      </c>
      <c r="J1746" s="11">
        <v>1</v>
      </c>
      <c r="K1746" s="11" t="s">
        <v>21</v>
      </c>
      <c r="L1746" s="7">
        <v>42469.863865740743</v>
      </c>
      <c r="M1746" s="12" t="s">
        <v>69</v>
      </c>
      <c r="N1746" s="12"/>
      <c r="O1746" s="10" t="str">
        <f>HYPERLINK("https://pbs.twimg.com/profile_images/718820712757215233/LXXndPTS_normal.jpg","View")</f>
        <v>View</v>
      </c>
      <c r="P1746" s="11"/>
    </row>
    <row r="1747" spans="1:16" ht="12.75" x14ac:dyDescent="0.35">
      <c r="A1747" s="7">
        <v>42481.954687500001</v>
      </c>
      <c r="B1747" s="8" t="str">
        <f>HYPERLINK("https://twitter.com/Holdensmum","@Holdensmum")</f>
        <v>@Holdensmum</v>
      </c>
      <c r="C1747" s="9" t="s">
        <v>4545</v>
      </c>
      <c r="D1747" s="9" t="s">
        <v>4546</v>
      </c>
      <c r="E1747" s="10" t="str">
        <f>HYPERLINK("https://twitter.com/Holdensmum/status/723200816274792449","723200816274792449")</f>
        <v>723200816274792449</v>
      </c>
      <c r="F1747" s="11" t="s">
        <v>43</v>
      </c>
      <c r="G1747" s="11">
        <v>229</v>
      </c>
      <c r="H1747" s="11">
        <v>558</v>
      </c>
      <c r="I1747" s="11">
        <v>0</v>
      </c>
      <c r="J1747" s="11">
        <v>0</v>
      </c>
      <c r="K1747" s="11" t="s">
        <v>21</v>
      </c>
      <c r="L1747" s="7">
        <v>39912.22997685185</v>
      </c>
      <c r="M1747" s="12" t="s">
        <v>4547</v>
      </c>
      <c r="N1747" s="12" t="s">
        <v>4548</v>
      </c>
      <c r="O1747" s="10" t="str">
        <f>HYPERLINK("https://pbs.twimg.com/profile_images/651206534425280518/pG33UzgX_normal.png","View")</f>
        <v>View</v>
      </c>
      <c r="P1747" s="11"/>
    </row>
    <row r="1748" spans="1:16" ht="12.75" x14ac:dyDescent="0.35">
      <c r="A1748" s="7">
        <v>42481.955543981487</v>
      </c>
      <c r="B1748" s="8" t="str">
        <f>HYPERLINK("https://twitter.com/roansub","@roansub")</f>
        <v>@roansub</v>
      </c>
      <c r="C1748" s="9" t="s">
        <v>4541</v>
      </c>
      <c r="D1748" s="9" t="s">
        <v>4549</v>
      </c>
      <c r="E1748" s="10" t="str">
        <f>HYPERLINK("https://twitter.com/roansub/status/723201127714557952","723201127714557952")</f>
        <v>723201127714557952</v>
      </c>
      <c r="F1748" s="11" t="s">
        <v>48</v>
      </c>
      <c r="G1748" s="11">
        <v>209</v>
      </c>
      <c r="H1748" s="11">
        <v>168</v>
      </c>
      <c r="I1748" s="11">
        <v>0</v>
      </c>
      <c r="J1748" s="11">
        <v>0</v>
      </c>
      <c r="K1748" s="11" t="s">
        <v>21</v>
      </c>
      <c r="L1748" s="7">
        <v>40573.872129629628</v>
      </c>
      <c r="M1748" s="12"/>
      <c r="N1748" s="12" t="s">
        <v>4543</v>
      </c>
      <c r="O1748" s="10" t="str">
        <f>HYPERLINK("https://pbs.twimg.com/profile_images/638973360169463808/YEbGEWne_normal.jpg","View")</f>
        <v>View</v>
      </c>
      <c r="P1748" s="11"/>
    </row>
    <row r="1749" spans="1:16" ht="12.75" x14ac:dyDescent="0.35">
      <c r="A1749" s="7">
        <v>42481.956203703703</v>
      </c>
      <c r="B1749" s="8" t="str">
        <f>HYPERLINK("https://twitter.com/cbctom","@cbctom")</f>
        <v>@cbctom</v>
      </c>
      <c r="C1749" s="9" t="s">
        <v>4550</v>
      </c>
      <c r="D1749" s="9" t="s">
        <v>4551</v>
      </c>
      <c r="E1749" s="10" t="str">
        <f>HYPERLINK("https://twitter.com/cbctom/status/723201364675842048","723201364675842048")</f>
        <v>723201364675842048</v>
      </c>
      <c r="F1749" s="11" t="s">
        <v>43</v>
      </c>
      <c r="G1749" s="11">
        <v>10667</v>
      </c>
      <c r="H1749" s="11">
        <v>819</v>
      </c>
      <c r="I1749" s="11">
        <v>0</v>
      </c>
      <c r="J1749" s="11">
        <v>0</v>
      </c>
      <c r="K1749" s="11" t="s">
        <v>21</v>
      </c>
      <c r="L1749" s="7">
        <v>39904.004317129627</v>
      </c>
      <c r="M1749" s="12" t="s">
        <v>148</v>
      </c>
      <c r="N1749" s="12" t="s">
        <v>4552</v>
      </c>
      <c r="O1749" s="10" t="str">
        <f>HYPERLINK("https://pbs.twimg.com/profile_images/683703222498922496/YeDVfLUB_normal.jpg","View")</f>
        <v>View</v>
      </c>
      <c r="P1749" s="11"/>
    </row>
    <row r="1750" spans="1:16" ht="12.75" x14ac:dyDescent="0.35">
      <c r="A1750" s="7">
        <v>42481.956365740742</v>
      </c>
      <c r="B1750" s="8" t="str">
        <f>HYPERLINK("https://twitter.com/mocai01","@mocai01")</f>
        <v>@mocai01</v>
      </c>
      <c r="C1750" s="9" t="s">
        <v>4553</v>
      </c>
      <c r="D1750" s="9" t="s">
        <v>3584</v>
      </c>
      <c r="E1750" s="10" t="str">
        <f>HYPERLINK("https://twitter.com/mocai01/status/723201422066520066","723201422066520066")</f>
        <v>723201422066520066</v>
      </c>
      <c r="F1750" s="11" t="s">
        <v>43</v>
      </c>
      <c r="G1750" s="11">
        <v>1261</v>
      </c>
      <c r="H1750" s="11">
        <v>1029</v>
      </c>
      <c r="I1750" s="11">
        <v>9</v>
      </c>
      <c r="J1750" s="11">
        <v>0</v>
      </c>
      <c r="K1750" s="11" t="s">
        <v>21</v>
      </c>
      <c r="L1750" s="7">
        <v>39546.293298611112</v>
      </c>
      <c r="M1750" s="12" t="s">
        <v>2899</v>
      </c>
      <c r="N1750" s="12" t="s">
        <v>4554</v>
      </c>
      <c r="O1750" s="10" t="str">
        <f>HYPERLINK("https://pbs.twimg.com/profile_images/3783845470/cb33c7debb71738617c005e666ba5db4_normal.jpeg","View")</f>
        <v>View</v>
      </c>
      <c r="P1750" s="11"/>
    </row>
    <row r="1751" spans="1:16" ht="12.75" x14ac:dyDescent="0.35">
      <c r="A1751" s="7">
        <v>42481.95857638889</v>
      </c>
      <c r="B1751" s="8" t="str">
        <f>HYPERLINK("https://twitter.com/HGrezlakTLI","@HGrezlakTLI")</f>
        <v>@HGrezlakTLI</v>
      </c>
      <c r="C1751" s="9" t="s">
        <v>4555</v>
      </c>
      <c r="D1751" s="9" t="s">
        <v>4367</v>
      </c>
      <c r="E1751" s="10" t="str">
        <f>HYPERLINK("https://twitter.com/HGrezlakTLI/status/723202223258226688","723202223258226688")</f>
        <v>723202223258226688</v>
      </c>
      <c r="F1751" s="11" t="s">
        <v>43</v>
      </c>
      <c r="G1751" s="11">
        <v>1444</v>
      </c>
      <c r="H1751" s="11">
        <v>1105</v>
      </c>
      <c r="I1751" s="11">
        <v>2</v>
      </c>
      <c r="J1751" s="11">
        <v>0</v>
      </c>
      <c r="K1751" s="11" t="s">
        <v>21</v>
      </c>
      <c r="L1751" s="7">
        <v>40646.791574074072</v>
      </c>
      <c r="M1751" s="12" t="s">
        <v>4094</v>
      </c>
      <c r="N1751" s="12" t="s">
        <v>4556</v>
      </c>
      <c r="O1751" s="10" t="str">
        <f>HYPERLINK("https://pbs.twimg.com/profile_images/639507393508864000/PGKDu8Bt_normal.jpg","View")</f>
        <v>View</v>
      </c>
      <c r="P1751" s="11"/>
    </row>
    <row r="1752" spans="1:16" ht="12.75" x14ac:dyDescent="0.35">
      <c r="A1752" s="7">
        <v>42481.959131944444</v>
      </c>
      <c r="B1752" s="8" t="str">
        <f>HYPERLINK("https://twitter.com/DialogueFirst","@DialogueFirst")</f>
        <v>@DialogueFirst</v>
      </c>
      <c r="C1752" s="9" t="s">
        <v>4557</v>
      </c>
      <c r="D1752" s="9" t="s">
        <v>4558</v>
      </c>
      <c r="E1752" s="10" t="str">
        <f>HYPERLINK("https://twitter.com/DialogueFirst/status/723202424765181954","723202424765181954")</f>
        <v>723202424765181954</v>
      </c>
      <c r="F1752" s="11" t="s">
        <v>43</v>
      </c>
      <c r="G1752" s="11">
        <v>425</v>
      </c>
      <c r="H1752" s="11">
        <v>1471</v>
      </c>
      <c r="I1752" s="11">
        <v>0</v>
      </c>
      <c r="J1752" s="11">
        <v>0</v>
      </c>
      <c r="K1752" s="11" t="s">
        <v>21</v>
      </c>
      <c r="L1752" s="7">
        <v>41053.710324074076</v>
      </c>
      <c r="M1752" s="12" t="s">
        <v>4559</v>
      </c>
      <c r="N1752" s="12" t="s">
        <v>4560</v>
      </c>
      <c r="O1752" s="10" t="str">
        <f>HYPERLINK("https://pbs.twimg.com/profile_images/2390316345/6km6qzeunm01bvdnlyqk_normal.jpeg","View")</f>
        <v>View</v>
      </c>
      <c r="P1752" s="11"/>
    </row>
    <row r="1753" spans="1:16" ht="12.75" x14ac:dyDescent="0.35">
      <c r="A1753" s="7">
        <v>42481.959155092598</v>
      </c>
      <c r="B1753" s="8" t="str">
        <f>HYPERLINK("https://twitter.com/MarkusIkarus","@MarkusIkarus")</f>
        <v>@MarkusIkarus</v>
      </c>
      <c r="C1753" s="9" t="s">
        <v>4561</v>
      </c>
      <c r="D1753" s="9" t="s">
        <v>4562</v>
      </c>
      <c r="E1753" s="10" t="str">
        <f>HYPERLINK("https://twitter.com/MarkusIkarus/status/723202434659700736","723202434659700736")</f>
        <v>723202434659700736</v>
      </c>
      <c r="F1753" s="11" t="s">
        <v>91</v>
      </c>
      <c r="G1753" s="11">
        <v>72</v>
      </c>
      <c r="H1753" s="11">
        <v>240</v>
      </c>
      <c r="I1753" s="11">
        <v>0</v>
      </c>
      <c r="J1753" s="11">
        <v>0</v>
      </c>
      <c r="K1753" s="11" t="s">
        <v>21</v>
      </c>
      <c r="L1753" s="7">
        <v>41184.694537037038</v>
      </c>
      <c r="M1753" s="12" t="s">
        <v>1116</v>
      </c>
      <c r="N1753" s="12" t="s">
        <v>4563</v>
      </c>
      <c r="O1753" s="10" t="str">
        <f>HYPERLINK("https://pbs.twimg.com/profile_images/2672821936/e7134a417b88d38141056e7babeb46eb_normal.png","View")</f>
        <v>View</v>
      </c>
      <c r="P1753" s="11"/>
    </row>
    <row r="1754" spans="1:16" ht="12.75" x14ac:dyDescent="0.35">
      <c r="A1754" s="7">
        <v>42481.959409722222</v>
      </c>
      <c r="B1754" s="8" t="str">
        <f>HYPERLINK("https://twitter.com/three50six","@three50six")</f>
        <v>@three50six</v>
      </c>
      <c r="C1754" s="9" t="s">
        <v>4564</v>
      </c>
      <c r="D1754" s="9" t="s">
        <v>4565</v>
      </c>
      <c r="E1754" s="10" t="str">
        <f>HYPERLINK("https://twitter.com/three50six/status/723202525697085440","723202525697085440")</f>
        <v>723202525697085440</v>
      </c>
      <c r="F1754" s="11" t="s">
        <v>114</v>
      </c>
      <c r="G1754" s="11">
        <v>81</v>
      </c>
      <c r="H1754" s="11">
        <v>377</v>
      </c>
      <c r="I1754" s="11">
        <v>0</v>
      </c>
      <c r="J1754" s="11">
        <v>0</v>
      </c>
      <c r="K1754" s="11" t="s">
        <v>21</v>
      </c>
      <c r="L1754" s="7">
        <v>40441.721284722225</v>
      </c>
      <c r="M1754" s="12" t="s">
        <v>1534</v>
      </c>
      <c r="N1754" s="12"/>
      <c r="O1754" s="10" t="str">
        <f>HYPERLINK("https://pbs.twimg.com/profile_images/606373311799508992/2yQr5s8G_normal.jpg","View")</f>
        <v>View</v>
      </c>
      <c r="P1754" s="11"/>
    </row>
    <row r="1755" spans="1:16" ht="12.75" x14ac:dyDescent="0.35">
      <c r="A1755" s="7">
        <v>42481.959594907406</v>
      </c>
      <c r="B1755" s="8" t="str">
        <f t="shared" ref="B1755:B1756" si="155">HYPERLINK("https://twitter.com/VolkswagenPost","@VolkswagenPost")</f>
        <v>@VolkswagenPost</v>
      </c>
      <c r="C1755" s="9" t="s">
        <v>321</v>
      </c>
      <c r="D1755" s="9" t="s">
        <v>4566</v>
      </c>
      <c r="E1755" s="10" t="str">
        <f>HYPERLINK("https://twitter.com/VolkswagenPost/status/723202595456704512","723202595456704512")</f>
        <v>723202595456704512</v>
      </c>
      <c r="F1755" s="11" t="s">
        <v>288</v>
      </c>
      <c r="G1755" s="11">
        <v>571</v>
      </c>
      <c r="H1755" s="11">
        <v>446</v>
      </c>
      <c r="I1755" s="11">
        <v>1</v>
      </c>
      <c r="J1755" s="11">
        <v>0</v>
      </c>
      <c r="K1755" s="11" t="s">
        <v>21</v>
      </c>
      <c r="L1755" s="7">
        <v>41940.618379629632</v>
      </c>
      <c r="M1755" s="12"/>
      <c r="N1755" s="12"/>
      <c r="O1755" s="10" t="str">
        <f t="shared" ref="O1755:O1756" si="156">HYPERLINK("https://pbs.twimg.com/profile_images/530071272881803264/a_jcCmPZ_normal.png","View")</f>
        <v>View</v>
      </c>
      <c r="P1755" s="11"/>
    </row>
    <row r="1756" spans="1:16" ht="12.75" x14ac:dyDescent="0.35">
      <c r="A1756" s="7">
        <v>42481.959606481483</v>
      </c>
      <c r="B1756" s="8" t="str">
        <f t="shared" si="155"/>
        <v>@VolkswagenPost</v>
      </c>
      <c r="C1756" s="9" t="s">
        <v>321</v>
      </c>
      <c r="D1756" s="9" t="s">
        <v>4567</v>
      </c>
      <c r="E1756" s="10" t="str">
        <f>HYPERLINK("https://twitter.com/VolkswagenPost/status/723202596350074880","723202596350074880")</f>
        <v>723202596350074880</v>
      </c>
      <c r="F1756" s="11" t="s">
        <v>288</v>
      </c>
      <c r="G1756" s="11">
        <v>571</v>
      </c>
      <c r="H1756" s="11">
        <v>446</v>
      </c>
      <c r="I1756" s="11">
        <v>1</v>
      </c>
      <c r="J1756" s="11">
        <v>0</v>
      </c>
      <c r="K1756" s="11" t="s">
        <v>21</v>
      </c>
      <c r="L1756" s="7">
        <v>41940.618379629632</v>
      </c>
      <c r="M1756" s="12"/>
      <c r="N1756" s="12"/>
      <c r="O1756" s="10" t="str">
        <f t="shared" si="156"/>
        <v>View</v>
      </c>
      <c r="P1756" s="11"/>
    </row>
    <row r="1757" spans="1:16" ht="12.75" x14ac:dyDescent="0.35">
      <c r="A1757" s="7">
        <v>42481.959675925929</v>
      </c>
      <c r="B1757" s="8" t="str">
        <f>HYPERLINK("https://twitter.com/glubbdidi","@glubbdidi")</f>
        <v>@glubbdidi</v>
      </c>
      <c r="C1757" s="9" t="s">
        <v>4568</v>
      </c>
      <c r="D1757" s="9" t="s">
        <v>4569</v>
      </c>
      <c r="E1757" s="10" t="str">
        <f>HYPERLINK("https://twitter.com/glubbdidi/status/723202621301882880","723202621301882880")</f>
        <v>723202621301882880</v>
      </c>
      <c r="F1757" s="11" t="s">
        <v>43</v>
      </c>
      <c r="G1757" s="11">
        <v>48</v>
      </c>
      <c r="H1757" s="11">
        <v>118</v>
      </c>
      <c r="I1757" s="11">
        <v>0</v>
      </c>
      <c r="J1757" s="11">
        <v>1</v>
      </c>
      <c r="K1757" s="11" t="s">
        <v>21</v>
      </c>
      <c r="L1757" s="7">
        <v>42375.758796296301</v>
      </c>
      <c r="M1757" s="12" t="s">
        <v>4570</v>
      </c>
      <c r="N1757" s="12" t="s">
        <v>4571</v>
      </c>
      <c r="O1757" s="10" t="str">
        <f>HYPERLINK("https://pbs.twimg.com/profile_images/687948490878660608/zfU_KaT9_normal.jpg","View")</f>
        <v>View</v>
      </c>
      <c r="P1757" s="11"/>
    </row>
    <row r="1758" spans="1:16" ht="12.75" x14ac:dyDescent="0.35">
      <c r="A1758" s="7">
        <v>42481.959722222222</v>
      </c>
      <c r="B1758" s="8" t="str">
        <f>HYPERLINK("https://twitter.com/miniatuurauto","@miniatuurauto")</f>
        <v>@miniatuurauto</v>
      </c>
      <c r="C1758" s="8" t="s">
        <v>4572</v>
      </c>
      <c r="D1758" s="9" t="s">
        <v>4573</v>
      </c>
      <c r="E1758" s="10" t="str">
        <f>HYPERLINK("https://twitter.com/miniatuurauto/status/723202638993600513","723202638993600513")</f>
        <v>723202638993600513</v>
      </c>
      <c r="F1758" s="11" t="s">
        <v>43</v>
      </c>
      <c r="G1758" s="11">
        <v>379</v>
      </c>
      <c r="H1758" s="11">
        <v>569</v>
      </c>
      <c r="I1758" s="11">
        <v>0</v>
      </c>
      <c r="J1758" s="11">
        <v>0</v>
      </c>
      <c r="K1758" s="11" t="s">
        <v>21</v>
      </c>
      <c r="L1758" s="7">
        <v>40237.639618055553</v>
      </c>
      <c r="M1758" s="12" t="s">
        <v>1430</v>
      </c>
      <c r="N1758" s="12" t="s">
        <v>4574</v>
      </c>
      <c r="O1758" s="10" t="str">
        <f>HYPERLINK("https://pbs.twimg.com/profile_images/666607167093407744/qM40wt3X_normal.png","View")</f>
        <v>View</v>
      </c>
      <c r="P1758" s="11"/>
    </row>
    <row r="1759" spans="1:16" ht="12.75" x14ac:dyDescent="0.35">
      <c r="A1759" s="7">
        <v>42481.959780092591</v>
      </c>
      <c r="B1759" s="8" t="str">
        <f t="shared" ref="B1759:B1760" si="157">HYPERLINK("https://twitter.com/VWCamperSales","@VWCamperSales")</f>
        <v>@VWCamperSales</v>
      </c>
      <c r="C1759" s="9" t="s">
        <v>216</v>
      </c>
      <c r="D1759" s="9" t="s">
        <v>4575</v>
      </c>
      <c r="E1759" s="10" t="str">
        <f>HYPERLINK("https://twitter.com/VWCamperSales/status/723202662779346944","723202662779346944")</f>
        <v>723202662779346944</v>
      </c>
      <c r="F1759" s="10" t="s">
        <v>124</v>
      </c>
      <c r="G1759" s="11">
        <v>615</v>
      </c>
      <c r="H1759" s="11">
        <v>580</v>
      </c>
      <c r="I1759" s="11">
        <v>0</v>
      </c>
      <c r="J1759" s="11">
        <v>0</v>
      </c>
      <c r="K1759" s="11" t="s">
        <v>21</v>
      </c>
      <c r="L1759" s="7">
        <v>42215.98809027778</v>
      </c>
      <c r="M1759" s="12" t="s">
        <v>129</v>
      </c>
      <c r="N1759" s="12" t="s">
        <v>218</v>
      </c>
      <c r="O1759" s="10" t="str">
        <f t="shared" ref="O1759:O1760" si="158">HYPERLINK("https://pbs.twimg.com/profile_images/627949001179037696/skEBkS05_normal.jpg","View")</f>
        <v>View</v>
      </c>
      <c r="P1759" s="11"/>
    </row>
    <row r="1760" spans="1:16" ht="12.75" x14ac:dyDescent="0.35">
      <c r="A1760" s="7">
        <v>42481.959803240738</v>
      </c>
      <c r="B1760" s="8" t="str">
        <f t="shared" si="157"/>
        <v>@VWCamperSales</v>
      </c>
      <c r="C1760" s="9" t="s">
        <v>216</v>
      </c>
      <c r="D1760" s="9" t="s">
        <v>4576</v>
      </c>
      <c r="E1760" s="10" t="str">
        <f>HYPERLINK("https://twitter.com/VWCamperSales/status/723202669104394243","723202669104394243")</f>
        <v>723202669104394243</v>
      </c>
      <c r="F1760" s="10" t="s">
        <v>124</v>
      </c>
      <c r="G1760" s="11">
        <v>615</v>
      </c>
      <c r="H1760" s="11">
        <v>580</v>
      </c>
      <c r="I1760" s="11">
        <v>0</v>
      </c>
      <c r="J1760" s="11">
        <v>0</v>
      </c>
      <c r="K1760" s="11" t="s">
        <v>21</v>
      </c>
      <c r="L1760" s="7">
        <v>42215.98809027778</v>
      </c>
      <c r="M1760" s="12" t="s">
        <v>129</v>
      </c>
      <c r="N1760" s="12" t="s">
        <v>218</v>
      </c>
      <c r="O1760" s="10" t="str">
        <f t="shared" si="158"/>
        <v>View</v>
      </c>
      <c r="P1760" s="11"/>
    </row>
    <row r="1761" spans="1:16" ht="12.75" x14ac:dyDescent="0.35">
      <c r="A1761" s="7">
        <v>42481.960150462968</v>
      </c>
      <c r="B1761" s="8" t="str">
        <f>HYPERLINK("https://twitter.com/LMohorko","@LMohorko")</f>
        <v>@LMohorko</v>
      </c>
      <c r="C1761" s="9" t="s">
        <v>4577</v>
      </c>
      <c r="D1761" s="9" t="s">
        <v>4578</v>
      </c>
      <c r="E1761" s="10" t="str">
        <f>HYPERLINK("https://twitter.com/LMohorko/status/723202796653273088","723202796653273088")</f>
        <v>723202796653273088</v>
      </c>
      <c r="F1761" s="11" t="s">
        <v>114</v>
      </c>
      <c r="G1761" s="11">
        <v>82</v>
      </c>
      <c r="H1761" s="11">
        <v>53</v>
      </c>
      <c r="I1761" s="11">
        <v>0</v>
      </c>
      <c r="J1761" s="11">
        <v>0</v>
      </c>
      <c r="K1761" s="11" t="s">
        <v>21</v>
      </c>
      <c r="L1761" s="7">
        <v>40861.428067129629</v>
      </c>
      <c r="M1761" s="12" t="s">
        <v>4579</v>
      </c>
      <c r="N1761" s="12" t="s">
        <v>4580</v>
      </c>
      <c r="O1761" s="10" t="str">
        <f>HYPERLINK("https://pbs.twimg.com/profile_images/378800000725391467/b3df75451f29daac5082a6fcc8f44478_normal.jpeg","View")</f>
        <v>View</v>
      </c>
      <c r="P1761" s="11"/>
    </row>
    <row r="1762" spans="1:16" ht="12.75" x14ac:dyDescent="0.35">
      <c r="A1762" s="7">
        <v>42481.960219907407</v>
      </c>
      <c r="B1762" s="8" t="str">
        <f>HYPERLINK("https://twitter.com/gonzalobrian","@gonzalobrian")</f>
        <v>@gonzalobrian</v>
      </c>
      <c r="C1762" s="9" t="s">
        <v>2838</v>
      </c>
      <c r="D1762" s="9" t="s">
        <v>2825</v>
      </c>
      <c r="E1762" s="10" t="str">
        <f>HYPERLINK("https://twitter.com/gonzalobrian/status/723202819541622786","723202819541622786")</f>
        <v>723202819541622786</v>
      </c>
      <c r="F1762" s="11" t="s">
        <v>48</v>
      </c>
      <c r="G1762" s="11">
        <v>24</v>
      </c>
      <c r="H1762" s="11">
        <v>29</v>
      </c>
      <c r="I1762" s="11">
        <v>53</v>
      </c>
      <c r="J1762" s="11">
        <v>0</v>
      </c>
      <c r="K1762" s="11" t="s">
        <v>21</v>
      </c>
      <c r="L1762" s="7">
        <v>40528.859363425923</v>
      </c>
      <c r="M1762" s="12"/>
      <c r="N1762" s="12"/>
      <c r="O1762" s="10" t="str">
        <f>HYPERLINK("https://pbs.twimg.com/profile_images/682960133966696448/FVI70kSw_normal.png","View")</f>
        <v>View</v>
      </c>
      <c r="P1762" s="11"/>
    </row>
    <row r="1763" spans="1:16" ht="12.75" x14ac:dyDescent="0.35">
      <c r="A1763" s="7">
        <v>42481.960439814815</v>
      </c>
      <c r="B1763" s="8" t="str">
        <f t="shared" ref="B1763:B1764" si="159">HYPERLINK("https://twitter.com/ChuckLane1","@ChuckLane1")</f>
        <v>@ChuckLane1</v>
      </c>
      <c r="C1763" s="9" t="s">
        <v>4581</v>
      </c>
      <c r="D1763" s="9" t="s">
        <v>4582</v>
      </c>
      <c r="E1763" s="10" t="str">
        <f>HYPERLINK("https://twitter.com/ChuckLane1/status/723202898763517952","723202898763517952")</f>
        <v>723202898763517952</v>
      </c>
      <c r="F1763" s="11" t="s">
        <v>43</v>
      </c>
      <c r="G1763" s="11">
        <v>9101</v>
      </c>
      <c r="H1763" s="11">
        <v>629</v>
      </c>
      <c r="I1763" s="11">
        <v>0</v>
      </c>
      <c r="J1763" s="11">
        <v>0</v>
      </c>
      <c r="K1763" s="11" t="s">
        <v>21</v>
      </c>
      <c r="L1763" s="7">
        <v>40579.247673611113</v>
      </c>
      <c r="M1763" s="12" t="s">
        <v>993</v>
      </c>
      <c r="N1763" s="12" t="s">
        <v>4583</v>
      </c>
      <c r="O1763" s="10" t="str">
        <f t="shared" ref="O1763:O1764" si="160">HYPERLINK("https://pbs.twimg.com/profile_images/659759648212406273/U0q5I0Qr_normal.jpg","View")</f>
        <v>View</v>
      </c>
      <c r="P1763" s="11"/>
    </row>
    <row r="1764" spans="1:16" ht="12.75" x14ac:dyDescent="0.35">
      <c r="A1764" s="7">
        <v>42481.960983796293</v>
      </c>
      <c r="B1764" s="8" t="str">
        <f t="shared" si="159"/>
        <v>@ChuckLane1</v>
      </c>
      <c r="C1764" s="9" t="s">
        <v>4581</v>
      </c>
      <c r="D1764" s="9" t="s">
        <v>4584</v>
      </c>
      <c r="E1764" s="10" t="str">
        <f>HYPERLINK("https://twitter.com/ChuckLane1/status/723203098441719810","723203098441719810")</f>
        <v>723203098441719810</v>
      </c>
      <c r="F1764" s="11" t="s">
        <v>43</v>
      </c>
      <c r="G1764" s="11">
        <v>9101</v>
      </c>
      <c r="H1764" s="11">
        <v>629</v>
      </c>
      <c r="I1764" s="11">
        <v>0</v>
      </c>
      <c r="J1764" s="11">
        <v>0</v>
      </c>
      <c r="K1764" s="11" t="s">
        <v>21</v>
      </c>
      <c r="L1764" s="7">
        <v>40579.247673611113</v>
      </c>
      <c r="M1764" s="12" t="s">
        <v>993</v>
      </c>
      <c r="N1764" s="12" t="s">
        <v>4583</v>
      </c>
      <c r="O1764" s="10" t="str">
        <f t="shared" si="160"/>
        <v>View</v>
      </c>
      <c r="P1764" s="11"/>
    </row>
    <row r="1765" spans="1:16" ht="12.75" x14ac:dyDescent="0.35">
      <c r="A1765" s="7">
        <v>42481.961134259254</v>
      </c>
      <c r="B1765" s="8" t="str">
        <f>HYPERLINK("https://twitter.com/KneecapMedia","@KneecapMedia")</f>
        <v>@KneecapMedia</v>
      </c>
      <c r="C1765" s="9" t="s">
        <v>4585</v>
      </c>
      <c r="D1765" s="9" t="s">
        <v>4586</v>
      </c>
      <c r="E1765" s="10" t="str">
        <f>HYPERLINK("https://twitter.com/KneecapMedia/status/723203150287499264","723203150287499264")</f>
        <v>723203150287499264</v>
      </c>
      <c r="F1765" s="11" t="s">
        <v>43</v>
      </c>
      <c r="G1765" s="11">
        <v>11</v>
      </c>
      <c r="H1765" s="11">
        <v>36</v>
      </c>
      <c r="I1765" s="11">
        <v>1</v>
      </c>
      <c r="J1765" s="11">
        <v>0</v>
      </c>
      <c r="K1765" s="11" t="s">
        <v>21</v>
      </c>
      <c r="L1765" s="7">
        <v>41712.223078703704</v>
      </c>
      <c r="M1765" s="12" t="s">
        <v>4587</v>
      </c>
      <c r="N1765" s="12"/>
      <c r="O1765" s="10" t="str">
        <f>HYPERLINK("https://pbs.twimg.com/profile_images/723134553339080704/cEQMvOW3_normal.jpg","View")</f>
        <v>View</v>
      </c>
      <c r="P1765" s="11"/>
    </row>
    <row r="1766" spans="1:16" ht="12.75" x14ac:dyDescent="0.35">
      <c r="A1766" s="7">
        <v>42481.961643518516</v>
      </c>
      <c r="B1766" s="8" t="str">
        <f>HYPERLINK("https://twitter.com/sasha_s_pachito","@sasha_s_pachito")</f>
        <v>@sasha_s_pachito</v>
      </c>
      <c r="C1766" s="9" t="s">
        <v>4588</v>
      </c>
      <c r="D1766" s="9" t="s">
        <v>4589</v>
      </c>
      <c r="E1766" s="10" t="str">
        <f>HYPERLINK("https://twitter.com/sasha_s_pachito/status/723203335898042368","723203335898042368")</f>
        <v>723203335898042368</v>
      </c>
      <c r="F1766" s="11" t="s">
        <v>20</v>
      </c>
      <c r="G1766" s="11">
        <v>162</v>
      </c>
      <c r="H1766" s="11">
        <v>298</v>
      </c>
      <c r="I1766" s="11">
        <v>0</v>
      </c>
      <c r="J1766" s="11">
        <v>0</v>
      </c>
      <c r="K1766" s="11" t="s">
        <v>21</v>
      </c>
      <c r="L1766" s="7">
        <v>39862.270000000004</v>
      </c>
      <c r="M1766" s="12" t="s">
        <v>4590</v>
      </c>
      <c r="N1766" s="12" t="s">
        <v>4591</v>
      </c>
      <c r="O1766" s="10" t="str">
        <f>HYPERLINK("https://pbs.twimg.com/profile_images/509140932101672960/ckVyy26L_normal.jpeg","View")</f>
        <v>View</v>
      </c>
      <c r="P1766" s="11"/>
    </row>
    <row r="1767" spans="1:16" ht="12.75" x14ac:dyDescent="0.35">
      <c r="A1767" s="7">
        <v>42481.961724537032</v>
      </c>
      <c r="B1767" s="8" t="str">
        <f>HYPERLINK("https://twitter.com/dw_business","@dw_business")</f>
        <v>@dw_business</v>
      </c>
      <c r="C1767" s="9" t="s">
        <v>3512</v>
      </c>
      <c r="D1767" s="9" t="s">
        <v>4592</v>
      </c>
      <c r="E1767" s="10" t="str">
        <f>HYPERLINK("https://twitter.com/dw_business/status/723203367292407808","723203367292407808")</f>
        <v>723203367292407808</v>
      </c>
      <c r="F1767" s="11" t="s">
        <v>43</v>
      </c>
      <c r="G1767" s="11">
        <v>6211</v>
      </c>
      <c r="H1767" s="11">
        <v>250</v>
      </c>
      <c r="I1767" s="11">
        <v>0</v>
      </c>
      <c r="J1767" s="11">
        <v>0</v>
      </c>
      <c r="K1767" s="11" t="s">
        <v>21</v>
      </c>
      <c r="L1767" s="7">
        <v>39919.595196759255</v>
      </c>
      <c r="M1767" s="12" t="s">
        <v>1303</v>
      </c>
      <c r="N1767" s="12" t="s">
        <v>3514</v>
      </c>
      <c r="O1767" s="10" t="str">
        <f>HYPERLINK("https://pbs.twimg.com/profile_images/474178130312044544/-U2TP65D_normal.png","View")</f>
        <v>View</v>
      </c>
      <c r="P1767" s="11"/>
    </row>
    <row r="1768" spans="1:16" ht="12.75" x14ac:dyDescent="0.35">
      <c r="A1768" s="7">
        <v>42481.961863425924</v>
      </c>
      <c r="B1768" s="8" t="str">
        <f>HYPERLINK("https://twitter.com/golfturkiye","@golfturkiye")</f>
        <v>@golfturkiye</v>
      </c>
      <c r="C1768" s="9" t="s">
        <v>4593</v>
      </c>
      <c r="D1768" s="9" t="s">
        <v>4594</v>
      </c>
      <c r="E1768" s="10" t="str">
        <f>HYPERLINK("https://twitter.com/golfturkiye/status/723203416764325888","723203416764325888")</f>
        <v>723203416764325888</v>
      </c>
      <c r="F1768" s="11" t="s">
        <v>4595</v>
      </c>
      <c r="G1768" s="11">
        <v>833</v>
      </c>
      <c r="H1768" s="11">
        <v>1</v>
      </c>
      <c r="I1768" s="11">
        <v>0</v>
      </c>
      <c r="J1768" s="11">
        <v>0</v>
      </c>
      <c r="K1768" s="11" t="s">
        <v>21</v>
      </c>
      <c r="L1768" s="7">
        <v>41097.832256944443</v>
      </c>
      <c r="M1768" s="12"/>
      <c r="N1768" s="12" t="s">
        <v>4596</v>
      </c>
      <c r="O1768" s="10" t="str">
        <f>HYPERLINK("https://pbs.twimg.com/profile_images/2908590566/828967841f09b515ee36e3dfccea4d28_normal.png","View")</f>
        <v>View</v>
      </c>
      <c r="P1768" s="11"/>
    </row>
    <row r="1769" spans="1:16" ht="12.75" x14ac:dyDescent="0.35">
      <c r="A1769" s="7">
        <v>42481.96194444444</v>
      </c>
      <c r="B1769" s="8" t="str">
        <f>HYPERLINK("https://twitter.com/DaniDoesLaw","@DaniDoesLaw")</f>
        <v>@DaniDoesLaw</v>
      </c>
      <c r="C1769" s="9" t="s">
        <v>4597</v>
      </c>
      <c r="D1769" s="9" t="s">
        <v>4598</v>
      </c>
      <c r="E1769" s="10" t="str">
        <f>HYPERLINK("https://twitter.com/DaniDoesLaw/status/723203445533057024","723203445533057024")</f>
        <v>723203445533057024</v>
      </c>
      <c r="F1769" s="11" t="s">
        <v>48</v>
      </c>
      <c r="G1769" s="11">
        <v>814</v>
      </c>
      <c r="H1769" s="11">
        <v>816</v>
      </c>
      <c r="I1769" s="11">
        <v>0</v>
      </c>
      <c r="J1769" s="11">
        <v>0</v>
      </c>
      <c r="K1769" s="11" t="s">
        <v>21</v>
      </c>
      <c r="L1769" s="7">
        <v>41416.291759259257</v>
      </c>
      <c r="M1769" s="12" t="s">
        <v>4599</v>
      </c>
      <c r="N1769" s="12" t="s">
        <v>4600</v>
      </c>
      <c r="O1769" s="10" t="str">
        <f>HYPERLINK("https://pbs.twimg.com/profile_images/344513261582006061/50328e850180d572828ba6dae632886e_normal.png","View")</f>
        <v>View</v>
      </c>
      <c r="P1769" s="11"/>
    </row>
    <row r="1770" spans="1:16" ht="12.75" x14ac:dyDescent="0.35">
      <c r="A1770" s="7">
        <v>42481.962743055556</v>
      </c>
      <c r="B1770" s="8" t="str">
        <f>HYPERLINK("https://twitter.com/Pianoede","@Pianoede")</f>
        <v>@Pianoede</v>
      </c>
      <c r="C1770" s="9" t="s">
        <v>4601</v>
      </c>
      <c r="D1770" s="9" t="s">
        <v>4602</v>
      </c>
      <c r="E1770" s="10" t="str">
        <f>HYPERLINK("https://twitter.com/Pianoede/status/723203734973616128","723203734973616128")</f>
        <v>723203734973616128</v>
      </c>
      <c r="F1770" s="11" t="s">
        <v>20</v>
      </c>
      <c r="G1770" s="11">
        <v>12</v>
      </c>
      <c r="H1770" s="11">
        <v>21</v>
      </c>
      <c r="I1770" s="11">
        <v>0</v>
      </c>
      <c r="J1770" s="11">
        <v>0</v>
      </c>
      <c r="K1770" s="11" t="s">
        <v>21</v>
      </c>
      <c r="L1770" s="7">
        <v>42094.751296296294</v>
      </c>
      <c r="M1770" s="12"/>
      <c r="N1770" s="12"/>
      <c r="O1770" s="10" t="str">
        <f>HYPERLINK("https://pbs.twimg.com/profile_images/722106709100113921/XVJAeYL8_normal.jpg","View")</f>
        <v>View</v>
      </c>
      <c r="P1770" s="11"/>
    </row>
    <row r="1771" spans="1:16" ht="12.75" x14ac:dyDescent="0.35">
      <c r="A1771" s="7">
        <v>42481.963159722218</v>
      </c>
      <c r="B1771" s="8" t="str">
        <f>HYPERLINK("https://twitter.com/akfullerton","@akfullerton")</f>
        <v>@akfullerton</v>
      </c>
      <c r="C1771" s="9" t="s">
        <v>4603</v>
      </c>
      <c r="D1771" s="9" t="s">
        <v>4604</v>
      </c>
      <c r="E1771" s="10" t="str">
        <f>HYPERLINK("https://twitter.com/akfullerton/status/723203883871277056","723203883871277056")</f>
        <v>723203883871277056</v>
      </c>
      <c r="F1771" s="11" t="s">
        <v>43</v>
      </c>
      <c r="G1771" s="11">
        <v>303</v>
      </c>
      <c r="H1771" s="11">
        <v>1140</v>
      </c>
      <c r="I1771" s="11">
        <v>0</v>
      </c>
      <c r="J1771" s="11">
        <v>0</v>
      </c>
      <c r="K1771" s="11" t="s">
        <v>21</v>
      </c>
      <c r="L1771" s="7">
        <v>41877.769224537034</v>
      </c>
      <c r="M1771" s="12" t="s">
        <v>4605</v>
      </c>
      <c r="N1771" s="12" t="s">
        <v>4606</v>
      </c>
      <c r="O1771" s="10" t="str">
        <f>HYPERLINK("https://pbs.twimg.com/profile_images/504258023452205057/HEuGjiig_normal.jpeg","View")</f>
        <v>View</v>
      </c>
      <c r="P1771" s="11"/>
    </row>
    <row r="1772" spans="1:16" ht="12.75" x14ac:dyDescent="0.35">
      <c r="A1772" s="7">
        <v>42481.963564814811</v>
      </c>
      <c r="B1772" s="8" t="str">
        <f>HYPERLINK("https://twitter.com/phimo_to","@phimo_to")</f>
        <v>@phimo_to</v>
      </c>
      <c r="C1772" s="9" t="s">
        <v>4607</v>
      </c>
      <c r="D1772" s="9" t="s">
        <v>4608</v>
      </c>
      <c r="E1772" s="10" t="str">
        <f>HYPERLINK("https://twitter.com/phimo_to/status/723204033448710149","723204033448710149")</f>
        <v>723204033448710149</v>
      </c>
      <c r="F1772" s="11" t="s">
        <v>48</v>
      </c>
      <c r="G1772" s="11">
        <v>1231</v>
      </c>
      <c r="H1772" s="11">
        <v>1211</v>
      </c>
      <c r="I1772" s="11">
        <v>0</v>
      </c>
      <c r="J1772" s="11">
        <v>3</v>
      </c>
      <c r="K1772" s="11" t="s">
        <v>21</v>
      </c>
      <c r="L1772" s="7">
        <v>42007.824525462958</v>
      </c>
      <c r="M1772" s="12" t="s">
        <v>4609</v>
      </c>
      <c r="N1772" s="12" t="s">
        <v>4610</v>
      </c>
      <c r="O1772" s="10" t="str">
        <f>HYPERLINK("https://pbs.twimg.com/profile_images/551382029023981568/n7_0vJqd_normal.jpeg","View")</f>
        <v>View</v>
      </c>
      <c r="P1772" s="11"/>
    </row>
    <row r="1773" spans="1:16" ht="12.75" x14ac:dyDescent="0.35">
      <c r="A1773" s="7">
        <v>42481.963622685187</v>
      </c>
      <c r="B1773" s="8" t="str">
        <f>HYPERLINK("https://twitter.com/bouillcoud","@bouillcoud")</f>
        <v>@bouillcoud</v>
      </c>
      <c r="C1773" s="9" t="s">
        <v>4611</v>
      </c>
      <c r="D1773" s="9" t="s">
        <v>4612</v>
      </c>
      <c r="E1773" s="10" t="str">
        <f>HYPERLINK("https://twitter.com/bouillcoud/status/723204053040287744","723204053040287744")</f>
        <v>723204053040287744</v>
      </c>
      <c r="F1773" s="11" t="s">
        <v>48</v>
      </c>
      <c r="G1773" s="11">
        <v>180</v>
      </c>
      <c r="H1773" s="11">
        <v>273</v>
      </c>
      <c r="I1773" s="11">
        <v>0</v>
      </c>
      <c r="J1773" s="11">
        <v>0</v>
      </c>
      <c r="K1773" s="11" t="s">
        <v>21</v>
      </c>
      <c r="L1773" s="7">
        <v>42060.171157407407</v>
      </c>
      <c r="M1773" s="12" t="s">
        <v>4613</v>
      </c>
      <c r="N1773" s="12" t="s">
        <v>4614</v>
      </c>
      <c r="O1773" s="10" t="str">
        <f>HYPERLINK("https://pbs.twimg.com/profile_images/703972057806184449/iYn2_pnG_normal.jpg","View")</f>
        <v>View</v>
      </c>
      <c r="P1773" s="11"/>
    </row>
    <row r="1774" spans="1:16" ht="12.75" x14ac:dyDescent="0.35">
      <c r="A1774" s="7">
        <v>42481.963969907403</v>
      </c>
      <c r="B1774" s="8" t="str">
        <f t="shared" ref="B1774:B1775" si="161">HYPERLINK("https://twitter.com/VWCamperSales","@VWCamperSales")</f>
        <v>@VWCamperSales</v>
      </c>
      <c r="C1774" s="9" t="s">
        <v>216</v>
      </c>
      <c r="D1774" s="9" t="s">
        <v>4615</v>
      </c>
      <c r="E1774" s="10" t="str">
        <f>HYPERLINK("https://twitter.com/VWCamperSales/status/723204178907041794","723204178907041794")</f>
        <v>723204178907041794</v>
      </c>
      <c r="F1774" s="10" t="s">
        <v>124</v>
      </c>
      <c r="G1774" s="11">
        <v>615</v>
      </c>
      <c r="H1774" s="11">
        <v>580</v>
      </c>
      <c r="I1774" s="11">
        <v>0</v>
      </c>
      <c r="J1774" s="11">
        <v>0</v>
      </c>
      <c r="K1774" s="11" t="s">
        <v>21</v>
      </c>
      <c r="L1774" s="7">
        <v>42215.98809027778</v>
      </c>
      <c r="M1774" s="12" t="s">
        <v>129</v>
      </c>
      <c r="N1774" s="12" t="s">
        <v>218</v>
      </c>
      <c r="O1774" s="10" t="str">
        <f t="shared" ref="O1774:O1775" si="162">HYPERLINK("https://pbs.twimg.com/profile_images/627949001179037696/skEBkS05_normal.jpg","View")</f>
        <v>View</v>
      </c>
      <c r="P1774" s="11"/>
    </row>
    <row r="1775" spans="1:16" ht="12.75" x14ac:dyDescent="0.35">
      <c r="A1775" s="7">
        <v>42481.96398148148</v>
      </c>
      <c r="B1775" s="8" t="str">
        <f t="shared" si="161"/>
        <v>@VWCamperSales</v>
      </c>
      <c r="C1775" s="9" t="s">
        <v>216</v>
      </c>
      <c r="D1775" s="9" t="s">
        <v>4616</v>
      </c>
      <c r="E1775" s="10" t="str">
        <f>HYPERLINK("https://twitter.com/VWCamperSales/status/723204183487209474","723204183487209474")</f>
        <v>723204183487209474</v>
      </c>
      <c r="F1775" s="10" t="s">
        <v>124</v>
      </c>
      <c r="G1775" s="11">
        <v>615</v>
      </c>
      <c r="H1775" s="11">
        <v>580</v>
      </c>
      <c r="I1775" s="11">
        <v>0</v>
      </c>
      <c r="J1775" s="11">
        <v>0</v>
      </c>
      <c r="K1775" s="11" t="s">
        <v>21</v>
      </c>
      <c r="L1775" s="7">
        <v>42215.98809027778</v>
      </c>
      <c r="M1775" s="12" t="s">
        <v>129</v>
      </c>
      <c r="N1775" s="12" t="s">
        <v>218</v>
      </c>
      <c r="O1775" s="10" t="str">
        <f t="shared" si="162"/>
        <v>View</v>
      </c>
      <c r="P1775" s="11"/>
    </row>
    <row r="1776" spans="1:16" ht="12.75" x14ac:dyDescent="0.35">
      <c r="A1776" s="7">
        <v>42481.96429398148</v>
      </c>
      <c r="B1776" s="8" t="str">
        <f>HYPERLINK("https://twitter.com/trafficsafety4u","@trafficsafety4u")</f>
        <v>@trafficsafety4u</v>
      </c>
      <c r="C1776" s="9" t="s">
        <v>4617</v>
      </c>
      <c r="D1776" s="9" t="s">
        <v>4618</v>
      </c>
      <c r="E1776" s="10" t="str">
        <f>HYPERLINK("https://twitter.com/trafficsafety4u/status/723204297719054336","723204297719054336")</f>
        <v>723204297719054336</v>
      </c>
      <c r="F1776" s="11" t="s">
        <v>43</v>
      </c>
      <c r="G1776" s="11">
        <v>1125</v>
      </c>
      <c r="H1776" s="11">
        <v>1115</v>
      </c>
      <c r="I1776" s="11">
        <v>0</v>
      </c>
      <c r="J1776" s="11">
        <v>0</v>
      </c>
      <c r="K1776" s="11" t="s">
        <v>21</v>
      </c>
      <c r="L1776" s="7">
        <v>40382.905185185184</v>
      </c>
      <c r="M1776" s="12" t="s">
        <v>4619</v>
      </c>
      <c r="N1776" s="12" t="s">
        <v>4620</v>
      </c>
      <c r="O1776" s="10" t="str">
        <f>HYPERLINK("https://pbs.twimg.com/profile_images/459010554816778240/HRhsHDHQ_normal.jpeg","View")</f>
        <v>View</v>
      </c>
      <c r="P1776" s="11"/>
    </row>
    <row r="1777" spans="1:16" ht="12.75" x14ac:dyDescent="0.35">
      <c r="A1777" s="7">
        <v>42481.964467592596</v>
      </c>
      <c r="B1777" s="8" t="str">
        <f>HYPERLINK("https://twitter.com/olaf26","@olaf26")</f>
        <v>@olaf26</v>
      </c>
      <c r="C1777" s="9" t="s">
        <v>4621</v>
      </c>
      <c r="D1777" s="9" t="s">
        <v>4622</v>
      </c>
      <c r="E1777" s="10" t="str">
        <f>HYPERLINK("https://twitter.com/olaf26/status/723204358800859136","723204358800859136")</f>
        <v>723204358800859136</v>
      </c>
      <c r="F1777" s="11" t="s">
        <v>160</v>
      </c>
      <c r="G1777" s="11">
        <v>815</v>
      </c>
      <c r="H1777" s="11">
        <v>223</v>
      </c>
      <c r="I1777" s="11">
        <v>0</v>
      </c>
      <c r="J1777" s="11">
        <v>0</v>
      </c>
      <c r="K1777" s="11" t="s">
        <v>21</v>
      </c>
      <c r="L1777" s="7">
        <v>39986.683587962965</v>
      </c>
      <c r="M1777" s="12" t="s">
        <v>4623</v>
      </c>
      <c r="N1777" s="12"/>
      <c r="O1777" s="10" t="str">
        <f>HYPERLINK("https://pbs.twimg.com/profile_images/2091932580/1_normal.jpg","View")</f>
        <v>View</v>
      </c>
      <c r="P1777" s="11"/>
    </row>
    <row r="1778" spans="1:16" ht="12.75" x14ac:dyDescent="0.35">
      <c r="A1778" s="7">
        <v>42481.964629629627</v>
      </c>
      <c r="B1778" s="8" t="str">
        <f>HYPERLINK("https://twitter.com/SexenioMX","@SexenioMX")</f>
        <v>@SexenioMX</v>
      </c>
      <c r="C1778" s="9" t="s">
        <v>3024</v>
      </c>
      <c r="D1778" s="9" t="s">
        <v>3025</v>
      </c>
      <c r="E1778" s="10" t="str">
        <f>HYPERLINK("https://twitter.com/SexenioMX/status/723204417680363520","723204417680363520")</f>
        <v>723204417680363520</v>
      </c>
      <c r="F1778" s="11" t="s">
        <v>63</v>
      </c>
      <c r="G1778" s="11">
        <v>1789832</v>
      </c>
      <c r="H1778" s="11">
        <v>476</v>
      </c>
      <c r="I1778" s="11">
        <v>0</v>
      </c>
      <c r="J1778" s="11">
        <v>0</v>
      </c>
      <c r="K1778" s="11" t="s">
        <v>21</v>
      </c>
      <c r="L1778" s="7">
        <v>40619.200162037036</v>
      </c>
      <c r="M1778" s="12" t="s">
        <v>462</v>
      </c>
      <c r="N1778" s="12" t="s">
        <v>3026</v>
      </c>
      <c r="O1778" s="10" t="str">
        <f>HYPERLINK("https://pbs.twimg.com/profile_images/700415860230397952/tCGmCj6M_normal.jpg","View")</f>
        <v>View</v>
      </c>
      <c r="P1778" s="11"/>
    </row>
    <row r="1779" spans="1:16" ht="12.75" x14ac:dyDescent="0.35">
      <c r="A1779" s="7">
        <v>42481.96466435185</v>
      </c>
      <c r="B1779" s="8" t="str">
        <f>HYPERLINK("https://twitter.com/SexenioCDMX","@SexenioCDMX")</f>
        <v>@SexenioCDMX</v>
      </c>
      <c r="C1779" s="9" t="s">
        <v>3020</v>
      </c>
      <c r="D1779" s="9" t="s">
        <v>3021</v>
      </c>
      <c r="E1779" s="10" t="str">
        <f>HYPERLINK("https://twitter.com/SexenioCDMX/status/723204430011596801","723204430011596801")</f>
        <v>723204430011596801</v>
      </c>
      <c r="F1779" s="11" t="s">
        <v>63</v>
      </c>
      <c r="G1779" s="11">
        <v>91697</v>
      </c>
      <c r="H1779" s="11">
        <v>81619</v>
      </c>
      <c r="I1779" s="11">
        <v>0</v>
      </c>
      <c r="J1779" s="11">
        <v>0</v>
      </c>
      <c r="K1779" s="11" t="s">
        <v>21</v>
      </c>
      <c r="L1779" s="7">
        <v>41029.45988425926</v>
      </c>
      <c r="M1779" s="12" t="s">
        <v>3022</v>
      </c>
      <c r="N1779" s="12" t="s">
        <v>3023</v>
      </c>
      <c r="O1779" s="10" t="str">
        <f>HYPERLINK("https://pbs.twimg.com/profile_images/693156293842894848/THX8L389_normal.jpg","View")</f>
        <v>View</v>
      </c>
      <c r="P1779" s="11"/>
    </row>
    <row r="1780" spans="1:16" ht="12.75" x14ac:dyDescent="0.35">
      <c r="A1780" s="7">
        <v>42481.96466435185</v>
      </c>
      <c r="B1780" s="8" t="str">
        <f>HYPERLINK("https://twitter.com/carcomplaints","@carcomplaints")</f>
        <v>@carcomplaints</v>
      </c>
      <c r="C1780" s="8" t="s">
        <v>4624</v>
      </c>
      <c r="D1780" s="9" t="s">
        <v>4625</v>
      </c>
      <c r="E1780" s="10" t="str">
        <f>HYPERLINK("https://twitter.com/carcomplaints/status/723204432322826240","723204432322826240")</f>
        <v>723204432322826240</v>
      </c>
      <c r="F1780" s="11" t="s">
        <v>80</v>
      </c>
      <c r="G1780" s="11">
        <v>5898</v>
      </c>
      <c r="H1780" s="11">
        <v>1658</v>
      </c>
      <c r="I1780" s="11">
        <v>0</v>
      </c>
      <c r="J1780" s="11">
        <v>0</v>
      </c>
      <c r="K1780" s="11" t="s">
        <v>21</v>
      </c>
      <c r="L1780" s="7">
        <v>39859.126446759255</v>
      </c>
      <c r="M1780" s="12" t="s">
        <v>4626</v>
      </c>
      <c r="N1780" s="12" t="s">
        <v>4627</v>
      </c>
      <c r="O1780" s="10" t="str">
        <f>HYPERLINK("https://pbs.twimg.com/profile_images/3535266328/abfd0da49fc5d31e6636027a78686e93_normal.png","View")</f>
        <v>View</v>
      </c>
      <c r="P1780" s="11"/>
    </row>
    <row r="1781" spans="1:16" ht="12.75" x14ac:dyDescent="0.35">
      <c r="A1781" s="7">
        <v>42481.964826388888</v>
      </c>
      <c r="B1781" s="8" t="str">
        <f>HYPERLINK("https://twitter.com/yorkvolkswagen","@yorkvolkswagen")</f>
        <v>@yorkvolkswagen</v>
      </c>
      <c r="C1781" s="9" t="s">
        <v>4628</v>
      </c>
      <c r="D1781" s="9" t="s">
        <v>4629</v>
      </c>
      <c r="E1781" s="10" t="str">
        <f>HYPERLINK("https://twitter.com/yorkvolkswagen/status/723204491432988673","723204491432988673")</f>
        <v>723204491432988673</v>
      </c>
      <c r="F1781" s="11" t="s">
        <v>63</v>
      </c>
      <c r="G1781" s="11">
        <v>18</v>
      </c>
      <c r="H1781" s="11">
        <v>53</v>
      </c>
      <c r="I1781" s="11">
        <v>0</v>
      </c>
      <c r="J1781" s="11">
        <v>0</v>
      </c>
      <c r="K1781" s="11" t="s">
        <v>21</v>
      </c>
      <c r="L1781" s="7">
        <v>42084.044363425928</v>
      </c>
      <c r="M1781" s="12"/>
      <c r="N1781" s="12"/>
      <c r="O1781" s="10" t="str">
        <f>HYPERLINK("https://pbs.twimg.com/profile_images/579004061761957889/oIaJbG2t_normal.png","View")</f>
        <v>View</v>
      </c>
      <c r="P1781" s="11"/>
    </row>
    <row r="1782" spans="1:16" ht="12.75" x14ac:dyDescent="0.35">
      <c r="A1782" s="7">
        <v>42481.964826388888</v>
      </c>
      <c r="B1782" s="8" t="str">
        <f>HYPERLINK("https://twitter.com/TimmonsLB","@TimmonsLB")</f>
        <v>@TimmonsLB</v>
      </c>
      <c r="C1782" s="9" t="s">
        <v>4630</v>
      </c>
      <c r="D1782" s="9" t="s">
        <v>4631</v>
      </c>
      <c r="E1782" s="10" t="str">
        <f>HYPERLINK("https://twitter.com/TimmonsLB/status/723204491495903232","723204491495903232")</f>
        <v>723204491495903232</v>
      </c>
      <c r="F1782" s="11" t="s">
        <v>63</v>
      </c>
      <c r="G1782" s="11">
        <v>707</v>
      </c>
      <c r="H1782" s="11">
        <v>1069</v>
      </c>
      <c r="I1782" s="11">
        <v>2</v>
      </c>
      <c r="J1782" s="11">
        <v>2</v>
      </c>
      <c r="K1782" s="11" t="s">
        <v>21</v>
      </c>
      <c r="L1782" s="7">
        <v>40848.97729166667</v>
      </c>
      <c r="M1782" s="12" t="s">
        <v>4632</v>
      </c>
      <c r="N1782" s="12" t="s">
        <v>4633</v>
      </c>
      <c r="O1782" s="10" t="str">
        <f>HYPERLINK("https://pbs.twimg.com/profile_images/675400910659457024/j_ZmyCDW_normal.jpg","View")</f>
        <v>View</v>
      </c>
      <c r="P1782" s="11"/>
    </row>
    <row r="1783" spans="1:16" ht="12.75" x14ac:dyDescent="0.35">
      <c r="A1783" s="7">
        <v>42481.965231481481</v>
      </c>
      <c r="B1783" s="8" t="str">
        <f>HYPERLINK("https://twitter.com/revelation_book","@revelation_book")</f>
        <v>@revelation_book</v>
      </c>
      <c r="C1783" s="9" t="s">
        <v>4634</v>
      </c>
      <c r="D1783" s="9" t="s">
        <v>4635</v>
      </c>
      <c r="E1783" s="10" t="str">
        <f>HYPERLINK("https://twitter.com/revelation_book/status/723204636639797248","723204636639797248")</f>
        <v>723204636639797248</v>
      </c>
      <c r="F1783" s="11" t="s">
        <v>20</v>
      </c>
      <c r="G1783" s="11">
        <v>1666</v>
      </c>
      <c r="H1783" s="11">
        <v>1055</v>
      </c>
      <c r="I1783" s="11">
        <v>0</v>
      </c>
      <c r="J1783" s="11">
        <v>0</v>
      </c>
      <c r="K1783" s="11" t="s">
        <v>21</v>
      </c>
      <c r="L1783" s="7">
        <v>41024.357592592591</v>
      </c>
      <c r="M1783" s="12" t="s">
        <v>3710</v>
      </c>
      <c r="N1783" s="12" t="s">
        <v>4636</v>
      </c>
      <c r="O1783" s="10" t="str">
        <f>HYPERLINK("https://pbs.twimg.com/profile_images/490524598396403712/-Z8VMrA5_normal.jpeg","View")</f>
        <v>View</v>
      </c>
      <c r="P1783" s="11"/>
    </row>
    <row r="1784" spans="1:16" ht="12.75" x14ac:dyDescent="0.35">
      <c r="A1784" s="7">
        <v>42481.966446759259</v>
      </c>
      <c r="B1784" s="8" t="str">
        <f>HYPERLINK("https://twitter.com/tonygilham34","@tonygilham34")</f>
        <v>@tonygilham34</v>
      </c>
      <c r="C1784" s="9" t="s">
        <v>4637</v>
      </c>
      <c r="D1784" s="9" t="s">
        <v>4638</v>
      </c>
      <c r="E1784" s="10" t="str">
        <f>HYPERLINK("https://twitter.com/tonygilham34/status/723205075338989569","723205075338989569")</f>
        <v>723205075338989569</v>
      </c>
      <c r="F1784" s="11" t="s">
        <v>114</v>
      </c>
      <c r="G1784" s="11">
        <v>7988</v>
      </c>
      <c r="H1784" s="11">
        <v>923</v>
      </c>
      <c r="I1784" s="11">
        <v>2</v>
      </c>
      <c r="J1784" s="11">
        <v>6</v>
      </c>
      <c r="K1784" s="11" t="s">
        <v>21</v>
      </c>
      <c r="L1784" s="7">
        <v>40291.13758101852</v>
      </c>
      <c r="M1784" s="12"/>
      <c r="N1784" s="12"/>
      <c r="O1784" s="10" t="str">
        <f>HYPERLINK("https://pbs.twimg.com/profile_images/529712216208326657/278T6KL8_normal.jpeg","View")</f>
        <v>View</v>
      </c>
      <c r="P1784" s="11"/>
    </row>
    <row r="1785" spans="1:16" ht="12.75" x14ac:dyDescent="0.35">
      <c r="A1785" s="7">
        <v>42481.967175925922</v>
      </c>
      <c r="B1785" s="8" t="str">
        <f>HYPERLINK("https://twitter.com/VolkswagenPost","@VolkswagenPost")</f>
        <v>@VolkswagenPost</v>
      </c>
      <c r="C1785" s="9" t="s">
        <v>321</v>
      </c>
      <c r="D1785" s="9" t="s">
        <v>4639</v>
      </c>
      <c r="E1785" s="10" t="str">
        <f>HYPERLINK("https://twitter.com/VolkswagenPost/status/723205339684962304","723205339684962304")</f>
        <v>723205339684962304</v>
      </c>
      <c r="F1785" s="11" t="s">
        <v>288</v>
      </c>
      <c r="G1785" s="11">
        <v>571</v>
      </c>
      <c r="H1785" s="11">
        <v>446</v>
      </c>
      <c r="I1785" s="11">
        <v>2</v>
      </c>
      <c r="J1785" s="11">
        <v>0</v>
      </c>
      <c r="K1785" s="11" t="s">
        <v>21</v>
      </c>
      <c r="L1785" s="7">
        <v>41940.618379629632</v>
      </c>
      <c r="M1785" s="12"/>
      <c r="N1785" s="12"/>
      <c r="O1785" s="10" t="str">
        <f>HYPERLINK("https://pbs.twimg.com/profile_images/530071272881803264/a_jcCmPZ_normal.png","View")</f>
        <v>View</v>
      </c>
      <c r="P1785" s="11"/>
    </row>
    <row r="1786" spans="1:16" ht="12.75" x14ac:dyDescent="0.35">
      <c r="A1786" s="7">
        <v>42481.969317129631</v>
      </c>
      <c r="B1786" s="8" t="str">
        <f>HYPERLINK("https://twitter.com/quixotequest","@quixotequest")</f>
        <v>@quixotequest</v>
      </c>
      <c r="C1786" s="9" t="s">
        <v>4640</v>
      </c>
      <c r="D1786" s="9" t="s">
        <v>4641</v>
      </c>
      <c r="E1786" s="10" t="str">
        <f>HYPERLINK("https://twitter.com/quixotequest/status/723206117698899968","723206117698899968")</f>
        <v>723206117698899968</v>
      </c>
      <c r="F1786" s="11" t="s">
        <v>43</v>
      </c>
      <c r="G1786" s="11">
        <v>482</v>
      </c>
      <c r="H1786" s="11">
        <v>932</v>
      </c>
      <c r="I1786" s="11">
        <v>0</v>
      </c>
      <c r="J1786" s="11">
        <v>0</v>
      </c>
      <c r="K1786" s="11" t="s">
        <v>21</v>
      </c>
      <c r="L1786" s="7">
        <v>39953.020138888889</v>
      </c>
      <c r="M1786" s="12" t="s">
        <v>4642</v>
      </c>
      <c r="N1786" s="12" t="s">
        <v>4643</v>
      </c>
      <c r="O1786" s="10" t="str">
        <f>HYPERLINK("https://pbs.twimg.com/profile_images/219318876/Bryan_avatarRGB_normal.jpg","View")</f>
        <v>View</v>
      </c>
      <c r="P1786" s="11"/>
    </row>
    <row r="1787" spans="1:16" ht="12.75" x14ac:dyDescent="0.35">
      <c r="A1787" s="7">
        <v>42481.969571759255</v>
      </c>
      <c r="B1787" s="8" t="str">
        <f>HYPERLINK("https://twitter.com/JosBosboom_","@JosBosboom_")</f>
        <v>@JosBosboom_</v>
      </c>
      <c r="C1787" s="9" t="s">
        <v>4644</v>
      </c>
      <c r="D1787" s="9" t="s">
        <v>4645</v>
      </c>
      <c r="E1787" s="10" t="str">
        <f>HYPERLINK("https://twitter.com/JosBosboom_/status/723206210955055105","723206210955055105")</f>
        <v>723206210955055105</v>
      </c>
      <c r="F1787" s="10" t="s">
        <v>124</v>
      </c>
      <c r="G1787" s="11">
        <v>11665</v>
      </c>
      <c r="H1787" s="11">
        <v>10998</v>
      </c>
      <c r="I1787" s="11">
        <v>0</v>
      </c>
      <c r="J1787" s="11">
        <v>0</v>
      </c>
      <c r="K1787" s="11" t="s">
        <v>21</v>
      </c>
      <c r="L1787" s="7">
        <v>40331.550509259258</v>
      </c>
      <c r="M1787" s="12" t="s">
        <v>4646</v>
      </c>
      <c r="N1787" s="12" t="s">
        <v>4647</v>
      </c>
      <c r="O1787" s="10" t="str">
        <f>HYPERLINK("https://pbs.twimg.com/profile_images/570893108095639552/IiOlHTmM_normal.jpeg","View")</f>
        <v>View</v>
      </c>
      <c r="P1787" s="11"/>
    </row>
    <row r="1788" spans="1:16" ht="12.75" x14ac:dyDescent="0.35">
      <c r="A1788" s="7">
        <v>42481.969583333332</v>
      </c>
      <c r="B1788" s="8" t="str">
        <f>HYPERLINK("https://twitter.com/startmakkelijk","@startmakkelijk")</f>
        <v>@startmakkelijk</v>
      </c>
      <c r="C1788" s="9" t="s">
        <v>4648</v>
      </c>
      <c r="D1788" s="9" t="s">
        <v>4649</v>
      </c>
      <c r="E1788" s="10" t="str">
        <f>HYPERLINK("https://twitter.com/startmakkelijk/status/723206215421943808","723206215421943808")</f>
        <v>723206215421943808</v>
      </c>
      <c r="F1788" s="10" t="s">
        <v>124</v>
      </c>
      <c r="G1788" s="11">
        <v>3834</v>
      </c>
      <c r="H1788" s="11">
        <v>4635</v>
      </c>
      <c r="I1788" s="11">
        <v>0</v>
      </c>
      <c r="J1788" s="11">
        <v>0</v>
      </c>
      <c r="K1788" s="11" t="s">
        <v>21</v>
      </c>
      <c r="L1788" s="7">
        <v>41892.722395833334</v>
      </c>
      <c r="M1788" s="12"/>
      <c r="N1788" s="12" t="s">
        <v>4650</v>
      </c>
      <c r="O1788" s="10" t="str">
        <f>HYPERLINK("https://pbs.twimg.com/profile_images/556562408542445568/pKWad79S_normal.png","View")</f>
        <v>View</v>
      </c>
      <c r="P1788" s="11"/>
    </row>
    <row r="1789" spans="1:16" ht="12.75" x14ac:dyDescent="0.35">
      <c r="A1789" s="7">
        <v>42481.969849537039</v>
      </c>
      <c r="B1789" s="8" t="str">
        <f>HYPERLINK("https://twitter.com/1stclasscampers","@1stclasscampers")</f>
        <v>@1stclasscampers</v>
      </c>
      <c r="C1789" s="9" t="s">
        <v>4651</v>
      </c>
      <c r="D1789" s="9" t="s">
        <v>4652</v>
      </c>
      <c r="E1789" s="10" t="str">
        <f>HYPERLINK("https://twitter.com/1stclasscampers/status/723206311052206081","723206311052206081")</f>
        <v>723206311052206081</v>
      </c>
      <c r="F1789" s="11" t="s">
        <v>20</v>
      </c>
      <c r="G1789" s="11">
        <v>2645</v>
      </c>
      <c r="H1789" s="11">
        <v>53</v>
      </c>
      <c r="I1789" s="11">
        <v>2</v>
      </c>
      <c r="J1789" s="11">
        <v>4</v>
      </c>
      <c r="K1789" s="11" t="s">
        <v>21</v>
      </c>
      <c r="L1789" s="7">
        <v>41875.961585648147</v>
      </c>
      <c r="M1789" s="12" t="s">
        <v>1450</v>
      </c>
      <c r="N1789" s="12" t="s">
        <v>4653</v>
      </c>
      <c r="O1789" s="10" t="str">
        <f>HYPERLINK("https://pbs.twimg.com/profile_images/577966282550677505/oTGuudXO_normal.jpeg","View")</f>
        <v>View</v>
      </c>
      <c r="P1789" s="11"/>
    </row>
    <row r="1790" spans="1:16" ht="12.75" x14ac:dyDescent="0.35">
      <c r="A1790" s="7">
        <v>42481.969895833332</v>
      </c>
      <c r="B1790" s="8" t="str">
        <f>HYPERLINK("https://twitter.com/SALYGO","@SALYGO")</f>
        <v>@SALYGO</v>
      </c>
      <c r="C1790" s="9" t="s">
        <v>4654</v>
      </c>
      <c r="D1790" s="9" t="s">
        <v>4655</v>
      </c>
      <c r="E1790" s="10" t="str">
        <f>HYPERLINK("https://twitter.com/SALYGO/status/723206325736361985","723206325736361985")</f>
        <v>723206325736361985</v>
      </c>
      <c r="F1790" s="11" t="s">
        <v>20</v>
      </c>
      <c r="G1790" s="11">
        <v>212</v>
      </c>
      <c r="H1790" s="11">
        <v>253</v>
      </c>
      <c r="I1790" s="11">
        <v>0</v>
      </c>
      <c r="J1790" s="11">
        <v>0</v>
      </c>
      <c r="K1790" s="11" t="s">
        <v>21</v>
      </c>
      <c r="L1790" s="7">
        <v>39880.27542824074</v>
      </c>
      <c r="M1790" s="12" t="s">
        <v>4656</v>
      </c>
      <c r="N1790" s="12" t="s">
        <v>4657</v>
      </c>
      <c r="O1790" s="10" t="str">
        <f>HYPERLINK("https://pbs.twimg.com/profile_images/626432788296642560/5MDMVDWV_normal.jpg","View")</f>
        <v>View</v>
      </c>
      <c r="P1790" s="11"/>
    </row>
    <row r="1791" spans="1:16" ht="12.75" x14ac:dyDescent="0.35">
      <c r="A1791" s="7">
        <v>42481.970127314809</v>
      </c>
      <c r="B1791" s="8" t="str">
        <f>HYPERLINK("https://twitter.com/braiiamvillada","@braiiamvillada")</f>
        <v>@braiiamvillada</v>
      </c>
      <c r="C1791" s="9" t="s">
        <v>4658</v>
      </c>
      <c r="D1791" s="9" t="s">
        <v>2825</v>
      </c>
      <c r="E1791" s="10" t="str">
        <f>HYPERLINK("https://twitter.com/braiiamvillada/status/723206411057008641","723206411057008641")</f>
        <v>723206411057008641</v>
      </c>
      <c r="F1791" s="11" t="s">
        <v>48</v>
      </c>
      <c r="G1791" s="11">
        <v>275</v>
      </c>
      <c r="H1791" s="11">
        <v>239</v>
      </c>
      <c r="I1791" s="11">
        <v>53</v>
      </c>
      <c r="J1791" s="11">
        <v>0</v>
      </c>
      <c r="K1791" s="11" t="s">
        <v>21</v>
      </c>
      <c r="L1791" s="7">
        <v>41876.756215277775</v>
      </c>
      <c r="M1791" s="12" t="s">
        <v>4659</v>
      </c>
      <c r="N1791" s="12" t="s">
        <v>4660</v>
      </c>
      <c r="O1791" s="10" t="str">
        <f>HYPERLINK("https://pbs.twimg.com/profile_images/716696142139015168/rtYZ9hGF_normal.jpg","View")</f>
        <v>View</v>
      </c>
      <c r="P1791" s="11"/>
    </row>
    <row r="1792" spans="1:16" ht="12.75" x14ac:dyDescent="0.35">
      <c r="A1792" s="7">
        <v>42481.970254629632</v>
      </c>
      <c r="B1792" s="8" t="str">
        <f>HYPERLINK("https://twitter.com/Carscoop","@Carscoop")</f>
        <v>@Carscoop</v>
      </c>
      <c r="C1792" s="9" t="s">
        <v>122</v>
      </c>
      <c r="D1792" s="9" t="s">
        <v>4661</v>
      </c>
      <c r="E1792" s="10" t="str">
        <f>HYPERLINK("https://twitter.com/Carscoop/status/723206455487164416","723206455487164416")</f>
        <v>723206455487164416</v>
      </c>
      <c r="F1792" s="10" t="s">
        <v>124</v>
      </c>
      <c r="G1792" s="11">
        <v>34894</v>
      </c>
      <c r="H1792" s="11">
        <v>323</v>
      </c>
      <c r="I1792" s="11">
        <v>0</v>
      </c>
      <c r="J1792" s="11">
        <v>0</v>
      </c>
      <c r="K1792" s="11" t="s">
        <v>21</v>
      </c>
      <c r="L1792" s="7">
        <v>39731.013483796298</v>
      </c>
      <c r="M1792" s="12" t="s">
        <v>125</v>
      </c>
      <c r="N1792" s="12" t="s">
        <v>126</v>
      </c>
      <c r="O1792" s="10" t="str">
        <f>HYPERLINK("https://pbs.twimg.com/profile_images/599709666017435648/r0vhT_9C_normal.png","View")</f>
        <v>View</v>
      </c>
      <c r="P1792" s="11"/>
    </row>
    <row r="1793" spans="1:16" ht="12.75" x14ac:dyDescent="0.35">
      <c r="A1793" s="7">
        <v>42481.970300925925</v>
      </c>
      <c r="B1793" s="8" t="str">
        <f>HYPERLINK("https://twitter.com/dankogaion","@dankogaion")</f>
        <v>@dankogaion</v>
      </c>
      <c r="C1793" s="9" t="s">
        <v>4662</v>
      </c>
      <c r="D1793" s="9" t="s">
        <v>4663</v>
      </c>
      <c r="E1793" s="10" t="str">
        <f>HYPERLINK("https://twitter.com/dankogaion/status/723206473837207554","723206473837207554")</f>
        <v>723206473837207554</v>
      </c>
      <c r="F1793" s="11" t="s">
        <v>43</v>
      </c>
      <c r="G1793" s="11">
        <v>2637</v>
      </c>
      <c r="H1793" s="11">
        <v>2730</v>
      </c>
      <c r="I1793" s="11">
        <v>0</v>
      </c>
      <c r="J1793" s="11">
        <v>0</v>
      </c>
      <c r="K1793" s="11" t="s">
        <v>21</v>
      </c>
      <c r="L1793" s="7">
        <v>40602.090856481482</v>
      </c>
      <c r="M1793" s="12" t="s">
        <v>4664</v>
      </c>
      <c r="N1793" s="12" t="s">
        <v>4665</v>
      </c>
      <c r="O1793" s="10" t="str">
        <f>HYPERLINK("https://pbs.twimg.com/profile_images/622944034353352704/lB09dnRc_normal.jpg","View")</f>
        <v>View</v>
      </c>
      <c r="P1793" s="11"/>
    </row>
    <row r="1794" spans="1:16" ht="12.75" x14ac:dyDescent="0.35">
      <c r="A1794" s="7">
        <v>42481.971400462964</v>
      </c>
      <c r="B1794" s="8" t="str">
        <f t="shared" ref="B1794:B1795" si="163">HYPERLINK("https://twitter.com/carshionshow","@carshionshow")</f>
        <v>@carshionshow</v>
      </c>
      <c r="C1794" s="9" t="s">
        <v>4666</v>
      </c>
      <c r="D1794" s="9" t="s">
        <v>4667</v>
      </c>
      <c r="E1794" s="10" t="str">
        <f>HYPERLINK("https://twitter.com/carshionshow/status/723206871792934912","723206871792934912")</f>
        <v>723206871792934912</v>
      </c>
      <c r="F1794" s="11" t="s">
        <v>20</v>
      </c>
      <c r="G1794" s="11">
        <v>74</v>
      </c>
      <c r="H1794" s="11">
        <v>121</v>
      </c>
      <c r="I1794" s="11">
        <v>1</v>
      </c>
      <c r="J1794" s="11">
        <v>0</v>
      </c>
      <c r="K1794" s="11" t="s">
        <v>21</v>
      </c>
      <c r="L1794" s="7">
        <v>42439.076273148152</v>
      </c>
      <c r="M1794" s="12" t="s">
        <v>2378</v>
      </c>
      <c r="N1794" s="12" t="s">
        <v>4668</v>
      </c>
      <c r="O1794" s="10" t="str">
        <f t="shared" ref="O1794:O1795" si="164">HYPERLINK("https://pbs.twimg.com/profile_images/707706885416361988/CSeBjVbk_normal.jpg","View")</f>
        <v>View</v>
      </c>
      <c r="P1794" s="11"/>
    </row>
    <row r="1795" spans="1:16" ht="12.75" x14ac:dyDescent="0.35">
      <c r="A1795" s="7">
        <v>42481.971562499995</v>
      </c>
      <c r="B1795" s="8" t="str">
        <f t="shared" si="163"/>
        <v>@carshionshow</v>
      </c>
      <c r="C1795" s="9" t="s">
        <v>4666</v>
      </c>
      <c r="D1795" s="9" t="s">
        <v>4669</v>
      </c>
      <c r="E1795" s="10" t="str">
        <f>HYPERLINK("https://twitter.com/carshionshow/status/723206932648067072","723206932648067072")</f>
        <v>723206932648067072</v>
      </c>
      <c r="F1795" s="11" t="s">
        <v>20</v>
      </c>
      <c r="G1795" s="11">
        <v>74</v>
      </c>
      <c r="H1795" s="11">
        <v>121</v>
      </c>
      <c r="I1795" s="11">
        <v>1</v>
      </c>
      <c r="J1795" s="11">
        <v>0</v>
      </c>
      <c r="K1795" s="11" t="s">
        <v>21</v>
      </c>
      <c r="L1795" s="7">
        <v>42439.076273148152</v>
      </c>
      <c r="M1795" s="12" t="s">
        <v>2378</v>
      </c>
      <c r="N1795" s="12" t="s">
        <v>4668</v>
      </c>
      <c r="O1795" s="10" t="str">
        <f t="shared" si="164"/>
        <v>View</v>
      </c>
      <c r="P1795" s="11"/>
    </row>
    <row r="1796" spans="1:16" ht="12.75" x14ac:dyDescent="0.35">
      <c r="A1796" s="7">
        <v>42481.972013888888</v>
      </c>
      <c r="B1796" s="8" t="str">
        <f>HYPERLINK("https://twitter.com/wehrs18","@wehrs18")</f>
        <v>@wehrs18</v>
      </c>
      <c r="C1796" s="9" t="s">
        <v>1964</v>
      </c>
      <c r="D1796" s="9" t="s">
        <v>4670</v>
      </c>
      <c r="E1796" s="10" t="str">
        <f>HYPERLINK("https://twitter.com/wehrs18/status/723207094615289856","723207094615289856")</f>
        <v>723207094615289856</v>
      </c>
      <c r="F1796" s="11" t="s">
        <v>48</v>
      </c>
      <c r="G1796" s="11">
        <v>122</v>
      </c>
      <c r="H1796" s="11">
        <v>241</v>
      </c>
      <c r="I1796" s="11">
        <v>3</v>
      </c>
      <c r="J1796" s="11">
        <v>0</v>
      </c>
      <c r="K1796" s="11" t="s">
        <v>21</v>
      </c>
      <c r="L1796" s="7">
        <v>41836.590428240743</v>
      </c>
      <c r="M1796" s="12" t="s">
        <v>1116</v>
      </c>
      <c r="N1796" s="12" t="s">
        <v>1965</v>
      </c>
      <c r="O1796" s="10" t="str">
        <f>HYPERLINK("https://pbs.twimg.com/profile_images/687314255507513346/a83L5Opq_normal.jpg","View")</f>
        <v>View</v>
      </c>
      <c r="P1796" s="11"/>
    </row>
    <row r="1797" spans="1:16" ht="12.75" x14ac:dyDescent="0.35">
      <c r="A1797" s="7">
        <v>42481.972303240742</v>
      </c>
      <c r="B1797" s="8" t="str">
        <f>HYPERLINK("https://twitter.com/acvwpassion","@acvwpassion")</f>
        <v>@acvwpassion</v>
      </c>
      <c r="C1797" s="9" t="s">
        <v>4671</v>
      </c>
      <c r="D1797" s="9" t="s">
        <v>4672</v>
      </c>
      <c r="E1797" s="10" t="str">
        <f>HYPERLINK("https://twitter.com/acvwpassion/status/723207199045066752","723207199045066752")</f>
        <v>723207199045066752</v>
      </c>
      <c r="F1797" s="11" t="s">
        <v>152</v>
      </c>
      <c r="G1797" s="11">
        <v>241</v>
      </c>
      <c r="H1797" s="11">
        <v>409</v>
      </c>
      <c r="I1797" s="11">
        <v>1</v>
      </c>
      <c r="J1797" s="11">
        <v>0</v>
      </c>
      <c r="K1797" s="11" t="s">
        <v>21</v>
      </c>
      <c r="L1797" s="7">
        <v>41989.101851851854</v>
      </c>
      <c r="M1797" s="12" t="s">
        <v>4673</v>
      </c>
      <c r="N1797" s="12" t="s">
        <v>4674</v>
      </c>
      <c r="O1797" s="10" t="str">
        <f>HYPERLINK("https://pbs.twimg.com/profile_images/545688359964651520/SF3sJ7lv_normal.jpeg","View")</f>
        <v>View</v>
      </c>
      <c r="P1797" s="11"/>
    </row>
    <row r="1798" spans="1:16" ht="12.75" x14ac:dyDescent="0.35">
      <c r="A1798" s="7">
        <v>42481.973599537036</v>
      </c>
      <c r="B1798" s="8" t="str">
        <f>HYPERLINK("https://twitter.com/lamontto","@lamontto")</f>
        <v>@lamontto</v>
      </c>
      <c r="C1798" s="9" t="s">
        <v>718</v>
      </c>
      <c r="D1798" s="9" t="s">
        <v>4675</v>
      </c>
      <c r="E1798" s="10" t="str">
        <f>HYPERLINK("https://twitter.com/lamontto/status/723207668312072192","723207668312072192")</f>
        <v>723207668312072192</v>
      </c>
      <c r="F1798" s="11" t="s">
        <v>43</v>
      </c>
      <c r="G1798" s="11">
        <v>630</v>
      </c>
      <c r="H1798" s="11">
        <v>607</v>
      </c>
      <c r="I1798" s="11">
        <v>0</v>
      </c>
      <c r="J1798" s="11">
        <v>0</v>
      </c>
      <c r="K1798" s="11" t="s">
        <v>21</v>
      </c>
      <c r="L1798" s="7">
        <v>40642.156342592592</v>
      </c>
      <c r="M1798" s="12" t="s">
        <v>720</v>
      </c>
      <c r="N1798" s="12" t="s">
        <v>721</v>
      </c>
      <c r="O1798" s="10" t="str">
        <f>HYPERLINK("https://pbs.twimg.com/profile_images/653334158484357120/pjDnQtCN_normal.jpg","View")</f>
        <v>View</v>
      </c>
      <c r="P1798" s="11"/>
    </row>
    <row r="1799" spans="1:16" ht="12.75" x14ac:dyDescent="0.35">
      <c r="A1799" s="7">
        <v>42481.973715277782</v>
      </c>
      <c r="B1799" s="8" t="str">
        <f>HYPERLINK("https://twitter.com/pillows_adam","@pillows_adam")</f>
        <v>@pillows_adam</v>
      </c>
      <c r="C1799" s="9" t="s">
        <v>4676</v>
      </c>
      <c r="D1799" s="9" t="s">
        <v>4677</v>
      </c>
      <c r="E1799" s="10" t="str">
        <f>HYPERLINK("https://twitter.com/pillows_adam/status/723207709231865856","723207709231865856")</f>
        <v>723207709231865856</v>
      </c>
      <c r="F1799" s="11" t="s">
        <v>48</v>
      </c>
      <c r="G1799" s="11">
        <v>5</v>
      </c>
      <c r="H1799" s="11">
        <v>27</v>
      </c>
      <c r="I1799" s="11">
        <v>0</v>
      </c>
      <c r="J1799" s="11">
        <v>0</v>
      </c>
      <c r="K1799" s="11" t="s">
        <v>21</v>
      </c>
      <c r="L1799" s="7">
        <v>42352.021979166668</v>
      </c>
      <c r="M1799" s="12" t="s">
        <v>4678</v>
      </c>
      <c r="N1799" s="12"/>
      <c r="O1799" s="10" t="str">
        <f>HYPERLINK("https://pbs.twimg.com/profile_images/685566400178556930/I8jEfWdp_normal.jpg","View")</f>
        <v>View</v>
      </c>
      <c r="P1799" s="11"/>
    </row>
    <row r="1800" spans="1:16" ht="12.75" x14ac:dyDescent="0.35">
      <c r="A1800" s="7">
        <v>42481.974189814813</v>
      </c>
      <c r="B1800" s="8" t="str">
        <f>HYPERLINK("https://twitter.com/earlybird445","@earlybird445")</f>
        <v>@earlybird445</v>
      </c>
      <c r="C1800" s="9" t="s">
        <v>4679</v>
      </c>
      <c r="D1800" s="9" t="s">
        <v>4680</v>
      </c>
      <c r="E1800" s="10" t="str">
        <f>HYPERLINK("https://twitter.com/earlybird445/status/723207882796195841","723207882796195841")</f>
        <v>723207882796195841</v>
      </c>
      <c r="F1800" s="11" t="s">
        <v>43</v>
      </c>
      <c r="G1800" s="11">
        <v>366</v>
      </c>
      <c r="H1800" s="11">
        <v>341</v>
      </c>
      <c r="I1800" s="11">
        <v>2</v>
      </c>
      <c r="J1800" s="11">
        <v>0</v>
      </c>
      <c r="K1800" s="11" t="s">
        <v>21</v>
      </c>
      <c r="L1800" s="7">
        <v>40652.03738425926</v>
      </c>
      <c r="M1800" s="12"/>
      <c r="N1800" s="12" t="s">
        <v>4681</v>
      </c>
      <c r="O1800" s="10" t="str">
        <f>HYPERLINK("https://pbs.twimg.com/profile_images/546742188311195649/s46SZ2zw_normal.png","View")</f>
        <v>View</v>
      </c>
      <c r="P1800" s="11"/>
    </row>
    <row r="1801" spans="1:16" ht="12.75" x14ac:dyDescent="0.35">
      <c r="A1801" s="7">
        <v>42481.974236111113</v>
      </c>
      <c r="B1801" s="8" t="str">
        <f>HYPERLINK("https://twitter.com/BeCarChic","@BeCarChic")</f>
        <v>@BeCarChic</v>
      </c>
      <c r="C1801" s="9" t="s">
        <v>4682</v>
      </c>
      <c r="D1801" s="9" t="s">
        <v>4683</v>
      </c>
      <c r="E1801" s="10" t="str">
        <f>HYPERLINK("https://twitter.com/BeCarChic/status/723207901591011328","723207901591011328")</f>
        <v>723207901591011328</v>
      </c>
      <c r="F1801" s="11" t="s">
        <v>68</v>
      </c>
      <c r="G1801" s="11">
        <v>3601</v>
      </c>
      <c r="H1801" s="11">
        <v>2445</v>
      </c>
      <c r="I1801" s="11">
        <v>0</v>
      </c>
      <c r="J1801" s="11">
        <v>1</v>
      </c>
      <c r="K1801" s="11" t="s">
        <v>21</v>
      </c>
      <c r="L1801" s="7">
        <v>40193.11409722222</v>
      </c>
      <c r="M1801" s="12" t="s">
        <v>3587</v>
      </c>
      <c r="N1801" s="12" t="s">
        <v>4684</v>
      </c>
      <c r="O1801" s="10" t="str">
        <f>HYPERLINK("https://pbs.twimg.com/profile_images/472019970604285952/Ry1ip6Gn_normal.png","View")</f>
        <v>View</v>
      </c>
      <c r="P1801" s="11"/>
    </row>
    <row r="1802" spans="1:16" ht="12.75" x14ac:dyDescent="0.35">
      <c r="A1802" s="7">
        <v>42481.974594907406</v>
      </c>
      <c r="B1802" s="8" t="str">
        <f>HYPERLINK("https://twitter.com/DubLuvTuning","@DubLuvTuning")</f>
        <v>@DubLuvTuning</v>
      </c>
      <c r="C1802" s="9" t="s">
        <v>299</v>
      </c>
      <c r="D1802" s="9" t="s">
        <v>4639</v>
      </c>
      <c r="E1802" s="10" t="str">
        <f>HYPERLINK("https://twitter.com/DubLuvTuning/status/723208030955933696","723208030955933696")</f>
        <v>723208030955933696</v>
      </c>
      <c r="F1802" s="11" t="s">
        <v>288</v>
      </c>
      <c r="G1802" s="11">
        <v>690</v>
      </c>
      <c r="H1802" s="11">
        <v>431</v>
      </c>
      <c r="I1802" s="11">
        <v>2</v>
      </c>
      <c r="J1802" s="11">
        <v>0</v>
      </c>
      <c r="K1802" s="11" t="s">
        <v>21</v>
      </c>
      <c r="L1802" s="7">
        <v>41549.898287037038</v>
      </c>
      <c r="M1802" s="12" t="s">
        <v>301</v>
      </c>
      <c r="N1802" s="12" t="s">
        <v>302</v>
      </c>
      <c r="O1802" s="10" t="str">
        <f>HYPERLINK("https://pbs.twimg.com/profile_images/378800000572104796/1de43e1cf23efb3f4101c02afad0d3b6_normal.png","View")</f>
        <v>View</v>
      </c>
      <c r="P1802" s="11"/>
    </row>
    <row r="1803" spans="1:16" ht="12.75" x14ac:dyDescent="0.35">
      <c r="A1803" s="7">
        <v>42481.974814814814</v>
      </c>
      <c r="B1803" s="8" t="str">
        <f>HYPERLINK("https://twitter.com/pillows_adam","@pillows_adam")</f>
        <v>@pillows_adam</v>
      </c>
      <c r="C1803" s="9" t="s">
        <v>4676</v>
      </c>
      <c r="D1803" s="9" t="s">
        <v>4685</v>
      </c>
      <c r="E1803" s="10" t="str">
        <f>HYPERLINK("https://twitter.com/pillows_adam/status/723208110035329024","723208110035329024")</f>
        <v>723208110035329024</v>
      </c>
      <c r="F1803" s="11" t="s">
        <v>48</v>
      </c>
      <c r="G1803" s="11">
        <v>5</v>
      </c>
      <c r="H1803" s="11">
        <v>27</v>
      </c>
      <c r="I1803" s="11">
        <v>0</v>
      </c>
      <c r="J1803" s="11">
        <v>0</v>
      </c>
      <c r="K1803" s="11" t="s">
        <v>21</v>
      </c>
      <c r="L1803" s="7">
        <v>42352.021979166668</v>
      </c>
      <c r="M1803" s="12" t="s">
        <v>4678</v>
      </c>
      <c r="N1803" s="12"/>
      <c r="O1803" s="10" t="str">
        <f>HYPERLINK("https://pbs.twimg.com/profile_images/685566400178556930/I8jEfWdp_normal.jpg","View")</f>
        <v>View</v>
      </c>
      <c r="P1803" s="11"/>
    </row>
    <row r="1804" spans="1:16" ht="12.75" x14ac:dyDescent="0.35">
      <c r="A1804" s="7">
        <v>42481.97550925926</v>
      </c>
      <c r="B1804" s="8" t="str">
        <f>HYPERLINK("https://twitter.com/DerbyshireGreen","@DerbyshireGreen")</f>
        <v>@DerbyshireGreen</v>
      </c>
      <c r="C1804" s="9" t="s">
        <v>4686</v>
      </c>
      <c r="D1804" s="9" t="s">
        <v>4687</v>
      </c>
      <c r="E1804" s="10" t="str">
        <f>HYPERLINK("https://twitter.com/DerbyshireGreen/status/723208361529860096","723208361529860096")</f>
        <v>723208361529860096</v>
      </c>
      <c r="F1804" s="11" t="s">
        <v>43</v>
      </c>
      <c r="G1804" s="11">
        <v>1059</v>
      </c>
      <c r="H1804" s="11">
        <v>298</v>
      </c>
      <c r="I1804" s="11">
        <v>0</v>
      </c>
      <c r="J1804" s="11">
        <v>0</v>
      </c>
      <c r="K1804" s="11" t="s">
        <v>21</v>
      </c>
      <c r="L1804" s="7">
        <v>41735.663055555553</v>
      </c>
      <c r="M1804" s="12" t="s">
        <v>4688</v>
      </c>
      <c r="N1804" s="12" t="s">
        <v>4689</v>
      </c>
      <c r="O1804" s="10" t="str">
        <f>HYPERLINK("https://pbs.twimg.com/profile_images/598819027033661440/3xMM90ca_normal.jpg","View")</f>
        <v>View</v>
      </c>
      <c r="P1804" s="11"/>
    </row>
    <row r="1805" spans="1:16" ht="12.75" x14ac:dyDescent="0.35">
      <c r="A1805" s="7">
        <v>42481.975949074069</v>
      </c>
      <c r="B1805" s="8" t="str">
        <f>HYPERLINK("https://twitter.com/Lid1108","@Lid1108")</f>
        <v>@Lid1108</v>
      </c>
      <c r="C1805" s="9" t="s">
        <v>4690</v>
      </c>
      <c r="D1805" s="9" t="s">
        <v>4691</v>
      </c>
      <c r="E1805" s="10" t="str">
        <f>HYPERLINK("https://twitter.com/Lid1108/status/723208519080517633","723208519080517633")</f>
        <v>723208519080517633</v>
      </c>
      <c r="F1805" s="11" t="s">
        <v>43</v>
      </c>
      <c r="G1805" s="11">
        <v>3643</v>
      </c>
      <c r="H1805" s="11">
        <v>3233</v>
      </c>
      <c r="I1805" s="11">
        <v>1</v>
      </c>
      <c r="J1805" s="11">
        <v>0</v>
      </c>
      <c r="K1805" s="11" t="s">
        <v>21</v>
      </c>
      <c r="L1805" s="7">
        <v>40352.624976851854</v>
      </c>
      <c r="M1805" s="12" t="s">
        <v>4692</v>
      </c>
      <c r="N1805" s="12" t="s">
        <v>4693</v>
      </c>
      <c r="O1805" s="10" t="str">
        <f>HYPERLINK("https://pbs.twimg.com/profile_images/693301323790467072/CXsYnNIp_normal.jpg","View")</f>
        <v>View</v>
      </c>
      <c r="P1805" s="11"/>
    </row>
    <row r="1806" spans="1:16" ht="12.75" x14ac:dyDescent="0.35">
      <c r="A1806" s="7">
        <v>42481.976863425924</v>
      </c>
      <c r="B1806" s="8" t="str">
        <f>HYPERLINK("https://twitter.com/SalihiShejzije","@SalihiShejzije")</f>
        <v>@SalihiShejzije</v>
      </c>
      <c r="C1806" s="9" t="s">
        <v>1829</v>
      </c>
      <c r="D1806" s="9" t="s">
        <v>4694</v>
      </c>
      <c r="E1806" s="10" t="str">
        <f>HYPERLINK("https://twitter.com/SalihiShejzije/status/723208851626037248","723208851626037248")</f>
        <v>723208851626037248</v>
      </c>
      <c r="F1806" s="11" t="s">
        <v>48</v>
      </c>
      <c r="G1806" s="11">
        <v>25</v>
      </c>
      <c r="H1806" s="11">
        <v>13</v>
      </c>
      <c r="I1806" s="11">
        <v>1</v>
      </c>
      <c r="J1806" s="11">
        <v>0</v>
      </c>
      <c r="K1806" s="11" t="s">
        <v>21</v>
      </c>
      <c r="L1806" s="7">
        <v>42421.055231481485</v>
      </c>
      <c r="M1806" s="12" t="s">
        <v>1830</v>
      </c>
      <c r="N1806" s="12"/>
      <c r="O1806" s="10" t="str">
        <f>HYPERLINK("https://pbs.twimg.com/profile_images/704001047216447488/5a1ozl-l_normal.jpg","View")</f>
        <v>View</v>
      </c>
      <c r="P1806" s="11"/>
    </row>
    <row r="1807" spans="1:16" ht="12.75" x14ac:dyDescent="0.35">
      <c r="A1807" s="7">
        <v>42481.977604166663</v>
      </c>
      <c r="B1807" s="8" t="str">
        <f>HYPERLINK("https://twitter.com/SusaaaanCondon","@SusaaaanCondon")</f>
        <v>@SusaaaanCondon</v>
      </c>
      <c r="C1807" s="9" t="s">
        <v>4695</v>
      </c>
      <c r="D1807" s="9" t="s">
        <v>3996</v>
      </c>
      <c r="E1807" s="10" t="str">
        <f>HYPERLINK("https://twitter.com/SusaaaanCondon/status/723209121449795584","723209121449795584")</f>
        <v>723209121449795584</v>
      </c>
      <c r="F1807" s="11" t="s">
        <v>20</v>
      </c>
      <c r="G1807" s="11">
        <v>1020</v>
      </c>
      <c r="H1807" s="11">
        <v>925</v>
      </c>
      <c r="I1807" s="11">
        <v>2</v>
      </c>
      <c r="J1807" s="11">
        <v>0</v>
      </c>
      <c r="K1807" s="11" t="s">
        <v>21</v>
      </c>
      <c r="L1807" s="7">
        <v>40647.992233796293</v>
      </c>
      <c r="M1807" s="12" t="s">
        <v>4696</v>
      </c>
      <c r="N1807" s="12" t="s">
        <v>4697</v>
      </c>
      <c r="O1807" s="10" t="str">
        <f>HYPERLINK("https://pbs.twimg.com/profile_images/718489665200893953/lUvZosrg_normal.jpg","View")</f>
        <v>View</v>
      </c>
      <c r="P1807" s="11"/>
    </row>
    <row r="1808" spans="1:16" ht="12.75" x14ac:dyDescent="0.35">
      <c r="A1808" s="7">
        <v>42481.977847222224</v>
      </c>
      <c r="B1808" s="8" t="str">
        <f>HYPERLINK("https://twitter.com/cleanairfrank","@cleanairfrank")</f>
        <v>@cleanairfrank</v>
      </c>
      <c r="C1808" s="9" t="s">
        <v>4698</v>
      </c>
      <c r="D1808" s="9" t="s">
        <v>4699</v>
      </c>
      <c r="E1808" s="10" t="str">
        <f>HYPERLINK("https://twitter.com/cleanairfrank/status/723209206401093636","723209206401093636")</f>
        <v>723209206401093636</v>
      </c>
      <c r="F1808" s="11" t="s">
        <v>1143</v>
      </c>
      <c r="G1808" s="11">
        <v>1021</v>
      </c>
      <c r="H1808" s="11">
        <v>657</v>
      </c>
      <c r="I1808" s="11">
        <v>1</v>
      </c>
      <c r="J1808" s="11">
        <v>0</v>
      </c>
      <c r="K1808" s="11" t="s">
        <v>21</v>
      </c>
      <c r="L1808" s="7">
        <v>40029.028368055559</v>
      </c>
      <c r="M1808" s="12" t="s">
        <v>3587</v>
      </c>
      <c r="N1808" s="12" t="s">
        <v>4700</v>
      </c>
      <c r="O1808" s="10" t="str">
        <f>HYPERLINK("https://pbs.twimg.com/profile_images/597164225/Frank_O_Donnell_head_shot__3__normal.jpg","View")</f>
        <v>View</v>
      </c>
      <c r="P1808" s="11"/>
    </row>
    <row r="1809" spans="1:16" ht="12.75" x14ac:dyDescent="0.35">
      <c r="A1809" s="7">
        <v>42481.978159722217</v>
      </c>
      <c r="B1809" s="8" t="str">
        <f>HYPERLINK("https://twitter.com/WowbaggerXX7","@WowbaggerXX7")</f>
        <v>@WowbaggerXX7</v>
      </c>
      <c r="C1809" s="9" t="s">
        <v>2988</v>
      </c>
      <c r="D1809" s="9" t="s">
        <v>4701</v>
      </c>
      <c r="E1809" s="10" t="str">
        <f>HYPERLINK("https://twitter.com/WowbaggerXX7/status/723209321530585088","723209321530585088")</f>
        <v>723209321530585088</v>
      </c>
      <c r="F1809" s="11" t="s">
        <v>43</v>
      </c>
      <c r="G1809" s="11">
        <v>106</v>
      </c>
      <c r="H1809" s="11">
        <v>200</v>
      </c>
      <c r="I1809" s="11">
        <v>2</v>
      </c>
      <c r="J1809" s="11">
        <v>0</v>
      </c>
      <c r="K1809" s="11" t="s">
        <v>21</v>
      </c>
      <c r="L1809" s="7">
        <v>40878.039513888885</v>
      </c>
      <c r="M1809" s="12"/>
      <c r="N1809" s="12" t="s">
        <v>2990</v>
      </c>
      <c r="O1809" s="10" t="str">
        <f>HYPERLINK("https://pbs.twimg.com/profile_images/543163066599219200/dUy-AYOX_normal.jpeg","View")</f>
        <v>View</v>
      </c>
      <c r="P1809" s="11"/>
    </row>
    <row r="1810" spans="1:16" ht="12.75" x14ac:dyDescent="0.35">
      <c r="A1810" s="7">
        <v>42481.978958333333</v>
      </c>
      <c r="B1810" s="8" t="str">
        <f>HYPERLINK("https://twitter.com/runner0305","@runner0305")</f>
        <v>@runner0305</v>
      </c>
      <c r="C1810" s="9" t="s">
        <v>4702</v>
      </c>
      <c r="D1810" s="9" t="s">
        <v>4701</v>
      </c>
      <c r="E1810" s="10" t="str">
        <f>HYPERLINK("https://twitter.com/runner0305/status/723209612216819713","723209612216819713")</f>
        <v>723209612216819713</v>
      </c>
      <c r="F1810" s="11" t="s">
        <v>43</v>
      </c>
      <c r="G1810" s="11">
        <v>506</v>
      </c>
      <c r="H1810" s="11">
        <v>546</v>
      </c>
      <c r="I1810" s="11">
        <v>2</v>
      </c>
      <c r="J1810" s="11">
        <v>0</v>
      </c>
      <c r="K1810" s="11" t="s">
        <v>21</v>
      </c>
      <c r="L1810" s="7">
        <v>41665.192719907405</v>
      </c>
      <c r="M1810" s="12" t="s">
        <v>1169</v>
      </c>
      <c r="N1810" s="12" t="s">
        <v>4703</v>
      </c>
      <c r="O1810" s="10" t="str">
        <f>HYPERLINK("https://pbs.twimg.com/profile_images/715474358790041602/SS-JhB1a_normal.jpg","View")</f>
        <v>View</v>
      </c>
      <c r="P1810" s="11"/>
    </row>
    <row r="1811" spans="1:16" ht="12.75" x14ac:dyDescent="0.35">
      <c r="A1811" s="7">
        <v>42481.979386574079</v>
      </c>
      <c r="B1811" s="8" t="str">
        <f>HYPERLINK("https://twitter.com/Auto2day_gr","@Auto2day_gr")</f>
        <v>@Auto2day_gr</v>
      </c>
      <c r="C1811" s="9" t="s">
        <v>4704</v>
      </c>
      <c r="D1811" s="9" t="s">
        <v>4705</v>
      </c>
      <c r="E1811" s="10" t="str">
        <f>HYPERLINK("https://twitter.com/Auto2day_gr/status/723209766651064321","723209766651064321")</f>
        <v>723209766651064321</v>
      </c>
      <c r="F1811" s="11" t="s">
        <v>63</v>
      </c>
      <c r="G1811" s="11">
        <v>113</v>
      </c>
      <c r="H1811" s="11">
        <v>457</v>
      </c>
      <c r="I1811" s="11">
        <v>0</v>
      </c>
      <c r="J1811" s="11">
        <v>0</v>
      </c>
      <c r="K1811" s="11" t="s">
        <v>21</v>
      </c>
      <c r="L1811" s="7">
        <v>42374.977708333332</v>
      </c>
      <c r="M1811" s="12"/>
      <c r="N1811" s="12" t="s">
        <v>4706</v>
      </c>
      <c r="O1811" s="10" t="str">
        <f>HYPERLINK("https://pbs.twimg.com/profile_images/684439034580570112/xeZrDF8k_normal.jpg","View")</f>
        <v>View</v>
      </c>
      <c r="P1811" s="11"/>
    </row>
    <row r="1812" spans="1:16" ht="12.75" x14ac:dyDescent="0.35">
      <c r="A1812" s="7">
        <v>42481.980023148149</v>
      </c>
      <c r="B1812" s="8" t="str">
        <f>HYPERLINK("https://twitter.com/MansellMotoSPT","@MansellMotoSPT")</f>
        <v>@MansellMotoSPT</v>
      </c>
      <c r="C1812" s="9" t="s">
        <v>4707</v>
      </c>
      <c r="D1812" s="9" t="s">
        <v>4708</v>
      </c>
      <c r="E1812" s="10" t="str">
        <f>HYPERLINK("https://twitter.com/MansellMotoSPT/status/723209996389982208","723209996389982208")</f>
        <v>723209996389982208</v>
      </c>
      <c r="F1812" s="11" t="s">
        <v>152</v>
      </c>
      <c r="G1812" s="11">
        <v>110</v>
      </c>
      <c r="H1812" s="11">
        <v>519</v>
      </c>
      <c r="I1812" s="11">
        <v>0</v>
      </c>
      <c r="J1812" s="11">
        <v>0</v>
      </c>
      <c r="K1812" s="11" t="s">
        <v>21</v>
      </c>
      <c r="L1812" s="7">
        <v>42314.917557870373</v>
      </c>
      <c r="M1812" s="12" t="s">
        <v>4709</v>
      </c>
      <c r="N1812" s="12" t="s">
        <v>4710</v>
      </c>
      <c r="O1812" s="10" t="str">
        <f>HYPERLINK("https://pbs.twimg.com/profile_images/683943927808917505/ufIVpnBm_normal.png","View")</f>
        <v>View</v>
      </c>
      <c r="P1812" s="11"/>
    </row>
    <row r="1813" spans="1:16" ht="12.75" x14ac:dyDescent="0.35">
      <c r="A1813" s="7">
        <v>42481.98065972222</v>
      </c>
      <c r="B1813" s="8" t="str">
        <f>HYPERLINK("https://twitter.com/mvdweyer","@mvdweyer")</f>
        <v>@mvdweyer</v>
      </c>
      <c r="C1813" s="9" t="s">
        <v>1319</v>
      </c>
      <c r="D1813" s="9" t="s">
        <v>4711</v>
      </c>
      <c r="E1813" s="10" t="str">
        <f>HYPERLINK("https://twitter.com/mvdweyer/status/723210226745376768","723210226745376768")</f>
        <v>723210226745376768</v>
      </c>
      <c r="F1813" s="11" t="s">
        <v>91</v>
      </c>
      <c r="G1813" s="11">
        <v>478</v>
      </c>
      <c r="H1813" s="11">
        <v>830</v>
      </c>
      <c r="I1813" s="11">
        <v>1</v>
      </c>
      <c r="J1813" s="11">
        <v>0</v>
      </c>
      <c r="K1813" s="11" t="s">
        <v>21</v>
      </c>
      <c r="L1813" s="7">
        <v>41129.776863425926</v>
      </c>
      <c r="M1813" s="12" t="s">
        <v>1229</v>
      </c>
      <c r="N1813" s="12" t="s">
        <v>1321</v>
      </c>
      <c r="O1813" s="10" t="str">
        <f>HYPERLINK("https://pbs.twimg.com/profile_images/489747056584445953/3tvslEko_normal.jpeg","View")</f>
        <v>View</v>
      </c>
      <c r="P1813" s="11"/>
    </row>
    <row r="1814" spans="1:16" ht="12.75" x14ac:dyDescent="0.35">
      <c r="A1814" s="7">
        <v>42481.980914351851</v>
      </c>
      <c r="B1814" s="8" t="str">
        <f>HYPERLINK("https://twitter.com/becomeagoogler","@becomeagoogler")</f>
        <v>@becomeagoogler</v>
      </c>
      <c r="C1814" s="9" t="s">
        <v>4712</v>
      </c>
      <c r="D1814" s="9" t="s">
        <v>4713</v>
      </c>
      <c r="E1814" s="10" t="str">
        <f>HYPERLINK("https://twitter.com/becomeagoogler/status/723210319816962048","723210319816962048")</f>
        <v>723210319816962048</v>
      </c>
      <c r="F1814" s="11" t="s">
        <v>4712</v>
      </c>
      <c r="G1814" s="11">
        <v>818</v>
      </c>
      <c r="H1814" s="11">
        <v>1926</v>
      </c>
      <c r="I1814" s="11">
        <v>1</v>
      </c>
      <c r="J1814" s="11">
        <v>0</v>
      </c>
      <c r="K1814" s="11" t="s">
        <v>21</v>
      </c>
      <c r="L1814" s="7">
        <v>42437.361157407402</v>
      </c>
      <c r="M1814" s="12"/>
      <c r="N1814" s="13" t="s">
        <v>4714</v>
      </c>
      <c r="O1814" s="10" t="str">
        <f>HYPERLINK("https://pbs.twimg.com/profile_images/714639959932739586/MRnWA85b_normal.jpg","View")</f>
        <v>View</v>
      </c>
      <c r="P1814" s="11"/>
    </row>
    <row r="1815" spans="1:16" ht="12.75" x14ac:dyDescent="0.35">
      <c r="A1815" s="7">
        <v>42481.981354166666</v>
      </c>
      <c r="B1815" s="8" t="str">
        <f t="shared" ref="B1815:B1816" si="165">HYPERLINK("https://twitter.com/VWBeetleSales","@VWBeetleSales")</f>
        <v>@VWBeetleSales</v>
      </c>
      <c r="C1815" s="9" t="s">
        <v>127</v>
      </c>
      <c r="D1815" s="9" t="s">
        <v>4715</v>
      </c>
      <c r="E1815" s="10" t="str">
        <f>HYPERLINK("https://twitter.com/VWBeetleSales/status/723210479292715008","723210479292715008")</f>
        <v>723210479292715008</v>
      </c>
      <c r="F1815" s="10" t="s">
        <v>124</v>
      </c>
      <c r="G1815" s="11">
        <v>35</v>
      </c>
      <c r="H1815" s="11">
        <v>32</v>
      </c>
      <c r="I1815" s="11">
        <v>0</v>
      </c>
      <c r="J1815" s="11">
        <v>0</v>
      </c>
      <c r="K1815" s="11" t="s">
        <v>21</v>
      </c>
      <c r="L1815" s="7">
        <v>42427.019756944443</v>
      </c>
      <c r="M1815" s="12" t="s">
        <v>129</v>
      </c>
      <c r="N1815" s="12" t="s">
        <v>130</v>
      </c>
      <c r="O1815" s="10" t="str">
        <f t="shared" ref="O1815:O1816" si="166">HYPERLINK("https://pbs.twimg.com/profile_images/703294545195307008/qeCvrX86_normal.jpg","View")</f>
        <v>View</v>
      </c>
      <c r="P1815" s="11"/>
    </row>
    <row r="1816" spans="1:16" ht="12.75" x14ac:dyDescent="0.35">
      <c r="A1816" s="7">
        <v>42481.98137731482</v>
      </c>
      <c r="B1816" s="8" t="str">
        <f t="shared" si="165"/>
        <v>@VWBeetleSales</v>
      </c>
      <c r="C1816" s="9" t="s">
        <v>127</v>
      </c>
      <c r="D1816" s="9" t="s">
        <v>4716</v>
      </c>
      <c r="E1816" s="10" t="str">
        <f>HYPERLINK("https://twitter.com/VWBeetleSales/status/723210489447088131","723210489447088131")</f>
        <v>723210489447088131</v>
      </c>
      <c r="F1816" s="10" t="s">
        <v>124</v>
      </c>
      <c r="G1816" s="11">
        <v>35</v>
      </c>
      <c r="H1816" s="11">
        <v>32</v>
      </c>
      <c r="I1816" s="11">
        <v>0</v>
      </c>
      <c r="J1816" s="11">
        <v>0</v>
      </c>
      <c r="K1816" s="11" t="s">
        <v>21</v>
      </c>
      <c r="L1816" s="7">
        <v>42427.019756944443</v>
      </c>
      <c r="M1816" s="12" t="s">
        <v>129</v>
      </c>
      <c r="N1816" s="12" t="s">
        <v>130</v>
      </c>
      <c r="O1816" s="10" t="str">
        <f t="shared" si="166"/>
        <v>View</v>
      </c>
      <c r="P1816" s="11"/>
    </row>
    <row r="1817" spans="1:16" ht="12.75" x14ac:dyDescent="0.35">
      <c r="A1817" s="7">
        <v>42481.981493055559</v>
      </c>
      <c r="B1817" s="8" t="str">
        <f>HYPERLINK("https://twitter.com/Marktzyniker","@Marktzyniker")</f>
        <v>@Marktzyniker</v>
      </c>
      <c r="C1817" s="9" t="s">
        <v>4717</v>
      </c>
      <c r="D1817" s="9" t="s">
        <v>4718</v>
      </c>
      <c r="E1817" s="10" t="str">
        <f>HYPERLINK("https://twitter.com/Marktzyniker/status/723210527699148800","723210527699148800")</f>
        <v>723210527699148800</v>
      </c>
      <c r="F1817" s="11" t="s">
        <v>43</v>
      </c>
      <c r="G1817" s="11">
        <v>2017</v>
      </c>
      <c r="H1817" s="11">
        <v>1952</v>
      </c>
      <c r="I1817" s="11">
        <v>0</v>
      </c>
      <c r="J1817" s="11">
        <v>0</v>
      </c>
      <c r="K1817" s="11" t="s">
        <v>21</v>
      </c>
      <c r="L1817" s="7">
        <v>40233.883113425924</v>
      </c>
      <c r="M1817" s="12" t="s">
        <v>953</v>
      </c>
      <c r="N1817" s="12" t="s">
        <v>4719</v>
      </c>
      <c r="O1817" s="10" t="str">
        <f>HYPERLINK("https://pbs.twimg.com/profile_images/1169387207/uhu_normal.jpg","View")</f>
        <v>View</v>
      </c>
      <c r="P1817" s="11"/>
    </row>
    <row r="1818" spans="1:16" ht="12.75" x14ac:dyDescent="0.35">
      <c r="A1818" s="7">
        <v>42481.981585648144</v>
      </c>
      <c r="B1818" s="8" t="str">
        <f>HYPERLINK("https://twitter.com/salam_khubi","@salam_khubi")</f>
        <v>@salam_khubi</v>
      </c>
      <c r="C1818" s="9" t="s">
        <v>4720</v>
      </c>
      <c r="D1818" s="9" t="s">
        <v>4721</v>
      </c>
      <c r="E1818" s="10" t="str">
        <f>HYPERLINK("https://twitter.com/salam_khubi/status/723210561262067712","723210561262067712")</f>
        <v>723210561262067712</v>
      </c>
      <c r="F1818" s="11" t="s">
        <v>48</v>
      </c>
      <c r="G1818" s="11">
        <v>105</v>
      </c>
      <c r="H1818" s="11">
        <v>102</v>
      </c>
      <c r="I1818" s="11">
        <v>0</v>
      </c>
      <c r="J1818" s="11">
        <v>0</v>
      </c>
      <c r="K1818" s="11" t="s">
        <v>21</v>
      </c>
      <c r="L1818" s="7">
        <v>41551.048993055556</v>
      </c>
      <c r="M1818" s="12" t="s">
        <v>1116</v>
      </c>
      <c r="N1818" s="12" t="s">
        <v>4722</v>
      </c>
      <c r="O1818" s="10" t="str">
        <f>HYPERLINK("https://pbs.twimg.com/profile_images/378800000543984879/4a4807dd53c46b6b9bdf26dd8d392373_normal.jpeg","View")</f>
        <v>View</v>
      </c>
      <c r="P1818" s="11"/>
    </row>
    <row r="1819" spans="1:16" ht="12.75" x14ac:dyDescent="0.35">
      <c r="A1819" s="7">
        <v>42481.982361111106</v>
      </c>
      <c r="B1819" s="8" t="str">
        <f>HYPERLINK("https://twitter.com/AutoBremer","@AutoBremer")</f>
        <v>@AutoBremer</v>
      </c>
      <c r="C1819" s="9" t="s">
        <v>4723</v>
      </c>
      <c r="D1819" s="9" t="s">
        <v>4724</v>
      </c>
      <c r="E1819" s="10" t="str">
        <f>HYPERLINK("https://twitter.com/AutoBremer/status/723210845497507840","723210845497507840")</f>
        <v>723210845497507840</v>
      </c>
      <c r="F1819" s="11" t="s">
        <v>91</v>
      </c>
      <c r="G1819" s="11">
        <v>152</v>
      </c>
      <c r="H1819" s="11">
        <v>233</v>
      </c>
      <c r="I1819" s="11">
        <v>0</v>
      </c>
      <c r="J1819" s="11">
        <v>0</v>
      </c>
      <c r="K1819" s="11" t="s">
        <v>21</v>
      </c>
      <c r="L1819" s="7">
        <v>41889.747523148151</v>
      </c>
      <c r="M1819" s="12" t="s">
        <v>4725</v>
      </c>
      <c r="N1819" s="12" t="s">
        <v>4726</v>
      </c>
      <c r="O1819" s="10" t="str">
        <f>HYPERLINK("https://pbs.twimg.com/profile_images/508601059866980352/AYlBPmsJ_normal.jpeg","View")</f>
        <v>View</v>
      </c>
      <c r="P1819" s="11"/>
    </row>
    <row r="1820" spans="1:16" ht="12.75" x14ac:dyDescent="0.35">
      <c r="A1820" s="7">
        <v>42481.982395833329</v>
      </c>
      <c r="B1820" s="8" t="str">
        <f>HYPERLINK("https://twitter.com/Boersenradar","@Boersenradar")</f>
        <v>@Boersenradar</v>
      </c>
      <c r="C1820" s="9" t="s">
        <v>4727</v>
      </c>
      <c r="D1820" s="9" t="s">
        <v>4728</v>
      </c>
      <c r="E1820" s="10" t="str">
        <f>HYPERLINK("https://twitter.com/Boersenradar/status/723210857878970368","723210857878970368")</f>
        <v>723210857878970368</v>
      </c>
      <c r="F1820" s="11" t="s">
        <v>193</v>
      </c>
      <c r="G1820" s="11">
        <v>2815</v>
      </c>
      <c r="H1820" s="11">
        <v>523</v>
      </c>
      <c r="I1820" s="11">
        <v>0</v>
      </c>
      <c r="J1820" s="11">
        <v>0</v>
      </c>
      <c r="K1820" s="11" t="s">
        <v>21</v>
      </c>
      <c r="L1820" s="7">
        <v>39919.758796296301</v>
      </c>
      <c r="M1820" s="12" t="s">
        <v>4729</v>
      </c>
      <c r="N1820" s="12" t="s">
        <v>4730</v>
      </c>
      <c r="O1820" s="10" t="str">
        <f>HYPERLINK("https://pbs.twimg.com/profile_images/648862182936047616/p6o1BlmC_normal.jpg","View")</f>
        <v>View</v>
      </c>
      <c r="P1820" s="11"/>
    </row>
    <row r="1821" spans="1:16" ht="12.75" x14ac:dyDescent="0.35">
      <c r="A1821" s="7">
        <v>42481.982395833329</v>
      </c>
      <c r="B1821" s="8" t="str">
        <f>HYPERLINK("https://twitter.com/stasikasper","@stasikasper")</f>
        <v>@stasikasper</v>
      </c>
      <c r="C1821" s="9" t="s">
        <v>4731</v>
      </c>
      <c r="D1821" s="9" t="s">
        <v>4732</v>
      </c>
      <c r="E1821" s="10" t="str">
        <f>HYPERLINK("https://twitter.com/stasikasper/status/723210857904267264","723210857904267264")</f>
        <v>723210857904267264</v>
      </c>
      <c r="F1821" s="11" t="s">
        <v>43</v>
      </c>
      <c r="G1821" s="11">
        <v>3103</v>
      </c>
      <c r="H1821" s="11">
        <v>2290</v>
      </c>
      <c r="I1821" s="11">
        <v>3</v>
      </c>
      <c r="J1821" s="11">
        <v>1</v>
      </c>
      <c r="K1821" s="11" t="s">
        <v>21</v>
      </c>
      <c r="L1821" s="7">
        <v>41482.713680555556</v>
      </c>
      <c r="M1821" s="12"/>
      <c r="N1821" s="12"/>
      <c r="O1821" s="10" t="str">
        <f>HYPERLINK("https://pbs.twimg.com/profile_images/552903437407371264/35UQ9wsB_normal.jpeg","View")</f>
        <v>View</v>
      </c>
      <c r="P1821" s="11"/>
    </row>
    <row r="1822" spans="1:16" ht="12.75" x14ac:dyDescent="0.35">
      <c r="A1822" s="7">
        <v>42481.982430555552</v>
      </c>
      <c r="B1822" s="8" t="str">
        <f>HYPERLINK("https://twitter.com/J_A_Goodwin","@J_A_Goodwin")</f>
        <v>@J_A_Goodwin</v>
      </c>
      <c r="C1822" s="9" t="s">
        <v>4733</v>
      </c>
      <c r="D1822" s="9" t="s">
        <v>4734</v>
      </c>
      <c r="E1822" s="10" t="str">
        <f>HYPERLINK("https://twitter.com/J_A_Goodwin/status/723210869702688769","723210869702688769")</f>
        <v>723210869702688769</v>
      </c>
      <c r="F1822" s="11" t="s">
        <v>43</v>
      </c>
      <c r="G1822" s="11">
        <v>150</v>
      </c>
      <c r="H1822" s="11">
        <v>176</v>
      </c>
      <c r="I1822" s="11">
        <v>1</v>
      </c>
      <c r="J1822" s="11">
        <v>0</v>
      </c>
      <c r="K1822" s="11" t="s">
        <v>21</v>
      </c>
      <c r="L1822" s="7">
        <v>40135.907222222224</v>
      </c>
      <c r="M1822" s="12" t="s">
        <v>4735</v>
      </c>
      <c r="N1822" s="12" t="s">
        <v>4736</v>
      </c>
      <c r="O1822" s="10" t="str">
        <f>HYPERLINK("https://pbs.twimg.com/profile_images/378800000462396717/40b6ca623644e3ce6addf15947b0c27b_normal.jpeg","View")</f>
        <v>View</v>
      </c>
      <c r="P1822" s="11"/>
    </row>
    <row r="1823" spans="1:16" ht="12.75" x14ac:dyDescent="0.35">
      <c r="A1823" s="7">
        <v>42481.982731481483</v>
      </c>
      <c r="B1823" s="8" t="str">
        <f>HYPERLINK("https://twitter.com/sfchronicle","@sfchronicle")</f>
        <v>@sfchronicle</v>
      </c>
      <c r="C1823" s="9" t="s">
        <v>4737</v>
      </c>
      <c r="D1823" s="9" t="s">
        <v>4738</v>
      </c>
      <c r="E1823" s="10" t="str">
        <f>HYPERLINK("https://twitter.com/sfchronicle/status/723210979471822849","723210979471822849")</f>
        <v>723210979471822849</v>
      </c>
      <c r="F1823" s="11" t="s">
        <v>63</v>
      </c>
      <c r="G1823" s="11">
        <v>78289</v>
      </c>
      <c r="H1823" s="11">
        <v>171</v>
      </c>
      <c r="I1823" s="11">
        <v>3</v>
      </c>
      <c r="J1823" s="11">
        <v>1</v>
      </c>
      <c r="K1823" s="11" t="s">
        <v>21</v>
      </c>
      <c r="L1823" s="7">
        <v>40247.25980324074</v>
      </c>
      <c r="M1823" s="12" t="s">
        <v>244</v>
      </c>
      <c r="N1823" s="12" t="s">
        <v>4739</v>
      </c>
      <c r="O1823" s="10" t="str">
        <f>HYPERLINK("https://pbs.twimg.com/profile_images/695773573919543296/Q1mS960c_normal.jpg","View")</f>
        <v>View</v>
      </c>
      <c r="P1823" s="11"/>
    </row>
    <row r="1824" spans="1:16" ht="12.75" x14ac:dyDescent="0.35">
      <c r="A1824" s="7">
        <v>42481.98274305556</v>
      </c>
      <c r="B1824" s="8" t="str">
        <f>HYPERLINK("https://twitter.com/Decocalcos","@Decocalcos")</f>
        <v>@Decocalcos</v>
      </c>
      <c r="C1824" s="9" t="s">
        <v>4740</v>
      </c>
      <c r="D1824" s="9" t="s">
        <v>4741</v>
      </c>
      <c r="E1824" s="10" t="str">
        <f>HYPERLINK("https://twitter.com/Decocalcos/status/723210983435579392","723210983435579392")</f>
        <v>723210983435579392</v>
      </c>
      <c r="F1824" s="11" t="s">
        <v>43</v>
      </c>
      <c r="G1824" s="11">
        <v>46</v>
      </c>
      <c r="H1824" s="11">
        <v>34</v>
      </c>
      <c r="I1824" s="11">
        <v>1</v>
      </c>
      <c r="J1824" s="11">
        <v>0</v>
      </c>
      <c r="K1824" s="11" t="s">
        <v>21</v>
      </c>
      <c r="L1824" s="7">
        <v>40523.296469907407</v>
      </c>
      <c r="M1824" s="12" t="s">
        <v>4742</v>
      </c>
      <c r="N1824" s="12"/>
      <c r="O1824" s="10" t="str">
        <f>HYPERLINK("https://pbs.twimg.com/profile_images/716028030175600642/XLe3HmvA_normal.jpg","View")</f>
        <v>View</v>
      </c>
      <c r="P1824" s="11"/>
    </row>
    <row r="1825" spans="1:16" ht="12.75" x14ac:dyDescent="0.35">
      <c r="A1825" s="7">
        <v>42481.982974537037</v>
      </c>
      <c r="B1825" s="8" t="str">
        <f>HYPERLINK("https://twitter.com/JesseKIRO7","@JesseKIRO7")</f>
        <v>@JesseKIRO7</v>
      </c>
      <c r="C1825" s="9" t="s">
        <v>4743</v>
      </c>
      <c r="D1825" s="9" t="s">
        <v>4744</v>
      </c>
      <c r="E1825" s="10" t="str">
        <f>HYPERLINK("https://twitter.com/JesseKIRO7/status/723211067346825216","723211067346825216")</f>
        <v>723211067346825216</v>
      </c>
      <c r="F1825" s="11" t="s">
        <v>63</v>
      </c>
      <c r="G1825" s="11">
        <v>4214</v>
      </c>
      <c r="H1825" s="11">
        <v>3659</v>
      </c>
      <c r="I1825" s="11">
        <v>1</v>
      </c>
      <c r="J1825" s="11">
        <v>2</v>
      </c>
      <c r="K1825" s="11" t="s">
        <v>21</v>
      </c>
      <c r="L1825" s="7">
        <v>41887.003530092596</v>
      </c>
      <c r="M1825" s="12" t="s">
        <v>4745</v>
      </c>
      <c r="N1825" s="12" t="s">
        <v>4746</v>
      </c>
      <c r="O1825" s="10" t="str">
        <f>HYPERLINK("https://pbs.twimg.com/profile_images/591529940299845632/uZ1KE1uO_normal.jpg","View")</f>
        <v>View</v>
      </c>
      <c r="P1825" s="11"/>
    </row>
    <row r="1826" spans="1:16" ht="12.75" x14ac:dyDescent="0.35">
      <c r="A1826" s="7">
        <v>42481.983460648145</v>
      </c>
      <c r="B1826" s="8" t="str">
        <f>HYPERLINK("https://twitter.com/VWCamperSales","@VWCamperSales")</f>
        <v>@VWCamperSales</v>
      </c>
      <c r="C1826" s="9" t="s">
        <v>216</v>
      </c>
      <c r="D1826" s="9" t="s">
        <v>4747</v>
      </c>
      <c r="E1826" s="10" t="str">
        <f>HYPERLINK("https://twitter.com/VWCamperSales/status/723211243641667584","723211243641667584")</f>
        <v>723211243641667584</v>
      </c>
      <c r="F1826" s="10" t="s">
        <v>124</v>
      </c>
      <c r="G1826" s="11">
        <v>615</v>
      </c>
      <c r="H1826" s="11">
        <v>580</v>
      </c>
      <c r="I1826" s="11">
        <v>0</v>
      </c>
      <c r="J1826" s="11">
        <v>0</v>
      </c>
      <c r="K1826" s="11" t="s">
        <v>21</v>
      </c>
      <c r="L1826" s="7">
        <v>42215.98809027778</v>
      </c>
      <c r="M1826" s="12" t="s">
        <v>129</v>
      </c>
      <c r="N1826" s="12" t="s">
        <v>218</v>
      </c>
      <c r="O1826" s="10" t="str">
        <f>HYPERLINK("https://pbs.twimg.com/profile_images/627949001179037696/skEBkS05_normal.jpg","View")</f>
        <v>View</v>
      </c>
      <c r="P1826" s="11"/>
    </row>
    <row r="1827" spans="1:16" ht="12.75" x14ac:dyDescent="0.35">
      <c r="A1827" s="7">
        <v>42481.983761574069</v>
      </c>
      <c r="B1827" s="8" t="str">
        <f>HYPERLINK("https://twitter.com/Insta_VWT","@Insta_VWT")</f>
        <v>@Insta_VWT</v>
      </c>
      <c r="C1827" s="9" t="s">
        <v>181</v>
      </c>
      <c r="D1827" s="9" t="s">
        <v>4748</v>
      </c>
      <c r="E1827" s="10" t="str">
        <f>HYPERLINK("https://twitter.com/Insta_VWT/status/723211351104098305","723211351104098305")</f>
        <v>723211351104098305</v>
      </c>
      <c r="F1827" s="11" t="s">
        <v>68</v>
      </c>
      <c r="G1827" s="11">
        <v>480</v>
      </c>
      <c r="H1827" s="11">
        <v>0</v>
      </c>
      <c r="I1827" s="11">
        <v>0</v>
      </c>
      <c r="J1827" s="11">
        <v>1</v>
      </c>
      <c r="K1827" s="11" t="s">
        <v>21</v>
      </c>
      <c r="L1827" s="7">
        <v>41658.782800925925</v>
      </c>
      <c r="M1827" s="12" t="s">
        <v>183</v>
      </c>
      <c r="N1827" s="12" t="s">
        <v>184</v>
      </c>
      <c r="O1827" s="10" t="str">
        <f>HYPERLINK("https://pbs.twimg.com/profile_images/424893967197433858/iQ86NktX_normal.jpeg","View")</f>
        <v>View</v>
      </c>
      <c r="P1827" s="11"/>
    </row>
    <row r="1828" spans="1:16" ht="12.75" x14ac:dyDescent="0.35">
      <c r="A1828" s="7">
        <v>42481.984039351853</v>
      </c>
      <c r="B1828" s="8" t="str">
        <f>HYPERLINK("https://twitter.com/oldcar_photo","@oldcar_photo")</f>
        <v>@oldcar_photo</v>
      </c>
      <c r="C1828" s="9" t="s">
        <v>1046</v>
      </c>
      <c r="D1828" s="9" t="s">
        <v>4749</v>
      </c>
      <c r="E1828" s="10" t="str">
        <f>HYPERLINK("https://twitter.com/oldcar_photo/status/723211452044185600","723211452044185600")</f>
        <v>723211452044185600</v>
      </c>
      <c r="F1828" s="11" t="s">
        <v>68</v>
      </c>
      <c r="G1828" s="11">
        <v>1977</v>
      </c>
      <c r="H1828" s="11">
        <v>0</v>
      </c>
      <c r="I1828" s="11">
        <v>1</v>
      </c>
      <c r="J1828" s="11">
        <v>0</v>
      </c>
      <c r="K1828" s="11" t="s">
        <v>21</v>
      </c>
      <c r="L1828" s="7">
        <v>42184.7341087963</v>
      </c>
      <c r="M1828" s="12"/>
      <c r="N1828" s="12"/>
      <c r="O1828" s="10" t="str">
        <f>HYPERLINK("https://pbs.twimg.com/profile_images/615493650785660928/XHUh6HOk_normal.jpg","View")</f>
        <v>View</v>
      </c>
      <c r="P1828" s="11"/>
    </row>
    <row r="1829" spans="1:16" ht="12.75" x14ac:dyDescent="0.35">
      <c r="A1829" s="7">
        <v>42481.984236111108</v>
      </c>
      <c r="B1829" s="8" t="str">
        <f>HYPERLINK("https://twitter.com/Heinzel69","@Heinzel69")</f>
        <v>@Heinzel69</v>
      </c>
      <c r="C1829" s="9" t="s">
        <v>4750</v>
      </c>
      <c r="D1829" s="9" t="s">
        <v>4186</v>
      </c>
      <c r="E1829" s="10" t="str">
        <f>HYPERLINK("https://twitter.com/Heinzel69/status/723211522806300672","723211522806300672")</f>
        <v>723211522806300672</v>
      </c>
      <c r="F1829" s="11" t="s">
        <v>48</v>
      </c>
      <c r="G1829" s="11">
        <v>569</v>
      </c>
      <c r="H1829" s="11">
        <v>359</v>
      </c>
      <c r="I1829" s="11">
        <v>10</v>
      </c>
      <c r="J1829" s="11">
        <v>0</v>
      </c>
      <c r="K1829" s="11" t="s">
        <v>21</v>
      </c>
      <c r="L1829" s="7">
        <v>41507.676192129627</v>
      </c>
      <c r="M1829" s="12" t="s">
        <v>4751</v>
      </c>
      <c r="N1829" s="12" t="s">
        <v>4752</v>
      </c>
      <c r="O1829" s="10" t="str">
        <f>HYPERLINK("https://pbs.twimg.com/profile_images/673915351474774016/w2iNQh0s_normal.jpg","View")</f>
        <v>View</v>
      </c>
      <c r="P1829" s="11"/>
    </row>
    <row r="1830" spans="1:16" ht="12.75" x14ac:dyDescent="0.35">
      <c r="A1830" s="7">
        <v>42481.984305555554</v>
      </c>
      <c r="B1830" s="8" t="str">
        <f>HYPERLINK("https://twitter.com/HansjorgN","@HansjorgN")</f>
        <v>@HansjorgN</v>
      </c>
      <c r="C1830" s="9" t="s">
        <v>4753</v>
      </c>
      <c r="D1830" s="9" t="s">
        <v>4754</v>
      </c>
      <c r="E1830" s="10" t="str">
        <f>HYPERLINK("https://twitter.com/HansjorgN/status/723211549213622272","723211549213622272")</f>
        <v>723211549213622272</v>
      </c>
      <c r="F1830" s="11" t="s">
        <v>20</v>
      </c>
      <c r="G1830" s="11">
        <v>361</v>
      </c>
      <c r="H1830" s="11">
        <v>928</v>
      </c>
      <c r="I1830" s="11">
        <v>0</v>
      </c>
      <c r="J1830" s="11">
        <v>0</v>
      </c>
      <c r="K1830" s="11" t="s">
        <v>21</v>
      </c>
      <c r="L1830" s="7">
        <v>41968.913229166668</v>
      </c>
      <c r="M1830" s="12" t="s">
        <v>4755</v>
      </c>
      <c r="N1830" s="12" t="s">
        <v>4756</v>
      </c>
      <c r="O1830" s="10" t="str">
        <f>HYPERLINK("https://pbs.twimg.com/profile_images/537281757238677504/KlchrVbl_normal.jpeg","View")</f>
        <v>View</v>
      </c>
      <c r="P1830" s="11"/>
    </row>
    <row r="1831" spans="1:16" ht="12.75" x14ac:dyDescent="0.35">
      <c r="A1831" s="7">
        <v>42481.984421296293</v>
      </c>
      <c r="B1831" s="8" t="str">
        <f>HYPERLINK("https://twitter.com/VeeDubMk1_","@VeeDubMk1_")</f>
        <v>@VeeDubMk1_</v>
      </c>
      <c r="C1831" s="9" t="s">
        <v>185</v>
      </c>
      <c r="D1831" s="9" t="s">
        <v>4757</v>
      </c>
      <c r="E1831" s="10" t="str">
        <f>HYPERLINK("https://twitter.com/VeeDubMk1_/status/723211589025976320","723211589025976320")</f>
        <v>723211589025976320</v>
      </c>
      <c r="F1831" s="11" t="s">
        <v>68</v>
      </c>
      <c r="G1831" s="11">
        <v>545</v>
      </c>
      <c r="H1831" s="11">
        <v>3527</v>
      </c>
      <c r="I1831" s="11">
        <v>0</v>
      </c>
      <c r="J1831" s="11">
        <v>0</v>
      </c>
      <c r="K1831" s="11" t="s">
        <v>21</v>
      </c>
      <c r="L1831" s="7">
        <v>42343.063356481478</v>
      </c>
      <c r="M1831" s="12"/>
      <c r="N1831" s="12"/>
      <c r="O1831" s="10" t="str">
        <f>HYPERLINK("https://pbs.twimg.com/profile_images/672878354127839232/M7OYc-zx_normal.jpg","View")</f>
        <v>View</v>
      </c>
      <c r="P1831" s="11"/>
    </row>
    <row r="1832" spans="1:16" ht="12.75" x14ac:dyDescent="0.35">
      <c r="A1832" s="7">
        <v>42481.984513888892</v>
      </c>
      <c r="B1832" s="8" t="str">
        <f>HYPERLINK("https://twitter.com/WeeklyNevada","@WeeklyNevada")</f>
        <v>@WeeklyNevada</v>
      </c>
      <c r="C1832" s="9" t="s">
        <v>4758</v>
      </c>
      <c r="D1832" s="9" t="s">
        <v>3584</v>
      </c>
      <c r="E1832" s="10" t="str">
        <f>HYPERLINK("https://twitter.com/WeeklyNevada/status/723211622395854848","723211622395854848")</f>
        <v>723211622395854848</v>
      </c>
      <c r="F1832" s="11" t="s">
        <v>48</v>
      </c>
      <c r="G1832" s="11">
        <v>112</v>
      </c>
      <c r="H1832" s="11">
        <v>111</v>
      </c>
      <c r="I1832" s="11">
        <v>9</v>
      </c>
      <c r="J1832" s="11">
        <v>0</v>
      </c>
      <c r="K1832" s="11" t="s">
        <v>21</v>
      </c>
      <c r="L1832" s="7">
        <v>42004.072476851856</v>
      </c>
      <c r="M1832" s="12" t="s">
        <v>172</v>
      </c>
      <c r="N1832" s="12"/>
      <c r="O1832" s="10" t="str">
        <f>HYPERLINK("https://pbs.twimg.com/profile_images/550852181209800705/2SFvgJ30_normal.jpeg","View")</f>
        <v>View</v>
      </c>
      <c r="P1832" s="11"/>
    </row>
    <row r="1833" spans="1:16" ht="12.75" x14ac:dyDescent="0.35">
      <c r="A1833" s="7">
        <v>42481.984525462962</v>
      </c>
      <c r="B1833" s="8" t="str">
        <f t="shared" ref="B1833:B1834" si="167">HYPERLINK("https://twitter.com/VeeDubMk1_","@VeeDubMk1_")</f>
        <v>@VeeDubMk1_</v>
      </c>
      <c r="C1833" s="9" t="s">
        <v>185</v>
      </c>
      <c r="D1833" s="9" t="s">
        <v>4759</v>
      </c>
      <c r="E1833" s="10" t="str">
        <f>HYPERLINK("https://twitter.com/VeeDubMk1_/status/723211627508674562","723211627508674562")</f>
        <v>723211627508674562</v>
      </c>
      <c r="F1833" s="11" t="s">
        <v>68</v>
      </c>
      <c r="G1833" s="11">
        <v>545</v>
      </c>
      <c r="H1833" s="11">
        <v>3527</v>
      </c>
      <c r="I1833" s="11">
        <v>0</v>
      </c>
      <c r="J1833" s="11">
        <v>1</v>
      </c>
      <c r="K1833" s="11" t="s">
        <v>21</v>
      </c>
      <c r="L1833" s="7">
        <v>42343.063356481478</v>
      </c>
      <c r="M1833" s="12"/>
      <c r="N1833" s="12"/>
      <c r="O1833" s="10" t="str">
        <f t="shared" ref="O1833:O1834" si="168">HYPERLINK("https://pbs.twimg.com/profile_images/672878354127839232/M7OYc-zx_normal.jpg","View")</f>
        <v>View</v>
      </c>
      <c r="P1833" s="11"/>
    </row>
    <row r="1834" spans="1:16" ht="12.75" x14ac:dyDescent="0.35">
      <c r="A1834" s="7">
        <v>42481.984548611115</v>
      </c>
      <c r="B1834" s="8" t="str">
        <f t="shared" si="167"/>
        <v>@VeeDubMk1_</v>
      </c>
      <c r="C1834" s="9" t="s">
        <v>185</v>
      </c>
      <c r="D1834" s="9" t="s">
        <v>4760</v>
      </c>
      <c r="E1834" s="10" t="str">
        <f>HYPERLINK("https://twitter.com/VeeDubMk1_/status/723211637059125249","723211637059125249")</f>
        <v>723211637059125249</v>
      </c>
      <c r="F1834" s="11" t="s">
        <v>68</v>
      </c>
      <c r="G1834" s="11">
        <v>545</v>
      </c>
      <c r="H1834" s="11">
        <v>3527</v>
      </c>
      <c r="I1834" s="11">
        <v>0</v>
      </c>
      <c r="J1834" s="11">
        <v>0</v>
      </c>
      <c r="K1834" s="11" t="s">
        <v>21</v>
      </c>
      <c r="L1834" s="7">
        <v>42343.063356481478</v>
      </c>
      <c r="M1834" s="12"/>
      <c r="N1834" s="12"/>
      <c r="O1834" s="10" t="str">
        <f t="shared" si="168"/>
        <v>View</v>
      </c>
      <c r="P1834" s="11"/>
    </row>
    <row r="1835" spans="1:16" ht="12.75" x14ac:dyDescent="0.35">
      <c r="A1835" s="7">
        <v>42481.98501157407</v>
      </c>
      <c r="B1835" s="8" t="str">
        <f>HYPERLINK("https://twitter.com/jhoppper23","@jhoppper23")</f>
        <v>@jhoppper23</v>
      </c>
      <c r="C1835" s="9" t="s">
        <v>4761</v>
      </c>
      <c r="D1835" s="9" t="s">
        <v>4762</v>
      </c>
      <c r="E1835" s="10" t="str">
        <f>HYPERLINK("https://twitter.com/jhoppper23/status/723211806102052864","723211806102052864")</f>
        <v>723211806102052864</v>
      </c>
      <c r="F1835" s="11" t="s">
        <v>43</v>
      </c>
      <c r="G1835" s="11">
        <v>652</v>
      </c>
      <c r="H1835" s="11">
        <v>1290</v>
      </c>
      <c r="I1835" s="11">
        <v>3</v>
      </c>
      <c r="J1835" s="11">
        <v>0</v>
      </c>
      <c r="K1835" s="11" t="s">
        <v>21</v>
      </c>
      <c r="L1835" s="7">
        <v>40499.097962962966</v>
      </c>
      <c r="M1835" s="12"/>
      <c r="N1835" s="12" t="s">
        <v>4763</v>
      </c>
      <c r="O1835" s="10" t="str">
        <f>HYPERLINK("https://pbs.twimg.com/profile_images/708112838640803841/CMqduFiM_normal.jpg","View")</f>
        <v>View</v>
      </c>
      <c r="P1835" s="11"/>
    </row>
    <row r="1836" spans="1:16" ht="12.75" x14ac:dyDescent="0.35">
      <c r="A1836" s="7">
        <v>42481.985509259262</v>
      </c>
      <c r="B1836" s="8" t="str">
        <f>HYPERLINK("https://twitter.com/SexenioMX","@SexenioMX")</f>
        <v>@SexenioMX</v>
      </c>
      <c r="C1836" s="9" t="s">
        <v>3024</v>
      </c>
      <c r="D1836" s="9" t="s">
        <v>4764</v>
      </c>
      <c r="E1836" s="10" t="str">
        <f>HYPERLINK("https://twitter.com/SexenioMX/status/723211984536117249","723211984536117249")</f>
        <v>723211984536117249</v>
      </c>
      <c r="F1836" s="11" t="s">
        <v>63</v>
      </c>
      <c r="G1836" s="11">
        <v>1789832</v>
      </c>
      <c r="H1836" s="11">
        <v>476</v>
      </c>
      <c r="I1836" s="11">
        <v>0</v>
      </c>
      <c r="J1836" s="11">
        <v>0</v>
      </c>
      <c r="K1836" s="11" t="s">
        <v>21</v>
      </c>
      <c r="L1836" s="7">
        <v>40619.200162037036</v>
      </c>
      <c r="M1836" s="12" t="s">
        <v>462</v>
      </c>
      <c r="N1836" s="12" t="s">
        <v>3026</v>
      </c>
      <c r="O1836" s="10" t="str">
        <f>HYPERLINK("https://pbs.twimg.com/profile_images/700415860230397952/tCGmCj6M_normal.jpg","View")</f>
        <v>View</v>
      </c>
      <c r="P1836" s="11"/>
    </row>
    <row r="1837" spans="1:16" ht="12.75" x14ac:dyDescent="0.35">
      <c r="A1837" s="7">
        <v>42481.985520833332</v>
      </c>
      <c r="B1837" s="8" t="str">
        <f>HYPERLINK("https://twitter.com/SexenioCDMX","@SexenioCDMX")</f>
        <v>@SexenioCDMX</v>
      </c>
      <c r="C1837" s="9" t="s">
        <v>3020</v>
      </c>
      <c r="D1837" s="9" t="s">
        <v>4765</v>
      </c>
      <c r="E1837" s="10" t="str">
        <f>HYPERLINK("https://twitter.com/SexenioCDMX/status/723211989909000192","723211989909000192")</f>
        <v>723211989909000192</v>
      </c>
      <c r="F1837" s="11" t="s">
        <v>63</v>
      </c>
      <c r="G1837" s="11">
        <v>91697</v>
      </c>
      <c r="H1837" s="11">
        <v>81619</v>
      </c>
      <c r="I1837" s="11">
        <v>0</v>
      </c>
      <c r="J1837" s="11">
        <v>0</v>
      </c>
      <c r="K1837" s="11" t="s">
        <v>21</v>
      </c>
      <c r="L1837" s="7">
        <v>41029.45988425926</v>
      </c>
      <c r="M1837" s="12" t="s">
        <v>3022</v>
      </c>
      <c r="N1837" s="12" t="s">
        <v>3023</v>
      </c>
      <c r="O1837" s="10" t="str">
        <f>HYPERLINK("https://pbs.twimg.com/profile_images/693156293842894848/THX8L389_normal.jpg","View")</f>
        <v>View</v>
      </c>
      <c r="P1837" s="11"/>
    </row>
    <row r="1838" spans="1:16" ht="12.75" x14ac:dyDescent="0.35">
      <c r="A1838" s="7">
        <v>42481.985821759255</v>
      </c>
      <c r="B1838" s="8" t="str">
        <f>HYPERLINK("https://twitter.com/BackyardSafari","@BackyardSafari")</f>
        <v>@BackyardSafari</v>
      </c>
      <c r="C1838" s="9" t="s">
        <v>4766</v>
      </c>
      <c r="D1838" s="9" t="s">
        <v>4767</v>
      </c>
      <c r="E1838" s="10" t="str">
        <f>HYPERLINK("https://twitter.com/BackyardSafari/status/723212096981311489","723212096981311489")</f>
        <v>723212096981311489</v>
      </c>
      <c r="F1838" s="11" t="s">
        <v>48</v>
      </c>
      <c r="G1838" s="11">
        <v>292</v>
      </c>
      <c r="H1838" s="11">
        <v>437</v>
      </c>
      <c r="I1838" s="11">
        <v>3</v>
      </c>
      <c r="J1838" s="11">
        <v>0</v>
      </c>
      <c r="K1838" s="11" t="s">
        <v>21</v>
      </c>
      <c r="L1838" s="7">
        <v>39968.694409722222</v>
      </c>
      <c r="M1838" s="12" t="s">
        <v>4768</v>
      </c>
      <c r="N1838" s="12" t="s">
        <v>4769</v>
      </c>
      <c r="O1838" s="10" t="str">
        <f>HYPERLINK("https://pbs.twimg.com/profile_images/713104533984055297/bKWWx502_normal.jpg","View")</f>
        <v>View</v>
      </c>
      <c r="P1838" s="11"/>
    </row>
    <row r="1839" spans="1:16" ht="12.75" x14ac:dyDescent="0.35">
      <c r="A1839" s="7">
        <v>42481.985949074078</v>
      </c>
      <c r="B1839" s="8" t="str">
        <f>HYPERLINK("https://twitter.com/chronsucks","@chronsucks")</f>
        <v>@chronsucks</v>
      </c>
      <c r="C1839" s="9" t="s">
        <v>4770</v>
      </c>
      <c r="D1839" s="9" t="s">
        <v>4762</v>
      </c>
      <c r="E1839" s="10" t="str">
        <f>HYPERLINK("https://twitter.com/chronsucks/status/723212146214068224","723212146214068224")</f>
        <v>723212146214068224</v>
      </c>
      <c r="F1839" s="11" t="s">
        <v>288</v>
      </c>
      <c r="G1839" s="11">
        <v>30</v>
      </c>
      <c r="H1839" s="11">
        <v>1</v>
      </c>
      <c r="I1839" s="11">
        <v>3</v>
      </c>
      <c r="J1839" s="11">
        <v>0</v>
      </c>
      <c r="K1839" s="11" t="s">
        <v>21</v>
      </c>
      <c r="L1839" s="7">
        <v>42191.8591087963</v>
      </c>
      <c r="M1839" s="12"/>
      <c r="N1839" s="12"/>
      <c r="O1839" s="10" t="str">
        <f>HYPERLINK("https://abs.twimg.com/sticky/default_profile_images/default_profile_0_normal.png","View")</f>
        <v>View</v>
      </c>
      <c r="P1839" s="11"/>
    </row>
    <row r="1840" spans="1:16" ht="12.75" x14ac:dyDescent="0.35">
      <c r="A1840" s="7">
        <v>42481.986134259263</v>
      </c>
      <c r="B1840" s="8" t="str">
        <f>HYPERLINK("https://twitter.com/CarterVW","@CarterVW")</f>
        <v>@CarterVW</v>
      </c>
      <c r="C1840" s="9" t="s">
        <v>4771</v>
      </c>
      <c r="D1840" s="9" t="s">
        <v>4772</v>
      </c>
      <c r="E1840" s="10" t="str">
        <f>HYPERLINK("https://twitter.com/CarterVW/status/723212209837379585","723212209837379585")</f>
        <v>723212209837379585</v>
      </c>
      <c r="F1840" s="11" t="s">
        <v>140</v>
      </c>
      <c r="G1840" s="11">
        <v>2029</v>
      </c>
      <c r="H1840" s="11">
        <v>1292</v>
      </c>
      <c r="I1840" s="11">
        <v>0</v>
      </c>
      <c r="J1840" s="11">
        <v>0</v>
      </c>
      <c r="K1840" s="11" t="s">
        <v>21</v>
      </c>
      <c r="L1840" s="7">
        <v>40002.494502314818</v>
      </c>
      <c r="M1840" s="12" t="s">
        <v>355</v>
      </c>
      <c r="N1840" s="12" t="s">
        <v>4773</v>
      </c>
      <c r="O1840" s="10" t="str">
        <f>HYPERLINK("https://pbs.twimg.com/profile_images/693260133237809152/JUVeKYdq_normal.jpg","View")</f>
        <v>View</v>
      </c>
      <c r="P1840" s="11"/>
    </row>
    <row r="1841" spans="1:16" ht="12.75" x14ac:dyDescent="0.35">
      <c r="A1841" s="7">
        <v>42481.986157407402</v>
      </c>
      <c r="B1841" s="8" t="str">
        <f t="shared" ref="B1841:B1842" si="169">HYPERLINK("https://twitter.com/VWBeetleSales","@VWBeetleSales")</f>
        <v>@VWBeetleSales</v>
      </c>
      <c r="C1841" s="9" t="s">
        <v>127</v>
      </c>
      <c r="D1841" s="9" t="s">
        <v>4774</v>
      </c>
      <c r="E1841" s="10" t="str">
        <f>HYPERLINK("https://twitter.com/VWBeetleSales/status/723212218083340288","723212218083340288")</f>
        <v>723212218083340288</v>
      </c>
      <c r="F1841" s="10" t="s">
        <v>124</v>
      </c>
      <c r="G1841" s="11">
        <v>35</v>
      </c>
      <c r="H1841" s="11">
        <v>32</v>
      </c>
      <c r="I1841" s="11">
        <v>0</v>
      </c>
      <c r="J1841" s="11">
        <v>0</v>
      </c>
      <c r="K1841" s="11" t="s">
        <v>21</v>
      </c>
      <c r="L1841" s="7">
        <v>42427.019756944443</v>
      </c>
      <c r="M1841" s="12" t="s">
        <v>129</v>
      </c>
      <c r="N1841" s="12" t="s">
        <v>130</v>
      </c>
      <c r="O1841" s="10" t="str">
        <f t="shared" ref="O1841:O1842" si="170">HYPERLINK("https://pbs.twimg.com/profile_images/703294545195307008/qeCvrX86_normal.jpg","View")</f>
        <v>View</v>
      </c>
      <c r="P1841" s="11"/>
    </row>
    <row r="1842" spans="1:16" ht="12.75" x14ac:dyDescent="0.35">
      <c r="A1842" s="7">
        <v>42481.986168981486</v>
      </c>
      <c r="B1842" s="8" t="str">
        <f t="shared" si="169"/>
        <v>@VWBeetleSales</v>
      </c>
      <c r="C1842" s="9" t="s">
        <v>127</v>
      </c>
      <c r="D1842" s="9" t="s">
        <v>4775</v>
      </c>
      <c r="E1842" s="10" t="str">
        <f>HYPERLINK("https://twitter.com/VWBeetleSales/status/723212225188532224","723212225188532224")</f>
        <v>723212225188532224</v>
      </c>
      <c r="F1842" s="10" t="s">
        <v>124</v>
      </c>
      <c r="G1842" s="11">
        <v>35</v>
      </c>
      <c r="H1842" s="11">
        <v>32</v>
      </c>
      <c r="I1842" s="11">
        <v>0</v>
      </c>
      <c r="J1842" s="11">
        <v>0</v>
      </c>
      <c r="K1842" s="11" t="s">
        <v>21</v>
      </c>
      <c r="L1842" s="7">
        <v>42427.019756944443</v>
      </c>
      <c r="M1842" s="12" t="s">
        <v>129</v>
      </c>
      <c r="N1842" s="12" t="s">
        <v>130</v>
      </c>
      <c r="O1842" s="10" t="str">
        <f t="shared" si="170"/>
        <v>View</v>
      </c>
      <c r="P1842" s="11"/>
    </row>
    <row r="1843" spans="1:16" ht="12.75" x14ac:dyDescent="0.35">
      <c r="A1843" s="7">
        <v>42481.98673611111</v>
      </c>
      <c r="B1843" s="8" t="str">
        <f>HYPERLINK("https://twitter.com/FuscaWorld","@FuscaWorld")</f>
        <v>@FuscaWorld</v>
      </c>
      <c r="C1843" s="9" t="s">
        <v>74</v>
      </c>
      <c r="D1843" s="9" t="s">
        <v>4776</v>
      </c>
      <c r="E1843" s="10" t="str">
        <f>HYPERLINK("https://twitter.com/FuscaWorld/status/723212431170875393","723212431170875393")</f>
        <v>723212431170875393</v>
      </c>
      <c r="F1843" s="11" t="s">
        <v>76</v>
      </c>
      <c r="G1843" s="11">
        <v>48</v>
      </c>
      <c r="H1843" s="11">
        <v>1</v>
      </c>
      <c r="I1843" s="11">
        <v>1</v>
      </c>
      <c r="J1843" s="11">
        <v>0</v>
      </c>
      <c r="K1843" s="11" t="s">
        <v>21</v>
      </c>
      <c r="L1843" s="7">
        <v>42433.880914351852</v>
      </c>
      <c r="M1843" s="12"/>
      <c r="N1843" s="12" t="s">
        <v>77</v>
      </c>
      <c r="O1843" s="10" t="str">
        <f>HYPERLINK("https://pbs.twimg.com/profile_images/705780107844067328/e7O4UBNb_normal.jpg","View")</f>
        <v>View</v>
      </c>
      <c r="P1843" s="11"/>
    </row>
    <row r="1844" spans="1:16" ht="12.75" x14ac:dyDescent="0.35">
      <c r="A1844" s="7">
        <v>42481.987268518518</v>
      </c>
      <c r="B1844" s="8" t="str">
        <f>HYPERLINK("https://twitter.com/janreuter","@janreuter")</f>
        <v>@janreuter</v>
      </c>
      <c r="C1844" s="9" t="s">
        <v>4777</v>
      </c>
      <c r="D1844" s="9" t="s">
        <v>4778</v>
      </c>
      <c r="E1844" s="10" t="str">
        <f>HYPERLINK("https://twitter.com/janreuter/status/723212623861391361","723212623861391361")</f>
        <v>723212623861391361</v>
      </c>
      <c r="F1844" s="11" t="s">
        <v>20</v>
      </c>
      <c r="G1844" s="11">
        <v>149</v>
      </c>
      <c r="H1844" s="11">
        <v>360</v>
      </c>
      <c r="I1844" s="11">
        <v>0</v>
      </c>
      <c r="J1844" s="11">
        <v>0</v>
      </c>
      <c r="K1844" s="11" t="s">
        <v>21</v>
      </c>
      <c r="L1844" s="7">
        <v>40083.675335648149</v>
      </c>
      <c r="M1844" s="12"/>
      <c r="N1844" s="12" t="s">
        <v>4779</v>
      </c>
      <c r="O1844" s="10" t="str">
        <f>HYPERLINK("https://pbs.twimg.com/profile_images/651035728739237888/U4Rzpmz2_normal.jpg","View")</f>
        <v>View</v>
      </c>
      <c r="P1844" s="11"/>
    </row>
    <row r="1845" spans="1:16" ht="12.75" x14ac:dyDescent="0.35">
      <c r="A1845" s="7">
        <v>42481.987604166672</v>
      </c>
      <c r="B1845" s="8" t="str">
        <f>HYPERLINK("https://twitter.com/VWCamperSales","@VWCamperSales")</f>
        <v>@VWCamperSales</v>
      </c>
      <c r="C1845" s="9" t="s">
        <v>216</v>
      </c>
      <c r="D1845" s="9" t="s">
        <v>4780</v>
      </c>
      <c r="E1845" s="10" t="str">
        <f>HYPERLINK("https://twitter.com/VWCamperSales/status/723212743591882752","723212743591882752")</f>
        <v>723212743591882752</v>
      </c>
      <c r="F1845" s="10" t="s">
        <v>124</v>
      </c>
      <c r="G1845" s="11">
        <v>615</v>
      </c>
      <c r="H1845" s="11">
        <v>580</v>
      </c>
      <c r="I1845" s="11">
        <v>0</v>
      </c>
      <c r="J1845" s="11">
        <v>0</v>
      </c>
      <c r="K1845" s="11" t="s">
        <v>21</v>
      </c>
      <c r="L1845" s="7">
        <v>42215.98809027778</v>
      </c>
      <c r="M1845" s="12" t="s">
        <v>129</v>
      </c>
      <c r="N1845" s="12" t="s">
        <v>218</v>
      </c>
      <c r="O1845" s="10" t="str">
        <f>HYPERLINK("https://pbs.twimg.com/profile_images/627949001179037696/skEBkS05_normal.jpg","View")</f>
        <v>View</v>
      </c>
      <c r="P1845" s="11"/>
    </row>
    <row r="1846" spans="1:16" ht="12.75" x14ac:dyDescent="0.35">
      <c r="A1846" s="7">
        <v>42481.987673611111</v>
      </c>
      <c r="B1846" s="8" t="str">
        <f>HYPERLINK("https://twitter.com/LukeDorbin","@LukeDorbin")</f>
        <v>@LukeDorbin</v>
      </c>
      <c r="C1846" s="9" t="s">
        <v>4781</v>
      </c>
      <c r="D1846" s="9" t="s">
        <v>4782</v>
      </c>
      <c r="E1846" s="10" t="str">
        <f>HYPERLINK("https://twitter.com/LukeDorbin/status/723212769932226560","723212769932226560")</f>
        <v>723212769932226560</v>
      </c>
      <c r="F1846" s="11" t="s">
        <v>20</v>
      </c>
      <c r="G1846" s="11">
        <v>193</v>
      </c>
      <c r="H1846" s="11">
        <v>234</v>
      </c>
      <c r="I1846" s="11">
        <v>0</v>
      </c>
      <c r="J1846" s="11">
        <v>1</v>
      </c>
      <c r="K1846" s="11" t="s">
        <v>21</v>
      </c>
      <c r="L1846" s="7">
        <v>40835.701331018521</v>
      </c>
      <c r="M1846" s="12" t="s">
        <v>4783</v>
      </c>
      <c r="N1846" s="12" t="s">
        <v>4784</v>
      </c>
      <c r="O1846" s="10" t="str">
        <f>HYPERLINK("https://pbs.twimg.com/profile_images/614541065987706880/OCFYP1z8_normal.jpg","View")</f>
        <v>View</v>
      </c>
      <c r="P1846" s="11"/>
    </row>
    <row r="1847" spans="1:16" ht="12.75" x14ac:dyDescent="0.35">
      <c r="A1847" s="7">
        <v>42481.98846064815</v>
      </c>
      <c r="B1847" s="8" t="str">
        <f>HYPERLINK("https://twitter.com/iMexico_","@iMexico_")</f>
        <v>@iMexico_</v>
      </c>
      <c r="C1847" s="9" t="s">
        <v>4785</v>
      </c>
      <c r="D1847" s="9" t="s">
        <v>4786</v>
      </c>
      <c r="E1847" s="10" t="str">
        <f>HYPERLINK("https://twitter.com/iMexico_/status/723213054071050240","723213054071050240")</f>
        <v>723213054071050240</v>
      </c>
      <c r="F1847" s="11" t="s">
        <v>43</v>
      </c>
      <c r="G1847" s="11">
        <v>7531</v>
      </c>
      <c r="H1847" s="11">
        <v>6563</v>
      </c>
      <c r="I1847" s="11">
        <v>1</v>
      </c>
      <c r="J1847" s="11">
        <v>0</v>
      </c>
      <c r="K1847" s="11" t="s">
        <v>21</v>
      </c>
      <c r="L1847" s="7">
        <v>42287.940520833334</v>
      </c>
      <c r="M1847" s="12" t="s">
        <v>4787</v>
      </c>
      <c r="N1847" s="12" t="s">
        <v>4788</v>
      </c>
      <c r="O1847" s="10" t="str">
        <f>HYPERLINK("https://pbs.twimg.com/profile_images/653000489265565697/b89Iw5Yy_normal.jpg","View")</f>
        <v>View</v>
      </c>
      <c r="P1847" s="11"/>
    </row>
    <row r="1848" spans="1:16" ht="12.75" x14ac:dyDescent="0.35">
      <c r="A1848" s="7">
        <v>42481.989537037036</v>
      </c>
      <c r="B1848" s="8" t="str">
        <f>HYPERLINK("https://twitter.com/GazelleUK","@GazelleUK")</f>
        <v>@GazelleUK</v>
      </c>
      <c r="C1848" s="9" t="s">
        <v>4789</v>
      </c>
      <c r="D1848" s="9" t="s">
        <v>4790</v>
      </c>
      <c r="E1848" s="10" t="str">
        <f>HYPERLINK("https://twitter.com/GazelleUK/status/723213443902349312","723213443902349312")</f>
        <v>723213443902349312</v>
      </c>
      <c r="F1848" s="11" t="s">
        <v>20</v>
      </c>
      <c r="G1848" s="11">
        <v>406</v>
      </c>
      <c r="H1848" s="11">
        <v>369</v>
      </c>
      <c r="I1848" s="11">
        <v>0</v>
      </c>
      <c r="J1848" s="11">
        <v>1</v>
      </c>
      <c r="K1848" s="11" t="s">
        <v>21</v>
      </c>
      <c r="L1848" s="7">
        <v>41915.066331018519</v>
      </c>
      <c r="M1848" s="12" t="s">
        <v>35</v>
      </c>
      <c r="N1848" s="12" t="s">
        <v>4791</v>
      </c>
      <c r="O1848" s="10" t="str">
        <f>HYPERLINK("https://pbs.twimg.com/profile_images/713018924590301185/PbWdKP7K_normal.jpg","View")</f>
        <v>View</v>
      </c>
      <c r="P1848" s="11"/>
    </row>
    <row r="1849" spans="1:16" ht="12.75" x14ac:dyDescent="0.35">
      <c r="A1849" s="7">
        <v>42481.989942129629</v>
      </c>
      <c r="B1849" s="8" t="str">
        <f>HYPERLINK("https://twitter.com/BenFajzullin","@BenFajzullin")</f>
        <v>@BenFajzullin</v>
      </c>
      <c r="C1849" s="9" t="s">
        <v>4792</v>
      </c>
      <c r="D1849" s="9" t="s">
        <v>3523</v>
      </c>
      <c r="E1849" s="10" t="str">
        <f>HYPERLINK("https://twitter.com/BenFajzullin/status/723213592485613568","723213592485613568")</f>
        <v>723213592485613568</v>
      </c>
      <c r="F1849" s="11" t="s">
        <v>20</v>
      </c>
      <c r="G1849" s="11">
        <v>411</v>
      </c>
      <c r="H1849" s="11">
        <v>104</v>
      </c>
      <c r="I1849" s="11">
        <v>12</v>
      </c>
      <c r="J1849" s="11">
        <v>0</v>
      </c>
      <c r="K1849" s="11" t="s">
        <v>21</v>
      </c>
      <c r="L1849" s="7">
        <v>42025.160949074074</v>
      </c>
      <c r="M1849" s="12" t="s">
        <v>1359</v>
      </c>
      <c r="N1849" s="12" t="s">
        <v>4793</v>
      </c>
      <c r="O1849" s="10" t="str">
        <f>HYPERLINK("https://pbs.twimg.com/profile_images/712563568638619648/nNwSgK0o_normal.jpg","View")</f>
        <v>View</v>
      </c>
      <c r="P1849" s="11"/>
    </row>
    <row r="1850" spans="1:16" ht="12.75" x14ac:dyDescent="0.35">
      <c r="A1850" s="7">
        <v>42481.990983796291</v>
      </c>
      <c r="B1850" s="8" t="str">
        <f>HYPERLINK("https://twitter.com/WrexhamVW","@WrexhamVW")</f>
        <v>@WrexhamVW</v>
      </c>
      <c r="C1850" s="9" t="s">
        <v>4038</v>
      </c>
      <c r="D1850" s="9" t="s">
        <v>4794</v>
      </c>
      <c r="E1850" s="10" t="str">
        <f>HYPERLINK("https://twitter.com/WrexhamVW/status/723213970115436544","723213970115436544")</f>
        <v>723213970115436544</v>
      </c>
      <c r="F1850" s="11" t="s">
        <v>140</v>
      </c>
      <c r="G1850" s="11">
        <v>3135</v>
      </c>
      <c r="H1850" s="11">
        <v>2900</v>
      </c>
      <c r="I1850" s="11">
        <v>1</v>
      </c>
      <c r="J1850" s="11">
        <v>0</v>
      </c>
      <c r="K1850" s="11" t="s">
        <v>21</v>
      </c>
      <c r="L1850" s="7">
        <v>41057.694652777776</v>
      </c>
      <c r="M1850" s="12" t="s">
        <v>4040</v>
      </c>
      <c r="N1850" s="12" t="s">
        <v>4041</v>
      </c>
      <c r="O1850" s="10" t="str">
        <f>HYPERLINK("https://pbs.twimg.com/profile_images/488719995401027584/VzWWQNs__normal.jpeg","View")</f>
        <v>View</v>
      </c>
      <c r="P1850" s="11"/>
    </row>
    <row r="1851" spans="1:16" ht="12.75" x14ac:dyDescent="0.35">
      <c r="A1851" s="7">
        <v>42481.990983796291</v>
      </c>
      <c r="B1851" s="8" t="str">
        <f>HYPERLINK("https://twitter.com/swanswaygroup","@swanswaygroup")</f>
        <v>@swanswaygroup</v>
      </c>
      <c r="C1851" s="9" t="s">
        <v>2558</v>
      </c>
      <c r="D1851" s="9" t="s">
        <v>4795</v>
      </c>
      <c r="E1851" s="10" t="str">
        <f>HYPERLINK("https://twitter.com/swanswaygroup/status/723213970383994881","723213970383994881")</f>
        <v>723213970383994881</v>
      </c>
      <c r="F1851" s="11" t="s">
        <v>140</v>
      </c>
      <c r="G1851" s="11">
        <v>6195</v>
      </c>
      <c r="H1851" s="11">
        <v>4459</v>
      </c>
      <c r="I1851" s="11">
        <v>1</v>
      </c>
      <c r="J1851" s="11">
        <v>0</v>
      </c>
      <c r="K1851" s="11" t="s">
        <v>21</v>
      </c>
      <c r="L1851" s="7">
        <v>40137.651365740741</v>
      </c>
      <c r="M1851" s="12" t="s">
        <v>2560</v>
      </c>
      <c r="N1851" s="12" t="s">
        <v>2561</v>
      </c>
      <c r="O1851" s="10" t="str">
        <f>HYPERLINK("https://pbs.twimg.com/profile_images/552037189328982016/r65JRGTS_normal.jpeg","View")</f>
        <v>View</v>
      </c>
      <c r="P1851" s="11"/>
    </row>
    <row r="1852" spans="1:16" ht="12.75" x14ac:dyDescent="0.35">
      <c r="A1852" s="7">
        <v>42481.991018518514</v>
      </c>
      <c r="B1852" s="8" t="str">
        <f>HYPERLINK("https://twitter.com/Mphilpot1","@Mphilpot1")</f>
        <v>@Mphilpot1</v>
      </c>
      <c r="C1852" s="9" t="s">
        <v>1280</v>
      </c>
      <c r="D1852" s="9" t="s">
        <v>4796</v>
      </c>
      <c r="E1852" s="10" t="str">
        <f>HYPERLINK("https://twitter.com/Mphilpot1/status/723213980164984833","723213980164984833")</f>
        <v>723213980164984833</v>
      </c>
      <c r="F1852" s="11" t="s">
        <v>34</v>
      </c>
      <c r="G1852" s="11">
        <v>114</v>
      </c>
      <c r="H1852" s="11">
        <v>141</v>
      </c>
      <c r="I1852" s="11">
        <v>0</v>
      </c>
      <c r="J1852" s="11">
        <v>0</v>
      </c>
      <c r="K1852" s="11" t="s">
        <v>21</v>
      </c>
      <c r="L1852" s="7">
        <v>41137.855208333334</v>
      </c>
      <c r="M1852" s="12"/>
      <c r="N1852" s="12"/>
      <c r="O1852" s="10" t="str">
        <f>HYPERLINK("https://pbs.twimg.com/profile_images/422164778639839234/LVnS1q1c_normal.jpeg","View")</f>
        <v>View</v>
      </c>
      <c r="P1852" s="11"/>
    </row>
    <row r="1853" spans="1:16" ht="12.75" x14ac:dyDescent="0.35">
      <c r="A1853" s="7">
        <v>42481.991481481484</v>
      </c>
      <c r="B1853" s="8" t="str">
        <f>HYPERLINK("https://twitter.com/OnlineCarReview","@OnlineCarReview")</f>
        <v>@OnlineCarReview</v>
      </c>
      <c r="C1853" s="9" t="s">
        <v>176</v>
      </c>
      <c r="D1853" s="9" t="s">
        <v>4797</v>
      </c>
      <c r="E1853" s="10" t="str">
        <f>HYPERLINK("https://twitter.com/OnlineCarReview/status/723214148151074817","723214148151074817")</f>
        <v>723214148151074817</v>
      </c>
      <c r="F1853" s="11" t="s">
        <v>34</v>
      </c>
      <c r="G1853" s="11">
        <v>839</v>
      </c>
      <c r="H1853" s="11">
        <v>568</v>
      </c>
      <c r="I1853" s="11">
        <v>0</v>
      </c>
      <c r="J1853" s="11">
        <v>0</v>
      </c>
      <c r="K1853" s="11" t="s">
        <v>21</v>
      </c>
      <c r="L1853" s="7">
        <v>42282.979201388887</v>
      </c>
      <c r="M1853" s="12"/>
      <c r="N1853" s="12" t="s">
        <v>178</v>
      </c>
      <c r="O1853" s="10" t="str">
        <f>HYPERLINK("https://pbs.twimg.com/profile_images/652871584131092480/QA_B6SBO_normal.jpg","View")</f>
        <v>View</v>
      </c>
      <c r="P1853" s="11"/>
    </row>
    <row r="1854" spans="1:16" ht="12.75" x14ac:dyDescent="0.35">
      <c r="A1854" s="7">
        <v>42481.991643518515</v>
      </c>
      <c r="B1854" s="8" t="str">
        <f t="shared" ref="B1854:B1858" si="171">HYPERLINK("https://twitter.com/VolkswagenPost","@VolkswagenPost")</f>
        <v>@VolkswagenPost</v>
      </c>
      <c r="C1854" s="9" t="s">
        <v>321</v>
      </c>
      <c r="D1854" s="9" t="s">
        <v>4798</v>
      </c>
      <c r="E1854" s="10" t="str">
        <f>HYPERLINK("https://twitter.com/VolkswagenPost/status/723214206418317313","723214206418317313")</f>
        <v>723214206418317313</v>
      </c>
      <c r="F1854" s="11" t="s">
        <v>34</v>
      </c>
      <c r="G1854" s="11">
        <v>571</v>
      </c>
      <c r="H1854" s="11">
        <v>446</v>
      </c>
      <c r="I1854" s="11">
        <v>0</v>
      </c>
      <c r="J1854" s="11">
        <v>0</v>
      </c>
      <c r="K1854" s="11" t="s">
        <v>21</v>
      </c>
      <c r="L1854" s="7">
        <v>41940.618379629632</v>
      </c>
      <c r="M1854" s="12"/>
      <c r="N1854" s="12"/>
      <c r="O1854" s="10" t="str">
        <f t="shared" ref="O1854:O1858" si="172">HYPERLINK("https://pbs.twimg.com/profile_images/530071272881803264/a_jcCmPZ_normal.png","View")</f>
        <v>View</v>
      </c>
      <c r="P1854" s="11"/>
    </row>
    <row r="1855" spans="1:16" ht="12.75" x14ac:dyDescent="0.35">
      <c r="A1855" s="7">
        <v>42481.991643518515</v>
      </c>
      <c r="B1855" s="8" t="str">
        <f t="shared" si="171"/>
        <v>@VolkswagenPost</v>
      </c>
      <c r="C1855" s="9" t="s">
        <v>321</v>
      </c>
      <c r="D1855" s="9" t="s">
        <v>4799</v>
      </c>
      <c r="E1855" s="10" t="str">
        <f>HYPERLINK("https://twitter.com/VolkswagenPost/status/723214207315898369","723214207315898369")</f>
        <v>723214207315898369</v>
      </c>
      <c r="F1855" s="11" t="s">
        <v>34</v>
      </c>
      <c r="G1855" s="11">
        <v>571</v>
      </c>
      <c r="H1855" s="11">
        <v>446</v>
      </c>
      <c r="I1855" s="11">
        <v>0</v>
      </c>
      <c r="J1855" s="11">
        <v>0</v>
      </c>
      <c r="K1855" s="11" t="s">
        <v>21</v>
      </c>
      <c r="L1855" s="7">
        <v>41940.618379629632</v>
      </c>
      <c r="M1855" s="12"/>
      <c r="N1855" s="12"/>
      <c r="O1855" s="10" t="str">
        <f t="shared" si="172"/>
        <v>View</v>
      </c>
      <c r="P1855" s="11"/>
    </row>
    <row r="1856" spans="1:16" ht="12.75" x14ac:dyDescent="0.35">
      <c r="A1856" s="7">
        <v>42481.991643518515</v>
      </c>
      <c r="B1856" s="8" t="str">
        <f t="shared" si="171"/>
        <v>@VolkswagenPost</v>
      </c>
      <c r="C1856" s="9" t="s">
        <v>321</v>
      </c>
      <c r="D1856" s="9" t="s">
        <v>4800</v>
      </c>
      <c r="E1856" s="10" t="str">
        <f>HYPERLINK("https://twitter.com/VolkswagenPost/status/723214208255434753","723214208255434753")</f>
        <v>723214208255434753</v>
      </c>
      <c r="F1856" s="11" t="s">
        <v>34</v>
      </c>
      <c r="G1856" s="11">
        <v>571</v>
      </c>
      <c r="H1856" s="11">
        <v>446</v>
      </c>
      <c r="I1856" s="11">
        <v>0</v>
      </c>
      <c r="J1856" s="11">
        <v>0</v>
      </c>
      <c r="K1856" s="11" t="s">
        <v>21</v>
      </c>
      <c r="L1856" s="7">
        <v>41940.618379629632</v>
      </c>
      <c r="M1856" s="12"/>
      <c r="N1856" s="12"/>
      <c r="O1856" s="10" t="str">
        <f t="shared" si="172"/>
        <v>View</v>
      </c>
      <c r="P1856" s="11"/>
    </row>
    <row r="1857" spans="1:16" ht="12.75" x14ac:dyDescent="0.35">
      <c r="A1857" s="7">
        <v>42481.991643518515</v>
      </c>
      <c r="B1857" s="8" t="str">
        <f t="shared" si="171"/>
        <v>@VolkswagenPost</v>
      </c>
      <c r="C1857" s="9" t="s">
        <v>321</v>
      </c>
      <c r="D1857" s="9" t="s">
        <v>4801</v>
      </c>
      <c r="E1857" s="10" t="str">
        <f>HYPERLINK("https://twitter.com/VolkswagenPost/status/723214209039749120","723214209039749120")</f>
        <v>723214209039749120</v>
      </c>
      <c r="F1857" s="11" t="s">
        <v>34</v>
      </c>
      <c r="G1857" s="11">
        <v>571</v>
      </c>
      <c r="H1857" s="11">
        <v>446</v>
      </c>
      <c r="I1857" s="11">
        <v>0</v>
      </c>
      <c r="J1857" s="11">
        <v>0</v>
      </c>
      <c r="K1857" s="11" t="s">
        <v>21</v>
      </c>
      <c r="L1857" s="7">
        <v>41940.618379629632</v>
      </c>
      <c r="M1857" s="12"/>
      <c r="N1857" s="12"/>
      <c r="O1857" s="10" t="str">
        <f t="shared" si="172"/>
        <v>View</v>
      </c>
      <c r="P1857" s="11"/>
    </row>
    <row r="1858" spans="1:16" ht="12.75" x14ac:dyDescent="0.35">
      <c r="A1858" s="7">
        <v>42481.991643518515</v>
      </c>
      <c r="B1858" s="8" t="str">
        <f t="shared" si="171"/>
        <v>@VolkswagenPost</v>
      </c>
      <c r="C1858" s="9" t="s">
        <v>321</v>
      </c>
      <c r="D1858" s="9" t="s">
        <v>4802</v>
      </c>
      <c r="E1858" s="10" t="str">
        <f>HYPERLINK("https://twitter.com/VolkswagenPost/status/723214209903792128","723214209903792128")</f>
        <v>723214209903792128</v>
      </c>
      <c r="F1858" s="11" t="s">
        <v>34</v>
      </c>
      <c r="G1858" s="11">
        <v>571</v>
      </c>
      <c r="H1858" s="11">
        <v>446</v>
      </c>
      <c r="I1858" s="11">
        <v>0</v>
      </c>
      <c r="J1858" s="11">
        <v>0</v>
      </c>
      <c r="K1858" s="11" t="s">
        <v>21</v>
      </c>
      <c r="L1858" s="7">
        <v>41940.618379629632</v>
      </c>
      <c r="M1858" s="12"/>
      <c r="N1858" s="12"/>
      <c r="O1858" s="10" t="str">
        <f t="shared" si="172"/>
        <v>View</v>
      </c>
      <c r="P1858" s="11"/>
    </row>
    <row r="1859" spans="1:16" ht="12.75" x14ac:dyDescent="0.35">
      <c r="A1859" s="7">
        <v>42481.992268518516</v>
      </c>
      <c r="B1859" s="8" t="str">
        <f>HYPERLINK("https://twitter.com/bvdvliet","@bvdvliet")</f>
        <v>@bvdvliet</v>
      </c>
      <c r="C1859" s="9" t="s">
        <v>2513</v>
      </c>
      <c r="D1859" s="9" t="s">
        <v>4186</v>
      </c>
      <c r="E1859" s="10" t="str">
        <f>HYPERLINK("https://twitter.com/bvdvliet/status/723214435863683072","723214435863683072")</f>
        <v>723214435863683072</v>
      </c>
      <c r="F1859" s="11" t="s">
        <v>91</v>
      </c>
      <c r="G1859" s="11">
        <v>158</v>
      </c>
      <c r="H1859" s="11">
        <v>267</v>
      </c>
      <c r="I1859" s="11">
        <v>10</v>
      </c>
      <c r="J1859" s="11">
        <v>0</v>
      </c>
      <c r="K1859" s="11" t="s">
        <v>21</v>
      </c>
      <c r="L1859" s="7">
        <v>41594.873657407406</v>
      </c>
      <c r="M1859" s="12"/>
      <c r="N1859" s="12"/>
      <c r="O1859" s="10" t="str">
        <f>HYPERLINK("https://pbs.twimg.com/profile_images/378800000747750946/394d9f0f5e6dde5137683d9c98c5c8a9_normal.jpeg","View")</f>
        <v>View</v>
      </c>
      <c r="P1859" s="11"/>
    </row>
    <row r="1860" spans="1:16" ht="12.75" x14ac:dyDescent="0.35">
      <c r="A1860" s="7">
        <v>42481.993692129632</v>
      </c>
      <c r="B1860" s="8" t="str">
        <f>HYPERLINK("https://twitter.com/RiveGaucheWestU","@RiveGaucheWestU")</f>
        <v>@RiveGaucheWestU</v>
      </c>
      <c r="C1860" s="9" t="s">
        <v>4803</v>
      </c>
      <c r="D1860" s="9" t="s">
        <v>4804</v>
      </c>
      <c r="E1860" s="10" t="str">
        <f>HYPERLINK("https://twitter.com/RiveGaucheWestU/status/723214952291409921","723214952291409921")</f>
        <v>723214952291409921</v>
      </c>
      <c r="F1860" s="11" t="s">
        <v>20</v>
      </c>
      <c r="G1860" s="11">
        <v>82</v>
      </c>
      <c r="H1860" s="11">
        <v>730</v>
      </c>
      <c r="I1860" s="11">
        <v>0</v>
      </c>
      <c r="J1860" s="11">
        <v>0</v>
      </c>
      <c r="K1860" s="11" t="s">
        <v>21</v>
      </c>
      <c r="L1860" s="7">
        <v>40980.042928240742</v>
      </c>
      <c r="M1860" s="12" t="s">
        <v>3537</v>
      </c>
      <c r="N1860" s="12" t="s">
        <v>4805</v>
      </c>
      <c r="O1860" s="10" t="str">
        <f>HYPERLINK("https://pbs.twimg.com/profile_images/710095285314170880/4JEWUk8A_normal.jpg","View")</f>
        <v>View</v>
      </c>
      <c r="P1860" s="11"/>
    </row>
    <row r="1861" spans="1:16" ht="12.75" x14ac:dyDescent="0.35">
      <c r="A1861" s="7">
        <v>42481.993981481486</v>
      </c>
      <c r="B1861" s="8" t="str">
        <f>HYPERLINK("https://twitter.com/kamankoyum","@kamankoyum")</f>
        <v>@kamankoyum</v>
      </c>
      <c r="C1861" s="9" t="s">
        <v>4806</v>
      </c>
      <c r="D1861" s="9" t="s">
        <v>4532</v>
      </c>
      <c r="E1861" s="10" t="str">
        <f>HYPERLINK("https://twitter.com/kamankoyum/status/723215056532570112","723215056532570112")</f>
        <v>723215056532570112</v>
      </c>
      <c r="F1861" s="11" t="s">
        <v>48</v>
      </c>
      <c r="G1861" s="11">
        <v>110</v>
      </c>
      <c r="H1861" s="11">
        <v>59</v>
      </c>
      <c r="I1861" s="11">
        <v>5</v>
      </c>
      <c r="J1861" s="11">
        <v>0</v>
      </c>
      <c r="K1861" s="11" t="s">
        <v>21</v>
      </c>
      <c r="L1861" s="7">
        <v>40775.872037037036</v>
      </c>
      <c r="M1861" s="12"/>
      <c r="N1861" s="12"/>
      <c r="O1861" s="10" t="str">
        <f>HYPERLINK("https://pbs.twimg.com/profile_images/1898841779/dad__n_n_torunlar__normal.jpg","View")</f>
        <v>View</v>
      </c>
      <c r="P1861" s="11"/>
    </row>
    <row r="1862" spans="1:16" ht="12.75" x14ac:dyDescent="0.35">
      <c r="A1862" s="7">
        <v>42481.994050925925</v>
      </c>
      <c r="B1862" s="8" t="str">
        <f>HYPERLINK("https://twitter.com/Cati_Economia","@Cati_Economia")</f>
        <v>@Cati_Economia</v>
      </c>
      <c r="C1862" s="9" t="s">
        <v>4222</v>
      </c>
      <c r="D1862" s="9" t="s">
        <v>4329</v>
      </c>
      <c r="E1862" s="10" t="str">
        <f>HYPERLINK("https://twitter.com/Cati_Economia/status/723215079915819009","723215079915819009")</f>
        <v>723215079915819009</v>
      </c>
      <c r="F1862" s="11" t="s">
        <v>63</v>
      </c>
      <c r="G1862" s="11">
        <v>3448</v>
      </c>
      <c r="H1862" s="11">
        <v>66</v>
      </c>
      <c r="I1862" s="11">
        <v>4</v>
      </c>
      <c r="J1862" s="11">
        <v>0</v>
      </c>
      <c r="K1862" s="11" t="s">
        <v>21</v>
      </c>
      <c r="L1862" s="7">
        <v>41320.607164351852</v>
      </c>
      <c r="M1862" s="12"/>
      <c r="N1862" s="12" t="s">
        <v>4223</v>
      </c>
      <c r="O1862" s="10" t="str">
        <f>HYPERLINK("https://pbs.twimg.com/profile_images/536852811401555968/jGIByPyp_normal.png","View")</f>
        <v>View</v>
      </c>
      <c r="P1862" s="11"/>
    </row>
    <row r="1863" spans="1:16" ht="12.75" x14ac:dyDescent="0.35">
      <c r="A1863" s="7">
        <v>42481.995219907403</v>
      </c>
      <c r="B1863" s="8" t="str">
        <f t="shared" ref="B1863:B1864" si="173">HYPERLINK("https://twitter.com/bvdvliet","@bvdvliet")</f>
        <v>@bvdvliet</v>
      </c>
      <c r="C1863" s="9" t="s">
        <v>2513</v>
      </c>
      <c r="D1863" s="9" t="s">
        <v>3647</v>
      </c>
      <c r="E1863" s="10" t="str">
        <f>HYPERLINK("https://twitter.com/bvdvliet/status/723215502793969664","723215502793969664")</f>
        <v>723215502793969664</v>
      </c>
      <c r="F1863" s="11" t="s">
        <v>91</v>
      </c>
      <c r="G1863" s="11">
        <v>158</v>
      </c>
      <c r="H1863" s="11">
        <v>267</v>
      </c>
      <c r="I1863" s="11">
        <v>5</v>
      </c>
      <c r="J1863" s="11">
        <v>0</v>
      </c>
      <c r="K1863" s="11" t="s">
        <v>21</v>
      </c>
      <c r="L1863" s="7">
        <v>41594.873657407406</v>
      </c>
      <c r="M1863" s="12"/>
      <c r="N1863" s="12"/>
      <c r="O1863" s="10" t="str">
        <f t="shared" ref="O1863:O1864" si="174">HYPERLINK("https://pbs.twimg.com/profile_images/378800000747750946/394d9f0f5e6dde5137683d9c98c5c8a9_normal.jpeg","View")</f>
        <v>View</v>
      </c>
      <c r="P1863" s="11"/>
    </row>
    <row r="1864" spans="1:16" ht="12.75" x14ac:dyDescent="0.35">
      <c r="A1864" s="7">
        <v>42481.995381944449</v>
      </c>
      <c r="B1864" s="8" t="str">
        <f t="shared" si="173"/>
        <v>@bvdvliet</v>
      </c>
      <c r="C1864" s="9" t="s">
        <v>2513</v>
      </c>
      <c r="D1864" s="9" t="s">
        <v>4670</v>
      </c>
      <c r="E1864" s="10" t="str">
        <f>HYPERLINK("https://twitter.com/bvdvliet/status/723215560981536769","723215560981536769")</f>
        <v>723215560981536769</v>
      </c>
      <c r="F1864" s="11" t="s">
        <v>91</v>
      </c>
      <c r="G1864" s="11">
        <v>158</v>
      </c>
      <c r="H1864" s="11">
        <v>267</v>
      </c>
      <c r="I1864" s="11">
        <v>3</v>
      </c>
      <c r="J1864" s="11">
        <v>0</v>
      </c>
      <c r="K1864" s="11" t="s">
        <v>21</v>
      </c>
      <c r="L1864" s="7">
        <v>41594.873657407406</v>
      </c>
      <c r="M1864" s="12"/>
      <c r="N1864" s="12"/>
      <c r="O1864" s="10" t="str">
        <f t="shared" si="174"/>
        <v>View</v>
      </c>
      <c r="P1864" s="11"/>
    </row>
    <row r="1865" spans="1:16" ht="12.75" x14ac:dyDescent="0.35">
      <c r="A1865" s="7">
        <v>42481.995451388888</v>
      </c>
      <c r="B1865" s="8" t="str">
        <f>HYPERLINK("https://twitter.com/Ricardpiccolojr","@Ricardpiccolojr")</f>
        <v>@Ricardpiccolojr</v>
      </c>
      <c r="C1865" s="9" t="s">
        <v>4807</v>
      </c>
      <c r="D1865" s="9" t="s">
        <v>4329</v>
      </c>
      <c r="E1865" s="10" t="str">
        <f>HYPERLINK("https://twitter.com/Ricardpiccolojr/status/723215585807577089","723215585807577089")</f>
        <v>723215585807577089</v>
      </c>
      <c r="F1865" s="11" t="s">
        <v>48</v>
      </c>
      <c r="G1865" s="11">
        <v>848</v>
      </c>
      <c r="H1865" s="11">
        <v>2913</v>
      </c>
      <c r="I1865" s="11">
        <v>4</v>
      </c>
      <c r="J1865" s="11">
        <v>0</v>
      </c>
      <c r="K1865" s="11" t="s">
        <v>21</v>
      </c>
      <c r="L1865" s="7">
        <v>42347.111678240741</v>
      </c>
      <c r="M1865" s="12" t="s">
        <v>4808</v>
      </c>
      <c r="N1865" s="12" t="s">
        <v>4809</v>
      </c>
      <c r="O1865" s="10" t="str">
        <f>HYPERLINK("https://pbs.twimg.com/profile_images/689575023284244480/WoNSC9ka_normal.jpg","View")</f>
        <v>View</v>
      </c>
      <c r="P1865" s="11"/>
    </row>
    <row r="1866" spans="1:16" ht="12.75" x14ac:dyDescent="0.35">
      <c r="A1866" s="7">
        <v>42481.995868055557</v>
      </c>
      <c r="B1866" s="8" t="str">
        <f>HYPERLINK("https://twitter.com/TeamHardRacing","@TeamHardRacing")</f>
        <v>@TeamHardRacing</v>
      </c>
      <c r="C1866" s="9" t="s">
        <v>4810</v>
      </c>
      <c r="D1866" s="9" t="s">
        <v>4811</v>
      </c>
      <c r="E1866" s="10" t="str">
        <f>HYPERLINK("https://twitter.com/TeamHardRacing/status/723215740598255620","723215740598255620")</f>
        <v>723215740598255620</v>
      </c>
      <c r="F1866" s="11" t="s">
        <v>91</v>
      </c>
      <c r="G1866" s="11">
        <v>2500</v>
      </c>
      <c r="H1866" s="11">
        <v>206</v>
      </c>
      <c r="I1866" s="11">
        <v>2</v>
      </c>
      <c r="J1866" s="11">
        <v>0</v>
      </c>
      <c r="K1866" s="11" t="s">
        <v>21</v>
      </c>
      <c r="L1866" s="7">
        <v>41585.677245370374</v>
      </c>
      <c r="M1866" s="12" t="s">
        <v>4812</v>
      </c>
      <c r="N1866" s="12" t="s">
        <v>4813</v>
      </c>
      <c r="O1866" s="10" t="str">
        <f>HYPERLINK("https://pbs.twimg.com/profile_images/582877066447753216/5VgRsWF1_normal.jpg","View")</f>
        <v>View</v>
      </c>
      <c r="P1866" s="11"/>
    </row>
    <row r="1867" spans="1:16" ht="12.75" x14ac:dyDescent="0.35">
      <c r="A1867" s="7">
        <v>42481.996805555551</v>
      </c>
      <c r="B1867" s="8" t="str">
        <f>HYPERLINK("https://twitter.com/VipinGtm","@VipinGtm")</f>
        <v>@VipinGtm</v>
      </c>
      <c r="C1867" s="9" t="s">
        <v>4814</v>
      </c>
      <c r="D1867" s="9" t="s">
        <v>4815</v>
      </c>
      <c r="E1867" s="10" t="str">
        <f>HYPERLINK("https://twitter.com/VipinGtm/status/723216080559202304","723216080559202304")</f>
        <v>723216080559202304</v>
      </c>
      <c r="F1867" s="11" t="s">
        <v>48</v>
      </c>
      <c r="G1867" s="11">
        <v>188</v>
      </c>
      <c r="H1867" s="11">
        <v>598</v>
      </c>
      <c r="I1867" s="11">
        <v>0</v>
      </c>
      <c r="J1867" s="11">
        <v>0</v>
      </c>
      <c r="K1867" s="11" t="s">
        <v>21</v>
      </c>
      <c r="L1867" s="7">
        <v>40663.92019675926</v>
      </c>
      <c r="M1867" s="12"/>
      <c r="N1867" s="12"/>
      <c r="O1867" s="10" t="str">
        <f>HYPERLINK("https://pbs.twimg.com/profile_images/430410129184260096/osEeFqYo_normal.jpeg","View")</f>
        <v>View</v>
      </c>
      <c r="P1867" s="11"/>
    </row>
    <row r="1868" spans="1:16" ht="12.75" x14ac:dyDescent="0.35">
      <c r="A1868" s="7">
        <v>42481.997858796298</v>
      </c>
      <c r="B1868" s="8" t="str">
        <f>HYPERLINK("https://twitter.com/VolkswagenPost","@VolkswagenPost")</f>
        <v>@VolkswagenPost</v>
      </c>
      <c r="C1868" s="9" t="s">
        <v>321</v>
      </c>
      <c r="D1868" s="9" t="s">
        <v>4816</v>
      </c>
      <c r="E1868" s="10" t="str">
        <f>HYPERLINK("https://twitter.com/VolkswagenPost/status/723216460156379136","723216460156379136")</f>
        <v>723216460156379136</v>
      </c>
      <c r="F1868" s="11" t="s">
        <v>288</v>
      </c>
      <c r="G1868" s="11">
        <v>571</v>
      </c>
      <c r="H1868" s="11">
        <v>446</v>
      </c>
      <c r="I1868" s="11">
        <v>1</v>
      </c>
      <c r="J1868" s="11">
        <v>0</v>
      </c>
      <c r="K1868" s="11" t="s">
        <v>21</v>
      </c>
      <c r="L1868" s="7">
        <v>41940.618379629632</v>
      </c>
      <c r="M1868" s="12"/>
      <c r="N1868" s="12"/>
      <c r="O1868" s="10" t="str">
        <f>HYPERLINK("https://pbs.twimg.com/profile_images/530071272881803264/a_jcCmPZ_normal.png","View")</f>
        <v>View</v>
      </c>
      <c r="P1868" s="11"/>
    </row>
    <row r="1869" spans="1:16" ht="12.75" x14ac:dyDescent="0.35">
      <c r="A1869" s="7">
        <v>42481.997858796298</v>
      </c>
      <c r="B1869" s="8" t="str">
        <f>HYPERLINK("https://twitter.com/ruWladimir","@ruWladimir")</f>
        <v>@ruWladimir</v>
      </c>
      <c r="C1869" s="9" t="s">
        <v>4817</v>
      </c>
      <c r="D1869" s="9" t="s">
        <v>4818</v>
      </c>
      <c r="E1869" s="10" t="str">
        <f>HYPERLINK("https://twitter.com/ruWladimir/status/723216460902850560","723216460902850560")</f>
        <v>723216460902850560</v>
      </c>
      <c r="F1869" s="11" t="s">
        <v>43</v>
      </c>
      <c r="G1869" s="11">
        <v>56</v>
      </c>
      <c r="H1869" s="11">
        <v>26</v>
      </c>
      <c r="I1869" s="11">
        <v>0</v>
      </c>
      <c r="J1869" s="11">
        <v>0</v>
      </c>
      <c r="K1869" s="11" t="s">
        <v>21</v>
      </c>
      <c r="L1869" s="7">
        <v>41713.983865740738</v>
      </c>
      <c r="M1869" s="12"/>
      <c r="N1869" s="12" t="s">
        <v>4819</v>
      </c>
      <c r="O1869" s="10" t="str">
        <f>HYPERLINK("https://pbs.twimg.com/profile_images/445121132337713152/P-netA67_normal.jpeg","View")</f>
        <v>View</v>
      </c>
      <c r="P1869" s="11"/>
    </row>
    <row r="1870" spans="1:16" ht="12.75" x14ac:dyDescent="0.35">
      <c r="A1870" s="7">
        <v>42481.997858796298</v>
      </c>
      <c r="B1870" s="8" t="str">
        <f>HYPERLINK("https://twitter.com/VolkswagenPost","@VolkswagenPost")</f>
        <v>@VolkswagenPost</v>
      </c>
      <c r="C1870" s="9" t="s">
        <v>321</v>
      </c>
      <c r="D1870" s="9" t="s">
        <v>4820</v>
      </c>
      <c r="E1870" s="10" t="str">
        <f>HYPERLINK("https://twitter.com/VolkswagenPost/status/723216460961710081","723216460961710081")</f>
        <v>723216460961710081</v>
      </c>
      <c r="F1870" s="11" t="s">
        <v>288</v>
      </c>
      <c r="G1870" s="11">
        <v>571</v>
      </c>
      <c r="H1870" s="11">
        <v>446</v>
      </c>
      <c r="I1870" s="11">
        <v>1</v>
      </c>
      <c r="J1870" s="11">
        <v>0</v>
      </c>
      <c r="K1870" s="11" t="s">
        <v>21</v>
      </c>
      <c r="L1870" s="7">
        <v>41940.618379629632</v>
      </c>
      <c r="M1870" s="12"/>
      <c r="N1870" s="12"/>
      <c r="O1870" s="10" t="str">
        <f>HYPERLINK("https://pbs.twimg.com/profile_images/530071272881803264/a_jcCmPZ_normal.png","View")</f>
        <v>View</v>
      </c>
      <c r="P1870" s="11"/>
    </row>
    <row r="1871" spans="1:16" ht="12.75" x14ac:dyDescent="0.35">
      <c r="A1871" s="7">
        <v>42481.997962962967</v>
      </c>
      <c r="B1871" s="8" t="str">
        <f>HYPERLINK("https://twitter.com/ndaktuell","@ndaktuell")</f>
        <v>@ndaktuell</v>
      </c>
      <c r="C1871" s="9" t="s">
        <v>4821</v>
      </c>
      <c r="D1871" s="9" t="s">
        <v>4822</v>
      </c>
      <c r="E1871" s="10" t="str">
        <f>HYPERLINK("https://twitter.com/ndaktuell/status/723216499637362688","723216499637362688")</f>
        <v>723216499637362688</v>
      </c>
      <c r="F1871" s="11" t="s">
        <v>4823</v>
      </c>
      <c r="G1871" s="11">
        <v>17530</v>
      </c>
      <c r="H1871" s="11">
        <v>639</v>
      </c>
      <c r="I1871" s="11">
        <v>6</v>
      </c>
      <c r="J1871" s="11">
        <v>1</v>
      </c>
      <c r="K1871" s="11" t="s">
        <v>21</v>
      </c>
      <c r="L1871" s="7">
        <v>40073.507071759261</v>
      </c>
      <c r="M1871" s="12" t="s">
        <v>1359</v>
      </c>
      <c r="N1871" s="12" t="s">
        <v>4824</v>
      </c>
      <c r="O1871" s="10" t="str">
        <f>HYPERLINK("https://pbs.twimg.com/profile_images/610769623605243904/uVFqXxAx_normal.png","View")</f>
        <v>View</v>
      </c>
      <c r="P1871" s="11"/>
    </row>
    <row r="1872" spans="1:16" ht="12.75" x14ac:dyDescent="0.35">
      <c r="A1872" s="7">
        <v>42481.998576388884</v>
      </c>
      <c r="B1872" s="8" t="str">
        <f>HYPERLINK("https://twitter.com/brosefstalin53","@brosefstalin53")</f>
        <v>@brosefstalin53</v>
      </c>
      <c r="C1872" s="9" t="s">
        <v>4825</v>
      </c>
      <c r="D1872" s="9" t="s">
        <v>4826</v>
      </c>
      <c r="E1872" s="10" t="str">
        <f>HYPERLINK("https://twitter.com/brosefstalin53/status/723216718798172160","723216718798172160")</f>
        <v>723216718798172160</v>
      </c>
      <c r="F1872" s="11" t="s">
        <v>20</v>
      </c>
      <c r="G1872" s="11">
        <v>145</v>
      </c>
      <c r="H1872" s="11">
        <v>241</v>
      </c>
      <c r="I1872" s="11">
        <v>6</v>
      </c>
      <c r="J1872" s="11">
        <v>0</v>
      </c>
      <c r="K1872" s="11" t="s">
        <v>21</v>
      </c>
      <c r="L1872" s="7">
        <v>42457.827245370368</v>
      </c>
      <c r="M1872" s="12" t="s">
        <v>4827</v>
      </c>
      <c r="N1872" s="12" t="s">
        <v>4828</v>
      </c>
      <c r="O1872" s="10" t="str">
        <f>HYPERLINK("https://pbs.twimg.com/profile_images/714459923313213440/hqlB0K0j_normal.jpg","View")</f>
        <v>View</v>
      </c>
      <c r="P1872" s="11"/>
    </row>
    <row r="1873" spans="1:16" ht="12.75" x14ac:dyDescent="0.35">
      <c r="A1873" s="7">
        <v>42481.99899305556</v>
      </c>
      <c r="B1873" s="8" t="str">
        <f>HYPERLINK("https://twitter.com/morvjn","@morvjn")</f>
        <v>@morvjn</v>
      </c>
      <c r="C1873" s="9" t="s">
        <v>4829</v>
      </c>
      <c r="D1873" s="9" t="s">
        <v>4826</v>
      </c>
      <c r="E1873" s="10" t="str">
        <f>HYPERLINK("https://twitter.com/morvjn/status/723216869549850625","723216869549850625")</f>
        <v>723216869549850625</v>
      </c>
      <c r="F1873" s="11" t="s">
        <v>48</v>
      </c>
      <c r="G1873" s="11">
        <v>821</v>
      </c>
      <c r="H1873" s="11">
        <v>2880</v>
      </c>
      <c r="I1873" s="11">
        <v>6</v>
      </c>
      <c r="J1873" s="11">
        <v>0</v>
      </c>
      <c r="K1873" s="11" t="s">
        <v>21</v>
      </c>
      <c r="L1873" s="7">
        <v>40252.731041666666</v>
      </c>
      <c r="M1873" s="12"/>
      <c r="N1873" s="12" t="s">
        <v>4830</v>
      </c>
      <c r="O1873" s="10" t="str">
        <f>HYPERLINK("https://pbs.twimg.com/profile_images/785585375/marvin-the-paranoid-android_normal.jpg","View")</f>
        <v>View</v>
      </c>
      <c r="P1873" s="11"/>
    </row>
    <row r="1874" spans="1:16" ht="12.75" x14ac:dyDescent="0.35">
      <c r="A1874" s="7">
        <v>42481.999189814815</v>
      </c>
      <c r="B1874" s="8" t="str">
        <f>HYPERLINK("https://twitter.com/ben_gt","@ben_gt")</f>
        <v>@ben_gt</v>
      </c>
      <c r="C1874" s="9" t="s">
        <v>4831</v>
      </c>
      <c r="D1874" s="9" t="s">
        <v>4832</v>
      </c>
      <c r="E1874" s="10" t="str">
        <f>HYPERLINK("https://twitter.com/ben_gt/status/723216944363495425","723216944363495425")</f>
        <v>723216944363495425</v>
      </c>
      <c r="F1874" s="11" t="s">
        <v>43</v>
      </c>
      <c r="G1874" s="11">
        <v>644</v>
      </c>
      <c r="H1874" s="11">
        <v>345</v>
      </c>
      <c r="I1874" s="11">
        <v>3</v>
      </c>
      <c r="J1874" s="11">
        <v>0</v>
      </c>
      <c r="K1874" s="11" t="s">
        <v>21</v>
      </c>
      <c r="L1874" s="7">
        <v>39944.907025462962</v>
      </c>
      <c r="M1874" s="12" t="s">
        <v>4833</v>
      </c>
      <c r="N1874" s="12" t="s">
        <v>4834</v>
      </c>
      <c r="O1874" s="10" t="str">
        <f>HYPERLINK("https://pbs.twimg.com/profile_images/1125394338/P1050583_normal.JPG","View")</f>
        <v>View</v>
      </c>
      <c r="P1874" s="11"/>
    </row>
    <row r="1875" spans="1:16" ht="12.75" x14ac:dyDescent="0.35">
      <c r="A1875" s="7">
        <v>42481.999571759261</v>
      </c>
      <c r="B1875" s="8" t="str">
        <f>HYPERLINK("https://twitter.com/k__hris","@k__hris")</f>
        <v>@k__hris</v>
      </c>
      <c r="C1875" s="9" t="s">
        <v>4835</v>
      </c>
      <c r="D1875" s="9" t="s">
        <v>4836</v>
      </c>
      <c r="E1875" s="10" t="str">
        <f>HYPERLINK("https://twitter.com/k__hris/status/723217081961947137","723217081961947137")</f>
        <v>723217081961947137</v>
      </c>
      <c r="F1875" s="11" t="s">
        <v>160</v>
      </c>
      <c r="G1875" s="11">
        <v>368</v>
      </c>
      <c r="H1875" s="11">
        <v>606</v>
      </c>
      <c r="I1875" s="11">
        <v>0</v>
      </c>
      <c r="J1875" s="11">
        <v>0</v>
      </c>
      <c r="K1875" s="11" t="s">
        <v>21</v>
      </c>
      <c r="L1875" s="7">
        <v>41882.769976851851</v>
      </c>
      <c r="M1875" s="12" t="s">
        <v>4837</v>
      </c>
      <c r="N1875" s="12" t="s">
        <v>4838</v>
      </c>
      <c r="O1875" s="10" t="str">
        <f>HYPERLINK("https://pbs.twimg.com/profile_images/720567202877980672/VTXiEXaY_normal.jpg","View")</f>
        <v>View</v>
      </c>
      <c r="P1875" s="11"/>
    </row>
    <row r="1876" spans="1:16" ht="12.75" x14ac:dyDescent="0.35">
      <c r="A1876" s="7">
        <v>42482.00037037037</v>
      </c>
      <c r="B1876" s="8" t="str">
        <f>HYPERLINK("https://twitter.com/ArcadiaComunica","@ArcadiaComunica")</f>
        <v>@ArcadiaComunica</v>
      </c>
      <c r="C1876" s="9" t="s">
        <v>4839</v>
      </c>
      <c r="D1876" s="9" t="s">
        <v>4840</v>
      </c>
      <c r="E1876" s="10" t="str">
        <f>HYPERLINK("https://twitter.com/ArcadiaComunica/status/723217370290917377","723217370290917377")</f>
        <v>723217370290917377</v>
      </c>
      <c r="F1876" s="10" t="s">
        <v>2076</v>
      </c>
      <c r="G1876" s="11">
        <v>39</v>
      </c>
      <c r="H1876" s="11">
        <v>60</v>
      </c>
      <c r="I1876" s="11">
        <v>0</v>
      </c>
      <c r="J1876" s="11">
        <v>0</v>
      </c>
      <c r="K1876" s="11" t="s">
        <v>21</v>
      </c>
      <c r="L1876" s="7">
        <v>40950.116365740745</v>
      </c>
      <c r="M1876" s="12" t="s">
        <v>4841</v>
      </c>
      <c r="N1876" s="12" t="s">
        <v>4842</v>
      </c>
      <c r="O1876" s="10" t="str">
        <f>HYPERLINK("https://pbs.twimg.com/profile_images/462350572058718209/eX2lBmw3_normal.png","View")</f>
        <v>View</v>
      </c>
      <c r="P1876" s="11"/>
    </row>
    <row r="1877" spans="1:16" ht="12.75" x14ac:dyDescent="0.35">
      <c r="A1877" s="7">
        <v>42482.001087962963</v>
      </c>
      <c r="B1877" s="8" t="str">
        <f>HYPERLINK("https://twitter.com/tumalwas","@tumalwas")</f>
        <v>@tumalwas</v>
      </c>
      <c r="C1877" s="9" t="s">
        <v>4843</v>
      </c>
      <c r="D1877" s="9" t="s">
        <v>4826</v>
      </c>
      <c r="E1877" s="10" t="str">
        <f>HYPERLINK("https://twitter.com/tumalwas/status/723217630082011136","723217630082011136")</f>
        <v>723217630082011136</v>
      </c>
      <c r="F1877" s="11" t="s">
        <v>48</v>
      </c>
      <c r="G1877" s="11">
        <v>541</v>
      </c>
      <c r="H1877" s="11">
        <v>848</v>
      </c>
      <c r="I1877" s="11">
        <v>6</v>
      </c>
      <c r="J1877" s="11">
        <v>0</v>
      </c>
      <c r="K1877" s="11" t="s">
        <v>21</v>
      </c>
      <c r="L1877" s="7">
        <v>41208.76021990741</v>
      </c>
      <c r="M1877" s="12" t="s">
        <v>4844</v>
      </c>
      <c r="N1877" s="12" t="s">
        <v>4845</v>
      </c>
      <c r="O1877" s="10" t="str">
        <f>HYPERLINK("https://pbs.twimg.com/profile_images/639197043538403328/dlL8gtYI_normal.jpg","View")</f>
        <v>View</v>
      </c>
      <c r="P1877" s="11"/>
    </row>
    <row r="1878" spans="1:16" ht="12.75" x14ac:dyDescent="0.35">
      <c r="A1878" s="7">
        <v>42482.001261574071</v>
      </c>
      <c r="B1878" s="8" t="str">
        <f>HYPERLINK("https://twitter.com/JoachimPeiper8","@JoachimPeiper8")</f>
        <v>@JoachimPeiper8</v>
      </c>
      <c r="C1878" s="9" t="s">
        <v>4846</v>
      </c>
      <c r="D1878" s="9" t="s">
        <v>4767</v>
      </c>
      <c r="E1878" s="10" t="str">
        <f>HYPERLINK("https://twitter.com/JoachimPeiper8/status/723217694443618304","723217694443618304")</f>
        <v>723217694443618304</v>
      </c>
      <c r="F1878" s="11" t="s">
        <v>48</v>
      </c>
      <c r="G1878" s="11">
        <v>336</v>
      </c>
      <c r="H1878" s="11">
        <v>367</v>
      </c>
      <c r="I1878" s="11">
        <v>3</v>
      </c>
      <c r="J1878" s="11">
        <v>0</v>
      </c>
      <c r="K1878" s="11" t="s">
        <v>21</v>
      </c>
      <c r="L1878" s="7">
        <v>42389.980578703704</v>
      </c>
      <c r="M1878" s="12" t="s">
        <v>4847</v>
      </c>
      <c r="N1878" s="12" t="s">
        <v>4848</v>
      </c>
      <c r="O1878" s="10" t="str">
        <f>HYPERLINK("https://pbs.twimg.com/profile_images/692076002940420097/5AH5fGl7_normal.jpg","View")</f>
        <v>View</v>
      </c>
      <c r="P1878" s="11"/>
    </row>
    <row r="1879" spans="1:16" ht="12.75" x14ac:dyDescent="0.35">
      <c r="A1879" s="7">
        <v>42482.00136574074</v>
      </c>
      <c r="B1879" s="8" t="str">
        <f>HYPERLINK("https://twitter.com/SteveGrant67","@SteveGrant67")</f>
        <v>@SteveGrant67</v>
      </c>
      <c r="C1879" s="9" t="s">
        <v>4849</v>
      </c>
      <c r="D1879" s="9" t="s">
        <v>4850</v>
      </c>
      <c r="E1879" s="10" t="str">
        <f>HYPERLINK("https://twitter.com/SteveGrant67/status/723217730791440384","723217730791440384")</f>
        <v>723217730791440384</v>
      </c>
      <c r="F1879" s="11" t="s">
        <v>43</v>
      </c>
      <c r="G1879" s="11">
        <v>1462</v>
      </c>
      <c r="H1879" s="11">
        <v>539</v>
      </c>
      <c r="I1879" s="11">
        <v>0</v>
      </c>
      <c r="J1879" s="11">
        <v>0</v>
      </c>
      <c r="K1879" s="11" t="s">
        <v>21</v>
      </c>
      <c r="L1879" s="7">
        <v>40850.929270833338</v>
      </c>
      <c r="M1879" s="12" t="s">
        <v>4851</v>
      </c>
      <c r="N1879" s="12" t="s">
        <v>4852</v>
      </c>
      <c r="O1879" s="10" t="str">
        <f>HYPERLINK("https://pbs.twimg.com/profile_images/460076285507563521/4Z-e8jo6_normal.jpeg","View")</f>
        <v>View</v>
      </c>
      <c r="P1879" s="11"/>
    </row>
    <row r="1880" spans="1:16" ht="12.75" x14ac:dyDescent="0.35">
      <c r="A1880" s="7">
        <v>42482.00209490741</v>
      </c>
      <c r="B1880" s="8" t="str">
        <f>HYPERLINK("https://twitter.com/midaytona","@midaytona")</f>
        <v>@midaytona</v>
      </c>
      <c r="C1880" s="9" t="s">
        <v>4853</v>
      </c>
      <c r="D1880" s="9" t="s">
        <v>4854</v>
      </c>
      <c r="E1880" s="10" t="str">
        <f>HYPERLINK("https://twitter.com/midaytona/status/723217997385461762","723217997385461762")</f>
        <v>723217997385461762</v>
      </c>
      <c r="F1880" s="11" t="s">
        <v>254</v>
      </c>
      <c r="G1880" s="11">
        <v>10577</v>
      </c>
      <c r="H1880" s="11">
        <v>5254</v>
      </c>
      <c r="I1880" s="11">
        <v>3</v>
      </c>
      <c r="J1880" s="11">
        <v>2</v>
      </c>
      <c r="K1880" s="11" t="s">
        <v>21</v>
      </c>
      <c r="L1880" s="7">
        <v>40766.843344907407</v>
      </c>
      <c r="M1880" s="12" t="s">
        <v>866</v>
      </c>
      <c r="N1880" s="12" t="s">
        <v>4855</v>
      </c>
      <c r="O1880" s="10" t="str">
        <f>HYPERLINK("https://pbs.twimg.com/profile_images/524665042696806400/kZlDvA2y_normal.png","View")</f>
        <v>View</v>
      </c>
      <c r="P1880" s="11"/>
    </row>
    <row r="1881" spans="1:16" ht="12.75" x14ac:dyDescent="0.35">
      <c r="A1881" s="7">
        <v>42482.002627314811</v>
      </c>
      <c r="B1881" s="8" t="str">
        <f>HYPERLINK("https://twitter.com/PoweredToysandB","@PoweredToysandB")</f>
        <v>@PoweredToysandB</v>
      </c>
      <c r="C1881" s="9" t="s">
        <v>4856</v>
      </c>
      <c r="D1881" s="9" t="s">
        <v>2997</v>
      </c>
      <c r="E1881" s="10" t="str">
        <f>HYPERLINK("https://twitter.com/PoweredToysandB/status/723218187928670209","723218187928670209")</f>
        <v>723218187928670209</v>
      </c>
      <c r="F1881" s="11" t="s">
        <v>43</v>
      </c>
      <c r="G1881" s="11">
        <v>27</v>
      </c>
      <c r="H1881" s="11">
        <v>338</v>
      </c>
      <c r="I1881" s="11">
        <v>3</v>
      </c>
      <c r="J1881" s="11">
        <v>0</v>
      </c>
      <c r="K1881" s="11" t="s">
        <v>21</v>
      </c>
      <c r="L1881" s="7">
        <v>41936.829884259263</v>
      </c>
      <c r="M1881" s="12"/>
      <c r="N1881" s="12"/>
      <c r="O1881" s="10" t="str">
        <f>HYPERLINK("https://pbs.twimg.com/profile_images/527673330686386176/z1tG_a54_normal.jpeg","View")</f>
        <v>View</v>
      </c>
      <c r="P1881" s="11"/>
    </row>
    <row r="1882" spans="1:16" ht="12.75" x14ac:dyDescent="0.35">
      <c r="A1882" s="7">
        <v>42482.00271990741</v>
      </c>
      <c r="B1882" s="8" t="str">
        <f>HYPERLINK("https://twitter.com/EveeNaveyraa","@EveeNaveyraa")</f>
        <v>@EveeNaveyraa</v>
      </c>
      <c r="C1882" s="9" t="s">
        <v>3524</v>
      </c>
      <c r="D1882" s="9" t="s">
        <v>4857</v>
      </c>
      <c r="E1882" s="10" t="str">
        <f>HYPERLINK("https://twitter.com/EveeNaveyraa/status/723218223701864448","723218223701864448")</f>
        <v>723218223701864448</v>
      </c>
      <c r="F1882" s="11" t="s">
        <v>114</v>
      </c>
      <c r="G1882" s="11">
        <v>891</v>
      </c>
      <c r="H1882" s="11">
        <v>655</v>
      </c>
      <c r="I1882" s="11">
        <v>0</v>
      </c>
      <c r="J1882" s="11">
        <v>0</v>
      </c>
      <c r="K1882" s="11" t="s">
        <v>21</v>
      </c>
      <c r="L1882" s="7">
        <v>40568.008263888885</v>
      </c>
      <c r="M1882" s="12"/>
      <c r="N1882" s="12" t="s">
        <v>3526</v>
      </c>
      <c r="O1882" s="10" t="str">
        <f>HYPERLINK("https://pbs.twimg.com/profile_images/717842897396219905/v1FD6_yv_normal.jpg","View")</f>
        <v>View</v>
      </c>
      <c r="P1882" s="11"/>
    </row>
    <row r="1883" spans="1:16" ht="12.75" x14ac:dyDescent="0.35">
      <c r="A1883" s="7">
        <v>42482.003136574072</v>
      </c>
      <c r="B1883" s="8" t="str">
        <f>HYPERLINK("https://twitter.com/NADAUpdate","@NADAUpdate")</f>
        <v>@NADAUpdate</v>
      </c>
      <c r="C1883" s="9" t="s">
        <v>4858</v>
      </c>
      <c r="D1883" s="9" t="s">
        <v>4859</v>
      </c>
      <c r="E1883" s="10" t="str">
        <f>HYPERLINK("https://twitter.com/NADAUpdate/status/723218371815325696","723218371815325696")</f>
        <v>723218371815325696</v>
      </c>
      <c r="F1883" s="11" t="s">
        <v>152</v>
      </c>
      <c r="G1883" s="11">
        <v>3250</v>
      </c>
      <c r="H1883" s="11">
        <v>344</v>
      </c>
      <c r="I1883" s="11">
        <v>0</v>
      </c>
      <c r="J1883" s="11">
        <v>0</v>
      </c>
      <c r="K1883" s="11" t="s">
        <v>21</v>
      </c>
      <c r="L1883" s="7">
        <v>40743.090312500004</v>
      </c>
      <c r="M1883" s="12" t="s">
        <v>4860</v>
      </c>
      <c r="N1883" s="12" t="s">
        <v>4861</v>
      </c>
      <c r="O1883" s="10" t="str">
        <f>HYPERLINK("https://pbs.twimg.com/profile_images/684030452013731840/tYCK6LbY_normal.jpg","View")</f>
        <v>View</v>
      </c>
      <c r="P1883" s="11"/>
    </row>
    <row r="1884" spans="1:16" ht="12.75" x14ac:dyDescent="0.35">
      <c r="A1884" s="7">
        <v>42482.003275462965</v>
      </c>
      <c r="B1884" s="8" t="str">
        <f>HYPERLINK("https://twitter.com/glenmavis","@glenmavis")</f>
        <v>@glenmavis</v>
      </c>
      <c r="C1884" s="9" t="s">
        <v>4862</v>
      </c>
      <c r="D1884" s="9" t="s">
        <v>4863</v>
      </c>
      <c r="E1884" s="10" t="str">
        <f>HYPERLINK("https://twitter.com/glenmavis/status/723218422239236101","723218422239236101")</f>
        <v>723218422239236101</v>
      </c>
      <c r="F1884" s="11" t="s">
        <v>48</v>
      </c>
      <c r="G1884" s="11">
        <v>53</v>
      </c>
      <c r="H1884" s="11">
        <v>254</v>
      </c>
      <c r="I1884" s="11">
        <v>0</v>
      </c>
      <c r="J1884" s="11">
        <v>0</v>
      </c>
      <c r="K1884" s="11" t="s">
        <v>21</v>
      </c>
      <c r="L1884" s="7">
        <v>41153.014074074075</v>
      </c>
      <c r="M1884" s="12"/>
      <c r="N1884" s="12" t="s">
        <v>4864</v>
      </c>
      <c r="O1884" s="10" t="str">
        <f>HYPERLINK("https://pbs.twimg.com/profile_images/595309304510550019/sGlNhfkh_normal.jpg","View")</f>
        <v>View</v>
      </c>
      <c r="P1884" s="11"/>
    </row>
    <row r="1885" spans="1:16" ht="12.75" x14ac:dyDescent="0.35">
      <c r="A1885" s="7">
        <v>42482.003495370373</v>
      </c>
      <c r="B1885" s="8" t="str">
        <f>HYPERLINK("https://twitter.com/PeacePiper","@PeacePiper")</f>
        <v>@PeacePiper</v>
      </c>
      <c r="C1885" s="9" t="s">
        <v>4865</v>
      </c>
      <c r="D1885" s="9" t="s">
        <v>4866</v>
      </c>
      <c r="E1885" s="10" t="str">
        <f>HYPERLINK("https://twitter.com/PeacePiper/status/723218503935762433","723218503935762433")</f>
        <v>723218503935762433</v>
      </c>
      <c r="F1885" s="11" t="s">
        <v>20</v>
      </c>
      <c r="G1885" s="11">
        <v>12518</v>
      </c>
      <c r="H1885" s="11">
        <v>8249</v>
      </c>
      <c r="I1885" s="11">
        <v>0</v>
      </c>
      <c r="J1885" s="11">
        <v>0</v>
      </c>
      <c r="K1885" s="11" t="s">
        <v>21</v>
      </c>
      <c r="L1885" s="7">
        <v>39786.93891203704</v>
      </c>
      <c r="M1885" s="12" t="s">
        <v>4867</v>
      </c>
      <c r="N1885" s="12" t="s">
        <v>4868</v>
      </c>
      <c r="O1885" s="10" t="str">
        <f>HYPERLINK("https://pbs.twimg.com/profile_images/458824806670946304/916DXRC8_normal.jpeg","View")</f>
        <v>View</v>
      </c>
      <c r="P1885" s="11"/>
    </row>
    <row r="1886" spans="1:16" ht="12.75" x14ac:dyDescent="0.35">
      <c r="A1886" s="7">
        <v>42482.003576388888</v>
      </c>
      <c r="B1886" s="8" t="str">
        <f>HYPERLINK("https://twitter.com/VintageGermanPt","@VintageGermanPt")</f>
        <v>@VintageGermanPt</v>
      </c>
      <c r="C1886" s="9" t="s">
        <v>4869</v>
      </c>
      <c r="D1886" s="9" t="s">
        <v>4870</v>
      </c>
      <c r="E1886" s="10" t="str">
        <f>HYPERLINK("https://twitter.com/VintageGermanPt/status/723218533048549376","723218533048549376")</f>
        <v>723218533048549376</v>
      </c>
      <c r="F1886" s="11" t="s">
        <v>68</v>
      </c>
      <c r="G1886" s="11">
        <v>2</v>
      </c>
      <c r="H1886" s="11">
        <v>0</v>
      </c>
      <c r="I1886" s="11">
        <v>0</v>
      </c>
      <c r="J1886" s="11">
        <v>0</v>
      </c>
      <c r="K1886" s="11" t="s">
        <v>21</v>
      </c>
      <c r="L1886" s="7">
        <v>42446.18644675926</v>
      </c>
      <c r="M1886" s="12" t="s">
        <v>4871</v>
      </c>
      <c r="N1886" s="12" t="s">
        <v>4872</v>
      </c>
      <c r="O1886" s="10" t="str">
        <f>HYPERLINK("https://pbs.twimg.com/profile_images/710240802551635969/4XYQFs8c_normal.jpg","View")</f>
        <v>View</v>
      </c>
      <c r="P1886" s="11"/>
    </row>
    <row r="1887" spans="1:16" ht="12.75" x14ac:dyDescent="0.35">
      <c r="A1887" s="7">
        <v>42482.003969907411</v>
      </c>
      <c r="B1887" s="8" t="str">
        <f>HYPERLINK("https://twitter.com/_HADES1","@_HADES1")</f>
        <v>@_HADES1</v>
      </c>
      <c r="C1887" s="9" t="s">
        <v>4873</v>
      </c>
      <c r="D1887" s="9" t="s">
        <v>4826</v>
      </c>
      <c r="E1887" s="10" t="str">
        <f>HYPERLINK("https://twitter.com/_HADES1/status/723218676514717696","723218676514717696")</f>
        <v>723218676514717696</v>
      </c>
      <c r="F1887" s="11" t="s">
        <v>20</v>
      </c>
      <c r="G1887" s="11">
        <v>204</v>
      </c>
      <c r="H1887" s="11">
        <v>272</v>
      </c>
      <c r="I1887" s="11">
        <v>6</v>
      </c>
      <c r="J1887" s="11">
        <v>0</v>
      </c>
      <c r="K1887" s="11" t="s">
        <v>21</v>
      </c>
      <c r="L1887" s="7">
        <v>41868.659953703704</v>
      </c>
      <c r="M1887" s="12"/>
      <c r="N1887" s="12" t="s">
        <v>4874</v>
      </c>
      <c r="O1887" s="10" t="str">
        <f>HYPERLINK("https://pbs.twimg.com/profile_images/500952306922553344/e34g4CfG_normal.jpeg","View")</f>
        <v>View</v>
      </c>
      <c r="P1887" s="11"/>
    </row>
    <row r="1888" spans="1:16" ht="12.75" x14ac:dyDescent="0.35">
      <c r="A1888" s="7">
        <v>42482.004270833335</v>
      </c>
      <c r="B1888" s="8" t="str">
        <f>HYPERLINK("https://twitter.com/SMWA_SN","@SMWA_SN")</f>
        <v>@SMWA_SN</v>
      </c>
      <c r="C1888" s="9" t="s">
        <v>4875</v>
      </c>
      <c r="D1888" s="9" t="s">
        <v>3647</v>
      </c>
      <c r="E1888" s="10" t="str">
        <f>HYPERLINK("https://twitter.com/SMWA_SN/status/723218784950075392","723218784950075392")</f>
        <v>723218784950075392</v>
      </c>
      <c r="F1888" s="11" t="s">
        <v>20</v>
      </c>
      <c r="G1888" s="11">
        <v>511</v>
      </c>
      <c r="H1888" s="11">
        <v>194</v>
      </c>
      <c r="I1888" s="11">
        <v>5</v>
      </c>
      <c r="J1888" s="11">
        <v>0</v>
      </c>
      <c r="K1888" s="11" t="s">
        <v>21</v>
      </c>
      <c r="L1888" s="7">
        <v>42135.584247685183</v>
      </c>
      <c r="M1888" s="12" t="s">
        <v>4876</v>
      </c>
      <c r="N1888" s="12" t="s">
        <v>4877</v>
      </c>
      <c r="O1888" s="10" t="str">
        <f>HYPERLINK("https://pbs.twimg.com/profile_images/597697532958011392/kZeBXJZV_normal.png","View")</f>
        <v>View</v>
      </c>
      <c r="P1888" s="11"/>
    </row>
    <row r="1889" spans="1:16" ht="12.75" x14ac:dyDescent="0.35">
      <c r="A1889" s="7">
        <v>42482.004629629635</v>
      </c>
      <c r="B1889" s="8" t="str">
        <f>HYPERLINK("https://twitter.com/essing_h","@essing_h")</f>
        <v>@essing_h</v>
      </c>
      <c r="C1889" s="9" t="s">
        <v>4878</v>
      </c>
      <c r="D1889" s="9" t="s">
        <v>4879</v>
      </c>
      <c r="E1889" s="10" t="str">
        <f>HYPERLINK("https://twitter.com/essing_h/status/723218913912336385","723218913912336385")</f>
        <v>723218913912336385</v>
      </c>
      <c r="F1889" s="11" t="s">
        <v>20</v>
      </c>
      <c r="G1889" s="11">
        <v>148</v>
      </c>
      <c r="H1889" s="11">
        <v>247</v>
      </c>
      <c r="I1889" s="11">
        <v>1</v>
      </c>
      <c r="J1889" s="11">
        <v>0</v>
      </c>
      <c r="K1889" s="11" t="s">
        <v>21</v>
      </c>
      <c r="L1889" s="7">
        <v>42260.977407407408</v>
      </c>
      <c r="M1889" s="12"/>
      <c r="N1889" s="12" t="s">
        <v>4880</v>
      </c>
      <c r="O1889" s="10" t="str">
        <f>HYPERLINK("https://pbs.twimg.com/profile_images/666959113637732352/gcLEjaSy_normal.jpg","View")</f>
        <v>View</v>
      </c>
      <c r="P1889" s="11"/>
    </row>
    <row r="1890" spans="1:16" ht="12.75" x14ac:dyDescent="0.35">
      <c r="A1890" s="7">
        <v>42482.004664351851</v>
      </c>
      <c r="B1890" s="8" t="str">
        <f>HYPERLINK("https://twitter.com/streetwisedrive","@streetwisedrive")</f>
        <v>@streetwisedrive</v>
      </c>
      <c r="C1890" s="9" t="s">
        <v>4881</v>
      </c>
      <c r="D1890" s="9" t="s">
        <v>4882</v>
      </c>
      <c r="E1890" s="10" t="str">
        <f>HYPERLINK("https://twitter.com/streetwisedrive/status/723218927090733056","723218927090733056")</f>
        <v>723218927090733056</v>
      </c>
      <c r="F1890" s="11" t="s">
        <v>43</v>
      </c>
      <c r="G1890" s="11">
        <v>69</v>
      </c>
      <c r="H1890" s="11">
        <v>34</v>
      </c>
      <c r="I1890" s="11">
        <v>0</v>
      </c>
      <c r="J1890" s="11">
        <v>0</v>
      </c>
      <c r="K1890" s="11" t="s">
        <v>21</v>
      </c>
      <c r="L1890" s="7">
        <v>42090.243368055555</v>
      </c>
      <c r="M1890" s="12" t="s">
        <v>209</v>
      </c>
      <c r="N1890" s="12" t="s">
        <v>4883</v>
      </c>
      <c r="O1890" s="10" t="str">
        <f>HYPERLINK("https://pbs.twimg.com/profile_images/662385542064029696/e6ZBpmc1_normal.png","View")</f>
        <v>View</v>
      </c>
      <c r="P1890" s="11"/>
    </row>
    <row r="1891" spans="1:16" ht="12.75" x14ac:dyDescent="0.35">
      <c r="A1891" s="7">
        <v>42482.005636574075</v>
      </c>
      <c r="B1891" s="8" t="str">
        <f>HYPERLINK("https://twitter.com/VWCamperSales","@VWCamperSales")</f>
        <v>@VWCamperSales</v>
      </c>
      <c r="C1891" s="9" t="s">
        <v>216</v>
      </c>
      <c r="D1891" s="9" t="s">
        <v>4884</v>
      </c>
      <c r="E1891" s="10" t="str">
        <f>HYPERLINK("https://twitter.com/VWCamperSales/status/723219279051517952","723219279051517952")</f>
        <v>723219279051517952</v>
      </c>
      <c r="F1891" s="10" t="s">
        <v>124</v>
      </c>
      <c r="G1891" s="11">
        <v>615</v>
      </c>
      <c r="H1891" s="11">
        <v>580</v>
      </c>
      <c r="I1891" s="11">
        <v>0</v>
      </c>
      <c r="J1891" s="11">
        <v>0</v>
      </c>
      <c r="K1891" s="11" t="s">
        <v>21</v>
      </c>
      <c r="L1891" s="7">
        <v>42215.98809027778</v>
      </c>
      <c r="M1891" s="12" t="s">
        <v>129</v>
      </c>
      <c r="N1891" s="12" t="s">
        <v>218</v>
      </c>
      <c r="O1891" s="10" t="str">
        <f>HYPERLINK("https://pbs.twimg.com/profile_images/627949001179037696/skEBkS05_normal.jpg","View")</f>
        <v>View</v>
      </c>
      <c r="P1891" s="11"/>
    </row>
    <row r="1892" spans="1:16" ht="12.75" x14ac:dyDescent="0.35">
      <c r="A1892" s="7">
        <v>42482.006099537037</v>
      </c>
      <c r="B1892" s="8" t="str">
        <f>HYPERLINK("https://twitter.com/AndreasAndy3131","@AndreasAndy3131")</f>
        <v>@AndreasAndy3131</v>
      </c>
      <c r="C1892" s="9" t="s">
        <v>3937</v>
      </c>
      <c r="D1892" s="9" t="s">
        <v>4826</v>
      </c>
      <c r="E1892" s="10" t="str">
        <f>HYPERLINK("https://twitter.com/AndreasAndy3131/status/723219447343923200","723219447343923200")</f>
        <v>723219447343923200</v>
      </c>
      <c r="F1892" s="11" t="s">
        <v>91</v>
      </c>
      <c r="G1892" s="11">
        <v>748</v>
      </c>
      <c r="H1892" s="11">
        <v>463</v>
      </c>
      <c r="I1892" s="11">
        <v>6</v>
      </c>
      <c r="J1892" s="11">
        <v>0</v>
      </c>
      <c r="K1892" s="11" t="s">
        <v>21</v>
      </c>
      <c r="L1892" s="7">
        <v>41685.664664351854</v>
      </c>
      <c r="M1892" s="12" t="s">
        <v>3939</v>
      </c>
      <c r="N1892" s="12" t="s">
        <v>3940</v>
      </c>
      <c r="O1892" s="10" t="str">
        <f>HYPERLINK("https://pbs.twimg.com/profile_images/705409156363063296/L-9HeIjW_normal.jpg","View")</f>
        <v>View</v>
      </c>
      <c r="P1892" s="11"/>
    </row>
    <row r="1893" spans="1:16" ht="12.75" x14ac:dyDescent="0.35">
      <c r="A1893" s="7">
        <v>42482.006238425922</v>
      </c>
      <c r="B1893" s="8" t="str">
        <f>HYPERLINK("https://twitter.com/schworervw","@schworervw")</f>
        <v>@schworervw</v>
      </c>
      <c r="C1893" s="9" t="s">
        <v>4885</v>
      </c>
      <c r="D1893" s="9" t="s">
        <v>3840</v>
      </c>
      <c r="E1893" s="10" t="str">
        <f>HYPERLINK("https://twitter.com/schworervw/status/723219495028809728","723219495028809728")</f>
        <v>723219495028809728</v>
      </c>
      <c r="F1893" s="11" t="s">
        <v>43</v>
      </c>
      <c r="G1893" s="11">
        <v>194</v>
      </c>
      <c r="H1893" s="11">
        <v>123</v>
      </c>
      <c r="I1893" s="11">
        <v>3</v>
      </c>
      <c r="J1893" s="11">
        <v>0</v>
      </c>
      <c r="K1893" s="11" t="s">
        <v>21</v>
      </c>
      <c r="L1893" s="7">
        <v>40252.90116898148</v>
      </c>
      <c r="M1893" s="12" t="s">
        <v>4886</v>
      </c>
      <c r="N1893" s="12" t="s">
        <v>4887</v>
      </c>
      <c r="O1893" s="10" t="str">
        <f>HYPERLINK("https://pbs.twimg.com/profile_images/697509509221261316/IzMgjtS0_normal.jpg","View")</f>
        <v>View</v>
      </c>
      <c r="P1893" s="11"/>
    </row>
    <row r="1894" spans="1:16" ht="12.75" x14ac:dyDescent="0.35">
      <c r="A1894" s="7">
        <v>42482.006319444445</v>
      </c>
      <c r="B1894" s="8" t="str">
        <f>HYPERLINK("https://twitter.com/dknightvaleting","@dknightvaleting")</f>
        <v>@dknightvaleting</v>
      </c>
      <c r="C1894" s="9" t="s">
        <v>3973</v>
      </c>
      <c r="D1894" s="9" t="s">
        <v>4888</v>
      </c>
      <c r="E1894" s="10" t="str">
        <f>HYPERLINK("https://twitter.com/dknightvaleting/status/723219526419111936","723219526419111936")</f>
        <v>723219526419111936</v>
      </c>
      <c r="F1894" s="11" t="s">
        <v>20</v>
      </c>
      <c r="G1894" s="11">
        <v>11</v>
      </c>
      <c r="H1894" s="11">
        <v>15</v>
      </c>
      <c r="I1894" s="11">
        <v>0</v>
      </c>
      <c r="J1894" s="11">
        <v>0</v>
      </c>
      <c r="K1894" s="11" t="s">
        <v>21</v>
      </c>
      <c r="L1894" s="7">
        <v>42415.648125</v>
      </c>
      <c r="M1894" s="12" t="s">
        <v>3975</v>
      </c>
      <c r="N1894" s="12" t="s">
        <v>3976</v>
      </c>
      <c r="O1894" s="10" t="str">
        <f>HYPERLINK("https://pbs.twimg.com/profile_images/699913841388449792/Bz17p4to_normal.jpg","View")</f>
        <v>View</v>
      </c>
      <c r="P1894" s="11"/>
    </row>
    <row r="1895" spans="1:16" ht="12.75" x14ac:dyDescent="0.35">
      <c r="A1895" s="7">
        <v>42482.006412037037</v>
      </c>
      <c r="B1895" s="8" t="str">
        <f>HYPERLINK("https://twitter.com/SammiLeopold08","@SammiLeopold08")</f>
        <v>@SammiLeopold08</v>
      </c>
      <c r="C1895" s="9" t="s">
        <v>4889</v>
      </c>
      <c r="D1895" s="9" t="s">
        <v>4331</v>
      </c>
      <c r="E1895" s="10" t="str">
        <f>HYPERLINK("https://twitter.com/SammiLeopold08/status/723219559545753600","723219559545753600")</f>
        <v>723219559545753600</v>
      </c>
      <c r="F1895" s="11" t="s">
        <v>48</v>
      </c>
      <c r="G1895" s="11">
        <v>309</v>
      </c>
      <c r="H1895" s="11">
        <v>193</v>
      </c>
      <c r="I1895" s="11">
        <v>3</v>
      </c>
      <c r="J1895" s="11">
        <v>0</v>
      </c>
      <c r="K1895" s="11" t="s">
        <v>21</v>
      </c>
      <c r="L1895" s="7">
        <v>42430.121898148151</v>
      </c>
      <c r="M1895" s="12" t="s">
        <v>4890</v>
      </c>
      <c r="N1895" s="12" t="s">
        <v>4891</v>
      </c>
      <c r="O1895" s="10" t="str">
        <f>HYPERLINK("https://pbs.twimg.com/profile_images/704420155196116992/QCcpm5r8_normal.jpg","View")</f>
        <v>View</v>
      </c>
      <c r="P1895" s="11"/>
    </row>
    <row r="1896" spans="1:16" ht="12.75" x14ac:dyDescent="0.35">
      <c r="A1896" s="7">
        <v>42482.007106481484</v>
      </c>
      <c r="B1896" s="8" t="str">
        <f>HYPERLINK("https://twitter.com/AnthonyWanger","@AnthonyWanger")</f>
        <v>@AnthonyWanger</v>
      </c>
      <c r="C1896" s="9" t="s">
        <v>4892</v>
      </c>
      <c r="D1896" s="9" t="s">
        <v>4893</v>
      </c>
      <c r="E1896" s="10" t="str">
        <f>HYPERLINK("https://twitter.com/AnthonyWanger/status/723219810423697408","723219810423697408")</f>
        <v>723219810423697408</v>
      </c>
      <c r="F1896" s="11" t="s">
        <v>20</v>
      </c>
      <c r="G1896" s="11">
        <v>520</v>
      </c>
      <c r="H1896" s="11">
        <v>475</v>
      </c>
      <c r="I1896" s="11">
        <v>0</v>
      </c>
      <c r="J1896" s="11">
        <v>0</v>
      </c>
      <c r="K1896" s="11" t="s">
        <v>21</v>
      </c>
      <c r="L1896" s="7">
        <v>40777.030138888891</v>
      </c>
      <c r="M1896" s="12" t="s">
        <v>172</v>
      </c>
      <c r="N1896" s="12" t="s">
        <v>4894</v>
      </c>
      <c r="O1896" s="10" t="str">
        <f>HYPERLINK("https://pbs.twimg.com/profile_images/662841091641573377/4qXuW9LX_normal.jpg","View")</f>
        <v>View</v>
      </c>
      <c r="P1896" s="11"/>
    </row>
    <row r="1897" spans="1:16" ht="12.75" x14ac:dyDescent="0.35">
      <c r="A1897" s="7">
        <v>42482.007199074069</v>
      </c>
      <c r="B1897" s="8" t="str">
        <f>HYPERLINK("https://twitter.com/ahmedhaltas","@ahmedhaltas")</f>
        <v>@ahmedhaltas</v>
      </c>
      <c r="C1897" s="9" t="s">
        <v>4895</v>
      </c>
      <c r="D1897" s="9" t="s">
        <v>4896</v>
      </c>
      <c r="E1897" s="10" t="str">
        <f>HYPERLINK("https://twitter.com/ahmedhaltas/status/723219845580464128","723219845580464128")</f>
        <v>723219845580464128</v>
      </c>
      <c r="F1897" s="11" t="s">
        <v>114</v>
      </c>
      <c r="G1897" s="11">
        <v>329</v>
      </c>
      <c r="H1897" s="11">
        <v>385</v>
      </c>
      <c r="I1897" s="11">
        <v>0</v>
      </c>
      <c r="J1897" s="11">
        <v>0</v>
      </c>
      <c r="K1897" s="11" t="s">
        <v>21</v>
      </c>
      <c r="L1897" s="7">
        <v>41033.981782407405</v>
      </c>
      <c r="M1897" s="12" t="s">
        <v>4897</v>
      </c>
      <c r="N1897" s="12" t="s">
        <v>4898</v>
      </c>
      <c r="O1897" s="10" t="str">
        <f>HYPERLINK("https://pbs.twimg.com/profile_images/707336599898554368/C8k--jj7_normal.jpg","View")</f>
        <v>View</v>
      </c>
      <c r="P1897" s="10" t="str">
        <f>HYPERLINK("http://ctrlq.org/maps/address/#40.00464662,32.85886","Map")</f>
        <v>Map</v>
      </c>
    </row>
    <row r="1898" spans="1:16" ht="12.75" x14ac:dyDescent="0.35">
      <c r="A1898" s="7">
        <v>42482.007719907408</v>
      </c>
      <c r="B1898" s="8" t="str">
        <f>HYPERLINK("https://twitter.com/Raven1963Z","@Raven1963Z")</f>
        <v>@Raven1963Z</v>
      </c>
      <c r="C1898" s="9" t="s">
        <v>4899</v>
      </c>
      <c r="D1898" s="9" t="s">
        <v>4826</v>
      </c>
      <c r="E1898" s="10" t="str">
        <f>HYPERLINK("https://twitter.com/Raven1963Z/status/723220035343278081","723220035343278081")</f>
        <v>723220035343278081</v>
      </c>
      <c r="F1898" s="11" t="s">
        <v>43</v>
      </c>
      <c r="G1898" s="11">
        <v>127</v>
      </c>
      <c r="H1898" s="11">
        <v>174</v>
      </c>
      <c r="I1898" s="11">
        <v>6</v>
      </c>
      <c r="J1898" s="11">
        <v>0</v>
      </c>
      <c r="K1898" s="11" t="s">
        <v>21</v>
      </c>
      <c r="L1898" s="7">
        <v>40498.219236111108</v>
      </c>
      <c r="M1898" s="12" t="s">
        <v>4900</v>
      </c>
      <c r="N1898" s="12" t="s">
        <v>4901</v>
      </c>
      <c r="O1898" s="10" t="str">
        <f>HYPERLINK("https://pbs.twimg.com/profile_images/1345767411/WAAAAHHHH____klein_2011-04-30_normal.jpg","View")</f>
        <v>View</v>
      </c>
      <c r="P1898" s="11"/>
    </row>
    <row r="1899" spans="1:16" ht="12.75" x14ac:dyDescent="0.35">
      <c r="A1899" s="7">
        <v>42482.008599537032</v>
      </c>
      <c r="B1899" s="8" t="str">
        <f>HYPERLINK("https://twitter.com/_vinadvisor","@_vinadvisor")</f>
        <v>@_vinadvisor</v>
      </c>
      <c r="C1899" s="9" t="s">
        <v>4902</v>
      </c>
      <c r="D1899" s="9" t="s">
        <v>3440</v>
      </c>
      <c r="E1899" s="10" t="str">
        <f>HYPERLINK("https://twitter.com/_vinadvisor/status/723220354500448256","723220354500448256")</f>
        <v>723220354500448256</v>
      </c>
      <c r="F1899" s="11" t="s">
        <v>48</v>
      </c>
      <c r="G1899" s="11">
        <v>38</v>
      </c>
      <c r="H1899" s="11">
        <v>53</v>
      </c>
      <c r="I1899" s="11">
        <v>11</v>
      </c>
      <c r="J1899" s="11">
        <v>0</v>
      </c>
      <c r="K1899" s="11" t="s">
        <v>21</v>
      </c>
      <c r="L1899" s="7">
        <v>42438.325914351852</v>
      </c>
      <c r="M1899" s="12"/>
      <c r="N1899" s="12" t="s">
        <v>4903</v>
      </c>
      <c r="O1899" s="10" t="str">
        <f>HYPERLINK("https://pbs.twimg.com/profile_images/707391785316651008/zI7PqPTQ_normal.jpg","View")</f>
        <v>View</v>
      </c>
      <c r="P1899" s="11"/>
    </row>
    <row r="1900" spans="1:16" ht="12.75" x14ac:dyDescent="0.35">
      <c r="A1900" s="7">
        <v>42482.008622685185</v>
      </c>
      <c r="B1900" s="8" t="str">
        <f>HYPERLINK("https://twitter.com/Roseville_VW","@Roseville_VW")</f>
        <v>@Roseville_VW</v>
      </c>
      <c r="C1900" s="9" t="s">
        <v>4904</v>
      </c>
      <c r="D1900" s="9" t="s">
        <v>4905</v>
      </c>
      <c r="E1900" s="10" t="str">
        <f>HYPERLINK("https://twitter.com/Roseville_VW/status/723220361576329216","723220361576329216")</f>
        <v>723220361576329216</v>
      </c>
      <c r="F1900" s="11" t="s">
        <v>4906</v>
      </c>
      <c r="G1900" s="11">
        <v>633</v>
      </c>
      <c r="H1900" s="11">
        <v>151</v>
      </c>
      <c r="I1900" s="11">
        <v>1</v>
      </c>
      <c r="J1900" s="11">
        <v>0</v>
      </c>
      <c r="K1900" s="11" t="s">
        <v>21</v>
      </c>
      <c r="L1900" s="7">
        <v>40208.291493055556</v>
      </c>
      <c r="M1900" s="12" t="s">
        <v>4907</v>
      </c>
      <c r="N1900" s="12" t="s">
        <v>4908</v>
      </c>
      <c r="O1900" s="10" t="str">
        <f>HYPERLINK("https://pbs.twimg.com/profile_images/694208085263421440/OK1Wrfdk_normal.jpg","View")</f>
        <v>View</v>
      </c>
      <c r="P1900" s="11"/>
    </row>
    <row r="1901" spans="1:16" ht="12.75" x14ac:dyDescent="0.35">
      <c r="A1901" s="7">
        <v>42482.008726851855</v>
      </c>
      <c r="B1901" s="8" t="str">
        <f>HYPERLINK("https://twitter.com/VWPartsVortex","@VWPartsVortex")</f>
        <v>@VWPartsVortex</v>
      </c>
      <c r="C1901" s="9" t="s">
        <v>4909</v>
      </c>
      <c r="D1901" s="9" t="s">
        <v>4910</v>
      </c>
      <c r="E1901" s="10" t="str">
        <f>HYPERLINK("https://twitter.com/VWPartsVortex/status/723220398590943232","723220398590943232")</f>
        <v>723220398590943232</v>
      </c>
      <c r="F1901" s="10" t="s">
        <v>124</v>
      </c>
      <c r="G1901" s="11">
        <v>551</v>
      </c>
      <c r="H1901" s="11">
        <v>571</v>
      </c>
      <c r="I1901" s="11">
        <v>0</v>
      </c>
      <c r="J1901" s="11">
        <v>0</v>
      </c>
      <c r="K1901" s="11" t="s">
        <v>21</v>
      </c>
      <c r="L1901" s="7">
        <v>41366.972337962965</v>
      </c>
      <c r="M1901" s="12"/>
      <c r="N1901" s="12" t="s">
        <v>4911</v>
      </c>
      <c r="O1901" s="10" t="str">
        <f>HYPERLINK("https://pbs.twimg.com/profile_images/3467646682/12ab268d21c9059078b140e9157a8b26_normal.jpeg","View")</f>
        <v>View</v>
      </c>
      <c r="P1901" s="11"/>
    </row>
    <row r="1902" spans="1:16" ht="12.75" x14ac:dyDescent="0.35">
      <c r="A1902" s="7">
        <v>42482.008946759262</v>
      </c>
      <c r="B1902" s="8" t="str">
        <f>HYPERLINK("https://twitter.com/glenmavis","@glenmavis")</f>
        <v>@glenmavis</v>
      </c>
      <c r="C1902" s="9" t="s">
        <v>4862</v>
      </c>
      <c r="D1902" s="9" t="s">
        <v>4912</v>
      </c>
      <c r="E1902" s="10" t="str">
        <f>HYPERLINK("https://twitter.com/glenmavis/status/723220478417051648","723220478417051648")</f>
        <v>723220478417051648</v>
      </c>
      <c r="F1902" s="11" t="s">
        <v>48</v>
      </c>
      <c r="G1902" s="11">
        <v>53</v>
      </c>
      <c r="H1902" s="11">
        <v>254</v>
      </c>
      <c r="I1902" s="11">
        <v>0</v>
      </c>
      <c r="J1902" s="11">
        <v>0</v>
      </c>
      <c r="K1902" s="11" t="s">
        <v>21</v>
      </c>
      <c r="L1902" s="7">
        <v>41153.014074074075</v>
      </c>
      <c r="M1902" s="12"/>
      <c r="N1902" s="12" t="s">
        <v>4864</v>
      </c>
      <c r="O1902" s="10" t="str">
        <f>HYPERLINK("https://pbs.twimg.com/profile_images/595309304510550019/sGlNhfkh_normal.jpg","View")</f>
        <v>View</v>
      </c>
      <c r="P1902" s="11"/>
    </row>
    <row r="1903" spans="1:16" ht="12.75" x14ac:dyDescent="0.35">
      <c r="A1903" s="7">
        <v>42482.009351851855</v>
      </c>
      <c r="B1903" s="8" t="str">
        <f>HYPERLINK("https://twitter.com/Scirocco_Tuning","@Scirocco_Tuning")</f>
        <v>@Scirocco_Tuning</v>
      </c>
      <c r="C1903" s="9" t="s">
        <v>51</v>
      </c>
      <c r="D1903" s="9" t="s">
        <v>4913</v>
      </c>
      <c r="E1903" s="10" t="str">
        <f>HYPERLINK("https://twitter.com/Scirocco_Tuning/status/723220624768937984","723220624768937984")</f>
        <v>723220624768937984</v>
      </c>
      <c r="F1903" s="11" t="s">
        <v>53</v>
      </c>
      <c r="G1903" s="11">
        <v>69</v>
      </c>
      <c r="H1903" s="11">
        <v>215</v>
      </c>
      <c r="I1903" s="11">
        <v>0</v>
      </c>
      <c r="J1903" s="11">
        <v>0</v>
      </c>
      <c r="K1903" s="11" t="s">
        <v>21</v>
      </c>
      <c r="L1903" s="7">
        <v>40844.564722222218</v>
      </c>
      <c r="M1903" s="12"/>
      <c r="N1903" s="12"/>
      <c r="O1903" s="10" t="str">
        <f>HYPERLINK("https://pbs.twimg.com/profile_images/1610421423/Image2_normal.jpg","View")</f>
        <v>View</v>
      </c>
      <c r="P1903" s="11"/>
    </row>
    <row r="1904" spans="1:16" ht="12.75" x14ac:dyDescent="0.35">
      <c r="A1904" s="7">
        <v>42482.009432870371</v>
      </c>
      <c r="B1904" s="8" t="str">
        <f>HYPERLINK("https://twitter.com/BaxterVW_LV","@BaxterVW_LV")</f>
        <v>@BaxterVW_LV</v>
      </c>
      <c r="C1904" s="9" t="s">
        <v>4914</v>
      </c>
      <c r="D1904" s="9" t="s">
        <v>4915</v>
      </c>
      <c r="E1904" s="10" t="str">
        <f>HYPERLINK("https://twitter.com/BaxterVW_LV/status/723220652560257024","723220652560257024")</f>
        <v>723220652560257024</v>
      </c>
      <c r="F1904" s="11" t="s">
        <v>140</v>
      </c>
      <c r="G1904" s="11">
        <v>186</v>
      </c>
      <c r="H1904" s="11">
        <v>136</v>
      </c>
      <c r="I1904" s="11">
        <v>0</v>
      </c>
      <c r="J1904" s="11">
        <v>0</v>
      </c>
      <c r="K1904" s="11" t="s">
        <v>21</v>
      </c>
      <c r="L1904" s="7">
        <v>40876.854201388887</v>
      </c>
      <c r="M1904" s="12" t="s">
        <v>4916</v>
      </c>
      <c r="N1904" s="12" t="s">
        <v>4917</v>
      </c>
      <c r="O1904" s="10" t="str">
        <f>HYPERLINK("https://pbs.twimg.com/profile_images/718091471211991040/yQ7D0n5u_normal.jpg","View")</f>
        <v>View</v>
      </c>
      <c r="P1904" s="11"/>
    </row>
    <row r="1905" spans="1:16" ht="12.75" x14ac:dyDescent="0.35">
      <c r="A1905" s="7">
        <v>42482.009432870371</v>
      </c>
      <c r="B1905" s="8" t="str">
        <f>HYPERLINK("https://twitter.com/BaxterVW_Omaha","@BaxterVW_Omaha")</f>
        <v>@BaxterVW_Omaha</v>
      </c>
      <c r="C1905" s="9" t="s">
        <v>4918</v>
      </c>
      <c r="D1905" s="9" t="s">
        <v>4919</v>
      </c>
      <c r="E1905" s="10" t="str">
        <f>HYPERLINK("https://twitter.com/BaxterVW_Omaha/status/723220652925149184","723220652925149184")</f>
        <v>723220652925149184</v>
      </c>
      <c r="F1905" s="11" t="s">
        <v>140</v>
      </c>
      <c r="G1905" s="11">
        <v>66</v>
      </c>
      <c r="H1905" s="11">
        <v>105</v>
      </c>
      <c r="I1905" s="11">
        <v>0</v>
      </c>
      <c r="J1905" s="11">
        <v>0</v>
      </c>
      <c r="K1905" s="11" t="s">
        <v>21</v>
      </c>
      <c r="L1905" s="7">
        <v>42032.167222222226</v>
      </c>
      <c r="M1905" s="12" t="s">
        <v>4920</v>
      </c>
      <c r="N1905" s="12" t="s">
        <v>4921</v>
      </c>
      <c r="O1905" s="10" t="str">
        <f>HYPERLINK("https://pbs.twimg.com/profile_images/718091557602074624/BT0PUpq2_normal.jpg","View")</f>
        <v>View</v>
      </c>
      <c r="P1905" s="11"/>
    </row>
    <row r="1906" spans="1:16" ht="12.75" x14ac:dyDescent="0.35">
      <c r="A1906" s="7">
        <v>42482.010208333333</v>
      </c>
      <c r="B1906" s="8" t="str">
        <f>HYPERLINK("https://twitter.com/DJDevinSA","@DJDevinSA")</f>
        <v>@DJDevinSA</v>
      </c>
      <c r="C1906" s="9" t="s">
        <v>4922</v>
      </c>
      <c r="D1906" s="9" t="s">
        <v>4923</v>
      </c>
      <c r="E1906" s="10" t="str">
        <f>HYPERLINK("https://twitter.com/DJDevinSA/status/723220935776542722","723220935776542722")</f>
        <v>723220935776542722</v>
      </c>
      <c r="F1906" s="11" t="s">
        <v>114</v>
      </c>
      <c r="G1906" s="11">
        <v>229</v>
      </c>
      <c r="H1906" s="11">
        <v>532</v>
      </c>
      <c r="I1906" s="11">
        <v>0</v>
      </c>
      <c r="J1906" s="11">
        <v>0</v>
      </c>
      <c r="K1906" s="11" t="s">
        <v>21</v>
      </c>
      <c r="L1906" s="7">
        <v>40851.056504629625</v>
      </c>
      <c r="M1906" s="12" t="s">
        <v>2816</v>
      </c>
      <c r="N1906" s="12" t="s">
        <v>4924</v>
      </c>
      <c r="O1906" s="10" t="str">
        <f>HYPERLINK("https://pbs.twimg.com/profile_images/650807125858500608/TugHCxzX_normal.jpg","View")</f>
        <v>View</v>
      </c>
      <c r="P1906" s="10" t="str">
        <f>HYPERLINK("http://ctrlq.org/maps/address/#37.4037,-79.1702","Map")</f>
        <v>Map</v>
      </c>
    </row>
    <row r="1907" spans="1:16" ht="12.75" x14ac:dyDescent="0.35">
      <c r="A1907" s="7">
        <v>42482.010300925926</v>
      </c>
      <c r="B1907" s="8" t="str">
        <f>HYPERLINK("https://twitter.com/lazyrevs","@lazyrevs")</f>
        <v>@lazyrevs</v>
      </c>
      <c r="C1907" s="9" t="s">
        <v>4925</v>
      </c>
      <c r="D1907" s="9" t="s">
        <v>4926</v>
      </c>
      <c r="E1907" s="10" t="str">
        <f>HYPERLINK("https://twitter.com/lazyrevs/status/723220969406509056","723220969406509056")</f>
        <v>723220969406509056</v>
      </c>
      <c r="F1907" s="11" t="s">
        <v>43</v>
      </c>
      <c r="G1907" s="11">
        <v>51</v>
      </c>
      <c r="H1907" s="11">
        <v>132</v>
      </c>
      <c r="I1907" s="11">
        <v>0</v>
      </c>
      <c r="J1907" s="11">
        <v>1</v>
      </c>
      <c r="K1907" s="11" t="s">
        <v>21</v>
      </c>
      <c r="L1907" s="7">
        <v>41805.215798611112</v>
      </c>
      <c r="M1907" s="12" t="s">
        <v>4927</v>
      </c>
      <c r="N1907" s="12" t="s">
        <v>4928</v>
      </c>
      <c r="O1907" s="10" t="str">
        <f>HYPERLINK("https://pbs.twimg.com/profile_images/666800215496777728/1hkr9_z7_normal.jpg","View")</f>
        <v>View</v>
      </c>
      <c r="P1907" s="11"/>
    </row>
    <row r="1908" spans="1:16" ht="12.75" x14ac:dyDescent="0.35">
      <c r="A1908" s="7">
        <v>42482.010462962964</v>
      </c>
      <c r="B1908" s="8" t="str">
        <f>HYPERLINK("https://twitter.com/MissMotorMouth","@MissMotorMouth")</f>
        <v>@MissMotorMouth</v>
      </c>
      <c r="C1908" s="9" t="s">
        <v>4929</v>
      </c>
      <c r="D1908" s="9" t="s">
        <v>4930</v>
      </c>
      <c r="E1908" s="10" t="str">
        <f>HYPERLINK("https://twitter.com/MissMotorMouth/status/723221026666999808","723221026666999808")</f>
        <v>723221026666999808</v>
      </c>
      <c r="F1908" s="11" t="s">
        <v>43</v>
      </c>
      <c r="G1908" s="11">
        <v>15569</v>
      </c>
      <c r="H1908" s="11">
        <v>7686</v>
      </c>
      <c r="I1908" s="11">
        <v>0</v>
      </c>
      <c r="J1908" s="11">
        <v>2</v>
      </c>
      <c r="K1908" s="11" t="s">
        <v>21</v>
      </c>
      <c r="L1908" s="7">
        <v>39465.994652777779</v>
      </c>
      <c r="M1908" s="12" t="s">
        <v>4281</v>
      </c>
      <c r="N1908" s="12" t="s">
        <v>4931</v>
      </c>
      <c r="O1908" s="10" t="str">
        <f>HYPERLINK("https://pbs.twimg.com/profile_images/651837891195224064/B8YUfVej_normal.jpg","View")</f>
        <v>View</v>
      </c>
      <c r="P1908" s="11"/>
    </row>
    <row r="1909" spans="1:16" ht="12.75" x14ac:dyDescent="0.35">
      <c r="A1909" s="7">
        <v>42482.011388888888</v>
      </c>
      <c r="B1909" s="8" t="str">
        <f>HYPERLINK("https://twitter.com/DaSperb","@DaSperb")</f>
        <v>@DaSperb</v>
      </c>
      <c r="C1909" s="9" t="s">
        <v>4932</v>
      </c>
      <c r="D1909" s="9" t="s">
        <v>4933</v>
      </c>
      <c r="E1909" s="10" t="str">
        <f>HYPERLINK("https://twitter.com/DaSperb/status/723221362916098048","723221362916098048")</f>
        <v>723221362916098048</v>
      </c>
      <c r="F1909" s="11" t="s">
        <v>43</v>
      </c>
      <c r="G1909" s="11">
        <v>429</v>
      </c>
      <c r="H1909" s="11">
        <v>1055</v>
      </c>
      <c r="I1909" s="11">
        <v>0</v>
      </c>
      <c r="J1909" s="11">
        <v>0</v>
      </c>
      <c r="K1909" s="11" t="s">
        <v>21</v>
      </c>
      <c r="L1909" s="7">
        <v>40398.866574074076</v>
      </c>
      <c r="M1909" s="12"/>
      <c r="N1909" s="12"/>
      <c r="O1909" s="10" t="str">
        <f>HYPERLINK("https://pbs.twimg.com/profile_images/714501299555971072/gLZPQUZw_normal.jpg","View")</f>
        <v>View</v>
      </c>
      <c r="P1909" s="11"/>
    </row>
    <row r="1910" spans="1:16" ht="12.75" x14ac:dyDescent="0.35">
      <c r="A1910" s="7">
        <v>42482.012800925921</v>
      </c>
      <c r="B1910" s="8" t="str">
        <f>HYPERLINK("https://twitter.com/stand__sure","@stand__sure")</f>
        <v>@stand__sure</v>
      </c>
      <c r="C1910" s="9" t="s">
        <v>4934</v>
      </c>
      <c r="D1910" s="9" t="s">
        <v>4935</v>
      </c>
      <c r="E1910" s="10" t="str">
        <f>HYPERLINK("https://twitter.com/stand__sure/status/723221873476141056","723221873476141056")</f>
        <v>723221873476141056</v>
      </c>
      <c r="F1910" s="11" t="s">
        <v>48</v>
      </c>
      <c r="G1910" s="11">
        <v>619</v>
      </c>
      <c r="H1910" s="11">
        <v>1318</v>
      </c>
      <c r="I1910" s="11">
        <v>0</v>
      </c>
      <c r="J1910" s="11">
        <v>0</v>
      </c>
      <c r="K1910" s="11" t="s">
        <v>21</v>
      </c>
      <c r="L1910" s="7">
        <v>39626.414849537039</v>
      </c>
      <c r="M1910" s="13" t="s">
        <v>4936</v>
      </c>
      <c r="N1910" s="12" t="s">
        <v>4937</v>
      </c>
      <c r="O1910" s="10" t="str">
        <f>HYPERLINK("https://pbs.twimg.com/profile_images/708415565778395137/CGiWIHQ0_normal.jpg","View")</f>
        <v>View</v>
      </c>
      <c r="P1910" s="11"/>
    </row>
    <row r="1911" spans="1:16" ht="12.75" x14ac:dyDescent="0.35">
      <c r="A1911" s="7">
        <v>42482.014155092591</v>
      </c>
      <c r="B1911" s="8" t="str">
        <f>HYPERLINK("https://twitter.com/julioDeLange","@julioDeLange")</f>
        <v>@julioDeLange</v>
      </c>
      <c r="C1911" s="9" t="s">
        <v>4938</v>
      </c>
      <c r="D1911" s="9" t="s">
        <v>4939</v>
      </c>
      <c r="E1911" s="10" t="str">
        <f>HYPERLINK("https://twitter.com/julioDeLange/status/723222365904244736","723222365904244736")</f>
        <v>723222365904244736</v>
      </c>
      <c r="F1911" s="11" t="s">
        <v>20</v>
      </c>
      <c r="G1911" s="11">
        <v>15</v>
      </c>
      <c r="H1911" s="11">
        <v>76</v>
      </c>
      <c r="I1911" s="11">
        <v>0</v>
      </c>
      <c r="J1911" s="11">
        <v>0</v>
      </c>
      <c r="K1911" s="11" t="s">
        <v>21</v>
      </c>
      <c r="L1911" s="7">
        <v>42445.047048611115</v>
      </c>
      <c r="M1911" s="12"/>
      <c r="N1911" s="12"/>
      <c r="O1911" s="10" t="str">
        <f>HYPERLINK("https://pbs.twimg.com/profile_images/709826765716324353/TlhgogFL_normal.jpg","View")</f>
        <v>View</v>
      </c>
      <c r="P1911" s="11"/>
    </row>
    <row r="1912" spans="1:16" ht="12.75" x14ac:dyDescent="0.35">
      <c r="A1912" s="7">
        <v>42482.014652777776</v>
      </c>
      <c r="B1912" s="8" t="str">
        <f>HYPERLINK("https://twitter.com/VWBeetleSales","@VWBeetleSales")</f>
        <v>@VWBeetleSales</v>
      </c>
      <c r="C1912" s="9" t="s">
        <v>127</v>
      </c>
      <c r="D1912" s="9" t="s">
        <v>4940</v>
      </c>
      <c r="E1912" s="10" t="str">
        <f>HYPERLINK("https://twitter.com/VWBeetleSales/status/723222545265102848","723222545265102848")</f>
        <v>723222545265102848</v>
      </c>
      <c r="F1912" s="10" t="s">
        <v>124</v>
      </c>
      <c r="G1912" s="11">
        <v>35</v>
      </c>
      <c r="H1912" s="11">
        <v>32</v>
      </c>
      <c r="I1912" s="11">
        <v>0</v>
      </c>
      <c r="J1912" s="11">
        <v>0</v>
      </c>
      <c r="K1912" s="11" t="s">
        <v>21</v>
      </c>
      <c r="L1912" s="7">
        <v>42427.019756944443</v>
      </c>
      <c r="M1912" s="12" t="s">
        <v>129</v>
      </c>
      <c r="N1912" s="12" t="s">
        <v>130</v>
      </c>
      <c r="O1912" s="10" t="str">
        <f>HYPERLINK("https://pbs.twimg.com/profile_images/703294545195307008/qeCvrX86_normal.jpg","View")</f>
        <v>View</v>
      </c>
      <c r="P1912" s="11"/>
    </row>
    <row r="1913" spans="1:16" ht="12.75" x14ac:dyDescent="0.35">
      <c r="A1913" s="7">
        <v>42482.015185185184</v>
      </c>
      <c r="B1913" s="8" t="str">
        <f>HYPERLINK("https://twitter.com/merriemarie","@merriemarie")</f>
        <v>@merriemarie</v>
      </c>
      <c r="C1913" s="9" t="s">
        <v>4941</v>
      </c>
      <c r="D1913" s="9" t="s">
        <v>4942</v>
      </c>
      <c r="E1913" s="10" t="str">
        <f>HYPERLINK("https://twitter.com/merriemarie/status/723222740333776897","723222740333776897")</f>
        <v>723222740333776897</v>
      </c>
      <c r="F1913" s="11" t="s">
        <v>43</v>
      </c>
      <c r="G1913" s="11">
        <v>2054</v>
      </c>
      <c r="H1913" s="11">
        <v>1538</v>
      </c>
      <c r="I1913" s="11">
        <v>0</v>
      </c>
      <c r="J1913" s="11">
        <v>1</v>
      </c>
      <c r="K1913" s="11" t="s">
        <v>21</v>
      </c>
      <c r="L1913" s="7">
        <v>39662.258391203708</v>
      </c>
      <c r="M1913" s="12"/>
      <c r="N1913" s="12"/>
      <c r="O1913" s="10" t="str">
        <f>HYPERLINK("https://pbs.twimg.com/profile_images/1821908673/20110605102147_merriemarie_IKU9HY4PB0NL81SMXJ7WE6A3RDQT5C2FVOZG_normal.jpg","View")</f>
        <v>View</v>
      </c>
      <c r="P1913" s="11"/>
    </row>
    <row r="1914" spans="1:16" ht="12.75" x14ac:dyDescent="0.35">
      <c r="A1914" s="7">
        <v>42482.015219907407</v>
      </c>
      <c r="B1914" s="8" t="str">
        <f>HYPERLINK("https://twitter.com/ramunasrb","@ramunasrb")</f>
        <v>@ramunasrb</v>
      </c>
      <c r="C1914" s="9" t="s">
        <v>4943</v>
      </c>
      <c r="D1914" s="9" t="s">
        <v>4944</v>
      </c>
      <c r="E1914" s="10" t="str">
        <f>HYPERLINK("https://twitter.com/ramunasrb/status/723222753705336834","723222753705336834")</f>
        <v>723222753705336834</v>
      </c>
      <c r="F1914" s="11" t="s">
        <v>114</v>
      </c>
      <c r="G1914" s="11">
        <v>5</v>
      </c>
      <c r="H1914" s="11">
        <v>79</v>
      </c>
      <c r="I1914" s="11">
        <v>0</v>
      </c>
      <c r="J1914" s="11">
        <v>0</v>
      </c>
      <c r="K1914" s="11" t="s">
        <v>21</v>
      </c>
      <c r="L1914" s="7">
        <v>42134.82231481481</v>
      </c>
      <c r="M1914" s="12"/>
      <c r="N1914" s="12" t="s">
        <v>4945</v>
      </c>
      <c r="O1914" s="10" t="str">
        <f>HYPERLINK("https://pbs.twimg.com/profile_images/597405282382274562/sqgwsUqP_normal.jpg","View")</f>
        <v>View</v>
      </c>
      <c r="P1914" s="10" t="str">
        <f>HYPERLINK("http://ctrlq.org/maps/address/#54.6833,25.2833","Map")</f>
        <v>Map</v>
      </c>
    </row>
    <row r="1915" spans="1:16" ht="12.75" x14ac:dyDescent="0.35">
      <c r="A1915" s="7">
        <v>42482.015324074076</v>
      </c>
      <c r="B1915" s="8" t="str">
        <f>HYPERLINK("https://twitter.com/wingston","@wingston")</f>
        <v>@wingston</v>
      </c>
      <c r="C1915" s="9" t="s">
        <v>805</v>
      </c>
      <c r="D1915" s="9" t="s">
        <v>4946</v>
      </c>
      <c r="E1915" s="10" t="str">
        <f>HYPERLINK("https://twitter.com/wingston/status/723222788660559872","723222788660559872")</f>
        <v>723222788660559872</v>
      </c>
      <c r="F1915" s="11" t="s">
        <v>807</v>
      </c>
      <c r="G1915" s="11">
        <v>1038</v>
      </c>
      <c r="H1915" s="11">
        <v>1059</v>
      </c>
      <c r="I1915" s="11">
        <v>0</v>
      </c>
      <c r="J1915" s="11">
        <v>0</v>
      </c>
      <c r="K1915" s="11" t="s">
        <v>21</v>
      </c>
      <c r="L1915" s="7">
        <v>39866.053124999999</v>
      </c>
      <c r="M1915" s="12" t="s">
        <v>808</v>
      </c>
      <c r="N1915" s="12" t="s">
        <v>809</v>
      </c>
      <c r="O1915" s="10" t="str">
        <f>HYPERLINK("https://pbs.twimg.com/profile_images/3537672406/190f79c88052bd5078e91796fd0fffe1_normal.jpeg","View")</f>
        <v>View</v>
      </c>
      <c r="P1915" s="11"/>
    </row>
    <row r="1916" spans="1:16" ht="12.75" x14ac:dyDescent="0.35">
      <c r="A1916" s="7">
        <v>42482.016539351855</v>
      </c>
      <c r="B1916" s="8" t="str">
        <f>HYPERLINK("https://twitter.com/dparv","@dparv")</f>
        <v>@dparv</v>
      </c>
      <c r="C1916" s="9" t="s">
        <v>4947</v>
      </c>
      <c r="D1916" s="9" t="s">
        <v>4948</v>
      </c>
      <c r="E1916" s="10" t="str">
        <f>HYPERLINK("https://twitter.com/dparv/status/723223231239434241","723223231239434241")</f>
        <v>723223231239434241</v>
      </c>
      <c r="F1916" s="11" t="s">
        <v>114</v>
      </c>
      <c r="G1916" s="11">
        <v>851</v>
      </c>
      <c r="H1916" s="11">
        <v>604</v>
      </c>
      <c r="I1916" s="11">
        <v>0</v>
      </c>
      <c r="J1916" s="11">
        <v>0</v>
      </c>
      <c r="K1916" s="11" t="s">
        <v>21</v>
      </c>
      <c r="L1916" s="7">
        <v>39847.756319444445</v>
      </c>
      <c r="M1916" s="12" t="s">
        <v>4949</v>
      </c>
      <c r="N1916" s="12" t="s">
        <v>4950</v>
      </c>
      <c r="O1916" s="10" t="str">
        <f>HYPERLINK("https://pbs.twimg.com/profile_images/3247844045/0ebbe765107bedba0b7b5b740fad0a69_normal.jpeg","View")</f>
        <v>View</v>
      </c>
      <c r="P1916" s="11"/>
    </row>
    <row r="1917" spans="1:16" ht="12.75" x14ac:dyDescent="0.35">
      <c r="A1917" s="7">
        <v>42482.016956018517</v>
      </c>
      <c r="B1917" s="8" t="str">
        <f>HYPERLINK("https://twitter.com/Dr_M_eroglu","@Dr_M_eroglu")</f>
        <v>@Dr_M_eroglu</v>
      </c>
      <c r="C1917" s="9" t="s">
        <v>4951</v>
      </c>
      <c r="D1917" s="9" t="s">
        <v>4952</v>
      </c>
      <c r="E1917" s="10" t="str">
        <f>HYPERLINK("https://twitter.com/Dr_M_eroglu/status/723223380309229569","723223380309229569")</f>
        <v>723223380309229569</v>
      </c>
      <c r="F1917" s="11" t="s">
        <v>48</v>
      </c>
      <c r="G1917" s="11">
        <v>327</v>
      </c>
      <c r="H1917" s="11">
        <v>1014</v>
      </c>
      <c r="I1917" s="11">
        <v>1</v>
      </c>
      <c r="J1917" s="11">
        <v>0</v>
      </c>
      <c r="K1917" s="11" t="s">
        <v>21</v>
      </c>
      <c r="L1917" s="7">
        <v>39973.080405092594</v>
      </c>
      <c r="M1917" s="12"/>
      <c r="N1917" s="12" t="s">
        <v>4953</v>
      </c>
      <c r="O1917" s="10" t="str">
        <f>HYPERLINK("https://pbs.twimg.com/profile_images/656424958495715328/u8Mv9pfT_normal.jpg","View")</f>
        <v>View</v>
      </c>
      <c r="P1917" s="11"/>
    </row>
    <row r="1918" spans="1:16" ht="12.75" x14ac:dyDescent="0.35">
      <c r="A1918" s="7">
        <v>42482.017407407402</v>
      </c>
      <c r="B1918" s="8" t="str">
        <f>HYPERLINK("https://twitter.com/axhagedorn","@axhagedorn")</f>
        <v>@axhagedorn</v>
      </c>
      <c r="C1918" s="9" t="s">
        <v>4954</v>
      </c>
      <c r="D1918" s="9" t="s">
        <v>4955</v>
      </c>
      <c r="E1918" s="10" t="str">
        <f>HYPERLINK("https://twitter.com/axhagedorn/status/723223545078276097","723223545078276097")</f>
        <v>723223545078276097</v>
      </c>
      <c r="F1918" s="11" t="s">
        <v>91</v>
      </c>
      <c r="G1918" s="11">
        <v>323</v>
      </c>
      <c r="H1918" s="11">
        <v>194</v>
      </c>
      <c r="I1918" s="11">
        <v>0</v>
      </c>
      <c r="J1918" s="11">
        <v>1</v>
      </c>
      <c r="K1918" s="11" t="s">
        <v>21</v>
      </c>
      <c r="L1918" s="7">
        <v>41531.880127314813</v>
      </c>
      <c r="M1918" s="12" t="s">
        <v>1748</v>
      </c>
      <c r="N1918" s="12" t="s">
        <v>4956</v>
      </c>
      <c r="O1918" s="10" t="str">
        <f>HYPERLINK("https://pbs.twimg.com/profile_images/441845173711273984/IFBsAi5G_normal.jpeg","View")</f>
        <v>View</v>
      </c>
      <c r="P1918" s="11"/>
    </row>
    <row r="1919" spans="1:16" ht="12.75" x14ac:dyDescent="0.35">
      <c r="A1919" s="7">
        <v>42482.017465277779</v>
      </c>
      <c r="B1919" s="8" t="str">
        <f>HYPERLINK("https://twitter.com/baynesa","@baynesa")</f>
        <v>@baynesa</v>
      </c>
      <c r="C1919" s="9" t="s">
        <v>4957</v>
      </c>
      <c r="D1919" s="9" t="s">
        <v>4958</v>
      </c>
      <c r="E1919" s="10" t="str">
        <f>HYPERLINK("https://twitter.com/baynesa/status/723223564858580992","723223564858580992")</f>
        <v>723223564858580992</v>
      </c>
      <c r="F1919" s="11" t="s">
        <v>20</v>
      </c>
      <c r="G1919" s="11">
        <v>278</v>
      </c>
      <c r="H1919" s="11">
        <v>846</v>
      </c>
      <c r="I1919" s="11">
        <v>0</v>
      </c>
      <c r="J1919" s="11">
        <v>0</v>
      </c>
      <c r="K1919" s="11" t="s">
        <v>21</v>
      </c>
      <c r="L1919" s="7">
        <v>39431.307962962965</v>
      </c>
      <c r="M1919" s="12" t="s">
        <v>4959</v>
      </c>
      <c r="N1919" s="12"/>
      <c r="O1919" s="10" t="str">
        <f>HYPERLINK("https://pbs.twimg.com/profile_images/1168826684/0ee0a3c1-9b9d-4f5e-88e7-fc9034bb57de_normal.jpg","View")</f>
        <v>View</v>
      </c>
      <c r="P1919" s="11"/>
    </row>
    <row r="1920" spans="1:16" ht="12.75" x14ac:dyDescent="0.35">
      <c r="A1920" s="7">
        <v>42482.018379629633</v>
      </c>
      <c r="B1920" s="8" t="str">
        <f>HYPERLINK("https://twitter.com/OneStepBayond","@OneStepBayond")</f>
        <v>@OneStepBayond</v>
      </c>
      <c r="C1920" s="9" t="s">
        <v>1999</v>
      </c>
      <c r="D1920" s="9" t="s">
        <v>4960</v>
      </c>
      <c r="E1920" s="10" t="str">
        <f>HYPERLINK("https://twitter.com/OneStepBayond/status/723223898037358592","723223898037358592")</f>
        <v>723223898037358592</v>
      </c>
      <c r="F1920" s="11" t="s">
        <v>43</v>
      </c>
      <c r="G1920" s="11">
        <v>327</v>
      </c>
      <c r="H1920" s="11">
        <v>234</v>
      </c>
      <c r="I1920" s="11">
        <v>0</v>
      </c>
      <c r="J1920" s="11">
        <v>0</v>
      </c>
      <c r="K1920" s="11" t="s">
        <v>21</v>
      </c>
      <c r="L1920" s="7">
        <v>41400.59306712963</v>
      </c>
      <c r="M1920" s="12" t="s">
        <v>262</v>
      </c>
      <c r="N1920" s="12"/>
      <c r="O1920" s="10" t="str">
        <f>HYPERLINK("https://pbs.twimg.com/profile_images/685102900184485888/rhqb81-h_normal.jpg","View")</f>
        <v>View</v>
      </c>
      <c r="P1920" s="11"/>
    </row>
    <row r="1921" spans="1:16" ht="12.75" x14ac:dyDescent="0.35">
      <c r="A1921" s="7">
        <v>42482.019131944442</v>
      </c>
      <c r="B1921" s="8" t="str">
        <f>HYPERLINK("https://twitter.com/FrenchMaple","@FrenchMaple")</f>
        <v>@FrenchMaple</v>
      </c>
      <c r="C1921" s="9" t="s">
        <v>4961</v>
      </c>
      <c r="D1921" s="9" t="s">
        <v>4962</v>
      </c>
      <c r="E1921" s="10" t="str">
        <f>HYPERLINK("https://twitter.com/FrenchMaple/status/723224169870061569","723224169870061569")</f>
        <v>723224169870061569</v>
      </c>
      <c r="F1921" s="11" t="s">
        <v>20</v>
      </c>
      <c r="G1921" s="11">
        <v>404</v>
      </c>
      <c r="H1921" s="11">
        <v>1126</v>
      </c>
      <c r="I1921" s="11">
        <v>0</v>
      </c>
      <c r="J1921" s="11">
        <v>0</v>
      </c>
      <c r="K1921" s="11" t="s">
        <v>21</v>
      </c>
      <c r="L1921" s="7">
        <v>42222.288530092592</v>
      </c>
      <c r="M1921" s="12" t="s">
        <v>3557</v>
      </c>
      <c r="N1921" s="12" t="s">
        <v>4963</v>
      </c>
      <c r="O1921" s="10" t="str">
        <f>HYPERLINK("https://pbs.twimg.com/profile_images/717786348711763968/bkgd0J-g_normal.jpg","View")</f>
        <v>View</v>
      </c>
      <c r="P1921" s="11"/>
    </row>
    <row r="1922" spans="1:16" ht="12.75" x14ac:dyDescent="0.35">
      <c r="A1922" s="7">
        <v>42482.019386574073</v>
      </c>
      <c r="B1922" s="8" t="str">
        <f>HYPERLINK("https://twitter.com/ZonaBinaria","@ZonaBinaria")</f>
        <v>@ZonaBinaria</v>
      </c>
      <c r="C1922" s="9" t="s">
        <v>4964</v>
      </c>
      <c r="D1922" s="9" t="s">
        <v>4965</v>
      </c>
      <c r="E1922" s="10" t="str">
        <f>HYPERLINK("https://twitter.com/ZonaBinaria/status/723224261922578432","723224261922578432")</f>
        <v>723224261922578432</v>
      </c>
      <c r="F1922" s="11" t="s">
        <v>2206</v>
      </c>
      <c r="G1922" s="11">
        <v>363</v>
      </c>
      <c r="H1922" s="11">
        <v>25</v>
      </c>
      <c r="I1922" s="11">
        <v>0</v>
      </c>
      <c r="J1922" s="11">
        <v>0</v>
      </c>
      <c r="K1922" s="11" t="s">
        <v>21</v>
      </c>
      <c r="L1922" s="7">
        <v>40289.324675925927</v>
      </c>
      <c r="M1922" s="12" t="s">
        <v>4966</v>
      </c>
      <c r="N1922" s="12" t="s">
        <v>4967</v>
      </c>
      <c r="O1922" s="10" t="str">
        <f>HYPERLINK("https://pbs.twimg.com/profile_images/839303470/326358977_144f1a5235_normal.jpg","View")</f>
        <v>View</v>
      </c>
      <c r="P1922" s="11"/>
    </row>
    <row r="1923" spans="1:16" ht="12.75" x14ac:dyDescent="0.35">
      <c r="A1923" s="7">
        <v>42482.019872685181</v>
      </c>
      <c r="B1923" s="8" t="str">
        <f>HYPERLINK("https://twitter.com/sebastianklink","@sebastianklink")</f>
        <v>@sebastianklink</v>
      </c>
      <c r="C1923" s="9" t="s">
        <v>4968</v>
      </c>
      <c r="D1923" s="9" t="s">
        <v>2957</v>
      </c>
      <c r="E1923" s="10" t="str">
        <f>HYPERLINK("https://twitter.com/sebastianklink/status/723224438444032001","723224438444032001")</f>
        <v>723224438444032001</v>
      </c>
      <c r="F1923" s="11" t="s">
        <v>20</v>
      </c>
      <c r="G1923" s="11">
        <v>118</v>
      </c>
      <c r="H1923" s="11">
        <v>232</v>
      </c>
      <c r="I1923" s="11">
        <v>5</v>
      </c>
      <c r="J1923" s="11">
        <v>0</v>
      </c>
      <c r="K1923" s="11" t="s">
        <v>21</v>
      </c>
      <c r="L1923" s="7">
        <v>40748.003101851849</v>
      </c>
      <c r="M1923" s="12" t="s">
        <v>2958</v>
      </c>
      <c r="N1923" s="12" t="s">
        <v>4969</v>
      </c>
      <c r="O1923" s="10" t="str">
        <f>HYPERLINK("https://pbs.twimg.com/profile_images/574157636997902336/vp84JvEq_normal.jpeg","View")</f>
        <v>View</v>
      </c>
      <c r="P1923" s="11"/>
    </row>
    <row r="1924" spans="1:16" ht="12.75" x14ac:dyDescent="0.35">
      <c r="A1924" s="7">
        <v>42482.021064814813</v>
      </c>
      <c r="B1924" s="8" t="str">
        <f>HYPERLINK("https://twitter.com/kngeuro","@kngeuro")</f>
        <v>@kngeuro</v>
      </c>
      <c r="C1924" s="9" t="s">
        <v>833</v>
      </c>
      <c r="D1924" s="9" t="s">
        <v>4970</v>
      </c>
      <c r="E1924" s="10" t="str">
        <f>HYPERLINK("https://twitter.com/kngeuro/status/723224869157003264","723224869157003264")</f>
        <v>723224869157003264</v>
      </c>
      <c r="F1924" s="11" t="s">
        <v>53</v>
      </c>
      <c r="G1924" s="11">
        <v>760</v>
      </c>
      <c r="H1924" s="11">
        <v>451</v>
      </c>
      <c r="I1924" s="11">
        <v>2</v>
      </c>
      <c r="J1924" s="11">
        <v>0</v>
      </c>
      <c r="K1924" s="11" t="s">
        <v>21</v>
      </c>
      <c r="L1924" s="7">
        <v>40319.120925925927</v>
      </c>
      <c r="M1924" s="12" t="s">
        <v>835</v>
      </c>
      <c r="N1924" s="12" t="s">
        <v>836</v>
      </c>
      <c r="O1924" s="10" t="str">
        <f>HYPERLINK("https://pbs.twimg.com/profile_images/570375988065935360/ooT_Nq7x_normal.jpeg","View")</f>
        <v>View</v>
      </c>
      <c r="P1924" s="11"/>
    </row>
    <row r="1925" spans="1:16" ht="12.75" x14ac:dyDescent="0.35">
      <c r="A1925" s="7">
        <v>42482.021296296298</v>
      </c>
      <c r="B1925" s="8" t="str">
        <f>HYPERLINK("https://twitter.com/COMEXI","@COMEXI")</f>
        <v>@COMEXI</v>
      </c>
      <c r="C1925" s="9" t="s">
        <v>4971</v>
      </c>
      <c r="D1925" s="9" t="s">
        <v>4972</v>
      </c>
      <c r="E1925" s="10" t="str">
        <f>HYPERLINK("https://twitter.com/COMEXI/status/723224952334217217","723224952334217217")</f>
        <v>723224952334217217</v>
      </c>
      <c r="F1925" s="11" t="s">
        <v>63</v>
      </c>
      <c r="G1925" s="11">
        <v>13610</v>
      </c>
      <c r="H1925" s="11">
        <v>941</v>
      </c>
      <c r="I1925" s="11">
        <v>0</v>
      </c>
      <c r="J1925" s="11">
        <v>0</v>
      </c>
      <c r="K1925" s="11" t="s">
        <v>21</v>
      </c>
      <c r="L1925" s="7">
        <v>40087.074618055558</v>
      </c>
      <c r="M1925" s="12" t="s">
        <v>4841</v>
      </c>
      <c r="N1925" s="12" t="s">
        <v>4973</v>
      </c>
      <c r="O1925" s="10" t="str">
        <f>HYPERLINK("https://pbs.twimg.com/profile_images/648511855149780992/OsSjn9Ix_normal.jpg","View")</f>
        <v>View</v>
      </c>
      <c r="P1925" s="11"/>
    </row>
    <row r="1926" spans="1:16" ht="12.75" x14ac:dyDescent="0.35">
      <c r="A1926" s="7">
        <v>42482.021319444444</v>
      </c>
      <c r="B1926" s="8" t="str">
        <f>HYPERLINK("https://twitter.com/UpShiftDigital","@UpShiftDigital")</f>
        <v>@UpShiftDigital</v>
      </c>
      <c r="C1926" s="9" t="s">
        <v>4974</v>
      </c>
      <c r="D1926" s="9" t="s">
        <v>4975</v>
      </c>
      <c r="E1926" s="10" t="str">
        <f>HYPERLINK("https://twitter.com/UpShiftDigital/status/723224963772211201","723224963772211201")</f>
        <v>723224963772211201</v>
      </c>
      <c r="F1926" s="11" t="s">
        <v>152</v>
      </c>
      <c r="G1926" s="11">
        <v>6205</v>
      </c>
      <c r="H1926" s="11">
        <v>6837</v>
      </c>
      <c r="I1926" s="11">
        <v>0</v>
      </c>
      <c r="J1926" s="11">
        <v>0</v>
      </c>
      <c r="K1926" s="11" t="s">
        <v>21</v>
      </c>
      <c r="L1926" s="7">
        <v>39705.024907407409</v>
      </c>
      <c r="M1926" s="12" t="s">
        <v>4976</v>
      </c>
      <c r="N1926" s="12" t="s">
        <v>4977</v>
      </c>
      <c r="O1926" s="10" t="str">
        <f>HYPERLINK("https://pbs.twimg.com/profile_images/132050727/upshift-avatar_normal.png","View")</f>
        <v>View</v>
      </c>
      <c r="P1926" s="11"/>
    </row>
    <row r="1927" spans="1:16" ht="12.75" x14ac:dyDescent="0.35">
      <c r="A1927" s="7">
        <v>42482.021504629629</v>
      </c>
      <c r="B1927" s="8" t="str">
        <f>HYPERLINK("https://twitter.com/stroisila","@stroisila")</f>
        <v>@stroisila</v>
      </c>
      <c r="C1927" s="9" t="s">
        <v>4978</v>
      </c>
      <c r="D1927" s="9" t="s">
        <v>4979</v>
      </c>
      <c r="E1927" s="10" t="str">
        <f>HYPERLINK("https://twitter.com/stroisila/status/723225030784651264","723225030784651264")</f>
        <v>723225030784651264</v>
      </c>
      <c r="F1927" s="11" t="s">
        <v>4980</v>
      </c>
      <c r="G1927" s="11">
        <v>2375</v>
      </c>
      <c r="H1927" s="11">
        <v>113</v>
      </c>
      <c r="I1927" s="11">
        <v>0</v>
      </c>
      <c r="J1927" s="11">
        <v>0</v>
      </c>
      <c r="K1927" s="11" t="s">
        <v>21</v>
      </c>
      <c r="L1927" s="7">
        <v>41692.658125000002</v>
      </c>
      <c r="M1927" s="12" t="s">
        <v>4981</v>
      </c>
      <c r="N1927" s="12" t="s">
        <v>4982</v>
      </c>
      <c r="O1927" s="10" t="str">
        <f>HYPERLINK("https://pbs.twimg.com/profile_images/437173690732515328/lOLCG4Wb_normal.jpeg","View")</f>
        <v>View</v>
      </c>
      <c r="P1927" s="11"/>
    </row>
    <row r="1928" spans="1:16" ht="12.75" x14ac:dyDescent="0.35">
      <c r="A1928" s="7">
        <v>42482.021539351852</v>
      </c>
      <c r="B1928" s="8" t="str">
        <f>HYPERLINK("https://twitter.com/VolkswagenPost","@VolkswagenPost")</f>
        <v>@VolkswagenPost</v>
      </c>
      <c r="C1928" s="9" t="s">
        <v>321</v>
      </c>
      <c r="D1928" s="9" t="s">
        <v>4983</v>
      </c>
      <c r="E1928" s="10" t="str">
        <f>HYPERLINK("https://twitter.com/VolkswagenPost/status/723225040016314372","723225040016314372")</f>
        <v>723225040016314372</v>
      </c>
      <c r="F1928" s="11" t="s">
        <v>288</v>
      </c>
      <c r="G1928" s="11">
        <v>571</v>
      </c>
      <c r="H1928" s="11">
        <v>446</v>
      </c>
      <c r="I1928" s="11">
        <v>1</v>
      </c>
      <c r="J1928" s="11">
        <v>0</v>
      </c>
      <c r="K1928" s="11" t="s">
        <v>21</v>
      </c>
      <c r="L1928" s="7">
        <v>41940.618379629632</v>
      </c>
      <c r="M1928" s="12"/>
      <c r="N1928" s="12"/>
      <c r="O1928" s="10" t="str">
        <f>HYPERLINK("https://pbs.twimg.com/profile_images/530071272881803264/a_jcCmPZ_normal.png","View")</f>
        <v>View</v>
      </c>
      <c r="P1928" s="11"/>
    </row>
    <row r="1929" spans="1:16" ht="12.75" x14ac:dyDescent="0.35">
      <c r="A1929" s="7">
        <v>42482.021793981483</v>
      </c>
      <c r="B1929" s="8" t="str">
        <f>HYPERLINK("https://twitter.com/ineeshadvs","@ineeshadvs")</f>
        <v>@ineeshadvs</v>
      </c>
      <c r="C1929" s="9" t="s">
        <v>4984</v>
      </c>
      <c r="D1929" s="9" t="s">
        <v>4985</v>
      </c>
      <c r="E1929" s="10" t="str">
        <f>HYPERLINK("https://twitter.com/ineeshadvs/status/723225132337078272","723225132337078272")</f>
        <v>723225132337078272</v>
      </c>
      <c r="F1929" s="11" t="s">
        <v>20</v>
      </c>
      <c r="G1929" s="11">
        <v>2244</v>
      </c>
      <c r="H1929" s="11">
        <v>555</v>
      </c>
      <c r="I1929" s="11">
        <v>0</v>
      </c>
      <c r="J1929" s="11">
        <v>1</v>
      </c>
      <c r="K1929" s="11" t="s">
        <v>21</v>
      </c>
      <c r="L1929" s="7">
        <v>39977.854664351849</v>
      </c>
      <c r="M1929" s="12" t="s">
        <v>4986</v>
      </c>
      <c r="N1929" s="12" t="s">
        <v>4987</v>
      </c>
      <c r="O1929" s="10" t="str">
        <f>HYPERLINK("https://pbs.twimg.com/profile_images/723123207612555264/BzKOZZOy_normal.jpg","View")</f>
        <v>View</v>
      </c>
      <c r="P1929" s="11"/>
    </row>
    <row r="1930" spans="1:16" ht="12.75" x14ac:dyDescent="0.35">
      <c r="A1930" s="7">
        <v>42482.021828703699</v>
      </c>
      <c r="B1930" s="8" t="str">
        <f>HYPERLINK("https://twitter.com/DjKarlittoosXD","@DjKarlittoosXD")</f>
        <v>@DjKarlittoosXD</v>
      </c>
      <c r="C1930" s="9" t="s">
        <v>4988</v>
      </c>
      <c r="D1930" s="9" t="s">
        <v>4989</v>
      </c>
      <c r="E1930" s="10" t="str">
        <f>HYPERLINK("https://twitter.com/DjKarlittoosXD/status/723225147797323777","723225147797323777")</f>
        <v>723225147797323777</v>
      </c>
      <c r="F1930" s="11" t="s">
        <v>114</v>
      </c>
      <c r="G1930" s="11">
        <v>118</v>
      </c>
      <c r="H1930" s="11">
        <v>231</v>
      </c>
      <c r="I1930" s="11">
        <v>0</v>
      </c>
      <c r="J1930" s="11">
        <v>0</v>
      </c>
      <c r="K1930" s="11" t="s">
        <v>21</v>
      </c>
      <c r="L1930" s="7">
        <v>41108.90483796296</v>
      </c>
      <c r="M1930" s="12"/>
      <c r="N1930" s="12" t="s">
        <v>4990</v>
      </c>
      <c r="O1930" s="10" t="str">
        <f>HYPERLINK("https://pbs.twimg.com/profile_images/580720858861322240/NsC7SmG6_normal.jpg","View")</f>
        <v>View</v>
      </c>
      <c r="P1930" s="10" t="str">
        <f>HYPERLINK("http://ctrlq.org/maps/address/#-34.4993836,-58.7324231","Map")</f>
        <v>Map</v>
      </c>
    </row>
    <row r="1931" spans="1:16" ht="12.75" x14ac:dyDescent="0.35">
      <c r="A1931" s="7">
        <v>42482.021990740745</v>
      </c>
      <c r="B1931" s="8" t="str">
        <f>HYPERLINK("https://twitter.com/Emission_Claims","@Emission_Claims")</f>
        <v>@Emission_Claims</v>
      </c>
      <c r="C1931" s="9" t="s">
        <v>1839</v>
      </c>
      <c r="D1931" s="9" t="s">
        <v>4991</v>
      </c>
      <c r="E1931" s="10" t="str">
        <f>HYPERLINK("https://twitter.com/Emission_Claims/status/723225205804535808","723225205804535808")</f>
        <v>723225205804535808</v>
      </c>
      <c r="F1931" s="11" t="s">
        <v>152</v>
      </c>
      <c r="G1931" s="11">
        <v>363</v>
      </c>
      <c r="H1931" s="11">
        <v>802</v>
      </c>
      <c r="I1931" s="11">
        <v>0</v>
      </c>
      <c r="J1931" s="11">
        <v>0</v>
      </c>
      <c r="K1931" s="11" t="s">
        <v>21</v>
      </c>
      <c r="L1931" s="7">
        <v>42286.806793981479</v>
      </c>
      <c r="M1931" s="12" t="s">
        <v>1841</v>
      </c>
      <c r="N1931" s="12" t="s">
        <v>1842</v>
      </c>
      <c r="O1931" s="10" t="str">
        <f>HYPERLINK("https://pbs.twimg.com/profile_images/652482665900285952/jeA6rKOi_normal.jpg","View")</f>
        <v>View</v>
      </c>
      <c r="P1931" s="11"/>
    </row>
    <row r="1932" spans="1:16" ht="12.75" x14ac:dyDescent="0.35">
      <c r="A1932" s="7">
        <v>42482.022881944446</v>
      </c>
      <c r="B1932" s="8" t="str">
        <f t="shared" ref="B1932:B1933" si="175">HYPERLINK("https://twitter.com/coolspringsvw","@coolspringsvw")</f>
        <v>@coolspringsvw</v>
      </c>
      <c r="C1932" s="9" t="s">
        <v>4992</v>
      </c>
      <c r="D1932" s="9" t="s">
        <v>4993</v>
      </c>
      <c r="E1932" s="10" t="str">
        <f>HYPERLINK("https://twitter.com/coolspringsvw/status/723225526706552832","723225526706552832")</f>
        <v>723225526706552832</v>
      </c>
      <c r="F1932" s="11" t="s">
        <v>152</v>
      </c>
      <c r="G1932" s="11">
        <v>341</v>
      </c>
      <c r="H1932" s="11">
        <v>239</v>
      </c>
      <c r="I1932" s="11">
        <v>0</v>
      </c>
      <c r="J1932" s="11">
        <v>0</v>
      </c>
      <c r="K1932" s="11" t="s">
        <v>21</v>
      </c>
      <c r="L1932" s="7">
        <v>40528.956875000003</v>
      </c>
      <c r="M1932" s="12" t="s">
        <v>4994</v>
      </c>
      <c r="N1932" s="12" t="s">
        <v>4995</v>
      </c>
      <c r="O1932" s="10" t="str">
        <f t="shared" ref="O1932:O1933" si="176">HYPERLINK("https://pbs.twimg.com/profile_images/710243539695763456/UeBsM3MU_normal.jpg","View")</f>
        <v>View</v>
      </c>
      <c r="P1932" s="11"/>
    </row>
    <row r="1933" spans="1:16" ht="12.75" x14ac:dyDescent="0.35">
      <c r="A1933" s="7">
        <v>42482.022905092592</v>
      </c>
      <c r="B1933" s="8" t="str">
        <f t="shared" si="175"/>
        <v>@coolspringsvw</v>
      </c>
      <c r="C1933" s="9" t="s">
        <v>4992</v>
      </c>
      <c r="D1933" s="9" t="s">
        <v>4996</v>
      </c>
      <c r="E1933" s="10" t="str">
        <f>HYPERLINK("https://twitter.com/coolspringsvw/status/723225537745965057","723225537745965057")</f>
        <v>723225537745965057</v>
      </c>
      <c r="F1933" s="11" t="s">
        <v>53</v>
      </c>
      <c r="G1933" s="11">
        <v>341</v>
      </c>
      <c r="H1933" s="11">
        <v>239</v>
      </c>
      <c r="I1933" s="11">
        <v>0</v>
      </c>
      <c r="J1933" s="11">
        <v>0</v>
      </c>
      <c r="K1933" s="11" t="s">
        <v>21</v>
      </c>
      <c r="L1933" s="7">
        <v>40528.956875000003</v>
      </c>
      <c r="M1933" s="12" t="s">
        <v>4994</v>
      </c>
      <c r="N1933" s="12" t="s">
        <v>4995</v>
      </c>
      <c r="O1933" s="10" t="str">
        <f t="shared" si="176"/>
        <v>View</v>
      </c>
      <c r="P1933" s="11"/>
    </row>
    <row r="1934" spans="1:16" ht="12.75" x14ac:dyDescent="0.35">
      <c r="A1934" s="7">
        <v>42482.022939814815</v>
      </c>
      <c r="B1934" s="8" t="str">
        <f>HYPERLINK("https://twitter.com/news5wcyb","@news5wcyb")</f>
        <v>@news5wcyb</v>
      </c>
      <c r="C1934" s="9" t="s">
        <v>4997</v>
      </c>
      <c r="D1934" s="9" t="s">
        <v>4998</v>
      </c>
      <c r="E1934" s="10" t="str">
        <f>HYPERLINK("https://twitter.com/news5wcyb/status/723225548646957058","723225548646957058")</f>
        <v>723225548646957058</v>
      </c>
      <c r="F1934" s="11" t="s">
        <v>3375</v>
      </c>
      <c r="G1934" s="11">
        <v>9558</v>
      </c>
      <c r="H1934" s="11">
        <v>2255</v>
      </c>
      <c r="I1934" s="11">
        <v>0</v>
      </c>
      <c r="J1934" s="11">
        <v>0</v>
      </c>
      <c r="K1934" s="11" t="s">
        <v>21</v>
      </c>
      <c r="L1934" s="7">
        <v>39924.308634259258</v>
      </c>
      <c r="M1934" s="12" t="s">
        <v>4999</v>
      </c>
      <c r="N1934" s="12" t="s">
        <v>5000</v>
      </c>
      <c r="O1934" s="10" t="str">
        <f>HYPERLINK("https://pbs.twimg.com/profile_images/2812059071/5160badc2eda0abf8e317c7c95c5e386_normal.jpeg","View")</f>
        <v>View</v>
      </c>
      <c r="P1934" s="11"/>
    </row>
    <row r="1935" spans="1:16" ht="12.75" x14ac:dyDescent="0.35">
      <c r="A1935" s="7">
        <v>42482.023020833338</v>
      </c>
      <c r="B1935" s="8" t="str">
        <f>HYPERLINK("https://twitter.com/ABC7Suiters","@ABC7Suiters")</f>
        <v>@ABC7Suiters</v>
      </c>
      <c r="C1935" s="9" t="s">
        <v>5001</v>
      </c>
      <c r="D1935" s="9" t="s">
        <v>5002</v>
      </c>
      <c r="E1935" s="10" t="str">
        <f>HYPERLINK("https://twitter.com/ABC7Suiters/status/723225580615950337","723225580615950337")</f>
        <v>723225580615950337</v>
      </c>
      <c r="F1935" s="11" t="s">
        <v>20</v>
      </c>
      <c r="G1935" s="11">
        <v>1804</v>
      </c>
      <c r="H1935" s="11">
        <v>191</v>
      </c>
      <c r="I1935" s="11">
        <v>3</v>
      </c>
      <c r="J1935" s="11">
        <v>2</v>
      </c>
      <c r="K1935" s="11" t="s">
        <v>21</v>
      </c>
      <c r="L1935" s="7">
        <v>40159.207291666666</v>
      </c>
      <c r="M1935" s="12" t="s">
        <v>2646</v>
      </c>
      <c r="N1935" s="12" t="s">
        <v>5003</v>
      </c>
      <c r="O1935" s="10" t="str">
        <f>HYPERLINK("https://pbs.twimg.com/profile_images/695370758055301120/JW5kr--6_normal.jpg","View")</f>
        <v>View</v>
      </c>
      <c r="P1935" s="11"/>
    </row>
    <row r="1936" spans="1:16" ht="12.75" x14ac:dyDescent="0.35">
      <c r="A1936" s="7">
        <v>42482.023182870369</v>
      </c>
      <c r="B1936" s="8" t="str">
        <f>HYPERLINK("https://twitter.com/timo_silver","@timo_silver")</f>
        <v>@timo_silver</v>
      </c>
      <c r="C1936" s="9" t="s">
        <v>5004</v>
      </c>
      <c r="D1936" s="9" t="s">
        <v>5005</v>
      </c>
      <c r="E1936" s="10" t="str">
        <f>HYPERLINK("https://twitter.com/timo_silver/status/723225639147462656","723225639147462656")</f>
        <v>723225639147462656</v>
      </c>
      <c r="F1936" s="11" t="s">
        <v>20</v>
      </c>
      <c r="G1936" s="11">
        <v>21</v>
      </c>
      <c r="H1936" s="11">
        <v>53</v>
      </c>
      <c r="I1936" s="11">
        <v>0</v>
      </c>
      <c r="J1936" s="11">
        <v>0</v>
      </c>
      <c r="K1936" s="11" t="s">
        <v>21</v>
      </c>
      <c r="L1936" s="7">
        <v>42399.054282407407</v>
      </c>
      <c r="M1936" s="12"/>
      <c r="N1936" s="12"/>
      <c r="O1936" s="10" t="str">
        <f>HYPERLINK("https://pbs.twimg.com/profile_images/693159275590451200/ckf61OxT_normal.jpg","View")</f>
        <v>View</v>
      </c>
      <c r="P1936" s="11"/>
    </row>
    <row r="1937" spans="1:16" ht="12.75" x14ac:dyDescent="0.35">
      <c r="A1937" s="7">
        <v>42482.023194444446</v>
      </c>
      <c r="B1937" s="8" t="str">
        <f>HYPERLINK("https://twitter.com/miica_laera","@miica_laera")</f>
        <v>@miica_laera</v>
      </c>
      <c r="C1937" s="9" t="s">
        <v>5006</v>
      </c>
      <c r="D1937" s="9" t="s">
        <v>2825</v>
      </c>
      <c r="E1937" s="10" t="str">
        <f>HYPERLINK("https://twitter.com/miica_laera/status/723225640271511554","723225640271511554")</f>
        <v>723225640271511554</v>
      </c>
      <c r="F1937" s="11" t="s">
        <v>43</v>
      </c>
      <c r="G1937" s="11">
        <v>78</v>
      </c>
      <c r="H1937" s="11">
        <v>165</v>
      </c>
      <c r="I1937" s="11">
        <v>53</v>
      </c>
      <c r="J1937" s="11">
        <v>0</v>
      </c>
      <c r="K1937" s="11" t="s">
        <v>21</v>
      </c>
      <c r="L1937" s="7">
        <v>42309.99009259259</v>
      </c>
      <c r="M1937" s="12" t="s">
        <v>5007</v>
      </c>
      <c r="N1937" s="12" t="s">
        <v>5008</v>
      </c>
      <c r="O1937" s="10" t="str">
        <f>HYPERLINK("https://pbs.twimg.com/profile_images/718283690980323328/0FMfjUn9_normal.jpg","View")</f>
        <v>View</v>
      </c>
      <c r="P1937" s="11"/>
    </row>
    <row r="1938" spans="1:16" ht="12.75" x14ac:dyDescent="0.35">
      <c r="A1938" s="7">
        <v>42482.023298611108</v>
      </c>
      <c r="B1938" s="8" t="str">
        <f>HYPERLINK("https://twitter.com/VWBeetleSales","@VWBeetleSales")</f>
        <v>@VWBeetleSales</v>
      </c>
      <c r="C1938" s="9" t="s">
        <v>127</v>
      </c>
      <c r="D1938" s="9" t="s">
        <v>5009</v>
      </c>
      <c r="E1938" s="10" t="str">
        <f>HYPERLINK("https://twitter.com/VWBeetleSales/status/723225678619938816","723225678619938816")</f>
        <v>723225678619938816</v>
      </c>
      <c r="F1938" s="10" t="s">
        <v>124</v>
      </c>
      <c r="G1938" s="11">
        <v>35</v>
      </c>
      <c r="H1938" s="11">
        <v>32</v>
      </c>
      <c r="I1938" s="11">
        <v>0</v>
      </c>
      <c r="J1938" s="11">
        <v>0</v>
      </c>
      <c r="K1938" s="11" t="s">
        <v>21</v>
      </c>
      <c r="L1938" s="7">
        <v>42427.019756944443</v>
      </c>
      <c r="M1938" s="12" t="s">
        <v>129</v>
      </c>
      <c r="N1938" s="12" t="s">
        <v>130</v>
      </c>
      <c r="O1938" s="10" t="str">
        <f>HYPERLINK("https://pbs.twimg.com/profile_images/703294545195307008/qeCvrX86_normal.jpg","View")</f>
        <v>View</v>
      </c>
      <c r="P1938" s="11"/>
    </row>
    <row r="1939" spans="1:16" ht="12.75" x14ac:dyDescent="0.35">
      <c r="A1939" s="7">
        <v>42482.023888888885</v>
      </c>
      <c r="B1939" s="8" t="str">
        <f>HYPERLINK("https://twitter.com/Onelifetogive","@Onelifetogive")</f>
        <v>@Onelifetogive</v>
      </c>
      <c r="C1939" s="9" t="s">
        <v>5010</v>
      </c>
      <c r="D1939" s="9" t="s">
        <v>5011</v>
      </c>
      <c r="E1939" s="10" t="str">
        <f>HYPERLINK("https://twitter.com/Onelifetogive/status/723225893255127040","723225893255127040")</f>
        <v>723225893255127040</v>
      </c>
      <c r="F1939" s="11" t="s">
        <v>48</v>
      </c>
      <c r="G1939" s="11">
        <v>47284</v>
      </c>
      <c r="H1939" s="11">
        <v>45530</v>
      </c>
      <c r="I1939" s="11">
        <v>2</v>
      </c>
      <c r="J1939" s="11">
        <v>0</v>
      </c>
      <c r="K1939" s="11" t="s">
        <v>21</v>
      </c>
      <c r="L1939" s="7">
        <v>39799.849409722221</v>
      </c>
      <c r="M1939" s="12" t="s">
        <v>2504</v>
      </c>
      <c r="N1939" s="12" t="s">
        <v>5012</v>
      </c>
      <c r="O1939" s="10" t="str">
        <f>HYPERLINK("https://pbs.twimg.com/profile_images/1691617662/American_Animated_Flag__2__normal.gif","View")</f>
        <v>View</v>
      </c>
      <c r="P1939" s="11"/>
    </row>
    <row r="1940" spans="1:16" ht="12.75" x14ac:dyDescent="0.35">
      <c r="A1940" s="7">
        <v>42482.024479166663</v>
      </c>
      <c r="B1940" s="8" t="str">
        <f>HYPERLINK("https://twitter.com/19TaTi92","@19TaTi92")</f>
        <v>@19TaTi92</v>
      </c>
      <c r="C1940" s="9" t="s">
        <v>5013</v>
      </c>
      <c r="D1940" s="9" t="s">
        <v>5014</v>
      </c>
      <c r="E1940" s="10" t="str">
        <f>HYPERLINK("https://twitter.com/19TaTi92/status/723226107676397568","723226107676397568")</f>
        <v>723226107676397568</v>
      </c>
      <c r="F1940" s="11" t="s">
        <v>20</v>
      </c>
      <c r="G1940" s="11">
        <v>12</v>
      </c>
      <c r="H1940" s="11">
        <v>50</v>
      </c>
      <c r="I1940" s="11">
        <v>0</v>
      </c>
      <c r="J1940" s="11">
        <v>1</v>
      </c>
      <c r="K1940" s="11" t="s">
        <v>21</v>
      </c>
      <c r="L1940" s="7">
        <v>40314.982476851852</v>
      </c>
      <c r="M1940" s="12" t="s">
        <v>5015</v>
      </c>
      <c r="N1940" s="12"/>
      <c r="O1940" s="10" t="str">
        <f>HYPERLINK("https://pbs.twimg.com/profile_images/622398818949177344/yubPFjZg_normal.jpg","View")</f>
        <v>View</v>
      </c>
      <c r="P1940" s="11"/>
    </row>
    <row r="1941" spans="1:16" ht="12.75" x14ac:dyDescent="0.35">
      <c r="A1941" s="7">
        <v>42482.02449074074</v>
      </c>
      <c r="B1941" s="8" t="str">
        <f>HYPERLINK("https://twitter.com/SAW_AX","@SAW_AX")</f>
        <v>@SAW_AX</v>
      </c>
      <c r="C1941" s="9" t="s">
        <v>5016</v>
      </c>
      <c r="D1941" s="9" t="s">
        <v>5017</v>
      </c>
      <c r="E1941" s="10" t="str">
        <f>HYPERLINK("https://twitter.com/SAW_AX/status/723226110947930112","723226110947930112")</f>
        <v>723226110947930112</v>
      </c>
      <c r="F1941" s="11" t="s">
        <v>20</v>
      </c>
      <c r="G1941" s="11">
        <v>48</v>
      </c>
      <c r="H1941" s="11">
        <v>101</v>
      </c>
      <c r="I1941" s="11">
        <v>1</v>
      </c>
      <c r="J1941" s="11">
        <v>0</v>
      </c>
      <c r="K1941" s="11" t="s">
        <v>21</v>
      </c>
      <c r="L1941" s="7">
        <v>40891.648854166662</v>
      </c>
      <c r="M1941" s="12" t="s">
        <v>35</v>
      </c>
      <c r="N1941" s="12" t="s">
        <v>5018</v>
      </c>
      <c r="O1941" s="10" t="str">
        <f>HYPERLINK("https://pbs.twimg.com/profile_images/679171786823622658/ZhhFinF8_normal.jpg","View")</f>
        <v>View</v>
      </c>
      <c r="P1941" s="11"/>
    </row>
    <row r="1942" spans="1:16" ht="12.75" x14ac:dyDescent="0.35">
      <c r="A1942" s="7">
        <v>42482.024502314816</v>
      </c>
      <c r="B1942" s="8" t="str">
        <f>HYPERLINK("https://twitter.com/Julikind66","@Julikind66")</f>
        <v>@Julikind66</v>
      </c>
      <c r="C1942" s="9" t="s">
        <v>5019</v>
      </c>
      <c r="D1942" s="9" t="s">
        <v>2957</v>
      </c>
      <c r="E1942" s="10" t="str">
        <f>HYPERLINK("https://twitter.com/Julikind66/status/723226115096064001","723226115096064001")</f>
        <v>723226115096064001</v>
      </c>
      <c r="F1942" s="11" t="s">
        <v>20</v>
      </c>
      <c r="G1942" s="11">
        <v>6</v>
      </c>
      <c r="H1942" s="11">
        <v>39</v>
      </c>
      <c r="I1942" s="11">
        <v>5</v>
      </c>
      <c r="J1942" s="11">
        <v>0</v>
      </c>
      <c r="K1942" s="11" t="s">
        <v>21</v>
      </c>
      <c r="L1942" s="7">
        <v>42233.993229166663</v>
      </c>
      <c r="M1942" s="12"/>
      <c r="N1942" s="12"/>
      <c r="O1942" s="10" t="str">
        <f>HYPERLINK("https://pbs.twimg.com/profile_images/633346351221342208/RyQCzZwY_normal.jpg","View")</f>
        <v>View</v>
      </c>
      <c r="P1942" s="11"/>
    </row>
    <row r="1943" spans="1:16" ht="12.75" x14ac:dyDescent="0.35">
      <c r="A1943" s="7">
        <v>42482.025266203702</v>
      </c>
      <c r="B1943" s="8" t="str">
        <f>HYPERLINK("https://twitter.com/mrsmacscot","@mrsmacscot")</f>
        <v>@mrsmacscot</v>
      </c>
      <c r="C1943" s="9" t="s">
        <v>5020</v>
      </c>
      <c r="D1943" s="9" t="s">
        <v>5021</v>
      </c>
      <c r="E1943" s="10" t="str">
        <f>HYPERLINK("https://twitter.com/mrsmacscot/status/723226393056829440","723226393056829440")</f>
        <v>723226393056829440</v>
      </c>
      <c r="F1943" s="11" t="s">
        <v>91</v>
      </c>
      <c r="G1943" s="11">
        <v>225</v>
      </c>
      <c r="H1943" s="11">
        <v>275</v>
      </c>
      <c r="I1943" s="11">
        <v>2</v>
      </c>
      <c r="J1943" s="11">
        <v>0</v>
      </c>
      <c r="K1943" s="11" t="s">
        <v>21</v>
      </c>
      <c r="L1943" s="7">
        <v>41883.862523148149</v>
      </c>
      <c r="M1943" s="12"/>
      <c r="N1943" s="12" t="s">
        <v>5022</v>
      </c>
      <c r="O1943" s="10" t="str">
        <f>HYPERLINK("https://pbs.twimg.com/profile_images/625870290308976640/Ym3ufrYO_normal.jpg","View")</f>
        <v>View</v>
      </c>
      <c r="P1943" s="11"/>
    </row>
    <row r="1944" spans="1:16" ht="12.75" x14ac:dyDescent="0.35">
      <c r="A1944" s="7">
        <v>42482.025358796294</v>
      </c>
      <c r="B1944" s="8" t="str">
        <f>HYPERLINK("https://twitter.com/DubLuvTuning","@DubLuvTuning")</f>
        <v>@DubLuvTuning</v>
      </c>
      <c r="C1944" s="9" t="s">
        <v>299</v>
      </c>
      <c r="D1944" s="9" t="s">
        <v>5023</v>
      </c>
      <c r="E1944" s="10" t="str">
        <f>HYPERLINK("https://twitter.com/DubLuvTuning/status/723226424342138881","723226424342138881")</f>
        <v>723226424342138881</v>
      </c>
      <c r="F1944" s="11" t="s">
        <v>288</v>
      </c>
      <c r="G1944" s="11">
        <v>690</v>
      </c>
      <c r="H1944" s="11">
        <v>431</v>
      </c>
      <c r="I1944" s="11">
        <v>2</v>
      </c>
      <c r="J1944" s="11">
        <v>0</v>
      </c>
      <c r="K1944" s="11" t="s">
        <v>21</v>
      </c>
      <c r="L1944" s="7">
        <v>41549.898287037038</v>
      </c>
      <c r="M1944" s="12" t="s">
        <v>301</v>
      </c>
      <c r="N1944" s="12" t="s">
        <v>302</v>
      </c>
      <c r="O1944" s="10" t="str">
        <f>HYPERLINK("https://pbs.twimg.com/profile_images/378800000572104796/1de43e1cf23efb3f4101c02afad0d3b6_normal.png","View")</f>
        <v>View</v>
      </c>
      <c r="P1944" s="11"/>
    </row>
    <row r="1945" spans="1:16" ht="12.75" x14ac:dyDescent="0.35">
      <c r="A1945" s="7">
        <v>42482.025740740741</v>
      </c>
      <c r="B1945" s="8" t="str">
        <f>HYPERLINK("https://twitter.com/GetPatina","@GetPatina")</f>
        <v>@GetPatina</v>
      </c>
      <c r="C1945" s="9" t="s">
        <v>5024</v>
      </c>
      <c r="D1945" s="9" t="s">
        <v>5025</v>
      </c>
      <c r="E1945" s="10" t="str">
        <f>HYPERLINK("https://twitter.com/GetPatina/status/723226564536745988","723226564536745988")</f>
        <v>723226564536745988</v>
      </c>
      <c r="F1945" s="11" t="s">
        <v>80</v>
      </c>
      <c r="G1945" s="11">
        <v>2263</v>
      </c>
      <c r="H1945" s="11">
        <v>1983</v>
      </c>
      <c r="I1945" s="11">
        <v>0</v>
      </c>
      <c r="J1945" s="11">
        <v>2</v>
      </c>
      <c r="K1945" s="11" t="s">
        <v>21</v>
      </c>
      <c r="L1945" s="7">
        <v>41575.999895833331</v>
      </c>
      <c r="M1945" s="12" t="s">
        <v>5026</v>
      </c>
      <c r="N1945" s="12" t="s">
        <v>5027</v>
      </c>
      <c r="O1945" s="10" t="str">
        <f>HYPERLINK("https://pbs.twimg.com/profile_images/378800000798213408/aca7f23a66f75c7c5589bdb72e636b1b_normal.png","View")</f>
        <v>View</v>
      </c>
      <c r="P1945" s="11"/>
    </row>
    <row r="1946" spans="1:16" ht="12.75" x14ac:dyDescent="0.35">
      <c r="A1946" s="7">
        <v>42482.027048611111</v>
      </c>
      <c r="B1946" s="8" t="str">
        <f>HYPERLINK("https://twitter.com/SmartSanta","@SmartSanta")</f>
        <v>@SmartSanta</v>
      </c>
      <c r="C1946" s="9" t="s">
        <v>5028</v>
      </c>
      <c r="D1946" s="9" t="s">
        <v>5029</v>
      </c>
      <c r="E1946" s="10" t="str">
        <f>HYPERLINK("https://twitter.com/SmartSanta/status/723227039105318912","723227039105318912")</f>
        <v>723227039105318912</v>
      </c>
      <c r="F1946" s="11" t="s">
        <v>43</v>
      </c>
      <c r="G1946" s="11">
        <v>1921</v>
      </c>
      <c r="H1946" s="11">
        <v>2011</v>
      </c>
      <c r="I1946" s="11">
        <v>0</v>
      </c>
      <c r="J1946" s="11">
        <v>0</v>
      </c>
      <c r="K1946" s="11" t="s">
        <v>21</v>
      </c>
      <c r="L1946" s="7">
        <v>41705.682013888887</v>
      </c>
      <c r="M1946" s="12"/>
      <c r="N1946" s="12" t="s">
        <v>5030</v>
      </c>
      <c r="O1946" s="10" t="str">
        <f>HYPERLINK("https://pbs.twimg.com/profile_images/605053791889686528/XT0dbCZN_normal.jpg","View")</f>
        <v>View</v>
      </c>
      <c r="P1946" s="11"/>
    </row>
    <row r="1947" spans="1:16" ht="12.75" x14ac:dyDescent="0.35">
      <c r="A1947" s="7">
        <v>42482.028136574074</v>
      </c>
      <c r="B1947" s="8" t="str">
        <f>HYPERLINK("https://twitter.com/ABC7News","@ABC7News")</f>
        <v>@ABC7News</v>
      </c>
      <c r="C1947" s="9" t="s">
        <v>5031</v>
      </c>
      <c r="D1947" s="9" t="s">
        <v>5032</v>
      </c>
      <c r="E1947" s="10" t="str">
        <f>HYPERLINK("https://twitter.com/ABC7News/status/723227434506706944","723227434506706944")</f>
        <v>723227434506706944</v>
      </c>
      <c r="F1947" s="11" t="s">
        <v>63</v>
      </c>
      <c r="G1947" s="11">
        <v>106129</v>
      </c>
      <c r="H1947" s="11">
        <v>739</v>
      </c>
      <c r="I1947" s="11">
        <v>3</v>
      </c>
      <c r="J1947" s="11">
        <v>0</v>
      </c>
      <c r="K1947" s="11" t="s">
        <v>21</v>
      </c>
      <c r="L1947" s="7">
        <v>39593.665023148147</v>
      </c>
      <c r="M1947" s="12" t="s">
        <v>3587</v>
      </c>
      <c r="N1947" s="12" t="s">
        <v>5033</v>
      </c>
      <c r="O1947" s="10" t="str">
        <f>HYPERLINK("https://pbs.twimg.com/profile_images/560638556482191360/JRsHpE7o_normal.jpeg","View")</f>
        <v>View</v>
      </c>
      <c r="P1947" s="11"/>
    </row>
    <row r="1948" spans="1:16" ht="12.75" x14ac:dyDescent="0.35">
      <c r="A1948" s="7">
        <v>42482.028148148151</v>
      </c>
      <c r="B1948" s="8" t="str">
        <f>HYPERLINK("https://twitter.com/NewsChannel8","@NewsChannel8")</f>
        <v>@NewsChannel8</v>
      </c>
      <c r="C1948" s="9" t="s">
        <v>5034</v>
      </c>
      <c r="D1948" s="9" t="s">
        <v>5032</v>
      </c>
      <c r="E1948" s="10" t="str">
        <f>HYPERLINK("https://twitter.com/NewsChannel8/status/723227434749943808","723227434749943808")</f>
        <v>723227434749943808</v>
      </c>
      <c r="F1948" s="11" t="s">
        <v>63</v>
      </c>
      <c r="G1948" s="11">
        <v>9637</v>
      </c>
      <c r="H1948" s="11">
        <v>197</v>
      </c>
      <c r="I1948" s="11">
        <v>3</v>
      </c>
      <c r="J1948" s="11">
        <v>0</v>
      </c>
      <c r="K1948" s="11" t="s">
        <v>21</v>
      </c>
      <c r="L1948" s="7">
        <v>40585.644513888888</v>
      </c>
      <c r="M1948" s="12" t="s">
        <v>3587</v>
      </c>
      <c r="N1948" s="12" t="s">
        <v>5035</v>
      </c>
      <c r="O1948" s="10" t="str">
        <f>HYPERLINK("https://pbs.twimg.com/profile_images/560638760769974272/gv9puAmO_normal.jpeg","View")</f>
        <v>View</v>
      </c>
      <c r="P1948" s="11"/>
    </row>
    <row r="1949" spans="1:16" ht="12.75" x14ac:dyDescent="0.35">
      <c r="A1949" s="7">
        <v>42482.028171296297</v>
      </c>
      <c r="B1949" s="8" t="str">
        <f t="shared" ref="B1949:B1951" si="177">HYPERLINK("https://twitter.com/VWBeetleSales","@VWBeetleSales")</f>
        <v>@VWBeetleSales</v>
      </c>
      <c r="C1949" s="9" t="s">
        <v>127</v>
      </c>
      <c r="D1949" s="9" t="s">
        <v>5036</v>
      </c>
      <c r="E1949" s="10" t="str">
        <f>HYPERLINK("https://twitter.com/VWBeetleSales/status/723227444656775169","723227444656775169")</f>
        <v>723227444656775169</v>
      </c>
      <c r="F1949" s="10" t="s">
        <v>124</v>
      </c>
      <c r="G1949" s="11">
        <v>35</v>
      </c>
      <c r="H1949" s="11">
        <v>32</v>
      </c>
      <c r="I1949" s="11">
        <v>0</v>
      </c>
      <c r="J1949" s="11">
        <v>0</v>
      </c>
      <c r="K1949" s="11" t="s">
        <v>21</v>
      </c>
      <c r="L1949" s="7">
        <v>42427.019756944443</v>
      </c>
      <c r="M1949" s="12" t="s">
        <v>129</v>
      </c>
      <c r="N1949" s="12" t="s">
        <v>130</v>
      </c>
      <c r="O1949" s="10" t="str">
        <f t="shared" ref="O1949:O1951" si="178">HYPERLINK("https://pbs.twimg.com/profile_images/703294545195307008/qeCvrX86_normal.jpg","View")</f>
        <v>View</v>
      </c>
      <c r="P1949" s="11"/>
    </row>
    <row r="1950" spans="1:16" ht="12.75" x14ac:dyDescent="0.35">
      <c r="A1950" s="7">
        <v>42482.028171296297</v>
      </c>
      <c r="B1950" s="8" t="str">
        <f t="shared" si="177"/>
        <v>@VWBeetleSales</v>
      </c>
      <c r="C1950" s="9" t="s">
        <v>127</v>
      </c>
      <c r="D1950" s="9" t="s">
        <v>5037</v>
      </c>
      <c r="E1950" s="10" t="str">
        <f>HYPERLINK("https://twitter.com/VWBeetleSales/status/723227447018151936","723227447018151936")</f>
        <v>723227447018151936</v>
      </c>
      <c r="F1950" s="10" t="s">
        <v>124</v>
      </c>
      <c r="G1950" s="11">
        <v>35</v>
      </c>
      <c r="H1950" s="11">
        <v>32</v>
      </c>
      <c r="I1950" s="11">
        <v>0</v>
      </c>
      <c r="J1950" s="11">
        <v>0</v>
      </c>
      <c r="K1950" s="11" t="s">
        <v>21</v>
      </c>
      <c r="L1950" s="7">
        <v>42427.019756944443</v>
      </c>
      <c r="M1950" s="12" t="s">
        <v>129</v>
      </c>
      <c r="N1950" s="12" t="s">
        <v>130</v>
      </c>
      <c r="O1950" s="10" t="str">
        <f t="shared" si="178"/>
        <v>View</v>
      </c>
      <c r="P1950" s="11"/>
    </row>
    <row r="1951" spans="1:16" ht="12.75" x14ac:dyDescent="0.35">
      <c r="A1951" s="7">
        <v>42482.028182870374</v>
      </c>
      <c r="B1951" s="8" t="str">
        <f t="shared" si="177"/>
        <v>@VWBeetleSales</v>
      </c>
      <c r="C1951" s="9" t="s">
        <v>127</v>
      </c>
      <c r="D1951" s="9" t="s">
        <v>5038</v>
      </c>
      <c r="E1951" s="10" t="str">
        <f>HYPERLINK("https://twitter.com/VWBeetleSales/status/723227449987715073","723227449987715073")</f>
        <v>723227449987715073</v>
      </c>
      <c r="F1951" s="10" t="s">
        <v>124</v>
      </c>
      <c r="G1951" s="11">
        <v>35</v>
      </c>
      <c r="H1951" s="11">
        <v>32</v>
      </c>
      <c r="I1951" s="11">
        <v>0</v>
      </c>
      <c r="J1951" s="11">
        <v>0</v>
      </c>
      <c r="K1951" s="11" t="s">
        <v>21</v>
      </c>
      <c r="L1951" s="7">
        <v>42427.019756944443</v>
      </c>
      <c r="M1951" s="12" t="s">
        <v>129</v>
      </c>
      <c r="N1951" s="12" t="s">
        <v>130</v>
      </c>
      <c r="O1951" s="10" t="str">
        <f t="shared" si="178"/>
        <v>View</v>
      </c>
      <c r="P1951" s="11"/>
    </row>
    <row r="1952" spans="1:16" ht="12.75" x14ac:dyDescent="0.35">
      <c r="A1952" s="7">
        <v>42482.028310185182</v>
      </c>
      <c r="B1952" s="8" t="str">
        <f>HYPERLINK("https://twitter.com/PapiAngel11","@PapiAngel11")</f>
        <v>@PapiAngel11</v>
      </c>
      <c r="C1952" s="9" t="s">
        <v>5039</v>
      </c>
      <c r="D1952" s="9" t="s">
        <v>5040</v>
      </c>
      <c r="E1952" s="10" t="str">
        <f>HYPERLINK("https://twitter.com/PapiAngel11/status/723227494661410816","723227494661410816")</f>
        <v>723227494661410816</v>
      </c>
      <c r="F1952" s="11" t="s">
        <v>48</v>
      </c>
      <c r="G1952" s="11">
        <v>843</v>
      </c>
      <c r="H1952" s="11">
        <v>1313</v>
      </c>
      <c r="I1952" s="11">
        <v>2</v>
      </c>
      <c r="J1952" s="11">
        <v>0</v>
      </c>
      <c r="K1952" s="11" t="s">
        <v>21</v>
      </c>
      <c r="L1952" s="7">
        <v>40560.322141203702</v>
      </c>
      <c r="M1952" s="12" t="s">
        <v>5041</v>
      </c>
      <c r="N1952" s="12" t="s">
        <v>5042</v>
      </c>
      <c r="O1952" s="10" t="str">
        <f>HYPERLINK("https://pbs.twimg.com/profile_images/1702501747/216873_154851841255610_100001923854145_326056_3090683_n_normal.jpg","View")</f>
        <v>View</v>
      </c>
      <c r="P1952" s="11"/>
    </row>
    <row r="1953" spans="1:16" ht="12.75" x14ac:dyDescent="0.35">
      <c r="A1953" s="7">
        <v>42482.02924768519</v>
      </c>
      <c r="B1953" s="8" t="str">
        <f>HYPERLINK("https://twitter.com/VolkswagenPost","@VolkswagenPost")</f>
        <v>@VolkswagenPost</v>
      </c>
      <c r="C1953" s="9" t="s">
        <v>321</v>
      </c>
      <c r="D1953" s="9" t="s">
        <v>5023</v>
      </c>
      <c r="E1953" s="10" t="str">
        <f>HYPERLINK("https://twitter.com/VolkswagenPost/status/723227834534223873","723227834534223873")</f>
        <v>723227834534223873</v>
      </c>
      <c r="F1953" s="11" t="s">
        <v>288</v>
      </c>
      <c r="G1953" s="11">
        <v>571</v>
      </c>
      <c r="H1953" s="11">
        <v>446</v>
      </c>
      <c r="I1953" s="11">
        <v>2</v>
      </c>
      <c r="J1953" s="11">
        <v>0</v>
      </c>
      <c r="K1953" s="11" t="s">
        <v>21</v>
      </c>
      <c r="L1953" s="7">
        <v>41940.618379629632</v>
      </c>
      <c r="M1953" s="12"/>
      <c r="N1953" s="12"/>
      <c r="O1953" s="10" t="str">
        <f>HYPERLINK("https://pbs.twimg.com/profile_images/530071272881803264/a_jcCmPZ_normal.png","View")</f>
        <v>View</v>
      </c>
      <c r="P1953" s="11"/>
    </row>
    <row r="1954" spans="1:16" ht="12.75" x14ac:dyDescent="0.35">
      <c r="A1954" s="7">
        <v>42482.029803240745</v>
      </c>
      <c r="B1954" s="8" t="str">
        <f>HYPERLINK("https://twitter.com/ChristophNoack","@ChristophNoack")</f>
        <v>@ChristophNoack</v>
      </c>
      <c r="C1954" s="9" t="s">
        <v>5043</v>
      </c>
      <c r="D1954" s="9" t="s">
        <v>5044</v>
      </c>
      <c r="E1954" s="10" t="str">
        <f>HYPERLINK("https://twitter.com/ChristophNoack/status/723228038541021186","723228038541021186")</f>
        <v>723228038541021186</v>
      </c>
      <c r="F1954" s="11" t="s">
        <v>367</v>
      </c>
      <c r="G1954" s="11">
        <v>392</v>
      </c>
      <c r="H1954" s="11">
        <v>530</v>
      </c>
      <c r="I1954" s="11">
        <v>0</v>
      </c>
      <c r="J1954" s="11">
        <v>0</v>
      </c>
      <c r="K1954" s="11" t="s">
        <v>21</v>
      </c>
      <c r="L1954" s="7">
        <v>41543.323819444442</v>
      </c>
      <c r="M1954" s="12" t="s">
        <v>5045</v>
      </c>
      <c r="N1954" s="12" t="s">
        <v>5046</v>
      </c>
      <c r="O1954" s="10" t="str">
        <f>HYPERLINK("https://pbs.twimg.com/profile_images/614230691044265984/Wocs5ZQz_normal.jpg","View")</f>
        <v>View</v>
      </c>
      <c r="P1954" s="11"/>
    </row>
    <row r="1955" spans="1:16" ht="12.75" x14ac:dyDescent="0.35">
      <c r="A1955" s="7">
        <v>42482.029918981483</v>
      </c>
      <c r="B1955" s="8" t="str">
        <f>HYPERLINK("https://twitter.com/Michael_Kunz","@Michael_Kunz")</f>
        <v>@Michael_Kunz</v>
      </c>
      <c r="C1955" s="9" t="s">
        <v>5047</v>
      </c>
      <c r="D1955" s="9" t="s">
        <v>4290</v>
      </c>
      <c r="E1955" s="10" t="str">
        <f>HYPERLINK("https://twitter.com/Michael_Kunz/status/723228077493485568","723228077493485568")</f>
        <v>723228077493485568</v>
      </c>
      <c r="F1955" s="11" t="s">
        <v>585</v>
      </c>
      <c r="G1955" s="11">
        <v>390</v>
      </c>
      <c r="H1955" s="11">
        <v>848</v>
      </c>
      <c r="I1955" s="11">
        <v>3</v>
      </c>
      <c r="J1955" s="11">
        <v>0</v>
      </c>
      <c r="K1955" s="11" t="s">
        <v>21</v>
      </c>
      <c r="L1955" s="7">
        <v>40218.090590277774</v>
      </c>
      <c r="M1955" s="12" t="s">
        <v>5048</v>
      </c>
      <c r="N1955" s="12"/>
      <c r="O1955" s="10" t="str">
        <f>HYPERLINK("https://pbs.twimg.com/profile_images/3083361060/e797180e541e638cbdc98472c4ed5376_normal.jpeg","View")</f>
        <v>View</v>
      </c>
      <c r="P1955" s="11"/>
    </row>
    <row r="1956" spans="1:16" ht="12.75" x14ac:dyDescent="0.35">
      <c r="A1956" s="7">
        <v>42482.029930555553</v>
      </c>
      <c r="B1956" s="8" t="str">
        <f>HYPERLINK("https://twitter.com/rharrisonfries","@rharrisonfries")</f>
        <v>@rharrisonfries</v>
      </c>
      <c r="C1956" s="9" t="s">
        <v>5049</v>
      </c>
      <c r="D1956" s="9" t="s">
        <v>5032</v>
      </c>
      <c r="E1956" s="10" t="str">
        <f>HYPERLINK("https://twitter.com/rharrisonfries/status/723228083529105408","723228083529105408")</f>
        <v>723228083529105408</v>
      </c>
      <c r="F1956" s="11" t="s">
        <v>48</v>
      </c>
      <c r="G1956" s="11">
        <v>3355</v>
      </c>
      <c r="H1956" s="11">
        <v>4993</v>
      </c>
      <c r="I1956" s="11">
        <v>3</v>
      </c>
      <c r="J1956" s="11">
        <v>0</v>
      </c>
      <c r="K1956" s="11" t="s">
        <v>21</v>
      </c>
      <c r="L1956" s="7">
        <v>42108.186261574076</v>
      </c>
      <c r="M1956" s="12" t="s">
        <v>5050</v>
      </c>
      <c r="N1956" s="12" t="s">
        <v>5051</v>
      </c>
      <c r="O1956" s="10" t="str">
        <f>HYPERLINK("https://pbs.twimg.com/profile_images/693887752278937600/WwshKElQ_normal.png","View")</f>
        <v>View</v>
      </c>
      <c r="P1956" s="11"/>
    </row>
    <row r="1957" spans="1:16" ht="12.75" x14ac:dyDescent="0.35">
      <c r="A1957" s="7">
        <v>42482.029953703706</v>
      </c>
      <c r="B1957" s="8" t="str">
        <f t="shared" ref="B1957:B1959" si="179">HYPERLINK("https://twitter.com/VWCamperSales","@VWCamperSales")</f>
        <v>@VWCamperSales</v>
      </c>
      <c r="C1957" s="9" t="s">
        <v>216</v>
      </c>
      <c r="D1957" s="9" t="s">
        <v>5052</v>
      </c>
      <c r="E1957" s="10" t="str">
        <f>HYPERLINK("https://twitter.com/VWCamperSales/status/723228092626391040","723228092626391040")</f>
        <v>723228092626391040</v>
      </c>
      <c r="F1957" s="10" t="s">
        <v>124</v>
      </c>
      <c r="G1957" s="11">
        <v>615</v>
      </c>
      <c r="H1957" s="11">
        <v>580</v>
      </c>
      <c r="I1957" s="11">
        <v>0</v>
      </c>
      <c r="J1957" s="11">
        <v>0</v>
      </c>
      <c r="K1957" s="11" t="s">
        <v>21</v>
      </c>
      <c r="L1957" s="7">
        <v>42215.98809027778</v>
      </c>
      <c r="M1957" s="12" t="s">
        <v>129</v>
      </c>
      <c r="N1957" s="12" t="s">
        <v>218</v>
      </c>
      <c r="O1957" s="10" t="str">
        <f t="shared" ref="O1957:O1959" si="180">HYPERLINK("https://pbs.twimg.com/profile_images/627949001179037696/skEBkS05_normal.jpg","View")</f>
        <v>View</v>
      </c>
      <c r="P1957" s="11"/>
    </row>
    <row r="1958" spans="1:16" ht="12.75" x14ac:dyDescent="0.35">
      <c r="A1958" s="7">
        <v>42482.029976851853</v>
      </c>
      <c r="B1958" s="8" t="str">
        <f t="shared" si="179"/>
        <v>@VWCamperSales</v>
      </c>
      <c r="C1958" s="9" t="s">
        <v>216</v>
      </c>
      <c r="D1958" s="9" t="s">
        <v>5053</v>
      </c>
      <c r="E1958" s="10" t="str">
        <f>HYPERLINK("https://twitter.com/VWCamperSales/status/723228100264259584","723228100264259584")</f>
        <v>723228100264259584</v>
      </c>
      <c r="F1958" s="10" t="s">
        <v>124</v>
      </c>
      <c r="G1958" s="11">
        <v>615</v>
      </c>
      <c r="H1958" s="11">
        <v>580</v>
      </c>
      <c r="I1958" s="11">
        <v>0</v>
      </c>
      <c r="J1958" s="11">
        <v>0</v>
      </c>
      <c r="K1958" s="11" t="s">
        <v>21</v>
      </c>
      <c r="L1958" s="7">
        <v>42215.98809027778</v>
      </c>
      <c r="M1958" s="12" t="s">
        <v>129</v>
      </c>
      <c r="N1958" s="12" t="s">
        <v>218</v>
      </c>
      <c r="O1958" s="10" t="str">
        <f t="shared" si="180"/>
        <v>View</v>
      </c>
      <c r="P1958" s="11"/>
    </row>
    <row r="1959" spans="1:16" ht="12.75" x14ac:dyDescent="0.35">
      <c r="A1959" s="7">
        <v>42482.03</v>
      </c>
      <c r="B1959" s="8" t="str">
        <f t="shared" si="179"/>
        <v>@VWCamperSales</v>
      </c>
      <c r="C1959" s="9" t="s">
        <v>216</v>
      </c>
      <c r="D1959" s="9" t="s">
        <v>5054</v>
      </c>
      <c r="E1959" s="10" t="str">
        <f>HYPERLINK("https://twitter.com/VWCamperSales/status/723228107285499904","723228107285499904")</f>
        <v>723228107285499904</v>
      </c>
      <c r="F1959" s="10" t="s">
        <v>124</v>
      </c>
      <c r="G1959" s="11">
        <v>615</v>
      </c>
      <c r="H1959" s="11">
        <v>580</v>
      </c>
      <c r="I1959" s="11">
        <v>0</v>
      </c>
      <c r="J1959" s="11">
        <v>0</v>
      </c>
      <c r="K1959" s="11" t="s">
        <v>21</v>
      </c>
      <c r="L1959" s="7">
        <v>42215.98809027778</v>
      </c>
      <c r="M1959" s="12" t="s">
        <v>129</v>
      </c>
      <c r="N1959" s="12" t="s">
        <v>218</v>
      </c>
      <c r="O1959" s="10" t="str">
        <f t="shared" si="180"/>
        <v>View</v>
      </c>
      <c r="P1959" s="11"/>
    </row>
    <row r="1960" spans="1:16" ht="12.75" x14ac:dyDescent="0.35">
      <c r="A1960" s="7">
        <v>42482.030381944445</v>
      </c>
      <c r="B1960" s="8" t="str">
        <f>HYPERLINK("https://twitter.com/Reality_Chaote","@Reality_Chaote")</f>
        <v>@Reality_Chaote</v>
      </c>
      <c r="C1960" s="9" t="s">
        <v>5055</v>
      </c>
      <c r="D1960" s="9" t="s">
        <v>5056</v>
      </c>
      <c r="E1960" s="10" t="str">
        <f>HYPERLINK("https://twitter.com/Reality_Chaote/status/723228244678418433","723228244678418433")</f>
        <v>723228244678418433</v>
      </c>
      <c r="F1960" s="11" t="s">
        <v>48</v>
      </c>
      <c r="G1960" s="11">
        <v>511</v>
      </c>
      <c r="H1960" s="11">
        <v>1648</v>
      </c>
      <c r="I1960" s="11">
        <v>0</v>
      </c>
      <c r="J1960" s="11">
        <v>0</v>
      </c>
      <c r="K1960" s="11" t="s">
        <v>21</v>
      </c>
      <c r="L1960" s="7">
        <v>41128.838113425925</v>
      </c>
      <c r="M1960" s="12" t="s">
        <v>5057</v>
      </c>
      <c r="N1960" s="12" t="s">
        <v>5058</v>
      </c>
      <c r="O1960" s="10" t="str">
        <f>HYPERLINK("https://pbs.twimg.com/profile_images/709899019116527616/I4YWGzym_normal.jpg","View")</f>
        <v>View</v>
      </c>
      <c r="P1960" s="11"/>
    </row>
    <row r="1961" spans="1:16" ht="12.75" x14ac:dyDescent="0.35">
      <c r="A1961" s="7">
        <v>42482.030590277776</v>
      </c>
      <c r="B1961" s="8" t="str">
        <f>HYPERLINK("https://twitter.com/svenghali23","@svenghali23")</f>
        <v>@svenghali23</v>
      </c>
      <c r="C1961" s="9" t="s">
        <v>5059</v>
      </c>
      <c r="D1961" s="9" t="s">
        <v>5060</v>
      </c>
      <c r="E1961" s="10" t="str">
        <f>HYPERLINK("https://twitter.com/svenghali23/status/723228319915773953","723228319915773953")</f>
        <v>723228319915773953</v>
      </c>
      <c r="F1961" s="11" t="s">
        <v>20</v>
      </c>
      <c r="G1961" s="11">
        <v>746</v>
      </c>
      <c r="H1961" s="11">
        <v>1644</v>
      </c>
      <c r="I1961" s="11">
        <v>0</v>
      </c>
      <c r="J1961" s="11">
        <v>0</v>
      </c>
      <c r="K1961" s="11" t="s">
        <v>21</v>
      </c>
      <c r="L1961" s="7">
        <v>40493.23773148148</v>
      </c>
      <c r="M1961" s="12" t="s">
        <v>5061</v>
      </c>
      <c r="N1961" s="12" t="s">
        <v>5062</v>
      </c>
      <c r="O1961" s="10" t="str">
        <f>HYPERLINK("https://pbs.twimg.com/profile_images/463013654271520768/bYzIYP2g_normal.jpeg","View")</f>
        <v>View</v>
      </c>
      <c r="P1961" s="11"/>
    </row>
    <row r="1962" spans="1:16" ht="12.75" x14ac:dyDescent="0.35">
      <c r="A1962" s="7">
        <v>42482.030729166669</v>
      </c>
      <c r="B1962" s="8" t="str">
        <f>HYPERLINK("https://twitter.com/Roellchen2011","@Roellchen2011")</f>
        <v>@Roellchen2011</v>
      </c>
      <c r="C1962" s="9" t="s">
        <v>5063</v>
      </c>
      <c r="D1962" s="9" t="s">
        <v>5064</v>
      </c>
      <c r="E1962" s="10" t="str">
        <f>HYPERLINK("https://twitter.com/Roellchen2011/status/723228372168531968","723228372168531968")</f>
        <v>723228372168531968</v>
      </c>
      <c r="F1962" s="11" t="s">
        <v>48</v>
      </c>
      <c r="G1962" s="11">
        <v>2321</v>
      </c>
      <c r="H1962" s="11">
        <v>2111</v>
      </c>
      <c r="I1962" s="11">
        <v>0</v>
      </c>
      <c r="J1962" s="11">
        <v>0</v>
      </c>
      <c r="K1962" s="11" t="s">
        <v>21</v>
      </c>
      <c r="L1962" s="7">
        <v>40652.06</v>
      </c>
      <c r="M1962" s="12" t="s">
        <v>5065</v>
      </c>
      <c r="N1962" s="12" t="s">
        <v>5066</v>
      </c>
      <c r="O1962" s="10" t="str">
        <f>HYPERLINK("https://pbs.twimg.com/profile_images/1754867757/SuSe_normal.jpg","View")</f>
        <v>View</v>
      </c>
      <c r="P1962" s="11"/>
    </row>
    <row r="1963" spans="1:16" ht="12.75" x14ac:dyDescent="0.35">
      <c r="A1963" s="7">
        <v>42482.031770833331</v>
      </c>
      <c r="B1963" s="8" t="str">
        <f>HYPERLINK("https://twitter.com/MParekh","@MParekh")</f>
        <v>@MParekh</v>
      </c>
      <c r="C1963" s="9" t="s">
        <v>5067</v>
      </c>
      <c r="D1963" s="9" t="s">
        <v>5068</v>
      </c>
      <c r="E1963" s="10" t="str">
        <f>HYPERLINK("https://twitter.com/MParekh/status/723228747650867200","723228747650867200")</f>
        <v>723228747650867200</v>
      </c>
      <c r="F1963" s="11" t="s">
        <v>43</v>
      </c>
      <c r="G1963" s="11">
        <v>17819</v>
      </c>
      <c r="H1963" s="11">
        <v>9489</v>
      </c>
      <c r="I1963" s="11">
        <v>0</v>
      </c>
      <c r="J1963" s="11">
        <v>1</v>
      </c>
      <c r="K1963" s="11" t="s">
        <v>21</v>
      </c>
      <c r="L1963" s="7">
        <v>38914.926481481481</v>
      </c>
      <c r="M1963" s="12" t="s">
        <v>5069</v>
      </c>
      <c r="N1963" s="12" t="s">
        <v>5070</v>
      </c>
      <c r="O1963" s="10" t="str">
        <f>HYPERLINK("https://pbs.twimg.com/profile_images/3024463426/6fdd324a671ebf8f22d5c13bd5e4fe51_normal.jpeg","View")</f>
        <v>View</v>
      </c>
      <c r="P1963" s="11"/>
    </row>
    <row r="1964" spans="1:16" ht="12.75" x14ac:dyDescent="0.35">
      <c r="A1964" s="7">
        <v>42482.032129629632</v>
      </c>
      <c r="B1964" s="8" t="str">
        <f>HYPERLINK("https://twitter.com/1976talc","@1976talc")</f>
        <v>@1976talc</v>
      </c>
      <c r="C1964" s="9" t="s">
        <v>5071</v>
      </c>
      <c r="D1964" s="9" t="s">
        <v>5072</v>
      </c>
      <c r="E1964" s="10" t="str">
        <f>HYPERLINK("https://twitter.com/1976talc/status/723228878945304576","723228878945304576")</f>
        <v>723228878945304576</v>
      </c>
      <c r="F1964" s="11" t="s">
        <v>48</v>
      </c>
      <c r="G1964" s="11">
        <v>167</v>
      </c>
      <c r="H1964" s="11">
        <v>609</v>
      </c>
      <c r="I1964" s="11">
        <v>1</v>
      </c>
      <c r="J1964" s="11">
        <v>0</v>
      </c>
      <c r="K1964" s="11" t="s">
        <v>21</v>
      </c>
      <c r="L1964" s="7">
        <v>41671.819305555553</v>
      </c>
      <c r="M1964" s="12" t="s">
        <v>5073</v>
      </c>
      <c r="N1964" s="12" t="s">
        <v>5074</v>
      </c>
      <c r="O1964" s="10" t="str">
        <f>HYPERLINK("https://pbs.twimg.com/profile_images/606942872491945984/7sjxuqH4_normal.jpg","View")</f>
        <v>View</v>
      </c>
      <c r="P1964" s="11"/>
    </row>
    <row r="1965" spans="1:16" ht="12.75" x14ac:dyDescent="0.35">
      <c r="A1965" s="7">
        <v>42482.032337962963</v>
      </c>
      <c r="B1965" s="8" t="str">
        <f>HYPERLINK("https://twitter.com/optimistinse","@optimistinse")</f>
        <v>@optimistinse</v>
      </c>
      <c r="C1965" s="9" t="s">
        <v>5075</v>
      </c>
      <c r="D1965" s="9" t="s">
        <v>2957</v>
      </c>
      <c r="E1965" s="10" t="str">
        <f>HYPERLINK("https://twitter.com/optimistinse/status/723228955495542786","723228955495542786")</f>
        <v>723228955495542786</v>
      </c>
      <c r="F1965" s="11" t="s">
        <v>48</v>
      </c>
      <c r="G1965" s="11">
        <v>35</v>
      </c>
      <c r="H1965" s="11">
        <v>78</v>
      </c>
      <c r="I1965" s="11">
        <v>5</v>
      </c>
      <c r="J1965" s="11">
        <v>0</v>
      </c>
      <c r="K1965" s="11" t="s">
        <v>21</v>
      </c>
      <c r="L1965" s="7">
        <v>41487.051319444443</v>
      </c>
      <c r="M1965" s="12"/>
      <c r="N1965" s="12" t="s">
        <v>5076</v>
      </c>
      <c r="O1965" s="10" t="str">
        <f>HYPERLINK("https://pbs.twimg.com/profile_images/623928784752873472/Js619Icf_normal.jpg","View")</f>
        <v>View</v>
      </c>
      <c r="P1965" s="11"/>
    </row>
    <row r="1966" spans="1:16" ht="12.75" x14ac:dyDescent="0.35">
      <c r="A1966" s="7">
        <v>42482.03297453704</v>
      </c>
      <c r="B1966" s="8" t="str">
        <f>HYPERLINK("https://twitter.com/grescoe","@grescoe")</f>
        <v>@grescoe</v>
      </c>
      <c r="C1966" s="9" t="s">
        <v>5077</v>
      </c>
      <c r="D1966" s="9" t="s">
        <v>5078</v>
      </c>
      <c r="E1966" s="10" t="str">
        <f>HYPERLINK("https://twitter.com/grescoe/status/723229186077392899","723229186077392899")</f>
        <v>723229186077392899</v>
      </c>
      <c r="F1966" s="11" t="s">
        <v>80</v>
      </c>
      <c r="G1966" s="11">
        <v>13997</v>
      </c>
      <c r="H1966" s="11">
        <v>990</v>
      </c>
      <c r="I1966" s="11">
        <v>1</v>
      </c>
      <c r="J1966" s="11">
        <v>6</v>
      </c>
      <c r="K1966" s="11" t="s">
        <v>21</v>
      </c>
      <c r="L1966" s="7">
        <v>40916.911203703705</v>
      </c>
      <c r="M1966" s="12" t="s">
        <v>5079</v>
      </c>
      <c r="N1966" s="12" t="s">
        <v>5080</v>
      </c>
      <c r="O1966" s="10" t="str">
        <f>HYPERLINK("https://pbs.twimg.com/profile_images/378800000515338736/4e02fa12e266219ca317069fedc2251d_normal.jpeg","View")</f>
        <v>View</v>
      </c>
      <c r="P1966" s="11"/>
    </row>
    <row r="1967" spans="1:16" ht="12.75" x14ac:dyDescent="0.35">
      <c r="A1967" s="7">
        <v>42482.033391203702</v>
      </c>
      <c r="B1967" s="8" t="str">
        <f>HYPERLINK("https://twitter.com/VWBeetleSales","@VWBeetleSales")</f>
        <v>@VWBeetleSales</v>
      </c>
      <c r="C1967" s="9" t="s">
        <v>127</v>
      </c>
      <c r="D1967" s="9" t="s">
        <v>5081</v>
      </c>
      <c r="E1967" s="10" t="str">
        <f>HYPERLINK("https://twitter.com/VWBeetleSales/status/723229335579029504","723229335579029504")</f>
        <v>723229335579029504</v>
      </c>
      <c r="F1967" s="10" t="s">
        <v>124</v>
      </c>
      <c r="G1967" s="11">
        <v>35</v>
      </c>
      <c r="H1967" s="11">
        <v>32</v>
      </c>
      <c r="I1967" s="11">
        <v>0</v>
      </c>
      <c r="J1967" s="11">
        <v>0</v>
      </c>
      <c r="K1967" s="11" t="s">
        <v>21</v>
      </c>
      <c r="L1967" s="7">
        <v>42427.019756944443</v>
      </c>
      <c r="M1967" s="12" t="s">
        <v>129</v>
      </c>
      <c r="N1967" s="12" t="s">
        <v>130</v>
      </c>
      <c r="O1967" s="10" t="str">
        <f>HYPERLINK("https://pbs.twimg.com/profile_images/703294545195307008/qeCvrX86_normal.jpg","View")</f>
        <v>View</v>
      </c>
      <c r="P1967" s="11"/>
    </row>
    <row r="1968" spans="1:16" ht="12.75" x14ac:dyDescent="0.35">
      <c r="A1968" s="7">
        <v>42482.034155092595</v>
      </c>
      <c r="B1968" s="8" t="str">
        <f t="shared" ref="B1968:B1971" si="181">HYPERLINK("https://twitter.com/Mphilpot1","@Mphilpot1")</f>
        <v>@Mphilpot1</v>
      </c>
      <c r="C1968" s="9" t="s">
        <v>1280</v>
      </c>
      <c r="D1968" s="9" t="s">
        <v>5082</v>
      </c>
      <c r="E1968" s="10" t="str">
        <f>HYPERLINK("https://twitter.com/Mphilpot1/status/723229614001123328","723229614001123328")</f>
        <v>723229614001123328</v>
      </c>
      <c r="F1968" s="11" t="s">
        <v>34</v>
      </c>
      <c r="G1968" s="11">
        <v>114</v>
      </c>
      <c r="H1968" s="11">
        <v>141</v>
      </c>
      <c r="I1968" s="11">
        <v>0</v>
      </c>
      <c r="J1968" s="11">
        <v>0</v>
      </c>
      <c r="K1968" s="11" t="s">
        <v>21</v>
      </c>
      <c r="L1968" s="7">
        <v>41137.855208333334</v>
      </c>
      <c r="M1968" s="12"/>
      <c r="N1968" s="12"/>
      <c r="O1968" s="10" t="str">
        <f t="shared" ref="O1968:O1971" si="182">HYPERLINK("https://pbs.twimg.com/profile_images/422164778639839234/LVnS1q1c_normal.jpeg","View")</f>
        <v>View</v>
      </c>
      <c r="P1968" s="11"/>
    </row>
    <row r="1969" spans="1:16" ht="12.75" x14ac:dyDescent="0.35">
      <c r="A1969" s="7">
        <v>42482.034155092595</v>
      </c>
      <c r="B1969" s="8" t="str">
        <f t="shared" si="181"/>
        <v>@Mphilpot1</v>
      </c>
      <c r="C1969" s="9" t="s">
        <v>1280</v>
      </c>
      <c r="D1969" s="9" t="s">
        <v>5083</v>
      </c>
      <c r="E1969" s="10" t="str">
        <f>HYPERLINK("https://twitter.com/Mphilpot1/status/723229614760284160","723229614760284160")</f>
        <v>723229614760284160</v>
      </c>
      <c r="F1969" s="11" t="s">
        <v>34</v>
      </c>
      <c r="G1969" s="11">
        <v>114</v>
      </c>
      <c r="H1969" s="11">
        <v>141</v>
      </c>
      <c r="I1969" s="11">
        <v>0</v>
      </c>
      <c r="J1969" s="11">
        <v>0</v>
      </c>
      <c r="K1969" s="11" t="s">
        <v>21</v>
      </c>
      <c r="L1969" s="7">
        <v>41137.855208333334</v>
      </c>
      <c r="M1969" s="12"/>
      <c r="N1969" s="12"/>
      <c r="O1969" s="10" t="str">
        <f t="shared" si="182"/>
        <v>View</v>
      </c>
      <c r="P1969" s="11"/>
    </row>
    <row r="1970" spans="1:16" ht="12.75" x14ac:dyDescent="0.35">
      <c r="A1970" s="7">
        <v>42482.034166666665</v>
      </c>
      <c r="B1970" s="8" t="str">
        <f t="shared" si="181"/>
        <v>@Mphilpot1</v>
      </c>
      <c r="C1970" s="9" t="s">
        <v>1280</v>
      </c>
      <c r="D1970" s="9" t="s">
        <v>5084</v>
      </c>
      <c r="E1970" s="10" t="str">
        <f>HYPERLINK("https://twitter.com/Mphilpot1/status/723229616060534784","723229616060534784")</f>
        <v>723229616060534784</v>
      </c>
      <c r="F1970" s="11" t="s">
        <v>34</v>
      </c>
      <c r="G1970" s="11">
        <v>114</v>
      </c>
      <c r="H1970" s="11">
        <v>141</v>
      </c>
      <c r="I1970" s="11">
        <v>0</v>
      </c>
      <c r="J1970" s="11">
        <v>0</v>
      </c>
      <c r="K1970" s="11" t="s">
        <v>21</v>
      </c>
      <c r="L1970" s="7">
        <v>41137.855208333334</v>
      </c>
      <c r="M1970" s="12"/>
      <c r="N1970" s="12"/>
      <c r="O1970" s="10" t="str">
        <f t="shared" si="182"/>
        <v>View</v>
      </c>
      <c r="P1970" s="11"/>
    </row>
    <row r="1971" spans="1:16" ht="12.75" x14ac:dyDescent="0.35">
      <c r="A1971" s="7">
        <v>42482.034166666665</v>
      </c>
      <c r="B1971" s="8" t="str">
        <f t="shared" si="181"/>
        <v>@Mphilpot1</v>
      </c>
      <c r="C1971" s="9" t="s">
        <v>1280</v>
      </c>
      <c r="D1971" s="9" t="s">
        <v>5085</v>
      </c>
      <c r="E1971" s="10" t="str">
        <f>HYPERLINK("https://twitter.com/Mphilpot1/status/723229616790331394","723229616790331394")</f>
        <v>723229616790331394</v>
      </c>
      <c r="F1971" s="11" t="s">
        <v>34</v>
      </c>
      <c r="G1971" s="11">
        <v>114</v>
      </c>
      <c r="H1971" s="11">
        <v>141</v>
      </c>
      <c r="I1971" s="11">
        <v>0</v>
      </c>
      <c r="J1971" s="11">
        <v>0</v>
      </c>
      <c r="K1971" s="11" t="s">
        <v>21</v>
      </c>
      <c r="L1971" s="7">
        <v>41137.855208333334</v>
      </c>
      <c r="M1971" s="12"/>
      <c r="N1971" s="12"/>
      <c r="O1971" s="10" t="str">
        <f t="shared" si="182"/>
        <v>View</v>
      </c>
      <c r="P1971" s="11"/>
    </row>
    <row r="1972" spans="1:16" ht="12.75" x14ac:dyDescent="0.35">
      <c r="A1972" s="7">
        <v>42482.034537037034</v>
      </c>
      <c r="B1972" s="8" t="str">
        <f t="shared" ref="B1972:B1973" si="183">HYPERLINK("https://twitter.com/VWCamperSales","@VWCamperSales")</f>
        <v>@VWCamperSales</v>
      </c>
      <c r="C1972" s="9" t="s">
        <v>216</v>
      </c>
      <c r="D1972" s="9" t="s">
        <v>5086</v>
      </c>
      <c r="E1972" s="10" t="str">
        <f>HYPERLINK("https://twitter.com/VWCamperSales/status/723229750563463170","723229750563463170")</f>
        <v>723229750563463170</v>
      </c>
      <c r="F1972" s="10" t="s">
        <v>124</v>
      </c>
      <c r="G1972" s="11">
        <v>615</v>
      </c>
      <c r="H1972" s="11">
        <v>580</v>
      </c>
      <c r="I1972" s="11">
        <v>0</v>
      </c>
      <c r="J1972" s="11">
        <v>1</v>
      </c>
      <c r="K1972" s="11" t="s">
        <v>21</v>
      </c>
      <c r="L1972" s="7">
        <v>42215.98809027778</v>
      </c>
      <c r="M1972" s="12" t="s">
        <v>129</v>
      </c>
      <c r="N1972" s="12" t="s">
        <v>218</v>
      </c>
      <c r="O1972" s="10" t="str">
        <f t="shared" ref="O1972:O1973" si="184">HYPERLINK("https://pbs.twimg.com/profile_images/627949001179037696/skEBkS05_normal.jpg","View")</f>
        <v>View</v>
      </c>
      <c r="P1972" s="11"/>
    </row>
    <row r="1973" spans="1:16" ht="12.75" x14ac:dyDescent="0.35">
      <c r="A1973" s="7">
        <v>42482.034537037034</v>
      </c>
      <c r="B1973" s="8" t="str">
        <f t="shared" si="183"/>
        <v>@VWCamperSales</v>
      </c>
      <c r="C1973" s="9" t="s">
        <v>216</v>
      </c>
      <c r="D1973" s="9" t="s">
        <v>5087</v>
      </c>
      <c r="E1973" s="10" t="str">
        <f>HYPERLINK("https://twitter.com/VWCamperSales/status/723229752929067008","723229752929067008")</f>
        <v>723229752929067008</v>
      </c>
      <c r="F1973" s="10" t="s">
        <v>124</v>
      </c>
      <c r="G1973" s="11">
        <v>615</v>
      </c>
      <c r="H1973" s="11">
        <v>580</v>
      </c>
      <c r="I1973" s="11">
        <v>0</v>
      </c>
      <c r="J1973" s="11">
        <v>1</v>
      </c>
      <c r="K1973" s="11" t="s">
        <v>21</v>
      </c>
      <c r="L1973" s="7">
        <v>42215.98809027778</v>
      </c>
      <c r="M1973" s="12" t="s">
        <v>129</v>
      </c>
      <c r="N1973" s="12" t="s">
        <v>218</v>
      </c>
      <c r="O1973" s="10" t="str">
        <f t="shared" si="184"/>
        <v>View</v>
      </c>
      <c r="P1973" s="11"/>
    </row>
    <row r="1974" spans="1:16" ht="12.75" x14ac:dyDescent="0.35">
      <c r="A1974" s="7">
        <v>42482.034583333334</v>
      </c>
      <c r="B1974" s="8" t="str">
        <f>HYPERLINK("https://twitter.com/OnlineCarReview","@OnlineCarReview")</f>
        <v>@OnlineCarReview</v>
      </c>
      <c r="C1974" s="9" t="s">
        <v>176</v>
      </c>
      <c r="D1974" s="9" t="s">
        <v>5088</v>
      </c>
      <c r="E1974" s="10" t="str">
        <f>HYPERLINK("https://twitter.com/OnlineCarReview/status/723229767361695744","723229767361695744")</f>
        <v>723229767361695744</v>
      </c>
      <c r="F1974" s="11" t="s">
        <v>34</v>
      </c>
      <c r="G1974" s="11">
        <v>839</v>
      </c>
      <c r="H1974" s="11">
        <v>568</v>
      </c>
      <c r="I1974" s="11">
        <v>0</v>
      </c>
      <c r="J1974" s="11">
        <v>0</v>
      </c>
      <c r="K1974" s="11" t="s">
        <v>21</v>
      </c>
      <c r="L1974" s="7">
        <v>42282.979201388887</v>
      </c>
      <c r="M1974" s="12"/>
      <c r="N1974" s="12" t="s">
        <v>178</v>
      </c>
      <c r="O1974" s="10" t="str">
        <f>HYPERLINK("https://pbs.twimg.com/profile_images/652871584131092480/QA_B6SBO_normal.jpg","View")</f>
        <v>View</v>
      </c>
      <c r="P1974" s="11"/>
    </row>
    <row r="1975" spans="1:16" ht="12.75" x14ac:dyDescent="0.35">
      <c r="A1975" s="7">
        <v>42482.034629629634</v>
      </c>
      <c r="B1975" s="8" t="str">
        <f>HYPERLINK("https://twitter.com/porkpiefrank","@porkpiefrank")</f>
        <v>@porkpiefrank</v>
      </c>
      <c r="C1975" s="9" t="s">
        <v>5089</v>
      </c>
      <c r="D1975" s="9" t="s">
        <v>5090</v>
      </c>
      <c r="E1975" s="10" t="str">
        <f>HYPERLINK("https://twitter.com/porkpiefrank/status/723229785825091584","723229785825091584")</f>
        <v>723229785825091584</v>
      </c>
      <c r="F1975" s="11" t="s">
        <v>48</v>
      </c>
      <c r="G1975" s="11">
        <v>158</v>
      </c>
      <c r="H1975" s="11">
        <v>376</v>
      </c>
      <c r="I1975" s="11">
        <v>1</v>
      </c>
      <c r="J1975" s="11">
        <v>0</v>
      </c>
      <c r="K1975" s="11" t="s">
        <v>21</v>
      </c>
      <c r="L1975" s="7">
        <v>41582.078819444447</v>
      </c>
      <c r="M1975" s="12" t="s">
        <v>5091</v>
      </c>
      <c r="N1975" s="12" t="s">
        <v>5092</v>
      </c>
      <c r="O1975" s="10" t="str">
        <f>HYPERLINK("https://pbs.twimg.com/profile_images/721298638002135040/UA8fxiJD_normal.jpg","View")</f>
        <v>View</v>
      </c>
      <c r="P1975" s="11"/>
    </row>
    <row r="1976" spans="1:16" ht="12.75" x14ac:dyDescent="0.35">
      <c r="A1976" s="7">
        <v>42482.034687499996</v>
      </c>
      <c r="B1976" s="8" t="str">
        <f>HYPERLINK("https://twitter.com/bjohnson1092","@bjohnson1092")</f>
        <v>@bjohnson1092</v>
      </c>
      <c r="C1976" s="9" t="s">
        <v>5093</v>
      </c>
      <c r="D1976" s="9" t="s">
        <v>5094</v>
      </c>
      <c r="E1976" s="10" t="str">
        <f>HYPERLINK("https://twitter.com/bjohnson1092/status/723229805089579008","723229805089579008")</f>
        <v>723229805089579008</v>
      </c>
      <c r="F1976" s="11" t="s">
        <v>20</v>
      </c>
      <c r="G1976" s="11">
        <v>76</v>
      </c>
      <c r="H1976" s="11">
        <v>232</v>
      </c>
      <c r="I1976" s="11">
        <v>0</v>
      </c>
      <c r="J1976" s="11">
        <v>0</v>
      </c>
      <c r="K1976" s="11" t="s">
        <v>21</v>
      </c>
      <c r="L1976" s="7">
        <v>41135.527870370366</v>
      </c>
      <c r="M1976" s="12" t="s">
        <v>5095</v>
      </c>
      <c r="N1976" s="12"/>
      <c r="O1976" s="10" t="str">
        <f>HYPERLINK("https://pbs.twimg.com/profile_images/3275192375/c2b433f27f8cccc276d85949d42fff8e_normal.jpeg","View")</f>
        <v>View</v>
      </c>
      <c r="P1976" s="11"/>
    </row>
    <row r="1977" spans="1:16" ht="12.75" x14ac:dyDescent="0.35">
      <c r="A1977" s="7">
        <v>42482.035115740742</v>
      </c>
      <c r="B1977" s="8" t="str">
        <f>HYPERLINK("https://twitter.com/mvdweyer","@mvdweyer")</f>
        <v>@mvdweyer</v>
      </c>
      <c r="C1977" s="9" t="s">
        <v>1319</v>
      </c>
      <c r="D1977" s="9" t="s">
        <v>5096</v>
      </c>
      <c r="E1977" s="10" t="str">
        <f>HYPERLINK("https://twitter.com/mvdweyer/status/723229963659415553","723229963659415553")</f>
        <v>723229963659415553</v>
      </c>
      <c r="F1977" s="11" t="s">
        <v>91</v>
      </c>
      <c r="G1977" s="11">
        <v>478</v>
      </c>
      <c r="H1977" s="11">
        <v>830</v>
      </c>
      <c r="I1977" s="11">
        <v>0</v>
      </c>
      <c r="J1977" s="11">
        <v>0</v>
      </c>
      <c r="K1977" s="11" t="s">
        <v>21</v>
      </c>
      <c r="L1977" s="7">
        <v>41129.776863425926</v>
      </c>
      <c r="M1977" s="12" t="s">
        <v>1229</v>
      </c>
      <c r="N1977" s="12" t="s">
        <v>1321</v>
      </c>
      <c r="O1977" s="10" t="str">
        <f>HYPERLINK("https://pbs.twimg.com/profile_images/489747056584445953/3tvslEko_normal.jpeg","View")</f>
        <v>View</v>
      </c>
      <c r="P1977" s="11"/>
    </row>
    <row r="1978" spans="1:16" ht="12.75" x14ac:dyDescent="0.35">
      <c r="A1978" s="7">
        <v>42482.035625000004</v>
      </c>
      <c r="B1978" s="8" t="str">
        <f>HYPERLINK("https://twitter.com/Bewickwren","@Bewickwren")</f>
        <v>@Bewickwren</v>
      </c>
      <c r="C1978" s="9" t="s">
        <v>5097</v>
      </c>
      <c r="D1978" s="9" t="s">
        <v>5098</v>
      </c>
      <c r="E1978" s="10" t="str">
        <f>HYPERLINK("https://twitter.com/Bewickwren/status/723230145687871488","723230145687871488")</f>
        <v>723230145687871488</v>
      </c>
      <c r="F1978" s="11" t="s">
        <v>43</v>
      </c>
      <c r="G1978" s="11">
        <v>5672</v>
      </c>
      <c r="H1978" s="11">
        <v>4675</v>
      </c>
      <c r="I1978" s="11">
        <v>0</v>
      </c>
      <c r="J1978" s="11">
        <v>0</v>
      </c>
      <c r="K1978" s="11" t="s">
        <v>21</v>
      </c>
      <c r="L1978" s="7">
        <v>40315.34337962963</v>
      </c>
      <c r="M1978" s="12" t="s">
        <v>5099</v>
      </c>
      <c r="N1978" s="12" t="s">
        <v>5100</v>
      </c>
      <c r="O1978" s="10" t="str">
        <f>HYPERLINK("https://pbs.twimg.com/profile_images/1277624031/Landscape_2009_Snow_Sept_IMG_4227_normal.jpg","View")</f>
        <v>View</v>
      </c>
      <c r="P1978" s="11"/>
    </row>
    <row r="1979" spans="1:16" ht="12.75" x14ac:dyDescent="0.35">
      <c r="A1979" s="7">
        <v>42482.035740740743</v>
      </c>
      <c r="B1979" s="8" t="str">
        <f>HYPERLINK("https://twitter.com/suchitgupta60","@suchitgupta60")</f>
        <v>@suchitgupta60</v>
      </c>
      <c r="C1979" s="9" t="s">
        <v>5101</v>
      </c>
      <c r="D1979" s="9" t="s">
        <v>5102</v>
      </c>
      <c r="E1979" s="10" t="str">
        <f>HYPERLINK("https://twitter.com/suchitgupta60/status/723230189359124480","723230189359124480")</f>
        <v>723230189359124480</v>
      </c>
      <c r="F1979" s="11" t="s">
        <v>68</v>
      </c>
      <c r="G1979" s="11">
        <v>593</v>
      </c>
      <c r="H1979" s="11">
        <v>512</v>
      </c>
      <c r="I1979" s="11">
        <v>0</v>
      </c>
      <c r="J1979" s="11">
        <v>0</v>
      </c>
      <c r="K1979" s="11" t="s">
        <v>21</v>
      </c>
      <c r="L1979" s="7">
        <v>40236.600219907406</v>
      </c>
      <c r="M1979" s="12" t="s">
        <v>5103</v>
      </c>
      <c r="N1979" s="12" t="s">
        <v>5104</v>
      </c>
      <c r="O1979" s="10" t="str">
        <f>HYPERLINK("https://pbs.twimg.com/profile_images/1875865930/2396395_366288220049934_100000062774207_1485131_205563110_n_normal.jpg","View")</f>
        <v>View</v>
      </c>
      <c r="P1979" s="11"/>
    </row>
    <row r="1980" spans="1:16" ht="12.75" x14ac:dyDescent="0.35">
      <c r="A1980" s="7">
        <v>42482.035891203705</v>
      </c>
      <c r="B1980" s="8" t="str">
        <f>HYPERLINK("https://twitter.com/bgewehr","@bgewehr")</f>
        <v>@bgewehr</v>
      </c>
      <c r="C1980" s="9" t="s">
        <v>5105</v>
      </c>
      <c r="D1980" s="9" t="s">
        <v>5106</v>
      </c>
      <c r="E1980" s="10" t="str">
        <f>HYPERLINK("https://twitter.com/bgewehr/status/723230240894509056","723230240894509056")</f>
        <v>723230240894509056</v>
      </c>
      <c r="F1980" s="11" t="s">
        <v>20</v>
      </c>
      <c r="G1980" s="11">
        <v>348</v>
      </c>
      <c r="H1980" s="11">
        <v>572</v>
      </c>
      <c r="I1980" s="11">
        <v>0</v>
      </c>
      <c r="J1980" s="11">
        <v>0</v>
      </c>
      <c r="K1980" s="11" t="s">
        <v>21</v>
      </c>
      <c r="L1980" s="7">
        <v>40283.643113425926</v>
      </c>
      <c r="M1980" s="12" t="s">
        <v>5107</v>
      </c>
      <c r="N1980" s="12" t="s">
        <v>5108</v>
      </c>
      <c r="O1980" s="10" t="str">
        <f>HYPERLINK("https://pbs.twimg.com/profile_images/1436591656/Gewehr_normal.jpg","View")</f>
        <v>View</v>
      </c>
      <c r="P1980" s="11"/>
    </row>
    <row r="1981" spans="1:16" ht="12.75" x14ac:dyDescent="0.35">
      <c r="A1981" s="7">
        <v>42482.038935185185</v>
      </c>
      <c r="B1981" s="8" t="str">
        <f>HYPERLINK("https://twitter.com/pgeorgol","@pgeorgol")</f>
        <v>@pgeorgol</v>
      </c>
      <c r="C1981" s="9" t="s">
        <v>5109</v>
      </c>
      <c r="D1981" s="9" t="s">
        <v>5110</v>
      </c>
      <c r="E1981" s="10" t="str">
        <f>HYPERLINK("https://twitter.com/pgeorgol/status/723231347817480193","723231347817480193")</f>
        <v>723231347817480193</v>
      </c>
      <c r="F1981" s="11" t="s">
        <v>5111</v>
      </c>
      <c r="G1981" s="11">
        <v>9857</v>
      </c>
      <c r="H1981" s="11">
        <v>94</v>
      </c>
      <c r="I1981" s="11">
        <v>0</v>
      </c>
      <c r="J1981" s="11">
        <v>0</v>
      </c>
      <c r="K1981" s="11" t="s">
        <v>21</v>
      </c>
      <c r="L1981" s="7">
        <v>40189.694918981484</v>
      </c>
      <c r="M1981" s="12" t="s">
        <v>4352</v>
      </c>
      <c r="N1981" s="12"/>
      <c r="O1981" s="10" t="str">
        <f>HYPERLINK("https://pbs.twimg.com/profile_images/671891352/pgeorgol_normal.jpg","View")</f>
        <v>View</v>
      </c>
      <c r="P1981" s="11"/>
    </row>
    <row r="1982" spans="1:16" ht="12.75" x14ac:dyDescent="0.35">
      <c r="A1982" s="7">
        <v>42482.038981481484</v>
      </c>
      <c r="B1982" s="8" t="str">
        <f>HYPERLINK("https://twitter.com/MarkosSkellas","@MarkosSkellas")</f>
        <v>@MarkosSkellas</v>
      </c>
      <c r="C1982" s="9" t="s">
        <v>5112</v>
      </c>
      <c r="D1982" s="9" t="s">
        <v>5113</v>
      </c>
      <c r="E1982" s="10" t="str">
        <f>HYPERLINK("https://twitter.com/MarkosSkellas/status/723231361725784065","723231361725784065")</f>
        <v>723231361725784065</v>
      </c>
      <c r="F1982" s="11" t="s">
        <v>5114</v>
      </c>
      <c r="G1982" s="11">
        <v>246</v>
      </c>
      <c r="H1982" s="11">
        <v>722</v>
      </c>
      <c r="I1982" s="11">
        <v>0</v>
      </c>
      <c r="J1982" s="11">
        <v>0</v>
      </c>
      <c r="K1982" s="11" t="s">
        <v>21</v>
      </c>
      <c r="L1982" s="7">
        <v>42310.848043981481</v>
      </c>
      <c r="M1982" s="12"/>
      <c r="N1982" s="12"/>
      <c r="O1982" s="10" t="str">
        <f>HYPERLINK("https://pbs.twimg.com/profile_images/661498844748738560/AvQKe6w9_normal.jpg","View")</f>
        <v>View</v>
      </c>
      <c r="P1982" s="11"/>
    </row>
    <row r="1983" spans="1:16" ht="12.75" x14ac:dyDescent="0.35">
      <c r="A1983" s="7">
        <v>42482.039039351846</v>
      </c>
      <c r="B1983" s="8" t="str">
        <f>HYPERLINK("https://twitter.com/VWCamperSales","@VWCamperSales")</f>
        <v>@VWCamperSales</v>
      </c>
      <c r="C1983" s="9" t="s">
        <v>216</v>
      </c>
      <c r="D1983" s="9" t="s">
        <v>5115</v>
      </c>
      <c r="E1983" s="10" t="str">
        <f>HYPERLINK("https://twitter.com/VWCamperSales/status/723231382210646016","723231382210646016")</f>
        <v>723231382210646016</v>
      </c>
      <c r="F1983" s="10" t="s">
        <v>124</v>
      </c>
      <c r="G1983" s="11">
        <v>615</v>
      </c>
      <c r="H1983" s="11">
        <v>580</v>
      </c>
      <c r="I1983" s="11">
        <v>0</v>
      </c>
      <c r="J1983" s="11">
        <v>0</v>
      </c>
      <c r="K1983" s="11" t="s">
        <v>21</v>
      </c>
      <c r="L1983" s="7">
        <v>42215.98809027778</v>
      </c>
      <c r="M1983" s="12" t="s">
        <v>129</v>
      </c>
      <c r="N1983" s="12" t="s">
        <v>218</v>
      </c>
      <c r="O1983" s="10" t="str">
        <f>HYPERLINK("https://pbs.twimg.com/profile_images/627949001179037696/skEBkS05_normal.jpg","View")</f>
        <v>View</v>
      </c>
      <c r="P1983" s="11"/>
    </row>
    <row r="1984" spans="1:16" ht="12.75" x14ac:dyDescent="0.35">
      <c r="A1984" s="7">
        <v>42482.039386574077</v>
      </c>
      <c r="B1984" s="8" t="str">
        <f>HYPERLINK("https://twitter.com/KNordlichtW","@KNordlichtW")</f>
        <v>@KNordlichtW</v>
      </c>
      <c r="C1984" s="9" t="s">
        <v>2349</v>
      </c>
      <c r="D1984" s="9" t="s">
        <v>5116</v>
      </c>
      <c r="E1984" s="10" t="str">
        <f>HYPERLINK("https://twitter.com/KNordlichtW/status/723231511378538498","723231511378538498")</f>
        <v>723231511378538498</v>
      </c>
      <c r="F1984" s="11" t="s">
        <v>43</v>
      </c>
      <c r="G1984" s="11">
        <v>1303</v>
      </c>
      <c r="H1984" s="11">
        <v>2815</v>
      </c>
      <c r="I1984" s="11">
        <v>0</v>
      </c>
      <c r="J1984" s="11">
        <v>0</v>
      </c>
      <c r="K1984" s="11" t="s">
        <v>21</v>
      </c>
      <c r="L1984" s="7">
        <v>41425.106793981482</v>
      </c>
      <c r="M1984" s="12"/>
      <c r="N1984" s="12" t="s">
        <v>2351</v>
      </c>
      <c r="O1984" s="10" t="str">
        <f>HYPERLINK("https://pbs.twimg.com/profile_images/712334466585333760/rN4Fnyef_normal.jpg","View")</f>
        <v>View</v>
      </c>
      <c r="P1984" s="11"/>
    </row>
    <row r="1985" spans="1:16" ht="12.75" x14ac:dyDescent="0.35">
      <c r="A1985" s="7">
        <v>42482.039560185185</v>
      </c>
      <c r="B1985" s="8" t="str">
        <f>HYPERLINK("https://twitter.com/fonzonor","@fonzonor")</f>
        <v>@fonzonor</v>
      </c>
      <c r="C1985" s="9" t="s">
        <v>5117</v>
      </c>
      <c r="D1985" s="9" t="s">
        <v>4186</v>
      </c>
      <c r="E1985" s="10" t="str">
        <f>HYPERLINK("https://twitter.com/fonzonor/status/723231571445161984","723231571445161984")</f>
        <v>723231571445161984</v>
      </c>
      <c r="F1985" s="11" t="s">
        <v>48</v>
      </c>
      <c r="G1985" s="11">
        <v>8</v>
      </c>
      <c r="H1985" s="11">
        <v>40</v>
      </c>
      <c r="I1985" s="11">
        <v>10</v>
      </c>
      <c r="J1985" s="11">
        <v>0</v>
      </c>
      <c r="K1985" s="11" t="s">
        <v>21</v>
      </c>
      <c r="L1985" s="7">
        <v>40380.730439814812</v>
      </c>
      <c r="M1985" s="12"/>
      <c r="N1985" s="12"/>
      <c r="O1985" s="10" t="str">
        <f>HYPERLINK("https://pbs.twimg.com/profile_images/699190247830261761/Zz9ZSVyG_normal.jpg","View")</f>
        <v>View</v>
      </c>
      <c r="P1985" s="11"/>
    </row>
    <row r="1986" spans="1:16" ht="12.75" x14ac:dyDescent="0.35">
      <c r="A1986" s="7">
        <v>42482.040138888886</v>
      </c>
      <c r="B1986" s="8" t="str">
        <f>HYPERLINK("https://twitter.com/c_garrels","@c_garrels")</f>
        <v>@c_garrels</v>
      </c>
      <c r="C1986" s="9" t="s">
        <v>2209</v>
      </c>
      <c r="D1986" s="9" t="s">
        <v>4079</v>
      </c>
      <c r="E1986" s="10" t="str">
        <f>HYPERLINK("https://twitter.com/c_garrels/status/723231784088031232","723231784088031232")</f>
        <v>723231784088031232</v>
      </c>
      <c r="F1986" s="11" t="s">
        <v>91</v>
      </c>
      <c r="G1986" s="11">
        <v>464</v>
      </c>
      <c r="H1986" s="11">
        <v>172</v>
      </c>
      <c r="I1986" s="11">
        <v>2</v>
      </c>
      <c r="J1986" s="11">
        <v>0</v>
      </c>
      <c r="K1986" s="11" t="s">
        <v>21</v>
      </c>
      <c r="L1986" s="7">
        <v>40606.75037037037</v>
      </c>
      <c r="M1986" s="12" t="s">
        <v>2211</v>
      </c>
      <c r="N1986" s="12" t="s">
        <v>2212</v>
      </c>
      <c r="O1986" s="10" t="str">
        <f>HYPERLINK("https://pbs.twimg.com/profile_images/669855217513578496/tHE9dIDO_normal.jpg","View")</f>
        <v>View</v>
      </c>
      <c r="P1986" s="11"/>
    </row>
    <row r="1987" spans="1:16" ht="12.75" x14ac:dyDescent="0.35">
      <c r="A1987" s="7">
        <v>42482.040821759263</v>
      </c>
      <c r="B1987" s="8" t="str">
        <f>HYPERLINK("https://twitter.com/muzaffarkola","@muzaffarkola")</f>
        <v>@muzaffarkola</v>
      </c>
      <c r="C1987" s="9" t="s">
        <v>5118</v>
      </c>
      <c r="D1987" s="9" t="s">
        <v>5119</v>
      </c>
      <c r="E1987" s="10" t="str">
        <f>HYPERLINK("https://twitter.com/muzaffarkola/status/723232030427738112","723232030427738112")</f>
        <v>723232030427738112</v>
      </c>
      <c r="F1987" s="11" t="s">
        <v>114</v>
      </c>
      <c r="G1987" s="11">
        <v>112</v>
      </c>
      <c r="H1987" s="11">
        <v>553</v>
      </c>
      <c r="I1987" s="11">
        <v>0</v>
      </c>
      <c r="J1987" s="11">
        <v>0</v>
      </c>
      <c r="K1987" s="11" t="s">
        <v>21</v>
      </c>
      <c r="L1987" s="7">
        <v>40326.929675925923</v>
      </c>
      <c r="M1987" s="12"/>
      <c r="N1987" s="12"/>
      <c r="O1987" s="10" t="str">
        <f>HYPERLINK("https://pbs.twimg.com/profile_images/693420509824970752/fWzJMBxJ_normal.jpg","View")</f>
        <v>View</v>
      </c>
      <c r="P1987" s="10" t="str">
        <f>HYPERLINK("http://ctrlq.org/maps/address/#-26.175065,28.022747","Map")</f>
        <v>Map</v>
      </c>
    </row>
    <row r="1988" spans="1:16" ht="12.75" x14ac:dyDescent="0.35">
      <c r="A1988" s="7">
        <v>42482.041296296295</v>
      </c>
      <c r="B1988" s="8" t="str">
        <f>HYPERLINK("https://twitter.com/DUBFELLAS","@DUBFELLAS")</f>
        <v>@DUBFELLAS</v>
      </c>
      <c r="C1988" s="9" t="s">
        <v>5120</v>
      </c>
      <c r="D1988" s="9" t="s">
        <v>5121</v>
      </c>
      <c r="E1988" s="10" t="str">
        <f>HYPERLINK("https://twitter.com/DUBFELLAS/status/723232200641122306","723232200641122306")</f>
        <v>723232200641122306</v>
      </c>
      <c r="F1988" s="11" t="s">
        <v>48</v>
      </c>
      <c r="G1988" s="11">
        <v>216</v>
      </c>
      <c r="H1988" s="11">
        <v>183</v>
      </c>
      <c r="I1988" s="11">
        <v>10</v>
      </c>
      <c r="J1988" s="11">
        <v>13</v>
      </c>
      <c r="K1988" s="11" t="s">
        <v>21</v>
      </c>
      <c r="L1988" s="7">
        <v>42404.85637731482</v>
      </c>
      <c r="M1988" s="12" t="s">
        <v>5122</v>
      </c>
      <c r="N1988" s="12" t="s">
        <v>5123</v>
      </c>
      <c r="O1988" s="10" t="str">
        <f>HYPERLINK("https://pbs.twimg.com/profile_images/721254513668190208/kmSuQ9oX_normal.jpg","View")</f>
        <v>View</v>
      </c>
      <c r="P1988" s="11"/>
    </row>
    <row r="1989" spans="1:16" ht="12.75" x14ac:dyDescent="0.35">
      <c r="A1989" s="7">
        <v>42482.041307870371</v>
      </c>
      <c r="B1989" s="8" t="str">
        <f>HYPERLINK("https://twitter.com/BarneysBull","@BarneysBull")</f>
        <v>@BarneysBull</v>
      </c>
      <c r="C1989" s="9" t="s">
        <v>5124</v>
      </c>
      <c r="D1989" s="9" t="s">
        <v>5125</v>
      </c>
      <c r="E1989" s="10" t="str">
        <f>HYPERLINK("https://twitter.com/BarneysBull/status/723232206412480514","723232206412480514")</f>
        <v>723232206412480514</v>
      </c>
      <c r="F1989" s="11" t="s">
        <v>43</v>
      </c>
      <c r="G1989" s="11">
        <v>396</v>
      </c>
      <c r="H1989" s="11">
        <v>396</v>
      </c>
      <c r="I1989" s="11">
        <v>0</v>
      </c>
      <c r="J1989" s="11">
        <v>0</v>
      </c>
      <c r="K1989" s="11" t="s">
        <v>21</v>
      </c>
      <c r="L1989" s="7">
        <v>39889.594340277778</v>
      </c>
      <c r="M1989" s="12" t="s">
        <v>5126</v>
      </c>
      <c r="N1989" s="12" t="s">
        <v>5127</v>
      </c>
      <c r="O1989" s="10" t="str">
        <f>HYPERLINK("https://pbs.twimg.com/profile_images/378800000087091724/246a4ef41533208df0e5360519a477b9_normal.png","View")</f>
        <v>View</v>
      </c>
      <c r="P1989" s="11"/>
    </row>
    <row r="1990" spans="1:16" ht="12.75" x14ac:dyDescent="0.35">
      <c r="A1990" s="7">
        <v>42482.041898148149</v>
      </c>
      <c r="B1990" s="8" t="str">
        <f>HYPERLINK("https://twitter.com/Pinkerton","@Pinkerton")</f>
        <v>@Pinkerton</v>
      </c>
      <c r="C1990" s="9" t="s">
        <v>5128</v>
      </c>
      <c r="D1990" s="9" t="s">
        <v>5129</v>
      </c>
      <c r="E1990" s="10" t="str">
        <f>HYPERLINK("https://twitter.com/Pinkerton/status/723232419437010944","723232419437010944")</f>
        <v>723232419437010944</v>
      </c>
      <c r="F1990" s="11" t="s">
        <v>152</v>
      </c>
      <c r="G1990" s="11">
        <v>1358</v>
      </c>
      <c r="H1990" s="11">
        <v>779</v>
      </c>
      <c r="I1990" s="11">
        <v>0</v>
      </c>
      <c r="J1990" s="11">
        <v>0</v>
      </c>
      <c r="K1990" s="11" t="s">
        <v>21</v>
      </c>
      <c r="L1990" s="7">
        <v>40126.904965277776</v>
      </c>
      <c r="M1990" s="12" t="s">
        <v>5130</v>
      </c>
      <c r="N1990" s="12" t="s">
        <v>5131</v>
      </c>
      <c r="O1990" s="10" t="str">
        <f>HYPERLINK("https://pbs.twimg.com/profile_images/709795551487856640/cfgh60W4_normal.jpg","View")</f>
        <v>View</v>
      </c>
      <c r="P1990" s="11"/>
    </row>
    <row r="1991" spans="1:16" ht="12.75" x14ac:dyDescent="0.35">
      <c r="A1991" s="7">
        <v>42482.042245370365</v>
      </c>
      <c r="B1991" s="8" t="str">
        <f>HYPERLINK("https://twitter.com/Tom_Perryyy","@Tom_Perryyy")</f>
        <v>@Tom_Perryyy</v>
      </c>
      <c r="C1991" s="9" t="s">
        <v>5132</v>
      </c>
      <c r="D1991" s="9" t="s">
        <v>5133</v>
      </c>
      <c r="E1991" s="10" t="str">
        <f>HYPERLINK("https://twitter.com/Tom_Perryyy/status/723232547111493632","723232547111493632")</f>
        <v>723232547111493632</v>
      </c>
      <c r="F1991" s="11" t="s">
        <v>48</v>
      </c>
      <c r="G1991" s="11">
        <v>454</v>
      </c>
      <c r="H1991" s="11">
        <v>300</v>
      </c>
      <c r="I1991" s="11">
        <v>1</v>
      </c>
      <c r="J1991" s="11">
        <v>0</v>
      </c>
      <c r="K1991" s="11" t="s">
        <v>21</v>
      </c>
      <c r="L1991" s="7">
        <v>41642.27679398148</v>
      </c>
      <c r="M1991" s="12" t="s">
        <v>5134</v>
      </c>
      <c r="N1991" s="12" t="s">
        <v>5135</v>
      </c>
      <c r="O1991" s="10" t="str">
        <f>HYPERLINK("https://pbs.twimg.com/profile_images/720810042186858496/Qk4F1Hu__normal.jpg","View")</f>
        <v>View</v>
      </c>
      <c r="P1991" s="11"/>
    </row>
    <row r="1992" spans="1:16" ht="12.75" x14ac:dyDescent="0.35">
      <c r="A1992" s="7">
        <v>42482.042546296296</v>
      </c>
      <c r="B1992" s="8" t="str">
        <f>HYPERLINK("https://twitter.com/VolkswagenCasey","@VolkswagenCasey")</f>
        <v>@VolkswagenCasey</v>
      </c>
      <c r="C1992" s="9" t="s">
        <v>5136</v>
      </c>
      <c r="D1992" s="9" t="s">
        <v>5137</v>
      </c>
      <c r="E1992" s="10" t="str">
        <f>HYPERLINK("https://twitter.com/VolkswagenCasey/status/723232653462384640","723232653462384640")</f>
        <v>723232653462384640</v>
      </c>
      <c r="F1992" s="11" t="s">
        <v>152</v>
      </c>
      <c r="G1992" s="11">
        <v>120</v>
      </c>
      <c r="H1992" s="11">
        <v>189</v>
      </c>
      <c r="I1992" s="11">
        <v>1</v>
      </c>
      <c r="J1992" s="11">
        <v>1</v>
      </c>
      <c r="K1992" s="11" t="s">
        <v>21</v>
      </c>
      <c r="L1992" s="7">
        <v>41115.832673611112</v>
      </c>
      <c r="M1992" s="12" t="s">
        <v>5138</v>
      </c>
      <c r="N1992" s="12" t="s">
        <v>5139</v>
      </c>
      <c r="O1992" s="10" t="str">
        <f>HYPERLINK("https://pbs.twimg.com/profile_images/451387717742379008/x8L5Ms1G_normal.jpeg","View")</f>
        <v>View</v>
      </c>
      <c r="P1992" s="11"/>
    </row>
    <row r="1993" spans="1:16" ht="12.75" x14ac:dyDescent="0.35">
      <c r="A1993" s="7">
        <v>42482.043043981481</v>
      </c>
      <c r="B1993" s="8" t="str">
        <f>HYPERLINK("https://twitter.com/Logistique01","@Logistique01")</f>
        <v>@Logistique01</v>
      </c>
      <c r="C1993" s="9" t="s">
        <v>1804</v>
      </c>
      <c r="D1993" s="9" t="s">
        <v>5140</v>
      </c>
      <c r="E1993" s="10" t="str">
        <f>HYPERLINK("https://twitter.com/Logistique01/status/723232834689753088","723232834689753088")</f>
        <v>723232834689753088</v>
      </c>
      <c r="F1993" s="11" t="s">
        <v>1806</v>
      </c>
      <c r="G1993" s="11">
        <v>154</v>
      </c>
      <c r="H1993" s="11">
        <v>173</v>
      </c>
      <c r="I1993" s="11">
        <v>0</v>
      </c>
      <c r="J1993" s="11">
        <v>0</v>
      </c>
      <c r="K1993" s="11" t="s">
        <v>21</v>
      </c>
      <c r="L1993" s="7">
        <v>41373.671875</v>
      </c>
      <c r="M1993" s="12" t="s">
        <v>1807</v>
      </c>
      <c r="N1993" s="12" t="s">
        <v>1808</v>
      </c>
      <c r="O1993" s="10" t="str">
        <f>HYPERLINK("https://pbs.twimg.com/profile_images/3497903431/ae95594a00a0817e860e73da8fef6dca_normal.png","View")</f>
        <v>View</v>
      </c>
      <c r="P1993" s="11"/>
    </row>
    <row r="1994" spans="1:16" ht="12.75" x14ac:dyDescent="0.35">
      <c r="A1994" s="7">
        <v>42482.043090277773</v>
      </c>
      <c r="B1994" s="8" t="str">
        <f>HYPERLINK("https://twitter.com/WhistleIRL","@WhistleIRL")</f>
        <v>@WhistleIRL</v>
      </c>
      <c r="C1994" s="9" t="s">
        <v>5141</v>
      </c>
      <c r="D1994" s="9" t="s">
        <v>5142</v>
      </c>
      <c r="E1994" s="10" t="str">
        <f>HYPERLINK("https://twitter.com/WhistleIRL/status/723232851714555906","723232851714555906")</f>
        <v>723232851714555906</v>
      </c>
      <c r="F1994" s="11" t="s">
        <v>48</v>
      </c>
      <c r="G1994" s="11">
        <v>2483</v>
      </c>
      <c r="H1994" s="11">
        <v>1</v>
      </c>
      <c r="I1994" s="11">
        <v>24</v>
      </c>
      <c r="J1994" s="11">
        <v>15</v>
      </c>
      <c r="K1994" s="11" t="s">
        <v>21</v>
      </c>
      <c r="L1994" s="7">
        <v>40511.863807870366</v>
      </c>
      <c r="M1994" s="12" t="s">
        <v>5143</v>
      </c>
      <c r="N1994" s="12" t="s">
        <v>5144</v>
      </c>
      <c r="O1994" s="10" t="str">
        <f>HYPERLINK("https://pbs.twimg.com/profile_images/691870974602510336/o9vGGzM3_normal.jpg","View")</f>
        <v>View</v>
      </c>
      <c r="P1994" s="11"/>
    </row>
    <row r="1995" spans="1:16" ht="12.75" x14ac:dyDescent="0.35">
      <c r="A1995" s="7">
        <v>42482.043819444443</v>
      </c>
      <c r="B1995" s="8" t="str">
        <f>HYPERLINK("https://twitter.com/dimitris_avdis","@dimitris_avdis")</f>
        <v>@dimitris_avdis</v>
      </c>
      <c r="C1995" s="9" t="s">
        <v>5145</v>
      </c>
      <c r="D1995" s="9" t="s">
        <v>5146</v>
      </c>
      <c r="E1995" s="10" t="str">
        <f>HYPERLINK("https://twitter.com/dimitris_avdis/status/723233113883574272","723233113883574272")</f>
        <v>723233113883574272</v>
      </c>
      <c r="F1995" s="11" t="s">
        <v>114</v>
      </c>
      <c r="G1995" s="11">
        <v>101</v>
      </c>
      <c r="H1995" s="11">
        <v>266</v>
      </c>
      <c r="I1995" s="11">
        <v>0</v>
      </c>
      <c r="J1995" s="11">
        <v>0</v>
      </c>
      <c r="K1995" s="11" t="s">
        <v>21</v>
      </c>
      <c r="L1995" s="7">
        <v>41010.829421296294</v>
      </c>
      <c r="M1995" s="12" t="s">
        <v>5147</v>
      </c>
      <c r="N1995" s="12" t="s">
        <v>5148</v>
      </c>
      <c r="O1995" s="10" t="str">
        <f>HYPERLINK("https://pbs.twimg.com/profile_images/467261662722920449/g-6xLGjJ_normal.jpeg","View")</f>
        <v>View</v>
      </c>
      <c r="P1995" s="11"/>
    </row>
    <row r="1996" spans="1:16" ht="12.75" x14ac:dyDescent="0.35">
      <c r="A1996" s="7">
        <v>42482.044432870374</v>
      </c>
      <c r="B1996" s="8" t="str">
        <f>HYPERLINK("https://twitter.com/Bankofisland","@Bankofisland")</f>
        <v>@Bankofisland</v>
      </c>
      <c r="C1996" s="9" t="s">
        <v>5149</v>
      </c>
      <c r="D1996" s="9" t="s">
        <v>5150</v>
      </c>
      <c r="E1996" s="10" t="str">
        <f>HYPERLINK("https://twitter.com/Bankofisland/status/723233339046547457","723233339046547457")</f>
        <v>723233339046547457</v>
      </c>
      <c r="F1996" s="11" t="s">
        <v>43</v>
      </c>
      <c r="G1996" s="11">
        <v>5665</v>
      </c>
      <c r="H1996" s="11">
        <v>4768</v>
      </c>
      <c r="I1996" s="11">
        <v>24</v>
      </c>
      <c r="J1996" s="11">
        <v>0</v>
      </c>
      <c r="K1996" s="11" t="s">
        <v>21</v>
      </c>
      <c r="L1996" s="7">
        <v>41094.232939814814</v>
      </c>
      <c r="M1996" s="12"/>
      <c r="N1996" s="12" t="s">
        <v>5151</v>
      </c>
      <c r="O1996" s="10" t="str">
        <f>HYPERLINK("https://pbs.twimg.com/profile_images/674740900967399426/eni1Lze2_normal.jpg","View")</f>
        <v>View</v>
      </c>
      <c r="P1996" s="11"/>
    </row>
    <row r="1997" spans="1:16" ht="12.75" x14ac:dyDescent="0.35">
      <c r="A1997" s="7">
        <v>42482.044537037036</v>
      </c>
      <c r="B1997" s="8" t="str">
        <f t="shared" ref="B1997:B2000" si="185">HYPERLINK("https://twitter.com/VWCamperSales","@VWCamperSales")</f>
        <v>@VWCamperSales</v>
      </c>
      <c r="C1997" s="9" t="s">
        <v>216</v>
      </c>
      <c r="D1997" s="9" t="s">
        <v>5152</v>
      </c>
      <c r="E1997" s="10" t="str">
        <f>HYPERLINK("https://twitter.com/VWCamperSales/status/723233376182759424","723233376182759424")</f>
        <v>723233376182759424</v>
      </c>
      <c r="F1997" s="10" t="s">
        <v>124</v>
      </c>
      <c r="G1997" s="11">
        <v>615</v>
      </c>
      <c r="H1997" s="11">
        <v>580</v>
      </c>
      <c r="I1997" s="11">
        <v>0</v>
      </c>
      <c r="J1997" s="11">
        <v>0</v>
      </c>
      <c r="K1997" s="11" t="s">
        <v>21</v>
      </c>
      <c r="L1997" s="7">
        <v>42215.98809027778</v>
      </c>
      <c r="M1997" s="12" t="s">
        <v>129</v>
      </c>
      <c r="N1997" s="12" t="s">
        <v>218</v>
      </c>
      <c r="O1997" s="10" t="str">
        <f t="shared" ref="O1997:O2000" si="186">HYPERLINK("https://pbs.twimg.com/profile_images/627949001179037696/skEBkS05_normal.jpg","View")</f>
        <v>View</v>
      </c>
      <c r="P1997" s="11"/>
    </row>
    <row r="1998" spans="1:16" ht="12.75" x14ac:dyDescent="0.35">
      <c r="A1998" s="7">
        <v>42482.044560185182</v>
      </c>
      <c r="B1998" s="8" t="str">
        <f t="shared" si="185"/>
        <v>@VWCamperSales</v>
      </c>
      <c r="C1998" s="9" t="s">
        <v>216</v>
      </c>
      <c r="D1998" s="9" t="s">
        <v>5153</v>
      </c>
      <c r="E1998" s="10" t="str">
        <f>HYPERLINK("https://twitter.com/VWCamperSales/status/723233383409553410","723233383409553410")</f>
        <v>723233383409553410</v>
      </c>
      <c r="F1998" s="10" t="s">
        <v>124</v>
      </c>
      <c r="G1998" s="11">
        <v>615</v>
      </c>
      <c r="H1998" s="11">
        <v>580</v>
      </c>
      <c r="I1998" s="11">
        <v>0</v>
      </c>
      <c r="J1998" s="11">
        <v>1</v>
      </c>
      <c r="K1998" s="11" t="s">
        <v>21</v>
      </c>
      <c r="L1998" s="7">
        <v>42215.98809027778</v>
      </c>
      <c r="M1998" s="12" t="s">
        <v>129</v>
      </c>
      <c r="N1998" s="12" t="s">
        <v>218</v>
      </c>
      <c r="O1998" s="10" t="str">
        <f t="shared" si="186"/>
        <v>View</v>
      </c>
      <c r="P1998" s="11"/>
    </row>
    <row r="1999" spans="1:16" ht="12.75" x14ac:dyDescent="0.35">
      <c r="A1999" s="7">
        <v>42482.044583333336</v>
      </c>
      <c r="B1999" s="8" t="str">
        <f t="shared" si="185"/>
        <v>@VWCamperSales</v>
      </c>
      <c r="C1999" s="9" t="s">
        <v>216</v>
      </c>
      <c r="D1999" s="9" t="s">
        <v>5154</v>
      </c>
      <c r="E1999" s="10" t="str">
        <f>HYPERLINK("https://twitter.com/VWCamperSales/status/723233392196653056","723233392196653056")</f>
        <v>723233392196653056</v>
      </c>
      <c r="F1999" s="10" t="s">
        <v>124</v>
      </c>
      <c r="G1999" s="11">
        <v>615</v>
      </c>
      <c r="H1999" s="11">
        <v>580</v>
      </c>
      <c r="I1999" s="11">
        <v>0</v>
      </c>
      <c r="J1999" s="11">
        <v>1</v>
      </c>
      <c r="K1999" s="11" t="s">
        <v>21</v>
      </c>
      <c r="L1999" s="7">
        <v>42215.98809027778</v>
      </c>
      <c r="M1999" s="12" t="s">
        <v>129</v>
      </c>
      <c r="N1999" s="12" t="s">
        <v>218</v>
      </c>
      <c r="O1999" s="10" t="str">
        <f t="shared" si="186"/>
        <v>View</v>
      </c>
      <c r="P1999" s="11"/>
    </row>
    <row r="2000" spans="1:16" ht="12.75" x14ac:dyDescent="0.35">
      <c r="A2000" s="7">
        <v>42482.044594907406</v>
      </c>
      <c r="B2000" s="8" t="str">
        <f t="shared" si="185"/>
        <v>@VWCamperSales</v>
      </c>
      <c r="C2000" s="9" t="s">
        <v>216</v>
      </c>
      <c r="D2000" s="9" t="s">
        <v>5155</v>
      </c>
      <c r="E2000" s="10" t="str">
        <f>HYPERLINK("https://twitter.com/VWCamperSales/status/723233398739718145","723233398739718145")</f>
        <v>723233398739718145</v>
      </c>
      <c r="F2000" s="10" t="s">
        <v>124</v>
      </c>
      <c r="G2000" s="11">
        <v>615</v>
      </c>
      <c r="H2000" s="11">
        <v>580</v>
      </c>
      <c r="I2000" s="11">
        <v>0</v>
      </c>
      <c r="J2000" s="11">
        <v>1</v>
      </c>
      <c r="K2000" s="11" t="s">
        <v>21</v>
      </c>
      <c r="L2000" s="7">
        <v>42215.98809027778</v>
      </c>
      <c r="M2000" s="12" t="s">
        <v>129</v>
      </c>
      <c r="N2000" s="12" t="s">
        <v>218</v>
      </c>
      <c r="O2000" s="10" t="str">
        <f t="shared" si="186"/>
        <v>View</v>
      </c>
      <c r="P2000" s="11"/>
    </row>
    <row r="2001" spans="1:16" ht="12.75" x14ac:dyDescent="0.35">
      <c r="A2001" s="7">
        <v>42482.044745370367</v>
      </c>
      <c r="B2001" s="8" t="str">
        <f>HYPERLINK("https://twitter.com/GeekClericMike","@GeekClericMike")</f>
        <v>@GeekClericMike</v>
      </c>
      <c r="C2001" s="9" t="s">
        <v>5156</v>
      </c>
      <c r="D2001" s="9" t="s">
        <v>5157</v>
      </c>
      <c r="E2001" s="10" t="str">
        <f>HYPERLINK("https://twitter.com/GeekClericMike/status/723233449776041984","723233449776041984")</f>
        <v>723233449776041984</v>
      </c>
      <c r="F2001" s="11" t="s">
        <v>48</v>
      </c>
      <c r="G2001" s="11">
        <v>269</v>
      </c>
      <c r="H2001" s="11">
        <v>793</v>
      </c>
      <c r="I2001" s="11">
        <v>1</v>
      </c>
      <c r="J2001" s="11">
        <v>0</v>
      </c>
      <c r="K2001" s="11" t="s">
        <v>21</v>
      </c>
      <c r="L2001" s="7">
        <v>42344.888043981482</v>
      </c>
      <c r="M2001" s="12"/>
      <c r="N2001" s="12" t="s">
        <v>5158</v>
      </c>
      <c r="O2001" s="10" t="str">
        <f>HYPERLINK("https://pbs.twimg.com/profile_images/718810417439477760/u4onDM3I_normal.jpg","View")</f>
        <v>View</v>
      </c>
      <c r="P2001" s="11"/>
    </row>
    <row r="2002" spans="1:16" ht="12.75" x14ac:dyDescent="0.35">
      <c r="A2002" s="7">
        <v>42482.045578703706</v>
      </c>
      <c r="B2002" s="8" t="str">
        <f>HYPERLINK("https://twitter.com/Rhythmic_Spirit","@Rhythmic_Spirit")</f>
        <v>@Rhythmic_Spirit</v>
      </c>
      <c r="C2002" s="9" t="s">
        <v>5159</v>
      </c>
      <c r="D2002" s="9" t="s">
        <v>5160</v>
      </c>
      <c r="E2002" s="10" t="str">
        <f>HYPERLINK("https://twitter.com/Rhythmic_Spirit/status/723233752055472129","723233752055472129")</f>
        <v>723233752055472129</v>
      </c>
      <c r="F2002" s="11" t="s">
        <v>48</v>
      </c>
      <c r="G2002" s="11">
        <v>1978</v>
      </c>
      <c r="H2002" s="11">
        <v>1789</v>
      </c>
      <c r="I2002" s="11">
        <v>0</v>
      </c>
      <c r="J2002" s="11">
        <v>0</v>
      </c>
      <c r="K2002" s="11" t="s">
        <v>21</v>
      </c>
      <c r="L2002" s="7">
        <v>40461.477314814816</v>
      </c>
      <c r="M2002" s="12" t="s">
        <v>5161</v>
      </c>
      <c r="N2002" s="12" t="s">
        <v>5162</v>
      </c>
      <c r="O2002" s="10" t="str">
        <f>HYPERLINK("https://pbs.twimg.com/profile_images/661956521799114752/cMi6wEtP_normal.jpg","View")</f>
        <v>View</v>
      </c>
      <c r="P2002" s="11"/>
    </row>
    <row r="2003" spans="1:16" ht="12.75" x14ac:dyDescent="0.35">
      <c r="A2003" s="7">
        <v>42482.047303240739</v>
      </c>
      <c r="B2003" s="8" t="str">
        <f>HYPERLINK("https://twitter.com/VWBeetleSales","@VWBeetleSales")</f>
        <v>@VWBeetleSales</v>
      </c>
      <c r="C2003" s="9" t="s">
        <v>127</v>
      </c>
      <c r="D2003" s="9" t="s">
        <v>5163</v>
      </c>
      <c r="E2003" s="10" t="str">
        <f>HYPERLINK("https://twitter.com/VWBeetleSales/status/723234378344620033","723234378344620033")</f>
        <v>723234378344620033</v>
      </c>
      <c r="F2003" s="10" t="s">
        <v>124</v>
      </c>
      <c r="G2003" s="11">
        <v>35</v>
      </c>
      <c r="H2003" s="11">
        <v>32</v>
      </c>
      <c r="I2003" s="11">
        <v>0</v>
      </c>
      <c r="J2003" s="11">
        <v>0</v>
      </c>
      <c r="K2003" s="11" t="s">
        <v>21</v>
      </c>
      <c r="L2003" s="7">
        <v>42427.019756944443</v>
      </c>
      <c r="M2003" s="12" t="s">
        <v>129</v>
      </c>
      <c r="N2003" s="12" t="s">
        <v>130</v>
      </c>
      <c r="O2003" s="10" t="str">
        <f>HYPERLINK("https://pbs.twimg.com/profile_images/703294545195307008/qeCvrX86_normal.jpg","View")</f>
        <v>View</v>
      </c>
      <c r="P2003" s="11"/>
    </row>
    <row r="2004" spans="1:16" ht="12.75" x14ac:dyDescent="0.35">
      <c r="A2004" s="7">
        <v>42482.047372685185</v>
      </c>
      <c r="B2004" s="8" t="str">
        <f>HYPERLINK("https://twitter.com/ALONSOQUIJANO21","@ALONSOQUIJANO21")</f>
        <v>@ALONSOQUIJANO21</v>
      </c>
      <c r="C2004" s="9" t="s">
        <v>5164</v>
      </c>
      <c r="D2004" s="9" t="s">
        <v>5150</v>
      </c>
      <c r="E2004" s="10" t="str">
        <f>HYPERLINK("https://twitter.com/ALONSOQUIJANO21/status/723234403128844289","723234403128844289")</f>
        <v>723234403128844289</v>
      </c>
      <c r="F2004" s="11" t="s">
        <v>48</v>
      </c>
      <c r="G2004" s="11">
        <v>96</v>
      </c>
      <c r="H2004" s="11">
        <v>570</v>
      </c>
      <c r="I2004" s="11">
        <v>24</v>
      </c>
      <c r="J2004" s="11">
        <v>0</v>
      </c>
      <c r="K2004" s="11" t="s">
        <v>21</v>
      </c>
      <c r="L2004" s="7">
        <v>40959.615752314814</v>
      </c>
      <c r="M2004" s="12" t="s">
        <v>5165</v>
      </c>
      <c r="N2004" s="12" t="s">
        <v>5166</v>
      </c>
      <c r="O2004" s="10" t="str">
        <f>HYPERLINK("https://pbs.twimg.com/profile_images/413720367057104896/NJBjejNz_normal.jpeg","View")</f>
        <v>View</v>
      </c>
      <c r="P2004" s="11"/>
    </row>
    <row r="2005" spans="1:16" ht="12.75" x14ac:dyDescent="0.35">
      <c r="A2005" s="7">
        <v>42482.047442129631</v>
      </c>
      <c r="B2005" s="8" t="str">
        <f>HYPERLINK("https://twitter.com/TheBeetles_co","@TheBeetles_co")</f>
        <v>@TheBeetles_co</v>
      </c>
      <c r="C2005" s="9" t="s">
        <v>5167</v>
      </c>
      <c r="D2005" s="9" t="s">
        <v>5168</v>
      </c>
      <c r="E2005" s="10" t="str">
        <f>HYPERLINK("https://twitter.com/TheBeetles_co/status/723234428076564480","723234428076564480")</f>
        <v>723234428076564480</v>
      </c>
      <c r="F2005" s="11" t="s">
        <v>20</v>
      </c>
      <c r="G2005" s="11">
        <v>494</v>
      </c>
      <c r="H2005" s="11">
        <v>911</v>
      </c>
      <c r="I2005" s="11">
        <v>10</v>
      </c>
      <c r="J2005" s="11">
        <v>0</v>
      </c>
      <c r="K2005" s="11" t="s">
        <v>21</v>
      </c>
      <c r="L2005" s="7">
        <v>41870.552002314813</v>
      </c>
      <c r="M2005" s="12" t="s">
        <v>5169</v>
      </c>
      <c r="N2005" s="12" t="s">
        <v>5170</v>
      </c>
      <c r="O2005" s="10" t="str">
        <f>HYPERLINK("https://pbs.twimg.com/profile_images/695307390724521984/qdxB45lv_normal.jpg","View")</f>
        <v>View</v>
      </c>
      <c r="P2005" s="11"/>
    </row>
    <row r="2006" spans="1:16" ht="12.75" x14ac:dyDescent="0.35">
      <c r="A2006" s="7">
        <v>42482.047777777778</v>
      </c>
      <c r="B2006" s="8" t="str">
        <f>HYPERLINK("https://twitter.com/VWShawty","@VWShawty")</f>
        <v>@VWShawty</v>
      </c>
      <c r="C2006" s="9" t="s">
        <v>800</v>
      </c>
      <c r="D2006" s="9" t="s">
        <v>5171</v>
      </c>
      <c r="E2006" s="10" t="str">
        <f>HYPERLINK("https://twitter.com/VWShawty/status/723234551208636416","723234551208636416")</f>
        <v>723234551208636416</v>
      </c>
      <c r="F2006" s="11" t="s">
        <v>20</v>
      </c>
      <c r="G2006" s="11">
        <v>799</v>
      </c>
      <c r="H2006" s="11">
        <v>116</v>
      </c>
      <c r="I2006" s="11">
        <v>1</v>
      </c>
      <c r="J2006" s="11">
        <v>0</v>
      </c>
      <c r="K2006" s="11" t="s">
        <v>21</v>
      </c>
      <c r="L2006" s="7">
        <v>40693.060162037036</v>
      </c>
      <c r="M2006" s="12" t="s">
        <v>802</v>
      </c>
      <c r="N2006" s="12" t="s">
        <v>803</v>
      </c>
      <c r="O2006" s="10" t="str">
        <f>HYPERLINK("https://pbs.twimg.com/profile_images/718275890933809156/npH4oxJP_normal.jpg","View")</f>
        <v>View</v>
      </c>
      <c r="P2006" s="11"/>
    </row>
    <row r="2007" spans="1:16" ht="12.75" x14ac:dyDescent="0.35">
      <c r="A2007" s="7">
        <v>42482.048692129625</v>
      </c>
      <c r="B2007" s="8" t="str">
        <f>HYPERLINK("https://twitter.com/GabrielPankow","@GabrielPankow")</f>
        <v>@GabrielPankow</v>
      </c>
      <c r="C2007" s="9" t="s">
        <v>5172</v>
      </c>
      <c r="D2007" s="9" t="s">
        <v>3584</v>
      </c>
      <c r="E2007" s="10" t="str">
        <f>HYPERLINK("https://twitter.com/GabrielPankow/status/723234881757691909","723234881757691909")</f>
        <v>723234881757691909</v>
      </c>
      <c r="F2007" s="11" t="s">
        <v>48</v>
      </c>
      <c r="G2007" s="11">
        <v>105</v>
      </c>
      <c r="H2007" s="11">
        <v>222</v>
      </c>
      <c r="I2007" s="11">
        <v>9</v>
      </c>
      <c r="J2007" s="11">
        <v>0</v>
      </c>
      <c r="K2007" s="11" t="s">
        <v>21</v>
      </c>
      <c r="L2007" s="7">
        <v>42059.62804398148</v>
      </c>
      <c r="M2007" s="12"/>
      <c r="N2007" s="12" t="s">
        <v>5173</v>
      </c>
      <c r="O2007" s="10" t="str">
        <f>HYPERLINK("https://pbs.twimg.com/profile_images/701375592055312385/ZDhnPgdy_normal.jpg","View")</f>
        <v>View</v>
      </c>
      <c r="P2007" s="11"/>
    </row>
    <row r="2008" spans="1:16" ht="12.75" x14ac:dyDescent="0.35">
      <c r="A2008" s="7">
        <v>42482.048715277779</v>
      </c>
      <c r="B2008" s="8" t="str">
        <f>HYPERLINK("https://twitter.com/soenke_iwersen","@soenke_iwersen")</f>
        <v>@soenke_iwersen</v>
      </c>
      <c r="C2008" s="9" t="s">
        <v>5174</v>
      </c>
      <c r="D2008" s="9" t="s">
        <v>3197</v>
      </c>
      <c r="E2008" s="10" t="str">
        <f>HYPERLINK("https://twitter.com/soenke_iwersen/status/723234888342749185","723234888342749185")</f>
        <v>723234888342749185</v>
      </c>
      <c r="F2008" s="11" t="s">
        <v>20</v>
      </c>
      <c r="G2008" s="11">
        <v>1089</v>
      </c>
      <c r="H2008" s="11">
        <v>18</v>
      </c>
      <c r="I2008" s="11">
        <v>3</v>
      </c>
      <c r="J2008" s="11">
        <v>0</v>
      </c>
      <c r="K2008" s="11" t="s">
        <v>21</v>
      </c>
      <c r="L2008" s="7">
        <v>41688.005694444444</v>
      </c>
      <c r="M2008" s="12" t="s">
        <v>975</v>
      </c>
      <c r="N2008" s="12" t="s">
        <v>5175</v>
      </c>
      <c r="O2008" s="10" t="str">
        <f>HYPERLINK("https://pbs.twimg.com/profile_images/592687726245367808/Q5Lg2WSe_normal.jpg","View")</f>
        <v>View</v>
      </c>
      <c r="P2008" s="11"/>
    </row>
    <row r="2009" spans="1:16" ht="12.75" x14ac:dyDescent="0.35">
      <c r="A2009" s="7">
        <v>42482.049062499995</v>
      </c>
      <c r="B2009" s="8" t="str">
        <f>HYPERLINK("https://twitter.com/vintagevwdita","@vintagevwdita")</f>
        <v>@vintagevwdita</v>
      </c>
      <c r="C2009" s="9" t="s">
        <v>5176</v>
      </c>
      <c r="D2009" s="9" t="s">
        <v>5177</v>
      </c>
      <c r="E2009" s="10" t="str">
        <f>HYPERLINK("https://twitter.com/vintagevwdita/status/723235017476939776","723235017476939776")</f>
        <v>723235017476939776</v>
      </c>
      <c r="F2009" s="11" t="s">
        <v>20</v>
      </c>
      <c r="G2009" s="11">
        <v>549</v>
      </c>
      <c r="H2009" s="11">
        <v>595</v>
      </c>
      <c r="I2009" s="11">
        <v>4</v>
      </c>
      <c r="J2009" s="11">
        <v>3</v>
      </c>
      <c r="K2009" s="11" t="s">
        <v>21</v>
      </c>
      <c r="L2009" s="7">
        <v>42114.550115740742</v>
      </c>
      <c r="M2009" s="12" t="s">
        <v>5178</v>
      </c>
      <c r="N2009" s="12" t="s">
        <v>5179</v>
      </c>
      <c r="O2009" s="10" t="str">
        <f>HYPERLINK("https://pbs.twimg.com/profile_images/687419637429080064/YhD1MggI_normal.jpg","View")</f>
        <v>View</v>
      </c>
      <c r="P2009" s="11"/>
    </row>
    <row r="2010" spans="1:16" ht="12.75" x14ac:dyDescent="0.35">
      <c r="A2010" s="7">
        <v>42482.049189814818</v>
      </c>
      <c r="B2010" s="8" t="str">
        <f>HYPERLINK("https://twitter.com/soenke_iwersen","@soenke_iwersen")</f>
        <v>@soenke_iwersen</v>
      </c>
      <c r="C2010" s="9" t="s">
        <v>5174</v>
      </c>
      <c r="D2010" s="9" t="s">
        <v>3199</v>
      </c>
      <c r="E2010" s="10" t="str">
        <f>HYPERLINK("https://twitter.com/soenke_iwersen/status/723235063702368256","723235063702368256")</f>
        <v>723235063702368256</v>
      </c>
      <c r="F2010" s="11" t="s">
        <v>20</v>
      </c>
      <c r="G2010" s="11">
        <v>1089</v>
      </c>
      <c r="H2010" s="11">
        <v>18</v>
      </c>
      <c r="I2010" s="11">
        <v>5</v>
      </c>
      <c r="J2010" s="11">
        <v>0</v>
      </c>
      <c r="K2010" s="11" t="s">
        <v>21</v>
      </c>
      <c r="L2010" s="7">
        <v>41688.005694444444</v>
      </c>
      <c r="M2010" s="12" t="s">
        <v>975</v>
      </c>
      <c r="N2010" s="12" t="s">
        <v>5175</v>
      </c>
      <c r="O2010" s="10" t="str">
        <f>HYPERLINK("https://pbs.twimg.com/profile_images/592687726245367808/Q5Lg2WSe_normal.jpg","View")</f>
        <v>View</v>
      </c>
      <c r="P2010" s="11"/>
    </row>
    <row r="2011" spans="1:16" ht="12.75" x14ac:dyDescent="0.35">
      <c r="A2011" s="7">
        <v>42482.049351851849</v>
      </c>
      <c r="B2011" s="8" t="str">
        <f t="shared" ref="B2011:B2012" si="187">HYPERLINK("https://twitter.com/VWCamperSales","@VWCamperSales")</f>
        <v>@VWCamperSales</v>
      </c>
      <c r="C2011" s="9" t="s">
        <v>216</v>
      </c>
      <c r="D2011" s="9" t="s">
        <v>5180</v>
      </c>
      <c r="E2011" s="10" t="str">
        <f>HYPERLINK("https://twitter.com/VWCamperSales/status/723235122539958272","723235122539958272")</f>
        <v>723235122539958272</v>
      </c>
      <c r="F2011" s="10" t="s">
        <v>124</v>
      </c>
      <c r="G2011" s="11">
        <v>615</v>
      </c>
      <c r="H2011" s="11">
        <v>580</v>
      </c>
      <c r="I2011" s="11">
        <v>0</v>
      </c>
      <c r="J2011" s="11">
        <v>0</v>
      </c>
      <c r="K2011" s="11" t="s">
        <v>21</v>
      </c>
      <c r="L2011" s="7">
        <v>42215.98809027778</v>
      </c>
      <c r="M2011" s="12" t="s">
        <v>129</v>
      </c>
      <c r="N2011" s="12" t="s">
        <v>218</v>
      </c>
      <c r="O2011" s="10" t="str">
        <f t="shared" ref="O2011:O2012" si="188">HYPERLINK("https://pbs.twimg.com/profile_images/627949001179037696/skEBkS05_normal.jpg","View")</f>
        <v>View</v>
      </c>
      <c r="P2011" s="11"/>
    </row>
    <row r="2012" spans="1:16" ht="12.75" x14ac:dyDescent="0.35">
      <c r="A2012" s="7">
        <v>42482.049363425926</v>
      </c>
      <c r="B2012" s="8" t="str">
        <f t="shared" si="187"/>
        <v>@VWCamperSales</v>
      </c>
      <c r="C2012" s="9" t="s">
        <v>216</v>
      </c>
      <c r="D2012" s="9" t="s">
        <v>5181</v>
      </c>
      <c r="E2012" s="10" t="str">
        <f>HYPERLINK("https://twitter.com/VWCamperSales/status/723235125421436928","723235125421436928")</f>
        <v>723235125421436928</v>
      </c>
      <c r="F2012" s="10" t="s">
        <v>124</v>
      </c>
      <c r="G2012" s="11">
        <v>615</v>
      </c>
      <c r="H2012" s="11">
        <v>580</v>
      </c>
      <c r="I2012" s="11">
        <v>0</v>
      </c>
      <c r="J2012" s="11">
        <v>0</v>
      </c>
      <c r="K2012" s="11" t="s">
        <v>21</v>
      </c>
      <c r="L2012" s="7">
        <v>42215.98809027778</v>
      </c>
      <c r="M2012" s="12" t="s">
        <v>129</v>
      </c>
      <c r="N2012" s="12" t="s">
        <v>218</v>
      </c>
      <c r="O2012" s="10" t="str">
        <f t="shared" si="188"/>
        <v>View</v>
      </c>
      <c r="P2012" s="11"/>
    </row>
    <row r="2013" spans="1:16" ht="12.75" x14ac:dyDescent="0.35">
      <c r="A2013" s="7">
        <v>42482.049641203703</v>
      </c>
      <c r="B2013" s="8" t="str">
        <f>HYPERLINK("https://twitter.com/SubaruImpreza_","@SubaruImpreza_")</f>
        <v>@SubaruImpreza_</v>
      </c>
      <c r="C2013" s="9" t="s">
        <v>5182</v>
      </c>
      <c r="D2013" s="9" t="s">
        <v>5183</v>
      </c>
      <c r="E2013" s="10" t="str">
        <f>HYPERLINK("https://twitter.com/SubaruImpreza_/status/723235224465842177","723235224465842177")</f>
        <v>723235224465842177</v>
      </c>
      <c r="F2013" s="11" t="s">
        <v>68</v>
      </c>
      <c r="G2013" s="11">
        <v>803</v>
      </c>
      <c r="H2013" s="11">
        <v>4493</v>
      </c>
      <c r="I2013" s="11">
        <v>0</v>
      </c>
      <c r="J2013" s="11">
        <v>1</v>
      </c>
      <c r="K2013" s="11" t="s">
        <v>21</v>
      </c>
      <c r="L2013" s="7">
        <v>42357.661365740743</v>
      </c>
      <c r="M2013" s="12"/>
      <c r="N2013" s="12" t="s">
        <v>5184</v>
      </c>
      <c r="O2013" s="10" t="str">
        <f>HYPERLINK("https://pbs.twimg.com/profile_images/678160412500733952/aC2rcP7X_normal.png","View")</f>
        <v>View</v>
      </c>
      <c r="P2013" s="11"/>
    </row>
    <row r="2014" spans="1:16" ht="12.75" x14ac:dyDescent="0.35">
      <c r="A2014" s="7">
        <v>42482.050196759257</v>
      </c>
      <c r="B2014" s="8" t="str">
        <f>HYPERLINK("https://twitter.com/VWShawty","@VWShawty")</f>
        <v>@VWShawty</v>
      </c>
      <c r="C2014" s="9" t="s">
        <v>800</v>
      </c>
      <c r="D2014" s="9" t="s">
        <v>5185</v>
      </c>
      <c r="E2014" s="10" t="str">
        <f>HYPERLINK("https://twitter.com/VWShawty/status/723235427449085952","723235427449085952")</f>
        <v>723235427449085952</v>
      </c>
      <c r="F2014" s="11" t="s">
        <v>20</v>
      </c>
      <c r="G2014" s="11">
        <v>799</v>
      </c>
      <c r="H2014" s="11">
        <v>116</v>
      </c>
      <c r="I2014" s="11">
        <v>2</v>
      </c>
      <c r="J2014" s="11">
        <v>0</v>
      </c>
      <c r="K2014" s="11" t="s">
        <v>21</v>
      </c>
      <c r="L2014" s="7">
        <v>40693.060162037036</v>
      </c>
      <c r="M2014" s="12" t="s">
        <v>802</v>
      </c>
      <c r="N2014" s="12" t="s">
        <v>803</v>
      </c>
      <c r="O2014" s="10" t="str">
        <f>HYPERLINK("https://pbs.twimg.com/profile_images/718275890933809156/npH4oxJP_normal.jpg","View")</f>
        <v>View</v>
      </c>
      <c r="P2014" s="11"/>
    </row>
    <row r="2015" spans="1:16" ht="12.75" x14ac:dyDescent="0.35">
      <c r="A2015" s="7">
        <v>42482.05086805555</v>
      </c>
      <c r="B2015" s="8" t="str">
        <f>HYPERLINK("https://twitter.com/K2GNetworking","@K2GNetworking")</f>
        <v>@K2GNetworking</v>
      </c>
      <c r="C2015" s="9" t="s">
        <v>5186</v>
      </c>
      <c r="D2015" s="9" t="s">
        <v>5187</v>
      </c>
      <c r="E2015" s="10" t="str">
        <f>HYPERLINK("https://twitter.com/K2GNetworking/status/723235670949507087","723235670949507087")</f>
        <v>723235670949507087</v>
      </c>
      <c r="F2015" s="11" t="s">
        <v>20</v>
      </c>
      <c r="G2015" s="11">
        <v>1651</v>
      </c>
      <c r="H2015" s="11">
        <v>1552</v>
      </c>
      <c r="I2015" s="11">
        <v>4</v>
      </c>
      <c r="J2015" s="11">
        <v>0</v>
      </c>
      <c r="K2015" s="11" t="s">
        <v>21</v>
      </c>
      <c r="L2015" s="7">
        <v>41096.539386574077</v>
      </c>
      <c r="M2015" s="12" t="s">
        <v>5188</v>
      </c>
      <c r="N2015" s="12" t="s">
        <v>5189</v>
      </c>
      <c r="O2015" s="10" t="str">
        <f>HYPERLINK("https://pbs.twimg.com/profile_images/569820801503731712/wBv8eVs3_normal.jpeg","View")</f>
        <v>View</v>
      </c>
      <c r="P2015" s="11"/>
    </row>
    <row r="2016" spans="1:16" ht="12.75" x14ac:dyDescent="0.35">
      <c r="A2016" s="7">
        <v>42482.051516203705</v>
      </c>
      <c r="B2016" s="8" t="str">
        <f t="shared" ref="B2016:B2017" si="189">HYPERLINK("https://twitter.com/VWShawty","@VWShawty")</f>
        <v>@VWShawty</v>
      </c>
      <c r="C2016" s="9" t="s">
        <v>800</v>
      </c>
      <c r="D2016" s="9" t="s">
        <v>5190</v>
      </c>
      <c r="E2016" s="10" t="str">
        <f>HYPERLINK("https://twitter.com/VWShawty/status/723235903750070272","723235903750070272")</f>
        <v>723235903750070272</v>
      </c>
      <c r="F2016" s="11" t="s">
        <v>20</v>
      </c>
      <c r="G2016" s="11">
        <v>799</v>
      </c>
      <c r="H2016" s="11">
        <v>116</v>
      </c>
      <c r="I2016" s="11">
        <v>1</v>
      </c>
      <c r="J2016" s="11">
        <v>0</v>
      </c>
      <c r="K2016" s="11" t="s">
        <v>21</v>
      </c>
      <c r="L2016" s="7">
        <v>40693.060162037036</v>
      </c>
      <c r="M2016" s="12" t="s">
        <v>802</v>
      </c>
      <c r="N2016" s="12" t="s">
        <v>803</v>
      </c>
      <c r="O2016" s="10" t="str">
        <f t="shared" ref="O2016:O2017" si="190">HYPERLINK("https://pbs.twimg.com/profile_images/718275890933809156/npH4oxJP_normal.jpg","View")</f>
        <v>View</v>
      </c>
      <c r="P2016" s="11"/>
    </row>
    <row r="2017" spans="1:16" ht="12.75" x14ac:dyDescent="0.35">
      <c r="A2017" s="7">
        <v>42482.051574074074</v>
      </c>
      <c r="B2017" s="8" t="str">
        <f t="shared" si="189"/>
        <v>@VWShawty</v>
      </c>
      <c r="C2017" s="9" t="s">
        <v>800</v>
      </c>
      <c r="D2017" s="9" t="s">
        <v>5191</v>
      </c>
      <c r="E2017" s="10" t="str">
        <f>HYPERLINK("https://twitter.com/VWShawty/status/723235925782761472","723235925782761472")</f>
        <v>723235925782761472</v>
      </c>
      <c r="F2017" s="11" t="s">
        <v>20</v>
      </c>
      <c r="G2017" s="11">
        <v>799</v>
      </c>
      <c r="H2017" s="11">
        <v>116</v>
      </c>
      <c r="I2017" s="11">
        <v>2</v>
      </c>
      <c r="J2017" s="11">
        <v>0</v>
      </c>
      <c r="K2017" s="11" t="s">
        <v>21</v>
      </c>
      <c r="L2017" s="7">
        <v>40693.060162037036</v>
      </c>
      <c r="M2017" s="12" t="s">
        <v>802</v>
      </c>
      <c r="N2017" s="12" t="s">
        <v>803</v>
      </c>
      <c r="O2017" s="10" t="str">
        <f t="shared" si="190"/>
        <v>View</v>
      </c>
      <c r="P2017" s="11"/>
    </row>
    <row r="2018" spans="1:16" ht="12.75" x14ac:dyDescent="0.35">
      <c r="A2018" s="7">
        <v>42482.05196759259</v>
      </c>
      <c r="B2018" s="8" t="str">
        <f>HYPERLINK("https://twitter.com/notjustjam","@notjustjam")</f>
        <v>@notjustjam</v>
      </c>
      <c r="C2018" s="9" t="s">
        <v>5192</v>
      </c>
      <c r="D2018" s="9" t="s">
        <v>5187</v>
      </c>
      <c r="E2018" s="10" t="str">
        <f>HYPERLINK("https://twitter.com/notjustjam/status/723236068506648577","723236068506648577")</f>
        <v>723236068506648577</v>
      </c>
      <c r="F2018" s="11" t="s">
        <v>43</v>
      </c>
      <c r="G2018" s="11">
        <v>649</v>
      </c>
      <c r="H2018" s="11">
        <v>344</v>
      </c>
      <c r="I2018" s="11">
        <v>4</v>
      </c>
      <c r="J2018" s="11">
        <v>0</v>
      </c>
      <c r="K2018" s="11" t="s">
        <v>21</v>
      </c>
      <c r="L2018" s="7">
        <v>41337.168483796297</v>
      </c>
      <c r="M2018" s="12"/>
      <c r="N2018" s="12" t="s">
        <v>5193</v>
      </c>
      <c r="O2018" s="10" t="str">
        <f>HYPERLINK("https://pbs.twimg.com/profile_images/3351113749/f60b3a084ef074a0096cc6fd119fa483_normal.jpeg","View")</f>
        <v>View</v>
      </c>
      <c r="P2018" s="11"/>
    </row>
    <row r="2019" spans="1:16" ht="12.75" x14ac:dyDescent="0.35">
      <c r="A2019" s="7">
        <v>42482.052233796298</v>
      </c>
      <c r="B2019" s="8" t="str">
        <f>HYPERLINK("https://twitter.com/AlvaghCronin","@AlvaghCronin")</f>
        <v>@AlvaghCronin</v>
      </c>
      <c r="C2019" s="9" t="s">
        <v>5194</v>
      </c>
      <c r="D2019" s="9" t="s">
        <v>5150</v>
      </c>
      <c r="E2019" s="10" t="str">
        <f>HYPERLINK("https://twitter.com/AlvaghCronin/status/723236166066163713","723236166066163713")</f>
        <v>723236166066163713</v>
      </c>
      <c r="F2019" s="11" t="s">
        <v>91</v>
      </c>
      <c r="G2019" s="11">
        <v>2640</v>
      </c>
      <c r="H2019" s="11">
        <v>2915</v>
      </c>
      <c r="I2019" s="11">
        <v>24</v>
      </c>
      <c r="J2019" s="11">
        <v>0</v>
      </c>
      <c r="K2019" s="11" t="s">
        <v>21</v>
      </c>
      <c r="L2019" s="7">
        <v>41514.620243055557</v>
      </c>
      <c r="M2019" s="12" t="s">
        <v>5195</v>
      </c>
      <c r="N2019" s="12" t="s">
        <v>5196</v>
      </c>
      <c r="O2019" s="10" t="str">
        <f>HYPERLINK("https://pbs.twimg.com/profile_images/710553759043219462/arY55pu1_normal.jpg","View")</f>
        <v>View</v>
      </c>
      <c r="P2019" s="11"/>
    </row>
    <row r="2020" spans="1:16" ht="12.75" x14ac:dyDescent="0.35">
      <c r="A2020" s="7">
        <v>42482.052789351852</v>
      </c>
      <c r="B2020" s="8" t="str">
        <f>HYPERLINK("https://twitter.com/JayStarGrp","@JayStarGrp")</f>
        <v>@JayStarGrp</v>
      </c>
      <c r="C2020" s="9" t="s">
        <v>5197</v>
      </c>
      <c r="D2020" s="9" t="s">
        <v>5198</v>
      </c>
      <c r="E2020" s="10" t="str">
        <f>HYPERLINK("https://twitter.com/JayStarGrp/status/723236366994313217","723236366994313217")</f>
        <v>723236366994313217</v>
      </c>
      <c r="F2020" s="11" t="s">
        <v>20</v>
      </c>
      <c r="G2020" s="11">
        <v>157</v>
      </c>
      <c r="H2020" s="11">
        <v>802</v>
      </c>
      <c r="I2020" s="11">
        <v>0</v>
      </c>
      <c r="J2020" s="11">
        <v>0</v>
      </c>
      <c r="K2020" s="11" t="s">
        <v>21</v>
      </c>
      <c r="L2020" s="7">
        <v>41271.028692129628</v>
      </c>
      <c r="M2020" s="12" t="s">
        <v>5199</v>
      </c>
      <c r="N2020" s="12" t="s">
        <v>5200</v>
      </c>
      <c r="O2020" s="10" t="str">
        <f>HYPERLINK("https://pbs.twimg.com/profile_images/489449552672346114/JWuuQgR__normal.jpeg","View")</f>
        <v>View</v>
      </c>
      <c r="P2020" s="11"/>
    </row>
    <row r="2021" spans="1:16" ht="12.75" x14ac:dyDescent="0.35">
      <c r="A2021" s="7">
        <v>42482.052974537037</v>
      </c>
      <c r="B2021" s="8" t="str">
        <f>HYPERLINK("https://twitter.com/AutoNewsTV","@AutoNewsTV")</f>
        <v>@AutoNewsTV</v>
      </c>
      <c r="C2021" s="9" t="s">
        <v>5201</v>
      </c>
      <c r="D2021" s="9" t="s">
        <v>5202</v>
      </c>
      <c r="E2021" s="10" t="str">
        <f>HYPERLINK("https://twitter.com/AutoNewsTV/status/723236433742450688","723236433742450688")</f>
        <v>723236433742450688</v>
      </c>
      <c r="F2021" s="11" t="s">
        <v>43</v>
      </c>
      <c r="G2021" s="11">
        <v>17784</v>
      </c>
      <c r="H2021" s="11">
        <v>4450</v>
      </c>
      <c r="I2021" s="11">
        <v>4</v>
      </c>
      <c r="J2021" s="11">
        <v>4</v>
      </c>
      <c r="K2021" s="11" t="s">
        <v>21</v>
      </c>
      <c r="L2021" s="7">
        <v>39882.023298611108</v>
      </c>
      <c r="M2021" s="12" t="s">
        <v>5203</v>
      </c>
      <c r="N2021" s="12" t="s">
        <v>5204</v>
      </c>
      <c r="O2021" s="10" t="str">
        <f>HYPERLINK("https://pbs.twimg.com/profile_images/526742022435000320/iBw--_RM_normal.jpeg","View")</f>
        <v>View</v>
      </c>
      <c r="P2021" s="11"/>
    </row>
    <row r="2022" spans="1:16" ht="12.75" x14ac:dyDescent="0.35">
      <c r="A2022" s="7">
        <v>42482.053344907406</v>
      </c>
      <c r="B2022" s="8" t="str">
        <f>HYPERLINK("https://twitter.com/VolkswagenPost","@VolkswagenPost")</f>
        <v>@VolkswagenPost</v>
      </c>
      <c r="C2022" s="9" t="s">
        <v>321</v>
      </c>
      <c r="D2022" s="9" t="s">
        <v>5205</v>
      </c>
      <c r="E2022" s="10" t="str">
        <f>HYPERLINK("https://twitter.com/VolkswagenPost/status/723236566953525248","723236566953525248")</f>
        <v>723236566953525248</v>
      </c>
      <c r="F2022" s="11" t="s">
        <v>288</v>
      </c>
      <c r="G2022" s="11">
        <v>571</v>
      </c>
      <c r="H2022" s="11">
        <v>446</v>
      </c>
      <c r="I2022" s="11">
        <v>1</v>
      </c>
      <c r="J2022" s="11">
        <v>0</v>
      </c>
      <c r="K2022" s="11" t="s">
        <v>21</v>
      </c>
      <c r="L2022" s="7">
        <v>41940.618379629632</v>
      </c>
      <c r="M2022" s="12"/>
      <c r="N2022" s="12"/>
      <c r="O2022" s="10" t="str">
        <f>HYPERLINK("https://pbs.twimg.com/profile_images/530071272881803264/a_jcCmPZ_normal.png","View")</f>
        <v>View</v>
      </c>
      <c r="P2022" s="11"/>
    </row>
    <row r="2023" spans="1:16" ht="12.75" x14ac:dyDescent="0.35">
      <c r="A2023" s="7">
        <v>42482.053391203706</v>
      </c>
      <c r="B2023" s="8" t="str">
        <f>HYPERLINK("https://twitter.com/sbbenevides","@sbbenevides")</f>
        <v>@sbbenevides</v>
      </c>
      <c r="C2023" s="9" t="s">
        <v>5206</v>
      </c>
      <c r="D2023" s="9" t="s">
        <v>5168</v>
      </c>
      <c r="E2023" s="10" t="str">
        <f>HYPERLINK("https://twitter.com/sbbenevides/status/723236584758370305","723236584758370305")</f>
        <v>723236584758370305</v>
      </c>
      <c r="F2023" s="11" t="s">
        <v>48</v>
      </c>
      <c r="G2023" s="11">
        <v>457</v>
      </c>
      <c r="H2023" s="11">
        <v>477</v>
      </c>
      <c r="I2023" s="11">
        <v>10</v>
      </c>
      <c r="J2023" s="11">
        <v>0</v>
      </c>
      <c r="K2023" s="11" t="s">
        <v>21</v>
      </c>
      <c r="L2023" s="7">
        <v>41940.425833333335</v>
      </c>
      <c r="M2023" s="12"/>
      <c r="N2023" s="12" t="s">
        <v>5207</v>
      </c>
      <c r="O2023" s="10" t="str">
        <f>HYPERLINK("https://pbs.twimg.com/profile_images/561179508087476226/n3ahBsgf_normal.jpeg","View")</f>
        <v>View</v>
      </c>
      <c r="P2023" s="11"/>
    </row>
    <row r="2024" spans="1:16" ht="12.75" x14ac:dyDescent="0.35">
      <c r="A2024" s="7">
        <v>42482.053437499999</v>
      </c>
      <c r="B2024" s="8" t="str">
        <f>HYPERLINK("https://twitter.com/Automotive_News","@Automotive_News")</f>
        <v>@Automotive_News</v>
      </c>
      <c r="C2024" s="9" t="s">
        <v>3439</v>
      </c>
      <c r="D2024" s="9" t="s">
        <v>5208</v>
      </c>
      <c r="E2024" s="10" t="str">
        <f>HYPERLINK("https://twitter.com/Automotive_News/status/723236599568437248","723236599568437248")</f>
        <v>723236599568437248</v>
      </c>
      <c r="F2024" s="11" t="s">
        <v>63</v>
      </c>
      <c r="G2024" s="11">
        <v>134095</v>
      </c>
      <c r="H2024" s="11">
        <v>2606</v>
      </c>
      <c r="I2024" s="11">
        <v>4</v>
      </c>
      <c r="J2024" s="11">
        <v>0</v>
      </c>
      <c r="K2024" s="11" t="s">
        <v>21</v>
      </c>
      <c r="L2024" s="7">
        <v>39570.981458333335</v>
      </c>
      <c r="M2024" s="12" t="s">
        <v>3441</v>
      </c>
      <c r="N2024" s="12" t="s">
        <v>3442</v>
      </c>
      <c r="O2024" s="10" t="str">
        <f>HYPERLINK("https://pbs.twimg.com/profile_images/378800000534775382/4bec857571a11a945880576a81c8720e_normal.jpeg","View")</f>
        <v>View</v>
      </c>
      <c r="P2024" s="11"/>
    </row>
    <row r="2025" spans="1:16" ht="12.75" x14ac:dyDescent="0.35">
      <c r="A2025" s="7">
        <v>42482.053553240738</v>
      </c>
      <c r="B2025" s="8" t="str">
        <f>HYPERLINK("https://twitter.com/AutoExpress","@AutoExpress")</f>
        <v>@AutoExpress</v>
      </c>
      <c r="C2025" s="9" t="s">
        <v>1973</v>
      </c>
      <c r="D2025" s="9" t="s">
        <v>5209</v>
      </c>
      <c r="E2025" s="10" t="str">
        <f>HYPERLINK("https://twitter.com/AutoExpress/status/723236644111847426","723236644111847426")</f>
        <v>723236644111847426</v>
      </c>
      <c r="F2025" s="11" t="s">
        <v>63</v>
      </c>
      <c r="G2025" s="11">
        <v>93139</v>
      </c>
      <c r="H2025" s="11">
        <v>776</v>
      </c>
      <c r="I2025" s="11">
        <v>1</v>
      </c>
      <c r="J2025" s="11">
        <v>5</v>
      </c>
      <c r="K2025" s="11" t="s">
        <v>21</v>
      </c>
      <c r="L2025" s="7">
        <v>39869.653437499997</v>
      </c>
      <c r="M2025" s="12" t="s">
        <v>638</v>
      </c>
      <c r="N2025" s="12" t="s">
        <v>1975</v>
      </c>
      <c r="O2025" s="10" t="str">
        <f>HYPERLINK("https://pbs.twimg.com/profile_images/378800000673633859/9729e4c280465095c6f835c9f6b36378_normal.jpeg","View")</f>
        <v>View</v>
      </c>
      <c r="P2025" s="11"/>
    </row>
    <row r="2026" spans="1:16" ht="12.75" x14ac:dyDescent="0.35">
      <c r="A2026" s="7">
        <v>42482.053796296299</v>
      </c>
      <c r="B2026" s="8" t="str">
        <f>HYPERLINK("https://twitter.com/Bond_MK4","@Bond_MK4")</f>
        <v>@Bond_MK4</v>
      </c>
      <c r="C2026" s="9" t="s">
        <v>5210</v>
      </c>
      <c r="D2026" s="9" t="s">
        <v>5185</v>
      </c>
      <c r="E2026" s="10" t="str">
        <f>HYPERLINK("https://twitter.com/Bond_MK4/status/723236732716625921","723236732716625921")</f>
        <v>723236732716625921</v>
      </c>
      <c r="F2026" s="11" t="s">
        <v>43</v>
      </c>
      <c r="G2026" s="11">
        <v>323</v>
      </c>
      <c r="H2026" s="11">
        <v>278</v>
      </c>
      <c r="I2026" s="11">
        <v>2</v>
      </c>
      <c r="J2026" s="11">
        <v>0</v>
      </c>
      <c r="K2026" s="11" t="s">
        <v>21</v>
      </c>
      <c r="L2026" s="7">
        <v>42261.1480787037</v>
      </c>
      <c r="M2026" s="12" t="s">
        <v>5211</v>
      </c>
      <c r="N2026" s="12" t="s">
        <v>5212</v>
      </c>
      <c r="O2026" s="10" t="str">
        <f>HYPERLINK("https://pbs.twimg.com/profile_images/720593061823299584/uee56JpH_normal.jpg","View")</f>
        <v>View</v>
      </c>
      <c r="P2026" s="11"/>
    </row>
    <row r="2027" spans="1:16" ht="12.75" x14ac:dyDescent="0.35">
      <c r="A2027" s="7">
        <v>42482.054224537038</v>
      </c>
      <c r="B2027" s="8" t="str">
        <f t="shared" ref="B2027:B2028" si="191">HYPERLINK("https://twitter.com/VWCamperSales","@VWCamperSales")</f>
        <v>@VWCamperSales</v>
      </c>
      <c r="C2027" s="9" t="s">
        <v>216</v>
      </c>
      <c r="D2027" s="9" t="s">
        <v>5213</v>
      </c>
      <c r="E2027" s="10" t="str">
        <f>HYPERLINK("https://twitter.com/VWCamperSales/status/723236888052523008","723236888052523008")</f>
        <v>723236888052523008</v>
      </c>
      <c r="F2027" s="10" t="s">
        <v>124</v>
      </c>
      <c r="G2027" s="11">
        <v>615</v>
      </c>
      <c r="H2027" s="11">
        <v>580</v>
      </c>
      <c r="I2027" s="11">
        <v>0</v>
      </c>
      <c r="J2027" s="11">
        <v>0</v>
      </c>
      <c r="K2027" s="11" t="s">
        <v>21</v>
      </c>
      <c r="L2027" s="7">
        <v>42215.98809027778</v>
      </c>
      <c r="M2027" s="12" t="s">
        <v>129</v>
      </c>
      <c r="N2027" s="12" t="s">
        <v>218</v>
      </c>
      <c r="O2027" s="10" t="str">
        <f t="shared" ref="O2027:O2028" si="192">HYPERLINK("https://pbs.twimg.com/profile_images/627949001179037696/skEBkS05_normal.jpg","View")</f>
        <v>View</v>
      </c>
      <c r="P2027" s="11"/>
    </row>
    <row r="2028" spans="1:16" ht="12.75" x14ac:dyDescent="0.35">
      <c r="A2028" s="7">
        <v>42482.054236111115</v>
      </c>
      <c r="B2028" s="8" t="str">
        <f t="shared" si="191"/>
        <v>@VWCamperSales</v>
      </c>
      <c r="C2028" s="9" t="s">
        <v>216</v>
      </c>
      <c r="D2028" s="9" t="s">
        <v>5214</v>
      </c>
      <c r="E2028" s="10" t="str">
        <f>HYPERLINK("https://twitter.com/VWCamperSales/status/723236891999379456","723236891999379456")</f>
        <v>723236891999379456</v>
      </c>
      <c r="F2028" s="10" t="s">
        <v>124</v>
      </c>
      <c r="G2028" s="11">
        <v>615</v>
      </c>
      <c r="H2028" s="11">
        <v>580</v>
      </c>
      <c r="I2028" s="11">
        <v>0</v>
      </c>
      <c r="J2028" s="11">
        <v>0</v>
      </c>
      <c r="K2028" s="11" t="s">
        <v>21</v>
      </c>
      <c r="L2028" s="7">
        <v>42215.98809027778</v>
      </c>
      <c r="M2028" s="12" t="s">
        <v>129</v>
      </c>
      <c r="N2028" s="12" t="s">
        <v>218</v>
      </c>
      <c r="O2028" s="10" t="str">
        <f t="shared" si="192"/>
        <v>View</v>
      </c>
      <c r="P2028" s="11"/>
    </row>
    <row r="2029" spans="1:16" ht="12.75" x14ac:dyDescent="0.35">
      <c r="A2029" s="7">
        <v>42482.054386574076</v>
      </c>
      <c r="B2029" s="8" t="str">
        <f>HYPERLINK("https://twitter.com/cosmorion","@cosmorion")</f>
        <v>@cosmorion</v>
      </c>
      <c r="C2029" s="9" t="s">
        <v>5215</v>
      </c>
      <c r="D2029" s="9" t="s">
        <v>5216</v>
      </c>
      <c r="E2029" s="10" t="str">
        <f>HYPERLINK("https://twitter.com/cosmorion/status/723236946512871424","723236946512871424")</f>
        <v>723236946512871424</v>
      </c>
      <c r="F2029" s="11" t="s">
        <v>48</v>
      </c>
      <c r="G2029" s="11">
        <v>120</v>
      </c>
      <c r="H2029" s="11">
        <v>95</v>
      </c>
      <c r="I2029" s="11">
        <v>0</v>
      </c>
      <c r="J2029" s="11">
        <v>0</v>
      </c>
      <c r="K2029" s="11" t="s">
        <v>21</v>
      </c>
      <c r="L2029" s="7">
        <v>39891.52961805556</v>
      </c>
      <c r="M2029" s="12" t="s">
        <v>5217</v>
      </c>
      <c r="N2029" s="12" t="s">
        <v>5218</v>
      </c>
      <c r="O2029" s="10" t="str">
        <f>HYPERLINK("https://pbs.twimg.com/profile_images/1124344760/voyous_normal.jpg","View")</f>
        <v>View</v>
      </c>
      <c r="P2029" s="11"/>
    </row>
    <row r="2030" spans="1:16" ht="12.75" x14ac:dyDescent="0.35">
      <c r="A2030" s="7">
        <v>42482.055335648147</v>
      </c>
      <c r="B2030" s="8" t="str">
        <f>HYPERLINK("https://twitter.com/vintagevwdita","@vintagevwdita")</f>
        <v>@vintagevwdita</v>
      </c>
      <c r="C2030" s="9" t="s">
        <v>5176</v>
      </c>
      <c r="D2030" s="9" t="s">
        <v>5219</v>
      </c>
      <c r="E2030" s="10" t="str">
        <f>HYPERLINK("https://twitter.com/vintagevwdita/status/723237291045621760","723237291045621760")</f>
        <v>723237291045621760</v>
      </c>
      <c r="F2030" s="11" t="s">
        <v>20</v>
      </c>
      <c r="G2030" s="11">
        <v>549</v>
      </c>
      <c r="H2030" s="11">
        <v>595</v>
      </c>
      <c r="I2030" s="11">
        <v>1</v>
      </c>
      <c r="J2030" s="11">
        <v>5</v>
      </c>
      <c r="K2030" s="11" t="s">
        <v>21</v>
      </c>
      <c r="L2030" s="7">
        <v>42114.550115740742</v>
      </c>
      <c r="M2030" s="12" t="s">
        <v>5178</v>
      </c>
      <c r="N2030" s="12" t="s">
        <v>5179</v>
      </c>
      <c r="O2030" s="10" t="str">
        <f>HYPERLINK("https://pbs.twimg.com/profile_images/687419637429080064/YhD1MggI_normal.jpg","View")</f>
        <v>View</v>
      </c>
      <c r="P2030" s="11"/>
    </row>
    <row r="2031" spans="1:16" ht="12.75" x14ac:dyDescent="0.35">
      <c r="A2031" s="7">
        <v>42482.055451388893</v>
      </c>
      <c r="B2031" s="8" t="str">
        <f>HYPERLINK("https://twitter.com/Ren_Kalaj","@Ren_Kalaj")</f>
        <v>@Ren_Kalaj</v>
      </c>
      <c r="C2031" s="9" t="s">
        <v>5220</v>
      </c>
      <c r="D2031" s="9" t="s">
        <v>5191</v>
      </c>
      <c r="E2031" s="10" t="str">
        <f>HYPERLINK("https://twitter.com/Ren_Kalaj/status/723237332896256000","723237332896256000")</f>
        <v>723237332896256000</v>
      </c>
      <c r="F2031" s="11" t="s">
        <v>20</v>
      </c>
      <c r="G2031" s="11">
        <v>844</v>
      </c>
      <c r="H2031" s="11">
        <v>563</v>
      </c>
      <c r="I2031" s="11">
        <v>2</v>
      </c>
      <c r="J2031" s="11">
        <v>0</v>
      </c>
      <c r="K2031" s="11" t="s">
        <v>21</v>
      </c>
      <c r="L2031" s="7">
        <v>41518.403622685189</v>
      </c>
      <c r="M2031" s="12" t="s">
        <v>5221</v>
      </c>
      <c r="N2031" s="12">
        <v>1996</v>
      </c>
      <c r="O2031" s="10" t="str">
        <f>HYPERLINK("https://pbs.twimg.com/profile_images/714246529108852737/o3XRHwtB_normal.jpg","View")</f>
        <v>View</v>
      </c>
      <c r="P2031" s="11"/>
    </row>
    <row r="2032" spans="1:16" ht="12.75" x14ac:dyDescent="0.35">
      <c r="A2032" s="7">
        <v>42482.055555555555</v>
      </c>
      <c r="B2032" s="8" t="str">
        <f>HYPERLINK("https://twitter.com/ebaycampervans","@ebaycampervans")</f>
        <v>@ebaycampervans</v>
      </c>
      <c r="C2032" s="9" t="s">
        <v>682</v>
      </c>
      <c r="D2032" s="9" t="s">
        <v>5222</v>
      </c>
      <c r="E2032" s="10" t="str">
        <f>HYPERLINK("https://twitter.com/ebaycampervans/status/723237367901876224","723237367901876224")</f>
        <v>723237367901876224</v>
      </c>
      <c r="F2032" s="11" t="s">
        <v>34</v>
      </c>
      <c r="G2032" s="11">
        <v>380</v>
      </c>
      <c r="H2032" s="11">
        <v>1002</v>
      </c>
      <c r="I2032" s="11">
        <v>0</v>
      </c>
      <c r="J2032" s="11">
        <v>0</v>
      </c>
      <c r="K2032" s="11" t="s">
        <v>21</v>
      </c>
      <c r="L2032" s="7">
        <v>42140.207604166666</v>
      </c>
      <c r="M2032" s="12"/>
      <c r="N2032" s="12" t="s">
        <v>684</v>
      </c>
      <c r="O2032" s="10" t="str">
        <f>HYPERLINK("https://pbs.twimg.com/profile_images/599357023407464449/BL9Bpo6T_normal.jpg","View")</f>
        <v>View</v>
      </c>
      <c r="P2032" s="11"/>
    </row>
    <row r="2033" spans="1:16" ht="12.75" x14ac:dyDescent="0.35">
      <c r="A2033" s="7">
        <v>42482.055972222224</v>
      </c>
      <c r="B2033" s="8" t="str">
        <f>HYPERLINK("https://twitter.com/HotRidesDaily1","@HotRidesDaily1")</f>
        <v>@HotRidesDaily1</v>
      </c>
      <c r="C2033" s="9" t="s">
        <v>3493</v>
      </c>
      <c r="D2033" s="9" t="s">
        <v>5208</v>
      </c>
      <c r="E2033" s="10" t="str">
        <f>HYPERLINK("https://twitter.com/HotRidesDaily1/status/723237518141980672","723237518141980672")</f>
        <v>723237518141980672</v>
      </c>
      <c r="F2033" s="11" t="s">
        <v>288</v>
      </c>
      <c r="G2033" s="11">
        <v>5862</v>
      </c>
      <c r="H2033" s="11">
        <v>5856</v>
      </c>
      <c r="I2033" s="11">
        <v>4</v>
      </c>
      <c r="J2033" s="11">
        <v>0</v>
      </c>
      <c r="K2033" s="11" t="s">
        <v>21</v>
      </c>
      <c r="L2033" s="7">
        <v>42081.312824074077</v>
      </c>
      <c r="M2033" s="12"/>
      <c r="N2033" s="12" t="s">
        <v>3494</v>
      </c>
      <c r="O2033" s="10" t="str">
        <f>HYPERLINK("https://pbs.twimg.com/profile_images/578040776237588480/ExmIRu0n_normal.jpeg","View")</f>
        <v>View</v>
      </c>
      <c r="P2033" s="11"/>
    </row>
    <row r="2034" spans="1:16" ht="12.75" x14ac:dyDescent="0.35">
      <c r="A2034" s="7">
        <v>42482.056527777779</v>
      </c>
      <c r="B2034" s="8" t="str">
        <f>HYPERLINK("https://twitter.com/charlieebutler","@charlieebutler")</f>
        <v>@charlieebutler</v>
      </c>
      <c r="C2034" s="9" t="s">
        <v>5223</v>
      </c>
      <c r="D2034" s="9" t="s">
        <v>5224</v>
      </c>
      <c r="E2034" s="10" t="str">
        <f>HYPERLINK("https://twitter.com/charlieebutler/status/723237719707652098","723237719707652098")</f>
        <v>723237719707652098</v>
      </c>
      <c r="F2034" s="11" t="s">
        <v>114</v>
      </c>
      <c r="G2034" s="11">
        <v>126</v>
      </c>
      <c r="H2034" s="11">
        <v>38</v>
      </c>
      <c r="I2034" s="11">
        <v>0</v>
      </c>
      <c r="J2034" s="11">
        <v>1</v>
      </c>
      <c r="K2034" s="11" t="s">
        <v>21</v>
      </c>
      <c r="L2034" s="7">
        <v>40613.108078703706</v>
      </c>
      <c r="M2034" s="12"/>
      <c r="N2034" s="12"/>
      <c r="O2034" s="10" t="str">
        <f>HYPERLINK("https://pbs.twimg.com/profile_images/684138129306025988/SYEXhWLA_normal.jpg","View")</f>
        <v>View</v>
      </c>
      <c r="P2034" s="11"/>
    </row>
    <row r="2035" spans="1:16" ht="12.75" x14ac:dyDescent="0.35">
      <c r="A2035" s="7">
        <v>42482.056967592594</v>
      </c>
      <c r="B2035" s="8" t="str">
        <f>HYPERLINK("https://twitter.com/C_Rohde_F21","@C_Rohde_F21")</f>
        <v>@C_Rohde_F21</v>
      </c>
      <c r="C2035" s="9" t="s">
        <v>5225</v>
      </c>
      <c r="D2035" s="9" t="s">
        <v>4397</v>
      </c>
      <c r="E2035" s="10" t="str">
        <f>HYPERLINK("https://twitter.com/C_Rohde_F21/status/723237878956957699","723237878956957699")</f>
        <v>723237878956957699</v>
      </c>
      <c r="F2035" s="11" t="s">
        <v>20</v>
      </c>
      <c r="G2035" s="11">
        <v>439</v>
      </c>
      <c r="H2035" s="11">
        <v>112</v>
      </c>
      <c r="I2035" s="11">
        <v>3</v>
      </c>
      <c r="J2035" s="11">
        <v>0</v>
      </c>
      <c r="K2035" s="11" t="s">
        <v>21</v>
      </c>
      <c r="L2035" s="7">
        <v>40508.87568287037</v>
      </c>
      <c r="M2035" s="12" t="s">
        <v>2907</v>
      </c>
      <c r="N2035" s="12" t="s">
        <v>5226</v>
      </c>
      <c r="O2035" s="10" t="str">
        <f>HYPERLINK("https://pbs.twimg.com/profile_images/2856879378/9d0897db09a7b471b4a5ff4b036c9922_normal.png","View")</f>
        <v>View</v>
      </c>
      <c r="P2035" s="11"/>
    </row>
    <row r="2036" spans="1:16" ht="12.75" x14ac:dyDescent="0.35">
      <c r="A2036" s="7">
        <v>42482.057696759264</v>
      </c>
      <c r="B2036" s="8" t="str">
        <f>HYPERLINK("https://twitter.com/BelleNews","@BelleNews")</f>
        <v>@BelleNews</v>
      </c>
      <c r="C2036" s="9" t="s">
        <v>1315</v>
      </c>
      <c r="D2036" s="9" t="s">
        <v>5227</v>
      </c>
      <c r="E2036" s="10" t="str">
        <f>HYPERLINK("https://twitter.com/BelleNews/status/723238146574585856","723238146574585856")</f>
        <v>723238146574585856</v>
      </c>
      <c r="F2036" s="11" t="s">
        <v>53</v>
      </c>
      <c r="G2036" s="11">
        <v>39515</v>
      </c>
      <c r="H2036" s="11">
        <v>15455</v>
      </c>
      <c r="I2036" s="11">
        <v>0</v>
      </c>
      <c r="J2036" s="11">
        <v>0</v>
      </c>
      <c r="K2036" s="11" t="s">
        <v>21</v>
      </c>
      <c r="L2036" s="7">
        <v>40756.248900462961</v>
      </c>
      <c r="M2036" s="12" t="s">
        <v>1317</v>
      </c>
      <c r="N2036" s="12" t="s">
        <v>1318</v>
      </c>
      <c r="O2036" s="10" t="str">
        <f>HYPERLINK("https://pbs.twimg.com/profile_images/2150289983/logo_facebook_new_normal.jpg","View")</f>
        <v>View</v>
      </c>
      <c r="P2036" s="11"/>
    </row>
    <row r="2037" spans="1:16" ht="12.75" x14ac:dyDescent="0.35">
      <c r="A2037" s="7">
        <v>42482.058657407411</v>
      </c>
      <c r="B2037" s="8" t="str">
        <f>HYPERLINK("https://twitter.com/kakabimbo","@kakabimbo")</f>
        <v>@kakabimbo</v>
      </c>
      <c r="C2037" s="9" t="s">
        <v>5228</v>
      </c>
      <c r="D2037" s="9" t="s">
        <v>5229</v>
      </c>
      <c r="E2037" s="10" t="str">
        <f>HYPERLINK("https://twitter.com/kakabimbo/status/723238494689198081","723238494689198081")</f>
        <v>723238494689198081</v>
      </c>
      <c r="F2037" s="11" t="s">
        <v>43</v>
      </c>
      <c r="G2037" s="11">
        <v>524</v>
      </c>
      <c r="H2037" s="11">
        <v>571</v>
      </c>
      <c r="I2037" s="11">
        <v>4</v>
      </c>
      <c r="J2037" s="11">
        <v>34</v>
      </c>
      <c r="K2037" s="11" t="s">
        <v>21</v>
      </c>
      <c r="L2037" s="7">
        <v>42207.524502314816</v>
      </c>
      <c r="M2037" s="12" t="s">
        <v>5230</v>
      </c>
      <c r="N2037" s="12" t="s">
        <v>5231</v>
      </c>
      <c r="O2037" s="10" t="str">
        <f>HYPERLINK("https://pbs.twimg.com/profile_images/624231079898152960/enOWT84U_normal.jpg","View")</f>
        <v>View</v>
      </c>
      <c r="P2037" s="11"/>
    </row>
    <row r="2038" spans="1:16" ht="12.75" x14ac:dyDescent="0.35">
      <c r="A2038" s="7">
        <v>42482.058761574073</v>
      </c>
      <c r="B2038" s="8" t="str">
        <f>HYPERLINK("https://twitter.com/Klickvieh","@Klickvieh")</f>
        <v>@Klickvieh</v>
      </c>
      <c r="C2038" s="9" t="s">
        <v>5232</v>
      </c>
      <c r="D2038" s="9" t="s">
        <v>5233</v>
      </c>
      <c r="E2038" s="10" t="str">
        <f>HYPERLINK("https://twitter.com/Klickvieh/status/723238528663035905","723238528663035905")</f>
        <v>723238528663035905</v>
      </c>
      <c r="F2038" s="11" t="s">
        <v>48</v>
      </c>
      <c r="G2038" s="11">
        <v>210</v>
      </c>
      <c r="H2038" s="11">
        <v>173</v>
      </c>
      <c r="I2038" s="11">
        <v>4</v>
      </c>
      <c r="J2038" s="11">
        <v>0</v>
      </c>
      <c r="K2038" s="11" t="s">
        <v>21</v>
      </c>
      <c r="L2038" s="7">
        <v>40003.007245370369</v>
      </c>
      <c r="M2038" s="12" t="s">
        <v>5234</v>
      </c>
      <c r="N2038" s="12" t="s">
        <v>5235</v>
      </c>
      <c r="O2038" s="10" t="str">
        <f>HYPERLINK("https://pbs.twimg.com/profile_images/662585803168591872/XeVEK9Mh_normal.jpg","View")</f>
        <v>View</v>
      </c>
      <c r="P2038" s="11"/>
    </row>
    <row r="2039" spans="1:16" ht="12.75" x14ac:dyDescent="0.35">
      <c r="A2039" s="7">
        <v>42482.05914351852</v>
      </c>
      <c r="B2039" s="8" t="str">
        <f>HYPERLINK("https://twitter.com/PC_360","@PC_360")</f>
        <v>@PC_360</v>
      </c>
      <c r="C2039" s="9" t="s">
        <v>5236</v>
      </c>
      <c r="D2039" s="9" t="s">
        <v>5237</v>
      </c>
      <c r="E2039" s="10" t="str">
        <f>HYPERLINK("https://twitter.com/PC_360/status/723238670258585600","723238670258585600")</f>
        <v>723238670258585600</v>
      </c>
      <c r="F2039" s="11" t="s">
        <v>152</v>
      </c>
      <c r="G2039" s="11">
        <v>22311</v>
      </c>
      <c r="H2039" s="11">
        <v>626</v>
      </c>
      <c r="I2039" s="11">
        <v>0</v>
      </c>
      <c r="J2039" s="11">
        <v>0</v>
      </c>
      <c r="K2039" s="11" t="s">
        <v>21</v>
      </c>
      <c r="L2039" s="7">
        <v>39972.93445601852</v>
      </c>
      <c r="M2039" s="12" t="s">
        <v>2474</v>
      </c>
      <c r="N2039" s="12" t="s">
        <v>5238</v>
      </c>
      <c r="O2039" s="10" t="str">
        <f>HYPERLINK("https://pbs.twimg.com/profile_images/1923843921/PC360-no-tag-left_normal.jpg","View")</f>
        <v>View</v>
      </c>
      <c r="P2039" s="11"/>
    </row>
    <row r="2040" spans="1:16" ht="12.75" x14ac:dyDescent="0.35">
      <c r="A2040" s="7">
        <v>42482.059155092589</v>
      </c>
      <c r="B2040" s="8" t="str">
        <f>HYPERLINK("https://twitter.com/UrsulaZerilli","@UrsulaZerilli")</f>
        <v>@UrsulaZerilli</v>
      </c>
      <c r="C2040" s="9" t="s">
        <v>5239</v>
      </c>
      <c r="D2040" s="9" t="s">
        <v>5208</v>
      </c>
      <c r="E2040" s="10" t="str">
        <f>HYPERLINK("https://twitter.com/UrsulaZerilli/status/723238673752428544","723238673752428544")</f>
        <v>723238673752428544</v>
      </c>
      <c r="F2040" s="11" t="s">
        <v>43</v>
      </c>
      <c r="G2040" s="11">
        <v>1740</v>
      </c>
      <c r="H2040" s="11">
        <v>826</v>
      </c>
      <c r="I2040" s="11">
        <v>4</v>
      </c>
      <c r="J2040" s="11">
        <v>0</v>
      </c>
      <c r="K2040" s="11" t="s">
        <v>21</v>
      </c>
      <c r="L2040" s="7">
        <v>39754.254513888889</v>
      </c>
      <c r="M2040" s="12" t="s">
        <v>5240</v>
      </c>
      <c r="N2040" s="12" t="s">
        <v>5241</v>
      </c>
      <c r="O2040" s="10" t="str">
        <f>HYPERLINK("https://pbs.twimg.com/profile_images/590161064706363392/ZEGlZold_normal.png","View")</f>
        <v>View</v>
      </c>
      <c r="P2040" s="11"/>
    </row>
    <row r="2041" spans="1:16" ht="12.75" x14ac:dyDescent="0.35">
      <c r="A2041" s="7">
        <v>42482.059351851851</v>
      </c>
      <c r="B2041" s="8" t="str">
        <f>HYPERLINK("https://twitter.com/JoseSemanen","@JoseSemanen")</f>
        <v>@JoseSemanen</v>
      </c>
      <c r="C2041" s="9" t="s">
        <v>5242</v>
      </c>
      <c r="D2041" s="9" t="s">
        <v>5168</v>
      </c>
      <c r="E2041" s="10" t="str">
        <f>HYPERLINK("https://twitter.com/JoseSemanen/status/723238743327531009","723238743327531009")</f>
        <v>723238743327531009</v>
      </c>
      <c r="F2041" s="11" t="s">
        <v>48</v>
      </c>
      <c r="G2041" s="11">
        <v>517</v>
      </c>
      <c r="H2041" s="11">
        <v>785</v>
      </c>
      <c r="I2041" s="11">
        <v>10</v>
      </c>
      <c r="J2041" s="11">
        <v>0</v>
      </c>
      <c r="K2041" s="11" t="s">
        <v>21</v>
      </c>
      <c r="L2041" s="7">
        <v>41240.185069444444</v>
      </c>
      <c r="M2041" s="12"/>
      <c r="N2041" s="12" t="s">
        <v>5243</v>
      </c>
      <c r="O2041" s="10" t="str">
        <f>HYPERLINK("https://pbs.twimg.com/profile_images/616779077572251652/VA-Mosfx_normal.jpg","View")</f>
        <v>View</v>
      </c>
      <c r="P2041" s="11"/>
    </row>
    <row r="2042" spans="1:16" ht="12.75" x14ac:dyDescent="0.35">
      <c r="A2042" s="7">
        <v>42482.059618055559</v>
      </c>
      <c r="B2042" s="8" t="str">
        <f>HYPERLINK("https://twitter.com/Josefs_Beitrag","@Josefs_Beitrag")</f>
        <v>@Josefs_Beitrag</v>
      </c>
      <c r="C2042" s="9" t="s">
        <v>5244</v>
      </c>
      <c r="D2042" s="9" t="s">
        <v>5245</v>
      </c>
      <c r="E2042" s="10" t="str">
        <f>HYPERLINK("https://twitter.com/Josefs_Beitrag/status/723238840811532288","723238840811532288")</f>
        <v>723238840811532288</v>
      </c>
      <c r="F2042" s="11" t="s">
        <v>43</v>
      </c>
      <c r="G2042" s="11">
        <v>26</v>
      </c>
      <c r="H2042" s="11">
        <v>23</v>
      </c>
      <c r="I2042" s="11">
        <v>0</v>
      </c>
      <c r="J2042" s="11">
        <v>0</v>
      </c>
      <c r="K2042" s="11" t="s">
        <v>21</v>
      </c>
      <c r="L2042" s="7">
        <v>41818.930254629631</v>
      </c>
      <c r="M2042" s="12" t="s">
        <v>5246</v>
      </c>
      <c r="N2042" s="12" t="s">
        <v>5247</v>
      </c>
      <c r="O2042" s="10" t="str">
        <f>HYPERLINK("https://pbs.twimg.com/profile_images/490812099908497408/pf-nrnHK_normal.jpeg","View")</f>
        <v>View</v>
      </c>
      <c r="P2042" s="11"/>
    </row>
    <row r="2043" spans="1:16" ht="12.75" x14ac:dyDescent="0.35">
      <c r="A2043" s="7">
        <v>42482.059733796297</v>
      </c>
      <c r="B2043" s="8" t="str">
        <f>HYPERLINK("https://twitter.com/dmstone08","@dmstone08")</f>
        <v>@dmstone08</v>
      </c>
      <c r="C2043" s="9" t="s">
        <v>5248</v>
      </c>
      <c r="D2043" s="9" t="s">
        <v>5249</v>
      </c>
      <c r="E2043" s="10" t="str">
        <f>HYPERLINK("https://twitter.com/dmstone08/status/723238881747820545","723238881747820545")</f>
        <v>723238881747820545</v>
      </c>
      <c r="F2043" s="11" t="s">
        <v>114</v>
      </c>
      <c r="G2043" s="11">
        <v>324</v>
      </c>
      <c r="H2043" s="11">
        <v>383</v>
      </c>
      <c r="I2043" s="11">
        <v>0</v>
      </c>
      <c r="J2043" s="11">
        <v>1</v>
      </c>
      <c r="K2043" s="11" t="s">
        <v>21</v>
      </c>
      <c r="L2043" s="7">
        <v>39899.077777777777</v>
      </c>
      <c r="M2043" s="12" t="s">
        <v>5250</v>
      </c>
      <c r="N2043" s="12" t="s">
        <v>5251</v>
      </c>
      <c r="O2043" s="10" t="str">
        <f>HYPERLINK("https://pbs.twimg.com/profile_images/674243575698165760/rpDiwt_o_normal.jpg","View")</f>
        <v>View</v>
      </c>
      <c r="P2043" s="11"/>
    </row>
    <row r="2044" spans="1:16" ht="12.75" x14ac:dyDescent="0.35">
      <c r="A2044" s="7">
        <v>42482.060393518521</v>
      </c>
      <c r="B2044" s="8" t="str">
        <f>HYPERLINK("https://twitter.com/eecrtmn","@eecrtmn")</f>
        <v>@eecrtmn</v>
      </c>
      <c r="C2044" s="9" t="s">
        <v>5252</v>
      </c>
      <c r="D2044" s="9" t="s">
        <v>5253</v>
      </c>
      <c r="E2044" s="10" t="str">
        <f>HYPERLINK("https://twitter.com/eecrtmn/status/723239121351794689","723239121351794689")</f>
        <v>723239121351794689</v>
      </c>
      <c r="F2044" s="11" t="s">
        <v>43</v>
      </c>
      <c r="G2044" s="11">
        <v>28</v>
      </c>
      <c r="H2044" s="11">
        <v>512</v>
      </c>
      <c r="I2044" s="11">
        <v>0</v>
      </c>
      <c r="J2044" s="11">
        <v>0</v>
      </c>
      <c r="K2044" s="11" t="s">
        <v>21</v>
      </c>
      <c r="L2044" s="7">
        <v>42458.652187500003</v>
      </c>
      <c r="M2044" s="12" t="s">
        <v>5254</v>
      </c>
      <c r="N2044" s="12" t="s">
        <v>5255</v>
      </c>
      <c r="O2044" s="10" t="str">
        <f>HYPERLINK("https://pbs.twimg.com/profile_images/714771824026984449/USx_-_kf_normal.jpg","View")</f>
        <v>View</v>
      </c>
      <c r="P2044" s="11"/>
    </row>
    <row r="2045" spans="1:16" ht="12.75" x14ac:dyDescent="0.35">
      <c r="A2045" s="7">
        <v>42482.061712962968</v>
      </c>
      <c r="B2045" s="8" t="str">
        <f>HYPERLINK("https://twitter.com/Scirocco_Tuning","@Scirocco_Tuning")</f>
        <v>@Scirocco_Tuning</v>
      </c>
      <c r="C2045" s="9" t="s">
        <v>51</v>
      </c>
      <c r="D2045" s="9" t="s">
        <v>5256</v>
      </c>
      <c r="E2045" s="10" t="str">
        <f>HYPERLINK("https://twitter.com/Scirocco_Tuning/status/723239599770861568","723239599770861568")</f>
        <v>723239599770861568</v>
      </c>
      <c r="F2045" s="11" t="s">
        <v>53</v>
      </c>
      <c r="G2045" s="11">
        <v>69</v>
      </c>
      <c r="H2045" s="11">
        <v>215</v>
      </c>
      <c r="I2045" s="11">
        <v>0</v>
      </c>
      <c r="J2045" s="11">
        <v>0</v>
      </c>
      <c r="K2045" s="11" t="s">
        <v>21</v>
      </c>
      <c r="L2045" s="7">
        <v>40844.564722222218</v>
      </c>
      <c r="M2045" s="12"/>
      <c r="N2045" s="12"/>
      <c r="O2045" s="10" t="str">
        <f>HYPERLINK("https://pbs.twimg.com/profile_images/1610421423/Image2_normal.jpg","View")</f>
        <v>View</v>
      </c>
      <c r="P2045" s="11"/>
    </row>
    <row r="2046" spans="1:16" ht="12.75" x14ac:dyDescent="0.35">
      <c r="A2046" s="7">
        <v>42482.062534722223</v>
      </c>
      <c r="B2046" s="8" t="str">
        <f>HYPERLINK("https://twitter.com/zoreio","@zoreio")</f>
        <v>@zoreio</v>
      </c>
      <c r="C2046" s="9" t="s">
        <v>5257</v>
      </c>
      <c r="D2046" s="9" t="s">
        <v>5208</v>
      </c>
      <c r="E2046" s="10" t="str">
        <f>HYPERLINK("https://twitter.com/zoreio/status/723239897738391552","723239897738391552")</f>
        <v>723239897738391552</v>
      </c>
      <c r="F2046" s="11" t="s">
        <v>48</v>
      </c>
      <c r="G2046" s="11">
        <v>183</v>
      </c>
      <c r="H2046" s="11">
        <v>783</v>
      </c>
      <c r="I2046" s="11">
        <v>4</v>
      </c>
      <c r="J2046" s="11">
        <v>0</v>
      </c>
      <c r="K2046" s="11" t="s">
        <v>21</v>
      </c>
      <c r="L2046" s="7">
        <v>39940.200983796298</v>
      </c>
      <c r="M2046" s="12" t="s">
        <v>5258</v>
      </c>
      <c r="N2046" s="12" t="s">
        <v>5259</v>
      </c>
      <c r="O2046" s="10" t="str">
        <f>HYPERLINK("https://pbs.twimg.com/profile_images/200987270/procissao_normal.JPG","View")</f>
        <v>View</v>
      </c>
      <c r="P2046" s="11"/>
    </row>
    <row r="2047" spans="1:16" ht="12.75" x14ac:dyDescent="0.35">
      <c r="A2047" s="7">
        <v>42482.062534722223</v>
      </c>
      <c r="B2047" s="8" t="str">
        <f>HYPERLINK("https://twitter.com/Willi1887","@Willi1887")</f>
        <v>@Willi1887</v>
      </c>
      <c r="C2047" s="9" t="s">
        <v>5260</v>
      </c>
      <c r="D2047" s="9" t="s">
        <v>5261</v>
      </c>
      <c r="E2047" s="10" t="str">
        <f>HYPERLINK("https://twitter.com/Willi1887/status/723239898619219968","723239898619219968")</f>
        <v>723239898619219968</v>
      </c>
      <c r="F2047" s="11" t="s">
        <v>48</v>
      </c>
      <c r="G2047" s="11">
        <v>1046</v>
      </c>
      <c r="H2047" s="11">
        <v>905</v>
      </c>
      <c r="I2047" s="11">
        <v>1</v>
      </c>
      <c r="J2047" s="11">
        <v>3</v>
      </c>
      <c r="K2047" s="11" t="s">
        <v>21</v>
      </c>
      <c r="L2047" s="7">
        <v>40406.862824074073</v>
      </c>
      <c r="M2047" s="12" t="s">
        <v>5262</v>
      </c>
      <c r="N2047" s="12" t="s">
        <v>5263</v>
      </c>
      <c r="O2047" s="10" t="str">
        <f>HYPERLINK("https://pbs.twimg.com/profile_images/723232954084921345/hBQs_w8x_normal.jpg","View")</f>
        <v>View</v>
      </c>
      <c r="P2047" s="11"/>
    </row>
    <row r="2048" spans="1:16" ht="12.75" x14ac:dyDescent="0.35">
      <c r="A2048" s="7">
        <v>42482.062615740739</v>
      </c>
      <c r="B2048" s="8" t="str">
        <f>HYPERLINK("https://twitter.com/thomaslyoung","@thomaslyoung")</f>
        <v>@thomaslyoung</v>
      </c>
      <c r="C2048" s="9" t="s">
        <v>5264</v>
      </c>
      <c r="D2048" s="9" t="s">
        <v>5265</v>
      </c>
      <c r="E2048" s="10" t="str">
        <f>HYPERLINK("https://twitter.com/thomaslyoung/status/723239927295709189","723239927295709189")</f>
        <v>723239927295709189</v>
      </c>
      <c r="F2048" s="11" t="s">
        <v>43</v>
      </c>
      <c r="G2048" s="11">
        <v>1320</v>
      </c>
      <c r="H2048" s="11">
        <v>2889</v>
      </c>
      <c r="I2048" s="11">
        <v>1</v>
      </c>
      <c r="J2048" s="11">
        <v>0</v>
      </c>
      <c r="K2048" s="11" t="s">
        <v>21</v>
      </c>
      <c r="L2048" s="7">
        <v>39189.033402777779</v>
      </c>
      <c r="M2048" s="12" t="s">
        <v>5266</v>
      </c>
      <c r="N2048" s="12" t="s">
        <v>5267</v>
      </c>
      <c r="O2048" s="10" t="str">
        <f>HYPERLINK("https://pbs.twimg.com/profile_images/378800000124732686/07af48b9969d743cf2642901c5f8cccc_normal.jpeg","View")</f>
        <v>View</v>
      </c>
      <c r="P2048" s="11"/>
    </row>
    <row r="2049" spans="1:16" ht="12.75" x14ac:dyDescent="0.35">
      <c r="A2049" s="7">
        <v>42482.062708333338</v>
      </c>
      <c r="B2049" s="8" t="str">
        <f>HYPERLINK("https://twitter.com/amsonline","@amsonline")</f>
        <v>@amsonline</v>
      </c>
      <c r="C2049" s="9" t="s">
        <v>5268</v>
      </c>
      <c r="D2049" s="9" t="s">
        <v>5269</v>
      </c>
      <c r="E2049" s="10" t="str">
        <f>HYPERLINK("https://twitter.com/amsonline/status/723239961034526721","723239961034526721")</f>
        <v>723239961034526721</v>
      </c>
      <c r="F2049" s="11" t="s">
        <v>63</v>
      </c>
      <c r="G2049" s="11">
        <v>11851</v>
      </c>
      <c r="H2049" s="11">
        <v>239</v>
      </c>
      <c r="I2049" s="11">
        <v>0</v>
      </c>
      <c r="J2049" s="11">
        <v>3</v>
      </c>
      <c r="K2049" s="11" t="s">
        <v>21</v>
      </c>
      <c r="L2049" s="7">
        <v>39842.782326388886</v>
      </c>
      <c r="M2049" s="12" t="s">
        <v>5270</v>
      </c>
      <c r="N2049" s="12" t="s">
        <v>5271</v>
      </c>
      <c r="O2049" s="10" t="str">
        <f>HYPERLINK("https://pbs.twimg.com/profile_images/458901987019333632/7FGKPDVB_normal.png","View")</f>
        <v>View</v>
      </c>
      <c r="P2049" s="11"/>
    </row>
    <row r="2050" spans="1:16" ht="12.75" x14ac:dyDescent="0.35">
      <c r="A2050" s="7">
        <v>42482.062939814816</v>
      </c>
      <c r="B2050" s="8" t="str">
        <f t="shared" ref="B2050:B2051" si="193">HYPERLINK("https://twitter.com/VWCamperSales","@VWCamperSales")</f>
        <v>@VWCamperSales</v>
      </c>
      <c r="C2050" s="9" t="s">
        <v>216</v>
      </c>
      <c r="D2050" s="9" t="s">
        <v>5272</v>
      </c>
      <c r="E2050" s="10" t="str">
        <f>HYPERLINK("https://twitter.com/VWCamperSales/status/723240046346657793","723240046346657793")</f>
        <v>723240046346657793</v>
      </c>
      <c r="F2050" s="10" t="s">
        <v>124</v>
      </c>
      <c r="G2050" s="11">
        <v>615</v>
      </c>
      <c r="H2050" s="11">
        <v>580</v>
      </c>
      <c r="I2050" s="11">
        <v>0</v>
      </c>
      <c r="J2050" s="11">
        <v>0</v>
      </c>
      <c r="K2050" s="11" t="s">
        <v>21</v>
      </c>
      <c r="L2050" s="7">
        <v>42215.98809027778</v>
      </c>
      <c r="M2050" s="12" t="s">
        <v>129</v>
      </c>
      <c r="N2050" s="12" t="s">
        <v>218</v>
      </c>
      <c r="O2050" s="10" t="str">
        <f t="shared" ref="O2050:O2051" si="194">HYPERLINK("https://pbs.twimg.com/profile_images/627949001179037696/skEBkS05_normal.jpg","View")</f>
        <v>View</v>
      </c>
      <c r="P2050" s="11"/>
    </row>
    <row r="2051" spans="1:16" ht="12.75" x14ac:dyDescent="0.35">
      <c r="A2051" s="7">
        <v>42482.062974537039</v>
      </c>
      <c r="B2051" s="8" t="str">
        <f t="shared" si="193"/>
        <v>@VWCamperSales</v>
      </c>
      <c r="C2051" s="9" t="s">
        <v>216</v>
      </c>
      <c r="D2051" s="9" t="s">
        <v>5273</v>
      </c>
      <c r="E2051" s="10" t="str">
        <f>HYPERLINK("https://twitter.com/VWCamperSales/status/723240056345890817","723240056345890817")</f>
        <v>723240056345890817</v>
      </c>
      <c r="F2051" s="10" t="s">
        <v>124</v>
      </c>
      <c r="G2051" s="11">
        <v>615</v>
      </c>
      <c r="H2051" s="11">
        <v>580</v>
      </c>
      <c r="I2051" s="11">
        <v>0</v>
      </c>
      <c r="J2051" s="11">
        <v>0</v>
      </c>
      <c r="K2051" s="11" t="s">
        <v>21</v>
      </c>
      <c r="L2051" s="7">
        <v>42215.98809027778</v>
      </c>
      <c r="M2051" s="12" t="s">
        <v>129</v>
      </c>
      <c r="N2051" s="12" t="s">
        <v>218</v>
      </c>
      <c r="O2051" s="10" t="str">
        <f t="shared" si="194"/>
        <v>View</v>
      </c>
      <c r="P2051" s="11"/>
    </row>
    <row r="2052" spans="1:16" ht="12.75" x14ac:dyDescent="0.35">
      <c r="A2052" s="7">
        <v>42482.063020833331</v>
      </c>
      <c r="B2052" s="8" t="str">
        <f>HYPERLINK("https://twitter.com/__FMR__","@__FMR__")</f>
        <v>@__FMR__</v>
      </c>
      <c r="C2052" s="9" t="s">
        <v>5274</v>
      </c>
      <c r="D2052" s="9" t="s">
        <v>5275</v>
      </c>
      <c r="E2052" s="10" t="str">
        <f>HYPERLINK("https://twitter.com/__FMR__/status/723240075111337984","723240075111337984")</f>
        <v>723240075111337984</v>
      </c>
      <c r="F2052" s="11" t="s">
        <v>243</v>
      </c>
      <c r="G2052" s="11">
        <v>767</v>
      </c>
      <c r="H2052" s="11">
        <v>577</v>
      </c>
      <c r="I2052" s="11">
        <v>0</v>
      </c>
      <c r="J2052" s="11">
        <v>0</v>
      </c>
      <c r="K2052" s="11" t="s">
        <v>21</v>
      </c>
      <c r="L2052" s="7">
        <v>40030.77270833333</v>
      </c>
      <c r="M2052" s="12" t="s">
        <v>1116</v>
      </c>
      <c r="N2052" s="12" t="s">
        <v>5276</v>
      </c>
      <c r="O2052" s="10" t="str">
        <f>HYPERLINK("https://pbs.twimg.com/profile_images/973957381/libertarian_minilogo_normal.jpg","View")</f>
        <v>View</v>
      </c>
      <c r="P2052" s="11"/>
    </row>
    <row r="2053" spans="1:16" ht="12.75" x14ac:dyDescent="0.35">
      <c r="A2053" s="7">
        <v>42482.063344907408</v>
      </c>
      <c r="B2053" s="8" t="str">
        <f>HYPERLINK("https://twitter.com/MCV1811","@MCV1811")</f>
        <v>@MCV1811</v>
      </c>
      <c r="C2053" s="9" t="s">
        <v>5277</v>
      </c>
      <c r="D2053" s="9" t="s">
        <v>5278</v>
      </c>
      <c r="E2053" s="10" t="str">
        <f>HYPERLINK("https://twitter.com/MCV1811/status/723240191603945472","723240191603945472")</f>
        <v>723240191603945472</v>
      </c>
      <c r="F2053" s="11" t="s">
        <v>48</v>
      </c>
      <c r="G2053" s="11">
        <v>680</v>
      </c>
      <c r="H2053" s="11">
        <v>370</v>
      </c>
      <c r="I2053" s="11">
        <v>1</v>
      </c>
      <c r="J2053" s="11">
        <v>0</v>
      </c>
      <c r="K2053" s="11" t="s">
        <v>21</v>
      </c>
      <c r="L2053" s="7">
        <v>41546.253206018519</v>
      </c>
      <c r="M2053" s="12" t="s">
        <v>5279</v>
      </c>
      <c r="N2053" s="12" t="s">
        <v>5280</v>
      </c>
      <c r="O2053" s="10" t="str">
        <f>HYPERLINK("https://pbs.twimg.com/profile_images/678678754089152514/6LG7MDGC_normal.jpg","View")</f>
        <v>View</v>
      </c>
      <c r="P2053" s="11"/>
    </row>
    <row r="2054" spans="1:16" ht="12.75" x14ac:dyDescent="0.35">
      <c r="A2054" s="7">
        <v>42482.063657407409</v>
      </c>
      <c r="B2054" s="8" t="str">
        <f>HYPERLINK("https://twitter.com/Spottirektor","@Spottirektor")</f>
        <v>@Spottirektor</v>
      </c>
      <c r="C2054" s="9" t="s">
        <v>5281</v>
      </c>
      <c r="D2054" s="9" t="s">
        <v>5282</v>
      </c>
      <c r="E2054" s="10" t="str">
        <f>HYPERLINK("https://twitter.com/Spottirektor/status/723240306028732416","723240306028732416")</f>
        <v>723240306028732416</v>
      </c>
      <c r="F2054" s="11" t="s">
        <v>20</v>
      </c>
      <c r="G2054" s="11">
        <v>1837</v>
      </c>
      <c r="H2054" s="11">
        <v>1240</v>
      </c>
      <c r="I2054" s="11">
        <v>0</v>
      </c>
      <c r="J2054" s="11">
        <v>1</v>
      </c>
      <c r="K2054" s="11" t="s">
        <v>21</v>
      </c>
      <c r="L2054" s="7">
        <v>41256.983113425929</v>
      </c>
      <c r="M2054" s="12" t="s">
        <v>5283</v>
      </c>
      <c r="N2054" s="12" t="s">
        <v>5284</v>
      </c>
      <c r="O2054" s="10" t="str">
        <f>HYPERLINK("https://pbs.twimg.com/profile_images/721448687625445376/NQOVGjOJ_normal.jpg","View")</f>
        <v>View</v>
      </c>
      <c r="P2054" s="11"/>
    </row>
    <row r="2055" spans="1:16" ht="12.75" x14ac:dyDescent="0.35">
      <c r="A2055" s="7">
        <v>42482.063807870371</v>
      </c>
      <c r="B2055" s="8" t="str">
        <f>HYPERLINK("https://twitter.com/HermanCookVW","@HermanCookVW")</f>
        <v>@HermanCookVW</v>
      </c>
      <c r="C2055" s="9" t="s">
        <v>5285</v>
      </c>
      <c r="D2055" s="9" t="s">
        <v>5286</v>
      </c>
      <c r="E2055" s="10" t="str">
        <f>HYPERLINK("https://twitter.com/HermanCookVW/status/723240357522223104","723240357522223104")</f>
        <v>723240357522223104</v>
      </c>
      <c r="F2055" s="11" t="s">
        <v>152</v>
      </c>
      <c r="G2055" s="11">
        <v>193</v>
      </c>
      <c r="H2055" s="11">
        <v>200</v>
      </c>
      <c r="I2055" s="11">
        <v>0</v>
      </c>
      <c r="J2055" s="11">
        <v>1</v>
      </c>
      <c r="K2055" s="11" t="s">
        <v>21</v>
      </c>
      <c r="L2055" s="7">
        <v>40235.051944444444</v>
      </c>
      <c r="M2055" s="12" t="s">
        <v>5287</v>
      </c>
      <c r="N2055" s="12" t="s">
        <v>5288</v>
      </c>
      <c r="O2055" s="10" t="str">
        <f>HYPERLINK("https://pbs.twimg.com/profile_images/720585614/HC-LOGO._normal.jpg","View")</f>
        <v>View</v>
      </c>
      <c r="P2055" s="11"/>
    </row>
    <row r="2056" spans="1:16" ht="12.75" x14ac:dyDescent="0.35">
      <c r="A2056" s="7">
        <v>42482.063842592594</v>
      </c>
      <c r="B2056" s="8" t="str">
        <f>HYPERLINK("https://twitter.com/__FMR__","@__FMR__")</f>
        <v>@__FMR__</v>
      </c>
      <c r="C2056" s="9" t="s">
        <v>5274</v>
      </c>
      <c r="D2056" s="9" t="s">
        <v>5289</v>
      </c>
      <c r="E2056" s="10" t="str">
        <f>HYPERLINK("https://twitter.com/__FMR__/status/723240372143554560","723240372143554560")</f>
        <v>723240372143554560</v>
      </c>
      <c r="F2056" s="11" t="s">
        <v>243</v>
      </c>
      <c r="G2056" s="11">
        <v>767</v>
      </c>
      <c r="H2056" s="11">
        <v>577</v>
      </c>
      <c r="I2056" s="11">
        <v>0</v>
      </c>
      <c r="J2056" s="11">
        <v>0</v>
      </c>
      <c r="K2056" s="11" t="s">
        <v>21</v>
      </c>
      <c r="L2056" s="7">
        <v>40030.77270833333</v>
      </c>
      <c r="M2056" s="12" t="s">
        <v>1116</v>
      </c>
      <c r="N2056" s="12" t="s">
        <v>5276</v>
      </c>
      <c r="O2056" s="10" t="str">
        <f>HYPERLINK("https://pbs.twimg.com/profile_images/973957381/libertarian_minilogo_normal.jpg","View")</f>
        <v>View</v>
      </c>
      <c r="P2056" s="11"/>
    </row>
    <row r="2057" spans="1:16" ht="12.75" x14ac:dyDescent="0.35">
      <c r="A2057" s="7">
        <v>42482.064050925925</v>
      </c>
      <c r="B2057" s="8" t="str">
        <f>HYPERLINK("https://twitter.com/kenminesinger","@kenminesinger")</f>
        <v>@kenminesinger</v>
      </c>
      <c r="C2057" s="9" t="s">
        <v>399</v>
      </c>
      <c r="D2057" s="9" t="s">
        <v>5290</v>
      </c>
      <c r="E2057" s="10" t="str">
        <f>HYPERLINK("https://twitter.com/kenminesinger/status/723240449188601856","723240449188601856")</f>
        <v>723240449188601856</v>
      </c>
      <c r="F2057" s="11" t="s">
        <v>20</v>
      </c>
      <c r="G2057" s="11">
        <v>6781</v>
      </c>
      <c r="H2057" s="11">
        <v>4501</v>
      </c>
      <c r="I2057" s="11">
        <v>0</v>
      </c>
      <c r="J2057" s="11">
        <v>0</v>
      </c>
      <c r="K2057" s="11" t="s">
        <v>21</v>
      </c>
      <c r="L2057" s="7">
        <v>40265.835057870368</v>
      </c>
      <c r="M2057" s="12" t="s">
        <v>401</v>
      </c>
      <c r="N2057" s="12" t="s">
        <v>402</v>
      </c>
      <c r="O2057" s="10" t="str">
        <f>HYPERLINK("https://pbs.twimg.com/profile_images/653964889468243968/EqURjf02_normal.png","View")</f>
        <v>View</v>
      </c>
      <c r="P2057" s="11"/>
    </row>
    <row r="2058" spans="1:16" ht="12.75" x14ac:dyDescent="0.35">
      <c r="A2058" s="7">
        <v>42482.064317129625</v>
      </c>
      <c r="B2058" s="8" t="str">
        <f>HYPERLINK("https://twitter.com/CStichternath","@CStichternath")</f>
        <v>@CStichternath</v>
      </c>
      <c r="C2058" s="9" t="s">
        <v>5291</v>
      </c>
      <c r="D2058" s="9" t="s">
        <v>5292</v>
      </c>
      <c r="E2058" s="10" t="str">
        <f>HYPERLINK("https://twitter.com/CStichternath/status/723240543065636865","723240543065636865")</f>
        <v>723240543065636865</v>
      </c>
      <c r="F2058" s="11" t="s">
        <v>1838</v>
      </c>
      <c r="G2058" s="11">
        <v>30</v>
      </c>
      <c r="H2058" s="11">
        <v>48</v>
      </c>
      <c r="I2058" s="11">
        <v>0</v>
      </c>
      <c r="J2058" s="11">
        <v>0</v>
      </c>
      <c r="K2058" s="11" t="s">
        <v>21</v>
      </c>
      <c r="L2058" s="7">
        <v>40228.709201388891</v>
      </c>
      <c r="M2058" s="12" t="s">
        <v>5293</v>
      </c>
      <c r="N2058" s="12" t="s">
        <v>5294</v>
      </c>
      <c r="O2058" s="10" t="str">
        <f>HYPERLINK("https://pbs.twimg.com/profile_images/476661008811847680/VZBVGPU4_normal.jpeg","View")</f>
        <v>View</v>
      </c>
      <c r="P2058" s="11"/>
    </row>
    <row r="2059" spans="1:16" ht="12.75" x14ac:dyDescent="0.35">
      <c r="A2059" s="7">
        <v>42482.064641203702</v>
      </c>
      <c r="B2059" s="8" t="str">
        <f>HYPERLINK("https://twitter.com/copeyphoto","@copeyphoto")</f>
        <v>@copeyphoto</v>
      </c>
      <c r="C2059" s="9" t="s">
        <v>5295</v>
      </c>
      <c r="D2059" s="9" t="s">
        <v>5296</v>
      </c>
      <c r="E2059" s="10" t="str">
        <f>HYPERLINK("https://twitter.com/copeyphoto/status/723240660556345344","723240660556345344")</f>
        <v>723240660556345344</v>
      </c>
      <c r="F2059" s="11" t="s">
        <v>114</v>
      </c>
      <c r="G2059" s="11">
        <v>115</v>
      </c>
      <c r="H2059" s="11">
        <v>209</v>
      </c>
      <c r="I2059" s="11">
        <v>0</v>
      </c>
      <c r="J2059" s="11">
        <v>0</v>
      </c>
      <c r="K2059" s="11" t="s">
        <v>21</v>
      </c>
      <c r="L2059" s="7">
        <v>40091.804143518515</v>
      </c>
      <c r="M2059" s="12" t="s">
        <v>5297</v>
      </c>
      <c r="N2059" s="12" t="s">
        <v>5298</v>
      </c>
      <c r="O2059" s="10" t="str">
        <f>HYPERLINK("https://pbs.twimg.com/profile_images/471360227137163264/w2Gvricp_normal.png","View")</f>
        <v>View</v>
      </c>
      <c r="P2059" s="11"/>
    </row>
    <row r="2060" spans="1:16" ht="12.75" x14ac:dyDescent="0.35">
      <c r="A2060" s="7">
        <v>42482.065370370372</v>
      </c>
      <c r="B2060" s="8" t="str">
        <f>HYPERLINK("https://twitter.com/SebastianAxel22","@SebastianAxel22")</f>
        <v>@SebastianAxel22</v>
      </c>
      <c r="C2060" s="9" t="s">
        <v>5299</v>
      </c>
      <c r="D2060" s="9" t="s">
        <v>2825</v>
      </c>
      <c r="E2060" s="10" t="str">
        <f>HYPERLINK("https://twitter.com/SebastianAxel22/status/723240926823456768","723240926823456768")</f>
        <v>723240926823456768</v>
      </c>
      <c r="F2060" s="11" t="s">
        <v>48</v>
      </c>
      <c r="G2060" s="11">
        <v>612</v>
      </c>
      <c r="H2060" s="11">
        <v>711</v>
      </c>
      <c r="I2060" s="11">
        <v>53</v>
      </c>
      <c r="J2060" s="11">
        <v>0</v>
      </c>
      <c r="K2060" s="11" t="s">
        <v>21</v>
      </c>
      <c r="L2060" s="7">
        <v>42002.064027777778</v>
      </c>
      <c r="M2060" s="12" t="s">
        <v>5300</v>
      </c>
      <c r="N2060" s="12" t="s">
        <v>5301</v>
      </c>
      <c r="O2060" s="10" t="str">
        <f>HYPERLINK("https://pbs.twimg.com/profile_images/722546011785314304/6t5bGvMX_normal.jpg","View")</f>
        <v>View</v>
      </c>
      <c r="P2060" s="11"/>
    </row>
    <row r="2061" spans="1:16" ht="12.75" x14ac:dyDescent="0.35">
      <c r="A2061" s="7">
        <v>42482.066145833334</v>
      </c>
      <c r="B2061" s="8" t="str">
        <f>HYPERLINK("https://twitter.com/Covhour","@Covhour")</f>
        <v>@Covhour</v>
      </c>
      <c r="C2061" s="9" t="s">
        <v>5302</v>
      </c>
      <c r="D2061" s="9" t="s">
        <v>5187</v>
      </c>
      <c r="E2061" s="10" t="str">
        <f>HYPERLINK("https://twitter.com/Covhour/status/723241208429064192","723241208429064192")</f>
        <v>723241208429064192</v>
      </c>
      <c r="F2061" s="11" t="s">
        <v>20</v>
      </c>
      <c r="G2061" s="11">
        <v>8274</v>
      </c>
      <c r="H2061" s="11">
        <v>4617</v>
      </c>
      <c r="I2061" s="11">
        <v>4</v>
      </c>
      <c r="J2061" s="11">
        <v>0</v>
      </c>
      <c r="K2061" s="11" t="s">
        <v>21</v>
      </c>
      <c r="L2061" s="7">
        <v>41508.550266203703</v>
      </c>
      <c r="M2061" s="12" t="s">
        <v>5303</v>
      </c>
      <c r="N2061" s="12" t="s">
        <v>5304</v>
      </c>
      <c r="O2061" s="10" t="str">
        <f>HYPERLINK("https://pbs.twimg.com/profile_images/675630394323116032/It1YLK41_normal.jpg","View")</f>
        <v>View</v>
      </c>
      <c r="P2061" s="11"/>
    </row>
    <row r="2062" spans="1:16" ht="12.75" x14ac:dyDescent="0.35">
      <c r="A2062" s="7">
        <v>42482.066655092596</v>
      </c>
      <c r="B2062" s="8" t="str">
        <f>HYPERLINK("https://twitter.com/wingolfahrens","@wingolfahrens")</f>
        <v>@wingolfahrens</v>
      </c>
      <c r="C2062" s="9" t="s">
        <v>5305</v>
      </c>
      <c r="D2062" s="9" t="s">
        <v>5306</v>
      </c>
      <c r="E2062" s="10" t="str">
        <f>HYPERLINK("https://twitter.com/wingolfahrens/status/723241390583480321","723241390583480321")</f>
        <v>723241390583480321</v>
      </c>
      <c r="F2062" s="11" t="s">
        <v>43</v>
      </c>
      <c r="G2062" s="11">
        <v>1562</v>
      </c>
      <c r="H2062" s="11">
        <v>1554</v>
      </c>
      <c r="I2062" s="11">
        <v>0</v>
      </c>
      <c r="J2062" s="11">
        <v>0</v>
      </c>
      <c r="K2062" s="11" t="s">
        <v>21</v>
      </c>
      <c r="L2062" s="7">
        <v>40216.676064814819</v>
      </c>
      <c r="M2062" s="12" t="s">
        <v>5307</v>
      </c>
      <c r="N2062" s="12" t="s">
        <v>5308</v>
      </c>
      <c r="O2062" s="10" t="str">
        <f>HYPERLINK("https://pbs.twimg.com/profile_images/567885073085497345/rjPuxr0h_normal.jpeg","View")</f>
        <v>View</v>
      </c>
      <c r="P2062" s="11"/>
    </row>
    <row r="2063" spans="1:16" ht="12.75" x14ac:dyDescent="0.35">
      <c r="A2063" s="7">
        <v>42482.066747685181</v>
      </c>
      <c r="B2063" s="8" t="str">
        <f>HYPERLINK("https://twitter.com/VWBeetleSales","@VWBeetleSales")</f>
        <v>@VWBeetleSales</v>
      </c>
      <c r="C2063" s="9" t="s">
        <v>127</v>
      </c>
      <c r="D2063" s="9" t="s">
        <v>5309</v>
      </c>
      <c r="E2063" s="10" t="str">
        <f>HYPERLINK("https://twitter.com/VWBeetleSales/status/723241424079048705","723241424079048705")</f>
        <v>723241424079048705</v>
      </c>
      <c r="F2063" s="10" t="s">
        <v>124</v>
      </c>
      <c r="G2063" s="11">
        <v>35</v>
      </c>
      <c r="H2063" s="11">
        <v>32</v>
      </c>
      <c r="I2063" s="11">
        <v>0</v>
      </c>
      <c r="J2063" s="11">
        <v>0</v>
      </c>
      <c r="K2063" s="11" t="s">
        <v>21</v>
      </c>
      <c r="L2063" s="7">
        <v>42427.019756944443</v>
      </c>
      <c r="M2063" s="12" t="s">
        <v>129</v>
      </c>
      <c r="N2063" s="12" t="s">
        <v>130</v>
      </c>
      <c r="O2063" s="10" t="str">
        <f>HYPERLINK("https://pbs.twimg.com/profile_images/703294545195307008/qeCvrX86_normal.jpg","View")</f>
        <v>View</v>
      </c>
      <c r="P2063" s="11"/>
    </row>
    <row r="2064" spans="1:16" ht="12.75" x14ac:dyDescent="0.35">
      <c r="A2064" s="7">
        <v>42482.066747685181</v>
      </c>
      <c r="B2064" s="8" t="str">
        <f>HYPERLINK("https://twitter.com/Jbattey716","@Jbattey716")</f>
        <v>@Jbattey716</v>
      </c>
      <c r="C2064" s="9" t="s">
        <v>5310</v>
      </c>
      <c r="D2064" s="9" t="s">
        <v>5311</v>
      </c>
      <c r="E2064" s="10" t="str">
        <f>HYPERLINK("https://twitter.com/Jbattey716/status/723241426163654656","723241426163654656")</f>
        <v>723241426163654656</v>
      </c>
      <c r="F2064" s="11" t="s">
        <v>114</v>
      </c>
      <c r="G2064" s="11">
        <v>770</v>
      </c>
      <c r="H2064" s="11">
        <v>782</v>
      </c>
      <c r="I2064" s="11">
        <v>0</v>
      </c>
      <c r="J2064" s="11">
        <v>0</v>
      </c>
      <c r="K2064" s="11" t="s">
        <v>21</v>
      </c>
      <c r="L2064" s="7">
        <v>40665.483969907407</v>
      </c>
      <c r="M2064" s="12" t="s">
        <v>5312</v>
      </c>
      <c r="N2064" s="12"/>
      <c r="O2064" s="10" t="str">
        <f>HYPERLINK("https://pbs.twimg.com/profile_images/708300383148441600/aQ4jwyAW_normal.jpg","View")</f>
        <v>View</v>
      </c>
      <c r="P2064" s="11"/>
    </row>
    <row r="2065" spans="1:16" ht="12.75" x14ac:dyDescent="0.35">
      <c r="A2065" s="7">
        <v>42482.066770833335</v>
      </c>
      <c r="B2065" s="8" t="str">
        <f>HYPERLINK("https://twitter.com/VWBeetleSales","@VWBeetleSales")</f>
        <v>@VWBeetleSales</v>
      </c>
      <c r="C2065" s="9" t="s">
        <v>127</v>
      </c>
      <c r="D2065" s="9" t="s">
        <v>5313</v>
      </c>
      <c r="E2065" s="10" t="str">
        <f>HYPERLINK("https://twitter.com/VWBeetleSales/status/723241433210068992","723241433210068992")</f>
        <v>723241433210068992</v>
      </c>
      <c r="F2065" s="10" t="s">
        <v>124</v>
      </c>
      <c r="G2065" s="11">
        <v>35</v>
      </c>
      <c r="H2065" s="11">
        <v>32</v>
      </c>
      <c r="I2065" s="11">
        <v>0</v>
      </c>
      <c r="J2065" s="11">
        <v>0</v>
      </c>
      <c r="K2065" s="11" t="s">
        <v>21</v>
      </c>
      <c r="L2065" s="7">
        <v>42427.019756944443</v>
      </c>
      <c r="M2065" s="12" t="s">
        <v>129</v>
      </c>
      <c r="N2065" s="12" t="s">
        <v>130</v>
      </c>
      <c r="O2065" s="10" t="str">
        <f>HYPERLINK("https://pbs.twimg.com/profile_images/703294545195307008/qeCvrX86_normal.jpg","View")</f>
        <v>View</v>
      </c>
      <c r="P2065" s="11"/>
    </row>
    <row r="2066" spans="1:16" ht="12.75" x14ac:dyDescent="0.35">
      <c r="A2066" s="7">
        <v>42482.067060185189</v>
      </c>
      <c r="B2066" s="8" t="str">
        <f>HYPERLINK("https://twitter.com/RETROPOT","@RETROPOT")</f>
        <v>@RETROPOT</v>
      </c>
      <c r="C2066" s="9" t="s">
        <v>5314</v>
      </c>
      <c r="D2066" s="9" t="s">
        <v>5315</v>
      </c>
      <c r="E2066" s="10" t="str">
        <f>HYPERLINK("https://twitter.com/RETROPOT/status/723241537921015809","723241537921015809")</f>
        <v>723241537921015809</v>
      </c>
      <c r="F2066" s="11" t="s">
        <v>748</v>
      </c>
      <c r="G2066" s="11">
        <v>184</v>
      </c>
      <c r="H2066" s="11">
        <v>44</v>
      </c>
      <c r="I2066" s="11">
        <v>0</v>
      </c>
      <c r="J2066" s="11">
        <v>0</v>
      </c>
      <c r="K2066" s="11" t="s">
        <v>21</v>
      </c>
      <c r="L2066" s="7">
        <v>41654.698900462965</v>
      </c>
      <c r="M2066" s="12"/>
      <c r="N2066" s="12" t="s">
        <v>5316</v>
      </c>
      <c r="O2066" s="10" t="str">
        <f>HYPERLINK("https://pbs.twimg.com/profile_images/664095102885879808/9XJjykPM_normal.png","View")</f>
        <v>View</v>
      </c>
      <c r="P2066" s="11"/>
    </row>
    <row r="2067" spans="1:16" ht="12.75" x14ac:dyDescent="0.35">
      <c r="A2067" s="7">
        <v>42482.067210648151</v>
      </c>
      <c r="B2067" s="8" t="str">
        <f>HYPERLINK("https://twitter.com/XJR100","@XJR100")</f>
        <v>@XJR100</v>
      </c>
      <c r="C2067" s="9" t="s">
        <v>5317</v>
      </c>
      <c r="D2067" s="9" t="s">
        <v>5233</v>
      </c>
      <c r="E2067" s="10" t="str">
        <f>HYPERLINK("https://twitter.com/XJR100/status/723241593797386240","723241593797386240")</f>
        <v>723241593797386240</v>
      </c>
      <c r="F2067" s="11" t="s">
        <v>160</v>
      </c>
      <c r="G2067" s="11">
        <v>643</v>
      </c>
      <c r="H2067" s="11">
        <v>596</v>
      </c>
      <c r="I2067" s="11">
        <v>4</v>
      </c>
      <c r="J2067" s="11">
        <v>0</v>
      </c>
      <c r="K2067" s="11" t="s">
        <v>21</v>
      </c>
      <c r="L2067" s="7">
        <v>41126.96365740741</v>
      </c>
      <c r="M2067" s="12" t="s">
        <v>5318</v>
      </c>
      <c r="N2067" s="12" t="s">
        <v>5319</v>
      </c>
      <c r="O2067" s="10" t="str">
        <f>HYPERLINK("https://pbs.twimg.com/profile_images/681029849192988672/gIwaZ0pH_normal.jpg","View")</f>
        <v>View</v>
      </c>
      <c r="P2067" s="11"/>
    </row>
    <row r="2068" spans="1:16" ht="12.75" x14ac:dyDescent="0.35">
      <c r="A2068" s="7">
        <v>42482.067430555559</v>
      </c>
      <c r="B2068" s="8" t="str">
        <f>HYPERLINK("https://twitter.com/RugbyHour","@RugbyHour")</f>
        <v>@RugbyHour</v>
      </c>
      <c r="C2068" s="9" t="s">
        <v>5320</v>
      </c>
      <c r="D2068" s="9" t="s">
        <v>5321</v>
      </c>
      <c r="E2068" s="10" t="str">
        <f>HYPERLINK("https://twitter.com/RugbyHour/status/723241674080706560","723241674080706560")</f>
        <v>723241674080706560</v>
      </c>
      <c r="F2068" s="11" t="s">
        <v>20</v>
      </c>
      <c r="G2068" s="11">
        <v>4425</v>
      </c>
      <c r="H2068" s="11">
        <v>3050</v>
      </c>
      <c r="I2068" s="11">
        <v>1</v>
      </c>
      <c r="J2068" s="11">
        <v>0</v>
      </c>
      <c r="K2068" s="11" t="s">
        <v>21</v>
      </c>
      <c r="L2068" s="7">
        <v>41669.207384259258</v>
      </c>
      <c r="M2068" s="12" t="s">
        <v>5322</v>
      </c>
      <c r="N2068" s="12" t="s">
        <v>5323</v>
      </c>
      <c r="O2068" s="10" t="str">
        <f>HYPERLINK("https://pbs.twimg.com/profile_images/575692572691070976/MRKUj9hX_normal.png","View")</f>
        <v>View</v>
      </c>
      <c r="P2068" s="11"/>
    </row>
    <row r="2069" spans="1:16" ht="12.75" x14ac:dyDescent="0.35">
      <c r="A2069" s="7">
        <v>42482.067511574074</v>
      </c>
      <c r="B2069" s="8" t="str">
        <f>HYPERLINK("https://twitter.com/DanaFlavelle","@DanaFlavelle")</f>
        <v>@DanaFlavelle</v>
      </c>
      <c r="C2069" s="9" t="s">
        <v>5324</v>
      </c>
      <c r="D2069" s="9" t="s">
        <v>5325</v>
      </c>
      <c r="E2069" s="10" t="str">
        <f>HYPERLINK("https://twitter.com/DanaFlavelle/status/723241703067553792","723241703067553792")</f>
        <v>723241703067553792</v>
      </c>
      <c r="F2069" s="11" t="s">
        <v>152</v>
      </c>
      <c r="G2069" s="11">
        <v>1031</v>
      </c>
      <c r="H2069" s="11">
        <v>168</v>
      </c>
      <c r="I2069" s="11">
        <v>1</v>
      </c>
      <c r="J2069" s="11">
        <v>0</v>
      </c>
      <c r="K2069" s="11" t="s">
        <v>21</v>
      </c>
      <c r="L2069" s="7">
        <v>39858.172662037039</v>
      </c>
      <c r="M2069" s="12" t="s">
        <v>5326</v>
      </c>
      <c r="N2069" s="12" t="s">
        <v>5327</v>
      </c>
      <c r="O2069" s="10" t="str">
        <f>HYPERLINK("https://pbs.twimg.com/profile_images/672857547104235520/tNqMYM_h_normal.jpg","View")</f>
        <v>View</v>
      </c>
      <c r="P2069" s="11"/>
    </row>
    <row r="2070" spans="1:16" ht="12.75" x14ac:dyDescent="0.35">
      <c r="A2070" s="7">
        <v>42482.067905092597</v>
      </c>
      <c r="B2070" s="8" t="str">
        <f>HYPERLINK("https://twitter.com/PatooBFC","@PatooBFC")</f>
        <v>@PatooBFC</v>
      </c>
      <c r="C2070" s="9" t="s">
        <v>5328</v>
      </c>
      <c r="D2070" s="9" t="s">
        <v>2825</v>
      </c>
      <c r="E2070" s="10" t="str">
        <f>HYPERLINK("https://twitter.com/PatooBFC/status/723241842616221696","723241842616221696")</f>
        <v>723241842616221696</v>
      </c>
      <c r="F2070" s="11" t="s">
        <v>48</v>
      </c>
      <c r="G2070" s="11">
        <v>364</v>
      </c>
      <c r="H2070" s="11">
        <v>357</v>
      </c>
      <c r="I2070" s="11">
        <v>53</v>
      </c>
      <c r="J2070" s="11">
        <v>0</v>
      </c>
      <c r="K2070" s="11" t="s">
        <v>21</v>
      </c>
      <c r="L2070" s="7">
        <v>41831.105868055558</v>
      </c>
      <c r="M2070" s="12" t="s">
        <v>5329</v>
      </c>
      <c r="N2070" s="12" t="s">
        <v>5330</v>
      </c>
      <c r="O2070" s="10" t="str">
        <f>HYPERLINK("https://pbs.twimg.com/profile_images/722421409373384704/I7QGl5WZ_normal.jpg","View")</f>
        <v>View</v>
      </c>
      <c r="P2070" s="11"/>
    </row>
    <row r="2071" spans="1:16" ht="12.75" x14ac:dyDescent="0.35">
      <c r="A2071" s="7">
        <v>42482.068020833336</v>
      </c>
      <c r="B2071" s="8" t="str">
        <f>HYPERLINK("https://twitter.com/mycomfor","@mycomfor")</f>
        <v>@mycomfor</v>
      </c>
      <c r="C2071" s="9" t="s">
        <v>5331</v>
      </c>
      <c r="D2071" s="9" t="s">
        <v>5332</v>
      </c>
      <c r="E2071" s="10" t="str">
        <f>HYPERLINK("https://twitter.com/mycomfor/status/723241884374720513","723241884374720513")</f>
        <v>723241884374720513</v>
      </c>
      <c r="F2071" s="11" t="s">
        <v>5333</v>
      </c>
      <c r="G2071" s="11">
        <v>497</v>
      </c>
      <c r="H2071" s="11">
        <v>152</v>
      </c>
      <c r="I2071" s="11">
        <v>0</v>
      </c>
      <c r="J2071" s="11">
        <v>0</v>
      </c>
      <c r="K2071" s="11" t="s">
        <v>21</v>
      </c>
      <c r="L2071" s="7">
        <v>40598.987986111111</v>
      </c>
      <c r="M2071" s="12" t="s">
        <v>5334</v>
      </c>
      <c r="N2071" s="12" t="s">
        <v>5335</v>
      </c>
      <c r="O2071" s="10" t="str">
        <f>HYPERLINK("https://pbs.twimg.com/profile_images/1254132835/3com_normal.jpg","View")</f>
        <v>View</v>
      </c>
      <c r="P2071" s="11"/>
    </row>
    <row r="2072" spans="1:16" ht="12.75" x14ac:dyDescent="0.35">
      <c r="A2072" s="7">
        <v>42482.068888888884</v>
      </c>
      <c r="B2072" s="8" t="str">
        <f>HYPERLINK("https://twitter.com/thechronoduo","@thechronoduo")</f>
        <v>@thechronoduo</v>
      </c>
      <c r="C2072" s="9" t="s">
        <v>5336</v>
      </c>
      <c r="D2072" s="9" t="s">
        <v>5337</v>
      </c>
      <c r="E2072" s="10" t="str">
        <f>HYPERLINK("https://twitter.com/thechronoduo/status/723242200973336578","723242200973336578")</f>
        <v>723242200973336578</v>
      </c>
      <c r="F2072" s="11" t="s">
        <v>114</v>
      </c>
      <c r="G2072" s="11">
        <v>4</v>
      </c>
      <c r="H2072" s="11">
        <v>16</v>
      </c>
      <c r="I2072" s="11">
        <v>0</v>
      </c>
      <c r="J2072" s="11">
        <v>0</v>
      </c>
      <c r="K2072" s="11" t="s">
        <v>21</v>
      </c>
      <c r="L2072" s="7">
        <v>42438.060254629629</v>
      </c>
      <c r="M2072" s="12" t="s">
        <v>1072</v>
      </c>
      <c r="N2072" s="12" t="s">
        <v>5338</v>
      </c>
      <c r="O2072" s="10" t="str">
        <f>HYPERLINK("https://pbs.twimg.com/profile_images/707295482314358784/nCD4dA4j_normal.jpg","View")</f>
        <v>View</v>
      </c>
      <c r="P2072" s="11"/>
    </row>
    <row r="2073" spans="1:16" ht="12.75" x14ac:dyDescent="0.35">
      <c r="A2073" s="7">
        <v>42482.069594907407</v>
      </c>
      <c r="B2073" s="8" t="str">
        <f>HYPERLINK("https://twitter.com/Thompson_VW","@Thompson_VW")</f>
        <v>@Thompson_VW</v>
      </c>
      <c r="C2073" s="9" t="s">
        <v>5339</v>
      </c>
      <c r="D2073" s="9" t="s">
        <v>5340</v>
      </c>
      <c r="E2073" s="10" t="str">
        <f>HYPERLINK("https://twitter.com/Thompson_VW/status/723242458251927554","723242458251927554")</f>
        <v>723242458251927554</v>
      </c>
      <c r="F2073" s="11" t="s">
        <v>43</v>
      </c>
      <c r="G2073" s="11">
        <v>266</v>
      </c>
      <c r="H2073" s="11">
        <v>418</v>
      </c>
      <c r="I2073" s="11">
        <v>0</v>
      </c>
      <c r="J2073" s="11">
        <v>0</v>
      </c>
      <c r="K2073" s="11" t="s">
        <v>21</v>
      </c>
      <c r="L2073" s="7">
        <v>41326.84847222222</v>
      </c>
      <c r="M2073" s="12" t="s">
        <v>5341</v>
      </c>
      <c r="N2073" s="12" t="s">
        <v>5342</v>
      </c>
      <c r="O2073" s="10" t="str">
        <f>HYPERLINK("https://pbs.twimg.com/profile_images/713406103959248896/_ekHpmrP_normal.jpg","View")</f>
        <v>View</v>
      </c>
      <c r="P2073" s="11"/>
    </row>
    <row r="2074" spans="1:16" ht="12.75" x14ac:dyDescent="0.35">
      <c r="A2074" s="7">
        <v>42482.070636574077</v>
      </c>
      <c r="B2074" s="8" t="str">
        <f>HYPERLINK("https://twitter.com/ChrisHuxley72","@ChrisHuxley72")</f>
        <v>@ChrisHuxley72</v>
      </c>
      <c r="C2074" s="9" t="s">
        <v>5343</v>
      </c>
      <c r="D2074" s="9" t="s">
        <v>5344</v>
      </c>
      <c r="E2074" s="10" t="str">
        <f>HYPERLINK("https://twitter.com/ChrisHuxley72/status/723242835701579777","723242835701579777")</f>
        <v>723242835701579777</v>
      </c>
      <c r="F2074" s="11" t="s">
        <v>48</v>
      </c>
      <c r="G2074" s="11">
        <v>70</v>
      </c>
      <c r="H2074" s="11">
        <v>312</v>
      </c>
      <c r="I2074" s="11">
        <v>0</v>
      </c>
      <c r="J2074" s="11">
        <v>0</v>
      </c>
      <c r="K2074" s="11" t="s">
        <v>21</v>
      </c>
      <c r="L2074" s="7">
        <v>41244.650023148148</v>
      </c>
      <c r="M2074" s="12" t="s">
        <v>5345</v>
      </c>
      <c r="N2074" s="12" t="s">
        <v>5346</v>
      </c>
      <c r="O2074" s="10" t="str">
        <f>HYPERLINK("https://pbs.twimg.com/profile_images/636999179915632640/R31p6Pl2_normal.jpg","View")</f>
        <v>View</v>
      </c>
      <c r="P2074" s="11"/>
    </row>
    <row r="2075" spans="1:16" ht="12.75" x14ac:dyDescent="0.35">
      <c r="A2075" s="7">
        <v>42482.070833333331</v>
      </c>
      <c r="B2075" s="8" t="str">
        <f>HYPERLINK("https://twitter.com/Insta_VWT","@Insta_VWT")</f>
        <v>@Insta_VWT</v>
      </c>
      <c r="C2075" s="9" t="s">
        <v>181</v>
      </c>
      <c r="D2075" s="9" t="s">
        <v>5347</v>
      </c>
      <c r="E2075" s="10" t="str">
        <f>HYPERLINK("https://twitter.com/Insta_VWT/status/723242903481516032","723242903481516032")</f>
        <v>723242903481516032</v>
      </c>
      <c r="F2075" s="11" t="s">
        <v>68</v>
      </c>
      <c r="G2075" s="11">
        <v>480</v>
      </c>
      <c r="H2075" s="11">
        <v>0</v>
      </c>
      <c r="I2075" s="11">
        <v>0</v>
      </c>
      <c r="J2075" s="11">
        <v>0</v>
      </c>
      <c r="K2075" s="11" t="s">
        <v>21</v>
      </c>
      <c r="L2075" s="7">
        <v>41658.782800925925</v>
      </c>
      <c r="M2075" s="12" t="s">
        <v>183</v>
      </c>
      <c r="N2075" s="12" t="s">
        <v>184</v>
      </c>
      <c r="O2075" s="10" t="str">
        <f>HYPERLINK("https://pbs.twimg.com/profile_images/424893967197433858/iQ86NktX_normal.jpeg","View")</f>
        <v>View</v>
      </c>
      <c r="P2075" s="11"/>
    </row>
    <row r="2076" spans="1:16" ht="12.75" x14ac:dyDescent="0.35">
      <c r="A2076" s="7">
        <v>42482.070856481485</v>
      </c>
      <c r="B2076" s="8" t="str">
        <f>HYPERLINK("https://twitter.com/Troposfera","@Troposfera")</f>
        <v>@Troposfera</v>
      </c>
      <c r="C2076" s="8" t="s">
        <v>5348</v>
      </c>
      <c r="D2076" s="9" t="s">
        <v>5349</v>
      </c>
      <c r="E2076" s="10" t="str">
        <f>HYPERLINK("https://twitter.com/Troposfera/status/723242914743242752","723242914743242752")</f>
        <v>723242914743242752</v>
      </c>
      <c r="F2076" s="11" t="s">
        <v>43</v>
      </c>
      <c r="G2076" s="11">
        <v>7082</v>
      </c>
      <c r="H2076" s="11">
        <v>4387</v>
      </c>
      <c r="I2076" s="11">
        <v>0</v>
      </c>
      <c r="J2076" s="11">
        <v>0</v>
      </c>
      <c r="K2076" s="11" t="s">
        <v>21</v>
      </c>
      <c r="L2076" s="7">
        <v>39891.671620370369</v>
      </c>
      <c r="M2076" s="12" t="s">
        <v>5350</v>
      </c>
      <c r="N2076" s="12" t="s">
        <v>5351</v>
      </c>
      <c r="O2076" s="10" t="str">
        <f>HYPERLINK("https://pbs.twimg.com/profile_images/1827590777/troposfera_normal.jpg","View")</f>
        <v>View</v>
      </c>
      <c r="P2076" s="11"/>
    </row>
    <row r="2077" spans="1:16" ht="12.75" x14ac:dyDescent="0.35">
      <c r="A2077" s="7">
        <v>42482.070879629631</v>
      </c>
      <c r="B2077" s="8" t="str">
        <f t="shared" ref="B2077:B2084" si="195">HYPERLINK("https://twitter.com/Insta_VWT","@Insta_VWT")</f>
        <v>@Insta_VWT</v>
      </c>
      <c r="C2077" s="9" t="s">
        <v>181</v>
      </c>
      <c r="D2077" s="9" t="s">
        <v>5352</v>
      </c>
      <c r="E2077" s="10" t="str">
        <f>HYPERLINK("https://twitter.com/Insta_VWT/status/723242922813079554","723242922813079554")</f>
        <v>723242922813079554</v>
      </c>
      <c r="F2077" s="11" t="s">
        <v>68</v>
      </c>
      <c r="G2077" s="11">
        <v>480</v>
      </c>
      <c r="H2077" s="11">
        <v>0</v>
      </c>
      <c r="I2077" s="11">
        <v>0</v>
      </c>
      <c r="J2077" s="11">
        <v>1</v>
      </c>
      <c r="K2077" s="11" t="s">
        <v>21</v>
      </c>
      <c r="L2077" s="7">
        <v>41658.782800925925</v>
      </c>
      <c r="M2077" s="12" t="s">
        <v>183</v>
      </c>
      <c r="N2077" s="12" t="s">
        <v>184</v>
      </c>
      <c r="O2077" s="10" t="str">
        <f t="shared" ref="O2077:O2084" si="196">HYPERLINK("https://pbs.twimg.com/profile_images/424893967197433858/iQ86NktX_normal.jpeg","View")</f>
        <v>View</v>
      </c>
      <c r="P2077" s="11"/>
    </row>
    <row r="2078" spans="1:16" ht="12.75" x14ac:dyDescent="0.35">
      <c r="A2078" s="7">
        <v>42482.070891203708</v>
      </c>
      <c r="B2078" s="8" t="str">
        <f t="shared" si="195"/>
        <v>@Insta_VWT</v>
      </c>
      <c r="C2078" s="9" t="s">
        <v>181</v>
      </c>
      <c r="D2078" s="9" t="s">
        <v>5353</v>
      </c>
      <c r="E2078" s="10" t="str">
        <f>HYPERLINK("https://twitter.com/Insta_VWT/status/723242928047591424","723242928047591424")</f>
        <v>723242928047591424</v>
      </c>
      <c r="F2078" s="11" t="s">
        <v>68</v>
      </c>
      <c r="G2078" s="11">
        <v>480</v>
      </c>
      <c r="H2078" s="11">
        <v>0</v>
      </c>
      <c r="I2078" s="11">
        <v>0</v>
      </c>
      <c r="J2078" s="11">
        <v>0</v>
      </c>
      <c r="K2078" s="11" t="s">
        <v>21</v>
      </c>
      <c r="L2078" s="7">
        <v>41658.782800925925</v>
      </c>
      <c r="M2078" s="12" t="s">
        <v>183</v>
      </c>
      <c r="N2078" s="12" t="s">
        <v>184</v>
      </c>
      <c r="O2078" s="10" t="str">
        <f t="shared" si="196"/>
        <v>View</v>
      </c>
      <c r="P2078" s="11"/>
    </row>
    <row r="2079" spans="1:16" ht="12.75" x14ac:dyDescent="0.35">
      <c r="A2079" s="7">
        <v>42482.070914351847</v>
      </c>
      <c r="B2079" s="8" t="str">
        <f t="shared" si="195"/>
        <v>@Insta_VWT</v>
      </c>
      <c r="C2079" s="9" t="s">
        <v>181</v>
      </c>
      <c r="D2079" s="9" t="s">
        <v>5354</v>
      </c>
      <c r="E2079" s="10" t="str">
        <f>HYPERLINK("https://twitter.com/Insta_VWT/status/723242933672140801","723242933672140801")</f>
        <v>723242933672140801</v>
      </c>
      <c r="F2079" s="11" t="s">
        <v>68</v>
      </c>
      <c r="G2079" s="11">
        <v>480</v>
      </c>
      <c r="H2079" s="11">
        <v>0</v>
      </c>
      <c r="I2079" s="11">
        <v>0</v>
      </c>
      <c r="J2079" s="11">
        <v>0</v>
      </c>
      <c r="K2079" s="11" t="s">
        <v>21</v>
      </c>
      <c r="L2079" s="7">
        <v>41658.782800925925</v>
      </c>
      <c r="M2079" s="12" t="s">
        <v>183</v>
      </c>
      <c r="N2079" s="12" t="s">
        <v>184</v>
      </c>
      <c r="O2079" s="10" t="str">
        <f t="shared" si="196"/>
        <v>View</v>
      </c>
      <c r="P2079" s="11"/>
    </row>
    <row r="2080" spans="1:16" ht="12.75" x14ac:dyDescent="0.35">
      <c r="A2080" s="7">
        <v>42482.070925925931</v>
      </c>
      <c r="B2080" s="8" t="str">
        <f t="shared" si="195"/>
        <v>@Insta_VWT</v>
      </c>
      <c r="C2080" s="9" t="s">
        <v>181</v>
      </c>
      <c r="D2080" s="9" t="s">
        <v>5355</v>
      </c>
      <c r="E2080" s="10" t="str">
        <f>HYPERLINK("https://twitter.com/Insta_VWT/status/723242940756332544","723242940756332544")</f>
        <v>723242940756332544</v>
      </c>
      <c r="F2080" s="11" t="s">
        <v>68</v>
      </c>
      <c r="G2080" s="11">
        <v>480</v>
      </c>
      <c r="H2080" s="11">
        <v>0</v>
      </c>
      <c r="I2080" s="11">
        <v>0</v>
      </c>
      <c r="J2080" s="11">
        <v>0</v>
      </c>
      <c r="K2080" s="11" t="s">
        <v>21</v>
      </c>
      <c r="L2080" s="7">
        <v>41658.782800925925</v>
      </c>
      <c r="M2080" s="12" t="s">
        <v>183</v>
      </c>
      <c r="N2080" s="12" t="s">
        <v>184</v>
      </c>
      <c r="O2080" s="10" t="str">
        <f t="shared" si="196"/>
        <v>View</v>
      </c>
      <c r="P2080" s="11"/>
    </row>
    <row r="2081" spans="1:16" ht="12.75" x14ac:dyDescent="0.35">
      <c r="A2081" s="7">
        <v>42482.07094907407</v>
      </c>
      <c r="B2081" s="8" t="str">
        <f t="shared" si="195"/>
        <v>@Insta_VWT</v>
      </c>
      <c r="C2081" s="9" t="s">
        <v>181</v>
      </c>
      <c r="D2081" s="9" t="s">
        <v>5356</v>
      </c>
      <c r="E2081" s="10" t="str">
        <f>HYPERLINK("https://twitter.com/Insta_VWT/status/723242946934521856","723242946934521856")</f>
        <v>723242946934521856</v>
      </c>
      <c r="F2081" s="11" t="s">
        <v>68</v>
      </c>
      <c r="G2081" s="11">
        <v>480</v>
      </c>
      <c r="H2081" s="11">
        <v>0</v>
      </c>
      <c r="I2081" s="11">
        <v>0</v>
      </c>
      <c r="J2081" s="11">
        <v>0</v>
      </c>
      <c r="K2081" s="11" t="s">
        <v>21</v>
      </c>
      <c r="L2081" s="7">
        <v>41658.782800925925</v>
      </c>
      <c r="M2081" s="12" t="s">
        <v>183</v>
      </c>
      <c r="N2081" s="12" t="s">
        <v>184</v>
      </c>
      <c r="O2081" s="10" t="str">
        <f t="shared" si="196"/>
        <v>View</v>
      </c>
      <c r="P2081" s="11"/>
    </row>
    <row r="2082" spans="1:16" ht="12.75" x14ac:dyDescent="0.35">
      <c r="A2082" s="7">
        <v>42482.070983796293</v>
      </c>
      <c r="B2082" s="8" t="str">
        <f t="shared" si="195"/>
        <v>@Insta_VWT</v>
      </c>
      <c r="C2082" s="9" t="s">
        <v>181</v>
      </c>
      <c r="D2082" s="9" t="s">
        <v>5357</v>
      </c>
      <c r="E2082" s="10" t="str">
        <f>HYPERLINK("https://twitter.com/Insta_VWT/status/723242961211908096","723242961211908096")</f>
        <v>723242961211908096</v>
      </c>
      <c r="F2082" s="11" t="s">
        <v>68</v>
      </c>
      <c r="G2082" s="11">
        <v>480</v>
      </c>
      <c r="H2082" s="11">
        <v>0</v>
      </c>
      <c r="I2082" s="11">
        <v>0</v>
      </c>
      <c r="J2082" s="11">
        <v>0</v>
      </c>
      <c r="K2082" s="11" t="s">
        <v>21</v>
      </c>
      <c r="L2082" s="7">
        <v>41658.782800925925</v>
      </c>
      <c r="M2082" s="12" t="s">
        <v>183</v>
      </c>
      <c r="N2082" s="12" t="s">
        <v>184</v>
      </c>
      <c r="O2082" s="10" t="str">
        <f t="shared" si="196"/>
        <v>View</v>
      </c>
      <c r="P2082" s="11"/>
    </row>
    <row r="2083" spans="1:16" ht="12.75" x14ac:dyDescent="0.35">
      <c r="A2083" s="7">
        <v>42482.071006944447</v>
      </c>
      <c r="B2083" s="8" t="str">
        <f t="shared" si="195"/>
        <v>@Insta_VWT</v>
      </c>
      <c r="C2083" s="9" t="s">
        <v>181</v>
      </c>
      <c r="D2083" s="9" t="s">
        <v>5358</v>
      </c>
      <c r="E2083" s="10" t="str">
        <f>HYPERLINK("https://twitter.com/Insta_VWT/status/723242967650172930","723242967650172930")</f>
        <v>723242967650172930</v>
      </c>
      <c r="F2083" s="11" t="s">
        <v>68</v>
      </c>
      <c r="G2083" s="11">
        <v>480</v>
      </c>
      <c r="H2083" s="11">
        <v>0</v>
      </c>
      <c r="I2083" s="11">
        <v>0</v>
      </c>
      <c r="J2083" s="11">
        <v>0</v>
      </c>
      <c r="K2083" s="11" t="s">
        <v>21</v>
      </c>
      <c r="L2083" s="7">
        <v>41658.782800925925</v>
      </c>
      <c r="M2083" s="12" t="s">
        <v>183</v>
      </c>
      <c r="N2083" s="12" t="s">
        <v>184</v>
      </c>
      <c r="O2083" s="10" t="str">
        <f t="shared" si="196"/>
        <v>View</v>
      </c>
      <c r="P2083" s="11"/>
    </row>
    <row r="2084" spans="1:16" ht="12.75" x14ac:dyDescent="0.35">
      <c r="A2084" s="7">
        <v>42482.071053240739</v>
      </c>
      <c r="B2084" s="8" t="str">
        <f t="shared" si="195"/>
        <v>@Insta_VWT</v>
      </c>
      <c r="C2084" s="9" t="s">
        <v>181</v>
      </c>
      <c r="D2084" s="9" t="s">
        <v>5359</v>
      </c>
      <c r="E2084" s="10" t="str">
        <f>HYPERLINK("https://twitter.com/Insta_VWT/status/723242986654601216","723242986654601216")</f>
        <v>723242986654601216</v>
      </c>
      <c r="F2084" s="11" t="s">
        <v>68</v>
      </c>
      <c r="G2084" s="11">
        <v>480</v>
      </c>
      <c r="H2084" s="11">
        <v>0</v>
      </c>
      <c r="I2084" s="11">
        <v>0</v>
      </c>
      <c r="J2084" s="11">
        <v>1</v>
      </c>
      <c r="K2084" s="11" t="s">
        <v>21</v>
      </c>
      <c r="L2084" s="7">
        <v>41658.782800925925</v>
      </c>
      <c r="M2084" s="12" t="s">
        <v>183</v>
      </c>
      <c r="N2084" s="12" t="s">
        <v>184</v>
      </c>
      <c r="O2084" s="10" t="str">
        <f t="shared" si="196"/>
        <v>View</v>
      </c>
      <c r="P2084" s="11"/>
    </row>
    <row r="2085" spans="1:16" ht="12.75" x14ac:dyDescent="0.35">
      <c r="A2085" s="7">
        <v>42482.071284722224</v>
      </c>
      <c r="B2085" s="8" t="str">
        <f>HYPERLINK("https://twitter.com/Photography_1st","@Photography_1st")</f>
        <v>@Photography_1st</v>
      </c>
      <c r="C2085" s="9" t="s">
        <v>5360</v>
      </c>
      <c r="D2085" s="9" t="s">
        <v>5361</v>
      </c>
      <c r="E2085" s="10" t="str">
        <f>HYPERLINK("https://twitter.com/Photography_1st/status/723243070679072768","723243070679072768")</f>
        <v>723243070679072768</v>
      </c>
      <c r="F2085" s="11" t="s">
        <v>43</v>
      </c>
      <c r="G2085" s="11">
        <v>406</v>
      </c>
      <c r="H2085" s="11">
        <v>802</v>
      </c>
      <c r="I2085" s="11">
        <v>1</v>
      </c>
      <c r="J2085" s="11">
        <v>3</v>
      </c>
      <c r="K2085" s="11" t="s">
        <v>21</v>
      </c>
      <c r="L2085" s="7">
        <v>41006.021099537036</v>
      </c>
      <c r="M2085" s="12" t="s">
        <v>1284</v>
      </c>
      <c r="N2085" s="12" t="s">
        <v>5362</v>
      </c>
      <c r="O2085" s="10" t="str">
        <f>HYPERLINK("https://pbs.twimg.com/profile_images/378800000294500452/68c340ccd928a30461006e91a4389bd7_normal.jpeg","View")</f>
        <v>View</v>
      </c>
      <c r="P2085" s="11"/>
    </row>
    <row r="2086" spans="1:16" ht="12.75" x14ac:dyDescent="0.35">
      <c r="A2086" s="7">
        <v>42482.071608796294</v>
      </c>
      <c r="B2086" s="8" t="str">
        <f>HYPERLINK("https://twitter.com/VWBeetleSales","@VWBeetleSales")</f>
        <v>@VWBeetleSales</v>
      </c>
      <c r="C2086" s="9" t="s">
        <v>127</v>
      </c>
      <c r="D2086" s="9" t="s">
        <v>5363</v>
      </c>
      <c r="E2086" s="10" t="str">
        <f>HYPERLINK("https://twitter.com/VWBeetleSales/status/723243184822702080","723243184822702080")</f>
        <v>723243184822702080</v>
      </c>
      <c r="F2086" s="10" t="s">
        <v>124</v>
      </c>
      <c r="G2086" s="11">
        <v>35</v>
      </c>
      <c r="H2086" s="11">
        <v>32</v>
      </c>
      <c r="I2086" s="11">
        <v>0</v>
      </c>
      <c r="J2086" s="11">
        <v>0</v>
      </c>
      <c r="K2086" s="11" t="s">
        <v>21</v>
      </c>
      <c r="L2086" s="7">
        <v>42427.019756944443</v>
      </c>
      <c r="M2086" s="12" t="s">
        <v>129</v>
      </c>
      <c r="N2086" s="12" t="s">
        <v>130</v>
      </c>
      <c r="O2086" s="10" t="str">
        <f>HYPERLINK("https://pbs.twimg.com/profile_images/703294545195307008/qeCvrX86_normal.jpg","View")</f>
        <v>View</v>
      </c>
      <c r="P2086" s="11"/>
    </row>
    <row r="2087" spans="1:16" ht="12.75" x14ac:dyDescent="0.35">
      <c r="A2087" s="7">
        <v>42482.071724537032</v>
      </c>
      <c r="B2087" s="8" t="str">
        <f>HYPERLINK("https://twitter.com/VeeDubMk1_","@VeeDubMk1_")</f>
        <v>@VeeDubMk1_</v>
      </c>
      <c r="C2087" s="9" t="s">
        <v>185</v>
      </c>
      <c r="D2087" s="9" t="s">
        <v>5364</v>
      </c>
      <c r="E2087" s="10" t="str">
        <f>HYPERLINK("https://twitter.com/VeeDubMk1_/status/723243227772510208","723243227772510208")</f>
        <v>723243227772510208</v>
      </c>
      <c r="F2087" s="11" t="s">
        <v>68</v>
      </c>
      <c r="G2087" s="11">
        <v>545</v>
      </c>
      <c r="H2087" s="11">
        <v>3527</v>
      </c>
      <c r="I2087" s="11">
        <v>0</v>
      </c>
      <c r="J2087" s="11">
        <v>2</v>
      </c>
      <c r="K2087" s="11" t="s">
        <v>21</v>
      </c>
      <c r="L2087" s="7">
        <v>42343.063356481478</v>
      </c>
      <c r="M2087" s="12"/>
      <c r="N2087" s="12"/>
      <c r="O2087" s="10" t="str">
        <f>HYPERLINK("https://pbs.twimg.com/profile_images/672878354127839232/M7OYc-zx_normal.jpg","View")</f>
        <v>View</v>
      </c>
      <c r="P2087" s="11"/>
    </row>
    <row r="2088" spans="1:16" ht="12.75" x14ac:dyDescent="0.35">
      <c r="A2088" s="7">
        <v>42482.072499999995</v>
      </c>
      <c r="B2088" s="8" t="str">
        <f>HYPERLINK("https://twitter.com/eber_staltari","@eber_staltari")</f>
        <v>@eber_staltari</v>
      </c>
      <c r="C2088" s="9" t="s">
        <v>5365</v>
      </c>
      <c r="D2088" s="9" t="s">
        <v>2825</v>
      </c>
      <c r="E2088" s="10" t="str">
        <f>HYPERLINK("https://twitter.com/eber_staltari/status/723243510225375232","723243510225375232")</f>
        <v>723243510225375232</v>
      </c>
      <c r="F2088" s="11" t="s">
        <v>43</v>
      </c>
      <c r="G2088" s="11">
        <v>2318</v>
      </c>
      <c r="H2088" s="11">
        <v>601</v>
      </c>
      <c r="I2088" s="11">
        <v>53</v>
      </c>
      <c r="J2088" s="11">
        <v>0</v>
      </c>
      <c r="K2088" s="11" t="s">
        <v>21</v>
      </c>
      <c r="L2088" s="7">
        <v>41112.284050925926</v>
      </c>
      <c r="M2088" s="12" t="s">
        <v>5366</v>
      </c>
      <c r="N2088" s="12" t="s">
        <v>5367</v>
      </c>
      <c r="O2088" s="10" t="str">
        <f>HYPERLINK("https://pbs.twimg.com/profile_images/718193415020683264/VgFx9S8W_normal.jpg","View")</f>
        <v>View</v>
      </c>
      <c r="P2088" s="11"/>
    </row>
    <row r="2089" spans="1:16" ht="12.75" x14ac:dyDescent="0.35">
      <c r="A2089" s="7">
        <v>42482.07298611111</v>
      </c>
      <c r="B2089" s="8" t="str">
        <f>HYPERLINK("https://twitter.com/aquaero","@aquaero")</f>
        <v>@aquaero</v>
      </c>
      <c r="C2089" s="9" t="s">
        <v>5368</v>
      </c>
      <c r="D2089" s="9" t="s">
        <v>5369</v>
      </c>
      <c r="E2089" s="10" t="str">
        <f>HYPERLINK("https://twitter.com/aquaero/status/723243684297359361","723243684297359361")</f>
        <v>723243684297359361</v>
      </c>
      <c r="F2089" s="11" t="s">
        <v>160</v>
      </c>
      <c r="G2089" s="11">
        <v>205</v>
      </c>
      <c r="H2089" s="11">
        <v>71</v>
      </c>
      <c r="I2089" s="11">
        <v>0</v>
      </c>
      <c r="J2089" s="11">
        <v>0</v>
      </c>
      <c r="K2089" s="11" t="s">
        <v>21</v>
      </c>
      <c r="L2089" s="7">
        <v>40139.769155092596</v>
      </c>
      <c r="M2089" s="12" t="s">
        <v>5370</v>
      </c>
      <c r="N2089" s="12" t="s">
        <v>5371</v>
      </c>
      <c r="O2089" s="10" t="str">
        <f>HYPERLINK("https://pbs.twimg.com/profile_images/1194211154/6aeda2fd57088c3c85aa1d4f7042025a_normal.jpg","View")</f>
        <v>View</v>
      </c>
      <c r="P2089" s="11"/>
    </row>
    <row r="2090" spans="1:16" ht="12.75" x14ac:dyDescent="0.35">
      <c r="A2090" s="7">
        <v>42482.073391203703</v>
      </c>
      <c r="B2090" s="8" t="str">
        <f>HYPERLINK("https://twitter.com/ABWF21","@ABWF21")</f>
        <v>@ABWF21</v>
      </c>
      <c r="C2090" s="9" t="s">
        <v>5372</v>
      </c>
      <c r="D2090" s="9" t="s">
        <v>4397</v>
      </c>
      <c r="E2090" s="10" t="str">
        <f>HYPERLINK("https://twitter.com/ABWF21/status/723243833585221633","723243833585221633")</f>
        <v>723243833585221633</v>
      </c>
      <c r="F2090" s="11" t="s">
        <v>20</v>
      </c>
      <c r="G2090" s="11">
        <v>99</v>
      </c>
      <c r="H2090" s="11">
        <v>318</v>
      </c>
      <c r="I2090" s="11">
        <v>3</v>
      </c>
      <c r="J2090" s="11">
        <v>0</v>
      </c>
      <c r="K2090" s="11" t="s">
        <v>21</v>
      </c>
      <c r="L2090" s="7">
        <v>42089.641481481478</v>
      </c>
      <c r="M2090" s="12"/>
      <c r="N2090" s="12" t="s">
        <v>5373</v>
      </c>
      <c r="O2090" s="10" t="str">
        <f>HYPERLINK("https://pbs.twimg.com/profile_images/606416861903908865/02JG96uH_normal.jpg","View")</f>
        <v>View</v>
      </c>
      <c r="P2090" s="11"/>
    </row>
    <row r="2091" spans="1:16" ht="12.75" x14ac:dyDescent="0.35">
      <c r="A2091" s="7">
        <v>42482.07430555555</v>
      </c>
      <c r="B2091" s="8" t="str">
        <f>HYPERLINK("https://twitter.com/thomaslyoung","@thomaslyoung")</f>
        <v>@thomaslyoung</v>
      </c>
      <c r="C2091" s="9" t="s">
        <v>5264</v>
      </c>
      <c r="D2091" s="9" t="s">
        <v>5374</v>
      </c>
      <c r="E2091" s="10" t="str">
        <f>HYPERLINK("https://twitter.com/thomaslyoung/status/723244163282644992","723244163282644992")</f>
        <v>723244163282644992</v>
      </c>
      <c r="F2091" s="11" t="s">
        <v>43</v>
      </c>
      <c r="G2091" s="11">
        <v>1320</v>
      </c>
      <c r="H2091" s="11">
        <v>2889</v>
      </c>
      <c r="I2091" s="11">
        <v>0</v>
      </c>
      <c r="J2091" s="11">
        <v>1</v>
      </c>
      <c r="K2091" s="11" t="s">
        <v>21</v>
      </c>
      <c r="L2091" s="7">
        <v>39189.033402777779</v>
      </c>
      <c r="M2091" s="12" t="s">
        <v>5266</v>
      </c>
      <c r="N2091" s="12" t="s">
        <v>5267</v>
      </c>
      <c r="O2091" s="10" t="str">
        <f>HYPERLINK("https://pbs.twimg.com/profile_images/378800000124732686/07af48b9969d743cf2642901c5f8cccc_normal.jpeg","View")</f>
        <v>View</v>
      </c>
      <c r="P2091" s="11"/>
    </row>
    <row r="2092" spans="1:16" ht="12.75" x14ac:dyDescent="0.35">
      <c r="A2092" s="7">
        <v>42482.074317129634</v>
      </c>
      <c r="B2092" s="8" t="str">
        <f>HYPERLINK("https://twitter.com/Lazyfist","@Lazyfist")</f>
        <v>@Lazyfist</v>
      </c>
      <c r="C2092" s="9" t="s">
        <v>5375</v>
      </c>
      <c r="D2092" s="9" t="s">
        <v>5376</v>
      </c>
      <c r="E2092" s="10" t="str">
        <f>HYPERLINK("https://twitter.com/Lazyfist/status/723244168693321730","723244168693321730")</f>
        <v>723244168693321730</v>
      </c>
      <c r="F2092" s="11" t="s">
        <v>91</v>
      </c>
      <c r="G2092" s="11">
        <v>450</v>
      </c>
      <c r="H2092" s="11">
        <v>575</v>
      </c>
      <c r="I2092" s="11">
        <v>0</v>
      </c>
      <c r="J2092" s="11">
        <v>0</v>
      </c>
      <c r="K2092" s="11" t="s">
        <v>21</v>
      </c>
      <c r="L2092" s="7">
        <v>40596.852581018517</v>
      </c>
      <c r="M2092" s="12" t="s">
        <v>5377</v>
      </c>
      <c r="N2092" s="12" t="s">
        <v>5378</v>
      </c>
      <c r="O2092" s="10" t="str">
        <f>HYPERLINK("https://pbs.twimg.com/profile_images/713020344018341889/yHA3iGi9_normal.jpg","View")</f>
        <v>View</v>
      </c>
      <c r="P2092" s="11"/>
    </row>
    <row r="2093" spans="1:16" ht="12.75" x14ac:dyDescent="0.35">
      <c r="A2093" s="7">
        <v>42482.074664351851</v>
      </c>
      <c r="B2093" s="8" t="str">
        <f>HYPERLINK("https://twitter.com/TunedByKings","@TunedByKings")</f>
        <v>@TunedByKings</v>
      </c>
      <c r="C2093" s="9" t="s">
        <v>5379</v>
      </c>
      <c r="D2093" s="9" t="s">
        <v>5380</v>
      </c>
      <c r="E2093" s="10" t="str">
        <f>HYPERLINK("https://twitter.com/TunedByKings/status/723244293088010240","723244293088010240")</f>
        <v>723244293088010240</v>
      </c>
      <c r="F2093" s="11" t="s">
        <v>43</v>
      </c>
      <c r="G2093" s="11">
        <v>791</v>
      </c>
      <c r="H2093" s="11">
        <v>2263</v>
      </c>
      <c r="I2093" s="11">
        <v>1</v>
      </c>
      <c r="J2093" s="11">
        <v>0</v>
      </c>
      <c r="K2093" s="11" t="s">
        <v>21</v>
      </c>
      <c r="L2093" s="7">
        <v>40989.315000000002</v>
      </c>
      <c r="M2093" s="12" t="s">
        <v>5381</v>
      </c>
      <c r="N2093" s="12" t="s">
        <v>5382</v>
      </c>
      <c r="O2093" s="10" t="str">
        <f>HYPERLINK("https://pbs.twimg.com/profile_images/642433746700926976/3Xm8O3Ee_normal.jpg","View")</f>
        <v>View</v>
      </c>
      <c r="P2093" s="11"/>
    </row>
    <row r="2094" spans="1:16" ht="12.75" x14ac:dyDescent="0.35">
      <c r="A2094" s="7">
        <v>42482.074687500004</v>
      </c>
      <c r="B2094" s="8" t="str">
        <f>HYPERLINK("https://twitter.com/dw_hindi","@dw_hindi")</f>
        <v>@dw_hindi</v>
      </c>
      <c r="C2094" s="9" t="s">
        <v>5383</v>
      </c>
      <c r="D2094" s="9" t="s">
        <v>5384</v>
      </c>
      <c r="E2094" s="10" t="str">
        <f>HYPERLINK("https://twitter.com/dw_hindi/status/723244302227410948","723244302227410948")</f>
        <v>723244302227410948</v>
      </c>
      <c r="F2094" s="11" t="s">
        <v>1838</v>
      </c>
      <c r="G2094" s="11">
        <v>17546</v>
      </c>
      <c r="H2094" s="11">
        <v>6728</v>
      </c>
      <c r="I2094" s="11">
        <v>1</v>
      </c>
      <c r="J2094" s="11">
        <v>0</v>
      </c>
      <c r="K2094" s="11" t="s">
        <v>21</v>
      </c>
      <c r="L2094" s="7">
        <v>40149.762592592597</v>
      </c>
      <c r="M2094" s="12" t="s">
        <v>1303</v>
      </c>
      <c r="N2094" s="12" t="s">
        <v>5385</v>
      </c>
      <c r="O2094" s="10" t="str">
        <f>HYPERLINK("https://pbs.twimg.com/profile_images/461419941376184320/wGX2pgEE_normal.png","View")</f>
        <v>View</v>
      </c>
      <c r="P2094" s="11"/>
    </row>
    <row r="2095" spans="1:16" ht="12.75" x14ac:dyDescent="0.35">
      <c r="A2095" s="7">
        <v>42482.074699074074</v>
      </c>
      <c r="B2095" s="8" t="str">
        <f>HYPERLINK("https://twitter.com/EnthusiastView","@EnthusiastView")</f>
        <v>@EnthusiastView</v>
      </c>
      <c r="C2095" s="9" t="s">
        <v>5386</v>
      </c>
      <c r="D2095" s="9" t="s">
        <v>5387</v>
      </c>
      <c r="E2095" s="10" t="str">
        <f>HYPERLINK("https://twitter.com/EnthusiastView/status/723244305540771840","723244305540771840")</f>
        <v>723244305540771840</v>
      </c>
      <c r="F2095" s="11" t="s">
        <v>48</v>
      </c>
      <c r="G2095" s="11">
        <v>87</v>
      </c>
      <c r="H2095" s="11">
        <v>285</v>
      </c>
      <c r="I2095" s="11">
        <v>0</v>
      </c>
      <c r="J2095" s="11">
        <v>0</v>
      </c>
      <c r="K2095" s="11" t="s">
        <v>21</v>
      </c>
      <c r="L2095" s="7">
        <v>42457.483171296291</v>
      </c>
      <c r="M2095" s="12" t="s">
        <v>209</v>
      </c>
      <c r="N2095" s="12" t="s">
        <v>5388</v>
      </c>
      <c r="O2095" s="10" t="str">
        <f>HYPERLINK("https://pbs.twimg.com/profile_images/717113433267638272/6igZPcX4_normal.jpg","View")</f>
        <v>View</v>
      </c>
      <c r="P2095" s="11"/>
    </row>
    <row r="2096" spans="1:16" ht="12.75" x14ac:dyDescent="0.35">
      <c r="A2096" s="7">
        <v>42482.074722222227</v>
      </c>
      <c r="B2096" s="8" t="str">
        <f>HYPERLINK("https://twitter.com/breakingb_rad","@breakingb_rad")</f>
        <v>@breakingb_rad</v>
      </c>
      <c r="C2096" s="9" t="s">
        <v>5389</v>
      </c>
      <c r="D2096" s="9" t="s">
        <v>5390</v>
      </c>
      <c r="E2096" s="10" t="str">
        <f>HYPERLINK("https://twitter.com/breakingb_rad/status/723244314910818306","723244314910818306")</f>
        <v>723244314910818306</v>
      </c>
      <c r="F2096" s="11" t="s">
        <v>48</v>
      </c>
      <c r="G2096" s="11">
        <v>34</v>
      </c>
      <c r="H2096" s="11">
        <v>209</v>
      </c>
      <c r="I2096" s="11">
        <v>0</v>
      </c>
      <c r="J2096" s="11">
        <v>2</v>
      </c>
      <c r="K2096" s="11" t="s">
        <v>21</v>
      </c>
      <c r="L2096" s="7">
        <v>41387.361944444448</v>
      </c>
      <c r="M2096" s="12" t="s">
        <v>5391</v>
      </c>
      <c r="N2096" s="12"/>
      <c r="O2096" s="10" t="str">
        <f>HYPERLINK("https://pbs.twimg.com/profile_images/493249209563238401/XpQeRM_4_normal.jpeg","View")</f>
        <v>View</v>
      </c>
      <c r="P2096" s="11"/>
    </row>
    <row r="2097" spans="1:16" ht="12.75" x14ac:dyDescent="0.35">
      <c r="A2097" s="7">
        <v>42482.07508101852</v>
      </c>
      <c r="B2097" s="8" t="str">
        <f>HYPERLINK("https://twitter.com/faznet","@faznet")</f>
        <v>@faznet</v>
      </c>
      <c r="C2097" s="8" t="s">
        <v>1590</v>
      </c>
      <c r="D2097" s="9" t="s">
        <v>5392</v>
      </c>
      <c r="E2097" s="10" t="str">
        <f>HYPERLINK("https://twitter.com/faznet/status/723244446356111360","723244446356111360")</f>
        <v>723244446356111360</v>
      </c>
      <c r="F2097" s="11" t="s">
        <v>63</v>
      </c>
      <c r="G2097" s="11">
        <v>308484</v>
      </c>
      <c r="H2097" s="11">
        <v>211</v>
      </c>
      <c r="I2097" s="11">
        <v>4</v>
      </c>
      <c r="J2097" s="11">
        <v>1</v>
      </c>
      <c r="K2097" s="11" t="s">
        <v>21</v>
      </c>
      <c r="L2097" s="7">
        <v>39793.822881944448</v>
      </c>
      <c r="M2097" s="12" t="s">
        <v>1464</v>
      </c>
      <c r="N2097" s="12" t="s">
        <v>1592</v>
      </c>
      <c r="O2097" s="10" t="str">
        <f>HYPERLINK("https://pbs.twimg.com/profile_images/477438671151304705/8XlAQ509_normal.jpeg","View")</f>
        <v>View</v>
      </c>
      <c r="P2097" s="11"/>
    </row>
    <row r="2098" spans="1:16" ht="12.75" x14ac:dyDescent="0.35">
      <c r="A2098" s="7">
        <v>42482.075173611112</v>
      </c>
      <c r="B2098" s="8" t="str">
        <f>HYPERLINK("https://twitter.com/lena_sw_","@lena_sw_")</f>
        <v>@lena_sw_</v>
      </c>
      <c r="C2098" s="9" t="s">
        <v>5393</v>
      </c>
      <c r="D2098" s="9" t="s">
        <v>5233</v>
      </c>
      <c r="E2098" s="10" t="str">
        <f>HYPERLINK("https://twitter.com/lena_sw_/status/723244479130546176","723244479130546176")</f>
        <v>723244479130546176</v>
      </c>
      <c r="F2098" s="11" t="s">
        <v>48</v>
      </c>
      <c r="G2098" s="11">
        <v>77</v>
      </c>
      <c r="H2098" s="11">
        <v>104</v>
      </c>
      <c r="I2098" s="11">
        <v>4</v>
      </c>
      <c r="J2098" s="11">
        <v>0</v>
      </c>
      <c r="K2098" s="11" t="s">
        <v>21</v>
      </c>
      <c r="L2098" s="7">
        <v>42146.040868055556</v>
      </c>
      <c r="M2098" s="12" t="s">
        <v>938</v>
      </c>
      <c r="N2098" s="12">
        <v>17</v>
      </c>
      <c r="O2098" s="10" t="str">
        <f>HYPERLINK("https://pbs.twimg.com/profile_images/721815320437067776/Vik2e42H_normal.jpg","View")</f>
        <v>View</v>
      </c>
      <c r="P2098" s="11"/>
    </row>
    <row r="2099" spans="1:16" ht="12.75" x14ac:dyDescent="0.35">
      <c r="A2099" s="7">
        <v>42482.075312500005</v>
      </c>
      <c r="B2099" s="8" t="str">
        <f>HYPERLINK("https://twitter.com/heutejournal","@heutejournal")</f>
        <v>@heutejournal</v>
      </c>
      <c r="C2099" s="9" t="s">
        <v>4283</v>
      </c>
      <c r="D2099" s="9" t="s">
        <v>5394</v>
      </c>
      <c r="E2099" s="10" t="str">
        <f>HYPERLINK("https://twitter.com/heutejournal/status/723244527029485569","723244527029485569")</f>
        <v>723244527029485569</v>
      </c>
      <c r="F2099" s="11" t="s">
        <v>63</v>
      </c>
      <c r="G2099" s="11">
        <v>114782</v>
      </c>
      <c r="H2099" s="11">
        <v>93</v>
      </c>
      <c r="I2099" s="11">
        <v>0</v>
      </c>
      <c r="J2099" s="11">
        <v>1</v>
      </c>
      <c r="K2099" s="11" t="s">
        <v>21</v>
      </c>
      <c r="L2099" s="7">
        <v>41786.977210648147</v>
      </c>
      <c r="M2099" s="12" t="s">
        <v>4285</v>
      </c>
      <c r="N2099" s="12" t="s">
        <v>4286</v>
      </c>
      <c r="O2099" s="10" t="str">
        <f>HYPERLINK("https://pbs.twimg.com/profile_images/477091436634988544/4TdZMAIm_normal.png","View")</f>
        <v>View</v>
      </c>
      <c r="P2099" s="11"/>
    </row>
    <row r="2100" spans="1:16" ht="12.75" x14ac:dyDescent="0.35">
      <c r="A2100" s="7">
        <v>42482.075416666667</v>
      </c>
      <c r="B2100" s="8" t="str">
        <f>HYPERLINK("https://twitter.com/AutoVerdict","@AutoVerdict")</f>
        <v>@AutoVerdict</v>
      </c>
      <c r="C2100" s="9" t="s">
        <v>5395</v>
      </c>
      <c r="D2100" s="9" t="s">
        <v>5396</v>
      </c>
      <c r="E2100" s="10" t="str">
        <f>HYPERLINK("https://twitter.com/AutoVerdict/status/723244565889703940","723244565889703940")</f>
        <v>723244565889703940</v>
      </c>
      <c r="F2100" s="11" t="s">
        <v>5397</v>
      </c>
      <c r="G2100" s="11">
        <v>7294</v>
      </c>
      <c r="H2100" s="11">
        <v>1034</v>
      </c>
      <c r="I2100" s="11">
        <v>1</v>
      </c>
      <c r="J2100" s="11">
        <v>0</v>
      </c>
      <c r="K2100" s="11" t="s">
        <v>21</v>
      </c>
      <c r="L2100" s="7">
        <v>40068.339328703703</v>
      </c>
      <c r="M2100" s="12"/>
      <c r="N2100" s="12" t="s">
        <v>5398</v>
      </c>
      <c r="O2100" s="10" t="str">
        <f>HYPERLINK("https://pbs.twimg.com/profile_images/599226705513820160/hFySz3DC_normal.jpg","View")</f>
        <v>View</v>
      </c>
      <c r="P2100" s="11"/>
    </row>
    <row r="2101" spans="1:16" ht="12.75" x14ac:dyDescent="0.35">
      <c r="A2101" s="7">
        <v>42482.075543981482</v>
      </c>
      <c r="B2101" s="8" t="str">
        <f>HYPERLINK("https://twitter.com/CoventryUpdate","@CoventryUpdate")</f>
        <v>@CoventryUpdate</v>
      </c>
      <c r="C2101" s="9" t="s">
        <v>5399</v>
      </c>
      <c r="D2101" s="9" t="s">
        <v>5187</v>
      </c>
      <c r="E2101" s="10" t="str">
        <f>HYPERLINK("https://twitter.com/CoventryUpdate/status/723244611737665540","723244611737665540")</f>
        <v>723244611737665540</v>
      </c>
      <c r="F2101" s="11" t="s">
        <v>20</v>
      </c>
      <c r="G2101" s="11">
        <v>4519</v>
      </c>
      <c r="H2101" s="11">
        <v>284</v>
      </c>
      <c r="I2101" s="11">
        <v>4</v>
      </c>
      <c r="J2101" s="11">
        <v>0</v>
      </c>
      <c r="K2101" s="11" t="s">
        <v>21</v>
      </c>
      <c r="L2101" s="7">
        <v>41323.22038194444</v>
      </c>
      <c r="M2101" s="12" t="s">
        <v>5400</v>
      </c>
      <c r="N2101" s="12" t="s">
        <v>5401</v>
      </c>
      <c r="O2101" s="10" t="str">
        <f>HYPERLINK("https://pbs.twimg.com/profile_images/3269741134/c59bae1ff49ffc8fd25160573c4e98a6_normal.jpeg","View")</f>
        <v>View</v>
      </c>
      <c r="P2101" s="11"/>
    </row>
    <row r="2102" spans="1:16" ht="12.75" x14ac:dyDescent="0.35">
      <c r="A2102" s="7">
        <v>42482.075879629629</v>
      </c>
      <c r="B2102" s="8" t="str">
        <f>HYPERLINK("https://twitter.com/BASE_1175","@BASE_1175")</f>
        <v>@BASE_1175</v>
      </c>
      <c r="C2102" s="9" t="s">
        <v>5402</v>
      </c>
      <c r="D2102" s="9" t="s">
        <v>5403</v>
      </c>
      <c r="E2102" s="10" t="str">
        <f>HYPERLINK("https://twitter.com/BASE_1175/status/723244733263433728","723244733263433728")</f>
        <v>723244733263433728</v>
      </c>
      <c r="F2102" s="11" t="s">
        <v>43</v>
      </c>
      <c r="G2102" s="11">
        <v>858</v>
      </c>
      <c r="H2102" s="11">
        <v>2073</v>
      </c>
      <c r="I2102" s="11">
        <v>0</v>
      </c>
      <c r="J2102" s="11">
        <v>0</v>
      </c>
      <c r="K2102" s="11" t="s">
        <v>21</v>
      </c>
      <c r="L2102" s="7">
        <v>39859.61383101852</v>
      </c>
      <c r="M2102" s="12" t="s">
        <v>5404</v>
      </c>
      <c r="N2102" s="12" t="s">
        <v>5405</v>
      </c>
      <c r="O2102" s="10" t="str">
        <f>HYPERLINK("https://pbs.twimg.com/profile_images/3329322186/9e6d2c6f651f6cc272a78a5224602202_normal.jpeg","View")</f>
        <v>View</v>
      </c>
      <c r="P2102" s="11"/>
    </row>
    <row r="2103" spans="1:16" ht="12.75" x14ac:dyDescent="0.35">
      <c r="A2103" s="7">
        <v>42482.076226851852</v>
      </c>
      <c r="B2103" s="8" t="str">
        <f>HYPERLINK("https://twitter.com/TrouwbusTilburg","@TrouwbusTilburg")</f>
        <v>@TrouwbusTilburg</v>
      </c>
      <c r="C2103" s="9" t="s">
        <v>5406</v>
      </c>
      <c r="D2103" s="9" t="s">
        <v>5407</v>
      </c>
      <c r="E2103" s="10" t="str">
        <f>HYPERLINK("https://twitter.com/TrouwbusTilburg/status/723244858589233152","723244858589233152")</f>
        <v>723244858589233152</v>
      </c>
      <c r="F2103" s="11" t="s">
        <v>114</v>
      </c>
      <c r="G2103" s="11">
        <v>836</v>
      </c>
      <c r="H2103" s="11">
        <v>1969</v>
      </c>
      <c r="I2103" s="11">
        <v>0</v>
      </c>
      <c r="J2103" s="11">
        <v>1</v>
      </c>
      <c r="K2103" s="11" t="s">
        <v>21</v>
      </c>
      <c r="L2103" s="7">
        <v>41684.033252314817</v>
      </c>
      <c r="M2103" s="12" t="s">
        <v>5408</v>
      </c>
      <c r="N2103" s="12" t="s">
        <v>5409</v>
      </c>
      <c r="O2103" s="10" t="str">
        <f>HYPERLINK("https://pbs.twimg.com/profile_images/693046614500478976/ViP7t2rj_normal.jpg","View")</f>
        <v>View</v>
      </c>
      <c r="P2103" s="10" t="str">
        <f>HYPERLINK("http://ctrlq.org/maps/address/#51.55257487,4.94355775","Map")</f>
        <v>Map</v>
      </c>
    </row>
    <row r="2104" spans="1:16" ht="12.75" x14ac:dyDescent="0.35">
      <c r="A2104" s="7">
        <v>42482.076504629629</v>
      </c>
      <c r="B2104" s="8" t="str">
        <f>HYPERLINK("https://twitter.com/g_jacobsohn","@g_jacobsohn")</f>
        <v>@g_jacobsohn</v>
      </c>
      <c r="C2104" s="9" t="s">
        <v>5410</v>
      </c>
      <c r="D2104" s="9" t="s">
        <v>5411</v>
      </c>
      <c r="E2104" s="10" t="str">
        <f>HYPERLINK("https://twitter.com/g_jacobsohn/status/723244958581415936","723244958581415936")</f>
        <v>723244958581415936</v>
      </c>
      <c r="F2104" s="11" t="s">
        <v>20</v>
      </c>
      <c r="G2104" s="11">
        <v>44</v>
      </c>
      <c r="H2104" s="11">
        <v>54</v>
      </c>
      <c r="I2104" s="11">
        <v>152</v>
      </c>
      <c r="J2104" s="11">
        <v>0</v>
      </c>
      <c r="K2104" s="11" t="s">
        <v>21</v>
      </c>
      <c r="L2104" s="7">
        <v>40419.902465277773</v>
      </c>
      <c r="M2104" s="12" t="s">
        <v>953</v>
      </c>
      <c r="N2104" s="12"/>
      <c r="O2104" s="10" t="str">
        <f>HYPERLINK("https://pbs.twimg.com/profile_images/640488333743910912/UrjN5YsY_normal.jpg","View")</f>
        <v>View</v>
      </c>
      <c r="P2104" s="11"/>
    </row>
    <row r="2105" spans="1:16" ht="12.75" x14ac:dyDescent="0.35">
      <c r="A2105" s="7">
        <v>42482.076608796298</v>
      </c>
      <c r="B2105" s="8" t="str">
        <f t="shared" ref="B2105:B2106" si="197">HYPERLINK("https://twitter.com/Todo_VWT3","@Todo_VWT3")</f>
        <v>@Todo_VWT3</v>
      </c>
      <c r="C2105" s="8" t="s">
        <v>5412</v>
      </c>
      <c r="D2105" s="9" t="s">
        <v>5413</v>
      </c>
      <c r="E2105" s="10" t="str">
        <f>HYPERLINK("https://twitter.com/Todo_VWT3/status/723244998225960960","723244998225960960")</f>
        <v>723244998225960960</v>
      </c>
      <c r="F2105" s="11" t="s">
        <v>48</v>
      </c>
      <c r="G2105" s="11">
        <v>1568</v>
      </c>
      <c r="H2105" s="11">
        <v>722</v>
      </c>
      <c r="I2105" s="11">
        <v>1</v>
      </c>
      <c r="J2105" s="11">
        <v>0</v>
      </c>
      <c r="K2105" s="11" t="s">
        <v>21</v>
      </c>
      <c r="L2105" s="7">
        <v>41087.483680555553</v>
      </c>
      <c r="M2105" s="12" t="s">
        <v>5414</v>
      </c>
      <c r="N2105" s="12" t="s">
        <v>5415</v>
      </c>
      <c r="O2105" s="10" t="str">
        <f t="shared" ref="O2105:O2106" si="198">HYPERLINK("https://pbs.twimg.com/profile_images/583709260737073152/sOVkJINy_normal.jpg","View")</f>
        <v>View</v>
      </c>
      <c r="P2105" s="11"/>
    </row>
    <row r="2106" spans="1:16" ht="12.75" x14ac:dyDescent="0.35">
      <c r="A2106" s="7">
        <v>42482.076678240745</v>
      </c>
      <c r="B2106" s="8" t="str">
        <f t="shared" si="197"/>
        <v>@Todo_VWT3</v>
      </c>
      <c r="C2106" s="8" t="s">
        <v>5412</v>
      </c>
      <c r="D2106" s="9" t="s">
        <v>5416</v>
      </c>
      <c r="E2106" s="10" t="str">
        <f>HYPERLINK("https://twitter.com/Todo_VWT3/status/723245024423624705","723245024423624705")</f>
        <v>723245024423624705</v>
      </c>
      <c r="F2106" s="11" t="s">
        <v>48</v>
      </c>
      <c r="G2106" s="11">
        <v>1568</v>
      </c>
      <c r="H2106" s="11">
        <v>722</v>
      </c>
      <c r="I2106" s="11">
        <v>2</v>
      </c>
      <c r="J2106" s="11">
        <v>0</v>
      </c>
      <c r="K2106" s="11" t="s">
        <v>21</v>
      </c>
      <c r="L2106" s="7">
        <v>41087.483680555553</v>
      </c>
      <c r="M2106" s="12" t="s">
        <v>5414</v>
      </c>
      <c r="N2106" s="12" t="s">
        <v>5415</v>
      </c>
      <c r="O2106" s="10" t="str">
        <f t="shared" si="198"/>
        <v>View</v>
      </c>
      <c r="P2106" s="11"/>
    </row>
    <row r="2107" spans="1:16" ht="12.75" x14ac:dyDescent="0.35">
      <c r="A2107" s="7">
        <v>42482.07677083333</v>
      </c>
      <c r="B2107" s="8" t="str">
        <f>HYPERLINK("https://twitter.com/BommaritoVWHzWd","@BommaritoVWHzWd")</f>
        <v>@BommaritoVWHzWd</v>
      </c>
      <c r="C2107" s="9" t="s">
        <v>5417</v>
      </c>
      <c r="D2107" s="9" t="s">
        <v>5418</v>
      </c>
      <c r="E2107" s="10" t="str">
        <f>HYPERLINK("https://twitter.com/BommaritoVWHzWd/status/723245058393145344","723245058393145344")</f>
        <v>723245058393145344</v>
      </c>
      <c r="F2107" s="11" t="s">
        <v>43</v>
      </c>
      <c r="G2107" s="11">
        <v>789</v>
      </c>
      <c r="H2107" s="11">
        <v>1835</v>
      </c>
      <c r="I2107" s="11">
        <v>0</v>
      </c>
      <c r="J2107" s="11">
        <v>0</v>
      </c>
      <c r="K2107" s="11" t="s">
        <v>21</v>
      </c>
      <c r="L2107" s="7">
        <v>40744.900960648149</v>
      </c>
      <c r="M2107" s="12" t="s">
        <v>5419</v>
      </c>
      <c r="N2107" s="12" t="s">
        <v>5420</v>
      </c>
      <c r="O2107" s="10" t="str">
        <f>HYPERLINK("https://pbs.twimg.com/profile_images/461597065873592320/DClwgNc5_normal.jpeg","View")</f>
        <v>View</v>
      </c>
      <c r="P2107" s="11"/>
    </row>
    <row r="2108" spans="1:16" ht="12.75" x14ac:dyDescent="0.35">
      <c r="A2108" s="7">
        <v>42482.077164351853</v>
      </c>
      <c r="B2108" s="8" t="str">
        <f t="shared" ref="B2108:B2109" si="199">HYPERLINK("https://twitter.com/Mphilpot1","@Mphilpot1")</f>
        <v>@Mphilpot1</v>
      </c>
      <c r="C2108" s="9" t="s">
        <v>1280</v>
      </c>
      <c r="D2108" s="9" t="s">
        <v>5421</v>
      </c>
      <c r="E2108" s="10" t="str">
        <f>HYPERLINK("https://twitter.com/Mphilpot1/status/723245200970108928","723245200970108928")</f>
        <v>723245200970108928</v>
      </c>
      <c r="F2108" s="11" t="s">
        <v>34</v>
      </c>
      <c r="G2108" s="11">
        <v>114</v>
      </c>
      <c r="H2108" s="11">
        <v>141</v>
      </c>
      <c r="I2108" s="11">
        <v>0</v>
      </c>
      <c r="J2108" s="11">
        <v>0</v>
      </c>
      <c r="K2108" s="11" t="s">
        <v>21</v>
      </c>
      <c r="L2108" s="7">
        <v>41137.855208333334</v>
      </c>
      <c r="M2108" s="12"/>
      <c r="N2108" s="12"/>
      <c r="O2108" s="10" t="str">
        <f t="shared" ref="O2108:O2109" si="200">HYPERLINK("https://pbs.twimg.com/profile_images/422164778639839234/LVnS1q1c_normal.jpeg","View")</f>
        <v>View</v>
      </c>
      <c r="P2108" s="11"/>
    </row>
    <row r="2109" spans="1:16" ht="12.75" x14ac:dyDescent="0.35">
      <c r="A2109" s="7">
        <v>42482.077175925922</v>
      </c>
      <c r="B2109" s="8" t="str">
        <f t="shared" si="199"/>
        <v>@Mphilpot1</v>
      </c>
      <c r="C2109" s="9" t="s">
        <v>1280</v>
      </c>
      <c r="D2109" s="9" t="s">
        <v>5422</v>
      </c>
      <c r="E2109" s="10" t="str">
        <f>HYPERLINK("https://twitter.com/Mphilpot1/status/723245202014531586","723245202014531586")</f>
        <v>723245202014531586</v>
      </c>
      <c r="F2109" s="11" t="s">
        <v>34</v>
      </c>
      <c r="G2109" s="11">
        <v>114</v>
      </c>
      <c r="H2109" s="11">
        <v>141</v>
      </c>
      <c r="I2109" s="11">
        <v>0</v>
      </c>
      <c r="J2109" s="11">
        <v>0</v>
      </c>
      <c r="K2109" s="11" t="s">
        <v>21</v>
      </c>
      <c r="L2109" s="7">
        <v>41137.855208333334</v>
      </c>
      <c r="M2109" s="12"/>
      <c r="N2109" s="12"/>
      <c r="O2109" s="10" t="str">
        <f t="shared" si="200"/>
        <v>View</v>
      </c>
      <c r="P2109" s="11"/>
    </row>
    <row r="2110" spans="1:16" ht="12.75" x14ac:dyDescent="0.35">
      <c r="A2110" s="7">
        <v>42482.077233796299</v>
      </c>
      <c r="B2110" s="8" t="str">
        <f>HYPERLINK("https://twitter.com/KNordlichtW","@KNordlichtW")</f>
        <v>@KNordlichtW</v>
      </c>
      <c r="C2110" s="9" t="s">
        <v>2349</v>
      </c>
      <c r="D2110" s="9" t="s">
        <v>5423</v>
      </c>
      <c r="E2110" s="10" t="str">
        <f>HYPERLINK("https://twitter.com/KNordlichtW/status/723245224944914432","723245224944914432")</f>
        <v>723245224944914432</v>
      </c>
      <c r="F2110" s="11" t="s">
        <v>43</v>
      </c>
      <c r="G2110" s="11">
        <v>1303</v>
      </c>
      <c r="H2110" s="11">
        <v>2815</v>
      </c>
      <c r="I2110" s="11">
        <v>0</v>
      </c>
      <c r="J2110" s="11">
        <v>1</v>
      </c>
      <c r="K2110" s="11" t="s">
        <v>21</v>
      </c>
      <c r="L2110" s="7">
        <v>41425.106793981482</v>
      </c>
      <c r="M2110" s="12"/>
      <c r="N2110" s="12" t="s">
        <v>2351</v>
      </c>
      <c r="O2110" s="10" t="str">
        <f>HYPERLINK("https://pbs.twimg.com/profile_images/712334466585333760/rN4Fnyef_normal.jpg","View")</f>
        <v>View</v>
      </c>
      <c r="P2110" s="11"/>
    </row>
    <row r="2111" spans="1:16" ht="12.75" x14ac:dyDescent="0.35">
      <c r="A2111" s="7">
        <v>42482.077256944445</v>
      </c>
      <c r="B2111" s="8" t="str">
        <f>HYPERLINK("https://twitter.com/talk910","@talk910")</f>
        <v>@talk910</v>
      </c>
      <c r="C2111" s="9" t="s">
        <v>4005</v>
      </c>
      <c r="D2111" s="9" t="s">
        <v>5424</v>
      </c>
      <c r="E2111" s="10" t="str">
        <f>HYPERLINK("https://twitter.com/talk910/status/723245231211053056","723245231211053056")</f>
        <v>723245231211053056</v>
      </c>
      <c r="F2111" s="11" t="s">
        <v>43</v>
      </c>
      <c r="G2111" s="11">
        <v>1660</v>
      </c>
      <c r="H2111" s="11">
        <v>519</v>
      </c>
      <c r="I2111" s="11">
        <v>0</v>
      </c>
      <c r="J2111" s="11">
        <v>0</v>
      </c>
      <c r="K2111" s="11" t="s">
        <v>21</v>
      </c>
      <c r="L2111" s="7">
        <v>40061.001967592594</v>
      </c>
      <c r="M2111" s="12" t="s">
        <v>4007</v>
      </c>
      <c r="N2111" s="12" t="s">
        <v>4008</v>
      </c>
      <c r="O2111" s="10" t="str">
        <f>HYPERLINK("https://pbs.twimg.com/profile_images/3461286994/b5d08f32f3fe123de6674ab786ab8e50_normal.png","View")</f>
        <v>View</v>
      </c>
      <c r="P2111" s="11"/>
    </row>
    <row r="2112" spans="1:16" ht="12.75" x14ac:dyDescent="0.35">
      <c r="A2112" s="7">
        <v>42482.07744212963</v>
      </c>
      <c r="B2112" s="8" t="str">
        <f>HYPERLINK("https://twitter.com/fckleft","@fckleft")</f>
        <v>@fckleft</v>
      </c>
      <c r="C2112" s="9" t="s">
        <v>5425</v>
      </c>
      <c r="D2112" s="9" t="s">
        <v>5426</v>
      </c>
      <c r="E2112" s="10" t="str">
        <f>HYPERLINK("https://twitter.com/fckleft/status/723245299171516416","723245299171516416")</f>
        <v>723245299171516416</v>
      </c>
      <c r="F2112" s="11" t="s">
        <v>20</v>
      </c>
      <c r="G2112" s="11">
        <v>317</v>
      </c>
      <c r="H2112" s="11">
        <v>127</v>
      </c>
      <c r="I2112" s="11">
        <v>0</v>
      </c>
      <c r="J2112" s="11">
        <v>0</v>
      </c>
      <c r="K2112" s="11" t="s">
        <v>21</v>
      </c>
      <c r="L2112" s="7">
        <v>42078.169733796298</v>
      </c>
      <c r="M2112" s="12"/>
      <c r="N2112" s="12" t="s">
        <v>5427</v>
      </c>
      <c r="O2112" s="10" t="str">
        <f>HYPERLINK("https://pbs.twimg.com/profile_images/576875200983252992/ewV98mZN_normal.jpeg","View")</f>
        <v>View</v>
      </c>
      <c r="P2112" s="11"/>
    </row>
    <row r="2113" spans="1:16" ht="12.75" x14ac:dyDescent="0.35">
      <c r="A2113" s="7">
        <v>42482.077592592592</v>
      </c>
      <c r="B2113" s="8" t="str">
        <f>HYPERLINK("https://twitter.com/IamSabrina2","@IamSabrina2")</f>
        <v>@IamSabrina2</v>
      </c>
      <c r="C2113" s="9" t="s">
        <v>5428</v>
      </c>
      <c r="D2113" s="9" t="s">
        <v>5233</v>
      </c>
      <c r="E2113" s="10" t="str">
        <f>HYPERLINK("https://twitter.com/IamSabrina2/status/723245355186425856","723245355186425856")</f>
        <v>723245355186425856</v>
      </c>
      <c r="F2113" s="11" t="s">
        <v>48</v>
      </c>
      <c r="G2113" s="11">
        <v>78</v>
      </c>
      <c r="H2113" s="11">
        <v>249</v>
      </c>
      <c r="I2113" s="11">
        <v>4</v>
      </c>
      <c r="J2113" s="11">
        <v>0</v>
      </c>
      <c r="K2113" s="11" t="s">
        <v>21</v>
      </c>
      <c r="L2113" s="7">
        <v>39910.04146990741</v>
      </c>
      <c r="M2113" s="12" t="s">
        <v>5429</v>
      </c>
      <c r="N2113" s="12" t="s">
        <v>5430</v>
      </c>
      <c r="O2113" s="10" t="str">
        <f>HYPERLINK("https://pbs.twimg.com/profile_images/719907114962063360/nChfYl1D_normal.jpg","View")</f>
        <v>View</v>
      </c>
      <c r="P2113" s="11"/>
    </row>
    <row r="2114" spans="1:16" ht="12.75" x14ac:dyDescent="0.35">
      <c r="A2114" s="7">
        <v>42482.077604166669</v>
      </c>
      <c r="B2114" s="8" t="str">
        <f>HYPERLINK("https://twitter.com/KNordlichtW","@KNordlichtW")</f>
        <v>@KNordlichtW</v>
      </c>
      <c r="C2114" s="9" t="s">
        <v>2349</v>
      </c>
      <c r="D2114" s="9" t="s">
        <v>5423</v>
      </c>
      <c r="E2114" s="10" t="str">
        <f>HYPERLINK("https://twitter.com/KNordlichtW/status/723245359724670976","723245359724670976")</f>
        <v>723245359724670976</v>
      </c>
      <c r="F2114" s="11" t="s">
        <v>43</v>
      </c>
      <c r="G2114" s="11">
        <v>1303</v>
      </c>
      <c r="H2114" s="11">
        <v>2815</v>
      </c>
      <c r="I2114" s="11">
        <v>0</v>
      </c>
      <c r="J2114" s="11">
        <v>0</v>
      </c>
      <c r="K2114" s="11" t="s">
        <v>21</v>
      </c>
      <c r="L2114" s="7">
        <v>41425.106793981482</v>
      </c>
      <c r="M2114" s="12"/>
      <c r="N2114" s="12" t="s">
        <v>2351</v>
      </c>
      <c r="O2114" s="10" t="str">
        <f>HYPERLINK("https://pbs.twimg.com/profile_images/712334466585333760/rN4Fnyef_normal.jpg","View")</f>
        <v>View</v>
      </c>
      <c r="P2114" s="11"/>
    </row>
    <row r="2115" spans="1:16" ht="12.75" x14ac:dyDescent="0.35">
      <c r="A2115" s="7">
        <v>42482.077627314815</v>
      </c>
      <c r="B2115" s="8" t="str">
        <f>HYPERLINK("https://twitter.com/PowersOlga","@PowersOlga")</f>
        <v>@PowersOlga</v>
      </c>
      <c r="C2115" s="9" t="s">
        <v>4059</v>
      </c>
      <c r="D2115" s="9" t="s">
        <v>5431</v>
      </c>
      <c r="E2115" s="10" t="str">
        <f>HYPERLINK("https://twitter.com/PowersOlga/status/723245366120837120","723245366120837120")</f>
        <v>723245366120837120</v>
      </c>
      <c r="F2115" s="11" t="s">
        <v>20</v>
      </c>
      <c r="G2115" s="11">
        <v>1216</v>
      </c>
      <c r="H2115" s="11">
        <v>349</v>
      </c>
      <c r="I2115" s="11">
        <v>1</v>
      </c>
      <c r="J2115" s="11">
        <v>0</v>
      </c>
      <c r="K2115" s="11" t="s">
        <v>21</v>
      </c>
      <c r="L2115" s="7">
        <v>41377.397881944446</v>
      </c>
      <c r="M2115" s="12" t="s">
        <v>4061</v>
      </c>
      <c r="N2115" s="12" t="s">
        <v>4062</v>
      </c>
      <c r="O2115" s="10" t="str">
        <f>HYPERLINK("https://pbs.twimg.com/profile_images/712389505358045185/XrTyxa27_normal.jpg","View")</f>
        <v>View</v>
      </c>
      <c r="P2115" s="11"/>
    </row>
    <row r="2116" spans="1:16" ht="12.75" x14ac:dyDescent="0.35">
      <c r="A2116" s="7">
        <v>42482.0778125</v>
      </c>
      <c r="B2116" s="8" t="str">
        <f t="shared" ref="B2116:B2117" si="201">HYPERLINK("https://twitter.com/OnlineCarReview","@OnlineCarReview")</f>
        <v>@OnlineCarReview</v>
      </c>
      <c r="C2116" s="9" t="s">
        <v>176</v>
      </c>
      <c r="D2116" s="9" t="s">
        <v>5432</v>
      </c>
      <c r="E2116" s="10" t="str">
        <f>HYPERLINK("https://twitter.com/OnlineCarReview/status/723245432818671616","723245432818671616")</f>
        <v>723245432818671616</v>
      </c>
      <c r="F2116" s="11" t="s">
        <v>34</v>
      </c>
      <c r="G2116" s="11">
        <v>839</v>
      </c>
      <c r="H2116" s="11">
        <v>568</v>
      </c>
      <c r="I2116" s="11">
        <v>0</v>
      </c>
      <c r="J2116" s="11">
        <v>0</v>
      </c>
      <c r="K2116" s="11" t="s">
        <v>21</v>
      </c>
      <c r="L2116" s="7">
        <v>42282.979201388887</v>
      </c>
      <c r="M2116" s="12"/>
      <c r="N2116" s="12" t="s">
        <v>178</v>
      </c>
      <c r="O2116" s="10" t="str">
        <f t="shared" ref="O2116:O2117" si="202">HYPERLINK("https://pbs.twimg.com/profile_images/652871584131092480/QA_B6SBO_normal.jpg","View")</f>
        <v>View</v>
      </c>
      <c r="P2116" s="11"/>
    </row>
    <row r="2117" spans="1:16" ht="12.75" x14ac:dyDescent="0.35">
      <c r="A2117" s="7">
        <v>42482.0778125</v>
      </c>
      <c r="B2117" s="8" t="str">
        <f t="shared" si="201"/>
        <v>@OnlineCarReview</v>
      </c>
      <c r="C2117" s="9" t="s">
        <v>176</v>
      </c>
      <c r="D2117" s="9" t="s">
        <v>5433</v>
      </c>
      <c r="E2117" s="10" t="str">
        <f>HYPERLINK("https://twitter.com/OnlineCarReview/status/723245433925980160","723245433925980160")</f>
        <v>723245433925980160</v>
      </c>
      <c r="F2117" s="11" t="s">
        <v>34</v>
      </c>
      <c r="G2117" s="11">
        <v>839</v>
      </c>
      <c r="H2117" s="11">
        <v>568</v>
      </c>
      <c r="I2117" s="11">
        <v>0</v>
      </c>
      <c r="J2117" s="11">
        <v>0</v>
      </c>
      <c r="K2117" s="11" t="s">
        <v>21</v>
      </c>
      <c r="L2117" s="7">
        <v>42282.979201388887</v>
      </c>
      <c r="M2117" s="12"/>
      <c r="N2117" s="12" t="s">
        <v>178</v>
      </c>
      <c r="O2117" s="10" t="str">
        <f t="shared" si="202"/>
        <v>View</v>
      </c>
      <c r="P2117" s="11"/>
    </row>
    <row r="2118" spans="1:16" ht="12.75" x14ac:dyDescent="0.35">
      <c r="A2118" s="7">
        <v>42482.077951388885</v>
      </c>
      <c r="B2118" s="8" t="str">
        <f>HYPERLINK("https://twitter.com/VolkswagenPost","@VolkswagenPost")</f>
        <v>@VolkswagenPost</v>
      </c>
      <c r="C2118" s="9" t="s">
        <v>321</v>
      </c>
      <c r="D2118" s="9" t="s">
        <v>5434</v>
      </c>
      <c r="E2118" s="10" t="str">
        <f>HYPERLINK("https://twitter.com/VolkswagenPost/status/723245486958764034","723245486958764034")</f>
        <v>723245486958764034</v>
      </c>
      <c r="F2118" s="11" t="s">
        <v>34</v>
      </c>
      <c r="G2118" s="11">
        <v>571</v>
      </c>
      <c r="H2118" s="11">
        <v>446</v>
      </c>
      <c r="I2118" s="11">
        <v>0</v>
      </c>
      <c r="J2118" s="11">
        <v>0</v>
      </c>
      <c r="K2118" s="11" t="s">
        <v>21</v>
      </c>
      <c r="L2118" s="7">
        <v>41940.618379629632</v>
      </c>
      <c r="M2118" s="12"/>
      <c r="N2118" s="12"/>
      <c r="O2118" s="10" t="str">
        <f>HYPERLINK("https://pbs.twimg.com/profile_images/530071272881803264/a_jcCmPZ_normal.png","View")</f>
        <v>View</v>
      </c>
      <c r="P2118" s="11"/>
    </row>
    <row r="2119" spans="1:16" ht="12.75" x14ac:dyDescent="0.35">
      <c r="A2119" s="7">
        <v>42482.078356481477</v>
      </c>
      <c r="B2119" s="8" t="str">
        <f>HYPERLINK("https://twitter.com/carsdotcom","@carsdotcom")</f>
        <v>@carsdotcom</v>
      </c>
      <c r="C2119" s="8" t="s">
        <v>5435</v>
      </c>
      <c r="D2119" s="9" t="s">
        <v>5436</v>
      </c>
      <c r="E2119" s="10" t="str">
        <f>HYPERLINK("https://twitter.com/carsdotcom/status/723245631981142016","723245631981142016")</f>
        <v>723245631981142016</v>
      </c>
      <c r="F2119" s="11" t="s">
        <v>5437</v>
      </c>
      <c r="G2119" s="11">
        <v>78380</v>
      </c>
      <c r="H2119" s="11">
        <v>1408</v>
      </c>
      <c r="I2119" s="11">
        <v>1</v>
      </c>
      <c r="J2119" s="11">
        <v>2</v>
      </c>
      <c r="K2119" s="11" t="s">
        <v>21</v>
      </c>
      <c r="L2119" s="7">
        <v>39212.099988425922</v>
      </c>
      <c r="M2119" s="12" t="s">
        <v>3557</v>
      </c>
      <c r="N2119" s="12" t="s">
        <v>5438</v>
      </c>
      <c r="O2119" s="10" t="str">
        <f>HYPERLINK("https://pbs.twimg.com/profile_images/463796487604805632/lj-6WNq0_normal.png","View")</f>
        <v>View</v>
      </c>
      <c r="P2119" s="11"/>
    </row>
    <row r="2120" spans="1:16" ht="12.75" x14ac:dyDescent="0.35">
      <c r="A2120" s="7">
        <v>42482.0783912037</v>
      </c>
      <c r="B2120" s="8" t="str">
        <f>HYPERLINK("https://twitter.com/auto_hobby","@auto_hobby")</f>
        <v>@auto_hobby</v>
      </c>
      <c r="C2120" s="8" t="s">
        <v>5439</v>
      </c>
      <c r="D2120" s="9" t="s">
        <v>5440</v>
      </c>
      <c r="E2120" s="10" t="str">
        <f>HYPERLINK("https://twitter.com/auto_hobby/status/723245642198429696","723245642198429696")</f>
        <v>723245642198429696</v>
      </c>
      <c r="F2120" s="11" t="s">
        <v>53</v>
      </c>
      <c r="G2120" s="11">
        <v>70</v>
      </c>
      <c r="H2120" s="11">
        <v>176</v>
      </c>
      <c r="I2120" s="11">
        <v>0</v>
      </c>
      <c r="J2120" s="11">
        <v>0</v>
      </c>
      <c r="K2120" s="11" t="s">
        <v>21</v>
      </c>
      <c r="L2120" s="7">
        <v>40266.756284722222</v>
      </c>
      <c r="M2120" s="12"/>
      <c r="N2120" s="12" t="s">
        <v>5441</v>
      </c>
      <c r="O2120" s="10" t="str">
        <f>HYPERLINK("https://pbs.twimg.com/profile_images/783174143/sigla_twitter_normal.JPG","View")</f>
        <v>View</v>
      </c>
      <c r="P2120" s="11"/>
    </row>
    <row r="2121" spans="1:16" ht="12.75" x14ac:dyDescent="0.35">
      <c r="A2121" s="7">
        <v>42482.07917824074</v>
      </c>
      <c r="B2121" s="8" t="str">
        <f>HYPERLINK("https://twitter.com/FraGepWelz","@FraGepWelz")</f>
        <v>@FraGepWelz</v>
      </c>
      <c r="C2121" s="9" t="s">
        <v>5442</v>
      </c>
      <c r="D2121" s="9" t="s">
        <v>5443</v>
      </c>
      <c r="E2121" s="10" t="str">
        <f>HYPERLINK("https://twitter.com/FraGepWelz/status/723245928103161858","723245928103161858")</f>
        <v>723245928103161858</v>
      </c>
      <c r="F2121" s="11" t="s">
        <v>48</v>
      </c>
      <c r="G2121" s="11">
        <v>7</v>
      </c>
      <c r="H2121" s="11">
        <v>45</v>
      </c>
      <c r="I2121" s="11">
        <v>0</v>
      </c>
      <c r="J2121" s="11">
        <v>0</v>
      </c>
      <c r="K2121" s="11" t="s">
        <v>21</v>
      </c>
      <c r="L2121" s="7">
        <v>42167.081516203703</v>
      </c>
      <c r="M2121" s="12" t="s">
        <v>5444</v>
      </c>
      <c r="N2121" s="12" t="s">
        <v>5445</v>
      </c>
      <c r="O2121" s="10" t="str">
        <f>HYPERLINK("https://pbs.twimg.com/profile_images/710880311568179200/IIIxDFOj_normal.jpg","View")</f>
        <v>View</v>
      </c>
      <c r="P2121" s="11"/>
    </row>
    <row r="2122" spans="1:16" ht="12.75" x14ac:dyDescent="0.35">
      <c r="A2122" s="7">
        <v>42482.079375000001</v>
      </c>
      <c r="B2122" s="8" t="str">
        <f>HYPERLINK("https://twitter.com/KNordlichtW","@KNordlichtW")</f>
        <v>@KNordlichtW</v>
      </c>
      <c r="C2122" s="9" t="s">
        <v>2349</v>
      </c>
      <c r="D2122" s="9" t="s">
        <v>5446</v>
      </c>
      <c r="E2122" s="10" t="str">
        <f>HYPERLINK("https://twitter.com/KNordlichtW/status/723246001683849217","723246001683849217")</f>
        <v>723246001683849217</v>
      </c>
      <c r="F2122" s="11" t="s">
        <v>43</v>
      </c>
      <c r="G2122" s="11">
        <v>1303</v>
      </c>
      <c r="H2122" s="11">
        <v>2815</v>
      </c>
      <c r="I2122" s="11">
        <v>0</v>
      </c>
      <c r="J2122" s="11">
        <v>0</v>
      </c>
      <c r="K2122" s="11" t="s">
        <v>21</v>
      </c>
      <c r="L2122" s="7">
        <v>41425.106793981482</v>
      </c>
      <c r="M2122" s="12"/>
      <c r="N2122" s="12" t="s">
        <v>2351</v>
      </c>
      <c r="O2122" s="10" t="str">
        <f>HYPERLINK("https://pbs.twimg.com/profile_images/712334466585333760/rN4Fnyef_normal.jpg","View")</f>
        <v>View</v>
      </c>
      <c r="P2122" s="11"/>
    </row>
    <row r="2123" spans="1:16" ht="12.75" x14ac:dyDescent="0.35">
      <c r="A2123" s="7">
        <v>42482.080601851849</v>
      </c>
      <c r="B2123" s="8" t="str">
        <f>HYPERLINK("https://twitter.com/LuckyRogersXPRS","@LuckyRogersXPRS")</f>
        <v>@LuckyRogersXPRS</v>
      </c>
      <c r="C2123" s="9" t="s">
        <v>5447</v>
      </c>
      <c r="D2123" s="9" t="s">
        <v>5448</v>
      </c>
      <c r="E2123" s="10" t="str">
        <f>HYPERLINK("https://twitter.com/LuckyRogersXPRS/status/723246446128951296","723246446128951296")</f>
        <v>723246446128951296</v>
      </c>
      <c r="F2123" s="11" t="s">
        <v>5449</v>
      </c>
      <c r="G2123" s="11">
        <v>2</v>
      </c>
      <c r="H2123" s="11">
        <v>0</v>
      </c>
      <c r="I2123" s="11">
        <v>0</v>
      </c>
      <c r="J2123" s="11">
        <v>0</v>
      </c>
      <c r="K2123" s="11" t="s">
        <v>21</v>
      </c>
      <c r="L2123" s="7">
        <v>41669.158518518518</v>
      </c>
      <c r="M2123" s="12" t="s">
        <v>5450</v>
      </c>
      <c r="N2123" s="12" t="s">
        <v>5451</v>
      </c>
      <c r="O2123" s="10" t="str">
        <f>HYPERLINK("https://pbs.twimg.com/profile_images/428653773167153152/vb0SmO8R_normal.png","View")</f>
        <v>View</v>
      </c>
      <c r="P2123" s="11"/>
    </row>
    <row r="2124" spans="1:16" ht="12.75" x14ac:dyDescent="0.35">
      <c r="A2124" s="7">
        <v>42482.080983796295</v>
      </c>
      <c r="B2124" s="8" t="str">
        <f>HYPERLINK("https://twitter.com/pablofcogtz","@pablofcogtz")</f>
        <v>@pablofcogtz</v>
      </c>
      <c r="C2124" s="9" t="s">
        <v>5452</v>
      </c>
      <c r="D2124" s="9" t="s">
        <v>5168</v>
      </c>
      <c r="E2124" s="10" t="str">
        <f>HYPERLINK("https://twitter.com/pablofcogtz/status/723246583886704641","723246583886704641")</f>
        <v>723246583886704641</v>
      </c>
      <c r="F2124" s="11" t="s">
        <v>48</v>
      </c>
      <c r="G2124" s="11">
        <v>41</v>
      </c>
      <c r="H2124" s="11">
        <v>81</v>
      </c>
      <c r="I2124" s="11">
        <v>10</v>
      </c>
      <c r="J2124" s="11">
        <v>0</v>
      </c>
      <c r="K2124" s="11" t="s">
        <v>21</v>
      </c>
      <c r="L2124" s="7">
        <v>42165.969050925924</v>
      </c>
      <c r="M2124" s="12" t="s">
        <v>5453</v>
      </c>
      <c r="N2124" s="12" t="s">
        <v>5454</v>
      </c>
      <c r="O2124" s="10" t="str">
        <f>HYPERLINK("https://pbs.twimg.com/profile_images/717861806505533440/RNUw53eg_normal.jpg","View")</f>
        <v>View</v>
      </c>
      <c r="P2124" s="11"/>
    </row>
    <row r="2125" spans="1:16" ht="12.75" x14ac:dyDescent="0.35">
      <c r="A2125" s="7">
        <v>42482.081736111111</v>
      </c>
      <c r="B2125" s="8" t="str">
        <f>HYPERLINK("https://twitter.com/VWSouthCoast","@VWSouthCoast")</f>
        <v>@VWSouthCoast</v>
      </c>
      <c r="C2125" s="9" t="s">
        <v>3778</v>
      </c>
      <c r="D2125" s="9" t="s">
        <v>5455</v>
      </c>
      <c r="E2125" s="10" t="str">
        <f>HYPERLINK("https://twitter.com/VWSouthCoast/status/723246856164134914","723246856164134914")</f>
        <v>723246856164134914</v>
      </c>
      <c r="F2125" s="11" t="s">
        <v>140</v>
      </c>
      <c r="G2125" s="11">
        <v>1712</v>
      </c>
      <c r="H2125" s="11">
        <v>1360</v>
      </c>
      <c r="I2125" s="11">
        <v>0</v>
      </c>
      <c r="J2125" s="11">
        <v>0</v>
      </c>
      <c r="K2125" s="11" t="s">
        <v>21</v>
      </c>
      <c r="L2125" s="7">
        <v>39850.224340277782</v>
      </c>
      <c r="M2125" s="12" t="s">
        <v>3780</v>
      </c>
      <c r="N2125" s="12" t="s">
        <v>3781</v>
      </c>
      <c r="O2125" s="10" t="str">
        <f>HYPERLINK("https://pbs.twimg.com/profile_images/674737771588685824/QJjqWVJf_normal.jpg","View")</f>
        <v>View</v>
      </c>
      <c r="P2125" s="11"/>
    </row>
    <row r="2126" spans="1:16" ht="12.75" x14ac:dyDescent="0.35">
      <c r="A2126" s="7">
        <v>42482.081828703704</v>
      </c>
      <c r="B2126" s="8" t="str">
        <f>HYPERLINK("https://twitter.com/samantha_gilham","@samantha_gilham")</f>
        <v>@samantha_gilham</v>
      </c>
      <c r="C2126" s="9" t="s">
        <v>5456</v>
      </c>
      <c r="D2126" s="9" t="s">
        <v>4811</v>
      </c>
      <c r="E2126" s="10" t="str">
        <f>HYPERLINK("https://twitter.com/samantha_gilham/status/723246887990616064","723246887990616064")</f>
        <v>723246887990616064</v>
      </c>
      <c r="F2126" s="11" t="s">
        <v>20</v>
      </c>
      <c r="G2126" s="11">
        <v>1204</v>
      </c>
      <c r="H2126" s="11">
        <v>158</v>
      </c>
      <c r="I2126" s="11">
        <v>2</v>
      </c>
      <c r="J2126" s="11">
        <v>0</v>
      </c>
      <c r="K2126" s="11" t="s">
        <v>21</v>
      </c>
      <c r="L2126" s="7">
        <v>41985.154872685191</v>
      </c>
      <c r="M2126" s="12"/>
      <c r="N2126" s="12" t="s">
        <v>5457</v>
      </c>
      <c r="O2126" s="10" t="str">
        <f>HYPERLINK("https://pbs.twimg.com/profile_images/653644308806008832/owqrn47b_normal.jpg","View")</f>
        <v>View</v>
      </c>
      <c r="P2126" s="11"/>
    </row>
    <row r="2127" spans="1:16" ht="12.75" x14ac:dyDescent="0.35">
      <c r="A2127" s="7">
        <v>42482.081967592589</v>
      </c>
      <c r="B2127" s="8" t="str">
        <f>HYPERLINK("https://twitter.com/BeginTry","@BeginTry")</f>
        <v>@BeginTry</v>
      </c>
      <c r="C2127" s="9" t="s">
        <v>515</v>
      </c>
      <c r="D2127" s="9" t="s">
        <v>5458</v>
      </c>
      <c r="E2127" s="10" t="str">
        <f>HYPERLINK("https://twitter.com/BeginTry/status/723246940763394048","723246940763394048")</f>
        <v>723246940763394048</v>
      </c>
      <c r="F2127" s="11" t="s">
        <v>43</v>
      </c>
      <c r="G2127" s="11">
        <v>95</v>
      </c>
      <c r="H2127" s="11">
        <v>359</v>
      </c>
      <c r="I2127" s="11">
        <v>0</v>
      </c>
      <c r="J2127" s="11">
        <v>0</v>
      </c>
      <c r="K2127" s="11" t="s">
        <v>21</v>
      </c>
      <c r="L2127" s="7">
        <v>42316.963287037041</v>
      </c>
      <c r="M2127" s="12" t="s">
        <v>517</v>
      </c>
      <c r="N2127" s="12" t="s">
        <v>518</v>
      </c>
      <c r="O2127" s="10" t="str">
        <f>HYPERLINK("https://pbs.twimg.com/profile_images/663770205378736128/N0Ut9uE0_normal.jpg","View")</f>
        <v>View</v>
      </c>
      <c r="P2127" s="11"/>
    </row>
    <row r="2128" spans="1:16" ht="12.75" x14ac:dyDescent="0.35">
      <c r="A2128" s="7">
        <v>42482.08221064815</v>
      </c>
      <c r="B2128" s="8" t="str">
        <f>HYPERLINK("https://twitter.com/cesaringg","@cesaringg")</f>
        <v>@cesaringg</v>
      </c>
      <c r="C2128" s="9" t="s">
        <v>5459</v>
      </c>
      <c r="D2128" s="9" t="s">
        <v>5460</v>
      </c>
      <c r="E2128" s="10" t="str">
        <f>HYPERLINK("https://twitter.com/cesaringg/status/723247028474679296","723247028474679296")</f>
        <v>723247028474679296</v>
      </c>
      <c r="F2128" s="11" t="s">
        <v>48</v>
      </c>
      <c r="G2128" s="11">
        <v>309</v>
      </c>
      <c r="H2128" s="11">
        <v>581</v>
      </c>
      <c r="I2128" s="11">
        <v>1</v>
      </c>
      <c r="J2128" s="11">
        <v>0</v>
      </c>
      <c r="K2128" s="11" t="s">
        <v>21</v>
      </c>
      <c r="L2128" s="7">
        <v>40047.090740740743</v>
      </c>
      <c r="M2128" s="12" t="s">
        <v>5461</v>
      </c>
      <c r="N2128" s="12" t="s">
        <v>5462</v>
      </c>
      <c r="O2128" s="10" t="str">
        <f>HYPERLINK("https://pbs.twimg.com/profile_images/692306280300548098/eOc1XP0j_normal.jpg","View")</f>
        <v>View</v>
      </c>
      <c r="P2128" s="11"/>
    </row>
    <row r="2129" spans="1:16" ht="12.75" x14ac:dyDescent="0.35">
      <c r="A2129" s="7">
        <v>42482.082245370373</v>
      </c>
      <c r="B2129" s="8" t="str">
        <f>HYPERLINK("https://twitter.com/DJSLYPE","@DJSLYPE")</f>
        <v>@DJSLYPE</v>
      </c>
      <c r="C2129" s="9" t="s">
        <v>5463</v>
      </c>
      <c r="D2129" s="9" t="s">
        <v>5464</v>
      </c>
      <c r="E2129" s="10" t="str">
        <f>HYPERLINK("https://twitter.com/DJSLYPE/status/723247040592011264","723247040592011264")</f>
        <v>723247040592011264</v>
      </c>
      <c r="F2129" s="11" t="s">
        <v>43</v>
      </c>
      <c r="G2129" s="11">
        <v>504</v>
      </c>
      <c r="H2129" s="11">
        <v>318</v>
      </c>
      <c r="I2129" s="11">
        <v>74</v>
      </c>
      <c r="J2129" s="11">
        <v>0</v>
      </c>
      <c r="K2129" s="11" t="s">
        <v>21</v>
      </c>
      <c r="L2129" s="7">
        <v>41225.955775462964</v>
      </c>
      <c r="M2129" s="12" t="s">
        <v>5465</v>
      </c>
      <c r="N2129" s="12" t="s">
        <v>5466</v>
      </c>
      <c r="O2129" s="10" t="str">
        <f>HYPERLINK("https://pbs.twimg.com/profile_images/718497519106400256/Vh6isLWh_normal.jpg","View")</f>
        <v>View</v>
      </c>
      <c r="P2129" s="11"/>
    </row>
    <row r="2130" spans="1:16" ht="12.75" x14ac:dyDescent="0.35">
      <c r="A2130" s="7">
        <v>42482.082662037035</v>
      </c>
      <c r="B2130" s="8" t="str">
        <f>HYPERLINK("https://twitter.com/SexenioCDMX","@SexenioCDMX")</f>
        <v>@SexenioCDMX</v>
      </c>
      <c r="C2130" s="9" t="s">
        <v>3020</v>
      </c>
      <c r="D2130" s="9" t="s">
        <v>3021</v>
      </c>
      <c r="E2130" s="10" t="str">
        <f>HYPERLINK("https://twitter.com/SexenioCDMX/status/723247191356116994","723247191356116994")</f>
        <v>723247191356116994</v>
      </c>
      <c r="F2130" s="11" t="s">
        <v>63</v>
      </c>
      <c r="G2130" s="11">
        <v>91697</v>
      </c>
      <c r="H2130" s="11">
        <v>81619</v>
      </c>
      <c r="I2130" s="11">
        <v>0</v>
      </c>
      <c r="J2130" s="11">
        <v>0</v>
      </c>
      <c r="K2130" s="11" t="s">
        <v>21</v>
      </c>
      <c r="L2130" s="7">
        <v>41029.45988425926</v>
      </c>
      <c r="M2130" s="12" t="s">
        <v>3022</v>
      </c>
      <c r="N2130" s="12" t="s">
        <v>3023</v>
      </c>
      <c r="O2130" s="10" t="str">
        <f>HYPERLINK("https://pbs.twimg.com/profile_images/693156293842894848/THX8L389_normal.jpg","View")</f>
        <v>View</v>
      </c>
      <c r="P2130" s="11"/>
    </row>
    <row r="2131" spans="1:16" ht="12.75" x14ac:dyDescent="0.35">
      <c r="A2131" s="7">
        <v>42482.082696759258</v>
      </c>
      <c r="B2131" s="8" t="str">
        <f>HYPERLINK("https://twitter.com/VWCamperSales","@VWCamperSales")</f>
        <v>@VWCamperSales</v>
      </c>
      <c r="C2131" s="9" t="s">
        <v>216</v>
      </c>
      <c r="D2131" s="9" t="s">
        <v>5467</v>
      </c>
      <c r="E2131" s="10" t="str">
        <f>HYPERLINK("https://twitter.com/VWCamperSales/status/723247205763534848","723247205763534848")</f>
        <v>723247205763534848</v>
      </c>
      <c r="F2131" s="10" t="s">
        <v>124</v>
      </c>
      <c r="G2131" s="11">
        <v>615</v>
      </c>
      <c r="H2131" s="11">
        <v>580</v>
      </c>
      <c r="I2131" s="11">
        <v>0</v>
      </c>
      <c r="J2131" s="11">
        <v>0</v>
      </c>
      <c r="K2131" s="11" t="s">
        <v>21</v>
      </c>
      <c r="L2131" s="7">
        <v>42215.98809027778</v>
      </c>
      <c r="M2131" s="12" t="s">
        <v>129</v>
      </c>
      <c r="N2131" s="12" t="s">
        <v>218</v>
      </c>
      <c r="O2131" s="10" t="str">
        <f>HYPERLINK("https://pbs.twimg.com/profile_images/627949001179037696/skEBkS05_normal.jpg","View")</f>
        <v>View</v>
      </c>
      <c r="P2131" s="11"/>
    </row>
    <row r="2132" spans="1:16" ht="12.75" x14ac:dyDescent="0.35">
      <c r="A2132" s="7">
        <v>42482.082731481481</v>
      </c>
      <c r="B2132" s="8" t="str">
        <f>HYPERLINK("https://twitter.com/SexenioMX","@SexenioMX")</f>
        <v>@SexenioMX</v>
      </c>
      <c r="C2132" s="9" t="s">
        <v>3024</v>
      </c>
      <c r="D2132" s="9" t="s">
        <v>3025</v>
      </c>
      <c r="E2132" s="10" t="str">
        <f>HYPERLINK("https://twitter.com/SexenioMX/status/723247215133609988","723247215133609988")</f>
        <v>723247215133609988</v>
      </c>
      <c r="F2132" s="11" t="s">
        <v>63</v>
      </c>
      <c r="G2132" s="11">
        <v>1789832</v>
      </c>
      <c r="H2132" s="11">
        <v>476</v>
      </c>
      <c r="I2132" s="11">
        <v>0</v>
      </c>
      <c r="J2132" s="11">
        <v>1</v>
      </c>
      <c r="K2132" s="11" t="s">
        <v>21</v>
      </c>
      <c r="L2132" s="7">
        <v>40619.200162037036</v>
      </c>
      <c r="M2132" s="12" t="s">
        <v>462</v>
      </c>
      <c r="N2132" s="12" t="s">
        <v>3026</v>
      </c>
      <c r="O2132" s="10" t="str">
        <f>HYPERLINK("https://pbs.twimg.com/profile_images/700415860230397952/tCGmCj6M_normal.jpg","View")</f>
        <v>View</v>
      </c>
      <c r="P2132" s="11"/>
    </row>
    <row r="2133" spans="1:16" ht="12.75" x14ac:dyDescent="0.35">
      <c r="A2133" s="7">
        <v>42482.083483796298</v>
      </c>
      <c r="B2133" s="8" t="str">
        <f>HYPERLINK("https://twitter.com/GiroGisela","@GiroGisela")</f>
        <v>@GiroGisela</v>
      </c>
      <c r="C2133" s="9" t="s">
        <v>5468</v>
      </c>
      <c r="D2133" s="9" t="s">
        <v>3496</v>
      </c>
      <c r="E2133" s="10" t="str">
        <f>HYPERLINK("https://twitter.com/GiroGisela/status/723247491152502784","723247491152502784")</f>
        <v>723247491152502784</v>
      </c>
      <c r="F2133" s="11" t="s">
        <v>91</v>
      </c>
      <c r="G2133" s="11">
        <v>1277</v>
      </c>
      <c r="H2133" s="11">
        <v>684</v>
      </c>
      <c r="I2133" s="11">
        <v>6</v>
      </c>
      <c r="J2133" s="11">
        <v>0</v>
      </c>
      <c r="K2133" s="11" t="s">
        <v>21</v>
      </c>
      <c r="L2133" s="7">
        <v>41802.770972222221</v>
      </c>
      <c r="M2133" s="12" t="s">
        <v>1241</v>
      </c>
      <c r="N2133" s="12" t="s">
        <v>5469</v>
      </c>
      <c r="O2133" s="10" t="str">
        <f>HYPERLINK("https://pbs.twimg.com/profile_images/624312714110746624/Dvn7cB6A_normal.jpg","View")</f>
        <v>View</v>
      </c>
      <c r="P2133" s="11"/>
    </row>
    <row r="2134" spans="1:16" ht="12.75" x14ac:dyDescent="0.35">
      <c r="A2134" s="7">
        <v>42482.08384259259</v>
      </c>
      <c r="B2134" s="8" t="str">
        <f>HYPERLINK("https://twitter.com/ElysseMorgan","@ElysseMorgan")</f>
        <v>@ElysseMorgan</v>
      </c>
      <c r="C2134" s="9" t="s">
        <v>5470</v>
      </c>
      <c r="D2134" s="9" t="s">
        <v>3279</v>
      </c>
      <c r="E2134" s="10" t="str">
        <f>HYPERLINK("https://twitter.com/ElysseMorgan/status/723247618701193216","723247618701193216")</f>
        <v>723247618701193216</v>
      </c>
      <c r="F2134" s="11" t="s">
        <v>20</v>
      </c>
      <c r="G2134" s="11">
        <v>3100</v>
      </c>
      <c r="H2134" s="11">
        <v>580</v>
      </c>
      <c r="I2134" s="11">
        <v>7</v>
      </c>
      <c r="J2134" s="11">
        <v>0</v>
      </c>
      <c r="K2134" s="11" t="s">
        <v>21</v>
      </c>
      <c r="L2134" s="7">
        <v>40144.102824074071</v>
      </c>
      <c r="M2134" s="12" t="s">
        <v>5471</v>
      </c>
      <c r="N2134" s="12" t="s">
        <v>5472</v>
      </c>
      <c r="O2134" s="10" t="str">
        <f>HYPERLINK("https://pbs.twimg.com/profile_images/695388311288819712/-5hAbwJD_normal.jpg","View")</f>
        <v>View</v>
      </c>
      <c r="P2134" s="11"/>
    </row>
    <row r="2135" spans="1:16" ht="12.75" x14ac:dyDescent="0.35">
      <c r="A2135" s="7">
        <v>42482.084097222221</v>
      </c>
      <c r="B2135" s="8" t="str">
        <f>HYPERLINK("https://twitter.com/buran63","@buran63")</f>
        <v>@buran63</v>
      </c>
      <c r="C2135" s="9" t="s">
        <v>5473</v>
      </c>
      <c r="D2135" s="9" t="s">
        <v>5474</v>
      </c>
      <c r="E2135" s="10" t="str">
        <f>HYPERLINK("https://twitter.com/buran63/status/723247712586571777","723247712586571777")</f>
        <v>723247712586571777</v>
      </c>
      <c r="F2135" s="11" t="s">
        <v>20</v>
      </c>
      <c r="G2135" s="11">
        <v>1190</v>
      </c>
      <c r="H2135" s="11">
        <v>886</v>
      </c>
      <c r="I2135" s="11">
        <v>3</v>
      </c>
      <c r="J2135" s="11">
        <v>5</v>
      </c>
      <c r="K2135" s="11" t="s">
        <v>21</v>
      </c>
      <c r="L2135" s="7">
        <v>40497.488715277781</v>
      </c>
      <c r="M2135" s="12" t="s">
        <v>5475</v>
      </c>
      <c r="N2135" s="12" t="s">
        <v>5476</v>
      </c>
      <c r="O2135" s="10" t="str">
        <f>HYPERLINK("https://pbs.twimg.com/profile_images/645328399834181632/rWu1bHrC_normal.jpg","View")</f>
        <v>View</v>
      </c>
      <c r="P2135" s="11"/>
    </row>
    <row r="2136" spans="1:16" ht="12.75" x14ac:dyDescent="0.35">
      <c r="A2136" s="7">
        <v>42482.084120370375</v>
      </c>
      <c r="B2136" s="8" t="str">
        <f>HYPERLINK("https://twitter.com/dashingclaire","@dashingclaire")</f>
        <v>@dashingclaire</v>
      </c>
      <c r="C2136" s="9" t="s">
        <v>5477</v>
      </c>
      <c r="D2136" s="9" t="s">
        <v>5478</v>
      </c>
      <c r="E2136" s="10" t="str">
        <f>HYPERLINK("https://twitter.com/dashingclaire/status/723247720413057024","723247720413057024")</f>
        <v>723247720413057024</v>
      </c>
      <c r="F2136" s="11" t="s">
        <v>63</v>
      </c>
      <c r="G2136" s="11">
        <v>2959</v>
      </c>
      <c r="H2136" s="11">
        <v>2649</v>
      </c>
      <c r="I2136" s="11">
        <v>0</v>
      </c>
      <c r="J2136" s="11">
        <v>0</v>
      </c>
      <c r="K2136" s="11" t="s">
        <v>21</v>
      </c>
      <c r="L2136" s="7">
        <v>39989.258553240739</v>
      </c>
      <c r="M2136" s="12" t="s">
        <v>5479</v>
      </c>
      <c r="N2136" s="12" t="s">
        <v>5480</v>
      </c>
      <c r="O2136" s="10" t="str">
        <f>HYPERLINK("https://pbs.twimg.com/profile_images/453323895135690752/iFYCtw66_normal.png","View")</f>
        <v>View</v>
      </c>
      <c r="P2136" s="11"/>
    </row>
    <row r="2137" spans="1:16" ht="12.75" x14ac:dyDescent="0.35">
      <c r="A2137" s="7">
        <v>42482.084131944444</v>
      </c>
      <c r="B2137" s="8" t="str">
        <f>HYPERLINK("https://twitter.com/SazzCharles","@SazzCharles")</f>
        <v>@SazzCharles</v>
      </c>
      <c r="C2137" s="9" t="s">
        <v>5481</v>
      </c>
      <c r="D2137" s="9" t="s">
        <v>5482</v>
      </c>
      <c r="E2137" s="10" t="str">
        <f>HYPERLINK("https://twitter.com/SazzCharles/status/723247726574612480","723247726574612480")</f>
        <v>723247726574612480</v>
      </c>
      <c r="F2137" s="11" t="s">
        <v>20</v>
      </c>
      <c r="G2137" s="11">
        <v>155</v>
      </c>
      <c r="H2137" s="11">
        <v>430</v>
      </c>
      <c r="I2137" s="11">
        <v>0</v>
      </c>
      <c r="J2137" s="11">
        <v>1</v>
      </c>
      <c r="K2137" s="11" t="s">
        <v>21</v>
      </c>
      <c r="L2137" s="7">
        <v>41068.645671296297</v>
      </c>
      <c r="M2137" s="12" t="s">
        <v>5483</v>
      </c>
      <c r="N2137" s="12" t="s">
        <v>5484</v>
      </c>
      <c r="O2137" s="10" t="str">
        <f>HYPERLINK("https://pbs.twimg.com/profile_images/579990425966104576/Kah77WJ4_normal.jpg","View")</f>
        <v>View</v>
      </c>
      <c r="P2137" s="11"/>
    </row>
    <row r="2138" spans="1:16" ht="12.75" x14ac:dyDescent="0.35">
      <c r="A2138" s="7">
        <v>42482.084166666667</v>
      </c>
      <c r="B2138" s="8" t="str">
        <f>HYPERLINK("https://twitter.com/SYirmi","@SYirmi")</f>
        <v>@SYirmi</v>
      </c>
      <c r="C2138" s="9" t="s">
        <v>5485</v>
      </c>
      <c r="D2138" s="9" t="s">
        <v>5486</v>
      </c>
      <c r="E2138" s="10" t="str">
        <f>HYPERLINK("https://twitter.com/SYirmi/status/723247735831441408","723247735831441408")</f>
        <v>723247735831441408</v>
      </c>
      <c r="F2138" s="11" t="s">
        <v>43</v>
      </c>
      <c r="G2138" s="11">
        <v>489</v>
      </c>
      <c r="H2138" s="11">
        <v>349</v>
      </c>
      <c r="I2138" s="11">
        <v>4</v>
      </c>
      <c r="J2138" s="11">
        <v>0</v>
      </c>
      <c r="K2138" s="11" t="s">
        <v>21</v>
      </c>
      <c r="L2138" s="7">
        <v>41784.074525462966</v>
      </c>
      <c r="M2138" s="12"/>
      <c r="N2138" s="12" t="s">
        <v>5487</v>
      </c>
      <c r="O2138" s="10" t="str">
        <f>HYPERLINK("https://pbs.twimg.com/profile_images/509071000122982400/X7VfGKLE_normal.jpeg","View")</f>
        <v>View</v>
      </c>
      <c r="P2138" s="11"/>
    </row>
    <row r="2139" spans="1:16" ht="12.75" x14ac:dyDescent="0.35">
      <c r="A2139" s="7">
        <v>42482.084641203706</v>
      </c>
      <c r="B2139" s="8" t="str">
        <f>HYPERLINK("https://twitter.com/Julliooos","@Julliooos")</f>
        <v>@Julliooos</v>
      </c>
      <c r="C2139" s="9" t="s">
        <v>754</v>
      </c>
      <c r="D2139" s="9" t="s">
        <v>5488</v>
      </c>
      <c r="E2139" s="10" t="str">
        <f>HYPERLINK("https://twitter.com/Julliooos/status/723247907416203264","723247907416203264")</f>
        <v>723247907416203264</v>
      </c>
      <c r="F2139" s="11" t="s">
        <v>20</v>
      </c>
      <c r="G2139" s="11">
        <v>83</v>
      </c>
      <c r="H2139" s="11">
        <v>435</v>
      </c>
      <c r="I2139" s="11">
        <v>0</v>
      </c>
      <c r="J2139" s="11">
        <v>0</v>
      </c>
      <c r="K2139" s="11" t="s">
        <v>21</v>
      </c>
      <c r="L2139" s="7">
        <v>41011.098344907405</v>
      </c>
      <c r="M2139" s="12"/>
      <c r="N2139" s="12"/>
      <c r="O2139" s="10" t="str">
        <f>HYPERLINK("https://pbs.twimg.com/profile_images/649256068443439104/oCfaia9Q_normal.png","View")</f>
        <v>View</v>
      </c>
      <c r="P2139" s="11"/>
    </row>
    <row r="2140" spans="1:16" ht="12.75" x14ac:dyDescent="0.35">
      <c r="A2140" s="7">
        <v>42482.084687499999</v>
      </c>
      <c r="B2140" s="8" t="str">
        <f>HYPERLINK("https://twitter.com/christianwilp","@christianwilp")</f>
        <v>@christianwilp</v>
      </c>
      <c r="C2140" s="9" t="s">
        <v>5489</v>
      </c>
      <c r="D2140" s="9" t="s">
        <v>5490</v>
      </c>
      <c r="E2140" s="10" t="str">
        <f>HYPERLINK("https://twitter.com/christianwilp/status/723247924302491648","723247924302491648")</f>
        <v>723247924302491648</v>
      </c>
      <c r="F2140" s="11" t="s">
        <v>91</v>
      </c>
      <c r="G2140" s="11">
        <v>881</v>
      </c>
      <c r="H2140" s="11">
        <v>573</v>
      </c>
      <c r="I2140" s="11">
        <v>0</v>
      </c>
      <c r="J2140" s="11">
        <v>2</v>
      </c>
      <c r="K2140" s="11" t="s">
        <v>21</v>
      </c>
      <c r="L2140" s="7">
        <v>41017.832303240742</v>
      </c>
      <c r="M2140" s="12"/>
      <c r="N2140" s="12" t="s">
        <v>5491</v>
      </c>
      <c r="O2140" s="10" t="str">
        <f>HYPERLINK("https://pbs.twimg.com/profile_images/671465231680462848/nzWxxzZJ_normal.jpg","View")</f>
        <v>View</v>
      </c>
      <c r="P2140" s="11"/>
    </row>
    <row r="2141" spans="1:16" ht="12.75" x14ac:dyDescent="0.35">
      <c r="A2141" s="7">
        <v>42482.085486111115</v>
      </c>
      <c r="B2141" s="8" t="str">
        <f>HYPERLINK("https://twitter.com/VWBeetleSales","@VWBeetleSales")</f>
        <v>@VWBeetleSales</v>
      </c>
      <c r="C2141" s="9" t="s">
        <v>127</v>
      </c>
      <c r="D2141" s="9" t="s">
        <v>5492</v>
      </c>
      <c r="E2141" s="10" t="str">
        <f>HYPERLINK("https://twitter.com/VWBeetleSales/status/723248215735193601","723248215735193601")</f>
        <v>723248215735193601</v>
      </c>
      <c r="F2141" s="10" t="s">
        <v>124</v>
      </c>
      <c r="G2141" s="11">
        <v>35</v>
      </c>
      <c r="H2141" s="11">
        <v>32</v>
      </c>
      <c r="I2141" s="11">
        <v>0</v>
      </c>
      <c r="J2141" s="11">
        <v>0</v>
      </c>
      <c r="K2141" s="11" t="s">
        <v>21</v>
      </c>
      <c r="L2141" s="7">
        <v>42427.019756944443</v>
      </c>
      <c r="M2141" s="12" t="s">
        <v>129</v>
      </c>
      <c r="N2141" s="12" t="s">
        <v>130</v>
      </c>
      <c r="O2141" s="10" t="str">
        <f>HYPERLINK("https://pbs.twimg.com/profile_images/703294545195307008/qeCvrX86_normal.jpg","View")</f>
        <v>View</v>
      </c>
      <c r="P2141" s="11"/>
    </row>
    <row r="2142" spans="1:16" ht="12.75" x14ac:dyDescent="0.35">
      <c r="A2142" s="7">
        <v>42482.086192129631</v>
      </c>
      <c r="B2142" s="8" t="str">
        <f>HYPERLINK("https://twitter.com/VWCamperSales","@VWCamperSales")</f>
        <v>@VWCamperSales</v>
      </c>
      <c r="C2142" s="9" t="s">
        <v>216</v>
      </c>
      <c r="D2142" s="9" t="s">
        <v>5493</v>
      </c>
      <c r="E2142" s="10" t="str">
        <f>HYPERLINK("https://twitter.com/VWCamperSales/status/723248470534938624","723248470534938624")</f>
        <v>723248470534938624</v>
      </c>
      <c r="F2142" s="10" t="s">
        <v>124</v>
      </c>
      <c r="G2142" s="11">
        <v>615</v>
      </c>
      <c r="H2142" s="11">
        <v>580</v>
      </c>
      <c r="I2142" s="11">
        <v>0</v>
      </c>
      <c r="J2142" s="11">
        <v>0</v>
      </c>
      <c r="K2142" s="11" t="s">
        <v>21</v>
      </c>
      <c r="L2142" s="7">
        <v>42215.98809027778</v>
      </c>
      <c r="M2142" s="12" t="s">
        <v>129</v>
      </c>
      <c r="N2142" s="12" t="s">
        <v>218</v>
      </c>
      <c r="O2142" s="10" t="str">
        <f>HYPERLINK("https://pbs.twimg.com/profile_images/627949001179037696/skEBkS05_normal.jpg","View")</f>
        <v>View</v>
      </c>
      <c r="P2142" s="11"/>
    </row>
    <row r="2143" spans="1:16" ht="12.75" x14ac:dyDescent="0.35">
      <c r="A2143" s="7">
        <v>42482.086608796293</v>
      </c>
      <c r="B2143" s="8" t="str">
        <f>HYPERLINK("https://twitter.com/miojob_net","@miojob_net")</f>
        <v>@miojob_net</v>
      </c>
      <c r="C2143" s="9" t="s">
        <v>5494</v>
      </c>
      <c r="D2143" s="9" t="s">
        <v>5495</v>
      </c>
      <c r="E2143" s="10" t="str">
        <f>HYPERLINK("https://twitter.com/miojob_net/status/723248623283130368","723248623283130368")</f>
        <v>723248623283130368</v>
      </c>
      <c r="F2143" s="11" t="s">
        <v>34</v>
      </c>
      <c r="G2143" s="11">
        <v>692</v>
      </c>
      <c r="H2143" s="11">
        <v>798</v>
      </c>
      <c r="I2143" s="11">
        <v>0</v>
      </c>
      <c r="J2143" s="11">
        <v>0</v>
      </c>
      <c r="K2143" s="11" t="s">
        <v>21</v>
      </c>
      <c r="L2143" s="7">
        <v>41980.808229166665</v>
      </c>
      <c r="M2143" s="12" t="s">
        <v>2663</v>
      </c>
      <c r="N2143" s="12" t="s">
        <v>5496</v>
      </c>
      <c r="O2143" s="10" t="str">
        <f>HYPERLINK("https://pbs.twimg.com/profile_images/541591945689055232/9Gu8cStJ_normal.png","View")</f>
        <v>View</v>
      </c>
      <c r="P2143" s="11"/>
    </row>
    <row r="2144" spans="1:16" ht="12.75" x14ac:dyDescent="0.35">
      <c r="A2144" s="7">
        <v>42482.087175925924</v>
      </c>
      <c r="B2144" s="8" t="str">
        <f>HYPERLINK("https://twitter.com/acklaw","@acklaw")</f>
        <v>@acklaw</v>
      </c>
      <c r="C2144" s="9" t="s">
        <v>5497</v>
      </c>
      <c r="D2144" s="9" t="s">
        <v>5498</v>
      </c>
      <c r="E2144" s="10" t="str">
        <f>HYPERLINK("https://twitter.com/acklaw/status/723248826170105856","723248826170105856")</f>
        <v>723248826170105856</v>
      </c>
      <c r="F2144" s="11" t="s">
        <v>20</v>
      </c>
      <c r="G2144" s="11">
        <v>9908</v>
      </c>
      <c r="H2144" s="11">
        <v>6877</v>
      </c>
      <c r="I2144" s="11">
        <v>0</v>
      </c>
      <c r="J2144" s="11">
        <v>0</v>
      </c>
      <c r="K2144" s="11" t="s">
        <v>21</v>
      </c>
      <c r="L2144" s="7">
        <v>40727.198877314819</v>
      </c>
      <c r="M2144" s="12" t="s">
        <v>5499</v>
      </c>
      <c r="N2144" s="12" t="s">
        <v>5500</v>
      </c>
      <c r="O2144" s="10" t="str">
        <f>HYPERLINK("https://pbs.twimg.com/profile_images/668932725567393792/sbSqGxTp_normal.jpg","View")</f>
        <v>View</v>
      </c>
      <c r="P2144" s="11"/>
    </row>
    <row r="2145" spans="1:16" ht="12.75" x14ac:dyDescent="0.35">
      <c r="A2145" s="7">
        <v>42482.087280092594</v>
      </c>
      <c r="B2145" s="8" t="str">
        <f>HYPERLINK("https://twitter.com/yeahjackdaniels","@yeahjackdaniels")</f>
        <v>@yeahjackdaniels</v>
      </c>
      <c r="C2145" s="9" t="s">
        <v>5501</v>
      </c>
      <c r="D2145" s="9" t="s">
        <v>5502</v>
      </c>
      <c r="E2145" s="10" t="str">
        <f>HYPERLINK("https://twitter.com/yeahjackdaniels/status/723248867249164288","723248867249164288")</f>
        <v>723248867249164288</v>
      </c>
      <c r="F2145" s="11" t="s">
        <v>114</v>
      </c>
      <c r="G2145" s="11">
        <v>178</v>
      </c>
      <c r="H2145" s="11">
        <v>200</v>
      </c>
      <c r="I2145" s="11">
        <v>0</v>
      </c>
      <c r="J2145" s="11">
        <v>0</v>
      </c>
      <c r="K2145" s="11" t="s">
        <v>21</v>
      </c>
      <c r="L2145" s="7">
        <v>41536.010034722218</v>
      </c>
      <c r="M2145" s="12"/>
      <c r="N2145" s="12" t="s">
        <v>5503</v>
      </c>
      <c r="O2145" s="10" t="str">
        <f>HYPERLINK("https://pbs.twimg.com/profile_images/542264779063455744/71-O8Lbp_normal.jpeg","View")</f>
        <v>View</v>
      </c>
      <c r="P2145" s="11"/>
    </row>
    <row r="2146" spans="1:16" ht="12.75" x14ac:dyDescent="0.35">
      <c r="A2146" s="7">
        <v>42482.088194444441</v>
      </c>
      <c r="B2146" s="8" t="str">
        <f>HYPERLINK("https://twitter.com/FuscaWorld","@FuscaWorld")</f>
        <v>@FuscaWorld</v>
      </c>
      <c r="C2146" s="9" t="s">
        <v>74</v>
      </c>
      <c r="D2146" s="9" t="s">
        <v>5504</v>
      </c>
      <c r="E2146" s="10" t="str">
        <f>HYPERLINK("https://twitter.com/FuscaWorld/status/723249196661366784","723249196661366784")</f>
        <v>723249196661366784</v>
      </c>
      <c r="F2146" s="11" t="s">
        <v>76</v>
      </c>
      <c r="G2146" s="11">
        <v>48</v>
      </c>
      <c r="H2146" s="11">
        <v>1</v>
      </c>
      <c r="I2146" s="11">
        <v>1</v>
      </c>
      <c r="J2146" s="11">
        <v>0</v>
      </c>
      <c r="K2146" s="11" t="s">
        <v>21</v>
      </c>
      <c r="L2146" s="7">
        <v>42433.880914351852</v>
      </c>
      <c r="M2146" s="12"/>
      <c r="N2146" s="12" t="s">
        <v>77</v>
      </c>
      <c r="O2146" s="10" t="str">
        <f>HYPERLINK("https://pbs.twimg.com/profile_images/705780107844067328/e7O4UBNb_normal.jpg","View")</f>
        <v>View</v>
      </c>
      <c r="P2146" s="11"/>
    </row>
    <row r="2147" spans="1:16" ht="12.75" x14ac:dyDescent="0.35">
      <c r="A2147" s="7">
        <v>42482.088807870372</v>
      </c>
      <c r="B2147" s="8" t="str">
        <f>HYPERLINK("https://twitter.com/christianwilp","@christianwilp")</f>
        <v>@christianwilp</v>
      </c>
      <c r="C2147" s="9" t="s">
        <v>5489</v>
      </c>
      <c r="D2147" s="9" t="s">
        <v>5505</v>
      </c>
      <c r="E2147" s="10" t="str">
        <f>HYPERLINK("https://twitter.com/christianwilp/status/723249419978739712","723249419978739712")</f>
        <v>723249419978739712</v>
      </c>
      <c r="F2147" s="11" t="s">
        <v>91</v>
      </c>
      <c r="G2147" s="11">
        <v>881</v>
      </c>
      <c r="H2147" s="11">
        <v>573</v>
      </c>
      <c r="I2147" s="11">
        <v>2</v>
      </c>
      <c r="J2147" s="11">
        <v>2</v>
      </c>
      <c r="K2147" s="11" t="s">
        <v>21</v>
      </c>
      <c r="L2147" s="7">
        <v>41017.832303240742</v>
      </c>
      <c r="M2147" s="12"/>
      <c r="N2147" s="12" t="s">
        <v>5491</v>
      </c>
      <c r="O2147" s="10" t="str">
        <f>HYPERLINK("https://pbs.twimg.com/profile_images/671465231680462848/nzWxxzZJ_normal.jpg","View")</f>
        <v>View</v>
      </c>
      <c r="P2147" s="11"/>
    </row>
    <row r="2148" spans="1:16" ht="12.75" x14ac:dyDescent="0.35">
      <c r="A2148" s="7">
        <v>42482.089305555557</v>
      </c>
      <c r="B2148" s="8" t="str">
        <f>HYPERLINK("https://twitter.com/Juanmaadiez","@Juanmaadiez")</f>
        <v>@Juanmaadiez</v>
      </c>
      <c r="C2148" s="9" t="s">
        <v>5506</v>
      </c>
      <c r="D2148" s="9" t="s">
        <v>2825</v>
      </c>
      <c r="E2148" s="10" t="str">
        <f>HYPERLINK("https://twitter.com/Juanmaadiez/status/723249598681235456","723249598681235456")</f>
        <v>723249598681235456</v>
      </c>
      <c r="F2148" s="11" t="s">
        <v>48</v>
      </c>
      <c r="G2148" s="11">
        <v>748</v>
      </c>
      <c r="H2148" s="11">
        <v>1846</v>
      </c>
      <c r="I2148" s="11">
        <v>53</v>
      </c>
      <c r="J2148" s="11">
        <v>0</v>
      </c>
      <c r="K2148" s="11" t="s">
        <v>21</v>
      </c>
      <c r="L2148" s="7">
        <v>41284.862511574072</v>
      </c>
      <c r="M2148" s="12"/>
      <c r="N2148" s="12" t="s">
        <v>5507</v>
      </c>
      <c r="O2148" s="10" t="str">
        <f>HYPERLINK("https://pbs.twimg.com/profile_images/378800000257362768/793d7277f8c4decfaacd9cd94f18f706_normal.jpeg","View")</f>
        <v>View</v>
      </c>
      <c r="P2148" s="11"/>
    </row>
    <row r="2149" spans="1:16" ht="12.75" x14ac:dyDescent="0.35">
      <c r="A2149" s="7">
        <v>42482.089351851857</v>
      </c>
      <c r="B2149" s="8" t="str">
        <f>HYPERLINK("https://twitter.com/rmltpie","@rmltpie")</f>
        <v>@rmltpie</v>
      </c>
      <c r="C2149" s="9" t="s">
        <v>5508</v>
      </c>
      <c r="D2149" s="9" t="s">
        <v>5150</v>
      </c>
      <c r="E2149" s="10" t="str">
        <f>HYPERLINK("https://twitter.com/rmltpie/status/723249616242790401","723249616242790401")</f>
        <v>723249616242790401</v>
      </c>
      <c r="F2149" s="11" t="s">
        <v>43</v>
      </c>
      <c r="G2149" s="11">
        <v>904</v>
      </c>
      <c r="H2149" s="11">
        <v>678</v>
      </c>
      <c r="I2149" s="11">
        <v>24</v>
      </c>
      <c r="J2149" s="11">
        <v>0</v>
      </c>
      <c r="K2149" s="11" t="s">
        <v>21</v>
      </c>
      <c r="L2149" s="7">
        <v>41955.023773148147</v>
      </c>
      <c r="M2149" s="12" t="s">
        <v>5509</v>
      </c>
      <c r="N2149" s="12" t="s">
        <v>5510</v>
      </c>
      <c r="O2149" s="10" t="str">
        <f>HYPERLINK("https://pbs.twimg.com/profile_images/707344213738848256/sAMc8HcG_normal.jpg","View")</f>
        <v>View</v>
      </c>
      <c r="P2149" s="11"/>
    </row>
    <row r="2150" spans="1:16" ht="12.75" x14ac:dyDescent="0.35">
      <c r="A2150" s="7">
        <v>42482.091145833328</v>
      </c>
      <c r="B2150" s="8" t="str">
        <f>HYPERLINK("https://twitter.com/r_kreisel","@r_kreisel")</f>
        <v>@r_kreisel</v>
      </c>
      <c r="C2150" s="9" t="s">
        <v>4183</v>
      </c>
      <c r="D2150" s="9" t="s">
        <v>5486</v>
      </c>
      <c r="E2150" s="10" t="str">
        <f>HYPERLINK("https://twitter.com/r_kreisel/status/723250265000955906","723250265000955906")</f>
        <v>723250265000955906</v>
      </c>
      <c r="F2150" s="11" t="s">
        <v>20</v>
      </c>
      <c r="G2150" s="11">
        <v>52</v>
      </c>
      <c r="H2150" s="11">
        <v>117</v>
      </c>
      <c r="I2150" s="11">
        <v>4</v>
      </c>
      <c r="J2150" s="11">
        <v>0</v>
      </c>
      <c r="K2150" s="11" t="s">
        <v>21</v>
      </c>
      <c r="L2150" s="7">
        <v>41940.65688657407</v>
      </c>
      <c r="M2150" s="12"/>
      <c r="N2150" s="12" t="s">
        <v>4184</v>
      </c>
      <c r="O2150" s="10" t="str">
        <f>HYPERLINK("https://pbs.twimg.com/profile_images/527052537992470529/T_xUcDO1_normal.jpeg","View")</f>
        <v>View</v>
      </c>
      <c r="P2150" s="11"/>
    </row>
    <row r="2151" spans="1:16" ht="12.75" x14ac:dyDescent="0.35">
      <c r="A2151" s="7">
        <v>42482.091446759259</v>
      </c>
      <c r="B2151" s="8" t="str">
        <f>HYPERLINK("https://twitter.com/SLimLuLi","@SLimLuLi")</f>
        <v>@SLimLuLi</v>
      </c>
      <c r="C2151" s="9" t="s">
        <v>5511</v>
      </c>
      <c r="D2151" s="9" t="s">
        <v>2825</v>
      </c>
      <c r="E2151" s="10" t="str">
        <f>HYPERLINK("https://twitter.com/SLimLuLi/status/723250376540086272","723250376540086272")</f>
        <v>723250376540086272</v>
      </c>
      <c r="F2151" s="11" t="s">
        <v>48</v>
      </c>
      <c r="G2151" s="11">
        <v>2612</v>
      </c>
      <c r="H2151" s="11">
        <v>1605</v>
      </c>
      <c r="I2151" s="11">
        <v>53</v>
      </c>
      <c r="J2151" s="11">
        <v>0</v>
      </c>
      <c r="K2151" s="11" t="s">
        <v>21</v>
      </c>
      <c r="L2151" s="7">
        <v>41312.16847222222</v>
      </c>
      <c r="M2151" s="12" t="s">
        <v>5512</v>
      </c>
      <c r="N2151" s="12" t="s">
        <v>5513</v>
      </c>
      <c r="O2151" s="10" t="str">
        <f>HYPERLINK("https://pbs.twimg.com/profile_images/711312097980915712/ozXZdyPp_normal.jpg","View")</f>
        <v>View</v>
      </c>
      <c r="P2151" s="11"/>
    </row>
    <row r="2152" spans="1:16" ht="12.75" x14ac:dyDescent="0.35">
      <c r="A2152" s="7">
        <v>42482.091585648144</v>
      </c>
      <c r="B2152" s="8" t="str">
        <f>HYPERLINK("https://twitter.com/KarlHarenbrock","@KarlHarenbrock")</f>
        <v>@KarlHarenbrock</v>
      </c>
      <c r="C2152" s="9" t="s">
        <v>2794</v>
      </c>
      <c r="D2152" s="9" t="s">
        <v>5514</v>
      </c>
      <c r="E2152" s="10" t="str">
        <f>HYPERLINK("https://twitter.com/KarlHarenbrock/status/723250427379245056","723250427379245056")</f>
        <v>723250427379245056</v>
      </c>
      <c r="F2152" s="11" t="s">
        <v>43</v>
      </c>
      <c r="G2152" s="11">
        <v>388</v>
      </c>
      <c r="H2152" s="11">
        <v>726</v>
      </c>
      <c r="I2152" s="11">
        <v>2</v>
      </c>
      <c r="J2152" s="11">
        <v>0</v>
      </c>
      <c r="K2152" s="11" t="s">
        <v>21</v>
      </c>
      <c r="L2152" s="7">
        <v>41597.176736111112</v>
      </c>
      <c r="M2152" s="12" t="s">
        <v>2795</v>
      </c>
      <c r="N2152" s="12" t="s">
        <v>2796</v>
      </c>
      <c r="O2152" s="10" t="str">
        <f>HYPERLINK("https://pbs.twimg.com/profile_images/672388164602982402/VUyn5Uy1_normal.jpg","View")</f>
        <v>View</v>
      </c>
      <c r="P2152" s="11"/>
    </row>
    <row r="2153" spans="1:16" ht="12.75" x14ac:dyDescent="0.35">
      <c r="A2153" s="7">
        <v>42482.091782407406</v>
      </c>
      <c r="B2153" s="8" t="str">
        <f>HYPERLINK("https://twitter.com/SummersandClark","@SummersandClark")</f>
        <v>@SummersandClark</v>
      </c>
      <c r="C2153" s="9" t="s">
        <v>5515</v>
      </c>
      <c r="D2153" s="9" t="s">
        <v>5516</v>
      </c>
      <c r="E2153" s="10" t="str">
        <f>HYPERLINK("https://twitter.com/SummersandClark/status/723250498430767105","723250498430767105")</f>
        <v>723250498430767105</v>
      </c>
      <c r="F2153" s="11" t="s">
        <v>43</v>
      </c>
      <c r="G2153" s="11">
        <v>5151</v>
      </c>
      <c r="H2153" s="11">
        <v>4559</v>
      </c>
      <c r="I2153" s="11">
        <v>12</v>
      </c>
      <c r="J2153" s="11">
        <v>0</v>
      </c>
      <c r="K2153" s="11" t="s">
        <v>21</v>
      </c>
      <c r="L2153" s="7">
        <v>40578.007037037038</v>
      </c>
      <c r="M2153" s="12" t="s">
        <v>305</v>
      </c>
      <c r="N2153" s="12" t="s">
        <v>5517</v>
      </c>
      <c r="O2153" s="10" t="str">
        <f>HYPERLINK("https://pbs.twimg.com/profile_images/3283121959/b5c820a7a4b0a9ae6910b041a8979cb9_normal.jpeg","View")</f>
        <v>View</v>
      </c>
      <c r="P2153" s="11"/>
    </row>
    <row r="2154" spans="1:16" ht="12.75" x14ac:dyDescent="0.35">
      <c r="A2154" s="7">
        <v>42482.092083333337</v>
      </c>
      <c r="B2154" s="8" t="str">
        <f>HYPERLINK("https://twitter.com/PeterConstant","@PeterConstant")</f>
        <v>@PeterConstant</v>
      </c>
      <c r="C2154" s="9" t="s">
        <v>2498</v>
      </c>
      <c r="D2154" s="9" t="s">
        <v>5518</v>
      </c>
      <c r="E2154" s="10" t="str">
        <f>HYPERLINK("https://twitter.com/PeterConstant/status/723250606589267969","723250606589267969")</f>
        <v>723250606589267969</v>
      </c>
      <c r="F2154" s="11" t="s">
        <v>43</v>
      </c>
      <c r="G2154" s="11">
        <v>373</v>
      </c>
      <c r="H2154" s="11">
        <v>1069</v>
      </c>
      <c r="I2154" s="11">
        <v>0</v>
      </c>
      <c r="J2154" s="11">
        <v>0</v>
      </c>
      <c r="K2154" s="11" t="s">
        <v>21</v>
      </c>
      <c r="L2154" s="7">
        <v>40880.997858796298</v>
      </c>
      <c r="M2154" s="12" t="s">
        <v>2500</v>
      </c>
      <c r="N2154" s="12" t="s">
        <v>2501</v>
      </c>
      <c r="O2154" s="10" t="str">
        <f>HYPERLINK("https://abs.twimg.com/sticky/default_profile_images/default_profile_5_normal.png","View")</f>
        <v>View</v>
      </c>
      <c r="P2154" s="11"/>
    </row>
    <row r="2155" spans="1:16" ht="12.75" x14ac:dyDescent="0.35">
      <c r="A2155" s="7">
        <v>42482.094340277778</v>
      </c>
      <c r="B2155" s="8" t="str">
        <f>HYPERLINK("https://twitter.com/mcj66","@mcj66")</f>
        <v>@mcj66</v>
      </c>
      <c r="C2155" s="9" t="s">
        <v>5519</v>
      </c>
      <c r="D2155" s="9" t="s">
        <v>5150</v>
      </c>
      <c r="E2155" s="10" t="str">
        <f>HYPERLINK("https://twitter.com/mcj66/status/723251423622893568","723251423622893568")</f>
        <v>723251423622893568</v>
      </c>
      <c r="F2155" s="11" t="s">
        <v>48</v>
      </c>
      <c r="G2155" s="11">
        <v>1765</v>
      </c>
      <c r="H2155" s="11">
        <v>1435</v>
      </c>
      <c r="I2155" s="11">
        <v>24</v>
      </c>
      <c r="J2155" s="11">
        <v>0</v>
      </c>
      <c r="K2155" s="11" t="s">
        <v>21</v>
      </c>
      <c r="L2155" s="7">
        <v>39907.824143518519</v>
      </c>
      <c r="M2155" s="12" t="s">
        <v>5520</v>
      </c>
      <c r="N2155" s="12" t="s">
        <v>5521</v>
      </c>
      <c r="O2155" s="10" t="str">
        <f>HYPERLINK("https://pbs.twimg.com/profile_images/697799650431074304/WVOJ2bXi_normal.jpg","View")</f>
        <v>View</v>
      </c>
      <c r="P2155" s="11"/>
    </row>
    <row r="2156" spans="1:16" ht="12.75" x14ac:dyDescent="0.35">
      <c r="A2156" s="7">
        <v>42482.094409722224</v>
      </c>
      <c r="B2156" s="8" t="str">
        <f>HYPERLINK("https://twitter.com/jo32168","@jo32168")</f>
        <v>@jo32168</v>
      </c>
      <c r="C2156" s="9" t="s">
        <v>5522</v>
      </c>
      <c r="D2156" s="9" t="s">
        <v>3744</v>
      </c>
      <c r="E2156" s="10" t="str">
        <f>HYPERLINK("https://twitter.com/jo32168/status/723251449233334273","723251449233334273")</f>
        <v>723251449233334273</v>
      </c>
      <c r="F2156" s="11" t="s">
        <v>5523</v>
      </c>
      <c r="G2156" s="11">
        <v>67</v>
      </c>
      <c r="H2156" s="11">
        <v>94</v>
      </c>
      <c r="I2156" s="11">
        <v>5</v>
      </c>
      <c r="J2156" s="11">
        <v>0</v>
      </c>
      <c r="K2156" s="11" t="s">
        <v>21</v>
      </c>
      <c r="L2156" s="7">
        <v>40742.109675925924</v>
      </c>
      <c r="M2156" s="12"/>
      <c r="N2156" s="12" t="s">
        <v>5524</v>
      </c>
      <c r="O2156" s="10" t="str">
        <f>HYPERLINK("https://abs.twimg.com/sticky/default_profile_images/default_profile_4_normal.png","View")</f>
        <v>View</v>
      </c>
      <c r="P2156" s="11"/>
    </row>
    <row r="2157" spans="1:16" ht="12.75" x14ac:dyDescent="0.35">
      <c r="A2157" s="7">
        <v>42482.095243055555</v>
      </c>
      <c r="B2157" s="8" t="str">
        <f>HYPERLINK("https://twitter.com/HFensterman","@HFensterman")</f>
        <v>@HFensterman</v>
      </c>
      <c r="C2157" s="9" t="s">
        <v>5525</v>
      </c>
      <c r="D2157" s="9" t="s">
        <v>5526</v>
      </c>
      <c r="E2157" s="10" t="str">
        <f>HYPERLINK("https://twitter.com/HFensterman/status/723251749474193408","723251749474193408")</f>
        <v>723251749474193408</v>
      </c>
      <c r="F2157" s="11" t="s">
        <v>43</v>
      </c>
      <c r="G2157" s="11">
        <v>33</v>
      </c>
      <c r="H2157" s="11">
        <v>37</v>
      </c>
      <c r="I2157" s="11">
        <v>0</v>
      </c>
      <c r="J2157" s="11">
        <v>0</v>
      </c>
      <c r="K2157" s="11" t="s">
        <v>21</v>
      </c>
      <c r="L2157" s="7">
        <v>40526.095775462964</v>
      </c>
      <c r="M2157" s="12" t="s">
        <v>237</v>
      </c>
      <c r="N2157" s="12" t="s">
        <v>5527</v>
      </c>
      <c r="O2157" s="10" t="str">
        <f>HYPERLINK("https://pbs.twimg.com/profile_images/1189871654/Howard_Fensterman_normal.jpg","View")</f>
        <v>View</v>
      </c>
      <c r="P2157" s="11"/>
    </row>
    <row r="2158" spans="1:16" ht="12.75" x14ac:dyDescent="0.35">
      <c r="A2158" s="7">
        <v>42482.09584490741</v>
      </c>
      <c r="B2158" s="8" t="str">
        <f>HYPERLINK("https://twitter.com/GACCColorado","@GACCColorado")</f>
        <v>@GACCColorado</v>
      </c>
      <c r="C2158" s="9" t="s">
        <v>5528</v>
      </c>
      <c r="D2158" s="9" t="s">
        <v>3523</v>
      </c>
      <c r="E2158" s="10" t="str">
        <f>HYPERLINK("https://twitter.com/GACCColorado/status/723251970191011843","723251970191011843")</f>
        <v>723251970191011843</v>
      </c>
      <c r="F2158" s="11" t="s">
        <v>48</v>
      </c>
      <c r="G2158" s="11">
        <v>1278</v>
      </c>
      <c r="H2158" s="11">
        <v>444</v>
      </c>
      <c r="I2158" s="11">
        <v>12</v>
      </c>
      <c r="J2158" s="11">
        <v>0</v>
      </c>
      <c r="K2158" s="11" t="s">
        <v>21</v>
      </c>
      <c r="L2158" s="7">
        <v>40451.455462962964</v>
      </c>
      <c r="M2158" s="12" t="s">
        <v>5529</v>
      </c>
      <c r="N2158" s="12" t="s">
        <v>5530</v>
      </c>
      <c r="O2158" s="10" t="str">
        <f>HYPERLINK("https://pbs.twimg.com/profile_images/434425163216474112/KtOuHIkV_normal.jpeg","View")</f>
        <v>View</v>
      </c>
      <c r="P2158" s="11"/>
    </row>
    <row r="2159" spans="1:16" ht="12.75" x14ac:dyDescent="0.35">
      <c r="A2159" s="7">
        <v>42482.096238425926</v>
      </c>
      <c r="B2159" s="8" t="str">
        <f t="shared" ref="B2159:B2160" si="203">HYPERLINK("https://twitter.com/VWCamperSales","@VWCamperSales")</f>
        <v>@VWCamperSales</v>
      </c>
      <c r="C2159" s="9" t="s">
        <v>216</v>
      </c>
      <c r="D2159" s="9" t="s">
        <v>5531</v>
      </c>
      <c r="E2159" s="10" t="str">
        <f>HYPERLINK("https://twitter.com/VWCamperSales/status/723252110658166784","723252110658166784")</f>
        <v>723252110658166784</v>
      </c>
      <c r="F2159" s="10" t="s">
        <v>124</v>
      </c>
      <c r="G2159" s="11">
        <v>615</v>
      </c>
      <c r="H2159" s="11">
        <v>580</v>
      </c>
      <c r="I2159" s="11">
        <v>0</v>
      </c>
      <c r="J2159" s="11">
        <v>0</v>
      </c>
      <c r="K2159" s="11" t="s">
        <v>21</v>
      </c>
      <c r="L2159" s="7">
        <v>42215.98809027778</v>
      </c>
      <c r="M2159" s="12" t="s">
        <v>129</v>
      </c>
      <c r="N2159" s="12" t="s">
        <v>218</v>
      </c>
      <c r="O2159" s="10" t="str">
        <f t="shared" ref="O2159:O2160" si="204">HYPERLINK("https://pbs.twimg.com/profile_images/627949001179037696/skEBkS05_normal.jpg","View")</f>
        <v>View</v>
      </c>
      <c r="P2159" s="11"/>
    </row>
    <row r="2160" spans="1:16" ht="12.75" x14ac:dyDescent="0.35">
      <c r="A2160" s="7">
        <v>42482.096284722225</v>
      </c>
      <c r="B2160" s="8" t="str">
        <f t="shared" si="203"/>
        <v>@VWCamperSales</v>
      </c>
      <c r="C2160" s="9" t="s">
        <v>216</v>
      </c>
      <c r="D2160" s="9" t="s">
        <v>5532</v>
      </c>
      <c r="E2160" s="10" t="str">
        <f>HYPERLINK("https://twitter.com/VWCamperSales/status/723252127607353344","723252127607353344")</f>
        <v>723252127607353344</v>
      </c>
      <c r="F2160" s="10" t="s">
        <v>124</v>
      </c>
      <c r="G2160" s="11">
        <v>615</v>
      </c>
      <c r="H2160" s="11">
        <v>580</v>
      </c>
      <c r="I2160" s="11">
        <v>0</v>
      </c>
      <c r="J2160" s="11">
        <v>0</v>
      </c>
      <c r="K2160" s="11" t="s">
        <v>21</v>
      </c>
      <c r="L2160" s="7">
        <v>42215.98809027778</v>
      </c>
      <c r="M2160" s="12" t="s">
        <v>129</v>
      </c>
      <c r="N2160" s="12" t="s">
        <v>218</v>
      </c>
      <c r="O2160" s="10" t="str">
        <f t="shared" si="204"/>
        <v>View</v>
      </c>
      <c r="P2160" s="11"/>
    </row>
    <row r="2161" spans="1:16" ht="12.75" x14ac:dyDescent="0.35">
      <c r="A2161" s="7">
        <v>42482.096504629633</v>
      </c>
      <c r="B2161" s="8" t="str">
        <f>HYPERLINK("https://twitter.com/Puretruth678","@Puretruth678")</f>
        <v>@Puretruth678</v>
      </c>
      <c r="C2161" s="9" t="s">
        <v>5533</v>
      </c>
      <c r="D2161" s="9" t="s">
        <v>5534</v>
      </c>
      <c r="E2161" s="10" t="str">
        <f>HYPERLINK("https://twitter.com/Puretruth678/status/723252207722860545","723252207722860545")</f>
        <v>723252207722860545</v>
      </c>
      <c r="F2161" s="11" t="s">
        <v>2645</v>
      </c>
      <c r="G2161" s="11">
        <v>451</v>
      </c>
      <c r="H2161" s="11">
        <v>326</v>
      </c>
      <c r="I2161" s="11">
        <v>1</v>
      </c>
      <c r="J2161" s="11">
        <v>1</v>
      </c>
      <c r="K2161" s="11" t="s">
        <v>21</v>
      </c>
      <c r="L2161" s="7">
        <v>41373.069641203707</v>
      </c>
      <c r="M2161" s="12"/>
      <c r="N2161" s="12" t="s">
        <v>5535</v>
      </c>
      <c r="O2161" s="10" t="str">
        <f>HYPERLINK("https://pbs.twimg.com/profile_images/378800000220532021/0b643081bcc47d3f92ebf1f9531e6280_normal.jpeg","View")</f>
        <v>View</v>
      </c>
      <c r="P2161" s="11"/>
    </row>
    <row r="2162" spans="1:16" ht="12.75" x14ac:dyDescent="0.35">
      <c r="A2162" s="7">
        <v>42482.09710648148</v>
      </c>
      <c r="B2162" s="8" t="str">
        <f>HYPERLINK("https://twitter.com/brui_ie","@brui_ie")</f>
        <v>@brui_ie</v>
      </c>
      <c r="C2162" s="8" t="s">
        <v>5536</v>
      </c>
      <c r="D2162" s="9" t="s">
        <v>5150</v>
      </c>
      <c r="E2162" s="10" t="str">
        <f>HYPERLINK("https://twitter.com/brui_ie/status/723252424987803648","723252424987803648")</f>
        <v>723252424987803648</v>
      </c>
      <c r="F2162" s="11" t="s">
        <v>48</v>
      </c>
      <c r="G2162" s="11">
        <v>257</v>
      </c>
      <c r="H2162" s="11">
        <v>926</v>
      </c>
      <c r="I2162" s="11">
        <v>24</v>
      </c>
      <c r="J2162" s="11">
        <v>0</v>
      </c>
      <c r="K2162" s="11" t="s">
        <v>21</v>
      </c>
      <c r="L2162" s="7">
        <v>42182.909224537041</v>
      </c>
      <c r="M2162" s="12"/>
      <c r="N2162" s="12" t="s">
        <v>5537</v>
      </c>
      <c r="O2162" s="10" t="str">
        <f>HYPERLINK("https://pbs.twimg.com/profile_images/644499650284752896/UgDFYFyy_normal.jpg","View")</f>
        <v>View</v>
      </c>
      <c r="P2162" s="11"/>
    </row>
    <row r="2163" spans="1:16" ht="12.75" x14ac:dyDescent="0.35">
      <c r="A2163" s="7">
        <v>42482.098078703704</v>
      </c>
      <c r="B2163" s="8" t="str">
        <f>HYPERLINK("https://twitter.com/olb_b","@olb_b")</f>
        <v>@olb_b</v>
      </c>
      <c r="C2163" s="9" t="s">
        <v>5538</v>
      </c>
      <c r="D2163" s="9" t="s">
        <v>5539</v>
      </c>
      <c r="E2163" s="10" t="str">
        <f>HYPERLINK("https://twitter.com/olb_b/status/723252777774923777","723252777774923777")</f>
        <v>723252777774923777</v>
      </c>
      <c r="F2163" s="11" t="s">
        <v>48</v>
      </c>
      <c r="G2163" s="11">
        <v>62</v>
      </c>
      <c r="H2163" s="11">
        <v>157</v>
      </c>
      <c r="I2163" s="11">
        <v>3</v>
      </c>
      <c r="J2163" s="11">
        <v>0</v>
      </c>
      <c r="K2163" s="11" t="s">
        <v>21</v>
      </c>
      <c r="L2163" s="7">
        <v>42370.857673611114</v>
      </c>
      <c r="M2163" s="12"/>
      <c r="N2163" s="12"/>
      <c r="O2163" s="10" t="str">
        <f>HYPERLINK("https://pbs.twimg.com/profile_images/682942592208760832/P8c4WXDf_normal.jpg","View")</f>
        <v>View</v>
      </c>
      <c r="P2163" s="11"/>
    </row>
    <row r="2164" spans="1:16" ht="12.75" x14ac:dyDescent="0.35">
      <c r="A2164" s="7">
        <v>42482.099016203705</v>
      </c>
      <c r="B2164" s="8" t="str">
        <f>HYPERLINK("https://twitter.com/JokoMartinez11","@JokoMartinez11")</f>
        <v>@JokoMartinez11</v>
      </c>
      <c r="C2164" s="9" t="s">
        <v>5540</v>
      </c>
      <c r="D2164" s="9" t="s">
        <v>5541</v>
      </c>
      <c r="E2164" s="10" t="str">
        <f>HYPERLINK("https://twitter.com/JokoMartinez11/status/723253117022773248","723253117022773248")</f>
        <v>723253117022773248</v>
      </c>
      <c r="F2164" s="11" t="s">
        <v>48</v>
      </c>
      <c r="G2164" s="11">
        <v>838</v>
      </c>
      <c r="H2164" s="11">
        <v>548</v>
      </c>
      <c r="I2164" s="11">
        <v>0</v>
      </c>
      <c r="J2164" s="11">
        <v>0</v>
      </c>
      <c r="K2164" s="11" t="s">
        <v>21</v>
      </c>
      <c r="L2164" s="7">
        <v>40995.911828703705</v>
      </c>
      <c r="M2164" s="12" t="s">
        <v>5542</v>
      </c>
      <c r="N2164" s="12" t="s">
        <v>5543</v>
      </c>
      <c r="O2164" s="10" t="str">
        <f>HYPERLINK("https://pbs.twimg.com/profile_images/718717044322148354/2qbm7eME_normal.jpg","View")</f>
        <v>View</v>
      </c>
      <c r="P2164" s="11"/>
    </row>
    <row r="2165" spans="1:16" ht="12.75" x14ac:dyDescent="0.35">
      <c r="A2165" s="7">
        <v>42482.099976851852</v>
      </c>
      <c r="B2165" s="8" t="str">
        <f>HYPERLINK("https://twitter.com/IaraaSofia","@IaraaSofia")</f>
        <v>@IaraaSofia</v>
      </c>
      <c r="C2165" s="9" t="s">
        <v>5544</v>
      </c>
      <c r="D2165" s="9" t="s">
        <v>2825</v>
      </c>
      <c r="E2165" s="10" t="str">
        <f>HYPERLINK("https://twitter.com/IaraaSofia/status/723253467142344705","723253467142344705")</f>
        <v>723253467142344705</v>
      </c>
      <c r="F2165" s="11" t="s">
        <v>48</v>
      </c>
      <c r="G2165" s="11">
        <v>1748</v>
      </c>
      <c r="H2165" s="11">
        <v>1223</v>
      </c>
      <c r="I2165" s="11">
        <v>53</v>
      </c>
      <c r="J2165" s="11">
        <v>0</v>
      </c>
      <c r="K2165" s="11" t="s">
        <v>21</v>
      </c>
      <c r="L2165" s="7">
        <v>40707.003645833334</v>
      </c>
      <c r="M2165" s="12" t="s">
        <v>5545</v>
      </c>
      <c r="N2165" s="12" t="s">
        <v>5546</v>
      </c>
      <c r="O2165" s="10" t="str">
        <f>HYPERLINK("https://pbs.twimg.com/profile_images/717727020042555392/9TxnW1Dh_normal.jpg","View")</f>
        <v>View</v>
      </c>
      <c r="P2165" s="11"/>
    </row>
    <row r="2166" spans="1:16" ht="12.75" x14ac:dyDescent="0.35">
      <c r="A2166" s="7">
        <v>42482.100300925929</v>
      </c>
      <c r="B2166" s="8" t="str">
        <f>HYPERLINK("https://twitter.com/ausrutherford","@ausrutherford")</f>
        <v>@ausrutherford</v>
      </c>
      <c r="C2166" s="9" t="s">
        <v>5547</v>
      </c>
      <c r="D2166" s="9" t="s">
        <v>5548</v>
      </c>
      <c r="E2166" s="10" t="str">
        <f>HYPERLINK("https://twitter.com/ausrutherford/status/723253585530654720","723253585530654720")</f>
        <v>723253585530654720</v>
      </c>
      <c r="F2166" s="11" t="s">
        <v>63</v>
      </c>
      <c r="G2166" s="11">
        <v>199</v>
      </c>
      <c r="H2166" s="11">
        <v>342</v>
      </c>
      <c r="I2166" s="11">
        <v>1</v>
      </c>
      <c r="J2166" s="11">
        <v>0</v>
      </c>
      <c r="K2166" s="11" t="s">
        <v>21</v>
      </c>
      <c r="L2166" s="7">
        <v>39939.340057870373</v>
      </c>
      <c r="M2166" s="12" t="s">
        <v>5549</v>
      </c>
      <c r="N2166" s="12" t="s">
        <v>5550</v>
      </c>
      <c r="O2166" s="10" t="str">
        <f>HYPERLINK("https://pbs.twimg.com/profile_images/709058129393291264/47ZDCq7j_normal.jpg","View")</f>
        <v>View</v>
      </c>
      <c r="P2166" s="11"/>
    </row>
    <row r="2167" spans="1:16" ht="12.75" x14ac:dyDescent="0.35">
      <c r="A2167" s="7">
        <v>42482.100578703699</v>
      </c>
      <c r="B2167" s="8" t="str">
        <f>HYPERLINK("https://twitter.com/cris_drudi","@cris_drudi")</f>
        <v>@cris_drudi</v>
      </c>
      <c r="C2167" s="9" t="s">
        <v>5551</v>
      </c>
      <c r="D2167" s="9" t="s">
        <v>2825</v>
      </c>
      <c r="E2167" s="10" t="str">
        <f>HYPERLINK("https://twitter.com/cris_drudi/status/723253683266396160","723253683266396160")</f>
        <v>723253683266396160</v>
      </c>
      <c r="F2167" s="11" t="s">
        <v>48</v>
      </c>
      <c r="G2167" s="11">
        <v>277</v>
      </c>
      <c r="H2167" s="11">
        <v>161</v>
      </c>
      <c r="I2167" s="11">
        <v>53</v>
      </c>
      <c r="J2167" s="11">
        <v>0</v>
      </c>
      <c r="K2167" s="11" t="s">
        <v>21</v>
      </c>
      <c r="L2167" s="7">
        <v>40929.200509259259</v>
      </c>
      <c r="M2167" s="12" t="s">
        <v>5552</v>
      </c>
      <c r="N2167" s="12" t="s">
        <v>5553</v>
      </c>
      <c r="O2167" s="10" t="str">
        <f>HYPERLINK("https://pbs.twimg.com/profile_images/716500934591913984/lbdjJdrd_normal.jpg","View")</f>
        <v>View</v>
      </c>
      <c r="P2167" s="11"/>
    </row>
    <row r="2168" spans="1:16" ht="12.75" x14ac:dyDescent="0.35">
      <c r="A2168" s="7">
        <v>42482.100775462968</v>
      </c>
      <c r="B2168" s="8" t="str">
        <f>HYPERLINK("https://twitter.com/VWCamperSales","@VWCamperSales")</f>
        <v>@VWCamperSales</v>
      </c>
      <c r="C2168" s="9" t="s">
        <v>216</v>
      </c>
      <c r="D2168" s="9" t="s">
        <v>5554</v>
      </c>
      <c r="E2168" s="10" t="str">
        <f>HYPERLINK("https://twitter.com/VWCamperSales/status/723253756310102016","723253756310102016")</f>
        <v>723253756310102016</v>
      </c>
      <c r="F2168" s="10" t="s">
        <v>124</v>
      </c>
      <c r="G2168" s="11">
        <v>615</v>
      </c>
      <c r="H2168" s="11">
        <v>580</v>
      </c>
      <c r="I2168" s="11">
        <v>0</v>
      </c>
      <c r="J2168" s="11">
        <v>0</v>
      </c>
      <c r="K2168" s="11" t="s">
        <v>21</v>
      </c>
      <c r="L2168" s="7">
        <v>42215.98809027778</v>
      </c>
      <c r="M2168" s="12" t="s">
        <v>129</v>
      </c>
      <c r="N2168" s="12" t="s">
        <v>218</v>
      </c>
      <c r="O2168" s="10" t="str">
        <f>HYPERLINK("https://pbs.twimg.com/profile_images/627949001179037696/skEBkS05_normal.jpg","View")</f>
        <v>View</v>
      </c>
      <c r="P2168" s="11"/>
    </row>
    <row r="2169" spans="1:16" ht="12.75" x14ac:dyDescent="0.35">
      <c r="A2169" s="7">
        <v>42482.101608796293</v>
      </c>
      <c r="B2169" s="8" t="str">
        <f>HYPERLINK("https://twitter.com/pbeez17","@pbeez17")</f>
        <v>@pbeez17</v>
      </c>
      <c r="C2169" s="9" t="s">
        <v>5555</v>
      </c>
      <c r="D2169" s="9" t="s">
        <v>5556</v>
      </c>
      <c r="E2169" s="10" t="str">
        <f>HYPERLINK("https://twitter.com/pbeez17/status/723254057612115968","723254057612115968")</f>
        <v>723254057612115968</v>
      </c>
      <c r="F2169" s="11" t="s">
        <v>20</v>
      </c>
      <c r="G2169" s="11">
        <v>171</v>
      </c>
      <c r="H2169" s="11">
        <v>225</v>
      </c>
      <c r="I2169" s="11">
        <v>0</v>
      </c>
      <c r="J2169" s="11">
        <v>0</v>
      </c>
      <c r="K2169" s="11" t="s">
        <v>21</v>
      </c>
      <c r="L2169" s="7">
        <v>40939.808067129634</v>
      </c>
      <c r="M2169" s="12"/>
      <c r="N2169" s="12" t="s">
        <v>5557</v>
      </c>
      <c r="O2169" s="10" t="str">
        <f>HYPERLINK("https://pbs.twimg.com/profile_images/566302017447297026/WU8Aw0sB_normal.jpeg","View")</f>
        <v>View</v>
      </c>
      <c r="P2169" s="11"/>
    </row>
    <row r="2170" spans="1:16" ht="12.75" x14ac:dyDescent="0.35">
      <c r="A2170" s="7">
        <v>42482.10224537037</v>
      </c>
      <c r="B2170" s="8" t="str">
        <f>HYPERLINK("https://twitter.com/AirdFlavelle","@AirdFlavelle")</f>
        <v>@AirdFlavelle</v>
      </c>
      <c r="C2170" s="9" t="s">
        <v>5558</v>
      </c>
      <c r="D2170" s="9" t="s">
        <v>5559</v>
      </c>
      <c r="E2170" s="10" t="str">
        <f>HYPERLINK("https://twitter.com/AirdFlavelle/status/723254287548084225","723254287548084225")</f>
        <v>723254287548084225</v>
      </c>
      <c r="F2170" s="11" t="s">
        <v>43</v>
      </c>
      <c r="G2170" s="11">
        <v>934</v>
      </c>
      <c r="H2170" s="11">
        <v>463</v>
      </c>
      <c r="I2170" s="11">
        <v>1</v>
      </c>
      <c r="J2170" s="11">
        <v>0</v>
      </c>
      <c r="K2170" s="11" t="s">
        <v>21</v>
      </c>
      <c r="L2170" s="7">
        <v>40122.512256944443</v>
      </c>
      <c r="M2170" s="12" t="s">
        <v>5560</v>
      </c>
      <c r="N2170" s="12" t="s">
        <v>5561</v>
      </c>
      <c r="O2170" s="10" t="str">
        <f>HYPERLINK("https://pbs.twimg.com/profile_images/3642579669/ed031c60d44e627a721408cb192cca3a_normal.png","View")</f>
        <v>View</v>
      </c>
      <c r="P2170" s="11"/>
    </row>
    <row r="2171" spans="1:16" ht="12.75" x14ac:dyDescent="0.35">
      <c r="A2171" s="7">
        <v>42482.103368055556</v>
      </c>
      <c r="B2171" s="8" t="str">
        <f>HYPERLINK("https://twitter.com/hce25","@hce25")</f>
        <v>@hce25</v>
      </c>
      <c r="C2171" s="9" t="s">
        <v>5562</v>
      </c>
      <c r="D2171" s="9" t="s">
        <v>2360</v>
      </c>
      <c r="E2171" s="10" t="str">
        <f>HYPERLINK("https://twitter.com/hce25/status/723254697214246912","723254697214246912")</f>
        <v>723254697214246912</v>
      </c>
      <c r="F2171" s="11" t="s">
        <v>43</v>
      </c>
      <c r="G2171" s="11">
        <v>143</v>
      </c>
      <c r="H2171" s="11">
        <v>214</v>
      </c>
      <c r="I2171" s="11">
        <v>5</v>
      </c>
      <c r="J2171" s="11">
        <v>0</v>
      </c>
      <c r="K2171" s="11" t="s">
        <v>21</v>
      </c>
      <c r="L2171" s="7">
        <v>41288.004178240742</v>
      </c>
      <c r="M2171" s="12" t="s">
        <v>3284</v>
      </c>
      <c r="N2171" s="12"/>
      <c r="O2171" s="10" t="str">
        <f>HYPERLINK("https://pbs.twimg.com/profile_images/493776708323913728/zZI150Dt_normal.png","View")</f>
        <v>View</v>
      </c>
      <c r="P2171" s="11"/>
    </row>
    <row r="2172" spans="1:16" ht="12.75" x14ac:dyDescent="0.35">
      <c r="A2172" s="7">
        <v>42482.103981481487</v>
      </c>
      <c r="B2172" s="8" t="str">
        <f>HYPERLINK("https://twitter.com/arod3921","@arod3921")</f>
        <v>@arod3921</v>
      </c>
      <c r="C2172" s="9" t="s">
        <v>5563</v>
      </c>
      <c r="D2172" s="9" t="s">
        <v>5564</v>
      </c>
      <c r="E2172" s="10" t="str">
        <f>HYPERLINK("https://twitter.com/arod3921/status/723254919562551296","723254919562551296")</f>
        <v>723254919562551296</v>
      </c>
      <c r="F2172" s="11" t="s">
        <v>20</v>
      </c>
      <c r="G2172" s="11">
        <v>353</v>
      </c>
      <c r="H2172" s="11">
        <v>213</v>
      </c>
      <c r="I2172" s="11">
        <v>0</v>
      </c>
      <c r="J2172" s="11">
        <v>0</v>
      </c>
      <c r="K2172" s="11" t="s">
        <v>21</v>
      </c>
      <c r="L2172" s="7">
        <v>39898.479537037041</v>
      </c>
      <c r="M2172" s="12" t="s">
        <v>5565</v>
      </c>
      <c r="N2172" s="12" t="s">
        <v>5566</v>
      </c>
      <c r="O2172" s="10" t="str">
        <f>HYPERLINK("https://pbs.twimg.com/profile_images/520242051342811136/eehjHMLz_normal.jpeg","View")</f>
        <v>View</v>
      </c>
      <c r="P2172" s="11"/>
    </row>
    <row r="2173" spans="1:16" ht="12.75" x14ac:dyDescent="0.35">
      <c r="A2173" s="7">
        <v>42482.104050925926</v>
      </c>
      <c r="B2173" s="8" t="str">
        <f>HYPERLINK("https://twitter.com/adatherton","@adatherton")</f>
        <v>@adatherton</v>
      </c>
      <c r="C2173" s="9" t="s">
        <v>5567</v>
      </c>
      <c r="D2173" s="9" t="s">
        <v>5568</v>
      </c>
      <c r="E2173" s="10" t="str">
        <f>HYPERLINK("https://twitter.com/adatherton/status/723254943940009984","723254943940009984")</f>
        <v>723254943940009984</v>
      </c>
      <c r="F2173" s="10" t="s">
        <v>2083</v>
      </c>
      <c r="G2173" s="11">
        <v>3521</v>
      </c>
      <c r="H2173" s="11">
        <v>1066</v>
      </c>
      <c r="I2173" s="11">
        <v>0</v>
      </c>
      <c r="J2173" s="11">
        <v>0</v>
      </c>
      <c r="K2173" s="11" t="s">
        <v>21</v>
      </c>
      <c r="L2173" s="7">
        <v>40088.904791666668</v>
      </c>
      <c r="M2173" s="12" t="s">
        <v>5569</v>
      </c>
      <c r="N2173" s="12" t="s">
        <v>5570</v>
      </c>
      <c r="O2173" s="10" t="str">
        <f>HYPERLINK("https://pbs.twimg.com/profile_images/502770078194991104/Ga_NU42-_normal.png","View")</f>
        <v>View</v>
      </c>
      <c r="P2173" s="11"/>
    </row>
    <row r="2174" spans="1:16" ht="12.75" x14ac:dyDescent="0.35">
      <c r="A2174" s="7">
        <v>42482.104386574079</v>
      </c>
      <c r="B2174" s="8" t="str">
        <f>HYPERLINK("https://twitter.com/kngeuro","@kngeuro")</f>
        <v>@kngeuro</v>
      </c>
      <c r="C2174" s="9" t="s">
        <v>833</v>
      </c>
      <c r="D2174" s="9" t="s">
        <v>5571</v>
      </c>
      <c r="E2174" s="10" t="str">
        <f>HYPERLINK("https://twitter.com/kngeuro/status/723255064119238657","723255064119238657")</f>
        <v>723255064119238657</v>
      </c>
      <c r="F2174" s="11" t="s">
        <v>53</v>
      </c>
      <c r="G2174" s="11">
        <v>760</v>
      </c>
      <c r="H2174" s="11">
        <v>451</v>
      </c>
      <c r="I2174" s="11">
        <v>1</v>
      </c>
      <c r="J2174" s="11">
        <v>0</v>
      </c>
      <c r="K2174" s="11" t="s">
        <v>21</v>
      </c>
      <c r="L2174" s="7">
        <v>40319.120925925927</v>
      </c>
      <c r="M2174" s="12" t="s">
        <v>835</v>
      </c>
      <c r="N2174" s="12" t="s">
        <v>836</v>
      </c>
      <c r="O2174" s="10" t="str">
        <f>HYPERLINK("https://pbs.twimg.com/profile_images/570375988065935360/ooT_Nq7x_normal.jpeg","View")</f>
        <v>View</v>
      </c>
      <c r="P2174" s="11"/>
    </row>
    <row r="2175" spans="1:16" ht="12.75" x14ac:dyDescent="0.35">
      <c r="A2175" s="7">
        <v>42482.104965277773</v>
      </c>
      <c r="B2175" s="8" t="str">
        <f>HYPERLINK("https://twitter.com/DirkEllisVW","@DirkEllisVW")</f>
        <v>@DirkEllisVW</v>
      </c>
      <c r="C2175" s="9" t="s">
        <v>1713</v>
      </c>
      <c r="D2175" s="9" t="s">
        <v>5572</v>
      </c>
      <c r="E2175" s="10" t="str">
        <f>HYPERLINK("https://twitter.com/DirkEllisVW/status/723255275008983040","723255275008983040")</f>
        <v>723255275008983040</v>
      </c>
      <c r="F2175" s="11" t="s">
        <v>48</v>
      </c>
      <c r="G2175" s="11">
        <v>1284</v>
      </c>
      <c r="H2175" s="11">
        <v>1888</v>
      </c>
      <c r="I2175" s="11">
        <v>0</v>
      </c>
      <c r="J2175" s="11">
        <v>0</v>
      </c>
      <c r="K2175" s="11" t="s">
        <v>21</v>
      </c>
      <c r="L2175" s="7">
        <v>41294.616157407407</v>
      </c>
      <c r="M2175" s="12" t="s">
        <v>1715</v>
      </c>
      <c r="N2175" s="12" t="s">
        <v>1716</v>
      </c>
      <c r="O2175" s="10" t="str">
        <f>HYPERLINK("https://pbs.twimg.com/profile_images/677140771783450624/9_7T_mk7_normal.jpg","View")</f>
        <v>View</v>
      </c>
      <c r="P2175" s="11"/>
    </row>
    <row r="2176" spans="1:16" ht="12.75" x14ac:dyDescent="0.35">
      <c r="A2176" s="7">
        <v>42482.10564814815</v>
      </c>
      <c r="B2176" s="8" t="str">
        <f>HYPERLINK("https://twitter.com/woever","@woever")</f>
        <v>@woever</v>
      </c>
      <c r="C2176" s="9" t="s">
        <v>5573</v>
      </c>
      <c r="D2176" s="9" t="s">
        <v>5514</v>
      </c>
      <c r="E2176" s="10" t="str">
        <f>HYPERLINK("https://twitter.com/woever/status/723255522833645572","723255522833645572")</f>
        <v>723255522833645572</v>
      </c>
      <c r="F2176" s="11" t="s">
        <v>43</v>
      </c>
      <c r="G2176" s="11">
        <v>340</v>
      </c>
      <c r="H2176" s="11">
        <v>324</v>
      </c>
      <c r="I2176" s="11">
        <v>2</v>
      </c>
      <c r="J2176" s="11">
        <v>0</v>
      </c>
      <c r="K2176" s="11" t="s">
        <v>21</v>
      </c>
      <c r="L2176" s="7">
        <v>40003.569363425922</v>
      </c>
      <c r="M2176" s="12" t="s">
        <v>5574</v>
      </c>
      <c r="N2176" s="12"/>
      <c r="O2176" s="10" t="str">
        <f>HYPERLINK("https://pbs.twimg.com/profile_images/457491035/55178663_normal.jpg","View")</f>
        <v>View</v>
      </c>
      <c r="P2176" s="11"/>
    </row>
    <row r="2177" spans="1:16" ht="12.75" x14ac:dyDescent="0.35">
      <c r="A2177" s="7">
        <v>42482.105775462958</v>
      </c>
      <c r="B2177" s="8" t="str">
        <f>HYPERLINK("https://twitter.com/Shanepkavanagh","@Shanepkavanagh")</f>
        <v>@Shanepkavanagh</v>
      </c>
      <c r="C2177" s="9" t="s">
        <v>5575</v>
      </c>
      <c r="D2177" s="9" t="s">
        <v>5150</v>
      </c>
      <c r="E2177" s="10" t="str">
        <f>HYPERLINK("https://twitter.com/Shanepkavanagh/status/723255567817531393","723255567817531393")</f>
        <v>723255567817531393</v>
      </c>
      <c r="F2177" s="11" t="s">
        <v>48</v>
      </c>
      <c r="G2177" s="11">
        <v>658</v>
      </c>
      <c r="H2177" s="11">
        <v>852</v>
      </c>
      <c r="I2177" s="11">
        <v>24</v>
      </c>
      <c r="J2177" s="11">
        <v>0</v>
      </c>
      <c r="K2177" s="11" t="s">
        <v>21</v>
      </c>
      <c r="L2177" s="7">
        <v>39868.72819444444</v>
      </c>
      <c r="M2177" s="12" t="s">
        <v>711</v>
      </c>
      <c r="N2177" s="12" t="s">
        <v>5576</v>
      </c>
      <c r="O2177" s="10" t="str">
        <f>HYPERLINK("https://pbs.twimg.com/profile_images/617710830730264576/hBgLKJmE_normal.jpg","View")</f>
        <v>View</v>
      </c>
      <c r="P2177" s="11"/>
    </row>
    <row r="2178" spans="1:16" ht="12.75" x14ac:dyDescent="0.35">
      <c r="A2178" s="7">
        <v>42482.106192129635</v>
      </c>
      <c r="B2178" s="8" t="str">
        <f>HYPERLINK("https://twitter.com/ObliviousMoron","@ObliviousMoron")</f>
        <v>@ObliviousMoron</v>
      </c>
      <c r="C2178" s="9" t="s">
        <v>5577</v>
      </c>
      <c r="D2178" s="9" t="s">
        <v>3440</v>
      </c>
      <c r="E2178" s="10" t="str">
        <f>HYPERLINK("https://twitter.com/ObliviousMoron/status/723255720850927616","723255720850927616")</f>
        <v>723255720850927616</v>
      </c>
      <c r="F2178" s="11" t="s">
        <v>20</v>
      </c>
      <c r="G2178" s="11">
        <v>40</v>
      </c>
      <c r="H2178" s="11">
        <v>25</v>
      </c>
      <c r="I2178" s="11">
        <v>11</v>
      </c>
      <c r="J2178" s="11">
        <v>0</v>
      </c>
      <c r="K2178" s="11" t="s">
        <v>21</v>
      </c>
      <c r="L2178" s="7">
        <v>41637.997546296298</v>
      </c>
      <c r="M2178" s="12"/>
      <c r="N2178" s="12"/>
      <c r="O2178" s="10" t="str">
        <f>HYPERLINK("https://pbs.twimg.com/profile_images/417377998799527937/SgsK9PXP_normal.jpeg","View")</f>
        <v>View</v>
      </c>
      <c r="P2178" s="11"/>
    </row>
    <row r="2179" spans="1:16" ht="12.75" x14ac:dyDescent="0.35">
      <c r="A2179" s="7">
        <v>42482.108078703706</v>
      </c>
      <c r="B2179" s="8" t="str">
        <f>HYPERLINK("https://twitter.com/ListersVW","@ListersVW")</f>
        <v>@ListersVW</v>
      </c>
      <c r="C2179" s="9" t="s">
        <v>5578</v>
      </c>
      <c r="D2179" s="9" t="s">
        <v>5168</v>
      </c>
      <c r="E2179" s="10" t="str">
        <f>HYPERLINK("https://twitter.com/ListersVW/status/723256401624195072","723256401624195072")</f>
        <v>723256401624195072</v>
      </c>
      <c r="F2179" s="11" t="s">
        <v>48</v>
      </c>
      <c r="G2179" s="11">
        <v>807</v>
      </c>
      <c r="H2179" s="11">
        <v>864</v>
      </c>
      <c r="I2179" s="11">
        <v>10</v>
      </c>
      <c r="J2179" s="11">
        <v>0</v>
      </c>
      <c r="K2179" s="11" t="s">
        <v>21</v>
      </c>
      <c r="L2179" s="7">
        <v>40227.929537037038</v>
      </c>
      <c r="M2179" s="12" t="s">
        <v>5579</v>
      </c>
      <c r="N2179" s="12" t="s">
        <v>5580</v>
      </c>
      <c r="O2179" s="10" t="str">
        <f>HYPERLINK("https://pbs.twimg.com/profile_images/684044616476278785/3vButJTM_normal.jpg","View")</f>
        <v>View</v>
      </c>
      <c r="P2179" s="11"/>
    </row>
    <row r="2180" spans="1:16" ht="12.75" x14ac:dyDescent="0.35">
      <c r="A2180" s="7">
        <v>42482.10869212963</v>
      </c>
      <c r="B2180" s="8" t="str">
        <f>HYPERLINK("https://twitter.com/ODORBABY","@ODORBABY")</f>
        <v>@ODORBABY</v>
      </c>
      <c r="C2180" s="9" t="s">
        <v>5581</v>
      </c>
      <c r="D2180" s="9" t="s">
        <v>5582</v>
      </c>
      <c r="E2180" s="10" t="str">
        <f>HYPERLINK("https://twitter.com/ODORBABY/status/723256625268678656","723256625268678656")</f>
        <v>723256625268678656</v>
      </c>
      <c r="F2180" s="11" t="s">
        <v>43</v>
      </c>
      <c r="G2180" s="11">
        <v>311</v>
      </c>
      <c r="H2180" s="11">
        <v>967</v>
      </c>
      <c r="I2180" s="11">
        <v>1</v>
      </c>
      <c r="J2180" s="11">
        <v>2</v>
      </c>
      <c r="K2180" s="11" t="s">
        <v>21</v>
      </c>
      <c r="L2180" s="7">
        <v>42096.188078703708</v>
      </c>
      <c r="M2180" s="12" t="s">
        <v>5583</v>
      </c>
      <c r="N2180" s="12" t="s">
        <v>5584</v>
      </c>
      <c r="O2180" s="10" t="str">
        <f>HYPERLINK("https://pbs.twimg.com/profile_images/583404090685796353/SFQb1Pc9_normal.jpg","View")</f>
        <v>View</v>
      </c>
      <c r="P2180" s="11"/>
    </row>
    <row r="2181" spans="1:16" ht="12.75" x14ac:dyDescent="0.35">
      <c r="A2181" s="7">
        <v>42482.10936342593</v>
      </c>
      <c r="B2181" s="8" t="str">
        <f>HYPERLINK("https://twitter.com/amantomatimou","@amantomatimou")</f>
        <v>@amantomatimou</v>
      </c>
      <c r="C2181" s="9" t="s">
        <v>5585</v>
      </c>
      <c r="D2181" s="9" t="s">
        <v>5586</v>
      </c>
      <c r="E2181" s="10" t="str">
        <f>HYPERLINK("https://twitter.com/amantomatimou/status/723256866315337729","723256866315337729")</f>
        <v>723256866315337729</v>
      </c>
      <c r="F2181" s="11" t="s">
        <v>48</v>
      </c>
      <c r="G2181" s="11">
        <v>2357</v>
      </c>
      <c r="H2181" s="11">
        <v>868</v>
      </c>
      <c r="I2181" s="11">
        <v>0</v>
      </c>
      <c r="J2181" s="11">
        <v>0</v>
      </c>
      <c r="K2181" s="11" t="s">
        <v>21</v>
      </c>
      <c r="L2181" s="7">
        <v>40596.091631944444</v>
      </c>
      <c r="M2181" s="12" t="s">
        <v>5587</v>
      </c>
      <c r="N2181" s="12" t="s">
        <v>5588</v>
      </c>
      <c r="O2181" s="10" t="str">
        <f>HYPERLINK("https://pbs.twimg.com/profile_images/2881757259/7245bbaa6a861ace9700069d38656a72_normal.jpeg","View")</f>
        <v>View</v>
      </c>
      <c r="P2181" s="11"/>
    </row>
    <row r="2182" spans="1:16" ht="12.75" x14ac:dyDescent="0.35">
      <c r="A2182" s="7">
        <v>42482.109571759254</v>
      </c>
      <c r="B2182" s="8" t="str">
        <f>HYPERLINK("https://twitter.com/vwwhitenoise","@vwwhitenoise")</f>
        <v>@vwwhitenoise</v>
      </c>
      <c r="C2182" s="9" t="s">
        <v>5589</v>
      </c>
      <c r="D2182" s="9" t="s">
        <v>5590</v>
      </c>
      <c r="E2182" s="10" t="str">
        <f>HYPERLINK("https://twitter.com/vwwhitenoise/status/723256943960305664","723256943960305664")</f>
        <v>723256943960305664</v>
      </c>
      <c r="F2182" s="11" t="s">
        <v>20</v>
      </c>
      <c r="G2182" s="11">
        <v>2445</v>
      </c>
      <c r="H2182" s="11">
        <v>857</v>
      </c>
      <c r="I2182" s="11">
        <v>1</v>
      </c>
      <c r="J2182" s="11">
        <v>0</v>
      </c>
      <c r="K2182" s="11" t="s">
        <v>21</v>
      </c>
      <c r="L2182" s="7">
        <v>40451.053078703706</v>
      </c>
      <c r="M2182" s="12" t="s">
        <v>5591</v>
      </c>
      <c r="N2182" s="12" t="s">
        <v>5592</v>
      </c>
      <c r="O2182" s="10" t="str">
        <f>HYPERLINK("https://pbs.twimg.com/profile_images/683766725440069632/YLcblOdW_normal.jpg","View")</f>
        <v>View</v>
      </c>
      <c r="P2182" s="11"/>
    </row>
    <row r="2183" spans="1:16" ht="12.75" x14ac:dyDescent="0.35">
      <c r="A2183" s="7">
        <v>42482.110659722224</v>
      </c>
      <c r="B2183" s="8" t="str">
        <f>HYPERLINK("https://twitter.com/ENGautoevents","@ENGautoevents")</f>
        <v>@ENGautoevents</v>
      </c>
      <c r="C2183" s="9" t="s">
        <v>5593</v>
      </c>
      <c r="D2183" s="9" t="s">
        <v>3440</v>
      </c>
      <c r="E2183" s="10" t="str">
        <f>HYPERLINK("https://twitter.com/ENGautoevents/status/723257335938985984","723257335938985984")</f>
        <v>723257335938985984</v>
      </c>
      <c r="F2183" s="11" t="s">
        <v>43</v>
      </c>
      <c r="G2183" s="11">
        <v>43</v>
      </c>
      <c r="H2183" s="11">
        <v>129</v>
      </c>
      <c r="I2183" s="11">
        <v>11</v>
      </c>
      <c r="J2183" s="11">
        <v>0</v>
      </c>
      <c r="K2183" s="11" t="s">
        <v>21</v>
      </c>
      <c r="L2183" s="7">
        <v>42213.876620370371</v>
      </c>
      <c r="M2183" s="12"/>
      <c r="N2183" s="12" t="s">
        <v>5594</v>
      </c>
      <c r="O2183" s="10" t="str">
        <f>HYPERLINK("https://pbs.twimg.com/profile_images/626052902625406976/PwPMTBVt_normal.png","View")</f>
        <v>View</v>
      </c>
      <c r="P2183" s="11"/>
    </row>
    <row r="2184" spans="1:16" ht="12.75" x14ac:dyDescent="0.35">
      <c r="A2184" s="7">
        <v>42482.111111111109</v>
      </c>
      <c r="B2184" s="8" t="str">
        <f>HYPERLINK("https://twitter.com/drivingsales","@drivingsales")</f>
        <v>@drivingsales</v>
      </c>
      <c r="C2184" s="9" t="s">
        <v>3897</v>
      </c>
      <c r="D2184" s="9" t="s">
        <v>5595</v>
      </c>
      <c r="E2184" s="10" t="str">
        <f>HYPERLINK("https://twitter.com/drivingsales/status/723257502813528064","723257502813528064")</f>
        <v>723257502813528064</v>
      </c>
      <c r="F2184" s="11" t="s">
        <v>3871</v>
      </c>
      <c r="G2184" s="11">
        <v>11193</v>
      </c>
      <c r="H2184" s="11">
        <v>1122</v>
      </c>
      <c r="I2184" s="11">
        <v>1</v>
      </c>
      <c r="J2184" s="11">
        <v>0</v>
      </c>
      <c r="K2184" s="11" t="s">
        <v>21</v>
      </c>
      <c r="L2184" s="7">
        <v>39673.986400462964</v>
      </c>
      <c r="M2184" s="12" t="s">
        <v>3899</v>
      </c>
      <c r="N2184" s="12" t="s">
        <v>3900</v>
      </c>
      <c r="O2184" s="10" t="str">
        <f>HYPERLINK("https://pbs.twimg.com/profile_images/654794006421856256/WvLcZ_Wx_normal.png","View")</f>
        <v>View</v>
      </c>
      <c r="P2184" s="11"/>
    </row>
    <row r="2185" spans="1:16" ht="12.75" x14ac:dyDescent="0.35">
      <c r="A2185" s="7">
        <v>42482.114479166667</v>
      </c>
      <c r="B2185" s="8" t="str">
        <f>HYPERLINK("https://twitter.com/LDCcreations","@LDCcreations")</f>
        <v>@LDCcreations</v>
      </c>
      <c r="C2185" s="9" t="s">
        <v>5596</v>
      </c>
      <c r="D2185" s="9" t="s">
        <v>5597</v>
      </c>
      <c r="E2185" s="10" t="str">
        <f>HYPERLINK("https://twitter.com/LDCcreations/status/723258722294874112","723258722294874112")</f>
        <v>723258722294874112</v>
      </c>
      <c r="F2185" s="11" t="s">
        <v>43</v>
      </c>
      <c r="G2185" s="11">
        <v>1426</v>
      </c>
      <c r="H2185" s="11">
        <v>1705</v>
      </c>
      <c r="I2185" s="11">
        <v>0</v>
      </c>
      <c r="J2185" s="11">
        <v>0</v>
      </c>
      <c r="K2185" s="11" t="s">
        <v>21</v>
      </c>
      <c r="L2185" s="7">
        <v>41234.2106712963</v>
      </c>
      <c r="M2185" s="12"/>
      <c r="N2185" s="12" t="s">
        <v>5598</v>
      </c>
      <c r="O2185" s="10" t="str">
        <f>HYPERLINK("https://pbs.twimg.com/profile_images/3546807418/358648ceafebcd1bc86c677256332c33_normal.jpeg","View")</f>
        <v>View</v>
      </c>
      <c r="P2185" s="11"/>
    </row>
    <row r="2186" spans="1:16" ht="12.75" x14ac:dyDescent="0.35">
      <c r="A2186" s="7">
        <v>42482.114490740743</v>
      </c>
      <c r="B2186" s="8" t="str">
        <f>HYPERLINK("https://twitter.com/goingprorogue","@goingprorogue")</f>
        <v>@goingprorogue</v>
      </c>
      <c r="C2186" s="9" t="s">
        <v>5599</v>
      </c>
      <c r="D2186" s="9" t="s">
        <v>5600</v>
      </c>
      <c r="E2186" s="10" t="str">
        <f>HYPERLINK("https://twitter.com/goingprorogue/status/723258726178799617","723258726178799617")</f>
        <v>723258726178799617</v>
      </c>
      <c r="F2186" s="11" t="s">
        <v>43</v>
      </c>
      <c r="G2186" s="11">
        <v>2982</v>
      </c>
      <c r="H2186" s="11">
        <v>1466</v>
      </c>
      <c r="I2186" s="11">
        <v>0</v>
      </c>
      <c r="J2186" s="11">
        <v>0</v>
      </c>
      <c r="K2186" s="11" t="s">
        <v>21</v>
      </c>
      <c r="L2186" s="7">
        <v>40196.167303240742</v>
      </c>
      <c r="M2186" s="12" t="s">
        <v>5601</v>
      </c>
      <c r="N2186" s="12" t="s">
        <v>5602</v>
      </c>
      <c r="O2186" s="10" t="str">
        <f>HYPERLINK("https://pbs.twimg.com/profile_images/650048145137758208/cExFfEPT_normal.jpg","View")</f>
        <v>View</v>
      </c>
      <c r="P2186" s="11"/>
    </row>
    <row r="2187" spans="1:16" ht="12.75" x14ac:dyDescent="0.35">
      <c r="A2187" s="7">
        <v>42482.114583333328</v>
      </c>
      <c r="B2187" s="8" t="str">
        <f>HYPERLINK("https://twitter.com/LeggoMyRillo","@LeggoMyRillo")</f>
        <v>@LeggoMyRillo</v>
      </c>
      <c r="C2187" s="9" t="s">
        <v>5603</v>
      </c>
      <c r="D2187" s="9" t="s">
        <v>5604</v>
      </c>
      <c r="E2187" s="10" t="str">
        <f>HYPERLINK("https://twitter.com/LeggoMyRillo/status/723258759104069632","723258759104069632")</f>
        <v>723258759104069632</v>
      </c>
      <c r="F2187" s="11" t="s">
        <v>367</v>
      </c>
      <c r="G2187" s="11">
        <v>118</v>
      </c>
      <c r="H2187" s="11">
        <v>73</v>
      </c>
      <c r="I2187" s="11">
        <v>0</v>
      </c>
      <c r="J2187" s="11">
        <v>0</v>
      </c>
      <c r="K2187" s="11" t="s">
        <v>21</v>
      </c>
      <c r="L2187" s="7">
        <v>39903.956805555557</v>
      </c>
      <c r="M2187" s="12" t="s">
        <v>5605</v>
      </c>
      <c r="N2187" s="12" t="s">
        <v>5606</v>
      </c>
      <c r="O2187" s="10" t="str">
        <f>HYPERLINK("https://pbs.twimg.com/profile_images/694630849686433792/9mRQSCYO_normal.jpg","View")</f>
        <v>View</v>
      </c>
      <c r="P2187" s="11"/>
    </row>
    <row r="2188" spans="1:16" ht="12.75" x14ac:dyDescent="0.35">
      <c r="A2188" s="7">
        <v>42482.11550925926</v>
      </c>
      <c r="B2188" s="8" t="str">
        <f>HYPERLINK("https://twitter.com/JulesBarnell","@JulesBarnell")</f>
        <v>@JulesBarnell</v>
      </c>
      <c r="C2188" s="9" t="s">
        <v>5607</v>
      </c>
      <c r="D2188" s="9" t="s">
        <v>5608</v>
      </c>
      <c r="E2188" s="10" t="str">
        <f>HYPERLINK("https://twitter.com/JulesBarnell/status/723259094157676549","723259094157676549")</f>
        <v>723259094157676549</v>
      </c>
      <c r="F2188" s="11" t="s">
        <v>20</v>
      </c>
      <c r="G2188" s="11">
        <v>70</v>
      </c>
      <c r="H2188" s="11">
        <v>37</v>
      </c>
      <c r="I2188" s="11">
        <v>0</v>
      </c>
      <c r="J2188" s="11">
        <v>0</v>
      </c>
      <c r="K2188" s="11" t="s">
        <v>21</v>
      </c>
      <c r="L2188" s="7">
        <v>40932.872743055559</v>
      </c>
      <c r="M2188" s="12"/>
      <c r="N2188" s="12"/>
      <c r="O2188" s="10" t="str">
        <f>HYPERLINK("https://pbs.twimg.com/profile_images/722524189538840576/VDwLEEEh_normal.jpg","View")</f>
        <v>View</v>
      </c>
      <c r="P2188" s="11"/>
    </row>
    <row r="2189" spans="1:16" ht="12.75" x14ac:dyDescent="0.35">
      <c r="A2189" s="7">
        <v>42482.117627314816</v>
      </c>
      <c r="B2189" s="8" t="str">
        <f>HYPERLINK("https://twitter.com/ohioantique","@ohioantique")</f>
        <v>@ohioantique</v>
      </c>
      <c r="C2189" s="9" t="s">
        <v>5609</v>
      </c>
      <c r="D2189" s="9" t="s">
        <v>5610</v>
      </c>
      <c r="E2189" s="10" t="str">
        <f>HYPERLINK("https://twitter.com/ohioantique/status/723259861643960322","723259861643960322")</f>
        <v>723259861643960322</v>
      </c>
      <c r="F2189" s="11" t="s">
        <v>43</v>
      </c>
      <c r="G2189" s="11">
        <v>65</v>
      </c>
      <c r="H2189" s="11">
        <v>92</v>
      </c>
      <c r="I2189" s="11">
        <v>0</v>
      </c>
      <c r="J2189" s="11">
        <v>1</v>
      </c>
      <c r="K2189" s="11" t="s">
        <v>21</v>
      </c>
      <c r="L2189" s="7">
        <v>40930.077847222223</v>
      </c>
      <c r="M2189" s="12" t="s">
        <v>5611</v>
      </c>
      <c r="N2189" s="12" t="s">
        <v>5612</v>
      </c>
      <c r="O2189" s="10" t="str">
        <f>HYPERLINK("https://pbs.twimg.com/profile_images/1771451657/il_570xN.291650220_normal.jpg","View")</f>
        <v>View</v>
      </c>
      <c r="P2189" s="11"/>
    </row>
    <row r="2190" spans="1:16" ht="12.75" x14ac:dyDescent="0.35">
      <c r="A2190" s="7">
        <v>42482.118483796294</v>
      </c>
      <c r="B2190" s="8" t="str">
        <f>HYPERLINK("https://twitter.com/TriCountyTours","@TriCountyTours")</f>
        <v>@TriCountyTours</v>
      </c>
      <c r="C2190" s="9" t="s">
        <v>5613</v>
      </c>
      <c r="D2190" s="9" t="s">
        <v>5614</v>
      </c>
      <c r="E2190" s="10" t="str">
        <f>HYPERLINK("https://twitter.com/TriCountyTours/status/723260174853636096","723260174853636096")</f>
        <v>723260174853636096</v>
      </c>
      <c r="F2190" s="11" t="s">
        <v>114</v>
      </c>
      <c r="G2190" s="11">
        <v>69</v>
      </c>
      <c r="H2190" s="11">
        <v>114</v>
      </c>
      <c r="I2190" s="11">
        <v>0</v>
      </c>
      <c r="J2190" s="11">
        <v>0</v>
      </c>
      <c r="K2190" s="11" t="s">
        <v>21</v>
      </c>
      <c r="L2190" s="7">
        <v>42357.995405092588</v>
      </c>
      <c r="M2190" s="12" t="s">
        <v>5615</v>
      </c>
      <c r="N2190" s="12" t="s">
        <v>5616</v>
      </c>
      <c r="O2190" s="10" t="str">
        <f>HYPERLINK("https://pbs.twimg.com/profile_images/683348744742551553/FcWf7nXY_normal.jpg","View")</f>
        <v>View</v>
      </c>
      <c r="P2190" s="11"/>
    </row>
    <row r="2191" spans="1:16" ht="12.75" x14ac:dyDescent="0.35">
      <c r="A2191" s="7">
        <v>42482.119270833333</v>
      </c>
      <c r="B2191" s="8" t="str">
        <f>HYPERLINK("https://twitter.com/StevenTPires","@StevenTPires")</f>
        <v>@StevenTPires</v>
      </c>
      <c r="C2191" s="9" t="s">
        <v>5617</v>
      </c>
      <c r="D2191" s="9" t="s">
        <v>5618</v>
      </c>
      <c r="E2191" s="10" t="str">
        <f>HYPERLINK("https://twitter.com/StevenTPires/status/723260458703032320","723260458703032320")</f>
        <v>723260458703032320</v>
      </c>
      <c r="F2191" s="11" t="s">
        <v>43</v>
      </c>
      <c r="G2191" s="11">
        <v>25</v>
      </c>
      <c r="H2191" s="11">
        <v>159</v>
      </c>
      <c r="I2191" s="11">
        <v>0</v>
      </c>
      <c r="J2191" s="11">
        <v>2</v>
      </c>
      <c r="K2191" s="11" t="s">
        <v>21</v>
      </c>
      <c r="L2191" s="7">
        <v>42065.353425925925</v>
      </c>
      <c r="M2191" s="12" t="s">
        <v>5619</v>
      </c>
      <c r="N2191" s="12" t="s">
        <v>5620</v>
      </c>
      <c r="O2191" s="10" t="str">
        <f>HYPERLINK("https://pbs.twimg.com/profile_images/630922619211153408/c5xcGub6_normal.jpg","View")</f>
        <v>View</v>
      </c>
      <c r="P2191" s="11"/>
    </row>
    <row r="2192" spans="1:16" ht="12.75" x14ac:dyDescent="0.35">
      <c r="A2192" s="7">
        <v>42482.119641203702</v>
      </c>
      <c r="B2192" s="8" t="str">
        <f>HYPERLINK("https://twitter.com/mar3e11","@mar3e11")</f>
        <v>@mar3e11</v>
      </c>
      <c r="C2192" s="9" t="s">
        <v>5621</v>
      </c>
      <c r="D2192" s="9" t="s">
        <v>5622</v>
      </c>
      <c r="E2192" s="10" t="str">
        <f>HYPERLINK("https://twitter.com/mar3e11/status/723260592148996097","723260592148996097")</f>
        <v>723260592148996097</v>
      </c>
      <c r="F2192" s="11" t="s">
        <v>114</v>
      </c>
      <c r="G2192" s="11">
        <v>39</v>
      </c>
      <c r="H2192" s="11">
        <v>83</v>
      </c>
      <c r="I2192" s="11">
        <v>0</v>
      </c>
      <c r="J2192" s="11">
        <v>0</v>
      </c>
      <c r="K2192" s="11" t="s">
        <v>21</v>
      </c>
      <c r="L2192" s="7">
        <v>40024.37605324074</v>
      </c>
      <c r="M2192" s="12"/>
      <c r="N2192" s="12"/>
      <c r="O2192" s="10" t="str">
        <f>HYPERLINK("https://pbs.twimg.com/profile_images/1864477812/image_normal.jpg","View")</f>
        <v>View</v>
      </c>
      <c r="P2192" s="11"/>
    </row>
    <row r="2193" spans="1:16" ht="12.75" x14ac:dyDescent="0.35">
      <c r="A2193" s="7">
        <v>42482.119710648149</v>
      </c>
      <c r="B2193" s="8" t="str">
        <f>HYPERLINK("https://twitter.com/OnlineCarReview","@OnlineCarReview")</f>
        <v>@OnlineCarReview</v>
      </c>
      <c r="C2193" s="9" t="s">
        <v>176</v>
      </c>
      <c r="D2193" s="9" t="s">
        <v>5623</v>
      </c>
      <c r="E2193" s="10" t="str">
        <f>HYPERLINK("https://twitter.com/OnlineCarReview/status/723260618648608768","723260618648608768")</f>
        <v>723260618648608768</v>
      </c>
      <c r="F2193" s="11" t="s">
        <v>34</v>
      </c>
      <c r="G2193" s="11">
        <v>839</v>
      </c>
      <c r="H2193" s="11">
        <v>568</v>
      </c>
      <c r="I2193" s="11">
        <v>0</v>
      </c>
      <c r="J2193" s="11">
        <v>0</v>
      </c>
      <c r="K2193" s="11" t="s">
        <v>21</v>
      </c>
      <c r="L2193" s="7">
        <v>42282.979201388887</v>
      </c>
      <c r="M2193" s="12"/>
      <c r="N2193" s="12" t="s">
        <v>178</v>
      </c>
      <c r="O2193" s="10" t="str">
        <f>HYPERLINK("https://pbs.twimg.com/profile_images/652871584131092480/QA_B6SBO_normal.jpg","View")</f>
        <v>View</v>
      </c>
      <c r="P2193" s="11"/>
    </row>
    <row r="2194" spans="1:16" ht="12.75" x14ac:dyDescent="0.35">
      <c r="A2194" s="7">
        <v>42482.120011574079</v>
      </c>
      <c r="B2194" s="8" t="str">
        <f t="shared" ref="B2194:B2195" si="205">HYPERLINK("https://twitter.com/VolkswagenPost","@VolkswagenPost")</f>
        <v>@VolkswagenPost</v>
      </c>
      <c r="C2194" s="9" t="s">
        <v>321</v>
      </c>
      <c r="D2194" s="9" t="s">
        <v>5624</v>
      </c>
      <c r="E2194" s="10" t="str">
        <f>HYPERLINK("https://twitter.com/VolkswagenPost/status/723260725565612033","723260725565612033")</f>
        <v>723260725565612033</v>
      </c>
      <c r="F2194" s="11" t="s">
        <v>34</v>
      </c>
      <c r="G2194" s="11">
        <v>571</v>
      </c>
      <c r="H2194" s="11">
        <v>446</v>
      </c>
      <c r="I2194" s="11">
        <v>0</v>
      </c>
      <c r="J2194" s="11">
        <v>0</v>
      </c>
      <c r="K2194" s="11" t="s">
        <v>21</v>
      </c>
      <c r="L2194" s="7">
        <v>41940.618379629632</v>
      </c>
      <c r="M2194" s="12"/>
      <c r="N2194" s="12"/>
      <c r="O2194" s="10" t="str">
        <f t="shared" ref="O2194:O2195" si="206">HYPERLINK("https://pbs.twimg.com/profile_images/530071272881803264/a_jcCmPZ_normal.png","View")</f>
        <v>View</v>
      </c>
      <c r="P2194" s="11"/>
    </row>
    <row r="2195" spans="1:16" ht="12.75" x14ac:dyDescent="0.35">
      <c r="A2195" s="7">
        <v>42482.120011574079</v>
      </c>
      <c r="B2195" s="8" t="str">
        <f t="shared" si="205"/>
        <v>@VolkswagenPost</v>
      </c>
      <c r="C2195" s="9" t="s">
        <v>321</v>
      </c>
      <c r="D2195" s="9" t="s">
        <v>5625</v>
      </c>
      <c r="E2195" s="10" t="str">
        <f>HYPERLINK("https://twitter.com/VolkswagenPost/status/723260726337392640","723260726337392640")</f>
        <v>723260726337392640</v>
      </c>
      <c r="F2195" s="11" t="s">
        <v>34</v>
      </c>
      <c r="G2195" s="11">
        <v>571</v>
      </c>
      <c r="H2195" s="11">
        <v>446</v>
      </c>
      <c r="I2195" s="11">
        <v>0</v>
      </c>
      <c r="J2195" s="11">
        <v>0</v>
      </c>
      <c r="K2195" s="11" t="s">
        <v>21</v>
      </c>
      <c r="L2195" s="7">
        <v>41940.618379629632</v>
      </c>
      <c r="M2195" s="12"/>
      <c r="N2195" s="12"/>
      <c r="O2195" s="10" t="str">
        <f t="shared" si="206"/>
        <v>View</v>
      </c>
      <c r="P2195" s="11"/>
    </row>
    <row r="2196" spans="1:16" ht="12.75" x14ac:dyDescent="0.35">
      <c r="A2196" s="7">
        <v>42482.120219907403</v>
      </c>
      <c r="B2196" s="8" t="str">
        <f t="shared" ref="B2196:B2197" si="207">HYPERLINK("https://twitter.com/VWCamperSales","@VWCamperSales")</f>
        <v>@VWCamperSales</v>
      </c>
      <c r="C2196" s="9" t="s">
        <v>216</v>
      </c>
      <c r="D2196" s="9" t="s">
        <v>5626</v>
      </c>
      <c r="E2196" s="10" t="str">
        <f>HYPERLINK("https://twitter.com/VWCamperSales/status/723260801205719040","723260801205719040")</f>
        <v>723260801205719040</v>
      </c>
      <c r="F2196" s="10" t="s">
        <v>124</v>
      </c>
      <c r="G2196" s="11">
        <v>615</v>
      </c>
      <c r="H2196" s="11">
        <v>580</v>
      </c>
      <c r="I2196" s="11">
        <v>0</v>
      </c>
      <c r="J2196" s="11">
        <v>0</v>
      </c>
      <c r="K2196" s="11" t="s">
        <v>21</v>
      </c>
      <c r="L2196" s="7">
        <v>42215.98809027778</v>
      </c>
      <c r="M2196" s="12" t="s">
        <v>129</v>
      </c>
      <c r="N2196" s="12" t="s">
        <v>218</v>
      </c>
      <c r="O2196" s="10" t="str">
        <f t="shared" ref="O2196:O2197" si="208">HYPERLINK("https://pbs.twimg.com/profile_images/627949001179037696/skEBkS05_normal.jpg","View")</f>
        <v>View</v>
      </c>
      <c r="P2196" s="11"/>
    </row>
    <row r="2197" spans="1:16" ht="12.75" x14ac:dyDescent="0.35">
      <c r="A2197" s="7">
        <v>42482.12023148148</v>
      </c>
      <c r="B2197" s="8" t="str">
        <f t="shared" si="207"/>
        <v>@VWCamperSales</v>
      </c>
      <c r="C2197" s="9" t="s">
        <v>216</v>
      </c>
      <c r="D2197" s="9" t="s">
        <v>5627</v>
      </c>
      <c r="E2197" s="10" t="str">
        <f>HYPERLINK("https://twitter.com/VWCamperSales/status/723260806696042496","723260806696042496")</f>
        <v>723260806696042496</v>
      </c>
      <c r="F2197" s="10" t="s">
        <v>124</v>
      </c>
      <c r="G2197" s="11">
        <v>615</v>
      </c>
      <c r="H2197" s="11">
        <v>580</v>
      </c>
      <c r="I2197" s="11">
        <v>0</v>
      </c>
      <c r="J2197" s="11">
        <v>0</v>
      </c>
      <c r="K2197" s="11" t="s">
        <v>21</v>
      </c>
      <c r="L2197" s="7">
        <v>42215.98809027778</v>
      </c>
      <c r="M2197" s="12" t="s">
        <v>129</v>
      </c>
      <c r="N2197" s="12" t="s">
        <v>218</v>
      </c>
      <c r="O2197" s="10" t="str">
        <f t="shared" si="208"/>
        <v>View</v>
      </c>
      <c r="P2197" s="11"/>
    </row>
    <row r="2198" spans="1:16" ht="12.75" x14ac:dyDescent="0.35">
      <c r="A2198" s="7">
        <v>42482.12091435185</v>
      </c>
      <c r="B2198" s="8" t="str">
        <f>HYPERLINK("https://twitter.com/WettenbergTweet","@WettenbergTweet")</f>
        <v>@WettenbergTweet</v>
      </c>
      <c r="C2198" s="9" t="s">
        <v>5628</v>
      </c>
      <c r="D2198" s="9" t="s">
        <v>5629</v>
      </c>
      <c r="E2198" s="10" t="str">
        <f>HYPERLINK("https://twitter.com/WettenbergTweet/status/723261055095455744","723261055095455744")</f>
        <v>723261055095455744</v>
      </c>
      <c r="F2198" s="11" t="s">
        <v>68</v>
      </c>
      <c r="G2198" s="11">
        <v>86</v>
      </c>
      <c r="H2198" s="11">
        <v>1</v>
      </c>
      <c r="I2198" s="11">
        <v>0</v>
      </c>
      <c r="J2198" s="11">
        <v>0</v>
      </c>
      <c r="K2198" s="11" t="s">
        <v>21</v>
      </c>
      <c r="L2198" s="7">
        <v>40689.507094907407</v>
      </c>
      <c r="M2198" s="12" t="s">
        <v>5630</v>
      </c>
      <c r="N2198" s="12" t="s">
        <v>5631</v>
      </c>
      <c r="O2198" s="10" t="str">
        <f>HYPERLINK("https://pbs.twimg.com/profile_images/709041112724475905/3DGqE5cJ_normal.jpg","View")</f>
        <v>View</v>
      </c>
      <c r="P2198" s="11"/>
    </row>
    <row r="2199" spans="1:16" ht="12.75" x14ac:dyDescent="0.35">
      <c r="A2199" s="7">
        <v>42482.121134259258</v>
      </c>
      <c r="B2199" s="8" t="str">
        <f>HYPERLINK("https://twitter.com/MyFutureMot","@MyFutureMot")</f>
        <v>@MyFutureMot</v>
      </c>
      <c r="C2199" s="9" t="s">
        <v>5632</v>
      </c>
      <c r="D2199" s="9" t="s">
        <v>5633</v>
      </c>
      <c r="E2199" s="10" t="str">
        <f>HYPERLINK("https://twitter.com/MyFutureMot/status/723261133872869376","723261133872869376")</f>
        <v>723261133872869376</v>
      </c>
      <c r="F2199" s="11" t="s">
        <v>48</v>
      </c>
      <c r="G2199" s="11">
        <v>1047</v>
      </c>
      <c r="H2199" s="11">
        <v>966</v>
      </c>
      <c r="I2199" s="11">
        <v>0</v>
      </c>
      <c r="J2199" s="11">
        <v>0</v>
      </c>
      <c r="K2199" s="11" t="s">
        <v>21</v>
      </c>
      <c r="L2199" s="7">
        <v>41592.914803240739</v>
      </c>
      <c r="M2199" s="12" t="s">
        <v>35</v>
      </c>
      <c r="N2199" s="12" t="s">
        <v>5634</v>
      </c>
      <c r="O2199" s="10" t="str">
        <f>HYPERLINK("https://pbs.twimg.com/profile_images/714049211961057280/MfUB7ecL_normal.jpg","View")</f>
        <v>View</v>
      </c>
      <c r="P2199" s="11"/>
    </row>
    <row r="2200" spans="1:16" ht="12.75" x14ac:dyDescent="0.35">
      <c r="A2200" s="7">
        <v>42482.121342592596</v>
      </c>
      <c r="B2200" s="8" t="str">
        <f>HYPERLINK("https://twitter.com/tomschluet","@tomschluet")</f>
        <v>@tomschluet</v>
      </c>
      <c r="C2200" s="9" t="s">
        <v>5635</v>
      </c>
      <c r="D2200" s="9" t="s">
        <v>5636</v>
      </c>
      <c r="E2200" s="10" t="str">
        <f>HYPERLINK("https://twitter.com/tomschluet/status/723261210129518593","723261210129518593")</f>
        <v>723261210129518593</v>
      </c>
      <c r="F2200" s="11" t="s">
        <v>985</v>
      </c>
      <c r="G2200" s="11">
        <v>199</v>
      </c>
      <c r="H2200" s="11">
        <v>503</v>
      </c>
      <c r="I2200" s="11">
        <v>1</v>
      </c>
      <c r="J2200" s="11">
        <v>0</v>
      </c>
      <c r="K2200" s="11" t="s">
        <v>21</v>
      </c>
      <c r="L2200" s="7">
        <v>40836.849490740744</v>
      </c>
      <c r="M2200" s="12" t="s">
        <v>5637</v>
      </c>
      <c r="N2200" s="12" t="s">
        <v>5638</v>
      </c>
      <c r="O2200" s="10" t="str">
        <f>HYPERLINK("https://pbs.twimg.com/profile_images/696975560199770113/4VFBcMZv_normal.jpg","View")</f>
        <v>View</v>
      </c>
      <c r="P2200" s="11"/>
    </row>
    <row r="2201" spans="1:16" ht="12.75" x14ac:dyDescent="0.35">
      <c r="A2201" s="7">
        <v>42482.12327546296</v>
      </c>
      <c r="B2201" s="8" t="str">
        <f>HYPERLINK("https://twitter.com/VRwatchingU","@VRwatchingU")</f>
        <v>@VRwatchingU</v>
      </c>
      <c r="C2201" s="9" t="s">
        <v>2280</v>
      </c>
      <c r="D2201" s="9" t="s">
        <v>5639</v>
      </c>
      <c r="E2201" s="10" t="str">
        <f>HYPERLINK("https://twitter.com/VRwatchingU/status/723261908867014656","723261908867014656")</f>
        <v>723261908867014656</v>
      </c>
      <c r="F2201" s="11" t="s">
        <v>43</v>
      </c>
      <c r="G2201" s="11">
        <v>1060</v>
      </c>
      <c r="H2201" s="11">
        <v>997</v>
      </c>
      <c r="I2201" s="11">
        <v>0</v>
      </c>
      <c r="J2201" s="11">
        <v>0</v>
      </c>
      <c r="K2201" s="11" t="s">
        <v>21</v>
      </c>
      <c r="L2201" s="7">
        <v>40789.069664351853</v>
      </c>
      <c r="M2201" s="12" t="s">
        <v>2282</v>
      </c>
      <c r="N2201" s="12" t="s">
        <v>2283</v>
      </c>
      <c r="O2201" s="10" t="str">
        <f>HYPERLINK("https://pbs.twimg.com/profile_images/1616567344/VRwatch2_normal.jpg","View")</f>
        <v>View</v>
      </c>
      <c r="P2201" s="11"/>
    </row>
    <row r="2202" spans="1:16" ht="12.75" x14ac:dyDescent="0.35">
      <c r="A2202" s="7">
        <v>42482.124745370369</v>
      </c>
      <c r="B2202" s="8" t="str">
        <f>HYPERLINK("https://twitter.com/DisparatePost","@DisparatePost")</f>
        <v>@DisparatePost</v>
      </c>
      <c r="C2202" s="9" t="s">
        <v>5640</v>
      </c>
      <c r="D2202" s="9" t="s">
        <v>5150</v>
      </c>
      <c r="E2202" s="10" t="str">
        <f>HYPERLINK("https://twitter.com/DisparatePost/status/723262440847380480","723262440847380480")</f>
        <v>723262440847380480</v>
      </c>
      <c r="F2202" s="11" t="s">
        <v>48</v>
      </c>
      <c r="G2202" s="11">
        <v>4396</v>
      </c>
      <c r="H2202" s="11">
        <v>4815</v>
      </c>
      <c r="I2202" s="11">
        <v>24</v>
      </c>
      <c r="J2202" s="11">
        <v>0</v>
      </c>
      <c r="K2202" s="11" t="s">
        <v>21</v>
      </c>
      <c r="L2202" s="7">
        <v>40283.73400462963</v>
      </c>
      <c r="M2202" s="12" t="s">
        <v>5641</v>
      </c>
      <c r="N2202" s="12" t="s">
        <v>5642</v>
      </c>
      <c r="O2202" s="10" t="str">
        <f>HYPERLINK("https://pbs.twimg.com/profile_images/686916450418753537/xOJW9Mcn_normal.png","View")</f>
        <v>View</v>
      </c>
      <c r="P2202" s="11"/>
    </row>
    <row r="2203" spans="1:16" ht="12.75" x14ac:dyDescent="0.35">
      <c r="A2203" s="7">
        <v>42482.124803240746</v>
      </c>
      <c r="B2203" s="8" t="str">
        <f>HYPERLINK("https://twitter.com/DubLuvTuning","@DubLuvTuning")</f>
        <v>@DubLuvTuning</v>
      </c>
      <c r="C2203" s="9" t="s">
        <v>299</v>
      </c>
      <c r="D2203" s="9" t="s">
        <v>5643</v>
      </c>
      <c r="E2203" s="10" t="str">
        <f>HYPERLINK("https://twitter.com/DubLuvTuning/status/723262463643402240","723262463643402240")</f>
        <v>723262463643402240</v>
      </c>
      <c r="F2203" s="11" t="s">
        <v>288</v>
      </c>
      <c r="G2203" s="11">
        <v>690</v>
      </c>
      <c r="H2203" s="11">
        <v>431</v>
      </c>
      <c r="I2203" s="11">
        <v>1</v>
      </c>
      <c r="J2203" s="11">
        <v>0</v>
      </c>
      <c r="K2203" s="11" t="s">
        <v>21</v>
      </c>
      <c r="L2203" s="7">
        <v>41549.898287037038</v>
      </c>
      <c r="M2203" s="12" t="s">
        <v>301</v>
      </c>
      <c r="N2203" s="12" t="s">
        <v>302</v>
      </c>
      <c r="O2203" s="10" t="str">
        <f>HYPERLINK("https://pbs.twimg.com/profile_images/378800000572104796/1de43e1cf23efb3f4101c02afad0d3b6_normal.png","View")</f>
        <v>View</v>
      </c>
      <c r="P2203" s="11"/>
    </row>
    <row r="2204" spans="1:16" ht="12.75" x14ac:dyDescent="0.35">
      <c r="A2204" s="7">
        <v>42482.125150462962</v>
      </c>
      <c r="B2204" s="8" t="str">
        <f>HYPERLINK("https://twitter.com/VWCamperSales","@VWCamperSales")</f>
        <v>@VWCamperSales</v>
      </c>
      <c r="C2204" s="9" t="s">
        <v>216</v>
      </c>
      <c r="D2204" s="9" t="s">
        <v>5644</v>
      </c>
      <c r="E2204" s="10" t="str">
        <f>HYPERLINK("https://twitter.com/VWCamperSales/status/723262587685588992","723262587685588992")</f>
        <v>723262587685588992</v>
      </c>
      <c r="F2204" s="10" t="s">
        <v>124</v>
      </c>
      <c r="G2204" s="11">
        <v>615</v>
      </c>
      <c r="H2204" s="11">
        <v>580</v>
      </c>
      <c r="I2204" s="11">
        <v>0</v>
      </c>
      <c r="J2204" s="11">
        <v>0</v>
      </c>
      <c r="K2204" s="11" t="s">
        <v>21</v>
      </c>
      <c r="L2204" s="7">
        <v>42215.98809027778</v>
      </c>
      <c r="M2204" s="12" t="s">
        <v>129</v>
      </c>
      <c r="N2204" s="12" t="s">
        <v>218</v>
      </c>
      <c r="O2204" s="10" t="str">
        <f>HYPERLINK("https://pbs.twimg.com/profile_images/627949001179037696/skEBkS05_normal.jpg","View")</f>
        <v>View</v>
      </c>
      <c r="P2204" s="11"/>
    </row>
    <row r="2205" spans="1:16" ht="12.75" x14ac:dyDescent="0.35">
      <c r="A2205" s="7">
        <v>42482.125173611115</v>
      </c>
      <c r="B2205" s="8" t="str">
        <f>HYPERLINK("https://twitter.com/rahulwraj","@rahulwraj")</f>
        <v>@rahulwraj</v>
      </c>
      <c r="C2205" s="9" t="s">
        <v>5645</v>
      </c>
      <c r="D2205" s="9" t="s">
        <v>5646</v>
      </c>
      <c r="E2205" s="10" t="str">
        <f>HYPERLINK("https://twitter.com/rahulwraj/status/723262598356078592","723262598356078592")</f>
        <v>723262598356078592</v>
      </c>
      <c r="F2205" s="11" t="s">
        <v>80</v>
      </c>
      <c r="G2205" s="11">
        <v>8408</v>
      </c>
      <c r="H2205" s="11">
        <v>7639</v>
      </c>
      <c r="I2205" s="11">
        <v>3</v>
      </c>
      <c r="J2205" s="11">
        <v>0</v>
      </c>
      <c r="K2205" s="11" t="s">
        <v>21</v>
      </c>
      <c r="L2205" s="7">
        <v>39898.92597222222</v>
      </c>
      <c r="M2205" s="12" t="s">
        <v>3097</v>
      </c>
      <c r="N2205" s="12" t="s">
        <v>5647</v>
      </c>
      <c r="O2205" s="10" t="str">
        <f>HYPERLINK("https://pbs.twimg.com/profile_images/2019162570/RRAJ_headshot_edit_normal.jpg","View")</f>
        <v>View</v>
      </c>
      <c r="P2205" s="11"/>
    </row>
    <row r="2206" spans="1:16" ht="12.75" x14ac:dyDescent="0.35">
      <c r="A2206" s="7">
        <v>42482.125173611115</v>
      </c>
      <c r="B2206" s="8" t="str">
        <f>HYPERLINK("https://twitter.com/VWCamperSales","@VWCamperSales")</f>
        <v>@VWCamperSales</v>
      </c>
      <c r="C2206" s="9" t="s">
        <v>216</v>
      </c>
      <c r="D2206" s="9" t="s">
        <v>5648</v>
      </c>
      <c r="E2206" s="10" t="str">
        <f>HYPERLINK("https://twitter.com/VWCamperSales/status/723262599291248640","723262599291248640")</f>
        <v>723262599291248640</v>
      </c>
      <c r="F2206" s="10" t="s">
        <v>124</v>
      </c>
      <c r="G2206" s="11">
        <v>615</v>
      </c>
      <c r="H2206" s="11">
        <v>580</v>
      </c>
      <c r="I2206" s="11">
        <v>0</v>
      </c>
      <c r="J2206" s="11">
        <v>0</v>
      </c>
      <c r="K2206" s="11" t="s">
        <v>21</v>
      </c>
      <c r="L2206" s="7">
        <v>42215.98809027778</v>
      </c>
      <c r="M2206" s="12" t="s">
        <v>129</v>
      </c>
      <c r="N2206" s="12" t="s">
        <v>218</v>
      </c>
      <c r="O2206" s="10" t="str">
        <f>HYPERLINK("https://pbs.twimg.com/profile_images/627949001179037696/skEBkS05_normal.jpg","View")</f>
        <v>View</v>
      </c>
      <c r="P2206" s="11"/>
    </row>
    <row r="2207" spans="1:16" ht="12.75" x14ac:dyDescent="0.35">
      <c r="A2207" s="7">
        <v>42482.125520833331</v>
      </c>
      <c r="B2207" s="8" t="str">
        <f>HYPERLINK("https://twitter.com/greenenrgycharg","@greenenrgycharg")</f>
        <v>@greenenrgycharg</v>
      </c>
      <c r="C2207" s="9" t="s">
        <v>5649</v>
      </c>
      <c r="D2207" s="9" t="s">
        <v>5650</v>
      </c>
      <c r="E2207" s="10" t="str">
        <f>HYPERLINK("https://twitter.com/greenenrgycharg/status/723262724507983872","723262724507983872")</f>
        <v>723262724507983872</v>
      </c>
      <c r="F2207" s="11" t="s">
        <v>43</v>
      </c>
      <c r="G2207" s="11">
        <v>3331</v>
      </c>
      <c r="H2207" s="11">
        <v>31</v>
      </c>
      <c r="I2207" s="11">
        <v>4</v>
      </c>
      <c r="J2207" s="11">
        <v>0</v>
      </c>
      <c r="K2207" s="11" t="s">
        <v>21</v>
      </c>
      <c r="L2207" s="7">
        <v>42312.533148148148</v>
      </c>
      <c r="M2207" s="12" t="s">
        <v>5651</v>
      </c>
      <c r="N2207" s="12" t="s">
        <v>5652</v>
      </c>
      <c r="O2207" s="10" t="str">
        <f>HYPERLINK("https://pbs.twimg.com/profile_images/669332373578776576/FI_GWRUn_normal.png","View")</f>
        <v>View</v>
      </c>
      <c r="P2207" s="11"/>
    </row>
    <row r="2208" spans="1:16" ht="12.75" x14ac:dyDescent="0.35">
      <c r="A2208" s="7">
        <v>42482.125833333332</v>
      </c>
      <c r="B2208" s="8" t="str">
        <f>HYPERLINK("https://twitter.com/CmaxVs","@CmaxVs")</f>
        <v>@CmaxVs</v>
      </c>
      <c r="C2208" s="9" t="s">
        <v>5653</v>
      </c>
      <c r="D2208" s="9" t="s">
        <v>5654</v>
      </c>
      <c r="E2208" s="10" t="str">
        <f>HYPERLINK("https://twitter.com/CmaxVs/status/723262838790197248","723262838790197248")</f>
        <v>723262838790197248</v>
      </c>
      <c r="F2208" s="11" t="s">
        <v>20</v>
      </c>
      <c r="G2208" s="11">
        <v>116</v>
      </c>
      <c r="H2208" s="11">
        <v>41</v>
      </c>
      <c r="I2208" s="11">
        <v>0</v>
      </c>
      <c r="J2208" s="11">
        <v>1</v>
      </c>
      <c r="K2208" s="11" t="s">
        <v>21</v>
      </c>
      <c r="L2208" s="7">
        <v>41226.894513888888</v>
      </c>
      <c r="M2208" s="12" t="s">
        <v>5655</v>
      </c>
      <c r="N2208" s="12" t="s">
        <v>5656</v>
      </c>
      <c r="O2208" s="10" t="str">
        <f>HYPERLINK("https://pbs.twimg.com/profile_images/378800000758734512/a6899a93597efed308f155bd05c32bbc_normal.jpeg","View")</f>
        <v>View</v>
      </c>
      <c r="P2208" s="11"/>
    </row>
    <row r="2209" spans="1:16" ht="12.75" x14ac:dyDescent="0.35">
      <c r="A2209" s="7">
        <v>42482.127303240741</v>
      </c>
      <c r="B2209" s="8" t="str">
        <f>HYPERLINK("https://twitter.com/PremiersoundsAV","@PremiersoundsAV")</f>
        <v>@PremiersoundsAV</v>
      </c>
      <c r="C2209" s="9" t="s">
        <v>5657</v>
      </c>
      <c r="D2209" s="9" t="s">
        <v>5658</v>
      </c>
      <c r="E2209" s="10" t="str">
        <f>HYPERLINK("https://twitter.com/PremiersoundsAV/status/723263367637524480","723263367637524480")</f>
        <v>723263367637524480</v>
      </c>
      <c r="F2209" s="11" t="s">
        <v>20</v>
      </c>
      <c r="G2209" s="11">
        <v>260</v>
      </c>
      <c r="H2209" s="11">
        <v>232</v>
      </c>
      <c r="I2209" s="11">
        <v>3</v>
      </c>
      <c r="J2209" s="11">
        <v>0</v>
      </c>
      <c r="K2209" s="11" t="s">
        <v>21</v>
      </c>
      <c r="L2209" s="7">
        <v>42223.894513888888</v>
      </c>
      <c r="M2209" s="12" t="s">
        <v>5659</v>
      </c>
      <c r="N2209" s="12" t="s">
        <v>5660</v>
      </c>
      <c r="O2209" s="10" t="str">
        <f>HYPERLINK("https://pbs.twimg.com/profile_images/629706221038235648/YOUefHMR_normal.png","View")</f>
        <v>View</v>
      </c>
      <c r="P2209" s="11"/>
    </row>
    <row r="2210" spans="1:16" ht="12.75" x14ac:dyDescent="0.35">
      <c r="A2210" s="7">
        <v>42482.127870370372</v>
      </c>
      <c r="B2210" s="8" t="str">
        <f>HYPERLINK("https://twitter.com/Burhan_Ashkar","@Burhan_Ashkar")</f>
        <v>@Burhan_Ashkar</v>
      </c>
      <c r="C2210" s="9" t="s">
        <v>5661</v>
      </c>
      <c r="D2210" s="9" t="s">
        <v>5662</v>
      </c>
      <c r="E2210" s="10" t="str">
        <f>HYPERLINK("https://twitter.com/Burhan_Ashkar/status/723263574404001792","723263574404001792")</f>
        <v>723263574404001792</v>
      </c>
      <c r="F2210" s="11" t="s">
        <v>48</v>
      </c>
      <c r="G2210" s="11">
        <v>475</v>
      </c>
      <c r="H2210" s="11">
        <v>199</v>
      </c>
      <c r="I2210" s="11">
        <v>0</v>
      </c>
      <c r="J2210" s="11">
        <v>0</v>
      </c>
      <c r="K2210" s="11" t="s">
        <v>21</v>
      </c>
      <c r="L2210" s="7">
        <v>40856.136597222227</v>
      </c>
      <c r="M2210" s="12" t="s">
        <v>5663</v>
      </c>
      <c r="N2210" s="12" t="s">
        <v>5664</v>
      </c>
      <c r="O2210" s="10" t="str">
        <f>HYPERLINK("https://pbs.twimg.com/profile_images/559611103865368576/7Zmbvgsg_normal.jpeg","View")</f>
        <v>View</v>
      </c>
      <c r="P2210" s="11"/>
    </row>
    <row r="2211" spans="1:16" ht="12.75" x14ac:dyDescent="0.35">
      <c r="A2211" s="7">
        <v>42482.128530092596</v>
      </c>
      <c r="B2211" s="8" t="str">
        <f>HYPERLINK("https://twitter.com/KellerRohrback","@KellerRohrback")</f>
        <v>@KellerRohrback</v>
      </c>
      <c r="C2211" s="9" t="s">
        <v>5665</v>
      </c>
      <c r="D2211" s="9" t="s">
        <v>5666</v>
      </c>
      <c r="E2211" s="10" t="str">
        <f>HYPERLINK("https://twitter.com/KellerRohrback/status/723263814834130944","723263814834130944")</f>
        <v>723263814834130944</v>
      </c>
      <c r="F2211" s="11" t="s">
        <v>43</v>
      </c>
      <c r="G2211" s="11">
        <v>255</v>
      </c>
      <c r="H2211" s="11">
        <v>152</v>
      </c>
      <c r="I2211" s="11">
        <v>2</v>
      </c>
      <c r="J2211" s="11">
        <v>1</v>
      </c>
      <c r="K2211" s="11" t="s">
        <v>21</v>
      </c>
      <c r="L2211" s="7">
        <v>41567.215729166666</v>
      </c>
      <c r="M2211" s="12" t="s">
        <v>5667</v>
      </c>
      <c r="N2211" s="12" t="s">
        <v>5668</v>
      </c>
      <c r="O2211" s="10" t="str">
        <f>HYPERLINK("https://pbs.twimg.com/profile_images/667850855555579905/sXEAhPOP_normal.jpg","View")</f>
        <v>View</v>
      </c>
      <c r="P2211" s="11"/>
    </row>
    <row r="2212" spans="1:16" ht="12.75" x14ac:dyDescent="0.35">
      <c r="A2212" s="7">
        <v>42482.129155092596</v>
      </c>
      <c r="B2212" s="8" t="str">
        <f>HYPERLINK("https://twitter.com/HassanValji","@HassanValji")</f>
        <v>@HassanValji</v>
      </c>
      <c r="C2212" s="9" t="s">
        <v>5669</v>
      </c>
      <c r="D2212" s="9" t="s">
        <v>5658</v>
      </c>
      <c r="E2212" s="10" t="str">
        <f>HYPERLINK("https://twitter.com/HassanValji/status/723264039971901440","723264039971901440")</f>
        <v>723264039971901440</v>
      </c>
      <c r="F2212" s="11" t="s">
        <v>2154</v>
      </c>
      <c r="G2212" s="11">
        <v>89</v>
      </c>
      <c r="H2212" s="11">
        <v>167</v>
      </c>
      <c r="I2212" s="11">
        <v>3</v>
      </c>
      <c r="J2212" s="11">
        <v>0</v>
      </c>
      <c r="K2212" s="11" t="s">
        <v>21</v>
      </c>
      <c r="L2212" s="7">
        <v>41642.939895833333</v>
      </c>
      <c r="M2212" s="12"/>
      <c r="N2212" s="12" t="s">
        <v>5670</v>
      </c>
      <c r="O2212" s="10" t="str">
        <f>HYPERLINK("https://pbs.twimg.com/profile_images/419154696507387905/W3B8TRMc_normal.jpeg","View")</f>
        <v>View</v>
      </c>
      <c r="P2212" s="11"/>
    </row>
    <row r="2213" spans="1:16" ht="12.75" x14ac:dyDescent="0.35">
      <c r="A2213" s="7">
        <v>42482.13071759259</v>
      </c>
      <c r="B2213" s="8" t="str">
        <f>HYPERLINK("https://twitter.com/sk_teo","@sk_teo")</f>
        <v>@sk_teo</v>
      </c>
      <c r="C2213" s="9" t="s">
        <v>5671</v>
      </c>
      <c r="D2213" s="9" t="s">
        <v>4532</v>
      </c>
      <c r="E2213" s="10" t="str">
        <f>HYPERLINK("https://twitter.com/sk_teo/status/723264607897440260","723264607897440260")</f>
        <v>723264607897440260</v>
      </c>
      <c r="F2213" s="11" t="s">
        <v>20</v>
      </c>
      <c r="G2213" s="11">
        <v>172</v>
      </c>
      <c r="H2213" s="11">
        <v>464</v>
      </c>
      <c r="I2213" s="11">
        <v>5</v>
      </c>
      <c r="J2213" s="11">
        <v>0</v>
      </c>
      <c r="K2213" s="11" t="s">
        <v>21</v>
      </c>
      <c r="L2213" s="7">
        <v>41970.862141203703</v>
      </c>
      <c r="M2213" s="12"/>
      <c r="N2213" s="12" t="s">
        <v>5672</v>
      </c>
      <c r="O2213" s="10" t="str">
        <f>HYPERLINK("https://pbs.twimg.com/profile_images/636940214414516225/ITiB90pM_normal.jpg","View")</f>
        <v>View</v>
      </c>
      <c r="P2213" s="11"/>
    </row>
    <row r="2214" spans="1:16" ht="12.75" x14ac:dyDescent="0.35">
      <c r="A2214" s="7">
        <v>42482.131064814814</v>
      </c>
      <c r="B2214" s="8" t="str">
        <f>HYPERLINK("https://twitter.com/ralmicro","@ralmicro")</f>
        <v>@ralmicro</v>
      </c>
      <c r="C2214" s="9" t="s">
        <v>5673</v>
      </c>
      <c r="D2214" s="9" t="s">
        <v>5674</v>
      </c>
      <c r="E2214" s="10" t="str">
        <f>HYPERLINK("https://twitter.com/ralmicro/status/723264731415478273","723264731415478273")</f>
        <v>723264731415478273</v>
      </c>
      <c r="F2214" s="11" t="s">
        <v>91</v>
      </c>
      <c r="G2214" s="11">
        <v>50</v>
      </c>
      <c r="H2214" s="11">
        <v>140</v>
      </c>
      <c r="I2214" s="11">
        <v>0</v>
      </c>
      <c r="J2214" s="11">
        <v>0</v>
      </c>
      <c r="K2214" s="11" t="s">
        <v>21</v>
      </c>
      <c r="L2214" s="7">
        <v>40888.116631944446</v>
      </c>
      <c r="M2214" s="12" t="s">
        <v>1169</v>
      </c>
      <c r="N2214" s="12" t="s">
        <v>5675</v>
      </c>
      <c r="O2214" s="10" t="str">
        <f>HYPERLINK("https://pbs.twimg.com/profile_images/3335310525/93b5f9ca89c3b7590d5d27f05177b496_normal.jpeg","View")</f>
        <v>View</v>
      </c>
      <c r="P2214" s="11"/>
    </row>
    <row r="2215" spans="1:16" ht="12.75" x14ac:dyDescent="0.35">
      <c r="A2215" s="7">
        <v>42482.131585648152</v>
      </c>
      <c r="B2215" s="8" t="str">
        <f>HYPERLINK("https://twitter.com/Gretchenfc1","@Gretchenfc1")</f>
        <v>@Gretchenfc1</v>
      </c>
      <c r="C2215" s="9" t="s">
        <v>5676</v>
      </c>
      <c r="D2215" s="9" t="s">
        <v>5677</v>
      </c>
      <c r="E2215" s="10" t="str">
        <f>HYPERLINK("https://twitter.com/Gretchenfc1/status/723264919722827778","723264919722827778")</f>
        <v>723264919722827778</v>
      </c>
      <c r="F2215" s="11" t="s">
        <v>20</v>
      </c>
      <c r="G2215" s="11">
        <v>120</v>
      </c>
      <c r="H2215" s="11">
        <v>576</v>
      </c>
      <c r="I2215" s="11">
        <v>2</v>
      </c>
      <c r="J2215" s="11">
        <v>0</v>
      </c>
      <c r="K2215" s="11" t="s">
        <v>21</v>
      </c>
      <c r="L2215" s="7">
        <v>41139.388472222221</v>
      </c>
      <c r="M2215" s="12"/>
      <c r="N2215" s="12" t="s">
        <v>5678</v>
      </c>
      <c r="O2215" s="10" t="str">
        <f>HYPERLINK("https://pbs.twimg.com/profile_images/378800000631364822/b6d4b61bb44072471372df42ee3cbc24_normal.jpeg","View")</f>
        <v>View</v>
      </c>
      <c r="P2215" s="11"/>
    </row>
    <row r="2216" spans="1:16" ht="12.75" x14ac:dyDescent="0.35">
      <c r="A2216" s="7">
        <v>42482.131643518514</v>
      </c>
      <c r="B2216" s="8" t="str">
        <f>HYPERLINK("https://twitter.com/beetlebug1938","@beetlebug1938")</f>
        <v>@beetlebug1938</v>
      </c>
      <c r="C2216" s="9" t="s">
        <v>66</v>
      </c>
      <c r="D2216" s="9" t="s">
        <v>5679</v>
      </c>
      <c r="E2216" s="10" t="str">
        <f>HYPERLINK("https://twitter.com/beetlebug1938/status/723264940405055488","723264940405055488")</f>
        <v>723264940405055488</v>
      </c>
      <c r="F2216" s="11" t="s">
        <v>68</v>
      </c>
      <c r="G2216" s="11">
        <v>346</v>
      </c>
      <c r="H2216" s="11">
        <v>2222</v>
      </c>
      <c r="I2216" s="11">
        <v>1</v>
      </c>
      <c r="J2216" s="11">
        <v>2</v>
      </c>
      <c r="K2216" s="11" t="s">
        <v>21</v>
      </c>
      <c r="L2216" s="7">
        <v>42469.863865740743</v>
      </c>
      <c r="M2216" s="12" t="s">
        <v>69</v>
      </c>
      <c r="N2216" s="12"/>
      <c r="O2216" s="10" t="str">
        <f>HYPERLINK("https://pbs.twimg.com/profile_images/718820712757215233/LXXndPTS_normal.jpg","View")</f>
        <v>View</v>
      </c>
      <c r="P2216" s="11"/>
    </row>
    <row r="2217" spans="1:16" ht="12.75" x14ac:dyDescent="0.35">
      <c r="A2217" s="7">
        <v>42482.131643518514</v>
      </c>
      <c r="B2217" s="8" t="str">
        <f>HYPERLINK("https://twitter.com/VWBeetleSales","@VWBeetleSales")</f>
        <v>@VWBeetleSales</v>
      </c>
      <c r="C2217" s="9" t="s">
        <v>127</v>
      </c>
      <c r="D2217" s="9" t="s">
        <v>5680</v>
      </c>
      <c r="E2217" s="10" t="str">
        <f>HYPERLINK("https://twitter.com/VWBeetleSales/status/723264943600984065","723264943600984065")</f>
        <v>723264943600984065</v>
      </c>
      <c r="F2217" s="10" t="s">
        <v>124</v>
      </c>
      <c r="G2217" s="11">
        <v>35</v>
      </c>
      <c r="H2217" s="11">
        <v>32</v>
      </c>
      <c r="I2217" s="11">
        <v>0</v>
      </c>
      <c r="J2217" s="11">
        <v>0</v>
      </c>
      <c r="K2217" s="11" t="s">
        <v>21</v>
      </c>
      <c r="L2217" s="7">
        <v>42427.019756944443</v>
      </c>
      <c r="M2217" s="12" t="s">
        <v>129</v>
      </c>
      <c r="N2217" s="12" t="s">
        <v>130</v>
      </c>
      <c r="O2217" s="10" t="str">
        <f>HYPERLINK("https://pbs.twimg.com/profile_images/703294545195307008/qeCvrX86_normal.jpg","View")</f>
        <v>View</v>
      </c>
      <c r="P2217" s="11"/>
    </row>
    <row r="2218" spans="1:16" ht="12.75" x14ac:dyDescent="0.35">
      <c r="A2218" s="7">
        <v>42482.131666666668</v>
      </c>
      <c r="B2218" s="8" t="str">
        <f t="shared" ref="B2218:B2220" si="209">HYPERLINK("https://twitter.com/beetlebug1938","@beetlebug1938")</f>
        <v>@beetlebug1938</v>
      </c>
      <c r="C2218" s="9" t="s">
        <v>66</v>
      </c>
      <c r="D2218" s="9" t="s">
        <v>5681</v>
      </c>
      <c r="E2218" s="10" t="str">
        <f>HYPERLINK("https://twitter.com/beetlebug1938/status/723264951188631559","723264951188631559")</f>
        <v>723264951188631559</v>
      </c>
      <c r="F2218" s="11" t="s">
        <v>68</v>
      </c>
      <c r="G2218" s="11">
        <v>346</v>
      </c>
      <c r="H2218" s="11">
        <v>2222</v>
      </c>
      <c r="I2218" s="11">
        <v>1</v>
      </c>
      <c r="J2218" s="11">
        <v>2</v>
      </c>
      <c r="K2218" s="11" t="s">
        <v>21</v>
      </c>
      <c r="L2218" s="7">
        <v>42469.863865740743</v>
      </c>
      <c r="M2218" s="12" t="s">
        <v>69</v>
      </c>
      <c r="N2218" s="12"/>
      <c r="O2218" s="10" t="str">
        <f t="shared" ref="O2218:O2220" si="210">HYPERLINK("https://pbs.twimg.com/profile_images/718820712757215233/LXXndPTS_normal.jpg","View")</f>
        <v>View</v>
      </c>
      <c r="P2218" s="11"/>
    </row>
    <row r="2219" spans="1:16" ht="12.75" x14ac:dyDescent="0.35">
      <c r="A2219" s="7">
        <v>42482.13175925926</v>
      </c>
      <c r="B2219" s="8" t="str">
        <f t="shared" si="209"/>
        <v>@beetlebug1938</v>
      </c>
      <c r="C2219" s="9" t="s">
        <v>66</v>
      </c>
      <c r="D2219" s="9" t="s">
        <v>5682</v>
      </c>
      <c r="E2219" s="10" t="str">
        <f>HYPERLINK("https://twitter.com/beetlebug1938/status/723264983656751105","723264983656751105")</f>
        <v>723264983656751105</v>
      </c>
      <c r="F2219" s="11" t="s">
        <v>68</v>
      </c>
      <c r="G2219" s="11">
        <v>346</v>
      </c>
      <c r="H2219" s="11">
        <v>2222</v>
      </c>
      <c r="I2219" s="11">
        <v>0</v>
      </c>
      <c r="J2219" s="11">
        <v>2</v>
      </c>
      <c r="K2219" s="11" t="s">
        <v>21</v>
      </c>
      <c r="L2219" s="7">
        <v>42469.863865740743</v>
      </c>
      <c r="M2219" s="12" t="s">
        <v>69</v>
      </c>
      <c r="N2219" s="12"/>
      <c r="O2219" s="10" t="str">
        <f t="shared" si="210"/>
        <v>View</v>
      </c>
      <c r="P2219" s="11"/>
    </row>
    <row r="2220" spans="1:16" ht="12.75" x14ac:dyDescent="0.35">
      <c r="A2220" s="7">
        <v>42482.131886574076</v>
      </c>
      <c r="B2220" s="8" t="str">
        <f t="shared" si="209"/>
        <v>@beetlebug1938</v>
      </c>
      <c r="C2220" s="9" t="s">
        <v>66</v>
      </c>
      <c r="D2220" s="9" t="s">
        <v>5683</v>
      </c>
      <c r="E2220" s="10" t="str">
        <f>HYPERLINK("https://twitter.com/beetlebug1938/status/723265029278208002","723265029278208002")</f>
        <v>723265029278208002</v>
      </c>
      <c r="F2220" s="11" t="s">
        <v>68</v>
      </c>
      <c r="G2220" s="11">
        <v>346</v>
      </c>
      <c r="H2220" s="11">
        <v>2222</v>
      </c>
      <c r="I2220" s="11">
        <v>0</v>
      </c>
      <c r="J2220" s="11">
        <v>1</v>
      </c>
      <c r="K2220" s="11" t="s">
        <v>21</v>
      </c>
      <c r="L2220" s="7">
        <v>42469.863865740743</v>
      </c>
      <c r="M2220" s="12" t="s">
        <v>69</v>
      </c>
      <c r="N2220" s="12"/>
      <c r="O2220" s="10" t="str">
        <f t="shared" si="210"/>
        <v>View</v>
      </c>
      <c r="P2220" s="11"/>
    </row>
    <row r="2221" spans="1:16" ht="12.75" x14ac:dyDescent="0.35">
      <c r="A2221" s="7">
        <v>42482.132037037038</v>
      </c>
      <c r="B2221" s="8" t="str">
        <f>HYPERLINK("https://twitter.com/mk1GolfForSale","@mk1GolfForSale")</f>
        <v>@mk1GolfForSale</v>
      </c>
      <c r="C2221" s="9" t="s">
        <v>32</v>
      </c>
      <c r="D2221" s="9" t="s">
        <v>5684</v>
      </c>
      <c r="E2221" s="10" t="str">
        <f>HYPERLINK("https://twitter.com/mk1GolfForSale/status/723265085884366848","723265085884366848")</f>
        <v>723265085884366848</v>
      </c>
      <c r="F2221" s="11" t="s">
        <v>34</v>
      </c>
      <c r="G2221" s="11">
        <v>179</v>
      </c>
      <c r="H2221" s="11">
        <v>0</v>
      </c>
      <c r="I2221" s="11">
        <v>0</v>
      </c>
      <c r="J2221" s="11">
        <v>0</v>
      </c>
      <c r="K2221" s="11" t="s">
        <v>21</v>
      </c>
      <c r="L2221" s="7">
        <v>41178.748437499999</v>
      </c>
      <c r="M2221" s="12" t="s">
        <v>35</v>
      </c>
      <c r="N2221" s="12" t="s">
        <v>36</v>
      </c>
      <c r="O2221" s="10" t="str">
        <f>HYPERLINK("https://pbs.twimg.com/profile_images/3279995885/2c9f035864a3ab529eb3144a61e4dfa9_normal.jpeg","View")</f>
        <v>View</v>
      </c>
      <c r="P2221" s="11"/>
    </row>
    <row r="2222" spans="1:16" ht="12.75" x14ac:dyDescent="0.35">
      <c r="A2222" s="7">
        <v>42482.13212962963</v>
      </c>
      <c r="B2222" s="8" t="str">
        <f>HYPERLINK("https://twitter.com/jallegra","@jallegra")</f>
        <v>@jallegra</v>
      </c>
      <c r="C2222" s="9" t="s">
        <v>5685</v>
      </c>
      <c r="D2222" s="9" t="s">
        <v>5686</v>
      </c>
      <c r="E2222" s="10" t="str">
        <f>HYPERLINK("https://twitter.com/jallegra/status/723265116960071681","723265116960071681")</f>
        <v>723265116960071681</v>
      </c>
      <c r="F2222" s="11" t="s">
        <v>43</v>
      </c>
      <c r="G2222" s="11">
        <v>348</v>
      </c>
      <c r="H2222" s="11">
        <v>210</v>
      </c>
      <c r="I2222" s="11">
        <v>1</v>
      </c>
      <c r="J2222" s="11">
        <v>0</v>
      </c>
      <c r="K2222" s="11" t="s">
        <v>21</v>
      </c>
      <c r="L2222" s="7">
        <v>39918.268437500003</v>
      </c>
      <c r="M2222" s="12"/>
      <c r="N2222" s="12" t="s">
        <v>5687</v>
      </c>
      <c r="O2222" s="10" t="str">
        <f>HYPERLINK("https://pbs.twimg.com/profile_images/1161196526/JOEA-hs6691-6x9_normal.jpg","View")</f>
        <v>View</v>
      </c>
      <c r="P2222" s="11"/>
    </row>
    <row r="2223" spans="1:16" ht="12.75" x14ac:dyDescent="0.35">
      <c r="A2223" s="7">
        <v>42482.133206018523</v>
      </c>
      <c r="B2223" s="8" t="str">
        <f>HYPERLINK("https://twitter.com/onestoneadvisor","@onestoneadvisor")</f>
        <v>@onestoneadvisor</v>
      </c>
      <c r="C2223" s="9" t="s">
        <v>5688</v>
      </c>
      <c r="D2223" s="9" t="s">
        <v>5689</v>
      </c>
      <c r="E2223" s="10" t="str">
        <f>HYPERLINK("https://twitter.com/onestoneadvisor/status/723265507403530241","723265507403530241")</f>
        <v>723265507403530241</v>
      </c>
      <c r="F2223" s="11" t="s">
        <v>119</v>
      </c>
      <c r="G2223" s="11">
        <v>440</v>
      </c>
      <c r="H2223" s="11">
        <v>474</v>
      </c>
      <c r="I2223" s="11">
        <v>0</v>
      </c>
      <c r="J2223" s="11">
        <v>0</v>
      </c>
      <c r="K2223" s="11" t="s">
        <v>21</v>
      </c>
      <c r="L2223" s="7">
        <v>40823.717199074075</v>
      </c>
      <c r="M2223" s="12" t="s">
        <v>5690</v>
      </c>
      <c r="N2223" s="12" t="s">
        <v>5691</v>
      </c>
      <c r="O2223" s="10" t="str">
        <f>HYPERLINK("https://pbs.twimg.com/profile_images/2605386867/o1xb8eeaztw32yg1affb_normal.jpeg","View")</f>
        <v>View</v>
      </c>
      <c r="P2223" s="11"/>
    </row>
    <row r="2224" spans="1:16" ht="12.75" x14ac:dyDescent="0.35">
      <c r="A2224" s="7">
        <v>42482.133518518516</v>
      </c>
      <c r="B2224" s="8" t="str">
        <f>HYPERLINK("https://twitter.com/VRwatchingU","@VRwatchingU")</f>
        <v>@VRwatchingU</v>
      </c>
      <c r="C2224" s="9" t="s">
        <v>2280</v>
      </c>
      <c r="D2224" s="9" t="s">
        <v>5692</v>
      </c>
      <c r="E2224" s="10" t="str">
        <f>HYPERLINK("https://twitter.com/VRwatchingU/status/723265622466039809","723265622466039809")</f>
        <v>723265622466039809</v>
      </c>
      <c r="F2224" s="11" t="s">
        <v>43</v>
      </c>
      <c r="G2224" s="11">
        <v>1060</v>
      </c>
      <c r="H2224" s="11">
        <v>997</v>
      </c>
      <c r="I2224" s="11">
        <v>0</v>
      </c>
      <c r="J2224" s="11">
        <v>0</v>
      </c>
      <c r="K2224" s="11" t="s">
        <v>21</v>
      </c>
      <c r="L2224" s="7">
        <v>40789.069664351853</v>
      </c>
      <c r="M2224" s="12" t="s">
        <v>2282</v>
      </c>
      <c r="N2224" s="12" t="s">
        <v>2283</v>
      </c>
      <c r="O2224" s="10" t="str">
        <f>HYPERLINK("https://pbs.twimg.com/profile_images/1616567344/VRwatch2_normal.jpg","View")</f>
        <v>View</v>
      </c>
      <c r="P2224" s="11"/>
    </row>
    <row r="2225" spans="1:16" ht="12.75" x14ac:dyDescent="0.35">
      <c r="A2225" s="7">
        <v>42482.134189814809</v>
      </c>
      <c r="B2225" s="8" t="str">
        <f>HYPERLINK("https://twitter.com/achtuning","@achtuning")</f>
        <v>@achtuning</v>
      </c>
      <c r="C2225" s="9" t="s">
        <v>5693</v>
      </c>
      <c r="D2225" s="9" t="s">
        <v>5694</v>
      </c>
      <c r="E2225" s="10" t="str">
        <f>HYPERLINK("https://twitter.com/achtuning/status/723265865119064064","723265865119064064")</f>
        <v>723265865119064064</v>
      </c>
      <c r="F2225" s="11" t="s">
        <v>114</v>
      </c>
      <c r="G2225" s="11">
        <v>687</v>
      </c>
      <c r="H2225" s="11">
        <v>7</v>
      </c>
      <c r="I2225" s="11">
        <v>0</v>
      </c>
      <c r="J2225" s="11">
        <v>0</v>
      </c>
      <c r="K2225" s="11" t="s">
        <v>21</v>
      </c>
      <c r="L2225" s="7">
        <v>39925.960891203707</v>
      </c>
      <c r="M2225" s="12" t="s">
        <v>5695</v>
      </c>
      <c r="N2225" s="12" t="s">
        <v>5696</v>
      </c>
      <c r="O2225" s="10" t="str">
        <f>HYPERLINK("https://pbs.twimg.com/profile_images/649999148620517377/KLt9GQZz_normal.png","View")</f>
        <v>View</v>
      </c>
      <c r="P2225" s="11"/>
    </row>
    <row r="2226" spans="1:16" ht="12.75" x14ac:dyDescent="0.35">
      <c r="A2226" s="7">
        <v>42482.135451388887</v>
      </c>
      <c r="B2226" s="8" t="str">
        <f>HYPERLINK("https://twitter.com/ganleyman","@ganleyman")</f>
        <v>@ganleyman</v>
      </c>
      <c r="C2226" s="9" t="s">
        <v>5697</v>
      </c>
      <c r="D2226" s="9" t="s">
        <v>5698</v>
      </c>
      <c r="E2226" s="10" t="str">
        <f>HYPERLINK("https://twitter.com/ganleyman/status/723266323975942146","723266323975942146")</f>
        <v>723266323975942146</v>
      </c>
      <c r="F2226" s="11" t="s">
        <v>5699</v>
      </c>
      <c r="G2226" s="11">
        <v>1000</v>
      </c>
      <c r="H2226" s="11">
        <v>1511</v>
      </c>
      <c r="I2226" s="11">
        <v>3</v>
      </c>
      <c r="J2226" s="11">
        <v>2</v>
      </c>
      <c r="K2226" s="11" t="s">
        <v>21</v>
      </c>
      <c r="L2226" s="7">
        <v>40262.809571759259</v>
      </c>
      <c r="M2226" s="12" t="s">
        <v>5700</v>
      </c>
      <c r="N2226" s="12" t="s">
        <v>5701</v>
      </c>
      <c r="O2226" s="10" t="str">
        <f>HYPERLINK("https://pbs.twimg.com/profile_images/648939495966949377/YQqr4JhX_normal.jpg","View")</f>
        <v>View</v>
      </c>
      <c r="P2226" s="11"/>
    </row>
    <row r="2227" spans="1:16" ht="12.75" x14ac:dyDescent="0.35">
      <c r="A2227" s="7">
        <v>42482.135717592595</v>
      </c>
      <c r="B2227" s="8" t="str">
        <f t="shared" ref="B2227:B2228" si="211">HYPERLINK("https://twitter.com/FuscaWorld","@FuscaWorld")</f>
        <v>@FuscaWorld</v>
      </c>
      <c r="C2227" s="9" t="s">
        <v>74</v>
      </c>
      <c r="D2227" s="9" t="s">
        <v>5702</v>
      </c>
      <c r="E2227" s="10" t="str">
        <f>HYPERLINK("https://twitter.com/FuscaWorld/status/723266419748679680","723266419748679680")</f>
        <v>723266419748679680</v>
      </c>
      <c r="F2227" s="11" t="s">
        <v>76</v>
      </c>
      <c r="G2227" s="11">
        <v>48</v>
      </c>
      <c r="H2227" s="11">
        <v>1</v>
      </c>
      <c r="I2227" s="11">
        <v>1</v>
      </c>
      <c r="J2227" s="11">
        <v>0</v>
      </c>
      <c r="K2227" s="11" t="s">
        <v>21</v>
      </c>
      <c r="L2227" s="7">
        <v>42433.880914351852</v>
      </c>
      <c r="M2227" s="12"/>
      <c r="N2227" s="12" t="s">
        <v>77</v>
      </c>
      <c r="O2227" s="10" t="str">
        <f t="shared" ref="O2227:O2228" si="212">HYPERLINK("https://pbs.twimg.com/profile_images/705780107844067328/e7O4UBNb_normal.jpg","View")</f>
        <v>View</v>
      </c>
      <c r="P2227" s="11"/>
    </row>
    <row r="2228" spans="1:16" ht="12.75" x14ac:dyDescent="0.35">
      <c r="A2228" s="7">
        <v>42482.135729166665</v>
      </c>
      <c r="B2228" s="8" t="str">
        <f t="shared" si="211"/>
        <v>@FuscaWorld</v>
      </c>
      <c r="C2228" s="9" t="s">
        <v>74</v>
      </c>
      <c r="D2228" s="9" t="s">
        <v>5702</v>
      </c>
      <c r="E2228" s="10" t="str">
        <f>HYPERLINK("https://twitter.com/FuscaWorld/status/723266422428807168","723266422428807168")</f>
        <v>723266422428807168</v>
      </c>
      <c r="F2228" s="11" t="s">
        <v>76</v>
      </c>
      <c r="G2228" s="11">
        <v>48</v>
      </c>
      <c r="H2228" s="11">
        <v>1</v>
      </c>
      <c r="I2228" s="11">
        <v>1</v>
      </c>
      <c r="J2228" s="11">
        <v>0</v>
      </c>
      <c r="K2228" s="11" t="s">
        <v>21</v>
      </c>
      <c r="L2228" s="7">
        <v>42433.880914351852</v>
      </c>
      <c r="M2228" s="12"/>
      <c r="N2228" s="12" t="s">
        <v>77</v>
      </c>
      <c r="O2228" s="10" t="str">
        <f t="shared" si="212"/>
        <v>View</v>
      </c>
      <c r="P2228" s="11"/>
    </row>
    <row r="2229" spans="1:16" ht="12.75" x14ac:dyDescent="0.35">
      <c r="A2229" s="7">
        <v>42482.135740740741</v>
      </c>
      <c r="B2229" s="8" t="str">
        <f>HYPERLINK("https://twitter.com/ohioantique","@ohioantique")</f>
        <v>@ohioantique</v>
      </c>
      <c r="C2229" s="9" t="s">
        <v>5609</v>
      </c>
      <c r="D2229" s="9" t="s">
        <v>5703</v>
      </c>
      <c r="E2229" s="10" t="str">
        <f>HYPERLINK("https://twitter.com/ohioantique/status/723266427969507328","723266427969507328")</f>
        <v>723266427969507328</v>
      </c>
      <c r="F2229" s="11" t="s">
        <v>43</v>
      </c>
      <c r="G2229" s="11">
        <v>65</v>
      </c>
      <c r="H2229" s="11">
        <v>92</v>
      </c>
      <c r="I2229" s="11">
        <v>0</v>
      </c>
      <c r="J2229" s="11">
        <v>0</v>
      </c>
      <c r="K2229" s="11" t="s">
        <v>21</v>
      </c>
      <c r="L2229" s="7">
        <v>40930.077847222223</v>
      </c>
      <c r="M2229" s="12" t="s">
        <v>5611</v>
      </c>
      <c r="N2229" s="12" t="s">
        <v>5612</v>
      </c>
      <c r="O2229" s="10" t="str">
        <f>HYPERLINK("https://pbs.twimg.com/profile_images/1771451657/il_570xN.291650220_normal.jpg","View")</f>
        <v>View</v>
      </c>
      <c r="P2229" s="11"/>
    </row>
    <row r="2230" spans="1:16" ht="12.75" x14ac:dyDescent="0.35">
      <c r="A2230" s="7">
        <v>42482.137650462959</v>
      </c>
      <c r="B2230" s="8" t="str">
        <f>HYPERLINK("https://twitter.com/Scirocco_Tuning","@Scirocco_Tuning")</f>
        <v>@Scirocco_Tuning</v>
      </c>
      <c r="C2230" s="9" t="s">
        <v>51</v>
      </c>
      <c r="D2230" s="9" t="s">
        <v>5704</v>
      </c>
      <c r="E2230" s="10" t="str">
        <f>HYPERLINK("https://twitter.com/Scirocco_Tuning/status/723267120486854658","723267120486854658")</f>
        <v>723267120486854658</v>
      </c>
      <c r="F2230" s="11" t="s">
        <v>53</v>
      </c>
      <c r="G2230" s="11">
        <v>69</v>
      </c>
      <c r="H2230" s="11">
        <v>215</v>
      </c>
      <c r="I2230" s="11">
        <v>0</v>
      </c>
      <c r="J2230" s="11">
        <v>0</v>
      </c>
      <c r="K2230" s="11" t="s">
        <v>21</v>
      </c>
      <c r="L2230" s="7">
        <v>40844.564722222218</v>
      </c>
      <c r="M2230" s="12"/>
      <c r="N2230" s="12"/>
      <c r="O2230" s="10" t="str">
        <f>HYPERLINK("https://pbs.twimg.com/profile_images/1610421423/Image2_normal.jpg","View")</f>
        <v>View</v>
      </c>
      <c r="P2230" s="11"/>
    </row>
    <row r="2231" spans="1:16" ht="12.75" x14ac:dyDescent="0.35">
      <c r="A2231" s="7">
        <v>42482.138969907406</v>
      </c>
      <c r="B2231" s="8" t="str">
        <f>HYPERLINK("https://twitter.com/acvwpassion","@acvwpassion")</f>
        <v>@acvwpassion</v>
      </c>
      <c r="C2231" s="9" t="s">
        <v>4671</v>
      </c>
      <c r="D2231" s="9" t="s">
        <v>5705</v>
      </c>
      <c r="E2231" s="10" t="str">
        <f>HYPERLINK("https://twitter.com/acvwpassion/status/723267597303713793","723267597303713793")</f>
        <v>723267597303713793</v>
      </c>
      <c r="F2231" s="11" t="s">
        <v>152</v>
      </c>
      <c r="G2231" s="11">
        <v>241</v>
      </c>
      <c r="H2231" s="11">
        <v>409</v>
      </c>
      <c r="I2231" s="11">
        <v>0</v>
      </c>
      <c r="J2231" s="11">
        <v>2</v>
      </c>
      <c r="K2231" s="11" t="s">
        <v>21</v>
      </c>
      <c r="L2231" s="7">
        <v>41989.101851851854</v>
      </c>
      <c r="M2231" s="12" t="s">
        <v>4673</v>
      </c>
      <c r="N2231" s="12" t="s">
        <v>4674</v>
      </c>
      <c r="O2231" s="10" t="str">
        <f>HYPERLINK("https://pbs.twimg.com/profile_images/545688359964651520/SF3sJ7lv_normal.jpeg","View")</f>
        <v>View</v>
      </c>
      <c r="P2231" s="11"/>
    </row>
    <row r="2232" spans="1:16" ht="12.75" x14ac:dyDescent="0.35">
      <c r="A2232" s="7">
        <v>42482.139907407407</v>
      </c>
      <c r="B2232" s="8" t="str">
        <f>HYPERLINK("https://twitter.com/jonwellesley","@jonwellesley")</f>
        <v>@jonwellesley</v>
      </c>
      <c r="C2232" s="9" t="s">
        <v>5706</v>
      </c>
      <c r="D2232" s="9" t="s">
        <v>5707</v>
      </c>
      <c r="E2232" s="10" t="str">
        <f>HYPERLINK("https://twitter.com/jonwellesley/status/723267938044772352","723267938044772352")</f>
        <v>723267938044772352</v>
      </c>
      <c r="F2232" s="11" t="s">
        <v>20</v>
      </c>
      <c r="G2232" s="11">
        <v>878</v>
      </c>
      <c r="H2232" s="11">
        <v>1238</v>
      </c>
      <c r="I2232" s="11">
        <v>1</v>
      </c>
      <c r="J2232" s="11">
        <v>0</v>
      </c>
      <c r="K2232" s="11" t="s">
        <v>21</v>
      </c>
      <c r="L2232" s="7">
        <v>41755.666458333333</v>
      </c>
      <c r="M2232" s="12" t="s">
        <v>5708</v>
      </c>
      <c r="N2232" s="12" t="s">
        <v>5709</v>
      </c>
      <c r="O2232" s="10" t="str">
        <f>HYPERLINK("https://pbs.twimg.com/profile_images/684725487134982144/Q-idopkh_normal.jpg","View")</f>
        <v>View</v>
      </c>
      <c r="P2232" s="11"/>
    </row>
    <row r="2233" spans="1:16" ht="12.75" x14ac:dyDescent="0.35">
      <c r="A2233" s="7">
        <v>42482.140706018516</v>
      </c>
      <c r="B2233" s="8" t="str">
        <f>HYPERLINK("https://twitter.com/anwaltplus","@anwaltplus")</f>
        <v>@anwaltplus</v>
      </c>
      <c r="C2233" s="9" t="s">
        <v>5710</v>
      </c>
      <c r="D2233" s="9" t="s">
        <v>5711</v>
      </c>
      <c r="E2233" s="10" t="str">
        <f>HYPERLINK("https://twitter.com/anwaltplus/status/723268226256375808","723268226256375808")</f>
        <v>723268226256375808</v>
      </c>
      <c r="F2233" s="11" t="s">
        <v>43</v>
      </c>
      <c r="G2233" s="11">
        <v>51</v>
      </c>
      <c r="H2233" s="11">
        <v>266</v>
      </c>
      <c r="I2233" s="11">
        <v>0</v>
      </c>
      <c r="J2233" s="11">
        <v>0</v>
      </c>
      <c r="K2233" s="11" t="s">
        <v>21</v>
      </c>
      <c r="L2233" s="7">
        <v>40833.97351851852</v>
      </c>
      <c r="M2233" s="12" t="s">
        <v>5712</v>
      </c>
      <c r="N2233" s="12" t="s">
        <v>5713</v>
      </c>
      <c r="O2233" s="10" t="str">
        <f>HYPERLINK("https://pbs.twimg.com/profile_images/722769379658752001/KR3Ug8LP_normal.jpg","View")</f>
        <v>View</v>
      </c>
      <c r="P2233" s="11"/>
    </row>
    <row r="2234" spans="1:16" ht="12.75" x14ac:dyDescent="0.35">
      <c r="A2234" s="7">
        <v>42482.142476851848</v>
      </c>
      <c r="B2234" s="8" t="str">
        <f>HYPERLINK("https://twitter.com/legal_reader","@legal_reader")</f>
        <v>@legal_reader</v>
      </c>
      <c r="C2234" s="9" t="s">
        <v>5714</v>
      </c>
      <c r="D2234" s="9" t="s">
        <v>5715</v>
      </c>
      <c r="E2234" s="10" t="str">
        <f>HYPERLINK("https://twitter.com/legal_reader/status/723268869092196352","723268869092196352")</f>
        <v>723268869092196352</v>
      </c>
      <c r="F2234" s="11" t="s">
        <v>152</v>
      </c>
      <c r="G2234" s="11">
        <v>244</v>
      </c>
      <c r="H2234" s="11">
        <v>25</v>
      </c>
      <c r="I2234" s="11">
        <v>0</v>
      </c>
      <c r="J2234" s="11">
        <v>0</v>
      </c>
      <c r="K2234" s="11" t="s">
        <v>21</v>
      </c>
      <c r="L2234" s="7">
        <v>42067.914722222224</v>
      </c>
      <c r="M2234" s="12"/>
      <c r="N2234" s="12" t="s">
        <v>5716</v>
      </c>
      <c r="O2234" s="10" t="str">
        <f>HYPERLINK("https://pbs.twimg.com/profile_images/576461773282238464/yardQFwS_normal.jpeg","View")</f>
        <v>View</v>
      </c>
      <c r="P2234" s="11"/>
    </row>
    <row r="2235" spans="1:16" ht="12.75" x14ac:dyDescent="0.35">
      <c r="A2235" s="7">
        <v>42482.142928240741</v>
      </c>
      <c r="B2235" s="8" t="str">
        <f>HYPERLINK("https://twitter.com/MaikBurghardt","@MaikBurghardt")</f>
        <v>@MaikBurghardt</v>
      </c>
      <c r="C2235" s="9" t="s">
        <v>5717</v>
      </c>
      <c r="D2235" s="9" t="s">
        <v>5718</v>
      </c>
      <c r="E2235" s="10" t="str">
        <f>HYPERLINK("https://twitter.com/MaikBurghardt/status/723269031994777601","723269031994777601")</f>
        <v>723269031994777601</v>
      </c>
      <c r="F2235" s="11" t="s">
        <v>43</v>
      </c>
      <c r="G2235" s="11">
        <v>7987</v>
      </c>
      <c r="H2235" s="11">
        <v>8666</v>
      </c>
      <c r="I2235" s="11">
        <v>1</v>
      </c>
      <c r="J2235" s="11">
        <v>0</v>
      </c>
      <c r="K2235" s="11" t="s">
        <v>21</v>
      </c>
      <c r="L2235" s="7">
        <v>41763.627928240741</v>
      </c>
      <c r="M2235" s="12" t="s">
        <v>2132</v>
      </c>
      <c r="N2235" s="12" t="s">
        <v>5719</v>
      </c>
      <c r="O2235" s="10" t="str">
        <f>HYPERLINK("https://pbs.twimg.com/profile_images/462892234078031873/FDZEKORM_normal.jpeg","View")</f>
        <v>View</v>
      </c>
      <c r="P2235" s="11"/>
    </row>
    <row r="2236" spans="1:16" ht="12.75" x14ac:dyDescent="0.35">
      <c r="A2236" s="7">
        <v>42482.145821759259</v>
      </c>
      <c r="B2236" s="8" t="str">
        <f>HYPERLINK("https://twitter.com/RolandN","@RolandN")</f>
        <v>@RolandN</v>
      </c>
      <c r="C2236" s="9" t="s">
        <v>5720</v>
      </c>
      <c r="D2236" s="9" t="s">
        <v>5721</v>
      </c>
      <c r="E2236" s="10" t="str">
        <f>HYPERLINK("https://twitter.com/RolandN/status/723270082315603968","723270082315603968")</f>
        <v>723270082315603968</v>
      </c>
      <c r="F2236" s="11" t="s">
        <v>48</v>
      </c>
      <c r="G2236" s="11">
        <v>198</v>
      </c>
      <c r="H2236" s="11">
        <v>196</v>
      </c>
      <c r="I2236" s="11">
        <v>0</v>
      </c>
      <c r="J2236" s="11">
        <v>0</v>
      </c>
      <c r="K2236" s="11" t="s">
        <v>21</v>
      </c>
      <c r="L2236" s="7">
        <v>39872.114756944444</v>
      </c>
      <c r="M2236" s="12" t="s">
        <v>5722</v>
      </c>
      <c r="N2236" s="12" t="s">
        <v>5723</v>
      </c>
      <c r="O2236" s="10" t="str">
        <f>HYPERLINK("https://pbs.twimg.com/profile_images/634307811850256384/NhoATGtf_normal.jpg","View")</f>
        <v>View</v>
      </c>
      <c r="P2236" s="11"/>
    </row>
    <row r="2237" spans="1:16" ht="12.75" x14ac:dyDescent="0.35">
      <c r="A2237" s="7">
        <v>42482.146064814813</v>
      </c>
      <c r="B2237" s="8" t="str">
        <f>HYPERLINK("https://twitter.com/AutoBildspain","@AutoBildspain")</f>
        <v>@AutoBildspain</v>
      </c>
      <c r="C2237" s="9" t="s">
        <v>5724</v>
      </c>
      <c r="D2237" s="9" t="s">
        <v>5725</v>
      </c>
      <c r="E2237" s="10" t="str">
        <f>HYPERLINK("https://twitter.com/AutoBildspain/status/723270167799685120","723270167799685120")</f>
        <v>723270167799685120</v>
      </c>
      <c r="F2237" s="11" t="s">
        <v>5726</v>
      </c>
      <c r="G2237" s="11">
        <v>37654</v>
      </c>
      <c r="H2237" s="11">
        <v>721</v>
      </c>
      <c r="I2237" s="11">
        <v>1</v>
      </c>
      <c r="J2237" s="11">
        <v>0</v>
      </c>
      <c r="K2237" s="11" t="s">
        <v>21</v>
      </c>
      <c r="L2237" s="7">
        <v>40168.667858796296</v>
      </c>
      <c r="M2237" s="12" t="s">
        <v>1622</v>
      </c>
      <c r="N2237" s="12" t="s">
        <v>5727</v>
      </c>
      <c r="O2237" s="10" t="str">
        <f>HYPERLINK("https://pbs.twimg.com/profile_images/2779427075/266bf88edcc996d5ddfd8be780964ca9_normal.png","View")</f>
        <v>View</v>
      </c>
      <c r="P2237" s="11"/>
    </row>
    <row r="2238" spans="1:16" ht="12.75" x14ac:dyDescent="0.35">
      <c r="A2238" s="7">
        <v>42482.146319444444</v>
      </c>
      <c r="B2238" s="8" t="str">
        <f>HYPERLINK("https://twitter.com/FAZ_Finance","@FAZ_Finance")</f>
        <v>@FAZ_Finance</v>
      </c>
      <c r="C2238" s="8" t="s">
        <v>1790</v>
      </c>
      <c r="D2238" s="9" t="s">
        <v>5728</v>
      </c>
      <c r="E2238" s="10" t="str">
        <f>HYPERLINK("https://twitter.com/FAZ_Finance/status/723270259608829952","723270259608829952")</f>
        <v>723270259608829952</v>
      </c>
      <c r="F2238" s="10" t="s">
        <v>1590</v>
      </c>
      <c r="G2238" s="11">
        <v>6201</v>
      </c>
      <c r="H2238" s="11">
        <v>21</v>
      </c>
      <c r="I2238" s="11">
        <v>0</v>
      </c>
      <c r="J2238" s="11">
        <v>0</v>
      </c>
      <c r="K2238" s="11" t="s">
        <v>21</v>
      </c>
      <c r="L2238" s="7">
        <v>39889.70511574074</v>
      </c>
      <c r="M2238" s="12" t="s">
        <v>1464</v>
      </c>
      <c r="N2238" s="12" t="s">
        <v>1792</v>
      </c>
      <c r="O2238" s="10" t="str">
        <f>HYPERLINK("https://pbs.twimg.com/profile_images/477443424241463296/bKWNQp65_normal.jpeg","View")</f>
        <v>View</v>
      </c>
      <c r="P2238" s="11"/>
    </row>
    <row r="2239" spans="1:16" ht="12.75" x14ac:dyDescent="0.35">
      <c r="A2239" s="7">
        <v>42482.146319444444</v>
      </c>
      <c r="B2239" s="8" t="str">
        <f>HYPERLINK("https://twitter.com/FAZ_Wirtschaft","@FAZ_Wirtschaft")</f>
        <v>@FAZ_Wirtschaft</v>
      </c>
      <c r="C2239" s="9" t="s">
        <v>2797</v>
      </c>
      <c r="D2239" s="9" t="s">
        <v>5729</v>
      </c>
      <c r="E2239" s="10" t="str">
        <f>HYPERLINK("https://twitter.com/FAZ_Wirtschaft/status/723270261731155968","723270261731155968")</f>
        <v>723270261731155968</v>
      </c>
      <c r="F2239" s="10" t="s">
        <v>1590</v>
      </c>
      <c r="G2239" s="11">
        <v>74449</v>
      </c>
      <c r="H2239" s="11">
        <v>53</v>
      </c>
      <c r="I2239" s="11">
        <v>2</v>
      </c>
      <c r="J2239" s="11">
        <v>0</v>
      </c>
      <c r="K2239" s="11" t="s">
        <v>21</v>
      </c>
      <c r="L2239" s="7">
        <v>39889.722812499997</v>
      </c>
      <c r="M2239" s="12" t="s">
        <v>1464</v>
      </c>
      <c r="N2239" s="12" t="s">
        <v>2798</v>
      </c>
      <c r="O2239" s="10" t="str">
        <f>HYPERLINK("https://pbs.twimg.com/profile_images/477440204932796419/Ubdok5z2_normal.jpeg","View")</f>
        <v>View</v>
      </c>
      <c r="P2239" s="11"/>
    </row>
    <row r="2240" spans="1:16" ht="12.75" x14ac:dyDescent="0.35">
      <c r="A2240" s="7">
        <v>42482.146331018521</v>
      </c>
      <c r="B2240" s="8" t="str">
        <f>HYPERLINK("https://twitter.com/FAZ_NET","@FAZ_NET")</f>
        <v>@FAZ_NET</v>
      </c>
      <c r="C2240" s="9" t="s">
        <v>1796</v>
      </c>
      <c r="D2240" s="9" t="s">
        <v>5730</v>
      </c>
      <c r="E2240" s="10" t="str">
        <f>HYPERLINK("https://twitter.com/FAZ_NET/status/723270263580844036","723270263580844036")</f>
        <v>723270263580844036</v>
      </c>
      <c r="F2240" s="10" t="s">
        <v>1590</v>
      </c>
      <c r="G2240" s="11">
        <v>32695</v>
      </c>
      <c r="H2240" s="11">
        <v>126</v>
      </c>
      <c r="I2240" s="11">
        <v>0</v>
      </c>
      <c r="J2240" s="11">
        <v>1</v>
      </c>
      <c r="K2240" s="11" t="s">
        <v>21</v>
      </c>
      <c r="L2240" s="7">
        <v>39792.657951388886</v>
      </c>
      <c r="M2240" s="12" t="s">
        <v>1798</v>
      </c>
      <c r="N2240" s="12" t="s">
        <v>1799</v>
      </c>
      <c r="O2240" s="10" t="str">
        <f>HYPERLINK("https://pbs.twimg.com/profile_images/477439590232358913/xbZaJ1Ms_normal.jpeg","View")</f>
        <v>View</v>
      </c>
      <c r="P2240" s="11"/>
    </row>
    <row r="2241" spans="1:16" ht="12.75" x14ac:dyDescent="0.35">
      <c r="A2241" s="7">
        <v>42482.146979166668</v>
      </c>
      <c r="B2241" s="8" t="str">
        <f>HYPERLINK("https://twitter.com/Fran11player","@Fran11player")</f>
        <v>@Fran11player</v>
      </c>
      <c r="C2241" s="9" t="s">
        <v>5731</v>
      </c>
      <c r="D2241" s="9" t="s">
        <v>5732</v>
      </c>
      <c r="E2241" s="10" t="str">
        <f>HYPERLINK("https://twitter.com/Fran11player/status/723270500114378752","723270500114378752")</f>
        <v>723270500114378752</v>
      </c>
      <c r="F2241" s="11" t="s">
        <v>20</v>
      </c>
      <c r="G2241" s="11">
        <v>419</v>
      </c>
      <c r="H2241" s="11">
        <v>1054</v>
      </c>
      <c r="I2241" s="11">
        <v>1</v>
      </c>
      <c r="J2241" s="11">
        <v>0</v>
      </c>
      <c r="K2241" s="11" t="s">
        <v>21</v>
      </c>
      <c r="L2241" s="7">
        <v>40253.040601851855</v>
      </c>
      <c r="M2241" s="12" t="s">
        <v>5733</v>
      </c>
      <c r="N2241" s="12" t="s">
        <v>5734</v>
      </c>
      <c r="O2241" s="10" t="str">
        <f>HYPERLINK("https://pbs.twimg.com/profile_images/571838766471630849/lS65SDc0_normal.jpeg","View")</f>
        <v>View</v>
      </c>
      <c r="P2241" s="11"/>
    </row>
    <row r="2242" spans="1:16" ht="12.75" x14ac:dyDescent="0.35">
      <c r="A2242" s="7">
        <v>42482.147210648152</v>
      </c>
      <c r="B2242" s="8" t="str">
        <f>HYPERLINK("https://twitter.com/ttsls","@ttsls")</f>
        <v>@ttsls</v>
      </c>
      <c r="C2242" s="9" t="s">
        <v>5735</v>
      </c>
      <c r="D2242" s="9" t="s">
        <v>5736</v>
      </c>
      <c r="E2242" s="10" t="str">
        <f>HYPERLINK("https://twitter.com/ttsls/status/723270583442661379","723270583442661379")</f>
        <v>723270583442661379</v>
      </c>
      <c r="F2242" s="11" t="s">
        <v>20</v>
      </c>
      <c r="G2242" s="11">
        <v>255</v>
      </c>
      <c r="H2242" s="11">
        <v>518</v>
      </c>
      <c r="I2242" s="11">
        <v>1</v>
      </c>
      <c r="J2242" s="11">
        <v>3</v>
      </c>
      <c r="K2242" s="11" t="s">
        <v>21</v>
      </c>
      <c r="L2242" s="7">
        <v>41014.808344907404</v>
      </c>
      <c r="M2242" s="12" t="s">
        <v>5737</v>
      </c>
      <c r="N2242" s="12"/>
      <c r="O2242" s="10" t="str">
        <f>HYPERLINK("https://pbs.twimg.com/profile_images/713756971422392320/1b8SVqWg_normal.jpg","View")</f>
        <v>View</v>
      </c>
      <c r="P2242" s="11"/>
    </row>
    <row r="2243" spans="1:16" ht="12.75" x14ac:dyDescent="0.35">
      <c r="A2243" s="7">
        <v>42482.147534722222</v>
      </c>
      <c r="B2243" s="8" t="str">
        <f>HYPERLINK("https://twitter.com/JaguarApp","@JaguarApp")</f>
        <v>@JaguarApp</v>
      </c>
      <c r="C2243" s="9" t="s">
        <v>5738</v>
      </c>
      <c r="D2243" s="9" t="s">
        <v>5739</v>
      </c>
      <c r="E2243" s="10" t="str">
        <f>HYPERLINK("https://twitter.com/JaguarApp/status/723270700656693248","723270700656693248")</f>
        <v>723270700656693248</v>
      </c>
      <c r="F2243" s="11" t="s">
        <v>5740</v>
      </c>
      <c r="G2243" s="11">
        <v>189</v>
      </c>
      <c r="H2243" s="11">
        <v>132</v>
      </c>
      <c r="I2243" s="11">
        <v>1</v>
      </c>
      <c r="J2243" s="11">
        <v>0</v>
      </c>
      <c r="K2243" s="11" t="s">
        <v>21</v>
      </c>
      <c r="L2243" s="7">
        <v>42375.229814814811</v>
      </c>
      <c r="M2243" s="12" t="s">
        <v>2646</v>
      </c>
      <c r="N2243" s="12" t="s">
        <v>5741</v>
      </c>
      <c r="O2243" s="10" t="str">
        <f>HYPERLINK("https://pbs.twimg.com/profile_images/685533265101492224/RLrGcdgd_normal.png","View")</f>
        <v>View</v>
      </c>
      <c r="P2243" s="11"/>
    </row>
    <row r="2244" spans="1:16" ht="12.75" x14ac:dyDescent="0.35">
      <c r="A2244" s="7">
        <v>42482.147627314815</v>
      </c>
      <c r="B2244" s="8" t="str">
        <f>HYPERLINK("https://twitter.com/FernandoLessaRN","@FernandoLessaRN")</f>
        <v>@FernandoLessaRN</v>
      </c>
      <c r="C2244" s="9" t="s">
        <v>5742</v>
      </c>
      <c r="D2244" s="9" t="s">
        <v>5743</v>
      </c>
      <c r="E2244" s="10" t="str">
        <f>HYPERLINK("https://twitter.com/FernandoLessaRN/status/723270734970155008","723270734970155008")</f>
        <v>723270734970155008</v>
      </c>
      <c r="F2244" s="11" t="s">
        <v>114</v>
      </c>
      <c r="G2244" s="11">
        <v>3539</v>
      </c>
      <c r="H2244" s="11">
        <v>1247</v>
      </c>
      <c r="I2244" s="11">
        <v>0</v>
      </c>
      <c r="J2244" s="11">
        <v>0</v>
      </c>
      <c r="K2244" s="11" t="s">
        <v>21</v>
      </c>
      <c r="L2244" s="7">
        <v>39962.093425925923</v>
      </c>
      <c r="M2244" s="12" t="s">
        <v>5744</v>
      </c>
      <c r="N2244" s="12" t="s">
        <v>5745</v>
      </c>
      <c r="O2244" s="10" t="str">
        <f>HYPERLINK("https://pbs.twimg.com/profile_images/659869597953359873/TCD1XHoY_normal.jpg","View")</f>
        <v>View</v>
      </c>
      <c r="P2244" s="11"/>
    </row>
    <row r="2245" spans="1:16" ht="12.75" x14ac:dyDescent="0.35">
      <c r="A2245" s="7">
        <v>42482.149131944447</v>
      </c>
      <c r="B2245" s="8" t="str">
        <f>HYPERLINK("https://twitter.com/HenslerHarry","@HenslerHarry")</f>
        <v>@HenslerHarry</v>
      </c>
      <c r="C2245" s="9" t="s">
        <v>5746</v>
      </c>
      <c r="D2245" s="9" t="s">
        <v>5747</v>
      </c>
      <c r="E2245" s="10" t="str">
        <f>HYPERLINK("https://twitter.com/HenslerHarry/status/723271280703733760","723271280703733760")</f>
        <v>723271280703733760</v>
      </c>
      <c r="F2245" s="11" t="s">
        <v>48</v>
      </c>
      <c r="G2245" s="11">
        <v>883</v>
      </c>
      <c r="H2245" s="11">
        <v>787</v>
      </c>
      <c r="I2245" s="11">
        <v>0</v>
      </c>
      <c r="J2245" s="11">
        <v>0</v>
      </c>
      <c r="K2245" s="11" t="s">
        <v>21</v>
      </c>
      <c r="L2245" s="7">
        <v>40353.995046296295</v>
      </c>
      <c r="M2245" s="12" t="s">
        <v>5748</v>
      </c>
      <c r="N2245" s="12" t="s">
        <v>5749</v>
      </c>
      <c r="O2245" s="10" t="str">
        <f>HYPERLINK("https://pbs.twimg.com/profile_images/694398236161867778/pJkoqIMO_normal.jpg","View")</f>
        <v>View</v>
      </c>
      <c r="P2245" s="11"/>
    </row>
    <row r="2246" spans="1:16" ht="12.75" x14ac:dyDescent="0.35">
      <c r="A2246" s="7">
        <v>42482.149386574078</v>
      </c>
      <c r="B2246" s="8" t="str">
        <f>HYPERLINK("https://twitter.com/profmonllor","@profmonllor")</f>
        <v>@profmonllor</v>
      </c>
      <c r="C2246" s="9" t="s">
        <v>5750</v>
      </c>
      <c r="D2246" s="9" t="s">
        <v>5751</v>
      </c>
      <c r="E2246" s="10" t="str">
        <f>HYPERLINK("https://twitter.com/profmonllor/status/723271371388772352","723271371388772352")</f>
        <v>723271371388772352</v>
      </c>
      <c r="F2246" s="11" t="s">
        <v>114</v>
      </c>
      <c r="G2246" s="11">
        <v>539</v>
      </c>
      <c r="H2246" s="11">
        <v>107</v>
      </c>
      <c r="I2246" s="11">
        <v>0</v>
      </c>
      <c r="J2246" s="11">
        <v>0</v>
      </c>
      <c r="K2246" s="11" t="s">
        <v>21</v>
      </c>
      <c r="L2246" s="7">
        <v>40429.76494212963</v>
      </c>
      <c r="M2246" s="12" t="s">
        <v>3557</v>
      </c>
      <c r="N2246" s="12" t="s">
        <v>5752</v>
      </c>
      <c r="O2246" s="10" t="str">
        <f>HYPERLINK("https://pbs.twimg.com/profile_images/411932279997345792/XiYNUHLj_normal.jpeg","View")</f>
        <v>View</v>
      </c>
      <c r="P2246" s="10" t="str">
        <f>HYPERLINK("http://ctrlq.org/maps/address/#42.01507579,-87.67733976","Map")</f>
        <v>Map</v>
      </c>
    </row>
    <row r="2247" spans="1:16" ht="12.75" x14ac:dyDescent="0.35">
      <c r="A2247" s="7">
        <v>42482.149479166663</v>
      </c>
      <c r="B2247" s="8" t="str">
        <f>HYPERLINK("https://twitter.com/StohlmanAuto","@StohlmanAuto")</f>
        <v>@StohlmanAuto</v>
      </c>
      <c r="C2247" s="9" t="s">
        <v>5753</v>
      </c>
      <c r="D2247" s="9" t="s">
        <v>5754</v>
      </c>
      <c r="E2247" s="10" t="str">
        <f>HYPERLINK("https://twitter.com/StohlmanAuto/status/723271407048753152","723271407048753152")</f>
        <v>723271407048753152</v>
      </c>
      <c r="F2247" s="11" t="s">
        <v>152</v>
      </c>
      <c r="G2247" s="11">
        <v>190</v>
      </c>
      <c r="H2247" s="11">
        <v>776</v>
      </c>
      <c r="I2247" s="11">
        <v>1</v>
      </c>
      <c r="J2247" s="11">
        <v>0</v>
      </c>
      <c r="K2247" s="11" t="s">
        <v>21</v>
      </c>
      <c r="L2247" s="7">
        <v>41062.100671296299</v>
      </c>
      <c r="M2247" s="12" t="s">
        <v>5755</v>
      </c>
      <c r="N2247" s="12" t="s">
        <v>5756</v>
      </c>
      <c r="O2247" s="10" t="str">
        <f>HYPERLINK("https://pbs.twimg.com/profile_images/2301932893/ofy8sgl94m45zgiq2my3_normal.jpeg","View")</f>
        <v>View</v>
      </c>
      <c r="P2247" s="11"/>
    </row>
    <row r="2248" spans="1:16" ht="12.75" x14ac:dyDescent="0.35">
      <c r="A2248" s="7">
        <v>42482.149571759262</v>
      </c>
      <c r="B2248" s="8" t="str">
        <f>HYPERLINK("https://twitter.com/IngoSauer","@IngoSauer")</f>
        <v>@IngoSauer</v>
      </c>
      <c r="C2248" s="9" t="s">
        <v>5757</v>
      </c>
      <c r="D2248" s="9" t="s">
        <v>5758</v>
      </c>
      <c r="E2248" s="10" t="str">
        <f>HYPERLINK("https://twitter.com/IngoSauer/status/723271440196313092","723271440196313092")</f>
        <v>723271440196313092</v>
      </c>
      <c r="F2248" s="11" t="s">
        <v>160</v>
      </c>
      <c r="G2248" s="11">
        <v>67</v>
      </c>
      <c r="H2248" s="11">
        <v>885</v>
      </c>
      <c r="I2248" s="11">
        <v>0</v>
      </c>
      <c r="J2248" s="11">
        <v>0</v>
      </c>
      <c r="K2248" s="11" t="s">
        <v>21</v>
      </c>
      <c r="L2248" s="7">
        <v>41088.068460648152</v>
      </c>
      <c r="M2248" s="12"/>
      <c r="N2248" s="12" t="s">
        <v>5759</v>
      </c>
      <c r="O2248" s="10" t="str">
        <f>HYPERLINK("https://pbs.twimg.com/profile_images/693159577689395201/VtgopmnY_normal.jpg","View")</f>
        <v>View</v>
      </c>
      <c r="P2248" s="11"/>
    </row>
    <row r="2249" spans="1:16" ht="12.75" x14ac:dyDescent="0.35">
      <c r="A2249" s="7">
        <v>42482.150092592594</v>
      </c>
      <c r="B2249" s="8" t="str">
        <f>HYPERLINK("https://twitter.com/woever","@woever")</f>
        <v>@woever</v>
      </c>
      <c r="C2249" s="9" t="s">
        <v>5573</v>
      </c>
      <c r="D2249" s="9" t="s">
        <v>5760</v>
      </c>
      <c r="E2249" s="10" t="str">
        <f>HYPERLINK("https://twitter.com/woever/status/723271629502054400","723271629502054400")</f>
        <v>723271629502054400</v>
      </c>
      <c r="F2249" s="11" t="s">
        <v>43</v>
      </c>
      <c r="G2249" s="11">
        <v>340</v>
      </c>
      <c r="H2249" s="11">
        <v>324</v>
      </c>
      <c r="I2249" s="11">
        <v>2</v>
      </c>
      <c r="J2249" s="11">
        <v>0</v>
      </c>
      <c r="K2249" s="11" t="s">
        <v>21</v>
      </c>
      <c r="L2249" s="7">
        <v>40003.569363425922</v>
      </c>
      <c r="M2249" s="12" t="s">
        <v>5574</v>
      </c>
      <c r="N2249" s="12"/>
      <c r="O2249" s="10" t="str">
        <f>HYPERLINK("https://pbs.twimg.com/profile_images/457491035/55178663_normal.jpg","View")</f>
        <v>View</v>
      </c>
      <c r="P2249" s="11"/>
    </row>
    <row r="2250" spans="1:16" ht="12.75" x14ac:dyDescent="0.35">
      <c r="A2250" s="7">
        <v>42482.151550925926</v>
      </c>
      <c r="B2250" s="8" t="str">
        <f>HYPERLINK("https://twitter.com/mpitzke","@mpitzke")</f>
        <v>@mpitzke</v>
      </c>
      <c r="C2250" s="9" t="s">
        <v>5761</v>
      </c>
      <c r="D2250" s="9" t="s">
        <v>5762</v>
      </c>
      <c r="E2250" s="10" t="str">
        <f>HYPERLINK("https://twitter.com/mpitzke/status/723272156298264577","723272156298264577")</f>
        <v>723272156298264577</v>
      </c>
      <c r="F2250" s="11" t="s">
        <v>43</v>
      </c>
      <c r="G2250" s="11">
        <v>4520</v>
      </c>
      <c r="H2250" s="11">
        <v>2023</v>
      </c>
      <c r="I2250" s="11">
        <v>0</v>
      </c>
      <c r="J2250" s="11">
        <v>0</v>
      </c>
      <c r="K2250" s="11" t="s">
        <v>21</v>
      </c>
      <c r="L2250" s="7">
        <v>39709.867175925923</v>
      </c>
      <c r="M2250" s="12" t="s">
        <v>2474</v>
      </c>
      <c r="N2250" s="12" t="s">
        <v>5763</v>
      </c>
      <c r="O2250" s="10" t="str">
        <f>HYPERLINK("https://pbs.twimg.com/profile_images/3057784625/13b5964242f4d542ae1a72c7a4b5e6ed_normal.jpeg","View")</f>
        <v>View</v>
      </c>
      <c r="P2250" s="11"/>
    </row>
    <row r="2251" spans="1:16" ht="12.75" x14ac:dyDescent="0.35">
      <c r="A2251" s="7">
        <v>42482.152685185181</v>
      </c>
      <c r="B2251" s="8" t="str">
        <f>HYPERLINK("https://twitter.com/aatheus","@aatheus")</f>
        <v>@aatheus</v>
      </c>
      <c r="C2251" s="9" t="s">
        <v>5764</v>
      </c>
      <c r="D2251" s="9" t="s">
        <v>5765</v>
      </c>
      <c r="E2251" s="10" t="str">
        <f>HYPERLINK("https://twitter.com/aatheus/status/723272565540577280","723272565540577280")</f>
        <v>723272565540577280</v>
      </c>
      <c r="F2251" s="11" t="s">
        <v>585</v>
      </c>
      <c r="G2251" s="11">
        <v>586</v>
      </c>
      <c r="H2251" s="11">
        <v>501</v>
      </c>
      <c r="I2251" s="11">
        <v>1</v>
      </c>
      <c r="J2251" s="11">
        <v>0</v>
      </c>
      <c r="K2251" s="11" t="s">
        <v>21</v>
      </c>
      <c r="L2251" s="7">
        <v>39650.10392361111</v>
      </c>
      <c r="M2251" s="12" t="s">
        <v>5766</v>
      </c>
      <c r="N2251" s="12" t="s">
        <v>5767</v>
      </c>
      <c r="O2251" s="10" t="str">
        <f>HYPERLINK("https://pbs.twimg.com/profile_images/83066316/1249401_normal.jpeg","View")</f>
        <v>View</v>
      </c>
      <c r="P2251" s="11"/>
    </row>
    <row r="2252" spans="1:16" ht="12.75" x14ac:dyDescent="0.35">
      <c r="A2252" s="7">
        <v>42482.152858796297</v>
      </c>
      <c r="B2252" s="8" t="str">
        <f>HYPERLINK("https://twitter.com/VWCamperSales","@VWCamperSales")</f>
        <v>@VWCamperSales</v>
      </c>
      <c r="C2252" s="9" t="s">
        <v>216</v>
      </c>
      <c r="D2252" s="9" t="s">
        <v>5768</v>
      </c>
      <c r="E2252" s="10" t="str">
        <f>HYPERLINK("https://twitter.com/VWCamperSales/status/723272632305471488","723272632305471488")</f>
        <v>723272632305471488</v>
      </c>
      <c r="F2252" s="10" t="s">
        <v>124</v>
      </c>
      <c r="G2252" s="11">
        <v>615</v>
      </c>
      <c r="H2252" s="11">
        <v>580</v>
      </c>
      <c r="I2252" s="11">
        <v>0</v>
      </c>
      <c r="J2252" s="11">
        <v>0</v>
      </c>
      <c r="K2252" s="11" t="s">
        <v>21</v>
      </c>
      <c r="L2252" s="7">
        <v>42215.98809027778</v>
      </c>
      <c r="M2252" s="12" t="s">
        <v>129</v>
      </c>
      <c r="N2252" s="12" t="s">
        <v>218</v>
      </c>
      <c r="O2252" s="10" t="str">
        <f>HYPERLINK("https://pbs.twimg.com/profile_images/627949001179037696/skEBkS05_normal.jpg","View")</f>
        <v>View</v>
      </c>
      <c r="P2252" s="11"/>
    </row>
    <row r="2253" spans="1:16" ht="12.75" x14ac:dyDescent="0.35">
      <c r="A2253" s="7">
        <v>42482.153298611112</v>
      </c>
      <c r="B2253" s="8" t="str">
        <f>HYPERLINK("https://twitter.com/eliy_enano","@eliy_enano")</f>
        <v>@eliy_enano</v>
      </c>
      <c r="C2253" s="9" t="s">
        <v>5769</v>
      </c>
      <c r="D2253" s="9" t="s">
        <v>5770</v>
      </c>
      <c r="E2253" s="10" t="str">
        <f>HYPERLINK("https://twitter.com/eliy_enano/status/723272790158225408","723272790158225408")</f>
        <v>723272790158225408</v>
      </c>
      <c r="F2253" s="11" t="s">
        <v>48</v>
      </c>
      <c r="G2253" s="11">
        <v>11</v>
      </c>
      <c r="H2253" s="11">
        <v>45</v>
      </c>
      <c r="I2253" s="11">
        <v>3</v>
      </c>
      <c r="J2253" s="11">
        <v>0</v>
      </c>
      <c r="K2253" s="11" t="s">
        <v>21</v>
      </c>
      <c r="L2253" s="7">
        <v>41284.973402777774</v>
      </c>
      <c r="M2253" s="12"/>
      <c r="N2253" s="12"/>
      <c r="O2253" s="10" t="str">
        <f>HYPERLINK("https://pbs.twimg.com/profile_images/698580518359719936/92ngGY1X_normal.jpg","View")</f>
        <v>View</v>
      </c>
      <c r="P2253" s="11"/>
    </row>
    <row r="2254" spans="1:16" ht="12.75" x14ac:dyDescent="0.35">
      <c r="A2254" s="7">
        <v>42482.154143518521</v>
      </c>
      <c r="B2254" s="8" t="str">
        <f>HYPERLINK("https://twitter.com/JackieLeonard01","@JackieLeonard01")</f>
        <v>@JackieLeonard01</v>
      </c>
      <c r="C2254" s="9" t="s">
        <v>4402</v>
      </c>
      <c r="D2254" s="9" t="s">
        <v>5771</v>
      </c>
      <c r="E2254" s="10" t="str">
        <f>HYPERLINK("https://twitter.com/JackieLeonard01/status/723273096845729793","723273096845729793")</f>
        <v>723273096845729793</v>
      </c>
      <c r="F2254" s="11" t="s">
        <v>43</v>
      </c>
      <c r="G2254" s="11">
        <v>2078</v>
      </c>
      <c r="H2254" s="11">
        <v>1798</v>
      </c>
      <c r="I2254" s="11">
        <v>0</v>
      </c>
      <c r="J2254" s="11">
        <v>0</v>
      </c>
      <c r="K2254" s="11" t="s">
        <v>21</v>
      </c>
      <c r="L2254" s="7">
        <v>40315.99927083333</v>
      </c>
      <c r="M2254" s="12" t="s">
        <v>638</v>
      </c>
      <c r="N2254" s="12" t="s">
        <v>4404</v>
      </c>
      <c r="O2254" s="10" t="str">
        <f>HYPERLINK("https://pbs.twimg.com/profile_images/1646660459/cropped_pic_normal.jpg","View")</f>
        <v>View</v>
      </c>
      <c r="P2254" s="11"/>
    </row>
    <row r="2255" spans="1:16" ht="12.75" x14ac:dyDescent="0.35">
      <c r="A2255" s="7">
        <v>42482.154849537037</v>
      </c>
      <c r="B2255" s="8" t="str">
        <f>HYPERLINK("https://twitter.com/CossettoNahu","@CossettoNahu")</f>
        <v>@CossettoNahu</v>
      </c>
      <c r="C2255" s="9" t="s">
        <v>5772</v>
      </c>
      <c r="D2255" s="9" t="s">
        <v>2825</v>
      </c>
      <c r="E2255" s="10" t="str">
        <f>HYPERLINK("https://twitter.com/CossettoNahu/status/723273350546644992","723273350546644992")</f>
        <v>723273350546644992</v>
      </c>
      <c r="F2255" s="11" t="s">
        <v>48</v>
      </c>
      <c r="G2255" s="11">
        <v>497</v>
      </c>
      <c r="H2255" s="11">
        <v>488</v>
      </c>
      <c r="I2255" s="11">
        <v>53</v>
      </c>
      <c r="J2255" s="11">
        <v>0</v>
      </c>
      <c r="K2255" s="11" t="s">
        <v>21</v>
      </c>
      <c r="L2255" s="7">
        <v>40798.051168981481</v>
      </c>
      <c r="M2255" s="12" t="s">
        <v>5773</v>
      </c>
      <c r="N2255" s="12" t="s">
        <v>5774</v>
      </c>
      <c r="O2255" s="10" t="str">
        <f>HYPERLINK("https://pbs.twimg.com/profile_images/722993583255597056/E_JWLEvM_normal.jpg","View")</f>
        <v>View</v>
      </c>
      <c r="P2255" s="11"/>
    </row>
    <row r="2256" spans="1:16" ht="12.75" x14ac:dyDescent="0.35">
      <c r="A2256" s="7">
        <v>42482.154918981483</v>
      </c>
      <c r="B2256" s="8" t="str">
        <f t="shared" ref="B2256:B2257" si="213">HYPERLINK("https://twitter.com/SmackSmog","@SmackSmog")</f>
        <v>@SmackSmog</v>
      </c>
      <c r="C2256" s="9" t="s">
        <v>5775</v>
      </c>
      <c r="D2256" s="9" t="s">
        <v>5776</v>
      </c>
      <c r="E2256" s="10" t="str">
        <f>HYPERLINK("https://twitter.com/SmackSmog/status/723273377843187716","723273377843187716")</f>
        <v>723273377843187716</v>
      </c>
      <c r="F2256" s="11" t="s">
        <v>114</v>
      </c>
      <c r="G2256" s="11">
        <v>376</v>
      </c>
      <c r="H2256" s="11">
        <v>429</v>
      </c>
      <c r="I2256" s="11">
        <v>0</v>
      </c>
      <c r="J2256" s="11">
        <v>0</v>
      </c>
      <c r="K2256" s="11" t="s">
        <v>21</v>
      </c>
      <c r="L2256" s="7">
        <v>40313.544351851851</v>
      </c>
      <c r="M2256" s="12" t="s">
        <v>4265</v>
      </c>
      <c r="N2256" s="12" t="s">
        <v>5777</v>
      </c>
      <c r="O2256" s="10" t="str">
        <f t="shared" ref="O2256:O2257" si="214">HYPERLINK("https://pbs.twimg.com/profile_images/3774183798/c736d0183ed85ff3983ab82ce797920c_normal.png","View")</f>
        <v>View</v>
      </c>
      <c r="P2256" s="11"/>
    </row>
    <row r="2257" spans="1:16" ht="12.75" x14ac:dyDescent="0.35">
      <c r="A2257" s="7">
        <v>42482.154953703706</v>
      </c>
      <c r="B2257" s="8" t="str">
        <f t="shared" si="213"/>
        <v>@SmackSmog</v>
      </c>
      <c r="C2257" s="9" t="s">
        <v>5775</v>
      </c>
      <c r="D2257" s="9" t="s">
        <v>5778</v>
      </c>
      <c r="E2257" s="10" t="str">
        <f>HYPERLINK("https://twitter.com/SmackSmog/status/723273389402632193","723273389402632193")</f>
        <v>723273389402632193</v>
      </c>
      <c r="F2257" s="11" t="s">
        <v>68</v>
      </c>
      <c r="G2257" s="11">
        <v>376</v>
      </c>
      <c r="H2257" s="11">
        <v>429</v>
      </c>
      <c r="I2257" s="11">
        <v>0</v>
      </c>
      <c r="J2257" s="11">
        <v>0</v>
      </c>
      <c r="K2257" s="11" t="s">
        <v>21</v>
      </c>
      <c r="L2257" s="7">
        <v>40313.544351851851</v>
      </c>
      <c r="M2257" s="12" t="s">
        <v>4265</v>
      </c>
      <c r="N2257" s="12" t="s">
        <v>5777</v>
      </c>
      <c r="O2257" s="10" t="str">
        <f t="shared" si="214"/>
        <v>View</v>
      </c>
      <c r="P2257" s="11"/>
    </row>
    <row r="2258" spans="1:16" ht="12.75" x14ac:dyDescent="0.35">
      <c r="A2258" s="7">
        <v>42482.156412037039</v>
      </c>
      <c r="B2258" s="8" t="str">
        <f>HYPERLINK("https://twitter.com/UniversityVW","@UniversityVW")</f>
        <v>@UniversityVW</v>
      </c>
      <c r="C2258" s="9" t="s">
        <v>5779</v>
      </c>
      <c r="D2258" s="9" t="s">
        <v>5780</v>
      </c>
      <c r="E2258" s="10" t="str">
        <f>HYPERLINK("https://twitter.com/UniversityVW/status/723273919654973442","723273919654973442")</f>
        <v>723273919654973442</v>
      </c>
      <c r="F2258" s="11" t="s">
        <v>80</v>
      </c>
      <c r="G2258" s="11">
        <v>4197</v>
      </c>
      <c r="H2258" s="11">
        <v>3730</v>
      </c>
      <c r="I2258" s="11">
        <v>1</v>
      </c>
      <c r="J2258" s="11">
        <v>0</v>
      </c>
      <c r="K2258" s="11" t="s">
        <v>21</v>
      </c>
      <c r="L2258" s="7">
        <v>40102.301874999997</v>
      </c>
      <c r="M2258" s="12" t="s">
        <v>355</v>
      </c>
      <c r="N2258" s="12" t="s">
        <v>5781</v>
      </c>
      <c r="O2258" s="10" t="str">
        <f>HYPERLINK("https://pbs.twimg.com/profile_images/702601670186790912/ZdaqJSKf_normal.jpg","View")</f>
        <v>View</v>
      </c>
      <c r="P2258" s="11"/>
    </row>
    <row r="2259" spans="1:16" ht="12.75" x14ac:dyDescent="0.35">
      <c r="A2259" s="7">
        <v>42482.156643518523</v>
      </c>
      <c r="B2259" s="8" t="str">
        <f>HYPERLINK("https://twitter.com/VWCamperSales","@VWCamperSales")</f>
        <v>@VWCamperSales</v>
      </c>
      <c r="C2259" s="9" t="s">
        <v>216</v>
      </c>
      <c r="D2259" s="9" t="s">
        <v>5782</v>
      </c>
      <c r="E2259" s="10" t="str">
        <f>HYPERLINK("https://twitter.com/VWCamperSales/status/723274001074655232","723274001074655232")</f>
        <v>723274001074655232</v>
      </c>
      <c r="F2259" s="10" t="s">
        <v>124</v>
      </c>
      <c r="G2259" s="11">
        <v>615</v>
      </c>
      <c r="H2259" s="11">
        <v>580</v>
      </c>
      <c r="I2259" s="11">
        <v>0</v>
      </c>
      <c r="J2259" s="11">
        <v>0</v>
      </c>
      <c r="K2259" s="11" t="s">
        <v>21</v>
      </c>
      <c r="L2259" s="7">
        <v>42215.98809027778</v>
      </c>
      <c r="M2259" s="12" t="s">
        <v>129</v>
      </c>
      <c r="N2259" s="12" t="s">
        <v>218</v>
      </c>
      <c r="O2259" s="10" t="str">
        <f>HYPERLINK("https://pbs.twimg.com/profile_images/627949001179037696/skEBkS05_normal.jpg","View")</f>
        <v>View</v>
      </c>
      <c r="P2259" s="11"/>
    </row>
    <row r="2260" spans="1:16" ht="12.75" x14ac:dyDescent="0.35">
      <c r="A2260" s="7">
        <v>42482.156909722224</v>
      </c>
      <c r="B2260" s="8" t="str">
        <f>HYPERLINK("https://twitter.com/shawadli","@shawadli")</f>
        <v>@shawadli</v>
      </c>
      <c r="C2260" s="9" t="s">
        <v>5783</v>
      </c>
      <c r="D2260" s="9" t="s">
        <v>5784</v>
      </c>
      <c r="E2260" s="10" t="str">
        <f>HYPERLINK("https://twitter.com/shawadli/status/723274099561123840","723274099561123840")</f>
        <v>723274099561123840</v>
      </c>
      <c r="F2260" s="11" t="s">
        <v>48</v>
      </c>
      <c r="G2260" s="11">
        <v>179</v>
      </c>
      <c r="H2260" s="11">
        <v>241</v>
      </c>
      <c r="I2260" s="11">
        <v>0</v>
      </c>
      <c r="J2260" s="11">
        <v>0</v>
      </c>
      <c r="K2260" s="11" t="s">
        <v>21</v>
      </c>
      <c r="L2260" s="7">
        <v>40955.033888888887</v>
      </c>
      <c r="M2260" s="12" t="s">
        <v>4265</v>
      </c>
      <c r="N2260" s="12" t="s">
        <v>5785</v>
      </c>
      <c r="O2260" s="10" t="str">
        <f>HYPERLINK("https://pbs.twimg.com/profile_images/677562570048299008/DIlp9B9o_normal.jpg","View")</f>
        <v>View</v>
      </c>
      <c r="P2260" s="11"/>
    </row>
    <row r="2261" spans="1:16" ht="12.75" x14ac:dyDescent="0.35">
      <c r="A2261" s="7">
        <v>42482.157349537039</v>
      </c>
      <c r="B2261" s="8" t="str">
        <f>HYPERLINK("https://twitter.com/littleredblog","@littleredblog")</f>
        <v>@littleredblog</v>
      </c>
      <c r="C2261" s="9" t="s">
        <v>5786</v>
      </c>
      <c r="D2261" s="9" t="s">
        <v>5787</v>
      </c>
      <c r="E2261" s="10" t="str">
        <f>HYPERLINK("https://twitter.com/littleredblog/status/723274257921355776","723274257921355776")</f>
        <v>723274257921355776</v>
      </c>
      <c r="F2261" s="11" t="s">
        <v>91</v>
      </c>
      <c r="G2261" s="11">
        <v>8167</v>
      </c>
      <c r="H2261" s="11">
        <v>7237</v>
      </c>
      <c r="I2261" s="11">
        <v>1</v>
      </c>
      <c r="J2261" s="11">
        <v>1</v>
      </c>
      <c r="K2261" s="11" t="s">
        <v>21</v>
      </c>
      <c r="L2261" s="7">
        <v>41139.818437499998</v>
      </c>
      <c r="M2261" s="12" t="s">
        <v>5788</v>
      </c>
      <c r="N2261" s="12" t="s">
        <v>5789</v>
      </c>
      <c r="O2261" s="10" t="str">
        <f>HYPERLINK("https://pbs.twimg.com/profile_images/709200064921608193/oIFcw-2Q_normal.jpg","View")</f>
        <v>View</v>
      </c>
      <c r="P2261" s="11"/>
    </row>
    <row r="2262" spans="1:16" ht="12.75" x14ac:dyDescent="0.35">
      <c r="A2262" s="7">
        <v>42482.157789351855</v>
      </c>
      <c r="B2262" s="8" t="str">
        <f>HYPERLINK("https://twitter.com/FredChristian10","@FredChristian10")</f>
        <v>@FredChristian10</v>
      </c>
      <c r="C2262" s="9" t="s">
        <v>826</v>
      </c>
      <c r="D2262" s="9" t="s">
        <v>5790</v>
      </c>
      <c r="E2262" s="10" t="str">
        <f>HYPERLINK("https://twitter.com/FredChristian10/status/723274419154653184","723274419154653184")</f>
        <v>723274419154653184</v>
      </c>
      <c r="F2262" s="11" t="s">
        <v>48</v>
      </c>
      <c r="G2262" s="11">
        <v>3415</v>
      </c>
      <c r="H2262" s="11">
        <v>2669</v>
      </c>
      <c r="I2262" s="11">
        <v>1</v>
      </c>
      <c r="J2262" s="11">
        <v>0</v>
      </c>
      <c r="K2262" s="11" t="s">
        <v>21</v>
      </c>
      <c r="L2262" s="7">
        <v>41677</v>
      </c>
      <c r="M2262" s="12" t="s">
        <v>828</v>
      </c>
      <c r="N2262" s="12" t="s">
        <v>829</v>
      </c>
      <c r="O2262" s="10" t="str">
        <f>HYPERLINK("https://pbs.twimg.com/profile_images/527635549872345088/sDHCliSk_normal.png","View")</f>
        <v>View</v>
      </c>
      <c r="P2262" s="11"/>
    </row>
    <row r="2263" spans="1:16" ht="12.75" x14ac:dyDescent="0.35">
      <c r="A2263" s="7">
        <v>42482.158263888894</v>
      </c>
      <c r="B2263" s="8" t="str">
        <f>HYPERLINK("https://twitter.com/VolkswagenPost","@VolkswagenPost")</f>
        <v>@VolkswagenPost</v>
      </c>
      <c r="C2263" s="9" t="s">
        <v>321</v>
      </c>
      <c r="D2263" s="9" t="s">
        <v>5791</v>
      </c>
      <c r="E2263" s="10" t="str">
        <f>HYPERLINK("https://twitter.com/VolkswagenPost/status/723274590865207301","723274590865207301")</f>
        <v>723274590865207301</v>
      </c>
      <c r="F2263" s="11" t="s">
        <v>288</v>
      </c>
      <c r="G2263" s="11">
        <v>571</v>
      </c>
      <c r="H2263" s="11">
        <v>446</v>
      </c>
      <c r="I2263" s="11">
        <v>1</v>
      </c>
      <c r="J2263" s="11">
        <v>0</v>
      </c>
      <c r="K2263" s="11" t="s">
        <v>21</v>
      </c>
      <c r="L2263" s="7">
        <v>41940.618379629632</v>
      </c>
      <c r="M2263" s="12"/>
      <c r="N2263" s="12"/>
      <c r="O2263" s="10" t="str">
        <f>HYPERLINK("https://pbs.twimg.com/profile_images/530071272881803264/a_jcCmPZ_normal.png","View")</f>
        <v>View</v>
      </c>
      <c r="P2263" s="11"/>
    </row>
    <row r="2264" spans="1:16" ht="12.75" x14ac:dyDescent="0.35">
      <c r="A2264" s="7">
        <v>42482.158738425926</v>
      </c>
      <c r="B2264" s="8" t="str">
        <f t="shared" ref="B2264:B2265" si="215">HYPERLINK("https://twitter.com/Insta_VWT","@Insta_VWT")</f>
        <v>@Insta_VWT</v>
      </c>
      <c r="C2264" s="9" t="s">
        <v>181</v>
      </c>
      <c r="D2264" s="9" t="s">
        <v>5792</v>
      </c>
      <c r="E2264" s="10" t="str">
        <f>HYPERLINK("https://twitter.com/Insta_VWT/status/723274762135474176","723274762135474176")</f>
        <v>723274762135474176</v>
      </c>
      <c r="F2264" s="11" t="s">
        <v>68</v>
      </c>
      <c r="G2264" s="11">
        <v>480</v>
      </c>
      <c r="H2264" s="11">
        <v>0</v>
      </c>
      <c r="I2264" s="11">
        <v>0</v>
      </c>
      <c r="J2264" s="11">
        <v>0</v>
      </c>
      <c r="K2264" s="11" t="s">
        <v>21</v>
      </c>
      <c r="L2264" s="7">
        <v>41658.782800925925</v>
      </c>
      <c r="M2264" s="12" t="s">
        <v>183</v>
      </c>
      <c r="N2264" s="12" t="s">
        <v>184</v>
      </c>
      <c r="O2264" s="10" t="str">
        <f t="shared" ref="O2264:O2265" si="216">HYPERLINK("https://pbs.twimg.com/profile_images/424893967197433858/iQ86NktX_normal.jpeg","View")</f>
        <v>View</v>
      </c>
      <c r="P2264" s="11"/>
    </row>
    <row r="2265" spans="1:16" ht="12.75" x14ac:dyDescent="0.35">
      <c r="A2265" s="7">
        <v>42482.158888888887</v>
      </c>
      <c r="B2265" s="8" t="str">
        <f t="shared" si="215"/>
        <v>@Insta_VWT</v>
      </c>
      <c r="C2265" s="9" t="s">
        <v>181</v>
      </c>
      <c r="D2265" s="9" t="s">
        <v>5793</v>
      </c>
      <c r="E2265" s="10" t="str">
        <f>HYPERLINK("https://twitter.com/Insta_VWT/status/723274814685888512","723274814685888512")</f>
        <v>723274814685888512</v>
      </c>
      <c r="F2265" s="11" t="s">
        <v>68</v>
      </c>
      <c r="G2265" s="11">
        <v>480</v>
      </c>
      <c r="H2265" s="11">
        <v>0</v>
      </c>
      <c r="I2265" s="11">
        <v>0</v>
      </c>
      <c r="J2265" s="11">
        <v>0</v>
      </c>
      <c r="K2265" s="11" t="s">
        <v>21</v>
      </c>
      <c r="L2265" s="7">
        <v>41658.782800925925</v>
      </c>
      <c r="M2265" s="12" t="s">
        <v>183</v>
      </c>
      <c r="N2265" s="12" t="s">
        <v>184</v>
      </c>
      <c r="O2265" s="10" t="str">
        <f t="shared" si="216"/>
        <v>View</v>
      </c>
      <c r="P2265" s="11"/>
    </row>
    <row r="2266" spans="1:16" ht="12.75" x14ac:dyDescent="0.35">
      <c r="A2266" s="7">
        <v>42482.158935185187</v>
      </c>
      <c r="B2266" s="8" t="str">
        <f>HYPERLINK("https://twitter.com/thedieselarmy","@thedieselarmy")</f>
        <v>@thedieselarmy</v>
      </c>
      <c r="C2266" s="9" t="s">
        <v>5794</v>
      </c>
      <c r="D2266" s="9" t="s">
        <v>5795</v>
      </c>
      <c r="E2266" s="10" t="str">
        <f>HYPERLINK("https://twitter.com/thedieselarmy/status/723274831400030208","723274831400030208")</f>
        <v>723274831400030208</v>
      </c>
      <c r="F2266" s="11" t="s">
        <v>53</v>
      </c>
      <c r="G2266" s="11">
        <v>107</v>
      </c>
      <c r="H2266" s="11">
        <v>10</v>
      </c>
      <c r="I2266" s="11">
        <v>0</v>
      </c>
      <c r="J2266" s="11">
        <v>0</v>
      </c>
      <c r="K2266" s="11" t="s">
        <v>21</v>
      </c>
      <c r="L2266" s="7">
        <v>41541.900555555556</v>
      </c>
      <c r="M2266" s="12" t="s">
        <v>5796</v>
      </c>
      <c r="N2266" s="12" t="s">
        <v>5797</v>
      </c>
      <c r="O2266" s="10" t="str">
        <f>HYPERLINK("https://pbs.twimg.com/profile_images/496706193172078592/-0vTdbYE_normal.jpeg","View")</f>
        <v>View</v>
      </c>
      <c r="P2266" s="11"/>
    </row>
    <row r="2267" spans="1:16" ht="12.75" x14ac:dyDescent="0.35">
      <c r="A2267" s="7">
        <v>42482.159108796295</v>
      </c>
      <c r="B2267" s="8" t="str">
        <f>HYPERLINK("https://twitter.com/oldcar_photo","@oldcar_photo")</f>
        <v>@oldcar_photo</v>
      </c>
      <c r="C2267" s="9" t="s">
        <v>1046</v>
      </c>
      <c r="D2267" s="9" t="s">
        <v>5798</v>
      </c>
      <c r="E2267" s="10" t="str">
        <f>HYPERLINK("https://twitter.com/oldcar_photo/status/723274894012747776","723274894012747776")</f>
        <v>723274894012747776</v>
      </c>
      <c r="F2267" s="11" t="s">
        <v>68</v>
      </c>
      <c r="G2267" s="11">
        <v>1977</v>
      </c>
      <c r="H2267" s="11">
        <v>0</v>
      </c>
      <c r="I2267" s="11">
        <v>1</v>
      </c>
      <c r="J2267" s="11">
        <v>0</v>
      </c>
      <c r="K2267" s="11" t="s">
        <v>21</v>
      </c>
      <c r="L2267" s="7">
        <v>42184.7341087963</v>
      </c>
      <c r="M2267" s="12"/>
      <c r="N2267" s="12"/>
      <c r="O2267" s="10" t="str">
        <f>HYPERLINK("https://pbs.twimg.com/profile_images/615493650785660928/XHUh6HOk_normal.jpg","View")</f>
        <v>View</v>
      </c>
      <c r="P2267" s="11"/>
    </row>
    <row r="2268" spans="1:16" ht="12.75" x14ac:dyDescent="0.35">
      <c r="A2268" s="7">
        <v>42482.159328703703</v>
      </c>
      <c r="B2268" s="8" t="str">
        <f>HYPERLINK("https://twitter.com/fastlanedaily","@fastlanedaily")</f>
        <v>@fastlanedaily</v>
      </c>
      <c r="C2268" s="9" t="s">
        <v>5799</v>
      </c>
      <c r="D2268" s="9" t="s">
        <v>5800</v>
      </c>
      <c r="E2268" s="10" t="str">
        <f>HYPERLINK("https://twitter.com/fastlanedaily/status/723274976598564864","723274976598564864")</f>
        <v>723274976598564864</v>
      </c>
      <c r="F2268" s="11" t="s">
        <v>63</v>
      </c>
      <c r="G2268" s="11">
        <v>11606</v>
      </c>
      <c r="H2268" s="11">
        <v>1697</v>
      </c>
      <c r="I2268" s="11">
        <v>0</v>
      </c>
      <c r="J2268" s="11">
        <v>2</v>
      </c>
      <c r="K2268" s="11" t="s">
        <v>21</v>
      </c>
      <c r="L2268" s="7">
        <v>39609.873449074075</v>
      </c>
      <c r="M2268" s="12" t="s">
        <v>5801</v>
      </c>
      <c r="N2268" s="12" t="s">
        <v>5802</v>
      </c>
      <c r="O2268" s="10" t="str">
        <f>HYPERLINK("https://pbs.twimg.com/profile_images/584769693493239808/sNuQe6DN_normal.jpg","View")</f>
        <v>View</v>
      </c>
      <c r="P2268" s="11"/>
    </row>
    <row r="2269" spans="1:16" ht="12.75" x14ac:dyDescent="0.35">
      <c r="A2269" s="7">
        <v>42482.159351851849</v>
      </c>
      <c r="B2269" s="8" t="str">
        <f>HYPERLINK("https://twitter.com/inesfpereira95","@inesfpereira95")</f>
        <v>@inesfpereira95</v>
      </c>
      <c r="C2269" s="9" t="s">
        <v>5803</v>
      </c>
      <c r="D2269" s="9" t="s">
        <v>5804</v>
      </c>
      <c r="E2269" s="10" t="str">
        <f>HYPERLINK("https://twitter.com/inesfpereira95/status/723274983766630400","723274983766630400")</f>
        <v>723274983766630400</v>
      </c>
      <c r="F2269" s="11" t="s">
        <v>114</v>
      </c>
      <c r="G2269" s="11">
        <v>593</v>
      </c>
      <c r="H2269" s="11">
        <v>319</v>
      </c>
      <c r="I2269" s="11">
        <v>0</v>
      </c>
      <c r="J2269" s="11">
        <v>0</v>
      </c>
      <c r="K2269" s="11" t="s">
        <v>21</v>
      </c>
      <c r="L2269" s="7">
        <v>41605.198993055557</v>
      </c>
      <c r="M2269" s="12" t="s">
        <v>5805</v>
      </c>
      <c r="N2269" s="12" t="s">
        <v>5806</v>
      </c>
      <c r="O2269" s="10" t="str">
        <f>HYPERLINK("https://pbs.twimg.com/profile_images/711013597888045056/1Hc5ik2p_normal.jpg","View")</f>
        <v>View</v>
      </c>
      <c r="P2269" s="11"/>
    </row>
    <row r="2270" spans="1:16" ht="12.75" x14ac:dyDescent="0.35">
      <c r="A2270" s="7">
        <v>42482.159525462965</v>
      </c>
      <c r="B2270" s="8" t="str">
        <f>HYPERLINK("https://twitter.com/MDBlanchfield","@MDBlanchfield")</f>
        <v>@MDBlanchfield</v>
      </c>
      <c r="C2270" s="9" t="s">
        <v>5807</v>
      </c>
      <c r="D2270" s="9" t="s">
        <v>5808</v>
      </c>
      <c r="E2270" s="10" t="str">
        <f>HYPERLINK("https://twitter.com/MDBlanchfield/status/723275045049536512","723275045049536512")</f>
        <v>723275045049536512</v>
      </c>
      <c r="F2270" s="11" t="s">
        <v>1034</v>
      </c>
      <c r="G2270" s="11">
        <v>24179</v>
      </c>
      <c r="H2270" s="11">
        <v>21774</v>
      </c>
      <c r="I2270" s="11">
        <v>3</v>
      </c>
      <c r="J2270" s="11">
        <v>3</v>
      </c>
      <c r="K2270" s="11" t="s">
        <v>21</v>
      </c>
      <c r="L2270" s="7">
        <v>41084.212696759263</v>
      </c>
      <c r="M2270" s="12" t="s">
        <v>4373</v>
      </c>
      <c r="N2270" s="12" t="s">
        <v>5809</v>
      </c>
      <c r="O2270" s="10" t="str">
        <f>HYPERLINK("https://pbs.twimg.com/profile_images/717361645454905344/eSYXksup_normal.jpg","View")</f>
        <v>View</v>
      </c>
      <c r="P2270" s="11"/>
    </row>
    <row r="2271" spans="1:16" ht="12.75" x14ac:dyDescent="0.35">
      <c r="A2271" s="7">
        <v>42482.159525462965</v>
      </c>
      <c r="B2271" s="8" t="str">
        <f t="shared" ref="B2271:B2272" si="217">HYPERLINK("https://twitter.com/VeeDubMk1_","@VeeDubMk1_")</f>
        <v>@VeeDubMk1_</v>
      </c>
      <c r="C2271" s="9" t="s">
        <v>185</v>
      </c>
      <c r="D2271" s="9" t="s">
        <v>5810</v>
      </c>
      <c r="E2271" s="10" t="str">
        <f>HYPERLINK("https://twitter.com/VeeDubMk1_/status/723275046496657408","723275046496657408")</f>
        <v>723275046496657408</v>
      </c>
      <c r="F2271" s="11" t="s">
        <v>68</v>
      </c>
      <c r="G2271" s="11">
        <v>545</v>
      </c>
      <c r="H2271" s="11">
        <v>3527</v>
      </c>
      <c r="I2271" s="11">
        <v>0</v>
      </c>
      <c r="J2271" s="11">
        <v>0</v>
      </c>
      <c r="K2271" s="11" t="s">
        <v>21</v>
      </c>
      <c r="L2271" s="7">
        <v>42343.063356481478</v>
      </c>
      <c r="M2271" s="12"/>
      <c r="N2271" s="12"/>
      <c r="O2271" s="10" t="str">
        <f t="shared" ref="O2271:O2272" si="218">HYPERLINK("https://pbs.twimg.com/profile_images/672878354127839232/M7OYc-zx_normal.jpg","View")</f>
        <v>View</v>
      </c>
      <c r="P2271" s="11"/>
    </row>
    <row r="2272" spans="1:16" ht="12.75" x14ac:dyDescent="0.35">
      <c r="A2272" s="7">
        <v>42482.159594907411</v>
      </c>
      <c r="B2272" s="8" t="str">
        <f t="shared" si="217"/>
        <v>@VeeDubMk1_</v>
      </c>
      <c r="C2272" s="9" t="s">
        <v>185</v>
      </c>
      <c r="D2272" s="9" t="s">
        <v>5811</v>
      </c>
      <c r="E2272" s="10" t="str">
        <f>HYPERLINK("https://twitter.com/VeeDubMk1_/status/723275071905763328","723275071905763328")</f>
        <v>723275071905763328</v>
      </c>
      <c r="F2272" s="11" t="s">
        <v>68</v>
      </c>
      <c r="G2272" s="11">
        <v>545</v>
      </c>
      <c r="H2272" s="11">
        <v>3527</v>
      </c>
      <c r="I2272" s="11">
        <v>1</v>
      </c>
      <c r="J2272" s="11">
        <v>2</v>
      </c>
      <c r="K2272" s="11" t="s">
        <v>21</v>
      </c>
      <c r="L2272" s="7">
        <v>42343.063356481478</v>
      </c>
      <c r="M2272" s="12"/>
      <c r="N2272" s="12"/>
      <c r="O2272" s="10" t="str">
        <f t="shared" si="218"/>
        <v>View</v>
      </c>
      <c r="P2272" s="11"/>
    </row>
    <row r="2273" spans="1:16" ht="12.75" x14ac:dyDescent="0.35">
      <c r="A2273" s="7">
        <v>42482.160821759258</v>
      </c>
      <c r="B2273" s="8" t="str">
        <f>HYPERLINK("https://twitter.com/noz_de","@noz_de")</f>
        <v>@noz_de</v>
      </c>
      <c r="C2273" s="9" t="s">
        <v>2593</v>
      </c>
      <c r="D2273" s="9" t="s">
        <v>5812</v>
      </c>
      <c r="E2273" s="10" t="str">
        <f>HYPERLINK("https://twitter.com/noz_de/status/723275517894512643","723275517894512643")</f>
        <v>723275517894512643</v>
      </c>
      <c r="F2273" s="11" t="s">
        <v>63</v>
      </c>
      <c r="G2273" s="11">
        <v>11052</v>
      </c>
      <c r="H2273" s="11">
        <v>361</v>
      </c>
      <c r="I2273" s="11">
        <v>2</v>
      </c>
      <c r="J2273" s="11">
        <v>1</v>
      </c>
      <c r="K2273" s="11" t="s">
        <v>21</v>
      </c>
      <c r="L2273" s="7">
        <v>39906.609907407408</v>
      </c>
      <c r="M2273" s="12" t="s">
        <v>2595</v>
      </c>
      <c r="N2273" s="12" t="s">
        <v>2596</v>
      </c>
      <c r="O2273" s="10" t="str">
        <f>HYPERLINK("https://pbs.twimg.com/profile_images/632074137289277440/vJykSc8L_normal.png","View")</f>
        <v>View</v>
      </c>
      <c r="P2273" s="11"/>
    </row>
    <row r="2274" spans="1:16" ht="12.75" x14ac:dyDescent="0.35">
      <c r="A2274" s="7">
        <v>42482.160902777774</v>
      </c>
      <c r="B2274" s="8" t="str">
        <f>HYPERLINK("https://twitter.com/noz_el","@noz_el")</f>
        <v>@noz_el</v>
      </c>
      <c r="C2274" s="9" t="s">
        <v>2597</v>
      </c>
      <c r="D2274" s="9" t="s">
        <v>5813</v>
      </c>
      <c r="E2274" s="10" t="str">
        <f>HYPERLINK("https://twitter.com/noz_el/status/723275544629022725","723275544629022725")</f>
        <v>723275544629022725</v>
      </c>
      <c r="F2274" s="11" t="s">
        <v>63</v>
      </c>
      <c r="G2274" s="11">
        <v>1530</v>
      </c>
      <c r="H2274" s="11">
        <v>80</v>
      </c>
      <c r="I2274" s="11">
        <v>2</v>
      </c>
      <c r="J2274" s="11">
        <v>0</v>
      </c>
      <c r="K2274" s="11" t="s">
        <v>21</v>
      </c>
      <c r="L2274" s="7">
        <v>41292.907337962963</v>
      </c>
      <c r="M2274" s="12" t="s">
        <v>2595</v>
      </c>
      <c r="N2274" s="12" t="s">
        <v>2599</v>
      </c>
      <c r="O2274" s="10" t="str">
        <f>HYPERLINK("https://pbs.twimg.com/profile_images/632074492798443520/j3zHKAI2_normal.png","View")</f>
        <v>View</v>
      </c>
      <c r="P2274" s="11"/>
    </row>
    <row r="2275" spans="1:16" ht="12.75" x14ac:dyDescent="0.35">
      <c r="A2275" s="7">
        <v>42482.160902777774</v>
      </c>
      <c r="B2275" s="8" t="str">
        <f>HYPERLINK("https://twitter.com/Kreisblatt","@Kreisblatt")</f>
        <v>@Kreisblatt</v>
      </c>
      <c r="C2275" s="9" t="s">
        <v>5814</v>
      </c>
      <c r="D2275" s="9" t="s">
        <v>5813</v>
      </c>
      <c r="E2275" s="10" t="str">
        <f>HYPERLINK("https://twitter.com/Kreisblatt/status/723275544775786496","723275544775786496")</f>
        <v>723275544775786496</v>
      </c>
      <c r="F2275" s="11" t="s">
        <v>63</v>
      </c>
      <c r="G2275" s="11">
        <v>471</v>
      </c>
      <c r="H2275" s="11">
        <v>92</v>
      </c>
      <c r="I2275" s="11">
        <v>2</v>
      </c>
      <c r="J2275" s="11">
        <v>0</v>
      </c>
      <c r="K2275" s="11" t="s">
        <v>21</v>
      </c>
      <c r="L2275" s="7">
        <v>41717.883831018517</v>
      </c>
      <c r="M2275" s="12" t="s">
        <v>1357</v>
      </c>
      <c r="N2275" s="12" t="s">
        <v>5815</v>
      </c>
      <c r="O2275" s="10" t="str">
        <f>HYPERLINK("https://pbs.twimg.com/profile_images/686552473713176576/k6pa-F9W_normal.jpg","View")</f>
        <v>View</v>
      </c>
      <c r="P2275" s="11"/>
    </row>
    <row r="2276" spans="1:16" ht="12.75" x14ac:dyDescent="0.35">
      <c r="A2276" s="7">
        <v>42482.16196759259</v>
      </c>
      <c r="B2276" s="8" t="str">
        <f>HYPERLINK("https://twitter.com/tatymontespr","@tatymontespr")</f>
        <v>@tatymontespr</v>
      </c>
      <c r="C2276" s="9" t="s">
        <v>5816</v>
      </c>
      <c r="D2276" s="9" t="s">
        <v>5817</v>
      </c>
      <c r="E2276" s="10" t="str">
        <f>HYPERLINK("https://twitter.com/tatymontespr/status/723275931029106688","723275931029106688")</f>
        <v>723275931029106688</v>
      </c>
      <c r="F2276" s="11" t="s">
        <v>43</v>
      </c>
      <c r="G2276" s="11">
        <v>224</v>
      </c>
      <c r="H2276" s="11">
        <v>153</v>
      </c>
      <c r="I2276" s="11">
        <v>0</v>
      </c>
      <c r="J2276" s="11">
        <v>0</v>
      </c>
      <c r="K2276" s="11" t="s">
        <v>21</v>
      </c>
      <c r="L2276" s="7">
        <v>40437.296666666669</v>
      </c>
      <c r="M2276" s="12" t="s">
        <v>5818</v>
      </c>
      <c r="N2276" s="12" t="s">
        <v>5819</v>
      </c>
      <c r="O2276" s="10" t="str">
        <f>HYPERLINK("https://pbs.twimg.com/profile_images/1625824638/1dfsf2_normal.jpg","View")</f>
        <v>View</v>
      </c>
      <c r="P2276" s="11"/>
    </row>
    <row r="2277" spans="1:16" ht="12.75" x14ac:dyDescent="0.35">
      <c r="A2277" s="7">
        <v>42482.162164351852</v>
      </c>
      <c r="B2277" s="8" t="str">
        <f>HYPERLINK("https://twitter.com/VCT_Tweets","@VCT_Tweets")</f>
        <v>@VCT_Tweets</v>
      </c>
      <c r="C2277" s="9" t="s">
        <v>199</v>
      </c>
      <c r="D2277" s="9" t="s">
        <v>5820</v>
      </c>
      <c r="E2277" s="10" t="str">
        <f>HYPERLINK("https://twitter.com/VCT_Tweets/status/723276004538638339","723276004538638339")</f>
        <v>723276004538638339</v>
      </c>
      <c r="F2277" s="11" t="s">
        <v>68</v>
      </c>
      <c r="G2277" s="11">
        <v>884</v>
      </c>
      <c r="H2277" s="11">
        <v>211</v>
      </c>
      <c r="I2277" s="11">
        <v>0</v>
      </c>
      <c r="J2277" s="11">
        <v>0</v>
      </c>
      <c r="K2277" s="11" t="s">
        <v>21</v>
      </c>
      <c r="L2277" s="7">
        <v>40744.914837962962</v>
      </c>
      <c r="M2277" s="12" t="s">
        <v>201</v>
      </c>
      <c r="N2277" s="12" t="s">
        <v>202</v>
      </c>
      <c r="O2277" s="10" t="str">
        <f>HYPERLINK("https://pbs.twimg.com/profile_images/569800899141177344/nVFLMSdb_normal.png","View")</f>
        <v>View</v>
      </c>
      <c r="P2277" s="11"/>
    </row>
    <row r="2278" spans="1:16" ht="12.75" x14ac:dyDescent="0.35">
      <c r="A2278" s="7">
        <v>42482.162222222221</v>
      </c>
      <c r="B2278" s="8" t="str">
        <f>HYPERLINK("https://twitter.com/tatymontespr","@tatymontespr")</f>
        <v>@tatymontespr</v>
      </c>
      <c r="C2278" s="9" t="s">
        <v>5816</v>
      </c>
      <c r="D2278" s="9" t="s">
        <v>5821</v>
      </c>
      <c r="E2278" s="10" t="str">
        <f>HYPERLINK("https://twitter.com/tatymontespr/status/723276021772886016","723276021772886016")</f>
        <v>723276021772886016</v>
      </c>
      <c r="F2278" s="11" t="s">
        <v>43</v>
      </c>
      <c r="G2278" s="11">
        <v>224</v>
      </c>
      <c r="H2278" s="11">
        <v>153</v>
      </c>
      <c r="I2278" s="11">
        <v>0</v>
      </c>
      <c r="J2278" s="11">
        <v>0</v>
      </c>
      <c r="K2278" s="11" t="s">
        <v>21</v>
      </c>
      <c r="L2278" s="7">
        <v>40437.296666666669</v>
      </c>
      <c r="M2278" s="12" t="s">
        <v>5818</v>
      </c>
      <c r="N2278" s="12" t="s">
        <v>5819</v>
      </c>
      <c r="O2278" s="10" t="str">
        <f>HYPERLINK("https://pbs.twimg.com/profile_images/1625824638/1dfsf2_normal.jpg","View")</f>
        <v>View</v>
      </c>
      <c r="P2278" s="11"/>
    </row>
    <row r="2279" spans="1:16" ht="12.75" x14ac:dyDescent="0.35">
      <c r="A2279" s="7">
        <v>42482.162372685183</v>
      </c>
      <c r="B2279" s="8" t="str">
        <f>HYPERLINK("https://twitter.com/chris_mccan","@chris_mccan")</f>
        <v>@chris_mccan</v>
      </c>
      <c r="C2279" s="9" t="s">
        <v>5822</v>
      </c>
      <c r="D2279" s="9" t="s">
        <v>5823</v>
      </c>
      <c r="E2279" s="10" t="str">
        <f>HYPERLINK("https://twitter.com/chris_mccan/status/723276078031228929","723276078031228929")</f>
        <v>723276078031228929</v>
      </c>
      <c r="F2279" s="11" t="s">
        <v>114</v>
      </c>
      <c r="G2279" s="11">
        <v>17</v>
      </c>
      <c r="H2279" s="11">
        <v>137</v>
      </c>
      <c r="I2279" s="11">
        <v>0</v>
      </c>
      <c r="J2279" s="11">
        <v>0</v>
      </c>
      <c r="K2279" s="11" t="s">
        <v>21</v>
      </c>
      <c r="L2279" s="7">
        <v>42125.402141203704</v>
      </c>
      <c r="M2279" s="12" t="s">
        <v>214</v>
      </c>
      <c r="N2279" s="12" t="s">
        <v>5824</v>
      </c>
      <c r="O2279" s="10" t="str">
        <f>HYPERLINK("https://pbs.twimg.com/profile_images/631671061084553216/PpgZuN1Y_normal.jpg","View")</f>
        <v>View</v>
      </c>
      <c r="P2279" s="10" t="str">
        <f>HYPERLINK("http://ctrlq.org/maps/address/#34.70106029,-83.72879957","Map")</f>
        <v>Map</v>
      </c>
    </row>
    <row r="2280" spans="1:16" ht="12.75" x14ac:dyDescent="0.35">
      <c r="A2280" s="7">
        <v>42482.162824074076</v>
      </c>
      <c r="B2280" s="8" t="str">
        <f>HYPERLINK("https://twitter.com/margokissy","@margokissy")</f>
        <v>@margokissy</v>
      </c>
      <c r="C2280" s="9" t="s">
        <v>5825</v>
      </c>
      <c r="D2280" s="9" t="s">
        <v>5826</v>
      </c>
      <c r="E2280" s="10" t="str">
        <f>HYPERLINK("https://twitter.com/margokissy/status/723276242091384832","723276242091384832")</f>
        <v>723276242091384832</v>
      </c>
      <c r="F2280" s="11" t="s">
        <v>20</v>
      </c>
      <c r="G2280" s="11">
        <v>543</v>
      </c>
      <c r="H2280" s="11">
        <v>498</v>
      </c>
      <c r="I2280" s="11">
        <v>0</v>
      </c>
      <c r="J2280" s="11">
        <v>0</v>
      </c>
      <c r="K2280" s="11" t="s">
        <v>21</v>
      </c>
      <c r="L2280" s="7">
        <v>39673.19263888889</v>
      </c>
      <c r="M2280" s="12" t="s">
        <v>4094</v>
      </c>
      <c r="N2280" s="12" t="s">
        <v>5827</v>
      </c>
      <c r="O2280" s="10" t="str">
        <f>HYPERLINK("https://pbs.twimg.com/profile_images/670723011155218433/qhXqNx8m_normal.jpg","View")</f>
        <v>View</v>
      </c>
      <c r="P2280" s="11"/>
    </row>
    <row r="2281" spans="1:16" ht="12.75" x14ac:dyDescent="0.35">
      <c r="A2281" s="7">
        <v>42482.163263888884</v>
      </c>
      <c r="B2281" s="8" t="str">
        <f>HYPERLINK("https://twitter.com/tatymontespr","@tatymontespr")</f>
        <v>@tatymontespr</v>
      </c>
      <c r="C2281" s="9" t="s">
        <v>5816</v>
      </c>
      <c r="D2281" s="9" t="s">
        <v>5828</v>
      </c>
      <c r="E2281" s="10" t="str">
        <f>HYPERLINK("https://twitter.com/tatymontespr/status/723276400568852480","723276400568852480")</f>
        <v>723276400568852480</v>
      </c>
      <c r="F2281" s="11" t="s">
        <v>43</v>
      </c>
      <c r="G2281" s="11">
        <v>224</v>
      </c>
      <c r="H2281" s="11">
        <v>153</v>
      </c>
      <c r="I2281" s="11">
        <v>0</v>
      </c>
      <c r="J2281" s="11">
        <v>0</v>
      </c>
      <c r="K2281" s="11" t="s">
        <v>21</v>
      </c>
      <c r="L2281" s="7">
        <v>40437.296666666669</v>
      </c>
      <c r="M2281" s="12" t="s">
        <v>5818</v>
      </c>
      <c r="N2281" s="12" t="s">
        <v>5819</v>
      </c>
      <c r="O2281" s="10" t="str">
        <f>HYPERLINK("https://pbs.twimg.com/profile_images/1625824638/1dfsf2_normal.jpg","View")</f>
        <v>View</v>
      </c>
      <c r="P2281" s="11"/>
    </row>
    <row r="2282" spans="1:16" ht="12.75" x14ac:dyDescent="0.35">
      <c r="A2282" s="7">
        <v>42482.16333333333</v>
      </c>
      <c r="B2282" s="8" t="str">
        <f>HYPERLINK("https://twitter.com/OnlineCarReview","@OnlineCarReview")</f>
        <v>@OnlineCarReview</v>
      </c>
      <c r="C2282" s="9" t="s">
        <v>176</v>
      </c>
      <c r="D2282" s="9" t="s">
        <v>5829</v>
      </c>
      <c r="E2282" s="10" t="str">
        <f>HYPERLINK("https://twitter.com/OnlineCarReview/status/723276428276453377","723276428276453377")</f>
        <v>723276428276453377</v>
      </c>
      <c r="F2282" s="11" t="s">
        <v>34</v>
      </c>
      <c r="G2282" s="11">
        <v>839</v>
      </c>
      <c r="H2282" s="11">
        <v>568</v>
      </c>
      <c r="I2282" s="11">
        <v>0</v>
      </c>
      <c r="J2282" s="11">
        <v>0</v>
      </c>
      <c r="K2282" s="11" t="s">
        <v>21</v>
      </c>
      <c r="L2282" s="7">
        <v>42282.979201388887</v>
      </c>
      <c r="M2282" s="12"/>
      <c r="N2282" s="12" t="s">
        <v>178</v>
      </c>
      <c r="O2282" s="10" t="str">
        <f>HYPERLINK("https://pbs.twimg.com/profile_images/652871584131092480/QA_B6SBO_normal.jpg","View")</f>
        <v>View</v>
      </c>
      <c r="P2282" s="11"/>
    </row>
    <row r="2283" spans="1:16" ht="12.75" x14ac:dyDescent="0.35">
      <c r="A2283" s="7">
        <v>42482.163368055553</v>
      </c>
      <c r="B2283" s="8" t="str">
        <f>HYPERLINK("https://twitter.com/HonoluluVW","@HonoluluVW")</f>
        <v>@HonoluluVW</v>
      </c>
      <c r="C2283" s="9" t="s">
        <v>5830</v>
      </c>
      <c r="D2283" s="9" t="s">
        <v>5831</v>
      </c>
      <c r="E2283" s="10" t="str">
        <f>HYPERLINK("https://twitter.com/HonoluluVW/status/723276437017497600","723276437017497600")</f>
        <v>723276437017497600</v>
      </c>
      <c r="F2283" s="11" t="s">
        <v>4226</v>
      </c>
      <c r="G2283" s="11">
        <v>308</v>
      </c>
      <c r="H2283" s="11">
        <v>385</v>
      </c>
      <c r="I2283" s="11">
        <v>1</v>
      </c>
      <c r="J2283" s="11">
        <v>1</v>
      </c>
      <c r="K2283" s="11" t="s">
        <v>21</v>
      </c>
      <c r="L2283" s="7">
        <v>40982.013923611114</v>
      </c>
      <c r="M2283" s="12" t="s">
        <v>5832</v>
      </c>
      <c r="N2283" s="12" t="s">
        <v>5833</v>
      </c>
      <c r="O2283" s="10" t="str">
        <f>HYPERLINK("https://pbs.twimg.com/profile_images/688094450761871360/Me8IBJ6G_normal.jpg","View")</f>
        <v>View</v>
      </c>
      <c r="P2283" s="11"/>
    </row>
    <row r="2284" spans="1:16" ht="12.75" x14ac:dyDescent="0.35">
      <c r="A2284" s="7">
        <v>42482.164386574077</v>
      </c>
      <c r="B2284" s="8" t="str">
        <f>HYPERLINK("https://twitter.com/kathconnaugh","@kathconnaugh")</f>
        <v>@kathconnaugh</v>
      </c>
      <c r="C2284" s="9" t="s">
        <v>5834</v>
      </c>
      <c r="D2284" s="9" t="s">
        <v>5150</v>
      </c>
      <c r="E2284" s="10" t="str">
        <f>HYPERLINK("https://twitter.com/kathconnaugh/status/723276808653836288","723276808653836288")</f>
        <v>723276808653836288</v>
      </c>
      <c r="F2284" s="11" t="s">
        <v>20</v>
      </c>
      <c r="G2284" s="11">
        <v>262</v>
      </c>
      <c r="H2284" s="11">
        <v>144</v>
      </c>
      <c r="I2284" s="11">
        <v>24</v>
      </c>
      <c r="J2284" s="11">
        <v>0</v>
      </c>
      <c r="K2284" s="11" t="s">
        <v>21</v>
      </c>
      <c r="L2284" s="7">
        <v>40304.080752314811</v>
      </c>
      <c r="M2284" s="12" t="s">
        <v>5835</v>
      </c>
      <c r="N2284" s="12"/>
      <c r="O2284" s="10" t="str">
        <f>HYPERLINK("https://pbs.twimg.com/profile_images/696399255079153664/444bI7j2_normal.jpg","View")</f>
        <v>View</v>
      </c>
      <c r="P2284" s="11"/>
    </row>
    <row r="2285" spans="1:16" ht="12.75" x14ac:dyDescent="0.35">
      <c r="A2285" s="7">
        <v>42482.166030092594</v>
      </c>
      <c r="B2285" s="8" t="str">
        <f>HYPERLINK("https://twitter.com/VWBeetleSales","@VWBeetleSales")</f>
        <v>@VWBeetleSales</v>
      </c>
      <c r="C2285" s="9" t="s">
        <v>127</v>
      </c>
      <c r="D2285" s="9" t="s">
        <v>5836</v>
      </c>
      <c r="E2285" s="10" t="str">
        <f>HYPERLINK("https://twitter.com/VWBeetleSales/status/723277403657625602","723277403657625602")</f>
        <v>723277403657625602</v>
      </c>
      <c r="F2285" s="10" t="s">
        <v>124</v>
      </c>
      <c r="G2285" s="11">
        <v>35</v>
      </c>
      <c r="H2285" s="11">
        <v>32</v>
      </c>
      <c r="I2285" s="11">
        <v>1</v>
      </c>
      <c r="J2285" s="11">
        <v>1</v>
      </c>
      <c r="K2285" s="11" t="s">
        <v>21</v>
      </c>
      <c r="L2285" s="7">
        <v>42427.019756944443</v>
      </c>
      <c r="M2285" s="12" t="s">
        <v>129</v>
      </c>
      <c r="N2285" s="12" t="s">
        <v>130</v>
      </c>
      <c r="O2285" s="10" t="str">
        <f>HYPERLINK("https://pbs.twimg.com/profile_images/703294545195307008/qeCvrX86_normal.jpg","View")</f>
        <v>View</v>
      </c>
      <c r="P2285" s="11"/>
    </row>
    <row r="2286" spans="1:16" ht="12.75" x14ac:dyDescent="0.35">
      <c r="A2286" s="7">
        <v>42482.166296296295</v>
      </c>
      <c r="B2286" s="8" t="str">
        <f>HYPERLINK("https://twitter.com/itzcel58Dolan","@itzcel58Dolan")</f>
        <v>@itzcel58Dolan</v>
      </c>
      <c r="C2286" s="9" t="s">
        <v>5837</v>
      </c>
      <c r="D2286" s="9" t="s">
        <v>5838</v>
      </c>
      <c r="E2286" s="10" t="str">
        <f>HYPERLINK("https://twitter.com/itzcel58Dolan/status/723277499560501248","723277499560501248")</f>
        <v>723277499560501248</v>
      </c>
      <c r="F2286" s="11" t="s">
        <v>43</v>
      </c>
      <c r="G2286" s="11">
        <v>179</v>
      </c>
      <c r="H2286" s="11">
        <v>646</v>
      </c>
      <c r="I2286" s="11">
        <v>1</v>
      </c>
      <c r="J2286" s="11">
        <v>0</v>
      </c>
      <c r="K2286" s="11" t="s">
        <v>21</v>
      </c>
      <c r="L2286" s="7">
        <v>42449.640752314815</v>
      </c>
      <c r="M2286" s="12" t="s">
        <v>5839</v>
      </c>
      <c r="N2286" s="12" t="s">
        <v>5840</v>
      </c>
      <c r="O2286" s="10" t="str">
        <f>HYPERLINK("https://pbs.twimg.com/profile_images/717057136212189184/GpQ7mjTO_normal.jpg","View")</f>
        <v>View</v>
      </c>
      <c r="P2286" s="11"/>
    </row>
    <row r="2287" spans="1:16" ht="12.75" x14ac:dyDescent="0.35">
      <c r="A2287" s="7">
        <v>42482.166539351849</v>
      </c>
      <c r="B2287" s="8" t="str">
        <f>HYPERLINK("https://twitter.com/philippvetter","@philippvetter")</f>
        <v>@philippvetter</v>
      </c>
      <c r="C2287" s="9" t="s">
        <v>3953</v>
      </c>
      <c r="D2287" s="9" t="s">
        <v>5841</v>
      </c>
      <c r="E2287" s="10" t="str">
        <f>HYPERLINK("https://twitter.com/philippvetter/status/723277587917770752","723277587917770752")</f>
        <v>723277587917770752</v>
      </c>
      <c r="F2287" s="11" t="s">
        <v>20</v>
      </c>
      <c r="G2287" s="11">
        <v>1089</v>
      </c>
      <c r="H2287" s="11">
        <v>356</v>
      </c>
      <c r="I2287" s="11">
        <v>1</v>
      </c>
      <c r="J2287" s="11">
        <v>0</v>
      </c>
      <c r="K2287" s="11" t="s">
        <v>21</v>
      </c>
      <c r="L2287" s="7">
        <v>40938.911770833336</v>
      </c>
      <c r="M2287" s="12" t="s">
        <v>1931</v>
      </c>
      <c r="N2287" s="12" t="s">
        <v>3955</v>
      </c>
      <c r="O2287" s="10" t="str">
        <f>HYPERLINK("https://pbs.twimg.com/profile_images/553276249788129280/CF4iC9q-_normal.jpeg","View")</f>
        <v>View</v>
      </c>
      <c r="P2287" s="11"/>
    </row>
    <row r="2288" spans="1:16" ht="12.75" x14ac:dyDescent="0.35">
      <c r="A2288" s="7">
        <v>42482.166631944448</v>
      </c>
      <c r="B2288" s="8" t="str">
        <f>HYPERLINK("https://twitter.com/SmartSanta","@SmartSanta")</f>
        <v>@SmartSanta</v>
      </c>
      <c r="C2288" s="9" t="s">
        <v>5028</v>
      </c>
      <c r="D2288" s="9" t="s">
        <v>5842</v>
      </c>
      <c r="E2288" s="10" t="str">
        <f>HYPERLINK("https://twitter.com/SmartSanta/status/723277623292469248","723277623292469248")</f>
        <v>723277623292469248</v>
      </c>
      <c r="F2288" s="11" t="s">
        <v>48</v>
      </c>
      <c r="G2288" s="11">
        <v>1921</v>
      </c>
      <c r="H2288" s="11">
        <v>2011</v>
      </c>
      <c r="I2288" s="11">
        <v>0</v>
      </c>
      <c r="J2288" s="11">
        <v>1</v>
      </c>
      <c r="K2288" s="11" t="s">
        <v>21</v>
      </c>
      <c r="L2288" s="7">
        <v>41705.682013888887</v>
      </c>
      <c r="M2288" s="12"/>
      <c r="N2288" s="12" t="s">
        <v>5030</v>
      </c>
      <c r="O2288" s="10" t="str">
        <f>HYPERLINK("https://pbs.twimg.com/profile_images/605053791889686528/XT0dbCZN_normal.jpg","View")</f>
        <v>View</v>
      </c>
      <c r="P2288" s="11"/>
    </row>
    <row r="2289" spans="1:16" ht="12.75" x14ac:dyDescent="0.35">
      <c r="A2289" s="7">
        <v>42482.166817129633</v>
      </c>
      <c r="B2289" s="8" t="str">
        <f>HYPERLINK("https://twitter.com/storefixcreate","@storefixcreate")</f>
        <v>@storefixcreate</v>
      </c>
      <c r="C2289" s="9" t="s">
        <v>5843</v>
      </c>
      <c r="D2289" s="9" t="s">
        <v>5844</v>
      </c>
      <c r="E2289" s="10" t="str">
        <f>HYPERLINK("https://twitter.com/storefixcreate/status/723277689495412737","723277689495412737")</f>
        <v>723277689495412737</v>
      </c>
      <c r="F2289" s="11" t="s">
        <v>114</v>
      </c>
      <c r="G2289" s="11">
        <v>2</v>
      </c>
      <c r="H2289" s="11">
        <v>0</v>
      </c>
      <c r="I2289" s="11">
        <v>0</v>
      </c>
      <c r="J2289" s="11">
        <v>0</v>
      </c>
      <c r="K2289" s="11" t="s">
        <v>21</v>
      </c>
      <c r="L2289" s="7">
        <v>42383.775150462963</v>
      </c>
      <c r="M2289" s="12"/>
      <c r="N2289" s="12"/>
      <c r="O2289" s="10" t="str">
        <f>HYPERLINK("https://abs.twimg.com/sticky/default_profile_images/default_profile_3_normal.png","View")</f>
        <v>View</v>
      </c>
      <c r="P2289" s="11"/>
    </row>
    <row r="2290" spans="1:16" ht="12.75" x14ac:dyDescent="0.35">
      <c r="A2290" s="7">
        <v>42482.166874999995</v>
      </c>
      <c r="B2290" s="8" t="str">
        <f>HYPERLINK("https://twitter.com/FuscaWorld","@FuscaWorld")</f>
        <v>@FuscaWorld</v>
      </c>
      <c r="C2290" s="9" t="s">
        <v>74</v>
      </c>
      <c r="D2290" s="9" t="s">
        <v>5845</v>
      </c>
      <c r="E2290" s="10" t="str">
        <f>HYPERLINK("https://twitter.com/FuscaWorld/status/723277708130680833","723277708130680833")</f>
        <v>723277708130680833</v>
      </c>
      <c r="F2290" s="11" t="s">
        <v>76</v>
      </c>
      <c r="G2290" s="11">
        <v>48</v>
      </c>
      <c r="H2290" s="11">
        <v>1</v>
      </c>
      <c r="I2290" s="11">
        <v>1</v>
      </c>
      <c r="J2290" s="11">
        <v>0</v>
      </c>
      <c r="K2290" s="11" t="s">
        <v>21</v>
      </c>
      <c r="L2290" s="7">
        <v>42433.880914351852</v>
      </c>
      <c r="M2290" s="12"/>
      <c r="N2290" s="12" t="s">
        <v>77</v>
      </c>
      <c r="O2290" s="10" t="str">
        <f>HYPERLINK("https://pbs.twimg.com/profile_images/705780107844067328/e7O4UBNb_normal.jpg","View")</f>
        <v>View</v>
      </c>
      <c r="P2290" s="11"/>
    </row>
    <row r="2291" spans="1:16" ht="12.75" x14ac:dyDescent="0.35">
      <c r="A2291" s="7">
        <v>42482.167592592596</v>
      </c>
      <c r="B2291" s="8" t="str">
        <f>HYPERLINK("https://twitter.com/deanomsport","@deanomsport")</f>
        <v>@deanomsport</v>
      </c>
      <c r="C2291" s="9" t="s">
        <v>1282</v>
      </c>
      <c r="D2291" s="9" t="s">
        <v>5846</v>
      </c>
      <c r="E2291" s="10" t="str">
        <f>HYPERLINK("https://twitter.com/deanomsport/status/723277969226129409","723277969226129409")</f>
        <v>723277969226129409</v>
      </c>
      <c r="F2291" s="11" t="s">
        <v>20</v>
      </c>
      <c r="G2291" s="11">
        <v>215</v>
      </c>
      <c r="H2291" s="11">
        <v>386</v>
      </c>
      <c r="I2291" s="11">
        <v>1</v>
      </c>
      <c r="J2291" s="11">
        <v>0</v>
      </c>
      <c r="K2291" s="11" t="s">
        <v>21</v>
      </c>
      <c r="L2291" s="7">
        <v>40496.158229166671</v>
      </c>
      <c r="M2291" s="12" t="s">
        <v>1284</v>
      </c>
      <c r="N2291" s="12" t="s">
        <v>1285</v>
      </c>
      <c r="O2291" s="10" t="str">
        <f>HYPERLINK("https://pbs.twimg.com/profile_images/653310353653297153/bYVyhn8J_normal.jpg","View")</f>
        <v>View</v>
      </c>
      <c r="P2291" s="11"/>
    </row>
    <row r="2292" spans="1:16" ht="12.75" x14ac:dyDescent="0.35">
      <c r="A2292" s="7">
        <v>42482.167986111112</v>
      </c>
      <c r="B2292" s="8" t="str">
        <f>HYPERLINK("https://twitter.com/S1mon76","@S1mon76")</f>
        <v>@S1mon76</v>
      </c>
      <c r="C2292" s="9" t="s">
        <v>5847</v>
      </c>
      <c r="D2292" s="9" t="s">
        <v>5848</v>
      </c>
      <c r="E2292" s="10" t="str">
        <f>HYPERLINK("https://twitter.com/S1mon76/status/723278112004444160","723278112004444160")</f>
        <v>723278112004444160</v>
      </c>
      <c r="F2292" s="11" t="s">
        <v>20</v>
      </c>
      <c r="G2292" s="11">
        <v>80</v>
      </c>
      <c r="H2292" s="11">
        <v>295</v>
      </c>
      <c r="I2292" s="11">
        <v>0</v>
      </c>
      <c r="J2292" s="11">
        <v>1</v>
      </c>
      <c r="K2292" s="11" t="s">
        <v>21</v>
      </c>
      <c r="L2292" s="7">
        <v>42384.95449074074</v>
      </c>
      <c r="M2292" s="12" t="s">
        <v>1755</v>
      </c>
      <c r="N2292" s="12"/>
      <c r="O2292" s="10" t="str">
        <f>HYPERLINK("https://pbs.twimg.com/profile_images/711505572810657792/T3SEJVQL_normal.jpg","View")</f>
        <v>View</v>
      </c>
      <c r="P2292" s="11"/>
    </row>
    <row r="2293" spans="1:16" ht="12.75" x14ac:dyDescent="0.35">
      <c r="A2293" s="7">
        <v>42482.168298611112</v>
      </c>
      <c r="B2293" s="8" t="str">
        <f>HYPERLINK("https://twitter.com/pleasecallmemac","@pleasecallmemac")</f>
        <v>@pleasecallmemac</v>
      </c>
      <c r="C2293" s="9" t="s">
        <v>5849</v>
      </c>
      <c r="D2293" s="9" t="s">
        <v>5850</v>
      </c>
      <c r="E2293" s="10" t="str">
        <f>HYPERLINK("https://twitter.com/pleasecallmemac/status/723278226085302272","723278226085302272")</f>
        <v>723278226085302272</v>
      </c>
      <c r="F2293" s="11" t="s">
        <v>48</v>
      </c>
      <c r="G2293" s="11">
        <v>69</v>
      </c>
      <c r="H2293" s="11">
        <v>135</v>
      </c>
      <c r="I2293" s="11">
        <v>0</v>
      </c>
      <c r="J2293" s="11">
        <v>0</v>
      </c>
      <c r="K2293" s="11" t="s">
        <v>21</v>
      </c>
      <c r="L2293" s="7">
        <v>40148.628993055558</v>
      </c>
      <c r="M2293" s="12" t="s">
        <v>5851</v>
      </c>
      <c r="N2293" s="12" t="s">
        <v>5852</v>
      </c>
      <c r="O2293" s="10" t="str">
        <f>HYPERLINK("https://pbs.twimg.com/profile_images/621428656/IMG_0670_normal.jpg","View")</f>
        <v>View</v>
      </c>
      <c r="P2293" s="11"/>
    </row>
    <row r="2294" spans="1:16" ht="12.75" x14ac:dyDescent="0.35">
      <c r="A2294" s="7">
        <v>42482.16883101852</v>
      </c>
      <c r="B2294" s="8" t="str">
        <f>HYPERLINK("https://twitter.com/deliyakiseleva1","@deliyakiseleva1")</f>
        <v>@deliyakiseleva1</v>
      </c>
      <c r="C2294" s="9" t="s">
        <v>5853</v>
      </c>
      <c r="D2294" s="9" t="s">
        <v>5854</v>
      </c>
      <c r="E2294" s="10" t="str">
        <f>HYPERLINK("https://twitter.com/deliyakiseleva1/status/723278417517514752","723278417517514752")</f>
        <v>723278417517514752</v>
      </c>
      <c r="F2294" s="11" t="s">
        <v>43</v>
      </c>
      <c r="G2294" s="11">
        <v>224</v>
      </c>
      <c r="H2294" s="11">
        <v>323</v>
      </c>
      <c r="I2294" s="11">
        <v>0</v>
      </c>
      <c r="J2294" s="11">
        <v>0</v>
      </c>
      <c r="K2294" s="11" t="s">
        <v>21</v>
      </c>
      <c r="L2294" s="7">
        <v>42438.403726851851</v>
      </c>
      <c r="M2294" s="12"/>
      <c r="N2294" s="12"/>
      <c r="O2294" s="10" t="str">
        <f>HYPERLINK("https://pbs.twimg.com/profile_images/707419335300505600/5mTtwnXe_normal.jpg","View")</f>
        <v>View</v>
      </c>
      <c r="P2294" s="11"/>
    </row>
    <row r="2295" spans="1:16" ht="12.75" x14ac:dyDescent="0.35">
      <c r="A2295" s="7">
        <v>42482.169108796297</v>
      </c>
      <c r="B2295" s="8" t="str">
        <f>HYPERLINK("https://twitter.com/manifestproxy","@manifestproxy")</f>
        <v>@manifestproxy</v>
      </c>
      <c r="C2295" s="9" t="s">
        <v>5855</v>
      </c>
      <c r="D2295" s="9" t="s">
        <v>5856</v>
      </c>
      <c r="E2295" s="10" t="str">
        <f>HYPERLINK("https://twitter.com/manifestproxy/status/723278517107064832","723278517107064832")</f>
        <v>723278517107064832</v>
      </c>
      <c r="F2295" s="11" t="s">
        <v>63</v>
      </c>
      <c r="G2295" s="11">
        <v>1306</v>
      </c>
      <c r="H2295" s="11">
        <v>961</v>
      </c>
      <c r="I2295" s="11">
        <v>1</v>
      </c>
      <c r="J2295" s="11">
        <v>0</v>
      </c>
      <c r="K2295" s="11" t="s">
        <v>21</v>
      </c>
      <c r="L2295" s="7">
        <v>39848.104618055557</v>
      </c>
      <c r="M2295" s="12" t="s">
        <v>5857</v>
      </c>
      <c r="N2295" s="12" t="s">
        <v>5858</v>
      </c>
      <c r="O2295" s="10" t="str">
        <f>HYPERLINK("https://pbs.twimg.com/profile_images/2630847009/c459243cb86e5ab96d3e20610c89fb34_normal.jpeg","View")</f>
        <v>View</v>
      </c>
      <c r="P2295" s="11"/>
    </row>
    <row r="2296" spans="1:16" ht="12.75" x14ac:dyDescent="0.35">
      <c r="A2296" s="7">
        <v>42482.169305555552</v>
      </c>
      <c r="B2296" s="8" t="str">
        <f>HYPERLINK("https://twitter.com/Blerrk","@Blerrk")</f>
        <v>@Blerrk</v>
      </c>
      <c r="C2296" s="9" t="s">
        <v>5859</v>
      </c>
      <c r="D2296" s="9" t="s">
        <v>38</v>
      </c>
      <c r="E2296" s="10" t="str">
        <f>HYPERLINK("https://twitter.com/Blerrk/status/723278590670974976","723278590670974976")</f>
        <v>723278590670974976</v>
      </c>
      <c r="F2296" s="11" t="s">
        <v>43</v>
      </c>
      <c r="G2296" s="11">
        <v>697</v>
      </c>
      <c r="H2296" s="11">
        <v>411</v>
      </c>
      <c r="I2296" s="11">
        <v>11</v>
      </c>
      <c r="J2296" s="11">
        <v>0</v>
      </c>
      <c r="K2296" s="11" t="s">
        <v>21</v>
      </c>
      <c r="L2296" s="7">
        <v>40805.19263888889</v>
      </c>
      <c r="M2296" s="12" t="s">
        <v>5860</v>
      </c>
      <c r="N2296" s="12" t="s">
        <v>5861</v>
      </c>
      <c r="O2296" s="10" t="str">
        <f>HYPERLINK("https://pbs.twimg.com/profile_images/696466709419417601/6yoE0NPV_normal.jpg","View")</f>
        <v>View</v>
      </c>
      <c r="P2296" s="11"/>
    </row>
    <row r="2297" spans="1:16" ht="12.75" x14ac:dyDescent="0.35">
      <c r="A2297" s="7">
        <v>42482.170729166668</v>
      </c>
      <c r="B2297" s="8" t="str">
        <f>HYPERLINK("https://twitter.com/rgoverstreet","@rgoverstreet")</f>
        <v>@rgoverstreet</v>
      </c>
      <c r="C2297" s="9" t="s">
        <v>5862</v>
      </c>
      <c r="D2297" s="9" t="s">
        <v>5863</v>
      </c>
      <c r="E2297" s="10" t="str">
        <f>HYPERLINK("https://twitter.com/rgoverstreet/status/723279104452108289","723279104452108289")</f>
        <v>723279104452108289</v>
      </c>
      <c r="F2297" s="11" t="s">
        <v>20</v>
      </c>
      <c r="G2297" s="11">
        <v>152</v>
      </c>
      <c r="H2297" s="11">
        <v>287</v>
      </c>
      <c r="I2297" s="11">
        <v>0</v>
      </c>
      <c r="J2297" s="11">
        <v>0</v>
      </c>
      <c r="K2297" s="11" t="s">
        <v>21</v>
      </c>
      <c r="L2297" s="7">
        <v>40033.017939814818</v>
      </c>
      <c r="M2297" s="12" t="s">
        <v>5864</v>
      </c>
      <c r="N2297" s="12" t="s">
        <v>5865</v>
      </c>
      <c r="O2297" s="10" t="str">
        <f>HYPERLINK("https://pbs.twimg.com/profile_images/511300315228811264/sT0G3pjp_normal.jpeg","View")</f>
        <v>View</v>
      </c>
      <c r="P2297" s="11"/>
    </row>
    <row r="2298" spans="1:16" ht="12.75" x14ac:dyDescent="0.35">
      <c r="A2298" s="7">
        <v>42482.172164351854</v>
      </c>
      <c r="B2298" s="8" t="str">
        <f>HYPERLINK("https://twitter.com/Nord_DesignLA","@Nord_DesignLA")</f>
        <v>@Nord_DesignLA</v>
      </c>
      <c r="C2298" s="9" t="s">
        <v>5866</v>
      </c>
      <c r="D2298" s="9" t="s">
        <v>5867</v>
      </c>
      <c r="E2298" s="10" t="str">
        <f>HYPERLINK("https://twitter.com/Nord_DesignLA/status/723279627381182465","723279627381182465")</f>
        <v>723279627381182465</v>
      </c>
      <c r="F2298" s="11" t="s">
        <v>20</v>
      </c>
      <c r="G2298" s="11">
        <v>1710</v>
      </c>
      <c r="H2298" s="11">
        <v>2177</v>
      </c>
      <c r="I2298" s="11">
        <v>0</v>
      </c>
      <c r="J2298" s="11">
        <v>0</v>
      </c>
      <c r="K2298" s="11" t="s">
        <v>21</v>
      </c>
      <c r="L2298" s="7">
        <v>41863.282291666663</v>
      </c>
      <c r="M2298" s="12" t="s">
        <v>5868</v>
      </c>
      <c r="N2298" s="12" t="s">
        <v>5869</v>
      </c>
      <c r="O2298" s="10" t="str">
        <f>HYPERLINK("https://pbs.twimg.com/profile_images/719691258831052800/NgqFK_yC_normal.jpg","View")</f>
        <v>View</v>
      </c>
      <c r="P2298" s="11"/>
    </row>
    <row r="2299" spans="1:16" ht="12.75" x14ac:dyDescent="0.35">
      <c r="A2299" s="7">
        <v>42482.17251157407</v>
      </c>
      <c r="B2299" s="8" t="str">
        <f>HYPERLINK("https://twitter.com/cas_2050000659","@cas_2050000659")</f>
        <v>@cas_2050000659</v>
      </c>
      <c r="C2299" s="9" t="s">
        <v>5870</v>
      </c>
      <c r="D2299" s="9" t="s">
        <v>5871</v>
      </c>
      <c r="E2299" s="10" t="str">
        <f>HYPERLINK("https://twitter.com/cas_2050000659/status/723279754250461184","723279754250461184")</f>
        <v>723279754250461184</v>
      </c>
      <c r="F2299" s="11" t="s">
        <v>43</v>
      </c>
      <c r="G2299" s="11">
        <v>0</v>
      </c>
      <c r="H2299" s="11">
        <v>0</v>
      </c>
      <c r="I2299" s="11">
        <v>0</v>
      </c>
      <c r="J2299" s="11">
        <v>0</v>
      </c>
      <c r="K2299" s="11" t="s">
        <v>21</v>
      </c>
      <c r="L2299" s="7">
        <v>41936.003460648149</v>
      </c>
      <c r="M2299" s="12"/>
      <c r="N2299" s="12"/>
      <c r="O2299" s="10" t="str">
        <f>HYPERLINK("https://abs.twimg.com/sticky/default_profile_images/default_profile_0_normal.png","View")</f>
        <v>View</v>
      </c>
      <c r="P2299" s="11"/>
    </row>
    <row r="2300" spans="1:16" ht="12.75" x14ac:dyDescent="0.35">
      <c r="A2300" s="7">
        <v>42482.172939814816</v>
      </c>
      <c r="B2300" s="8" t="str">
        <f>HYPERLINK("https://twitter.com/IrlPublicBanks","@IrlPublicBanks")</f>
        <v>@IrlPublicBanks</v>
      </c>
      <c r="C2300" s="9" t="s">
        <v>5872</v>
      </c>
      <c r="D2300" s="9" t="s">
        <v>5150</v>
      </c>
      <c r="E2300" s="10" t="str">
        <f>HYPERLINK("https://twitter.com/IrlPublicBanks/status/723279909544669186","723279909544669186")</f>
        <v>723279909544669186</v>
      </c>
      <c r="F2300" s="11" t="s">
        <v>91</v>
      </c>
      <c r="G2300" s="11">
        <v>45</v>
      </c>
      <c r="H2300" s="11">
        <v>255</v>
      </c>
      <c r="I2300" s="11">
        <v>24</v>
      </c>
      <c r="J2300" s="11">
        <v>0</v>
      </c>
      <c r="K2300" s="11" t="s">
        <v>21</v>
      </c>
      <c r="L2300" s="7">
        <v>41739.926006944443</v>
      </c>
      <c r="M2300" s="12" t="s">
        <v>711</v>
      </c>
      <c r="N2300" s="12" t="s">
        <v>5873</v>
      </c>
      <c r="O2300" s="10" t="str">
        <f>HYPERLINK("https://pbs.twimg.com/profile_images/454373310357192704/gv_pjo1d_normal.jpeg","View")</f>
        <v>View</v>
      </c>
      <c r="P2300" s="11"/>
    </row>
    <row r="2301" spans="1:16" ht="12.75" x14ac:dyDescent="0.35">
      <c r="A2301" s="7">
        <v>42482.173750000002</v>
      </c>
      <c r="B2301" s="8" t="str">
        <f>HYPERLINK("https://twitter.com/simarg31","@simarg31")</f>
        <v>@simarg31</v>
      </c>
      <c r="C2301" s="9" t="s">
        <v>5874</v>
      </c>
      <c r="D2301" s="9" t="s">
        <v>5875</v>
      </c>
      <c r="E2301" s="10" t="str">
        <f>HYPERLINK("https://twitter.com/simarg31/status/723280202755776513","723280202755776513")</f>
        <v>723280202755776513</v>
      </c>
      <c r="F2301" s="11" t="s">
        <v>48</v>
      </c>
      <c r="G2301" s="11">
        <v>13</v>
      </c>
      <c r="H2301" s="11">
        <v>18</v>
      </c>
      <c r="I2301" s="11">
        <v>0</v>
      </c>
      <c r="J2301" s="11">
        <v>0</v>
      </c>
      <c r="K2301" s="11" t="s">
        <v>21</v>
      </c>
      <c r="L2301" s="7">
        <v>41653.524837962963</v>
      </c>
      <c r="M2301" s="12"/>
      <c r="N2301" s="12" t="s">
        <v>5876</v>
      </c>
      <c r="O2301" s="10" t="str">
        <f>HYPERLINK("https://pbs.twimg.com/profile_images/574031975654105088/ydWscSRE_normal.jpeg","View")</f>
        <v>View</v>
      </c>
      <c r="P2301" s="11"/>
    </row>
    <row r="2302" spans="1:16" ht="12.75" x14ac:dyDescent="0.35">
      <c r="A2302" s="7">
        <v>42482.174120370371</v>
      </c>
      <c r="B2302" s="8" t="str">
        <f>HYPERLINK("https://twitter.com/DannyFreshVici","@DannyFreshVici")</f>
        <v>@DannyFreshVici</v>
      </c>
      <c r="C2302" s="9" t="s">
        <v>5877</v>
      </c>
      <c r="D2302" s="9" t="s">
        <v>5878</v>
      </c>
      <c r="E2302" s="10" t="str">
        <f>HYPERLINK("https://twitter.com/DannyFreshVici/status/723280333307817984","723280333307817984")</f>
        <v>723280333307817984</v>
      </c>
      <c r="F2302" s="11" t="s">
        <v>43</v>
      </c>
      <c r="G2302" s="11">
        <v>305</v>
      </c>
      <c r="H2302" s="11">
        <v>188</v>
      </c>
      <c r="I2302" s="11">
        <v>0</v>
      </c>
      <c r="J2302" s="11">
        <v>1</v>
      </c>
      <c r="K2302" s="11" t="s">
        <v>21</v>
      </c>
      <c r="L2302" s="7">
        <v>39979.072002314817</v>
      </c>
      <c r="M2302" s="12" t="s">
        <v>5879</v>
      </c>
      <c r="N2302" s="12"/>
      <c r="O2302" s="10" t="str">
        <f>HYPERLINK("https://pbs.twimg.com/profile_images/600512237535637504/UjVoSZSR_normal.jpg","View")</f>
        <v>View</v>
      </c>
      <c r="P2302" s="11"/>
    </row>
    <row r="2303" spans="1:16" ht="12.75" x14ac:dyDescent="0.35">
      <c r="A2303" s="7">
        <v>42482.174803240741</v>
      </c>
      <c r="B2303" s="8" t="str">
        <f>HYPERLINK("https://twitter.com/44cent","@44cent")</f>
        <v>@44cent</v>
      </c>
      <c r="C2303" s="9" t="s">
        <v>5880</v>
      </c>
      <c r="D2303" s="9" t="s">
        <v>5881</v>
      </c>
      <c r="E2303" s="10" t="str">
        <f>HYPERLINK("https://twitter.com/44cent/status/723280581702881280","723280581702881280")</f>
        <v>723280581702881280</v>
      </c>
      <c r="F2303" s="11" t="s">
        <v>20</v>
      </c>
      <c r="G2303" s="11">
        <v>113</v>
      </c>
      <c r="H2303" s="11">
        <v>287</v>
      </c>
      <c r="I2303" s="11">
        <v>0</v>
      </c>
      <c r="J2303" s="11">
        <v>0</v>
      </c>
      <c r="K2303" s="11" t="s">
        <v>21</v>
      </c>
      <c r="L2303" s="7">
        <v>40181.188240740739</v>
      </c>
      <c r="M2303" s="12" t="s">
        <v>5882</v>
      </c>
      <c r="N2303" s="12" t="s">
        <v>5883</v>
      </c>
      <c r="O2303" s="10" t="str">
        <f>HYPERLINK("https://pbs.twimg.com/profile_images/1556214775/IMG00783-20110909-0916_normal.JPG","View")</f>
        <v>View</v>
      </c>
      <c r="P2303" s="11"/>
    </row>
    <row r="2304" spans="1:16" ht="12.75" x14ac:dyDescent="0.35">
      <c r="A2304" s="7">
        <v>42482.175532407404</v>
      </c>
      <c r="B2304" s="8" t="str">
        <f>HYPERLINK("https://twitter.com/DubLuvTuning","@DubLuvTuning")</f>
        <v>@DubLuvTuning</v>
      </c>
      <c r="C2304" s="9" t="s">
        <v>299</v>
      </c>
      <c r="D2304" s="9" t="s">
        <v>5884</v>
      </c>
      <c r="E2304" s="10" t="str">
        <f>HYPERLINK("https://twitter.com/DubLuvTuning/status/723280848942993408","723280848942993408")</f>
        <v>723280848942993408</v>
      </c>
      <c r="F2304" s="11" t="s">
        <v>288</v>
      </c>
      <c r="G2304" s="11">
        <v>690</v>
      </c>
      <c r="H2304" s="11">
        <v>431</v>
      </c>
      <c r="I2304" s="11">
        <v>1</v>
      </c>
      <c r="J2304" s="11">
        <v>0</v>
      </c>
      <c r="K2304" s="11" t="s">
        <v>21</v>
      </c>
      <c r="L2304" s="7">
        <v>41549.898287037038</v>
      </c>
      <c r="M2304" s="12" t="s">
        <v>301</v>
      </c>
      <c r="N2304" s="12" t="s">
        <v>302</v>
      </c>
      <c r="O2304" s="10" t="str">
        <f>HYPERLINK("https://pbs.twimg.com/profile_images/378800000572104796/1de43e1cf23efb3f4101c02afad0d3b6_normal.png","View")</f>
        <v>View</v>
      </c>
      <c r="P2304" s="11"/>
    </row>
    <row r="2305" spans="1:16" ht="12.75" x14ac:dyDescent="0.35">
      <c r="A2305" s="7">
        <v>42482.17569444445</v>
      </c>
      <c r="B2305" s="8" t="str">
        <f>HYPERLINK("https://twitter.com/k_bolesta","@k_bolesta")</f>
        <v>@k_bolesta</v>
      </c>
      <c r="C2305" s="9" t="s">
        <v>5885</v>
      </c>
      <c r="D2305" s="9" t="s">
        <v>5886</v>
      </c>
      <c r="E2305" s="10" t="str">
        <f>HYPERLINK("https://twitter.com/k_bolesta/status/723280907638059008","723280907638059008")</f>
        <v>723280907638059008</v>
      </c>
      <c r="F2305" s="11" t="s">
        <v>48</v>
      </c>
      <c r="G2305" s="11">
        <v>170</v>
      </c>
      <c r="H2305" s="11">
        <v>222</v>
      </c>
      <c r="I2305" s="11">
        <v>0</v>
      </c>
      <c r="J2305" s="11">
        <v>0</v>
      </c>
      <c r="K2305" s="11" t="s">
        <v>21</v>
      </c>
      <c r="L2305" s="7">
        <v>42384.895995370374</v>
      </c>
      <c r="M2305" s="12" t="s">
        <v>5887</v>
      </c>
      <c r="N2305" s="12" t="s">
        <v>5888</v>
      </c>
      <c r="O2305" s="10" t="str">
        <f>HYPERLINK("https://pbs.twimg.com/profile_images/692722389856165888/_03T3Gm-_normal.jpg","View")</f>
        <v>View</v>
      </c>
      <c r="P2305" s="11"/>
    </row>
    <row r="2306" spans="1:16" ht="12.75" x14ac:dyDescent="0.35">
      <c r="A2306" s="7">
        <v>42482.17596064815</v>
      </c>
      <c r="B2306" s="8" t="str">
        <f>HYPERLINK("https://twitter.com/NCMae","@NCMae")</f>
        <v>@NCMae</v>
      </c>
      <c r="C2306" s="9" t="s">
        <v>5889</v>
      </c>
      <c r="D2306" s="9" t="s">
        <v>151</v>
      </c>
      <c r="E2306" s="10" t="str">
        <f>HYPERLINK("https://twitter.com/NCMae/status/723281003465285633","723281003465285633")</f>
        <v>723281003465285633</v>
      </c>
      <c r="F2306" s="11" t="s">
        <v>48</v>
      </c>
      <c r="G2306" s="11">
        <v>5314</v>
      </c>
      <c r="H2306" s="11">
        <v>5061</v>
      </c>
      <c r="I2306" s="11">
        <v>16</v>
      </c>
      <c r="J2306" s="11">
        <v>0</v>
      </c>
      <c r="K2306" s="11" t="s">
        <v>21</v>
      </c>
      <c r="L2306" s="7">
        <v>40956.389537037037</v>
      </c>
      <c r="M2306" s="12" t="s">
        <v>5890</v>
      </c>
      <c r="N2306" s="12" t="s">
        <v>5891</v>
      </c>
      <c r="O2306" s="10" t="str">
        <f>HYPERLINK("https://pbs.twimg.com/profile_images/684617138611486720/X-XB255b_normal.jpg","View")</f>
        <v>View</v>
      </c>
      <c r="P2306" s="11"/>
    </row>
    <row r="2307" spans="1:16" ht="12.75" x14ac:dyDescent="0.35">
      <c r="A2307" s="7">
        <v>42482.176006944443</v>
      </c>
      <c r="B2307" s="8" t="str">
        <f>HYPERLINK("https://twitter.com/DannyFreshVici","@DannyFreshVici")</f>
        <v>@DannyFreshVici</v>
      </c>
      <c r="C2307" s="9" t="s">
        <v>5877</v>
      </c>
      <c r="D2307" s="9" t="s">
        <v>5892</v>
      </c>
      <c r="E2307" s="10" t="str">
        <f>HYPERLINK("https://twitter.com/DannyFreshVici/status/723281017658839040","723281017658839040")</f>
        <v>723281017658839040</v>
      </c>
      <c r="F2307" s="11" t="s">
        <v>53</v>
      </c>
      <c r="G2307" s="11">
        <v>305</v>
      </c>
      <c r="H2307" s="11">
        <v>188</v>
      </c>
      <c r="I2307" s="11">
        <v>1</v>
      </c>
      <c r="J2307" s="11">
        <v>3</v>
      </c>
      <c r="K2307" s="11" t="s">
        <v>21</v>
      </c>
      <c r="L2307" s="7">
        <v>39979.072002314817</v>
      </c>
      <c r="M2307" s="12" t="s">
        <v>5879</v>
      </c>
      <c r="N2307" s="12"/>
      <c r="O2307" s="10" t="str">
        <f>HYPERLINK("https://pbs.twimg.com/profile_images/600512237535637504/UjVoSZSR_normal.jpg","View")</f>
        <v>View</v>
      </c>
      <c r="P2307" s="11"/>
    </row>
    <row r="2308" spans="1:16" ht="12.75" x14ac:dyDescent="0.35">
      <c r="A2308" s="7">
        <v>42482.176203703704</v>
      </c>
      <c r="B2308" s="8" t="str">
        <f>HYPERLINK("https://twitter.com/JoeBert32","@JoeBert32")</f>
        <v>@JoeBert32</v>
      </c>
      <c r="C2308" s="9" t="s">
        <v>5893</v>
      </c>
      <c r="D2308" s="9" t="s">
        <v>5894</v>
      </c>
      <c r="E2308" s="10" t="str">
        <f>HYPERLINK("https://twitter.com/JoeBert32/status/723281089821839364","723281089821839364")</f>
        <v>723281089821839364</v>
      </c>
      <c r="F2308" s="11" t="s">
        <v>43</v>
      </c>
      <c r="G2308" s="11">
        <v>84</v>
      </c>
      <c r="H2308" s="11">
        <v>342</v>
      </c>
      <c r="I2308" s="11">
        <v>0</v>
      </c>
      <c r="J2308" s="11">
        <v>0</v>
      </c>
      <c r="K2308" s="11" t="s">
        <v>21</v>
      </c>
      <c r="L2308" s="7">
        <v>40225.129918981482</v>
      </c>
      <c r="M2308" s="12"/>
      <c r="N2308" s="12" t="s">
        <v>5895</v>
      </c>
      <c r="O2308" s="10" t="str">
        <f>HYPERLINK("https://pbs.twimg.com/profile_images/2065747374/tramapoline_trabopoline_normal.gif","View")</f>
        <v>View</v>
      </c>
      <c r="P2308" s="11"/>
    </row>
    <row r="2309" spans="1:16" ht="12.75" x14ac:dyDescent="0.35">
      <c r="A2309" s="7">
        <v>42482.176412037035</v>
      </c>
      <c r="B2309" s="8" t="str">
        <f>HYPERLINK("https://twitter.com/danemiomar","@danemiomar")</f>
        <v>@danemiomar</v>
      </c>
      <c r="C2309" s="9" t="s">
        <v>5896</v>
      </c>
      <c r="D2309" s="9" t="s">
        <v>5897</v>
      </c>
      <c r="E2309" s="10" t="str">
        <f>HYPERLINK("https://twitter.com/danemiomar/status/723281167080935424","723281167080935424")</f>
        <v>723281167080935424</v>
      </c>
      <c r="F2309" s="11" t="s">
        <v>48</v>
      </c>
      <c r="G2309" s="11">
        <v>93</v>
      </c>
      <c r="H2309" s="11">
        <v>30</v>
      </c>
      <c r="I2309" s="11">
        <v>1</v>
      </c>
      <c r="J2309" s="11">
        <v>0</v>
      </c>
      <c r="K2309" s="11" t="s">
        <v>21</v>
      </c>
      <c r="L2309" s="7">
        <v>40013.125069444446</v>
      </c>
      <c r="M2309" s="12" t="s">
        <v>5898</v>
      </c>
      <c r="N2309" s="13" t="s">
        <v>5899</v>
      </c>
      <c r="O2309" s="10" t="str">
        <f>HYPERLINK("https://pbs.twimg.com/profile_images/537299833904971776/HgnIilLZ_normal.jpeg","View")</f>
        <v>View</v>
      </c>
      <c r="P2309" s="11"/>
    </row>
    <row r="2310" spans="1:16" ht="12.75" x14ac:dyDescent="0.35">
      <c r="A2310" s="7">
        <v>42482.177256944444</v>
      </c>
      <c r="B2310" s="8" t="str">
        <f>HYPERLINK("https://twitter.com/m_yury","@m_yury")</f>
        <v>@m_yury</v>
      </c>
      <c r="C2310" s="9" t="s">
        <v>5900</v>
      </c>
      <c r="D2310" s="9" t="s">
        <v>5901</v>
      </c>
      <c r="E2310" s="10" t="str">
        <f>HYPERLINK("https://twitter.com/m_yury/status/723281474070433795","723281474070433795")</f>
        <v>723281474070433795</v>
      </c>
      <c r="F2310" s="11" t="s">
        <v>152</v>
      </c>
      <c r="G2310" s="11">
        <v>1214</v>
      </c>
      <c r="H2310" s="11">
        <v>1342</v>
      </c>
      <c r="I2310" s="11">
        <v>0</v>
      </c>
      <c r="J2310" s="11">
        <v>0</v>
      </c>
      <c r="K2310" s="11" t="s">
        <v>21</v>
      </c>
      <c r="L2310" s="7">
        <v>40377.586412037039</v>
      </c>
      <c r="M2310" s="12" t="s">
        <v>5902</v>
      </c>
      <c r="N2310" s="12" t="s">
        <v>5903</v>
      </c>
      <c r="O2310" s="10" t="str">
        <f>HYPERLINK("https://pbs.twimg.com/profile_images/697189475504496642/k85OzCSX_normal.jpg","View")</f>
        <v>View</v>
      </c>
      <c r="P2310" s="11"/>
    </row>
    <row r="2311" spans="1:16" ht="12.75" x14ac:dyDescent="0.35">
      <c r="A2311" s="7">
        <v>42482.177835648152</v>
      </c>
      <c r="B2311" s="8" t="str">
        <f>HYPERLINK("https://twitter.com/SexenioCDMX","@SexenioCDMX")</f>
        <v>@SexenioCDMX</v>
      </c>
      <c r="C2311" s="9" t="s">
        <v>3020</v>
      </c>
      <c r="D2311" s="9" t="s">
        <v>3021</v>
      </c>
      <c r="E2311" s="10" t="str">
        <f>HYPERLINK("https://twitter.com/SexenioCDMX/status/723281680518123520","723281680518123520")</f>
        <v>723281680518123520</v>
      </c>
      <c r="F2311" s="11" t="s">
        <v>63</v>
      </c>
      <c r="G2311" s="11">
        <v>91697</v>
      </c>
      <c r="H2311" s="11">
        <v>81619</v>
      </c>
      <c r="I2311" s="11">
        <v>0</v>
      </c>
      <c r="J2311" s="11">
        <v>0</v>
      </c>
      <c r="K2311" s="11" t="s">
        <v>21</v>
      </c>
      <c r="L2311" s="7">
        <v>41029.45988425926</v>
      </c>
      <c r="M2311" s="12" t="s">
        <v>3022</v>
      </c>
      <c r="N2311" s="12" t="s">
        <v>3023</v>
      </c>
      <c r="O2311" s="10" t="str">
        <f>HYPERLINK("https://pbs.twimg.com/profile_images/693156293842894848/THX8L389_normal.jpg","View")</f>
        <v>View</v>
      </c>
      <c r="P2311" s="11"/>
    </row>
    <row r="2312" spans="1:16" ht="12.75" x14ac:dyDescent="0.35">
      <c r="A2312" s="7">
        <v>42482.177835648152</v>
      </c>
      <c r="B2312" s="8" t="str">
        <f>HYPERLINK("https://twitter.com/SexenioMX","@SexenioMX")</f>
        <v>@SexenioMX</v>
      </c>
      <c r="C2312" s="9" t="s">
        <v>3024</v>
      </c>
      <c r="D2312" s="9" t="s">
        <v>3025</v>
      </c>
      <c r="E2312" s="10" t="str">
        <f>HYPERLINK("https://twitter.com/SexenioMX/status/723281680543272961","723281680543272961")</f>
        <v>723281680543272961</v>
      </c>
      <c r="F2312" s="11" t="s">
        <v>63</v>
      </c>
      <c r="G2312" s="11">
        <v>1789832</v>
      </c>
      <c r="H2312" s="11">
        <v>476</v>
      </c>
      <c r="I2312" s="11">
        <v>2</v>
      </c>
      <c r="J2312" s="11">
        <v>1</v>
      </c>
      <c r="K2312" s="11" t="s">
        <v>21</v>
      </c>
      <c r="L2312" s="7">
        <v>40619.200162037036</v>
      </c>
      <c r="M2312" s="12" t="s">
        <v>462</v>
      </c>
      <c r="N2312" s="12" t="s">
        <v>3026</v>
      </c>
      <c r="O2312" s="10" t="str">
        <f>HYPERLINK("https://pbs.twimg.com/profile_images/700415860230397952/tCGmCj6M_normal.jpg","View")</f>
        <v>View</v>
      </c>
      <c r="P2312" s="11"/>
    </row>
    <row r="2313" spans="1:16" ht="12.75" x14ac:dyDescent="0.35">
      <c r="A2313" s="7">
        <v>42482.17900462963</v>
      </c>
      <c r="B2313" s="8" t="str">
        <f t="shared" ref="B2313:B2314" si="219">HYPERLINK("https://twitter.com/techhippie","@techhippie")</f>
        <v>@techhippie</v>
      </c>
      <c r="C2313" s="9" t="s">
        <v>246</v>
      </c>
      <c r="D2313" s="9" t="s">
        <v>5904</v>
      </c>
      <c r="E2313" s="10" t="str">
        <f>HYPERLINK("https://twitter.com/techhippie/status/723282106756018176","723282106756018176")</f>
        <v>723282106756018176</v>
      </c>
      <c r="F2313" s="11" t="s">
        <v>68</v>
      </c>
      <c r="G2313" s="11">
        <v>2471</v>
      </c>
      <c r="H2313" s="11">
        <v>3835</v>
      </c>
      <c r="I2313" s="11">
        <v>0</v>
      </c>
      <c r="J2313" s="11">
        <v>0</v>
      </c>
      <c r="K2313" s="11" t="s">
        <v>21</v>
      </c>
      <c r="L2313" s="7">
        <v>42424.852152777778</v>
      </c>
      <c r="M2313" s="12" t="s">
        <v>248</v>
      </c>
      <c r="N2313" s="12" t="s">
        <v>249</v>
      </c>
      <c r="O2313" s="10" t="str">
        <f t="shared" ref="O2313:O2314" si="220">HYPERLINK("https://pbs.twimg.com/profile_images/702511217793863680/lty8h9vE_normal.jpg","View")</f>
        <v>View</v>
      </c>
      <c r="P2313" s="11"/>
    </row>
    <row r="2314" spans="1:16" ht="12.75" x14ac:dyDescent="0.35">
      <c r="A2314" s="7">
        <v>42482.179120370369</v>
      </c>
      <c r="B2314" s="8" t="str">
        <f t="shared" si="219"/>
        <v>@techhippie</v>
      </c>
      <c r="C2314" s="9" t="s">
        <v>246</v>
      </c>
      <c r="D2314" s="9" t="s">
        <v>5905</v>
      </c>
      <c r="E2314" s="10" t="str">
        <f>HYPERLINK("https://twitter.com/techhippie/status/723282145234526209","723282145234526209")</f>
        <v>723282145234526209</v>
      </c>
      <c r="F2314" s="11" t="s">
        <v>68</v>
      </c>
      <c r="G2314" s="11">
        <v>2471</v>
      </c>
      <c r="H2314" s="11">
        <v>3835</v>
      </c>
      <c r="I2314" s="11">
        <v>0</v>
      </c>
      <c r="J2314" s="11">
        <v>0</v>
      </c>
      <c r="K2314" s="11" t="s">
        <v>21</v>
      </c>
      <c r="L2314" s="7">
        <v>42424.852152777778</v>
      </c>
      <c r="M2314" s="12" t="s">
        <v>248</v>
      </c>
      <c r="N2314" s="12" t="s">
        <v>249</v>
      </c>
      <c r="O2314" s="10" t="str">
        <f t="shared" si="220"/>
        <v>View</v>
      </c>
      <c r="P2314" s="11"/>
    </row>
    <row r="2315" spans="1:16" ht="12.75" x14ac:dyDescent="0.35">
      <c r="A2315" s="7">
        <v>42482.179513888885</v>
      </c>
      <c r="B2315" s="8" t="str">
        <f>HYPERLINK("https://twitter.com/JoanneMHurley","@JoanneMHurley")</f>
        <v>@JoanneMHurley</v>
      </c>
      <c r="C2315" s="9" t="s">
        <v>5906</v>
      </c>
      <c r="D2315" s="9" t="s">
        <v>5907</v>
      </c>
      <c r="E2315" s="10" t="str">
        <f>HYPERLINK("https://twitter.com/JoanneMHurley/status/723282288432160768","723282288432160768")</f>
        <v>723282288432160768</v>
      </c>
      <c r="F2315" s="11" t="s">
        <v>114</v>
      </c>
      <c r="G2315" s="11">
        <v>1093</v>
      </c>
      <c r="H2315" s="11">
        <v>2291</v>
      </c>
      <c r="I2315" s="11">
        <v>0</v>
      </c>
      <c r="J2315" s="11">
        <v>0</v>
      </c>
      <c r="K2315" s="11" t="s">
        <v>21</v>
      </c>
      <c r="L2315" s="7">
        <v>40962.654386574075</v>
      </c>
      <c r="M2315" s="12" t="s">
        <v>5641</v>
      </c>
      <c r="N2315" s="12" t="s">
        <v>5908</v>
      </c>
      <c r="O2315" s="10" t="str">
        <f>HYPERLINK("https://pbs.twimg.com/profile_images/658739197503754240/o31MV5mf_normal.jpg","View")</f>
        <v>View</v>
      </c>
      <c r="P2315" s="10" t="str">
        <f>HYPERLINK("http://ctrlq.org/maps/address/#53.32668468,-6.22602209","Map")</f>
        <v>Map</v>
      </c>
    </row>
    <row r="2316" spans="1:16" ht="12.75" x14ac:dyDescent="0.35">
      <c r="A2316" s="7">
        <v>42482.179826388892</v>
      </c>
      <c r="B2316" s="8" t="str">
        <f>HYPERLINK("https://twitter.com/VolkswagenPost","@VolkswagenPost")</f>
        <v>@VolkswagenPost</v>
      </c>
      <c r="C2316" s="9" t="s">
        <v>321</v>
      </c>
      <c r="D2316" s="9" t="s">
        <v>5909</v>
      </c>
      <c r="E2316" s="10" t="str">
        <f>HYPERLINK("https://twitter.com/VolkswagenPost/status/723282404476116992","723282404476116992")</f>
        <v>723282404476116992</v>
      </c>
      <c r="F2316" s="11" t="s">
        <v>288</v>
      </c>
      <c r="G2316" s="11">
        <v>571</v>
      </c>
      <c r="H2316" s="11">
        <v>446</v>
      </c>
      <c r="I2316" s="11">
        <v>1</v>
      </c>
      <c r="J2316" s="11">
        <v>0</v>
      </c>
      <c r="K2316" s="11" t="s">
        <v>21</v>
      </c>
      <c r="L2316" s="7">
        <v>41940.618379629632</v>
      </c>
      <c r="M2316" s="12"/>
      <c r="N2316" s="12"/>
      <c r="O2316" s="10" t="str">
        <f>HYPERLINK("https://pbs.twimg.com/profile_images/530071272881803264/a_jcCmPZ_normal.png","View")</f>
        <v>View</v>
      </c>
      <c r="P2316" s="11"/>
    </row>
    <row r="2317" spans="1:16" ht="12.75" x14ac:dyDescent="0.35">
      <c r="A2317" s="7">
        <v>42482.180254629631</v>
      </c>
      <c r="B2317" s="8" t="str">
        <f t="shared" ref="B2317:B2318" si="221">HYPERLINK("https://twitter.com/VWCamperSales","@VWCamperSales")</f>
        <v>@VWCamperSales</v>
      </c>
      <c r="C2317" s="9" t="s">
        <v>216</v>
      </c>
      <c r="D2317" s="9" t="s">
        <v>5910</v>
      </c>
      <c r="E2317" s="10" t="str">
        <f>HYPERLINK("https://twitter.com/VWCamperSales/status/723282558205620228","723282558205620228")</f>
        <v>723282558205620228</v>
      </c>
      <c r="F2317" s="10" t="s">
        <v>124</v>
      </c>
      <c r="G2317" s="11">
        <v>615</v>
      </c>
      <c r="H2317" s="11">
        <v>580</v>
      </c>
      <c r="I2317" s="11">
        <v>0</v>
      </c>
      <c r="J2317" s="11">
        <v>0</v>
      </c>
      <c r="K2317" s="11" t="s">
        <v>21</v>
      </c>
      <c r="L2317" s="7">
        <v>42215.98809027778</v>
      </c>
      <c r="M2317" s="12" t="s">
        <v>129</v>
      </c>
      <c r="N2317" s="12" t="s">
        <v>218</v>
      </c>
      <c r="O2317" s="10" t="str">
        <f t="shared" ref="O2317:O2318" si="222">HYPERLINK("https://pbs.twimg.com/profile_images/627949001179037696/skEBkS05_normal.jpg","View")</f>
        <v>View</v>
      </c>
      <c r="P2317" s="11"/>
    </row>
    <row r="2318" spans="1:16" ht="12.75" x14ac:dyDescent="0.35">
      <c r="A2318" s="7">
        <v>42482.180266203708</v>
      </c>
      <c r="B2318" s="8" t="str">
        <f t="shared" si="221"/>
        <v>@VWCamperSales</v>
      </c>
      <c r="C2318" s="9" t="s">
        <v>216</v>
      </c>
      <c r="D2318" s="9" t="s">
        <v>5911</v>
      </c>
      <c r="E2318" s="10" t="str">
        <f>HYPERLINK("https://twitter.com/VWCamperSales/status/723282561363898368","723282561363898368")</f>
        <v>723282561363898368</v>
      </c>
      <c r="F2318" s="10" t="s">
        <v>124</v>
      </c>
      <c r="G2318" s="11">
        <v>615</v>
      </c>
      <c r="H2318" s="11">
        <v>580</v>
      </c>
      <c r="I2318" s="11">
        <v>0</v>
      </c>
      <c r="J2318" s="11">
        <v>0</v>
      </c>
      <c r="K2318" s="11" t="s">
        <v>21</v>
      </c>
      <c r="L2318" s="7">
        <v>42215.98809027778</v>
      </c>
      <c r="M2318" s="12" t="s">
        <v>129</v>
      </c>
      <c r="N2318" s="12" t="s">
        <v>218</v>
      </c>
      <c r="O2318" s="10" t="str">
        <f t="shared" si="222"/>
        <v>View</v>
      </c>
      <c r="P2318" s="11"/>
    </row>
    <row r="2319" spans="1:16" ht="12.75" x14ac:dyDescent="0.35">
      <c r="A2319" s="7">
        <v>42482.181064814809</v>
      </c>
      <c r="B2319" s="8" t="str">
        <f>HYPERLINK("https://twitter.com/Hermosuraterr","@Hermosuraterr")</f>
        <v>@Hermosuraterr</v>
      </c>
      <c r="C2319" s="9" t="s">
        <v>5912</v>
      </c>
      <c r="D2319" s="9" t="s">
        <v>5913</v>
      </c>
      <c r="E2319" s="10" t="str">
        <f>HYPERLINK("https://twitter.com/Hermosuraterr/status/723282850162855936","723282850162855936")</f>
        <v>723282850162855936</v>
      </c>
      <c r="F2319" s="11" t="s">
        <v>43</v>
      </c>
      <c r="G2319" s="11">
        <v>846</v>
      </c>
      <c r="H2319" s="11">
        <v>1043</v>
      </c>
      <c r="I2319" s="11">
        <v>2</v>
      </c>
      <c r="J2319" s="11">
        <v>0</v>
      </c>
      <c r="K2319" s="11" t="s">
        <v>21</v>
      </c>
      <c r="L2319" s="7">
        <v>42195.803449074076</v>
      </c>
      <c r="M2319" s="12" t="s">
        <v>5914</v>
      </c>
      <c r="N2319" s="12" t="s">
        <v>5915</v>
      </c>
      <c r="O2319" s="10" t="str">
        <f>HYPERLINK("https://pbs.twimg.com/profile_images/695214565102129153/bpGeoCoy_normal.jpg","View")</f>
        <v>View</v>
      </c>
      <c r="P2319" s="11"/>
    </row>
    <row r="2320" spans="1:16" ht="12.75" x14ac:dyDescent="0.35">
      <c r="A2320" s="7">
        <v>42482.181666666671</v>
      </c>
      <c r="B2320" s="8" t="str">
        <f>HYPERLINK("https://twitter.com/KnowAhhhh","@KnowAhhhh")</f>
        <v>@KnowAhhhh</v>
      </c>
      <c r="C2320" s="9" t="s">
        <v>5916</v>
      </c>
      <c r="D2320" s="9" t="s">
        <v>5917</v>
      </c>
      <c r="E2320" s="10" t="str">
        <f>HYPERLINK("https://twitter.com/KnowAhhhh/status/723283071173287937","723283071173287937")</f>
        <v>723283071173287937</v>
      </c>
      <c r="F2320" s="11" t="s">
        <v>91</v>
      </c>
      <c r="G2320" s="11">
        <v>50</v>
      </c>
      <c r="H2320" s="11">
        <v>303</v>
      </c>
      <c r="I2320" s="11">
        <v>0</v>
      </c>
      <c r="J2320" s="11">
        <v>0</v>
      </c>
      <c r="K2320" s="11" t="s">
        <v>21</v>
      </c>
      <c r="L2320" s="7">
        <v>42166.163645833338</v>
      </c>
      <c r="M2320" s="12" t="s">
        <v>2907</v>
      </c>
      <c r="N2320" s="12" t="s">
        <v>5918</v>
      </c>
      <c r="O2320" s="10" t="str">
        <f>HYPERLINK("https://pbs.twimg.com/profile_images/609726404171821058/p0ZXqqSL_normal.jpg","View")</f>
        <v>View</v>
      </c>
      <c r="P2320" s="11"/>
    </row>
    <row r="2321" spans="1:16" ht="12.75" x14ac:dyDescent="0.35">
      <c r="A2321" s="7">
        <v>42482.181874999995</v>
      </c>
      <c r="B2321" s="8" t="str">
        <f>HYPERLINK("https://twitter.com/buybackmytdi","@buybackmytdi")</f>
        <v>@buybackmytdi</v>
      </c>
      <c r="C2321" s="9" t="s">
        <v>5919</v>
      </c>
      <c r="D2321" s="9" t="s">
        <v>5920</v>
      </c>
      <c r="E2321" s="10" t="str">
        <f>HYPERLINK("https://twitter.com/buybackmytdi/status/723283147333332993","723283147333332993")</f>
        <v>723283147333332993</v>
      </c>
      <c r="F2321" s="11" t="s">
        <v>63</v>
      </c>
      <c r="G2321" s="11">
        <v>523</v>
      </c>
      <c r="H2321" s="11">
        <v>100</v>
      </c>
      <c r="I2321" s="11">
        <v>2</v>
      </c>
      <c r="J2321" s="11">
        <v>11</v>
      </c>
      <c r="K2321" s="11" t="s">
        <v>21</v>
      </c>
      <c r="L2321" s="7">
        <v>42268.890810185185</v>
      </c>
      <c r="M2321" s="12" t="s">
        <v>172</v>
      </c>
      <c r="N2321" s="12" t="s">
        <v>5921</v>
      </c>
      <c r="O2321" s="10" t="str">
        <f>HYPERLINK("https://pbs.twimg.com/profile_images/646083283629965312/BhFSIWWZ_normal.png","View")</f>
        <v>View</v>
      </c>
      <c r="P2321" s="11"/>
    </row>
    <row r="2322" spans="1:16" ht="12.75" x14ac:dyDescent="0.35">
      <c r="A2322" s="7">
        <v>42482.184050925927</v>
      </c>
      <c r="B2322" s="8" t="str">
        <f>HYPERLINK("https://twitter.com/ThreeCountyVW","@ThreeCountyVW")</f>
        <v>@ThreeCountyVW</v>
      </c>
      <c r="C2322" s="9" t="s">
        <v>138</v>
      </c>
      <c r="D2322" s="9" t="s">
        <v>5922</v>
      </c>
      <c r="E2322" s="10" t="str">
        <f>HYPERLINK("https://twitter.com/ThreeCountyVW/status/723283932368637952","723283932368637952")</f>
        <v>723283932368637952</v>
      </c>
      <c r="F2322" s="11" t="s">
        <v>140</v>
      </c>
      <c r="G2322" s="11">
        <v>871</v>
      </c>
      <c r="H2322" s="11">
        <v>210</v>
      </c>
      <c r="I2322" s="11">
        <v>0</v>
      </c>
      <c r="J2322" s="11">
        <v>0</v>
      </c>
      <c r="K2322" s="11" t="s">
        <v>21</v>
      </c>
      <c r="L2322" s="7">
        <v>40150.01599537037</v>
      </c>
      <c r="M2322" s="12"/>
      <c r="N2322" s="12" t="s">
        <v>141</v>
      </c>
      <c r="O2322" s="10" t="str">
        <f>HYPERLINK("https://pbs.twimg.com/profile_images/510134807351672832/NEa_-oCU_normal.jpeg","View")</f>
        <v>View</v>
      </c>
      <c r="P2322" s="11"/>
    </row>
    <row r="2323" spans="1:16" ht="12.75" x14ac:dyDescent="0.35">
      <c r="A2323" s="7">
        <v>42482.185069444444</v>
      </c>
      <c r="B2323" s="8" t="str">
        <f>HYPERLINK("https://twitter.com/Colorful_Jamie","@Colorful_Jamie")</f>
        <v>@Colorful_Jamie</v>
      </c>
      <c r="C2323" s="9" t="s">
        <v>5923</v>
      </c>
      <c r="D2323" s="9" t="s">
        <v>5924</v>
      </c>
      <c r="E2323" s="10" t="str">
        <f>HYPERLINK("https://twitter.com/Colorful_Jamie/status/723284303388483585","723284303388483585")</f>
        <v>723284303388483585</v>
      </c>
      <c r="F2323" s="11" t="s">
        <v>114</v>
      </c>
      <c r="G2323" s="11">
        <v>123</v>
      </c>
      <c r="H2323" s="11">
        <v>221</v>
      </c>
      <c r="I2323" s="11">
        <v>0</v>
      </c>
      <c r="J2323" s="11">
        <v>0</v>
      </c>
      <c r="K2323" s="11" t="s">
        <v>21</v>
      </c>
      <c r="L2323" s="7">
        <v>40130.396145833336</v>
      </c>
      <c r="M2323" s="12" t="s">
        <v>5925</v>
      </c>
      <c r="N2323" s="12" t="s">
        <v>5926</v>
      </c>
      <c r="O2323" s="10" t="str">
        <f>HYPERLINK("https://pbs.twimg.com/profile_images/701333097984360448/l4jaOWgF_normal.jpg","View")</f>
        <v>View</v>
      </c>
      <c r="P2323" s="11"/>
    </row>
    <row r="2324" spans="1:16" ht="12.75" x14ac:dyDescent="0.35">
      <c r="A2324" s="7">
        <v>42482.187523148154</v>
      </c>
      <c r="B2324" s="8" t="str">
        <f>HYPERLINK("https://twitter.com/EscobarVW","@EscobarVW")</f>
        <v>@EscobarVW</v>
      </c>
      <c r="C2324" s="9" t="s">
        <v>5927</v>
      </c>
      <c r="D2324" s="9" t="s">
        <v>5928</v>
      </c>
      <c r="E2324" s="10" t="str">
        <f>HYPERLINK("https://twitter.com/EscobarVW/status/723285190764720129","723285190764720129")</f>
        <v>723285190764720129</v>
      </c>
      <c r="F2324" s="11" t="s">
        <v>53</v>
      </c>
      <c r="G2324" s="11">
        <v>140</v>
      </c>
      <c r="H2324" s="11">
        <v>267</v>
      </c>
      <c r="I2324" s="11">
        <v>0</v>
      </c>
      <c r="J2324" s="11">
        <v>0</v>
      </c>
      <c r="K2324" s="11" t="s">
        <v>21</v>
      </c>
      <c r="L2324" s="7">
        <v>41445.145787037036</v>
      </c>
      <c r="M2324" s="12"/>
      <c r="N2324" s="12" t="s">
        <v>5929</v>
      </c>
      <c r="O2324" s="10" t="str">
        <f>HYPERLINK("https://pbs.twimg.com/profile_images/378800000017673536/e0a08b4394acdb3e39cee11cbec39455_normal.jpeg","View")</f>
        <v>View</v>
      </c>
      <c r="P2324" s="11"/>
    </row>
    <row r="2325" spans="1:16" ht="12.75" x14ac:dyDescent="0.35">
      <c r="A2325" s="7">
        <v>42482.1878587963</v>
      </c>
      <c r="B2325" s="8" t="str">
        <f>HYPERLINK("https://twitter.com/kngeuro","@kngeuro")</f>
        <v>@kngeuro</v>
      </c>
      <c r="C2325" s="9" t="s">
        <v>833</v>
      </c>
      <c r="D2325" s="9" t="s">
        <v>5930</v>
      </c>
      <c r="E2325" s="10" t="str">
        <f>HYPERLINK("https://twitter.com/kngeuro/status/723285315473960960","723285315473960960")</f>
        <v>723285315473960960</v>
      </c>
      <c r="F2325" s="11" t="s">
        <v>53</v>
      </c>
      <c r="G2325" s="11">
        <v>760</v>
      </c>
      <c r="H2325" s="11">
        <v>451</v>
      </c>
      <c r="I2325" s="11">
        <v>1</v>
      </c>
      <c r="J2325" s="11">
        <v>0</v>
      </c>
      <c r="K2325" s="11" t="s">
        <v>21</v>
      </c>
      <c r="L2325" s="7">
        <v>40319.120925925927</v>
      </c>
      <c r="M2325" s="12" t="s">
        <v>835</v>
      </c>
      <c r="N2325" s="12" t="s">
        <v>836</v>
      </c>
      <c r="O2325" s="10" t="str">
        <f>HYPERLINK("https://pbs.twimg.com/profile_images/570375988065935360/ooT_Nq7x_normal.jpeg","View")</f>
        <v>View</v>
      </c>
      <c r="P2325" s="11"/>
    </row>
    <row r="2326" spans="1:16" ht="12.75" x14ac:dyDescent="0.35">
      <c r="A2326" s="7">
        <v>42482.188009259262</v>
      </c>
      <c r="B2326" s="8" t="str">
        <f>HYPERLINK("https://twitter.com/SotirisLalas","@SotirisLalas")</f>
        <v>@SotirisLalas</v>
      </c>
      <c r="C2326" s="9" t="s">
        <v>5931</v>
      </c>
      <c r="D2326" s="9" t="s">
        <v>5932</v>
      </c>
      <c r="E2326" s="10" t="str">
        <f>HYPERLINK("https://twitter.com/SotirisLalas/status/723285370033561600","723285370033561600")</f>
        <v>723285370033561600</v>
      </c>
      <c r="F2326" s="11" t="s">
        <v>20</v>
      </c>
      <c r="G2326" s="11">
        <v>153</v>
      </c>
      <c r="H2326" s="11">
        <v>353</v>
      </c>
      <c r="I2326" s="11">
        <v>1</v>
      </c>
      <c r="J2326" s="11">
        <v>1</v>
      </c>
      <c r="K2326" s="11" t="s">
        <v>21</v>
      </c>
      <c r="L2326" s="7">
        <v>42432.917453703703</v>
      </c>
      <c r="M2326" s="12" t="s">
        <v>5933</v>
      </c>
      <c r="N2326" s="12" t="s">
        <v>5934</v>
      </c>
      <c r="O2326" s="10" t="str">
        <f>HYPERLINK("https://pbs.twimg.com/profile_images/705432428991619072/OaK50uXS_normal.jpg","View")</f>
        <v>View</v>
      </c>
      <c r="P2326" s="11"/>
    </row>
    <row r="2327" spans="1:16" ht="12.75" x14ac:dyDescent="0.35">
      <c r="A2327" s="7">
        <v>42482.188125000001</v>
      </c>
      <c r="B2327" s="8" t="str">
        <f>HYPERLINK("https://twitter.com/DubLuvTuning","@DubLuvTuning")</f>
        <v>@DubLuvTuning</v>
      </c>
      <c r="C2327" s="9" t="s">
        <v>299</v>
      </c>
      <c r="D2327" s="9" t="s">
        <v>5935</v>
      </c>
      <c r="E2327" s="10" t="str">
        <f>HYPERLINK("https://twitter.com/DubLuvTuning/status/723285409858523137","723285409858523137")</f>
        <v>723285409858523137</v>
      </c>
      <c r="F2327" s="11" t="s">
        <v>288</v>
      </c>
      <c r="G2327" s="11">
        <v>690</v>
      </c>
      <c r="H2327" s="11">
        <v>431</v>
      </c>
      <c r="I2327" s="11">
        <v>1</v>
      </c>
      <c r="J2327" s="11">
        <v>0</v>
      </c>
      <c r="K2327" s="11" t="s">
        <v>21</v>
      </c>
      <c r="L2327" s="7">
        <v>41549.898287037038</v>
      </c>
      <c r="M2327" s="12" t="s">
        <v>301</v>
      </c>
      <c r="N2327" s="12" t="s">
        <v>302</v>
      </c>
      <c r="O2327" s="10" t="str">
        <f>HYPERLINK("https://pbs.twimg.com/profile_images/378800000572104796/1de43e1cf23efb3f4101c02afad0d3b6_normal.png","View")</f>
        <v>View</v>
      </c>
      <c r="P2327" s="11"/>
    </row>
    <row r="2328" spans="1:16" ht="12.75" x14ac:dyDescent="0.35">
      <c r="A2328" s="7">
        <v>42482.189953703702</v>
      </c>
      <c r="B2328" s="8" t="str">
        <f>HYPERLINK("https://twitter.com/ballyhea14","@ballyhea14")</f>
        <v>@ballyhea14</v>
      </c>
      <c r="C2328" s="9" t="s">
        <v>5936</v>
      </c>
      <c r="D2328" s="9" t="s">
        <v>5150</v>
      </c>
      <c r="E2328" s="10" t="str">
        <f>HYPERLINK("https://twitter.com/ballyhea14/status/723286073841995776","723286073841995776")</f>
        <v>723286073841995776</v>
      </c>
      <c r="F2328" s="11" t="s">
        <v>48</v>
      </c>
      <c r="G2328" s="11">
        <v>6746</v>
      </c>
      <c r="H2328" s="11">
        <v>640</v>
      </c>
      <c r="I2328" s="11">
        <v>24</v>
      </c>
      <c r="J2328" s="11">
        <v>0</v>
      </c>
      <c r="K2328" s="11" t="s">
        <v>21</v>
      </c>
      <c r="L2328" s="7">
        <v>40605.065868055557</v>
      </c>
      <c r="M2328" s="12"/>
      <c r="N2328" s="12" t="s">
        <v>5937</v>
      </c>
      <c r="O2328" s="10" t="str">
        <f>HYPERLINK("https://pbs.twimg.com/profile_images/1347982898/cropped_twitter_normal.jpg","View")</f>
        <v>View</v>
      </c>
      <c r="P2328" s="11"/>
    </row>
    <row r="2329" spans="1:16" ht="12.75" x14ac:dyDescent="0.35">
      <c r="A2329" s="7">
        <v>42482.189965277779</v>
      </c>
      <c r="B2329" s="8" t="str">
        <f>HYPERLINK("https://twitter.com/VAGFanArg","@VAGFanArg")</f>
        <v>@VAGFanArg</v>
      </c>
      <c r="C2329" s="9" t="s">
        <v>433</v>
      </c>
      <c r="D2329" s="9" t="s">
        <v>5938</v>
      </c>
      <c r="E2329" s="10" t="str">
        <f>HYPERLINK("https://twitter.com/VAGFanArg/status/723286078283718657","723286078283718657")</f>
        <v>723286078283718657</v>
      </c>
      <c r="F2329" s="11" t="s">
        <v>43</v>
      </c>
      <c r="G2329" s="11">
        <v>24</v>
      </c>
      <c r="H2329" s="11">
        <v>5</v>
      </c>
      <c r="I2329" s="11">
        <v>0</v>
      </c>
      <c r="J2329" s="11">
        <v>1</v>
      </c>
      <c r="K2329" s="11" t="s">
        <v>21</v>
      </c>
      <c r="L2329" s="7">
        <v>42329.2815162037</v>
      </c>
      <c r="M2329" s="12"/>
      <c r="N2329" s="12"/>
      <c r="O2329" s="10" t="str">
        <f>HYPERLINK("https://pbs.twimg.com/profile_images/667876096088653825/FOW14Ke4_normal.jpg","View")</f>
        <v>View</v>
      </c>
      <c r="P2329" s="11"/>
    </row>
    <row r="2330" spans="1:16" ht="12.75" x14ac:dyDescent="0.35">
      <c r="A2330" s="7">
        <v>42482.191076388888</v>
      </c>
      <c r="B2330" s="8" t="str">
        <f>HYPERLINK("https://twitter.com/lionleon99","@lionleon99")</f>
        <v>@lionleon99</v>
      </c>
      <c r="C2330" s="9" t="s">
        <v>5939</v>
      </c>
      <c r="D2330" s="9" t="s">
        <v>5760</v>
      </c>
      <c r="E2330" s="10" t="str">
        <f>HYPERLINK("https://twitter.com/lionleon99/status/723286479565381633","723286479565381633")</f>
        <v>723286479565381633</v>
      </c>
      <c r="F2330" s="11" t="s">
        <v>48</v>
      </c>
      <c r="G2330" s="11">
        <v>54</v>
      </c>
      <c r="H2330" s="11">
        <v>80</v>
      </c>
      <c r="I2330" s="11">
        <v>2</v>
      </c>
      <c r="J2330" s="11">
        <v>0</v>
      </c>
      <c r="K2330" s="11" t="s">
        <v>21</v>
      </c>
      <c r="L2330" s="7">
        <v>41934.005879629629</v>
      </c>
      <c r="M2330" s="12"/>
      <c r="N2330" s="12"/>
      <c r="O2330" s="10" t="str">
        <f>HYPERLINK("https://pbs.twimg.com/profile_images/688817509475184640/RNJBrRle_normal.jpg","View")</f>
        <v>View</v>
      </c>
      <c r="P2330" s="11"/>
    </row>
    <row r="2331" spans="1:16" ht="12.75" x14ac:dyDescent="0.35">
      <c r="A2331" s="7">
        <v>42482.191261574073</v>
      </c>
      <c r="B2331" s="8" t="str">
        <f>HYPERLINK("https://twitter.com/IrelandUncut","@IrelandUncut")</f>
        <v>@IrelandUncut</v>
      </c>
      <c r="C2331" s="9" t="s">
        <v>5940</v>
      </c>
      <c r="D2331" s="9" t="s">
        <v>5150</v>
      </c>
      <c r="E2331" s="10" t="str">
        <f>HYPERLINK("https://twitter.com/IrelandUncut/status/723286549157281793","723286549157281793")</f>
        <v>723286549157281793</v>
      </c>
      <c r="F2331" s="11" t="s">
        <v>48</v>
      </c>
      <c r="G2331" s="11">
        <v>6466</v>
      </c>
      <c r="H2331" s="11">
        <v>4887</v>
      </c>
      <c r="I2331" s="11">
        <v>24</v>
      </c>
      <c r="J2331" s="11">
        <v>0</v>
      </c>
      <c r="K2331" s="11" t="s">
        <v>21</v>
      </c>
      <c r="L2331" s="7">
        <v>39887.665543981479</v>
      </c>
      <c r="M2331" s="12" t="s">
        <v>5941</v>
      </c>
      <c r="N2331" s="12" t="s">
        <v>5942</v>
      </c>
      <c r="O2331" s="10" t="str">
        <f>HYPERLINK("https://pbs.twimg.com/profile_images/718457079418208258/dKesHuLS_normal.jpg","View")</f>
        <v>View</v>
      </c>
      <c r="P2331" s="11"/>
    </row>
    <row r="2332" spans="1:16" ht="12.75" x14ac:dyDescent="0.35">
      <c r="A2332" s="7">
        <v>42482.191400462965</v>
      </c>
      <c r="B2332" s="8" t="str">
        <f>HYPERLINK("https://twitter.com/VAGFanArg","@VAGFanArg")</f>
        <v>@VAGFanArg</v>
      </c>
      <c r="C2332" s="9" t="s">
        <v>433</v>
      </c>
      <c r="D2332" s="9" t="s">
        <v>5943</v>
      </c>
      <c r="E2332" s="10" t="str">
        <f>HYPERLINK("https://twitter.com/VAGFanArg/status/723286598805274624","723286598805274624")</f>
        <v>723286598805274624</v>
      </c>
      <c r="F2332" s="11" t="s">
        <v>43</v>
      </c>
      <c r="G2332" s="11">
        <v>24</v>
      </c>
      <c r="H2332" s="11">
        <v>5</v>
      </c>
      <c r="I2332" s="11">
        <v>0</v>
      </c>
      <c r="J2332" s="11">
        <v>1</v>
      </c>
      <c r="K2332" s="11" t="s">
        <v>21</v>
      </c>
      <c r="L2332" s="7">
        <v>42329.2815162037</v>
      </c>
      <c r="M2332" s="12"/>
      <c r="N2332" s="12"/>
      <c r="O2332" s="10" t="str">
        <f>HYPERLINK("https://pbs.twimg.com/profile_images/667876096088653825/FOW14Ke4_normal.jpg","View")</f>
        <v>View</v>
      </c>
      <c r="P2332" s="11"/>
    </row>
    <row r="2333" spans="1:16" ht="12.75" x14ac:dyDescent="0.35">
      <c r="A2333" s="7">
        <v>42482.192870370374</v>
      </c>
      <c r="B2333" s="8" t="str">
        <f>HYPERLINK("https://twitter.com/VWBeetleSales","@VWBeetleSales")</f>
        <v>@VWBeetleSales</v>
      </c>
      <c r="C2333" s="9" t="s">
        <v>127</v>
      </c>
      <c r="D2333" s="9" t="s">
        <v>5944</v>
      </c>
      <c r="E2333" s="10" t="str">
        <f>HYPERLINK("https://twitter.com/VWBeetleSales/status/723287129023860736","723287129023860736")</f>
        <v>723287129023860736</v>
      </c>
      <c r="F2333" s="10" t="s">
        <v>124</v>
      </c>
      <c r="G2333" s="11">
        <v>35</v>
      </c>
      <c r="H2333" s="11">
        <v>32</v>
      </c>
      <c r="I2333" s="11">
        <v>0</v>
      </c>
      <c r="J2333" s="11">
        <v>0</v>
      </c>
      <c r="K2333" s="11" t="s">
        <v>21</v>
      </c>
      <c r="L2333" s="7">
        <v>42427.019756944443</v>
      </c>
      <c r="M2333" s="12" t="s">
        <v>129</v>
      </c>
      <c r="N2333" s="12" t="s">
        <v>130</v>
      </c>
      <c r="O2333" s="10" t="str">
        <f>HYPERLINK("https://pbs.twimg.com/profile_images/703294545195307008/qeCvrX86_normal.jpg","View")</f>
        <v>View</v>
      </c>
      <c r="P2333" s="11"/>
    </row>
    <row r="2334" spans="1:16" ht="12.75" x14ac:dyDescent="0.35">
      <c r="A2334" s="7">
        <v>42482.193854166668</v>
      </c>
      <c r="B2334" s="8" t="str">
        <f>HYPERLINK("https://twitter.com/cuezerdo1957","@cuezerdo1957")</f>
        <v>@cuezerdo1957</v>
      </c>
      <c r="C2334" s="9" t="s">
        <v>5945</v>
      </c>
      <c r="D2334" s="9" t="s">
        <v>5946</v>
      </c>
      <c r="E2334" s="10" t="str">
        <f>HYPERLINK("https://twitter.com/cuezerdo1957/status/723287486957379584","723287486957379584")</f>
        <v>723287486957379584</v>
      </c>
      <c r="F2334" s="11" t="s">
        <v>20</v>
      </c>
      <c r="G2334" s="11">
        <v>158</v>
      </c>
      <c r="H2334" s="11">
        <v>41</v>
      </c>
      <c r="I2334" s="11">
        <v>0</v>
      </c>
      <c r="J2334" s="11">
        <v>0</v>
      </c>
      <c r="K2334" s="11" t="s">
        <v>21</v>
      </c>
      <c r="L2334" s="7">
        <v>41431.035810185189</v>
      </c>
      <c r="M2334" s="12"/>
      <c r="N2334" s="12" t="s">
        <v>5947</v>
      </c>
      <c r="O2334" s="10" t="str">
        <f>HYPERLINK("https://pbs.twimg.com/profile_images/647826405695221760/RrFcDh1m_normal.jpg","View")</f>
        <v>View</v>
      </c>
      <c r="P2334" s="11"/>
    </row>
    <row r="2335" spans="1:16" ht="12.75" x14ac:dyDescent="0.35">
      <c r="A2335" s="7">
        <v>42482.195335648154</v>
      </c>
      <c r="B2335" s="8" t="str">
        <f>HYPERLINK("https://twitter.com/EnlaceMexicoMX","@EnlaceMexicoMX")</f>
        <v>@EnlaceMexicoMX</v>
      </c>
      <c r="C2335" s="9" t="s">
        <v>5948</v>
      </c>
      <c r="D2335" s="9" t="s">
        <v>5949</v>
      </c>
      <c r="E2335" s="10" t="str">
        <f>HYPERLINK("https://twitter.com/EnlaceMexicoMX/status/723288022557421568","723288022557421568")</f>
        <v>723288022557421568</v>
      </c>
      <c r="F2335" s="11" t="s">
        <v>43</v>
      </c>
      <c r="G2335" s="11">
        <v>536</v>
      </c>
      <c r="H2335" s="11">
        <v>294</v>
      </c>
      <c r="I2335" s="11">
        <v>4</v>
      </c>
      <c r="J2335" s="11">
        <v>0</v>
      </c>
      <c r="K2335" s="11" t="s">
        <v>21</v>
      </c>
      <c r="L2335" s="7">
        <v>40724.246504629627</v>
      </c>
      <c r="M2335" s="12" t="s">
        <v>5950</v>
      </c>
      <c r="N2335" s="12" t="s">
        <v>5951</v>
      </c>
      <c r="O2335" s="10" t="str">
        <f>HYPERLINK("https://pbs.twimg.com/profile_images/492428476062777344/PinaonZb_normal.jpeg","View")</f>
        <v>View</v>
      </c>
      <c r="P2335" s="11"/>
    </row>
    <row r="2336" spans="1:16" ht="12.75" x14ac:dyDescent="0.35">
      <c r="A2336" s="7">
        <v>42482.195370370369</v>
      </c>
      <c r="B2336" s="8" t="str">
        <f>HYPERLINK("https://twitter.com/battleforeurope","@battleforeurope")</f>
        <v>@battleforeurope</v>
      </c>
      <c r="C2336" s="9" t="s">
        <v>5952</v>
      </c>
      <c r="D2336" s="9" t="s">
        <v>5150</v>
      </c>
      <c r="E2336" s="10" t="str">
        <f>HYPERLINK("https://twitter.com/battleforeurope/status/723288036956459008","723288036956459008")</f>
        <v>723288036956459008</v>
      </c>
      <c r="F2336" s="11" t="s">
        <v>20</v>
      </c>
      <c r="G2336" s="11">
        <v>662</v>
      </c>
      <c r="H2336" s="11">
        <v>843</v>
      </c>
      <c r="I2336" s="11">
        <v>24</v>
      </c>
      <c r="J2336" s="11">
        <v>0</v>
      </c>
      <c r="K2336" s="11" t="s">
        <v>21</v>
      </c>
      <c r="L2336" s="7">
        <v>41649.957048611112</v>
      </c>
      <c r="M2336" s="12"/>
      <c r="N2336" s="12" t="s">
        <v>5953</v>
      </c>
      <c r="O2336" s="10" t="str">
        <f>HYPERLINK("https://pbs.twimg.com/profile_images/421696344185503744/QuPb6MQO_normal.jpeg","View")</f>
        <v>View</v>
      </c>
      <c r="P2336" s="11"/>
    </row>
    <row r="2337" spans="1:16" ht="12.75" x14ac:dyDescent="0.35">
      <c r="A2337" s="7">
        <v>42482.195428240739</v>
      </c>
      <c r="B2337" s="8" t="str">
        <f>HYPERLINK("https://twitter.com/isazozoaga","@isazozoaga")</f>
        <v>@isazozoaga</v>
      </c>
      <c r="C2337" s="9" t="s">
        <v>5954</v>
      </c>
      <c r="D2337" s="9" t="s">
        <v>5955</v>
      </c>
      <c r="E2337" s="10" t="str">
        <f>HYPERLINK("https://twitter.com/isazozoaga/status/723288057638584322","723288057638584322")</f>
        <v>723288057638584322</v>
      </c>
      <c r="F2337" s="11" t="s">
        <v>20</v>
      </c>
      <c r="G2337" s="11">
        <v>89</v>
      </c>
      <c r="H2337" s="11">
        <v>80</v>
      </c>
      <c r="I2337" s="11">
        <v>4</v>
      </c>
      <c r="J2337" s="11">
        <v>0</v>
      </c>
      <c r="K2337" s="11" t="s">
        <v>21</v>
      </c>
      <c r="L2337" s="7">
        <v>41355.405844907407</v>
      </c>
      <c r="M2337" s="12" t="s">
        <v>5956</v>
      </c>
      <c r="N2337" s="12" t="s">
        <v>5957</v>
      </c>
      <c r="O2337" s="10" t="str">
        <f>HYPERLINK("https://pbs.twimg.com/profile_images/447441718514700288/peakR1oV_normal.jpeg","View")</f>
        <v>View</v>
      </c>
      <c r="P2337" s="11"/>
    </row>
    <row r="2338" spans="1:16" ht="12.75" x14ac:dyDescent="0.35">
      <c r="A2338" s="7">
        <v>42482.195775462962</v>
      </c>
      <c r="B2338" s="8" t="str">
        <f>HYPERLINK("https://twitter.com/bradkellyfilms","@bradkellyfilms")</f>
        <v>@bradkellyfilms</v>
      </c>
      <c r="C2338" s="9" t="s">
        <v>5958</v>
      </c>
      <c r="D2338" s="9" t="s">
        <v>5959</v>
      </c>
      <c r="E2338" s="10" t="str">
        <f>HYPERLINK("https://twitter.com/bradkellyfilms/status/723288182167580673","723288182167580673")</f>
        <v>723288182167580673</v>
      </c>
      <c r="F2338" s="11" t="s">
        <v>20</v>
      </c>
      <c r="G2338" s="11">
        <v>1197</v>
      </c>
      <c r="H2338" s="11">
        <v>1736</v>
      </c>
      <c r="I2338" s="11">
        <v>0</v>
      </c>
      <c r="J2338" s="11">
        <v>1</v>
      </c>
      <c r="K2338" s="11" t="s">
        <v>21</v>
      </c>
      <c r="L2338" s="7">
        <v>39932.029652777775</v>
      </c>
      <c r="M2338" s="12" t="s">
        <v>5960</v>
      </c>
      <c r="N2338" s="12" t="s">
        <v>5961</v>
      </c>
      <c r="O2338" s="10" t="str">
        <f>HYPERLINK("https://pbs.twimg.com/profile_images/1232924144/BradKelly_MeteorOverHarvardSq_lcd800_normal.jpg","View")</f>
        <v>View</v>
      </c>
      <c r="P2338" s="11"/>
    </row>
    <row r="2339" spans="1:16" ht="12.75" x14ac:dyDescent="0.35">
      <c r="A2339" s="7">
        <v>42482.196064814816</v>
      </c>
      <c r="B2339" s="8" t="str">
        <f>HYPERLINK("https://twitter.com/Scirocco_Tuning","@Scirocco_Tuning")</f>
        <v>@Scirocco_Tuning</v>
      </c>
      <c r="C2339" s="9" t="s">
        <v>51</v>
      </c>
      <c r="D2339" s="9" t="s">
        <v>5962</v>
      </c>
      <c r="E2339" s="10" t="str">
        <f>HYPERLINK("https://twitter.com/Scirocco_Tuning/status/723288287503351809","723288287503351809")</f>
        <v>723288287503351809</v>
      </c>
      <c r="F2339" s="11" t="s">
        <v>53</v>
      </c>
      <c r="G2339" s="11">
        <v>69</v>
      </c>
      <c r="H2339" s="11">
        <v>215</v>
      </c>
      <c r="I2339" s="11">
        <v>0</v>
      </c>
      <c r="J2339" s="11">
        <v>0</v>
      </c>
      <c r="K2339" s="11" t="s">
        <v>21</v>
      </c>
      <c r="L2339" s="7">
        <v>40844.564722222218</v>
      </c>
      <c r="M2339" s="12"/>
      <c r="N2339" s="12"/>
      <c r="O2339" s="10" t="str">
        <f>HYPERLINK("https://pbs.twimg.com/profile_images/1610421423/Image2_normal.jpg","View")</f>
        <v>View</v>
      </c>
      <c r="P2339" s="11"/>
    </row>
    <row r="2340" spans="1:16" ht="12.75" x14ac:dyDescent="0.35">
      <c r="A2340" s="7">
        <v>42482.198796296296</v>
      </c>
      <c r="B2340" s="8" t="str">
        <f>HYPERLINK("https://twitter.com/SteveHancke","@SteveHancke")</f>
        <v>@SteveHancke</v>
      </c>
      <c r="C2340" s="9" t="s">
        <v>5963</v>
      </c>
      <c r="D2340" s="9" t="s">
        <v>5964</v>
      </c>
      <c r="E2340" s="10" t="str">
        <f>HYPERLINK("https://twitter.com/SteveHancke/status/723289279523381248","723289279523381248")</f>
        <v>723289279523381248</v>
      </c>
      <c r="F2340" s="11" t="s">
        <v>114</v>
      </c>
      <c r="G2340" s="11">
        <v>389</v>
      </c>
      <c r="H2340" s="11">
        <v>1635</v>
      </c>
      <c r="I2340" s="11">
        <v>0</v>
      </c>
      <c r="J2340" s="11">
        <v>0</v>
      </c>
      <c r="K2340" s="11" t="s">
        <v>21</v>
      </c>
      <c r="L2340" s="7">
        <v>40593.901585648149</v>
      </c>
      <c r="M2340" s="12" t="s">
        <v>35</v>
      </c>
      <c r="N2340" s="12" t="s">
        <v>5965</v>
      </c>
      <c r="O2340" s="10" t="str">
        <f>HYPERLINK("https://pbs.twimg.com/profile_images/2770347874/15a72fbead709b772a6a2f4b3e23cced_normal.jpeg","View")</f>
        <v>View</v>
      </c>
      <c r="P2340" s="11"/>
    </row>
    <row r="2341" spans="1:16" ht="12.75" x14ac:dyDescent="0.35">
      <c r="A2341" s="7">
        <v>42482.199988425928</v>
      </c>
      <c r="B2341" s="8" t="str">
        <f>HYPERLINK("https://twitter.com/colwagen","@colwagen")</f>
        <v>@colwagen</v>
      </c>
      <c r="C2341" s="9" t="s">
        <v>5966</v>
      </c>
      <c r="D2341" s="9" t="s">
        <v>5967</v>
      </c>
      <c r="E2341" s="10" t="str">
        <f>HYPERLINK("https://twitter.com/colwagen/status/723289709103964165","723289709103964165")</f>
        <v>723289709103964165</v>
      </c>
      <c r="F2341" s="11" t="s">
        <v>43</v>
      </c>
      <c r="G2341" s="11">
        <v>11349</v>
      </c>
      <c r="H2341" s="11">
        <v>1154</v>
      </c>
      <c r="I2341" s="11">
        <v>0</v>
      </c>
      <c r="J2341" s="11">
        <v>3</v>
      </c>
      <c r="K2341" s="11" t="s">
        <v>21</v>
      </c>
      <c r="L2341" s="7">
        <v>40772.819733796292</v>
      </c>
      <c r="M2341" s="12" t="s">
        <v>5968</v>
      </c>
      <c r="N2341" s="12" t="s">
        <v>5969</v>
      </c>
      <c r="O2341" s="10" t="str">
        <f>HYPERLINK("https://pbs.twimg.com/profile_images/2432925127/037j7zaybfps0pmn6dp9_normal.gif","View")</f>
        <v>View</v>
      </c>
      <c r="P2341" s="11"/>
    </row>
    <row r="2342" spans="1:16" ht="12.75" x14ac:dyDescent="0.35">
      <c r="A2342" s="7">
        <v>42482.200567129628</v>
      </c>
      <c r="B2342" s="8" t="str">
        <f>HYPERLINK("https://twitter.com/sandraelleni","@sandraelleni")</f>
        <v>@sandraelleni</v>
      </c>
      <c r="C2342" s="9" t="s">
        <v>5020</v>
      </c>
      <c r="D2342" s="9" t="s">
        <v>5970</v>
      </c>
      <c r="E2342" s="10" t="str">
        <f>HYPERLINK("https://twitter.com/sandraelleni/status/723289919087628288","723289919087628288")</f>
        <v>723289919087628288</v>
      </c>
      <c r="F2342" s="11" t="s">
        <v>43</v>
      </c>
      <c r="G2342" s="11">
        <v>633</v>
      </c>
      <c r="H2342" s="11">
        <v>795</v>
      </c>
      <c r="I2342" s="11">
        <v>0</v>
      </c>
      <c r="J2342" s="11">
        <v>0</v>
      </c>
      <c r="K2342" s="11" t="s">
        <v>21</v>
      </c>
      <c r="L2342" s="7">
        <v>39988.763958333337</v>
      </c>
      <c r="M2342" s="12" t="s">
        <v>3097</v>
      </c>
      <c r="N2342" s="12" t="s">
        <v>5971</v>
      </c>
      <c r="O2342" s="10" t="str">
        <f>HYPERLINK("https://pbs.twimg.com/profile_images/457654961531125760/YCdjkxyv_normal.jpeg","View")</f>
        <v>View</v>
      </c>
      <c r="P2342" s="11"/>
    </row>
    <row r="2343" spans="1:16" ht="12.75" x14ac:dyDescent="0.35">
      <c r="A2343" s="7">
        <v>42482.201435185183</v>
      </c>
      <c r="B2343" s="8" t="str">
        <f>HYPERLINK("https://twitter.com/VWBeetleSales","@VWBeetleSales")</f>
        <v>@VWBeetleSales</v>
      </c>
      <c r="C2343" s="9" t="s">
        <v>127</v>
      </c>
      <c r="D2343" s="9" t="s">
        <v>5972</v>
      </c>
      <c r="E2343" s="10" t="str">
        <f>HYPERLINK("https://twitter.com/VWBeetleSales/status/723290235044401152","723290235044401152")</f>
        <v>723290235044401152</v>
      </c>
      <c r="F2343" s="10" t="s">
        <v>124</v>
      </c>
      <c r="G2343" s="11">
        <v>35</v>
      </c>
      <c r="H2343" s="11">
        <v>32</v>
      </c>
      <c r="I2343" s="11">
        <v>0</v>
      </c>
      <c r="J2343" s="11">
        <v>0</v>
      </c>
      <c r="K2343" s="11" t="s">
        <v>21</v>
      </c>
      <c r="L2343" s="7">
        <v>42427.019756944443</v>
      </c>
      <c r="M2343" s="12" t="s">
        <v>129</v>
      </c>
      <c r="N2343" s="12" t="s">
        <v>130</v>
      </c>
      <c r="O2343" s="10" t="str">
        <f>HYPERLINK("https://pbs.twimg.com/profile_images/703294545195307008/qeCvrX86_normal.jpg","View")</f>
        <v>View</v>
      </c>
      <c r="P2343" s="11"/>
    </row>
    <row r="2344" spans="1:16" ht="12.75" x14ac:dyDescent="0.35">
      <c r="A2344" s="7">
        <v>42482.201597222222</v>
      </c>
      <c r="B2344" s="8" t="str">
        <f>HYPERLINK("https://twitter.com/TheSandboxN","@TheSandboxN")</f>
        <v>@TheSandboxN</v>
      </c>
      <c r="C2344" s="9" t="s">
        <v>5973</v>
      </c>
      <c r="D2344" s="9" t="s">
        <v>5974</v>
      </c>
      <c r="E2344" s="10" t="str">
        <f>HYPERLINK("https://twitter.com/TheSandboxN/status/723290291214684162","723290291214684162")</f>
        <v>723290291214684162</v>
      </c>
      <c r="F2344" s="11" t="s">
        <v>152</v>
      </c>
      <c r="G2344" s="11">
        <v>1575</v>
      </c>
      <c r="H2344" s="11">
        <v>1596</v>
      </c>
      <c r="I2344" s="11">
        <v>1</v>
      </c>
      <c r="J2344" s="11">
        <v>1</v>
      </c>
      <c r="K2344" s="11" t="s">
        <v>21</v>
      </c>
      <c r="L2344" s="7">
        <v>40806.21402777778</v>
      </c>
      <c r="M2344" s="12" t="s">
        <v>5975</v>
      </c>
      <c r="N2344" s="12" t="s">
        <v>5976</v>
      </c>
      <c r="O2344" s="10" t="str">
        <f>HYPERLINK("https://pbs.twimg.com/profile_images/513238663489388545/MPjFU3cf_normal.jpeg","View")</f>
        <v>View</v>
      </c>
      <c r="P2344" s="11"/>
    </row>
    <row r="2345" spans="1:16" ht="12.75" x14ac:dyDescent="0.35">
      <c r="A2345" s="7">
        <v>42482.202106481476</v>
      </c>
      <c r="B2345" s="8" t="str">
        <f>HYPERLINK("https://twitter.com/Lindsay_VW","@Lindsay_VW")</f>
        <v>@Lindsay_VW</v>
      </c>
      <c r="C2345" s="9" t="s">
        <v>211</v>
      </c>
      <c r="D2345" s="9" t="s">
        <v>5977</v>
      </c>
      <c r="E2345" s="10" t="str">
        <f>HYPERLINK("https://twitter.com/Lindsay_VW/status/723290477836013569","723290477836013569")</f>
        <v>723290477836013569</v>
      </c>
      <c r="F2345" s="11" t="s">
        <v>213</v>
      </c>
      <c r="G2345" s="11">
        <v>4668</v>
      </c>
      <c r="H2345" s="11">
        <v>4338</v>
      </c>
      <c r="I2345" s="11">
        <v>0</v>
      </c>
      <c r="J2345" s="11">
        <v>0</v>
      </c>
      <c r="K2345" s="11" t="s">
        <v>21</v>
      </c>
      <c r="L2345" s="7">
        <v>39872.963599537034</v>
      </c>
      <c r="M2345" s="12" t="s">
        <v>214</v>
      </c>
      <c r="N2345" s="12" t="s">
        <v>215</v>
      </c>
      <c r="O2345" s="10" t="str">
        <f>HYPERLINK("https://pbs.twimg.com/profile_images/716020780899807232/fnaRfVpE_normal.jpg","View")</f>
        <v>View</v>
      </c>
      <c r="P2345" s="11"/>
    </row>
    <row r="2346" spans="1:16" ht="12.75" x14ac:dyDescent="0.35">
      <c r="A2346" s="7">
        <v>42482.202881944446</v>
      </c>
      <c r="B2346" s="8" t="str">
        <f>HYPERLINK("https://twitter.com/FlorMusante_","@FlorMusante_")</f>
        <v>@FlorMusante_</v>
      </c>
      <c r="C2346" s="9" t="s">
        <v>5978</v>
      </c>
      <c r="D2346" s="9" t="s">
        <v>2825</v>
      </c>
      <c r="E2346" s="10" t="str">
        <f>HYPERLINK("https://twitter.com/FlorMusante_/status/723290757361180673","723290757361180673")</f>
        <v>723290757361180673</v>
      </c>
      <c r="F2346" s="11" t="s">
        <v>48</v>
      </c>
      <c r="G2346" s="11">
        <v>1105</v>
      </c>
      <c r="H2346" s="11">
        <v>961</v>
      </c>
      <c r="I2346" s="11">
        <v>53</v>
      </c>
      <c r="J2346" s="11">
        <v>0</v>
      </c>
      <c r="K2346" s="11" t="s">
        <v>21</v>
      </c>
      <c r="L2346" s="7">
        <v>41274.451620370368</v>
      </c>
      <c r="M2346" s="12" t="s">
        <v>5979</v>
      </c>
      <c r="N2346" s="12" t="s">
        <v>5980</v>
      </c>
      <c r="O2346" s="10" t="str">
        <f>HYPERLINK("https://pbs.twimg.com/profile_images/721724710174601216/B0T6CY6B_normal.jpg","View")</f>
        <v>View</v>
      </c>
      <c r="P2346" s="11"/>
    </row>
    <row r="2347" spans="1:16" ht="12.75" x14ac:dyDescent="0.35">
      <c r="A2347" s="7">
        <v>42482.203078703707</v>
      </c>
      <c r="B2347" s="8" t="str">
        <f>HYPERLINK("https://twitter.com/VintageGermanPt","@VintageGermanPt")</f>
        <v>@VintageGermanPt</v>
      </c>
      <c r="C2347" s="9" t="s">
        <v>4869</v>
      </c>
      <c r="D2347" s="9" t="s">
        <v>5981</v>
      </c>
      <c r="E2347" s="10" t="str">
        <f>HYPERLINK("https://twitter.com/VintageGermanPt/status/723290828953800705","723290828953800705")</f>
        <v>723290828953800705</v>
      </c>
      <c r="F2347" s="11" t="s">
        <v>68</v>
      </c>
      <c r="G2347" s="11">
        <v>2</v>
      </c>
      <c r="H2347" s="11">
        <v>0</v>
      </c>
      <c r="I2347" s="11">
        <v>0</v>
      </c>
      <c r="J2347" s="11">
        <v>0</v>
      </c>
      <c r="K2347" s="11" t="s">
        <v>21</v>
      </c>
      <c r="L2347" s="7">
        <v>42446.18644675926</v>
      </c>
      <c r="M2347" s="12" t="s">
        <v>4871</v>
      </c>
      <c r="N2347" s="12" t="s">
        <v>4872</v>
      </c>
      <c r="O2347" s="10" t="str">
        <f>HYPERLINK("https://pbs.twimg.com/profile_images/710240802551635969/4XYQFs8c_normal.jpg","View")</f>
        <v>View</v>
      </c>
      <c r="P2347" s="11"/>
    </row>
    <row r="2348" spans="1:16" ht="12.75" x14ac:dyDescent="0.35">
      <c r="A2348" s="7">
        <v>42482.20417824074</v>
      </c>
      <c r="B2348" s="8" t="str">
        <f>HYPERLINK("https://twitter.com/KeithDPatch","@KeithDPatch")</f>
        <v>@KeithDPatch</v>
      </c>
      <c r="C2348" s="9" t="s">
        <v>5982</v>
      </c>
      <c r="D2348" s="9" t="s">
        <v>5983</v>
      </c>
      <c r="E2348" s="10" t="str">
        <f>HYPERLINK("https://twitter.com/KeithDPatch/status/723291226489917441","723291226489917441")</f>
        <v>723291226489917441</v>
      </c>
      <c r="F2348" s="11" t="s">
        <v>20</v>
      </c>
      <c r="G2348" s="11">
        <v>2190</v>
      </c>
      <c r="H2348" s="11">
        <v>656</v>
      </c>
      <c r="I2348" s="11">
        <v>1</v>
      </c>
      <c r="J2348" s="11">
        <v>0</v>
      </c>
      <c r="K2348" s="11" t="s">
        <v>21</v>
      </c>
      <c r="L2348" s="7">
        <v>40655.243055555555</v>
      </c>
      <c r="M2348" s="12" t="s">
        <v>2378</v>
      </c>
      <c r="N2348" s="12" t="s">
        <v>5984</v>
      </c>
      <c r="O2348" s="10" t="str">
        <f>HYPERLINK("https://pbs.twimg.com/profile_images/503913874018426881/2pCdkHKf_normal.jpeg","View")</f>
        <v>View</v>
      </c>
      <c r="P2348" s="11"/>
    </row>
    <row r="2349" spans="1:16" ht="12.75" x14ac:dyDescent="0.35">
      <c r="A2349" s="7">
        <v>42482.204780092594</v>
      </c>
      <c r="B2349" s="8" t="str">
        <f>HYPERLINK("https://twitter.com/ebaycampervans","@ebaycampervans")</f>
        <v>@ebaycampervans</v>
      </c>
      <c r="C2349" s="9" t="s">
        <v>682</v>
      </c>
      <c r="D2349" s="9" t="s">
        <v>5985</v>
      </c>
      <c r="E2349" s="10" t="str">
        <f>HYPERLINK("https://twitter.com/ebaycampervans/status/723291446002905090","723291446002905090")</f>
        <v>723291446002905090</v>
      </c>
      <c r="F2349" s="11" t="s">
        <v>34</v>
      </c>
      <c r="G2349" s="11">
        <v>380</v>
      </c>
      <c r="H2349" s="11">
        <v>1002</v>
      </c>
      <c r="I2349" s="11">
        <v>0</v>
      </c>
      <c r="J2349" s="11">
        <v>0</v>
      </c>
      <c r="K2349" s="11" t="s">
        <v>21</v>
      </c>
      <c r="L2349" s="7">
        <v>42140.207604166666</v>
      </c>
      <c r="M2349" s="12"/>
      <c r="N2349" s="12" t="s">
        <v>684</v>
      </c>
      <c r="O2349" s="10" t="str">
        <f>HYPERLINK("https://pbs.twimg.com/profile_images/599357023407464449/BL9Bpo6T_normal.jpg","View")</f>
        <v>View</v>
      </c>
      <c r="P2349" s="11"/>
    </row>
    <row r="2350" spans="1:16" ht="12.75" x14ac:dyDescent="0.35">
      <c r="A2350" s="7">
        <v>42482.205243055556</v>
      </c>
      <c r="B2350" s="8" t="str">
        <f>HYPERLINK("https://twitter.com/RachaelFinch","@RachaelFinch")</f>
        <v>@RachaelFinch</v>
      </c>
      <c r="C2350" s="9" t="s">
        <v>5986</v>
      </c>
      <c r="D2350" s="9" t="s">
        <v>5987</v>
      </c>
      <c r="E2350" s="10" t="str">
        <f>HYPERLINK("https://twitter.com/RachaelFinch/status/723291614593073154","723291614593073154")</f>
        <v>723291614593073154</v>
      </c>
      <c r="F2350" s="11" t="s">
        <v>114</v>
      </c>
      <c r="G2350" s="11">
        <v>61723</v>
      </c>
      <c r="H2350" s="11">
        <v>609</v>
      </c>
      <c r="I2350" s="11">
        <v>0</v>
      </c>
      <c r="J2350" s="11">
        <v>4</v>
      </c>
      <c r="K2350" s="11" t="s">
        <v>21</v>
      </c>
      <c r="L2350" s="7">
        <v>39927.200995370367</v>
      </c>
      <c r="M2350" s="12"/>
      <c r="N2350" s="12" t="s">
        <v>5988</v>
      </c>
      <c r="O2350" s="10" t="str">
        <f>HYPERLINK("https://pbs.twimg.com/profile_images/652793782535000065/TEIow6PF_normal.jpg","View")</f>
        <v>View</v>
      </c>
      <c r="P2350" s="11"/>
    </row>
    <row r="2351" spans="1:16" ht="12.75" x14ac:dyDescent="0.35">
      <c r="A2351" s="7">
        <v>42482.205925925926</v>
      </c>
      <c r="B2351" s="8" t="str">
        <f>HYPERLINK("https://twitter.com/MikeMalloy9","@MikeMalloy9")</f>
        <v>@MikeMalloy9</v>
      </c>
      <c r="C2351" s="9" t="s">
        <v>5989</v>
      </c>
      <c r="D2351" s="9" t="s">
        <v>5990</v>
      </c>
      <c r="E2351" s="10" t="str">
        <f>HYPERLINK("https://twitter.com/MikeMalloy9/status/723291860744036352","723291860744036352")</f>
        <v>723291860744036352</v>
      </c>
      <c r="F2351" s="11" t="s">
        <v>20</v>
      </c>
      <c r="G2351" s="11">
        <v>254</v>
      </c>
      <c r="H2351" s="11">
        <v>92</v>
      </c>
      <c r="I2351" s="11">
        <v>0</v>
      </c>
      <c r="J2351" s="11">
        <v>0</v>
      </c>
      <c r="K2351" s="11" t="s">
        <v>21</v>
      </c>
      <c r="L2351" s="7">
        <v>42012.176944444444</v>
      </c>
      <c r="M2351" s="12" t="s">
        <v>2646</v>
      </c>
      <c r="N2351" s="12" t="s">
        <v>5991</v>
      </c>
      <c r="O2351" s="10" t="str">
        <f>HYPERLINK("https://pbs.twimg.com/profile_images/708375664320188417/o-lrGfEy_normal.jpg","View")</f>
        <v>View</v>
      </c>
      <c r="P2351" s="11"/>
    </row>
    <row r="2352" spans="1:16" ht="12.75" x14ac:dyDescent="0.35">
      <c r="A2352" s="7">
        <v>42482.206736111111</v>
      </c>
      <c r="B2352" s="8" t="str">
        <f>HYPERLINK("https://twitter.com/alexgarciaSD","@alexgarciaSD")</f>
        <v>@alexgarciaSD</v>
      </c>
      <c r="C2352" s="9" t="s">
        <v>5992</v>
      </c>
      <c r="D2352" s="9" t="s">
        <v>5993</v>
      </c>
      <c r="E2352" s="10" t="str">
        <f>HYPERLINK("https://twitter.com/alexgarciaSD/status/723292153846210560","723292153846210560")</f>
        <v>723292153846210560</v>
      </c>
      <c r="F2352" s="11" t="s">
        <v>91</v>
      </c>
      <c r="G2352" s="11">
        <v>41</v>
      </c>
      <c r="H2352" s="11">
        <v>119</v>
      </c>
      <c r="I2352" s="11">
        <v>0</v>
      </c>
      <c r="J2352" s="11">
        <v>0</v>
      </c>
      <c r="K2352" s="11" t="s">
        <v>21</v>
      </c>
      <c r="L2352" s="7">
        <v>40993.22074074074</v>
      </c>
      <c r="M2352" s="12" t="s">
        <v>5994</v>
      </c>
      <c r="N2352" s="12" t="s">
        <v>5995</v>
      </c>
      <c r="O2352" s="10" t="str">
        <f>HYPERLINK("https://pbs.twimg.com/profile_images/574276640261345281/jj9KwVyR_normal.jpeg","View")</f>
        <v>View</v>
      </c>
      <c r="P2352" s="11"/>
    </row>
    <row r="2353" spans="1:16" ht="12.75" x14ac:dyDescent="0.35">
      <c r="A2353" s="7">
        <v>42482.207256944443</v>
      </c>
      <c r="B2353" s="8" t="str">
        <f>HYPERLINK("https://twitter.com/OnlineCarReview","@OnlineCarReview")</f>
        <v>@OnlineCarReview</v>
      </c>
      <c r="C2353" s="9" t="s">
        <v>176</v>
      </c>
      <c r="D2353" s="9" t="s">
        <v>5996</v>
      </c>
      <c r="E2353" s="10" t="str">
        <f>HYPERLINK("https://twitter.com/OnlineCarReview/status/723292343101591552","723292343101591552")</f>
        <v>723292343101591552</v>
      </c>
      <c r="F2353" s="11" t="s">
        <v>34</v>
      </c>
      <c r="G2353" s="11">
        <v>839</v>
      </c>
      <c r="H2353" s="11">
        <v>568</v>
      </c>
      <c r="I2353" s="11">
        <v>0</v>
      </c>
      <c r="J2353" s="11">
        <v>0</v>
      </c>
      <c r="K2353" s="11" t="s">
        <v>21</v>
      </c>
      <c r="L2353" s="7">
        <v>42282.979201388887</v>
      </c>
      <c r="M2353" s="12"/>
      <c r="N2353" s="12" t="s">
        <v>178</v>
      </c>
      <c r="O2353" s="10" t="str">
        <f>HYPERLINK("https://pbs.twimg.com/profile_images/652871584131092480/QA_B6SBO_normal.jpg","View")</f>
        <v>View</v>
      </c>
      <c r="P2353" s="11"/>
    </row>
    <row r="2354" spans="1:16" ht="12.75" x14ac:dyDescent="0.35">
      <c r="A2354" s="7">
        <v>42482.207384259258</v>
      </c>
      <c r="B2354" s="8" t="str">
        <f>HYPERLINK("https://twitter.com/Karlomart","@Karlomart")</f>
        <v>@Karlomart</v>
      </c>
      <c r="C2354" s="9" t="s">
        <v>2726</v>
      </c>
      <c r="D2354" s="9" t="s">
        <v>5997</v>
      </c>
      <c r="E2354" s="10" t="str">
        <f>HYPERLINK("https://twitter.com/Karlomart/status/723292390237310978","723292390237310978")</f>
        <v>723292390237310978</v>
      </c>
      <c r="F2354" s="11" t="s">
        <v>43</v>
      </c>
      <c r="G2354" s="11">
        <v>56</v>
      </c>
      <c r="H2354" s="11">
        <v>34</v>
      </c>
      <c r="I2354" s="11">
        <v>0</v>
      </c>
      <c r="J2354" s="11">
        <v>0</v>
      </c>
      <c r="K2354" s="11" t="s">
        <v>21</v>
      </c>
      <c r="L2354" s="7">
        <v>40860.371331018519</v>
      </c>
      <c r="M2354" s="12" t="s">
        <v>2728</v>
      </c>
      <c r="N2354" s="12"/>
      <c r="O2354" s="10" t="str">
        <f>HYPERLINK("https://pbs.twimg.com/profile_images/441017002224660480/wMS_0yBK_normal.jpeg","View")</f>
        <v>View</v>
      </c>
      <c r="P2354" s="11"/>
    </row>
    <row r="2355" spans="1:16" ht="12.75" x14ac:dyDescent="0.35">
      <c r="A2355" s="7">
        <v>42482.208877314813</v>
      </c>
      <c r="B2355" s="8" t="str">
        <f>HYPERLINK("https://twitter.com/opalaSS_78","@opalaSS_78")</f>
        <v>@opalaSS_78</v>
      </c>
      <c r="C2355" s="9" t="s">
        <v>5998</v>
      </c>
      <c r="D2355" s="9" t="s">
        <v>5999</v>
      </c>
      <c r="E2355" s="10" t="str">
        <f>HYPERLINK("https://twitter.com/opalaSS_78/status/723292932187533313","723292932187533313")</f>
        <v>723292932187533313</v>
      </c>
      <c r="F2355" s="11" t="s">
        <v>114</v>
      </c>
      <c r="G2355" s="11">
        <v>208</v>
      </c>
      <c r="H2355" s="11">
        <v>510</v>
      </c>
      <c r="I2355" s="11">
        <v>0</v>
      </c>
      <c r="J2355" s="11">
        <v>0</v>
      </c>
      <c r="K2355" s="11" t="s">
        <v>21</v>
      </c>
      <c r="L2355" s="7">
        <v>40275.875856481478</v>
      </c>
      <c r="M2355" s="12" t="s">
        <v>6000</v>
      </c>
      <c r="N2355" s="12" t="s">
        <v>6001</v>
      </c>
      <c r="O2355" s="10" t="str">
        <f>HYPERLINK("https://pbs.twimg.com/profile_images/378800000331644899/f007a72bd5fe7c6b8f3f354d7015cc14_normal.png","View")</f>
        <v>View</v>
      </c>
      <c r="P2355" s="10" t="str">
        <f>HYPERLINK("http://ctrlq.org/maps/address/#-20.47345436,-55.78642184","Map")</f>
        <v>Map</v>
      </c>
    </row>
    <row r="2356" spans="1:16" ht="12.75" x14ac:dyDescent="0.35">
      <c r="A2356" s="7">
        <v>42482.209004629629</v>
      </c>
      <c r="B2356" s="8" t="str">
        <f>HYPERLINK("https://twitter.com/donaukurier","@donaukurier")</f>
        <v>@donaukurier</v>
      </c>
      <c r="C2356" s="8" t="s">
        <v>1201</v>
      </c>
      <c r="D2356" s="9" t="s">
        <v>6002</v>
      </c>
      <c r="E2356" s="10" t="str">
        <f>HYPERLINK("https://twitter.com/donaukurier/status/723292978287153152","723292978287153152")</f>
        <v>723292978287153152</v>
      </c>
      <c r="F2356" s="11" t="s">
        <v>43</v>
      </c>
      <c r="G2356" s="11">
        <v>3562</v>
      </c>
      <c r="H2356" s="11">
        <v>682</v>
      </c>
      <c r="I2356" s="11">
        <v>0</v>
      </c>
      <c r="J2356" s="11">
        <v>0</v>
      </c>
      <c r="K2356" s="11" t="s">
        <v>21</v>
      </c>
      <c r="L2356" s="7">
        <v>39834.624814814815</v>
      </c>
      <c r="M2356" s="12" t="s">
        <v>1203</v>
      </c>
      <c r="N2356" s="12" t="s">
        <v>1204</v>
      </c>
      <c r="O2356" s="10" t="str">
        <f>HYPERLINK("https://pbs.twimg.com/profile_images/453883735738310657/v_R7tMWg_normal.jpeg","View")</f>
        <v>View</v>
      </c>
      <c r="P2356" s="11"/>
    </row>
    <row r="2357" spans="1:16" ht="12.75" x14ac:dyDescent="0.35">
      <c r="A2357" s="7">
        <v>42482.211608796293</v>
      </c>
      <c r="B2357" s="8" t="str">
        <f>HYPERLINK("https://twitter.com/sergiooacuna","@sergiooacuna")</f>
        <v>@sergiooacuna</v>
      </c>
      <c r="C2357" s="9" t="s">
        <v>6003</v>
      </c>
      <c r="D2357" s="9" t="s">
        <v>6004</v>
      </c>
      <c r="E2357" s="10" t="str">
        <f>HYPERLINK("https://twitter.com/sergiooacuna/status/723293920952614913","723293920952614913")</f>
        <v>723293920952614913</v>
      </c>
      <c r="F2357" s="11" t="s">
        <v>114</v>
      </c>
      <c r="G2357" s="11">
        <v>42</v>
      </c>
      <c r="H2357" s="11">
        <v>116</v>
      </c>
      <c r="I2357" s="11">
        <v>0</v>
      </c>
      <c r="J2357" s="11">
        <v>0</v>
      </c>
      <c r="K2357" s="11" t="s">
        <v>21</v>
      </c>
      <c r="L2357" s="7">
        <v>42241.3441087963</v>
      </c>
      <c r="M2357" s="12" t="s">
        <v>4440</v>
      </c>
      <c r="N2357" s="12" t="s">
        <v>6005</v>
      </c>
      <c r="O2357" s="10" t="str">
        <f>HYPERLINK("https://pbs.twimg.com/profile_images/712105652244627456/WgQ78yCo_normal.jpg","View")</f>
        <v>View</v>
      </c>
      <c r="P2357" s="11"/>
    </row>
    <row r="2358" spans="1:16" ht="12.75" x14ac:dyDescent="0.35">
      <c r="A2358" s="7">
        <v>42482.211759259255</v>
      </c>
      <c r="B2358" s="8" t="str">
        <f>HYPERLINK("https://twitter.com/desfilando_bajo","@desfilando_bajo")</f>
        <v>@desfilando_bajo</v>
      </c>
      <c r="C2358" s="9" t="s">
        <v>6006</v>
      </c>
      <c r="D2358" s="9" t="s">
        <v>6007</v>
      </c>
      <c r="E2358" s="10" t="str">
        <f>HYPERLINK("https://twitter.com/desfilando_bajo/status/723293973855502337","723293973855502337")</f>
        <v>723293973855502337</v>
      </c>
      <c r="F2358" s="11" t="s">
        <v>48</v>
      </c>
      <c r="G2358" s="11">
        <v>358</v>
      </c>
      <c r="H2358" s="11">
        <v>39</v>
      </c>
      <c r="I2358" s="11">
        <v>0</v>
      </c>
      <c r="J2358" s="11">
        <v>3</v>
      </c>
      <c r="K2358" s="11" t="s">
        <v>21</v>
      </c>
      <c r="L2358" s="7">
        <v>42356.13925925926</v>
      </c>
      <c r="M2358" s="12" t="s">
        <v>6008</v>
      </c>
      <c r="N2358" s="12" t="s">
        <v>6009</v>
      </c>
      <c r="O2358" s="10" t="str">
        <f>HYPERLINK("https://pbs.twimg.com/profile_images/684562191626989569/oFGZebTz_normal.jpg","View")</f>
        <v>View</v>
      </c>
      <c r="P2358" s="11"/>
    </row>
    <row r="2359" spans="1:16" ht="12.75" x14ac:dyDescent="0.35">
      <c r="A2359" s="7">
        <v>42482.211793981478</v>
      </c>
      <c r="B2359" s="8" t="str">
        <f>HYPERLINK("https://twitter.com/AntonellaB22","@AntonellaB22")</f>
        <v>@AntonellaB22</v>
      </c>
      <c r="C2359" s="9" t="s">
        <v>6010</v>
      </c>
      <c r="D2359" s="9" t="s">
        <v>6011</v>
      </c>
      <c r="E2359" s="10" t="str">
        <f>HYPERLINK("https://twitter.com/AntonellaB22/status/723293986794921984","723293986794921984")</f>
        <v>723293986794921984</v>
      </c>
      <c r="F2359" s="11" t="s">
        <v>48</v>
      </c>
      <c r="G2359" s="11">
        <v>156</v>
      </c>
      <c r="H2359" s="11">
        <v>210</v>
      </c>
      <c r="I2359" s="11">
        <v>7</v>
      </c>
      <c r="J2359" s="11">
        <v>0</v>
      </c>
      <c r="K2359" s="11" t="s">
        <v>21</v>
      </c>
      <c r="L2359" s="7">
        <v>42332.895300925928</v>
      </c>
      <c r="M2359" s="12"/>
      <c r="N2359" s="12" t="s">
        <v>6012</v>
      </c>
      <c r="O2359" s="10" t="str">
        <f>HYPERLINK("https://pbs.twimg.com/profile_images/716770296963981312/PV5UfpW3_normal.jpg","View")</f>
        <v>View</v>
      </c>
      <c r="P2359" s="11"/>
    </row>
    <row r="2360" spans="1:16" ht="12.75" x14ac:dyDescent="0.35">
      <c r="A2360" s="7">
        <v>42482.213738425926</v>
      </c>
      <c r="B2360" s="8" t="str">
        <f>HYPERLINK("https://twitter.com/VWBeetleSales","@VWBeetleSales")</f>
        <v>@VWBeetleSales</v>
      </c>
      <c r="C2360" s="9" t="s">
        <v>127</v>
      </c>
      <c r="D2360" s="9" t="s">
        <v>6013</v>
      </c>
      <c r="E2360" s="10" t="str">
        <f>HYPERLINK("https://twitter.com/VWBeetleSales/status/723294692620664832","723294692620664832")</f>
        <v>723294692620664832</v>
      </c>
      <c r="F2360" s="10" t="s">
        <v>124</v>
      </c>
      <c r="G2360" s="11">
        <v>35</v>
      </c>
      <c r="H2360" s="11">
        <v>32</v>
      </c>
      <c r="I2360" s="11">
        <v>0</v>
      </c>
      <c r="J2360" s="11">
        <v>0</v>
      </c>
      <c r="K2360" s="11" t="s">
        <v>21</v>
      </c>
      <c r="L2360" s="7">
        <v>42427.019756944443</v>
      </c>
      <c r="M2360" s="12" t="s">
        <v>129</v>
      </c>
      <c r="N2360" s="12" t="s">
        <v>130</v>
      </c>
      <c r="O2360" s="10" t="str">
        <f>HYPERLINK("https://pbs.twimg.com/profile_images/703294545195307008/qeCvrX86_normal.jpg","View")</f>
        <v>View</v>
      </c>
      <c r="P2360" s="11"/>
    </row>
    <row r="2361" spans="1:16" ht="12.75" x14ac:dyDescent="0.35">
      <c r="A2361" s="7">
        <v>42482.213946759264</v>
      </c>
      <c r="B2361" s="8" t="str">
        <f>HYPERLINK("https://twitter.com/joelfeder","@joelfeder")</f>
        <v>@joelfeder</v>
      </c>
      <c r="C2361" s="9" t="s">
        <v>6014</v>
      </c>
      <c r="D2361" s="9" t="s">
        <v>6015</v>
      </c>
      <c r="E2361" s="10" t="str">
        <f>HYPERLINK("https://twitter.com/joelfeder/status/723294767719702529","723294767719702529")</f>
        <v>723294767719702529</v>
      </c>
      <c r="F2361" s="11" t="s">
        <v>63</v>
      </c>
      <c r="G2361" s="11">
        <v>7362</v>
      </c>
      <c r="H2361" s="11">
        <v>2817</v>
      </c>
      <c r="I2361" s="11">
        <v>3</v>
      </c>
      <c r="J2361" s="11">
        <v>0</v>
      </c>
      <c r="K2361" s="11" t="s">
        <v>21</v>
      </c>
      <c r="L2361" s="7">
        <v>39474.990335648152</v>
      </c>
      <c r="M2361" s="12" t="s">
        <v>274</v>
      </c>
      <c r="N2361" s="12" t="s">
        <v>6016</v>
      </c>
      <c r="O2361" s="10" t="str">
        <f>HYPERLINK("https://pbs.twimg.com/profile_images/3163585027/dc98b5fe18e3f082146834b59487ce50_normal.jpeg","View")</f>
        <v>View</v>
      </c>
      <c r="P2361" s="11"/>
    </row>
    <row r="2362" spans="1:16" ht="12.75" x14ac:dyDescent="0.35">
      <c r="A2362" s="7">
        <v>42482.213946759264</v>
      </c>
      <c r="B2362" s="8" t="str">
        <f>HYPERLINK("https://twitter.com/CarConnection","@CarConnection")</f>
        <v>@CarConnection</v>
      </c>
      <c r="C2362" s="9" t="s">
        <v>6017</v>
      </c>
      <c r="D2362" s="9" t="s">
        <v>6015</v>
      </c>
      <c r="E2362" s="10" t="str">
        <f>HYPERLINK("https://twitter.com/CarConnection/status/723294767807795201","723294767807795201")</f>
        <v>723294767807795201</v>
      </c>
      <c r="F2362" s="11" t="s">
        <v>63</v>
      </c>
      <c r="G2362" s="11">
        <v>64360</v>
      </c>
      <c r="H2362" s="11">
        <v>30929</v>
      </c>
      <c r="I2362" s="11">
        <v>3</v>
      </c>
      <c r="J2362" s="11">
        <v>0</v>
      </c>
      <c r="K2362" s="11" t="s">
        <v>21</v>
      </c>
      <c r="L2362" s="7">
        <v>39589.477118055554</v>
      </c>
      <c r="M2362" s="12"/>
      <c r="N2362" s="12" t="s">
        <v>6018</v>
      </c>
      <c r="O2362" s="10" t="str">
        <f>HYPERLINK("https://pbs.twimg.com/profile_images/378800000007494586/bc21150f81e7498750e162e25845cdd3_normal.jpeg","View")</f>
        <v>View</v>
      </c>
      <c r="P2362" s="11"/>
    </row>
    <row r="2363" spans="1:16" ht="12.75" x14ac:dyDescent="0.35">
      <c r="A2363" s="7">
        <v>42482.213946759264</v>
      </c>
      <c r="B2363" s="8" t="str">
        <f>HYPERLINK("https://twitter.com/HighGearMedia","@HighGearMedia")</f>
        <v>@HighGearMedia</v>
      </c>
      <c r="C2363" s="9" t="s">
        <v>6019</v>
      </c>
      <c r="D2363" s="9" t="s">
        <v>6015</v>
      </c>
      <c r="E2363" s="10" t="str">
        <f>HYPERLINK("https://twitter.com/HighGearMedia/status/723294767841308672","723294767841308672")</f>
        <v>723294767841308672</v>
      </c>
      <c r="F2363" s="11" t="s">
        <v>63</v>
      </c>
      <c r="G2363" s="11">
        <v>18400</v>
      </c>
      <c r="H2363" s="11">
        <v>7587</v>
      </c>
      <c r="I2363" s="11">
        <v>3</v>
      </c>
      <c r="J2363" s="11">
        <v>0</v>
      </c>
      <c r="K2363" s="11" t="s">
        <v>21</v>
      </c>
      <c r="L2363" s="7">
        <v>39914.13217592593</v>
      </c>
      <c r="M2363" s="12" t="s">
        <v>6020</v>
      </c>
      <c r="N2363" s="12" t="s">
        <v>6021</v>
      </c>
      <c r="O2363" s="10" t="str">
        <f>HYPERLINK("https://pbs.twimg.com/profile_images/1736354060/hgm_twitter_logo_normal.png","View")</f>
        <v>View</v>
      </c>
      <c r="P2363" s="11"/>
    </row>
    <row r="2364" spans="1:16" ht="12.75" x14ac:dyDescent="0.35">
      <c r="A2364" s="7">
        <v>42482.21497685185</v>
      </c>
      <c r="B2364" s="8" t="str">
        <f>HYPERLINK("https://twitter.com/patchris","@patchris")</f>
        <v>@patchris</v>
      </c>
      <c r="C2364" s="9" t="s">
        <v>6022</v>
      </c>
      <c r="D2364" s="9" t="s">
        <v>6023</v>
      </c>
      <c r="E2364" s="10" t="str">
        <f>HYPERLINK("https://twitter.com/patchris/status/723295142715645954","723295142715645954")</f>
        <v>723295142715645954</v>
      </c>
      <c r="F2364" s="11" t="s">
        <v>725</v>
      </c>
      <c r="G2364" s="11">
        <v>239</v>
      </c>
      <c r="H2364" s="11">
        <v>510</v>
      </c>
      <c r="I2364" s="11">
        <v>0</v>
      </c>
      <c r="J2364" s="11">
        <v>0</v>
      </c>
      <c r="K2364" s="11" t="s">
        <v>21</v>
      </c>
      <c r="L2364" s="7">
        <v>39801.500497685185</v>
      </c>
      <c r="M2364" s="12" t="s">
        <v>6024</v>
      </c>
      <c r="N2364" s="12" t="s">
        <v>6025</v>
      </c>
      <c r="O2364" s="10" t="str">
        <f>HYPERLINK("https://pbs.twimg.com/profile_images/344513261566623547/c484ef0ff4779639016dcdc1f39ffaed_normal.jpeg","View")</f>
        <v>View</v>
      </c>
      <c r="P2364" s="11"/>
    </row>
    <row r="2365" spans="1:16" ht="12.75" x14ac:dyDescent="0.35">
      <c r="A2365" s="7">
        <v>42482.214999999997</v>
      </c>
      <c r="B2365" s="8" t="str">
        <f>HYPERLINK("https://twitter.com/Benitezzok","@Benitezzok")</f>
        <v>@Benitezzok</v>
      </c>
      <c r="C2365" s="9" t="s">
        <v>6026</v>
      </c>
      <c r="D2365" s="9" t="s">
        <v>2825</v>
      </c>
      <c r="E2365" s="10" t="str">
        <f>HYPERLINK("https://twitter.com/Benitezzok/status/723295151477673984","723295151477673984")</f>
        <v>723295151477673984</v>
      </c>
      <c r="F2365" s="11" t="s">
        <v>48</v>
      </c>
      <c r="G2365" s="11">
        <v>1724</v>
      </c>
      <c r="H2365" s="11">
        <v>1044</v>
      </c>
      <c r="I2365" s="11">
        <v>53</v>
      </c>
      <c r="J2365" s="11">
        <v>0</v>
      </c>
      <c r="K2365" s="11" t="s">
        <v>21</v>
      </c>
      <c r="L2365" s="7">
        <v>41528.186898148146</v>
      </c>
      <c r="M2365" s="12" t="s">
        <v>6027</v>
      </c>
      <c r="N2365" s="12" t="s">
        <v>6028</v>
      </c>
      <c r="O2365" s="10" t="str">
        <f>HYPERLINK("https://pbs.twimg.com/profile_images/718232196302159875/TGP4_io8_normal.jpg","View")</f>
        <v>View</v>
      </c>
      <c r="P2365" s="11"/>
    </row>
    <row r="2366" spans="1:16" ht="12.75" x14ac:dyDescent="0.35">
      <c r="A2366" s="7">
        <v>42482.216296296298</v>
      </c>
      <c r="B2366" s="8" t="str">
        <f>HYPERLINK("https://twitter.com/VidalJimena1","@VidalJimena1")</f>
        <v>@VidalJimena1</v>
      </c>
      <c r="C2366" s="9" t="s">
        <v>6029</v>
      </c>
      <c r="D2366" s="9" t="s">
        <v>6030</v>
      </c>
      <c r="E2366" s="10" t="str">
        <f>HYPERLINK("https://twitter.com/VidalJimena1/status/723295617318047746","723295617318047746")</f>
        <v>723295617318047746</v>
      </c>
      <c r="F2366" s="11" t="s">
        <v>43</v>
      </c>
      <c r="G2366" s="11">
        <v>221</v>
      </c>
      <c r="H2366" s="11">
        <v>211</v>
      </c>
      <c r="I2366" s="11">
        <v>0</v>
      </c>
      <c r="J2366" s="11">
        <v>1</v>
      </c>
      <c r="K2366" s="11" t="s">
        <v>21</v>
      </c>
      <c r="L2366" s="7">
        <v>41872.074328703704</v>
      </c>
      <c r="M2366" s="12" t="s">
        <v>4520</v>
      </c>
      <c r="N2366" s="12" t="s">
        <v>6031</v>
      </c>
      <c r="O2366" s="10" t="str">
        <f>HYPERLINK("https://pbs.twimg.com/profile_images/718998805060927488/ds5qOEpX_normal.jpg","View")</f>
        <v>View</v>
      </c>
      <c r="P2366" s="11"/>
    </row>
    <row r="2367" spans="1:16" ht="12.75" x14ac:dyDescent="0.35">
      <c r="A2367" s="7">
        <v>42482.216666666667</v>
      </c>
      <c r="B2367" s="8" t="str">
        <f>HYPERLINK("https://twitter.com/BrunoHeitz","@BrunoHeitz")</f>
        <v>@BrunoHeitz</v>
      </c>
      <c r="C2367" s="9" t="s">
        <v>6032</v>
      </c>
      <c r="D2367" s="9" t="s">
        <v>6033</v>
      </c>
      <c r="E2367" s="10" t="str">
        <f>HYPERLINK("https://twitter.com/BrunoHeitz/status/723295754249506817","723295754249506817")</f>
        <v>723295754249506817</v>
      </c>
      <c r="F2367" s="11" t="s">
        <v>114</v>
      </c>
      <c r="G2367" s="11">
        <v>211</v>
      </c>
      <c r="H2367" s="11">
        <v>398</v>
      </c>
      <c r="I2367" s="11">
        <v>0</v>
      </c>
      <c r="J2367" s="11">
        <v>0</v>
      </c>
      <c r="K2367" s="11" t="s">
        <v>21</v>
      </c>
      <c r="L2367" s="7">
        <v>39997.208449074074</v>
      </c>
      <c r="M2367" s="12" t="s">
        <v>6034</v>
      </c>
      <c r="N2367" s="12" t="s">
        <v>6035</v>
      </c>
      <c r="O2367" s="10" t="str">
        <f>HYPERLINK("https://pbs.twimg.com/profile_images/482420129326981120/h2ImnkwP_normal.jpeg","View")</f>
        <v>View</v>
      </c>
      <c r="P2367" s="11"/>
    </row>
    <row r="2368" spans="1:16" ht="12.75" x14ac:dyDescent="0.35">
      <c r="A2368" s="7">
        <v>42482.218263888892</v>
      </c>
      <c r="B2368" s="8" t="str">
        <f>HYPERLINK("https://twitter.com/rhysiepoo","@rhysiepoo")</f>
        <v>@rhysiepoo</v>
      </c>
      <c r="C2368" s="9" t="s">
        <v>6036</v>
      </c>
      <c r="D2368" s="9" t="s">
        <v>6037</v>
      </c>
      <c r="E2368" s="10" t="str">
        <f>HYPERLINK("https://twitter.com/rhysiepoo/status/723296332312653824","723296332312653824")</f>
        <v>723296332312653824</v>
      </c>
      <c r="F2368" s="11" t="s">
        <v>20</v>
      </c>
      <c r="G2368" s="11">
        <v>431</v>
      </c>
      <c r="H2368" s="11">
        <v>118</v>
      </c>
      <c r="I2368" s="11">
        <v>0</v>
      </c>
      <c r="J2368" s="11">
        <v>0</v>
      </c>
      <c r="K2368" s="11" t="s">
        <v>21</v>
      </c>
      <c r="L2368" s="7">
        <v>39548.022881944446</v>
      </c>
      <c r="M2368" s="12" t="s">
        <v>6038</v>
      </c>
      <c r="N2368" s="12" t="s">
        <v>6039</v>
      </c>
      <c r="O2368" s="10" t="str">
        <f>HYPERLINK("https://pbs.twimg.com/profile_images/664470199219851264/H7WwsRM6_normal.jpg","View")</f>
        <v>View</v>
      </c>
      <c r="P2368" s="11"/>
    </row>
    <row r="2369" spans="1:16" ht="12.75" x14ac:dyDescent="0.35">
      <c r="A2369" s="7">
        <v>42482.218622685185</v>
      </c>
      <c r="B2369" s="8" t="str">
        <f>HYPERLINK("https://twitter.com/AgusGomez7","@AgusGomez7")</f>
        <v>@AgusGomez7</v>
      </c>
      <c r="C2369" s="9" t="s">
        <v>6040</v>
      </c>
      <c r="D2369" s="9" t="s">
        <v>2825</v>
      </c>
      <c r="E2369" s="10" t="str">
        <f>HYPERLINK("https://twitter.com/AgusGomez7/status/723296463263010820","723296463263010820")</f>
        <v>723296463263010820</v>
      </c>
      <c r="F2369" s="11" t="s">
        <v>48</v>
      </c>
      <c r="G2369" s="11">
        <v>1363</v>
      </c>
      <c r="H2369" s="11">
        <v>793</v>
      </c>
      <c r="I2369" s="11">
        <v>53</v>
      </c>
      <c r="J2369" s="11">
        <v>0</v>
      </c>
      <c r="K2369" s="11" t="s">
        <v>21</v>
      </c>
      <c r="L2369" s="7">
        <v>40537.021064814813</v>
      </c>
      <c r="M2369" s="12" t="s">
        <v>866</v>
      </c>
      <c r="N2369" s="12" t="s">
        <v>6041</v>
      </c>
      <c r="O2369" s="10" t="str">
        <f>HYPERLINK("https://pbs.twimg.com/profile_images/718368406102241280/po6NXN6N_normal.jpg","View")</f>
        <v>View</v>
      </c>
      <c r="P2369" s="11"/>
    </row>
    <row r="2370" spans="1:16" ht="12.75" x14ac:dyDescent="0.35">
      <c r="A2370" s="7">
        <v>42482.21875</v>
      </c>
      <c r="B2370" s="8" t="str">
        <f>HYPERLINK("https://twitter.com/R1Concepts","@R1Concepts")</f>
        <v>@R1Concepts</v>
      </c>
      <c r="C2370" s="9" t="s">
        <v>6042</v>
      </c>
      <c r="D2370" s="9" t="s">
        <v>6043</v>
      </c>
      <c r="E2370" s="10" t="str">
        <f>HYPERLINK("https://twitter.com/R1Concepts/status/723296510339866625","723296510339866625")</f>
        <v>723296510339866625</v>
      </c>
      <c r="F2370" s="11" t="s">
        <v>53</v>
      </c>
      <c r="G2370" s="11">
        <v>47885</v>
      </c>
      <c r="H2370" s="11">
        <v>541</v>
      </c>
      <c r="I2370" s="11">
        <v>0</v>
      </c>
      <c r="J2370" s="11">
        <v>0</v>
      </c>
      <c r="K2370" s="11" t="s">
        <v>21</v>
      </c>
      <c r="L2370" s="7">
        <v>39568.306435185186</v>
      </c>
      <c r="M2370" s="12" t="s">
        <v>691</v>
      </c>
      <c r="N2370" s="12" t="s">
        <v>6044</v>
      </c>
      <c r="O2370" s="10" t="str">
        <f>HYPERLINK("https://pbs.twimg.com/profile_images/459036891749158912/Dgc1GPgR_normal.jpeg","View")</f>
        <v>View</v>
      </c>
      <c r="P2370" s="11"/>
    </row>
    <row r="2371" spans="1:16" ht="12.75" x14ac:dyDescent="0.35">
      <c r="A2371" s="7">
        <v>42482.219004629631</v>
      </c>
      <c r="B2371" s="8" t="str">
        <f>HYPERLINK("https://twitter.com/raochoa1974","@raochoa1974")</f>
        <v>@raochoa1974</v>
      </c>
      <c r="C2371" s="9" t="s">
        <v>6045</v>
      </c>
      <c r="D2371" s="9" t="s">
        <v>5770</v>
      </c>
      <c r="E2371" s="10" t="str">
        <f>HYPERLINK("https://twitter.com/raochoa1974/status/723296601989648385","723296601989648385")</f>
        <v>723296601989648385</v>
      </c>
      <c r="F2371" s="11" t="s">
        <v>48</v>
      </c>
      <c r="G2371" s="11">
        <v>12</v>
      </c>
      <c r="H2371" s="11">
        <v>141</v>
      </c>
      <c r="I2371" s="11">
        <v>3</v>
      </c>
      <c r="J2371" s="11">
        <v>0</v>
      </c>
      <c r="K2371" s="11" t="s">
        <v>21</v>
      </c>
      <c r="L2371" s="7">
        <v>42322.951666666668</v>
      </c>
      <c r="M2371" s="12" t="s">
        <v>6008</v>
      </c>
      <c r="N2371" s="12" t="s">
        <v>6046</v>
      </c>
      <c r="O2371" s="10" t="str">
        <f>HYPERLINK("https://pbs.twimg.com/profile_images/696005498236178432/HP5XLjmu_normal.jpg","View")</f>
        <v>View</v>
      </c>
      <c r="P2371" s="11"/>
    </row>
    <row r="2372" spans="1:16" ht="12.75" x14ac:dyDescent="0.35">
      <c r="A2372" s="7">
        <v>42482.220324074078</v>
      </c>
      <c r="B2372" s="8" t="str">
        <f>HYPERLINK("https://twitter.com/EscalonaTomi","@EscalonaTomi")</f>
        <v>@EscalonaTomi</v>
      </c>
      <c r="C2372" s="9" t="s">
        <v>6047</v>
      </c>
      <c r="D2372" s="9" t="s">
        <v>6011</v>
      </c>
      <c r="E2372" s="10" t="str">
        <f>HYPERLINK("https://twitter.com/EscalonaTomi/status/723297080366776320","723297080366776320")</f>
        <v>723297080366776320</v>
      </c>
      <c r="F2372" s="11" t="s">
        <v>48</v>
      </c>
      <c r="G2372" s="11">
        <v>322</v>
      </c>
      <c r="H2372" s="11">
        <v>260</v>
      </c>
      <c r="I2372" s="11">
        <v>7</v>
      </c>
      <c r="J2372" s="11">
        <v>0</v>
      </c>
      <c r="K2372" s="11" t="s">
        <v>21</v>
      </c>
      <c r="L2372" s="7">
        <v>42109.230520833335</v>
      </c>
      <c r="M2372" s="12" t="s">
        <v>6048</v>
      </c>
      <c r="N2372" s="12" t="s">
        <v>6049</v>
      </c>
      <c r="O2372" s="10" t="str">
        <f>HYPERLINK("https://pbs.twimg.com/profile_images/661360973396221952/BsshS8wY_normal.jpg","View")</f>
        <v>View</v>
      </c>
      <c r="P2372" s="11"/>
    </row>
    <row r="2373" spans="1:16" ht="12.75" x14ac:dyDescent="0.35">
      <c r="A2373" s="7">
        <v>42482.221053240741</v>
      </c>
      <c r="B2373" s="8" t="str">
        <f>HYPERLINK("https://twitter.com/alexdelprete","@alexdelprete")</f>
        <v>@alexdelprete</v>
      </c>
      <c r="C2373" s="9" t="s">
        <v>6050</v>
      </c>
      <c r="D2373" s="9" t="s">
        <v>5150</v>
      </c>
      <c r="E2373" s="10" t="str">
        <f>HYPERLINK("https://twitter.com/alexdelprete/status/723297345241264129","723297345241264129")</f>
        <v>723297345241264129</v>
      </c>
      <c r="F2373" s="11" t="s">
        <v>48</v>
      </c>
      <c r="G2373" s="11">
        <v>2970</v>
      </c>
      <c r="H2373" s="11">
        <v>2222</v>
      </c>
      <c r="I2373" s="11">
        <v>24</v>
      </c>
      <c r="J2373" s="11">
        <v>0</v>
      </c>
      <c r="K2373" s="11" t="s">
        <v>21</v>
      </c>
      <c r="L2373" s="7">
        <v>40023.305069444446</v>
      </c>
      <c r="M2373" s="12" t="s">
        <v>2390</v>
      </c>
      <c r="N2373" s="12" t="s">
        <v>6051</v>
      </c>
      <c r="O2373" s="10" t="str">
        <f>HYPERLINK("https://pbs.twimg.com/profile_images/526555213239685121/d4-X-Emv_normal.jpeg","View")</f>
        <v>View</v>
      </c>
      <c r="P2373" s="11"/>
    </row>
    <row r="2374" spans="1:16" ht="12.75" x14ac:dyDescent="0.35">
      <c r="A2374" s="7">
        <v>42482.221099537041</v>
      </c>
      <c r="B2374" s="8" t="str">
        <f>HYPERLINK("https://twitter.com/Gregory_Brine","@Gregory_Brine")</f>
        <v>@Gregory_Brine</v>
      </c>
      <c r="C2374" s="9" t="s">
        <v>6052</v>
      </c>
      <c r="D2374" s="9" t="s">
        <v>6053</v>
      </c>
      <c r="E2374" s="10" t="str">
        <f>HYPERLINK("https://twitter.com/Gregory_Brine/status/723297360751648768","723297360751648768")</f>
        <v>723297360751648768</v>
      </c>
      <c r="F2374" s="11" t="s">
        <v>43</v>
      </c>
      <c r="G2374" s="11">
        <v>1271</v>
      </c>
      <c r="H2374" s="11">
        <v>1852</v>
      </c>
      <c r="I2374" s="11">
        <v>1</v>
      </c>
      <c r="J2374" s="11">
        <v>1</v>
      </c>
      <c r="K2374" s="11" t="s">
        <v>21</v>
      </c>
      <c r="L2374" s="7">
        <v>39600.35087962963</v>
      </c>
      <c r="M2374" s="12" t="s">
        <v>6054</v>
      </c>
      <c r="N2374" s="12" t="s">
        <v>6055</v>
      </c>
      <c r="O2374" s="10" t="str">
        <f>HYPERLINK("https://pbs.twimg.com/profile_images/608795718833176576/Lu6WzWKX_normal.jpg","View")</f>
        <v>View</v>
      </c>
      <c r="P2374" s="11"/>
    </row>
    <row r="2375" spans="1:16" ht="12.75" x14ac:dyDescent="0.35">
      <c r="A2375" s="7">
        <v>42482.22148148148</v>
      </c>
      <c r="B2375" s="8" t="str">
        <f>HYPERLINK("https://twitter.com/bgalmar","@bgalmar")</f>
        <v>@bgalmar</v>
      </c>
      <c r="C2375" s="9" t="s">
        <v>6056</v>
      </c>
      <c r="D2375" s="9" t="s">
        <v>6057</v>
      </c>
      <c r="E2375" s="10" t="str">
        <f>HYPERLINK("https://twitter.com/bgalmar/status/723297499608416257","723297499608416257")</f>
        <v>723297499608416257</v>
      </c>
      <c r="F2375" s="11" t="s">
        <v>114</v>
      </c>
      <c r="G2375" s="11">
        <v>1133</v>
      </c>
      <c r="H2375" s="11">
        <v>393</v>
      </c>
      <c r="I2375" s="11">
        <v>1</v>
      </c>
      <c r="J2375" s="11">
        <v>5</v>
      </c>
      <c r="K2375" s="11" t="s">
        <v>21</v>
      </c>
      <c r="L2375" s="7">
        <v>39486.16207175926</v>
      </c>
      <c r="M2375" s="12" t="s">
        <v>6058</v>
      </c>
      <c r="N2375" s="12" t="s">
        <v>6059</v>
      </c>
      <c r="O2375" s="10" t="str">
        <f>HYPERLINK("https://pbs.twimg.com/profile_images/582945205080354817/pwnImdu0_normal.jpg","View")</f>
        <v>View</v>
      </c>
      <c r="P2375" s="11"/>
    </row>
    <row r="2376" spans="1:16" ht="12.75" x14ac:dyDescent="0.35">
      <c r="A2376" s="7">
        <v>42482.221585648149</v>
      </c>
      <c r="B2376" s="8" t="str">
        <f>HYPERLINK("https://twitter.com/NicolasTetrault","@NicolasTetrault")</f>
        <v>@NicolasTetrault</v>
      </c>
      <c r="C2376" s="9" t="s">
        <v>2081</v>
      </c>
      <c r="D2376" s="9" t="s">
        <v>6060</v>
      </c>
      <c r="E2376" s="10" t="str">
        <f>HYPERLINK("https://twitter.com/NicolasTetrault/status/723297534433759234","723297534433759234")</f>
        <v>723297534433759234</v>
      </c>
      <c r="F2376" s="10" t="s">
        <v>2083</v>
      </c>
      <c r="G2376" s="11">
        <v>3217</v>
      </c>
      <c r="H2376" s="11">
        <v>5001</v>
      </c>
      <c r="I2376" s="11">
        <v>0</v>
      </c>
      <c r="J2376" s="11">
        <v>0</v>
      </c>
      <c r="K2376" s="11" t="s">
        <v>21</v>
      </c>
      <c r="L2376" s="7">
        <v>40538.12537037037</v>
      </c>
      <c r="M2376" s="12" t="s">
        <v>2084</v>
      </c>
      <c r="N2376" s="12" t="s">
        <v>2085</v>
      </c>
      <c r="O2376" s="10" t="str">
        <f>HYPERLINK("https://pbs.twimg.com/profile_images/653707832076832768/bC61HZBB_normal.jpg","View")</f>
        <v>View</v>
      </c>
      <c r="P2376" s="11"/>
    </row>
    <row r="2377" spans="1:16" ht="12.75" x14ac:dyDescent="0.35">
      <c r="A2377" s="7">
        <v>42482.222291666665</v>
      </c>
      <c r="B2377" s="8" t="str">
        <f>HYPERLINK("https://twitter.com/elmostrador","@elmostrador")</f>
        <v>@elmostrador</v>
      </c>
      <c r="C2377" s="9" t="s">
        <v>6061</v>
      </c>
      <c r="D2377" s="9" t="s">
        <v>6062</v>
      </c>
      <c r="E2377" s="10" t="str">
        <f>HYPERLINK("https://twitter.com/elmostrador/status/723297792089841664","723297792089841664")</f>
        <v>723297792089841664</v>
      </c>
      <c r="F2377" s="11" t="s">
        <v>152</v>
      </c>
      <c r="G2377" s="11">
        <v>1023746</v>
      </c>
      <c r="H2377" s="11">
        <v>58</v>
      </c>
      <c r="I2377" s="11">
        <v>3</v>
      </c>
      <c r="J2377" s="11">
        <v>1</v>
      </c>
      <c r="K2377" s="11" t="s">
        <v>21</v>
      </c>
      <c r="L2377" s="7">
        <v>39476.41034722222</v>
      </c>
      <c r="M2377" s="12" t="s">
        <v>3341</v>
      </c>
      <c r="N2377" s="12" t="s">
        <v>6063</v>
      </c>
      <c r="O2377" s="10" t="str">
        <f>HYPERLINK("https://pbs.twimg.com/profile_images/661913020549976064/626UZ4_N_normal.jpg","View")</f>
        <v>View</v>
      </c>
      <c r="P2377" s="11"/>
    </row>
    <row r="2378" spans="1:16" ht="12.75" x14ac:dyDescent="0.35">
      <c r="A2378" s="7">
        <v>42482.222974537042</v>
      </c>
      <c r="B2378" s="8" t="str">
        <f>HYPERLINK("https://twitter.com/VWBeetleSales","@VWBeetleSales")</f>
        <v>@VWBeetleSales</v>
      </c>
      <c r="C2378" s="9" t="s">
        <v>127</v>
      </c>
      <c r="D2378" s="9" t="s">
        <v>6064</v>
      </c>
      <c r="E2378" s="10" t="str">
        <f>HYPERLINK("https://twitter.com/VWBeetleSales/status/723298038555398144","723298038555398144")</f>
        <v>723298038555398144</v>
      </c>
      <c r="F2378" s="10" t="s">
        <v>124</v>
      </c>
      <c r="G2378" s="11">
        <v>35</v>
      </c>
      <c r="H2378" s="11">
        <v>32</v>
      </c>
      <c r="I2378" s="11">
        <v>0</v>
      </c>
      <c r="J2378" s="11">
        <v>0</v>
      </c>
      <c r="K2378" s="11" t="s">
        <v>21</v>
      </c>
      <c r="L2378" s="7">
        <v>42427.019756944443</v>
      </c>
      <c r="M2378" s="12" t="s">
        <v>129</v>
      </c>
      <c r="N2378" s="12" t="s">
        <v>130</v>
      </c>
      <c r="O2378" s="10" t="str">
        <f>HYPERLINK("https://pbs.twimg.com/profile_images/703294545195307008/qeCvrX86_normal.jpg","View")</f>
        <v>View</v>
      </c>
      <c r="P2378" s="11"/>
    </row>
    <row r="2379" spans="1:16" ht="12.75" x14ac:dyDescent="0.35">
      <c r="A2379" s="7">
        <v>42482.223321759258</v>
      </c>
      <c r="B2379" s="8" t="str">
        <f>HYPERLINK("https://twitter.com/DJAdverb","@DJAdverb")</f>
        <v>@DJAdverb</v>
      </c>
      <c r="C2379" s="9" t="s">
        <v>6065</v>
      </c>
      <c r="D2379" s="9" t="s">
        <v>6066</v>
      </c>
      <c r="E2379" s="10" t="str">
        <f>HYPERLINK("https://twitter.com/DJAdverb/status/723298166532136960","723298166532136960")</f>
        <v>723298166532136960</v>
      </c>
      <c r="F2379" s="11" t="s">
        <v>114</v>
      </c>
      <c r="G2379" s="11">
        <v>223</v>
      </c>
      <c r="H2379" s="11">
        <v>234</v>
      </c>
      <c r="I2379" s="11">
        <v>0</v>
      </c>
      <c r="J2379" s="11">
        <v>0</v>
      </c>
      <c r="K2379" s="11" t="s">
        <v>21</v>
      </c>
      <c r="L2379" s="7">
        <v>40297.817326388889</v>
      </c>
      <c r="M2379" s="12" t="s">
        <v>148</v>
      </c>
      <c r="N2379" s="12" t="s">
        <v>6067</v>
      </c>
      <c r="O2379" s="10" t="str">
        <f>HYPERLINK("https://pbs.twimg.com/profile_images/557623599113437187/0MZolqbR_normal.jpeg","View")</f>
        <v>View</v>
      </c>
      <c r="P2379" s="11"/>
    </row>
    <row r="2380" spans="1:16" ht="12.75" x14ac:dyDescent="0.35">
      <c r="A2380" s="7">
        <v>42482.223541666666</v>
      </c>
      <c r="B2380" s="8" t="str">
        <f>HYPERLINK("https://twitter.com/hustead777","@hustead777")</f>
        <v>@hustead777</v>
      </c>
      <c r="C2380" s="9" t="s">
        <v>6068</v>
      </c>
      <c r="D2380" s="9" t="s">
        <v>6069</v>
      </c>
      <c r="E2380" s="10" t="str">
        <f>HYPERLINK("https://twitter.com/hustead777/status/723298244869001216","723298244869001216")</f>
        <v>723298244869001216</v>
      </c>
      <c r="F2380" s="11" t="s">
        <v>20</v>
      </c>
      <c r="G2380" s="11">
        <v>952</v>
      </c>
      <c r="H2380" s="11">
        <v>3795</v>
      </c>
      <c r="I2380" s="11">
        <v>1</v>
      </c>
      <c r="J2380" s="11">
        <v>0</v>
      </c>
      <c r="K2380" s="11" t="s">
        <v>21</v>
      </c>
      <c r="L2380" s="7">
        <v>40830.06695601852</v>
      </c>
      <c r="M2380" s="12" t="s">
        <v>6070</v>
      </c>
      <c r="N2380" s="12"/>
      <c r="O2380" s="10" t="str">
        <f>HYPERLINK("https://pbs.twimg.com/profile_images/669349487127588864/VW9W5XnT_normal.jpg","View")</f>
        <v>View</v>
      </c>
      <c r="P2380" s="11"/>
    </row>
    <row r="2381" spans="1:16" ht="12.75" x14ac:dyDescent="0.35">
      <c r="A2381" s="7">
        <v>42482.22356481482</v>
      </c>
      <c r="B2381" s="8" t="str">
        <f>HYPERLINK("https://twitter.com/DLFNachrichten","@DLFNachrichten")</f>
        <v>@DLFNachrichten</v>
      </c>
      <c r="C2381" s="9" t="s">
        <v>3369</v>
      </c>
      <c r="D2381" s="9" t="s">
        <v>6071</v>
      </c>
      <c r="E2381" s="10" t="str">
        <f>HYPERLINK("https://twitter.com/DLFNachrichten/status/723298251651297280","723298251651297280")</f>
        <v>723298251651297280</v>
      </c>
      <c r="F2381" s="11" t="s">
        <v>63</v>
      </c>
      <c r="G2381" s="11">
        <v>3172</v>
      </c>
      <c r="H2381" s="11">
        <v>27</v>
      </c>
      <c r="I2381" s="11">
        <v>3</v>
      </c>
      <c r="J2381" s="11">
        <v>1</v>
      </c>
      <c r="K2381" s="11" t="s">
        <v>21</v>
      </c>
      <c r="L2381" s="7">
        <v>42324.81086805556</v>
      </c>
      <c r="M2381" s="12" t="s">
        <v>3371</v>
      </c>
      <c r="N2381" s="12" t="s">
        <v>3372</v>
      </c>
      <c r="O2381" s="10" t="str">
        <f>HYPERLINK("https://pbs.twimg.com/profile_images/669541061711261696/eOfP0YD8_normal.png","View")</f>
        <v>View</v>
      </c>
      <c r="P2381" s="11"/>
    </row>
    <row r="2382" spans="1:16" ht="12.75" x14ac:dyDescent="0.35">
      <c r="A2382" s="7">
        <v>42482.223668981482</v>
      </c>
      <c r="B2382" s="8" t="str">
        <f>HYPERLINK("https://twitter.com/DLF","@DLF")</f>
        <v>@DLF</v>
      </c>
      <c r="C2382" s="9" t="s">
        <v>6072</v>
      </c>
      <c r="D2382" s="9" t="s">
        <v>6073</v>
      </c>
      <c r="E2382" s="10" t="str">
        <f>HYPERLINK("https://twitter.com/DLF/status/723298291606269952","723298291606269952")</f>
        <v>723298291606269952</v>
      </c>
      <c r="F2382" s="11" t="s">
        <v>63</v>
      </c>
      <c r="G2382" s="11">
        <v>89354</v>
      </c>
      <c r="H2382" s="11">
        <v>605</v>
      </c>
      <c r="I2382" s="11">
        <v>3</v>
      </c>
      <c r="J2382" s="11">
        <v>0</v>
      </c>
      <c r="K2382" s="11" t="s">
        <v>21</v>
      </c>
      <c r="L2382" s="7">
        <v>40488.244039351848</v>
      </c>
      <c r="M2382" s="12" t="s">
        <v>1241</v>
      </c>
      <c r="N2382" s="12" t="s">
        <v>6074</v>
      </c>
      <c r="O2382" s="10" t="str">
        <f>HYPERLINK("https://pbs.twimg.com/profile_images/667101948429123584/pzpPHONX_normal.jpg","View")</f>
        <v>View</v>
      </c>
      <c r="P2382" s="11"/>
    </row>
    <row r="2383" spans="1:16" ht="12.75" x14ac:dyDescent="0.35">
      <c r="A2383" s="7">
        <v>42482.224259259259</v>
      </c>
      <c r="B2383" s="8" t="str">
        <f>HYPERLINK("https://twitter.com/annika1061","@annika1061")</f>
        <v>@annika1061</v>
      </c>
      <c r="C2383" s="9" t="s">
        <v>6075</v>
      </c>
      <c r="D2383" s="9" t="s">
        <v>5150</v>
      </c>
      <c r="E2383" s="10" t="str">
        <f>HYPERLINK("https://twitter.com/annika1061/status/723298507084324864","723298507084324864")</f>
        <v>723298507084324864</v>
      </c>
      <c r="F2383" s="11" t="s">
        <v>43</v>
      </c>
      <c r="G2383" s="11">
        <v>406</v>
      </c>
      <c r="H2383" s="11">
        <v>642</v>
      </c>
      <c r="I2383" s="11">
        <v>24</v>
      </c>
      <c r="J2383" s="11">
        <v>0</v>
      </c>
      <c r="K2383" s="11" t="s">
        <v>21</v>
      </c>
      <c r="L2383" s="7">
        <v>41330.326053240744</v>
      </c>
      <c r="M2383" s="12" t="s">
        <v>3537</v>
      </c>
      <c r="N2383" s="12" t="s">
        <v>6076</v>
      </c>
      <c r="O2383" s="10" t="str">
        <f>HYPERLINK("https://pbs.twimg.com/profile_images/721831427759706113/imZdwjGN_normal.jpg","View")</f>
        <v>View</v>
      </c>
      <c r="P2383" s="11"/>
    </row>
    <row r="2384" spans="1:16" ht="12.75" x14ac:dyDescent="0.35">
      <c r="A2384" s="7">
        <v>42482.224710648152</v>
      </c>
      <c r="B2384" s="8" t="str">
        <f>HYPERLINK("https://twitter.com/hameles","@hameles")</f>
        <v>@hameles</v>
      </c>
      <c r="C2384" s="9" t="s">
        <v>2600</v>
      </c>
      <c r="D2384" s="9" t="s">
        <v>6073</v>
      </c>
      <c r="E2384" s="10" t="str">
        <f>HYPERLINK("https://twitter.com/hameles/status/723298668816785408","723298668816785408")</f>
        <v>723298668816785408</v>
      </c>
      <c r="F2384" s="11" t="s">
        <v>43</v>
      </c>
      <c r="G2384" s="11">
        <v>257</v>
      </c>
      <c r="H2384" s="11">
        <v>164</v>
      </c>
      <c r="I2384" s="11">
        <v>3</v>
      </c>
      <c r="J2384" s="11">
        <v>0</v>
      </c>
      <c r="K2384" s="11" t="s">
        <v>21</v>
      </c>
      <c r="L2384" s="7">
        <v>41789.724826388891</v>
      </c>
      <c r="M2384" s="12"/>
      <c r="N2384" s="12"/>
      <c r="O2384" s="10" t="str">
        <f>HYPERLINK("https://pbs.twimg.com/profile_images/720884007152394240/OWYVobwN_normal.jpg","View")</f>
        <v>View</v>
      </c>
      <c r="P2384" s="11"/>
    </row>
    <row r="2385" spans="1:16" ht="12.75" x14ac:dyDescent="0.35">
      <c r="A2385" s="7">
        <v>42482.227511574078</v>
      </c>
      <c r="B2385" s="8" t="str">
        <f>HYPERLINK("https://twitter.com/Sanscelerien","@Sanscelerien")</f>
        <v>@Sanscelerien</v>
      </c>
      <c r="C2385" s="9" t="s">
        <v>6077</v>
      </c>
      <c r="D2385" s="9" t="s">
        <v>5150</v>
      </c>
      <c r="E2385" s="10" t="str">
        <f>HYPERLINK("https://twitter.com/Sanscelerien/status/723299683116953601","723299683116953601")</f>
        <v>723299683116953601</v>
      </c>
      <c r="F2385" s="11" t="s">
        <v>43</v>
      </c>
      <c r="G2385" s="11">
        <v>250</v>
      </c>
      <c r="H2385" s="11">
        <v>123</v>
      </c>
      <c r="I2385" s="11">
        <v>24</v>
      </c>
      <c r="J2385" s="11">
        <v>0</v>
      </c>
      <c r="K2385" s="11" t="s">
        <v>21</v>
      </c>
      <c r="L2385" s="7">
        <v>41582.142372685186</v>
      </c>
      <c r="M2385" s="12"/>
      <c r="N2385" s="12" t="s">
        <v>6078</v>
      </c>
      <c r="O2385" s="10" t="str">
        <f>HYPERLINK("https://pbs.twimg.com/profile_images/378800000690779070/70406450c2fdbdc0b23151ed3a2df08e_normal.jpeg","View")</f>
        <v>View</v>
      </c>
      <c r="P2385" s="11"/>
    </row>
    <row r="2386" spans="1:16" ht="12.75" x14ac:dyDescent="0.35">
      <c r="A2386" s="7">
        <v>42482.229328703703</v>
      </c>
      <c r="B2386" s="8" t="str">
        <f>HYPERLINK("https://twitter.com/FloridaEuroAuto","@FloridaEuroAuto")</f>
        <v>@FloridaEuroAuto</v>
      </c>
      <c r="C2386" s="9" t="s">
        <v>6079</v>
      </c>
      <c r="D2386" s="9" t="s">
        <v>6080</v>
      </c>
      <c r="E2386" s="10" t="str">
        <f>HYPERLINK("https://twitter.com/FloridaEuroAuto/status/723300342155337728","723300342155337728")</f>
        <v>723300342155337728</v>
      </c>
      <c r="F2386" s="11" t="s">
        <v>152</v>
      </c>
      <c r="G2386" s="11">
        <v>10</v>
      </c>
      <c r="H2386" s="11">
        <v>41</v>
      </c>
      <c r="I2386" s="11">
        <v>0</v>
      </c>
      <c r="J2386" s="11">
        <v>0</v>
      </c>
      <c r="K2386" s="11" t="s">
        <v>21</v>
      </c>
      <c r="L2386" s="7">
        <v>42430.29409722222</v>
      </c>
      <c r="M2386" s="12"/>
      <c r="N2386" s="12"/>
      <c r="O2386" s="10" t="str">
        <f>HYPERLINK("https://abs.twimg.com/sticky/default_profile_images/default_profile_3_normal.png","View")</f>
        <v>View</v>
      </c>
      <c r="P2386" s="11"/>
    </row>
    <row r="2387" spans="1:16" ht="12.75" x14ac:dyDescent="0.35">
      <c r="A2387" s="7">
        <v>42482.229328703703</v>
      </c>
      <c r="B2387" s="8" t="str">
        <f>HYPERLINK("https://twitter.com/BeemerPros","@BeemerPros")</f>
        <v>@BeemerPros</v>
      </c>
      <c r="C2387" s="9" t="s">
        <v>6081</v>
      </c>
      <c r="D2387" s="9" t="s">
        <v>6082</v>
      </c>
      <c r="E2387" s="10" t="str">
        <f>HYPERLINK("https://twitter.com/BeemerPros/status/723300342251827200","723300342251827200")</f>
        <v>723300342251827200</v>
      </c>
      <c r="F2387" s="11" t="s">
        <v>152</v>
      </c>
      <c r="G2387" s="11">
        <v>10</v>
      </c>
      <c r="H2387" s="11">
        <v>60</v>
      </c>
      <c r="I2387" s="11">
        <v>0</v>
      </c>
      <c r="J2387" s="11">
        <v>0</v>
      </c>
      <c r="K2387" s="11" t="s">
        <v>21</v>
      </c>
      <c r="L2387" s="7">
        <v>42392.068611111114</v>
      </c>
      <c r="M2387" s="12"/>
      <c r="N2387" s="12"/>
      <c r="O2387" s="10" t="str">
        <f>HYPERLINK("https://abs.twimg.com/sticky/default_profile_images/default_profile_6_normal.png","View")</f>
        <v>View</v>
      </c>
      <c r="P2387" s="11"/>
    </row>
    <row r="2388" spans="1:16" ht="12.75" x14ac:dyDescent="0.35">
      <c r="A2388" s="7">
        <v>42482.229328703703</v>
      </c>
      <c r="B2388" s="8" t="str">
        <f>HYPERLINK("https://twitter.com/DellsServiceGB","@DellsServiceGB")</f>
        <v>@DellsServiceGB</v>
      </c>
      <c r="C2388" s="9" t="s">
        <v>6083</v>
      </c>
      <c r="D2388" s="9" t="s">
        <v>6084</v>
      </c>
      <c r="E2388" s="10" t="str">
        <f>HYPERLINK("https://twitter.com/DellsServiceGB/status/723300342725791744","723300342725791744")</f>
        <v>723300342725791744</v>
      </c>
      <c r="F2388" s="11" t="s">
        <v>152</v>
      </c>
      <c r="G2388" s="11">
        <v>1</v>
      </c>
      <c r="H2388" s="11">
        <v>41</v>
      </c>
      <c r="I2388" s="11">
        <v>0</v>
      </c>
      <c r="J2388" s="11">
        <v>0</v>
      </c>
      <c r="K2388" s="11" t="s">
        <v>21</v>
      </c>
      <c r="L2388" s="7">
        <v>42384.038148148145</v>
      </c>
      <c r="M2388" s="12"/>
      <c r="N2388" s="12"/>
      <c r="O2388" s="10" t="str">
        <f>HYPERLINK("https://abs.twimg.com/sticky/default_profile_images/default_profile_2_normal.png","View")</f>
        <v>View</v>
      </c>
      <c r="P2388" s="11"/>
    </row>
    <row r="2389" spans="1:16" ht="12.75" x14ac:dyDescent="0.35">
      <c r="A2389" s="7">
        <v>42482.229328703703</v>
      </c>
      <c r="B2389" s="8" t="str">
        <f>HYPERLINK("https://twitter.com/DreamCarsRepair","@DreamCarsRepair")</f>
        <v>@DreamCarsRepair</v>
      </c>
      <c r="C2389" s="9" t="s">
        <v>6085</v>
      </c>
      <c r="D2389" s="9" t="s">
        <v>6086</v>
      </c>
      <c r="E2389" s="10" t="str">
        <f>HYPERLINK("https://twitter.com/DreamCarsRepair/status/723300343971491841","723300343971491841")</f>
        <v>723300343971491841</v>
      </c>
      <c r="F2389" s="11" t="s">
        <v>152</v>
      </c>
      <c r="G2389" s="11">
        <v>3</v>
      </c>
      <c r="H2389" s="11">
        <v>41</v>
      </c>
      <c r="I2389" s="11">
        <v>0</v>
      </c>
      <c r="J2389" s="11">
        <v>0</v>
      </c>
      <c r="K2389" s="11" t="s">
        <v>21</v>
      </c>
      <c r="L2389" s="7">
        <v>42156.952349537038</v>
      </c>
      <c r="M2389" s="12"/>
      <c r="N2389" s="12"/>
      <c r="O2389" s="10" t="str">
        <f>HYPERLINK("https://pbs.twimg.com/profile_images/605424654006648832/adniidsN_normal.png","View")</f>
        <v>View</v>
      </c>
      <c r="P2389" s="11"/>
    </row>
    <row r="2390" spans="1:16" ht="12.75" x14ac:dyDescent="0.35">
      <c r="A2390" s="7">
        <v>42482.22934027778</v>
      </c>
      <c r="B2390" s="8" t="str">
        <f>HYPERLINK("https://twitter.com/BaldwinsGerman","@BaldwinsGerman")</f>
        <v>@BaldwinsGerman</v>
      </c>
      <c r="C2390" s="9" t="s">
        <v>6087</v>
      </c>
      <c r="D2390" s="9" t="s">
        <v>6088</v>
      </c>
      <c r="E2390" s="10" t="str">
        <f>HYPERLINK("https://twitter.com/BaldwinsGerman/status/723300345636634625","723300345636634625")</f>
        <v>723300345636634625</v>
      </c>
      <c r="F2390" s="11" t="s">
        <v>152</v>
      </c>
      <c r="G2390" s="11">
        <v>27</v>
      </c>
      <c r="H2390" s="11">
        <v>38</v>
      </c>
      <c r="I2390" s="11">
        <v>0</v>
      </c>
      <c r="J2390" s="11">
        <v>0</v>
      </c>
      <c r="K2390" s="11" t="s">
        <v>21</v>
      </c>
      <c r="L2390" s="7">
        <v>41246.892083333332</v>
      </c>
      <c r="M2390" s="12" t="s">
        <v>6089</v>
      </c>
      <c r="N2390" s="12" t="s">
        <v>6090</v>
      </c>
      <c r="O2390" s="10" t="str">
        <f>HYPERLINK("https://pbs.twimg.com/profile_images/3375442722/bae39da62af2095c6c5af63fbc56d27c_normal.jpeg","View")</f>
        <v>View</v>
      </c>
      <c r="P2390" s="11"/>
    </row>
    <row r="2391" spans="1:16" ht="12.75" x14ac:dyDescent="0.35">
      <c r="A2391" s="7">
        <v>42482.22934027778</v>
      </c>
      <c r="B2391" s="8" t="str">
        <f>HYPERLINK("https://twitter.com/MarinHybrid","@MarinHybrid")</f>
        <v>@MarinHybrid</v>
      </c>
      <c r="C2391" s="9" t="s">
        <v>6091</v>
      </c>
      <c r="D2391" s="9" t="s">
        <v>6092</v>
      </c>
      <c r="E2391" s="10" t="str">
        <f>HYPERLINK("https://twitter.com/MarinHybrid/status/723300346857177088","723300346857177088")</f>
        <v>723300346857177088</v>
      </c>
      <c r="F2391" s="11" t="s">
        <v>152</v>
      </c>
      <c r="G2391" s="11">
        <v>19</v>
      </c>
      <c r="H2391" s="11">
        <v>32</v>
      </c>
      <c r="I2391" s="11">
        <v>0</v>
      </c>
      <c r="J2391" s="11">
        <v>0</v>
      </c>
      <c r="K2391" s="11" t="s">
        <v>21</v>
      </c>
      <c r="L2391" s="7">
        <v>41789.783032407409</v>
      </c>
      <c r="M2391" s="12" t="s">
        <v>6089</v>
      </c>
      <c r="N2391" s="12" t="s">
        <v>6093</v>
      </c>
      <c r="O2391" s="10" t="str">
        <f>HYPERLINK("https://pbs.twimg.com/profile_images/482602151948980225/wgMAKSQc_normal.jpeg","View")</f>
        <v>View</v>
      </c>
      <c r="P2391" s="11"/>
    </row>
    <row r="2392" spans="1:16" ht="12.75" x14ac:dyDescent="0.35">
      <c r="A2392" s="7">
        <v>42482.230115740742</v>
      </c>
      <c r="B2392" s="8" t="str">
        <f>HYPERLINK("https://twitter.com/MalibuMoms","@MalibuMoms")</f>
        <v>@MalibuMoms</v>
      </c>
      <c r="C2392" s="9" t="s">
        <v>694</v>
      </c>
      <c r="D2392" s="9" t="s">
        <v>6094</v>
      </c>
      <c r="E2392" s="10" t="str">
        <f>HYPERLINK("https://twitter.com/MalibuMoms/status/723300627841863681","723300627841863681")</f>
        <v>723300627841863681</v>
      </c>
      <c r="F2392" s="11" t="s">
        <v>91</v>
      </c>
      <c r="G2392" s="11">
        <v>235</v>
      </c>
      <c r="H2392" s="11">
        <v>384</v>
      </c>
      <c r="I2392" s="11">
        <v>0</v>
      </c>
      <c r="J2392" s="11">
        <v>1</v>
      </c>
      <c r="K2392" s="11" t="s">
        <v>21</v>
      </c>
      <c r="L2392" s="7">
        <v>41992.201342592598</v>
      </c>
      <c r="M2392" s="12" t="s">
        <v>696</v>
      </c>
      <c r="N2392" s="12" t="s">
        <v>697</v>
      </c>
      <c r="O2392" s="10" t="str">
        <f>HYPERLINK("https://pbs.twimg.com/profile_images/632371610276622336/i9dfhe5Q_normal.jpg","View")</f>
        <v>View</v>
      </c>
      <c r="P2392" s="11"/>
    </row>
    <row r="2393" spans="1:16" ht="12.75" x14ac:dyDescent="0.35">
      <c r="A2393" s="7">
        <v>42482.230347222227</v>
      </c>
      <c r="B2393" s="8" t="str">
        <f>HYPERLINK("https://twitter.com/vwdepo","@vwdepo")</f>
        <v>@vwdepo</v>
      </c>
      <c r="C2393" s="9" t="s">
        <v>134</v>
      </c>
      <c r="D2393" s="9" t="s">
        <v>6095</v>
      </c>
      <c r="E2393" s="10" t="str">
        <f>HYPERLINK("https://twitter.com/vwdepo/status/723300713275744256","723300713275744256")</f>
        <v>723300713275744256</v>
      </c>
      <c r="F2393" s="11" t="s">
        <v>53</v>
      </c>
      <c r="G2393" s="11">
        <v>784</v>
      </c>
      <c r="H2393" s="11">
        <v>384</v>
      </c>
      <c r="I2393" s="11">
        <v>0</v>
      </c>
      <c r="J2393" s="11">
        <v>0</v>
      </c>
      <c r="K2393" s="11" t="s">
        <v>21</v>
      </c>
      <c r="L2393" s="7">
        <v>39891.992905092593</v>
      </c>
      <c r="M2393" s="12" t="s">
        <v>136</v>
      </c>
      <c r="N2393" s="12" t="s">
        <v>137</v>
      </c>
      <c r="O2393" s="10" t="str">
        <f>HYPERLINK("https://pbs.twimg.com/profile_images/3378184537/c20ae9a7a410821b4f189c34a63380f7_normal.png","View")</f>
        <v>View</v>
      </c>
      <c r="P2393" s="11"/>
    </row>
    <row r="2394" spans="1:16" ht="12.75" x14ac:dyDescent="0.35">
      <c r="A2394" s="7">
        <v>42482.230520833335</v>
      </c>
      <c r="B2394" s="8" t="str">
        <f>HYPERLINK("https://twitter.com/hashtagvanlife","@hashtagvanlife")</f>
        <v>@hashtagvanlife</v>
      </c>
      <c r="C2394" s="9" t="s">
        <v>187</v>
      </c>
      <c r="D2394" s="9" t="s">
        <v>6096</v>
      </c>
      <c r="E2394" s="10" t="str">
        <f>HYPERLINK("https://twitter.com/hashtagvanlife/status/723300775011692544","723300775011692544")</f>
        <v>723300775011692544</v>
      </c>
      <c r="F2394" s="11" t="s">
        <v>189</v>
      </c>
      <c r="G2394" s="11">
        <v>1016</v>
      </c>
      <c r="H2394" s="11">
        <v>29</v>
      </c>
      <c r="I2394" s="11">
        <v>1</v>
      </c>
      <c r="J2394" s="11">
        <v>0</v>
      </c>
      <c r="K2394" s="11" t="s">
        <v>21</v>
      </c>
      <c r="L2394" s="7">
        <v>42289.994583333333</v>
      </c>
      <c r="M2394" s="12"/>
      <c r="N2394" s="12" t="s">
        <v>190</v>
      </c>
      <c r="O2394" s="10" t="str">
        <f>HYPERLINK("https://pbs.twimg.com/profile_images/653637535545995264/gHuXQ5Bt_normal.jpg","View")</f>
        <v>View</v>
      </c>
      <c r="P2394" s="11"/>
    </row>
    <row r="2395" spans="1:16" ht="12.75" x14ac:dyDescent="0.35">
      <c r="A2395" s="7">
        <v>42482.231828703705</v>
      </c>
      <c r="B2395" s="8" t="str">
        <f>HYPERLINK("https://twitter.com/Matyyy_98","@Matyyy_98")</f>
        <v>@Matyyy_98</v>
      </c>
      <c r="C2395" s="9" t="s">
        <v>6097</v>
      </c>
      <c r="D2395" s="9" t="s">
        <v>6011</v>
      </c>
      <c r="E2395" s="10" t="str">
        <f>HYPERLINK("https://twitter.com/Matyyy_98/status/723301248368259072","723301248368259072")</f>
        <v>723301248368259072</v>
      </c>
      <c r="F2395" s="11" t="s">
        <v>48</v>
      </c>
      <c r="G2395" s="11">
        <v>125</v>
      </c>
      <c r="H2395" s="11">
        <v>106</v>
      </c>
      <c r="I2395" s="11">
        <v>7</v>
      </c>
      <c r="J2395" s="11">
        <v>0</v>
      </c>
      <c r="K2395" s="11" t="s">
        <v>21</v>
      </c>
      <c r="L2395" s="7">
        <v>41416.120925925927</v>
      </c>
      <c r="M2395" s="12" t="s">
        <v>6098</v>
      </c>
      <c r="N2395" s="12" t="s">
        <v>6099</v>
      </c>
      <c r="O2395" s="10" t="str">
        <f>HYPERLINK("https://pbs.twimg.com/profile_images/717536418684407808/tt7-L3s9_normal.jpg","View")</f>
        <v>View</v>
      </c>
      <c r="P2395" s="11"/>
    </row>
    <row r="2396" spans="1:16" ht="12.75" x14ac:dyDescent="0.35">
      <c r="A2396" s="7">
        <v>42482.233182870375</v>
      </c>
      <c r="B2396" s="8" t="str">
        <f>HYPERLINK("https://twitter.com/RitaccoAlessan1","@RitaccoAlessan1")</f>
        <v>@RitaccoAlessan1</v>
      </c>
      <c r="C2396" s="9" t="s">
        <v>6100</v>
      </c>
      <c r="D2396" s="9" t="s">
        <v>5150</v>
      </c>
      <c r="E2396" s="10" t="str">
        <f>HYPERLINK("https://twitter.com/RitaccoAlessan1/status/723301740150423552","723301740150423552")</f>
        <v>723301740150423552</v>
      </c>
      <c r="F2396" s="11" t="s">
        <v>48</v>
      </c>
      <c r="G2396" s="11">
        <v>1244</v>
      </c>
      <c r="H2396" s="11">
        <v>2262</v>
      </c>
      <c r="I2396" s="11">
        <v>24</v>
      </c>
      <c r="J2396" s="11">
        <v>0</v>
      </c>
      <c r="K2396" s="11" t="s">
        <v>21</v>
      </c>
      <c r="L2396" s="7">
        <v>40939.871203703704</v>
      </c>
      <c r="M2396" s="12"/>
      <c r="N2396" s="12"/>
      <c r="O2396" s="10" t="str">
        <f>HYPERLINK("https://pbs.twimg.com/profile_images/455667854793134080/omjA9HWX_normal.jpeg","View")</f>
        <v>View</v>
      </c>
      <c r="P2396" s="11"/>
    </row>
    <row r="2397" spans="1:16" ht="12.75" x14ac:dyDescent="0.35">
      <c r="A2397" s="7">
        <v>42482.233819444446</v>
      </c>
      <c r="B2397" s="8" t="str">
        <f>HYPERLINK("https://twitter.com/MotorphiliacsTv","@MotorphiliacsTv")</f>
        <v>@MotorphiliacsTv</v>
      </c>
      <c r="C2397" s="9" t="s">
        <v>6101</v>
      </c>
      <c r="D2397" s="9" t="s">
        <v>6102</v>
      </c>
      <c r="E2397" s="10" t="str">
        <f>HYPERLINK("https://twitter.com/MotorphiliacsTv/status/723301969339633664","723301969339633664")</f>
        <v>723301969339633664</v>
      </c>
      <c r="F2397" s="11" t="s">
        <v>20</v>
      </c>
      <c r="G2397" s="11">
        <v>333</v>
      </c>
      <c r="H2397" s="11">
        <v>549</v>
      </c>
      <c r="I2397" s="11">
        <v>7</v>
      </c>
      <c r="J2397" s="11">
        <v>0</v>
      </c>
      <c r="K2397" s="11" t="s">
        <v>21</v>
      </c>
      <c r="L2397" s="7">
        <v>42421.034282407403</v>
      </c>
      <c r="M2397" s="12" t="s">
        <v>6103</v>
      </c>
      <c r="N2397" s="12" t="s">
        <v>6104</v>
      </c>
      <c r="O2397" s="10" t="str">
        <f>HYPERLINK("https://pbs.twimg.com/profile_images/701133680937291776/4TSsJk3y_normal.jpg","View")</f>
        <v>View</v>
      </c>
      <c r="P2397" s="11"/>
    </row>
    <row r="2398" spans="1:16" ht="12.75" x14ac:dyDescent="0.35">
      <c r="A2398" s="7">
        <v>42482.234155092592</v>
      </c>
      <c r="B2398" s="8" t="str">
        <f>HYPERLINK("https://twitter.com/GaitanAle","@GaitanAle")</f>
        <v>@GaitanAle</v>
      </c>
      <c r="C2398" s="9" t="s">
        <v>6105</v>
      </c>
      <c r="D2398" s="9" t="s">
        <v>6106</v>
      </c>
      <c r="E2398" s="10" t="str">
        <f>HYPERLINK("https://twitter.com/GaitanAle/status/723302091226251265","723302091226251265")</f>
        <v>723302091226251265</v>
      </c>
      <c r="F2398" s="11" t="s">
        <v>114</v>
      </c>
      <c r="G2398" s="11">
        <v>194</v>
      </c>
      <c r="H2398" s="11">
        <v>605</v>
      </c>
      <c r="I2398" s="11">
        <v>0</v>
      </c>
      <c r="J2398" s="11">
        <v>1</v>
      </c>
      <c r="K2398" s="11" t="s">
        <v>21</v>
      </c>
      <c r="L2398" s="7">
        <v>40407.282476851848</v>
      </c>
      <c r="M2398" s="12" t="s">
        <v>6107</v>
      </c>
      <c r="N2398" s="12"/>
      <c r="O2398" s="10" t="str">
        <f>HYPERLINK("https://pbs.twimg.com/profile_images/695686144013389824/1F-oOsoj_normal.jpg","View")</f>
        <v>View</v>
      </c>
      <c r="P2398" s="11"/>
    </row>
    <row r="2399" spans="1:16" ht="12.75" x14ac:dyDescent="0.35">
      <c r="A2399" s="7">
        <v>42482.234305555554</v>
      </c>
      <c r="B2399" s="8" t="str">
        <f>HYPERLINK("https://twitter.com/expatfriendly","@expatfriendly")</f>
        <v>@expatfriendly</v>
      </c>
      <c r="C2399" s="9" t="s">
        <v>6108</v>
      </c>
      <c r="D2399" s="9" t="s">
        <v>6109</v>
      </c>
      <c r="E2399" s="10" t="str">
        <f>HYPERLINK("https://twitter.com/expatfriendly/status/723302144464543745","723302144464543745")</f>
        <v>723302144464543745</v>
      </c>
      <c r="F2399" s="11" t="s">
        <v>20</v>
      </c>
      <c r="G2399" s="11">
        <v>337</v>
      </c>
      <c r="H2399" s="11">
        <v>141</v>
      </c>
      <c r="I2399" s="11">
        <v>0</v>
      </c>
      <c r="J2399" s="11">
        <v>0</v>
      </c>
      <c r="K2399" s="11" t="s">
        <v>21</v>
      </c>
      <c r="L2399" s="7">
        <v>40113.210034722222</v>
      </c>
      <c r="M2399" s="12" t="s">
        <v>2263</v>
      </c>
      <c r="N2399" s="12" t="s">
        <v>6110</v>
      </c>
      <c r="O2399" s="10" t="str">
        <f>HYPERLINK("https://pbs.twimg.com/profile_images/667650886903164928/Jl6AR59p_normal.jpg","View")</f>
        <v>View</v>
      </c>
      <c r="P2399" s="11"/>
    </row>
    <row r="2400" spans="1:16" ht="12.75" x14ac:dyDescent="0.35">
      <c r="A2400" s="7">
        <v>42482.234560185185</v>
      </c>
      <c r="B2400" s="8" t="str">
        <f>HYPERLINK("https://twitter.com/Lars9596","@Lars9596")</f>
        <v>@Lars9596</v>
      </c>
      <c r="C2400" s="9" t="s">
        <v>6111</v>
      </c>
      <c r="D2400" s="9" t="s">
        <v>6112</v>
      </c>
      <c r="E2400" s="10" t="str">
        <f>HYPERLINK("https://twitter.com/Lars9596/status/723302238836391937","723302238836391937")</f>
        <v>723302238836391937</v>
      </c>
      <c r="F2400" s="11" t="s">
        <v>43</v>
      </c>
      <c r="G2400" s="11">
        <v>36940</v>
      </c>
      <c r="H2400" s="11">
        <v>30291</v>
      </c>
      <c r="I2400" s="11">
        <v>0</v>
      </c>
      <c r="J2400" s="11">
        <v>0</v>
      </c>
      <c r="K2400" s="11" t="s">
        <v>21</v>
      </c>
      <c r="L2400" s="7">
        <v>40269.189560185187</v>
      </c>
      <c r="M2400" s="12" t="s">
        <v>6113</v>
      </c>
      <c r="N2400" s="12" t="s">
        <v>6114</v>
      </c>
      <c r="O2400" s="10" t="str">
        <f>HYPERLINK("https://pbs.twimg.com/profile_images/670238281297207296/gjW305du_normal.jpg","View")</f>
        <v>View</v>
      </c>
      <c r="P2400" s="11"/>
    </row>
    <row r="2401" spans="1:16" ht="12.75" x14ac:dyDescent="0.35">
      <c r="A2401" s="7">
        <v>42482.234652777777</v>
      </c>
      <c r="B2401" s="8" t="str">
        <f>HYPERLINK("https://twitter.com/WideAwakeMomma","@WideAwakeMomma")</f>
        <v>@WideAwakeMomma</v>
      </c>
      <c r="C2401" s="9" t="s">
        <v>6115</v>
      </c>
      <c r="D2401" s="9" t="s">
        <v>6116</v>
      </c>
      <c r="E2401" s="10" t="str">
        <f>HYPERLINK("https://twitter.com/WideAwakeMomma/status/723302271614750720","723302271614750720")</f>
        <v>723302271614750720</v>
      </c>
      <c r="F2401" s="11" t="s">
        <v>20</v>
      </c>
      <c r="G2401" s="11">
        <v>1685</v>
      </c>
      <c r="H2401" s="11">
        <v>1957</v>
      </c>
      <c r="I2401" s="11">
        <v>2</v>
      </c>
      <c r="J2401" s="11">
        <v>0</v>
      </c>
      <c r="K2401" s="11" t="s">
        <v>21</v>
      </c>
      <c r="L2401" s="7">
        <v>39996.815081018518</v>
      </c>
      <c r="M2401" s="12" t="s">
        <v>6117</v>
      </c>
      <c r="N2401" s="12" t="s">
        <v>6118</v>
      </c>
      <c r="O2401" s="10" t="str">
        <f>HYPERLINK("https://pbs.twimg.com/profile_images/713007702721474561/QMRhKzxd_normal.jpg","View")</f>
        <v>View</v>
      </c>
      <c r="P2401" s="11"/>
    </row>
    <row r="2402" spans="1:16" ht="12.75" x14ac:dyDescent="0.35">
      <c r="A2402" s="7">
        <v>42482.23474537037</v>
      </c>
      <c r="B2402" s="8" t="str">
        <f>HYPERLINK("https://twitter.com/Fotobiene","@Fotobiene")</f>
        <v>@Fotobiene</v>
      </c>
      <c r="C2402" s="9" t="s">
        <v>2977</v>
      </c>
      <c r="D2402" s="9" t="s">
        <v>6119</v>
      </c>
      <c r="E2402" s="10" t="str">
        <f>HYPERLINK("https://twitter.com/Fotobiene/status/723302304833781760","723302304833781760")</f>
        <v>723302304833781760</v>
      </c>
      <c r="F2402" s="11" t="s">
        <v>160</v>
      </c>
      <c r="G2402" s="11">
        <v>372</v>
      </c>
      <c r="H2402" s="11">
        <v>588</v>
      </c>
      <c r="I2402" s="11">
        <v>1</v>
      </c>
      <c r="J2402" s="11">
        <v>0</v>
      </c>
      <c r="K2402" s="11" t="s">
        <v>21</v>
      </c>
      <c r="L2402" s="7">
        <v>40363.94840277778</v>
      </c>
      <c r="M2402" s="12" t="s">
        <v>1116</v>
      </c>
      <c r="N2402" s="12" t="s">
        <v>2978</v>
      </c>
      <c r="O2402" s="10" t="str">
        <f>HYPERLINK("https://pbs.twimg.com/profile_images/476894592051056640/bqGCxWkq_normal.jpeg","View")</f>
        <v>View</v>
      </c>
      <c r="P2402" s="11"/>
    </row>
    <row r="2403" spans="1:16" ht="12.75" x14ac:dyDescent="0.35">
      <c r="A2403" s="7">
        <v>42482.237476851849</v>
      </c>
      <c r="B2403" s="8" t="str">
        <f>HYPERLINK("https://twitter.com/ChinaIFC","@ChinaIFC")</f>
        <v>@ChinaIFC</v>
      </c>
      <c r="C2403" s="9" t="s">
        <v>6120</v>
      </c>
      <c r="D2403" s="9" t="s">
        <v>2825</v>
      </c>
      <c r="E2403" s="10" t="str">
        <f>HYPERLINK("https://twitter.com/ChinaIFC/status/723303296535027713","723303296535027713")</f>
        <v>723303296535027713</v>
      </c>
      <c r="F2403" s="11" t="s">
        <v>43</v>
      </c>
      <c r="G2403" s="11">
        <v>3105</v>
      </c>
      <c r="H2403" s="11">
        <v>2065</v>
      </c>
      <c r="I2403" s="11">
        <v>53</v>
      </c>
      <c r="J2403" s="11">
        <v>0</v>
      </c>
      <c r="K2403" s="11" t="s">
        <v>21</v>
      </c>
      <c r="L2403" s="7">
        <v>42017.012349537035</v>
      </c>
      <c r="M2403" s="12" t="s">
        <v>6121</v>
      </c>
      <c r="N2403" s="12" t="s">
        <v>6122</v>
      </c>
      <c r="O2403" s="10" t="str">
        <f>HYPERLINK("https://pbs.twimg.com/profile_images/723335497490272256/ESWxlOuA_normal.jpg","View")</f>
        <v>View</v>
      </c>
      <c r="P2403" s="11"/>
    </row>
    <row r="2404" spans="1:16" ht="12.75" x14ac:dyDescent="0.35">
      <c r="A2404" s="7">
        <v>42482.239074074074</v>
      </c>
      <c r="B2404" s="8" t="str">
        <f>HYPERLINK("https://twitter.com/oldcar_photo","@oldcar_photo")</f>
        <v>@oldcar_photo</v>
      </c>
      <c r="C2404" s="9" t="s">
        <v>1046</v>
      </c>
      <c r="D2404" s="9" t="s">
        <v>6123</v>
      </c>
      <c r="E2404" s="10" t="str">
        <f>HYPERLINK("https://twitter.com/oldcar_photo/status/723303873360867328","723303873360867328")</f>
        <v>723303873360867328</v>
      </c>
      <c r="F2404" s="11" t="s">
        <v>68</v>
      </c>
      <c r="G2404" s="11">
        <v>1977</v>
      </c>
      <c r="H2404" s="11">
        <v>0</v>
      </c>
      <c r="I2404" s="11">
        <v>0</v>
      </c>
      <c r="J2404" s="11">
        <v>0</v>
      </c>
      <c r="K2404" s="11" t="s">
        <v>21</v>
      </c>
      <c r="L2404" s="7">
        <v>42184.7341087963</v>
      </c>
      <c r="M2404" s="12"/>
      <c r="N2404" s="12"/>
      <c r="O2404" s="10" t="str">
        <f>HYPERLINK("https://pbs.twimg.com/profile_images/615493650785660928/XHUh6HOk_normal.jpg","View")</f>
        <v>View</v>
      </c>
      <c r="P2404" s="11"/>
    </row>
    <row r="2405" spans="1:16" ht="12.75" x14ac:dyDescent="0.35">
      <c r="A2405" s="7">
        <v>42482.239976851852</v>
      </c>
      <c r="B2405" s="8" t="str">
        <f>HYPERLINK("https://twitter.com/dejbanlaw","@dejbanlaw")</f>
        <v>@dejbanlaw</v>
      </c>
      <c r="C2405" s="9" t="s">
        <v>500</v>
      </c>
      <c r="D2405" s="9" t="s">
        <v>6124</v>
      </c>
      <c r="E2405" s="10" t="str">
        <f>HYPERLINK("https://twitter.com/dejbanlaw/status/723304201426587648","723304201426587648")</f>
        <v>723304201426587648</v>
      </c>
      <c r="F2405" s="11" t="s">
        <v>91</v>
      </c>
      <c r="G2405" s="11">
        <v>21829</v>
      </c>
      <c r="H2405" s="11">
        <v>271</v>
      </c>
      <c r="I2405" s="11">
        <v>20</v>
      </c>
      <c r="J2405" s="11">
        <v>23</v>
      </c>
      <c r="K2405" s="11" t="s">
        <v>21</v>
      </c>
      <c r="L2405" s="7">
        <v>42350.2659837963</v>
      </c>
      <c r="M2405" s="12" t="s">
        <v>502</v>
      </c>
      <c r="N2405" s="12" t="s">
        <v>503</v>
      </c>
      <c r="O2405" s="10" t="str">
        <f>HYPERLINK("https://pbs.twimg.com/profile_images/676465930424082432/zT-RyXf4_normal.jpg","View")</f>
        <v>View</v>
      </c>
      <c r="P2405" s="11"/>
    </row>
    <row r="2406" spans="1:16" ht="12.75" x14ac:dyDescent="0.35">
      <c r="A2406" s="7">
        <v>42482.240324074075</v>
      </c>
      <c r="B2406" s="8" t="str">
        <f>HYPERLINK("https://twitter.com/wingston","@wingston")</f>
        <v>@wingston</v>
      </c>
      <c r="C2406" s="9" t="s">
        <v>805</v>
      </c>
      <c r="D2406" s="9" t="s">
        <v>6125</v>
      </c>
      <c r="E2406" s="10" t="str">
        <f>HYPERLINK("https://twitter.com/wingston/status/723304328836964352","723304328836964352")</f>
        <v>723304328836964352</v>
      </c>
      <c r="F2406" s="11" t="s">
        <v>807</v>
      </c>
      <c r="G2406" s="11">
        <v>1038</v>
      </c>
      <c r="H2406" s="11">
        <v>1059</v>
      </c>
      <c r="I2406" s="11">
        <v>0</v>
      </c>
      <c r="J2406" s="11">
        <v>0</v>
      </c>
      <c r="K2406" s="11" t="s">
        <v>21</v>
      </c>
      <c r="L2406" s="7">
        <v>39866.053124999999</v>
      </c>
      <c r="M2406" s="12" t="s">
        <v>808</v>
      </c>
      <c r="N2406" s="12" t="s">
        <v>809</v>
      </c>
      <c r="O2406" s="10" t="str">
        <f>HYPERLINK("https://pbs.twimg.com/profile_images/3537672406/190f79c88052bd5078e91796fd0fffe1_normal.jpeg","View")</f>
        <v>View</v>
      </c>
      <c r="P2406" s="11"/>
    </row>
    <row r="2407" spans="1:16" ht="12.75" x14ac:dyDescent="0.35">
      <c r="A2407" s="7">
        <v>42482.240451388891</v>
      </c>
      <c r="B2407" s="8" t="str">
        <f>HYPERLINK("https://twitter.com/Cokebear17","@Cokebear17")</f>
        <v>@Cokebear17</v>
      </c>
      <c r="C2407" s="9" t="s">
        <v>6126</v>
      </c>
      <c r="D2407" s="9" t="s">
        <v>6127</v>
      </c>
      <c r="E2407" s="10" t="str">
        <f>HYPERLINK("https://twitter.com/Cokebear17/status/723304372155867141","723304372155867141")</f>
        <v>723304372155867141</v>
      </c>
      <c r="F2407" s="11" t="s">
        <v>114</v>
      </c>
      <c r="G2407" s="11">
        <v>2439</v>
      </c>
      <c r="H2407" s="11">
        <v>1451</v>
      </c>
      <c r="I2407" s="11">
        <v>0</v>
      </c>
      <c r="J2407" s="11">
        <v>1</v>
      </c>
      <c r="K2407" s="11" t="s">
        <v>21</v>
      </c>
      <c r="L2407" s="7">
        <v>39934.122303240743</v>
      </c>
      <c r="M2407" s="12" t="s">
        <v>6128</v>
      </c>
      <c r="N2407" s="12" t="s">
        <v>6129</v>
      </c>
      <c r="O2407" s="10" t="str">
        <f>HYPERLINK("https://pbs.twimg.com/profile_images/678101273997012992/thY8hRJg_normal.jpg","View")</f>
        <v>View</v>
      </c>
      <c r="P2407" s="11"/>
    </row>
    <row r="2408" spans="1:16" ht="12.75" x14ac:dyDescent="0.35">
      <c r="A2408" s="7">
        <v>42482.24113425926</v>
      </c>
      <c r="B2408" s="8" t="str">
        <f>HYPERLINK("https://twitter.com/Hoytiboit","@Hoytiboit")</f>
        <v>@Hoytiboit</v>
      </c>
      <c r="C2408" s="9" t="s">
        <v>6130</v>
      </c>
      <c r="D2408" s="9" t="s">
        <v>6131</v>
      </c>
      <c r="E2408" s="10" t="str">
        <f>HYPERLINK("https://twitter.com/Hoytiboit/status/723304621821812741","723304621821812741")</f>
        <v>723304621821812741</v>
      </c>
      <c r="F2408" s="11" t="s">
        <v>114</v>
      </c>
      <c r="G2408" s="11">
        <v>181</v>
      </c>
      <c r="H2408" s="11">
        <v>198</v>
      </c>
      <c r="I2408" s="11">
        <v>0</v>
      </c>
      <c r="J2408" s="11">
        <v>0</v>
      </c>
      <c r="K2408" s="11" t="s">
        <v>21</v>
      </c>
      <c r="L2408" s="7">
        <v>41142.81895833333</v>
      </c>
      <c r="M2408" s="12" t="s">
        <v>6132</v>
      </c>
      <c r="N2408" s="12" t="s">
        <v>6133</v>
      </c>
      <c r="O2408" s="10" t="str">
        <f>HYPERLINK("https://pbs.twimg.com/profile_images/716622069761384451/wldRctde_normal.jpg","View")</f>
        <v>View</v>
      </c>
      <c r="P2408" s="11"/>
    </row>
    <row r="2409" spans="1:16" ht="12.75" x14ac:dyDescent="0.35">
      <c r="A2409" s="7">
        <v>42482.241446759261</v>
      </c>
      <c r="B2409" s="8" t="str">
        <f>HYPERLINK("https://twitter.com/giselaBoezio","@giselaBoezio")</f>
        <v>@giselaBoezio</v>
      </c>
      <c r="C2409" s="9" t="s">
        <v>3761</v>
      </c>
      <c r="D2409" s="9" t="s">
        <v>4670</v>
      </c>
      <c r="E2409" s="10" t="str">
        <f>HYPERLINK("https://twitter.com/giselaBoezio/status/723304731897151488","723304731897151488")</f>
        <v>723304731897151488</v>
      </c>
      <c r="F2409" s="11" t="s">
        <v>48</v>
      </c>
      <c r="G2409" s="11">
        <v>282</v>
      </c>
      <c r="H2409" s="11">
        <v>250</v>
      </c>
      <c r="I2409" s="11">
        <v>3</v>
      </c>
      <c r="J2409" s="11">
        <v>0</v>
      </c>
      <c r="K2409" s="11" t="s">
        <v>21</v>
      </c>
      <c r="L2409" s="7">
        <v>41550.277673611112</v>
      </c>
      <c r="M2409" s="12"/>
      <c r="N2409" s="12" t="s">
        <v>3763</v>
      </c>
      <c r="O2409" s="10" t="str">
        <f>HYPERLINK("https://pbs.twimg.com/profile_images/430023681977634816/gBNGcukd_normal.jpeg","View")</f>
        <v>View</v>
      </c>
      <c r="P2409" s="11"/>
    </row>
    <row r="2410" spans="1:16" ht="12.75" x14ac:dyDescent="0.35">
      <c r="A2410" s="7">
        <v>42482.242245370369</v>
      </c>
      <c r="B2410" s="8" t="str">
        <f>HYPERLINK("https://twitter.com/mangogemini","@mangogemini")</f>
        <v>@mangogemini</v>
      </c>
      <c r="C2410" s="9" t="s">
        <v>6134</v>
      </c>
      <c r="D2410" s="9" t="s">
        <v>6135</v>
      </c>
      <c r="E2410" s="10" t="str">
        <f>HYPERLINK("https://twitter.com/mangogemini/status/723305023870894080","723305023870894080")</f>
        <v>723305023870894080</v>
      </c>
      <c r="F2410" s="11" t="s">
        <v>43</v>
      </c>
      <c r="G2410" s="11">
        <v>264</v>
      </c>
      <c r="H2410" s="11">
        <v>300</v>
      </c>
      <c r="I2410" s="11">
        <v>0</v>
      </c>
      <c r="J2410" s="11">
        <v>0</v>
      </c>
      <c r="K2410" s="11" t="s">
        <v>21</v>
      </c>
      <c r="L2410" s="7">
        <v>40309.528240740743</v>
      </c>
      <c r="M2410" s="12" t="s">
        <v>2145</v>
      </c>
      <c r="N2410" s="12" t="s">
        <v>6136</v>
      </c>
      <c r="O2410" s="10" t="str">
        <f>HYPERLINK("https://pbs.twimg.com/profile_images/454052818148536320/hevKbI29_normal.jpeg","View")</f>
        <v>View</v>
      </c>
      <c r="P2410" s="11"/>
    </row>
    <row r="2411" spans="1:16" ht="12.75" x14ac:dyDescent="0.35">
      <c r="A2411" s="7">
        <v>42482.242430555554</v>
      </c>
      <c r="B2411" s="8" t="str">
        <f>HYPERLINK("https://twitter.com/POLITJAH","@POLITJAH")</f>
        <v>@POLITJAH</v>
      </c>
      <c r="C2411" s="9" t="s">
        <v>6137</v>
      </c>
      <c r="D2411" s="9" t="s">
        <v>6138</v>
      </c>
      <c r="E2411" s="10" t="str">
        <f>HYPERLINK("https://twitter.com/POLITJAH/status/723305091395149824","723305091395149824")</f>
        <v>723305091395149824</v>
      </c>
      <c r="F2411" s="11" t="s">
        <v>43</v>
      </c>
      <c r="G2411" s="11">
        <v>261</v>
      </c>
      <c r="H2411" s="11">
        <v>149</v>
      </c>
      <c r="I2411" s="11">
        <v>0</v>
      </c>
      <c r="J2411" s="11">
        <v>0</v>
      </c>
      <c r="K2411" s="11" t="s">
        <v>21</v>
      </c>
      <c r="L2411" s="7">
        <v>41456.877418981479</v>
      </c>
      <c r="M2411" s="12" t="s">
        <v>6139</v>
      </c>
      <c r="N2411" s="12" t="s">
        <v>6140</v>
      </c>
      <c r="O2411" s="10" t="str">
        <f>HYPERLINK("https://pbs.twimg.com/profile_images/378800000073373561/7822133b784167a02ef829139ae34779_normal.jpeg","View")</f>
        <v>View</v>
      </c>
      <c r="P2411" s="11"/>
    </row>
    <row r="2412" spans="1:16" ht="12.75" x14ac:dyDescent="0.35">
      <c r="A2412" s="7">
        <v>42482.242708333331</v>
      </c>
      <c r="B2412" s="8" t="str">
        <f>HYPERLINK("https://twitter.com/Automotormz","@Automotormz")</f>
        <v>@Automotormz</v>
      </c>
      <c r="C2412" s="9" t="s">
        <v>6141</v>
      </c>
      <c r="D2412" s="9" t="s">
        <v>6142</v>
      </c>
      <c r="E2412" s="10" t="str">
        <f>HYPERLINK("https://twitter.com/Automotormz/status/723305192549048320","723305192549048320")</f>
        <v>723305192549048320</v>
      </c>
      <c r="F2412" s="11" t="s">
        <v>63</v>
      </c>
      <c r="G2412" s="11">
        <v>11</v>
      </c>
      <c r="H2412" s="11">
        <v>9</v>
      </c>
      <c r="I2412" s="11">
        <v>1</v>
      </c>
      <c r="J2412" s="11">
        <v>0</v>
      </c>
      <c r="K2412" s="11" t="s">
        <v>21</v>
      </c>
      <c r="L2412" s="7">
        <v>42383.025300925925</v>
      </c>
      <c r="M2412" s="12"/>
      <c r="N2412" s="12" t="s">
        <v>6143</v>
      </c>
      <c r="O2412" s="10" t="str">
        <f>HYPERLINK("https://pbs.twimg.com/profile_images/687355953939791872/B2pvYE73_normal.jpg","View")</f>
        <v>View</v>
      </c>
      <c r="P2412" s="11"/>
    </row>
    <row r="2413" spans="1:16" ht="12.75" x14ac:dyDescent="0.35">
      <c r="A2413" s="7">
        <v>42482.242731481485</v>
      </c>
      <c r="B2413" s="8" t="str">
        <f>HYPERLINK("https://twitter.com/AngelMo96","@AngelMo96")</f>
        <v>@AngelMo96</v>
      </c>
      <c r="C2413" s="9" t="s">
        <v>6144</v>
      </c>
      <c r="D2413" s="9" t="s">
        <v>6145</v>
      </c>
      <c r="E2413" s="10" t="str">
        <f>HYPERLINK("https://twitter.com/AngelMo96/status/723305200782438402","723305200782438402")</f>
        <v>723305200782438402</v>
      </c>
      <c r="F2413" s="11" t="s">
        <v>48</v>
      </c>
      <c r="G2413" s="11">
        <v>4</v>
      </c>
      <c r="H2413" s="11">
        <v>29</v>
      </c>
      <c r="I2413" s="11">
        <v>0</v>
      </c>
      <c r="J2413" s="11">
        <v>1</v>
      </c>
      <c r="K2413" s="11" t="s">
        <v>21</v>
      </c>
      <c r="L2413" s="7">
        <v>42481.723900462966</v>
      </c>
      <c r="M2413" s="12"/>
      <c r="N2413" s="12"/>
      <c r="O2413" s="10" t="str">
        <f>HYPERLINK("https://pbs.twimg.com/profile_images/723153526159876097/zXnwCgyx_normal.jpg","View")</f>
        <v>View</v>
      </c>
      <c r="P2413" s="11"/>
    </row>
    <row r="2414" spans="1:16" ht="12.75" x14ac:dyDescent="0.35">
      <c r="A2414" s="7">
        <v>42482.242858796293</v>
      </c>
      <c r="B2414" s="8" t="str">
        <f>HYPERLINK("https://twitter.com/RHPolyxo8U","@RHPolyxo8U")</f>
        <v>@RHPolyxo8U</v>
      </c>
      <c r="C2414" s="9" t="s">
        <v>6146</v>
      </c>
      <c r="D2414" s="9" t="s">
        <v>6147</v>
      </c>
      <c r="E2414" s="10" t="str">
        <f>HYPERLINK("https://twitter.com/RHPolyxo8U/status/723305245330268161","723305245330268161")</f>
        <v>723305245330268161</v>
      </c>
      <c r="F2414" s="11" t="s">
        <v>43</v>
      </c>
      <c r="G2414" s="11">
        <v>15</v>
      </c>
      <c r="H2414" s="11">
        <v>467</v>
      </c>
      <c r="I2414" s="11">
        <v>20</v>
      </c>
      <c r="J2414" s="11">
        <v>0</v>
      </c>
      <c r="K2414" s="11" t="s">
        <v>21</v>
      </c>
      <c r="L2414" s="7">
        <v>42064.805763888886</v>
      </c>
      <c r="M2414" s="12" t="s">
        <v>6148</v>
      </c>
      <c r="N2414" s="12" t="s">
        <v>6149</v>
      </c>
      <c r="O2414" s="10" t="str">
        <f>HYPERLINK("https://pbs.twimg.com/profile_images/575844267014279168/9Gr2Zh0N_normal.jpeg","View")</f>
        <v>View</v>
      </c>
      <c r="P2414" s="11"/>
    </row>
    <row r="2415" spans="1:16" ht="12.75" x14ac:dyDescent="0.35">
      <c r="A2415" s="7">
        <v>42482.243263888886</v>
      </c>
      <c r="B2415" s="8" t="str">
        <f>HYPERLINK("https://twitter.com/autosdeoro","@autosdeoro")</f>
        <v>@autosdeoro</v>
      </c>
      <c r="C2415" s="9" t="s">
        <v>6150</v>
      </c>
      <c r="D2415" s="9" t="s">
        <v>6151</v>
      </c>
      <c r="E2415" s="10" t="str">
        <f>HYPERLINK("https://twitter.com/autosdeoro/status/723305393661702145","723305393661702145")</f>
        <v>723305393661702145</v>
      </c>
      <c r="F2415" s="11" t="s">
        <v>63</v>
      </c>
      <c r="G2415" s="11">
        <v>325</v>
      </c>
      <c r="H2415" s="11">
        <v>215</v>
      </c>
      <c r="I2415" s="11">
        <v>1</v>
      </c>
      <c r="J2415" s="11">
        <v>0</v>
      </c>
      <c r="K2415" s="11" t="s">
        <v>21</v>
      </c>
      <c r="L2415" s="7">
        <v>40452.017708333333</v>
      </c>
      <c r="M2415" s="12" t="s">
        <v>6152</v>
      </c>
      <c r="N2415" s="12" t="s">
        <v>6153</v>
      </c>
      <c r="O2415" s="10" t="str">
        <f>HYPERLINK("https://pbs.twimg.com/profile_images/1134604562/Logo_Autos_de_Oro_02_normal.jpg","View")</f>
        <v>View</v>
      </c>
      <c r="P2415" s="11"/>
    </row>
    <row r="2416" spans="1:16" ht="12.75" x14ac:dyDescent="0.35">
      <c r="A2416" s="7">
        <v>42482.243310185186</v>
      </c>
      <c r="B2416" s="8" t="str">
        <f>HYPERLINK("https://twitter.com/ArentFoxAuto","@ArentFoxAuto")</f>
        <v>@ArentFoxAuto</v>
      </c>
      <c r="C2416" s="9" t="s">
        <v>6154</v>
      </c>
      <c r="D2416" s="9" t="s">
        <v>6155</v>
      </c>
      <c r="E2416" s="10" t="str">
        <f>HYPERLINK("https://twitter.com/ArentFoxAuto/status/723305409549758464","723305409549758464")</f>
        <v>723305409549758464</v>
      </c>
      <c r="F2416" s="11" t="s">
        <v>43</v>
      </c>
      <c r="G2416" s="11">
        <v>179</v>
      </c>
      <c r="H2416" s="11">
        <v>355</v>
      </c>
      <c r="I2416" s="11">
        <v>0</v>
      </c>
      <c r="J2416" s="11">
        <v>0</v>
      </c>
      <c r="K2416" s="11" t="s">
        <v>21</v>
      </c>
      <c r="L2416" s="7">
        <v>40688.118032407408</v>
      </c>
      <c r="M2416" s="12"/>
      <c r="N2416" s="12" t="s">
        <v>6156</v>
      </c>
      <c r="O2416" s="10" t="str">
        <f>HYPERLINK("https://pbs.twimg.com/profile_images/641324618876342272/YsSIrYuD_normal.jpg","View")</f>
        <v>View</v>
      </c>
      <c r="P2416" s="11"/>
    </row>
    <row r="2417" spans="1:16" ht="12.75" x14ac:dyDescent="0.35">
      <c r="A2417" s="7">
        <v>42482.245601851857</v>
      </c>
      <c r="B2417" s="8" t="str">
        <f>HYPERLINK("https://twitter.com/_Izzy_Stewart_","@_Izzy_Stewart_")</f>
        <v>@_Izzy_Stewart_</v>
      </c>
      <c r="C2417" s="9" t="s">
        <v>6157</v>
      </c>
      <c r="D2417" s="9" t="s">
        <v>6158</v>
      </c>
      <c r="E2417" s="10" t="str">
        <f>HYPERLINK("https://twitter.com/_Izzy_Stewart_/status/723306237534810115","723306237534810115")</f>
        <v>723306237534810115</v>
      </c>
      <c r="F2417" s="11" t="s">
        <v>20</v>
      </c>
      <c r="G2417" s="11">
        <v>530</v>
      </c>
      <c r="H2417" s="11">
        <v>500</v>
      </c>
      <c r="I2417" s="11">
        <v>0</v>
      </c>
      <c r="J2417" s="11">
        <v>0</v>
      </c>
      <c r="K2417" s="11" t="s">
        <v>21</v>
      </c>
      <c r="L2417" s="7">
        <v>40801.3359375</v>
      </c>
      <c r="M2417" s="12" t="s">
        <v>6159</v>
      </c>
      <c r="N2417" s="12" t="s">
        <v>6160</v>
      </c>
      <c r="O2417" s="10" t="str">
        <f>HYPERLINK("https://pbs.twimg.com/profile_images/714507367031959554/hbITqVuh_normal.jpg","View")</f>
        <v>View</v>
      </c>
      <c r="P2417" s="11"/>
    </row>
    <row r="2418" spans="1:16" ht="12.75" x14ac:dyDescent="0.35">
      <c r="A2418" s="7">
        <v>42482.245613425926</v>
      </c>
      <c r="B2418" s="8" t="str">
        <f>HYPERLINK("https://twitter.com/adDieCoVa","@adDieCoVa")</f>
        <v>@adDieCoVa</v>
      </c>
      <c r="C2418" s="9" t="s">
        <v>6161</v>
      </c>
      <c r="D2418" s="9" t="s">
        <v>6162</v>
      </c>
      <c r="E2418" s="10" t="str">
        <f>HYPERLINK("https://twitter.com/adDieCoVa/status/723306245206249472","723306245206249472")</f>
        <v>723306245206249472</v>
      </c>
      <c r="F2418" s="11" t="s">
        <v>114</v>
      </c>
      <c r="G2418" s="11">
        <v>105</v>
      </c>
      <c r="H2418" s="11">
        <v>187</v>
      </c>
      <c r="I2418" s="11">
        <v>0</v>
      </c>
      <c r="J2418" s="11">
        <v>0</v>
      </c>
      <c r="K2418" s="11" t="s">
        <v>21</v>
      </c>
      <c r="L2418" s="7">
        <v>40357.396284722221</v>
      </c>
      <c r="M2418" s="12" t="s">
        <v>462</v>
      </c>
      <c r="N2418" s="12" t="s">
        <v>6163</v>
      </c>
      <c r="O2418" s="10" t="str">
        <f>HYPERLINK("https://pbs.twimg.com/profile_images/1895623225/IMG00477-20120308-1529_normal.jpg","View")</f>
        <v>View</v>
      </c>
      <c r="P2418" s="11"/>
    </row>
    <row r="2419" spans="1:16" ht="12.75" x14ac:dyDescent="0.35">
      <c r="A2419" s="7">
        <v>42482.245821759258</v>
      </c>
      <c r="B2419" s="8" t="str">
        <f>HYPERLINK("https://twitter.com/LL2pilesPl","@LL2pilesPl")</f>
        <v>@LL2pilesPl</v>
      </c>
      <c r="C2419" s="9" t="s">
        <v>6164</v>
      </c>
      <c r="D2419" s="9" t="s">
        <v>6147</v>
      </c>
      <c r="E2419" s="10" t="str">
        <f>HYPERLINK("https://twitter.com/LL2pilesPl/status/723306320590475265","723306320590475265")</f>
        <v>723306320590475265</v>
      </c>
      <c r="F2419" s="11" t="s">
        <v>43</v>
      </c>
      <c r="G2419" s="11">
        <v>18</v>
      </c>
      <c r="H2419" s="11">
        <v>462</v>
      </c>
      <c r="I2419" s="11">
        <v>20</v>
      </c>
      <c r="J2419" s="11">
        <v>0</v>
      </c>
      <c r="K2419" s="11" t="s">
        <v>21</v>
      </c>
      <c r="L2419" s="7">
        <v>42064.398402777777</v>
      </c>
      <c r="M2419" s="12" t="s">
        <v>6165</v>
      </c>
      <c r="N2419" s="12" t="s">
        <v>6166</v>
      </c>
      <c r="O2419" s="10" t="str">
        <f>HYPERLINK("https://pbs.twimg.com/profile_images/575834336924053504/MUu7P3Wg_normal.jpeg","View")</f>
        <v>View</v>
      </c>
      <c r="P2419" s="11"/>
    </row>
    <row r="2420" spans="1:16" ht="12.75" x14ac:dyDescent="0.35">
      <c r="A2420" s="7">
        <v>42482.245891203704</v>
      </c>
      <c r="B2420" s="8" t="str">
        <f>HYPERLINK("https://twitter.com/VWCamperSales","@VWCamperSales")</f>
        <v>@VWCamperSales</v>
      </c>
      <c r="C2420" s="9" t="s">
        <v>216</v>
      </c>
      <c r="D2420" s="9" t="s">
        <v>6167</v>
      </c>
      <c r="E2420" s="10" t="str">
        <f>HYPERLINK("https://twitter.com/VWCamperSales/status/723306346158788608","723306346158788608")</f>
        <v>723306346158788608</v>
      </c>
      <c r="F2420" s="10" t="s">
        <v>124</v>
      </c>
      <c r="G2420" s="11">
        <v>615</v>
      </c>
      <c r="H2420" s="11">
        <v>580</v>
      </c>
      <c r="I2420" s="11">
        <v>0</v>
      </c>
      <c r="J2420" s="11">
        <v>0</v>
      </c>
      <c r="K2420" s="11" t="s">
        <v>21</v>
      </c>
      <c r="L2420" s="7">
        <v>42215.98809027778</v>
      </c>
      <c r="M2420" s="12" t="s">
        <v>129</v>
      </c>
      <c r="N2420" s="12" t="s">
        <v>218</v>
      </c>
      <c r="O2420" s="10" t="str">
        <f>HYPERLINK("https://pbs.twimg.com/profile_images/627949001179037696/skEBkS05_normal.jpg","View")</f>
        <v>View</v>
      </c>
      <c r="P2420" s="11"/>
    </row>
    <row r="2421" spans="1:16" ht="12.75" x14ac:dyDescent="0.35">
      <c r="A2421" s="7">
        <v>42482.245983796296</v>
      </c>
      <c r="B2421" s="8" t="str">
        <f>HYPERLINK("https://twitter.com/iGSebbattHJ","@iGSebbattHJ")</f>
        <v>@iGSebbattHJ</v>
      </c>
      <c r="C2421" s="9" t="s">
        <v>6168</v>
      </c>
      <c r="D2421" s="9" t="s">
        <v>6147</v>
      </c>
      <c r="E2421" s="10" t="str">
        <f>HYPERLINK("https://twitter.com/iGSebbattHJ/status/723306379214200832","723306379214200832")</f>
        <v>723306379214200832</v>
      </c>
      <c r="F2421" s="11" t="s">
        <v>43</v>
      </c>
      <c r="G2421" s="11">
        <v>11</v>
      </c>
      <c r="H2421" s="11">
        <v>460</v>
      </c>
      <c r="I2421" s="11">
        <v>20</v>
      </c>
      <c r="J2421" s="11">
        <v>0</v>
      </c>
      <c r="K2421" s="11" t="s">
        <v>21</v>
      </c>
      <c r="L2421" s="7">
        <v>42063.986296296294</v>
      </c>
      <c r="M2421" s="12" t="s">
        <v>6169</v>
      </c>
      <c r="N2421" s="12" t="s">
        <v>6170</v>
      </c>
      <c r="O2421" s="10" t="str">
        <f>HYPERLINK("https://pbs.twimg.com/profile_images/575829688179814400/luBsWnil_normal.jpeg","View")</f>
        <v>View</v>
      </c>
      <c r="P2421" s="11"/>
    </row>
    <row r="2422" spans="1:16" ht="12.75" x14ac:dyDescent="0.35">
      <c r="A2422" s="7">
        <v>42482.246851851851</v>
      </c>
      <c r="B2422" s="8" t="str">
        <f>HYPERLINK("https://twitter.com/following_jobs","@following_jobs")</f>
        <v>@following_jobs</v>
      </c>
      <c r="C2422" s="9" t="s">
        <v>6171</v>
      </c>
      <c r="D2422" s="9" t="s">
        <v>6172</v>
      </c>
      <c r="E2422" s="10" t="str">
        <f>HYPERLINK("https://twitter.com/following_jobs/status/723306690964119553","723306690964119553")</f>
        <v>723306690964119553</v>
      </c>
      <c r="F2422" s="11" t="s">
        <v>34</v>
      </c>
      <c r="G2422" s="11">
        <v>1062</v>
      </c>
      <c r="H2422" s="11">
        <v>784</v>
      </c>
      <c r="I2422" s="11">
        <v>0</v>
      </c>
      <c r="J2422" s="11">
        <v>0</v>
      </c>
      <c r="K2422" s="11" t="s">
        <v>21</v>
      </c>
      <c r="L2422" s="7">
        <v>42022.867581018523</v>
      </c>
      <c r="M2422" s="12"/>
      <c r="N2422" s="12" t="s">
        <v>6173</v>
      </c>
      <c r="O2422" s="10" t="str">
        <f>HYPERLINK("https://pbs.twimg.com/profile_images/556834076418527235/Y36uC3QC_normal.png","View")</f>
        <v>View</v>
      </c>
      <c r="P2422" s="11"/>
    </row>
    <row r="2423" spans="1:16" ht="12.75" x14ac:dyDescent="0.35">
      <c r="A2423" s="7">
        <v>42482.247071759259</v>
      </c>
      <c r="B2423" s="8" t="str">
        <f>HYPERLINK("https://twitter.com/0MMarshallTomBt","@0MMarshallTomBt")</f>
        <v>@0MMarshallTomBt</v>
      </c>
      <c r="C2423" s="9" t="s">
        <v>6174</v>
      </c>
      <c r="D2423" s="9" t="s">
        <v>6147</v>
      </c>
      <c r="E2423" s="10" t="str">
        <f>HYPERLINK("https://twitter.com/0MMarshallTomBt/status/723306771754921984","723306771754921984")</f>
        <v>723306771754921984</v>
      </c>
      <c r="F2423" s="11" t="s">
        <v>43</v>
      </c>
      <c r="G2423" s="11">
        <v>15</v>
      </c>
      <c r="H2423" s="11">
        <v>475</v>
      </c>
      <c r="I2423" s="11">
        <v>20</v>
      </c>
      <c r="J2423" s="11">
        <v>0</v>
      </c>
      <c r="K2423" s="11" t="s">
        <v>21</v>
      </c>
      <c r="L2423" s="7">
        <v>42064.646180555559</v>
      </c>
      <c r="M2423" s="12"/>
      <c r="N2423" s="12" t="s">
        <v>6175</v>
      </c>
      <c r="O2423" s="10" t="str">
        <f>HYPERLINK("https://pbs.twimg.com/profile_images/575839795810713601/V0Vj8AtR_normal.jpg","View")</f>
        <v>View</v>
      </c>
      <c r="P2423" s="11"/>
    </row>
    <row r="2424" spans="1:16" ht="12.75" x14ac:dyDescent="0.35">
      <c r="A2424" s="7">
        <v>42482.247534722221</v>
      </c>
      <c r="B2424" s="8" t="str">
        <f>HYPERLINK("https://twitter.com/LKBryanfistoGo","@LKBryanfistoGo")</f>
        <v>@LKBryanfistoGo</v>
      </c>
      <c r="C2424" s="9" t="s">
        <v>6176</v>
      </c>
      <c r="D2424" s="9" t="s">
        <v>6147</v>
      </c>
      <c r="E2424" s="10" t="str">
        <f>HYPERLINK("https://twitter.com/LKBryanfistoGo/status/723306938709229568","723306938709229568")</f>
        <v>723306938709229568</v>
      </c>
      <c r="F2424" s="11" t="s">
        <v>43</v>
      </c>
      <c r="G2424" s="11">
        <v>8</v>
      </c>
      <c r="H2424" s="11">
        <v>478</v>
      </c>
      <c r="I2424" s="11">
        <v>20</v>
      </c>
      <c r="J2424" s="11">
        <v>0</v>
      </c>
      <c r="K2424" s="11" t="s">
        <v>21</v>
      </c>
      <c r="L2424" s="7">
        <v>42064.52344907407</v>
      </c>
      <c r="M2424" s="12" t="s">
        <v>6177</v>
      </c>
      <c r="N2424" s="12" t="s">
        <v>6178</v>
      </c>
      <c r="O2424" s="10" t="str">
        <f>HYPERLINK("https://pbs.twimg.com/profile_images/575837850056290307/wsD1EvQx_normal.jpeg","View")</f>
        <v>View</v>
      </c>
      <c r="P2424" s="11"/>
    </row>
    <row r="2425" spans="1:16" ht="12.75" x14ac:dyDescent="0.35">
      <c r="A2425" s="7">
        <v>42482.247824074075</v>
      </c>
      <c r="B2425" s="8" t="str">
        <f>HYPERLINK("https://twitter.com/Gillian825","@Gillian825")</f>
        <v>@Gillian825</v>
      </c>
      <c r="C2425" s="9" t="s">
        <v>6179</v>
      </c>
      <c r="D2425" s="9" t="s">
        <v>6180</v>
      </c>
      <c r="E2425" s="10" t="str">
        <f>HYPERLINK("https://twitter.com/Gillian825/status/723307044313423872","723307044313423872")</f>
        <v>723307044313423872</v>
      </c>
      <c r="F2425" s="11" t="s">
        <v>114</v>
      </c>
      <c r="G2425" s="11">
        <v>226</v>
      </c>
      <c r="H2425" s="11">
        <v>282</v>
      </c>
      <c r="I2425" s="11">
        <v>0</v>
      </c>
      <c r="J2425" s="11">
        <v>0</v>
      </c>
      <c r="K2425" s="11" t="s">
        <v>21</v>
      </c>
      <c r="L2425" s="7">
        <v>39870.377256944441</v>
      </c>
      <c r="M2425" s="12" t="s">
        <v>5203</v>
      </c>
      <c r="N2425" s="12" t="s">
        <v>6181</v>
      </c>
      <c r="O2425" s="10" t="str">
        <f>HYPERLINK("https://pbs.twimg.com/profile_images/660605232825671680/N9xbaDmG_normal.jpg","View")</f>
        <v>View</v>
      </c>
      <c r="P2425" s="11"/>
    </row>
    <row r="2426" spans="1:16" ht="12.75" x14ac:dyDescent="0.35">
      <c r="A2426" s="7">
        <v>42482.248298611114</v>
      </c>
      <c r="B2426" s="8" t="str">
        <f>HYPERLINK("https://twitter.com/LoDijoTito","@LoDijoTito")</f>
        <v>@LoDijoTito</v>
      </c>
      <c r="C2426" s="9" t="s">
        <v>6182</v>
      </c>
      <c r="D2426" s="9" t="s">
        <v>6183</v>
      </c>
      <c r="E2426" s="10" t="str">
        <f>HYPERLINK("https://twitter.com/LoDijoTito/status/723307218121154561","723307218121154561")</f>
        <v>723307218121154561</v>
      </c>
      <c r="F2426" s="11" t="s">
        <v>48</v>
      </c>
      <c r="G2426" s="11">
        <v>1161</v>
      </c>
      <c r="H2426" s="11">
        <v>1115</v>
      </c>
      <c r="I2426" s="11">
        <v>0</v>
      </c>
      <c r="J2426" s="11">
        <v>1</v>
      </c>
      <c r="K2426" s="11" t="s">
        <v>21</v>
      </c>
      <c r="L2426" s="7">
        <v>40326.278553240743</v>
      </c>
      <c r="M2426" s="12" t="s">
        <v>4966</v>
      </c>
      <c r="N2426" s="12" t="s">
        <v>6184</v>
      </c>
      <c r="O2426" s="10" t="str">
        <f>HYPERLINK("https://pbs.twimg.com/profile_images/378800000080536808/27d73bf18de691ed686410d5b0d71bac_normal.jpeg","View")</f>
        <v>View</v>
      </c>
      <c r="P2426" s="11"/>
    </row>
    <row r="2427" spans="1:16" ht="12.75" x14ac:dyDescent="0.35">
      <c r="A2427" s="7">
        <v>42482.248935185184</v>
      </c>
      <c r="B2427" s="8" t="str">
        <f>HYPERLINK("https://twitter.com/zPDreamweinerW6","@zPDreamweinerW6")</f>
        <v>@zPDreamweinerW6</v>
      </c>
      <c r="C2427" s="9" t="s">
        <v>6185</v>
      </c>
      <c r="D2427" s="9" t="s">
        <v>6147</v>
      </c>
      <c r="E2427" s="10" t="str">
        <f>HYPERLINK("https://twitter.com/zPDreamweinerW6/status/723307446731726848","723307446731726848")</f>
        <v>723307446731726848</v>
      </c>
      <c r="F2427" s="11" t="s">
        <v>43</v>
      </c>
      <c r="G2427" s="11">
        <v>11</v>
      </c>
      <c r="H2427" s="11">
        <v>443</v>
      </c>
      <c r="I2427" s="11">
        <v>20</v>
      </c>
      <c r="J2427" s="11">
        <v>0</v>
      </c>
      <c r="K2427" s="11" t="s">
        <v>21</v>
      </c>
      <c r="L2427" s="7">
        <v>42065.0621412037</v>
      </c>
      <c r="M2427" s="12"/>
      <c r="N2427" s="12" t="s">
        <v>6186</v>
      </c>
      <c r="O2427" s="10" t="str">
        <f>HYPERLINK("https://pbs.twimg.com/profile_images/575851834176208896/fD4Qh4E7_normal.jpeg","View")</f>
        <v>View</v>
      </c>
      <c r="P2427" s="11"/>
    </row>
    <row r="2428" spans="1:16" ht="12.75" x14ac:dyDescent="0.35">
      <c r="A2428" s="7">
        <v>42482.249016203699</v>
      </c>
      <c r="B2428" s="8" t="str">
        <f>HYPERLINK("https://twitter.com/GuidoSagredo","@GuidoSagredo")</f>
        <v>@GuidoSagredo</v>
      </c>
      <c r="C2428" s="9" t="s">
        <v>6187</v>
      </c>
      <c r="D2428" s="9" t="s">
        <v>6188</v>
      </c>
      <c r="E2428" s="10" t="str">
        <f>HYPERLINK("https://twitter.com/GuidoSagredo/status/723307477236895744","723307477236895744")</f>
        <v>723307477236895744</v>
      </c>
      <c r="F2428" s="11" t="s">
        <v>48</v>
      </c>
      <c r="G2428" s="11">
        <v>60</v>
      </c>
      <c r="H2428" s="11">
        <v>145</v>
      </c>
      <c r="I2428" s="11">
        <v>3</v>
      </c>
      <c r="J2428" s="11">
        <v>0</v>
      </c>
      <c r="K2428" s="11" t="s">
        <v>21</v>
      </c>
      <c r="L2428" s="7">
        <v>41193.419606481482</v>
      </c>
      <c r="M2428" s="12"/>
      <c r="N2428" s="12" t="s">
        <v>6189</v>
      </c>
      <c r="O2428" s="10" t="str">
        <f>HYPERLINK("https://pbs.twimg.com/profile_images/664425631657156608/FPLRsPf7_normal.jpg","View")</f>
        <v>View</v>
      </c>
      <c r="P2428" s="11"/>
    </row>
    <row r="2429" spans="1:16" ht="12.75" x14ac:dyDescent="0.35">
      <c r="A2429" s="7">
        <v>42482.249409722222</v>
      </c>
      <c r="B2429" s="8" t="str">
        <f>HYPERLINK("https://twitter.com/Paddyboy1875","@Paddyboy1875")</f>
        <v>@Paddyboy1875</v>
      </c>
      <c r="C2429" s="9" t="s">
        <v>6190</v>
      </c>
      <c r="D2429" s="9" t="s">
        <v>6191</v>
      </c>
      <c r="E2429" s="10" t="str">
        <f>HYPERLINK("https://twitter.com/Paddyboy1875/status/723307621365760000","723307621365760000")</f>
        <v>723307621365760000</v>
      </c>
      <c r="F2429" s="11" t="s">
        <v>48</v>
      </c>
      <c r="G2429" s="11">
        <v>443</v>
      </c>
      <c r="H2429" s="11">
        <v>1225</v>
      </c>
      <c r="I2429" s="11">
        <v>0</v>
      </c>
      <c r="J2429" s="11">
        <v>0</v>
      </c>
      <c r="K2429" s="11" t="s">
        <v>21</v>
      </c>
      <c r="L2429" s="7">
        <v>40453.889386574076</v>
      </c>
      <c r="M2429" s="12" t="s">
        <v>6192</v>
      </c>
      <c r="N2429" s="12"/>
      <c r="O2429" s="10" t="str">
        <f>HYPERLINK("https://pbs.twimg.com/profile_images/721285201259806724/DiYnPgcr_normal.jpg","View")</f>
        <v>View</v>
      </c>
      <c r="P2429" s="11"/>
    </row>
    <row r="2430" spans="1:16" ht="12.75" x14ac:dyDescent="0.35">
      <c r="A2430" s="7">
        <v>42482.250046296293</v>
      </c>
      <c r="B2430" s="8" t="str">
        <f>HYPERLINK("https://twitter.com/sfErrlyGamerhM","@sfErrlyGamerhM")</f>
        <v>@sfErrlyGamerhM</v>
      </c>
      <c r="C2430" s="9" t="s">
        <v>6193</v>
      </c>
      <c r="D2430" s="9" t="s">
        <v>6147</v>
      </c>
      <c r="E2430" s="10" t="str">
        <f>HYPERLINK("https://twitter.com/sfErrlyGamerhM/status/723307850911604736","723307850911604736")</f>
        <v>723307850911604736</v>
      </c>
      <c r="F2430" s="11" t="s">
        <v>43</v>
      </c>
      <c r="G2430" s="11">
        <v>14</v>
      </c>
      <c r="H2430" s="11">
        <v>458</v>
      </c>
      <c r="I2430" s="11">
        <v>20</v>
      </c>
      <c r="J2430" s="11">
        <v>0</v>
      </c>
      <c r="K2430" s="11" t="s">
        <v>21</v>
      </c>
      <c r="L2430" s="7">
        <v>42064.428715277776</v>
      </c>
      <c r="M2430" s="12"/>
      <c r="N2430" s="12" t="s">
        <v>6194</v>
      </c>
      <c r="O2430" s="10" t="str">
        <f>HYPERLINK("https://pbs.twimg.com/profile_images/575834891222286337/pmti6_ie_normal.jpeg","View")</f>
        <v>View</v>
      </c>
      <c r="P2430" s="11"/>
    </row>
    <row r="2431" spans="1:16" ht="12.75" x14ac:dyDescent="0.35">
      <c r="A2431" s="7">
        <v>42482.250613425931</v>
      </c>
      <c r="B2431" s="8" t="str">
        <f>HYPERLINK("https://twitter.com/RV_Listings","@RV_Listings")</f>
        <v>@RV_Listings</v>
      </c>
      <c r="C2431" s="9" t="s">
        <v>6195</v>
      </c>
      <c r="D2431" s="9" t="s">
        <v>6196</v>
      </c>
      <c r="E2431" s="10" t="str">
        <f>HYPERLINK("https://twitter.com/RV_Listings/status/723308056952639490","723308056952639490")</f>
        <v>723308056952639490</v>
      </c>
      <c r="F2431" s="11" t="s">
        <v>152</v>
      </c>
      <c r="G2431" s="11">
        <v>2060</v>
      </c>
      <c r="H2431" s="11">
        <v>1619</v>
      </c>
      <c r="I2431" s="11">
        <v>0</v>
      </c>
      <c r="J2431" s="11">
        <v>1</v>
      </c>
      <c r="K2431" s="11" t="s">
        <v>21</v>
      </c>
      <c r="L2431" s="7">
        <v>42397.384074074071</v>
      </c>
      <c r="M2431" s="12" t="s">
        <v>6197</v>
      </c>
      <c r="N2431" s="12" t="s">
        <v>6198</v>
      </c>
      <c r="O2431" s="10" t="str">
        <f>HYPERLINK("https://pbs.twimg.com/profile_images/696505748969230336/W2SaMvVz_normal.jpg","View")</f>
        <v>View</v>
      </c>
      <c r="P2431" s="11"/>
    </row>
    <row r="2432" spans="1:16" ht="12.75" x14ac:dyDescent="0.35">
      <c r="A2432" s="7">
        <v>42482.251840277779</v>
      </c>
      <c r="B2432" s="8" t="str">
        <f>HYPERLINK("https://twitter.com/gastongomez6173","@gastongomez6173")</f>
        <v>@gastongomez6173</v>
      </c>
      <c r="C2432" s="9" t="s">
        <v>6199</v>
      </c>
      <c r="D2432" s="9" t="s">
        <v>6147</v>
      </c>
      <c r="E2432" s="10" t="str">
        <f>HYPERLINK("https://twitter.com/gastongomez6173/status/723308499493609472","723308499493609472")</f>
        <v>723308499493609472</v>
      </c>
      <c r="F2432" s="11" t="s">
        <v>48</v>
      </c>
      <c r="G2432" s="11">
        <v>315</v>
      </c>
      <c r="H2432" s="11">
        <v>117</v>
      </c>
      <c r="I2432" s="11">
        <v>20</v>
      </c>
      <c r="J2432" s="11">
        <v>0</v>
      </c>
      <c r="K2432" s="11" t="s">
        <v>21</v>
      </c>
      <c r="L2432" s="7">
        <v>41566.722060185188</v>
      </c>
      <c r="M2432" s="12"/>
      <c r="N2432" s="12" t="s">
        <v>6200</v>
      </c>
      <c r="O2432" s="10" t="str">
        <f>HYPERLINK("https://pbs.twimg.com/profile_images/539631377214607361/gqpASBoV_normal.jpeg","View")</f>
        <v>View</v>
      </c>
      <c r="P2432" s="11"/>
    </row>
    <row r="2433" spans="1:16" ht="12.75" x14ac:dyDescent="0.35">
      <c r="A2433" s="7">
        <v>42482.252025462964</v>
      </c>
      <c r="B2433" s="8" t="str">
        <f>HYPERLINK("https://twitter.com/Jarlanalovatic","@Jarlanalovatic")</f>
        <v>@Jarlanalovatic</v>
      </c>
      <c r="C2433" s="9" t="s">
        <v>6201</v>
      </c>
      <c r="D2433" s="9" t="s">
        <v>6147</v>
      </c>
      <c r="E2433" s="10" t="str">
        <f>HYPERLINK("https://twitter.com/Jarlanalovatic/status/723308566690422784","723308566690422784")</f>
        <v>723308566690422784</v>
      </c>
      <c r="F2433" s="11" t="s">
        <v>48</v>
      </c>
      <c r="G2433" s="11">
        <v>31</v>
      </c>
      <c r="H2433" s="11">
        <v>53</v>
      </c>
      <c r="I2433" s="11">
        <v>20</v>
      </c>
      <c r="J2433" s="11">
        <v>0</v>
      </c>
      <c r="K2433" s="11" t="s">
        <v>21</v>
      </c>
      <c r="L2433" s="7">
        <v>42061.425393518519</v>
      </c>
      <c r="M2433" s="12" t="s">
        <v>293</v>
      </c>
      <c r="N2433" s="12" t="s">
        <v>6202</v>
      </c>
      <c r="O2433" s="10" t="str">
        <f>HYPERLINK("https://pbs.twimg.com/profile_images/594591729979817984/zJOFgKiU_normal.jpg","View")</f>
        <v>View</v>
      </c>
      <c r="P2433" s="11"/>
    </row>
    <row r="2434" spans="1:16" ht="12.75" x14ac:dyDescent="0.35">
      <c r="A2434" s="7">
        <v>42482.253449074073</v>
      </c>
      <c r="B2434" s="8" t="str">
        <f>HYPERLINK("https://twitter.com/11LucasDiaz","@11LucasDiaz")</f>
        <v>@11LucasDiaz</v>
      </c>
      <c r="C2434" s="9" t="s">
        <v>6203</v>
      </c>
      <c r="D2434" s="9" t="s">
        <v>2825</v>
      </c>
      <c r="E2434" s="10" t="str">
        <f>HYPERLINK("https://twitter.com/11LucasDiaz/status/723309083760177154","723309083760177154")</f>
        <v>723309083760177154</v>
      </c>
      <c r="F2434" s="11" t="s">
        <v>48</v>
      </c>
      <c r="G2434" s="11">
        <v>917</v>
      </c>
      <c r="H2434" s="11">
        <v>306</v>
      </c>
      <c r="I2434" s="11">
        <v>53</v>
      </c>
      <c r="J2434" s="11">
        <v>0</v>
      </c>
      <c r="K2434" s="11" t="s">
        <v>21</v>
      </c>
      <c r="L2434" s="7">
        <v>41569.297048611115</v>
      </c>
      <c r="M2434" s="12" t="s">
        <v>49</v>
      </c>
      <c r="N2434" s="12" t="s">
        <v>6204</v>
      </c>
      <c r="O2434" s="10" t="str">
        <f>HYPERLINK("https://pbs.twimg.com/profile_images/722105874236502017/_UHxBLQ-_normal.jpg","View")</f>
        <v>View</v>
      </c>
      <c r="P2434" s="11"/>
    </row>
    <row r="2435" spans="1:16" ht="12.75" x14ac:dyDescent="0.35">
      <c r="A2435" s="7">
        <v>42482.253854166665</v>
      </c>
      <c r="B2435" s="8" t="str">
        <f>HYPERLINK("https://twitter.com/RepoRide","@RepoRide")</f>
        <v>@RepoRide</v>
      </c>
      <c r="C2435" s="9" t="s">
        <v>6205</v>
      </c>
      <c r="D2435" s="9" t="s">
        <v>5168</v>
      </c>
      <c r="E2435" s="10" t="str">
        <f>HYPERLINK("https://twitter.com/RepoRide/status/723309229365444608","723309229365444608")</f>
        <v>723309229365444608</v>
      </c>
      <c r="F2435" s="11" t="s">
        <v>43</v>
      </c>
      <c r="G2435" s="11">
        <v>246</v>
      </c>
      <c r="H2435" s="11">
        <v>260</v>
      </c>
      <c r="I2435" s="11">
        <v>10</v>
      </c>
      <c r="J2435" s="11">
        <v>0</v>
      </c>
      <c r="K2435" s="11" t="s">
        <v>21</v>
      </c>
      <c r="L2435" s="7">
        <v>40927.880787037036</v>
      </c>
      <c r="M2435" s="12" t="s">
        <v>4619</v>
      </c>
      <c r="N2435" s="12" t="s">
        <v>6206</v>
      </c>
      <c r="O2435" s="10" t="str">
        <f>HYPERLINK("https://pbs.twimg.com/profile_images/723245925829849088/y5Wdfve9_normal.jpg","View")</f>
        <v>View</v>
      </c>
      <c r="P2435" s="11"/>
    </row>
    <row r="2436" spans="1:16" ht="12.75" x14ac:dyDescent="0.35">
      <c r="A2436" s="7">
        <v>42482.254282407404</v>
      </c>
      <c r="B2436" s="8" t="str">
        <f>HYPERLINK("https://twitter.com/8kCalculariusuw","@8kCalculariusuw")</f>
        <v>@8kCalculariusuw</v>
      </c>
      <c r="C2436" s="9" t="s">
        <v>6207</v>
      </c>
      <c r="D2436" s="9" t="s">
        <v>6147</v>
      </c>
      <c r="E2436" s="10" t="str">
        <f>HYPERLINK("https://twitter.com/8kCalculariusuw/status/723309386450399232","723309386450399232")</f>
        <v>723309386450399232</v>
      </c>
      <c r="F2436" s="11" t="s">
        <v>43</v>
      </c>
      <c r="G2436" s="11">
        <v>17</v>
      </c>
      <c r="H2436" s="11">
        <v>601</v>
      </c>
      <c r="I2436" s="11">
        <v>20</v>
      </c>
      <c r="J2436" s="11">
        <v>0</v>
      </c>
      <c r="K2436" s="11" t="s">
        <v>21</v>
      </c>
      <c r="L2436" s="7">
        <v>42065.471365740741</v>
      </c>
      <c r="M2436" s="12"/>
      <c r="N2436" s="12" t="s">
        <v>6208</v>
      </c>
      <c r="O2436" s="10" t="str">
        <f>HYPERLINK("https://pbs.twimg.com/profile_images/575809621526364161/eajgvz2x_normal.jpeg","View")</f>
        <v>View</v>
      </c>
      <c r="P2436" s="11"/>
    </row>
    <row r="2437" spans="1:16" ht="12.75" x14ac:dyDescent="0.35">
      <c r="A2437" s="7">
        <v>42482.254629629635</v>
      </c>
      <c r="B2437" s="8" t="str">
        <f>HYPERLINK("https://twitter.com/WideAwakeMomma","@WideAwakeMomma")</f>
        <v>@WideAwakeMomma</v>
      </c>
      <c r="C2437" s="9" t="s">
        <v>6115</v>
      </c>
      <c r="D2437" s="9" t="s">
        <v>6209</v>
      </c>
      <c r="E2437" s="10" t="str">
        <f>HYPERLINK("https://twitter.com/WideAwakeMomma/status/723309512921255936","723309512921255936")</f>
        <v>723309512921255936</v>
      </c>
      <c r="F2437" s="11" t="s">
        <v>20</v>
      </c>
      <c r="G2437" s="11">
        <v>1685</v>
      </c>
      <c r="H2437" s="11">
        <v>1957</v>
      </c>
      <c r="I2437" s="11">
        <v>1</v>
      </c>
      <c r="J2437" s="11">
        <v>0</v>
      </c>
      <c r="K2437" s="11" t="s">
        <v>21</v>
      </c>
      <c r="L2437" s="7">
        <v>39996.815081018518</v>
      </c>
      <c r="M2437" s="12" t="s">
        <v>6117</v>
      </c>
      <c r="N2437" s="12" t="s">
        <v>6118</v>
      </c>
      <c r="O2437" s="10" t="str">
        <f>HYPERLINK("https://pbs.twimg.com/profile_images/713007702721474561/QMRhKzxd_normal.jpg","View")</f>
        <v>View</v>
      </c>
      <c r="P2437" s="11"/>
    </row>
    <row r="2438" spans="1:16" ht="12.75" x14ac:dyDescent="0.35">
      <c r="A2438" s="7">
        <v>42482.255300925928</v>
      </c>
      <c r="B2438" s="8" t="str">
        <f>HYPERLINK("https://twitter.com/Scirocco_Tuning","@Scirocco_Tuning")</f>
        <v>@Scirocco_Tuning</v>
      </c>
      <c r="C2438" s="9" t="s">
        <v>51</v>
      </c>
      <c r="D2438" s="9" t="s">
        <v>6210</v>
      </c>
      <c r="E2438" s="10" t="str">
        <f>HYPERLINK("https://twitter.com/Scirocco_Tuning/status/723309754257383424","723309754257383424")</f>
        <v>723309754257383424</v>
      </c>
      <c r="F2438" s="11" t="s">
        <v>53</v>
      </c>
      <c r="G2438" s="11">
        <v>69</v>
      </c>
      <c r="H2438" s="11">
        <v>215</v>
      </c>
      <c r="I2438" s="11">
        <v>0</v>
      </c>
      <c r="J2438" s="11">
        <v>0</v>
      </c>
      <c r="K2438" s="11" t="s">
        <v>21</v>
      </c>
      <c r="L2438" s="7">
        <v>40844.564722222218</v>
      </c>
      <c r="M2438" s="12"/>
      <c r="N2438" s="12"/>
      <c r="O2438" s="10" t="str">
        <f>HYPERLINK("https://pbs.twimg.com/profile_images/1610421423/Image2_normal.jpg","View")</f>
        <v>View</v>
      </c>
      <c r="P2438" s="11"/>
    </row>
    <row r="2439" spans="1:16" ht="12.75" x14ac:dyDescent="0.35">
      <c r="A2439" s="7">
        <v>42482.255497685182</v>
      </c>
      <c r="B2439" s="8" t="str">
        <f>HYPERLINK("https://twitter.com/2112greg","@2112greg")</f>
        <v>@2112greg</v>
      </c>
      <c r="C2439" s="9" t="s">
        <v>6211</v>
      </c>
      <c r="D2439" s="9" t="s">
        <v>6212</v>
      </c>
      <c r="E2439" s="10" t="str">
        <f>HYPERLINK("https://twitter.com/2112greg/status/723309826453852161","723309826453852161")</f>
        <v>723309826453852161</v>
      </c>
      <c r="F2439" s="11" t="s">
        <v>119</v>
      </c>
      <c r="G2439" s="11">
        <v>121</v>
      </c>
      <c r="H2439" s="11">
        <v>382</v>
      </c>
      <c r="I2439" s="11">
        <v>0</v>
      </c>
      <c r="J2439" s="11">
        <v>0</v>
      </c>
      <c r="K2439" s="11" t="s">
        <v>21</v>
      </c>
      <c r="L2439" s="7">
        <v>40627.099907407406</v>
      </c>
      <c r="M2439" s="12" t="s">
        <v>6213</v>
      </c>
      <c r="N2439" s="12" t="s">
        <v>6214</v>
      </c>
      <c r="O2439" s="10" t="str">
        <f>HYPERLINK("https://pbs.twimg.com/profile_images/503024530361962496/n-EQlw93_normal.jpeg","View")</f>
        <v>View</v>
      </c>
      <c r="P2439" s="11"/>
    </row>
    <row r="2440" spans="1:16" ht="12.75" x14ac:dyDescent="0.35">
      <c r="A2440" s="7">
        <v>42482.256284722222</v>
      </c>
      <c r="B2440" s="8" t="str">
        <f>HYPERLINK("https://twitter.com/Orne_Dalfonso","@Orne_Dalfonso")</f>
        <v>@Orne_Dalfonso</v>
      </c>
      <c r="C2440" s="9" t="s">
        <v>6215</v>
      </c>
      <c r="D2440" s="9" t="s">
        <v>2825</v>
      </c>
      <c r="E2440" s="10" t="str">
        <f>HYPERLINK("https://twitter.com/Orne_Dalfonso/status/723310110064300033","723310110064300033")</f>
        <v>723310110064300033</v>
      </c>
      <c r="F2440" s="11" t="s">
        <v>1838</v>
      </c>
      <c r="G2440" s="11">
        <v>383</v>
      </c>
      <c r="H2440" s="11">
        <v>96</v>
      </c>
      <c r="I2440" s="11">
        <v>53</v>
      </c>
      <c r="J2440" s="11">
        <v>0</v>
      </c>
      <c r="K2440" s="11" t="s">
        <v>21</v>
      </c>
      <c r="L2440" s="7">
        <v>42207.547893518524</v>
      </c>
      <c r="M2440" s="12"/>
      <c r="N2440" s="12" t="s">
        <v>6216</v>
      </c>
      <c r="O2440" s="10" t="str">
        <f>HYPERLINK("https://pbs.twimg.com/profile_images/716053257962041344/auGRVQke_normal.jpg","View")</f>
        <v>View</v>
      </c>
      <c r="P2440" s="11"/>
    </row>
    <row r="2441" spans="1:16" ht="12.75" x14ac:dyDescent="0.35">
      <c r="A2441" s="7">
        <v>42482.256967592592</v>
      </c>
      <c r="B2441" s="8" t="str">
        <f>HYPERLINK("https://twitter.com/Adrlana_Mendes","@Adrlana_Mendes")</f>
        <v>@Adrlana_Mendes</v>
      </c>
      <c r="C2441" s="9" t="s">
        <v>6217</v>
      </c>
      <c r="D2441" s="9" t="s">
        <v>6147</v>
      </c>
      <c r="E2441" s="10" t="str">
        <f>HYPERLINK("https://twitter.com/Adrlana_Mendes/status/723310357457068032","723310357457068032")</f>
        <v>723310357457068032</v>
      </c>
      <c r="F2441" s="11" t="s">
        <v>48</v>
      </c>
      <c r="G2441" s="11">
        <v>262</v>
      </c>
      <c r="H2441" s="11">
        <v>1773</v>
      </c>
      <c r="I2441" s="11">
        <v>20</v>
      </c>
      <c r="J2441" s="11">
        <v>0</v>
      </c>
      <c r="K2441" s="11" t="s">
        <v>21</v>
      </c>
      <c r="L2441" s="7">
        <v>41567.812916666662</v>
      </c>
      <c r="M2441" s="12" t="s">
        <v>6218</v>
      </c>
      <c r="N2441" s="12" t="s">
        <v>6219</v>
      </c>
      <c r="O2441" s="10" t="str">
        <f>HYPERLINK("https://pbs.twimg.com/profile_images/540346412509437953/ZJ2Ujqmn_normal.jpeg","View")</f>
        <v>View</v>
      </c>
      <c r="P2441" s="11"/>
    </row>
    <row r="2442" spans="1:16" ht="12.75" x14ac:dyDescent="0.35">
      <c r="A2442" s="7">
        <v>42482.259259259255</v>
      </c>
      <c r="B2442" s="8" t="str">
        <f>HYPERLINK("https://twitter.com/emilysinclair84","@emilysinclair84")</f>
        <v>@emilysinclair84</v>
      </c>
      <c r="C2442" s="9" t="s">
        <v>6220</v>
      </c>
      <c r="D2442" s="9" t="s">
        <v>6147</v>
      </c>
      <c r="E2442" s="10" t="str">
        <f>HYPERLINK("https://twitter.com/emilysinclair84/status/723311187774070785","723311187774070785")</f>
        <v>723311187774070785</v>
      </c>
      <c r="F2442" s="11" t="s">
        <v>48</v>
      </c>
      <c r="G2442" s="11">
        <v>360</v>
      </c>
      <c r="H2442" s="11">
        <v>99</v>
      </c>
      <c r="I2442" s="11">
        <v>20</v>
      </c>
      <c r="J2442" s="11">
        <v>0</v>
      </c>
      <c r="K2442" s="11" t="s">
        <v>21</v>
      </c>
      <c r="L2442" s="7">
        <v>41567.958657407406</v>
      </c>
      <c r="M2442" s="12" t="s">
        <v>6221</v>
      </c>
      <c r="N2442" s="12" t="s">
        <v>6222</v>
      </c>
      <c r="O2442" s="10" t="str">
        <f>HYPERLINK("https://pbs.twimg.com/profile_images/540332176014069760/Vgc8EoEh_normal.jpeg","View")</f>
        <v>View</v>
      </c>
      <c r="P2442" s="11"/>
    </row>
    <row r="2443" spans="1:16" ht="12.75" x14ac:dyDescent="0.35">
      <c r="A2443" s="7">
        <v>42482.263680555552</v>
      </c>
      <c r="B2443" s="8" t="str">
        <f>HYPERLINK("https://twitter.com/NoSeaEstupldo","@NoSeaEstupldo")</f>
        <v>@NoSeaEstupldo</v>
      </c>
      <c r="C2443" s="9" t="s">
        <v>6223</v>
      </c>
      <c r="D2443" s="9" t="s">
        <v>6147</v>
      </c>
      <c r="E2443" s="10" t="str">
        <f>HYPERLINK("https://twitter.com/NoSeaEstupldo/status/723312790111412224","723312790111412224")</f>
        <v>723312790111412224</v>
      </c>
      <c r="F2443" s="11" t="s">
        <v>48</v>
      </c>
      <c r="G2443" s="11">
        <v>339</v>
      </c>
      <c r="H2443" s="11">
        <v>882</v>
      </c>
      <c r="I2443" s="11">
        <v>20</v>
      </c>
      <c r="J2443" s="11">
        <v>0</v>
      </c>
      <c r="K2443" s="11" t="s">
        <v>21</v>
      </c>
      <c r="L2443" s="7">
        <v>41566.421805555554</v>
      </c>
      <c r="M2443" s="12"/>
      <c r="N2443" s="12" t="s">
        <v>6224</v>
      </c>
      <c r="O2443" s="10" t="str">
        <f>HYPERLINK("https://pbs.twimg.com/profile_images/539576246586605568/Ygx-rz5Q_normal.jpeg","View")</f>
        <v>View</v>
      </c>
      <c r="P2443" s="11"/>
    </row>
    <row r="2444" spans="1:16" ht="12.75" x14ac:dyDescent="0.35">
      <c r="A2444" s="7">
        <v>42482.26457175926</v>
      </c>
      <c r="B2444" s="8" t="str">
        <f>HYPERLINK("https://twitter.com/dukecave","@dukecave")</f>
        <v>@dukecave</v>
      </c>
      <c r="C2444" s="9" t="s">
        <v>6225</v>
      </c>
      <c r="D2444" s="9" t="s">
        <v>6226</v>
      </c>
      <c r="E2444" s="10" t="str">
        <f>HYPERLINK("https://twitter.com/dukecave/status/723313113315975169","723313113315975169")</f>
        <v>723313113315975169</v>
      </c>
      <c r="F2444" s="11" t="s">
        <v>43</v>
      </c>
      <c r="G2444" s="11">
        <v>11334</v>
      </c>
      <c r="H2444" s="11">
        <v>12465</v>
      </c>
      <c r="I2444" s="11">
        <v>1</v>
      </c>
      <c r="J2444" s="11">
        <v>2</v>
      </c>
      <c r="K2444" s="11" t="s">
        <v>21</v>
      </c>
      <c r="L2444" s="7">
        <v>41259.672824074078</v>
      </c>
      <c r="M2444" s="12" t="s">
        <v>6227</v>
      </c>
      <c r="N2444" s="12" t="s">
        <v>6228</v>
      </c>
      <c r="O2444" s="10" t="str">
        <f>HYPERLINK("https://pbs.twimg.com/profile_images/647389824538640384/A1wxqrcJ_normal.jpg","View")</f>
        <v>View</v>
      </c>
      <c r="P2444" s="11"/>
    </row>
    <row r="2445" spans="1:16" ht="12.75" x14ac:dyDescent="0.35">
      <c r="A2445" s="7">
        <v>42482.264884259261</v>
      </c>
      <c r="B2445" s="8" t="str">
        <f t="shared" ref="B2445:B2447" si="223">HYPERLINK("https://twitter.com/rigogereon","@rigogereon")</f>
        <v>@rigogereon</v>
      </c>
      <c r="C2445" s="9" t="s">
        <v>6229</v>
      </c>
      <c r="D2445" s="9" t="s">
        <v>3265</v>
      </c>
      <c r="E2445" s="10" t="str">
        <f>HYPERLINK("https://twitter.com/rigogereon/status/723313227774476288","723313227774476288")</f>
        <v>723313227774476288</v>
      </c>
      <c r="F2445" s="11" t="s">
        <v>48</v>
      </c>
      <c r="G2445" s="11">
        <v>58</v>
      </c>
      <c r="H2445" s="11">
        <v>681</v>
      </c>
      <c r="I2445" s="11">
        <v>1</v>
      </c>
      <c r="J2445" s="11">
        <v>0</v>
      </c>
      <c r="K2445" s="11" t="s">
        <v>21</v>
      </c>
      <c r="L2445" s="7">
        <v>42412.728020833332</v>
      </c>
      <c r="M2445" s="12"/>
      <c r="N2445" s="12" t="s">
        <v>6230</v>
      </c>
      <c r="O2445" s="10" t="str">
        <f t="shared" ref="O2445:O2447" si="224">HYPERLINK("https://pbs.twimg.com/profile_images/698117294308921346/aePG7L02_normal.jpg","View")</f>
        <v>View</v>
      </c>
      <c r="P2445" s="11"/>
    </row>
    <row r="2446" spans="1:16" ht="12.75" x14ac:dyDescent="0.35">
      <c r="A2446" s="7">
        <v>42482.265046296292</v>
      </c>
      <c r="B2446" s="8" t="str">
        <f t="shared" si="223"/>
        <v>@rigogereon</v>
      </c>
      <c r="C2446" s="9" t="s">
        <v>6229</v>
      </c>
      <c r="D2446" s="9" t="s">
        <v>3265</v>
      </c>
      <c r="E2446" s="10" t="str">
        <f>HYPERLINK("https://twitter.com/rigogereon/status/723313285962055682","723313285962055682")</f>
        <v>723313285962055682</v>
      </c>
      <c r="F2446" s="11" t="s">
        <v>48</v>
      </c>
      <c r="G2446" s="11">
        <v>58</v>
      </c>
      <c r="H2446" s="11">
        <v>681</v>
      </c>
      <c r="I2446" s="11">
        <v>3</v>
      </c>
      <c r="J2446" s="11">
        <v>0</v>
      </c>
      <c r="K2446" s="11" t="s">
        <v>21</v>
      </c>
      <c r="L2446" s="7">
        <v>42412.728020833332</v>
      </c>
      <c r="M2446" s="12"/>
      <c r="N2446" s="12" t="s">
        <v>6230</v>
      </c>
      <c r="O2446" s="10" t="str">
        <f t="shared" si="224"/>
        <v>View</v>
      </c>
      <c r="P2446" s="11"/>
    </row>
    <row r="2447" spans="1:16" ht="12.75" x14ac:dyDescent="0.35">
      <c r="A2447" s="7">
        <v>42482.265324074076</v>
      </c>
      <c r="B2447" s="8" t="str">
        <f t="shared" si="223"/>
        <v>@rigogereon</v>
      </c>
      <c r="C2447" s="9" t="s">
        <v>6229</v>
      </c>
      <c r="D2447" s="9" t="s">
        <v>2023</v>
      </c>
      <c r="E2447" s="10" t="str">
        <f>HYPERLINK("https://twitter.com/rigogereon/status/723313384737873920","723313384737873920")</f>
        <v>723313384737873920</v>
      </c>
      <c r="F2447" s="11" t="s">
        <v>48</v>
      </c>
      <c r="G2447" s="11">
        <v>58</v>
      </c>
      <c r="H2447" s="11">
        <v>681</v>
      </c>
      <c r="I2447" s="11">
        <v>3</v>
      </c>
      <c r="J2447" s="11">
        <v>0</v>
      </c>
      <c r="K2447" s="11" t="s">
        <v>21</v>
      </c>
      <c r="L2447" s="7">
        <v>42412.728020833332</v>
      </c>
      <c r="M2447" s="12"/>
      <c r="N2447" s="12" t="s">
        <v>6230</v>
      </c>
      <c r="O2447" s="10" t="str">
        <f t="shared" si="224"/>
        <v>View</v>
      </c>
      <c r="P2447" s="11"/>
    </row>
    <row r="2448" spans="1:16" ht="12.75" x14ac:dyDescent="0.35">
      <c r="A2448" s="7">
        <v>42482.269328703704</v>
      </c>
      <c r="B2448" s="8" t="str">
        <f>HYPERLINK("https://twitter.com/amsalwajih","@amsalwajih")</f>
        <v>@amsalwajih</v>
      </c>
      <c r="C2448" s="9" t="s">
        <v>6231</v>
      </c>
      <c r="D2448" s="9" t="s">
        <v>6232</v>
      </c>
      <c r="E2448" s="10" t="str">
        <f>HYPERLINK("https://twitter.com/amsalwajih/status/723314838055845892","723314838055845892")</f>
        <v>723314838055845892</v>
      </c>
      <c r="F2448" s="11" t="s">
        <v>114</v>
      </c>
      <c r="G2448" s="11">
        <v>95</v>
      </c>
      <c r="H2448" s="11">
        <v>174</v>
      </c>
      <c r="I2448" s="11">
        <v>0</v>
      </c>
      <c r="J2448" s="11">
        <v>0</v>
      </c>
      <c r="K2448" s="11" t="s">
        <v>21</v>
      </c>
      <c r="L2448" s="7">
        <v>40189.151539351849</v>
      </c>
      <c r="M2448" s="12" t="s">
        <v>6233</v>
      </c>
      <c r="N2448" s="12" t="s">
        <v>6234</v>
      </c>
      <c r="O2448" s="10" t="str">
        <f>HYPERLINK("https://pbs.twimg.com/profile_images/576412362711773184/jZSbDGM2_normal.jpeg","View")</f>
        <v>View</v>
      </c>
      <c r="P2448" s="10" t="str">
        <f>HYPERLINK("http://ctrlq.org/maps/address/#38.92354005,-77.23737033","Map")</f>
        <v>Map</v>
      </c>
    </row>
    <row r="2449" spans="1:16" ht="12.75" x14ac:dyDescent="0.35">
      <c r="A2449" s="7">
        <v>42482.270462962959</v>
      </c>
      <c r="B2449" s="8" t="str">
        <f>HYPERLINK("https://twitter.com/Mlcaela_Soosa","@Mlcaela_Soosa")</f>
        <v>@Mlcaela_Soosa</v>
      </c>
      <c r="C2449" s="9" t="s">
        <v>6235</v>
      </c>
      <c r="D2449" s="9" t="s">
        <v>6147</v>
      </c>
      <c r="E2449" s="10" t="str">
        <f>HYPERLINK("https://twitter.com/Mlcaela_Soosa/status/723315248200073216","723315248200073216")</f>
        <v>723315248200073216</v>
      </c>
      <c r="F2449" s="11" t="s">
        <v>48</v>
      </c>
      <c r="G2449" s="11">
        <v>230</v>
      </c>
      <c r="H2449" s="11">
        <v>116</v>
      </c>
      <c r="I2449" s="11">
        <v>20</v>
      </c>
      <c r="J2449" s="11">
        <v>0</v>
      </c>
      <c r="K2449" s="11" t="s">
        <v>21</v>
      </c>
      <c r="L2449" s="7">
        <v>41565.93986111111</v>
      </c>
      <c r="M2449" s="12"/>
      <c r="N2449" s="12" t="s">
        <v>6236</v>
      </c>
      <c r="O2449" s="10" t="str">
        <f>HYPERLINK("https://pbs.twimg.com/profile_images/539605582815453184/zIoNro6J_normal.jpeg","View")</f>
        <v>View</v>
      </c>
      <c r="P2449" s="11"/>
    </row>
    <row r="2450" spans="1:16" ht="12.75" x14ac:dyDescent="0.35">
      <c r="A2450" s="7">
        <v>42482.270891203705</v>
      </c>
      <c r="B2450" s="8" t="str">
        <f>HYPERLINK("https://twitter.com/kngeuro","@kngeuro")</f>
        <v>@kngeuro</v>
      </c>
      <c r="C2450" s="9" t="s">
        <v>833</v>
      </c>
      <c r="D2450" s="9" t="s">
        <v>6237</v>
      </c>
      <c r="E2450" s="10" t="str">
        <f>HYPERLINK("https://twitter.com/kngeuro/status/723315401963102208","723315401963102208")</f>
        <v>723315401963102208</v>
      </c>
      <c r="F2450" s="11" t="s">
        <v>53</v>
      </c>
      <c r="G2450" s="11">
        <v>760</v>
      </c>
      <c r="H2450" s="11">
        <v>451</v>
      </c>
      <c r="I2450" s="11">
        <v>2</v>
      </c>
      <c r="J2450" s="11">
        <v>0</v>
      </c>
      <c r="K2450" s="11" t="s">
        <v>21</v>
      </c>
      <c r="L2450" s="7">
        <v>40319.120925925927</v>
      </c>
      <c r="M2450" s="12" t="s">
        <v>835</v>
      </c>
      <c r="N2450" s="12" t="s">
        <v>836</v>
      </c>
      <c r="O2450" s="10" t="str">
        <f>HYPERLINK("https://pbs.twimg.com/profile_images/570375988065935360/ooT_Nq7x_normal.jpeg","View")</f>
        <v>View</v>
      </c>
      <c r="P2450" s="11"/>
    </row>
    <row r="2451" spans="1:16" ht="12.75" x14ac:dyDescent="0.35">
      <c r="A2451" s="7">
        <v>42482.270983796298</v>
      </c>
      <c r="B2451" s="8" t="str">
        <f>HYPERLINK("https://twitter.com/DhakaTribune","@DhakaTribune")</f>
        <v>@DhakaTribune</v>
      </c>
      <c r="C2451" s="9" t="s">
        <v>1194</v>
      </c>
      <c r="D2451" s="9" t="s">
        <v>6238</v>
      </c>
      <c r="E2451" s="10" t="str">
        <f>HYPERLINK("https://twitter.com/DhakaTribune/status/723315438382272513","723315438382272513")</f>
        <v>723315438382272513</v>
      </c>
      <c r="F2451" s="11" t="s">
        <v>63</v>
      </c>
      <c r="G2451" s="11">
        <v>50016</v>
      </c>
      <c r="H2451" s="11">
        <v>47</v>
      </c>
      <c r="I2451" s="11">
        <v>0</v>
      </c>
      <c r="J2451" s="11">
        <v>0</v>
      </c>
      <c r="K2451" s="11" t="s">
        <v>21</v>
      </c>
      <c r="L2451" s="7">
        <v>41135.604884259257</v>
      </c>
      <c r="M2451" s="12" t="s">
        <v>1196</v>
      </c>
      <c r="N2451" s="12" t="s">
        <v>1197</v>
      </c>
      <c r="O2451" s="10" t="str">
        <f>HYPERLINK("https://pbs.twimg.com/profile_images/3514281595/3692f510c22e1434a52e6dbabeae58ce_normal.png","View")</f>
        <v>View</v>
      </c>
      <c r="P2451" s="11"/>
    </row>
    <row r="2452" spans="1:16" ht="12.75" x14ac:dyDescent="0.35">
      <c r="A2452" s="7">
        <v>42482.271724537037</v>
      </c>
      <c r="B2452" s="8" t="str">
        <f>HYPERLINK("https://twitter.com/amsalwajih","@amsalwajih")</f>
        <v>@amsalwajih</v>
      </c>
      <c r="C2452" s="9" t="s">
        <v>6231</v>
      </c>
      <c r="D2452" s="9" t="s">
        <v>6239</v>
      </c>
      <c r="E2452" s="10" t="str">
        <f>HYPERLINK("https://twitter.com/amsalwajih/status/723315706494877696","723315706494877696")</f>
        <v>723315706494877696</v>
      </c>
      <c r="F2452" s="11" t="s">
        <v>114</v>
      </c>
      <c r="G2452" s="11">
        <v>95</v>
      </c>
      <c r="H2452" s="11">
        <v>174</v>
      </c>
      <c r="I2452" s="11">
        <v>0</v>
      </c>
      <c r="J2452" s="11">
        <v>0</v>
      </c>
      <c r="K2452" s="11" t="s">
        <v>21</v>
      </c>
      <c r="L2452" s="7">
        <v>40189.151539351849</v>
      </c>
      <c r="M2452" s="12" t="s">
        <v>6233</v>
      </c>
      <c r="N2452" s="12" t="s">
        <v>6234</v>
      </c>
      <c r="O2452" s="10" t="str">
        <f>HYPERLINK("https://pbs.twimg.com/profile_images/576412362711773184/jZSbDGM2_normal.jpeg","View")</f>
        <v>View</v>
      </c>
      <c r="P2452" s="10" t="str">
        <f>HYPERLINK("http://ctrlq.org/maps/address/#38.92354005,-77.23737033","Map")</f>
        <v>Map</v>
      </c>
    </row>
    <row r="2453" spans="1:16" ht="12.75" x14ac:dyDescent="0.35">
      <c r="A2453" s="7">
        <v>42482.27238425926</v>
      </c>
      <c r="B2453" s="8" t="str">
        <f>HYPERLINK("https://twitter.com/KMurphyIndep","@KMurphyIndep")</f>
        <v>@KMurphyIndep</v>
      </c>
      <c r="C2453" s="9" t="s">
        <v>6240</v>
      </c>
      <c r="D2453" s="9" t="s">
        <v>5150</v>
      </c>
      <c r="E2453" s="10" t="str">
        <f>HYPERLINK("https://twitter.com/KMurphyIndep/status/723315943431090176","723315943431090176")</f>
        <v>723315943431090176</v>
      </c>
      <c r="F2453" s="11" t="s">
        <v>48</v>
      </c>
      <c r="G2453" s="11">
        <v>776</v>
      </c>
      <c r="H2453" s="11">
        <v>1354</v>
      </c>
      <c r="I2453" s="11">
        <v>24</v>
      </c>
      <c r="J2453" s="11">
        <v>0</v>
      </c>
      <c r="K2453" s="11" t="s">
        <v>21</v>
      </c>
      <c r="L2453" s="7">
        <v>42315.22148148148</v>
      </c>
      <c r="M2453" s="12" t="s">
        <v>6241</v>
      </c>
      <c r="N2453" s="12" t="s">
        <v>6242</v>
      </c>
      <c r="O2453" s="10" t="str">
        <f>HYPERLINK("https://pbs.twimg.com/profile_images/696325675398070272/06sWqs3H_normal.jpg","View")</f>
        <v>View</v>
      </c>
      <c r="P2453" s="11"/>
    </row>
    <row r="2454" spans="1:16" ht="12.75" x14ac:dyDescent="0.35">
      <c r="A2454" s="7">
        <v>42482.272997685184</v>
      </c>
      <c r="B2454" s="8" t="str">
        <f>HYPERLINK("https://twitter.com/channei_purple","@channei_purple")</f>
        <v>@channei_purple</v>
      </c>
      <c r="C2454" s="9" t="s">
        <v>6243</v>
      </c>
      <c r="D2454" s="9" t="s">
        <v>6147</v>
      </c>
      <c r="E2454" s="10" t="str">
        <f>HYPERLINK("https://twitter.com/channei_purple/status/723316167067197441","723316167067197441")</f>
        <v>723316167067197441</v>
      </c>
      <c r="F2454" s="11" t="s">
        <v>48</v>
      </c>
      <c r="G2454" s="11">
        <v>388</v>
      </c>
      <c r="H2454" s="11">
        <v>155</v>
      </c>
      <c r="I2454" s="11">
        <v>20</v>
      </c>
      <c r="J2454" s="11">
        <v>0</v>
      </c>
      <c r="K2454" s="11" t="s">
        <v>21</v>
      </c>
      <c r="L2454" s="7">
        <v>41565.965381944443</v>
      </c>
      <c r="M2454" s="12" t="s">
        <v>6244</v>
      </c>
      <c r="N2454" s="12" t="s">
        <v>6245</v>
      </c>
      <c r="O2454" s="10" t="str">
        <f>HYPERLINK("https://pbs.twimg.com/profile_images/534298880599277568/lhuM0-7E_normal.jpeg","View")</f>
        <v>View</v>
      </c>
      <c r="P2454" s="11"/>
    </row>
    <row r="2455" spans="1:16" ht="12.75" x14ac:dyDescent="0.35">
      <c r="A2455" s="7">
        <v>42482.273634259254</v>
      </c>
      <c r="B2455" s="8" t="str">
        <f>HYPERLINK("https://twitter.com/JayPilot87","@JayPilot87")</f>
        <v>@JayPilot87</v>
      </c>
      <c r="C2455" s="9" t="s">
        <v>6246</v>
      </c>
      <c r="D2455" s="9" t="s">
        <v>6247</v>
      </c>
      <c r="E2455" s="10" t="str">
        <f>HYPERLINK("https://twitter.com/JayPilot87/status/723316399565881344","723316399565881344")</f>
        <v>723316399565881344</v>
      </c>
      <c r="F2455" s="11" t="s">
        <v>114</v>
      </c>
      <c r="G2455" s="11">
        <v>356</v>
      </c>
      <c r="H2455" s="11">
        <v>831</v>
      </c>
      <c r="I2455" s="11">
        <v>0</v>
      </c>
      <c r="J2455" s="11">
        <v>0</v>
      </c>
      <c r="K2455" s="11" t="s">
        <v>21</v>
      </c>
      <c r="L2455" s="7">
        <v>40527.310613425929</v>
      </c>
      <c r="M2455" s="12" t="s">
        <v>6248</v>
      </c>
      <c r="N2455" s="12" t="s">
        <v>6249</v>
      </c>
      <c r="O2455" s="10" t="str">
        <f>HYPERLINK("https://pbs.twimg.com/profile_images/492062532773765120/qJtb2Fvz_normal.jpeg","View")</f>
        <v>View</v>
      </c>
      <c r="P2455" s="11"/>
    </row>
    <row r="2456" spans="1:16" ht="12.75" x14ac:dyDescent="0.35">
      <c r="A2456" s="7">
        <v>42482.274328703701</v>
      </c>
      <c r="B2456" s="8" t="str">
        <f>HYPERLINK("https://twitter.com/ENLACEPUEBLA","@ENLACEPUEBLA")</f>
        <v>@ENLACEPUEBLA</v>
      </c>
      <c r="C2456" s="9" t="s">
        <v>6250</v>
      </c>
      <c r="D2456" s="9" t="s">
        <v>5955</v>
      </c>
      <c r="E2456" s="10" t="str">
        <f>HYPERLINK("https://twitter.com/ENLACEPUEBLA/status/723316649294614532","723316649294614532")</f>
        <v>723316649294614532</v>
      </c>
      <c r="F2456" s="11" t="s">
        <v>20</v>
      </c>
      <c r="G2456" s="11">
        <v>157</v>
      </c>
      <c r="H2456" s="11">
        <v>194</v>
      </c>
      <c r="I2456" s="11">
        <v>4</v>
      </c>
      <c r="J2456" s="11">
        <v>0</v>
      </c>
      <c r="K2456" s="11" t="s">
        <v>21</v>
      </c>
      <c r="L2456" s="7">
        <v>40596.267731481479</v>
      </c>
      <c r="M2456" s="12" t="s">
        <v>6251</v>
      </c>
      <c r="N2456" s="12" t="s">
        <v>6252</v>
      </c>
      <c r="O2456" s="10" t="str">
        <f>HYPERLINK("https://pbs.twimg.com/profile_images/443258859092578304/uvPzzzTx_normal.png","View")</f>
        <v>View</v>
      </c>
      <c r="P2456" s="11"/>
    </row>
    <row r="2457" spans="1:16" ht="12.75" x14ac:dyDescent="0.35">
      <c r="A2457" s="7">
        <v>42482.274456018524</v>
      </c>
      <c r="B2457" s="8" t="str">
        <f>HYPERLINK("https://twitter.com/n4yf_n","@n4yf_n")</f>
        <v>@n4yf_n</v>
      </c>
      <c r="C2457" s="9" t="s">
        <v>6253</v>
      </c>
      <c r="D2457" s="9" t="s">
        <v>6147</v>
      </c>
      <c r="E2457" s="10" t="str">
        <f>HYPERLINK("https://twitter.com/n4yf_n/status/723316696463867904","723316696463867904")</f>
        <v>723316696463867904</v>
      </c>
      <c r="F2457" s="11" t="s">
        <v>48</v>
      </c>
      <c r="G2457" s="11">
        <v>364</v>
      </c>
      <c r="H2457" s="11">
        <v>114</v>
      </c>
      <c r="I2457" s="11">
        <v>20</v>
      </c>
      <c r="J2457" s="11">
        <v>0</v>
      </c>
      <c r="K2457" s="11" t="s">
        <v>21</v>
      </c>
      <c r="L2457" s="7">
        <v>41567.240300925929</v>
      </c>
      <c r="M2457" s="12" t="s">
        <v>6254</v>
      </c>
      <c r="N2457" s="12" t="s">
        <v>6255</v>
      </c>
      <c r="O2457" s="10" t="str">
        <f>HYPERLINK("https://pbs.twimg.com/profile_images/539556636235689984/Pg8_WG76_normal.jpeg","View")</f>
        <v>View</v>
      </c>
      <c r="P2457" s="11"/>
    </row>
    <row r="2458" spans="1:16" ht="12.75" x14ac:dyDescent="0.35">
      <c r="A2458" s="7">
        <v>42482.274513888886</v>
      </c>
      <c r="B2458" s="8" t="str">
        <f>HYPERLINK("https://twitter.com/DubLuvTuning","@DubLuvTuning")</f>
        <v>@DubLuvTuning</v>
      </c>
      <c r="C2458" s="9" t="s">
        <v>299</v>
      </c>
      <c r="D2458" s="9" t="s">
        <v>6256</v>
      </c>
      <c r="E2458" s="10" t="str">
        <f>HYPERLINK("https://twitter.com/DubLuvTuning/status/723316715749314560","723316715749314560")</f>
        <v>723316715749314560</v>
      </c>
      <c r="F2458" s="11" t="s">
        <v>288</v>
      </c>
      <c r="G2458" s="11">
        <v>690</v>
      </c>
      <c r="H2458" s="11">
        <v>431</v>
      </c>
      <c r="I2458" s="11">
        <v>2</v>
      </c>
      <c r="J2458" s="11">
        <v>0</v>
      </c>
      <c r="K2458" s="11" t="s">
        <v>21</v>
      </c>
      <c r="L2458" s="7">
        <v>41549.898287037038</v>
      </c>
      <c r="M2458" s="12" t="s">
        <v>301</v>
      </c>
      <c r="N2458" s="12" t="s">
        <v>302</v>
      </c>
      <c r="O2458" s="10" t="str">
        <f>HYPERLINK("https://pbs.twimg.com/profile_images/378800000572104796/1de43e1cf23efb3f4101c02afad0d3b6_normal.png","View")</f>
        <v>View</v>
      </c>
      <c r="P2458" s="11"/>
    </row>
    <row r="2459" spans="1:16" ht="12.75" x14ac:dyDescent="0.35">
      <c r="A2459" s="7">
        <v>42482.274525462963</v>
      </c>
      <c r="B2459" s="8" t="str">
        <f>HYPERLINK("https://twitter.com/tube_c0ffee","@tube_c0ffee")</f>
        <v>@tube_c0ffee</v>
      </c>
      <c r="C2459" s="9" t="s">
        <v>6257</v>
      </c>
      <c r="D2459" s="9" t="s">
        <v>6147</v>
      </c>
      <c r="E2459" s="10" t="str">
        <f>HYPERLINK("https://twitter.com/tube_c0ffee/status/723316719943561216","723316719943561216")</f>
        <v>723316719943561216</v>
      </c>
      <c r="F2459" s="11" t="s">
        <v>48</v>
      </c>
      <c r="G2459" s="11">
        <v>371</v>
      </c>
      <c r="H2459" s="11">
        <v>100</v>
      </c>
      <c r="I2459" s="11">
        <v>20</v>
      </c>
      <c r="J2459" s="11">
        <v>0</v>
      </c>
      <c r="K2459" s="11" t="s">
        <v>21</v>
      </c>
      <c r="L2459" s="7">
        <v>41567.929560185185</v>
      </c>
      <c r="M2459" s="12" t="s">
        <v>6258</v>
      </c>
      <c r="N2459" s="12" t="s">
        <v>6259</v>
      </c>
      <c r="O2459" s="10" t="str">
        <f>HYPERLINK("https://pbs.twimg.com/profile_images/540334693695365122/eJf6aMtR_normal.jpeg","View")</f>
        <v>View</v>
      </c>
      <c r="P2459" s="11"/>
    </row>
    <row r="2460" spans="1:16" ht="12.75" x14ac:dyDescent="0.35">
      <c r="A2460" s="7">
        <v>42482.274814814809</v>
      </c>
      <c r="B2460" s="8" t="str">
        <f>HYPERLINK("https://twitter.com/dannyL7055","@dannyL7055")</f>
        <v>@dannyL7055</v>
      </c>
      <c r="C2460" s="9" t="s">
        <v>6260</v>
      </c>
      <c r="D2460" s="9" t="s">
        <v>6147</v>
      </c>
      <c r="E2460" s="10" t="str">
        <f>HYPERLINK("https://twitter.com/dannyL7055/status/723316824046211072","723316824046211072")</f>
        <v>723316824046211072</v>
      </c>
      <c r="F2460" s="11" t="s">
        <v>48</v>
      </c>
      <c r="G2460" s="11">
        <v>283</v>
      </c>
      <c r="H2460" s="11">
        <v>268</v>
      </c>
      <c r="I2460" s="11">
        <v>20</v>
      </c>
      <c r="J2460" s="11">
        <v>0</v>
      </c>
      <c r="K2460" s="11" t="s">
        <v>21</v>
      </c>
      <c r="L2460" s="7">
        <v>41567.768020833333</v>
      </c>
      <c r="M2460" s="12"/>
      <c r="N2460" s="12" t="s">
        <v>6261</v>
      </c>
      <c r="O2460" s="10" t="str">
        <f>HYPERLINK("https://pbs.twimg.com/profile_images/540350415838384130/Pj4x26MI_normal.jpeg","View")</f>
        <v>View</v>
      </c>
      <c r="P2460" s="11"/>
    </row>
    <row r="2461" spans="1:16" ht="12.75" x14ac:dyDescent="0.35">
      <c r="A2461" s="7">
        <v>42482.275023148148</v>
      </c>
      <c r="B2461" s="8" t="str">
        <f>HYPERLINK("https://twitter.com/SexenioMX","@SexenioMX")</f>
        <v>@SexenioMX</v>
      </c>
      <c r="C2461" s="9" t="s">
        <v>3024</v>
      </c>
      <c r="D2461" s="9" t="s">
        <v>3025</v>
      </c>
      <c r="E2461" s="10" t="str">
        <f>HYPERLINK("https://twitter.com/SexenioMX/status/723316901674242048","723316901674242048")</f>
        <v>723316901674242048</v>
      </c>
      <c r="F2461" s="11" t="s">
        <v>63</v>
      </c>
      <c r="G2461" s="11">
        <v>1789832</v>
      </c>
      <c r="H2461" s="11">
        <v>476</v>
      </c>
      <c r="I2461" s="11">
        <v>1</v>
      </c>
      <c r="J2461" s="11">
        <v>0</v>
      </c>
      <c r="K2461" s="11" t="s">
        <v>21</v>
      </c>
      <c r="L2461" s="7">
        <v>40619.200162037036</v>
      </c>
      <c r="M2461" s="12" t="s">
        <v>462</v>
      </c>
      <c r="N2461" s="12" t="s">
        <v>3026</v>
      </c>
      <c r="O2461" s="10" t="str">
        <f>HYPERLINK("https://pbs.twimg.com/profile_images/700415860230397952/tCGmCj6M_normal.jpg","View")</f>
        <v>View</v>
      </c>
      <c r="P2461" s="11"/>
    </row>
    <row r="2462" spans="1:16" ht="12.75" x14ac:dyDescent="0.35">
      <c r="A2462" s="7">
        <v>42482.27506944444</v>
      </c>
      <c r="B2462" s="8" t="str">
        <f>HYPERLINK("https://twitter.com/SexenioCDMX","@SexenioCDMX")</f>
        <v>@SexenioCDMX</v>
      </c>
      <c r="C2462" s="9" t="s">
        <v>3020</v>
      </c>
      <c r="D2462" s="9" t="s">
        <v>3021</v>
      </c>
      <c r="E2462" s="10" t="str">
        <f>HYPERLINK("https://twitter.com/SexenioCDMX/status/723316916333334529","723316916333334529")</f>
        <v>723316916333334529</v>
      </c>
      <c r="F2462" s="11" t="s">
        <v>63</v>
      </c>
      <c r="G2462" s="11">
        <v>91697</v>
      </c>
      <c r="H2462" s="11">
        <v>81619</v>
      </c>
      <c r="I2462" s="11">
        <v>0</v>
      </c>
      <c r="J2462" s="11">
        <v>0</v>
      </c>
      <c r="K2462" s="11" t="s">
        <v>21</v>
      </c>
      <c r="L2462" s="7">
        <v>41029.45988425926</v>
      </c>
      <c r="M2462" s="12" t="s">
        <v>3022</v>
      </c>
      <c r="N2462" s="12" t="s">
        <v>3023</v>
      </c>
      <c r="O2462" s="10" t="str">
        <f>HYPERLINK("https://pbs.twimg.com/profile_images/693156293842894848/THX8L389_normal.jpg","View")</f>
        <v>View</v>
      </c>
      <c r="P2462" s="11"/>
    </row>
    <row r="2463" spans="1:16" ht="12.75" x14ac:dyDescent="0.35">
      <c r="A2463" s="7">
        <v>42482.275185185186</v>
      </c>
      <c r="B2463" s="8" t="str">
        <f>HYPERLINK("https://twitter.com/ReynaldiLucas","@ReynaldiLucas")</f>
        <v>@ReynaldiLucas</v>
      </c>
      <c r="C2463" s="9" t="s">
        <v>6262</v>
      </c>
      <c r="D2463" s="9" t="s">
        <v>6263</v>
      </c>
      <c r="E2463" s="10" t="str">
        <f>HYPERLINK("https://twitter.com/ReynaldiLucas/status/723316958725345280","723316958725345280")</f>
        <v>723316958725345280</v>
      </c>
      <c r="F2463" s="11" t="s">
        <v>43</v>
      </c>
      <c r="G2463" s="11">
        <v>1246</v>
      </c>
      <c r="H2463" s="11">
        <v>852</v>
      </c>
      <c r="I2463" s="11">
        <v>24</v>
      </c>
      <c r="J2463" s="11">
        <v>0</v>
      </c>
      <c r="K2463" s="11" t="s">
        <v>21</v>
      </c>
      <c r="L2463" s="7">
        <v>41202.308981481481</v>
      </c>
      <c r="M2463" s="12" t="s">
        <v>6264</v>
      </c>
      <c r="N2463" s="12" t="s">
        <v>6265</v>
      </c>
      <c r="O2463" s="10" t="str">
        <f>HYPERLINK("https://pbs.twimg.com/profile_images/714657397692841984/QHEc2TJ7_normal.jpg","View")</f>
        <v>View</v>
      </c>
      <c r="P2463" s="11"/>
    </row>
    <row r="2464" spans="1:16" ht="12.75" x14ac:dyDescent="0.35">
      <c r="A2464" s="7">
        <v>42482.27611111111</v>
      </c>
      <c r="B2464" s="8" t="str">
        <f>HYPERLINK("https://twitter.com/gavins","@gavins")</f>
        <v>@gavins</v>
      </c>
      <c r="C2464" s="9" t="s">
        <v>6266</v>
      </c>
      <c r="D2464" s="9" t="s">
        <v>5658</v>
      </c>
      <c r="E2464" s="10" t="str">
        <f>HYPERLINK("https://twitter.com/gavins/status/723317294974308352","723317294974308352")</f>
        <v>723317294974308352</v>
      </c>
      <c r="F2464" s="11" t="s">
        <v>119</v>
      </c>
      <c r="G2464" s="11">
        <v>243</v>
      </c>
      <c r="H2464" s="11">
        <v>222</v>
      </c>
      <c r="I2464" s="11">
        <v>3</v>
      </c>
      <c r="J2464" s="11">
        <v>0</v>
      </c>
      <c r="K2464" s="11" t="s">
        <v>21</v>
      </c>
      <c r="L2464" s="7">
        <v>39561.333969907406</v>
      </c>
      <c r="M2464" s="12" t="s">
        <v>5619</v>
      </c>
      <c r="N2464" s="12" t="s">
        <v>6267</v>
      </c>
      <c r="O2464" s="10" t="str">
        <f>HYPERLINK("https://pbs.twimg.com/profile_images/568605234327744512/Knwshzgf_normal.jpeg","View")</f>
        <v>View</v>
      </c>
      <c r="P2464" s="11"/>
    </row>
    <row r="2465" spans="1:16" ht="12.75" x14ac:dyDescent="0.35">
      <c r="A2465" s="7">
        <v>42482.276493055557</v>
      </c>
      <c r="B2465" s="8" t="str">
        <f>HYPERLINK("https://twitter.com/antphographic","@antphographic")</f>
        <v>@antphographic</v>
      </c>
      <c r="C2465" s="9" t="s">
        <v>6268</v>
      </c>
      <c r="D2465" s="9" t="s">
        <v>6269</v>
      </c>
      <c r="E2465" s="10" t="str">
        <f>HYPERLINK("https://twitter.com/antphographic/status/723317433432477697","723317433432477697")</f>
        <v>723317433432477697</v>
      </c>
      <c r="F2465" s="11" t="s">
        <v>68</v>
      </c>
      <c r="G2465" s="11">
        <v>35</v>
      </c>
      <c r="H2465" s="11">
        <v>23</v>
      </c>
      <c r="I2465" s="11">
        <v>0</v>
      </c>
      <c r="J2465" s="11">
        <v>0</v>
      </c>
      <c r="K2465" s="11" t="s">
        <v>21</v>
      </c>
      <c r="L2465" s="7">
        <v>42383.090347222227</v>
      </c>
      <c r="M2465" s="12" t="s">
        <v>96</v>
      </c>
      <c r="N2465" s="12" t="s">
        <v>6270</v>
      </c>
      <c r="O2465" s="10" t="str">
        <f>HYPERLINK("https://pbs.twimg.com/profile_images/687375732939460608/7I7vTJsq_normal.jpg","View")</f>
        <v>View</v>
      </c>
      <c r="P2465" s="11"/>
    </row>
    <row r="2466" spans="1:16" ht="12.75" x14ac:dyDescent="0.35">
      <c r="A2466" s="7">
        <v>42482.276956018519</v>
      </c>
      <c r="B2466" s="8" t="str">
        <f>HYPERLINK("https://twitter.com/enviromedia","@enviromedia")</f>
        <v>@enviromedia</v>
      </c>
      <c r="C2466" s="9" t="s">
        <v>6271</v>
      </c>
      <c r="D2466" s="9" t="s">
        <v>6272</v>
      </c>
      <c r="E2466" s="10" t="str">
        <f>HYPERLINK("https://twitter.com/enviromedia/status/723317603188400128","723317603188400128")</f>
        <v>723317603188400128</v>
      </c>
      <c r="F2466" s="11" t="s">
        <v>20</v>
      </c>
      <c r="G2466" s="11">
        <v>3254</v>
      </c>
      <c r="H2466" s="11">
        <v>1084</v>
      </c>
      <c r="I2466" s="11">
        <v>0</v>
      </c>
      <c r="J2466" s="11">
        <v>2</v>
      </c>
      <c r="K2466" s="11" t="s">
        <v>21</v>
      </c>
      <c r="L2466" s="7">
        <v>39851.106851851851</v>
      </c>
      <c r="M2466" s="12" t="s">
        <v>6273</v>
      </c>
      <c r="N2466" s="12" t="s">
        <v>6274</v>
      </c>
      <c r="O2466" s="10" t="str">
        <f>HYPERLINK("https://pbs.twimg.com/profile_images/699383744277278720/_YVLnGwX_normal.jpg","View")</f>
        <v>View</v>
      </c>
      <c r="P2466" s="11"/>
    </row>
    <row r="2467" spans="1:16" ht="12.75" x14ac:dyDescent="0.35">
      <c r="A2467" s="7">
        <v>42482.277604166666</v>
      </c>
      <c r="B2467" s="8" t="str">
        <f>HYPERLINK("https://twitter.com/motorgiga","@motorgiga")</f>
        <v>@motorgiga</v>
      </c>
      <c r="C2467" s="8" t="s">
        <v>6275</v>
      </c>
      <c r="D2467" s="9" t="s">
        <v>6276</v>
      </c>
      <c r="E2467" s="10" t="str">
        <f>HYPERLINK("https://twitter.com/motorgiga/status/723317834961420289","723317834961420289")</f>
        <v>723317834961420289</v>
      </c>
      <c r="F2467" s="11" t="s">
        <v>6277</v>
      </c>
      <c r="G2467" s="11">
        <v>2705</v>
      </c>
      <c r="H2467" s="11">
        <v>2203</v>
      </c>
      <c r="I2467" s="11">
        <v>0</v>
      </c>
      <c r="J2467" s="11">
        <v>0</v>
      </c>
      <c r="K2467" s="11" t="s">
        <v>21</v>
      </c>
      <c r="L2467" s="7">
        <v>40484.860324074078</v>
      </c>
      <c r="M2467" s="12" t="s">
        <v>1622</v>
      </c>
      <c r="N2467" s="12" t="s">
        <v>6278</v>
      </c>
      <c r="O2467" s="10" t="str">
        <f>HYPERLINK("https://pbs.twimg.com/profile_images/512189796068773888/7GP1qCk4_normal.png","View")</f>
        <v>View</v>
      </c>
      <c r="P2467" s="11"/>
    </row>
    <row r="2468" spans="1:16" ht="12.75" x14ac:dyDescent="0.35">
      <c r="A2468" s="7">
        <v>42482.280393518522</v>
      </c>
      <c r="B2468" s="8" t="str">
        <f>HYPERLINK("https://twitter.com/Dulcerengel","@Dulcerengel")</f>
        <v>@Dulcerengel</v>
      </c>
      <c r="C2468" s="9" t="s">
        <v>6279</v>
      </c>
      <c r="D2468" s="9" t="s">
        <v>5913</v>
      </c>
      <c r="E2468" s="10" t="str">
        <f>HYPERLINK("https://twitter.com/Dulcerengel/status/723318846862594050","723318846862594050")</f>
        <v>723318846862594050</v>
      </c>
      <c r="F2468" s="11" t="s">
        <v>48</v>
      </c>
      <c r="G2468" s="11">
        <v>1835</v>
      </c>
      <c r="H2468" s="11">
        <v>2923</v>
      </c>
      <c r="I2468" s="11">
        <v>1</v>
      </c>
      <c r="J2468" s="11">
        <v>0</v>
      </c>
      <c r="K2468" s="11" t="s">
        <v>21</v>
      </c>
      <c r="L2468" s="7">
        <v>40314.924710648149</v>
      </c>
      <c r="M2468" s="12" t="s">
        <v>4966</v>
      </c>
      <c r="N2468" s="12" t="s">
        <v>6280</v>
      </c>
      <c r="O2468" s="10" t="str">
        <f>HYPERLINK("https://pbs.twimg.com/profile_images/722218502476705793/urTvDvSr_normal.jpg","View")</f>
        <v>View</v>
      </c>
      <c r="P2468" s="11"/>
    </row>
    <row r="2469" spans="1:16" ht="12.75" x14ac:dyDescent="0.35">
      <c r="A2469" s="7">
        <v>42482.282384259262</v>
      </c>
      <c r="B2469" s="8" t="str">
        <f>HYPERLINK("https://twitter.com/arancibia_rob","@arancibia_rob")</f>
        <v>@arancibia_rob</v>
      </c>
      <c r="C2469" s="9" t="s">
        <v>6281</v>
      </c>
      <c r="D2469" s="9" t="s">
        <v>6188</v>
      </c>
      <c r="E2469" s="10" t="str">
        <f>HYPERLINK("https://twitter.com/arancibia_rob/status/723319568496754688","723319568496754688")</f>
        <v>723319568496754688</v>
      </c>
      <c r="F2469" s="11" t="s">
        <v>20</v>
      </c>
      <c r="G2469" s="11">
        <v>140</v>
      </c>
      <c r="H2469" s="11">
        <v>36</v>
      </c>
      <c r="I2469" s="11">
        <v>3</v>
      </c>
      <c r="J2469" s="11">
        <v>0</v>
      </c>
      <c r="K2469" s="11" t="s">
        <v>21</v>
      </c>
      <c r="L2469" s="7">
        <v>40833.797719907408</v>
      </c>
      <c r="M2469" s="12" t="s">
        <v>6282</v>
      </c>
      <c r="N2469" s="12" t="s">
        <v>6283</v>
      </c>
      <c r="O2469" s="10" t="str">
        <f>HYPERLINK("https://pbs.twimg.com/profile_images/672911420783271937/infVkeWL_normal.jpg","View")</f>
        <v>View</v>
      </c>
      <c r="P2469" s="11"/>
    </row>
    <row r="2470" spans="1:16" ht="12.75" x14ac:dyDescent="0.35">
      <c r="A2470" s="7">
        <v>42482.286493055552</v>
      </c>
      <c r="B2470" s="8" t="str">
        <f>HYPERLINK("https://twitter.com/LeahEasley","@LeahEasley")</f>
        <v>@LeahEasley</v>
      </c>
      <c r="C2470" s="9" t="s">
        <v>6284</v>
      </c>
      <c r="D2470" s="9" t="s">
        <v>6285</v>
      </c>
      <c r="E2470" s="10" t="str">
        <f>HYPERLINK("https://twitter.com/LeahEasley/status/723321057650851840","723321057650851840")</f>
        <v>723321057650851840</v>
      </c>
      <c r="F2470" s="11" t="s">
        <v>20</v>
      </c>
      <c r="G2470" s="11">
        <v>35</v>
      </c>
      <c r="H2470" s="11">
        <v>87</v>
      </c>
      <c r="I2470" s="11">
        <v>0</v>
      </c>
      <c r="J2470" s="11">
        <v>2</v>
      </c>
      <c r="K2470" s="11" t="s">
        <v>21</v>
      </c>
      <c r="L2470" s="7">
        <v>42291.399247685185</v>
      </c>
      <c r="M2470" s="12" t="s">
        <v>6286</v>
      </c>
      <c r="N2470" s="12" t="s">
        <v>6287</v>
      </c>
      <c r="O2470" s="10" t="str">
        <f>HYPERLINK("https://pbs.twimg.com/profile_images/717438411792056320/qTkBZ1Ew_normal.jpg","View")</f>
        <v>View</v>
      </c>
      <c r="P2470" s="11"/>
    </row>
    <row r="2471" spans="1:16" ht="12.75" x14ac:dyDescent="0.35">
      <c r="A2471" s="7">
        <v>42482.287326388891</v>
      </c>
      <c r="B2471" s="8" t="str">
        <f t="shared" ref="B2471:B2473" si="225">HYPERLINK("https://twitter.com/MoveRally","@MoveRally")</f>
        <v>@MoveRally</v>
      </c>
      <c r="C2471" s="9" t="s">
        <v>6288</v>
      </c>
      <c r="D2471" s="9" t="s">
        <v>6289</v>
      </c>
      <c r="E2471" s="10" t="str">
        <f>HYPERLINK("https://twitter.com/MoveRally/status/723321360538329088","723321360538329088")</f>
        <v>723321360538329088</v>
      </c>
      <c r="F2471" s="11" t="s">
        <v>53</v>
      </c>
      <c r="G2471" s="11">
        <v>741</v>
      </c>
      <c r="H2471" s="11">
        <v>553</v>
      </c>
      <c r="I2471" s="11">
        <v>0</v>
      </c>
      <c r="J2471" s="11">
        <v>0</v>
      </c>
      <c r="K2471" s="11" t="s">
        <v>21</v>
      </c>
      <c r="L2471" s="7">
        <v>40670.428032407406</v>
      </c>
      <c r="M2471" s="12" t="s">
        <v>6290</v>
      </c>
      <c r="N2471" s="12" t="s">
        <v>6291</v>
      </c>
      <c r="O2471" s="10" t="str">
        <f t="shared" ref="O2471:O2473" si="226">HYPERLINK("https://pbs.twimg.com/profile_images/2261219336/portada_normal.jpg","View")</f>
        <v>View</v>
      </c>
      <c r="P2471" s="11"/>
    </row>
    <row r="2472" spans="1:16" ht="12.75" x14ac:dyDescent="0.35">
      <c r="A2472" s="7">
        <v>42482.287546296298</v>
      </c>
      <c r="B2472" s="8" t="str">
        <f t="shared" si="225"/>
        <v>@MoveRally</v>
      </c>
      <c r="C2472" s="9" t="s">
        <v>6288</v>
      </c>
      <c r="D2472" s="9" t="s">
        <v>6292</v>
      </c>
      <c r="E2472" s="10" t="str">
        <f>HYPERLINK("https://twitter.com/MoveRally/status/723321437751267328","723321437751267328")</f>
        <v>723321437751267328</v>
      </c>
      <c r="F2472" s="11" t="s">
        <v>53</v>
      </c>
      <c r="G2472" s="11">
        <v>741</v>
      </c>
      <c r="H2472" s="11">
        <v>553</v>
      </c>
      <c r="I2472" s="11">
        <v>0</v>
      </c>
      <c r="J2472" s="11">
        <v>0</v>
      </c>
      <c r="K2472" s="11" t="s">
        <v>21</v>
      </c>
      <c r="L2472" s="7">
        <v>40670.428032407406</v>
      </c>
      <c r="M2472" s="12" t="s">
        <v>6290</v>
      </c>
      <c r="N2472" s="12" t="s">
        <v>6291</v>
      </c>
      <c r="O2472" s="10" t="str">
        <f t="shared" si="226"/>
        <v>View</v>
      </c>
      <c r="P2472" s="11"/>
    </row>
    <row r="2473" spans="1:16" ht="12.75" x14ac:dyDescent="0.35">
      <c r="A2473" s="7">
        <v>42482.288159722222</v>
      </c>
      <c r="B2473" s="8" t="str">
        <f t="shared" si="225"/>
        <v>@MoveRally</v>
      </c>
      <c r="C2473" s="9" t="s">
        <v>6288</v>
      </c>
      <c r="D2473" s="9" t="s">
        <v>6293</v>
      </c>
      <c r="E2473" s="10" t="str">
        <f>HYPERLINK("https://twitter.com/MoveRally/status/723321661836169216","723321661836169216")</f>
        <v>723321661836169216</v>
      </c>
      <c r="F2473" s="11" t="s">
        <v>53</v>
      </c>
      <c r="G2473" s="11">
        <v>741</v>
      </c>
      <c r="H2473" s="11">
        <v>553</v>
      </c>
      <c r="I2473" s="11">
        <v>0</v>
      </c>
      <c r="J2473" s="11">
        <v>0</v>
      </c>
      <c r="K2473" s="11" t="s">
        <v>21</v>
      </c>
      <c r="L2473" s="7">
        <v>40670.428032407406</v>
      </c>
      <c r="M2473" s="12" t="s">
        <v>6290</v>
      </c>
      <c r="N2473" s="12" t="s">
        <v>6291</v>
      </c>
      <c r="O2473" s="10" t="str">
        <f t="shared" si="226"/>
        <v>View</v>
      </c>
      <c r="P2473" s="11"/>
    </row>
    <row r="2474" spans="1:16" ht="12.75" x14ac:dyDescent="0.35">
      <c r="A2474" s="7">
        <v>42482.288252314815</v>
      </c>
      <c r="B2474" s="8" t="str">
        <f>HYPERLINK("https://twitter.com/ModzGarage","@ModzGarage")</f>
        <v>@ModzGarage</v>
      </c>
      <c r="C2474" s="9" t="s">
        <v>6294</v>
      </c>
      <c r="D2474" s="9" t="s">
        <v>6295</v>
      </c>
      <c r="E2474" s="10" t="str">
        <f>HYPERLINK("https://twitter.com/ModzGarage/status/723321693515603968","723321693515603968")</f>
        <v>723321693515603968</v>
      </c>
      <c r="F2474" s="11" t="s">
        <v>20</v>
      </c>
      <c r="G2474" s="11">
        <v>426</v>
      </c>
      <c r="H2474" s="11">
        <v>603</v>
      </c>
      <c r="I2474" s="11">
        <v>0</v>
      </c>
      <c r="J2474" s="11">
        <v>0</v>
      </c>
      <c r="K2474" s="11" t="s">
        <v>21</v>
      </c>
      <c r="L2474" s="7">
        <v>41270.563055555554</v>
      </c>
      <c r="M2474" s="12" t="s">
        <v>6296</v>
      </c>
      <c r="N2474" s="12" t="s">
        <v>6297</v>
      </c>
      <c r="O2474" s="10" t="str">
        <f>HYPERLINK("https://pbs.twimg.com/profile_images/3027475653/ddc80308d1b40a236a9a09ffbf660804_normal.jpeg","View")</f>
        <v>View</v>
      </c>
      <c r="P2474" s="11"/>
    </row>
    <row r="2475" spans="1:16" ht="12.75" x14ac:dyDescent="0.35">
      <c r="A2475" s="7">
        <v>42482.289340277777</v>
      </c>
      <c r="B2475" s="8" t="str">
        <f>HYPERLINK("https://twitter.com/likee_so","@likee_so")</f>
        <v>@likee_so</v>
      </c>
      <c r="C2475" s="9" t="s">
        <v>6298</v>
      </c>
      <c r="D2475" s="9" t="s">
        <v>6299</v>
      </c>
      <c r="E2475" s="10" t="str">
        <f>HYPERLINK("https://twitter.com/likee_so/status/723322090343010307","723322090343010307")</f>
        <v>723322090343010307</v>
      </c>
      <c r="F2475" s="11" t="s">
        <v>114</v>
      </c>
      <c r="G2475" s="11">
        <v>591</v>
      </c>
      <c r="H2475" s="11">
        <v>286</v>
      </c>
      <c r="I2475" s="11">
        <v>0</v>
      </c>
      <c r="J2475" s="11">
        <v>0</v>
      </c>
      <c r="K2475" s="11" t="s">
        <v>21</v>
      </c>
      <c r="L2475" s="7">
        <v>40815.065486111111</v>
      </c>
      <c r="M2475" s="12" t="s">
        <v>6300</v>
      </c>
      <c r="N2475" s="12" t="s">
        <v>6301</v>
      </c>
      <c r="O2475" s="10" t="str">
        <f>HYPERLINK("https://pbs.twimg.com/profile_images/672216168892137473/TMmU-9VW_normal.jpg","View")</f>
        <v>View</v>
      </c>
      <c r="P2475" s="11"/>
    </row>
    <row r="2476" spans="1:16" ht="12.75" x14ac:dyDescent="0.35">
      <c r="A2476" s="7">
        <v>42482.289375</v>
      </c>
      <c r="B2476" s="8" t="str">
        <f>HYPERLINK("https://twitter.com/HERNANSALDANAC","@HERNANSALDANAC")</f>
        <v>@HERNANSALDANAC</v>
      </c>
      <c r="C2476" s="9" t="s">
        <v>6302</v>
      </c>
      <c r="D2476" s="9" t="s">
        <v>6188</v>
      </c>
      <c r="E2476" s="10" t="str">
        <f>HYPERLINK("https://twitter.com/HERNANSALDANAC/status/723322103278243840","723322103278243840")</f>
        <v>723322103278243840</v>
      </c>
      <c r="F2476" s="11" t="s">
        <v>91</v>
      </c>
      <c r="G2476" s="11">
        <v>501</v>
      </c>
      <c r="H2476" s="11">
        <v>106</v>
      </c>
      <c r="I2476" s="11">
        <v>3</v>
      </c>
      <c r="J2476" s="11">
        <v>0</v>
      </c>
      <c r="K2476" s="11" t="s">
        <v>21</v>
      </c>
      <c r="L2476" s="7">
        <v>41614.789456018516</v>
      </c>
      <c r="M2476" s="12"/>
      <c r="N2476" s="12" t="s">
        <v>6303</v>
      </c>
      <c r="O2476" s="10" t="str">
        <f>HYPERLINK("https://abs.twimg.com/sticky/default_profile_images/default_profile_5_normal.png","View")</f>
        <v>View</v>
      </c>
      <c r="P2476" s="11"/>
    </row>
    <row r="2477" spans="1:16" ht="12.75" x14ac:dyDescent="0.35">
      <c r="A2477" s="7">
        <v>42482.291087962964</v>
      </c>
      <c r="B2477" s="8" t="str">
        <f>HYPERLINK("https://twitter.com/jordan_cowdery","@jordan_cowdery")</f>
        <v>@jordan_cowdery</v>
      </c>
      <c r="C2477" s="9" t="s">
        <v>6304</v>
      </c>
      <c r="D2477" s="9" t="s">
        <v>6305</v>
      </c>
      <c r="E2477" s="10" t="str">
        <f>HYPERLINK("https://twitter.com/jordan_cowdery/status/723322723758387200","723322723758387200")</f>
        <v>723322723758387200</v>
      </c>
      <c r="F2477" s="11" t="s">
        <v>91</v>
      </c>
      <c r="G2477" s="11">
        <v>34</v>
      </c>
      <c r="H2477" s="11">
        <v>32</v>
      </c>
      <c r="I2477" s="11">
        <v>0</v>
      </c>
      <c r="J2477" s="11">
        <v>0</v>
      </c>
      <c r="K2477" s="11" t="s">
        <v>21</v>
      </c>
      <c r="L2477" s="7">
        <v>42123.110474537039</v>
      </c>
      <c r="M2477" s="12"/>
      <c r="N2477" s="12" t="s">
        <v>6306</v>
      </c>
      <c r="O2477" s="10" t="str">
        <f>HYPERLINK("https://pbs.twimg.com/profile_images/687431235946295297/DAzW6uBP_normal.jpg","View")</f>
        <v>View</v>
      </c>
      <c r="P2477" s="11"/>
    </row>
    <row r="2478" spans="1:16" ht="12.75" x14ac:dyDescent="0.35">
      <c r="A2478" s="7">
        <v>42482.291770833333</v>
      </c>
      <c r="B2478" s="8" t="str">
        <f>HYPERLINK("https://twitter.com/VWCamperSales","@VWCamperSales")</f>
        <v>@VWCamperSales</v>
      </c>
      <c r="C2478" s="9" t="s">
        <v>216</v>
      </c>
      <c r="D2478" s="9" t="s">
        <v>6307</v>
      </c>
      <c r="E2478" s="10" t="str">
        <f>HYPERLINK("https://twitter.com/VWCamperSales/status/723322969192206336","723322969192206336")</f>
        <v>723322969192206336</v>
      </c>
      <c r="F2478" s="10" t="s">
        <v>124</v>
      </c>
      <c r="G2478" s="11">
        <v>615</v>
      </c>
      <c r="H2478" s="11">
        <v>580</v>
      </c>
      <c r="I2478" s="11">
        <v>0</v>
      </c>
      <c r="J2478" s="11">
        <v>0</v>
      </c>
      <c r="K2478" s="11" t="s">
        <v>21</v>
      </c>
      <c r="L2478" s="7">
        <v>42215.98809027778</v>
      </c>
      <c r="M2478" s="12" t="s">
        <v>129</v>
      </c>
      <c r="N2478" s="12" t="s">
        <v>218</v>
      </c>
      <c r="O2478" s="10" t="str">
        <f>HYPERLINK("https://pbs.twimg.com/profile_images/627949001179037696/skEBkS05_normal.jpg","View")</f>
        <v>View</v>
      </c>
      <c r="P2478" s="11"/>
    </row>
    <row r="2479" spans="1:16" ht="12.75" x14ac:dyDescent="0.35">
      <c r="A2479" s="7">
        <v>42482.291828703703</v>
      </c>
      <c r="B2479" s="8" t="str">
        <f>HYPERLINK("https://twitter.com/DLFNachrichten","@DLFNachrichten")</f>
        <v>@DLFNachrichten</v>
      </c>
      <c r="C2479" s="9" t="s">
        <v>3369</v>
      </c>
      <c r="D2479" s="9" t="s">
        <v>6308</v>
      </c>
      <c r="E2479" s="10" t="str">
        <f>HYPERLINK("https://twitter.com/DLFNachrichten/status/723322990155436033","723322990155436033")</f>
        <v>723322990155436033</v>
      </c>
      <c r="F2479" s="11" t="s">
        <v>63</v>
      </c>
      <c r="G2479" s="11">
        <v>3172</v>
      </c>
      <c r="H2479" s="11">
        <v>27</v>
      </c>
      <c r="I2479" s="11">
        <v>5</v>
      </c>
      <c r="J2479" s="11">
        <v>4</v>
      </c>
      <c r="K2479" s="11" t="s">
        <v>21</v>
      </c>
      <c r="L2479" s="7">
        <v>42324.81086805556</v>
      </c>
      <c r="M2479" s="12" t="s">
        <v>3371</v>
      </c>
      <c r="N2479" s="12" t="s">
        <v>3372</v>
      </c>
      <c r="O2479" s="10" t="str">
        <f>HYPERLINK("https://pbs.twimg.com/profile_images/669541061711261696/eOfP0YD8_normal.png","View")</f>
        <v>View</v>
      </c>
      <c r="P2479" s="11"/>
    </row>
    <row r="2480" spans="1:16" ht="12.75" x14ac:dyDescent="0.35">
      <c r="A2480" s="7">
        <v>42482.291886574079</v>
      </c>
      <c r="B2480" s="8" t="str">
        <f>HYPERLINK("https://twitter.com/DLF","@DLF")</f>
        <v>@DLF</v>
      </c>
      <c r="C2480" s="9" t="s">
        <v>6072</v>
      </c>
      <c r="D2480" s="9" t="s">
        <v>6309</v>
      </c>
      <c r="E2480" s="10" t="str">
        <f>HYPERLINK("https://twitter.com/DLF/status/723323011185651712","723323011185651712")</f>
        <v>723323011185651712</v>
      </c>
      <c r="F2480" s="11" t="s">
        <v>63</v>
      </c>
      <c r="G2480" s="11">
        <v>89354</v>
      </c>
      <c r="H2480" s="11">
        <v>605</v>
      </c>
      <c r="I2480" s="11">
        <v>5</v>
      </c>
      <c r="J2480" s="11">
        <v>0</v>
      </c>
      <c r="K2480" s="11" t="s">
        <v>21</v>
      </c>
      <c r="L2480" s="7">
        <v>40488.244039351848</v>
      </c>
      <c r="M2480" s="12" t="s">
        <v>1241</v>
      </c>
      <c r="N2480" s="12" t="s">
        <v>6074</v>
      </c>
      <c r="O2480" s="10" t="str">
        <f>HYPERLINK("https://pbs.twimg.com/profile_images/667101948429123584/pzpPHONX_normal.jpg","View")</f>
        <v>View</v>
      </c>
      <c r="P2480" s="11"/>
    </row>
    <row r="2481" spans="1:16" ht="12.75" x14ac:dyDescent="0.35">
      <c r="A2481" s="7">
        <v>42482.292210648149</v>
      </c>
      <c r="B2481" s="8" t="str">
        <f>HYPERLINK("https://twitter.com/aaron643","@aaron643")</f>
        <v>@aaron643</v>
      </c>
      <c r="C2481" s="9" t="s">
        <v>6310</v>
      </c>
      <c r="D2481" s="9" t="s">
        <v>6311</v>
      </c>
      <c r="E2481" s="10" t="str">
        <f>HYPERLINK("https://twitter.com/aaron643/status/723323130815483905","723323130815483905")</f>
        <v>723323130815483905</v>
      </c>
      <c r="F2481" s="11" t="s">
        <v>114</v>
      </c>
      <c r="G2481" s="11">
        <v>678</v>
      </c>
      <c r="H2481" s="11">
        <v>1060</v>
      </c>
      <c r="I2481" s="11">
        <v>0</v>
      </c>
      <c r="J2481" s="11">
        <v>1</v>
      </c>
      <c r="K2481" s="11" t="s">
        <v>21</v>
      </c>
      <c r="L2481" s="7">
        <v>40404.906631944446</v>
      </c>
      <c r="M2481" s="12" t="s">
        <v>5832</v>
      </c>
      <c r="N2481" s="12" t="s">
        <v>6312</v>
      </c>
      <c r="O2481" s="10" t="str">
        <f>HYPERLINK("https://pbs.twimg.com/profile_images/378800000614625899/b17a3de211b0605a5d97d03f66ce6cd4_normal.png","View")</f>
        <v>View</v>
      </c>
      <c r="P2481" s="11"/>
    </row>
    <row r="2482" spans="1:16" ht="12.75" x14ac:dyDescent="0.35">
      <c r="A2482" s="7">
        <v>42482.292939814812</v>
      </c>
      <c r="B2482" s="8" t="str">
        <f>HYPERLINK("https://twitter.com/VolkswagenPost","@VolkswagenPost")</f>
        <v>@VolkswagenPost</v>
      </c>
      <c r="C2482" s="9" t="s">
        <v>321</v>
      </c>
      <c r="D2482" s="9" t="s">
        <v>6256</v>
      </c>
      <c r="E2482" s="10" t="str">
        <f>HYPERLINK("https://twitter.com/VolkswagenPost/status/723323395631419392","723323395631419392")</f>
        <v>723323395631419392</v>
      </c>
      <c r="F2482" s="11" t="s">
        <v>288</v>
      </c>
      <c r="G2482" s="11">
        <v>571</v>
      </c>
      <c r="H2482" s="11">
        <v>446</v>
      </c>
      <c r="I2482" s="11">
        <v>2</v>
      </c>
      <c r="J2482" s="11">
        <v>0</v>
      </c>
      <c r="K2482" s="11" t="s">
        <v>21</v>
      </c>
      <c r="L2482" s="7">
        <v>41940.618379629632</v>
      </c>
      <c r="M2482" s="12"/>
      <c r="N2482" s="12"/>
      <c r="O2482" s="10" t="str">
        <f>HYPERLINK("https://pbs.twimg.com/profile_images/530071272881803264/a_jcCmPZ_normal.png","View")</f>
        <v>View</v>
      </c>
      <c r="P2482" s="11"/>
    </row>
    <row r="2483" spans="1:16" ht="12.75" x14ac:dyDescent="0.35">
      <c r="A2483" s="7">
        <v>42482.293634259258</v>
      </c>
      <c r="B2483" s="8" t="str">
        <f>HYPERLINK("https://twitter.com/RadialTVcom","@RadialTVcom")</f>
        <v>@RadialTVcom</v>
      </c>
      <c r="C2483" s="9" t="s">
        <v>6313</v>
      </c>
      <c r="D2483" s="9" t="s">
        <v>5955</v>
      </c>
      <c r="E2483" s="10" t="str">
        <f>HYPERLINK("https://twitter.com/RadialTVcom/status/723323645074919424","723323645074919424")</f>
        <v>723323645074919424</v>
      </c>
      <c r="F2483" s="11" t="s">
        <v>20</v>
      </c>
      <c r="G2483" s="11">
        <v>13</v>
      </c>
      <c r="H2483" s="11">
        <v>52</v>
      </c>
      <c r="I2483" s="11">
        <v>4</v>
      </c>
      <c r="J2483" s="11">
        <v>0</v>
      </c>
      <c r="K2483" s="11" t="s">
        <v>21</v>
      </c>
      <c r="L2483" s="7">
        <v>41932.945567129631</v>
      </c>
      <c r="M2483" s="12" t="s">
        <v>5956</v>
      </c>
      <c r="N2483" s="12"/>
      <c r="O2483" s="10" t="str">
        <f>HYPERLINK("https://pbs.twimg.com/profile_images/524247355084636160/OzYcsa1O_normal.jpeg","View")</f>
        <v>View</v>
      </c>
      <c r="P2483" s="11"/>
    </row>
    <row r="2484" spans="1:16" ht="12.75" x14ac:dyDescent="0.35">
      <c r="A2484" s="7">
        <v>42482.293865740736</v>
      </c>
      <c r="B2484" s="8" t="str">
        <f>HYPERLINK("https://twitter.com/OnlineCarReview","@OnlineCarReview")</f>
        <v>@OnlineCarReview</v>
      </c>
      <c r="C2484" s="9" t="s">
        <v>176</v>
      </c>
      <c r="D2484" s="9" t="s">
        <v>6314</v>
      </c>
      <c r="E2484" s="10" t="str">
        <f>HYPERLINK("https://twitter.com/OnlineCarReview/status/723323727811727360","723323727811727360")</f>
        <v>723323727811727360</v>
      </c>
      <c r="F2484" s="11" t="s">
        <v>34</v>
      </c>
      <c r="G2484" s="11">
        <v>839</v>
      </c>
      <c r="H2484" s="11">
        <v>568</v>
      </c>
      <c r="I2484" s="11">
        <v>0</v>
      </c>
      <c r="J2484" s="11">
        <v>0</v>
      </c>
      <c r="K2484" s="11" t="s">
        <v>21</v>
      </c>
      <c r="L2484" s="7">
        <v>42282.979201388887</v>
      </c>
      <c r="M2484" s="12"/>
      <c r="N2484" s="12" t="s">
        <v>178</v>
      </c>
      <c r="O2484" s="10" t="str">
        <f>HYPERLINK("https://pbs.twimg.com/profile_images/652871584131092480/QA_B6SBO_normal.jpg","View")</f>
        <v>View</v>
      </c>
      <c r="P2484" s="11"/>
    </row>
    <row r="2485" spans="1:16" ht="12.75" x14ac:dyDescent="0.35">
      <c r="A2485" s="7">
        <v>42482.294525462959</v>
      </c>
      <c r="B2485" s="8" t="str">
        <f>HYPERLINK("https://twitter.com/VWBeetleSales","@VWBeetleSales")</f>
        <v>@VWBeetleSales</v>
      </c>
      <c r="C2485" s="9" t="s">
        <v>127</v>
      </c>
      <c r="D2485" s="9" t="s">
        <v>6315</v>
      </c>
      <c r="E2485" s="10" t="str">
        <f>HYPERLINK("https://twitter.com/VWBeetleSales/status/723323969869246465","723323969869246465")</f>
        <v>723323969869246465</v>
      </c>
      <c r="F2485" s="10" t="s">
        <v>124</v>
      </c>
      <c r="G2485" s="11">
        <v>35</v>
      </c>
      <c r="H2485" s="11">
        <v>32</v>
      </c>
      <c r="I2485" s="11">
        <v>0</v>
      </c>
      <c r="J2485" s="11">
        <v>0</v>
      </c>
      <c r="K2485" s="11" t="s">
        <v>21</v>
      </c>
      <c r="L2485" s="7">
        <v>42427.019756944443</v>
      </c>
      <c r="M2485" s="12" t="s">
        <v>129</v>
      </c>
      <c r="N2485" s="12" t="s">
        <v>130</v>
      </c>
      <c r="O2485" s="10" t="str">
        <f>HYPERLINK("https://pbs.twimg.com/profile_images/703294545195307008/qeCvrX86_normal.jpg","View")</f>
        <v>View</v>
      </c>
      <c r="P2485" s="11"/>
    </row>
    <row r="2486" spans="1:16" ht="12.75" x14ac:dyDescent="0.35">
      <c r="A2486" s="7">
        <v>42482.294571759259</v>
      </c>
      <c r="B2486" s="8" t="str">
        <f t="shared" ref="B2486:B2487" si="227">HYPERLINK("https://twitter.com/beetlebug1938","@beetlebug1938")</f>
        <v>@beetlebug1938</v>
      </c>
      <c r="C2486" s="9" t="s">
        <v>66</v>
      </c>
      <c r="D2486" s="9" t="s">
        <v>6316</v>
      </c>
      <c r="E2486" s="10" t="str">
        <f>HYPERLINK("https://twitter.com/beetlebug1938/status/723323984654307328","723323984654307328")</f>
        <v>723323984654307328</v>
      </c>
      <c r="F2486" s="11" t="s">
        <v>68</v>
      </c>
      <c r="G2486" s="11">
        <v>346</v>
      </c>
      <c r="H2486" s="11">
        <v>2222</v>
      </c>
      <c r="I2486" s="11">
        <v>0</v>
      </c>
      <c r="J2486" s="11">
        <v>0</v>
      </c>
      <c r="K2486" s="11" t="s">
        <v>21</v>
      </c>
      <c r="L2486" s="7">
        <v>42469.863865740743</v>
      </c>
      <c r="M2486" s="12" t="s">
        <v>69</v>
      </c>
      <c r="N2486" s="12"/>
      <c r="O2486" s="10" t="str">
        <f t="shared" ref="O2486:O2487" si="228">HYPERLINK("https://pbs.twimg.com/profile_images/718820712757215233/LXXndPTS_normal.jpg","View")</f>
        <v>View</v>
      </c>
      <c r="P2486" s="11"/>
    </row>
    <row r="2487" spans="1:16" ht="12.75" x14ac:dyDescent="0.35">
      <c r="A2487" s="7">
        <v>42482.294664351852</v>
      </c>
      <c r="B2487" s="8" t="str">
        <f t="shared" si="227"/>
        <v>@beetlebug1938</v>
      </c>
      <c r="C2487" s="9" t="s">
        <v>66</v>
      </c>
      <c r="D2487" s="9" t="s">
        <v>6317</v>
      </c>
      <c r="E2487" s="10" t="str">
        <f>HYPERLINK("https://twitter.com/beetlebug1938/status/723324019026628609","723324019026628609")</f>
        <v>723324019026628609</v>
      </c>
      <c r="F2487" s="11" t="s">
        <v>68</v>
      </c>
      <c r="G2487" s="11">
        <v>346</v>
      </c>
      <c r="H2487" s="11">
        <v>2222</v>
      </c>
      <c r="I2487" s="11">
        <v>0</v>
      </c>
      <c r="J2487" s="11">
        <v>0</v>
      </c>
      <c r="K2487" s="11" t="s">
        <v>21</v>
      </c>
      <c r="L2487" s="7">
        <v>42469.863865740743</v>
      </c>
      <c r="M2487" s="12" t="s">
        <v>69</v>
      </c>
      <c r="N2487" s="12"/>
      <c r="O2487" s="10" t="str">
        <f t="shared" si="228"/>
        <v>View</v>
      </c>
      <c r="P2487" s="11"/>
    </row>
    <row r="2488" spans="1:16" ht="12.75" x14ac:dyDescent="0.35">
      <c r="A2488" s="7">
        <v>42482.294756944444</v>
      </c>
      <c r="B2488" s="8" t="str">
        <f>HYPERLINK("https://twitter.com/Ivan_Loewen","@Ivan_Loewen")</f>
        <v>@Ivan_Loewen</v>
      </c>
      <c r="C2488" s="9" t="s">
        <v>6318</v>
      </c>
      <c r="D2488" s="9" t="s">
        <v>6319</v>
      </c>
      <c r="E2488" s="10" t="str">
        <f>HYPERLINK("https://twitter.com/Ivan_Loewen/status/723324050735435778","723324050735435778")</f>
        <v>723324050735435778</v>
      </c>
      <c r="F2488" s="11" t="s">
        <v>20</v>
      </c>
      <c r="G2488" s="11">
        <v>53</v>
      </c>
      <c r="H2488" s="11">
        <v>114</v>
      </c>
      <c r="I2488" s="11">
        <v>0</v>
      </c>
      <c r="J2488" s="11">
        <v>1</v>
      </c>
      <c r="K2488" s="11" t="s">
        <v>21</v>
      </c>
      <c r="L2488" s="7">
        <v>39885.125706018516</v>
      </c>
      <c r="M2488" s="12" t="s">
        <v>6320</v>
      </c>
      <c r="N2488" s="12" t="s">
        <v>6321</v>
      </c>
      <c r="O2488" s="10" t="str">
        <f>HYPERLINK("https://pbs.twimg.com/profile_images/583352626793742336/4RgQ3C48_normal.jpg","View")</f>
        <v>View</v>
      </c>
      <c r="P2488" s="11"/>
    </row>
    <row r="2489" spans="1:16" ht="12.75" x14ac:dyDescent="0.35">
      <c r="A2489" s="7">
        <v>42482.294953703706</v>
      </c>
      <c r="B2489" s="8" t="str">
        <f>HYPERLINK("https://twitter.com/Sandy_Tang_Ge","@Sandy_Tang_Ge")</f>
        <v>@Sandy_Tang_Ge</v>
      </c>
      <c r="C2489" s="9" t="s">
        <v>3408</v>
      </c>
      <c r="D2489" s="9" t="s">
        <v>6309</v>
      </c>
      <c r="E2489" s="10" t="str">
        <f>HYPERLINK("https://twitter.com/Sandy_Tang_Ge/status/723324124874047489","723324124874047489")</f>
        <v>723324124874047489</v>
      </c>
      <c r="F2489" s="11" t="s">
        <v>288</v>
      </c>
      <c r="G2489" s="11">
        <v>989</v>
      </c>
      <c r="H2489" s="11">
        <v>1016</v>
      </c>
      <c r="I2489" s="11">
        <v>5</v>
      </c>
      <c r="J2489" s="11">
        <v>0</v>
      </c>
      <c r="K2489" s="11" t="s">
        <v>21</v>
      </c>
      <c r="L2489" s="7">
        <v>42411.055081018523</v>
      </c>
      <c r="M2489" s="12" t="s">
        <v>262</v>
      </c>
      <c r="N2489" s="12" t="s">
        <v>3409</v>
      </c>
      <c r="O2489" s="10" t="str">
        <f>HYPERLINK("https://pbs.twimg.com/profile_images/710116856074522624/Z39UW3uF_normal.jpg","View")</f>
        <v>View</v>
      </c>
      <c r="P2489" s="11"/>
    </row>
    <row r="2490" spans="1:16" ht="12.75" x14ac:dyDescent="0.35">
      <c r="A2490" s="7">
        <v>42482.295729166668</v>
      </c>
      <c r="B2490" s="8" t="str">
        <f>HYPERLINK("https://twitter.com/Financial_Orbit","@Financial_Orbit")</f>
        <v>@Financial_Orbit</v>
      </c>
      <c r="C2490" s="9" t="s">
        <v>6322</v>
      </c>
      <c r="D2490" s="9" t="s">
        <v>6323</v>
      </c>
      <c r="E2490" s="10" t="str">
        <f>HYPERLINK("https://twitter.com/Financial_Orbit/status/723324404361506816","723324404361506816")</f>
        <v>723324404361506816</v>
      </c>
      <c r="F2490" s="11" t="s">
        <v>43</v>
      </c>
      <c r="G2490" s="11">
        <v>3752</v>
      </c>
      <c r="H2490" s="11">
        <v>3668</v>
      </c>
      <c r="I2490" s="11">
        <v>0</v>
      </c>
      <c r="J2490" s="11">
        <v>0</v>
      </c>
      <c r="K2490" s="11" t="s">
        <v>21</v>
      </c>
      <c r="L2490" s="7">
        <v>41421.599351851852</v>
      </c>
      <c r="M2490" s="12" t="s">
        <v>35</v>
      </c>
      <c r="N2490" s="12" t="s">
        <v>6324</v>
      </c>
      <c r="O2490" s="10" t="str">
        <f>HYPERLINK("https://pbs.twimg.com/profile_images/378800000739982710/6d3d69a95d8636c04033ccecb17d6235_normal.png","View")</f>
        <v>View</v>
      </c>
      <c r="P2490" s="11"/>
    </row>
    <row r="2491" spans="1:16" ht="12.75" x14ac:dyDescent="0.35">
      <c r="A2491" s="7">
        <v>42482.2966087963</v>
      </c>
      <c r="B2491" s="8" t="str">
        <f>HYPERLINK("https://twitter.com/beto_rh6","@beto_rh6")</f>
        <v>@beto_rh6</v>
      </c>
      <c r="C2491" s="9" t="s">
        <v>6325</v>
      </c>
      <c r="D2491" s="9" t="s">
        <v>5955</v>
      </c>
      <c r="E2491" s="10" t="str">
        <f>HYPERLINK("https://twitter.com/beto_rh6/status/723324723283693568","723324723283693568")</f>
        <v>723324723283693568</v>
      </c>
      <c r="F2491" s="11" t="s">
        <v>20</v>
      </c>
      <c r="G2491" s="11">
        <v>122</v>
      </c>
      <c r="H2491" s="11">
        <v>141</v>
      </c>
      <c r="I2491" s="11">
        <v>4</v>
      </c>
      <c r="J2491" s="11">
        <v>0</v>
      </c>
      <c r="K2491" s="11" t="s">
        <v>21</v>
      </c>
      <c r="L2491" s="7">
        <v>40736.974490740744</v>
      </c>
      <c r="M2491" s="12" t="s">
        <v>3359</v>
      </c>
      <c r="N2491" s="12"/>
      <c r="O2491" s="10" t="str">
        <f>HYPERLINK("https://pbs.twimg.com/profile_images/674995378828152832/MlepJsK4_normal.jpg","View")</f>
        <v>View</v>
      </c>
      <c r="P2491" s="11"/>
    </row>
    <row r="2492" spans="1:16" ht="12.75" x14ac:dyDescent="0.35">
      <c r="A2492" s="7">
        <v>42482.297951388886</v>
      </c>
      <c r="B2492" s="8" t="str">
        <f>HYPERLINK("https://twitter.com/Ryan_Rudolph","@Ryan_Rudolph")</f>
        <v>@Ryan_Rudolph</v>
      </c>
      <c r="C2492" s="9" t="s">
        <v>6326</v>
      </c>
      <c r="D2492" s="9" t="s">
        <v>6327</v>
      </c>
      <c r="E2492" s="10" t="str">
        <f>HYPERLINK("https://twitter.com/Ryan_Rudolph/status/723325208787083264","723325208787083264")</f>
        <v>723325208787083264</v>
      </c>
      <c r="F2492" s="11" t="s">
        <v>20</v>
      </c>
      <c r="G2492" s="11">
        <v>418</v>
      </c>
      <c r="H2492" s="11">
        <v>487</v>
      </c>
      <c r="I2492" s="11">
        <v>0</v>
      </c>
      <c r="J2492" s="11">
        <v>3</v>
      </c>
      <c r="K2492" s="11" t="s">
        <v>21</v>
      </c>
      <c r="L2492" s="7">
        <v>40994.312395833331</v>
      </c>
      <c r="M2492" s="12" t="s">
        <v>6328</v>
      </c>
      <c r="N2492" s="12" t="s">
        <v>6329</v>
      </c>
      <c r="O2492" s="10" t="str">
        <f>HYPERLINK("https://pbs.twimg.com/profile_images/714653379893534720/oeuBc6wd_normal.jpg","View")</f>
        <v>View</v>
      </c>
      <c r="P2492" s="11"/>
    </row>
    <row r="2493" spans="1:16" ht="12.75" x14ac:dyDescent="0.35">
      <c r="A2493" s="7">
        <v>42482.299282407403</v>
      </c>
      <c r="B2493" s="8" t="str">
        <f>HYPERLINK("https://twitter.com/AbrilBecerra699","@AbrilBecerra699")</f>
        <v>@AbrilBecerra699</v>
      </c>
      <c r="C2493" s="9" t="s">
        <v>6330</v>
      </c>
      <c r="D2493" s="9" t="s">
        <v>2825</v>
      </c>
      <c r="E2493" s="10" t="str">
        <f>HYPERLINK("https://twitter.com/AbrilBecerra699/status/723325691840872449","723325691840872449")</f>
        <v>723325691840872449</v>
      </c>
      <c r="F2493" s="11" t="s">
        <v>48</v>
      </c>
      <c r="G2493" s="11">
        <v>164</v>
      </c>
      <c r="H2493" s="11">
        <v>523</v>
      </c>
      <c r="I2493" s="11">
        <v>53</v>
      </c>
      <c r="J2493" s="11">
        <v>0</v>
      </c>
      <c r="K2493" s="11" t="s">
        <v>21</v>
      </c>
      <c r="L2493" s="7">
        <v>42324.458750000005</v>
      </c>
      <c r="M2493" s="12" t="s">
        <v>6331</v>
      </c>
      <c r="N2493" s="12" t="s">
        <v>6332</v>
      </c>
      <c r="O2493" s="10" t="str">
        <f>HYPERLINK("https://pbs.twimg.com/profile_images/711730667755855876/JenSSBR3_normal.jpg","View")</f>
        <v>View</v>
      </c>
      <c r="P2493" s="11"/>
    </row>
    <row r="2494" spans="1:16" ht="12.75" x14ac:dyDescent="0.35">
      <c r="A2494" s="7">
        <v>42482.299618055556</v>
      </c>
      <c r="B2494" s="8" t="str">
        <f>HYPERLINK("https://twitter.com/NicoCirujaa","@NicoCirujaa")</f>
        <v>@NicoCirujaa</v>
      </c>
      <c r="C2494" s="9" t="s">
        <v>6333</v>
      </c>
      <c r="D2494" s="9" t="s">
        <v>2825</v>
      </c>
      <c r="E2494" s="10" t="str">
        <f>HYPERLINK("https://twitter.com/NicoCirujaa/status/723325812548747264","723325812548747264")</f>
        <v>723325812548747264</v>
      </c>
      <c r="F2494" s="11" t="s">
        <v>48</v>
      </c>
      <c r="G2494" s="11">
        <v>377</v>
      </c>
      <c r="H2494" s="11">
        <v>314</v>
      </c>
      <c r="I2494" s="11">
        <v>53</v>
      </c>
      <c r="J2494" s="11">
        <v>0</v>
      </c>
      <c r="K2494" s="11" t="s">
        <v>21</v>
      </c>
      <c r="L2494" s="7">
        <v>41329.365659722222</v>
      </c>
      <c r="M2494" s="12" t="s">
        <v>6334</v>
      </c>
      <c r="N2494" s="12"/>
      <c r="O2494" s="10" t="str">
        <f>HYPERLINK("https://pbs.twimg.com/profile_images/683507510821699584/Ty4XUEO-_normal.jpg","View")</f>
        <v>View</v>
      </c>
      <c r="P2494" s="11"/>
    </row>
    <row r="2495" spans="1:16" ht="12.75" x14ac:dyDescent="0.35">
      <c r="A2495" s="7">
        <v>42482.303078703699</v>
      </c>
      <c r="B2495" s="8" t="str">
        <f>HYPERLINK("https://twitter.com/KraeuterVerbena","@KraeuterVerbena")</f>
        <v>@KraeuterVerbena</v>
      </c>
      <c r="C2495" s="9" t="s">
        <v>2715</v>
      </c>
      <c r="D2495" s="9" t="s">
        <v>6335</v>
      </c>
      <c r="E2495" s="10" t="str">
        <f>HYPERLINK("https://twitter.com/KraeuterVerbena/status/723327067501154304","723327067501154304")</f>
        <v>723327067501154304</v>
      </c>
      <c r="F2495" s="11" t="s">
        <v>34</v>
      </c>
      <c r="G2495" s="11">
        <v>893</v>
      </c>
      <c r="H2495" s="11">
        <v>176</v>
      </c>
      <c r="I2495" s="11">
        <v>0</v>
      </c>
      <c r="J2495" s="11">
        <v>0</v>
      </c>
      <c r="K2495" s="11" t="s">
        <v>21</v>
      </c>
      <c r="L2495" s="7">
        <v>41464.854224537034</v>
      </c>
      <c r="M2495" s="12" t="s">
        <v>2717</v>
      </c>
      <c r="N2495" s="12" t="s">
        <v>2718</v>
      </c>
      <c r="O2495" s="10" t="str">
        <f>HYPERLINK("https://pbs.twimg.com/profile_images/378800000109961888/1fe63c1eeb42ea998aeb8b47c703db0c_normal.jpeg","View")</f>
        <v>View</v>
      </c>
      <c r="P2495" s="11"/>
    </row>
    <row r="2496" spans="1:16" ht="12.75" x14ac:dyDescent="0.35">
      <c r="A2496" s="7">
        <v>42482.307835648149</v>
      </c>
      <c r="B2496" s="8" t="str">
        <f>HYPERLINK("https://twitter.com/hoysoyale","@hoysoyale")</f>
        <v>@hoysoyale</v>
      </c>
      <c r="C2496" s="9" t="s">
        <v>6336</v>
      </c>
      <c r="D2496" s="9" t="s">
        <v>6337</v>
      </c>
      <c r="E2496" s="10" t="str">
        <f>HYPERLINK("https://twitter.com/hoysoyale/status/723328790672199680","723328790672199680")</f>
        <v>723328790672199680</v>
      </c>
      <c r="F2496" s="11" t="s">
        <v>48</v>
      </c>
      <c r="G2496" s="11">
        <v>223</v>
      </c>
      <c r="H2496" s="11">
        <v>205</v>
      </c>
      <c r="I2496" s="11">
        <v>0</v>
      </c>
      <c r="J2496" s="11">
        <v>1</v>
      </c>
      <c r="K2496" s="11" t="s">
        <v>21</v>
      </c>
      <c r="L2496" s="7">
        <v>41333.170405092591</v>
      </c>
      <c r="M2496" s="12" t="s">
        <v>6248</v>
      </c>
      <c r="N2496" s="12" t="s">
        <v>6338</v>
      </c>
      <c r="O2496" s="10" t="str">
        <f>HYPERLINK("https://pbs.twimg.com/profile_images/721510431978729472/DHrfLwEE_normal.jpg","View")</f>
        <v>View</v>
      </c>
      <c r="P2496" s="11"/>
    </row>
    <row r="2497" spans="1:16" ht="12.75" x14ac:dyDescent="0.35">
      <c r="A2497" s="7">
        <v>42482.308692129634</v>
      </c>
      <c r="B2497" s="8" t="str">
        <f>HYPERLINK("https://twitter.com/W1spin","@W1spin")</f>
        <v>@W1spin</v>
      </c>
      <c r="C2497" s="9" t="s">
        <v>6339</v>
      </c>
      <c r="D2497" s="9" t="s">
        <v>6340</v>
      </c>
      <c r="E2497" s="10" t="str">
        <f>HYPERLINK("https://twitter.com/W1spin/status/723329103810551808","723329103810551808")</f>
        <v>723329103810551808</v>
      </c>
      <c r="F2497" s="11" t="s">
        <v>20</v>
      </c>
      <c r="G2497" s="11">
        <v>728</v>
      </c>
      <c r="H2497" s="11">
        <v>688</v>
      </c>
      <c r="I2497" s="11">
        <v>0</v>
      </c>
      <c r="J2497" s="11">
        <v>0</v>
      </c>
      <c r="K2497" s="11" t="s">
        <v>21</v>
      </c>
      <c r="L2497" s="7">
        <v>41002.492164351854</v>
      </c>
      <c r="M2497" s="12"/>
      <c r="N2497" s="12" t="s">
        <v>6341</v>
      </c>
      <c r="O2497" s="10" t="str">
        <f>HYPERLINK("https://pbs.twimg.com/profile_images/718404659556159488/7QdyylRR_normal.jpg","View")</f>
        <v>View</v>
      </c>
      <c r="P2497" s="11"/>
    </row>
    <row r="2498" spans="1:16" ht="12.75" x14ac:dyDescent="0.35">
      <c r="A2498" s="7">
        <v>42482.309050925927</v>
      </c>
      <c r="B2498" s="8" t="str">
        <f>HYPERLINK("https://twitter.com/Scirocco_Tuning","@Scirocco_Tuning")</f>
        <v>@Scirocco_Tuning</v>
      </c>
      <c r="C2498" s="9" t="s">
        <v>51</v>
      </c>
      <c r="D2498" s="9" t="s">
        <v>6342</v>
      </c>
      <c r="E2498" s="10" t="str">
        <f>HYPERLINK("https://twitter.com/Scirocco_Tuning/status/723329232592601089","723329232592601089")</f>
        <v>723329232592601089</v>
      </c>
      <c r="F2498" s="11" t="s">
        <v>53</v>
      </c>
      <c r="G2498" s="11">
        <v>69</v>
      </c>
      <c r="H2498" s="11">
        <v>215</v>
      </c>
      <c r="I2498" s="11">
        <v>0</v>
      </c>
      <c r="J2498" s="11">
        <v>0</v>
      </c>
      <c r="K2498" s="11" t="s">
        <v>21</v>
      </c>
      <c r="L2498" s="7">
        <v>40844.564722222218</v>
      </c>
      <c r="M2498" s="12"/>
      <c r="N2498" s="12"/>
      <c r="O2498" s="10" t="str">
        <f>HYPERLINK("https://pbs.twimg.com/profile_images/1610421423/Image2_normal.jpg","View")</f>
        <v>View</v>
      </c>
      <c r="P2498" s="11"/>
    </row>
    <row r="2499" spans="1:16" ht="12.75" x14ac:dyDescent="0.35">
      <c r="A2499" s="7">
        <v>42482.309479166666</v>
      </c>
      <c r="B2499" s="8" t="str">
        <f>HYPERLINK("https://twitter.com/1stInSEO","@1stInSEO")</f>
        <v>@1stInSEO</v>
      </c>
      <c r="C2499" s="9" t="s">
        <v>6343</v>
      </c>
      <c r="D2499" s="9" t="s">
        <v>6344</v>
      </c>
      <c r="E2499" s="10" t="str">
        <f>HYPERLINK("https://twitter.com/1stInSEO/status/723329387685404672","723329387685404672")</f>
        <v>723329387685404672</v>
      </c>
      <c r="F2499" s="11" t="s">
        <v>80</v>
      </c>
      <c r="G2499" s="11">
        <v>20760</v>
      </c>
      <c r="H2499" s="11">
        <v>19096</v>
      </c>
      <c r="I2499" s="11">
        <v>3</v>
      </c>
      <c r="J2499" s="11">
        <v>3</v>
      </c>
      <c r="K2499" s="11" t="s">
        <v>21</v>
      </c>
      <c r="L2499" s="7">
        <v>42263.351689814815</v>
      </c>
      <c r="M2499" s="12" t="s">
        <v>4373</v>
      </c>
      <c r="N2499" s="12" t="s">
        <v>6345</v>
      </c>
      <c r="O2499" s="10" t="str">
        <f>HYPERLINK("https://pbs.twimg.com/profile_images/708466589696262144/0z2VO5-J_normal.jpg","View")</f>
        <v>View</v>
      </c>
      <c r="P2499" s="11"/>
    </row>
    <row r="2500" spans="1:16" ht="12.75" x14ac:dyDescent="0.35">
      <c r="A2500" s="7">
        <v>42482.309525462959</v>
      </c>
      <c r="B2500" s="8" t="str">
        <f>HYPERLINK("https://twitter.com/MDBlanchfield","@MDBlanchfield")</f>
        <v>@MDBlanchfield</v>
      </c>
      <c r="C2500" s="9" t="s">
        <v>5807</v>
      </c>
      <c r="D2500" s="9" t="s">
        <v>6346</v>
      </c>
      <c r="E2500" s="10" t="str">
        <f>HYPERLINK("https://twitter.com/MDBlanchfield/status/723329403208536064","723329403208536064")</f>
        <v>723329403208536064</v>
      </c>
      <c r="F2500" s="11" t="s">
        <v>80</v>
      </c>
      <c r="G2500" s="11">
        <v>24179</v>
      </c>
      <c r="H2500" s="11">
        <v>21774</v>
      </c>
      <c r="I2500" s="11">
        <v>4</v>
      </c>
      <c r="J2500" s="11">
        <v>4</v>
      </c>
      <c r="K2500" s="11" t="s">
        <v>21</v>
      </c>
      <c r="L2500" s="7">
        <v>41084.212696759263</v>
      </c>
      <c r="M2500" s="12" t="s">
        <v>4373</v>
      </c>
      <c r="N2500" s="12" t="s">
        <v>5809</v>
      </c>
      <c r="O2500" s="10" t="str">
        <f>HYPERLINK("https://pbs.twimg.com/profile_images/717361645454905344/eSYXksup_normal.jpg","View")</f>
        <v>View</v>
      </c>
      <c r="P2500" s="11"/>
    </row>
    <row r="2501" spans="1:16" ht="12.75" x14ac:dyDescent="0.35">
      <c r="A2501" s="7">
        <v>42482.310960648145</v>
      </c>
      <c r="B2501" s="8" t="str">
        <f>HYPERLINK("https://twitter.com/LimandoElPisoPM","@LimandoElPisoPM")</f>
        <v>@LimandoElPisoPM</v>
      </c>
      <c r="C2501" s="9" t="s">
        <v>6347</v>
      </c>
      <c r="D2501" s="9" t="s">
        <v>6348</v>
      </c>
      <c r="E2501" s="10" t="str">
        <f>HYPERLINK("https://twitter.com/LimandoElPisoPM/status/723329926011727872","723329926011727872")</f>
        <v>723329926011727872</v>
      </c>
      <c r="F2501" s="11" t="s">
        <v>43</v>
      </c>
      <c r="G2501" s="11">
        <v>18241</v>
      </c>
      <c r="H2501" s="11">
        <v>72</v>
      </c>
      <c r="I2501" s="11">
        <v>29</v>
      </c>
      <c r="J2501" s="11">
        <v>83</v>
      </c>
      <c r="K2501" s="11" t="s">
        <v>21</v>
      </c>
      <c r="L2501" s="7">
        <v>41805.919247685189</v>
      </c>
      <c r="M2501" s="12" t="s">
        <v>6349</v>
      </c>
      <c r="N2501" s="12" t="s">
        <v>6350</v>
      </c>
      <c r="O2501" s="10" t="str">
        <f>HYPERLINK("https://pbs.twimg.com/profile_images/710591486228766720/8dYGKdNm_normal.jpg","View")</f>
        <v>View</v>
      </c>
      <c r="P2501" s="11"/>
    </row>
    <row r="2502" spans="1:16" ht="12.75" x14ac:dyDescent="0.35">
      <c r="A2502" s="7">
        <v>42482.311157407406</v>
      </c>
      <c r="B2502" s="8" t="str">
        <f>HYPERLINK("https://twitter.com/oldcjs","@oldcjs")</f>
        <v>@oldcjs</v>
      </c>
      <c r="C2502" s="9" t="s">
        <v>6351</v>
      </c>
      <c r="D2502" s="9" t="s">
        <v>6352</v>
      </c>
      <c r="E2502" s="10" t="str">
        <f>HYPERLINK("https://twitter.com/oldcjs/status/723329994605379584","723329994605379584")</f>
        <v>723329994605379584</v>
      </c>
      <c r="F2502" s="11" t="s">
        <v>48</v>
      </c>
      <c r="G2502" s="11">
        <v>360</v>
      </c>
      <c r="H2502" s="11">
        <v>194</v>
      </c>
      <c r="I2502" s="11">
        <v>29</v>
      </c>
      <c r="J2502" s="11">
        <v>0</v>
      </c>
      <c r="K2502" s="11" t="s">
        <v>21</v>
      </c>
      <c r="L2502" s="7">
        <v>41160.075590277775</v>
      </c>
      <c r="M2502" s="12"/>
      <c r="N2502" s="12" t="s">
        <v>6353</v>
      </c>
      <c r="O2502" s="10" t="str">
        <f>HYPERLINK("https://pbs.twimg.com/profile_images/719903037066780672/sRAf3MrU_normal.jpg","View")</f>
        <v>View</v>
      </c>
      <c r="P2502" s="11"/>
    </row>
    <row r="2503" spans="1:16" ht="12.75" x14ac:dyDescent="0.35">
      <c r="A2503" s="7">
        <v>42482.311192129629</v>
      </c>
      <c r="B2503" s="8" t="str">
        <f>HYPERLINK("https://twitter.com/CinalliNicolas","@CinalliNicolas")</f>
        <v>@CinalliNicolas</v>
      </c>
      <c r="C2503" s="9" t="s">
        <v>6354</v>
      </c>
      <c r="D2503" s="9" t="s">
        <v>6352</v>
      </c>
      <c r="E2503" s="10" t="str">
        <f>HYPERLINK("https://twitter.com/CinalliNicolas/status/723330006529781760","723330006529781760")</f>
        <v>723330006529781760</v>
      </c>
      <c r="F2503" s="11" t="s">
        <v>43</v>
      </c>
      <c r="G2503" s="11">
        <v>700</v>
      </c>
      <c r="H2503" s="11">
        <v>409</v>
      </c>
      <c r="I2503" s="11">
        <v>29</v>
      </c>
      <c r="J2503" s="11">
        <v>0</v>
      </c>
      <c r="K2503" s="11" t="s">
        <v>21</v>
      </c>
      <c r="L2503" s="7">
        <v>41646.256053240737</v>
      </c>
      <c r="M2503" s="12" t="s">
        <v>4440</v>
      </c>
      <c r="N2503" s="12" t="s">
        <v>6355</v>
      </c>
      <c r="O2503" s="10" t="str">
        <f>HYPERLINK("https://pbs.twimg.com/profile_images/709171803839721472/C87jEAYn_normal.jpg","View")</f>
        <v>View</v>
      </c>
      <c r="P2503" s="11"/>
    </row>
    <row r="2504" spans="1:16" ht="12.75" x14ac:dyDescent="0.35">
      <c r="A2504" s="7">
        <v>42482.311215277776</v>
      </c>
      <c r="B2504" s="8" t="str">
        <f>HYPERLINK("https://twitter.com/lautaro_olive","@lautaro_olive")</f>
        <v>@lautaro_olive</v>
      </c>
      <c r="C2504" s="9" t="s">
        <v>6356</v>
      </c>
      <c r="D2504" s="9" t="s">
        <v>6352</v>
      </c>
      <c r="E2504" s="10" t="str">
        <f>HYPERLINK("https://twitter.com/lautaro_olive/status/723330017619521536","723330017619521536")</f>
        <v>723330017619521536</v>
      </c>
      <c r="F2504" s="11" t="s">
        <v>43</v>
      </c>
      <c r="G2504" s="11">
        <v>525</v>
      </c>
      <c r="H2504" s="11">
        <v>439</v>
      </c>
      <c r="I2504" s="11">
        <v>29</v>
      </c>
      <c r="J2504" s="11">
        <v>0</v>
      </c>
      <c r="K2504" s="11" t="s">
        <v>21</v>
      </c>
      <c r="L2504" s="7">
        <v>41411.30505787037</v>
      </c>
      <c r="M2504" s="12"/>
      <c r="N2504" s="12"/>
      <c r="O2504" s="10" t="str">
        <f>HYPERLINK("https://pbs.twimg.com/profile_images/713053834118041600/zWp427YE_normal.jpg","View")</f>
        <v>View</v>
      </c>
      <c r="P2504" s="11"/>
    </row>
    <row r="2505" spans="1:16" ht="12.75" x14ac:dyDescent="0.35">
      <c r="A2505" s="7">
        <v>42482.311238425929</v>
      </c>
      <c r="B2505" s="8" t="str">
        <f>HYPERLINK("https://twitter.com/MattyAlvez","@MattyAlvez")</f>
        <v>@MattyAlvez</v>
      </c>
      <c r="C2505" s="9" t="s">
        <v>6357</v>
      </c>
      <c r="D2505" s="9" t="s">
        <v>6352</v>
      </c>
      <c r="E2505" s="10" t="str">
        <f>HYPERLINK("https://twitter.com/MattyAlvez/status/723330023277600768","723330023277600768")</f>
        <v>723330023277600768</v>
      </c>
      <c r="F2505" s="11" t="s">
        <v>43</v>
      </c>
      <c r="G2505" s="11">
        <v>102</v>
      </c>
      <c r="H2505" s="11">
        <v>167</v>
      </c>
      <c r="I2505" s="11">
        <v>29</v>
      </c>
      <c r="J2505" s="11">
        <v>0</v>
      </c>
      <c r="K2505" s="11" t="s">
        <v>21</v>
      </c>
      <c r="L2505" s="7">
        <v>41894.145879629628</v>
      </c>
      <c r="M2505" s="12" t="s">
        <v>6358</v>
      </c>
      <c r="N2505" s="12" t="s">
        <v>6359</v>
      </c>
      <c r="O2505" s="10" t="str">
        <f>HYPERLINK("https://pbs.twimg.com/profile_images/717832026422910976/l1EK50bT_normal.jpg","View")</f>
        <v>View</v>
      </c>
      <c r="P2505" s="11"/>
    </row>
    <row r="2506" spans="1:16" ht="12.75" x14ac:dyDescent="0.35">
      <c r="A2506" s="7">
        <v>42482.311342592591</v>
      </c>
      <c r="B2506" s="8" t="str">
        <f>HYPERLINK("https://twitter.com/Juani_Ginter","@Juani_Ginter")</f>
        <v>@Juani_Ginter</v>
      </c>
      <c r="C2506" s="9" t="s">
        <v>6360</v>
      </c>
      <c r="D2506" s="9" t="s">
        <v>6352</v>
      </c>
      <c r="E2506" s="10" t="str">
        <f>HYPERLINK("https://twitter.com/Juani_Ginter/status/723330062146232322","723330062146232322")</f>
        <v>723330062146232322</v>
      </c>
      <c r="F2506" s="11" t="s">
        <v>43</v>
      </c>
      <c r="G2506" s="11">
        <v>440</v>
      </c>
      <c r="H2506" s="11">
        <v>371</v>
      </c>
      <c r="I2506" s="11">
        <v>29</v>
      </c>
      <c r="J2506" s="11">
        <v>0</v>
      </c>
      <c r="K2506" s="11" t="s">
        <v>21</v>
      </c>
      <c r="L2506" s="7">
        <v>41533.222245370373</v>
      </c>
      <c r="M2506" s="12" t="s">
        <v>6361</v>
      </c>
      <c r="N2506" s="12" t="s">
        <v>6362</v>
      </c>
      <c r="O2506" s="10" t="str">
        <f>HYPERLINK("https://pbs.twimg.com/profile_images/699428030427635712/rPoM_6cM_normal.jpg","View")</f>
        <v>View</v>
      </c>
      <c r="P2506" s="11"/>
    </row>
    <row r="2507" spans="1:16" ht="12.75" x14ac:dyDescent="0.35">
      <c r="A2507" s="7">
        <v>42482.311643518522</v>
      </c>
      <c r="B2507" s="8" t="str">
        <f>HYPERLINK("https://twitter.com/Gonzaperalta9","@Gonzaperalta9")</f>
        <v>@Gonzaperalta9</v>
      </c>
      <c r="C2507" s="9" t="s">
        <v>6363</v>
      </c>
      <c r="D2507" s="9" t="s">
        <v>6352</v>
      </c>
      <c r="E2507" s="10" t="str">
        <f>HYPERLINK("https://twitter.com/Gonzaperalta9/status/723330171118444544","723330171118444544")</f>
        <v>723330171118444544</v>
      </c>
      <c r="F2507" s="11" t="s">
        <v>48</v>
      </c>
      <c r="G2507" s="11">
        <v>623</v>
      </c>
      <c r="H2507" s="11">
        <v>490</v>
      </c>
      <c r="I2507" s="11">
        <v>29</v>
      </c>
      <c r="J2507" s="11">
        <v>0</v>
      </c>
      <c r="K2507" s="11" t="s">
        <v>21</v>
      </c>
      <c r="L2507" s="7">
        <v>41002.191793981481</v>
      </c>
      <c r="M2507" s="12" t="s">
        <v>6364</v>
      </c>
      <c r="N2507" s="12" t="s">
        <v>6365</v>
      </c>
      <c r="O2507" s="10" t="str">
        <f>HYPERLINK("https://pbs.twimg.com/profile_images/700168585902223361/wQVm7sxg_normal.jpg","View")</f>
        <v>View</v>
      </c>
      <c r="P2507" s="11"/>
    </row>
    <row r="2508" spans="1:16" ht="12.75" x14ac:dyDescent="0.35">
      <c r="A2508" s="7">
        <v>42482.311701388884</v>
      </c>
      <c r="B2508" s="8" t="str">
        <f>HYPERLINK("https://twitter.com/Maikel_Ser","@Maikel_Ser")</f>
        <v>@Maikel_Ser</v>
      </c>
      <c r="C2508" s="9" t="s">
        <v>6366</v>
      </c>
      <c r="D2508" s="9" t="s">
        <v>6352</v>
      </c>
      <c r="E2508" s="10" t="str">
        <f>HYPERLINK("https://twitter.com/Maikel_Ser/status/723330193306312704","723330193306312704")</f>
        <v>723330193306312704</v>
      </c>
      <c r="F2508" s="11" t="s">
        <v>43</v>
      </c>
      <c r="G2508" s="11">
        <v>217</v>
      </c>
      <c r="H2508" s="11">
        <v>270</v>
      </c>
      <c r="I2508" s="11">
        <v>29</v>
      </c>
      <c r="J2508" s="11">
        <v>0</v>
      </c>
      <c r="K2508" s="11" t="s">
        <v>21</v>
      </c>
      <c r="L2508" s="7">
        <v>41177.317395833335</v>
      </c>
      <c r="M2508" s="12"/>
      <c r="N2508" s="12" t="s">
        <v>6367</v>
      </c>
      <c r="O2508" s="10" t="str">
        <f>HYPERLINK("https://pbs.twimg.com/profile_images/704320206710153216/KzmLzfVa_normal.jpg","View")</f>
        <v>View</v>
      </c>
      <c r="P2508" s="11"/>
    </row>
    <row r="2509" spans="1:16" ht="12.75" x14ac:dyDescent="0.35">
      <c r="A2509" s="7">
        <v>42482.311724537038</v>
      </c>
      <c r="B2509" s="8" t="str">
        <f>HYPERLINK("https://twitter.com/VirginiaNo13","@VirginiaNo13")</f>
        <v>@VirginiaNo13</v>
      </c>
      <c r="C2509" s="9" t="s">
        <v>6368</v>
      </c>
      <c r="D2509" s="9" t="s">
        <v>6352</v>
      </c>
      <c r="E2509" s="10" t="str">
        <f>HYPERLINK("https://twitter.com/VirginiaNo13/status/723330200898015232","723330200898015232")</f>
        <v>723330200898015232</v>
      </c>
      <c r="F2509" s="11" t="s">
        <v>48</v>
      </c>
      <c r="G2509" s="11">
        <v>467</v>
      </c>
      <c r="H2509" s="11">
        <v>361</v>
      </c>
      <c r="I2509" s="11">
        <v>29</v>
      </c>
      <c r="J2509" s="11">
        <v>0</v>
      </c>
      <c r="K2509" s="11" t="s">
        <v>21</v>
      </c>
      <c r="L2509" s="7">
        <v>42205.183993055558</v>
      </c>
      <c r="M2509" s="12" t="s">
        <v>6369</v>
      </c>
      <c r="N2509" s="12" t="s">
        <v>6370</v>
      </c>
      <c r="O2509" s="10" t="str">
        <f>HYPERLINK("https://pbs.twimg.com/profile_images/719555258997989376/PfjFXbxi_normal.jpg","View")</f>
        <v>View</v>
      </c>
      <c r="P2509" s="11"/>
    </row>
    <row r="2510" spans="1:16" ht="12.75" x14ac:dyDescent="0.35">
      <c r="A2510" s="7">
        <v>42482.312245370369</v>
      </c>
      <c r="B2510" s="8" t="str">
        <f>HYPERLINK("https://twitter.com/dipurwantto","@dipurwantto")</f>
        <v>@dipurwantto</v>
      </c>
      <c r="C2510" s="9" t="s">
        <v>6371</v>
      </c>
      <c r="D2510" s="9" t="s">
        <v>6372</v>
      </c>
      <c r="E2510" s="10" t="str">
        <f>HYPERLINK("https://twitter.com/dipurwantto/status/723330390643998720","723330390643998720")</f>
        <v>723330390643998720</v>
      </c>
      <c r="F2510" s="11" t="s">
        <v>114</v>
      </c>
      <c r="G2510" s="11">
        <v>476</v>
      </c>
      <c r="H2510" s="11">
        <v>561</v>
      </c>
      <c r="I2510" s="11">
        <v>0</v>
      </c>
      <c r="J2510" s="11">
        <v>0</v>
      </c>
      <c r="K2510" s="11" t="s">
        <v>21</v>
      </c>
      <c r="L2510" s="7">
        <v>40285.348229166666</v>
      </c>
      <c r="M2510" s="12" t="s">
        <v>6373</v>
      </c>
      <c r="N2510" s="12"/>
      <c r="O2510" s="10" t="str">
        <f>HYPERLINK("https://pbs.twimg.com/profile_images/704750929061392384/3AmSErJg_normal.jpg","View")</f>
        <v>View</v>
      </c>
      <c r="P2510" s="10" t="str">
        <f>HYPERLINK("http://ctrlq.org/maps/address/#-7.256538,112.737255","Map")</f>
        <v>Map</v>
      </c>
    </row>
    <row r="2511" spans="1:16" ht="12.75" x14ac:dyDescent="0.35">
      <c r="A2511" s="7">
        <v>42482.312349537038</v>
      </c>
      <c r="B2511" s="8" t="str">
        <f>HYPERLINK("https://twitter.com/octaviojacquet","@octaviojacquet")</f>
        <v>@octaviojacquet</v>
      </c>
      <c r="C2511" s="9" t="s">
        <v>6374</v>
      </c>
      <c r="D2511" s="9" t="s">
        <v>6352</v>
      </c>
      <c r="E2511" s="10" t="str">
        <f>HYPERLINK("https://twitter.com/octaviojacquet/status/723330428644515840","723330428644515840")</f>
        <v>723330428644515840</v>
      </c>
      <c r="F2511" s="11" t="s">
        <v>48</v>
      </c>
      <c r="G2511" s="11">
        <v>396</v>
      </c>
      <c r="H2511" s="11">
        <v>880</v>
      </c>
      <c r="I2511" s="11">
        <v>29</v>
      </c>
      <c r="J2511" s="11">
        <v>0</v>
      </c>
      <c r="K2511" s="11" t="s">
        <v>21</v>
      </c>
      <c r="L2511" s="7">
        <v>41574.877604166664</v>
      </c>
      <c r="M2511" s="12"/>
      <c r="N2511" s="12" t="s">
        <v>6375</v>
      </c>
      <c r="O2511" s="10" t="str">
        <f>HYPERLINK("https://pbs.twimg.com/profile_images/713947173835116545/FloZvSXK_normal.jpg","View")</f>
        <v>View</v>
      </c>
      <c r="P2511" s="11"/>
    </row>
    <row r="2512" spans="1:16" ht="12.75" x14ac:dyDescent="0.35">
      <c r="A2512" s="7">
        <v>42482.312581018516</v>
      </c>
      <c r="B2512" s="8" t="str">
        <f>HYPERLINK("https://twitter.com/SCGsoflo","@SCGsoflo")</f>
        <v>@SCGsoflo</v>
      </c>
      <c r="C2512" s="9" t="s">
        <v>220</v>
      </c>
      <c r="D2512" s="9" t="s">
        <v>6376</v>
      </c>
      <c r="E2512" s="10" t="str">
        <f>HYPERLINK("https://twitter.com/SCGsoflo/status/723330511603560448","723330511603560448")</f>
        <v>723330511603560448</v>
      </c>
      <c r="F2512" s="11" t="s">
        <v>114</v>
      </c>
      <c r="G2512" s="11">
        <v>320</v>
      </c>
      <c r="H2512" s="11">
        <v>96</v>
      </c>
      <c r="I2512" s="11">
        <v>0</v>
      </c>
      <c r="J2512" s="11">
        <v>0</v>
      </c>
      <c r="K2512" s="11" t="s">
        <v>21</v>
      </c>
      <c r="L2512" s="7">
        <v>41515.987268518518</v>
      </c>
      <c r="M2512" s="12" t="s">
        <v>222</v>
      </c>
      <c r="N2512" s="12" t="s">
        <v>223</v>
      </c>
      <c r="O2512" s="10" t="str">
        <f>HYPERLINK("https://pbs.twimg.com/profile_images/717892743075340288/Xxt7RaLM_normal.jpg","View")</f>
        <v>View</v>
      </c>
      <c r="P2512" s="11"/>
    </row>
    <row r="2513" spans="1:16" ht="12.75" x14ac:dyDescent="0.35">
      <c r="A2513" s="7">
        <v>42482.31313657407</v>
      </c>
      <c r="B2513" s="8" t="str">
        <f>HYPERLINK("https://twitter.com/NachoSarate","@NachoSarate")</f>
        <v>@NachoSarate</v>
      </c>
      <c r="C2513" s="9" t="s">
        <v>6377</v>
      </c>
      <c r="D2513" s="9" t="s">
        <v>6352</v>
      </c>
      <c r="E2513" s="10" t="str">
        <f>HYPERLINK("https://twitter.com/NachoSarate/status/723330713605562368","723330713605562368")</f>
        <v>723330713605562368</v>
      </c>
      <c r="F2513" s="11" t="s">
        <v>48</v>
      </c>
      <c r="G2513" s="11">
        <v>379</v>
      </c>
      <c r="H2513" s="11">
        <v>758</v>
      </c>
      <c r="I2513" s="11">
        <v>29</v>
      </c>
      <c r="J2513" s="11">
        <v>0</v>
      </c>
      <c r="K2513" s="11" t="s">
        <v>21</v>
      </c>
      <c r="L2513" s="7">
        <v>40684.121423611112</v>
      </c>
      <c r="M2513" s="12"/>
      <c r="N2513" s="12" t="s">
        <v>6378</v>
      </c>
      <c r="O2513" s="10" t="str">
        <f>HYPERLINK("https://pbs.twimg.com/profile_images/704750424616730624/am4ft9ck_normal.jpg","View")</f>
        <v>View</v>
      </c>
      <c r="P2513" s="11"/>
    </row>
    <row r="2514" spans="1:16" ht="12.75" x14ac:dyDescent="0.35">
      <c r="A2514" s="7">
        <v>42482.313252314816</v>
      </c>
      <c r="B2514" s="8" t="str">
        <f>HYPERLINK("https://twitter.com/pato_joaquiin","@pato_joaquiin")</f>
        <v>@pato_joaquiin</v>
      </c>
      <c r="C2514" s="9" t="s">
        <v>6379</v>
      </c>
      <c r="D2514" s="9" t="s">
        <v>6352</v>
      </c>
      <c r="E2514" s="10" t="str">
        <f>HYPERLINK("https://twitter.com/pato_joaquiin/status/723330754747465729","723330754747465729")</f>
        <v>723330754747465729</v>
      </c>
      <c r="F2514" s="11" t="s">
        <v>48</v>
      </c>
      <c r="G2514" s="11">
        <v>171</v>
      </c>
      <c r="H2514" s="11">
        <v>248</v>
      </c>
      <c r="I2514" s="11">
        <v>29</v>
      </c>
      <c r="J2514" s="11">
        <v>0</v>
      </c>
      <c r="K2514" s="11" t="s">
        <v>21</v>
      </c>
      <c r="L2514" s="7">
        <v>42155.970462962963</v>
      </c>
      <c r="M2514" s="12" t="s">
        <v>6380</v>
      </c>
      <c r="N2514" s="12" t="s">
        <v>6381</v>
      </c>
      <c r="O2514" s="10" t="str">
        <f>HYPERLINK("https://pbs.twimg.com/profile_images/723419146554200067/FWyQNdtP_normal.jpg","View")</f>
        <v>View</v>
      </c>
      <c r="P2514" s="11"/>
    </row>
    <row r="2515" spans="1:16" ht="12.75" x14ac:dyDescent="0.35">
      <c r="A2515" s="7">
        <v>42482.31355324074</v>
      </c>
      <c r="B2515" s="8" t="str">
        <f>HYPERLINK("https://twitter.com/RodriPadilla3","@RodriPadilla3")</f>
        <v>@RodriPadilla3</v>
      </c>
      <c r="C2515" s="9" t="s">
        <v>6382</v>
      </c>
      <c r="D2515" s="9" t="s">
        <v>6352</v>
      </c>
      <c r="E2515" s="10" t="str">
        <f>HYPERLINK("https://twitter.com/RodriPadilla3/status/723330863048589313","723330863048589313")</f>
        <v>723330863048589313</v>
      </c>
      <c r="F2515" s="11" t="s">
        <v>48</v>
      </c>
      <c r="G2515" s="11">
        <v>2038</v>
      </c>
      <c r="H2515" s="11">
        <v>755</v>
      </c>
      <c r="I2515" s="11">
        <v>29</v>
      </c>
      <c r="J2515" s="11">
        <v>0</v>
      </c>
      <c r="K2515" s="11" t="s">
        <v>21</v>
      </c>
      <c r="L2515" s="7">
        <v>41544.27407407407</v>
      </c>
      <c r="M2515" s="12" t="s">
        <v>2903</v>
      </c>
      <c r="N2515" s="12" t="s">
        <v>6383</v>
      </c>
      <c r="O2515" s="10" t="str">
        <f>HYPERLINK("https://pbs.twimg.com/profile_images/717937201821130752/NX-PKyfQ_normal.jpg","View")</f>
        <v>View</v>
      </c>
      <c r="P2515" s="11"/>
    </row>
    <row r="2516" spans="1:16" ht="12.75" x14ac:dyDescent="0.35">
      <c r="A2516" s="7">
        <v>42482.313958333332</v>
      </c>
      <c r="B2516" s="8" t="str">
        <f>HYPERLINK("https://twitter.com/BraianNiseggi","@BraianNiseggi")</f>
        <v>@BraianNiseggi</v>
      </c>
      <c r="C2516" s="9" t="s">
        <v>6384</v>
      </c>
      <c r="D2516" s="9" t="s">
        <v>6352</v>
      </c>
      <c r="E2516" s="10" t="str">
        <f>HYPERLINK("https://twitter.com/BraianNiseggi/status/723331009433985024","723331009433985024")</f>
        <v>723331009433985024</v>
      </c>
      <c r="F2516" s="11" t="s">
        <v>43</v>
      </c>
      <c r="G2516" s="11">
        <v>262</v>
      </c>
      <c r="H2516" s="11">
        <v>175</v>
      </c>
      <c r="I2516" s="11">
        <v>29</v>
      </c>
      <c r="J2516" s="11">
        <v>0</v>
      </c>
      <c r="K2516" s="11" t="s">
        <v>21</v>
      </c>
      <c r="L2516" s="7">
        <v>41559.441331018519</v>
      </c>
      <c r="M2516" s="12" t="s">
        <v>6385</v>
      </c>
      <c r="N2516" s="12" t="s">
        <v>6386</v>
      </c>
      <c r="O2516" s="10" t="str">
        <f>HYPERLINK("https://pbs.twimg.com/profile_images/721473803268857856/5ud3R4pB_normal.jpg","View")</f>
        <v>View</v>
      </c>
      <c r="P2516" s="11"/>
    </row>
    <row r="2517" spans="1:16" ht="12.75" x14ac:dyDescent="0.35">
      <c r="A2517" s="7">
        <v>42482.314004629632</v>
      </c>
      <c r="B2517" s="8" t="str">
        <f>HYPERLINK("https://twitter.com/GallicetLari","@GallicetLari")</f>
        <v>@GallicetLari</v>
      </c>
      <c r="C2517" s="9" t="s">
        <v>6387</v>
      </c>
      <c r="D2517" s="9" t="s">
        <v>6352</v>
      </c>
      <c r="E2517" s="10" t="str">
        <f>HYPERLINK("https://twitter.com/GallicetLari/status/723331027339468800","723331027339468800")</f>
        <v>723331027339468800</v>
      </c>
      <c r="F2517" s="11" t="s">
        <v>48</v>
      </c>
      <c r="G2517" s="11">
        <v>532</v>
      </c>
      <c r="H2517" s="11">
        <v>406</v>
      </c>
      <c r="I2517" s="11">
        <v>29</v>
      </c>
      <c r="J2517" s="11">
        <v>0</v>
      </c>
      <c r="K2517" s="11" t="s">
        <v>21</v>
      </c>
      <c r="L2517" s="7">
        <v>41808.106111111112</v>
      </c>
      <c r="M2517" s="12" t="s">
        <v>6388</v>
      </c>
      <c r="N2517" s="12" t="s">
        <v>6389</v>
      </c>
      <c r="O2517" s="10" t="str">
        <f>HYPERLINK("https://pbs.twimg.com/profile_images/709097445779709956/3Bq7u6sM_normal.jpg","View")</f>
        <v>View</v>
      </c>
      <c r="P2517" s="11"/>
    </row>
    <row r="2518" spans="1:16" ht="12.75" x14ac:dyDescent="0.35">
      <c r="A2518" s="7">
        <v>42482.314120370371</v>
      </c>
      <c r="B2518" s="8" t="str">
        <f>HYPERLINK("https://twitter.com/Ivo_newells","@Ivo_newells")</f>
        <v>@Ivo_newells</v>
      </c>
      <c r="C2518" s="9" t="s">
        <v>6390</v>
      </c>
      <c r="D2518" s="9" t="s">
        <v>6352</v>
      </c>
      <c r="E2518" s="10" t="str">
        <f>HYPERLINK("https://twitter.com/Ivo_newells/status/723331070578532353","723331070578532353")</f>
        <v>723331070578532353</v>
      </c>
      <c r="F2518" s="11" t="s">
        <v>48</v>
      </c>
      <c r="G2518" s="11">
        <v>469</v>
      </c>
      <c r="H2518" s="11">
        <v>209</v>
      </c>
      <c r="I2518" s="11">
        <v>29</v>
      </c>
      <c r="J2518" s="11">
        <v>0</v>
      </c>
      <c r="K2518" s="11" t="s">
        <v>21</v>
      </c>
      <c r="L2518" s="7">
        <v>41372.367743055554</v>
      </c>
      <c r="M2518" s="12" t="s">
        <v>494</v>
      </c>
      <c r="N2518" s="12" t="s">
        <v>6391</v>
      </c>
      <c r="O2518" s="10" t="str">
        <f>HYPERLINK("https://pbs.twimg.com/profile_images/721400546226216960/7Ki-DrLK_normal.jpg","View")</f>
        <v>View</v>
      </c>
      <c r="P2518" s="11"/>
    </row>
    <row r="2519" spans="1:16" ht="12.75" x14ac:dyDescent="0.35">
      <c r="A2519" s="7">
        <v>42482.314189814817</v>
      </c>
      <c r="B2519" s="8" t="str">
        <f>HYPERLINK("https://twitter.com/SantiCarp2001","@SantiCarp2001")</f>
        <v>@SantiCarp2001</v>
      </c>
      <c r="C2519" s="9" t="s">
        <v>6392</v>
      </c>
      <c r="D2519" s="9" t="s">
        <v>6352</v>
      </c>
      <c r="E2519" s="10" t="str">
        <f>HYPERLINK("https://twitter.com/SantiCarp2001/status/723331093043249152","723331093043249152")</f>
        <v>723331093043249152</v>
      </c>
      <c r="F2519" s="11" t="s">
        <v>48</v>
      </c>
      <c r="G2519" s="11">
        <v>189</v>
      </c>
      <c r="H2519" s="11">
        <v>325</v>
      </c>
      <c r="I2519" s="11">
        <v>29</v>
      </c>
      <c r="J2519" s="11">
        <v>0</v>
      </c>
      <c r="K2519" s="11" t="s">
        <v>21</v>
      </c>
      <c r="L2519" s="7">
        <v>42063.294849537036</v>
      </c>
      <c r="M2519" s="12" t="s">
        <v>6393</v>
      </c>
      <c r="N2519" s="12" t="s">
        <v>6394</v>
      </c>
      <c r="O2519" s="10" t="str">
        <f>HYPERLINK("https://pbs.twimg.com/profile_images/721738389297299456/gv7C8Gao_normal.jpg","View")</f>
        <v>View</v>
      </c>
      <c r="P2519" s="11"/>
    </row>
    <row r="2520" spans="1:16" ht="12.75" x14ac:dyDescent="0.35">
      <c r="A2520" s="7">
        <v>42482.314293981486</v>
      </c>
      <c r="B2520" s="8" t="str">
        <f>HYPERLINK("https://twitter.com/patriciaaleinxx","@patriciaaleinxx")</f>
        <v>@patriciaaleinxx</v>
      </c>
      <c r="C2520" s="9" t="s">
        <v>6395</v>
      </c>
      <c r="D2520" s="9" t="s">
        <v>6396</v>
      </c>
      <c r="E2520" s="10" t="str">
        <f>HYPERLINK("https://twitter.com/patriciaaleinxx/status/723331131735560192","723331131735560192")</f>
        <v>723331131735560192</v>
      </c>
      <c r="F2520" s="11" t="s">
        <v>48</v>
      </c>
      <c r="G2520" s="11">
        <v>311</v>
      </c>
      <c r="H2520" s="11">
        <v>183</v>
      </c>
      <c r="I2520" s="11">
        <v>0</v>
      </c>
      <c r="J2520" s="11">
        <v>0</v>
      </c>
      <c r="K2520" s="11" t="s">
        <v>21</v>
      </c>
      <c r="L2520" s="7">
        <v>41584.739479166667</v>
      </c>
      <c r="M2520" s="12" t="s">
        <v>6397</v>
      </c>
      <c r="N2520" s="12" t="s">
        <v>6398</v>
      </c>
      <c r="O2520" s="10" t="str">
        <f>HYPERLINK("https://pbs.twimg.com/profile_images/722096280986497025/tUuoSTL-_normal.jpg","View")</f>
        <v>View</v>
      </c>
      <c r="P2520" s="11"/>
    </row>
    <row r="2521" spans="1:16" ht="12.75" x14ac:dyDescent="0.35">
      <c r="A2521" s="7">
        <v>42482.314652777779</v>
      </c>
      <c r="B2521" s="8" t="str">
        <f>HYPERLINK("https://twitter.com/ffamilymedicine","@ffamilymedicine")</f>
        <v>@ffamilymedicine</v>
      </c>
      <c r="C2521" s="9" t="s">
        <v>6399</v>
      </c>
      <c r="D2521" s="9" t="s">
        <v>6400</v>
      </c>
      <c r="E2521" s="10" t="str">
        <f>HYPERLINK("https://twitter.com/ffamilymedicine/status/723331260672659456","723331260672659456")</f>
        <v>723331260672659456</v>
      </c>
      <c r="F2521" s="11" t="s">
        <v>20</v>
      </c>
      <c r="G2521" s="11">
        <v>5003</v>
      </c>
      <c r="H2521" s="11">
        <v>5214</v>
      </c>
      <c r="I2521" s="11">
        <v>3</v>
      </c>
      <c r="J2521" s="11">
        <v>0</v>
      </c>
      <c r="K2521" s="11" t="s">
        <v>21</v>
      </c>
      <c r="L2521" s="7">
        <v>42054.154085648144</v>
      </c>
      <c r="M2521" s="12" t="s">
        <v>6401</v>
      </c>
      <c r="N2521" s="12" t="s">
        <v>6402</v>
      </c>
      <c r="O2521" s="10" t="str">
        <f>HYPERLINK("https://pbs.twimg.com/profile_images/583322292995772418/_hSKZ3NN_normal.jpg","View")</f>
        <v>View</v>
      </c>
      <c r="P2521" s="11"/>
    </row>
    <row r="2522" spans="1:16" ht="12.75" x14ac:dyDescent="0.35">
      <c r="A2522" s="7">
        <v>42482.314675925925</v>
      </c>
      <c r="B2522" s="8" t="str">
        <f>HYPERLINK("https://twitter.com/JavierGustavo74","@JavierGustavo74")</f>
        <v>@JavierGustavo74</v>
      </c>
      <c r="C2522" s="9" t="s">
        <v>6403</v>
      </c>
      <c r="D2522" s="9" t="s">
        <v>6404</v>
      </c>
      <c r="E2522" s="10" t="str">
        <f>HYPERLINK("https://twitter.com/JavierGustavo74/status/723331269258534914","723331269258534914")</f>
        <v>723331269258534914</v>
      </c>
      <c r="F2522" s="11" t="s">
        <v>367</v>
      </c>
      <c r="G2522" s="11">
        <v>434</v>
      </c>
      <c r="H2522" s="11">
        <v>324</v>
      </c>
      <c r="I2522" s="11">
        <v>0</v>
      </c>
      <c r="J2522" s="11">
        <v>0</v>
      </c>
      <c r="K2522" s="11" t="s">
        <v>21</v>
      </c>
      <c r="L2522" s="7">
        <v>40387.036979166667</v>
      </c>
      <c r="M2522" s="12" t="s">
        <v>6405</v>
      </c>
      <c r="N2522" s="12" t="s">
        <v>6406</v>
      </c>
      <c r="O2522" s="10" t="str">
        <f>HYPERLINK("https://pbs.twimg.com/profile_images/710287996298371072/gggJOkGI_normal.jpg","View")</f>
        <v>View</v>
      </c>
      <c r="P2522" s="11"/>
    </row>
    <row r="2523" spans="1:16" ht="12.75" x14ac:dyDescent="0.35">
      <c r="A2523" s="7">
        <v>42482.315416666665</v>
      </c>
      <c r="B2523" s="8" t="str">
        <f>HYPERLINK("https://twitter.com/Luchoosoto1","@Luchoosoto1")</f>
        <v>@Luchoosoto1</v>
      </c>
      <c r="C2523" s="9" t="s">
        <v>6407</v>
      </c>
      <c r="D2523" s="9" t="s">
        <v>6352</v>
      </c>
      <c r="E2523" s="10" t="str">
        <f>HYPERLINK("https://twitter.com/Luchoosoto1/status/723331539904372737","723331539904372737")</f>
        <v>723331539904372737</v>
      </c>
      <c r="F2523" s="11" t="s">
        <v>48</v>
      </c>
      <c r="G2523" s="11">
        <v>171</v>
      </c>
      <c r="H2523" s="11">
        <v>179</v>
      </c>
      <c r="I2523" s="11">
        <v>29</v>
      </c>
      <c r="J2523" s="11">
        <v>0</v>
      </c>
      <c r="K2523" s="11" t="s">
        <v>21</v>
      </c>
      <c r="L2523" s="7">
        <v>41491.219780092593</v>
      </c>
      <c r="M2523" s="12"/>
      <c r="N2523" s="12" t="s">
        <v>6408</v>
      </c>
      <c r="O2523" s="10" t="str">
        <f>HYPERLINK("https://pbs.twimg.com/profile_images/704174029339492352/-KjmsJXJ_normal.jpg","View")</f>
        <v>View</v>
      </c>
      <c r="P2523" s="11"/>
    </row>
    <row r="2524" spans="1:16" ht="12.75" x14ac:dyDescent="0.35">
      <c r="A2524" s="7">
        <v>42482.316377314812</v>
      </c>
      <c r="B2524" s="8" t="str">
        <f>HYPERLINK("https://twitter.com/ffamilymedicine","@ffamilymedicine")</f>
        <v>@ffamilymedicine</v>
      </c>
      <c r="C2524" s="9" t="s">
        <v>6399</v>
      </c>
      <c r="D2524" s="9" t="s">
        <v>6409</v>
      </c>
      <c r="E2524" s="10" t="str">
        <f>HYPERLINK("https://twitter.com/ffamilymedicine/status/723331887586930689","723331887586930689")</f>
        <v>723331887586930689</v>
      </c>
      <c r="F2524" s="11" t="s">
        <v>20</v>
      </c>
      <c r="G2524" s="11">
        <v>5003</v>
      </c>
      <c r="H2524" s="11">
        <v>5214</v>
      </c>
      <c r="I2524" s="11">
        <v>4</v>
      </c>
      <c r="J2524" s="11">
        <v>0</v>
      </c>
      <c r="K2524" s="11" t="s">
        <v>21</v>
      </c>
      <c r="L2524" s="7">
        <v>42054.154085648144</v>
      </c>
      <c r="M2524" s="12" t="s">
        <v>6401</v>
      </c>
      <c r="N2524" s="12" t="s">
        <v>6402</v>
      </c>
      <c r="O2524" s="10" t="str">
        <f>HYPERLINK("https://pbs.twimg.com/profile_images/583322292995772418/_hSKZ3NN_normal.jpg","View")</f>
        <v>View</v>
      </c>
      <c r="P2524" s="11"/>
    </row>
    <row r="2525" spans="1:16" ht="12.75" x14ac:dyDescent="0.35">
      <c r="A2525" s="7">
        <v>42482.316990740743</v>
      </c>
      <c r="B2525" s="8" t="str">
        <f>HYPERLINK("https://twitter.com/thunderdan667","@thunderdan667")</f>
        <v>@thunderdan667</v>
      </c>
      <c r="C2525" s="9" t="s">
        <v>6410</v>
      </c>
      <c r="D2525" s="9" t="s">
        <v>6411</v>
      </c>
      <c r="E2525" s="10" t="str">
        <f>HYPERLINK("https://twitter.com/thunderdan667/status/723332111915163648","723332111915163648")</f>
        <v>723332111915163648</v>
      </c>
      <c r="F2525" s="11" t="s">
        <v>114</v>
      </c>
      <c r="G2525" s="11">
        <v>176</v>
      </c>
      <c r="H2525" s="11">
        <v>225</v>
      </c>
      <c r="I2525" s="11">
        <v>0</v>
      </c>
      <c r="J2525" s="11">
        <v>0</v>
      </c>
      <c r="K2525" s="11" t="s">
        <v>21</v>
      </c>
      <c r="L2525" s="7">
        <v>40618.246574074074</v>
      </c>
      <c r="M2525" s="12" t="s">
        <v>6412</v>
      </c>
      <c r="N2525" s="12"/>
      <c r="O2525" s="10" t="str">
        <f>HYPERLINK("https://pbs.twimg.com/profile_images/722242822301159424/nrziq21L_normal.jpg","View")</f>
        <v>View</v>
      </c>
      <c r="P2525" s="11"/>
    </row>
    <row r="2526" spans="1:16" ht="12.75" x14ac:dyDescent="0.35">
      <c r="A2526" s="7">
        <v>42482.317326388889</v>
      </c>
      <c r="B2526" s="8" t="str">
        <f>HYPERLINK("https://twitter.com/ffamilymedicine","@ffamilymedicine")</f>
        <v>@ffamilymedicine</v>
      </c>
      <c r="C2526" s="9" t="s">
        <v>6399</v>
      </c>
      <c r="D2526" s="9" t="s">
        <v>6413</v>
      </c>
      <c r="E2526" s="10" t="str">
        <f>HYPERLINK("https://twitter.com/ffamilymedicine/status/723332232258064384","723332232258064384")</f>
        <v>723332232258064384</v>
      </c>
      <c r="F2526" s="11" t="s">
        <v>20</v>
      </c>
      <c r="G2526" s="11">
        <v>5003</v>
      </c>
      <c r="H2526" s="11">
        <v>5214</v>
      </c>
      <c r="I2526" s="11">
        <v>3</v>
      </c>
      <c r="J2526" s="11">
        <v>0</v>
      </c>
      <c r="K2526" s="11" t="s">
        <v>21</v>
      </c>
      <c r="L2526" s="7">
        <v>42054.154085648144</v>
      </c>
      <c r="M2526" s="12" t="s">
        <v>6401</v>
      </c>
      <c r="N2526" s="12" t="s">
        <v>6402</v>
      </c>
      <c r="O2526" s="10" t="str">
        <f>HYPERLINK("https://pbs.twimg.com/profile_images/583322292995772418/_hSKZ3NN_normal.jpg","View")</f>
        <v>View</v>
      </c>
      <c r="P2526" s="11"/>
    </row>
    <row r="2527" spans="1:16" ht="12.75" x14ac:dyDescent="0.35">
      <c r="A2527" s="7">
        <v>42482.31826388889</v>
      </c>
      <c r="B2527" s="8" t="str">
        <f>HYPERLINK("https://twitter.com/AmazingChevVolt","@AmazingChevVolt")</f>
        <v>@AmazingChevVolt</v>
      </c>
      <c r="C2527" s="9" t="s">
        <v>6414</v>
      </c>
      <c r="D2527" s="9" t="s">
        <v>4250</v>
      </c>
      <c r="E2527" s="10" t="str">
        <f>HYPERLINK("https://twitter.com/AmazingChevVolt/status/723332569622822913","723332569622822913")</f>
        <v>723332569622822913</v>
      </c>
      <c r="F2527" s="11" t="s">
        <v>43</v>
      </c>
      <c r="G2527" s="11">
        <v>2412</v>
      </c>
      <c r="H2527" s="11">
        <v>4375</v>
      </c>
      <c r="I2527" s="11">
        <v>2</v>
      </c>
      <c r="J2527" s="11">
        <v>0</v>
      </c>
      <c r="K2527" s="11" t="s">
        <v>21</v>
      </c>
      <c r="L2527" s="7">
        <v>40892.242581018516</v>
      </c>
      <c r="M2527" s="12" t="s">
        <v>6415</v>
      </c>
      <c r="N2527" s="12" t="s">
        <v>6416</v>
      </c>
      <c r="O2527" s="10" t="str">
        <f>HYPERLINK("https://pbs.twimg.com/profile_images/1708625808/Motor_City_Volt_normal.jpg","View")</f>
        <v>View</v>
      </c>
      <c r="P2527" s="11"/>
    </row>
    <row r="2528" spans="1:16" ht="12.75" x14ac:dyDescent="0.35">
      <c r="A2528" s="7">
        <v>42482.319525462968</v>
      </c>
      <c r="B2528" s="8" t="str">
        <f>HYPERLINK("https://twitter.com/VWCamperSales","@VWCamperSales")</f>
        <v>@VWCamperSales</v>
      </c>
      <c r="C2528" s="9" t="s">
        <v>216</v>
      </c>
      <c r="D2528" s="9" t="s">
        <v>6417</v>
      </c>
      <c r="E2528" s="10" t="str">
        <f>HYPERLINK("https://twitter.com/VWCamperSales/status/723333027292565504","723333027292565504")</f>
        <v>723333027292565504</v>
      </c>
      <c r="F2528" s="10" t="s">
        <v>124</v>
      </c>
      <c r="G2528" s="11">
        <v>615</v>
      </c>
      <c r="H2528" s="11">
        <v>580</v>
      </c>
      <c r="I2528" s="11">
        <v>0</v>
      </c>
      <c r="J2528" s="11">
        <v>0</v>
      </c>
      <c r="K2528" s="11" t="s">
        <v>21</v>
      </c>
      <c r="L2528" s="7">
        <v>42215.98809027778</v>
      </c>
      <c r="M2528" s="12" t="s">
        <v>129</v>
      </c>
      <c r="N2528" s="12" t="s">
        <v>218</v>
      </c>
      <c r="O2528" s="10" t="str">
        <f>HYPERLINK("https://pbs.twimg.com/profile_images/627949001179037696/skEBkS05_normal.jpg","View")</f>
        <v>View</v>
      </c>
      <c r="P2528" s="11"/>
    </row>
    <row r="2529" spans="1:16" ht="12.75" x14ac:dyDescent="0.35">
      <c r="A2529" s="7">
        <v>42482.319710648153</v>
      </c>
      <c r="B2529" s="8" t="str">
        <f>HYPERLINK("https://twitter.com/luucascarranza","@luucascarranza")</f>
        <v>@luucascarranza</v>
      </c>
      <c r="C2529" s="9" t="s">
        <v>6418</v>
      </c>
      <c r="D2529" s="9" t="s">
        <v>6352</v>
      </c>
      <c r="E2529" s="10" t="str">
        <f>HYPERLINK("https://twitter.com/luucascarranza/status/723333096469311488","723333096469311488")</f>
        <v>723333096469311488</v>
      </c>
      <c r="F2529" s="11" t="s">
        <v>48</v>
      </c>
      <c r="G2529" s="11">
        <v>42</v>
      </c>
      <c r="H2529" s="11">
        <v>60</v>
      </c>
      <c r="I2529" s="11">
        <v>29</v>
      </c>
      <c r="J2529" s="11">
        <v>0</v>
      </c>
      <c r="K2529" s="11" t="s">
        <v>21</v>
      </c>
      <c r="L2529" s="7">
        <v>42366.672337962962</v>
      </c>
      <c r="M2529" s="12"/>
      <c r="N2529" s="12"/>
      <c r="O2529" s="10" t="str">
        <f>HYPERLINK("https://pbs.twimg.com/profile_images/681519409056366593/XQhzKzFU_normal.jpg","View")</f>
        <v>View</v>
      </c>
      <c r="P2529" s="11"/>
    </row>
    <row r="2530" spans="1:16" ht="12.75" x14ac:dyDescent="0.35">
      <c r="A2530" s="7">
        <v>42482.320879629631</v>
      </c>
      <c r="B2530" s="8" t="str">
        <f>HYPERLINK("https://twitter.com/MDBlanchfield","@MDBlanchfield")</f>
        <v>@MDBlanchfield</v>
      </c>
      <c r="C2530" s="9" t="s">
        <v>5807</v>
      </c>
      <c r="D2530" s="9" t="s">
        <v>6400</v>
      </c>
      <c r="E2530" s="10" t="str">
        <f>HYPERLINK("https://twitter.com/MDBlanchfield/status/723333517086588928","723333517086588928")</f>
        <v>723333517086588928</v>
      </c>
      <c r="F2530" s="11" t="s">
        <v>20</v>
      </c>
      <c r="G2530" s="11">
        <v>24179</v>
      </c>
      <c r="H2530" s="11">
        <v>21774</v>
      </c>
      <c r="I2530" s="11">
        <v>3</v>
      </c>
      <c r="J2530" s="11">
        <v>0</v>
      </c>
      <c r="K2530" s="11" t="s">
        <v>21</v>
      </c>
      <c r="L2530" s="7">
        <v>41084.212696759263</v>
      </c>
      <c r="M2530" s="12" t="s">
        <v>4373</v>
      </c>
      <c r="N2530" s="12" t="s">
        <v>5809</v>
      </c>
      <c r="O2530" s="10" t="str">
        <f>HYPERLINK("https://pbs.twimg.com/profile_images/717361645454905344/eSYXksup_normal.jpg","View")</f>
        <v>View</v>
      </c>
      <c r="P2530" s="11"/>
    </row>
    <row r="2531" spans="1:16" ht="12.75" x14ac:dyDescent="0.35">
      <c r="A2531" s="7">
        <v>42482.321516203709</v>
      </c>
      <c r="B2531" s="8" t="str">
        <f t="shared" ref="B2531:B2533" si="229">HYPERLINK("https://twitter.com/oldcar_photo","@oldcar_photo")</f>
        <v>@oldcar_photo</v>
      </c>
      <c r="C2531" s="9" t="s">
        <v>1046</v>
      </c>
      <c r="D2531" s="9" t="s">
        <v>6419</v>
      </c>
      <c r="E2531" s="10" t="str">
        <f>HYPERLINK("https://twitter.com/oldcar_photo/status/723333750206128128","723333750206128128")</f>
        <v>723333750206128128</v>
      </c>
      <c r="F2531" s="11" t="s">
        <v>68</v>
      </c>
      <c r="G2531" s="11">
        <v>1977</v>
      </c>
      <c r="H2531" s="11">
        <v>0</v>
      </c>
      <c r="I2531" s="11">
        <v>0</v>
      </c>
      <c r="J2531" s="11">
        <v>0</v>
      </c>
      <c r="K2531" s="11" t="s">
        <v>21</v>
      </c>
      <c r="L2531" s="7">
        <v>42184.7341087963</v>
      </c>
      <c r="M2531" s="12"/>
      <c r="N2531" s="12"/>
      <c r="O2531" s="10" t="str">
        <f t="shared" ref="O2531:O2533" si="230">HYPERLINK("https://pbs.twimg.com/profile_images/615493650785660928/XHUh6HOk_normal.jpg","View")</f>
        <v>View</v>
      </c>
      <c r="P2531" s="11"/>
    </row>
    <row r="2532" spans="1:16" ht="12.75" x14ac:dyDescent="0.35">
      <c r="A2532" s="7">
        <v>42482.321701388893</v>
      </c>
      <c r="B2532" s="8" t="str">
        <f t="shared" si="229"/>
        <v>@oldcar_photo</v>
      </c>
      <c r="C2532" s="9" t="s">
        <v>1046</v>
      </c>
      <c r="D2532" s="9" t="s">
        <v>6420</v>
      </c>
      <c r="E2532" s="10" t="str">
        <f>HYPERLINK("https://twitter.com/oldcar_photo/status/723333815708585984","723333815708585984")</f>
        <v>723333815708585984</v>
      </c>
      <c r="F2532" s="11" t="s">
        <v>68</v>
      </c>
      <c r="G2532" s="11">
        <v>1977</v>
      </c>
      <c r="H2532" s="11">
        <v>0</v>
      </c>
      <c r="I2532" s="11">
        <v>3</v>
      </c>
      <c r="J2532" s="11">
        <v>0</v>
      </c>
      <c r="K2532" s="11" t="s">
        <v>21</v>
      </c>
      <c r="L2532" s="7">
        <v>42184.7341087963</v>
      </c>
      <c r="M2532" s="12"/>
      <c r="N2532" s="12"/>
      <c r="O2532" s="10" t="str">
        <f t="shared" si="230"/>
        <v>View</v>
      </c>
      <c r="P2532" s="11"/>
    </row>
    <row r="2533" spans="1:16" ht="12.75" x14ac:dyDescent="0.35">
      <c r="A2533" s="7">
        <v>42482.321712962963</v>
      </c>
      <c r="B2533" s="8" t="str">
        <f t="shared" si="229"/>
        <v>@oldcar_photo</v>
      </c>
      <c r="C2533" s="9" t="s">
        <v>1046</v>
      </c>
      <c r="D2533" s="9" t="s">
        <v>6421</v>
      </c>
      <c r="E2533" s="10" t="str">
        <f>HYPERLINK("https://twitter.com/oldcar_photo/status/723333822746648576","723333822746648576")</f>
        <v>723333822746648576</v>
      </c>
      <c r="F2533" s="11" t="s">
        <v>68</v>
      </c>
      <c r="G2533" s="11">
        <v>1977</v>
      </c>
      <c r="H2533" s="11">
        <v>0</v>
      </c>
      <c r="I2533" s="11">
        <v>3</v>
      </c>
      <c r="J2533" s="11">
        <v>4</v>
      </c>
      <c r="K2533" s="11" t="s">
        <v>21</v>
      </c>
      <c r="L2533" s="7">
        <v>42184.7341087963</v>
      </c>
      <c r="M2533" s="12"/>
      <c r="N2533" s="12"/>
      <c r="O2533" s="10" t="str">
        <f t="shared" si="230"/>
        <v>View</v>
      </c>
      <c r="P2533" s="11"/>
    </row>
    <row r="2534" spans="1:16" ht="12.75" x14ac:dyDescent="0.35">
      <c r="A2534" s="7">
        <v>42482.321770833332</v>
      </c>
      <c r="B2534" s="8" t="str">
        <f>HYPERLINK("https://twitter.com/wikatu","@wikatu")</f>
        <v>@wikatu</v>
      </c>
      <c r="C2534" s="9" t="s">
        <v>698</v>
      </c>
      <c r="D2534" s="9" t="s">
        <v>6422</v>
      </c>
      <c r="E2534" s="10" t="str">
        <f>HYPERLINK("https://twitter.com/wikatu/status/723333841390170112","723333841390170112")</f>
        <v>723333841390170112</v>
      </c>
      <c r="F2534" s="11" t="s">
        <v>34</v>
      </c>
      <c r="G2534" s="11">
        <v>202</v>
      </c>
      <c r="H2534" s="11">
        <v>180</v>
      </c>
      <c r="I2534" s="11">
        <v>0</v>
      </c>
      <c r="J2534" s="11">
        <v>0</v>
      </c>
      <c r="K2534" s="11" t="s">
        <v>21</v>
      </c>
      <c r="L2534" s="7">
        <v>40921.181574074071</v>
      </c>
      <c r="M2534" s="12" t="s">
        <v>700</v>
      </c>
      <c r="N2534" s="12"/>
      <c r="O2534" s="10" t="str">
        <f>HYPERLINK("https://pbs.twimg.com/profile_images/1844337440/test_normal.gif","View")</f>
        <v>View</v>
      </c>
      <c r="P2534" s="11"/>
    </row>
    <row r="2535" spans="1:16" ht="12.75" x14ac:dyDescent="0.35">
      <c r="A2535" s="7">
        <v>42482.321932870371</v>
      </c>
      <c r="B2535" s="8" t="str">
        <f>HYPERLINK("https://twitter.com/Agustina_quinte","@Agustina_quinte")</f>
        <v>@Agustina_quinte</v>
      </c>
      <c r="C2535" s="9" t="s">
        <v>6423</v>
      </c>
      <c r="D2535" s="9" t="s">
        <v>6352</v>
      </c>
      <c r="E2535" s="10" t="str">
        <f>HYPERLINK("https://twitter.com/Agustina_quinte/status/723333899645009922","723333899645009922")</f>
        <v>723333899645009922</v>
      </c>
      <c r="F2535" s="11" t="s">
        <v>48</v>
      </c>
      <c r="G2535" s="11">
        <v>863</v>
      </c>
      <c r="H2535" s="11">
        <v>765</v>
      </c>
      <c r="I2535" s="11">
        <v>29</v>
      </c>
      <c r="J2535" s="11">
        <v>0</v>
      </c>
      <c r="K2535" s="11" t="s">
        <v>21</v>
      </c>
      <c r="L2535" s="7">
        <v>41810.057442129633</v>
      </c>
      <c r="M2535" s="12"/>
      <c r="N2535" s="12" t="s">
        <v>6424</v>
      </c>
      <c r="O2535" s="10" t="str">
        <f>HYPERLINK("https://pbs.twimg.com/profile_images/713916477133492225/jz6Bu9L6_normal.jpg","View")</f>
        <v>View</v>
      </c>
      <c r="P2535" s="11"/>
    </row>
    <row r="2536" spans="1:16" ht="12.75" x14ac:dyDescent="0.35">
      <c r="A2536" s="7">
        <v>42482.322268518517</v>
      </c>
      <c r="B2536" s="8" t="str">
        <f>HYPERLINK("https://twitter.com/CaduCardosoFlw","@CaduCardosoFlw")</f>
        <v>@CaduCardosoFlw</v>
      </c>
      <c r="C2536" s="9" t="s">
        <v>6425</v>
      </c>
      <c r="D2536" s="9" t="s">
        <v>6426</v>
      </c>
      <c r="E2536" s="10" t="str">
        <f>HYPERLINK("https://twitter.com/CaduCardosoFlw/status/723334022882054144","723334022882054144")</f>
        <v>723334022882054144</v>
      </c>
      <c r="F2536" s="11" t="s">
        <v>20</v>
      </c>
      <c r="G2536" s="11">
        <v>219</v>
      </c>
      <c r="H2536" s="11">
        <v>163</v>
      </c>
      <c r="I2536" s="11">
        <v>3</v>
      </c>
      <c r="J2536" s="11">
        <v>0</v>
      </c>
      <c r="K2536" s="11" t="s">
        <v>21</v>
      </c>
      <c r="L2536" s="7">
        <v>42393.057881944449</v>
      </c>
      <c r="M2536" s="12" t="s">
        <v>6427</v>
      </c>
      <c r="N2536" s="12" t="s">
        <v>6428</v>
      </c>
      <c r="O2536" s="10" t="str">
        <f>HYPERLINK("https://pbs.twimg.com/profile_images/721116781276999686/vEzYqsti_normal.jpg","View")</f>
        <v>View</v>
      </c>
      <c r="P2536" s="11"/>
    </row>
    <row r="2537" spans="1:16" ht="12.75" x14ac:dyDescent="0.35">
      <c r="A2537" s="7">
        <v>42482.322523148148</v>
      </c>
      <c r="B2537" s="8" t="str">
        <f>HYPERLINK("https://twitter.com/clevelandwest","@clevelandwest")</f>
        <v>@clevelandwest</v>
      </c>
      <c r="C2537" s="9" t="s">
        <v>6429</v>
      </c>
      <c r="D2537" s="9" t="s">
        <v>6430</v>
      </c>
      <c r="E2537" s="10" t="str">
        <f>HYPERLINK("https://twitter.com/clevelandwest/status/723334114108125186","723334114108125186")</f>
        <v>723334114108125186</v>
      </c>
      <c r="F2537" s="11" t="s">
        <v>48</v>
      </c>
      <c r="G2537" s="11">
        <v>209</v>
      </c>
      <c r="H2537" s="11">
        <v>696</v>
      </c>
      <c r="I2537" s="11">
        <v>0</v>
      </c>
      <c r="J2537" s="11">
        <v>0</v>
      </c>
      <c r="K2537" s="11" t="s">
        <v>21</v>
      </c>
      <c r="L2537" s="7">
        <v>40151.158125000002</v>
      </c>
      <c r="M2537" s="12" t="s">
        <v>6431</v>
      </c>
      <c r="N2537" s="12" t="s">
        <v>6432</v>
      </c>
      <c r="O2537" s="10" t="str">
        <f>HYPERLINK("https://pbs.twimg.com/profile_images/1929834186/SAM_0070_normal.JPG","View")</f>
        <v>View</v>
      </c>
      <c r="P2537" s="11"/>
    </row>
    <row r="2538" spans="1:16" ht="12.75" x14ac:dyDescent="0.35">
      <c r="A2538" s="7">
        <v>42482.324664351851</v>
      </c>
      <c r="B2538" s="8" t="str">
        <f t="shared" ref="B2538:B2539" si="231">HYPERLINK("https://twitter.com/twizler557","@twizler557")</f>
        <v>@twizler557</v>
      </c>
      <c r="C2538" s="9" t="s">
        <v>6433</v>
      </c>
      <c r="D2538" s="9" t="s">
        <v>6413</v>
      </c>
      <c r="E2538" s="10" t="str">
        <f>HYPERLINK("https://twitter.com/twizler557/status/723334888980537348","723334888980537348")</f>
        <v>723334888980537348</v>
      </c>
      <c r="F2538" s="11" t="s">
        <v>20</v>
      </c>
      <c r="G2538" s="11">
        <v>22675</v>
      </c>
      <c r="H2538" s="11">
        <v>19781</v>
      </c>
      <c r="I2538" s="11">
        <v>3</v>
      </c>
      <c r="J2538" s="11">
        <v>0</v>
      </c>
      <c r="K2538" s="11" t="s">
        <v>21</v>
      </c>
      <c r="L2538" s="7">
        <v>41085.837847222225</v>
      </c>
      <c r="M2538" s="12" t="s">
        <v>6434</v>
      </c>
      <c r="N2538" s="12" t="s">
        <v>6435</v>
      </c>
      <c r="O2538" s="10" t="str">
        <f t="shared" ref="O2538:O2539" si="232">HYPERLINK("https://pbs.twimg.com/profile_images/630477470240604160/cWOnCrEZ_normal.jpg","View")</f>
        <v>View</v>
      </c>
      <c r="P2538" s="11"/>
    </row>
    <row r="2539" spans="1:16" ht="12.75" x14ac:dyDescent="0.35">
      <c r="A2539" s="7">
        <v>42482.325023148151</v>
      </c>
      <c r="B2539" s="8" t="str">
        <f t="shared" si="231"/>
        <v>@twizler557</v>
      </c>
      <c r="C2539" s="9" t="s">
        <v>6433</v>
      </c>
      <c r="D2539" s="9" t="s">
        <v>6409</v>
      </c>
      <c r="E2539" s="10" t="str">
        <f>HYPERLINK("https://twitter.com/twizler557/status/723335022367797249","723335022367797249")</f>
        <v>723335022367797249</v>
      </c>
      <c r="F2539" s="11" t="s">
        <v>20</v>
      </c>
      <c r="G2539" s="11">
        <v>22675</v>
      </c>
      <c r="H2539" s="11">
        <v>19781</v>
      </c>
      <c r="I2539" s="11">
        <v>4</v>
      </c>
      <c r="J2539" s="11">
        <v>0</v>
      </c>
      <c r="K2539" s="11" t="s">
        <v>21</v>
      </c>
      <c r="L2539" s="7">
        <v>41085.837847222225</v>
      </c>
      <c r="M2539" s="12" t="s">
        <v>6434</v>
      </c>
      <c r="N2539" s="12" t="s">
        <v>6435</v>
      </c>
      <c r="O2539" s="10" t="str">
        <f t="shared" si="232"/>
        <v>View</v>
      </c>
      <c r="P2539" s="11"/>
    </row>
    <row r="2540" spans="1:16" ht="12.75" x14ac:dyDescent="0.35">
      <c r="A2540" s="7">
        <v>42482.325092592597</v>
      </c>
      <c r="B2540" s="8" t="str">
        <f>HYPERLINK("https://twitter.com/Cyn_Gerffau","@Cyn_Gerffau")</f>
        <v>@Cyn_Gerffau</v>
      </c>
      <c r="C2540" s="9" t="s">
        <v>6436</v>
      </c>
      <c r="D2540" s="9" t="s">
        <v>6437</v>
      </c>
      <c r="E2540" s="10" t="str">
        <f>HYPERLINK("https://twitter.com/Cyn_Gerffau/status/723335044748681216","723335044748681216")</f>
        <v>723335044748681216</v>
      </c>
      <c r="F2540" s="11" t="s">
        <v>114</v>
      </c>
      <c r="G2540" s="11">
        <v>188</v>
      </c>
      <c r="H2540" s="11">
        <v>321</v>
      </c>
      <c r="I2540" s="11">
        <v>0</v>
      </c>
      <c r="J2540" s="11">
        <v>0</v>
      </c>
      <c r="K2540" s="11" t="s">
        <v>21</v>
      </c>
      <c r="L2540" s="7">
        <v>41435.86791666667</v>
      </c>
      <c r="M2540" s="12" t="s">
        <v>6438</v>
      </c>
      <c r="N2540" s="12" t="s">
        <v>6439</v>
      </c>
      <c r="O2540" s="10" t="str">
        <f>HYPERLINK("https://pbs.twimg.com/profile_images/704519803189518337/7n7TPnoc_normal.jpg","View")</f>
        <v>View</v>
      </c>
      <c r="P2540" s="11"/>
    </row>
    <row r="2541" spans="1:16" ht="12.75" x14ac:dyDescent="0.35">
      <c r="A2541" s="7">
        <v>42482.325810185182</v>
      </c>
      <c r="B2541" s="8" t="str">
        <f>HYPERLINK("https://twitter.com/twizler557","@twizler557")</f>
        <v>@twizler557</v>
      </c>
      <c r="C2541" s="9" t="s">
        <v>6433</v>
      </c>
      <c r="D2541" s="9" t="s">
        <v>6400</v>
      </c>
      <c r="E2541" s="10" t="str">
        <f>HYPERLINK("https://twitter.com/twizler557/status/723335306737414145","723335306737414145")</f>
        <v>723335306737414145</v>
      </c>
      <c r="F2541" s="11" t="s">
        <v>20</v>
      </c>
      <c r="G2541" s="11">
        <v>22675</v>
      </c>
      <c r="H2541" s="11">
        <v>19781</v>
      </c>
      <c r="I2541" s="11">
        <v>3</v>
      </c>
      <c r="J2541" s="11">
        <v>0</v>
      </c>
      <c r="K2541" s="11" t="s">
        <v>21</v>
      </c>
      <c r="L2541" s="7">
        <v>41085.837847222225</v>
      </c>
      <c r="M2541" s="12" t="s">
        <v>6434</v>
      </c>
      <c r="N2541" s="12" t="s">
        <v>6435</v>
      </c>
      <c r="O2541" s="10" t="str">
        <f>HYPERLINK("https://pbs.twimg.com/profile_images/630477470240604160/cWOnCrEZ_normal.jpg","View")</f>
        <v>View</v>
      </c>
      <c r="P2541" s="11"/>
    </row>
    <row r="2542" spans="1:16" ht="12.75" x14ac:dyDescent="0.35">
      <c r="A2542" s="7">
        <v>42482.325914351852</v>
      </c>
      <c r="B2542" s="8" t="str">
        <f>HYPERLINK("https://twitter.com/Belen_Monzonn","@Belen_Monzonn")</f>
        <v>@Belen_Monzonn</v>
      </c>
      <c r="C2542" s="9" t="s">
        <v>6440</v>
      </c>
      <c r="D2542" s="9" t="s">
        <v>6352</v>
      </c>
      <c r="E2542" s="10" t="str">
        <f>HYPERLINK("https://twitter.com/Belen_Monzonn/status/723335345111203840","723335345111203840")</f>
        <v>723335345111203840</v>
      </c>
      <c r="F2542" s="11" t="s">
        <v>48</v>
      </c>
      <c r="G2542" s="11">
        <v>788</v>
      </c>
      <c r="H2542" s="11">
        <v>750</v>
      </c>
      <c r="I2542" s="11">
        <v>29</v>
      </c>
      <c r="J2542" s="11">
        <v>0</v>
      </c>
      <c r="K2542" s="11" t="s">
        <v>21</v>
      </c>
      <c r="L2542" s="7">
        <v>41086.845138888893</v>
      </c>
      <c r="M2542" s="12" t="s">
        <v>6441</v>
      </c>
      <c r="N2542" s="12" t="s">
        <v>6442</v>
      </c>
      <c r="O2542" s="10" t="str">
        <f>HYPERLINK("https://pbs.twimg.com/profile_images/709242043340607489/GTvkQ0v0_normal.jpg","View")</f>
        <v>View</v>
      </c>
      <c r="P2542" s="11"/>
    </row>
    <row r="2543" spans="1:16" ht="12.75" x14ac:dyDescent="0.35">
      <c r="A2543" s="7">
        <v>42482.327094907407</v>
      </c>
      <c r="B2543" s="8" t="str">
        <f>HYPERLINK("https://twitter.com/BADtesting","@BADtesting")</f>
        <v>@BADtesting</v>
      </c>
      <c r="C2543" s="9" t="s">
        <v>6443</v>
      </c>
      <c r="D2543" s="9" t="s">
        <v>6444</v>
      </c>
      <c r="E2543" s="10" t="str">
        <f>HYPERLINK("https://twitter.com/BADtesting/status/723335770631733248","723335770631733248")</f>
        <v>723335770631733248</v>
      </c>
      <c r="F2543" s="11" t="s">
        <v>1838</v>
      </c>
      <c r="G2543" s="11">
        <v>39130</v>
      </c>
      <c r="H2543" s="11">
        <v>7156</v>
      </c>
      <c r="I2543" s="11">
        <v>1</v>
      </c>
      <c r="J2543" s="11">
        <v>0</v>
      </c>
      <c r="K2543" s="11" t="s">
        <v>21</v>
      </c>
      <c r="L2543" s="7">
        <v>41001.408865740741</v>
      </c>
      <c r="M2543" s="12" t="s">
        <v>6445</v>
      </c>
      <c r="N2543" s="12" t="s">
        <v>6446</v>
      </c>
      <c r="O2543" s="10" t="str">
        <f>HYPERLINK("https://pbs.twimg.com/profile_images/3733051054/5c09b339157da5a288c617fb36711130_normal.png","View")</f>
        <v>View</v>
      </c>
      <c r="P2543" s="11"/>
    </row>
    <row r="2544" spans="1:16" ht="12.75" x14ac:dyDescent="0.35">
      <c r="A2544" s="7">
        <v>42482.327708333338</v>
      </c>
      <c r="B2544" s="8" t="str">
        <f t="shared" ref="B2544:B2545" si="233">HYPERLINK("https://twitter.com/1stInSEO","@1stInSEO")</f>
        <v>@1stInSEO</v>
      </c>
      <c r="C2544" s="9" t="s">
        <v>6343</v>
      </c>
      <c r="D2544" s="9" t="s">
        <v>6413</v>
      </c>
      <c r="E2544" s="10" t="str">
        <f>HYPERLINK("https://twitter.com/1stInSEO/status/723335992917123072","723335992917123072")</f>
        <v>723335992917123072</v>
      </c>
      <c r="F2544" s="11" t="s">
        <v>20</v>
      </c>
      <c r="G2544" s="11">
        <v>20760</v>
      </c>
      <c r="H2544" s="11">
        <v>19096</v>
      </c>
      <c r="I2544" s="11">
        <v>3</v>
      </c>
      <c r="J2544" s="11">
        <v>0</v>
      </c>
      <c r="K2544" s="11" t="s">
        <v>21</v>
      </c>
      <c r="L2544" s="7">
        <v>42263.351689814815</v>
      </c>
      <c r="M2544" s="12" t="s">
        <v>4373</v>
      </c>
      <c r="N2544" s="12" t="s">
        <v>6345</v>
      </c>
      <c r="O2544" s="10" t="str">
        <f t="shared" ref="O2544:O2545" si="234">HYPERLINK("https://pbs.twimg.com/profile_images/708466589696262144/0z2VO5-J_normal.jpg","View")</f>
        <v>View</v>
      </c>
      <c r="P2544" s="11"/>
    </row>
    <row r="2545" spans="1:16" ht="12.75" x14ac:dyDescent="0.35">
      <c r="A2545" s="7">
        <v>42482.328148148154</v>
      </c>
      <c r="B2545" s="8" t="str">
        <f t="shared" si="233"/>
        <v>@1stInSEO</v>
      </c>
      <c r="C2545" s="9" t="s">
        <v>6343</v>
      </c>
      <c r="D2545" s="9" t="s">
        <v>6409</v>
      </c>
      <c r="E2545" s="10" t="str">
        <f>HYPERLINK("https://twitter.com/1stInSEO/status/723336151969353728","723336151969353728")</f>
        <v>723336151969353728</v>
      </c>
      <c r="F2545" s="11" t="s">
        <v>20</v>
      </c>
      <c r="G2545" s="11">
        <v>20760</v>
      </c>
      <c r="H2545" s="11">
        <v>19096</v>
      </c>
      <c r="I2545" s="11">
        <v>4</v>
      </c>
      <c r="J2545" s="11">
        <v>0</v>
      </c>
      <c r="K2545" s="11" t="s">
        <v>21</v>
      </c>
      <c r="L2545" s="7">
        <v>42263.351689814815</v>
      </c>
      <c r="M2545" s="12" t="s">
        <v>4373</v>
      </c>
      <c r="N2545" s="12" t="s">
        <v>6345</v>
      </c>
      <c r="O2545" s="10" t="str">
        <f t="shared" si="234"/>
        <v>View</v>
      </c>
      <c r="P2545" s="11"/>
    </row>
    <row r="2546" spans="1:16" ht="12.75" x14ac:dyDescent="0.35">
      <c r="A2546" s="7">
        <v>42482.328171296293</v>
      </c>
      <c r="B2546" s="8" t="str">
        <f t="shared" ref="B2546:B2547" si="235">HYPERLINK("https://twitter.com/FuscaWorld","@FuscaWorld")</f>
        <v>@FuscaWorld</v>
      </c>
      <c r="C2546" s="9" t="s">
        <v>74</v>
      </c>
      <c r="D2546" s="9" t="s">
        <v>6426</v>
      </c>
      <c r="E2546" s="10" t="str">
        <f>HYPERLINK("https://twitter.com/FuscaWorld/status/723336159884128257","723336159884128257")</f>
        <v>723336159884128257</v>
      </c>
      <c r="F2546" s="11" t="s">
        <v>76</v>
      </c>
      <c r="G2546" s="11">
        <v>48</v>
      </c>
      <c r="H2546" s="11">
        <v>1</v>
      </c>
      <c r="I2546" s="11">
        <v>3</v>
      </c>
      <c r="J2546" s="11">
        <v>0</v>
      </c>
      <c r="K2546" s="11" t="s">
        <v>21</v>
      </c>
      <c r="L2546" s="7">
        <v>42433.880914351852</v>
      </c>
      <c r="M2546" s="12"/>
      <c r="N2546" s="12" t="s">
        <v>77</v>
      </c>
      <c r="O2546" s="10" t="str">
        <f t="shared" ref="O2546:O2547" si="236">HYPERLINK("https://pbs.twimg.com/profile_images/705780107844067328/e7O4UBNb_normal.jpg","View")</f>
        <v>View</v>
      </c>
      <c r="P2546" s="11"/>
    </row>
    <row r="2547" spans="1:16" ht="12.75" x14ac:dyDescent="0.35">
      <c r="A2547" s="7">
        <v>42482.328182870369</v>
      </c>
      <c r="B2547" s="8" t="str">
        <f t="shared" si="235"/>
        <v>@FuscaWorld</v>
      </c>
      <c r="C2547" s="9" t="s">
        <v>74</v>
      </c>
      <c r="D2547" s="9" t="s">
        <v>6426</v>
      </c>
      <c r="E2547" s="10" t="str">
        <f>HYPERLINK("https://twitter.com/FuscaWorld/status/723336166423027713","723336166423027713")</f>
        <v>723336166423027713</v>
      </c>
      <c r="F2547" s="11" t="s">
        <v>76</v>
      </c>
      <c r="G2547" s="11">
        <v>48</v>
      </c>
      <c r="H2547" s="11">
        <v>1</v>
      </c>
      <c r="I2547" s="11">
        <v>3</v>
      </c>
      <c r="J2547" s="11">
        <v>0</v>
      </c>
      <c r="K2547" s="11" t="s">
        <v>21</v>
      </c>
      <c r="L2547" s="7">
        <v>42433.880914351852</v>
      </c>
      <c r="M2547" s="12"/>
      <c r="N2547" s="12" t="s">
        <v>77</v>
      </c>
      <c r="O2547" s="10" t="str">
        <f t="shared" si="236"/>
        <v>View</v>
      </c>
      <c r="P2547" s="11"/>
    </row>
    <row r="2548" spans="1:16" ht="12.75" x14ac:dyDescent="0.35">
      <c r="A2548" s="7">
        <v>42482.330671296295</v>
      </c>
      <c r="B2548" s="8" t="str">
        <f>HYPERLINK("https://twitter.com/LucasCote86","@LucasCote86")</f>
        <v>@LucasCote86</v>
      </c>
      <c r="C2548" s="9" t="s">
        <v>6447</v>
      </c>
      <c r="D2548" s="9" t="s">
        <v>6448</v>
      </c>
      <c r="E2548" s="10" t="str">
        <f>HYPERLINK("https://twitter.com/LucasCote86/status/723337068307468288","723337068307468288")</f>
        <v>723337068307468288</v>
      </c>
      <c r="F2548" s="11" t="s">
        <v>48</v>
      </c>
      <c r="G2548" s="11">
        <v>37</v>
      </c>
      <c r="H2548" s="11">
        <v>99</v>
      </c>
      <c r="I2548" s="11">
        <v>0</v>
      </c>
      <c r="J2548" s="11">
        <v>0</v>
      </c>
      <c r="K2548" s="11" t="s">
        <v>21</v>
      </c>
      <c r="L2548" s="7">
        <v>40790.383263888885</v>
      </c>
      <c r="M2548" s="12"/>
      <c r="N2548" s="12" t="s">
        <v>6449</v>
      </c>
      <c r="O2548" s="10" t="str">
        <f>HYPERLINK("https://pbs.twimg.com/profile_images/723338056477081600/7wDgXb-F_normal.jpg","View")</f>
        <v>View</v>
      </c>
      <c r="P2548" s="11"/>
    </row>
    <row r="2549" spans="1:16" ht="12.75" x14ac:dyDescent="0.35">
      <c r="A2549" s="7">
        <v>42482.332268518519</v>
      </c>
      <c r="B2549" s="8" t="str">
        <f>HYPERLINK("https://twitter.com/b2bmanufactures","@b2bmanufactures")</f>
        <v>@b2bmanufactures</v>
      </c>
      <c r="C2549" s="8" t="s">
        <v>6450</v>
      </c>
      <c r="D2549" s="9" t="s">
        <v>6451</v>
      </c>
      <c r="E2549" s="10" t="str">
        <f>HYPERLINK("https://twitter.com/b2bmanufactures/status/723337646097862656","723337646097862656")</f>
        <v>723337646097862656</v>
      </c>
      <c r="F2549" s="11" t="s">
        <v>43</v>
      </c>
      <c r="G2549" s="11">
        <v>56</v>
      </c>
      <c r="H2549" s="11">
        <v>41</v>
      </c>
      <c r="I2549" s="11">
        <v>0</v>
      </c>
      <c r="J2549" s="11">
        <v>0</v>
      </c>
      <c r="K2549" s="11" t="s">
        <v>21</v>
      </c>
      <c r="L2549" s="7">
        <v>40077.544189814813</v>
      </c>
      <c r="M2549" s="12" t="s">
        <v>1015</v>
      </c>
      <c r="N2549" s="12" t="s">
        <v>6452</v>
      </c>
      <c r="O2549" s="10" t="str">
        <f>HYPERLINK("https://pbs.twimg.com/profile_images/430883410/bms200x200_facebook_1_normal.jpg","View")</f>
        <v>View</v>
      </c>
      <c r="P2549" s="11"/>
    </row>
    <row r="2550" spans="1:16" ht="12.75" x14ac:dyDescent="0.35">
      <c r="A2550" s="7">
        <v>42482.332546296297</v>
      </c>
      <c r="B2550" s="8" t="str">
        <f>HYPERLINK("https://twitter.com/enano_81","@enano_81")</f>
        <v>@enano_81</v>
      </c>
      <c r="C2550" s="9" t="s">
        <v>6453</v>
      </c>
      <c r="D2550" s="9" t="s">
        <v>6426</v>
      </c>
      <c r="E2550" s="10" t="str">
        <f>HYPERLINK("https://twitter.com/enano_81/status/723337747876847616","723337747876847616")</f>
        <v>723337747876847616</v>
      </c>
      <c r="F2550" s="11" t="s">
        <v>20</v>
      </c>
      <c r="G2550" s="11">
        <v>185</v>
      </c>
      <c r="H2550" s="11">
        <v>730</v>
      </c>
      <c r="I2550" s="11">
        <v>3</v>
      </c>
      <c r="J2550" s="11">
        <v>0</v>
      </c>
      <c r="K2550" s="11" t="s">
        <v>21</v>
      </c>
      <c r="L2550" s="7">
        <v>41379.396331018521</v>
      </c>
      <c r="M2550" s="12"/>
      <c r="N2550" s="12" t="s">
        <v>6454</v>
      </c>
      <c r="O2550" s="10" t="str">
        <f>HYPERLINK("https://pbs.twimg.com/profile_images/689509767400820737/RMJYtaTw_normal.jpg","View")</f>
        <v>View</v>
      </c>
      <c r="P2550" s="11"/>
    </row>
    <row r="2551" spans="1:16" ht="12.75" x14ac:dyDescent="0.35">
      <c r="A2551" s="7">
        <v>42482.334340277783</v>
      </c>
      <c r="B2551" s="8" t="str">
        <f>HYPERLINK("https://twitter.com/jancerato","@jancerato")</f>
        <v>@jancerato</v>
      </c>
      <c r="C2551" s="9" t="s">
        <v>6455</v>
      </c>
      <c r="D2551" s="9" t="s">
        <v>6456</v>
      </c>
      <c r="E2551" s="10" t="str">
        <f>HYPERLINK("https://twitter.com/jancerato/status/723338396656107520","723338396656107520")</f>
        <v>723338396656107520</v>
      </c>
      <c r="F2551" s="11" t="s">
        <v>114</v>
      </c>
      <c r="G2551" s="11">
        <v>1333</v>
      </c>
      <c r="H2551" s="11">
        <v>1906</v>
      </c>
      <c r="I2551" s="11">
        <v>0</v>
      </c>
      <c r="J2551" s="11">
        <v>0</v>
      </c>
      <c r="K2551" s="11" t="s">
        <v>21</v>
      </c>
      <c r="L2551" s="7">
        <v>39902.00618055556</v>
      </c>
      <c r="M2551" s="12" t="s">
        <v>1827</v>
      </c>
      <c r="N2551" s="12" t="s">
        <v>6457</v>
      </c>
      <c r="O2551" s="10" t="str">
        <f>HYPERLINK("https://pbs.twimg.com/profile_images/727062067/JanPartylook1B_W_normal.jpg","View")</f>
        <v>View</v>
      </c>
      <c r="P2551" s="11"/>
    </row>
    <row r="2552" spans="1:16" ht="12.75" x14ac:dyDescent="0.35">
      <c r="A2552" s="7">
        <v>42482.334745370375</v>
      </c>
      <c r="B2552" s="8" t="str">
        <f>HYPERLINK("https://twitter.com/NormReevesVW","@NormReevesVW")</f>
        <v>@NormReevesVW</v>
      </c>
      <c r="C2552" s="9" t="s">
        <v>6458</v>
      </c>
      <c r="D2552" s="9" t="s">
        <v>6459</v>
      </c>
      <c r="E2552" s="10" t="str">
        <f>HYPERLINK("https://twitter.com/NormReevesVW/status/723338545318907905","723338545318907905")</f>
        <v>723338545318907905</v>
      </c>
      <c r="F2552" s="11" t="s">
        <v>140</v>
      </c>
      <c r="G2552" s="11">
        <v>49</v>
      </c>
      <c r="H2552" s="11">
        <v>42</v>
      </c>
      <c r="I2552" s="11">
        <v>0</v>
      </c>
      <c r="J2552" s="11">
        <v>0</v>
      </c>
      <c r="K2552" s="11" t="s">
        <v>21</v>
      </c>
      <c r="L2552" s="7">
        <v>41856.172152777777</v>
      </c>
      <c r="M2552" s="12" t="s">
        <v>6460</v>
      </c>
      <c r="N2552" s="12" t="s">
        <v>6461</v>
      </c>
      <c r="O2552" s="10" t="str">
        <f>HYPERLINK("https://pbs.twimg.com/profile_images/694604675467862022/ibJV65AC_normal.jpg","View")</f>
        <v>View</v>
      </c>
      <c r="P2552" s="11"/>
    </row>
    <row r="2553" spans="1:16" ht="12.75" x14ac:dyDescent="0.35">
      <c r="A2553" s="7">
        <v>42482.335543981477</v>
      </c>
      <c r="B2553" s="8" t="str">
        <f>HYPERLINK("https://twitter.com/skakurega","@skakurega")</f>
        <v>@skakurega</v>
      </c>
      <c r="C2553" s="9" t="s">
        <v>6462</v>
      </c>
      <c r="D2553" s="9" t="s">
        <v>6463</v>
      </c>
      <c r="E2553" s="10" t="str">
        <f>HYPERLINK("https://twitter.com/skakurega/status/723338834742636546","723338834742636546")</f>
        <v>723338834742636546</v>
      </c>
      <c r="F2553" s="11" t="s">
        <v>43</v>
      </c>
      <c r="G2553" s="11">
        <v>25</v>
      </c>
      <c r="H2553" s="11">
        <v>17</v>
      </c>
      <c r="I2553" s="11">
        <v>0</v>
      </c>
      <c r="J2553" s="11">
        <v>0</v>
      </c>
      <c r="K2553" s="11" t="s">
        <v>21</v>
      </c>
      <c r="L2553" s="7">
        <v>41335.613125000003</v>
      </c>
      <c r="M2553" s="12" t="s">
        <v>6464</v>
      </c>
      <c r="N2553" s="12" t="s">
        <v>6465</v>
      </c>
      <c r="O2553" s="10" t="str">
        <f>HYPERLINK("https://pbs.twimg.com/profile_images/3518634490/a7db4179a4b0e8afcae487f17f254681_normal.jpeg","View")</f>
        <v>View</v>
      </c>
      <c r="P2553" s="11"/>
    </row>
    <row r="2554" spans="1:16" ht="12.75" x14ac:dyDescent="0.35">
      <c r="A2554" s="7">
        <v>42482.338055555556</v>
      </c>
      <c r="B2554" s="8" t="str">
        <f>HYPERLINK("https://twitter.com/caroswg","@caroswg")</f>
        <v>@caroswg</v>
      </c>
      <c r="C2554" s="9" t="s">
        <v>6466</v>
      </c>
      <c r="D2554" s="9" t="s">
        <v>6352</v>
      </c>
      <c r="E2554" s="10" t="str">
        <f>HYPERLINK("https://twitter.com/caroswg/status/723339742457241600","723339742457241600")</f>
        <v>723339742457241600</v>
      </c>
      <c r="F2554" s="11" t="s">
        <v>48</v>
      </c>
      <c r="G2554" s="11">
        <v>473</v>
      </c>
      <c r="H2554" s="11">
        <v>211</v>
      </c>
      <c r="I2554" s="11">
        <v>29</v>
      </c>
      <c r="J2554" s="11">
        <v>0</v>
      </c>
      <c r="K2554" s="11" t="s">
        <v>21</v>
      </c>
      <c r="L2554" s="7">
        <v>41422.230416666665</v>
      </c>
      <c r="M2554" s="12" t="s">
        <v>6467</v>
      </c>
      <c r="N2554" s="12" t="s">
        <v>6468</v>
      </c>
      <c r="O2554" s="10" t="str">
        <f>HYPERLINK("https://pbs.twimg.com/profile_images/721760696124502016/Dne_Z3x__normal.jpg","View")</f>
        <v>View</v>
      </c>
      <c r="P2554" s="11"/>
    </row>
    <row r="2555" spans="1:16" ht="12.75" x14ac:dyDescent="0.35">
      <c r="A2555" s="7">
        <v>42482.338240740741</v>
      </c>
      <c r="B2555" s="8" t="str">
        <f t="shared" ref="B2555:B2556" si="237">HYPERLINK("https://twitter.com/VolkswagenPost","@VolkswagenPost")</f>
        <v>@VolkswagenPost</v>
      </c>
      <c r="C2555" s="9" t="s">
        <v>321</v>
      </c>
      <c r="D2555" s="9" t="s">
        <v>6469</v>
      </c>
      <c r="E2555" s="10" t="str">
        <f>HYPERLINK("https://twitter.com/VolkswagenPost/status/723339812086784000","723339812086784000")</f>
        <v>723339812086784000</v>
      </c>
      <c r="F2555" s="11" t="s">
        <v>34</v>
      </c>
      <c r="G2555" s="11">
        <v>571</v>
      </c>
      <c r="H2555" s="11">
        <v>446</v>
      </c>
      <c r="I2555" s="11">
        <v>0</v>
      </c>
      <c r="J2555" s="11">
        <v>0</v>
      </c>
      <c r="K2555" s="11" t="s">
        <v>21</v>
      </c>
      <c r="L2555" s="7">
        <v>41940.618379629632</v>
      </c>
      <c r="M2555" s="12"/>
      <c r="N2555" s="12"/>
      <c r="O2555" s="10" t="str">
        <f t="shared" ref="O2555:O2556" si="238">HYPERLINK("https://pbs.twimg.com/profile_images/530071272881803264/a_jcCmPZ_normal.png","View")</f>
        <v>View</v>
      </c>
      <c r="P2555" s="11"/>
    </row>
    <row r="2556" spans="1:16" ht="12.75" x14ac:dyDescent="0.35">
      <c r="A2556" s="7">
        <v>42482.338252314818</v>
      </c>
      <c r="B2556" s="8" t="str">
        <f t="shared" si="237"/>
        <v>@VolkswagenPost</v>
      </c>
      <c r="C2556" s="9" t="s">
        <v>321</v>
      </c>
      <c r="D2556" s="9" t="s">
        <v>6470</v>
      </c>
      <c r="E2556" s="10" t="str">
        <f>HYPERLINK("https://twitter.com/VolkswagenPost/status/723339814599159808","723339814599159808")</f>
        <v>723339814599159808</v>
      </c>
      <c r="F2556" s="11" t="s">
        <v>34</v>
      </c>
      <c r="G2556" s="11">
        <v>571</v>
      </c>
      <c r="H2556" s="11">
        <v>446</v>
      </c>
      <c r="I2556" s="11">
        <v>0</v>
      </c>
      <c r="J2556" s="11">
        <v>0</v>
      </c>
      <c r="K2556" s="11" t="s">
        <v>21</v>
      </c>
      <c r="L2556" s="7">
        <v>41940.618379629632</v>
      </c>
      <c r="M2556" s="12"/>
      <c r="N2556" s="12"/>
      <c r="O2556" s="10" t="str">
        <f t="shared" si="238"/>
        <v>View</v>
      </c>
      <c r="P2556" s="11"/>
    </row>
    <row r="2557" spans="1:16" ht="12.75" x14ac:dyDescent="0.35">
      <c r="A2557" s="7">
        <v>42482.339525462958</v>
      </c>
      <c r="B2557" s="8" t="str">
        <f>HYPERLINK("https://twitter.com/carlos_prm176","@carlos_prm176")</f>
        <v>@carlos_prm176</v>
      </c>
      <c r="C2557" s="9" t="s">
        <v>6471</v>
      </c>
      <c r="D2557" s="9" t="s">
        <v>6472</v>
      </c>
      <c r="E2557" s="10" t="str">
        <f>HYPERLINK("https://twitter.com/carlos_prm176/status/723340275683344384","723340275683344384")</f>
        <v>723340275683344384</v>
      </c>
      <c r="F2557" s="11" t="s">
        <v>68</v>
      </c>
      <c r="G2557" s="11">
        <v>43</v>
      </c>
      <c r="H2557" s="11">
        <v>143</v>
      </c>
      <c r="I2557" s="11">
        <v>0</v>
      </c>
      <c r="J2557" s="11">
        <v>0</v>
      </c>
      <c r="K2557" s="11" t="s">
        <v>21</v>
      </c>
      <c r="L2557" s="7">
        <v>42419.178194444445</v>
      </c>
      <c r="M2557" s="12" t="s">
        <v>6473</v>
      </c>
      <c r="N2557" s="12" t="s">
        <v>6474</v>
      </c>
      <c r="O2557" s="10" t="str">
        <f>HYPERLINK("https://pbs.twimg.com/profile_images/713838307327799297/1ykah0tW_normal.jpg","View")</f>
        <v>View</v>
      </c>
      <c r="P2557" s="11"/>
    </row>
    <row r="2558" spans="1:16" ht="12.75" x14ac:dyDescent="0.35">
      <c r="A2558" s="7">
        <v>42482.339942129634</v>
      </c>
      <c r="B2558" s="8" t="str">
        <f>HYPERLINK("https://twitter.com/cas_2050001283","@cas_2050001283")</f>
        <v>@cas_2050001283</v>
      </c>
      <c r="C2558" s="9" t="s">
        <v>6475</v>
      </c>
      <c r="D2558" s="9" t="s">
        <v>6476</v>
      </c>
      <c r="E2558" s="10" t="str">
        <f>HYPERLINK("https://twitter.com/cas_2050001283/status/723340425801539584","723340425801539584")</f>
        <v>723340425801539584</v>
      </c>
      <c r="F2558" s="11" t="s">
        <v>43</v>
      </c>
      <c r="G2558" s="11">
        <v>10</v>
      </c>
      <c r="H2558" s="11">
        <v>1</v>
      </c>
      <c r="I2558" s="11">
        <v>0</v>
      </c>
      <c r="J2558" s="11">
        <v>0</v>
      </c>
      <c r="K2558" s="11" t="s">
        <v>21</v>
      </c>
      <c r="L2558" s="7">
        <v>41936.051053240742</v>
      </c>
      <c r="M2558" s="12"/>
      <c r="N2558" s="12"/>
      <c r="O2558" s="10" t="str">
        <f>HYPERLINK("https://abs.twimg.com/sticky/default_profile_images/default_profile_1_normal.png","View")</f>
        <v>View</v>
      </c>
      <c r="P2558" s="11"/>
    </row>
    <row r="2559" spans="1:16" ht="12.75" x14ac:dyDescent="0.35">
      <c r="A2559" s="7">
        <v>42482.342638888891</v>
      </c>
      <c r="B2559" s="8" t="str">
        <f>HYPERLINK("https://twitter.com/HartoDeMiMismo","@HartoDeMiMismo")</f>
        <v>@HartoDeMiMismo</v>
      </c>
      <c r="C2559" s="9" t="s">
        <v>6477</v>
      </c>
      <c r="D2559" s="9" t="s">
        <v>6478</v>
      </c>
      <c r="E2559" s="10" t="str">
        <f>HYPERLINK("https://twitter.com/HartoDeMiMismo/status/723341404248891392","723341404248891392")</f>
        <v>723341404248891392</v>
      </c>
      <c r="F2559" s="11" t="s">
        <v>114</v>
      </c>
      <c r="G2559" s="11">
        <v>2292</v>
      </c>
      <c r="H2559" s="11">
        <v>1631</v>
      </c>
      <c r="I2559" s="11">
        <v>0</v>
      </c>
      <c r="J2559" s="11">
        <v>0</v>
      </c>
      <c r="K2559" s="11" t="s">
        <v>21</v>
      </c>
      <c r="L2559" s="7">
        <v>40072.36791666667</v>
      </c>
      <c r="M2559" s="12" t="s">
        <v>6479</v>
      </c>
      <c r="N2559" s="12" t="s">
        <v>6480</v>
      </c>
      <c r="O2559" s="10" t="str">
        <f>HYPERLINK("https://pbs.twimg.com/profile_images/715295724624224256/bnUPV-CW_normal.jpg","View")</f>
        <v>View</v>
      </c>
      <c r="P2559" s="11"/>
    </row>
    <row r="2560" spans="1:16" ht="12.75" x14ac:dyDescent="0.35">
      <c r="A2560" s="7">
        <v>42482.342708333337</v>
      </c>
      <c r="B2560" s="8" t="str">
        <f>HYPERLINK("https://twitter.com/candeebussetto","@candeebussetto")</f>
        <v>@candeebussetto</v>
      </c>
      <c r="C2560" s="9" t="s">
        <v>6481</v>
      </c>
      <c r="D2560" s="9" t="s">
        <v>6352</v>
      </c>
      <c r="E2560" s="10" t="str">
        <f>HYPERLINK("https://twitter.com/candeebussetto/status/723341428038995968","723341428038995968")</f>
        <v>723341428038995968</v>
      </c>
      <c r="F2560" s="11" t="s">
        <v>48</v>
      </c>
      <c r="G2560" s="11">
        <v>1455</v>
      </c>
      <c r="H2560" s="11">
        <v>2278</v>
      </c>
      <c r="I2560" s="11">
        <v>29</v>
      </c>
      <c r="J2560" s="11">
        <v>0</v>
      </c>
      <c r="K2560" s="11" t="s">
        <v>21</v>
      </c>
      <c r="L2560" s="7">
        <v>41876.372847222221</v>
      </c>
      <c r="M2560" s="12" t="s">
        <v>866</v>
      </c>
      <c r="N2560" s="12" t="s">
        <v>6482</v>
      </c>
      <c r="O2560" s="10" t="str">
        <f>HYPERLINK("https://pbs.twimg.com/profile_images/712814617156853760/o3LMG44n_normal.jpg","View")</f>
        <v>View</v>
      </c>
      <c r="P2560" s="11"/>
    </row>
    <row r="2561" spans="1:16" ht="12.75" x14ac:dyDescent="0.35">
      <c r="A2561" s="7">
        <v>42482.345370370371</v>
      </c>
      <c r="B2561" s="8" t="str">
        <f>HYPERLINK("https://twitter.com/puffyka81","@puffyka81")</f>
        <v>@puffyka81</v>
      </c>
      <c r="C2561" s="9" t="s">
        <v>6483</v>
      </c>
      <c r="D2561" s="9" t="s">
        <v>5539</v>
      </c>
      <c r="E2561" s="10" t="str">
        <f>HYPERLINK("https://twitter.com/puffyka81/status/723342394133983232","723342394133983232")</f>
        <v>723342394133983232</v>
      </c>
      <c r="F2561" s="11" t="s">
        <v>48</v>
      </c>
      <c r="G2561" s="11">
        <v>2041</v>
      </c>
      <c r="H2561" s="11">
        <v>3677</v>
      </c>
      <c r="I2561" s="11">
        <v>3</v>
      </c>
      <c r="J2561" s="11">
        <v>0</v>
      </c>
      <c r="K2561" s="11" t="s">
        <v>21</v>
      </c>
      <c r="L2561" s="7">
        <v>40919.629988425928</v>
      </c>
      <c r="M2561" s="12" t="s">
        <v>6484</v>
      </c>
      <c r="N2561" s="12" t="s">
        <v>6485</v>
      </c>
      <c r="O2561" s="10" t="str">
        <f>HYPERLINK("https://pbs.twimg.com/profile_images/378800000557861038/160062ac2444c5bac103a16edbe7be0d_normal.jpeg","View")</f>
        <v>View</v>
      </c>
      <c r="P2561" s="11"/>
    </row>
    <row r="2562" spans="1:16" ht="12.75" x14ac:dyDescent="0.35">
      <c r="A2562" s="7">
        <v>42482.345659722225</v>
      </c>
      <c r="B2562" s="8" t="str">
        <f>HYPERLINK("https://twitter.com/ghcj","@ghcj")</f>
        <v>@ghcj</v>
      </c>
      <c r="C2562" s="9" t="s">
        <v>576</v>
      </c>
      <c r="D2562" s="9" t="s">
        <v>6486</v>
      </c>
      <c r="E2562" s="10" t="str">
        <f>HYPERLINK("https://twitter.com/ghcj/status/723342499834515457","723342499834515457")</f>
        <v>723342499834515457</v>
      </c>
      <c r="F2562" s="11" t="s">
        <v>119</v>
      </c>
      <c r="G2562" s="11">
        <v>17</v>
      </c>
      <c r="H2562" s="11">
        <v>30</v>
      </c>
      <c r="I2562" s="11">
        <v>0</v>
      </c>
      <c r="J2562" s="11">
        <v>0</v>
      </c>
      <c r="K2562" s="11" t="s">
        <v>21</v>
      </c>
      <c r="L2562" s="7">
        <v>40012.066562499997</v>
      </c>
      <c r="M2562" s="12" t="s">
        <v>125</v>
      </c>
      <c r="N2562" s="12" t="s">
        <v>578</v>
      </c>
      <c r="O2562" s="10" t="str">
        <f>HYPERLINK("https://pbs.twimg.com/profile_images/318679564/ghcj-logo-lg_normal.png","View")</f>
        <v>View</v>
      </c>
      <c r="P2562" s="11"/>
    </row>
    <row r="2563" spans="1:16" ht="12.75" x14ac:dyDescent="0.35">
      <c r="A2563" s="7">
        <v>42482.346006944441</v>
      </c>
      <c r="B2563" s="8" t="str">
        <f>HYPERLINK("https://twitter.com/Babsi58089","@Babsi58089")</f>
        <v>@Babsi58089</v>
      </c>
      <c r="C2563" s="9" t="s">
        <v>6487</v>
      </c>
      <c r="D2563" s="9" t="s">
        <v>5539</v>
      </c>
      <c r="E2563" s="10" t="str">
        <f>HYPERLINK("https://twitter.com/Babsi58089/status/723342625496043520","723342625496043520")</f>
        <v>723342625496043520</v>
      </c>
      <c r="F2563" s="11" t="s">
        <v>48</v>
      </c>
      <c r="G2563" s="11">
        <v>1495</v>
      </c>
      <c r="H2563" s="11">
        <v>1009</v>
      </c>
      <c r="I2563" s="11">
        <v>3</v>
      </c>
      <c r="J2563" s="11">
        <v>0</v>
      </c>
      <c r="K2563" s="11" t="s">
        <v>21</v>
      </c>
      <c r="L2563" s="7">
        <v>40412.53770833333</v>
      </c>
      <c r="M2563" s="12" t="s">
        <v>6488</v>
      </c>
      <c r="N2563" s="12" t="s">
        <v>6489</v>
      </c>
      <c r="O2563" s="10" t="str">
        <f>HYPERLINK("https://pbs.twimg.com/profile_images/718779480249077760/xSywyfcu_normal.jpg","View")</f>
        <v>View</v>
      </c>
      <c r="P2563" s="11"/>
    </row>
    <row r="2564" spans="1:16" ht="12.75" x14ac:dyDescent="0.35">
      <c r="A2564" s="7">
        <v>42482.346493055556</v>
      </c>
      <c r="B2564" s="8" t="str">
        <f>HYPERLINK("https://twitter.com/autometricaru","@autometricaru")</f>
        <v>@autometricaru</v>
      </c>
      <c r="C2564" s="9" t="s">
        <v>6490</v>
      </c>
      <c r="D2564" s="9" t="s">
        <v>6491</v>
      </c>
      <c r="E2564" s="10" t="str">
        <f>HYPERLINK("https://twitter.com/autometricaru/status/723342802269147136","723342802269147136")</f>
        <v>723342802269147136</v>
      </c>
      <c r="F2564" s="11" t="s">
        <v>43</v>
      </c>
      <c r="G2564" s="11">
        <v>21</v>
      </c>
      <c r="H2564" s="11">
        <v>50</v>
      </c>
      <c r="I2564" s="11">
        <v>0</v>
      </c>
      <c r="J2564" s="11">
        <v>0</v>
      </c>
      <c r="K2564" s="11" t="s">
        <v>21</v>
      </c>
      <c r="L2564" s="7">
        <v>42360.472337962958</v>
      </c>
      <c r="M2564" s="12"/>
      <c r="N2564" s="12" t="s">
        <v>6492</v>
      </c>
      <c r="O2564" s="10" t="str">
        <f>HYPERLINK("https://pbs.twimg.com/profile_images/697457689341906944/T7z--JsC_normal.jpg","View")</f>
        <v>View</v>
      </c>
      <c r="P2564" s="11"/>
    </row>
    <row r="2565" spans="1:16" ht="12.75" x14ac:dyDescent="0.35">
      <c r="A2565" s="7">
        <v>42482.347037037034</v>
      </c>
      <c r="B2565" s="8" t="str">
        <f>HYPERLINK("https://twitter.com/jayyyylew","@jayyyylew")</f>
        <v>@jayyyylew</v>
      </c>
      <c r="C2565" s="9" t="s">
        <v>6493</v>
      </c>
      <c r="D2565" s="9" t="s">
        <v>6494</v>
      </c>
      <c r="E2565" s="10" t="str">
        <f>HYPERLINK("https://twitter.com/jayyyylew/status/723342998239588352","723342998239588352")</f>
        <v>723342998239588352</v>
      </c>
      <c r="F2565" s="11" t="s">
        <v>114</v>
      </c>
      <c r="G2565" s="11">
        <v>82</v>
      </c>
      <c r="H2565" s="11">
        <v>438</v>
      </c>
      <c r="I2565" s="11">
        <v>0</v>
      </c>
      <c r="J2565" s="11">
        <v>2</v>
      </c>
      <c r="K2565" s="11" t="s">
        <v>21</v>
      </c>
      <c r="L2565" s="7">
        <v>42249.592060185183</v>
      </c>
      <c r="M2565" s="12"/>
      <c r="N2565" s="12" t="s">
        <v>6495</v>
      </c>
      <c r="O2565" s="10" t="str">
        <f>HYPERLINK("https://pbs.twimg.com/profile_images/640035730660569088/IWp003Ep_normal.jpg","View")</f>
        <v>View</v>
      </c>
      <c r="P2565" s="11"/>
    </row>
    <row r="2566" spans="1:16" ht="12.75" x14ac:dyDescent="0.35">
      <c r="A2566" s="7">
        <v>42482.347291666665</v>
      </c>
      <c r="B2566" s="8" t="str">
        <f>HYPERLINK("https://twitter.com/sfchronicle","@sfchronicle")</f>
        <v>@sfchronicle</v>
      </c>
      <c r="C2566" s="9" t="s">
        <v>4737</v>
      </c>
      <c r="D2566" s="9" t="s">
        <v>6496</v>
      </c>
      <c r="E2566" s="10" t="str">
        <f>HYPERLINK("https://twitter.com/sfchronicle/status/723343090921017345","723343090921017345")</f>
        <v>723343090921017345</v>
      </c>
      <c r="F2566" s="11" t="s">
        <v>63</v>
      </c>
      <c r="G2566" s="11">
        <v>78289</v>
      </c>
      <c r="H2566" s="11">
        <v>171</v>
      </c>
      <c r="I2566" s="11">
        <v>3</v>
      </c>
      <c r="J2566" s="11">
        <v>2</v>
      </c>
      <c r="K2566" s="11" t="s">
        <v>21</v>
      </c>
      <c r="L2566" s="7">
        <v>40247.25980324074</v>
      </c>
      <c r="M2566" s="12" t="s">
        <v>244</v>
      </c>
      <c r="N2566" s="12" t="s">
        <v>4739</v>
      </c>
      <c r="O2566" s="10" t="str">
        <f>HYPERLINK("https://pbs.twimg.com/profile_images/695773573919543296/Q1mS960c_normal.jpg","View")</f>
        <v>View</v>
      </c>
      <c r="P2566" s="11"/>
    </row>
    <row r="2567" spans="1:16" ht="12.75" x14ac:dyDescent="0.35">
      <c r="A2567" s="7">
        <v>42482.347546296296</v>
      </c>
      <c r="B2567" s="8" t="str">
        <f>HYPERLINK("https://twitter.com/Neuschwan","@Neuschwan")</f>
        <v>@Neuschwan</v>
      </c>
      <c r="C2567" s="9" t="s">
        <v>6497</v>
      </c>
      <c r="D2567" s="9" t="s">
        <v>6498</v>
      </c>
      <c r="E2567" s="10" t="str">
        <f>HYPERLINK("https://twitter.com/Neuschwan/status/723343181354532866","723343181354532866")</f>
        <v>723343181354532866</v>
      </c>
      <c r="F2567" s="11" t="s">
        <v>43</v>
      </c>
      <c r="G2567" s="11">
        <v>148</v>
      </c>
      <c r="H2567" s="11">
        <v>235</v>
      </c>
      <c r="I2567" s="11">
        <v>0</v>
      </c>
      <c r="J2567" s="11">
        <v>0</v>
      </c>
      <c r="K2567" s="11" t="s">
        <v>21</v>
      </c>
      <c r="L2567" s="7">
        <v>39899.299791666665</v>
      </c>
      <c r="M2567" s="12" t="s">
        <v>6499</v>
      </c>
      <c r="N2567" s="12" t="s">
        <v>6500</v>
      </c>
      <c r="O2567" s="10" t="str">
        <f>HYPERLINK("https://pbs.twimg.com/profile_images/112954621/DSC006192a_normal.jpg","View")</f>
        <v>View</v>
      </c>
      <c r="P2567" s="11"/>
    </row>
    <row r="2568" spans="1:16" ht="12.75" x14ac:dyDescent="0.35">
      <c r="A2568" s="7">
        <v>42482.348275462966</v>
      </c>
      <c r="B2568" s="8" t="str">
        <f>HYPERLINK("https://twitter.com/wikatu","@wikatu")</f>
        <v>@wikatu</v>
      </c>
      <c r="C2568" s="9" t="s">
        <v>698</v>
      </c>
      <c r="D2568" s="9" t="s">
        <v>6501</v>
      </c>
      <c r="E2568" s="10" t="str">
        <f>HYPERLINK("https://twitter.com/wikatu/status/723343445796900864","723343445796900864")</f>
        <v>723343445796900864</v>
      </c>
      <c r="F2568" s="11" t="s">
        <v>34</v>
      </c>
      <c r="G2568" s="11">
        <v>202</v>
      </c>
      <c r="H2568" s="11">
        <v>180</v>
      </c>
      <c r="I2568" s="11">
        <v>0</v>
      </c>
      <c r="J2568" s="11">
        <v>0</v>
      </c>
      <c r="K2568" s="11" t="s">
        <v>21</v>
      </c>
      <c r="L2568" s="7">
        <v>40921.181574074071</v>
      </c>
      <c r="M2568" s="12" t="s">
        <v>700</v>
      </c>
      <c r="N2568" s="12"/>
      <c r="O2568" s="10" t="str">
        <f>HYPERLINK("https://pbs.twimg.com/profile_images/1844337440/test_normal.gif","View")</f>
        <v>View</v>
      </c>
      <c r="P2568" s="11"/>
    </row>
    <row r="2569" spans="1:16" ht="12.75" x14ac:dyDescent="0.35">
      <c r="A2569" s="7">
        <v>42482.348287037035</v>
      </c>
      <c r="B2569" s="8" t="str">
        <f>HYPERLINK("https://twitter.com/ArcticPreserve","@ArcticPreserve")</f>
        <v>@ArcticPreserve</v>
      </c>
      <c r="C2569" s="9" t="s">
        <v>2303</v>
      </c>
      <c r="D2569" s="9" t="s">
        <v>6502</v>
      </c>
      <c r="E2569" s="10" t="str">
        <f>HYPERLINK("https://twitter.com/ArcticPreserve/status/723343450733727745","723343450733727745")</f>
        <v>723343450733727745</v>
      </c>
      <c r="F2569" s="11" t="s">
        <v>20</v>
      </c>
      <c r="G2569" s="11">
        <v>204</v>
      </c>
      <c r="H2569" s="11">
        <v>446</v>
      </c>
      <c r="I2569" s="11">
        <v>0</v>
      </c>
      <c r="J2569" s="11">
        <v>0</v>
      </c>
      <c r="K2569" s="11" t="s">
        <v>21</v>
      </c>
      <c r="L2569" s="7">
        <v>41133.782048611109</v>
      </c>
      <c r="M2569" s="12"/>
      <c r="N2569" s="12" t="s">
        <v>2305</v>
      </c>
      <c r="O2569" s="10" t="str">
        <f>HYPERLINK("https://pbs.twimg.com/profile_images/3398986760/169ef7953adf953270106ccfa5b90065_normal.jpeg","View")</f>
        <v>View</v>
      </c>
      <c r="P2569" s="11"/>
    </row>
    <row r="2570" spans="1:16" ht="12.75" x14ac:dyDescent="0.35">
      <c r="A2570" s="7">
        <v>42482.348576388889</v>
      </c>
      <c r="B2570" s="8" t="str">
        <f>HYPERLINK("https://twitter.com/UniversHorse","@UniversHorse")</f>
        <v>@UniversHorse</v>
      </c>
      <c r="C2570" s="9" t="s">
        <v>6503</v>
      </c>
      <c r="D2570" s="9" t="s">
        <v>6504</v>
      </c>
      <c r="E2570" s="10" t="str">
        <f>HYPERLINK("https://twitter.com/UniversHorse/status/723343557768187905","723343557768187905")</f>
        <v>723343557768187905</v>
      </c>
      <c r="F2570" s="11" t="s">
        <v>6505</v>
      </c>
      <c r="G2570" s="11">
        <v>351</v>
      </c>
      <c r="H2570" s="11">
        <v>448</v>
      </c>
      <c r="I2570" s="11">
        <v>3</v>
      </c>
      <c r="J2570" s="11">
        <v>0</v>
      </c>
      <c r="K2570" s="11" t="s">
        <v>21</v>
      </c>
      <c r="L2570" s="7">
        <v>42379.935439814813</v>
      </c>
      <c r="M2570" s="12" t="s">
        <v>6506</v>
      </c>
      <c r="N2570" s="12" t="s">
        <v>6507</v>
      </c>
      <c r="O2570" s="10" t="str">
        <f>HYPERLINK("https://pbs.twimg.com/profile_images/693249020827799552/YPz35zAd_normal.jpg","View")</f>
        <v>View</v>
      </c>
      <c r="P2570" s="11"/>
    </row>
    <row r="2571" spans="1:16" ht="12.75" x14ac:dyDescent="0.35">
      <c r="A2571" s="7">
        <v>42482.349189814813</v>
      </c>
      <c r="B2571" s="8" t="str">
        <f>HYPERLINK("https://twitter.com/chronsucks","@chronsucks")</f>
        <v>@chronsucks</v>
      </c>
      <c r="C2571" s="9" t="s">
        <v>4770</v>
      </c>
      <c r="D2571" s="9" t="s">
        <v>6504</v>
      </c>
      <c r="E2571" s="10" t="str">
        <f>HYPERLINK("https://twitter.com/chronsucks/status/723343776853438464","723343776853438464")</f>
        <v>723343776853438464</v>
      </c>
      <c r="F2571" s="11" t="s">
        <v>288</v>
      </c>
      <c r="G2571" s="11">
        <v>30</v>
      </c>
      <c r="H2571" s="11">
        <v>1</v>
      </c>
      <c r="I2571" s="11">
        <v>3</v>
      </c>
      <c r="J2571" s="11">
        <v>0</v>
      </c>
      <c r="K2571" s="11" t="s">
        <v>21</v>
      </c>
      <c r="L2571" s="7">
        <v>42191.8591087963</v>
      </c>
      <c r="M2571" s="12"/>
      <c r="N2571" s="12"/>
      <c r="O2571" s="10" t="str">
        <f>HYPERLINK("https://abs.twimg.com/sticky/default_profile_images/default_profile_0_normal.png","View")</f>
        <v>View</v>
      </c>
      <c r="P2571" s="11"/>
    </row>
    <row r="2572" spans="1:16" ht="12.75" x14ac:dyDescent="0.35">
      <c r="A2572" s="7">
        <v>42482.350081018521</v>
      </c>
      <c r="B2572" s="8" t="str">
        <f t="shared" ref="B2572:B2573" si="239">HYPERLINK("https://twitter.com/VWBeetleSales","@VWBeetleSales")</f>
        <v>@VWBeetleSales</v>
      </c>
      <c r="C2572" s="9" t="s">
        <v>127</v>
      </c>
      <c r="D2572" s="9" t="s">
        <v>6508</v>
      </c>
      <c r="E2572" s="10" t="str">
        <f>HYPERLINK("https://twitter.com/VWBeetleSales/status/723344102192898049","723344102192898049")</f>
        <v>723344102192898049</v>
      </c>
      <c r="F2572" s="10" t="s">
        <v>124</v>
      </c>
      <c r="G2572" s="11">
        <v>35</v>
      </c>
      <c r="H2572" s="11">
        <v>32</v>
      </c>
      <c r="I2572" s="11">
        <v>0</v>
      </c>
      <c r="J2572" s="11">
        <v>0</v>
      </c>
      <c r="K2572" s="11" t="s">
        <v>21</v>
      </c>
      <c r="L2572" s="7">
        <v>42427.019756944443</v>
      </c>
      <c r="M2572" s="12" t="s">
        <v>129</v>
      </c>
      <c r="N2572" s="12" t="s">
        <v>130</v>
      </c>
      <c r="O2572" s="10" t="str">
        <f t="shared" ref="O2572:O2573" si="240">HYPERLINK("https://pbs.twimg.com/profile_images/703294545195307008/qeCvrX86_normal.jpg","View")</f>
        <v>View</v>
      </c>
      <c r="P2572" s="11"/>
    </row>
    <row r="2573" spans="1:16" ht="12.75" x14ac:dyDescent="0.35">
      <c r="A2573" s="7">
        <v>42482.350104166668</v>
      </c>
      <c r="B2573" s="8" t="str">
        <f t="shared" si="239"/>
        <v>@VWBeetleSales</v>
      </c>
      <c r="C2573" s="9" t="s">
        <v>127</v>
      </c>
      <c r="D2573" s="9" t="s">
        <v>6509</v>
      </c>
      <c r="E2573" s="10" t="str">
        <f>HYPERLINK("https://twitter.com/VWBeetleSales/status/723344110745051137","723344110745051137")</f>
        <v>723344110745051137</v>
      </c>
      <c r="F2573" s="10" t="s">
        <v>124</v>
      </c>
      <c r="G2573" s="11">
        <v>35</v>
      </c>
      <c r="H2573" s="11">
        <v>32</v>
      </c>
      <c r="I2573" s="11">
        <v>0</v>
      </c>
      <c r="J2573" s="11">
        <v>0</v>
      </c>
      <c r="K2573" s="11" t="s">
        <v>21</v>
      </c>
      <c r="L2573" s="7">
        <v>42427.019756944443</v>
      </c>
      <c r="M2573" s="12" t="s">
        <v>129</v>
      </c>
      <c r="N2573" s="12" t="s">
        <v>130</v>
      </c>
      <c r="O2573" s="10" t="str">
        <f t="shared" si="240"/>
        <v>View</v>
      </c>
      <c r="P2573" s="11"/>
    </row>
    <row r="2574" spans="1:16" ht="12.75" x14ac:dyDescent="0.35">
      <c r="A2574" s="7">
        <v>42482.353576388894</v>
      </c>
      <c r="B2574" s="8" t="str">
        <f>HYPERLINK("https://twitter.com/N8Sandrs","@N8Sandrs")</f>
        <v>@N8Sandrs</v>
      </c>
      <c r="C2574" s="9" t="s">
        <v>6510</v>
      </c>
      <c r="D2574" s="9" t="s">
        <v>6511</v>
      </c>
      <c r="E2574" s="10" t="str">
        <f>HYPERLINK("https://twitter.com/N8Sandrs/status/723345369396973568","723345369396973568")</f>
        <v>723345369396973568</v>
      </c>
      <c r="F2574" s="11" t="s">
        <v>20</v>
      </c>
      <c r="G2574" s="11">
        <v>79</v>
      </c>
      <c r="H2574" s="11">
        <v>167</v>
      </c>
      <c r="I2574" s="11">
        <v>0</v>
      </c>
      <c r="J2574" s="11">
        <v>0</v>
      </c>
      <c r="K2574" s="11" t="s">
        <v>21</v>
      </c>
      <c r="L2574" s="7">
        <v>41220.242800925924</v>
      </c>
      <c r="M2574" s="12" t="s">
        <v>312</v>
      </c>
      <c r="N2574" s="12" t="s">
        <v>6512</v>
      </c>
      <c r="O2574" s="10" t="str">
        <f>HYPERLINK("https://pbs.twimg.com/profile_images/478930661219135489/FE9zHpwf_normal.jpeg","View")</f>
        <v>View</v>
      </c>
      <c r="P2574" s="11"/>
    </row>
    <row r="2575" spans="1:16" ht="12.75" x14ac:dyDescent="0.35">
      <c r="A2575" s="7">
        <v>42482.353831018518</v>
      </c>
      <c r="B2575" s="8" t="str">
        <f>HYPERLINK("https://twitter.com/ebaycampervans","@ebaycampervans")</f>
        <v>@ebaycampervans</v>
      </c>
      <c r="C2575" s="9" t="s">
        <v>682</v>
      </c>
      <c r="D2575" s="9" t="s">
        <v>6513</v>
      </c>
      <c r="E2575" s="10" t="str">
        <f>HYPERLINK("https://twitter.com/ebaycampervans/status/723345460455317504","723345460455317504")</f>
        <v>723345460455317504</v>
      </c>
      <c r="F2575" s="11" t="s">
        <v>34</v>
      </c>
      <c r="G2575" s="11">
        <v>380</v>
      </c>
      <c r="H2575" s="11">
        <v>1002</v>
      </c>
      <c r="I2575" s="11">
        <v>0</v>
      </c>
      <c r="J2575" s="11">
        <v>0</v>
      </c>
      <c r="K2575" s="11" t="s">
        <v>21</v>
      </c>
      <c r="L2575" s="7">
        <v>42140.207604166666</v>
      </c>
      <c r="M2575" s="12"/>
      <c r="N2575" s="12" t="s">
        <v>684</v>
      </c>
      <c r="O2575" s="10" t="str">
        <f>HYPERLINK("https://pbs.twimg.com/profile_images/599357023407464449/BL9Bpo6T_normal.jpg","View")</f>
        <v>View</v>
      </c>
      <c r="P2575" s="11"/>
    </row>
    <row r="2576" spans="1:16" ht="12.75" x14ac:dyDescent="0.35">
      <c r="A2576" s="7">
        <v>42482.354004629626</v>
      </c>
      <c r="B2576" s="8" t="str">
        <f>HYPERLINK("https://twitter.com/CaaioMonteiro","@CaaioMonteiro")</f>
        <v>@CaaioMonteiro</v>
      </c>
      <c r="C2576" s="9" t="s">
        <v>6514</v>
      </c>
      <c r="D2576" s="9" t="s">
        <v>6515</v>
      </c>
      <c r="E2576" s="10" t="str">
        <f>HYPERLINK("https://twitter.com/CaaioMonteiro/status/723345523831373824","723345523831373824")</f>
        <v>723345523831373824</v>
      </c>
      <c r="F2576" s="11" t="s">
        <v>114</v>
      </c>
      <c r="G2576" s="11">
        <v>160</v>
      </c>
      <c r="H2576" s="11">
        <v>78</v>
      </c>
      <c r="I2576" s="11">
        <v>0</v>
      </c>
      <c r="J2576" s="11">
        <v>1</v>
      </c>
      <c r="K2576" s="11" t="s">
        <v>21</v>
      </c>
      <c r="L2576" s="7">
        <v>40096.458067129628</v>
      </c>
      <c r="M2576" s="12" t="s">
        <v>6516</v>
      </c>
      <c r="N2576" s="12" t="s">
        <v>6517</v>
      </c>
      <c r="O2576" s="10" t="str">
        <f>HYPERLINK("https://pbs.twimg.com/profile_images/1403349824/tt_normal.jpg","View")</f>
        <v>View</v>
      </c>
      <c r="P2576" s="11"/>
    </row>
    <row r="2577" spans="1:16" ht="12.75" x14ac:dyDescent="0.35">
      <c r="A2577" s="7">
        <v>42482.354490740741</v>
      </c>
      <c r="B2577" s="8" t="str">
        <f>HYPERLINK("https://twitter.com/sfchronicle","@sfchronicle")</f>
        <v>@sfchronicle</v>
      </c>
      <c r="C2577" s="9" t="s">
        <v>4737</v>
      </c>
      <c r="D2577" s="9" t="s">
        <v>6518</v>
      </c>
      <c r="E2577" s="10" t="str">
        <f>HYPERLINK("https://twitter.com/sfchronicle/status/723345697307684864","723345697307684864")</f>
        <v>723345697307684864</v>
      </c>
      <c r="F2577" s="11" t="s">
        <v>63</v>
      </c>
      <c r="G2577" s="11">
        <v>78289</v>
      </c>
      <c r="H2577" s="11">
        <v>171</v>
      </c>
      <c r="I2577" s="11">
        <v>1</v>
      </c>
      <c r="J2577" s="11">
        <v>0</v>
      </c>
      <c r="K2577" s="11" t="s">
        <v>21</v>
      </c>
      <c r="L2577" s="7">
        <v>40247.25980324074</v>
      </c>
      <c r="M2577" s="12" t="s">
        <v>244</v>
      </c>
      <c r="N2577" s="12" t="s">
        <v>4739</v>
      </c>
      <c r="O2577" s="10" t="str">
        <f>HYPERLINK("https://pbs.twimg.com/profile_images/695773573919543296/Q1mS960c_normal.jpg","View")</f>
        <v>View</v>
      </c>
      <c r="P2577" s="11"/>
    </row>
    <row r="2578" spans="1:16" ht="12.75" x14ac:dyDescent="0.35">
      <c r="A2578" s="7">
        <v>42482.355057870373</v>
      </c>
      <c r="B2578" s="8" t="str">
        <f>HYPERLINK("https://twitter.com/festus100461","@festus100461")</f>
        <v>@festus100461</v>
      </c>
      <c r="C2578" s="9" t="s">
        <v>6519</v>
      </c>
      <c r="D2578" s="9" t="s">
        <v>3496</v>
      </c>
      <c r="E2578" s="10" t="str">
        <f>HYPERLINK("https://twitter.com/festus100461/status/723345903864692736","723345903864692736")</f>
        <v>723345903864692736</v>
      </c>
      <c r="F2578" s="11" t="s">
        <v>48</v>
      </c>
      <c r="G2578" s="11">
        <v>408</v>
      </c>
      <c r="H2578" s="11">
        <v>639</v>
      </c>
      <c r="I2578" s="11">
        <v>6</v>
      </c>
      <c r="J2578" s="11">
        <v>0</v>
      </c>
      <c r="K2578" s="11" t="s">
        <v>21</v>
      </c>
      <c r="L2578" s="7">
        <v>41837.057129629626</v>
      </c>
      <c r="M2578" s="12" t="s">
        <v>6520</v>
      </c>
      <c r="N2578" s="12"/>
      <c r="O2578" s="10" t="str">
        <f>HYPERLINK("https://pbs.twimg.com/profile_images/605013931736854528/dpTK8kMw_normal.jpg","View")</f>
        <v>View</v>
      </c>
      <c r="P2578" s="11"/>
    </row>
    <row r="2579" spans="1:16" ht="12.75" x14ac:dyDescent="0.35">
      <c r="A2579" s="7">
        <v>42482.356388888889</v>
      </c>
      <c r="B2579" s="8" t="str">
        <f>HYPERLINK("https://twitter.com/borusse08","@borusse08")</f>
        <v>@borusse08</v>
      </c>
      <c r="C2579" s="9" t="s">
        <v>6521</v>
      </c>
      <c r="D2579" s="9" t="s">
        <v>3496</v>
      </c>
      <c r="E2579" s="10" t="str">
        <f>HYPERLINK("https://twitter.com/borusse08/status/723346386360651776","723346386360651776")</f>
        <v>723346386360651776</v>
      </c>
      <c r="F2579" s="11" t="s">
        <v>20</v>
      </c>
      <c r="G2579" s="11">
        <v>212</v>
      </c>
      <c r="H2579" s="11">
        <v>385</v>
      </c>
      <c r="I2579" s="11">
        <v>6</v>
      </c>
      <c r="J2579" s="11">
        <v>0</v>
      </c>
      <c r="K2579" s="11" t="s">
        <v>21</v>
      </c>
      <c r="L2579" s="7">
        <v>42266.117685185185</v>
      </c>
      <c r="M2579" s="12" t="s">
        <v>6522</v>
      </c>
      <c r="N2579" s="12" t="s">
        <v>6523</v>
      </c>
      <c r="O2579" s="10" t="str">
        <f>HYPERLINK("https://pbs.twimg.com/profile_images/703661977130942464/zCAp41yU_normal.jpg","View")</f>
        <v>View</v>
      </c>
      <c r="P2579" s="11"/>
    </row>
    <row r="2580" spans="1:16" ht="12.75" x14ac:dyDescent="0.35">
      <c r="A2580" s="7">
        <v>42482.357465277775</v>
      </c>
      <c r="B2580" s="8" t="str">
        <f>HYPERLINK("https://twitter.com/chronsucks","@chronsucks")</f>
        <v>@chronsucks</v>
      </c>
      <c r="C2580" s="9" t="s">
        <v>4770</v>
      </c>
      <c r="D2580" s="9" t="s">
        <v>6524</v>
      </c>
      <c r="E2580" s="10" t="str">
        <f>HYPERLINK("https://twitter.com/chronsucks/status/723346776829378560","723346776829378560")</f>
        <v>723346776829378560</v>
      </c>
      <c r="F2580" s="11" t="s">
        <v>288</v>
      </c>
      <c r="G2580" s="11">
        <v>30</v>
      </c>
      <c r="H2580" s="11">
        <v>1</v>
      </c>
      <c r="I2580" s="11">
        <v>1</v>
      </c>
      <c r="J2580" s="11">
        <v>0</v>
      </c>
      <c r="K2580" s="11" t="s">
        <v>21</v>
      </c>
      <c r="L2580" s="7">
        <v>42191.8591087963</v>
      </c>
      <c r="M2580" s="12"/>
      <c r="N2580" s="12"/>
      <c r="O2580" s="10" t="str">
        <f>HYPERLINK("https://abs.twimg.com/sticky/default_profile_images/default_profile_0_normal.png","View")</f>
        <v>View</v>
      </c>
      <c r="P2580" s="11"/>
    </row>
    <row r="2581" spans="1:16" ht="12.75" x14ac:dyDescent="0.35">
      <c r="A2581" s="7">
        <v>42482.359629629631</v>
      </c>
      <c r="B2581" s="8" t="str">
        <f t="shared" ref="B2581:B2582" si="241">HYPERLINK("https://twitter.com/AdgmanA","@AdgmanA")</f>
        <v>@AdgmanA</v>
      </c>
      <c r="C2581" s="9" t="s">
        <v>6525</v>
      </c>
      <c r="D2581" s="9" t="s">
        <v>6526</v>
      </c>
      <c r="E2581" s="10" t="str">
        <f>HYPERLINK("https://twitter.com/AdgmanA/status/723347562137280512","723347562137280512")</f>
        <v>723347562137280512</v>
      </c>
      <c r="F2581" s="11" t="s">
        <v>20</v>
      </c>
      <c r="G2581" s="11">
        <v>406</v>
      </c>
      <c r="H2581" s="11">
        <v>48</v>
      </c>
      <c r="I2581" s="11">
        <v>2</v>
      </c>
      <c r="J2581" s="11">
        <v>0</v>
      </c>
      <c r="K2581" s="11" t="s">
        <v>21</v>
      </c>
      <c r="L2581" s="7">
        <v>40286.513032407405</v>
      </c>
      <c r="M2581" s="12" t="s">
        <v>6527</v>
      </c>
      <c r="N2581" s="12" t="s">
        <v>6528</v>
      </c>
      <c r="O2581" s="10" t="str">
        <f t="shared" ref="O2581:O2582" si="242">HYPERLINK("https://pbs.twimg.com/profile_images/717472604702052357/yTPUaVAZ_normal.jpg","View")</f>
        <v>View</v>
      </c>
      <c r="P2581" s="11"/>
    </row>
    <row r="2582" spans="1:16" ht="12.75" x14ac:dyDescent="0.35">
      <c r="A2582" s="7">
        <v>42482.359652777777</v>
      </c>
      <c r="B2582" s="8" t="str">
        <f t="shared" si="241"/>
        <v>@AdgmanA</v>
      </c>
      <c r="C2582" s="9" t="s">
        <v>6525</v>
      </c>
      <c r="D2582" s="9" t="s">
        <v>1693</v>
      </c>
      <c r="E2582" s="10" t="str">
        <f>HYPERLINK("https://twitter.com/AdgmanA/status/723347570223919104","723347570223919104")</f>
        <v>723347570223919104</v>
      </c>
      <c r="F2582" s="11" t="s">
        <v>20</v>
      </c>
      <c r="G2582" s="11">
        <v>406</v>
      </c>
      <c r="H2582" s="11">
        <v>48</v>
      </c>
      <c r="I2582" s="11">
        <v>3</v>
      </c>
      <c r="J2582" s="11">
        <v>0</v>
      </c>
      <c r="K2582" s="11" t="s">
        <v>21</v>
      </c>
      <c r="L2582" s="7">
        <v>40286.513032407405</v>
      </c>
      <c r="M2582" s="12" t="s">
        <v>6527</v>
      </c>
      <c r="N2582" s="12" t="s">
        <v>6528</v>
      </c>
      <c r="O2582" s="10" t="str">
        <f t="shared" si="242"/>
        <v>View</v>
      </c>
      <c r="P2582" s="11"/>
    </row>
    <row r="2583" spans="1:16" ht="12.75" x14ac:dyDescent="0.35">
      <c r="A2583" s="7">
        <v>42482.359664351854</v>
      </c>
      <c r="B2583" s="8" t="str">
        <f>HYPERLINK("https://twitter.com/gleamnx","@gleamnx")</f>
        <v>@gleamnx</v>
      </c>
      <c r="C2583" s="9" t="s">
        <v>6529</v>
      </c>
      <c r="D2583" s="9" t="s">
        <v>6530</v>
      </c>
      <c r="E2583" s="10" t="str">
        <f>HYPERLINK("https://twitter.com/gleamnx/status/723347573663215616","723347573663215616")</f>
        <v>723347573663215616</v>
      </c>
      <c r="F2583" s="11" t="s">
        <v>48</v>
      </c>
      <c r="G2583" s="11">
        <v>17</v>
      </c>
      <c r="H2583" s="11">
        <v>158</v>
      </c>
      <c r="I2583" s="11">
        <v>0</v>
      </c>
      <c r="J2583" s="11">
        <v>0</v>
      </c>
      <c r="K2583" s="11" t="s">
        <v>21</v>
      </c>
      <c r="L2583" s="7">
        <v>40437.946076388893</v>
      </c>
      <c r="M2583" s="12" t="s">
        <v>6531</v>
      </c>
      <c r="N2583" s="12"/>
      <c r="O2583" s="10" t="str">
        <f>HYPERLINK("https://pbs.twimg.com/profile_images/2345389543/pzf2fix9mmipequtrhdu_normal.jpeg","View")</f>
        <v>View</v>
      </c>
      <c r="P2583" s="11"/>
    </row>
    <row r="2584" spans="1:16" ht="12.75" x14ac:dyDescent="0.35">
      <c r="A2584" s="7">
        <v>42482.359699074077</v>
      </c>
      <c r="B2584" s="8" t="str">
        <f t="shared" ref="B2584:B2587" si="243">HYPERLINK("https://twitter.com/AdgmanA","@AdgmanA")</f>
        <v>@AdgmanA</v>
      </c>
      <c r="C2584" s="9" t="s">
        <v>6525</v>
      </c>
      <c r="D2584" s="9" t="s">
        <v>6532</v>
      </c>
      <c r="E2584" s="10" t="str">
        <f>HYPERLINK("https://twitter.com/AdgmanA/status/723347584757194752","723347584757194752")</f>
        <v>723347584757194752</v>
      </c>
      <c r="F2584" s="11" t="s">
        <v>20</v>
      </c>
      <c r="G2584" s="11">
        <v>406</v>
      </c>
      <c r="H2584" s="11">
        <v>48</v>
      </c>
      <c r="I2584" s="11">
        <v>4</v>
      </c>
      <c r="J2584" s="11">
        <v>0</v>
      </c>
      <c r="K2584" s="11" t="s">
        <v>21</v>
      </c>
      <c r="L2584" s="7">
        <v>40286.513032407405</v>
      </c>
      <c r="M2584" s="12" t="s">
        <v>6527</v>
      </c>
      <c r="N2584" s="12" t="s">
        <v>6528</v>
      </c>
      <c r="O2584" s="10" t="str">
        <f t="shared" ref="O2584:O2587" si="244">HYPERLINK("https://pbs.twimg.com/profile_images/717472604702052357/yTPUaVAZ_normal.jpg","View")</f>
        <v>View</v>
      </c>
      <c r="P2584" s="11"/>
    </row>
    <row r="2585" spans="1:16" ht="12.75" x14ac:dyDescent="0.35">
      <c r="A2585" s="7">
        <v>42482.359722222223</v>
      </c>
      <c r="B2585" s="8" t="str">
        <f t="shared" si="243"/>
        <v>@AdgmanA</v>
      </c>
      <c r="C2585" s="9" t="s">
        <v>6525</v>
      </c>
      <c r="D2585" s="9" t="s">
        <v>158</v>
      </c>
      <c r="E2585" s="10" t="str">
        <f>HYPERLINK("https://twitter.com/AdgmanA/status/723347593456181249","723347593456181249")</f>
        <v>723347593456181249</v>
      </c>
      <c r="F2585" s="11" t="s">
        <v>20</v>
      </c>
      <c r="G2585" s="11">
        <v>406</v>
      </c>
      <c r="H2585" s="11">
        <v>48</v>
      </c>
      <c r="I2585" s="11">
        <v>23</v>
      </c>
      <c r="J2585" s="11">
        <v>0</v>
      </c>
      <c r="K2585" s="11" t="s">
        <v>21</v>
      </c>
      <c r="L2585" s="7">
        <v>40286.513032407405</v>
      </c>
      <c r="M2585" s="12" t="s">
        <v>6527</v>
      </c>
      <c r="N2585" s="12" t="s">
        <v>6528</v>
      </c>
      <c r="O2585" s="10" t="str">
        <f t="shared" si="244"/>
        <v>View</v>
      </c>
      <c r="P2585" s="11"/>
    </row>
    <row r="2586" spans="1:16" ht="12.75" x14ac:dyDescent="0.35">
      <c r="A2586" s="7">
        <v>42482.359768518523</v>
      </c>
      <c r="B2586" s="8" t="str">
        <f t="shared" si="243"/>
        <v>@AdgmanA</v>
      </c>
      <c r="C2586" s="9" t="s">
        <v>6525</v>
      </c>
      <c r="D2586" s="9" t="s">
        <v>3239</v>
      </c>
      <c r="E2586" s="10" t="str">
        <f>HYPERLINK("https://twitter.com/AdgmanA/status/723347611634249729","723347611634249729")</f>
        <v>723347611634249729</v>
      </c>
      <c r="F2586" s="11" t="s">
        <v>20</v>
      </c>
      <c r="G2586" s="11">
        <v>406</v>
      </c>
      <c r="H2586" s="11">
        <v>48</v>
      </c>
      <c r="I2586" s="11">
        <v>16</v>
      </c>
      <c r="J2586" s="11">
        <v>0</v>
      </c>
      <c r="K2586" s="11" t="s">
        <v>21</v>
      </c>
      <c r="L2586" s="7">
        <v>40286.513032407405</v>
      </c>
      <c r="M2586" s="12" t="s">
        <v>6527</v>
      </c>
      <c r="N2586" s="12" t="s">
        <v>6528</v>
      </c>
      <c r="O2586" s="10" t="str">
        <f t="shared" si="244"/>
        <v>View</v>
      </c>
      <c r="P2586" s="11"/>
    </row>
    <row r="2587" spans="1:16" ht="12.75" x14ac:dyDescent="0.35">
      <c r="A2587" s="7">
        <v>42482.359780092593</v>
      </c>
      <c r="B2587" s="8" t="str">
        <f t="shared" si="243"/>
        <v>@AdgmanA</v>
      </c>
      <c r="C2587" s="9" t="s">
        <v>6525</v>
      </c>
      <c r="D2587" s="9" t="s">
        <v>6533</v>
      </c>
      <c r="E2587" s="10" t="str">
        <f>HYPERLINK("https://twitter.com/AdgmanA/status/723347617216925700","723347617216925700")</f>
        <v>723347617216925700</v>
      </c>
      <c r="F2587" s="11" t="s">
        <v>20</v>
      </c>
      <c r="G2587" s="11">
        <v>406</v>
      </c>
      <c r="H2587" s="11">
        <v>48</v>
      </c>
      <c r="I2587" s="11">
        <v>5</v>
      </c>
      <c r="J2587" s="11">
        <v>0</v>
      </c>
      <c r="K2587" s="11" t="s">
        <v>21</v>
      </c>
      <c r="L2587" s="7">
        <v>40286.513032407405</v>
      </c>
      <c r="M2587" s="12" t="s">
        <v>6527</v>
      </c>
      <c r="N2587" s="12" t="s">
        <v>6528</v>
      </c>
      <c r="O2587" s="10" t="str">
        <f t="shared" si="244"/>
        <v>View</v>
      </c>
      <c r="P2587" s="11"/>
    </row>
    <row r="2588" spans="1:16" ht="12.75" x14ac:dyDescent="0.35">
      <c r="A2588" s="7">
        <v>42482.36555555556</v>
      </c>
      <c r="B2588" s="8" t="str">
        <f>HYPERLINK("https://twitter.com/LynnInCA","@LynnInCA")</f>
        <v>@LynnInCA</v>
      </c>
      <c r="C2588" s="9" t="s">
        <v>6534</v>
      </c>
      <c r="D2588" s="9" t="s">
        <v>6504</v>
      </c>
      <c r="E2588" s="10" t="str">
        <f>HYPERLINK("https://twitter.com/LynnInCA/status/723349708882632705","723349708882632705")</f>
        <v>723349708882632705</v>
      </c>
      <c r="F2588" s="11" t="s">
        <v>48</v>
      </c>
      <c r="G2588" s="11">
        <v>82</v>
      </c>
      <c r="H2588" s="11">
        <v>225</v>
      </c>
      <c r="I2588" s="11">
        <v>3</v>
      </c>
      <c r="J2588" s="11">
        <v>0</v>
      </c>
      <c r="K2588" s="11" t="s">
        <v>21</v>
      </c>
      <c r="L2588" s="7">
        <v>40009.315578703703</v>
      </c>
      <c r="M2588" s="12" t="s">
        <v>3270</v>
      </c>
      <c r="N2588" s="12" t="s">
        <v>6535</v>
      </c>
      <c r="O2588" s="10" t="str">
        <f>HYPERLINK("https://pbs.twimg.com/profile_images/646720231566544896/G7OXCUOB_normal.jpg","View")</f>
        <v>View</v>
      </c>
      <c r="P2588" s="11"/>
    </row>
    <row r="2589" spans="1:16" ht="12.75" x14ac:dyDescent="0.35">
      <c r="A2589" s="7">
        <v>42482.367164351846</v>
      </c>
      <c r="B2589" s="8" t="str">
        <f>HYPERLINK("https://twitter.com/E_roar_ah","@E_roar_ah")</f>
        <v>@E_roar_ah</v>
      </c>
      <c r="C2589" s="9" t="s">
        <v>6536</v>
      </c>
      <c r="D2589" s="9" t="s">
        <v>6537</v>
      </c>
      <c r="E2589" s="10" t="str">
        <f>HYPERLINK("https://twitter.com/E_roar_ah/status/723350290133598208","723350290133598208")</f>
        <v>723350290133598208</v>
      </c>
      <c r="F2589" s="11" t="s">
        <v>114</v>
      </c>
      <c r="G2589" s="11">
        <v>293</v>
      </c>
      <c r="H2589" s="11">
        <v>339</v>
      </c>
      <c r="I2589" s="11">
        <v>1</v>
      </c>
      <c r="J2589" s="11">
        <v>1</v>
      </c>
      <c r="K2589" s="11" t="s">
        <v>21</v>
      </c>
      <c r="L2589" s="7">
        <v>41169.173680555556</v>
      </c>
      <c r="M2589" s="12"/>
      <c r="N2589" s="12" t="s">
        <v>6538</v>
      </c>
      <c r="O2589" s="10" t="str">
        <f>HYPERLINK("https://pbs.twimg.com/profile_images/709826799564410880/PaP92lop_normal.jpg","View")</f>
        <v>View</v>
      </c>
      <c r="P2589" s="11"/>
    </row>
    <row r="2590" spans="1:16" ht="12.75" x14ac:dyDescent="0.35">
      <c r="A2590" s="7">
        <v>42482.367777777778</v>
      </c>
      <c r="B2590" s="8" t="str">
        <f>HYPERLINK("https://twitter.com/CaboMace","@CaboMace")</f>
        <v>@CaboMace</v>
      </c>
      <c r="C2590" s="9" t="s">
        <v>6539</v>
      </c>
      <c r="D2590" s="9" t="s">
        <v>6540</v>
      </c>
      <c r="E2590" s="10" t="str">
        <f>HYPERLINK("https://twitter.com/CaboMace/status/723350516055437314","723350516055437314")</f>
        <v>723350516055437314</v>
      </c>
      <c r="F2590" s="11" t="s">
        <v>20</v>
      </c>
      <c r="G2590" s="11">
        <v>1950</v>
      </c>
      <c r="H2590" s="11">
        <v>1811</v>
      </c>
      <c r="I2590" s="11">
        <v>0</v>
      </c>
      <c r="J2590" s="11">
        <v>0</v>
      </c>
      <c r="K2590" s="11" t="s">
        <v>21</v>
      </c>
      <c r="L2590" s="7">
        <v>41381.392395833333</v>
      </c>
      <c r="M2590" s="12" t="s">
        <v>6541</v>
      </c>
      <c r="N2590" s="12" t="s">
        <v>6542</v>
      </c>
      <c r="O2590" s="10" t="str">
        <f>HYPERLINK("https://pbs.twimg.com/profile_images/721878890063355905/4KmdUKQ8_normal.jpg","View")</f>
        <v>View</v>
      </c>
      <c r="P2590" s="11"/>
    </row>
    <row r="2591" spans="1:16" ht="12.75" x14ac:dyDescent="0.35">
      <c r="A2591" s="7">
        <v>42482.369398148148</v>
      </c>
      <c r="B2591" s="8" t="str">
        <f>HYPERLINK("https://twitter.com/financetwitting","@financetwitting")</f>
        <v>@financetwitting</v>
      </c>
      <c r="C2591" s="9" t="s">
        <v>6543</v>
      </c>
      <c r="D2591" s="9" t="s">
        <v>6544</v>
      </c>
      <c r="E2591" s="10" t="str">
        <f>HYPERLINK("https://twitter.com/financetwitting/status/723351099759955970","723351099759955970")</f>
        <v>723351099759955970</v>
      </c>
      <c r="F2591" s="11" t="s">
        <v>43</v>
      </c>
      <c r="G2591" s="11">
        <v>416</v>
      </c>
      <c r="H2591" s="11">
        <v>1</v>
      </c>
      <c r="I2591" s="11">
        <v>0</v>
      </c>
      <c r="J2591" s="11">
        <v>0</v>
      </c>
      <c r="K2591" s="11" t="s">
        <v>21</v>
      </c>
      <c r="L2591" s="7">
        <v>40405.653101851851</v>
      </c>
      <c r="M2591" s="12"/>
      <c r="N2591" s="12"/>
      <c r="O2591" s="10" t="str">
        <f>HYPERLINK("https://pbs.twimg.com/profile_images/1312581562/FinanceTwitter_dotcom_50_50_normal.jpg","View")</f>
        <v>View</v>
      </c>
      <c r="P2591" s="11"/>
    </row>
    <row r="2592" spans="1:16" ht="12.75" x14ac:dyDescent="0.35">
      <c r="A2592" s="7">
        <v>42482.369525462964</v>
      </c>
      <c r="B2592" s="8" t="str">
        <f>HYPERLINK("https://twitter.com/vagcafe","@vagcafe")</f>
        <v>@vagcafe</v>
      </c>
      <c r="C2592" s="9" t="s">
        <v>6545</v>
      </c>
      <c r="D2592" s="9" t="s">
        <v>6546</v>
      </c>
      <c r="E2592" s="10" t="str">
        <f>HYPERLINK("https://twitter.com/vagcafe/status/723351147667439616","723351147667439616")</f>
        <v>723351147667439616</v>
      </c>
      <c r="F2592" s="11" t="s">
        <v>114</v>
      </c>
      <c r="G2592" s="11">
        <v>616</v>
      </c>
      <c r="H2592" s="11">
        <v>946</v>
      </c>
      <c r="I2592" s="11">
        <v>0</v>
      </c>
      <c r="J2592" s="11">
        <v>1</v>
      </c>
      <c r="K2592" s="11" t="s">
        <v>21</v>
      </c>
      <c r="L2592" s="7">
        <v>41657.0393287037</v>
      </c>
      <c r="M2592" s="12" t="s">
        <v>6547</v>
      </c>
      <c r="N2592" s="12" t="s">
        <v>6548</v>
      </c>
      <c r="O2592" s="10" t="str">
        <f>HYPERLINK("https://pbs.twimg.com/profile_images/424263999111180288/uiuHfUnY_normal.png","View")</f>
        <v>View</v>
      </c>
      <c r="P2592" s="11"/>
    </row>
    <row r="2593" spans="1:16" ht="12.75" x14ac:dyDescent="0.35">
      <c r="A2593" s="7">
        <v>42482.374953703707</v>
      </c>
      <c r="B2593" s="8" t="str">
        <f>HYPERLINK("https://twitter.com/StvnsFrnk","@StvnsFrnk")</f>
        <v>@StvnsFrnk</v>
      </c>
      <c r="C2593" s="9" t="s">
        <v>6549</v>
      </c>
      <c r="D2593" s="9" t="s">
        <v>6550</v>
      </c>
      <c r="E2593" s="10" t="str">
        <f>HYPERLINK("https://twitter.com/StvnsFrnk/status/723353115081076736","723353115081076736")</f>
        <v>723353115081076736</v>
      </c>
      <c r="F2593" s="11" t="s">
        <v>933</v>
      </c>
      <c r="G2593" s="11">
        <v>286</v>
      </c>
      <c r="H2593" s="11">
        <v>243</v>
      </c>
      <c r="I2593" s="11">
        <v>0</v>
      </c>
      <c r="J2593" s="11">
        <v>0</v>
      </c>
      <c r="K2593" s="11" t="s">
        <v>21</v>
      </c>
      <c r="L2593" s="7">
        <v>41720.556006944447</v>
      </c>
      <c r="M2593" s="12" t="s">
        <v>6551</v>
      </c>
      <c r="N2593" s="12" t="s">
        <v>6552</v>
      </c>
      <c r="O2593" s="10" t="str">
        <f>HYPERLINK("https://pbs.twimg.com/profile_images/447281889578323968/hqCNxI9e_normal.jpeg","View")</f>
        <v>View</v>
      </c>
      <c r="P2593" s="11"/>
    </row>
    <row r="2594" spans="1:16" ht="12.75" x14ac:dyDescent="0.35">
      <c r="A2594" s="7">
        <v>42482.375138888892</v>
      </c>
      <c r="B2594" s="8" t="str">
        <f>HYPERLINK("https://twitter.com/MiloTheSaint","@MiloTheSaint")</f>
        <v>@MiloTheSaint</v>
      </c>
      <c r="C2594" s="9" t="s">
        <v>6553</v>
      </c>
      <c r="D2594" s="9" t="s">
        <v>6554</v>
      </c>
      <c r="E2594" s="10" t="str">
        <f>HYPERLINK("https://twitter.com/MiloTheSaint/status/723353183792291844","723353183792291844")</f>
        <v>723353183792291844</v>
      </c>
      <c r="F2594" s="11" t="s">
        <v>114</v>
      </c>
      <c r="G2594" s="11">
        <v>39</v>
      </c>
      <c r="H2594" s="11">
        <v>144</v>
      </c>
      <c r="I2594" s="11">
        <v>0</v>
      </c>
      <c r="J2594" s="11">
        <v>0</v>
      </c>
      <c r="K2594" s="11" t="s">
        <v>21</v>
      </c>
      <c r="L2594" s="7">
        <v>40977.432615740741</v>
      </c>
      <c r="M2594" s="12" t="s">
        <v>3553</v>
      </c>
      <c r="N2594" s="12" t="s">
        <v>6555</v>
      </c>
      <c r="O2594" s="10" t="str">
        <f>HYPERLINK("https://pbs.twimg.com/profile_images/720059584266821633/NhVXHw2i_normal.jpg","View")</f>
        <v>View</v>
      </c>
      <c r="P2594" s="11"/>
    </row>
    <row r="2595" spans="1:16" ht="12.75" x14ac:dyDescent="0.35">
      <c r="A2595" s="7">
        <v>42482.37704861111</v>
      </c>
      <c r="B2595" s="8" t="str">
        <f>HYPERLINK("https://twitter.com/APWCares","@APWCares")</f>
        <v>@APWCares</v>
      </c>
      <c r="C2595" s="9" t="s">
        <v>6556</v>
      </c>
      <c r="D2595" s="9" t="s">
        <v>6557</v>
      </c>
      <c r="E2595" s="10" t="str">
        <f>HYPERLINK("https://twitter.com/APWCares/status/723353873516257280","723353873516257280")</f>
        <v>723353873516257280</v>
      </c>
      <c r="F2595" s="11" t="s">
        <v>68</v>
      </c>
      <c r="G2595" s="11">
        <v>3241</v>
      </c>
      <c r="H2595" s="11">
        <v>129</v>
      </c>
      <c r="I2595" s="11">
        <v>0</v>
      </c>
      <c r="J2595" s="11">
        <v>0</v>
      </c>
      <c r="K2595" s="11" t="s">
        <v>21</v>
      </c>
      <c r="L2595" s="7">
        <v>40176.49622685185</v>
      </c>
      <c r="M2595" s="12" t="s">
        <v>6558</v>
      </c>
      <c r="N2595" s="12" t="s">
        <v>6559</v>
      </c>
      <c r="O2595" s="10" t="str">
        <f>HYPERLINK("https://pbs.twimg.com/profile_images/715812919020228608/iTOiCon4_normal.jpg","View")</f>
        <v>View</v>
      </c>
      <c r="P2595" s="11"/>
    </row>
    <row r="2596" spans="1:16" ht="12.75" x14ac:dyDescent="0.35">
      <c r="A2596" s="7">
        <v>42482.377604166672</v>
      </c>
      <c r="B2596" s="8" t="str">
        <f t="shared" ref="B2596:B2599" si="245">HYPERLINK("https://twitter.com/beetlebug1938","@beetlebug1938")</f>
        <v>@beetlebug1938</v>
      </c>
      <c r="C2596" s="9" t="s">
        <v>66</v>
      </c>
      <c r="D2596" s="9" t="s">
        <v>6560</v>
      </c>
      <c r="E2596" s="10" t="str">
        <f>HYPERLINK("https://twitter.com/beetlebug1938/status/723354074373054464","723354074373054464")</f>
        <v>723354074373054464</v>
      </c>
      <c r="F2596" s="11" t="s">
        <v>68</v>
      </c>
      <c r="G2596" s="11">
        <v>346</v>
      </c>
      <c r="H2596" s="11">
        <v>2222</v>
      </c>
      <c r="I2596" s="11">
        <v>0</v>
      </c>
      <c r="J2596" s="11">
        <v>1</v>
      </c>
      <c r="K2596" s="11" t="s">
        <v>21</v>
      </c>
      <c r="L2596" s="7">
        <v>42469.863865740743</v>
      </c>
      <c r="M2596" s="12" t="s">
        <v>69</v>
      </c>
      <c r="N2596" s="12"/>
      <c r="O2596" s="10" t="str">
        <f t="shared" ref="O2596:O2599" si="246">HYPERLINK("https://pbs.twimg.com/profile_images/718820712757215233/LXXndPTS_normal.jpg","View")</f>
        <v>View</v>
      </c>
      <c r="P2596" s="11"/>
    </row>
    <row r="2597" spans="1:16" ht="12.75" x14ac:dyDescent="0.35">
      <c r="A2597" s="7">
        <v>42482.377638888887</v>
      </c>
      <c r="B2597" s="8" t="str">
        <f t="shared" si="245"/>
        <v>@beetlebug1938</v>
      </c>
      <c r="C2597" s="9" t="s">
        <v>66</v>
      </c>
      <c r="D2597" s="9" t="s">
        <v>6561</v>
      </c>
      <c r="E2597" s="10" t="str">
        <f>HYPERLINK("https://twitter.com/beetlebug1938/status/723354087152963584","723354087152963584")</f>
        <v>723354087152963584</v>
      </c>
      <c r="F2597" s="11" t="s">
        <v>68</v>
      </c>
      <c r="G2597" s="11">
        <v>346</v>
      </c>
      <c r="H2597" s="11">
        <v>2222</v>
      </c>
      <c r="I2597" s="11">
        <v>1</v>
      </c>
      <c r="J2597" s="11">
        <v>0</v>
      </c>
      <c r="K2597" s="11" t="s">
        <v>21</v>
      </c>
      <c r="L2597" s="7">
        <v>42469.863865740743</v>
      </c>
      <c r="M2597" s="12" t="s">
        <v>69</v>
      </c>
      <c r="N2597" s="12"/>
      <c r="O2597" s="10" t="str">
        <f t="shared" si="246"/>
        <v>View</v>
      </c>
      <c r="P2597" s="11"/>
    </row>
    <row r="2598" spans="1:16" ht="12.75" x14ac:dyDescent="0.35">
      <c r="A2598" s="7">
        <v>42482.37767361111</v>
      </c>
      <c r="B2598" s="8" t="str">
        <f t="shared" si="245"/>
        <v>@beetlebug1938</v>
      </c>
      <c r="C2598" s="9" t="s">
        <v>66</v>
      </c>
      <c r="D2598" s="9" t="s">
        <v>6562</v>
      </c>
      <c r="E2598" s="10" t="str">
        <f>HYPERLINK("https://twitter.com/beetlebug1938/status/723354099509547008","723354099509547008")</f>
        <v>723354099509547008</v>
      </c>
      <c r="F2598" s="11" t="s">
        <v>68</v>
      </c>
      <c r="G2598" s="11">
        <v>346</v>
      </c>
      <c r="H2598" s="11">
        <v>2222</v>
      </c>
      <c r="I2598" s="11">
        <v>0</v>
      </c>
      <c r="J2598" s="11">
        <v>1</v>
      </c>
      <c r="K2598" s="11" t="s">
        <v>21</v>
      </c>
      <c r="L2598" s="7">
        <v>42469.863865740743</v>
      </c>
      <c r="M2598" s="12" t="s">
        <v>69</v>
      </c>
      <c r="N2598" s="12"/>
      <c r="O2598" s="10" t="str">
        <f t="shared" si="246"/>
        <v>View</v>
      </c>
      <c r="P2598" s="11"/>
    </row>
    <row r="2599" spans="1:16" ht="12.75" x14ac:dyDescent="0.35">
      <c r="A2599" s="7">
        <v>42482.377696759257</v>
      </c>
      <c r="B2599" s="8" t="str">
        <f t="shared" si="245"/>
        <v>@beetlebug1938</v>
      </c>
      <c r="C2599" s="9" t="s">
        <v>66</v>
      </c>
      <c r="D2599" s="9" t="s">
        <v>6563</v>
      </c>
      <c r="E2599" s="10" t="str">
        <f>HYPERLINK("https://twitter.com/beetlebug1938/status/723354110540537856","723354110540537856")</f>
        <v>723354110540537856</v>
      </c>
      <c r="F2599" s="11" t="s">
        <v>68</v>
      </c>
      <c r="G2599" s="11">
        <v>346</v>
      </c>
      <c r="H2599" s="11">
        <v>2222</v>
      </c>
      <c r="I2599" s="11">
        <v>0</v>
      </c>
      <c r="J2599" s="11">
        <v>0</v>
      </c>
      <c r="K2599" s="11" t="s">
        <v>21</v>
      </c>
      <c r="L2599" s="7">
        <v>42469.863865740743</v>
      </c>
      <c r="M2599" s="12" t="s">
        <v>69</v>
      </c>
      <c r="N2599" s="12"/>
      <c r="O2599" s="10" t="str">
        <f t="shared" si="246"/>
        <v>View</v>
      </c>
      <c r="P2599" s="11"/>
    </row>
    <row r="2600" spans="1:16" ht="12.75" x14ac:dyDescent="0.35">
      <c r="A2600" s="7">
        <v>42482.378009259264</v>
      </c>
      <c r="B2600" s="8" t="str">
        <f>HYPERLINK("https://twitter.com/deejay_1993","@deejay_1993")</f>
        <v>@deejay_1993</v>
      </c>
      <c r="C2600" s="9" t="s">
        <v>6564</v>
      </c>
      <c r="D2600" s="9" t="s">
        <v>6565</v>
      </c>
      <c r="E2600" s="10" t="str">
        <f>HYPERLINK("https://twitter.com/deejay_1993/status/723354224222965760","723354224222965760")</f>
        <v>723354224222965760</v>
      </c>
      <c r="F2600" s="11" t="s">
        <v>48</v>
      </c>
      <c r="G2600" s="11">
        <v>9</v>
      </c>
      <c r="H2600" s="11">
        <v>26</v>
      </c>
      <c r="I2600" s="11">
        <v>1</v>
      </c>
      <c r="J2600" s="11">
        <v>0</v>
      </c>
      <c r="K2600" s="11" t="s">
        <v>21</v>
      </c>
      <c r="L2600" s="7">
        <v>42479.265347222223</v>
      </c>
      <c r="M2600" s="12" t="s">
        <v>4860</v>
      </c>
      <c r="N2600" s="12" t="s">
        <v>6566</v>
      </c>
      <c r="O2600" s="10" t="str">
        <f>HYPERLINK("https://pbs.twimg.com/profile_images/722229319796449280/Y4NyzDbX_normal.jpg","View")</f>
        <v>View</v>
      </c>
      <c r="P2600" s="11"/>
    </row>
    <row r="2601" spans="1:16" ht="12.75" x14ac:dyDescent="0.35">
      <c r="A2601" s="7">
        <v>42482.378437499996</v>
      </c>
      <c r="B2601" s="8" t="str">
        <f>HYPERLINK("https://twitter.com/CentrevilleVW","@CentrevilleVW")</f>
        <v>@CentrevilleVW</v>
      </c>
      <c r="C2601" s="9" t="s">
        <v>6567</v>
      </c>
      <c r="D2601" s="9" t="s">
        <v>6568</v>
      </c>
      <c r="E2601" s="10" t="str">
        <f>HYPERLINK("https://twitter.com/CentrevilleVW/status/723354379185729536","723354379185729536")</f>
        <v>723354379185729536</v>
      </c>
      <c r="F2601" s="11" t="s">
        <v>43</v>
      </c>
      <c r="G2601" s="11">
        <v>444</v>
      </c>
      <c r="H2601" s="11">
        <v>1523</v>
      </c>
      <c r="I2601" s="11">
        <v>0</v>
      </c>
      <c r="J2601" s="11">
        <v>0</v>
      </c>
      <c r="K2601" s="11" t="s">
        <v>21</v>
      </c>
      <c r="L2601" s="7">
        <v>40601.859409722223</v>
      </c>
      <c r="M2601" s="12" t="s">
        <v>6569</v>
      </c>
      <c r="N2601" s="13" t="s">
        <v>6570</v>
      </c>
      <c r="O2601" s="10" t="str">
        <f>HYPERLINK("https://pbs.twimg.com/profile_images/378800000370512972/8e701edb60495fdf1d2feaddfe68e2fe_normal.jpeg","View")</f>
        <v>View</v>
      </c>
      <c r="P2601" s="11"/>
    </row>
    <row r="2602" spans="1:16" ht="12.75" x14ac:dyDescent="0.35">
      <c r="A2602" s="7">
        <v>42482.379201388889</v>
      </c>
      <c r="B2602" s="8" t="str">
        <f>HYPERLINK("https://twitter.com/ruloaldave","@ruloaldave")</f>
        <v>@ruloaldave</v>
      </c>
      <c r="C2602" s="9" t="s">
        <v>6571</v>
      </c>
      <c r="D2602" s="9" t="s">
        <v>6572</v>
      </c>
      <c r="E2602" s="10" t="str">
        <f>HYPERLINK("https://twitter.com/ruloaldave/status/723354653149134848","723354653149134848")</f>
        <v>723354653149134848</v>
      </c>
      <c r="F2602" s="11" t="s">
        <v>114</v>
      </c>
      <c r="G2602" s="11">
        <v>121</v>
      </c>
      <c r="H2602" s="11">
        <v>238</v>
      </c>
      <c r="I2602" s="11">
        <v>0</v>
      </c>
      <c r="J2602" s="11">
        <v>0</v>
      </c>
      <c r="K2602" s="11" t="s">
        <v>21</v>
      </c>
      <c r="L2602" s="7">
        <v>40841.277569444443</v>
      </c>
      <c r="M2602" s="12" t="s">
        <v>462</v>
      </c>
      <c r="N2602" s="12" t="s">
        <v>6573</v>
      </c>
      <c r="O2602" s="10" t="str">
        <f>HYPERLINK("https://pbs.twimg.com/profile_images/686541430689497089/GPansWFu_normal.jpg","View")</f>
        <v>View</v>
      </c>
      <c r="P2602" s="11"/>
    </row>
    <row r="2603" spans="1:16" ht="12.75" x14ac:dyDescent="0.35">
      <c r="A2603" s="7">
        <v>42482.380914351852</v>
      </c>
      <c r="B2603" s="8" t="str">
        <f>HYPERLINK("https://twitter.com/FuscaWorld","@FuscaWorld")</f>
        <v>@FuscaWorld</v>
      </c>
      <c r="C2603" s="9" t="s">
        <v>74</v>
      </c>
      <c r="D2603" s="9" t="s">
        <v>6574</v>
      </c>
      <c r="E2603" s="10" t="str">
        <f>HYPERLINK("https://twitter.com/FuscaWorld/status/723355276724695042","723355276724695042")</f>
        <v>723355276724695042</v>
      </c>
      <c r="F2603" s="11" t="s">
        <v>76</v>
      </c>
      <c r="G2603" s="11">
        <v>48</v>
      </c>
      <c r="H2603" s="11">
        <v>1</v>
      </c>
      <c r="I2603" s="11">
        <v>1</v>
      </c>
      <c r="J2603" s="11">
        <v>0</v>
      </c>
      <c r="K2603" s="11" t="s">
        <v>21</v>
      </c>
      <c r="L2603" s="7">
        <v>42433.880914351852</v>
      </c>
      <c r="M2603" s="12"/>
      <c r="N2603" s="12" t="s">
        <v>77</v>
      </c>
      <c r="O2603" s="10" t="str">
        <f>HYPERLINK("https://pbs.twimg.com/profile_images/705780107844067328/e7O4UBNb_normal.jpg","View")</f>
        <v>View</v>
      </c>
      <c r="P2603" s="11"/>
    </row>
    <row r="2604" spans="1:16" ht="12.75" x14ac:dyDescent="0.35">
      <c r="A2604" s="7">
        <v>42482.381284722222</v>
      </c>
      <c r="B2604" s="8" t="str">
        <f>HYPERLINK("https://twitter.com/meenaabedi","@meenaabedi")</f>
        <v>@meenaabedi</v>
      </c>
      <c r="C2604" s="9" t="s">
        <v>6575</v>
      </c>
      <c r="D2604" s="9" t="s">
        <v>6576</v>
      </c>
      <c r="E2604" s="10" t="str">
        <f>HYPERLINK("https://twitter.com/meenaabedi/status/723355408174321664","723355408174321664")</f>
        <v>723355408174321664</v>
      </c>
      <c r="F2604" s="11" t="s">
        <v>20</v>
      </c>
      <c r="G2604" s="11">
        <v>346</v>
      </c>
      <c r="H2604" s="11">
        <v>295</v>
      </c>
      <c r="I2604" s="11">
        <v>1</v>
      </c>
      <c r="J2604" s="11">
        <v>0</v>
      </c>
      <c r="K2604" s="11" t="s">
        <v>21</v>
      </c>
      <c r="L2604" s="7">
        <v>41187.552743055552</v>
      </c>
      <c r="M2604" s="12" t="s">
        <v>6577</v>
      </c>
      <c r="N2604" s="12" t="s">
        <v>6578</v>
      </c>
      <c r="O2604" s="10" t="str">
        <f>HYPERLINK("https://pbs.twimg.com/profile_images/717070396906979328/L2BahIJm_normal.jpg","View")</f>
        <v>View</v>
      </c>
      <c r="P2604" s="11"/>
    </row>
    <row r="2605" spans="1:16" ht="12.75" x14ac:dyDescent="0.35">
      <c r="A2605" s="7">
        <v>42482.385648148149</v>
      </c>
      <c r="B2605" s="8" t="str">
        <f>HYPERLINK("https://twitter.com/Rodrigocana","@Rodrigocana")</f>
        <v>@Rodrigocana</v>
      </c>
      <c r="C2605" s="9" t="s">
        <v>6579</v>
      </c>
      <c r="D2605" s="9" t="s">
        <v>6580</v>
      </c>
      <c r="E2605" s="10" t="str">
        <f>HYPERLINK("https://twitter.com/Rodrigocana/status/723356990156591106","723356990156591106")</f>
        <v>723356990156591106</v>
      </c>
      <c r="F2605" s="11" t="s">
        <v>114</v>
      </c>
      <c r="G2605" s="11">
        <v>381</v>
      </c>
      <c r="H2605" s="11">
        <v>783</v>
      </c>
      <c r="I2605" s="11">
        <v>1</v>
      </c>
      <c r="J2605" s="11">
        <v>0</v>
      </c>
      <c r="K2605" s="11" t="s">
        <v>21</v>
      </c>
      <c r="L2605" s="7">
        <v>40027.916388888887</v>
      </c>
      <c r="M2605" s="12" t="s">
        <v>6000</v>
      </c>
      <c r="N2605" s="12" t="s">
        <v>6581</v>
      </c>
      <c r="O2605" s="10" t="str">
        <f>HYPERLINK("https://pbs.twimg.com/profile_images/3747860790/99e931940b0cf7de296cc59871742be6_normal.jpeg","View")</f>
        <v>View</v>
      </c>
      <c r="P2605" s="11"/>
    </row>
    <row r="2606" spans="1:16" ht="12.75" x14ac:dyDescent="0.35">
      <c r="A2606" s="7">
        <v>42482.387824074074</v>
      </c>
      <c r="B2606" s="8" t="str">
        <f>HYPERLINK("https://twitter.com/Patentingenieur","@Patentingenieur")</f>
        <v>@Patentingenieur</v>
      </c>
      <c r="C2606" s="9" t="s">
        <v>6582</v>
      </c>
      <c r="D2606" s="9" t="s">
        <v>6583</v>
      </c>
      <c r="E2606" s="10" t="str">
        <f>HYPERLINK("https://twitter.com/Patentingenieur/status/723357777989496832","723357777989496832")</f>
        <v>723357777989496832</v>
      </c>
      <c r="F2606" s="11" t="s">
        <v>43</v>
      </c>
      <c r="G2606" s="11">
        <v>373</v>
      </c>
      <c r="H2606" s="11">
        <v>190</v>
      </c>
      <c r="I2606" s="11">
        <v>0</v>
      </c>
      <c r="J2606" s="11">
        <v>0</v>
      </c>
      <c r="K2606" s="11" t="s">
        <v>21</v>
      </c>
      <c r="L2606" s="7">
        <v>40749.885555555556</v>
      </c>
      <c r="M2606" s="12" t="s">
        <v>2907</v>
      </c>
      <c r="N2606" s="12" t="s">
        <v>6584</v>
      </c>
      <c r="O2606" s="10" t="str">
        <f>HYPERLINK("https://pbs.twimg.com/profile_images/682872326371848192/lky20bTP_normal.jpg","View")</f>
        <v>View</v>
      </c>
      <c r="P2606" s="11"/>
    </row>
    <row r="2607" spans="1:16" ht="12.75" x14ac:dyDescent="0.35">
      <c r="A2607" s="7">
        <v>42482.388391203705</v>
      </c>
      <c r="B2607" s="8" t="str">
        <f>HYPERLINK("https://twitter.com/Scirocco_Tuning","@Scirocco_Tuning")</f>
        <v>@Scirocco_Tuning</v>
      </c>
      <c r="C2607" s="9" t="s">
        <v>51</v>
      </c>
      <c r="D2607" s="9" t="s">
        <v>6585</v>
      </c>
      <c r="E2607" s="10" t="str">
        <f>HYPERLINK("https://twitter.com/Scirocco_Tuning/status/723357982830919680","723357982830919680")</f>
        <v>723357982830919680</v>
      </c>
      <c r="F2607" s="11" t="s">
        <v>53</v>
      </c>
      <c r="G2607" s="11">
        <v>69</v>
      </c>
      <c r="H2607" s="11">
        <v>215</v>
      </c>
      <c r="I2607" s="11">
        <v>0</v>
      </c>
      <c r="J2607" s="11">
        <v>0</v>
      </c>
      <c r="K2607" s="11" t="s">
        <v>21</v>
      </c>
      <c r="L2607" s="7">
        <v>40844.564722222218</v>
      </c>
      <c r="M2607" s="12"/>
      <c r="N2607" s="12"/>
      <c r="O2607" s="10" t="str">
        <f>HYPERLINK("https://pbs.twimg.com/profile_images/1610421423/Image2_normal.jpg","View")</f>
        <v>View</v>
      </c>
      <c r="P2607" s="11"/>
    </row>
    <row r="2608" spans="1:16" ht="12.75" x14ac:dyDescent="0.35">
      <c r="A2608" s="7">
        <v>42482.389074074075</v>
      </c>
      <c r="B2608" s="8" t="str">
        <f>HYPERLINK("https://twitter.com/Rodrigocana","@Rodrigocana")</f>
        <v>@Rodrigocana</v>
      </c>
      <c r="C2608" s="9" t="s">
        <v>6579</v>
      </c>
      <c r="D2608" s="9" t="s">
        <v>6586</v>
      </c>
      <c r="E2608" s="10" t="str">
        <f>HYPERLINK("https://twitter.com/Rodrigocana/status/723358230588481537","723358230588481537")</f>
        <v>723358230588481537</v>
      </c>
      <c r="F2608" s="11" t="s">
        <v>114</v>
      </c>
      <c r="G2608" s="11">
        <v>381</v>
      </c>
      <c r="H2608" s="11">
        <v>783</v>
      </c>
      <c r="I2608" s="11">
        <v>1</v>
      </c>
      <c r="J2608" s="11">
        <v>0</v>
      </c>
      <c r="K2608" s="11" t="s">
        <v>21</v>
      </c>
      <c r="L2608" s="7">
        <v>40027.916388888887</v>
      </c>
      <c r="M2608" s="12" t="s">
        <v>6000</v>
      </c>
      <c r="N2608" s="12" t="s">
        <v>6581</v>
      </c>
      <c r="O2608" s="10" t="str">
        <f>HYPERLINK("https://pbs.twimg.com/profile_images/3747860790/99e931940b0cf7de296cc59871742be6_normal.jpeg","View")</f>
        <v>View</v>
      </c>
      <c r="P2608" s="11"/>
    </row>
    <row r="2609" spans="1:16" ht="12.75" x14ac:dyDescent="0.35">
      <c r="A2609" s="7">
        <v>42482.400289351848</v>
      </c>
      <c r="B2609" s="8" t="str">
        <f>HYPERLINK("https://twitter.com/lucianacasal20","@lucianacasal20")</f>
        <v>@lucianacasal20</v>
      </c>
      <c r="C2609" s="9" t="s">
        <v>6587</v>
      </c>
      <c r="D2609" s="9" t="s">
        <v>6263</v>
      </c>
      <c r="E2609" s="10" t="str">
        <f>HYPERLINK("https://twitter.com/lucianacasal20/status/723362296542547969","723362296542547969")</f>
        <v>723362296542547969</v>
      </c>
      <c r="F2609" s="11" t="s">
        <v>367</v>
      </c>
      <c r="G2609" s="11">
        <v>607</v>
      </c>
      <c r="H2609" s="11">
        <v>257</v>
      </c>
      <c r="I2609" s="11">
        <v>24</v>
      </c>
      <c r="J2609" s="11">
        <v>0</v>
      </c>
      <c r="K2609" s="11" t="s">
        <v>21</v>
      </c>
      <c r="L2609" s="7">
        <v>42014.185196759259</v>
      </c>
      <c r="M2609" s="12"/>
      <c r="N2609" s="12" t="s">
        <v>6588</v>
      </c>
      <c r="O2609" s="10" t="str">
        <f>HYPERLINK("https://pbs.twimg.com/profile_images/677305455308222465/JKCO3eJx_normal.jpg","View")</f>
        <v>View</v>
      </c>
      <c r="P2609" s="11"/>
    </row>
    <row r="2610" spans="1:16" ht="12.75" x14ac:dyDescent="0.35">
      <c r="A2610" s="7">
        <v>42482.401273148149</v>
      </c>
      <c r="B2610" s="8" t="str">
        <f>HYPERLINK("https://twitter.com/TotheFlixs","@TotheFlixs")</f>
        <v>@TotheFlixs</v>
      </c>
      <c r="C2610" s="9" t="s">
        <v>6589</v>
      </c>
      <c r="D2610" s="9" t="s">
        <v>6409</v>
      </c>
      <c r="E2610" s="10" t="str">
        <f>HYPERLINK("https://twitter.com/TotheFlixs/status/723362653893066753","723362653893066753")</f>
        <v>723362653893066753</v>
      </c>
      <c r="F2610" s="11" t="s">
        <v>48</v>
      </c>
      <c r="G2610" s="11">
        <v>55</v>
      </c>
      <c r="H2610" s="11">
        <v>57</v>
      </c>
      <c r="I2610" s="11">
        <v>4</v>
      </c>
      <c r="J2610" s="11">
        <v>0</v>
      </c>
      <c r="K2610" s="11" t="s">
        <v>21</v>
      </c>
      <c r="L2610" s="7">
        <v>42208.305347222224</v>
      </c>
      <c r="M2610" s="12"/>
      <c r="N2610" s="12" t="s">
        <v>6590</v>
      </c>
      <c r="O2610" s="10" t="str">
        <f>HYPERLINK("https://pbs.twimg.com/profile_images/679536989100613632/4R0dhO0Y_normal.jpg","View")</f>
        <v>View</v>
      </c>
      <c r="P2610" s="11"/>
    </row>
    <row r="2611" spans="1:16" ht="12.75" x14ac:dyDescent="0.35">
      <c r="A2611" s="7">
        <v>42482.404907407406</v>
      </c>
      <c r="B2611" s="8" t="str">
        <f t="shared" ref="B2611:B2612" si="247">HYPERLINK("https://twitter.com/oldcar_photo","@oldcar_photo")</f>
        <v>@oldcar_photo</v>
      </c>
      <c r="C2611" s="9" t="s">
        <v>1046</v>
      </c>
      <c r="D2611" s="9" t="s">
        <v>6591</v>
      </c>
      <c r="E2611" s="10" t="str">
        <f>HYPERLINK("https://twitter.com/oldcar_photo/status/723363968476024833","723363968476024833")</f>
        <v>723363968476024833</v>
      </c>
      <c r="F2611" s="11" t="s">
        <v>68</v>
      </c>
      <c r="G2611" s="11">
        <v>1977</v>
      </c>
      <c r="H2611" s="11">
        <v>0</v>
      </c>
      <c r="I2611" s="11">
        <v>0</v>
      </c>
      <c r="J2611" s="11">
        <v>0</v>
      </c>
      <c r="K2611" s="11" t="s">
        <v>21</v>
      </c>
      <c r="L2611" s="7">
        <v>42184.7341087963</v>
      </c>
      <c r="M2611" s="12"/>
      <c r="N2611" s="12"/>
      <c r="O2611" s="10" t="str">
        <f t="shared" ref="O2611:O2612" si="248">HYPERLINK("https://pbs.twimg.com/profile_images/615493650785660928/XHUh6HOk_normal.jpg","View")</f>
        <v>View</v>
      </c>
      <c r="P2611" s="11"/>
    </row>
    <row r="2612" spans="1:16" ht="12.75" x14ac:dyDescent="0.35">
      <c r="A2612" s="7">
        <v>42482.405092592591</v>
      </c>
      <c r="B2612" s="8" t="str">
        <f t="shared" si="247"/>
        <v>@oldcar_photo</v>
      </c>
      <c r="C2612" s="9" t="s">
        <v>1046</v>
      </c>
      <c r="D2612" s="9" t="s">
        <v>6592</v>
      </c>
      <c r="E2612" s="10" t="str">
        <f>HYPERLINK("https://twitter.com/oldcar_photo/status/723364038449623044","723364038449623044")</f>
        <v>723364038449623044</v>
      </c>
      <c r="F2612" s="11" t="s">
        <v>68</v>
      </c>
      <c r="G2612" s="11">
        <v>1977</v>
      </c>
      <c r="H2612" s="11">
        <v>0</v>
      </c>
      <c r="I2612" s="11">
        <v>1</v>
      </c>
      <c r="J2612" s="11">
        <v>0</v>
      </c>
      <c r="K2612" s="11" t="s">
        <v>21</v>
      </c>
      <c r="L2612" s="7">
        <v>42184.7341087963</v>
      </c>
      <c r="M2612" s="12"/>
      <c r="N2612" s="12"/>
      <c r="O2612" s="10" t="str">
        <f t="shared" si="248"/>
        <v>View</v>
      </c>
      <c r="P2612" s="11"/>
    </row>
    <row r="2613" spans="1:16" ht="12.75" x14ac:dyDescent="0.35">
      <c r="A2613" s="7">
        <v>42482.406030092592</v>
      </c>
      <c r="B2613" s="8" t="str">
        <f t="shared" ref="B2613:B2614" si="249">HYPERLINK("https://twitter.com/DubLuvTuning","@DubLuvTuning")</f>
        <v>@DubLuvTuning</v>
      </c>
      <c r="C2613" s="9" t="s">
        <v>299</v>
      </c>
      <c r="D2613" s="9" t="s">
        <v>6593</v>
      </c>
      <c r="E2613" s="10" t="str">
        <f>HYPERLINK("https://twitter.com/DubLuvTuning/status/723364378339221505","723364378339221505")</f>
        <v>723364378339221505</v>
      </c>
      <c r="F2613" s="11" t="s">
        <v>288</v>
      </c>
      <c r="G2613" s="11">
        <v>690</v>
      </c>
      <c r="H2613" s="11">
        <v>431</v>
      </c>
      <c r="I2613" s="11">
        <v>1</v>
      </c>
      <c r="J2613" s="11">
        <v>0</v>
      </c>
      <c r="K2613" s="11" t="s">
        <v>21</v>
      </c>
      <c r="L2613" s="7">
        <v>41549.898287037038</v>
      </c>
      <c r="M2613" s="12" t="s">
        <v>301</v>
      </c>
      <c r="N2613" s="12" t="s">
        <v>302</v>
      </c>
      <c r="O2613" s="10" t="str">
        <f t="shared" ref="O2613:O2614" si="250">HYPERLINK("https://pbs.twimg.com/profile_images/378800000572104796/1de43e1cf23efb3f4101c02afad0d3b6_normal.png","View")</f>
        <v>View</v>
      </c>
      <c r="P2613" s="11"/>
    </row>
    <row r="2614" spans="1:16" ht="12.75" x14ac:dyDescent="0.35">
      <c r="A2614" s="7">
        <v>42482.406041666662</v>
      </c>
      <c r="B2614" s="8" t="str">
        <f t="shared" si="249"/>
        <v>@DubLuvTuning</v>
      </c>
      <c r="C2614" s="9" t="s">
        <v>299</v>
      </c>
      <c r="D2614" s="9" t="s">
        <v>6594</v>
      </c>
      <c r="E2614" s="10" t="str">
        <f>HYPERLINK("https://twitter.com/DubLuvTuning/status/723364379668815872","723364379668815872")</f>
        <v>723364379668815872</v>
      </c>
      <c r="F2614" s="11" t="s">
        <v>288</v>
      </c>
      <c r="G2614" s="11">
        <v>690</v>
      </c>
      <c r="H2614" s="11">
        <v>431</v>
      </c>
      <c r="I2614" s="11">
        <v>1</v>
      </c>
      <c r="J2614" s="11">
        <v>0</v>
      </c>
      <c r="K2614" s="11" t="s">
        <v>21</v>
      </c>
      <c r="L2614" s="7">
        <v>41549.898287037038</v>
      </c>
      <c r="M2614" s="12" t="s">
        <v>301</v>
      </c>
      <c r="N2614" s="12" t="s">
        <v>302</v>
      </c>
      <c r="O2614" s="10" t="str">
        <f t="shared" si="250"/>
        <v>View</v>
      </c>
      <c r="P2614" s="11"/>
    </row>
    <row r="2615" spans="1:16" ht="12.75" x14ac:dyDescent="0.35">
      <c r="A2615" s="7">
        <v>42482.406481481477</v>
      </c>
      <c r="B2615" s="8" t="str">
        <f>HYPERLINK("https://twitter.com/rpo_wirtschaft","@rpo_wirtschaft")</f>
        <v>@rpo_wirtschaft</v>
      </c>
      <c r="C2615" s="9" t="s">
        <v>1131</v>
      </c>
      <c r="D2615" s="9" t="s">
        <v>6595</v>
      </c>
      <c r="E2615" s="10" t="str">
        <f>HYPERLINK("https://twitter.com/rpo_wirtschaft/status/723364538251243521","723364538251243521")</f>
        <v>723364538251243521</v>
      </c>
      <c r="F2615" s="11" t="s">
        <v>1133</v>
      </c>
      <c r="G2615" s="11">
        <v>562</v>
      </c>
      <c r="H2615" s="11">
        <v>0</v>
      </c>
      <c r="I2615" s="11">
        <v>1</v>
      </c>
      <c r="J2615" s="11">
        <v>0</v>
      </c>
      <c r="K2615" s="11" t="s">
        <v>21</v>
      </c>
      <c r="L2615" s="7">
        <v>39745.628877314812</v>
      </c>
      <c r="M2615" s="12" t="s">
        <v>975</v>
      </c>
      <c r="N2615" s="12" t="s">
        <v>1134</v>
      </c>
      <c r="O2615" s="10" t="str">
        <f>HYPERLINK("https://pbs.twimg.com/profile_images/62751185/logo_rp_normal.gif","View")</f>
        <v>View</v>
      </c>
      <c r="P2615" s="11"/>
    </row>
    <row r="2616" spans="1:16" ht="12.75" x14ac:dyDescent="0.35">
      <c r="A2616" s="7">
        <v>42482.406550925924</v>
      </c>
      <c r="B2616" s="8" t="str">
        <f>HYPERLINK("https://twitter.com/rponline","@rponline")</f>
        <v>@rponline</v>
      </c>
      <c r="C2616" s="9" t="s">
        <v>1135</v>
      </c>
      <c r="D2616" s="9" t="s">
        <v>6596</v>
      </c>
      <c r="E2616" s="10" t="str">
        <f>HYPERLINK("https://twitter.com/rponline/status/723364563933007872","723364563933007872")</f>
        <v>723364563933007872</v>
      </c>
      <c r="F2616" s="11" t="s">
        <v>63</v>
      </c>
      <c r="G2616" s="11">
        <v>126638</v>
      </c>
      <c r="H2616" s="11">
        <v>1275</v>
      </c>
      <c r="I2616" s="11">
        <v>1</v>
      </c>
      <c r="J2616" s="11">
        <v>0</v>
      </c>
      <c r="K2616" s="11" t="s">
        <v>21</v>
      </c>
      <c r="L2616" s="7">
        <v>39643.880196759259</v>
      </c>
      <c r="M2616" s="12" t="s">
        <v>975</v>
      </c>
      <c r="N2616" s="12" t="s">
        <v>1137</v>
      </c>
      <c r="O2616" s="10" t="str">
        <f>HYPERLINK("https://pbs.twimg.com/profile_images/691967023258210304/J22K4Bad_normal.png","View")</f>
        <v>View</v>
      </c>
      <c r="P2616" s="11"/>
    </row>
    <row r="2617" spans="1:16" ht="12.75" x14ac:dyDescent="0.35">
      <c r="A2617" s="7">
        <v>42482.408692129626</v>
      </c>
      <c r="B2617" s="8" t="str">
        <f>HYPERLINK("https://twitter.com/tbachner","@tbachner")</f>
        <v>@tbachner</v>
      </c>
      <c r="C2617" s="9" t="s">
        <v>6597</v>
      </c>
      <c r="D2617" s="9" t="s">
        <v>6598</v>
      </c>
      <c r="E2617" s="10" t="str">
        <f>HYPERLINK("https://twitter.com/tbachner/status/723365339258441736","723365339258441736")</f>
        <v>723365339258441736</v>
      </c>
      <c r="F2617" s="11" t="s">
        <v>43</v>
      </c>
      <c r="G2617" s="11">
        <v>191</v>
      </c>
      <c r="H2617" s="11">
        <v>265</v>
      </c>
      <c r="I2617" s="11">
        <v>2</v>
      </c>
      <c r="J2617" s="11">
        <v>2</v>
      </c>
      <c r="K2617" s="11" t="s">
        <v>21</v>
      </c>
      <c r="L2617" s="7">
        <v>40025.806944444441</v>
      </c>
      <c r="M2617" s="12" t="s">
        <v>2686</v>
      </c>
      <c r="N2617" s="12" t="s">
        <v>6599</v>
      </c>
      <c r="O2617" s="10" t="str">
        <f>HYPERLINK("https://pbs.twimg.com/profile_images/467901662766452736/D8DLJrFs_normal.jpeg","View")</f>
        <v>View</v>
      </c>
      <c r="P2617" s="11"/>
    </row>
    <row r="2618" spans="1:16" ht="12.75" x14ac:dyDescent="0.35">
      <c r="A2618" s="7">
        <v>42482.412048611106</v>
      </c>
      <c r="B2618" s="8" t="str">
        <f>HYPERLINK("https://twitter.com/Foertsch","@Foertsch")</f>
        <v>@Foertsch</v>
      </c>
      <c r="C2618" s="9" t="s">
        <v>6600</v>
      </c>
      <c r="D2618" s="9" t="s">
        <v>6601</v>
      </c>
      <c r="E2618" s="10" t="str">
        <f>HYPERLINK("https://twitter.com/Foertsch/status/723366556311281666","723366556311281666")</f>
        <v>723366556311281666</v>
      </c>
      <c r="F2618" s="11" t="s">
        <v>91</v>
      </c>
      <c r="G2618" s="11">
        <v>858</v>
      </c>
      <c r="H2618" s="11">
        <v>3786</v>
      </c>
      <c r="I2618" s="11">
        <v>0</v>
      </c>
      <c r="J2618" s="11">
        <v>0</v>
      </c>
      <c r="K2618" s="11" t="s">
        <v>21</v>
      </c>
      <c r="L2618" s="7">
        <v>39845.802407407406</v>
      </c>
      <c r="M2618" s="12" t="s">
        <v>6602</v>
      </c>
      <c r="N2618" s="12" t="s">
        <v>6603</v>
      </c>
      <c r="O2618" s="10" t="str">
        <f>HYPERLINK("https://pbs.twimg.com/profile_images/1749690946/22456_108425865839213_100000153999675_221102_5400174_n_normal.jpg","View")</f>
        <v>View</v>
      </c>
      <c r="P2618" s="11"/>
    </row>
    <row r="2619" spans="1:16" ht="12.75" x14ac:dyDescent="0.35">
      <c r="A2619" s="7">
        <v>42482.414768518516</v>
      </c>
      <c r="B2619" s="8" t="str">
        <f>HYPERLINK("https://twitter.com/rmn102003","@rmn102003")</f>
        <v>@rmn102003</v>
      </c>
      <c r="C2619" s="9" t="s">
        <v>6604</v>
      </c>
      <c r="D2619" s="9" t="s">
        <v>2423</v>
      </c>
      <c r="E2619" s="10" t="str">
        <f>HYPERLINK("https://twitter.com/rmn102003/status/723367541557469184","723367541557469184")</f>
        <v>723367541557469184</v>
      </c>
      <c r="F2619" s="11" t="s">
        <v>20</v>
      </c>
      <c r="G2619" s="11">
        <v>34</v>
      </c>
      <c r="H2619" s="11">
        <v>172</v>
      </c>
      <c r="I2619" s="11">
        <v>10</v>
      </c>
      <c r="J2619" s="11">
        <v>0</v>
      </c>
      <c r="K2619" s="11" t="s">
        <v>21</v>
      </c>
      <c r="L2619" s="7">
        <v>40922.617314814815</v>
      </c>
      <c r="M2619" s="12"/>
      <c r="N2619" s="12"/>
      <c r="O2619" s="10" t="str">
        <f>HYPERLINK("https://pbs.twimg.com/profile_images/1754249738/image_normal.jpg","View")</f>
        <v>View</v>
      </c>
      <c r="P2619" s="11"/>
    </row>
    <row r="2620" spans="1:16" ht="12.75" x14ac:dyDescent="0.35">
      <c r="A2620" s="7">
        <v>42482.41814814815</v>
      </c>
      <c r="B2620" s="8" t="str">
        <f>HYPERLINK("https://twitter.com/autobrokersweb","@autobrokersweb")</f>
        <v>@autobrokersweb</v>
      </c>
      <c r="C2620" s="9" t="s">
        <v>6605</v>
      </c>
      <c r="D2620" s="9" t="s">
        <v>6606</v>
      </c>
      <c r="E2620" s="10" t="str">
        <f>HYPERLINK("https://twitter.com/autobrokersweb/status/723368769767100418","723368769767100418")</f>
        <v>723368769767100418</v>
      </c>
      <c r="F2620" s="11" t="s">
        <v>20</v>
      </c>
      <c r="G2620" s="11">
        <v>26</v>
      </c>
      <c r="H2620" s="11">
        <v>93</v>
      </c>
      <c r="I2620" s="11">
        <v>0</v>
      </c>
      <c r="J2620" s="11">
        <v>0</v>
      </c>
      <c r="K2620" s="11" t="s">
        <v>21</v>
      </c>
      <c r="L2620" s="7">
        <v>42362.983055555553</v>
      </c>
      <c r="M2620" s="12"/>
      <c r="N2620" s="12" t="s">
        <v>6607</v>
      </c>
      <c r="O2620" s="10" t="str">
        <f>HYPERLINK("https://pbs.twimg.com/profile_images/702663641217118208/j32ju3np_normal.jpg","View")</f>
        <v>View</v>
      </c>
      <c r="P2620" s="11"/>
    </row>
    <row r="2621" spans="1:16" ht="12.75" x14ac:dyDescent="0.35">
      <c r="A2621" s="7">
        <v>42482.418749999997</v>
      </c>
      <c r="B2621" s="8" t="str">
        <f>HYPERLINK("https://twitter.com/charlesrssll","@charlesrssll")</f>
        <v>@charlesrssll</v>
      </c>
      <c r="C2621" s="9" t="s">
        <v>6608</v>
      </c>
      <c r="D2621" s="9" t="s">
        <v>6609</v>
      </c>
      <c r="E2621" s="10" t="str">
        <f>HYPERLINK("https://twitter.com/charlesrssll/status/723368987816382464","723368987816382464")</f>
        <v>723368987816382464</v>
      </c>
      <c r="F2621" s="11" t="s">
        <v>20</v>
      </c>
      <c r="G2621" s="11">
        <v>88</v>
      </c>
      <c r="H2621" s="11">
        <v>103</v>
      </c>
      <c r="I2621" s="11">
        <v>1</v>
      </c>
      <c r="J2621" s="11">
        <v>0</v>
      </c>
      <c r="K2621" s="11" t="s">
        <v>21</v>
      </c>
      <c r="L2621" s="7">
        <v>42416.94425925926</v>
      </c>
      <c r="M2621" s="12" t="s">
        <v>6610</v>
      </c>
      <c r="N2621" s="12"/>
      <c r="O2621" s="10" t="str">
        <f>HYPERLINK("https://pbs.twimg.com/profile_images/716937249338888192/UP9Ty0a-_normal.jpg","View")</f>
        <v>View</v>
      </c>
      <c r="P2621" s="11"/>
    </row>
    <row r="2622" spans="1:16" ht="12.75" x14ac:dyDescent="0.35">
      <c r="A2622" s="7">
        <v>42482.41978009259</v>
      </c>
      <c r="B2622" s="8" t="str">
        <f>HYPERLINK("https://twitter.com/iaa_attitude","@iaa_attitude")</f>
        <v>@iaa_attitude</v>
      </c>
      <c r="C2622" s="9" t="s">
        <v>6611</v>
      </c>
      <c r="D2622" s="9" t="s">
        <v>6612</v>
      </c>
      <c r="E2622" s="10" t="str">
        <f>HYPERLINK("https://twitter.com/iaa_attitude/status/723369359922470918","723369359922470918")</f>
        <v>723369359922470918</v>
      </c>
      <c r="F2622" s="11" t="s">
        <v>91</v>
      </c>
      <c r="G2622" s="11">
        <v>252</v>
      </c>
      <c r="H2622" s="11">
        <v>542</v>
      </c>
      <c r="I2622" s="11">
        <v>0</v>
      </c>
      <c r="J2622" s="11">
        <v>0</v>
      </c>
      <c r="K2622" s="11" t="s">
        <v>21</v>
      </c>
      <c r="L2622" s="7">
        <v>40359.760439814811</v>
      </c>
      <c r="M2622" s="12" t="s">
        <v>507</v>
      </c>
      <c r="N2622" s="12"/>
      <c r="O2622" s="10" t="str">
        <f>HYPERLINK("https://pbs.twimg.com/profile_images/466599235622682624/7LMop3cd_normal.jpeg","View")</f>
        <v>View</v>
      </c>
      <c r="P2622" s="11"/>
    </row>
    <row r="2623" spans="1:16" ht="12.75" x14ac:dyDescent="0.35">
      <c r="A2623" s="7">
        <v>42482.422800925924</v>
      </c>
      <c r="B2623" s="8" t="str">
        <f>HYPERLINK("https://twitter.com/TinchoP18","@TinchoP18")</f>
        <v>@TinchoP18</v>
      </c>
      <c r="C2623" s="9" t="s">
        <v>6613</v>
      </c>
      <c r="D2623" s="9" t="s">
        <v>6614</v>
      </c>
      <c r="E2623" s="10" t="str">
        <f>HYPERLINK("https://twitter.com/TinchoP18/status/723370452375076864","723370452375076864")</f>
        <v>723370452375076864</v>
      </c>
      <c r="F2623" s="11" t="s">
        <v>48</v>
      </c>
      <c r="G2623" s="11">
        <v>78</v>
      </c>
      <c r="H2623" s="11">
        <v>226</v>
      </c>
      <c r="I2623" s="11">
        <v>18</v>
      </c>
      <c r="J2623" s="11">
        <v>0</v>
      </c>
      <c r="K2623" s="11" t="s">
        <v>21</v>
      </c>
      <c r="L2623" s="7">
        <v>42449.868333333332</v>
      </c>
      <c r="M2623" s="12" t="s">
        <v>2867</v>
      </c>
      <c r="N2623" s="12" t="s">
        <v>6615</v>
      </c>
      <c r="O2623" s="10" t="str">
        <f>HYPERLINK("https://pbs.twimg.com/profile_images/721897166868975616/QiBq6Fws_normal.jpg","View")</f>
        <v>View</v>
      </c>
      <c r="P2623" s="11"/>
    </row>
    <row r="2624" spans="1:16" ht="12.75" x14ac:dyDescent="0.35">
      <c r="A2624" s="7">
        <v>42482.42292824074</v>
      </c>
      <c r="B2624" s="8" t="str">
        <f>HYPERLINK("https://twitter.com/TractatusArtium","@TractatusArtium")</f>
        <v>@TractatusArtium</v>
      </c>
      <c r="C2624" s="9" t="s">
        <v>6616</v>
      </c>
      <c r="D2624" s="9" t="s">
        <v>6617</v>
      </c>
      <c r="E2624" s="10" t="str">
        <f>HYPERLINK("https://twitter.com/TractatusArtium/status/723370501020610560","723370501020610560")</f>
        <v>723370501020610560</v>
      </c>
      <c r="F2624" s="11" t="s">
        <v>367</v>
      </c>
      <c r="G2624" s="11">
        <v>328</v>
      </c>
      <c r="H2624" s="11">
        <v>741</v>
      </c>
      <c r="I2624" s="11">
        <v>0</v>
      </c>
      <c r="J2624" s="11">
        <v>0</v>
      </c>
      <c r="K2624" s="11" t="s">
        <v>21</v>
      </c>
      <c r="L2624" s="7">
        <v>40738.595393518517</v>
      </c>
      <c r="M2624" s="12" t="s">
        <v>6618</v>
      </c>
      <c r="N2624" s="12" t="s">
        <v>6619</v>
      </c>
      <c r="O2624" s="10" t="str">
        <f>HYPERLINK("https://pbs.twimg.com/profile_images/2133628020/Bild_MH_normal.JPG","View")</f>
        <v>View</v>
      </c>
      <c r="P2624" s="11"/>
    </row>
    <row r="2625" spans="1:16" ht="12.75" x14ac:dyDescent="0.35">
      <c r="A2625" s="7">
        <v>42482.423275462963</v>
      </c>
      <c r="B2625" s="8" t="str">
        <f>HYPERLINK("https://twitter.com/following_jobs","@following_jobs")</f>
        <v>@following_jobs</v>
      </c>
      <c r="C2625" s="9" t="s">
        <v>6171</v>
      </c>
      <c r="D2625" s="9" t="s">
        <v>6620</v>
      </c>
      <c r="E2625" s="10" t="str">
        <f>HYPERLINK("https://twitter.com/following_jobs/status/723370626858160128","723370626858160128")</f>
        <v>723370626858160128</v>
      </c>
      <c r="F2625" s="11" t="s">
        <v>34</v>
      </c>
      <c r="G2625" s="11">
        <v>1062</v>
      </c>
      <c r="H2625" s="11">
        <v>784</v>
      </c>
      <c r="I2625" s="11">
        <v>0</v>
      </c>
      <c r="J2625" s="11">
        <v>0</v>
      </c>
      <c r="K2625" s="11" t="s">
        <v>21</v>
      </c>
      <c r="L2625" s="7">
        <v>42022.867581018523</v>
      </c>
      <c r="M2625" s="12"/>
      <c r="N2625" s="12" t="s">
        <v>6173</v>
      </c>
      <c r="O2625" s="10" t="str">
        <f>HYPERLINK("https://pbs.twimg.com/profile_images/556834076418527235/Y36uC3QC_normal.png","View")</f>
        <v>View</v>
      </c>
      <c r="P2625" s="11"/>
    </row>
    <row r="2626" spans="1:16" ht="12.75" x14ac:dyDescent="0.35">
      <c r="A2626" s="7">
        <v>42482.423645833333</v>
      </c>
      <c r="B2626" s="8" t="str">
        <f t="shared" ref="B2626:B2627" si="251">HYPERLINK("https://twitter.com/VWBeetleSales","@VWBeetleSales")</f>
        <v>@VWBeetleSales</v>
      </c>
      <c r="C2626" s="9" t="s">
        <v>127</v>
      </c>
      <c r="D2626" s="9" t="s">
        <v>6621</v>
      </c>
      <c r="E2626" s="10" t="str">
        <f>HYPERLINK("https://twitter.com/VWBeetleSales/status/723370759708499968","723370759708499968")</f>
        <v>723370759708499968</v>
      </c>
      <c r="F2626" s="10" t="s">
        <v>124</v>
      </c>
      <c r="G2626" s="11">
        <v>35</v>
      </c>
      <c r="H2626" s="11">
        <v>32</v>
      </c>
      <c r="I2626" s="11">
        <v>0</v>
      </c>
      <c r="J2626" s="11">
        <v>0</v>
      </c>
      <c r="K2626" s="11" t="s">
        <v>21</v>
      </c>
      <c r="L2626" s="7">
        <v>42427.019756944443</v>
      </c>
      <c r="M2626" s="12" t="s">
        <v>129</v>
      </c>
      <c r="N2626" s="12" t="s">
        <v>130</v>
      </c>
      <c r="O2626" s="10" t="str">
        <f t="shared" ref="O2626:O2627" si="252">HYPERLINK("https://pbs.twimg.com/profile_images/703294545195307008/qeCvrX86_normal.jpg","View")</f>
        <v>View</v>
      </c>
      <c r="P2626" s="11"/>
    </row>
    <row r="2627" spans="1:16" ht="12.75" x14ac:dyDescent="0.35">
      <c r="A2627" s="7">
        <v>42482.423657407402</v>
      </c>
      <c r="B2627" s="8" t="str">
        <f t="shared" si="251"/>
        <v>@VWBeetleSales</v>
      </c>
      <c r="C2627" s="9" t="s">
        <v>127</v>
      </c>
      <c r="D2627" s="9" t="s">
        <v>6622</v>
      </c>
      <c r="E2627" s="10" t="str">
        <f>HYPERLINK("https://twitter.com/VWBeetleSales/status/723370762690658305","723370762690658305")</f>
        <v>723370762690658305</v>
      </c>
      <c r="F2627" s="10" t="s">
        <v>124</v>
      </c>
      <c r="G2627" s="11">
        <v>35</v>
      </c>
      <c r="H2627" s="11">
        <v>32</v>
      </c>
      <c r="I2627" s="11">
        <v>0</v>
      </c>
      <c r="J2627" s="11">
        <v>0</v>
      </c>
      <c r="K2627" s="11" t="s">
        <v>21</v>
      </c>
      <c r="L2627" s="7">
        <v>42427.019756944443</v>
      </c>
      <c r="M2627" s="12" t="s">
        <v>129</v>
      </c>
      <c r="N2627" s="12" t="s">
        <v>130</v>
      </c>
      <c r="O2627" s="10" t="str">
        <f t="shared" si="252"/>
        <v>View</v>
      </c>
      <c r="P2627" s="11"/>
    </row>
    <row r="2628" spans="1:16" ht="12.75" x14ac:dyDescent="0.35">
      <c r="A2628" s="7">
        <v>42482.424710648149</v>
      </c>
      <c r="B2628" s="8" t="str">
        <f>HYPERLINK("https://twitter.com/Ober_Franke","@Ober_Franke")</f>
        <v>@Ober_Franke</v>
      </c>
      <c r="C2628" s="9" t="s">
        <v>6623</v>
      </c>
      <c r="D2628" s="9" t="s">
        <v>6624</v>
      </c>
      <c r="E2628" s="10" t="str">
        <f>HYPERLINK("https://twitter.com/Ober_Franke/status/723371147895545858","723371147895545858")</f>
        <v>723371147895545858</v>
      </c>
      <c r="F2628" s="11" t="s">
        <v>43</v>
      </c>
      <c r="G2628" s="11">
        <v>1718</v>
      </c>
      <c r="H2628" s="11">
        <v>1693</v>
      </c>
      <c r="I2628" s="11">
        <v>0</v>
      </c>
      <c r="J2628" s="11">
        <v>0</v>
      </c>
      <c r="K2628" s="11" t="s">
        <v>21</v>
      </c>
      <c r="L2628" s="7">
        <v>40491.021087962959</v>
      </c>
      <c r="M2628" s="12" t="s">
        <v>6625</v>
      </c>
      <c r="N2628" s="12" t="s">
        <v>6626</v>
      </c>
      <c r="O2628" s="10" t="str">
        <f>HYPERLINK("https://pbs.twimg.com/profile_images/2969328811/b210d69cd72364cd0399bc65061d5815_normal.jpeg","View")</f>
        <v>View</v>
      </c>
      <c r="P2628" s="11"/>
    </row>
    <row r="2629" spans="1:16" ht="12.75" x14ac:dyDescent="0.35">
      <c r="A2629" s="7">
        <v>42482.425254629634</v>
      </c>
      <c r="B2629" s="8" t="str">
        <f t="shared" ref="B2629:B2630" si="253">HYPERLINK("https://twitter.com/techhippie","@techhippie")</f>
        <v>@techhippie</v>
      </c>
      <c r="C2629" s="9" t="s">
        <v>246</v>
      </c>
      <c r="D2629" s="9" t="s">
        <v>6627</v>
      </c>
      <c r="E2629" s="10" t="str">
        <f>HYPERLINK("https://twitter.com/techhippie/status/723371345354977280","723371345354977280")</f>
        <v>723371345354977280</v>
      </c>
      <c r="F2629" s="11" t="s">
        <v>68</v>
      </c>
      <c r="G2629" s="11">
        <v>2471</v>
      </c>
      <c r="H2629" s="11">
        <v>3835</v>
      </c>
      <c r="I2629" s="11">
        <v>0</v>
      </c>
      <c r="J2629" s="11">
        <v>0</v>
      </c>
      <c r="K2629" s="11" t="s">
        <v>21</v>
      </c>
      <c r="L2629" s="7">
        <v>42424.852152777778</v>
      </c>
      <c r="M2629" s="12" t="s">
        <v>248</v>
      </c>
      <c r="N2629" s="12" t="s">
        <v>249</v>
      </c>
      <c r="O2629" s="10" t="str">
        <f t="shared" ref="O2629:O2630" si="254">HYPERLINK("https://pbs.twimg.com/profile_images/702511217793863680/lty8h9vE_normal.jpg","View")</f>
        <v>View</v>
      </c>
      <c r="P2629" s="11"/>
    </row>
    <row r="2630" spans="1:16" ht="12.75" x14ac:dyDescent="0.35">
      <c r="A2630" s="7">
        <v>42482.425289351857</v>
      </c>
      <c r="B2630" s="8" t="str">
        <f t="shared" si="253"/>
        <v>@techhippie</v>
      </c>
      <c r="C2630" s="9" t="s">
        <v>246</v>
      </c>
      <c r="D2630" s="9" t="s">
        <v>6628</v>
      </c>
      <c r="E2630" s="10" t="str">
        <f>HYPERLINK("https://twitter.com/techhippie/status/723371357333905409","723371357333905409")</f>
        <v>723371357333905409</v>
      </c>
      <c r="F2630" s="11" t="s">
        <v>68</v>
      </c>
      <c r="G2630" s="11">
        <v>2471</v>
      </c>
      <c r="H2630" s="11">
        <v>3835</v>
      </c>
      <c r="I2630" s="11">
        <v>0</v>
      </c>
      <c r="J2630" s="11">
        <v>0</v>
      </c>
      <c r="K2630" s="11" t="s">
        <v>21</v>
      </c>
      <c r="L2630" s="7">
        <v>42424.852152777778</v>
      </c>
      <c r="M2630" s="12" t="s">
        <v>248</v>
      </c>
      <c r="N2630" s="12" t="s">
        <v>249</v>
      </c>
      <c r="O2630" s="10" t="str">
        <f t="shared" si="254"/>
        <v>View</v>
      </c>
      <c r="P2630" s="11"/>
    </row>
    <row r="2631" spans="1:16" ht="12.75" x14ac:dyDescent="0.35">
      <c r="A2631" s="7">
        <v>42482.425462962958</v>
      </c>
      <c r="B2631" s="8" t="str">
        <f>HYPERLINK("https://twitter.com/bordreporter","@bordreporter")</f>
        <v>@bordreporter</v>
      </c>
      <c r="C2631" s="9" t="s">
        <v>6629</v>
      </c>
      <c r="D2631" s="9" t="s">
        <v>6630</v>
      </c>
      <c r="E2631" s="10" t="str">
        <f>HYPERLINK("https://twitter.com/bordreporter/status/723371419527073792","723371419527073792")</f>
        <v>723371419527073792</v>
      </c>
      <c r="F2631" s="11" t="s">
        <v>20</v>
      </c>
      <c r="G2631" s="11">
        <v>229</v>
      </c>
      <c r="H2631" s="11">
        <v>513</v>
      </c>
      <c r="I2631" s="11">
        <v>1</v>
      </c>
      <c r="J2631" s="11">
        <v>0</v>
      </c>
      <c r="K2631" s="11" t="s">
        <v>21</v>
      </c>
      <c r="L2631" s="7">
        <v>41613.698055555556</v>
      </c>
      <c r="M2631" s="12" t="s">
        <v>6631</v>
      </c>
      <c r="N2631" s="12" t="s">
        <v>6632</v>
      </c>
      <c r="O2631" s="10" t="str">
        <f>HYPERLINK("https://pbs.twimg.com/profile_images/717746968248901634/w8iLMTAe_normal.jpg","View")</f>
        <v>View</v>
      </c>
      <c r="P2631" s="11"/>
    </row>
    <row r="2632" spans="1:16" ht="12.75" x14ac:dyDescent="0.35">
      <c r="A2632" s="7">
        <v>42482.426111111112</v>
      </c>
      <c r="B2632" s="8" t="str">
        <f>HYPERLINK("https://twitter.com/bumbesje","@bumbesje")</f>
        <v>@bumbesje</v>
      </c>
      <c r="C2632" s="9" t="s">
        <v>6633</v>
      </c>
      <c r="D2632" s="9" t="s">
        <v>6634</v>
      </c>
      <c r="E2632" s="10" t="str">
        <f>HYPERLINK("https://twitter.com/bumbesje/status/723371655150505984","723371655150505984")</f>
        <v>723371655150505984</v>
      </c>
      <c r="F2632" s="11" t="s">
        <v>91</v>
      </c>
      <c r="G2632" s="11">
        <v>368</v>
      </c>
      <c r="H2632" s="11">
        <v>689</v>
      </c>
      <c r="I2632" s="11">
        <v>0</v>
      </c>
      <c r="J2632" s="11">
        <v>0</v>
      </c>
      <c r="K2632" s="11" t="s">
        <v>21</v>
      </c>
      <c r="L2632" s="7">
        <v>41075.911087962959</v>
      </c>
      <c r="M2632" s="12" t="s">
        <v>6635</v>
      </c>
      <c r="N2632" s="12" t="s">
        <v>6636</v>
      </c>
      <c r="O2632" s="10" t="str">
        <f>HYPERLINK("https://pbs.twimg.com/profile_images/580396468877529088/8I-01rPN_normal.jpg","View")</f>
        <v>View</v>
      </c>
      <c r="P2632" s="11"/>
    </row>
    <row r="2633" spans="1:16" ht="12.75" x14ac:dyDescent="0.35">
      <c r="A2633" s="7">
        <v>42482.426655092597</v>
      </c>
      <c r="B2633" s="8" t="str">
        <f>HYPERLINK("https://twitter.com/deutch_az","@deutch_az")</f>
        <v>@deutch_az</v>
      </c>
      <c r="C2633" s="9" t="s">
        <v>1188</v>
      </c>
      <c r="D2633" s="9" t="s">
        <v>6637</v>
      </c>
      <c r="E2633" s="10" t="str">
        <f>HYPERLINK("https://twitter.com/deutch_az/status/723371851339026435","723371851339026435")</f>
        <v>723371851339026435</v>
      </c>
      <c r="F2633" s="11" t="s">
        <v>43</v>
      </c>
      <c r="G2633" s="11">
        <v>521</v>
      </c>
      <c r="H2633" s="11">
        <v>1444</v>
      </c>
      <c r="I2633" s="11">
        <v>0</v>
      </c>
      <c r="J2633" s="11">
        <v>0</v>
      </c>
      <c r="K2633" s="11" t="s">
        <v>21</v>
      </c>
      <c r="L2633" s="7">
        <v>42305.594456018516</v>
      </c>
      <c r="M2633" s="12"/>
      <c r="N2633" s="12"/>
      <c r="O2633" s="10" t="str">
        <f>HYPERLINK("https://pbs.twimg.com/profile_images/659295730222280705/W1FqHCVo_normal.jpg","View")</f>
        <v>View</v>
      </c>
      <c r="P2633" s="11"/>
    </row>
    <row r="2634" spans="1:16" ht="12.75" x14ac:dyDescent="0.35">
      <c r="A2634" s="7">
        <v>42482.426759259259</v>
      </c>
      <c r="B2634" s="8" t="str">
        <f t="shared" ref="B2634:B2636" si="255">HYPERLINK("https://twitter.com/OnlineCarReview","@OnlineCarReview")</f>
        <v>@OnlineCarReview</v>
      </c>
      <c r="C2634" s="9" t="s">
        <v>176</v>
      </c>
      <c r="D2634" s="9" t="s">
        <v>6638</v>
      </c>
      <c r="E2634" s="10" t="str">
        <f>HYPERLINK("https://twitter.com/OnlineCarReview/status/723371889532379137","723371889532379137")</f>
        <v>723371889532379137</v>
      </c>
      <c r="F2634" s="11" t="s">
        <v>34</v>
      </c>
      <c r="G2634" s="11">
        <v>839</v>
      </c>
      <c r="H2634" s="11">
        <v>568</v>
      </c>
      <c r="I2634" s="11">
        <v>0</v>
      </c>
      <c r="J2634" s="11">
        <v>0</v>
      </c>
      <c r="K2634" s="11" t="s">
        <v>21</v>
      </c>
      <c r="L2634" s="7">
        <v>42282.979201388887</v>
      </c>
      <c r="M2634" s="12"/>
      <c r="N2634" s="12" t="s">
        <v>178</v>
      </c>
      <c r="O2634" s="10" t="str">
        <f t="shared" ref="O2634:O2636" si="256">HYPERLINK("https://pbs.twimg.com/profile_images/652871584131092480/QA_B6SBO_normal.jpg","View")</f>
        <v>View</v>
      </c>
      <c r="P2634" s="11"/>
    </row>
    <row r="2635" spans="1:16" ht="12.75" x14ac:dyDescent="0.35">
      <c r="A2635" s="7">
        <v>42482.426759259259</v>
      </c>
      <c r="B2635" s="8" t="str">
        <f t="shared" si="255"/>
        <v>@OnlineCarReview</v>
      </c>
      <c r="C2635" s="9" t="s">
        <v>176</v>
      </c>
      <c r="D2635" s="9" t="s">
        <v>6639</v>
      </c>
      <c r="E2635" s="10" t="str">
        <f>HYPERLINK("https://twitter.com/OnlineCarReview/status/723371890455105536","723371890455105536")</f>
        <v>723371890455105536</v>
      </c>
      <c r="F2635" s="11" t="s">
        <v>34</v>
      </c>
      <c r="G2635" s="11">
        <v>839</v>
      </c>
      <c r="H2635" s="11">
        <v>568</v>
      </c>
      <c r="I2635" s="11">
        <v>0</v>
      </c>
      <c r="J2635" s="11">
        <v>0</v>
      </c>
      <c r="K2635" s="11" t="s">
        <v>21</v>
      </c>
      <c r="L2635" s="7">
        <v>42282.979201388887</v>
      </c>
      <c r="M2635" s="12"/>
      <c r="N2635" s="12" t="s">
        <v>178</v>
      </c>
      <c r="O2635" s="10" t="str">
        <f t="shared" si="256"/>
        <v>View</v>
      </c>
      <c r="P2635" s="11"/>
    </row>
    <row r="2636" spans="1:16" ht="12.75" x14ac:dyDescent="0.35">
      <c r="A2636" s="7">
        <v>42482.426770833335</v>
      </c>
      <c r="B2636" s="8" t="str">
        <f t="shared" si="255"/>
        <v>@OnlineCarReview</v>
      </c>
      <c r="C2636" s="9" t="s">
        <v>176</v>
      </c>
      <c r="D2636" s="9" t="s">
        <v>6640</v>
      </c>
      <c r="E2636" s="10" t="str">
        <f>HYPERLINK("https://twitter.com/OnlineCarReview/status/723371891340115972","723371891340115972")</f>
        <v>723371891340115972</v>
      </c>
      <c r="F2636" s="11" t="s">
        <v>34</v>
      </c>
      <c r="G2636" s="11">
        <v>839</v>
      </c>
      <c r="H2636" s="11">
        <v>568</v>
      </c>
      <c r="I2636" s="11">
        <v>0</v>
      </c>
      <c r="J2636" s="11">
        <v>0</v>
      </c>
      <c r="K2636" s="11" t="s">
        <v>21</v>
      </c>
      <c r="L2636" s="7">
        <v>42282.979201388887</v>
      </c>
      <c r="M2636" s="12"/>
      <c r="N2636" s="12" t="s">
        <v>178</v>
      </c>
      <c r="O2636" s="10" t="str">
        <f t="shared" si="256"/>
        <v>View</v>
      </c>
      <c r="P2636" s="11"/>
    </row>
    <row r="2637" spans="1:16" ht="12.75" x14ac:dyDescent="0.35">
      <c r="A2637" s="7">
        <v>42482.427256944444</v>
      </c>
      <c r="B2637" s="8" t="str">
        <f>HYPERLINK("https://twitter.com/VolkswagenPost","@VolkswagenPost")</f>
        <v>@VolkswagenPost</v>
      </c>
      <c r="C2637" s="9" t="s">
        <v>321</v>
      </c>
      <c r="D2637" s="9" t="s">
        <v>6641</v>
      </c>
      <c r="E2637" s="10" t="str">
        <f>HYPERLINK("https://twitter.com/VolkswagenPost/status/723372069912637440","723372069912637440")</f>
        <v>723372069912637440</v>
      </c>
      <c r="F2637" s="11" t="s">
        <v>34</v>
      </c>
      <c r="G2637" s="11">
        <v>571</v>
      </c>
      <c r="H2637" s="11">
        <v>446</v>
      </c>
      <c r="I2637" s="11">
        <v>0</v>
      </c>
      <c r="J2637" s="11">
        <v>0</v>
      </c>
      <c r="K2637" s="11" t="s">
        <v>21</v>
      </c>
      <c r="L2637" s="7">
        <v>41940.618379629632</v>
      </c>
      <c r="M2637" s="12"/>
      <c r="N2637" s="12"/>
      <c r="O2637" s="10" t="str">
        <f>HYPERLINK("https://pbs.twimg.com/profile_images/530071272881803264/a_jcCmPZ_normal.png","View")</f>
        <v>View</v>
      </c>
      <c r="P2637" s="11"/>
    </row>
    <row r="2638" spans="1:16" ht="12.75" x14ac:dyDescent="0.35">
      <c r="A2638" s="7">
        <v>42482.430289351847</v>
      </c>
      <c r="B2638" s="8" t="str">
        <f>HYPERLINK("https://twitter.com/Siress","@Siress")</f>
        <v>@Siress</v>
      </c>
      <c r="C2638" s="9" t="s">
        <v>6642</v>
      </c>
      <c r="D2638" s="9" t="s">
        <v>6643</v>
      </c>
      <c r="E2638" s="10" t="str">
        <f>HYPERLINK("https://twitter.com/Siress/status/723373165909413888","723373165909413888")</f>
        <v>723373165909413888</v>
      </c>
      <c r="F2638" s="11" t="s">
        <v>20</v>
      </c>
      <c r="G2638" s="11">
        <v>6038</v>
      </c>
      <c r="H2638" s="11">
        <v>302</v>
      </c>
      <c r="I2638" s="11">
        <v>0</v>
      </c>
      <c r="J2638" s="11">
        <v>0</v>
      </c>
      <c r="K2638" s="11" t="s">
        <v>21</v>
      </c>
      <c r="L2638" s="7">
        <v>39944.920057870375</v>
      </c>
      <c r="M2638" s="12" t="s">
        <v>6644</v>
      </c>
      <c r="N2638" s="12" t="s">
        <v>6645</v>
      </c>
      <c r="O2638" s="10" t="str">
        <f>HYPERLINK("https://pbs.twimg.com/profile_images/2991412895/a889495de8689349b833cc7f5b8bdda2_normal.jpeg","View")</f>
        <v>View</v>
      </c>
      <c r="P2638" s="11"/>
    </row>
    <row r="2639" spans="1:16" ht="12.75" x14ac:dyDescent="0.35">
      <c r="A2639" s="7">
        <v>42482.430879629625</v>
      </c>
      <c r="B2639" s="8" t="str">
        <f>HYPERLINK("https://twitter.com/MarkusStrenzl","@MarkusStrenzl")</f>
        <v>@MarkusStrenzl</v>
      </c>
      <c r="C2639" s="9" t="s">
        <v>6646</v>
      </c>
      <c r="D2639" s="9" t="s">
        <v>6647</v>
      </c>
      <c r="E2639" s="10" t="str">
        <f>HYPERLINK("https://twitter.com/MarkusStrenzl/status/723373383220494336","723373383220494336")</f>
        <v>723373383220494336</v>
      </c>
      <c r="F2639" s="11" t="s">
        <v>43</v>
      </c>
      <c r="G2639" s="11">
        <v>447</v>
      </c>
      <c r="H2639" s="11">
        <v>789</v>
      </c>
      <c r="I2639" s="11">
        <v>0</v>
      </c>
      <c r="J2639" s="11">
        <v>1</v>
      </c>
      <c r="K2639" s="11" t="s">
        <v>21</v>
      </c>
      <c r="L2639" s="7">
        <v>39889.755312499998</v>
      </c>
      <c r="M2639" s="12" t="s">
        <v>5262</v>
      </c>
      <c r="N2639" s="12" t="s">
        <v>6648</v>
      </c>
      <c r="O2639" s="10" t="str">
        <f>HYPERLINK("https://pbs.twimg.com/profile_images/778573929/_MG_2143_normal.jpg","View")</f>
        <v>View</v>
      </c>
      <c r="P2639" s="11"/>
    </row>
    <row r="2640" spans="1:16" ht="12.75" x14ac:dyDescent="0.35">
      <c r="A2640" s="7">
        <v>42482.431203703702</v>
      </c>
      <c r="B2640" s="8" t="str">
        <f>HYPERLINK("https://twitter.com/webaraba","@webaraba")</f>
        <v>@webaraba</v>
      </c>
      <c r="C2640" s="8" t="s">
        <v>943</v>
      </c>
      <c r="D2640" s="9" t="s">
        <v>6649</v>
      </c>
      <c r="E2640" s="10" t="str">
        <f>HYPERLINK("https://twitter.com/webaraba/status/723373498022789122","723373498022789122")</f>
        <v>723373498022789122</v>
      </c>
      <c r="F2640" s="10" t="s">
        <v>943</v>
      </c>
      <c r="G2640" s="11">
        <v>984</v>
      </c>
      <c r="H2640" s="11">
        <v>377</v>
      </c>
      <c r="I2640" s="11">
        <v>0</v>
      </c>
      <c r="J2640" s="11">
        <v>0</v>
      </c>
      <c r="K2640" s="11" t="s">
        <v>21</v>
      </c>
      <c r="L2640" s="7">
        <v>41173.388587962967</v>
      </c>
      <c r="M2640" s="12" t="s">
        <v>945</v>
      </c>
      <c r="N2640" s="12" t="s">
        <v>946</v>
      </c>
      <c r="O2640" s="10" t="str">
        <f>HYPERLINK("https://pbs.twimg.com/profile_images/641238966541361152/-oEpQ9XT_normal.png","View")</f>
        <v>View</v>
      </c>
      <c r="P2640" s="11"/>
    </row>
    <row r="2641" spans="1:16" ht="12.75" x14ac:dyDescent="0.35">
      <c r="A2641" s="7">
        <v>42482.43204861111</v>
      </c>
      <c r="B2641" s="8" t="str">
        <f>HYPERLINK("https://twitter.com/MarkusStrenzl","@MarkusStrenzl")</f>
        <v>@MarkusStrenzl</v>
      </c>
      <c r="C2641" s="9" t="s">
        <v>6646</v>
      </c>
      <c r="D2641" s="9" t="s">
        <v>6650</v>
      </c>
      <c r="E2641" s="10" t="str">
        <f>HYPERLINK("https://twitter.com/MarkusStrenzl/status/723373806820024320","723373806820024320")</f>
        <v>723373806820024320</v>
      </c>
      <c r="F2641" s="11" t="s">
        <v>43</v>
      </c>
      <c r="G2641" s="11">
        <v>447</v>
      </c>
      <c r="H2641" s="11">
        <v>789</v>
      </c>
      <c r="I2641" s="11">
        <v>0</v>
      </c>
      <c r="J2641" s="11">
        <v>1</v>
      </c>
      <c r="K2641" s="11" t="s">
        <v>21</v>
      </c>
      <c r="L2641" s="7">
        <v>39889.755312499998</v>
      </c>
      <c r="M2641" s="12" t="s">
        <v>5262</v>
      </c>
      <c r="N2641" s="12" t="s">
        <v>6648</v>
      </c>
      <c r="O2641" s="10" t="str">
        <f>HYPERLINK("https://pbs.twimg.com/profile_images/778573929/_MG_2143_normal.jpg","View")</f>
        <v>View</v>
      </c>
      <c r="P2641" s="11"/>
    </row>
    <row r="2642" spans="1:16" ht="12.75" x14ac:dyDescent="0.35">
      <c r="A2642" s="7">
        <v>42482.432256944448</v>
      </c>
      <c r="B2642" s="8" t="str">
        <f>HYPERLINK("https://twitter.com/hrinfo","@hrinfo")</f>
        <v>@hrinfo</v>
      </c>
      <c r="C2642" s="9" t="s">
        <v>3200</v>
      </c>
      <c r="D2642" s="9" t="s">
        <v>6651</v>
      </c>
      <c r="E2642" s="10" t="str">
        <f>HYPERLINK("https://twitter.com/hrinfo/status/723373882644647936","723373882644647936")</f>
        <v>723373882644647936</v>
      </c>
      <c r="F2642" s="11" t="s">
        <v>63</v>
      </c>
      <c r="G2642" s="11">
        <v>7148</v>
      </c>
      <c r="H2642" s="11">
        <v>452</v>
      </c>
      <c r="I2642" s="11">
        <v>1</v>
      </c>
      <c r="J2642" s="11">
        <v>2</v>
      </c>
      <c r="K2642" s="11" t="s">
        <v>21</v>
      </c>
      <c r="L2642" s="7">
        <v>40466.888171296298</v>
      </c>
      <c r="M2642" s="12" t="s">
        <v>1464</v>
      </c>
      <c r="N2642" s="12" t="s">
        <v>3202</v>
      </c>
      <c r="O2642" s="10" t="str">
        <f>HYPERLINK("https://pbs.twimg.com/profile_images/531837173612285952/71rzDAAY_normal.jpeg","View")</f>
        <v>View</v>
      </c>
      <c r="P2642" s="11"/>
    </row>
    <row r="2643" spans="1:16" ht="12.75" x14ac:dyDescent="0.35">
      <c r="A2643" s="7">
        <v>42482.432569444441</v>
      </c>
      <c r="B2643" s="8" t="str">
        <f>HYPERLINK("https://twitter.com/deutch_az","@deutch_az")</f>
        <v>@deutch_az</v>
      </c>
      <c r="C2643" s="9" t="s">
        <v>1188</v>
      </c>
      <c r="D2643" s="9" t="s">
        <v>6652</v>
      </c>
      <c r="E2643" s="10" t="str">
        <f>HYPERLINK("https://twitter.com/deutch_az/status/723373995744071680","723373995744071680")</f>
        <v>723373995744071680</v>
      </c>
      <c r="F2643" s="11" t="s">
        <v>43</v>
      </c>
      <c r="G2643" s="11">
        <v>521</v>
      </c>
      <c r="H2643" s="11">
        <v>1444</v>
      </c>
      <c r="I2643" s="11">
        <v>1</v>
      </c>
      <c r="J2643" s="11">
        <v>0</v>
      </c>
      <c r="K2643" s="11" t="s">
        <v>21</v>
      </c>
      <c r="L2643" s="7">
        <v>42305.594456018516</v>
      </c>
      <c r="M2643" s="12"/>
      <c r="N2643" s="12"/>
      <c r="O2643" s="10" t="str">
        <f>HYPERLINK("https://pbs.twimg.com/profile_images/659295730222280705/W1FqHCVo_normal.jpg","View")</f>
        <v>View</v>
      </c>
      <c r="P2643" s="11"/>
    </row>
    <row r="2644" spans="1:16" ht="12.75" x14ac:dyDescent="0.35">
      <c r="A2644" s="7">
        <v>42482.43340277778</v>
      </c>
      <c r="B2644" s="8" t="str">
        <f>HYPERLINK("https://twitter.com/barbosa0622","@barbosa0622")</f>
        <v>@barbosa0622</v>
      </c>
      <c r="C2644" s="9" t="s">
        <v>6653</v>
      </c>
      <c r="D2644" s="9" t="s">
        <v>6654</v>
      </c>
      <c r="E2644" s="10" t="str">
        <f>HYPERLINK("https://twitter.com/barbosa0622/status/723374297255809025","723374297255809025")</f>
        <v>723374297255809025</v>
      </c>
      <c r="F2644" s="11" t="s">
        <v>43</v>
      </c>
      <c r="G2644" s="11">
        <v>271</v>
      </c>
      <c r="H2644" s="11">
        <v>998</v>
      </c>
      <c r="I2644" s="11">
        <v>1</v>
      </c>
      <c r="J2644" s="11">
        <v>0</v>
      </c>
      <c r="K2644" s="11" t="s">
        <v>21</v>
      </c>
      <c r="L2644" s="7">
        <v>42362.045787037037</v>
      </c>
      <c r="M2644" s="12"/>
      <c r="N2644" s="12"/>
      <c r="O2644" s="10" t="str">
        <f>HYPERLINK("https://pbs.twimg.com/profile_images/679749235395440641/h0ufWmoR_normal.jpg","View")</f>
        <v>View</v>
      </c>
      <c r="P2644" s="11"/>
    </row>
    <row r="2645" spans="1:16" ht="12.75" x14ac:dyDescent="0.35">
      <c r="A2645" s="7">
        <v>42482.434479166666</v>
      </c>
      <c r="B2645" s="8" t="str">
        <f>HYPERLINK("https://twitter.com/bestofprinceton","@bestofprinceton")</f>
        <v>@bestofprinceton</v>
      </c>
      <c r="C2645" s="9" t="s">
        <v>6655</v>
      </c>
      <c r="D2645" s="9" t="s">
        <v>6656</v>
      </c>
      <c r="E2645" s="10" t="str">
        <f>HYPERLINK("https://twitter.com/bestofprinceton/status/723374684113268736","723374684113268736")</f>
        <v>723374684113268736</v>
      </c>
      <c r="F2645" s="11" t="s">
        <v>68</v>
      </c>
      <c r="G2645" s="11">
        <v>1216</v>
      </c>
      <c r="H2645" s="11">
        <v>710</v>
      </c>
      <c r="I2645" s="11">
        <v>0</v>
      </c>
      <c r="J2645" s="11">
        <v>0</v>
      </c>
      <c r="K2645" s="11" t="s">
        <v>21</v>
      </c>
      <c r="L2645" s="7">
        <v>42023.403379629628</v>
      </c>
      <c r="M2645" s="12" t="s">
        <v>6657</v>
      </c>
      <c r="N2645" s="12" t="s">
        <v>6658</v>
      </c>
      <c r="O2645" s="10" t="str">
        <f>HYPERLINK("https://pbs.twimg.com/profile_images/558265124927307778/DDhPIZmj_normal.jpeg","View")</f>
        <v>View</v>
      </c>
      <c r="P2645" s="11"/>
    </row>
    <row r="2646" spans="1:16" ht="12.75" x14ac:dyDescent="0.35">
      <c r="A2646" s="7">
        <v>42482.435254629629</v>
      </c>
      <c r="B2646" s="8" t="str">
        <f>HYPERLINK("https://twitter.com/heikolossie","@heikolossie")</f>
        <v>@heikolossie</v>
      </c>
      <c r="C2646" s="9" t="s">
        <v>6659</v>
      </c>
      <c r="D2646" s="9" t="s">
        <v>6660</v>
      </c>
      <c r="E2646" s="10" t="str">
        <f>HYPERLINK("https://twitter.com/heikolossie/status/723374965353893889","723374965353893889")</f>
        <v>723374965353893889</v>
      </c>
      <c r="F2646" s="11" t="s">
        <v>20</v>
      </c>
      <c r="G2646" s="11">
        <v>580</v>
      </c>
      <c r="H2646" s="11">
        <v>601</v>
      </c>
      <c r="I2646" s="11">
        <v>8</v>
      </c>
      <c r="J2646" s="11">
        <v>2</v>
      </c>
      <c r="K2646" s="11" t="s">
        <v>21</v>
      </c>
      <c r="L2646" s="7">
        <v>39857.925844907411</v>
      </c>
      <c r="M2646" s="12" t="s">
        <v>6661</v>
      </c>
      <c r="N2646" s="12" t="s">
        <v>6662</v>
      </c>
      <c r="O2646" s="10" t="str">
        <f>HYPERLINK("https://pbs.twimg.com/profile_images/2586380116/image_normal.jpg","View")</f>
        <v>View</v>
      </c>
      <c r="P2646" s="11"/>
    </row>
    <row r="2647" spans="1:16" ht="12.75" x14ac:dyDescent="0.35">
      <c r="A2647" s="7">
        <v>42482.43549768519</v>
      </c>
      <c r="B2647" s="8" t="str">
        <f>HYPERLINK("https://twitter.com/RFN19","@RFN19")</f>
        <v>@RFN19</v>
      </c>
      <c r="C2647" s="9" t="s">
        <v>6663</v>
      </c>
      <c r="D2647" s="9" t="s">
        <v>6664</v>
      </c>
      <c r="E2647" s="10" t="str">
        <f>HYPERLINK("https://twitter.com/RFN19/status/723375057330835456","723375057330835456")</f>
        <v>723375057330835456</v>
      </c>
      <c r="F2647" s="11" t="s">
        <v>43</v>
      </c>
      <c r="G2647" s="11">
        <v>468</v>
      </c>
      <c r="H2647" s="11">
        <v>263</v>
      </c>
      <c r="I2647" s="11">
        <v>0</v>
      </c>
      <c r="J2647" s="11">
        <v>0</v>
      </c>
      <c r="K2647" s="11" t="s">
        <v>21</v>
      </c>
      <c r="L2647" s="7">
        <v>41188.796724537038</v>
      </c>
      <c r="M2647" s="12" t="s">
        <v>6665</v>
      </c>
      <c r="N2647" s="12" t="s">
        <v>6666</v>
      </c>
      <c r="O2647" s="10" t="str">
        <f>HYPERLINK("https://pbs.twimg.com/profile_images/571872729201012736/GOT-p0KX_normal.jpeg","View")</f>
        <v>View</v>
      </c>
      <c r="P2647" s="11"/>
    </row>
    <row r="2648" spans="1:16" ht="12.75" x14ac:dyDescent="0.35">
      <c r="A2648" s="7">
        <v>42482.435520833329</v>
      </c>
      <c r="B2648" s="8" t="str">
        <f>HYPERLINK("https://twitter.com/SamGodreau","@SamGodreau")</f>
        <v>@SamGodreau</v>
      </c>
      <c r="C2648" s="9" t="s">
        <v>6667</v>
      </c>
      <c r="D2648" s="9" t="s">
        <v>6668</v>
      </c>
      <c r="E2648" s="10" t="str">
        <f>HYPERLINK("https://twitter.com/SamGodreau/status/723375064503078913","723375064503078913")</f>
        <v>723375064503078913</v>
      </c>
      <c r="F2648" s="11" t="s">
        <v>20</v>
      </c>
      <c r="G2648" s="11">
        <v>70</v>
      </c>
      <c r="H2648" s="11">
        <v>181</v>
      </c>
      <c r="I2648" s="11">
        <v>1</v>
      </c>
      <c r="J2648" s="11">
        <v>0</v>
      </c>
      <c r="K2648" s="11" t="s">
        <v>21</v>
      </c>
      <c r="L2648" s="7">
        <v>40952.577453703707</v>
      </c>
      <c r="M2648" s="12"/>
      <c r="N2648" s="12"/>
      <c r="O2648" s="10" t="str">
        <f>HYPERLINK("https://pbs.twimg.com/profile_images/1824154931/image_normal.jpg","View")</f>
        <v>View</v>
      </c>
      <c r="P2648" s="11"/>
    </row>
    <row r="2649" spans="1:16" ht="12.75" x14ac:dyDescent="0.35">
      <c r="A2649" s="7">
        <v>42482.436331018514</v>
      </c>
      <c r="B2649" s="8" t="str">
        <f>HYPERLINK("https://twitter.com/Wolke_4","@Wolke_4")</f>
        <v>@Wolke_4</v>
      </c>
      <c r="C2649" s="9" t="s">
        <v>6669</v>
      </c>
      <c r="D2649" s="9" t="s">
        <v>6670</v>
      </c>
      <c r="E2649" s="10" t="str">
        <f>HYPERLINK("https://twitter.com/Wolke_4/status/723375357097693184","723375357097693184")</f>
        <v>723375357097693184</v>
      </c>
      <c r="F2649" s="11" t="s">
        <v>48</v>
      </c>
      <c r="G2649" s="11">
        <v>62</v>
      </c>
      <c r="H2649" s="11">
        <v>86</v>
      </c>
      <c r="I2649" s="11">
        <v>0</v>
      </c>
      <c r="J2649" s="11">
        <v>1</v>
      </c>
      <c r="K2649" s="11" t="s">
        <v>21</v>
      </c>
      <c r="L2649" s="7">
        <v>42384.143263888887</v>
      </c>
      <c r="M2649" s="12" t="s">
        <v>6671</v>
      </c>
      <c r="N2649" s="12" t="s">
        <v>6672</v>
      </c>
      <c r="O2649" s="10" t="str">
        <f>HYPERLINK("https://pbs.twimg.com/profile_images/693091554194526209/_Hz25tig_normal.jpg","View")</f>
        <v>View</v>
      </c>
      <c r="P2649" s="11"/>
    </row>
    <row r="2650" spans="1:16" ht="12.75" x14ac:dyDescent="0.35">
      <c r="A2650" s="7">
        <v>42482.436851851853</v>
      </c>
      <c r="B2650" s="8" t="str">
        <f>HYPERLINK("https://twitter.com/nizoo1213","@nizoo1213")</f>
        <v>@nizoo1213</v>
      </c>
      <c r="C2650" s="9" t="s">
        <v>2996</v>
      </c>
      <c r="D2650" s="9" t="s">
        <v>6673</v>
      </c>
      <c r="E2650" s="10" t="str">
        <f>HYPERLINK("https://twitter.com/nizoo1213/status/723375546835431426","723375546835431426")</f>
        <v>723375546835431426</v>
      </c>
      <c r="F2650" s="11" t="s">
        <v>43</v>
      </c>
      <c r="G2650" s="11">
        <v>541</v>
      </c>
      <c r="H2650" s="11">
        <v>1683</v>
      </c>
      <c r="I2650" s="11">
        <v>4</v>
      </c>
      <c r="J2650" s="11">
        <v>0</v>
      </c>
      <c r="K2650" s="11" t="s">
        <v>21</v>
      </c>
      <c r="L2650" s="7">
        <v>42393.025000000001</v>
      </c>
      <c r="M2650" s="12"/>
      <c r="N2650" s="12"/>
      <c r="O2650" s="10" t="str">
        <f>HYPERLINK("https://pbs.twimg.com/profile_images/690974305321005056/zlb2R_Vb_normal.jpg","View")</f>
        <v>View</v>
      </c>
      <c r="P2650" s="11"/>
    </row>
    <row r="2651" spans="1:16" ht="12.75" x14ac:dyDescent="0.35">
      <c r="A2651" s="7">
        <v>42482.439189814817</v>
      </c>
      <c r="B2651" s="8" t="str">
        <f>HYPERLINK("https://twitter.com/rwosbo","@rwosbo")</f>
        <v>@rwosbo</v>
      </c>
      <c r="C2651" s="9" t="s">
        <v>6674</v>
      </c>
      <c r="D2651" s="9" t="s">
        <v>6675</v>
      </c>
      <c r="E2651" s="10" t="str">
        <f>HYPERLINK("https://twitter.com/rwosbo/status/723376392583319553","723376392583319553")</f>
        <v>723376392583319553</v>
      </c>
      <c r="F2651" s="11" t="s">
        <v>20</v>
      </c>
      <c r="G2651" s="11">
        <v>1060</v>
      </c>
      <c r="H2651" s="11">
        <v>2730</v>
      </c>
      <c r="I2651" s="11">
        <v>1</v>
      </c>
      <c r="J2651" s="11">
        <v>0</v>
      </c>
      <c r="K2651" s="11" t="s">
        <v>21</v>
      </c>
      <c r="L2651" s="7">
        <v>40595.454594907409</v>
      </c>
      <c r="M2651" s="12" t="s">
        <v>6676</v>
      </c>
      <c r="N2651" s="12" t="s">
        <v>6677</v>
      </c>
      <c r="O2651" s="10" t="str">
        <f>HYPERLINK("https://pbs.twimg.com/profile_images/708299192247013377/uanh21I8_normal.jpg","View")</f>
        <v>View</v>
      </c>
      <c r="P2651" s="11"/>
    </row>
    <row r="2652" spans="1:16" ht="12.75" x14ac:dyDescent="0.35">
      <c r="A2652" s="7">
        <v>42482.440370370372</v>
      </c>
      <c r="B2652" s="8" t="str">
        <f>HYPERLINK("https://twitter.com/jenkers_en","@jenkers_en")</f>
        <v>@jenkers_en</v>
      </c>
      <c r="C2652" s="9" t="s">
        <v>2730</v>
      </c>
      <c r="D2652" s="9" t="s">
        <v>6678</v>
      </c>
      <c r="E2652" s="10" t="str">
        <f>HYPERLINK("https://twitter.com/jenkers_en/status/723376820633001984","723376820633001984")</f>
        <v>723376820633001984</v>
      </c>
      <c r="F2652" s="11" t="s">
        <v>2732</v>
      </c>
      <c r="G2652" s="11">
        <v>1179</v>
      </c>
      <c r="H2652" s="11">
        <v>335</v>
      </c>
      <c r="I2652" s="11">
        <v>0</v>
      </c>
      <c r="J2652" s="11">
        <v>0</v>
      </c>
      <c r="K2652" s="11" t="s">
        <v>21</v>
      </c>
      <c r="L2652" s="7">
        <v>42082.76226851852</v>
      </c>
      <c r="M2652" s="12" t="s">
        <v>155</v>
      </c>
      <c r="N2652" s="12" t="s">
        <v>2733</v>
      </c>
      <c r="O2652" s="10" t="str">
        <f>HYPERLINK("https://pbs.twimg.com/profile_images/588324718677254145/-y5BbeY4_normal.png","View")</f>
        <v>View</v>
      </c>
      <c r="P2652" s="11"/>
    </row>
    <row r="2653" spans="1:16" ht="12.75" x14ac:dyDescent="0.35">
      <c r="A2653" s="7">
        <v>42482.441423611112</v>
      </c>
      <c r="B2653" s="8" t="str">
        <f>HYPERLINK("https://twitter.com/WobIntosh","@WobIntosh")</f>
        <v>@WobIntosh</v>
      </c>
      <c r="C2653" s="9" t="s">
        <v>6679</v>
      </c>
      <c r="D2653" s="9" t="s">
        <v>6680</v>
      </c>
      <c r="E2653" s="10" t="str">
        <f>HYPERLINK("https://twitter.com/WobIntosh/status/723377203807842305","723377203807842305")</f>
        <v>723377203807842305</v>
      </c>
      <c r="F2653" s="11" t="s">
        <v>6681</v>
      </c>
      <c r="G2653" s="11">
        <v>232</v>
      </c>
      <c r="H2653" s="11">
        <v>223</v>
      </c>
      <c r="I2653" s="11">
        <v>0</v>
      </c>
      <c r="J2653" s="11">
        <v>1</v>
      </c>
      <c r="K2653" s="11" t="s">
        <v>21</v>
      </c>
      <c r="L2653" s="7">
        <v>40899.868900462963</v>
      </c>
      <c r="M2653" s="12" t="s">
        <v>6682</v>
      </c>
      <c r="N2653" s="12" t="s">
        <v>6683</v>
      </c>
      <c r="O2653" s="10" t="str">
        <f>HYPERLINK("https://pbs.twimg.com/profile_images/712032573929754625/WbaMFsk__normal.jpg","View")</f>
        <v>View</v>
      </c>
      <c r="P2653" s="10" t="str">
        <f>HYPERLINK("http://ctrlq.org/maps/address/#52.429056,10.787828","Map")</f>
        <v>Map</v>
      </c>
    </row>
    <row r="2654" spans="1:16" ht="12.75" x14ac:dyDescent="0.35">
      <c r="A2654" s="7">
        <v>42482.441620370373</v>
      </c>
      <c r="B2654" s="8" t="str">
        <f>HYPERLINK("https://twitter.com/tagesschau","@tagesschau")</f>
        <v>@tagesschau</v>
      </c>
      <c r="C2654" s="9" t="s">
        <v>1880</v>
      </c>
      <c r="D2654" s="9" t="s">
        <v>6684</v>
      </c>
      <c r="E2654" s="10" t="str">
        <f>HYPERLINK("https://twitter.com/tagesschau/status/723377273986895873","723377273986895873")</f>
        <v>723377273986895873</v>
      </c>
      <c r="F2654" s="10" t="s">
        <v>1882</v>
      </c>
      <c r="G2654" s="11">
        <v>1154672</v>
      </c>
      <c r="H2654" s="11">
        <v>286</v>
      </c>
      <c r="I2654" s="11">
        <v>8</v>
      </c>
      <c r="J2654" s="11">
        <v>10</v>
      </c>
      <c r="K2654" s="11" t="s">
        <v>21</v>
      </c>
      <c r="L2654" s="7">
        <v>39205.592152777775</v>
      </c>
      <c r="M2654" s="12" t="s">
        <v>953</v>
      </c>
      <c r="N2654" s="12" t="s">
        <v>1883</v>
      </c>
      <c r="O2654" s="10" t="str">
        <f>HYPERLINK("https://pbs.twimg.com/profile_images/531688614640365568/U84uXoIT_normal.png","View")</f>
        <v>View</v>
      </c>
      <c r="P2654" s="11"/>
    </row>
    <row r="2655" spans="1:16" ht="12.75" x14ac:dyDescent="0.35">
      <c r="A2655" s="7">
        <v>42482.443101851852</v>
      </c>
      <c r="B2655" s="8" t="str">
        <f>HYPERLINK("https://twitter.com/teleherzog","@teleherzog")</f>
        <v>@teleherzog</v>
      </c>
      <c r="C2655" s="9" t="s">
        <v>6685</v>
      </c>
      <c r="D2655" s="9" t="s">
        <v>6686</v>
      </c>
      <c r="E2655" s="10" t="str">
        <f>HYPERLINK("https://twitter.com/teleherzog/status/723377809591164929","723377809591164929")</f>
        <v>723377809591164929</v>
      </c>
      <c r="F2655" s="11" t="s">
        <v>43</v>
      </c>
      <c r="G2655" s="11">
        <v>584</v>
      </c>
      <c r="H2655" s="11">
        <v>676</v>
      </c>
      <c r="I2655" s="11">
        <v>1</v>
      </c>
      <c r="J2655" s="11">
        <v>0</v>
      </c>
      <c r="K2655" s="11" t="s">
        <v>21</v>
      </c>
      <c r="L2655" s="7">
        <v>41935.480682870373</v>
      </c>
      <c r="M2655" s="13" t="s">
        <v>6687</v>
      </c>
      <c r="N2655" s="12" t="s">
        <v>6688</v>
      </c>
      <c r="O2655" s="10" t="str">
        <f>HYPERLINK("https://pbs.twimg.com/profile_images/553062410508972032/Rte2llUr_normal.jpeg","View")</f>
        <v>View</v>
      </c>
      <c r="P2655" s="11"/>
    </row>
    <row r="2656" spans="1:16" ht="12.75" x14ac:dyDescent="0.35">
      <c r="A2656" s="7">
        <v>42482.443240740744</v>
      </c>
      <c r="B2656" s="8" t="str">
        <f>HYPERLINK("https://twitter.com/Fuhrparkverband","@Fuhrparkverband")</f>
        <v>@Fuhrparkverband</v>
      </c>
      <c r="C2656" s="9" t="s">
        <v>6689</v>
      </c>
      <c r="D2656" s="9" t="s">
        <v>2414</v>
      </c>
      <c r="E2656" s="10" t="str">
        <f>HYPERLINK("https://twitter.com/Fuhrparkverband/status/723377861965443072","723377861965443072")</f>
        <v>723377861965443072</v>
      </c>
      <c r="F2656" s="11" t="s">
        <v>91</v>
      </c>
      <c r="G2656" s="11">
        <v>220</v>
      </c>
      <c r="H2656" s="11">
        <v>49</v>
      </c>
      <c r="I2656" s="11">
        <v>2</v>
      </c>
      <c r="J2656" s="11">
        <v>0</v>
      </c>
      <c r="K2656" s="11" t="s">
        <v>21</v>
      </c>
      <c r="L2656" s="7">
        <v>40616.706261574072</v>
      </c>
      <c r="M2656" s="12" t="s">
        <v>6690</v>
      </c>
      <c r="N2656" s="12" t="s">
        <v>6691</v>
      </c>
      <c r="O2656" s="10" t="str">
        <f>HYPERLINK("https://pbs.twimg.com/profile_images/459018765699526656/ojrIbsvD_normal.png","View")</f>
        <v>View</v>
      </c>
      <c r="P2656" s="11"/>
    </row>
    <row r="2657" spans="1:16" ht="12.75" x14ac:dyDescent="0.35">
      <c r="A2657" s="7">
        <v>42482.444016203706</v>
      </c>
      <c r="B2657" s="8" t="str">
        <f>HYPERLINK("https://twitter.com/durchblicker_k","@durchblicker_k")</f>
        <v>@durchblicker_k</v>
      </c>
      <c r="C2657" s="9" t="s">
        <v>6692</v>
      </c>
      <c r="D2657" s="9" t="s">
        <v>6693</v>
      </c>
      <c r="E2657" s="10" t="str">
        <f>HYPERLINK("https://twitter.com/durchblicker_k/status/723378140261715968","723378140261715968")</f>
        <v>723378140261715968</v>
      </c>
      <c r="F2657" s="11" t="s">
        <v>2060</v>
      </c>
      <c r="G2657" s="11">
        <v>135</v>
      </c>
      <c r="H2657" s="11">
        <v>118</v>
      </c>
      <c r="I2657" s="11">
        <v>0</v>
      </c>
      <c r="J2657" s="11">
        <v>0</v>
      </c>
      <c r="K2657" s="11" t="s">
        <v>21</v>
      </c>
      <c r="L2657" s="7">
        <v>41068.799837962964</v>
      </c>
      <c r="M2657" s="12" t="s">
        <v>6694</v>
      </c>
      <c r="N2657" s="12" t="s">
        <v>6695</v>
      </c>
      <c r="O2657" s="10" t="str">
        <f>HYPERLINK("https://pbs.twimg.com/profile_images/2307593524/dloj6foxbskuo2rma5ds_normal.jpeg","View")</f>
        <v>View</v>
      </c>
      <c r="P2657" s="11"/>
    </row>
    <row r="2658" spans="1:16" ht="12.75" x14ac:dyDescent="0.35">
      <c r="A2658" s="7">
        <v>42482.444143518514</v>
      </c>
      <c r="B2658" s="8" t="str">
        <f>HYPERLINK("https://twitter.com/roem1212","@roem1212")</f>
        <v>@roem1212</v>
      </c>
      <c r="C2658" s="9" t="s">
        <v>6696</v>
      </c>
      <c r="D2658" s="9" t="s">
        <v>6697</v>
      </c>
      <c r="E2658" s="10" t="str">
        <f>HYPERLINK("https://twitter.com/roem1212/status/723378190094229504","723378190094229504")</f>
        <v>723378190094229504</v>
      </c>
      <c r="F2658" s="11" t="s">
        <v>367</v>
      </c>
      <c r="G2658" s="11">
        <v>961</v>
      </c>
      <c r="H2658" s="11">
        <v>1236</v>
      </c>
      <c r="I2658" s="11">
        <v>1</v>
      </c>
      <c r="J2658" s="11">
        <v>0</v>
      </c>
      <c r="K2658" s="11" t="s">
        <v>21</v>
      </c>
      <c r="L2658" s="7">
        <v>41823.04246527778</v>
      </c>
      <c r="M2658" s="12" t="s">
        <v>1116</v>
      </c>
      <c r="N2658" s="12"/>
      <c r="O2658" s="10" t="str">
        <f>HYPERLINK("https://pbs.twimg.com/profile_images/667792478892924928/mBMNel6e_normal.jpg","View")</f>
        <v>View</v>
      </c>
      <c r="P2658" s="11"/>
    </row>
    <row r="2659" spans="1:16" ht="12.75" x14ac:dyDescent="0.35">
      <c r="A2659" s="7">
        <v>42482.444560185184</v>
      </c>
      <c r="B2659" s="8" t="str">
        <f>HYPERLINK("https://twitter.com/DLFNachrichten","@DLFNachrichten")</f>
        <v>@DLFNachrichten</v>
      </c>
      <c r="C2659" s="9" t="s">
        <v>3369</v>
      </c>
      <c r="D2659" s="9" t="s">
        <v>6698</v>
      </c>
      <c r="E2659" s="10" t="str">
        <f>HYPERLINK("https://twitter.com/DLFNachrichten/status/723378337523998720","723378337523998720")</f>
        <v>723378337523998720</v>
      </c>
      <c r="F2659" s="11" t="s">
        <v>63</v>
      </c>
      <c r="G2659" s="11">
        <v>3172</v>
      </c>
      <c r="H2659" s="11">
        <v>27</v>
      </c>
      <c r="I2659" s="11">
        <v>3</v>
      </c>
      <c r="J2659" s="11">
        <v>2</v>
      </c>
      <c r="K2659" s="11" t="s">
        <v>21</v>
      </c>
      <c r="L2659" s="7">
        <v>42324.81086805556</v>
      </c>
      <c r="M2659" s="12" t="s">
        <v>3371</v>
      </c>
      <c r="N2659" s="12" t="s">
        <v>3372</v>
      </c>
      <c r="O2659" s="10" t="str">
        <f>HYPERLINK("https://pbs.twimg.com/profile_images/669541061711261696/eOfP0YD8_normal.png","View")</f>
        <v>View</v>
      </c>
      <c r="P2659" s="11"/>
    </row>
    <row r="2660" spans="1:16" ht="12.75" x14ac:dyDescent="0.35">
      <c r="A2660" s="7">
        <v>42482.444571759261</v>
      </c>
      <c r="B2660" s="8" t="str">
        <f>HYPERLINK("https://twitter.com/Kielia88","@Kielia88")</f>
        <v>@Kielia88</v>
      </c>
      <c r="C2660" s="9" t="s">
        <v>6699</v>
      </c>
      <c r="D2660" s="9" t="s">
        <v>6700</v>
      </c>
      <c r="E2660" s="10" t="str">
        <f>HYPERLINK("https://twitter.com/Kielia88/status/723378341714104320","723378341714104320")</f>
        <v>723378341714104320</v>
      </c>
      <c r="F2660" s="11" t="s">
        <v>43</v>
      </c>
      <c r="G2660" s="11">
        <v>943</v>
      </c>
      <c r="H2660" s="11">
        <v>1519</v>
      </c>
      <c r="I2660" s="11">
        <v>0</v>
      </c>
      <c r="J2660" s="11">
        <v>0</v>
      </c>
      <c r="K2660" s="11" t="s">
        <v>21</v>
      </c>
      <c r="L2660" s="7">
        <v>40815.769108796296</v>
      </c>
      <c r="M2660" s="12"/>
      <c r="N2660" s="12"/>
      <c r="O2660" s="10" t="str">
        <f>HYPERLINK("https://pbs.twimg.com/profile_images/604605659410235392/k92X94I5_normal.jpg","View")</f>
        <v>View</v>
      </c>
      <c r="P2660" s="11"/>
    </row>
    <row r="2661" spans="1:16" ht="12.75" x14ac:dyDescent="0.35">
      <c r="A2661" s="7">
        <v>42482.444664351853</v>
      </c>
      <c r="B2661" s="8" t="str">
        <f>HYPERLINK("https://twitter.com/DLF","@DLF")</f>
        <v>@DLF</v>
      </c>
      <c r="C2661" s="9" t="s">
        <v>6072</v>
      </c>
      <c r="D2661" s="9" t="s">
        <v>6701</v>
      </c>
      <c r="E2661" s="10" t="str">
        <f>HYPERLINK("https://twitter.com/DLF/status/723378375327272961","723378375327272961")</f>
        <v>723378375327272961</v>
      </c>
      <c r="F2661" s="11" t="s">
        <v>63</v>
      </c>
      <c r="G2661" s="11">
        <v>89354</v>
      </c>
      <c r="H2661" s="11">
        <v>605</v>
      </c>
      <c r="I2661" s="11">
        <v>3</v>
      </c>
      <c r="J2661" s="11">
        <v>0</v>
      </c>
      <c r="K2661" s="11" t="s">
        <v>21</v>
      </c>
      <c r="L2661" s="7">
        <v>40488.244039351848</v>
      </c>
      <c r="M2661" s="12" t="s">
        <v>1241</v>
      </c>
      <c r="N2661" s="12" t="s">
        <v>6074</v>
      </c>
      <c r="O2661" s="10" t="str">
        <f>HYPERLINK("https://pbs.twimg.com/profile_images/667101948429123584/pzpPHONX_normal.jpg","View")</f>
        <v>View</v>
      </c>
      <c r="P2661" s="11"/>
    </row>
    <row r="2662" spans="1:16" ht="12.75" x14ac:dyDescent="0.35">
      <c r="A2662" s="7">
        <v>42482.444895833338</v>
      </c>
      <c r="B2662" s="8" t="str">
        <f>HYPERLINK("https://twitter.com/wznewsline","@wznewsline")</f>
        <v>@wznewsline</v>
      </c>
      <c r="C2662" s="9" t="s">
        <v>1042</v>
      </c>
      <c r="D2662" s="9" t="s">
        <v>6702</v>
      </c>
      <c r="E2662" s="10" t="str">
        <f>HYPERLINK("https://twitter.com/wznewsline/status/723378459758620673","723378459758620673")</f>
        <v>723378459758620673</v>
      </c>
      <c r="F2662" s="11" t="s">
        <v>63</v>
      </c>
      <c r="G2662" s="11">
        <v>7343</v>
      </c>
      <c r="H2662" s="11">
        <v>696</v>
      </c>
      <c r="I2662" s="11">
        <v>0</v>
      </c>
      <c r="J2662" s="11">
        <v>0</v>
      </c>
      <c r="K2662" s="11" t="s">
        <v>21</v>
      </c>
      <c r="L2662" s="7">
        <v>39905.668657407405</v>
      </c>
      <c r="M2662" s="12" t="s">
        <v>1044</v>
      </c>
      <c r="N2662" s="12" t="s">
        <v>1045</v>
      </c>
      <c r="O2662" s="10" t="str">
        <f>HYPERLINK("https://pbs.twimg.com/profile_images/619495022715645952/KN0iPdsN_normal.jpg","View")</f>
        <v>View</v>
      </c>
      <c r="P2662" s="11"/>
    </row>
    <row r="2663" spans="1:16" ht="12.75" x14ac:dyDescent="0.35">
      <c r="A2663" s="7">
        <v>42482.444907407407</v>
      </c>
      <c r="B2663" s="8" t="str">
        <f>HYPERLINK("https://twitter.com/kazan_life","@kazan_life")</f>
        <v>@kazan_life</v>
      </c>
      <c r="C2663" s="9" t="s">
        <v>6703</v>
      </c>
      <c r="D2663" s="9" t="s">
        <v>6704</v>
      </c>
      <c r="E2663" s="10" t="str">
        <f>HYPERLINK("https://twitter.com/kazan_life/status/723378465005662208","723378465005662208")</f>
        <v>723378465005662208</v>
      </c>
      <c r="F2663" s="11" t="s">
        <v>68</v>
      </c>
      <c r="G2663" s="11">
        <v>806</v>
      </c>
      <c r="H2663" s="11">
        <v>40</v>
      </c>
      <c r="I2663" s="11">
        <v>0</v>
      </c>
      <c r="J2663" s="11">
        <v>1</v>
      </c>
      <c r="K2663" s="11" t="s">
        <v>21</v>
      </c>
      <c r="L2663" s="7">
        <v>42059.76489583333</v>
      </c>
      <c r="M2663" s="12"/>
      <c r="N2663" s="12"/>
      <c r="O2663" s="10" t="str">
        <f>HYPERLINK("https://pbs.twimg.com/profile_images/570586193205547008/21HlPE6T_normal.jpeg","View")</f>
        <v>View</v>
      </c>
      <c r="P2663" s="11"/>
    </row>
    <row r="2664" spans="1:16" ht="12.75" x14ac:dyDescent="0.35">
      <c r="A2664" s="7">
        <v>42482.445243055554</v>
      </c>
      <c r="B2664" s="8" t="str">
        <f>HYPERLINK("https://twitter.com/ch_heinemann","@ch_heinemann")</f>
        <v>@ch_heinemann</v>
      </c>
      <c r="C2664" s="9" t="s">
        <v>6705</v>
      </c>
      <c r="D2664" s="9" t="s">
        <v>6706</v>
      </c>
      <c r="E2664" s="10" t="str">
        <f>HYPERLINK("https://twitter.com/ch_heinemann/status/723378585055043584","723378585055043584")</f>
        <v>723378585055043584</v>
      </c>
      <c r="F2664" s="11" t="s">
        <v>43</v>
      </c>
      <c r="G2664" s="11">
        <v>184</v>
      </c>
      <c r="H2664" s="11">
        <v>109</v>
      </c>
      <c r="I2664" s="11">
        <v>0</v>
      </c>
      <c r="J2664" s="11">
        <v>1</v>
      </c>
      <c r="K2664" s="11" t="s">
        <v>21</v>
      </c>
      <c r="L2664" s="7">
        <v>42025.72956018518</v>
      </c>
      <c r="M2664" s="12"/>
      <c r="N2664" s="12" t="s">
        <v>6072</v>
      </c>
      <c r="O2664" s="10" t="str">
        <f>HYPERLINK("https://pbs.twimg.com/profile_images/557871501559345152/ylj0mtNH_normal.jpeg","View")</f>
        <v>View</v>
      </c>
      <c r="P2664" s="11"/>
    </row>
    <row r="2665" spans="1:16" ht="12.75" x14ac:dyDescent="0.35">
      <c r="A2665" s="7">
        <v>42482.445543981477</v>
      </c>
      <c r="B2665" s="8" t="str">
        <f>HYPERLINK("https://twitter.com/PRESSEKONTOR","@PRESSEKONTOR")</f>
        <v>@PRESSEKONTOR</v>
      </c>
      <c r="C2665" s="9" t="s">
        <v>1616</v>
      </c>
      <c r="D2665" s="9" t="s">
        <v>6707</v>
      </c>
      <c r="E2665" s="10" t="str">
        <f>HYPERLINK("https://twitter.com/PRESSEKONTOR/status/723378695050645507","723378695050645507")</f>
        <v>723378695050645507</v>
      </c>
      <c r="F2665" s="11" t="s">
        <v>91</v>
      </c>
      <c r="G2665" s="11">
        <v>125</v>
      </c>
      <c r="H2665" s="11">
        <v>324</v>
      </c>
      <c r="I2665" s="11">
        <v>8</v>
      </c>
      <c r="J2665" s="11">
        <v>0</v>
      </c>
      <c r="K2665" s="11" t="s">
        <v>21</v>
      </c>
      <c r="L2665" s="7">
        <v>41417.790034722224</v>
      </c>
      <c r="M2665" s="12" t="s">
        <v>1618</v>
      </c>
      <c r="N2665" s="12" t="s">
        <v>1619</v>
      </c>
      <c r="O2665" s="10" t="str">
        <f>HYPERLINK("https://pbs.twimg.com/profile_images/584030077870018560/aLXqHYI6_normal.jpg","View")</f>
        <v>View</v>
      </c>
      <c r="P2665" s="11"/>
    </row>
    <row r="2666" spans="1:16" ht="12.75" x14ac:dyDescent="0.35">
      <c r="A2666" s="7">
        <v>42482.44568287037</v>
      </c>
      <c r="B2666" s="8" t="str">
        <f>HYPERLINK("https://twitter.com/habo11","@habo11")</f>
        <v>@habo11</v>
      </c>
      <c r="C2666" s="9" t="s">
        <v>6708</v>
      </c>
      <c r="D2666" s="9" t="s">
        <v>6707</v>
      </c>
      <c r="E2666" s="10" t="str">
        <f>HYPERLINK("https://twitter.com/habo11/status/723378745113894912","723378745113894912")</f>
        <v>723378745113894912</v>
      </c>
      <c r="F2666" s="11" t="s">
        <v>48</v>
      </c>
      <c r="G2666" s="11">
        <v>869</v>
      </c>
      <c r="H2666" s="11">
        <v>777</v>
      </c>
      <c r="I2666" s="11">
        <v>8</v>
      </c>
      <c r="J2666" s="11">
        <v>0</v>
      </c>
      <c r="K2666" s="11" t="s">
        <v>21</v>
      </c>
      <c r="L2666" s="7">
        <v>40297.724756944444</v>
      </c>
      <c r="M2666" s="12" t="s">
        <v>6709</v>
      </c>
      <c r="N2666" s="12" t="s">
        <v>6710</v>
      </c>
      <c r="O2666" s="10" t="str">
        <f>HYPERLINK("https://pbs.twimg.com/profile_images/420917107438915584/gJTup5FM_normal.jpeg","View")</f>
        <v>View</v>
      </c>
      <c r="P2666" s="11"/>
    </row>
    <row r="2667" spans="1:16" ht="12.75" x14ac:dyDescent="0.35">
      <c r="A2667" s="7">
        <v>42482.446111111116</v>
      </c>
      <c r="B2667" s="8" t="str">
        <f>HYPERLINK("https://twitter.com/Djexenmon","@Djexenmon")</f>
        <v>@Djexenmon</v>
      </c>
      <c r="C2667" s="9" t="s">
        <v>6711</v>
      </c>
      <c r="D2667" s="9" t="s">
        <v>2825</v>
      </c>
      <c r="E2667" s="10" t="str">
        <f>HYPERLINK("https://twitter.com/Djexenmon/status/723378902379294721","723378902379294721")</f>
        <v>723378902379294721</v>
      </c>
      <c r="F2667" s="11" t="s">
        <v>48</v>
      </c>
      <c r="G2667" s="11">
        <v>8403</v>
      </c>
      <c r="H2667" s="11">
        <v>7603</v>
      </c>
      <c r="I2667" s="11">
        <v>53</v>
      </c>
      <c r="J2667" s="11">
        <v>0</v>
      </c>
      <c r="K2667" s="11" t="s">
        <v>21</v>
      </c>
      <c r="L2667" s="7">
        <v>41765.893414351856</v>
      </c>
      <c r="M2667" s="12" t="s">
        <v>6712</v>
      </c>
      <c r="N2667" s="12" t="s">
        <v>6713</v>
      </c>
      <c r="O2667" s="10" t="str">
        <f>HYPERLINK("https://pbs.twimg.com/profile_images/711412528375570433/tQdoceTM_normal.jpg","View")</f>
        <v>View</v>
      </c>
      <c r="P2667" s="11"/>
    </row>
    <row r="2668" spans="1:16" ht="12.75" x14ac:dyDescent="0.35">
      <c r="A2668" s="7">
        <v>42482.446851851855</v>
      </c>
      <c r="B2668" s="8" t="str">
        <f>HYPERLINK("https://twitter.com/Scirocco_Tuning","@Scirocco_Tuning")</f>
        <v>@Scirocco_Tuning</v>
      </c>
      <c r="C2668" s="9" t="s">
        <v>51</v>
      </c>
      <c r="D2668" s="9" t="s">
        <v>6714</v>
      </c>
      <c r="E2668" s="10" t="str">
        <f>HYPERLINK("https://twitter.com/Scirocco_Tuning/status/723379169476767744","723379169476767744")</f>
        <v>723379169476767744</v>
      </c>
      <c r="F2668" s="11" t="s">
        <v>53</v>
      </c>
      <c r="G2668" s="11">
        <v>69</v>
      </c>
      <c r="H2668" s="11">
        <v>215</v>
      </c>
      <c r="I2668" s="11">
        <v>0</v>
      </c>
      <c r="J2668" s="11">
        <v>0</v>
      </c>
      <c r="K2668" s="11" t="s">
        <v>21</v>
      </c>
      <c r="L2668" s="7">
        <v>40844.564722222218</v>
      </c>
      <c r="M2668" s="12"/>
      <c r="N2668" s="12"/>
      <c r="O2668" s="10" t="str">
        <f>HYPERLINK("https://pbs.twimg.com/profile_images/1610421423/Image2_normal.jpg","View")</f>
        <v>View</v>
      </c>
      <c r="P2668" s="11"/>
    </row>
    <row r="2669" spans="1:16" ht="12.75" x14ac:dyDescent="0.35">
      <c r="A2669" s="7">
        <v>42482.447812500002</v>
      </c>
      <c r="B2669" s="8" t="str">
        <f>HYPERLINK("https://twitter.com/yasaimeijin0240","@yasaimeijin0240")</f>
        <v>@yasaimeijin0240</v>
      </c>
      <c r="C2669" s="9" t="s">
        <v>6715</v>
      </c>
      <c r="D2669" s="9" t="s">
        <v>396</v>
      </c>
      <c r="E2669" s="10" t="str">
        <f>HYPERLINK("https://twitter.com/yasaimeijin0240/status/723379519101370368","723379519101370368")</f>
        <v>723379519101370368</v>
      </c>
      <c r="F2669" s="11" t="s">
        <v>20</v>
      </c>
      <c r="G2669" s="11">
        <v>44444</v>
      </c>
      <c r="H2669" s="11">
        <v>44492</v>
      </c>
      <c r="I2669" s="11">
        <v>9</v>
      </c>
      <c r="J2669" s="11">
        <v>0</v>
      </c>
      <c r="K2669" s="11" t="s">
        <v>21</v>
      </c>
      <c r="L2669" s="7">
        <v>41082.184201388889</v>
      </c>
      <c r="M2669" s="12" t="s">
        <v>6716</v>
      </c>
      <c r="N2669" s="12" t="s">
        <v>6717</v>
      </c>
      <c r="O2669" s="10" t="str">
        <f>HYPERLINK("https://pbs.twimg.com/profile_images/701960953902952448/mGr3TmMc_normal.jpg","View")</f>
        <v>View</v>
      </c>
      <c r="P2669" s="11"/>
    </row>
    <row r="2670" spans="1:16" ht="12.75" x14ac:dyDescent="0.35">
      <c r="A2670" s="7">
        <v>42482.447928240741</v>
      </c>
      <c r="B2670" s="8" t="str">
        <f>HYPERLINK("https://twitter.com/agustiina_karen","@agustiina_karen")</f>
        <v>@agustiina_karen</v>
      </c>
      <c r="C2670" s="9" t="s">
        <v>6718</v>
      </c>
      <c r="D2670" s="9" t="s">
        <v>2825</v>
      </c>
      <c r="E2670" s="10" t="str">
        <f>HYPERLINK("https://twitter.com/agustiina_karen/status/723379561551945728","723379561551945728")</f>
        <v>723379561551945728</v>
      </c>
      <c r="F2670" s="11" t="s">
        <v>48</v>
      </c>
      <c r="G2670" s="11">
        <v>2828</v>
      </c>
      <c r="H2670" s="11">
        <v>1248</v>
      </c>
      <c r="I2670" s="11">
        <v>53</v>
      </c>
      <c r="J2670" s="11">
        <v>0</v>
      </c>
      <c r="K2670" s="11" t="s">
        <v>21</v>
      </c>
      <c r="L2670" s="7">
        <v>42402.319293981476</v>
      </c>
      <c r="M2670" s="12" t="s">
        <v>6008</v>
      </c>
      <c r="N2670" s="12" t="s">
        <v>6719</v>
      </c>
      <c r="O2670" s="10" t="str">
        <f>HYPERLINK("https://pbs.twimg.com/profile_images/722280371916783617/p13dxIev_normal.jpg","View")</f>
        <v>View</v>
      </c>
      <c r="P2670" s="11"/>
    </row>
    <row r="2671" spans="1:16" ht="12.75" x14ac:dyDescent="0.35">
      <c r="A2671" s="7">
        <v>42482.448194444441</v>
      </c>
      <c r="B2671" s="8" t="str">
        <f>HYPERLINK("https://twitter.com/secret_ledger","@secret_ledger")</f>
        <v>@secret_ledger</v>
      </c>
      <c r="C2671" s="9" t="s">
        <v>6720</v>
      </c>
      <c r="D2671" s="9" t="s">
        <v>6721</v>
      </c>
      <c r="E2671" s="10" t="str">
        <f>HYPERLINK("https://twitter.com/secret_ledger/status/723379656116736002","723379656116736002")</f>
        <v>723379656116736002</v>
      </c>
      <c r="F2671" s="11" t="s">
        <v>48</v>
      </c>
      <c r="G2671" s="11">
        <v>1334</v>
      </c>
      <c r="H2671" s="11">
        <v>639</v>
      </c>
      <c r="I2671" s="11">
        <v>1</v>
      </c>
      <c r="J2671" s="11">
        <v>0</v>
      </c>
      <c r="K2671" s="11" t="s">
        <v>21</v>
      </c>
      <c r="L2671" s="7">
        <v>40181.639699074076</v>
      </c>
      <c r="M2671" s="12" t="s">
        <v>6722</v>
      </c>
      <c r="N2671" s="12" t="s">
        <v>6723</v>
      </c>
      <c r="O2671" s="10" t="str">
        <f>HYPERLINK("https://pbs.twimg.com/profile_images/707309158735994881/yU16NBqd_normal.jpg","View")</f>
        <v>View</v>
      </c>
      <c r="P2671" s="11"/>
    </row>
    <row r="2672" spans="1:16" ht="12.75" x14ac:dyDescent="0.35">
      <c r="A2672" s="7">
        <v>42482.448206018518</v>
      </c>
      <c r="B2672" s="8" t="str">
        <f>HYPERLINK("https://twitter.com/caatimichelle","@caatimichelle")</f>
        <v>@caatimichelle</v>
      </c>
      <c r="C2672" s="9" t="s">
        <v>6724</v>
      </c>
      <c r="D2672" s="9" t="s">
        <v>2825</v>
      </c>
      <c r="E2672" s="10" t="str">
        <f>HYPERLINK("https://twitter.com/caatimichelle/status/723379662215204864","723379662215204864")</f>
        <v>723379662215204864</v>
      </c>
      <c r="F2672" s="11" t="s">
        <v>48</v>
      </c>
      <c r="G2672" s="11">
        <v>834</v>
      </c>
      <c r="H2672" s="11">
        <v>665</v>
      </c>
      <c r="I2672" s="11">
        <v>53</v>
      </c>
      <c r="J2672" s="11">
        <v>0</v>
      </c>
      <c r="K2672" s="11" t="s">
        <v>21</v>
      </c>
      <c r="L2672" s="7">
        <v>41051.359270833331</v>
      </c>
      <c r="M2672" s="12"/>
      <c r="N2672" s="12" t="s">
        <v>6725</v>
      </c>
      <c r="O2672" s="10" t="str">
        <f>HYPERLINK("https://pbs.twimg.com/profile_images/712503747390357505/ahoLZWEu_normal.jpg","View")</f>
        <v>View</v>
      </c>
      <c r="P2672" s="11"/>
    </row>
    <row r="2673" spans="1:16" ht="12.75" x14ac:dyDescent="0.35">
      <c r="A2673" s="7">
        <v>42482.448240740741</v>
      </c>
      <c r="B2673" s="8" t="str">
        <f>HYPERLINK("https://twitter.com/MarkusStrenzl","@MarkusStrenzl")</f>
        <v>@MarkusStrenzl</v>
      </c>
      <c r="C2673" s="9" t="s">
        <v>6646</v>
      </c>
      <c r="D2673" s="9" t="s">
        <v>6726</v>
      </c>
      <c r="E2673" s="10" t="str">
        <f>HYPERLINK("https://twitter.com/MarkusStrenzl/status/723379671799222272","723379671799222272")</f>
        <v>723379671799222272</v>
      </c>
      <c r="F2673" s="11" t="s">
        <v>43</v>
      </c>
      <c r="G2673" s="11">
        <v>447</v>
      </c>
      <c r="H2673" s="11">
        <v>789</v>
      </c>
      <c r="I2673" s="11">
        <v>0</v>
      </c>
      <c r="J2673" s="11">
        <v>0</v>
      </c>
      <c r="K2673" s="11" t="s">
        <v>21</v>
      </c>
      <c r="L2673" s="7">
        <v>39889.755312499998</v>
      </c>
      <c r="M2673" s="12" t="s">
        <v>5262</v>
      </c>
      <c r="N2673" s="12" t="s">
        <v>6648</v>
      </c>
      <c r="O2673" s="10" t="str">
        <f>HYPERLINK("https://pbs.twimg.com/profile_images/778573929/_MG_2143_normal.jpg","View")</f>
        <v>View</v>
      </c>
      <c r="P2673" s="11"/>
    </row>
    <row r="2674" spans="1:16" ht="12.75" x14ac:dyDescent="0.35">
      <c r="A2674" s="7">
        <v>42482.448865740742</v>
      </c>
      <c r="B2674" s="8" t="str">
        <f>HYPERLINK("https://twitter.com/Ema12_Ok","@Ema12_Ok")</f>
        <v>@Ema12_Ok</v>
      </c>
      <c r="C2674" s="9" t="s">
        <v>6727</v>
      </c>
      <c r="D2674" s="9" t="s">
        <v>2825</v>
      </c>
      <c r="E2674" s="10" t="str">
        <f>HYPERLINK("https://twitter.com/Ema12_Ok/status/723379897989627906","723379897989627906")</f>
        <v>723379897989627906</v>
      </c>
      <c r="F2674" s="11" t="s">
        <v>367</v>
      </c>
      <c r="G2674" s="11">
        <v>2204</v>
      </c>
      <c r="H2674" s="11">
        <v>1463</v>
      </c>
      <c r="I2674" s="11">
        <v>53</v>
      </c>
      <c r="J2674" s="11">
        <v>0</v>
      </c>
      <c r="K2674" s="11" t="s">
        <v>21</v>
      </c>
      <c r="L2674" s="7">
        <v>41369.2346875</v>
      </c>
      <c r="M2674" s="12" t="s">
        <v>6728</v>
      </c>
      <c r="N2674" s="12" t="s">
        <v>6729</v>
      </c>
      <c r="O2674" s="10" t="str">
        <f>HYPERLINK("https://pbs.twimg.com/profile_images/638012262159110144/bZElucv6_normal.jpg","View")</f>
        <v>View</v>
      </c>
      <c r="P2674" s="11"/>
    </row>
    <row r="2675" spans="1:16" ht="12.75" x14ac:dyDescent="0.35">
      <c r="A2675" s="7">
        <v>42482.448946759258</v>
      </c>
      <c r="B2675" s="8" t="str">
        <f>HYPERLINK("https://twitter.com/clayton_phillip","@clayton_phillip")</f>
        <v>@clayton_phillip</v>
      </c>
      <c r="C2675" s="9" t="s">
        <v>6730</v>
      </c>
      <c r="D2675" s="9" t="s">
        <v>6731</v>
      </c>
      <c r="E2675" s="10" t="str">
        <f>HYPERLINK("https://twitter.com/clayton_phillip/status/723379929983787008","723379929983787008")</f>
        <v>723379929983787008</v>
      </c>
      <c r="F2675" s="11" t="s">
        <v>114</v>
      </c>
      <c r="G2675" s="11">
        <v>599</v>
      </c>
      <c r="H2675" s="11">
        <v>2005</v>
      </c>
      <c r="I2675" s="11">
        <v>0</v>
      </c>
      <c r="J2675" s="11">
        <v>0</v>
      </c>
      <c r="K2675" s="11" t="s">
        <v>21</v>
      </c>
      <c r="L2675" s="7">
        <v>40942.334791666668</v>
      </c>
      <c r="M2675" s="12" t="s">
        <v>6732</v>
      </c>
      <c r="N2675" s="12" t="s">
        <v>6733</v>
      </c>
      <c r="O2675" s="10" t="str">
        <f>HYPERLINK("https://pbs.twimg.com/profile_images/684448437102886913/G0zZDkgO_normal.jpg","View")</f>
        <v>View</v>
      </c>
      <c r="P2675" s="11"/>
    </row>
    <row r="2676" spans="1:16" ht="12.75" x14ac:dyDescent="0.35">
      <c r="A2676" s="7">
        <v>42482.450636574074</v>
      </c>
      <c r="B2676" s="8" t="str">
        <f>HYPERLINK("https://twitter.com/dpa","@dpa")</f>
        <v>@dpa</v>
      </c>
      <c r="C2676" s="9" t="s">
        <v>3203</v>
      </c>
      <c r="D2676" s="9" t="s">
        <v>6734</v>
      </c>
      <c r="E2676" s="10" t="str">
        <f>HYPERLINK("https://twitter.com/dpa/status/723380543149080578","723380543149080578")</f>
        <v>723380543149080578</v>
      </c>
      <c r="F2676" s="11" t="s">
        <v>63</v>
      </c>
      <c r="G2676" s="11">
        <v>178952</v>
      </c>
      <c r="H2676" s="11">
        <v>1521</v>
      </c>
      <c r="I2676" s="11">
        <v>8</v>
      </c>
      <c r="J2676" s="11">
        <v>0</v>
      </c>
      <c r="K2676" s="11" t="s">
        <v>21</v>
      </c>
      <c r="L2676" s="7">
        <v>39948.739537037036</v>
      </c>
      <c r="M2676" s="12" t="s">
        <v>1359</v>
      </c>
      <c r="N2676" s="12" t="s">
        <v>3205</v>
      </c>
      <c r="O2676" s="10" t="str">
        <f>HYPERLINK("https://pbs.twimg.com/profile_images/231479009/logo_dpa_infoline_normal.jpg","View")</f>
        <v>View</v>
      </c>
      <c r="P2676" s="11"/>
    </row>
    <row r="2677" spans="1:16" ht="12.75" x14ac:dyDescent="0.35">
      <c r="A2677" s="7">
        <v>42482.451469907406</v>
      </c>
      <c r="B2677" s="8" t="str">
        <f>HYPERLINK("https://twitter.com/asyl_news","@asyl_news")</f>
        <v>@asyl_news</v>
      </c>
      <c r="C2677" s="9" t="s">
        <v>6735</v>
      </c>
      <c r="D2677" s="9" t="s">
        <v>6701</v>
      </c>
      <c r="E2677" s="10" t="str">
        <f>HYPERLINK("https://twitter.com/asyl_news/status/723380845172551681","723380845172551681")</f>
        <v>723380845172551681</v>
      </c>
      <c r="F2677" s="11" t="s">
        <v>6735</v>
      </c>
      <c r="G2677" s="11">
        <v>584</v>
      </c>
      <c r="H2677" s="11">
        <v>121</v>
      </c>
      <c r="I2677" s="11">
        <v>3</v>
      </c>
      <c r="J2677" s="11">
        <v>0</v>
      </c>
      <c r="K2677" s="11" t="s">
        <v>21</v>
      </c>
      <c r="L2677" s="7">
        <v>41946.909594907411</v>
      </c>
      <c r="M2677" s="12"/>
      <c r="N2677" s="12" t="s">
        <v>6736</v>
      </c>
      <c r="O2677" s="10" t="str">
        <f>HYPERLINK("https://pbs.twimg.com/profile_images/529311103042351104/-fv4eaTk_normal.jpeg","View")</f>
        <v>View</v>
      </c>
      <c r="P2677" s="11"/>
    </row>
    <row r="2678" spans="1:16" ht="12.75" x14ac:dyDescent="0.35">
      <c r="A2678" s="7">
        <v>42482.451898148152</v>
      </c>
      <c r="B2678" s="8" t="str">
        <f>HYPERLINK("https://twitter.com/ralphmkk61","@ralphmkk61")</f>
        <v>@ralphmkk61</v>
      </c>
      <c r="C2678" s="9" t="s">
        <v>6737</v>
      </c>
      <c r="D2678" s="9" t="s">
        <v>6738</v>
      </c>
      <c r="E2678" s="10" t="str">
        <f>HYPERLINK("https://twitter.com/ralphmkk61/status/723380999095115777","723380999095115777")</f>
        <v>723380999095115777</v>
      </c>
      <c r="F2678" s="11" t="s">
        <v>48</v>
      </c>
      <c r="G2678" s="11">
        <v>178</v>
      </c>
      <c r="H2678" s="11">
        <v>288</v>
      </c>
      <c r="I2678" s="11">
        <v>1</v>
      </c>
      <c r="J2678" s="11">
        <v>0</v>
      </c>
      <c r="K2678" s="11" t="s">
        <v>21</v>
      </c>
      <c r="L2678" s="7">
        <v>41240.993842592594</v>
      </c>
      <c r="M2678" s="12" t="s">
        <v>262</v>
      </c>
      <c r="N2678" s="12" t="s">
        <v>6739</v>
      </c>
      <c r="O2678" s="10" t="str">
        <f>HYPERLINK("https://pbs.twimg.com/profile_images/601781958104973312/7etsHLLM_normal.jpg","View")</f>
        <v>View</v>
      </c>
      <c r="P2678" s="11"/>
    </row>
    <row r="2679" spans="1:16" ht="12.75" x14ac:dyDescent="0.35">
      <c r="A2679" s="7">
        <v>42482.452476851853</v>
      </c>
      <c r="B2679" s="8" t="str">
        <f>HYPERLINK("https://twitter.com/ivankoznar","@ivankoznar")</f>
        <v>@ivankoznar</v>
      </c>
      <c r="C2679" s="9" t="s">
        <v>6740</v>
      </c>
      <c r="D2679" s="9" t="s">
        <v>5486</v>
      </c>
      <c r="E2679" s="10" t="str">
        <f>HYPERLINK("https://twitter.com/ivankoznar/status/723381206427951104","723381206427951104")</f>
        <v>723381206427951104</v>
      </c>
      <c r="F2679" s="11" t="s">
        <v>48</v>
      </c>
      <c r="G2679" s="11">
        <v>3</v>
      </c>
      <c r="H2679" s="11">
        <v>55</v>
      </c>
      <c r="I2679" s="11">
        <v>4</v>
      </c>
      <c r="J2679" s="11">
        <v>0</v>
      </c>
      <c r="K2679" s="11" t="s">
        <v>21</v>
      </c>
      <c r="L2679" s="7">
        <v>42447.576840277776</v>
      </c>
      <c r="M2679" s="12"/>
      <c r="N2679" s="12"/>
      <c r="O2679" s="10" t="str">
        <f>HYPERLINK("https://abs.twimg.com/sticky/default_profile_images/default_profile_0_normal.png","View")</f>
        <v>View</v>
      </c>
      <c r="P2679" s="11"/>
    </row>
    <row r="2680" spans="1:16" ht="12.75" x14ac:dyDescent="0.35">
      <c r="A2680" s="7">
        <v>42482.452824074076</v>
      </c>
      <c r="B2680" s="8" t="str">
        <f>HYPERLINK("https://twitter.com/pehuen14","@pehuen14")</f>
        <v>@pehuen14</v>
      </c>
      <c r="C2680" s="9" t="s">
        <v>6741</v>
      </c>
      <c r="D2680" s="9" t="s">
        <v>6011</v>
      </c>
      <c r="E2680" s="10" t="str">
        <f>HYPERLINK("https://twitter.com/pehuen14/status/723381332361908224","723381332361908224")</f>
        <v>723381332361908224</v>
      </c>
      <c r="F2680" s="11" t="s">
        <v>43</v>
      </c>
      <c r="G2680" s="11">
        <v>243</v>
      </c>
      <c r="H2680" s="11">
        <v>242</v>
      </c>
      <c r="I2680" s="11">
        <v>7</v>
      </c>
      <c r="J2680" s="11">
        <v>0</v>
      </c>
      <c r="K2680" s="11" t="s">
        <v>21</v>
      </c>
      <c r="L2680" s="7">
        <v>41319.285057870373</v>
      </c>
      <c r="M2680" s="12" t="s">
        <v>6742</v>
      </c>
      <c r="N2680" s="12" t="s">
        <v>6743</v>
      </c>
      <c r="O2680" s="10" t="str">
        <f>HYPERLINK("https://pbs.twimg.com/profile_images/682643085910736896/3tYj3xq1_normal.jpg","View")</f>
        <v>View</v>
      </c>
      <c r="P2680" s="11"/>
    </row>
    <row r="2681" spans="1:16" ht="12.75" x14ac:dyDescent="0.35">
      <c r="A2681" s="7">
        <v>42482.453078703707</v>
      </c>
      <c r="B2681" s="8" t="str">
        <f>HYPERLINK("https://twitter.com/LaCalleDice","@LaCalleDice")</f>
        <v>@LaCalleDice</v>
      </c>
      <c r="C2681" s="9" t="s">
        <v>6744</v>
      </c>
      <c r="D2681" s="9" t="s">
        <v>6745</v>
      </c>
      <c r="E2681" s="10" t="str">
        <f>HYPERLINK("https://twitter.com/LaCalleDice/status/723381425852960768","723381425852960768")</f>
        <v>723381425852960768</v>
      </c>
      <c r="F2681" s="11" t="s">
        <v>48</v>
      </c>
      <c r="G2681" s="11">
        <v>4038</v>
      </c>
      <c r="H2681" s="11">
        <v>1865</v>
      </c>
      <c r="I2681" s="11">
        <v>2</v>
      </c>
      <c r="J2681" s="11">
        <v>4</v>
      </c>
      <c r="K2681" s="11" t="s">
        <v>21</v>
      </c>
      <c r="L2681" s="7">
        <v>40844.818159722221</v>
      </c>
      <c r="M2681" s="12"/>
      <c r="N2681" s="12"/>
      <c r="O2681" s="10" t="str">
        <f>HYPERLINK("https://pbs.twimg.com/profile_images/723272248350650370/uCXnE_hY_normal.jpg","View")</f>
        <v>View</v>
      </c>
      <c r="P2681" s="11"/>
    </row>
    <row r="2682" spans="1:16" ht="12.75" x14ac:dyDescent="0.35">
      <c r="A2682" s="7">
        <v>42482.453159722223</v>
      </c>
      <c r="B2682" s="8" t="str">
        <f>HYPERLINK("https://twitter.com/AndreasAndy3131","@AndreasAndy3131")</f>
        <v>@AndreasAndy3131</v>
      </c>
      <c r="C2682" s="9" t="s">
        <v>3937</v>
      </c>
      <c r="D2682" s="9" t="s">
        <v>6734</v>
      </c>
      <c r="E2682" s="10" t="str">
        <f>HYPERLINK("https://twitter.com/AndreasAndy3131/status/723381457406709760","723381457406709760")</f>
        <v>723381457406709760</v>
      </c>
      <c r="F2682" s="11" t="s">
        <v>91</v>
      </c>
      <c r="G2682" s="11">
        <v>748</v>
      </c>
      <c r="H2682" s="11">
        <v>463</v>
      </c>
      <c r="I2682" s="11">
        <v>8</v>
      </c>
      <c r="J2682" s="11">
        <v>0</v>
      </c>
      <c r="K2682" s="11" t="s">
        <v>21</v>
      </c>
      <c r="L2682" s="7">
        <v>41685.664664351854</v>
      </c>
      <c r="M2682" s="12" t="s">
        <v>3939</v>
      </c>
      <c r="N2682" s="12" t="s">
        <v>3940</v>
      </c>
      <c r="O2682" s="10" t="str">
        <f>HYPERLINK("https://pbs.twimg.com/profile_images/705409156363063296/L-9HeIjW_normal.jpg","View")</f>
        <v>View</v>
      </c>
      <c r="P2682" s="11"/>
    </row>
    <row r="2683" spans="1:16" ht="12.75" x14ac:dyDescent="0.35">
      <c r="A2683" s="7">
        <v>42482.45349537037</v>
      </c>
      <c r="B2683" s="8" t="str">
        <f>HYPERLINK("https://twitter.com/Srevilo","@Srevilo")</f>
        <v>@Srevilo</v>
      </c>
      <c r="C2683" s="9" t="s">
        <v>6746</v>
      </c>
      <c r="D2683" s="9" t="s">
        <v>6747</v>
      </c>
      <c r="E2683" s="10" t="str">
        <f>HYPERLINK("https://twitter.com/Srevilo/status/723381576768180224","723381576768180224")</f>
        <v>723381576768180224</v>
      </c>
      <c r="F2683" s="11" t="s">
        <v>43</v>
      </c>
      <c r="G2683" s="11">
        <v>2050</v>
      </c>
      <c r="H2683" s="11">
        <v>2072</v>
      </c>
      <c r="I2683" s="11">
        <v>0</v>
      </c>
      <c r="J2683" s="11">
        <v>1</v>
      </c>
      <c r="K2683" s="11" t="s">
        <v>21</v>
      </c>
      <c r="L2683" s="7">
        <v>40083.789907407408</v>
      </c>
      <c r="M2683" s="12" t="s">
        <v>6748</v>
      </c>
      <c r="N2683" s="12" t="s">
        <v>6749</v>
      </c>
      <c r="O2683" s="10" t="str">
        <f>HYPERLINK("https://pbs.twimg.com/profile_images/661572660976054272/AiFRl7gO_normal.jpg","View")</f>
        <v>View</v>
      </c>
      <c r="P2683" s="11"/>
    </row>
    <row r="2684" spans="1:16" ht="12.75" x14ac:dyDescent="0.35">
      <c r="A2684" s="7">
        <v>42482.453842592593</v>
      </c>
      <c r="B2684" s="8" t="str">
        <f>HYPERLINK("https://twitter.com/sjprost","@sjprost")</f>
        <v>@sjprost</v>
      </c>
      <c r="C2684" s="9" t="s">
        <v>6750</v>
      </c>
      <c r="D2684" s="9" t="s">
        <v>6707</v>
      </c>
      <c r="E2684" s="10" t="str">
        <f>HYPERLINK("https://twitter.com/sjprost/status/723381703251619840","723381703251619840")</f>
        <v>723381703251619840</v>
      </c>
      <c r="F2684" s="11" t="s">
        <v>367</v>
      </c>
      <c r="G2684" s="11">
        <v>25</v>
      </c>
      <c r="H2684" s="11">
        <v>45</v>
      </c>
      <c r="I2684" s="11">
        <v>8</v>
      </c>
      <c r="J2684" s="11">
        <v>0</v>
      </c>
      <c r="K2684" s="11" t="s">
        <v>21</v>
      </c>
      <c r="L2684" s="7">
        <v>39903.268506944441</v>
      </c>
      <c r="M2684" s="12"/>
      <c r="N2684" s="12"/>
      <c r="O2684" s="10" t="str">
        <f>HYPERLINK("https://pbs.twimg.com/profile_images/482612371274223616/YsEANVrf_normal.jpeg","View")</f>
        <v>View</v>
      </c>
      <c r="P2684" s="11"/>
    </row>
    <row r="2685" spans="1:16" ht="12.75" x14ac:dyDescent="0.35">
      <c r="A2685" s="7">
        <v>42482.454108796301</v>
      </c>
      <c r="B2685" s="8" t="str">
        <f t="shared" ref="B2685:B2686" si="257">HYPERLINK("https://twitter.com/ivankoznar","@ivankoznar")</f>
        <v>@ivankoznar</v>
      </c>
      <c r="C2685" s="9" t="s">
        <v>6740</v>
      </c>
      <c r="D2685" s="9" t="s">
        <v>6147</v>
      </c>
      <c r="E2685" s="10" t="str">
        <f>HYPERLINK("https://twitter.com/ivankoznar/status/723381801746464768","723381801746464768")</f>
        <v>723381801746464768</v>
      </c>
      <c r="F2685" s="11" t="s">
        <v>48</v>
      </c>
      <c r="G2685" s="11">
        <v>3</v>
      </c>
      <c r="H2685" s="11">
        <v>55</v>
      </c>
      <c r="I2685" s="11">
        <v>20</v>
      </c>
      <c r="J2685" s="11">
        <v>0</v>
      </c>
      <c r="K2685" s="11" t="s">
        <v>21</v>
      </c>
      <c r="L2685" s="7">
        <v>42447.576840277776</v>
      </c>
      <c r="M2685" s="12"/>
      <c r="N2685" s="12"/>
      <c r="O2685" s="10" t="str">
        <f t="shared" ref="O2685:O2686" si="258">HYPERLINK("https://abs.twimg.com/sticky/default_profile_images/default_profile_0_normal.png","View")</f>
        <v>View</v>
      </c>
      <c r="P2685" s="11"/>
    </row>
    <row r="2686" spans="1:16" ht="12.75" x14ac:dyDescent="0.35">
      <c r="A2686" s="7">
        <v>42482.454513888893</v>
      </c>
      <c r="B2686" s="8" t="str">
        <f t="shared" si="257"/>
        <v>@ivankoznar</v>
      </c>
      <c r="C2686" s="9" t="s">
        <v>6740</v>
      </c>
      <c r="D2686" s="9" t="s">
        <v>4119</v>
      </c>
      <c r="E2686" s="10" t="str">
        <f>HYPERLINK("https://twitter.com/ivankoznar/status/723381946869407744","723381946869407744")</f>
        <v>723381946869407744</v>
      </c>
      <c r="F2686" s="11" t="s">
        <v>48</v>
      </c>
      <c r="G2686" s="11">
        <v>3</v>
      </c>
      <c r="H2686" s="11">
        <v>55</v>
      </c>
      <c r="I2686" s="11">
        <v>24</v>
      </c>
      <c r="J2686" s="11">
        <v>0</v>
      </c>
      <c r="K2686" s="11" t="s">
        <v>21</v>
      </c>
      <c r="L2686" s="7">
        <v>42447.576840277776</v>
      </c>
      <c r="M2686" s="12"/>
      <c r="N2686" s="12"/>
      <c r="O2686" s="10" t="str">
        <f t="shared" si="258"/>
        <v>View</v>
      </c>
      <c r="P2686" s="11"/>
    </row>
    <row r="2687" spans="1:16" ht="12.75" x14ac:dyDescent="0.35">
      <c r="A2687" s="7">
        <v>42482.455254629633</v>
      </c>
      <c r="B2687" s="8" t="str">
        <f>HYPERLINK("https://twitter.com/RB_K_","@RB_K_")</f>
        <v>@RB_K_</v>
      </c>
      <c r="C2687" s="9" t="s">
        <v>6751</v>
      </c>
      <c r="D2687" s="9" t="s">
        <v>396</v>
      </c>
      <c r="E2687" s="10" t="str">
        <f>HYPERLINK("https://twitter.com/RB_K_/status/723382215267082240","723382215267082240")</f>
        <v>723382215267082240</v>
      </c>
      <c r="F2687" s="11" t="s">
        <v>20</v>
      </c>
      <c r="G2687" s="11">
        <v>828</v>
      </c>
      <c r="H2687" s="11">
        <v>904</v>
      </c>
      <c r="I2687" s="11">
        <v>9</v>
      </c>
      <c r="J2687" s="11">
        <v>0</v>
      </c>
      <c r="K2687" s="11" t="s">
        <v>21</v>
      </c>
      <c r="L2687" s="7">
        <v>41977.536759259259</v>
      </c>
      <c r="M2687" s="12" t="s">
        <v>6752</v>
      </c>
      <c r="N2687" s="12" t="s">
        <v>6753</v>
      </c>
      <c r="O2687" s="10" t="str">
        <f>HYPERLINK("https://pbs.twimg.com/profile_images/723167962220220416/9s3JitJp_normal.jpg","View")</f>
        <v>View</v>
      </c>
      <c r="P2687" s="11"/>
    </row>
    <row r="2688" spans="1:16" ht="12.75" x14ac:dyDescent="0.35">
      <c r="A2688" s="7">
        <v>42482.456261574072</v>
      </c>
      <c r="B2688" s="8" t="str">
        <f>HYPERLINK("https://twitter.com/avtogid_kg","@avtogid_kg")</f>
        <v>@avtogid_kg</v>
      </c>
      <c r="C2688" s="9" t="s">
        <v>6754</v>
      </c>
      <c r="D2688" s="9" t="s">
        <v>6755</v>
      </c>
      <c r="E2688" s="10" t="str">
        <f>HYPERLINK("https://twitter.com/avtogid_kg/status/723382578816815104","723382578816815104")</f>
        <v>723382578816815104</v>
      </c>
      <c r="F2688" s="11" t="s">
        <v>80</v>
      </c>
      <c r="G2688" s="11">
        <v>22</v>
      </c>
      <c r="H2688" s="11">
        <v>24</v>
      </c>
      <c r="I2688" s="11">
        <v>0</v>
      </c>
      <c r="J2688" s="11">
        <v>0</v>
      </c>
      <c r="K2688" s="11" t="s">
        <v>21</v>
      </c>
      <c r="L2688" s="7">
        <v>42261.473298611112</v>
      </c>
      <c r="M2688" s="12" t="s">
        <v>6756</v>
      </c>
      <c r="N2688" s="12"/>
      <c r="O2688" s="10" t="str">
        <f>HYPERLINK("https://pbs.twimg.com/profile_images/700238784550604800/AtzvoUk1_normal.png","View")</f>
        <v>View</v>
      </c>
      <c r="P2688" s="11"/>
    </row>
    <row r="2689" spans="1:16" ht="12.75" x14ac:dyDescent="0.35">
      <c r="A2689" s="7">
        <v>42482.457384259258</v>
      </c>
      <c r="B2689" s="8" t="str">
        <f>HYPERLINK("https://twitter.com/verkehrsclub","@verkehrsclub")</f>
        <v>@verkehrsclub</v>
      </c>
      <c r="C2689" s="9" t="s">
        <v>6757</v>
      </c>
      <c r="D2689" s="9" t="s">
        <v>3650</v>
      </c>
      <c r="E2689" s="10" t="str">
        <f>HYPERLINK("https://twitter.com/verkehrsclub/status/723382987446882306","723382987446882306")</f>
        <v>723382987446882306</v>
      </c>
      <c r="F2689" s="11" t="s">
        <v>20</v>
      </c>
      <c r="G2689" s="11">
        <v>1673</v>
      </c>
      <c r="H2689" s="11">
        <v>658</v>
      </c>
      <c r="I2689" s="11">
        <v>5</v>
      </c>
      <c r="J2689" s="11">
        <v>0</v>
      </c>
      <c r="K2689" s="11" t="s">
        <v>21</v>
      </c>
      <c r="L2689" s="7">
        <v>40626.667615740742</v>
      </c>
      <c r="M2689" s="12" t="s">
        <v>6758</v>
      </c>
      <c r="N2689" s="12" t="s">
        <v>6759</v>
      </c>
      <c r="O2689" s="10" t="str">
        <f>HYPERLINK("https://pbs.twimg.com/profile_images/540137094400573440/CPKo_7Bf_normal.png","View")</f>
        <v>View</v>
      </c>
      <c r="P2689" s="11"/>
    </row>
    <row r="2690" spans="1:16" ht="12.75" x14ac:dyDescent="0.35">
      <c r="A2690" s="7">
        <v>42482.457546296297</v>
      </c>
      <c r="B2690" s="8" t="str">
        <f>HYPERLINK("https://twitter.com/CYDBLS","@CYDBLS")</f>
        <v>@CYDBLS</v>
      </c>
      <c r="C2690" s="9" t="s">
        <v>6760</v>
      </c>
      <c r="D2690" s="9" t="s">
        <v>6761</v>
      </c>
      <c r="E2690" s="10" t="str">
        <f>HYPERLINK("https://twitter.com/CYDBLS/status/723383046775300097","723383046775300097")</f>
        <v>723383046775300097</v>
      </c>
      <c r="F2690" s="11" t="s">
        <v>43</v>
      </c>
      <c r="G2690" s="11">
        <v>5113</v>
      </c>
      <c r="H2690" s="11">
        <v>4922</v>
      </c>
      <c r="I2690" s="11">
        <v>8</v>
      </c>
      <c r="J2690" s="11">
        <v>0</v>
      </c>
      <c r="K2690" s="11" t="s">
        <v>21</v>
      </c>
      <c r="L2690" s="7">
        <v>40432.855173611111</v>
      </c>
      <c r="M2690" s="12" t="s">
        <v>6762</v>
      </c>
      <c r="N2690" s="12" t="s">
        <v>6763</v>
      </c>
      <c r="O2690" s="10" t="str">
        <f>HYPERLINK("https://pbs.twimg.com/profile_images/710612811127238657/FCUJolCM_normal.jpg","View")</f>
        <v>View</v>
      </c>
      <c r="P2690" s="11"/>
    </row>
    <row r="2691" spans="1:16" ht="12.75" x14ac:dyDescent="0.35">
      <c r="A2691" s="7">
        <v>42482.457719907412</v>
      </c>
      <c r="B2691" s="8" t="str">
        <f>HYPERLINK("https://twitter.com/VWCamperSales","@VWCamperSales")</f>
        <v>@VWCamperSales</v>
      </c>
      <c r="C2691" s="9" t="s">
        <v>216</v>
      </c>
      <c r="D2691" s="9" t="s">
        <v>6764</v>
      </c>
      <c r="E2691" s="10" t="str">
        <f>HYPERLINK("https://twitter.com/VWCamperSales/status/723383107663986688","723383107663986688")</f>
        <v>723383107663986688</v>
      </c>
      <c r="F2691" s="10" t="s">
        <v>124</v>
      </c>
      <c r="G2691" s="11">
        <v>615</v>
      </c>
      <c r="H2691" s="11">
        <v>580</v>
      </c>
      <c r="I2691" s="11">
        <v>0</v>
      </c>
      <c r="J2691" s="11">
        <v>0</v>
      </c>
      <c r="K2691" s="11" t="s">
        <v>21</v>
      </c>
      <c r="L2691" s="7">
        <v>42215.98809027778</v>
      </c>
      <c r="M2691" s="12" t="s">
        <v>129</v>
      </c>
      <c r="N2691" s="12" t="s">
        <v>218</v>
      </c>
      <c r="O2691" s="10" t="str">
        <f>HYPERLINK("https://pbs.twimg.com/profile_images/627949001179037696/skEBkS05_normal.jpg","View")</f>
        <v>View</v>
      </c>
      <c r="P2691" s="11"/>
    </row>
    <row r="2692" spans="1:16" ht="12.75" x14ac:dyDescent="0.35">
      <c r="A2692" s="7">
        <v>42482.457962962959</v>
      </c>
      <c r="B2692" s="8" t="str">
        <f>HYPERLINK("https://twitter.com/Oedlaender","@Oedlaender")</f>
        <v>@Oedlaender</v>
      </c>
      <c r="C2692" s="9" t="s">
        <v>6765</v>
      </c>
      <c r="D2692" s="9" t="s">
        <v>6766</v>
      </c>
      <c r="E2692" s="10" t="str">
        <f>HYPERLINK("https://twitter.com/Oedlaender/status/723383198227394560","723383198227394560")</f>
        <v>723383198227394560</v>
      </c>
      <c r="F2692" s="11" t="s">
        <v>903</v>
      </c>
      <c r="G2692" s="11">
        <v>94</v>
      </c>
      <c r="H2692" s="11">
        <v>348</v>
      </c>
      <c r="I2692" s="11">
        <v>0</v>
      </c>
      <c r="J2692" s="11">
        <v>0</v>
      </c>
      <c r="K2692" s="11" t="s">
        <v>21</v>
      </c>
      <c r="L2692" s="7">
        <v>40765.491249999999</v>
      </c>
      <c r="M2692" s="12" t="s">
        <v>6767</v>
      </c>
      <c r="N2692" s="12" t="s">
        <v>6768</v>
      </c>
      <c r="O2692" s="10" t="str">
        <f>HYPERLINK("https://pbs.twimg.com/profile_images/2405638481/IMG00116-20120313-1506_normal.jpg","View")</f>
        <v>View</v>
      </c>
      <c r="P2692" s="11"/>
    </row>
    <row r="2693" spans="1:16" ht="12.75" x14ac:dyDescent="0.35">
      <c r="A2693" s="7">
        <v>42482.457986111112</v>
      </c>
      <c r="B2693" s="8" t="str">
        <f>HYPERLINK("https://twitter.com/ivankoznar","@ivankoznar")</f>
        <v>@ivankoznar</v>
      </c>
      <c r="C2693" s="9" t="s">
        <v>6740</v>
      </c>
      <c r="D2693" s="9" t="s">
        <v>594</v>
      </c>
      <c r="E2693" s="10" t="str">
        <f>HYPERLINK("https://twitter.com/ivankoznar/status/723383204565000192","723383204565000192")</f>
        <v>723383204565000192</v>
      </c>
      <c r="F2693" s="11" t="s">
        <v>48</v>
      </c>
      <c r="G2693" s="11">
        <v>3</v>
      </c>
      <c r="H2693" s="11">
        <v>55</v>
      </c>
      <c r="I2693" s="11">
        <v>33</v>
      </c>
      <c r="J2693" s="11">
        <v>0</v>
      </c>
      <c r="K2693" s="11" t="s">
        <v>21</v>
      </c>
      <c r="L2693" s="7">
        <v>42447.576840277776</v>
      </c>
      <c r="M2693" s="12"/>
      <c r="N2693" s="12"/>
      <c r="O2693" s="10" t="str">
        <f>HYPERLINK("https://abs.twimg.com/sticky/default_profile_images/default_profile_0_normal.png","View")</f>
        <v>View</v>
      </c>
      <c r="P2693" s="11"/>
    </row>
    <row r="2694" spans="1:16" ht="12.75" x14ac:dyDescent="0.35">
      <c r="A2694" s="7">
        <v>42482.458553240736</v>
      </c>
      <c r="B2694" s="8" t="str">
        <f>HYPERLINK("https://twitter.com/Geschnattere","@Geschnattere")</f>
        <v>@Geschnattere</v>
      </c>
      <c r="C2694" s="9" t="s">
        <v>6769</v>
      </c>
      <c r="D2694" s="9" t="s">
        <v>6734</v>
      </c>
      <c r="E2694" s="10" t="str">
        <f>HYPERLINK("https://twitter.com/Geschnattere/status/723383411352588288","723383411352588288")</f>
        <v>723383411352588288</v>
      </c>
      <c r="F2694" s="11" t="s">
        <v>6770</v>
      </c>
      <c r="G2694" s="11">
        <v>192</v>
      </c>
      <c r="H2694" s="11">
        <v>360</v>
      </c>
      <c r="I2694" s="11">
        <v>8</v>
      </c>
      <c r="J2694" s="11">
        <v>0</v>
      </c>
      <c r="K2694" s="11" t="s">
        <v>21</v>
      </c>
      <c r="L2694" s="7">
        <v>42392.975821759261</v>
      </c>
      <c r="M2694" s="12"/>
      <c r="N2694" s="12"/>
      <c r="O2694" s="10" t="str">
        <f>HYPERLINK("https://pbs.twimg.com/profile_images/690957065490161664/Nat2upS4_normal.jpg","View")</f>
        <v>View</v>
      </c>
      <c r="P2694" s="11"/>
    </row>
    <row r="2695" spans="1:16" ht="12.75" x14ac:dyDescent="0.35">
      <c r="A2695" s="7">
        <v>42482.458703703705</v>
      </c>
      <c r="B2695" s="8" t="str">
        <f>HYPERLINK("https://twitter.com/idriveexotic","@idriveexotic")</f>
        <v>@idriveexotic</v>
      </c>
      <c r="C2695" s="9" t="s">
        <v>1058</v>
      </c>
      <c r="D2695" s="9" t="s">
        <v>6771</v>
      </c>
      <c r="E2695" s="10" t="str">
        <f>HYPERLINK("https://twitter.com/idriveexotic/status/723383464624431108","723383464624431108")</f>
        <v>723383464624431108</v>
      </c>
      <c r="F2695" s="11" t="s">
        <v>152</v>
      </c>
      <c r="G2695" s="11">
        <v>1096</v>
      </c>
      <c r="H2695" s="11">
        <v>1554</v>
      </c>
      <c r="I2695" s="11">
        <v>0</v>
      </c>
      <c r="J2695" s="11">
        <v>0</v>
      </c>
      <c r="K2695" s="11" t="s">
        <v>21</v>
      </c>
      <c r="L2695" s="7">
        <v>40086.918865740743</v>
      </c>
      <c r="M2695" s="12" t="s">
        <v>1060</v>
      </c>
      <c r="N2695" s="12" t="s">
        <v>1061</v>
      </c>
      <c r="O2695" s="10" t="str">
        <f>HYPERLINK("https://pbs.twimg.com/profile_images/3704737815/c83da87d5dbea893be21848f6ac584e0_normal.jpeg","View")</f>
        <v>View</v>
      </c>
      <c r="P2695" s="11"/>
    </row>
    <row r="2696" spans="1:16" ht="12.75" x14ac:dyDescent="0.35">
      <c r="A2696" s="7">
        <v>42482.458703703705</v>
      </c>
      <c r="B2696" s="8" t="str">
        <f>HYPERLINK("https://twitter.com/Ryan911T","@Ryan911T")</f>
        <v>@Ryan911T</v>
      </c>
      <c r="C2696" s="9" t="s">
        <v>1054</v>
      </c>
      <c r="D2696" s="9" t="s">
        <v>6772</v>
      </c>
      <c r="E2696" s="10" t="str">
        <f>HYPERLINK("https://twitter.com/Ryan911T/status/723383465949843457","723383465949843457")</f>
        <v>723383465949843457</v>
      </c>
      <c r="F2696" s="11" t="s">
        <v>152</v>
      </c>
      <c r="G2696" s="11">
        <v>502</v>
      </c>
      <c r="H2696" s="11">
        <v>1546</v>
      </c>
      <c r="I2696" s="11">
        <v>0</v>
      </c>
      <c r="J2696" s="11">
        <v>0</v>
      </c>
      <c r="K2696" s="11" t="s">
        <v>21</v>
      </c>
      <c r="L2696" s="7">
        <v>40677.805694444447</v>
      </c>
      <c r="M2696" s="12" t="s">
        <v>1056</v>
      </c>
      <c r="N2696" s="12" t="s">
        <v>1057</v>
      </c>
      <c r="O2696" s="10" t="str">
        <f>HYPERLINK("https://pbs.twimg.com/profile_images/684099411543101440/V_Lw58zf_normal.jpg","View")</f>
        <v>View</v>
      </c>
      <c r="P2696" s="11"/>
    </row>
    <row r="2697" spans="1:16" ht="12.75" x14ac:dyDescent="0.35">
      <c r="A2697" s="7">
        <v>42482.458715277782</v>
      </c>
      <c r="B2697" s="8" t="str">
        <f>HYPERLINK("https://twitter.com/motoexposure","@motoexposure")</f>
        <v>@motoexposure</v>
      </c>
      <c r="C2697" s="9" t="s">
        <v>1062</v>
      </c>
      <c r="D2697" s="9" t="s">
        <v>6773</v>
      </c>
      <c r="E2697" s="10" t="str">
        <f>HYPERLINK("https://twitter.com/motoexposure/status/723383468256710660","723383468256710660")</f>
        <v>723383468256710660</v>
      </c>
      <c r="F2697" s="11" t="s">
        <v>152</v>
      </c>
      <c r="G2697" s="11">
        <v>9551</v>
      </c>
      <c r="H2697" s="11">
        <v>8233</v>
      </c>
      <c r="I2697" s="11">
        <v>1</v>
      </c>
      <c r="J2697" s="11">
        <v>3</v>
      </c>
      <c r="K2697" s="11" t="s">
        <v>21</v>
      </c>
      <c r="L2697" s="7">
        <v>40124.122824074075</v>
      </c>
      <c r="M2697" s="12" t="s">
        <v>1060</v>
      </c>
      <c r="N2697" s="12" t="s">
        <v>1064</v>
      </c>
      <c r="O2697" s="10" t="str">
        <f>HYPERLINK("https://pbs.twimg.com/profile_images/506526749669093376/KljjxBrL_normal.jpeg","View")</f>
        <v>View</v>
      </c>
      <c r="P2697" s="11"/>
    </row>
    <row r="2698" spans="1:16" ht="12.75" x14ac:dyDescent="0.35">
      <c r="A2698" s="7">
        <v>42482.459618055553</v>
      </c>
      <c r="B2698" s="8" t="str">
        <f>HYPERLINK("https://twitter.com/danjohns88","@danjohns88")</f>
        <v>@danjohns88</v>
      </c>
      <c r="C2698" s="9" t="s">
        <v>6774</v>
      </c>
      <c r="D2698" s="9" t="s">
        <v>6775</v>
      </c>
      <c r="E2698" s="10" t="str">
        <f>HYPERLINK("https://twitter.com/danjohns88/status/723383795374657536","723383795374657536")</f>
        <v>723383795374657536</v>
      </c>
      <c r="F2698" s="11" t="s">
        <v>48</v>
      </c>
      <c r="G2698" s="11">
        <v>87</v>
      </c>
      <c r="H2698" s="11">
        <v>327</v>
      </c>
      <c r="I2698" s="11">
        <v>1</v>
      </c>
      <c r="J2698" s="11">
        <v>1</v>
      </c>
      <c r="K2698" s="11" t="s">
        <v>21</v>
      </c>
      <c r="L2698" s="7">
        <v>41638.740752314814</v>
      </c>
      <c r="M2698" s="12" t="s">
        <v>6776</v>
      </c>
      <c r="N2698" s="12" t="s">
        <v>6777</v>
      </c>
      <c r="O2698" s="10" t="str">
        <f>HYPERLINK("https://pbs.twimg.com/profile_images/531408522861629440/CNsN3m8s_normal.jpeg","View")</f>
        <v>View</v>
      </c>
      <c r="P2698" s="11"/>
    </row>
    <row r="2699" spans="1:16" ht="12.75" x14ac:dyDescent="0.35">
      <c r="A2699" s="7">
        <v>42482.459687499999</v>
      </c>
      <c r="B2699" s="8" t="str">
        <f>HYPERLINK("https://twitter.com/habo11","@habo11")</f>
        <v>@habo11</v>
      </c>
      <c r="C2699" s="9" t="s">
        <v>6708</v>
      </c>
      <c r="D2699" s="9" t="s">
        <v>6734</v>
      </c>
      <c r="E2699" s="10" t="str">
        <f>HYPERLINK("https://twitter.com/habo11/status/723383822604111872","723383822604111872")</f>
        <v>723383822604111872</v>
      </c>
      <c r="F2699" s="11" t="s">
        <v>48</v>
      </c>
      <c r="G2699" s="11">
        <v>869</v>
      </c>
      <c r="H2699" s="11">
        <v>777</v>
      </c>
      <c r="I2699" s="11">
        <v>8</v>
      </c>
      <c r="J2699" s="11">
        <v>0</v>
      </c>
      <c r="K2699" s="11" t="s">
        <v>21</v>
      </c>
      <c r="L2699" s="7">
        <v>40297.724756944444</v>
      </c>
      <c r="M2699" s="12" t="s">
        <v>6709</v>
      </c>
      <c r="N2699" s="12" t="s">
        <v>6710</v>
      </c>
      <c r="O2699" s="10" t="str">
        <f>HYPERLINK("https://pbs.twimg.com/profile_images/420917107438915584/gJTup5FM_normal.jpeg","View")</f>
        <v>View</v>
      </c>
      <c r="P2699" s="11"/>
    </row>
    <row r="2700" spans="1:16" ht="12.75" x14ac:dyDescent="0.35">
      <c r="A2700" s="7">
        <v>42482.461041666669</v>
      </c>
      <c r="B2700" s="8" t="str">
        <f t="shared" ref="B2700:B2703" si="259">HYPERLINK("https://twitter.com/beetlebug1938","@beetlebug1938")</f>
        <v>@beetlebug1938</v>
      </c>
      <c r="C2700" s="9" t="s">
        <v>66</v>
      </c>
      <c r="D2700" s="9" t="s">
        <v>6778</v>
      </c>
      <c r="E2700" s="10" t="str">
        <f>HYPERLINK("https://twitter.com/beetlebug1938/status/723384310456152065","723384310456152065")</f>
        <v>723384310456152065</v>
      </c>
      <c r="F2700" s="11" t="s">
        <v>68</v>
      </c>
      <c r="G2700" s="11">
        <v>346</v>
      </c>
      <c r="H2700" s="11">
        <v>2222</v>
      </c>
      <c r="I2700" s="11">
        <v>0</v>
      </c>
      <c r="J2700" s="11">
        <v>0</v>
      </c>
      <c r="K2700" s="11" t="s">
        <v>21</v>
      </c>
      <c r="L2700" s="7">
        <v>42469.863865740743</v>
      </c>
      <c r="M2700" s="12" t="s">
        <v>69</v>
      </c>
      <c r="N2700" s="12"/>
      <c r="O2700" s="10" t="str">
        <f t="shared" ref="O2700:O2703" si="260">HYPERLINK("https://pbs.twimg.com/profile_images/718820712757215233/LXXndPTS_normal.jpg","View")</f>
        <v>View</v>
      </c>
      <c r="P2700" s="11"/>
    </row>
    <row r="2701" spans="1:16" ht="12.75" x14ac:dyDescent="0.35">
      <c r="A2701" s="7">
        <v>42482.461087962962</v>
      </c>
      <c r="B2701" s="8" t="str">
        <f t="shared" si="259"/>
        <v>@beetlebug1938</v>
      </c>
      <c r="C2701" s="9" t="s">
        <v>66</v>
      </c>
      <c r="D2701" s="9" t="s">
        <v>6779</v>
      </c>
      <c r="E2701" s="10" t="str">
        <f>HYPERLINK("https://twitter.com/beetlebug1938/status/723384328814661638","723384328814661638")</f>
        <v>723384328814661638</v>
      </c>
      <c r="F2701" s="11" t="s">
        <v>68</v>
      </c>
      <c r="G2701" s="11">
        <v>346</v>
      </c>
      <c r="H2701" s="11">
        <v>2222</v>
      </c>
      <c r="I2701" s="11">
        <v>0</v>
      </c>
      <c r="J2701" s="11">
        <v>0</v>
      </c>
      <c r="K2701" s="11" t="s">
        <v>21</v>
      </c>
      <c r="L2701" s="7">
        <v>42469.863865740743</v>
      </c>
      <c r="M2701" s="12" t="s">
        <v>69</v>
      </c>
      <c r="N2701" s="12"/>
      <c r="O2701" s="10" t="str">
        <f t="shared" si="260"/>
        <v>View</v>
      </c>
      <c r="P2701" s="11"/>
    </row>
    <row r="2702" spans="1:16" ht="12.75" x14ac:dyDescent="0.35">
      <c r="A2702" s="7">
        <v>42482.461134259254</v>
      </c>
      <c r="B2702" s="8" t="str">
        <f t="shared" si="259"/>
        <v>@beetlebug1938</v>
      </c>
      <c r="C2702" s="9" t="s">
        <v>66</v>
      </c>
      <c r="D2702" s="9" t="s">
        <v>6780</v>
      </c>
      <c r="E2702" s="10" t="str">
        <f>HYPERLINK("https://twitter.com/beetlebug1938/status/723384345122103298","723384345122103298")</f>
        <v>723384345122103298</v>
      </c>
      <c r="F2702" s="11" t="s">
        <v>68</v>
      </c>
      <c r="G2702" s="11">
        <v>346</v>
      </c>
      <c r="H2702" s="11">
        <v>2222</v>
      </c>
      <c r="I2702" s="11">
        <v>0</v>
      </c>
      <c r="J2702" s="11">
        <v>0</v>
      </c>
      <c r="K2702" s="11" t="s">
        <v>21</v>
      </c>
      <c r="L2702" s="7">
        <v>42469.863865740743</v>
      </c>
      <c r="M2702" s="12" t="s">
        <v>69</v>
      </c>
      <c r="N2702" s="12"/>
      <c r="O2702" s="10" t="str">
        <f t="shared" si="260"/>
        <v>View</v>
      </c>
      <c r="P2702" s="11"/>
    </row>
    <row r="2703" spans="1:16" ht="12.75" x14ac:dyDescent="0.35">
      <c r="A2703" s="7">
        <v>42482.461226851854</v>
      </c>
      <c r="B2703" s="8" t="str">
        <f t="shared" si="259"/>
        <v>@beetlebug1938</v>
      </c>
      <c r="C2703" s="9" t="s">
        <v>66</v>
      </c>
      <c r="D2703" s="9" t="s">
        <v>6781</v>
      </c>
      <c r="E2703" s="10" t="str">
        <f>HYPERLINK("https://twitter.com/beetlebug1938/status/723384380429733888","723384380429733888")</f>
        <v>723384380429733888</v>
      </c>
      <c r="F2703" s="11" t="s">
        <v>68</v>
      </c>
      <c r="G2703" s="11">
        <v>346</v>
      </c>
      <c r="H2703" s="11">
        <v>2222</v>
      </c>
      <c r="I2703" s="11">
        <v>0</v>
      </c>
      <c r="J2703" s="11">
        <v>0</v>
      </c>
      <c r="K2703" s="11" t="s">
        <v>21</v>
      </c>
      <c r="L2703" s="7">
        <v>42469.863865740743</v>
      </c>
      <c r="M2703" s="12" t="s">
        <v>69</v>
      </c>
      <c r="N2703" s="12"/>
      <c r="O2703" s="10" t="str">
        <f t="shared" si="260"/>
        <v>View</v>
      </c>
      <c r="P2703" s="11"/>
    </row>
    <row r="2704" spans="1:16" ht="12.75" x14ac:dyDescent="0.35">
      <c r="A2704" s="7">
        <v>42482.461273148147</v>
      </c>
      <c r="B2704" s="8" t="str">
        <f>HYPERLINK("https://twitter.com/berlinwerbung","@berlinwerbung")</f>
        <v>@berlinwerbung</v>
      </c>
      <c r="C2704" s="9" t="s">
        <v>6782</v>
      </c>
      <c r="D2704" s="9" t="s">
        <v>6783</v>
      </c>
      <c r="E2704" s="10" t="str">
        <f>HYPERLINK("https://twitter.com/berlinwerbung/status/723384394031878144","723384394031878144")</f>
        <v>723384394031878144</v>
      </c>
      <c r="F2704" s="11" t="s">
        <v>48</v>
      </c>
      <c r="G2704" s="11">
        <v>818</v>
      </c>
      <c r="H2704" s="11">
        <v>937</v>
      </c>
      <c r="I2704" s="11">
        <v>1</v>
      </c>
      <c r="J2704" s="11">
        <v>1</v>
      </c>
      <c r="K2704" s="11" t="s">
        <v>21</v>
      </c>
      <c r="L2704" s="7">
        <v>39859.765462962961</v>
      </c>
      <c r="M2704" s="12" t="s">
        <v>6784</v>
      </c>
      <c r="N2704" s="12" t="s">
        <v>6785</v>
      </c>
      <c r="O2704" s="10" t="str">
        <f>HYPERLINK("https://pbs.twimg.com/profile_images/707425852322091011/s0V50WcC_normal.jpg","View")</f>
        <v>View</v>
      </c>
      <c r="P2704" s="11"/>
    </row>
    <row r="2705" spans="1:16" ht="12.75" x14ac:dyDescent="0.35">
      <c r="A2705" s="7">
        <v>42482.462534722217</v>
      </c>
      <c r="B2705" s="8" t="str">
        <f>HYPERLINK("https://twitter.com/Boersenhaendler","@Boersenhaendler")</f>
        <v>@Boersenhaendler</v>
      </c>
      <c r="C2705" s="9" t="s">
        <v>6786</v>
      </c>
      <c r="D2705" s="9" t="s">
        <v>6787</v>
      </c>
      <c r="E2705" s="10" t="str">
        <f>HYPERLINK("https://twitter.com/Boersenhaendler/status/723384851533950977","723384851533950977")</f>
        <v>723384851533950977</v>
      </c>
      <c r="F2705" s="11" t="s">
        <v>1838</v>
      </c>
      <c r="G2705" s="11">
        <v>1158</v>
      </c>
      <c r="H2705" s="11">
        <v>997</v>
      </c>
      <c r="I2705" s="11">
        <v>0</v>
      </c>
      <c r="J2705" s="11">
        <v>0</v>
      </c>
      <c r="K2705" s="11" t="s">
        <v>21</v>
      </c>
      <c r="L2705" s="7">
        <v>40124.830625000002</v>
      </c>
      <c r="M2705" s="12" t="s">
        <v>1116</v>
      </c>
      <c r="N2705" s="12" t="s">
        <v>6788</v>
      </c>
      <c r="O2705" s="10" t="str">
        <f>HYPERLINK("https://pbs.twimg.com/profile_images/618052074027282432/DvAPKWTK_normal.jpg","View")</f>
        <v>View</v>
      </c>
      <c r="P2705" s="11"/>
    </row>
    <row r="2706" spans="1:16" ht="12.75" x14ac:dyDescent="0.35">
      <c r="A2706" s="7">
        <v>42482.462754629625</v>
      </c>
      <c r="B2706" s="8" t="str">
        <f>HYPERLINK("https://twitter.com/Stahlhammer","@Stahlhammer")</f>
        <v>@Stahlhammer</v>
      </c>
      <c r="C2706" s="9" t="s">
        <v>1085</v>
      </c>
      <c r="D2706" s="9" t="s">
        <v>6789</v>
      </c>
      <c r="E2706" s="10" t="str">
        <f>HYPERLINK("https://twitter.com/Stahlhammer/status/723384931783581698","723384931783581698")</f>
        <v>723384931783581698</v>
      </c>
      <c r="F2706" s="11" t="s">
        <v>20</v>
      </c>
      <c r="G2706" s="11">
        <v>322</v>
      </c>
      <c r="H2706" s="11">
        <v>258</v>
      </c>
      <c r="I2706" s="11">
        <v>2</v>
      </c>
      <c r="J2706" s="11">
        <v>1</v>
      </c>
      <c r="K2706" s="11" t="s">
        <v>21</v>
      </c>
      <c r="L2706" s="7">
        <v>39804.043923611112</v>
      </c>
      <c r="M2706" s="12"/>
      <c r="N2706" s="12" t="s">
        <v>1086</v>
      </c>
      <c r="O2706" s="10" t="str">
        <f>HYPERLINK("https://pbs.twimg.com/profile_images/603480066887127041/ZqzOY80Q_normal.jpg","View")</f>
        <v>View</v>
      </c>
      <c r="P2706" s="11"/>
    </row>
    <row r="2707" spans="1:16" ht="12.75" x14ac:dyDescent="0.35">
      <c r="A2707" s="7">
        <v>42482.463518518518</v>
      </c>
      <c r="B2707" s="8" t="str">
        <f>HYPERLINK("https://twitter.com/VWsightings","@VWsightings")</f>
        <v>@VWsightings</v>
      </c>
      <c r="C2707" s="9" t="s">
        <v>893</v>
      </c>
      <c r="D2707" s="9" t="s">
        <v>6790</v>
      </c>
      <c r="E2707" s="10" t="str">
        <f>HYPERLINK("https://twitter.com/VWsightings/status/723385208175648770","723385208175648770")</f>
        <v>723385208175648770</v>
      </c>
      <c r="F2707" s="11" t="s">
        <v>91</v>
      </c>
      <c r="G2707" s="11">
        <v>4853</v>
      </c>
      <c r="H2707" s="11">
        <v>4853</v>
      </c>
      <c r="I2707" s="11">
        <v>1</v>
      </c>
      <c r="J2707" s="11">
        <v>0</v>
      </c>
      <c r="K2707" s="11" t="s">
        <v>21</v>
      </c>
      <c r="L2707" s="7">
        <v>41589.461446759262</v>
      </c>
      <c r="M2707" s="12" t="s">
        <v>895</v>
      </c>
      <c r="N2707" s="12" t="s">
        <v>896</v>
      </c>
      <c r="O2707" s="10" t="str">
        <f>HYPERLINK("https://pbs.twimg.com/profile_images/378800000854855954/0d555726054b01e3c9d6b5241432dc4a_normal.jpeg","View")</f>
        <v>View</v>
      </c>
      <c r="P2707" s="11"/>
    </row>
    <row r="2708" spans="1:16" ht="12.75" x14ac:dyDescent="0.35">
      <c r="A2708" s="7">
        <v>42482.463807870372</v>
      </c>
      <c r="B2708" s="8" t="str">
        <f>HYPERLINK("https://twitter.com/StaffsVW","@StaffsVW")</f>
        <v>@StaffsVW</v>
      </c>
      <c r="C2708" s="9" t="s">
        <v>6791</v>
      </c>
      <c r="D2708" s="9" t="s">
        <v>6792</v>
      </c>
      <c r="E2708" s="10" t="str">
        <f>HYPERLINK("https://twitter.com/StaffsVW/status/723385313423302656","723385313423302656")</f>
        <v>723385313423302656</v>
      </c>
      <c r="F2708" s="11" t="s">
        <v>53</v>
      </c>
      <c r="G2708" s="11">
        <v>1436</v>
      </c>
      <c r="H2708" s="11">
        <v>1057</v>
      </c>
      <c r="I2708" s="11">
        <v>0</v>
      </c>
      <c r="J2708" s="11">
        <v>0</v>
      </c>
      <c r="K2708" s="11" t="s">
        <v>21</v>
      </c>
      <c r="L2708" s="7">
        <v>40741.625254629631</v>
      </c>
      <c r="M2708" s="12" t="s">
        <v>6793</v>
      </c>
      <c r="N2708" s="12" t="s">
        <v>6794</v>
      </c>
      <c r="O2708" s="10" t="str">
        <f>HYPERLINK("https://pbs.twimg.com/profile_images/689180646653202432/IDgTGC30_normal.jpg","View")</f>
        <v>View</v>
      </c>
      <c r="P2708" s="11"/>
    </row>
    <row r="2709" spans="1:16" ht="12.75" x14ac:dyDescent="0.35">
      <c r="A2709" s="7">
        <v>42482.464282407411</v>
      </c>
      <c r="B2709" s="8" t="str">
        <f t="shared" ref="B2709:B2711" si="261">HYPERLINK("https://twitter.com/VWsightings","@VWsightings")</f>
        <v>@VWsightings</v>
      </c>
      <c r="C2709" s="9" t="s">
        <v>893</v>
      </c>
      <c r="D2709" s="9" t="s">
        <v>6795</v>
      </c>
      <c r="E2709" s="10" t="str">
        <f>HYPERLINK("https://twitter.com/VWsightings/status/723385485880487936","723385485880487936")</f>
        <v>723385485880487936</v>
      </c>
      <c r="F2709" s="11" t="s">
        <v>91</v>
      </c>
      <c r="G2709" s="11">
        <v>4853</v>
      </c>
      <c r="H2709" s="11">
        <v>4853</v>
      </c>
      <c r="I2709" s="11">
        <v>2</v>
      </c>
      <c r="J2709" s="11">
        <v>0</v>
      </c>
      <c r="K2709" s="11" t="s">
        <v>21</v>
      </c>
      <c r="L2709" s="7">
        <v>41589.461446759262</v>
      </c>
      <c r="M2709" s="12" t="s">
        <v>895</v>
      </c>
      <c r="N2709" s="12" t="s">
        <v>896</v>
      </c>
      <c r="O2709" s="10" t="str">
        <f t="shared" ref="O2709:O2711" si="262">HYPERLINK("https://pbs.twimg.com/profile_images/378800000854855954/0d555726054b01e3c9d6b5241432dc4a_normal.jpeg","View")</f>
        <v>View</v>
      </c>
      <c r="P2709" s="11"/>
    </row>
    <row r="2710" spans="1:16" ht="12.75" x14ac:dyDescent="0.35">
      <c r="A2710" s="7">
        <v>42482.464826388888</v>
      </c>
      <c r="B2710" s="8" t="str">
        <f t="shared" si="261"/>
        <v>@VWsightings</v>
      </c>
      <c r="C2710" s="9" t="s">
        <v>893</v>
      </c>
      <c r="D2710" s="9" t="s">
        <v>6796</v>
      </c>
      <c r="E2710" s="10" t="str">
        <f>HYPERLINK("https://twitter.com/VWsightings/status/723385683562254336","723385683562254336")</f>
        <v>723385683562254336</v>
      </c>
      <c r="F2710" s="11" t="s">
        <v>91</v>
      </c>
      <c r="G2710" s="11">
        <v>4853</v>
      </c>
      <c r="H2710" s="11">
        <v>4853</v>
      </c>
      <c r="I2710" s="11">
        <v>1</v>
      </c>
      <c r="J2710" s="11">
        <v>0</v>
      </c>
      <c r="K2710" s="11" t="s">
        <v>21</v>
      </c>
      <c r="L2710" s="7">
        <v>41589.461446759262</v>
      </c>
      <c r="M2710" s="12" t="s">
        <v>895</v>
      </c>
      <c r="N2710" s="12" t="s">
        <v>896</v>
      </c>
      <c r="O2710" s="10" t="str">
        <f t="shared" si="262"/>
        <v>View</v>
      </c>
      <c r="P2710" s="11"/>
    </row>
    <row r="2711" spans="1:16" ht="12.75" x14ac:dyDescent="0.35">
      <c r="A2711" s="7">
        <v>42482.464918981481</v>
      </c>
      <c r="B2711" s="8" t="str">
        <f t="shared" si="261"/>
        <v>@VWsightings</v>
      </c>
      <c r="C2711" s="9" t="s">
        <v>893</v>
      </c>
      <c r="D2711" s="9" t="s">
        <v>6797</v>
      </c>
      <c r="E2711" s="10" t="str">
        <f>HYPERLINK("https://twitter.com/VWsightings/status/723385718676971520","723385718676971520")</f>
        <v>723385718676971520</v>
      </c>
      <c r="F2711" s="11" t="s">
        <v>91</v>
      </c>
      <c r="G2711" s="11">
        <v>4853</v>
      </c>
      <c r="H2711" s="11">
        <v>4853</v>
      </c>
      <c r="I2711" s="11">
        <v>3</v>
      </c>
      <c r="J2711" s="11">
        <v>0</v>
      </c>
      <c r="K2711" s="11" t="s">
        <v>21</v>
      </c>
      <c r="L2711" s="7">
        <v>41589.461446759262</v>
      </c>
      <c r="M2711" s="12" t="s">
        <v>895</v>
      </c>
      <c r="N2711" s="12" t="s">
        <v>896</v>
      </c>
      <c r="O2711" s="10" t="str">
        <f t="shared" si="262"/>
        <v>View</v>
      </c>
      <c r="P2711" s="11"/>
    </row>
    <row r="2712" spans="1:16" ht="12.75" x14ac:dyDescent="0.35">
      <c r="A2712" s="7">
        <v>42482.464965277773</v>
      </c>
      <c r="B2712" s="8" t="str">
        <f>HYPERLINK("https://twitter.com/Moneycab","@Moneycab")</f>
        <v>@Moneycab</v>
      </c>
      <c r="C2712" s="9" t="s">
        <v>6798</v>
      </c>
      <c r="D2712" s="9" t="s">
        <v>6799</v>
      </c>
      <c r="E2712" s="10" t="str">
        <f>HYPERLINK("https://twitter.com/Moneycab/status/723385733659009024","723385733659009024")</f>
        <v>723385733659009024</v>
      </c>
      <c r="F2712" s="11" t="s">
        <v>6800</v>
      </c>
      <c r="G2712" s="11">
        <v>2111</v>
      </c>
      <c r="H2712" s="11">
        <v>86</v>
      </c>
      <c r="I2712" s="11">
        <v>0</v>
      </c>
      <c r="J2712" s="11">
        <v>0</v>
      </c>
      <c r="K2712" s="11" t="s">
        <v>21</v>
      </c>
      <c r="L2712" s="7">
        <v>39819.62222222222</v>
      </c>
      <c r="M2712" s="12" t="s">
        <v>6801</v>
      </c>
      <c r="N2712" s="12" t="s">
        <v>6802</v>
      </c>
      <c r="O2712" s="10" t="str">
        <f>HYPERLINK("https://pbs.twimg.com/profile_images/471359944961175552/OQR9czUo_normal.png","View")</f>
        <v>View</v>
      </c>
      <c r="P2712" s="11"/>
    </row>
    <row r="2713" spans="1:16" ht="12.75" x14ac:dyDescent="0.35">
      <c r="A2713" s="7">
        <v>42482.464988425927</v>
      </c>
      <c r="B2713" s="8" t="str">
        <f>HYPERLINK("https://twitter.com/VWsightings","@VWsightings")</f>
        <v>@VWsightings</v>
      </c>
      <c r="C2713" s="9" t="s">
        <v>893</v>
      </c>
      <c r="D2713" s="9" t="s">
        <v>5168</v>
      </c>
      <c r="E2713" s="10" t="str">
        <f>HYPERLINK("https://twitter.com/VWsightings/status/723385743003906048","723385743003906048")</f>
        <v>723385743003906048</v>
      </c>
      <c r="F2713" s="11" t="s">
        <v>91</v>
      </c>
      <c r="G2713" s="11">
        <v>4853</v>
      </c>
      <c r="H2713" s="11">
        <v>4853</v>
      </c>
      <c r="I2713" s="11">
        <v>10</v>
      </c>
      <c r="J2713" s="11">
        <v>0</v>
      </c>
      <c r="K2713" s="11" t="s">
        <v>21</v>
      </c>
      <c r="L2713" s="7">
        <v>41589.461446759262</v>
      </c>
      <c r="M2713" s="12" t="s">
        <v>895</v>
      </c>
      <c r="N2713" s="12" t="s">
        <v>896</v>
      </c>
      <c r="O2713" s="10" t="str">
        <f>HYPERLINK("https://pbs.twimg.com/profile_images/378800000854855954/0d555726054b01e3c9d6b5241432dc4a_normal.jpeg","View")</f>
        <v>View</v>
      </c>
      <c r="P2713" s="11"/>
    </row>
    <row r="2714" spans="1:16" ht="12.75" x14ac:dyDescent="0.35">
      <c r="A2714" s="7">
        <v>42482.465196759258</v>
      </c>
      <c r="B2714" s="8" t="str">
        <f>HYPERLINK("https://twitter.com/compliancespain","@compliancespain")</f>
        <v>@compliancespain</v>
      </c>
      <c r="C2714" s="9" t="s">
        <v>6803</v>
      </c>
      <c r="D2714" s="9" t="s">
        <v>6804</v>
      </c>
      <c r="E2714" s="10" t="str">
        <f>HYPERLINK("https://twitter.com/compliancespain/status/723385816026771458","723385816026771458")</f>
        <v>723385816026771458</v>
      </c>
      <c r="F2714" s="11" t="s">
        <v>48</v>
      </c>
      <c r="G2714" s="11">
        <v>33</v>
      </c>
      <c r="H2714" s="11">
        <v>109</v>
      </c>
      <c r="I2714" s="11">
        <v>0</v>
      </c>
      <c r="J2714" s="11">
        <v>1</v>
      </c>
      <c r="K2714" s="11" t="s">
        <v>21</v>
      </c>
      <c r="L2714" s="7">
        <v>42447.538877314815</v>
      </c>
      <c r="M2714" s="12" t="s">
        <v>6805</v>
      </c>
      <c r="N2714" s="12" t="s">
        <v>6806</v>
      </c>
      <c r="O2714" s="10" t="str">
        <f>HYPERLINK("https://pbs.twimg.com/profile_images/710732581768175616/TbmxVh8S_normal.jpg","View")</f>
        <v>View</v>
      </c>
      <c r="P2714" s="11"/>
    </row>
    <row r="2715" spans="1:16" ht="12.75" x14ac:dyDescent="0.35">
      <c r="A2715" s="7">
        <v>42482.46707175926</v>
      </c>
      <c r="B2715" s="8" t="str">
        <f>HYPERLINK("https://twitter.com/JanRH86","@JanRH86")</f>
        <v>@JanRH86</v>
      </c>
      <c r="C2715" s="9" t="s">
        <v>6807</v>
      </c>
      <c r="D2715" s="9" t="s">
        <v>6808</v>
      </c>
      <c r="E2715" s="10" t="str">
        <f>HYPERLINK("https://twitter.com/JanRH86/status/723386496107999232","723386496107999232")</f>
        <v>723386496107999232</v>
      </c>
      <c r="F2715" s="11" t="s">
        <v>367</v>
      </c>
      <c r="G2715" s="11">
        <v>40</v>
      </c>
      <c r="H2715" s="11">
        <v>169</v>
      </c>
      <c r="I2715" s="11">
        <v>0</v>
      </c>
      <c r="J2715" s="11">
        <v>0</v>
      </c>
      <c r="K2715" s="11" t="s">
        <v>21</v>
      </c>
      <c r="L2715" s="7">
        <v>41096.649965277778</v>
      </c>
      <c r="M2715" s="12" t="s">
        <v>6809</v>
      </c>
      <c r="N2715" s="12" t="s">
        <v>6810</v>
      </c>
      <c r="O2715" s="10" t="str">
        <f>HYPERLINK("https://pbs.twimg.com/profile_images/3387431882/bc1a365cc44a6c605d8074e81a5df0d8_normal.jpeg","View")</f>
        <v>View</v>
      </c>
      <c r="P2715" s="11"/>
    </row>
    <row r="2716" spans="1:16" ht="12.75" x14ac:dyDescent="0.35">
      <c r="A2716" s="7">
        <v>42482.467152777783</v>
      </c>
      <c r="B2716" s="8" t="str">
        <f>HYPERLINK("https://twitter.com/tooppermann","@tooppermann")</f>
        <v>@tooppermann</v>
      </c>
      <c r="C2716" s="9" t="s">
        <v>3379</v>
      </c>
      <c r="D2716" s="9" t="s">
        <v>6811</v>
      </c>
      <c r="E2716" s="10" t="str">
        <f>HYPERLINK("https://twitter.com/tooppermann/status/723386526474739712","723386526474739712")</f>
        <v>723386526474739712</v>
      </c>
      <c r="F2716" s="11" t="s">
        <v>91</v>
      </c>
      <c r="G2716" s="11">
        <v>588</v>
      </c>
      <c r="H2716" s="11">
        <v>480</v>
      </c>
      <c r="I2716" s="11">
        <v>0</v>
      </c>
      <c r="J2716" s="11">
        <v>0</v>
      </c>
      <c r="K2716" s="11" t="s">
        <v>21</v>
      </c>
      <c r="L2716" s="7">
        <v>39837.267662037033</v>
      </c>
      <c r="M2716" s="12" t="s">
        <v>3381</v>
      </c>
      <c r="N2716" s="12" t="s">
        <v>3382</v>
      </c>
      <c r="O2716" s="10" t="str">
        <f>HYPERLINK("https://pbs.twimg.com/profile_images/569498266786877440/eYP0jdWw_normal.jpeg","View")</f>
        <v>View</v>
      </c>
      <c r="P2716" s="11"/>
    </row>
    <row r="2717" spans="1:16" ht="12.75" x14ac:dyDescent="0.35">
      <c r="A2717" s="7">
        <v>42482.467152777783</v>
      </c>
      <c r="B2717" s="8" t="str">
        <f>HYPERLINK("https://twitter.com/doern","@doern")</f>
        <v>@doern</v>
      </c>
      <c r="C2717" s="9" t="s">
        <v>3107</v>
      </c>
      <c r="D2717" s="9" t="s">
        <v>6812</v>
      </c>
      <c r="E2717" s="10" t="str">
        <f>HYPERLINK("https://twitter.com/doern/status/723386527535878144","723386527535878144")</f>
        <v>723386527535878144</v>
      </c>
      <c r="F2717" s="11" t="s">
        <v>20</v>
      </c>
      <c r="G2717" s="11">
        <v>342</v>
      </c>
      <c r="H2717" s="11">
        <v>63</v>
      </c>
      <c r="I2717" s="11">
        <v>1</v>
      </c>
      <c r="J2717" s="11">
        <v>3</v>
      </c>
      <c r="K2717" s="11" t="s">
        <v>21</v>
      </c>
      <c r="L2717" s="7">
        <v>39909.663194444445</v>
      </c>
      <c r="M2717" s="12" t="s">
        <v>262</v>
      </c>
      <c r="N2717" s="12" t="s">
        <v>3109</v>
      </c>
      <c r="O2717" s="10" t="str">
        <f>HYPERLINK("https://pbs.twimg.com/profile_images/657853466384191488/J6vAnfZr_normal.jpg","View")</f>
        <v>View</v>
      </c>
      <c r="P2717" s="11"/>
    </row>
    <row r="2718" spans="1:16" ht="12.75" x14ac:dyDescent="0.35">
      <c r="A2718" s="7">
        <v>42482.467187499999</v>
      </c>
      <c r="B2718" s="8" t="str">
        <f>HYPERLINK("https://twitter.com/MertensFranki","@MertensFranki")</f>
        <v>@MertensFranki</v>
      </c>
      <c r="C2718" s="9" t="s">
        <v>6813</v>
      </c>
      <c r="D2718" s="9" t="s">
        <v>6814</v>
      </c>
      <c r="E2718" s="10" t="str">
        <f>HYPERLINK("https://twitter.com/MertensFranki/status/723386541079318528","723386541079318528")</f>
        <v>723386541079318528</v>
      </c>
      <c r="F2718" s="11" t="s">
        <v>48</v>
      </c>
      <c r="G2718" s="11">
        <v>145</v>
      </c>
      <c r="H2718" s="11">
        <v>739</v>
      </c>
      <c r="I2718" s="11">
        <v>0</v>
      </c>
      <c r="J2718" s="11">
        <v>0</v>
      </c>
      <c r="K2718" s="11" t="s">
        <v>21</v>
      </c>
      <c r="L2718" s="7">
        <v>40262.72011574074</v>
      </c>
      <c r="M2718" s="12" t="s">
        <v>2907</v>
      </c>
      <c r="N2718" s="12"/>
      <c r="O2718" s="10" t="str">
        <f>HYPERLINK("https://pbs.twimg.com/profile_images/687900318173114368/7j9ynoeV_normal.jpg","View")</f>
        <v>View</v>
      </c>
      <c r="P2718" s="11"/>
    </row>
    <row r="2719" spans="1:16" ht="12.75" x14ac:dyDescent="0.35">
      <c r="A2719" s="7">
        <v>42482.467337962968</v>
      </c>
      <c r="B2719" s="8" t="str">
        <f>HYPERLINK("https://twitter.com/following_jobs","@following_jobs")</f>
        <v>@following_jobs</v>
      </c>
      <c r="C2719" s="9" t="s">
        <v>6171</v>
      </c>
      <c r="D2719" s="9" t="s">
        <v>6815</v>
      </c>
      <c r="E2719" s="10" t="str">
        <f>HYPERLINK("https://twitter.com/following_jobs/status/723386594305015808","723386594305015808")</f>
        <v>723386594305015808</v>
      </c>
      <c r="F2719" s="11" t="s">
        <v>34</v>
      </c>
      <c r="G2719" s="11">
        <v>1062</v>
      </c>
      <c r="H2719" s="11">
        <v>784</v>
      </c>
      <c r="I2719" s="11">
        <v>0</v>
      </c>
      <c r="J2719" s="11">
        <v>0</v>
      </c>
      <c r="K2719" s="11" t="s">
        <v>21</v>
      </c>
      <c r="L2719" s="7">
        <v>42022.867581018523</v>
      </c>
      <c r="M2719" s="12"/>
      <c r="N2719" s="12" t="s">
        <v>6173</v>
      </c>
      <c r="O2719" s="10" t="str">
        <f>HYPERLINK("https://pbs.twimg.com/profile_images/556834076418527235/Y36uC3QC_normal.png","View")</f>
        <v>View</v>
      </c>
      <c r="P2719" s="11"/>
    </row>
    <row r="2720" spans="1:16" ht="12.75" x14ac:dyDescent="0.35">
      <c r="A2720" s="7">
        <v>42482.467499999999</v>
      </c>
      <c r="B2720" s="8" t="str">
        <f t="shared" ref="B2720:B2721" si="263">HYPERLINK("https://twitter.com/VWsightings","@VWsightings")</f>
        <v>@VWsightings</v>
      </c>
      <c r="C2720" s="9" t="s">
        <v>893</v>
      </c>
      <c r="D2720" s="9" t="s">
        <v>6816</v>
      </c>
      <c r="E2720" s="10" t="str">
        <f>HYPERLINK("https://twitter.com/VWsightings/status/723386651829882881","723386651829882881")</f>
        <v>723386651829882881</v>
      </c>
      <c r="F2720" s="11" t="s">
        <v>91</v>
      </c>
      <c r="G2720" s="11">
        <v>4853</v>
      </c>
      <c r="H2720" s="11">
        <v>4853</v>
      </c>
      <c r="I2720" s="11">
        <v>2</v>
      </c>
      <c r="J2720" s="11">
        <v>0</v>
      </c>
      <c r="K2720" s="11" t="s">
        <v>21</v>
      </c>
      <c r="L2720" s="7">
        <v>41589.461446759262</v>
      </c>
      <c r="M2720" s="12" t="s">
        <v>895</v>
      </c>
      <c r="N2720" s="12" t="s">
        <v>896</v>
      </c>
      <c r="O2720" s="10" t="str">
        <f t="shared" ref="O2720:O2721" si="264">HYPERLINK("https://pbs.twimg.com/profile_images/378800000854855954/0d555726054b01e3c9d6b5241432dc4a_normal.jpeg","View")</f>
        <v>View</v>
      </c>
      <c r="P2720" s="11"/>
    </row>
    <row r="2721" spans="1:16" ht="12.75" x14ac:dyDescent="0.35">
      <c r="A2721" s="7">
        <v>42482.467638888891</v>
      </c>
      <c r="B2721" s="8" t="str">
        <f t="shared" si="263"/>
        <v>@VWsightings</v>
      </c>
      <c r="C2721" s="9" t="s">
        <v>893</v>
      </c>
      <c r="D2721" s="9" t="s">
        <v>6817</v>
      </c>
      <c r="E2721" s="10" t="str">
        <f>HYPERLINK("https://twitter.com/VWsightings/status/723386701238800388","723386701238800388")</f>
        <v>723386701238800388</v>
      </c>
      <c r="F2721" s="11" t="s">
        <v>91</v>
      </c>
      <c r="G2721" s="11">
        <v>4853</v>
      </c>
      <c r="H2721" s="11">
        <v>4853</v>
      </c>
      <c r="I2721" s="11">
        <v>1</v>
      </c>
      <c r="J2721" s="11">
        <v>0</v>
      </c>
      <c r="K2721" s="11" t="s">
        <v>21</v>
      </c>
      <c r="L2721" s="7">
        <v>41589.461446759262</v>
      </c>
      <c r="M2721" s="12" t="s">
        <v>895</v>
      </c>
      <c r="N2721" s="12" t="s">
        <v>896</v>
      </c>
      <c r="O2721" s="10" t="str">
        <f t="shared" si="264"/>
        <v>View</v>
      </c>
      <c r="P2721" s="11"/>
    </row>
    <row r="2722" spans="1:16" ht="12.75" x14ac:dyDescent="0.35">
      <c r="A2722" s="7">
        <v>42482.468726851846</v>
      </c>
      <c r="B2722" s="8" t="str">
        <f>HYPERLINK("https://twitter.com/mvdweyer","@mvdweyer")</f>
        <v>@mvdweyer</v>
      </c>
      <c r="C2722" s="9" t="s">
        <v>1319</v>
      </c>
      <c r="D2722" s="9" t="s">
        <v>6818</v>
      </c>
      <c r="E2722" s="10" t="str">
        <f>HYPERLINK("https://twitter.com/mvdweyer/status/723387099139837952","723387099139837952")</f>
        <v>723387099139837952</v>
      </c>
      <c r="F2722" s="11" t="s">
        <v>91</v>
      </c>
      <c r="G2722" s="11">
        <v>478</v>
      </c>
      <c r="H2722" s="11">
        <v>830</v>
      </c>
      <c r="I2722" s="11">
        <v>0</v>
      </c>
      <c r="J2722" s="11">
        <v>0</v>
      </c>
      <c r="K2722" s="11" t="s">
        <v>21</v>
      </c>
      <c r="L2722" s="7">
        <v>41129.776863425926</v>
      </c>
      <c r="M2722" s="12" t="s">
        <v>1229</v>
      </c>
      <c r="N2722" s="12" t="s">
        <v>1321</v>
      </c>
      <c r="O2722" s="10" t="str">
        <f>HYPERLINK("https://pbs.twimg.com/profile_images/489747056584445953/3tvslEko_normal.jpeg","View")</f>
        <v>View</v>
      </c>
      <c r="P2722" s="11"/>
    </row>
    <row r="2723" spans="1:16" ht="12.75" x14ac:dyDescent="0.35">
      <c r="A2723" s="7">
        <v>42482.468819444446</v>
      </c>
      <c r="B2723" s="8" t="str">
        <f>HYPERLINK("https://twitter.com/EditeursLEcho","@EditeursLEcho")</f>
        <v>@EditeursLEcho</v>
      </c>
      <c r="C2723" s="9" t="s">
        <v>6819</v>
      </c>
      <c r="D2723" s="9" t="s">
        <v>6820</v>
      </c>
      <c r="E2723" s="10" t="str">
        <f>HYPERLINK("https://twitter.com/EditeursLEcho/status/723387132211916801","723387132211916801")</f>
        <v>723387132211916801</v>
      </c>
      <c r="F2723" s="11" t="s">
        <v>63</v>
      </c>
      <c r="G2723" s="11">
        <v>63</v>
      </c>
      <c r="H2723" s="11">
        <v>0</v>
      </c>
      <c r="I2723" s="11">
        <v>2</v>
      </c>
      <c r="J2723" s="11">
        <v>2</v>
      </c>
      <c r="K2723" s="11" t="s">
        <v>21</v>
      </c>
      <c r="L2723" s="7">
        <v>42330.739594907413</v>
      </c>
      <c r="M2723" s="12" t="s">
        <v>6821</v>
      </c>
      <c r="N2723" s="12" t="s">
        <v>6822</v>
      </c>
      <c r="O2723" s="10" t="str">
        <f>HYPERLINK("https://pbs.twimg.com/profile_images/669968150708924416/n-JyEd3M_normal.png","View")</f>
        <v>View</v>
      </c>
      <c r="P2723" s="11"/>
    </row>
    <row r="2724" spans="1:16" ht="12.75" x14ac:dyDescent="0.35">
      <c r="A2724" s="7">
        <v>42482.469629629632</v>
      </c>
      <c r="B2724" s="8" t="str">
        <f>HYPERLINK("https://twitter.com/MerlinaAlmendra","@MerlinaAlmendra")</f>
        <v>@MerlinaAlmendra</v>
      </c>
      <c r="C2724" s="9" t="s">
        <v>6823</v>
      </c>
      <c r="D2724" s="9" t="s">
        <v>6824</v>
      </c>
      <c r="E2724" s="10" t="str">
        <f>HYPERLINK("https://twitter.com/MerlinaAlmendra/status/723387422503886849","723387422503886849")</f>
        <v>723387422503886849</v>
      </c>
      <c r="F2724" s="11" t="s">
        <v>114</v>
      </c>
      <c r="G2724" s="11">
        <v>438</v>
      </c>
      <c r="H2724" s="11">
        <v>303</v>
      </c>
      <c r="I2724" s="11">
        <v>1</v>
      </c>
      <c r="J2724" s="11">
        <v>2</v>
      </c>
      <c r="K2724" s="11" t="s">
        <v>21</v>
      </c>
      <c r="L2724" s="7">
        <v>39816.382696759261</v>
      </c>
      <c r="M2724" s="12" t="s">
        <v>6825</v>
      </c>
      <c r="N2724" s="12" t="s">
        <v>6826</v>
      </c>
      <c r="O2724" s="10" t="str">
        <f>HYPERLINK("https://pbs.twimg.com/profile_images/716386262387527680/iXBQikmn_normal.jpg","View")</f>
        <v>View</v>
      </c>
      <c r="P2724" s="11"/>
    </row>
    <row r="2725" spans="1:16" ht="12.75" x14ac:dyDescent="0.35">
      <c r="A2725" s="7">
        <v>42482.470057870371</v>
      </c>
      <c r="B2725" s="8" t="str">
        <f>HYPERLINK("https://twitter.com/lecho","@lecho")</f>
        <v>@lecho</v>
      </c>
      <c r="C2725" s="9" t="s">
        <v>6827</v>
      </c>
      <c r="D2725" s="9" t="s">
        <v>6828</v>
      </c>
      <c r="E2725" s="10" t="str">
        <f>HYPERLINK("https://twitter.com/lecho/status/723387577932210177","723387577932210177")</f>
        <v>723387577932210177</v>
      </c>
      <c r="F2725" s="11" t="s">
        <v>63</v>
      </c>
      <c r="G2725" s="11">
        <v>26812</v>
      </c>
      <c r="H2725" s="11">
        <v>216</v>
      </c>
      <c r="I2725" s="11">
        <v>2</v>
      </c>
      <c r="J2725" s="11">
        <v>0</v>
      </c>
      <c r="K2725" s="11" t="s">
        <v>21</v>
      </c>
      <c r="L2725" s="7">
        <v>39287.77034722222</v>
      </c>
      <c r="M2725" s="12" t="s">
        <v>6821</v>
      </c>
      <c r="N2725" s="12" t="s">
        <v>6829</v>
      </c>
      <c r="O2725" s="10" t="str">
        <f>HYPERLINK("https://pbs.twimg.com/profile_images/720231879601991680/PQLrJZsH_normal.jpg","View")</f>
        <v>View</v>
      </c>
      <c r="P2725" s="11"/>
    </row>
    <row r="2726" spans="1:16" ht="12.75" x14ac:dyDescent="0.35">
      <c r="A2726" s="7">
        <v>42482.470405092594</v>
      </c>
      <c r="B2726" s="8" t="str">
        <f>HYPERLINK("https://twitter.com/ErwLo","@ErwLo")</f>
        <v>@ErwLo</v>
      </c>
      <c r="C2726" s="9" t="s">
        <v>6830</v>
      </c>
      <c r="D2726" s="9" t="s">
        <v>6831</v>
      </c>
      <c r="E2726" s="10" t="str">
        <f>HYPERLINK("https://twitter.com/ErwLo/status/723387706064039936","723387706064039936")</f>
        <v>723387706064039936</v>
      </c>
      <c r="F2726" s="11" t="s">
        <v>48</v>
      </c>
      <c r="G2726" s="11">
        <v>10</v>
      </c>
      <c r="H2726" s="11">
        <v>27</v>
      </c>
      <c r="I2726" s="11">
        <v>0</v>
      </c>
      <c r="J2726" s="11">
        <v>0</v>
      </c>
      <c r="K2726" s="11" t="s">
        <v>21</v>
      </c>
      <c r="L2726" s="7">
        <v>41581.748136574075</v>
      </c>
      <c r="M2726" s="12" t="s">
        <v>6832</v>
      </c>
      <c r="N2726" s="12" t="s">
        <v>6833</v>
      </c>
      <c r="O2726" s="10" t="str">
        <f>HYPERLINK("https://pbs.twimg.com/profile_images/715638255304196096/F61efM8c_normal.jpg","View")</f>
        <v>View</v>
      </c>
      <c r="P2726" s="11"/>
    </row>
    <row r="2727" spans="1:16" ht="12.75" x14ac:dyDescent="0.35">
      <c r="A2727" s="7">
        <v>42482.470497685186</v>
      </c>
      <c r="B2727" s="8" t="str">
        <f>HYPERLINK("https://twitter.com/VWsightings","@VWsightings")</f>
        <v>@VWsightings</v>
      </c>
      <c r="C2727" s="9" t="s">
        <v>893</v>
      </c>
      <c r="D2727" s="9" t="s">
        <v>6834</v>
      </c>
      <c r="E2727" s="10" t="str">
        <f>HYPERLINK("https://twitter.com/VWsightings/status/723387739958173696","723387739958173696")</f>
        <v>723387739958173696</v>
      </c>
      <c r="F2727" s="11" t="s">
        <v>91</v>
      </c>
      <c r="G2727" s="11">
        <v>4853</v>
      </c>
      <c r="H2727" s="11">
        <v>4853</v>
      </c>
      <c r="I2727" s="11">
        <v>1</v>
      </c>
      <c r="J2727" s="11">
        <v>0</v>
      </c>
      <c r="K2727" s="11" t="s">
        <v>21</v>
      </c>
      <c r="L2727" s="7">
        <v>41589.461446759262</v>
      </c>
      <c r="M2727" s="12" t="s">
        <v>895</v>
      </c>
      <c r="N2727" s="12" t="s">
        <v>896</v>
      </c>
      <c r="O2727" s="10" t="str">
        <f>HYPERLINK("https://pbs.twimg.com/profile_images/378800000854855954/0d555726054b01e3c9d6b5241432dc4a_normal.jpeg","View")</f>
        <v>View</v>
      </c>
      <c r="P2727" s="11"/>
    </row>
    <row r="2728" spans="1:16" ht="12.75" x14ac:dyDescent="0.35">
      <c r="A2728" s="7">
        <v>42482.471770833334</v>
      </c>
      <c r="B2728" s="8" t="str">
        <f>HYPERLINK("https://twitter.com/E_Benji","@E_Benji")</f>
        <v>@E_Benji</v>
      </c>
      <c r="C2728" s="9" t="s">
        <v>6835</v>
      </c>
      <c r="D2728" s="9" t="s">
        <v>6828</v>
      </c>
      <c r="E2728" s="10" t="str">
        <f>HYPERLINK("https://twitter.com/E_Benji/status/723388200262062080","723388200262062080")</f>
        <v>723388200262062080</v>
      </c>
      <c r="F2728" s="11" t="s">
        <v>20</v>
      </c>
      <c r="G2728" s="11">
        <v>308</v>
      </c>
      <c r="H2728" s="11">
        <v>200</v>
      </c>
      <c r="I2728" s="11">
        <v>2</v>
      </c>
      <c r="J2728" s="11">
        <v>0</v>
      </c>
      <c r="K2728" s="11" t="s">
        <v>21</v>
      </c>
      <c r="L2728" s="7">
        <v>39994.724548611113</v>
      </c>
      <c r="M2728" s="12" t="s">
        <v>1495</v>
      </c>
      <c r="N2728" s="12" t="s">
        <v>6836</v>
      </c>
      <c r="O2728" s="10" t="str">
        <f>HYPERLINK("https://pbs.twimg.com/profile_images/2601940355/ftghy3nkuglnslpdg4s5_normal.jpeg","View")</f>
        <v>View</v>
      </c>
      <c r="P2728" s="11"/>
    </row>
    <row r="2729" spans="1:16" ht="12.75" x14ac:dyDescent="0.35">
      <c r="A2729" s="7">
        <v>42482.472222222219</v>
      </c>
      <c r="B2729" s="8" t="str">
        <f>HYPERLINK("https://twitter.com/CoopsNeil","@CoopsNeil")</f>
        <v>@CoopsNeil</v>
      </c>
      <c r="C2729" s="9" t="s">
        <v>6837</v>
      </c>
      <c r="D2729" s="9" t="s">
        <v>6838</v>
      </c>
      <c r="E2729" s="10" t="str">
        <f>HYPERLINK("https://twitter.com/CoopsNeil/status/723388365823844352","723388365823844352")</f>
        <v>723388365823844352</v>
      </c>
      <c r="F2729" s="11" t="s">
        <v>20</v>
      </c>
      <c r="G2729" s="11">
        <v>59</v>
      </c>
      <c r="H2729" s="11">
        <v>68</v>
      </c>
      <c r="I2729" s="11">
        <v>0</v>
      </c>
      <c r="J2729" s="11">
        <v>0</v>
      </c>
      <c r="K2729" s="11" t="s">
        <v>21</v>
      </c>
      <c r="L2729" s="7">
        <v>40926.518460648149</v>
      </c>
      <c r="M2729" s="12" t="s">
        <v>1450</v>
      </c>
      <c r="N2729" s="12" t="s">
        <v>6839</v>
      </c>
      <c r="O2729" s="10" t="str">
        <f>HYPERLINK("https://pbs.twimg.com/profile_images/621959268766470144/_NDaByff_normal.jpg","View")</f>
        <v>View</v>
      </c>
      <c r="P2729" s="11"/>
    </row>
    <row r="2730" spans="1:16" ht="12.75" x14ac:dyDescent="0.35">
      <c r="A2730" s="7">
        <v>42482.472407407404</v>
      </c>
      <c r="B2730" s="8" t="str">
        <f>HYPERLINK("https://twitter.com/MerlinaAlmendra","@MerlinaAlmendra")</f>
        <v>@MerlinaAlmendra</v>
      </c>
      <c r="C2730" s="9" t="s">
        <v>6823</v>
      </c>
      <c r="D2730" s="9" t="s">
        <v>6840</v>
      </c>
      <c r="E2730" s="10" t="str">
        <f>HYPERLINK("https://twitter.com/MerlinaAlmendra/status/723388430453886976","723388430453886976")</f>
        <v>723388430453886976</v>
      </c>
      <c r="F2730" s="11" t="s">
        <v>114</v>
      </c>
      <c r="G2730" s="11">
        <v>438</v>
      </c>
      <c r="H2730" s="11">
        <v>303</v>
      </c>
      <c r="I2730" s="11">
        <v>0</v>
      </c>
      <c r="J2730" s="11">
        <v>0</v>
      </c>
      <c r="K2730" s="11" t="s">
        <v>21</v>
      </c>
      <c r="L2730" s="7">
        <v>39816.382696759261</v>
      </c>
      <c r="M2730" s="12" t="s">
        <v>6825</v>
      </c>
      <c r="N2730" s="12" t="s">
        <v>6826</v>
      </c>
      <c r="O2730" s="10" t="str">
        <f>HYPERLINK("https://pbs.twimg.com/profile_images/716386262387527680/iXBQikmn_normal.jpg","View")</f>
        <v>View</v>
      </c>
      <c r="P2730" s="10" t="str">
        <f>HYPERLINK("http://ctrlq.org/maps/address/#51.04607744,-114.06891491","Map")</f>
        <v>Map</v>
      </c>
    </row>
    <row r="2731" spans="1:16" ht="12.75" x14ac:dyDescent="0.35">
      <c r="A2731" s="7">
        <v>42482.472627314812</v>
      </c>
      <c r="B2731" s="8" t="str">
        <f>HYPERLINK("https://twitter.com/doern","@doern")</f>
        <v>@doern</v>
      </c>
      <c r="C2731" s="9" t="s">
        <v>3107</v>
      </c>
      <c r="D2731" s="9" t="s">
        <v>6841</v>
      </c>
      <c r="E2731" s="10" t="str">
        <f>HYPERLINK("https://twitter.com/doern/status/723388509604597760","723388509604597760")</f>
        <v>723388509604597760</v>
      </c>
      <c r="F2731" s="11" t="s">
        <v>20</v>
      </c>
      <c r="G2731" s="11">
        <v>342</v>
      </c>
      <c r="H2731" s="11">
        <v>63</v>
      </c>
      <c r="I2731" s="11">
        <v>5</v>
      </c>
      <c r="J2731" s="11">
        <v>3</v>
      </c>
      <c r="K2731" s="11" t="s">
        <v>21</v>
      </c>
      <c r="L2731" s="7">
        <v>39909.663194444445</v>
      </c>
      <c r="M2731" s="12" t="s">
        <v>262</v>
      </c>
      <c r="N2731" s="12" t="s">
        <v>3109</v>
      </c>
      <c r="O2731" s="10" t="str">
        <f>HYPERLINK("https://pbs.twimg.com/profile_images/657853466384191488/J6vAnfZr_normal.jpg","View")</f>
        <v>View</v>
      </c>
      <c r="P2731" s="11"/>
    </row>
    <row r="2732" spans="1:16" ht="12.75" x14ac:dyDescent="0.35">
      <c r="A2732" s="7">
        <v>42482.472777777773</v>
      </c>
      <c r="B2732" s="8" t="str">
        <f>HYPERLINK("https://twitter.com/chpmt","@chpmt")</f>
        <v>@chpmt</v>
      </c>
      <c r="C2732" s="9" t="s">
        <v>6842</v>
      </c>
      <c r="D2732" s="9" t="s">
        <v>6843</v>
      </c>
      <c r="E2732" s="10" t="str">
        <f>HYPERLINK("https://twitter.com/chpmt/status/723388567100088320","723388567100088320")</f>
        <v>723388567100088320</v>
      </c>
      <c r="F2732" s="11" t="s">
        <v>91</v>
      </c>
      <c r="G2732" s="11">
        <v>790</v>
      </c>
      <c r="H2732" s="11">
        <v>532</v>
      </c>
      <c r="I2732" s="11">
        <v>2</v>
      </c>
      <c r="J2732" s="11">
        <v>0</v>
      </c>
      <c r="K2732" s="11" t="s">
        <v>21</v>
      </c>
      <c r="L2732" s="7">
        <v>39826.978703703702</v>
      </c>
      <c r="M2732" s="12" t="s">
        <v>6844</v>
      </c>
      <c r="N2732" s="12" t="s">
        <v>6845</v>
      </c>
      <c r="O2732" s="10" t="str">
        <f>HYPERLINK("https://pbs.twimg.com/profile_images/468143992463695872/lMlyvasw_normal.jpeg","View")</f>
        <v>View</v>
      </c>
      <c r="P2732" s="11"/>
    </row>
    <row r="2733" spans="1:16" ht="12.75" x14ac:dyDescent="0.35">
      <c r="A2733" s="7">
        <v>42482.473645833335</v>
      </c>
      <c r="B2733" s="8" t="str">
        <f>HYPERLINK("https://twitter.com/vintagevwdita","@vintagevwdita")</f>
        <v>@vintagevwdita</v>
      </c>
      <c r="C2733" s="9" t="s">
        <v>5176</v>
      </c>
      <c r="D2733" s="9" t="s">
        <v>6846</v>
      </c>
      <c r="E2733" s="10" t="str">
        <f>HYPERLINK("https://twitter.com/vintagevwdita/status/723388880364302336","723388880364302336")</f>
        <v>723388880364302336</v>
      </c>
      <c r="F2733" s="11" t="s">
        <v>20</v>
      </c>
      <c r="G2733" s="11">
        <v>549</v>
      </c>
      <c r="H2733" s="11">
        <v>595</v>
      </c>
      <c r="I2733" s="11">
        <v>0</v>
      </c>
      <c r="J2733" s="11">
        <v>1</v>
      </c>
      <c r="K2733" s="11" t="s">
        <v>21</v>
      </c>
      <c r="L2733" s="7">
        <v>42114.550115740742</v>
      </c>
      <c r="M2733" s="12" t="s">
        <v>5178</v>
      </c>
      <c r="N2733" s="12" t="s">
        <v>5179</v>
      </c>
      <c r="O2733" s="10" t="str">
        <f>HYPERLINK("https://pbs.twimg.com/profile_images/687419637429080064/YhD1MggI_normal.jpg","View")</f>
        <v>View</v>
      </c>
      <c r="P2733" s="11"/>
    </row>
    <row r="2734" spans="1:16" ht="12.75" x14ac:dyDescent="0.35">
      <c r="A2734" s="7">
        <v>42482.473946759259</v>
      </c>
      <c r="B2734" s="8" t="str">
        <f>HYPERLINK("https://twitter.com/handelsblatt","@handelsblatt")</f>
        <v>@handelsblatt</v>
      </c>
      <c r="C2734" s="9" t="s">
        <v>973</v>
      </c>
      <c r="D2734" s="9" t="s">
        <v>6847</v>
      </c>
      <c r="E2734" s="10" t="str">
        <f>HYPERLINK("https://twitter.com/handelsblatt/status/723388987746848769","723388987746848769")</f>
        <v>723388987746848769</v>
      </c>
      <c r="F2734" s="11" t="s">
        <v>288</v>
      </c>
      <c r="G2734" s="11">
        <v>239918</v>
      </c>
      <c r="H2734" s="11">
        <v>534</v>
      </c>
      <c r="I2734" s="11">
        <v>5</v>
      </c>
      <c r="J2734" s="11">
        <v>0</v>
      </c>
      <c r="K2734" s="11" t="s">
        <v>21</v>
      </c>
      <c r="L2734" s="7">
        <v>39207.128182870372</v>
      </c>
      <c r="M2734" s="12" t="s">
        <v>975</v>
      </c>
      <c r="N2734" s="12" t="s">
        <v>976</v>
      </c>
      <c r="O2734" s="10" t="str">
        <f>HYPERLINK("https://pbs.twimg.com/profile_images/562563461171798017/AkHF4keI_normal.png","View")</f>
        <v>View</v>
      </c>
      <c r="P2734" s="11"/>
    </row>
    <row r="2735" spans="1:16" ht="12.75" x14ac:dyDescent="0.35">
      <c r="A2735" s="7">
        <v>42482.474050925928</v>
      </c>
      <c r="B2735" s="8" t="str">
        <f>HYPERLINK("https://twitter.com/Klickvieh","@Klickvieh")</f>
        <v>@Klickvieh</v>
      </c>
      <c r="C2735" s="9" t="s">
        <v>5232</v>
      </c>
      <c r="D2735" s="9" t="s">
        <v>6848</v>
      </c>
      <c r="E2735" s="10" t="str">
        <f>HYPERLINK("https://twitter.com/Klickvieh/status/723389027353645056","723389027353645056")</f>
        <v>723389027353645056</v>
      </c>
      <c r="F2735" s="11" t="s">
        <v>48</v>
      </c>
      <c r="G2735" s="11">
        <v>210</v>
      </c>
      <c r="H2735" s="11">
        <v>173</v>
      </c>
      <c r="I2735" s="11">
        <v>0</v>
      </c>
      <c r="J2735" s="11">
        <v>2</v>
      </c>
      <c r="K2735" s="11" t="s">
        <v>21</v>
      </c>
      <c r="L2735" s="7">
        <v>40003.007245370369</v>
      </c>
      <c r="M2735" s="12" t="s">
        <v>5234</v>
      </c>
      <c r="N2735" s="12" t="s">
        <v>5235</v>
      </c>
      <c r="O2735" s="10" t="str">
        <f>HYPERLINK("https://pbs.twimg.com/profile_images/662585803168591872/XeVEK9Mh_normal.jpg","View")</f>
        <v>View</v>
      </c>
      <c r="P2735" s="11"/>
    </row>
    <row r="2736" spans="1:16" ht="12.75" x14ac:dyDescent="0.35">
      <c r="A2736" s="7">
        <v>42482.474999999999</v>
      </c>
      <c r="B2736" s="8" t="str">
        <f>HYPERLINK("https://twitter.com/brosefstalin53","@brosefstalin53")</f>
        <v>@brosefstalin53</v>
      </c>
      <c r="C2736" s="9" t="s">
        <v>4825</v>
      </c>
      <c r="D2736" s="9" t="s">
        <v>6707</v>
      </c>
      <c r="E2736" s="10" t="str">
        <f>HYPERLINK("https://twitter.com/brosefstalin53/status/723389369524977665","723389369524977665")</f>
        <v>723389369524977665</v>
      </c>
      <c r="F2736" s="11" t="s">
        <v>20</v>
      </c>
      <c r="G2736" s="11">
        <v>145</v>
      </c>
      <c r="H2736" s="11">
        <v>241</v>
      </c>
      <c r="I2736" s="11">
        <v>8</v>
      </c>
      <c r="J2736" s="11">
        <v>0</v>
      </c>
      <c r="K2736" s="11" t="s">
        <v>21</v>
      </c>
      <c r="L2736" s="7">
        <v>42457.827245370368</v>
      </c>
      <c r="M2736" s="12" t="s">
        <v>4827</v>
      </c>
      <c r="N2736" s="12" t="s">
        <v>4828</v>
      </c>
      <c r="O2736" s="10" t="str">
        <f>HYPERLINK("https://pbs.twimg.com/profile_images/714459923313213440/hqlB0K0j_normal.jpg","View")</f>
        <v>View</v>
      </c>
      <c r="P2736" s="11"/>
    </row>
    <row r="2737" spans="1:16" ht="12.75" x14ac:dyDescent="0.35">
      <c r="A2737" s="7">
        <v>42482.475439814814</v>
      </c>
      <c r="B2737" s="8" t="str">
        <f>HYPERLINK("https://twitter.com/franz_rother","@franz_rother")</f>
        <v>@franz_rother</v>
      </c>
      <c r="C2737" s="9" t="s">
        <v>1350</v>
      </c>
      <c r="D2737" s="9" t="s">
        <v>6849</v>
      </c>
      <c r="E2737" s="10" t="str">
        <f>HYPERLINK("https://twitter.com/franz_rother/status/723389528417792001","723389528417792001")</f>
        <v>723389528417792001</v>
      </c>
      <c r="F2737" s="11" t="s">
        <v>20</v>
      </c>
      <c r="G2737" s="11">
        <v>770</v>
      </c>
      <c r="H2737" s="11">
        <v>212</v>
      </c>
      <c r="I2737" s="11">
        <v>0</v>
      </c>
      <c r="J2737" s="11">
        <v>0</v>
      </c>
      <c r="K2737" s="11" t="s">
        <v>21</v>
      </c>
      <c r="L2737" s="7">
        <v>40387.831180555557</v>
      </c>
      <c r="M2737" s="12" t="s">
        <v>975</v>
      </c>
      <c r="N2737" s="12" t="s">
        <v>1352</v>
      </c>
      <c r="O2737" s="10" t="str">
        <f>HYPERLINK("https://pbs.twimg.com/profile_images/3228351590/aadb36f2b020cc27adac139aac4a5663_normal.jpeg","View")</f>
        <v>View</v>
      </c>
      <c r="P2737" s="11"/>
    </row>
    <row r="2738" spans="1:16" ht="12.75" x14ac:dyDescent="0.35">
      <c r="A2738" s="7">
        <v>42482.475671296299</v>
      </c>
      <c r="B2738" s="8" t="str">
        <f>HYPERLINK("https://twitter.com/NZZ","@NZZ")</f>
        <v>@NZZ</v>
      </c>
      <c r="C2738" s="9" t="s">
        <v>6850</v>
      </c>
      <c r="D2738" s="9" t="s">
        <v>6851</v>
      </c>
      <c r="E2738" s="10" t="str">
        <f>HYPERLINK("https://twitter.com/NZZ/status/723389612018692096","723389612018692096")</f>
        <v>723389612018692096</v>
      </c>
      <c r="F2738" s="11" t="s">
        <v>6852</v>
      </c>
      <c r="G2738" s="11">
        <v>227805</v>
      </c>
      <c r="H2738" s="11">
        <v>3361</v>
      </c>
      <c r="I2738" s="11">
        <v>3</v>
      </c>
      <c r="J2738" s="11">
        <v>2</v>
      </c>
      <c r="K2738" s="11" t="s">
        <v>21</v>
      </c>
      <c r="L2738" s="7">
        <v>39539.54619212963</v>
      </c>
      <c r="M2738" s="12" t="s">
        <v>6853</v>
      </c>
      <c r="N2738" s="12" t="s">
        <v>6854</v>
      </c>
      <c r="O2738" s="10" t="str">
        <f>HYPERLINK("https://pbs.twimg.com/profile_images/723414537479720960/4Szs1UCn_normal.jpg","View")</f>
        <v>View</v>
      </c>
      <c r="P2738" s="11"/>
    </row>
    <row r="2739" spans="1:16" ht="12.75" x14ac:dyDescent="0.35">
      <c r="A2739" s="7">
        <v>42482.476122685184</v>
      </c>
      <c r="B2739" s="8" t="str">
        <f>HYPERLINK("https://twitter.com/ChrisBrey1","@ChrisBrey1")</f>
        <v>@ChrisBrey1</v>
      </c>
      <c r="C2739" s="9" t="s">
        <v>6855</v>
      </c>
      <c r="D2739" s="9" t="s">
        <v>6847</v>
      </c>
      <c r="E2739" s="10" t="str">
        <f>HYPERLINK("https://twitter.com/ChrisBrey1/status/723389777488142336","723389777488142336")</f>
        <v>723389777488142336</v>
      </c>
      <c r="F2739" s="11" t="s">
        <v>43</v>
      </c>
      <c r="G2739" s="11">
        <v>955</v>
      </c>
      <c r="H2739" s="11">
        <v>1996</v>
      </c>
      <c r="I2739" s="11">
        <v>5</v>
      </c>
      <c r="J2739" s="11">
        <v>0</v>
      </c>
      <c r="K2739" s="11" t="s">
        <v>21</v>
      </c>
      <c r="L2739" s="7">
        <v>41150.07402777778</v>
      </c>
      <c r="M2739" s="12" t="s">
        <v>1931</v>
      </c>
      <c r="N2739" s="12"/>
      <c r="O2739" s="10" t="str">
        <f>HYPERLINK("https://pbs.twimg.com/profile_images/647856990404919296/EXKP0FKA_normal.jpg","View")</f>
        <v>View</v>
      </c>
      <c r="P2739" s="11"/>
    </row>
    <row r="2740" spans="1:16" ht="12.75" x14ac:dyDescent="0.35">
      <c r="A2740" s="7">
        <v>42482.476863425924</v>
      </c>
      <c r="B2740" s="8" t="str">
        <f>HYPERLINK("https://twitter.com/tmoffattndp","@tmoffattndp")</f>
        <v>@tmoffattndp</v>
      </c>
      <c r="C2740" s="9" t="s">
        <v>6856</v>
      </c>
      <c r="D2740" s="9" t="s">
        <v>6857</v>
      </c>
      <c r="E2740" s="10" t="str">
        <f>HYPERLINK("https://twitter.com/tmoffattndp/status/723390044224942081","723390044224942081")</f>
        <v>723390044224942081</v>
      </c>
      <c r="F2740" s="11" t="s">
        <v>48</v>
      </c>
      <c r="G2740" s="11">
        <v>260</v>
      </c>
      <c r="H2740" s="11">
        <v>68</v>
      </c>
      <c r="I2740" s="11">
        <v>0</v>
      </c>
      <c r="J2740" s="11">
        <v>1</v>
      </c>
      <c r="K2740" s="11" t="s">
        <v>21</v>
      </c>
      <c r="L2740" s="7">
        <v>40839.433622685188</v>
      </c>
      <c r="M2740" s="12" t="s">
        <v>6858</v>
      </c>
      <c r="N2740" s="12" t="s">
        <v>6859</v>
      </c>
      <c r="O2740" s="10" t="str">
        <f>HYPERLINK("https://pbs.twimg.com/profile_images/698762778341826560/ZAxIAijd_normal.png","View")</f>
        <v>View</v>
      </c>
      <c r="P2740" s="11"/>
    </row>
    <row r="2741" spans="1:16" ht="12.75" x14ac:dyDescent="0.35">
      <c r="A2741" s="7">
        <v>42482.478020833332</v>
      </c>
      <c r="B2741" s="8" t="str">
        <f>HYPERLINK("https://twitter.com/2112greg","@2112greg")</f>
        <v>@2112greg</v>
      </c>
      <c r="C2741" s="9" t="s">
        <v>6211</v>
      </c>
      <c r="D2741" s="9" t="s">
        <v>2423</v>
      </c>
      <c r="E2741" s="10" t="str">
        <f>HYPERLINK("https://twitter.com/2112greg/status/723390465492455424","723390465492455424")</f>
        <v>723390465492455424</v>
      </c>
      <c r="F2741" s="11" t="s">
        <v>20</v>
      </c>
      <c r="G2741" s="11">
        <v>121</v>
      </c>
      <c r="H2741" s="11">
        <v>382</v>
      </c>
      <c r="I2741" s="11">
        <v>10</v>
      </c>
      <c r="J2741" s="11">
        <v>0</v>
      </c>
      <c r="K2741" s="11" t="s">
        <v>21</v>
      </c>
      <c r="L2741" s="7">
        <v>40627.099907407406</v>
      </c>
      <c r="M2741" s="12" t="s">
        <v>6213</v>
      </c>
      <c r="N2741" s="12" t="s">
        <v>6214</v>
      </c>
      <c r="O2741" s="10" t="str">
        <f>HYPERLINK("https://pbs.twimg.com/profile_images/503024530361962496/n-EQlw93_normal.jpeg","View")</f>
        <v>View</v>
      </c>
      <c r="P2741" s="11"/>
    </row>
    <row r="2742" spans="1:16" ht="12.75" x14ac:dyDescent="0.35">
      <c r="A2742" s="7">
        <v>42482.478425925925</v>
      </c>
      <c r="B2742" s="8" t="str">
        <f t="shared" ref="B2742:B2743" si="265">HYPERLINK("https://twitter.com/RodionMarx","@RodionMarx")</f>
        <v>@RodionMarx</v>
      </c>
      <c r="C2742" s="9" t="s">
        <v>6860</v>
      </c>
      <c r="D2742" s="9" t="s">
        <v>6861</v>
      </c>
      <c r="E2742" s="10" t="str">
        <f>HYPERLINK("https://twitter.com/RodionMarx/status/723390613194833920","723390613194833920")</f>
        <v>723390613194833920</v>
      </c>
      <c r="F2742" s="11" t="s">
        <v>114</v>
      </c>
      <c r="G2742" s="11">
        <v>25</v>
      </c>
      <c r="H2742" s="11">
        <v>43</v>
      </c>
      <c r="I2742" s="11">
        <v>0</v>
      </c>
      <c r="J2742" s="11">
        <v>0</v>
      </c>
      <c r="K2742" s="11" t="s">
        <v>21</v>
      </c>
      <c r="L2742" s="7">
        <v>40056.105694444443</v>
      </c>
      <c r="M2742" s="12" t="s">
        <v>1116</v>
      </c>
      <c r="N2742" s="12" t="s">
        <v>6862</v>
      </c>
      <c r="O2742" s="10" t="str">
        <f t="shared" ref="O2742:O2743" si="266">HYPERLINK("https://pbs.twimg.com/profile_images/1231132206/27384_1725624887_167_q_normal.jpg","View")</f>
        <v>View</v>
      </c>
      <c r="P2742" s="10" t="str">
        <f>HYPERLINK("http://ctrlq.org/maps/address/#52.4231,10.7872","Map")</f>
        <v>Map</v>
      </c>
    </row>
    <row r="2743" spans="1:16" ht="12.75" x14ac:dyDescent="0.35">
      <c r="A2743" s="7">
        <v>42482.478749999995</v>
      </c>
      <c r="B2743" s="8" t="str">
        <f t="shared" si="265"/>
        <v>@RodionMarx</v>
      </c>
      <c r="C2743" s="9" t="s">
        <v>6860</v>
      </c>
      <c r="D2743" s="9" t="s">
        <v>6863</v>
      </c>
      <c r="E2743" s="10" t="str">
        <f>HYPERLINK("https://twitter.com/RodionMarx/status/723390729624510464","723390729624510464")</f>
        <v>723390729624510464</v>
      </c>
      <c r="F2743" s="11" t="s">
        <v>68</v>
      </c>
      <c r="G2743" s="11">
        <v>25</v>
      </c>
      <c r="H2743" s="11">
        <v>43</v>
      </c>
      <c r="I2743" s="11">
        <v>0</v>
      </c>
      <c r="J2743" s="11">
        <v>0</v>
      </c>
      <c r="K2743" s="11" t="s">
        <v>21</v>
      </c>
      <c r="L2743" s="7">
        <v>40056.105694444443</v>
      </c>
      <c r="M2743" s="12" t="s">
        <v>1116</v>
      </c>
      <c r="N2743" s="12" t="s">
        <v>6862</v>
      </c>
      <c r="O2743" s="10" t="str">
        <f t="shared" si="266"/>
        <v>View</v>
      </c>
      <c r="P2743" s="11"/>
    </row>
    <row r="2744" spans="1:16" ht="12.75" x14ac:dyDescent="0.35">
      <c r="A2744" s="7">
        <v>42482.478865740741</v>
      </c>
      <c r="B2744" s="8" t="str">
        <f>HYPERLINK("https://twitter.com/RSTOKAR","@RSTOKAR")</f>
        <v>@RSTOKAR</v>
      </c>
      <c r="C2744" s="9" t="s">
        <v>2514</v>
      </c>
      <c r="D2744" s="9" t="s">
        <v>6847</v>
      </c>
      <c r="E2744" s="10" t="str">
        <f>HYPERLINK("https://twitter.com/RSTOKAR/status/723390770821001216","723390770821001216")</f>
        <v>723390770821001216</v>
      </c>
      <c r="F2744" s="11" t="s">
        <v>48</v>
      </c>
      <c r="G2744" s="11">
        <v>154</v>
      </c>
      <c r="H2744" s="11">
        <v>333</v>
      </c>
      <c r="I2744" s="11">
        <v>5</v>
      </c>
      <c r="J2744" s="11">
        <v>0</v>
      </c>
      <c r="K2744" s="11" t="s">
        <v>21</v>
      </c>
      <c r="L2744" s="7">
        <v>41055.080138888887</v>
      </c>
      <c r="M2744" s="12" t="s">
        <v>2515</v>
      </c>
      <c r="N2744" s="12" t="s">
        <v>2516</v>
      </c>
      <c r="O2744" s="10" t="str">
        <f>HYPERLINK("https://pbs.twimg.com/profile_images/3282181310/09912193e3b2ecc229b9028eb0f19def_normal.jpeg","View")</f>
        <v>View</v>
      </c>
      <c r="P2744" s="11"/>
    </row>
    <row r="2745" spans="1:16" ht="12.75" x14ac:dyDescent="0.35">
      <c r="A2745" s="7">
        <v>42482.478865740741</v>
      </c>
      <c r="B2745" s="8" t="str">
        <f>HYPERLINK("https://twitter.com/wolf_Sti","@wolf_Sti")</f>
        <v>@wolf_Sti</v>
      </c>
      <c r="C2745" s="9" t="s">
        <v>6864</v>
      </c>
      <c r="D2745" s="9" t="s">
        <v>6865</v>
      </c>
      <c r="E2745" s="10" t="str">
        <f>HYPERLINK("https://twitter.com/wolf_Sti/status/723390771861164033","723390771861164033")</f>
        <v>723390771861164033</v>
      </c>
      <c r="F2745" s="11" t="s">
        <v>20</v>
      </c>
      <c r="G2745" s="11">
        <v>1856</v>
      </c>
      <c r="H2745" s="11">
        <v>2005</v>
      </c>
      <c r="I2745" s="11">
        <v>2</v>
      </c>
      <c r="J2745" s="11">
        <v>0</v>
      </c>
      <c r="K2745" s="11" t="s">
        <v>21</v>
      </c>
      <c r="L2745" s="7">
        <v>39886.08630787037</v>
      </c>
      <c r="M2745" s="12" t="s">
        <v>6866</v>
      </c>
      <c r="N2745" s="12" t="s">
        <v>6867</v>
      </c>
      <c r="O2745" s="10" t="str">
        <f>HYPERLINK("https://pbs.twimg.com/profile_images/476965678428467200/kpN-jvkF_normal.jpeg","View")</f>
        <v>View</v>
      </c>
      <c r="P2745" s="11"/>
    </row>
    <row r="2746" spans="1:16" ht="12.75" x14ac:dyDescent="0.35">
      <c r="A2746" s="7">
        <v>42482.479039351849</v>
      </c>
      <c r="B2746" s="8" t="str">
        <f>HYPERLINK("https://twitter.com/GutesAltern","@GutesAltern")</f>
        <v>@GutesAltern</v>
      </c>
      <c r="C2746" s="9" t="s">
        <v>6868</v>
      </c>
      <c r="D2746" s="9" t="s">
        <v>6869</v>
      </c>
      <c r="E2746" s="10" t="str">
        <f>HYPERLINK("https://twitter.com/GutesAltern/status/723390833173532673","723390833173532673")</f>
        <v>723390833173532673</v>
      </c>
      <c r="F2746" s="11" t="s">
        <v>43</v>
      </c>
      <c r="G2746" s="11">
        <v>69</v>
      </c>
      <c r="H2746" s="11">
        <v>68</v>
      </c>
      <c r="I2746" s="11">
        <v>0</v>
      </c>
      <c r="J2746" s="11">
        <v>0</v>
      </c>
      <c r="K2746" s="11" t="s">
        <v>21</v>
      </c>
      <c r="L2746" s="7">
        <v>42324.570358796293</v>
      </c>
      <c r="M2746" s="12" t="s">
        <v>6870</v>
      </c>
      <c r="N2746" s="12" t="s">
        <v>6871</v>
      </c>
      <c r="O2746" s="10" t="str">
        <f>HYPERLINK("https://pbs.twimg.com/profile_images/685910752184676352/VduIvbN-_normal.jpg","View")</f>
        <v>View</v>
      </c>
      <c r="P2746" s="11"/>
    </row>
    <row r="2747" spans="1:16" ht="12.75" x14ac:dyDescent="0.35">
      <c r="A2747" s="7">
        <v>42482.479212962964</v>
      </c>
      <c r="B2747" s="8" t="str">
        <f>HYPERLINK("https://twitter.com/fabianrothco","@fabianrothco")</f>
        <v>@fabianrothco</v>
      </c>
      <c r="C2747" s="9" t="s">
        <v>6872</v>
      </c>
      <c r="D2747" s="9" t="s">
        <v>6847</v>
      </c>
      <c r="E2747" s="10" t="str">
        <f>HYPERLINK("https://twitter.com/fabianrothco/status/723390896805277698","723390896805277698")</f>
        <v>723390896805277698</v>
      </c>
      <c r="F2747" s="11" t="s">
        <v>20</v>
      </c>
      <c r="G2747" s="11">
        <v>50</v>
      </c>
      <c r="H2747" s="11">
        <v>85</v>
      </c>
      <c r="I2747" s="11">
        <v>5</v>
      </c>
      <c r="J2747" s="11">
        <v>0</v>
      </c>
      <c r="K2747" s="11" t="s">
        <v>21</v>
      </c>
      <c r="L2747" s="7">
        <v>42149.713842592595</v>
      </c>
      <c r="M2747" s="12"/>
      <c r="N2747" s="12" t="s">
        <v>6873</v>
      </c>
      <c r="O2747" s="10" t="str">
        <f>HYPERLINK("https://pbs.twimg.com/profile_images/702441217288773632/UBnte16d_normal.jpg","View")</f>
        <v>View</v>
      </c>
      <c r="P2747" s="11"/>
    </row>
    <row r="2748" spans="1:16" ht="12.75" x14ac:dyDescent="0.35">
      <c r="A2748" s="7">
        <v>42482.479444444441</v>
      </c>
      <c r="B2748" s="8" t="str">
        <f>HYPERLINK("https://twitter.com/chmeell","@chmeell")</f>
        <v>@chmeell</v>
      </c>
      <c r="C2748" s="9" t="s">
        <v>6874</v>
      </c>
      <c r="D2748" s="9" t="s">
        <v>6875</v>
      </c>
      <c r="E2748" s="10" t="str">
        <f>HYPERLINK("https://twitter.com/chmeell/status/723390979869302785","723390979869302785")</f>
        <v>723390979869302785</v>
      </c>
      <c r="F2748" s="11" t="s">
        <v>43</v>
      </c>
      <c r="G2748" s="11">
        <v>124</v>
      </c>
      <c r="H2748" s="11">
        <v>533</v>
      </c>
      <c r="I2748" s="11">
        <v>3</v>
      </c>
      <c r="J2748" s="11">
        <v>0</v>
      </c>
      <c r="K2748" s="11" t="s">
        <v>21</v>
      </c>
      <c r="L2748" s="7">
        <v>42382.780775462961</v>
      </c>
      <c r="M2748" s="12"/>
      <c r="N2748" s="12" t="s">
        <v>6876</v>
      </c>
      <c r="O2748" s="10" t="str">
        <f>HYPERLINK("https://pbs.twimg.com/profile_images/696457503098404864/QH0ZaraQ_normal.jpg","View")</f>
        <v>View</v>
      </c>
      <c r="P2748" s="11"/>
    </row>
    <row r="2749" spans="1:16" ht="12.75" x14ac:dyDescent="0.35">
      <c r="A2749" s="7">
        <v>42482.479456018518</v>
      </c>
      <c r="B2749" s="8" t="str">
        <f>HYPERLINK("https://twitter.com/vwdepo","@vwdepo")</f>
        <v>@vwdepo</v>
      </c>
      <c r="C2749" s="9" t="s">
        <v>134</v>
      </c>
      <c r="D2749" s="9" t="s">
        <v>6877</v>
      </c>
      <c r="E2749" s="10" t="str">
        <f>HYPERLINK("https://twitter.com/vwdepo/status/723390984990560257","723390984990560257")</f>
        <v>723390984990560257</v>
      </c>
      <c r="F2749" s="11" t="s">
        <v>53</v>
      </c>
      <c r="G2749" s="11">
        <v>784</v>
      </c>
      <c r="H2749" s="11">
        <v>384</v>
      </c>
      <c r="I2749" s="11">
        <v>0</v>
      </c>
      <c r="J2749" s="11">
        <v>0</v>
      </c>
      <c r="K2749" s="11" t="s">
        <v>21</v>
      </c>
      <c r="L2749" s="7">
        <v>39891.992905092593</v>
      </c>
      <c r="M2749" s="12" t="s">
        <v>136</v>
      </c>
      <c r="N2749" s="12" t="s">
        <v>137</v>
      </c>
      <c r="O2749" s="10" t="str">
        <f>HYPERLINK("https://pbs.twimg.com/profile_images/3378184537/c20ae9a7a410821b4f189c34a63380f7_normal.png","View")</f>
        <v>View</v>
      </c>
      <c r="P2749" s="11"/>
    </row>
    <row r="2750" spans="1:16" ht="12.75" x14ac:dyDescent="0.35">
      <c r="A2750" s="7">
        <v>42482.479583333334</v>
      </c>
      <c r="B2750" s="8" t="str">
        <f>HYPERLINK("https://twitter.com/moinmoinsager","@moinmoinsager")</f>
        <v>@moinmoinsager</v>
      </c>
      <c r="C2750" s="9" t="s">
        <v>6878</v>
      </c>
      <c r="D2750" s="9" t="s">
        <v>6879</v>
      </c>
      <c r="E2750" s="10" t="str">
        <f>HYPERLINK("https://twitter.com/moinmoinsager/status/723391031568277505","723391031568277505")</f>
        <v>723391031568277505</v>
      </c>
      <c r="F2750" s="11" t="s">
        <v>20</v>
      </c>
      <c r="G2750" s="11">
        <v>924</v>
      </c>
      <c r="H2750" s="11">
        <v>561</v>
      </c>
      <c r="I2750" s="11">
        <v>0</v>
      </c>
      <c r="J2750" s="11">
        <v>0</v>
      </c>
      <c r="K2750" s="11" t="s">
        <v>21</v>
      </c>
      <c r="L2750" s="7">
        <v>40540.90861111111</v>
      </c>
      <c r="M2750" s="12" t="s">
        <v>6880</v>
      </c>
      <c r="N2750" s="12" t="s">
        <v>6881</v>
      </c>
      <c r="O2750" s="10" t="str">
        <f>HYPERLINK("https://pbs.twimg.com/profile_images/717944874469863425/i7wKlrn-_normal.jpg","View")</f>
        <v>View</v>
      </c>
      <c r="P2750" s="11"/>
    </row>
    <row r="2751" spans="1:16" ht="12.75" x14ac:dyDescent="0.35">
      <c r="A2751" s="7">
        <v>42482.480127314819</v>
      </c>
      <c r="B2751" s="8" t="str">
        <f>HYPERLINK("https://twitter.com/AshleyBest","@AshleyBest")</f>
        <v>@AshleyBest</v>
      </c>
      <c r="C2751" s="9" t="s">
        <v>6882</v>
      </c>
      <c r="D2751" s="9" t="s">
        <v>6883</v>
      </c>
      <c r="E2751" s="10" t="str">
        <f>HYPERLINK("https://twitter.com/AshleyBest/status/723391228071440384","723391228071440384")</f>
        <v>723391228071440384</v>
      </c>
      <c r="F2751" s="11" t="s">
        <v>68</v>
      </c>
      <c r="G2751" s="11">
        <v>182</v>
      </c>
      <c r="H2751" s="11">
        <v>275</v>
      </c>
      <c r="I2751" s="11">
        <v>0</v>
      </c>
      <c r="J2751" s="11">
        <v>0</v>
      </c>
      <c r="K2751" s="11" t="s">
        <v>21</v>
      </c>
      <c r="L2751" s="7">
        <v>39857.210810185185</v>
      </c>
      <c r="M2751" s="12" t="s">
        <v>2216</v>
      </c>
      <c r="N2751" s="12" t="s">
        <v>6884</v>
      </c>
      <c r="O2751" s="10" t="str">
        <f>HYPERLINK("https://pbs.twimg.com/profile_images/484785478751645697/vNfNMa-n_normal.jpeg","View")</f>
        <v>View</v>
      </c>
      <c r="P2751" s="11"/>
    </row>
    <row r="2752" spans="1:16" ht="12.75" x14ac:dyDescent="0.35">
      <c r="A2752" s="7">
        <v>42482.481122685189</v>
      </c>
      <c r="B2752" s="8" t="str">
        <f>HYPERLINK("https://twitter.com/RSTOKAR","@RSTOKAR")</f>
        <v>@RSTOKAR</v>
      </c>
      <c r="C2752" s="9" t="s">
        <v>2514</v>
      </c>
      <c r="D2752" s="9" t="s">
        <v>6707</v>
      </c>
      <c r="E2752" s="10" t="str">
        <f>HYPERLINK("https://twitter.com/RSTOKAR/status/723391587737202688","723391587737202688")</f>
        <v>723391587737202688</v>
      </c>
      <c r="F2752" s="11" t="s">
        <v>48</v>
      </c>
      <c r="G2752" s="11">
        <v>154</v>
      </c>
      <c r="H2752" s="11">
        <v>333</v>
      </c>
      <c r="I2752" s="11">
        <v>8</v>
      </c>
      <c r="J2752" s="11">
        <v>0</v>
      </c>
      <c r="K2752" s="11" t="s">
        <v>21</v>
      </c>
      <c r="L2752" s="7">
        <v>41055.080138888887</v>
      </c>
      <c r="M2752" s="12" t="s">
        <v>2515</v>
      </c>
      <c r="N2752" s="12" t="s">
        <v>2516</v>
      </c>
      <c r="O2752" s="10" t="str">
        <f>HYPERLINK("https://pbs.twimg.com/profile_images/3282181310/09912193e3b2ecc229b9028eb0f19def_normal.jpeg","View")</f>
        <v>View</v>
      </c>
      <c r="P2752" s="11"/>
    </row>
    <row r="2753" spans="1:16" ht="12.75" x14ac:dyDescent="0.35">
      <c r="A2753" s="7">
        <v>42482.483113425929</v>
      </c>
      <c r="B2753" s="8" t="str">
        <f>HYPERLINK("https://twitter.com/2112greg","@2112greg")</f>
        <v>@2112greg</v>
      </c>
      <c r="C2753" s="9" t="s">
        <v>6211</v>
      </c>
      <c r="D2753" s="9" t="s">
        <v>6885</v>
      </c>
      <c r="E2753" s="10" t="str">
        <f>HYPERLINK("https://twitter.com/2112greg/status/723392310189248513","723392310189248513")</f>
        <v>723392310189248513</v>
      </c>
      <c r="F2753" s="11" t="s">
        <v>20</v>
      </c>
      <c r="G2753" s="11">
        <v>121</v>
      </c>
      <c r="H2753" s="11">
        <v>382</v>
      </c>
      <c r="I2753" s="11">
        <v>0</v>
      </c>
      <c r="J2753" s="11">
        <v>0</v>
      </c>
      <c r="K2753" s="11" t="s">
        <v>21</v>
      </c>
      <c r="L2753" s="7">
        <v>40627.099907407406</v>
      </c>
      <c r="M2753" s="12" t="s">
        <v>6213</v>
      </c>
      <c r="N2753" s="12" t="s">
        <v>6214</v>
      </c>
      <c r="O2753" s="10" t="str">
        <f>HYPERLINK("https://pbs.twimg.com/profile_images/503024530361962496/n-EQlw93_normal.jpeg","View")</f>
        <v>View</v>
      </c>
      <c r="P2753" s="11"/>
    </row>
    <row r="2754" spans="1:16" ht="12.75" x14ac:dyDescent="0.35">
      <c r="A2754" s="7">
        <v>42482.483333333337</v>
      </c>
      <c r="B2754" s="8" t="str">
        <f>HYPERLINK("https://twitter.com/Maikfer001","@Maikfer001")</f>
        <v>@Maikfer001</v>
      </c>
      <c r="C2754" s="9" t="s">
        <v>6886</v>
      </c>
      <c r="D2754" s="9" t="s">
        <v>6707</v>
      </c>
      <c r="E2754" s="10" t="str">
        <f>HYPERLINK("https://twitter.com/Maikfer001/status/723392388736016385","723392388736016385")</f>
        <v>723392388736016385</v>
      </c>
      <c r="F2754" s="11" t="s">
        <v>20</v>
      </c>
      <c r="G2754" s="11">
        <v>1</v>
      </c>
      <c r="H2754" s="11">
        <v>8</v>
      </c>
      <c r="I2754" s="11">
        <v>8</v>
      </c>
      <c r="J2754" s="11">
        <v>0</v>
      </c>
      <c r="K2754" s="11" t="s">
        <v>21</v>
      </c>
      <c r="L2754" s="7">
        <v>42466.105231481481</v>
      </c>
      <c r="M2754" s="12"/>
      <c r="N2754" s="12"/>
      <c r="O2754" s="10" t="str">
        <f>HYPERLINK("https://abs.twimg.com/sticky/default_profile_images/default_profile_6_normal.png","View")</f>
        <v>View</v>
      </c>
      <c r="P2754" s="11"/>
    </row>
    <row r="2755" spans="1:16" ht="12.75" x14ac:dyDescent="0.35">
      <c r="A2755" s="7">
        <v>42482.483715277776</v>
      </c>
      <c r="B2755" s="8" t="str">
        <f>HYPERLINK("https://twitter.com/VWCamperSales","@VWCamperSales")</f>
        <v>@VWCamperSales</v>
      </c>
      <c r="C2755" s="9" t="s">
        <v>216</v>
      </c>
      <c r="D2755" s="9" t="s">
        <v>6887</v>
      </c>
      <c r="E2755" s="10" t="str">
        <f>HYPERLINK("https://twitter.com/VWCamperSales/status/723392529010331648","723392529010331648")</f>
        <v>723392529010331648</v>
      </c>
      <c r="F2755" s="10" t="s">
        <v>124</v>
      </c>
      <c r="G2755" s="11">
        <v>615</v>
      </c>
      <c r="H2755" s="11">
        <v>580</v>
      </c>
      <c r="I2755" s="11">
        <v>0</v>
      </c>
      <c r="J2755" s="11">
        <v>0</v>
      </c>
      <c r="K2755" s="11" t="s">
        <v>21</v>
      </c>
      <c r="L2755" s="7">
        <v>42215.98809027778</v>
      </c>
      <c r="M2755" s="12" t="s">
        <v>129</v>
      </c>
      <c r="N2755" s="12" t="s">
        <v>218</v>
      </c>
      <c r="O2755" s="10" t="str">
        <f>HYPERLINK("https://pbs.twimg.com/profile_images/627949001179037696/skEBkS05_normal.jpg","View")</f>
        <v>View</v>
      </c>
      <c r="P2755" s="11"/>
    </row>
    <row r="2756" spans="1:16" ht="12.75" x14ac:dyDescent="0.35">
      <c r="A2756" s="7">
        <v>42482.484131944446</v>
      </c>
      <c r="B2756" s="8" t="str">
        <f>HYPERLINK("https://twitter.com/boerseARD","@boerseARD")</f>
        <v>@boerseARD</v>
      </c>
      <c r="C2756" s="9" t="s">
        <v>1227</v>
      </c>
      <c r="D2756" s="9" t="s">
        <v>6888</v>
      </c>
      <c r="E2756" s="10" t="str">
        <f>HYPERLINK("https://twitter.com/boerseARD/status/723392680869294081","723392680869294081")</f>
        <v>723392680869294081</v>
      </c>
      <c r="F2756" s="11" t="s">
        <v>43</v>
      </c>
      <c r="G2756" s="11">
        <v>1969</v>
      </c>
      <c r="H2756" s="11">
        <v>231</v>
      </c>
      <c r="I2756" s="11">
        <v>0</v>
      </c>
      <c r="J2756" s="11">
        <v>0</v>
      </c>
      <c r="K2756" s="11" t="s">
        <v>21</v>
      </c>
      <c r="L2756" s="7">
        <v>42016.832812499997</v>
      </c>
      <c r="M2756" s="12" t="s">
        <v>1229</v>
      </c>
      <c r="N2756" s="12" t="s">
        <v>1230</v>
      </c>
      <c r="O2756" s="10" t="str">
        <f>HYPERLINK("https://pbs.twimg.com/profile_images/666163579700277248/vIv69HhR_normal.jpg","View")</f>
        <v>View</v>
      </c>
      <c r="P2756" s="11"/>
    </row>
    <row r="2757" spans="1:16" ht="12.75" x14ac:dyDescent="0.35">
      <c r="A2757" s="7">
        <v>42482.485196759255</v>
      </c>
      <c r="B2757" s="8" t="str">
        <f>HYPERLINK("https://twitter.com/railscanner","@railscanner")</f>
        <v>@railscanner</v>
      </c>
      <c r="C2757" s="9" t="s">
        <v>6889</v>
      </c>
      <c r="D2757" s="9" t="s">
        <v>6890</v>
      </c>
      <c r="E2757" s="10" t="str">
        <f>HYPERLINK("https://twitter.com/railscanner/status/723393065499525122","723393065499525122")</f>
        <v>723393065499525122</v>
      </c>
      <c r="F2757" s="11" t="s">
        <v>48</v>
      </c>
      <c r="G2757" s="11">
        <v>48</v>
      </c>
      <c r="H2757" s="11">
        <v>51</v>
      </c>
      <c r="I2757" s="11">
        <v>1</v>
      </c>
      <c r="J2757" s="11">
        <v>0</v>
      </c>
      <c r="K2757" s="11" t="s">
        <v>21</v>
      </c>
      <c r="L2757" s="7">
        <v>41644.784618055557</v>
      </c>
      <c r="M2757" s="12" t="s">
        <v>1359</v>
      </c>
      <c r="N2757" s="12" t="s">
        <v>6891</v>
      </c>
      <c r="O2757" s="10" t="str">
        <f>HYPERLINK("https://pbs.twimg.com/profile_images/419834366810783746/GP0PUHsm_normal.jpeg","View")</f>
        <v>View</v>
      </c>
      <c r="P2757" s="11"/>
    </row>
    <row r="2758" spans="1:16" ht="12.75" x14ac:dyDescent="0.35">
      <c r="A2758" s="7">
        <v>42482.485694444447</v>
      </c>
      <c r="B2758" s="8" t="str">
        <f>HYPERLINK("https://twitter.com/xjanpet","@xjanpet")</f>
        <v>@xjanpet</v>
      </c>
      <c r="C2758" s="9" t="s">
        <v>6892</v>
      </c>
      <c r="D2758" s="9" t="s">
        <v>6893</v>
      </c>
      <c r="E2758" s="10" t="str">
        <f>HYPERLINK("https://twitter.com/xjanpet/status/723393247561703424","723393247561703424")</f>
        <v>723393247561703424</v>
      </c>
      <c r="F2758" s="11" t="s">
        <v>48</v>
      </c>
      <c r="G2758" s="11">
        <v>120</v>
      </c>
      <c r="H2758" s="11">
        <v>295</v>
      </c>
      <c r="I2758" s="11">
        <v>1</v>
      </c>
      <c r="J2758" s="11">
        <v>0</v>
      </c>
      <c r="K2758" s="11" t="s">
        <v>21</v>
      </c>
      <c r="L2758" s="7">
        <v>40395.021655092591</v>
      </c>
      <c r="M2758" s="12" t="s">
        <v>3918</v>
      </c>
      <c r="N2758" s="12" t="s">
        <v>6894</v>
      </c>
      <c r="O2758" s="10" t="str">
        <f>HYPERLINK("https://pbs.twimg.com/profile_images/559085707029778432/9TJ6WlEk_normal.jpeg","View")</f>
        <v>View</v>
      </c>
      <c r="P2758" s="11"/>
    </row>
    <row r="2759" spans="1:16" ht="12.75" x14ac:dyDescent="0.35">
      <c r="A2759" s="7">
        <v>42482.485752314809</v>
      </c>
      <c r="B2759" s="8" t="str">
        <f>HYPERLINK("https://twitter.com/089stadt","@089stadt")</f>
        <v>@089stadt</v>
      </c>
      <c r="C2759" s="9" t="s">
        <v>3231</v>
      </c>
      <c r="D2759" s="9" t="s">
        <v>6895</v>
      </c>
      <c r="E2759" s="10" t="str">
        <f>HYPERLINK("https://twitter.com/089stadt/status/723393266587033600","723393266587033600")</f>
        <v>723393266587033600</v>
      </c>
      <c r="F2759" s="11" t="s">
        <v>2206</v>
      </c>
      <c r="G2759" s="11">
        <v>229</v>
      </c>
      <c r="H2759" s="11">
        <v>5</v>
      </c>
      <c r="I2759" s="11">
        <v>0</v>
      </c>
      <c r="J2759" s="11">
        <v>0</v>
      </c>
      <c r="K2759" s="11" t="s">
        <v>21</v>
      </c>
      <c r="L2759" s="7">
        <v>40873.942430555559</v>
      </c>
      <c r="M2759" s="12" t="s">
        <v>3233</v>
      </c>
      <c r="N2759" s="12" t="s">
        <v>3234</v>
      </c>
      <c r="O2759" s="10" t="str">
        <f>HYPERLINK("https://pbs.twimg.com/profile_images/1785128505/munich_normal.png","View")</f>
        <v>View</v>
      </c>
      <c r="P2759" s="11"/>
    </row>
    <row r="2760" spans="1:16" ht="12.75" x14ac:dyDescent="0.35">
      <c r="A2760" s="7">
        <v>42482.485787037032</v>
      </c>
      <c r="B2760" s="8" t="str">
        <f>HYPERLINK("https://twitter.com/EU_Pilot","@EU_Pilot")</f>
        <v>@EU_Pilot</v>
      </c>
      <c r="C2760" s="9" t="s">
        <v>6896</v>
      </c>
      <c r="D2760" s="9" t="s">
        <v>6897</v>
      </c>
      <c r="E2760" s="10" t="str">
        <f>HYPERLINK("https://twitter.com/EU_Pilot/status/723393279937531904","723393279937531904")</f>
        <v>723393279937531904</v>
      </c>
      <c r="F2760" s="11" t="s">
        <v>43</v>
      </c>
      <c r="G2760" s="11">
        <v>353</v>
      </c>
      <c r="H2760" s="11">
        <v>1740</v>
      </c>
      <c r="I2760" s="11">
        <v>0</v>
      </c>
      <c r="J2760" s="11">
        <v>0</v>
      </c>
      <c r="K2760" s="11" t="s">
        <v>21</v>
      </c>
      <c r="L2760" s="7">
        <v>41967.646967592591</v>
      </c>
      <c r="M2760" s="12" t="s">
        <v>6898</v>
      </c>
      <c r="N2760" s="12" t="s">
        <v>6899</v>
      </c>
      <c r="O2760" s="10" t="str">
        <f>HYPERLINK("https://pbs.twimg.com/profile_images/536822156298948608/pH18GNjo_normal.jpeg","View")</f>
        <v>View</v>
      </c>
      <c r="P2760" s="11"/>
    </row>
    <row r="2761" spans="1:16" ht="12.75" x14ac:dyDescent="0.35">
      <c r="A2761" s="7">
        <v>42482.486030092594</v>
      </c>
      <c r="B2761" s="8" t="str">
        <f>HYPERLINK("https://twitter.com/TradeCFDs","@TradeCFDs")</f>
        <v>@TradeCFDs</v>
      </c>
      <c r="C2761" s="9" t="s">
        <v>6900</v>
      </c>
      <c r="D2761" s="9" t="s">
        <v>6901</v>
      </c>
      <c r="E2761" s="10" t="str">
        <f>HYPERLINK("https://twitter.com/TradeCFDs/status/723393365778141184","723393365778141184")</f>
        <v>723393365778141184</v>
      </c>
      <c r="F2761" s="11" t="s">
        <v>43</v>
      </c>
      <c r="G2761" s="11">
        <v>339</v>
      </c>
      <c r="H2761" s="11">
        <v>681</v>
      </c>
      <c r="I2761" s="11">
        <v>0</v>
      </c>
      <c r="J2761" s="11">
        <v>0</v>
      </c>
      <c r="K2761" s="11" t="s">
        <v>21</v>
      </c>
      <c r="L2761" s="7">
        <v>40060.721215277779</v>
      </c>
      <c r="M2761" s="12" t="s">
        <v>6902</v>
      </c>
      <c r="N2761" s="12" t="s">
        <v>6903</v>
      </c>
      <c r="O2761" s="10" t="str">
        <f>HYPERLINK("https://pbs.twimg.com/profile_images/1914014310/Logo_normal.jpg","View")</f>
        <v>View</v>
      </c>
      <c r="P2761" s="11"/>
    </row>
    <row r="2762" spans="1:16" ht="12.75" x14ac:dyDescent="0.35">
      <c r="A2762" s="7">
        <v>42482.486400462964</v>
      </c>
      <c r="B2762" s="8" t="str">
        <f>HYPERLINK("https://twitter.com/ssalerno2","@ssalerno2")</f>
        <v>@ssalerno2</v>
      </c>
      <c r="C2762" s="9" t="s">
        <v>6904</v>
      </c>
      <c r="D2762" s="9" t="s">
        <v>6847</v>
      </c>
      <c r="E2762" s="10" t="str">
        <f>HYPERLINK("https://twitter.com/ssalerno2/status/723393502202089476","723393502202089476")</f>
        <v>723393502202089476</v>
      </c>
      <c r="F2762" s="11" t="s">
        <v>367</v>
      </c>
      <c r="G2762" s="11">
        <v>54</v>
      </c>
      <c r="H2762" s="11">
        <v>30</v>
      </c>
      <c r="I2762" s="11">
        <v>5</v>
      </c>
      <c r="J2762" s="11">
        <v>0</v>
      </c>
      <c r="K2762" s="11" t="s">
        <v>21</v>
      </c>
      <c r="L2762" s="7">
        <v>41656.862164351856</v>
      </c>
      <c r="M2762" s="12"/>
      <c r="N2762" s="12"/>
      <c r="O2762" s="10" t="str">
        <f>HYPERLINK("https://pbs.twimg.com/profile_images/511918427611869184/vNsvctzi_normal.jpeg","View")</f>
        <v>View</v>
      </c>
      <c r="P2762" s="11"/>
    </row>
    <row r="2763" spans="1:16" ht="12.75" x14ac:dyDescent="0.35">
      <c r="A2763" s="7">
        <v>42482.486851851849</v>
      </c>
      <c r="B2763" s="8" t="str">
        <f>HYPERLINK("https://twitter.com/bodo1962","@bodo1962")</f>
        <v>@bodo1962</v>
      </c>
      <c r="C2763" s="9" t="s">
        <v>1834</v>
      </c>
      <c r="D2763" s="9" t="s">
        <v>6905</v>
      </c>
      <c r="E2763" s="10" t="str">
        <f>HYPERLINK("https://twitter.com/bodo1962/status/723393667155693569","723393667155693569")</f>
        <v>723393667155693569</v>
      </c>
      <c r="F2763" s="11" t="s">
        <v>20</v>
      </c>
      <c r="G2763" s="11">
        <v>53</v>
      </c>
      <c r="H2763" s="11">
        <v>73</v>
      </c>
      <c r="I2763" s="11">
        <v>0</v>
      </c>
      <c r="J2763" s="11">
        <v>0</v>
      </c>
      <c r="K2763" s="11" t="s">
        <v>21</v>
      </c>
      <c r="L2763" s="7">
        <v>40828.089305555557</v>
      </c>
      <c r="M2763" s="12"/>
      <c r="N2763" s="12" t="s">
        <v>1836</v>
      </c>
      <c r="O2763" s="10" t="str">
        <f>HYPERLINK("https://pbs.twimg.com/profile_images/439706141728051201/GQgdrA5p_normal.jpeg","View")</f>
        <v>View</v>
      </c>
      <c r="P2763" s="11"/>
    </row>
    <row r="2764" spans="1:16" ht="12.75" x14ac:dyDescent="0.35">
      <c r="A2764" s="7">
        <v>42482.487071759257</v>
      </c>
      <c r="B2764" s="8" t="str">
        <f>HYPERLINK("https://twitter.com/timmdoppel_m","@timmdoppel_m")</f>
        <v>@timmdoppel_m</v>
      </c>
      <c r="C2764" s="9" t="s">
        <v>6906</v>
      </c>
      <c r="D2764" s="9" t="s">
        <v>6907</v>
      </c>
      <c r="E2764" s="10" t="str">
        <f>HYPERLINK("https://twitter.com/timmdoppel_m/status/723393745480093696","723393745480093696")</f>
        <v>723393745480093696</v>
      </c>
      <c r="F2764" s="11" t="s">
        <v>20</v>
      </c>
      <c r="G2764" s="11">
        <v>1412</v>
      </c>
      <c r="H2764" s="11">
        <v>559</v>
      </c>
      <c r="I2764" s="11">
        <v>1</v>
      </c>
      <c r="J2764" s="11">
        <v>8</v>
      </c>
      <c r="K2764" s="11" t="s">
        <v>21</v>
      </c>
      <c r="L2764" s="7">
        <v>41349.518773148149</v>
      </c>
      <c r="M2764" s="12" t="s">
        <v>6661</v>
      </c>
      <c r="N2764" s="12" t="s">
        <v>6908</v>
      </c>
      <c r="O2764" s="10" t="str">
        <f>HYPERLINK("https://pbs.twimg.com/profile_images/688029802230579202/dcVlYVcm_normal.jpg","View")</f>
        <v>View</v>
      </c>
      <c r="P2764" s="11"/>
    </row>
    <row r="2765" spans="1:16" ht="12.75" x14ac:dyDescent="0.35">
      <c r="A2765" s="7">
        <v>42482.48710648148</v>
      </c>
      <c r="B2765" s="8" t="str">
        <f>HYPERLINK("https://twitter.com/doestrei","@doestrei")</f>
        <v>@doestrei</v>
      </c>
      <c r="C2765" s="9" t="s">
        <v>2973</v>
      </c>
      <c r="D2765" s="9" t="s">
        <v>6909</v>
      </c>
      <c r="E2765" s="10" t="str">
        <f>HYPERLINK("https://twitter.com/doestrei/status/723393755638681601","723393755638681601")</f>
        <v>723393755638681601</v>
      </c>
      <c r="F2765" s="11" t="s">
        <v>91</v>
      </c>
      <c r="G2765" s="11">
        <v>277</v>
      </c>
      <c r="H2765" s="11">
        <v>364</v>
      </c>
      <c r="I2765" s="11">
        <v>0</v>
      </c>
      <c r="J2765" s="11">
        <v>1</v>
      </c>
      <c r="K2765" s="11" t="s">
        <v>21</v>
      </c>
      <c r="L2765" s="7">
        <v>39611.604178240741</v>
      </c>
      <c r="M2765" s="12"/>
      <c r="N2765" s="12" t="s">
        <v>6910</v>
      </c>
      <c r="O2765" s="10" t="str">
        <f>HYPERLINK("https://pbs.twimg.com/profile_images/639934873898254336/4VqIHxOP_normal.jpg","View")</f>
        <v>View</v>
      </c>
      <c r="P2765" s="11"/>
    </row>
    <row r="2766" spans="1:16" ht="12.75" x14ac:dyDescent="0.35">
      <c r="A2766" s="7">
        <v>42482.487268518518</v>
      </c>
      <c r="B2766" s="8" t="str">
        <f>HYPERLINK("https://twitter.com/theswiss","@theswiss")</f>
        <v>@theswiss</v>
      </c>
      <c r="C2766" s="9" t="s">
        <v>6911</v>
      </c>
      <c r="D2766" s="9" t="s">
        <v>6912</v>
      </c>
      <c r="E2766" s="10" t="str">
        <f>HYPERLINK("https://twitter.com/theswiss/status/723393817794093056","723393817794093056")</f>
        <v>723393817794093056</v>
      </c>
      <c r="F2766" s="11" t="s">
        <v>43</v>
      </c>
      <c r="G2766" s="11">
        <v>1344</v>
      </c>
      <c r="H2766" s="11">
        <v>471</v>
      </c>
      <c r="I2766" s="11">
        <v>2</v>
      </c>
      <c r="J2766" s="11">
        <v>5</v>
      </c>
      <c r="K2766" s="11" t="s">
        <v>21</v>
      </c>
      <c r="L2766" s="7">
        <v>39574.614525462966</v>
      </c>
      <c r="M2766" s="12"/>
      <c r="N2766" s="12" t="s">
        <v>6913</v>
      </c>
      <c r="O2766" s="10" t="str">
        <f>HYPERLINK("https://pbs.twimg.com/profile_images/595356435099328513/7555H9eh_normal.jpg","View")</f>
        <v>View</v>
      </c>
      <c r="P2766" s="11"/>
    </row>
    <row r="2767" spans="1:16" ht="12.75" x14ac:dyDescent="0.35">
      <c r="A2767" s="7">
        <v>42482.487939814819</v>
      </c>
      <c r="B2767" s="8" t="str">
        <f>HYPERLINK("https://twitter.com/JoachimHeck","@JoachimHeck")</f>
        <v>@JoachimHeck</v>
      </c>
      <c r="C2767" s="9" t="s">
        <v>6914</v>
      </c>
      <c r="D2767" s="9" t="s">
        <v>6915</v>
      </c>
      <c r="E2767" s="10" t="str">
        <f>HYPERLINK("https://twitter.com/JoachimHeck/status/723394060908523520","723394060908523520")</f>
        <v>723394060908523520</v>
      </c>
      <c r="F2767" s="11" t="s">
        <v>48</v>
      </c>
      <c r="G2767" s="11">
        <v>131</v>
      </c>
      <c r="H2767" s="11">
        <v>241</v>
      </c>
      <c r="I2767" s="11">
        <v>0</v>
      </c>
      <c r="J2767" s="11">
        <v>0</v>
      </c>
      <c r="K2767" s="11" t="s">
        <v>21</v>
      </c>
      <c r="L2767" s="7">
        <v>41544.596006944441</v>
      </c>
      <c r="M2767" s="12"/>
      <c r="N2767" s="12" t="s">
        <v>6916</v>
      </c>
      <c r="O2767" s="10" t="str">
        <f>HYPERLINK("https://pbs.twimg.com/profile_images/378800000566378572/084cb3103fd97db6ea2fcb90b2ea5dc7_normal.jpeg","View")</f>
        <v>View</v>
      </c>
      <c r="P2767" s="11"/>
    </row>
    <row r="2768" spans="1:16" ht="12.75" x14ac:dyDescent="0.35">
      <c r="A2768" s="7">
        <v>42482.488229166665</v>
      </c>
      <c r="B2768" s="8" t="str">
        <f>HYPERLINK("https://twitter.com/MerlinaAlmendra","@MerlinaAlmendra")</f>
        <v>@MerlinaAlmendra</v>
      </c>
      <c r="C2768" s="9" t="s">
        <v>6823</v>
      </c>
      <c r="D2768" s="9" t="s">
        <v>6917</v>
      </c>
      <c r="E2768" s="10" t="str">
        <f>HYPERLINK("https://twitter.com/MerlinaAlmendra/status/723394163245346816","723394163245346816")</f>
        <v>723394163245346816</v>
      </c>
      <c r="F2768" s="11" t="s">
        <v>114</v>
      </c>
      <c r="G2768" s="11">
        <v>438</v>
      </c>
      <c r="H2768" s="11">
        <v>303</v>
      </c>
      <c r="I2768" s="11">
        <v>0</v>
      </c>
      <c r="J2768" s="11">
        <v>0</v>
      </c>
      <c r="K2768" s="11" t="s">
        <v>21</v>
      </c>
      <c r="L2768" s="7">
        <v>39816.382696759261</v>
      </c>
      <c r="M2768" s="12" t="s">
        <v>6825</v>
      </c>
      <c r="N2768" s="12" t="s">
        <v>6826</v>
      </c>
      <c r="O2768" s="10" t="str">
        <f>HYPERLINK("https://pbs.twimg.com/profile_images/716386262387527680/iXBQikmn_normal.jpg","View")</f>
        <v>View</v>
      </c>
      <c r="P2768" s="10" t="str">
        <f>HYPERLINK("http://ctrlq.org/maps/address/#51.07741226,-114.15428435","Map")</f>
        <v>Map</v>
      </c>
    </row>
    <row r="2769" spans="1:16" ht="12.75" x14ac:dyDescent="0.35">
      <c r="A2769" s="7">
        <v>42482.48836805555</v>
      </c>
      <c r="B2769" s="8" t="str">
        <f t="shared" ref="B2769:B2770" si="267">HYPERLINK("https://twitter.com/Beukennon","@Beukennon")</f>
        <v>@Beukennon</v>
      </c>
      <c r="C2769" s="9" t="s">
        <v>6918</v>
      </c>
      <c r="D2769" s="9" t="s">
        <v>6919</v>
      </c>
      <c r="E2769" s="10" t="str">
        <f>HYPERLINK("https://twitter.com/Beukennon/status/723394214613012480","723394214613012480")</f>
        <v>723394214613012480</v>
      </c>
      <c r="F2769" s="11" t="s">
        <v>20</v>
      </c>
      <c r="G2769" s="11">
        <v>92</v>
      </c>
      <c r="H2769" s="11">
        <v>315</v>
      </c>
      <c r="I2769" s="11">
        <v>1</v>
      </c>
      <c r="J2769" s="11">
        <v>0</v>
      </c>
      <c r="K2769" s="11" t="s">
        <v>21</v>
      </c>
      <c r="L2769" s="7">
        <v>41337.070648148147</v>
      </c>
      <c r="M2769" s="12"/>
      <c r="N2769" s="12" t="s">
        <v>6920</v>
      </c>
      <c r="O2769" s="10" t="str">
        <f t="shared" ref="O2769:O2770" si="268">HYPERLINK("https://pbs.twimg.com/profile_images/3359623860/c18ce51d5c09fb6c80a7cfc89e8df5bb_normal.jpeg","View")</f>
        <v>View</v>
      </c>
      <c r="P2769" s="11"/>
    </row>
    <row r="2770" spans="1:16" ht="12.75" x14ac:dyDescent="0.35">
      <c r="A2770" s="7">
        <v>42482.488564814819</v>
      </c>
      <c r="B2770" s="8" t="str">
        <f t="shared" si="267"/>
        <v>@Beukennon</v>
      </c>
      <c r="C2770" s="9" t="s">
        <v>6918</v>
      </c>
      <c r="D2770" s="9" t="s">
        <v>3199</v>
      </c>
      <c r="E2770" s="10" t="str">
        <f>HYPERLINK("https://twitter.com/Beukennon/status/723394286398533632","723394286398533632")</f>
        <v>723394286398533632</v>
      </c>
      <c r="F2770" s="11" t="s">
        <v>20</v>
      </c>
      <c r="G2770" s="11">
        <v>92</v>
      </c>
      <c r="H2770" s="11">
        <v>315</v>
      </c>
      <c r="I2770" s="11">
        <v>5</v>
      </c>
      <c r="J2770" s="11">
        <v>0</v>
      </c>
      <c r="K2770" s="11" t="s">
        <v>21</v>
      </c>
      <c r="L2770" s="7">
        <v>41337.070648148147</v>
      </c>
      <c r="M2770" s="12"/>
      <c r="N2770" s="12" t="s">
        <v>6920</v>
      </c>
      <c r="O2770" s="10" t="str">
        <f t="shared" si="268"/>
        <v>View</v>
      </c>
      <c r="P2770" s="11"/>
    </row>
    <row r="2771" spans="1:16" ht="12.75" x14ac:dyDescent="0.35">
      <c r="A2771" s="7">
        <v>42482.488865740743</v>
      </c>
      <c r="B2771" s="8" t="str">
        <f>HYPERLINK("https://twitter.com/CarpetsCook","@CarpetsCook")</f>
        <v>@CarpetsCook</v>
      </c>
      <c r="C2771" s="9" t="s">
        <v>6921</v>
      </c>
      <c r="D2771" s="9" t="s">
        <v>6922</v>
      </c>
      <c r="E2771" s="10" t="str">
        <f>HYPERLINK("https://twitter.com/CarpetsCook/status/723394394846425092","723394394846425092")</f>
        <v>723394394846425092</v>
      </c>
      <c r="F2771" s="11" t="s">
        <v>48</v>
      </c>
      <c r="G2771" s="11">
        <v>85</v>
      </c>
      <c r="H2771" s="11">
        <v>133</v>
      </c>
      <c r="I2771" s="11">
        <v>0</v>
      </c>
      <c r="J2771" s="11">
        <v>0</v>
      </c>
      <c r="K2771" s="11" t="s">
        <v>21</v>
      </c>
      <c r="L2771" s="7">
        <v>42223.620787037042</v>
      </c>
      <c r="M2771" s="12" t="s">
        <v>6923</v>
      </c>
      <c r="N2771" s="12" t="s">
        <v>6924</v>
      </c>
      <c r="O2771" s="10" t="str">
        <f>HYPERLINK("https://pbs.twimg.com/profile_images/709868725307101186/HmWlkwj__normal.jpg","View")</f>
        <v>View</v>
      </c>
      <c r="P2771" s="11"/>
    </row>
    <row r="2772" spans="1:16" ht="12.75" x14ac:dyDescent="0.35">
      <c r="A2772" s="7">
        <v>42482.491423611107</v>
      </c>
      <c r="B2772" s="8" t="str">
        <f>HYPERLINK("https://twitter.com/bindermichi","@bindermichi")</f>
        <v>@bindermichi</v>
      </c>
      <c r="C2772" s="9" t="s">
        <v>6925</v>
      </c>
      <c r="D2772" s="9" t="s">
        <v>6926</v>
      </c>
      <c r="E2772" s="10" t="str">
        <f>HYPERLINK("https://twitter.com/bindermichi/status/723395322530000896","723395322530000896")</f>
        <v>723395322530000896</v>
      </c>
      <c r="F2772" s="11" t="s">
        <v>63</v>
      </c>
      <c r="G2772" s="11">
        <v>3318</v>
      </c>
      <c r="H2772" s="11">
        <v>2179</v>
      </c>
      <c r="I2772" s="11">
        <v>2</v>
      </c>
      <c r="J2772" s="11">
        <v>0</v>
      </c>
      <c r="K2772" s="11" t="s">
        <v>21</v>
      </c>
      <c r="L2772" s="7">
        <v>39508.042499999996</v>
      </c>
      <c r="M2772" s="12" t="s">
        <v>6927</v>
      </c>
      <c r="N2772" s="12" t="s">
        <v>6928</v>
      </c>
      <c r="O2772" s="10" t="str">
        <f>HYPERLINK("https://pbs.twimg.com/profile_images/679777790124765184/4xKwz4P0_normal.jpg","View")</f>
        <v>View</v>
      </c>
      <c r="P2772" s="11"/>
    </row>
    <row r="2773" spans="1:16" ht="12.75" x14ac:dyDescent="0.35">
      <c r="A2773" s="7">
        <v>42482.49150462963</v>
      </c>
      <c r="B2773" s="8" t="str">
        <f>HYPERLINK("https://twitter.com/hedilamnna","@hedilamnna")</f>
        <v>@hedilamnna</v>
      </c>
      <c r="C2773" s="9" t="s">
        <v>6929</v>
      </c>
      <c r="D2773" s="9" t="s">
        <v>6875</v>
      </c>
      <c r="E2773" s="10" t="str">
        <f>HYPERLINK("https://twitter.com/hedilamnna/status/723395351038689280","723395351038689280")</f>
        <v>723395351038689280</v>
      </c>
      <c r="F2773" s="11" t="s">
        <v>91</v>
      </c>
      <c r="G2773" s="11">
        <v>805</v>
      </c>
      <c r="H2773" s="11">
        <v>816</v>
      </c>
      <c r="I2773" s="11">
        <v>3</v>
      </c>
      <c r="J2773" s="11">
        <v>0</v>
      </c>
      <c r="K2773" s="11" t="s">
        <v>21</v>
      </c>
      <c r="L2773" s="7">
        <v>41254.148912037039</v>
      </c>
      <c r="M2773" s="12" t="s">
        <v>6930</v>
      </c>
      <c r="N2773" s="12" t="s">
        <v>6931</v>
      </c>
      <c r="O2773" s="10" t="str">
        <f>HYPERLINK("https://pbs.twimg.com/profile_images/524926283717681152/S887P05B_normal.jpeg","View")</f>
        <v>View</v>
      </c>
      <c r="P2773" s="11"/>
    </row>
    <row r="2774" spans="1:16" ht="12.75" x14ac:dyDescent="0.35">
      <c r="A2774" s="7">
        <v>42482.492256944446</v>
      </c>
      <c r="B2774" s="8" t="str">
        <f>HYPERLINK("https://twitter.com/D0D0_S","@D0D0_S")</f>
        <v>@D0D0_S</v>
      </c>
      <c r="C2774" s="9" t="s">
        <v>6932</v>
      </c>
      <c r="D2774" s="9" t="s">
        <v>6926</v>
      </c>
      <c r="E2774" s="10" t="str">
        <f>HYPERLINK("https://twitter.com/D0D0_S/status/723395624339558400","723395624339558400")</f>
        <v>723395624339558400</v>
      </c>
      <c r="F2774" s="11" t="s">
        <v>20</v>
      </c>
      <c r="G2774" s="11">
        <v>188</v>
      </c>
      <c r="H2774" s="11">
        <v>390</v>
      </c>
      <c r="I2774" s="11">
        <v>2</v>
      </c>
      <c r="J2774" s="11">
        <v>0</v>
      </c>
      <c r="K2774" s="11" t="s">
        <v>21</v>
      </c>
      <c r="L2774" s="7">
        <v>40772.602361111109</v>
      </c>
      <c r="M2774" s="12"/>
      <c r="N2774" s="12" t="s">
        <v>6933</v>
      </c>
      <c r="O2774" s="10" t="str">
        <f>HYPERLINK("https://pbs.twimg.com/profile_images/488577856314695681/YM0Dzdzf_normal.png","View")</f>
        <v>View</v>
      </c>
      <c r="P2774" s="11"/>
    </row>
    <row r="2775" spans="1:16" ht="12.75" x14ac:dyDescent="0.35">
      <c r="A2775" s="7">
        <v>42482.49255787037</v>
      </c>
      <c r="B2775" s="8" t="str">
        <f>HYPERLINK("https://twitter.com/LegoDustCaps","@LegoDustCaps")</f>
        <v>@LegoDustCaps</v>
      </c>
      <c r="C2775" s="9" t="s">
        <v>6934</v>
      </c>
      <c r="D2775" s="9" t="s">
        <v>6935</v>
      </c>
      <c r="E2775" s="10" t="str">
        <f>HYPERLINK("https://twitter.com/LegoDustCaps/status/723395734154829824","723395734154829824")</f>
        <v>723395734154829824</v>
      </c>
      <c r="F2775" s="11" t="s">
        <v>48</v>
      </c>
      <c r="G2775" s="11">
        <v>705</v>
      </c>
      <c r="H2775" s="11">
        <v>1729</v>
      </c>
      <c r="I2775" s="11">
        <v>2</v>
      </c>
      <c r="J2775" s="11">
        <v>1</v>
      </c>
      <c r="K2775" s="11" t="s">
        <v>21</v>
      </c>
      <c r="L2775" s="7">
        <v>41884.533217592594</v>
      </c>
      <c r="M2775" s="12" t="s">
        <v>6936</v>
      </c>
      <c r="N2775" s="12" t="s">
        <v>6937</v>
      </c>
      <c r="O2775" s="10" t="str">
        <f>HYPERLINK("https://pbs.twimg.com/profile_images/681545807292690432/Z1DHG5ug_normal.jpg","View")</f>
        <v>View</v>
      </c>
      <c r="P2775" s="11"/>
    </row>
    <row r="2776" spans="1:16" ht="12.75" x14ac:dyDescent="0.35">
      <c r="A2776" s="7">
        <v>42482.493726851855</v>
      </c>
      <c r="B2776" s="8" t="str">
        <f>HYPERLINK("https://twitter.com/BettinaMayer626","@BettinaMayer626")</f>
        <v>@BettinaMayer626</v>
      </c>
      <c r="C2776" s="9" t="s">
        <v>6938</v>
      </c>
      <c r="D2776" s="9" t="s">
        <v>6939</v>
      </c>
      <c r="E2776" s="10" t="str">
        <f>HYPERLINK("https://twitter.com/BettinaMayer626/status/723396157402050562","723396157402050562")</f>
        <v>723396157402050562</v>
      </c>
      <c r="F2776" s="11" t="s">
        <v>20</v>
      </c>
      <c r="G2776" s="11">
        <v>184</v>
      </c>
      <c r="H2776" s="11">
        <v>126</v>
      </c>
      <c r="I2776" s="11">
        <v>0</v>
      </c>
      <c r="J2776" s="11">
        <v>0</v>
      </c>
      <c r="K2776" s="11" t="s">
        <v>21</v>
      </c>
      <c r="L2776" s="7">
        <v>41429.942893518521</v>
      </c>
      <c r="M2776" s="12"/>
      <c r="N2776" s="12"/>
      <c r="O2776" s="10" t="str">
        <f>HYPERLINK("https://pbs.twimg.com/profile_images/3755362794/5f01b194caef9fe1d31d019df44d0c0b_normal.jpeg","View")</f>
        <v>View</v>
      </c>
      <c r="P2776" s="11"/>
    </row>
    <row r="2777" spans="1:16" ht="12.75" x14ac:dyDescent="0.35">
      <c r="A2777" s="7">
        <v>42482.493888888886</v>
      </c>
      <c r="B2777" s="8" t="str">
        <f>HYPERLINK("https://twitter.com/f1ngers9","@f1ngers9")</f>
        <v>@f1ngers9</v>
      </c>
      <c r="C2777" s="9" t="s">
        <v>6940</v>
      </c>
      <c r="D2777" s="9" t="s">
        <v>6941</v>
      </c>
      <c r="E2777" s="10" t="str">
        <f>HYPERLINK("https://twitter.com/f1ngers9/status/723396216596254720","723396216596254720")</f>
        <v>723396216596254720</v>
      </c>
      <c r="F2777" s="11" t="s">
        <v>367</v>
      </c>
      <c r="G2777" s="11">
        <v>221</v>
      </c>
      <c r="H2777" s="11">
        <v>649</v>
      </c>
      <c r="I2777" s="11">
        <v>1</v>
      </c>
      <c r="J2777" s="11">
        <v>0</v>
      </c>
      <c r="K2777" s="11" t="s">
        <v>21</v>
      </c>
      <c r="L2777" s="7">
        <v>41217.16851851852</v>
      </c>
      <c r="M2777" s="12" t="s">
        <v>6942</v>
      </c>
      <c r="N2777" s="12" t="s">
        <v>6943</v>
      </c>
      <c r="O2777" s="10" t="str">
        <f>HYPERLINK("https://pbs.twimg.com/profile_images/561943529971134465/KNsCPwb6_normal.jpeg","View")</f>
        <v>View</v>
      </c>
      <c r="P2777" s="11"/>
    </row>
    <row r="2778" spans="1:16" ht="12.75" x14ac:dyDescent="0.35">
      <c r="A2778" s="7">
        <v>42482.493923611109</v>
      </c>
      <c r="B2778" s="8" t="str">
        <f>HYPERLINK("https://twitter.com/steve101078","@steve101078")</f>
        <v>@steve101078</v>
      </c>
      <c r="C2778" s="9" t="s">
        <v>6944</v>
      </c>
      <c r="D2778" s="9" t="s">
        <v>6945</v>
      </c>
      <c r="E2778" s="10" t="str">
        <f>HYPERLINK("https://twitter.com/steve101078/status/723396226469654528","723396226469654528")</f>
        <v>723396226469654528</v>
      </c>
      <c r="F2778" s="11" t="s">
        <v>20</v>
      </c>
      <c r="G2778" s="11">
        <v>145</v>
      </c>
      <c r="H2778" s="11">
        <v>144</v>
      </c>
      <c r="I2778" s="11">
        <v>0</v>
      </c>
      <c r="J2778" s="11">
        <v>0</v>
      </c>
      <c r="K2778" s="11" t="s">
        <v>21</v>
      </c>
      <c r="L2778" s="7">
        <v>40096.550995370373</v>
      </c>
      <c r="M2778" s="12" t="s">
        <v>638</v>
      </c>
      <c r="N2778" s="12" t="s">
        <v>6946</v>
      </c>
      <c r="O2778" s="10" t="str">
        <f>HYPERLINK("https://pbs.twimg.com/profile_images/3661898161/672be788ab3351c98b1532f27f46ce77_normal.png","View")</f>
        <v>View</v>
      </c>
      <c r="P2778" s="11"/>
    </row>
    <row r="2779" spans="1:16" ht="12.75" x14ac:dyDescent="0.35">
      <c r="A2779" s="7">
        <v>42482.49496527778</v>
      </c>
      <c r="B2779" s="8" t="str">
        <f>HYPERLINK("https://twitter.com/rhartgendorn","@rhartgendorn")</f>
        <v>@rhartgendorn</v>
      </c>
      <c r="C2779" s="9" t="s">
        <v>6947</v>
      </c>
      <c r="D2779" s="9" t="s">
        <v>6948</v>
      </c>
      <c r="E2779" s="10" t="str">
        <f>HYPERLINK("https://twitter.com/rhartgendorn/status/723396604007309312","723396604007309312")</f>
        <v>723396604007309312</v>
      </c>
      <c r="F2779" s="11" t="s">
        <v>48</v>
      </c>
      <c r="G2779" s="11">
        <v>24</v>
      </c>
      <c r="H2779" s="11">
        <v>43</v>
      </c>
      <c r="I2779" s="11">
        <v>0</v>
      </c>
      <c r="J2779" s="11">
        <v>0</v>
      </c>
      <c r="K2779" s="11" t="s">
        <v>21</v>
      </c>
      <c r="L2779" s="7">
        <v>40033.506805555553</v>
      </c>
      <c r="M2779" s="12" t="s">
        <v>953</v>
      </c>
      <c r="N2779" s="12" t="s">
        <v>6949</v>
      </c>
      <c r="O2779" s="10" t="str">
        <f>HYPERLINK("https://pbs.twimg.com/profile_images/1783038237/tommy1_640_normal.jpg","View")</f>
        <v>View</v>
      </c>
      <c r="P2779" s="11"/>
    </row>
    <row r="2780" spans="1:16" ht="12.75" x14ac:dyDescent="0.35">
      <c r="A2780" s="7">
        <v>42482.494988425926</v>
      </c>
      <c r="B2780" s="8" t="str">
        <f>HYPERLINK("https://twitter.com/dw_deutsch","@dw_deutsch")</f>
        <v>@dw_deutsch</v>
      </c>
      <c r="C2780" s="9" t="s">
        <v>1476</v>
      </c>
      <c r="D2780" s="9" t="s">
        <v>6950</v>
      </c>
      <c r="E2780" s="10" t="str">
        <f>HYPERLINK("https://twitter.com/dw_deutsch/status/723396615231311873","723396615231311873")</f>
        <v>723396615231311873</v>
      </c>
      <c r="F2780" s="11" t="s">
        <v>63</v>
      </c>
      <c r="G2780" s="11">
        <v>46684</v>
      </c>
      <c r="H2780" s="11">
        <v>279</v>
      </c>
      <c r="I2780" s="11">
        <v>0</v>
      </c>
      <c r="J2780" s="11">
        <v>1</v>
      </c>
      <c r="K2780" s="11" t="s">
        <v>21</v>
      </c>
      <c r="L2780" s="7">
        <v>39216.619826388887</v>
      </c>
      <c r="M2780" s="12" t="s">
        <v>1303</v>
      </c>
      <c r="N2780" s="12" t="s">
        <v>1478</v>
      </c>
      <c r="O2780" s="10" t="str">
        <f>HYPERLINK("https://pbs.twimg.com/profile_images/461118397548212226/84PnzODQ_normal.png","View")</f>
        <v>View</v>
      </c>
      <c r="P2780" s="11"/>
    </row>
    <row r="2781" spans="1:16" ht="12.75" x14ac:dyDescent="0.35">
      <c r="A2781" s="7">
        <v>42482.495219907403</v>
      </c>
      <c r="B2781" s="8" t="str">
        <f>HYPERLINK("https://twitter.com/NordicInvestor","@NordicInvestor")</f>
        <v>@NordicInvestor</v>
      </c>
      <c r="C2781" s="9" t="s">
        <v>6951</v>
      </c>
      <c r="D2781" s="9" t="s">
        <v>6952</v>
      </c>
      <c r="E2781" s="10" t="str">
        <f>HYPERLINK("https://twitter.com/NordicInvestor/status/723396699289325571","723396699289325571")</f>
        <v>723396699289325571</v>
      </c>
      <c r="F2781" s="11" t="s">
        <v>43</v>
      </c>
      <c r="G2781" s="11">
        <v>1183</v>
      </c>
      <c r="H2781" s="11">
        <v>394</v>
      </c>
      <c r="I2781" s="11">
        <v>0</v>
      </c>
      <c r="J2781" s="11">
        <v>2</v>
      </c>
      <c r="K2781" s="11" t="s">
        <v>21</v>
      </c>
      <c r="L2781" s="7">
        <v>40629.723599537036</v>
      </c>
      <c r="M2781" s="12" t="s">
        <v>4516</v>
      </c>
      <c r="N2781" s="12" t="s">
        <v>6953</v>
      </c>
      <c r="O2781" s="10" t="str">
        <f>HYPERLINK("https://pbs.twimg.com/profile_images/712901564952870912/rE0FMlJH_normal.jpg","View")</f>
        <v>View</v>
      </c>
      <c r="P2781" s="11"/>
    </row>
    <row r="2782" spans="1:16" ht="12.75" x14ac:dyDescent="0.35">
      <c r="A2782" s="7">
        <v>42482.495624999996</v>
      </c>
      <c r="B2782" s="8" t="str">
        <f>HYPERLINK("https://twitter.com/DubLuvTuning","@DubLuvTuning")</f>
        <v>@DubLuvTuning</v>
      </c>
      <c r="C2782" s="9" t="s">
        <v>299</v>
      </c>
      <c r="D2782" s="9" t="s">
        <v>6954</v>
      </c>
      <c r="E2782" s="10" t="str">
        <f>HYPERLINK("https://twitter.com/DubLuvTuning/status/723396843988611074","723396843988611074")</f>
        <v>723396843988611074</v>
      </c>
      <c r="F2782" s="11" t="s">
        <v>288</v>
      </c>
      <c r="G2782" s="11">
        <v>690</v>
      </c>
      <c r="H2782" s="11">
        <v>431</v>
      </c>
      <c r="I2782" s="11">
        <v>2</v>
      </c>
      <c r="J2782" s="11">
        <v>0</v>
      </c>
      <c r="K2782" s="11" t="s">
        <v>21</v>
      </c>
      <c r="L2782" s="7">
        <v>41549.898287037038</v>
      </c>
      <c r="M2782" s="12" t="s">
        <v>301</v>
      </c>
      <c r="N2782" s="12" t="s">
        <v>302</v>
      </c>
      <c r="O2782" s="10" t="str">
        <f>HYPERLINK("https://pbs.twimg.com/profile_images/378800000572104796/1de43e1cf23efb3f4101c02afad0d3b6_normal.png","View")</f>
        <v>View</v>
      </c>
      <c r="P2782" s="11"/>
    </row>
    <row r="2783" spans="1:16" ht="12.75" x14ac:dyDescent="0.35">
      <c r="A2783" s="7">
        <v>42482.496944444443</v>
      </c>
      <c r="B2783" s="8" t="str">
        <f>HYPERLINK("https://twitter.com/mediendaten","@mediendaten")</f>
        <v>@mediendaten</v>
      </c>
      <c r="C2783" s="9" t="s">
        <v>6955</v>
      </c>
      <c r="D2783" s="9" t="s">
        <v>6956</v>
      </c>
      <c r="E2783" s="10" t="str">
        <f>HYPERLINK("https://twitter.com/mediendaten/status/723397321271070720","723397321271070720")</f>
        <v>723397321271070720</v>
      </c>
      <c r="F2783" s="11" t="s">
        <v>43</v>
      </c>
      <c r="G2783" s="11">
        <v>522</v>
      </c>
      <c r="H2783" s="11">
        <v>2399</v>
      </c>
      <c r="I2783" s="11">
        <v>1</v>
      </c>
      <c r="J2783" s="11">
        <v>0</v>
      </c>
      <c r="K2783" s="11" t="s">
        <v>21</v>
      </c>
      <c r="L2783" s="7">
        <v>41732.719513888893</v>
      </c>
      <c r="M2783" s="12" t="s">
        <v>6957</v>
      </c>
      <c r="N2783" s="12" t="s">
        <v>6958</v>
      </c>
      <c r="O2783" s="10" t="str">
        <f>HYPERLINK("https://pbs.twimg.com/profile_images/582484065674080256/u7_etD74_normal.jpg","View")</f>
        <v>View</v>
      </c>
      <c r="P2783" s="11"/>
    </row>
    <row r="2784" spans="1:16" ht="12.75" x14ac:dyDescent="0.35">
      <c r="A2784" s="7">
        <v>42482.499247685184</v>
      </c>
      <c r="B2784" s="8" t="str">
        <f>HYPERLINK("https://twitter.com/Jayrimbo","@Jayrimbo")</f>
        <v>@Jayrimbo</v>
      </c>
      <c r="C2784" s="9" t="s">
        <v>6959</v>
      </c>
      <c r="D2784" s="9" t="s">
        <v>6960</v>
      </c>
      <c r="E2784" s="10" t="str">
        <f>HYPERLINK("https://twitter.com/Jayrimbo/status/723398155459416066","723398155459416066")</f>
        <v>723398155459416066</v>
      </c>
      <c r="F2784" s="11" t="s">
        <v>20</v>
      </c>
      <c r="G2784" s="11">
        <v>703</v>
      </c>
      <c r="H2784" s="11">
        <v>2090</v>
      </c>
      <c r="I2784" s="11">
        <v>1</v>
      </c>
      <c r="J2784" s="11">
        <v>0</v>
      </c>
      <c r="K2784" s="11" t="s">
        <v>21</v>
      </c>
      <c r="L2784" s="7">
        <v>40074.873726851853</v>
      </c>
      <c r="M2784" s="12" t="s">
        <v>6961</v>
      </c>
      <c r="N2784" s="12" t="s">
        <v>6962</v>
      </c>
      <c r="O2784" s="10" t="str">
        <f>HYPERLINK("https://pbs.twimg.com/profile_images/719276237852643332/JHIB8NHt_normal.jpg","View")</f>
        <v>View</v>
      </c>
      <c r="P2784" s="11"/>
    </row>
    <row r="2785" spans="1:16" ht="12.75" x14ac:dyDescent="0.35">
      <c r="A2785" s="7">
        <v>42482.499895833331</v>
      </c>
      <c r="B2785" s="8" t="str">
        <f>HYPERLINK("https://twitter.com/egghat","@egghat")</f>
        <v>@egghat</v>
      </c>
      <c r="C2785" s="9" t="s">
        <v>6963</v>
      </c>
      <c r="D2785" s="9" t="s">
        <v>6964</v>
      </c>
      <c r="E2785" s="10" t="str">
        <f>HYPERLINK("https://twitter.com/egghat/status/723398393930752000","723398393930752000")</f>
        <v>723398393930752000</v>
      </c>
      <c r="F2785" s="11" t="s">
        <v>80</v>
      </c>
      <c r="G2785" s="11">
        <v>4295</v>
      </c>
      <c r="H2785" s="11">
        <v>2834</v>
      </c>
      <c r="I2785" s="11">
        <v>0</v>
      </c>
      <c r="J2785" s="11">
        <v>0</v>
      </c>
      <c r="K2785" s="11" t="s">
        <v>21</v>
      </c>
      <c r="L2785" s="7">
        <v>39128.879351851851</v>
      </c>
      <c r="M2785" s="12" t="s">
        <v>262</v>
      </c>
      <c r="N2785" s="12" t="s">
        <v>6965</v>
      </c>
      <c r="O2785" s="10" t="str">
        <f>HYPERLINK("https://pbs.twimg.com/profile_images/378800000224968476/c294d065bce1ad2be4f47cd67e6bc13b_normal.jpeg","View")</f>
        <v>View</v>
      </c>
      <c r="P2785" s="11"/>
    </row>
    <row r="2786" spans="1:16" ht="12.75" x14ac:dyDescent="0.35">
      <c r="A2786" s="7">
        <v>42482.500034722223</v>
      </c>
      <c r="B2786" s="8" t="str">
        <f>HYPERLINK("https://twitter.com/Scirocco_Tuning","@Scirocco_Tuning")</f>
        <v>@Scirocco_Tuning</v>
      </c>
      <c r="C2786" s="9" t="s">
        <v>51</v>
      </c>
      <c r="D2786" s="9" t="s">
        <v>6966</v>
      </c>
      <c r="E2786" s="10" t="str">
        <f>HYPERLINK("https://twitter.com/Scirocco_Tuning/status/723398443041845249","723398443041845249")</f>
        <v>723398443041845249</v>
      </c>
      <c r="F2786" s="11" t="s">
        <v>53</v>
      </c>
      <c r="G2786" s="11">
        <v>69</v>
      </c>
      <c r="H2786" s="11">
        <v>215</v>
      </c>
      <c r="I2786" s="11">
        <v>1</v>
      </c>
      <c r="J2786" s="11">
        <v>0</v>
      </c>
      <c r="K2786" s="11" t="s">
        <v>21</v>
      </c>
      <c r="L2786" s="7">
        <v>40844.564722222218</v>
      </c>
      <c r="M2786" s="12"/>
      <c r="N2786" s="12"/>
      <c r="O2786" s="10" t="str">
        <f>HYPERLINK("https://pbs.twimg.com/profile_images/1610421423/Image2_normal.jpg","View")</f>
        <v>View</v>
      </c>
      <c r="P2786" s="11"/>
    </row>
    <row r="2787" spans="1:16" ht="12.75" x14ac:dyDescent="0.35">
      <c r="A2787" s="7">
        <v>42482.500300925924</v>
      </c>
      <c r="B2787" s="8" t="str">
        <f>HYPERLINK("https://twitter.com/CamperDiemSBD","@CamperDiemSBD")</f>
        <v>@CamperDiemSBD</v>
      </c>
      <c r="C2787" s="9" t="s">
        <v>6967</v>
      </c>
      <c r="D2787" s="9" t="s">
        <v>6968</v>
      </c>
      <c r="E2787" s="10" t="str">
        <f>HYPERLINK("https://twitter.com/CamperDiemSBD/status/723398540957876224","723398540957876224")</f>
        <v>723398540957876224</v>
      </c>
      <c r="F2787" s="11" t="s">
        <v>152</v>
      </c>
      <c r="G2787" s="11">
        <v>57</v>
      </c>
      <c r="H2787" s="11">
        <v>36</v>
      </c>
      <c r="I2787" s="11">
        <v>1</v>
      </c>
      <c r="J2787" s="11">
        <v>0</v>
      </c>
      <c r="K2787" s="11" t="s">
        <v>21</v>
      </c>
      <c r="L2787" s="7">
        <v>42247.722662037035</v>
      </c>
      <c r="M2787" s="12" t="s">
        <v>6969</v>
      </c>
      <c r="N2787" s="12" t="s">
        <v>6970</v>
      </c>
      <c r="O2787" s="10" t="str">
        <f>HYPERLINK("https://pbs.twimg.com/profile_images/689426162498478080/oFvjyyk9_normal.jpg","View")</f>
        <v>View</v>
      </c>
      <c r="P2787" s="11"/>
    </row>
    <row r="2788" spans="1:16" ht="12.75" x14ac:dyDescent="0.35">
      <c r="A2788" s="7">
        <v>42482.500324074077</v>
      </c>
      <c r="B2788" s="8" t="str">
        <f>HYPERLINK("https://twitter.com/grobilixx1","@grobilixx1")</f>
        <v>@grobilixx1</v>
      </c>
      <c r="C2788" s="9" t="s">
        <v>6971</v>
      </c>
      <c r="D2788" s="9" t="s">
        <v>6734</v>
      </c>
      <c r="E2788" s="10" t="str">
        <f>HYPERLINK("https://twitter.com/grobilixx1/status/723398546628599809","723398546628599809")</f>
        <v>723398546628599809</v>
      </c>
      <c r="F2788" s="11" t="s">
        <v>20</v>
      </c>
      <c r="G2788" s="11">
        <v>82</v>
      </c>
      <c r="H2788" s="11">
        <v>96</v>
      </c>
      <c r="I2788" s="11">
        <v>8</v>
      </c>
      <c r="J2788" s="11">
        <v>0</v>
      </c>
      <c r="K2788" s="11" t="s">
        <v>21</v>
      </c>
      <c r="L2788" s="7">
        <v>42435.917002314818</v>
      </c>
      <c r="M2788" s="12"/>
      <c r="N2788" s="12"/>
      <c r="O2788" s="10" t="str">
        <f>HYPERLINK("https://pbs.twimg.com/profile_images/706519560221036546/fcl3hDQu_normal.jpg","View")</f>
        <v>View</v>
      </c>
      <c r="P2788" s="11"/>
    </row>
    <row r="2789" spans="1:16" ht="12.75" x14ac:dyDescent="0.35">
      <c r="A2789" s="7">
        <v>42482.500752314816</v>
      </c>
      <c r="B2789" s="8" t="str">
        <f>HYPERLINK("https://twitter.com/fraippolito","@fraippolito")</f>
        <v>@fraippolito</v>
      </c>
      <c r="C2789" s="9" t="s">
        <v>6972</v>
      </c>
      <c r="D2789" s="9" t="s">
        <v>6973</v>
      </c>
      <c r="E2789" s="10" t="str">
        <f>HYPERLINK("https://twitter.com/fraippolito/status/723398703688507393","723398703688507393")</f>
        <v>723398703688507393</v>
      </c>
      <c r="F2789" s="11" t="s">
        <v>193</v>
      </c>
      <c r="G2789" s="11">
        <v>3744</v>
      </c>
      <c r="H2789" s="11">
        <v>3404</v>
      </c>
      <c r="I2789" s="11">
        <v>0</v>
      </c>
      <c r="J2789" s="11">
        <v>0</v>
      </c>
      <c r="K2789" s="11" t="s">
        <v>21</v>
      </c>
      <c r="L2789" s="7">
        <v>41248.383969907409</v>
      </c>
      <c r="M2789" s="12" t="s">
        <v>6974</v>
      </c>
      <c r="N2789" s="12" t="s">
        <v>6975</v>
      </c>
      <c r="O2789" s="10" t="str">
        <f>HYPERLINK("https://pbs.twimg.com/profile_images/668381091280089088/VH7RN1Om_normal.jpg","View")</f>
        <v>View</v>
      </c>
      <c r="P2789" s="11"/>
    </row>
    <row r="2790" spans="1:16" ht="12.75" x14ac:dyDescent="0.35">
      <c r="A2790" s="7">
        <v>42482.501030092593</v>
      </c>
      <c r="B2790" s="8" t="str">
        <f>HYPERLINK("https://twitter.com/deanomsport","@deanomsport")</f>
        <v>@deanomsport</v>
      </c>
      <c r="C2790" s="9" t="s">
        <v>1282</v>
      </c>
      <c r="D2790" s="9" t="s">
        <v>6797</v>
      </c>
      <c r="E2790" s="10" t="str">
        <f>HYPERLINK("https://twitter.com/deanomsport/status/723398802539847680","723398802539847680")</f>
        <v>723398802539847680</v>
      </c>
      <c r="F2790" s="11" t="s">
        <v>20</v>
      </c>
      <c r="G2790" s="11">
        <v>215</v>
      </c>
      <c r="H2790" s="11">
        <v>386</v>
      </c>
      <c r="I2790" s="11">
        <v>3</v>
      </c>
      <c r="J2790" s="11">
        <v>0</v>
      </c>
      <c r="K2790" s="11" t="s">
        <v>21</v>
      </c>
      <c r="L2790" s="7">
        <v>40496.158229166671</v>
      </c>
      <c r="M2790" s="12" t="s">
        <v>1284</v>
      </c>
      <c r="N2790" s="12" t="s">
        <v>1285</v>
      </c>
      <c r="O2790" s="10" t="str">
        <f>HYPERLINK("https://pbs.twimg.com/profile_images/653310353653297153/bYVyhn8J_normal.jpg","View")</f>
        <v>View</v>
      </c>
      <c r="P2790" s="11"/>
    </row>
    <row r="2791" spans="1:16" ht="12.75" x14ac:dyDescent="0.35">
      <c r="A2791" s="7">
        <v>42482.501226851848</v>
      </c>
      <c r="B2791" s="8" t="str">
        <f>HYPERLINK("https://twitter.com/Treysse","@Treysse")</f>
        <v>@Treysse</v>
      </c>
      <c r="C2791" s="9" t="s">
        <v>6976</v>
      </c>
      <c r="D2791" s="9" t="s">
        <v>6977</v>
      </c>
      <c r="E2791" s="10" t="str">
        <f>HYPERLINK("https://twitter.com/Treysse/status/723398873968840708","723398873968840708")</f>
        <v>723398873968840708</v>
      </c>
      <c r="F2791" s="11" t="s">
        <v>53</v>
      </c>
      <c r="G2791" s="11">
        <v>761</v>
      </c>
      <c r="H2791" s="11">
        <v>1815</v>
      </c>
      <c r="I2791" s="11">
        <v>0</v>
      </c>
      <c r="J2791" s="11">
        <v>0</v>
      </c>
      <c r="K2791" s="11" t="s">
        <v>21</v>
      </c>
      <c r="L2791" s="7">
        <v>40043.96806712963</v>
      </c>
      <c r="M2791" s="12" t="s">
        <v>1359</v>
      </c>
      <c r="N2791" s="12" t="s">
        <v>6978</v>
      </c>
      <c r="O2791" s="10" t="str">
        <f>HYPERLINK("https://pbs.twimg.com/profile_images/475350384392011776/Ep-1fmnv_normal.jpeg","View")</f>
        <v>View</v>
      </c>
      <c r="P2791" s="11"/>
    </row>
    <row r="2792" spans="1:16" ht="12.75" x14ac:dyDescent="0.35">
      <c r="A2792" s="7">
        <v>42482.502650462964</v>
      </c>
      <c r="B2792" s="8" t="str">
        <f>HYPERLINK("https://twitter.com/gutbranson","@gutbranson")</f>
        <v>@gutbranson</v>
      </c>
      <c r="C2792" s="9" t="s">
        <v>6979</v>
      </c>
      <c r="D2792" s="9" t="s">
        <v>6980</v>
      </c>
      <c r="E2792" s="10" t="str">
        <f>HYPERLINK("https://twitter.com/gutbranson/status/723399391885725696","723399391885725696")</f>
        <v>723399391885725696</v>
      </c>
      <c r="F2792" s="11" t="s">
        <v>43</v>
      </c>
      <c r="G2792" s="11">
        <v>295</v>
      </c>
      <c r="H2792" s="11">
        <v>288</v>
      </c>
      <c r="I2792" s="11">
        <v>0</v>
      </c>
      <c r="J2792" s="11">
        <v>0</v>
      </c>
      <c r="K2792" s="11" t="s">
        <v>21</v>
      </c>
      <c r="L2792" s="7">
        <v>40274.969166666662</v>
      </c>
      <c r="M2792" s="12"/>
      <c r="N2792" s="12"/>
      <c r="O2792" s="10" t="str">
        <f>HYPERLINK("https://pbs.twimg.com/profile_images/378800000064765573/248fcabf29a8f3dd423048707d883cf6_normal.jpeg","View")</f>
        <v>View</v>
      </c>
      <c r="P2792" s="11"/>
    </row>
    <row r="2793" spans="1:16" ht="12.75" x14ac:dyDescent="0.35">
      <c r="A2793" s="7">
        <v>42482.502962962964</v>
      </c>
      <c r="B2793" s="8" t="str">
        <f>HYPERLINK("https://twitter.com/ebaycampervans","@ebaycampervans")</f>
        <v>@ebaycampervans</v>
      </c>
      <c r="C2793" s="9" t="s">
        <v>682</v>
      </c>
      <c r="D2793" s="9" t="s">
        <v>6981</v>
      </c>
      <c r="E2793" s="10" t="str">
        <f>HYPERLINK("https://twitter.com/ebaycampervans/status/723399501956808704","723399501956808704")</f>
        <v>723399501956808704</v>
      </c>
      <c r="F2793" s="11" t="s">
        <v>34</v>
      </c>
      <c r="G2793" s="11">
        <v>380</v>
      </c>
      <c r="H2793" s="11">
        <v>1002</v>
      </c>
      <c r="I2793" s="11">
        <v>0</v>
      </c>
      <c r="J2793" s="11">
        <v>0</v>
      </c>
      <c r="K2793" s="11" t="s">
        <v>21</v>
      </c>
      <c r="L2793" s="7">
        <v>42140.207604166666</v>
      </c>
      <c r="M2793" s="12"/>
      <c r="N2793" s="12" t="s">
        <v>684</v>
      </c>
      <c r="O2793" s="10" t="str">
        <f>HYPERLINK("https://pbs.twimg.com/profile_images/599357023407464449/BL9Bpo6T_normal.jpg","View")</f>
        <v>View</v>
      </c>
      <c r="P2793" s="11"/>
    </row>
    <row r="2794" spans="1:16" ht="12.75" x14ac:dyDescent="0.35">
      <c r="A2794" s="7">
        <v>42482.503055555557</v>
      </c>
      <c r="B2794" s="8" t="str">
        <f>HYPERLINK("https://twitter.com/derFunk","@derFunk")</f>
        <v>@derFunk</v>
      </c>
      <c r="C2794" s="9" t="s">
        <v>6982</v>
      </c>
      <c r="D2794" s="9" t="s">
        <v>6983</v>
      </c>
      <c r="E2794" s="10" t="str">
        <f>HYPERLINK("https://twitter.com/derFunk/status/723399538157875201","723399538157875201")</f>
        <v>723399538157875201</v>
      </c>
      <c r="F2794" s="11" t="s">
        <v>114</v>
      </c>
      <c r="G2794" s="11">
        <v>248</v>
      </c>
      <c r="H2794" s="11">
        <v>293</v>
      </c>
      <c r="I2794" s="11">
        <v>5</v>
      </c>
      <c r="J2794" s="11">
        <v>3</v>
      </c>
      <c r="K2794" s="11" t="s">
        <v>21</v>
      </c>
      <c r="L2794" s="7">
        <v>40063.816574074073</v>
      </c>
      <c r="M2794" s="12" t="s">
        <v>6984</v>
      </c>
      <c r="N2794" s="12" t="s">
        <v>6985</v>
      </c>
      <c r="O2794" s="10" t="str">
        <f>HYPERLINK("https://pbs.twimg.com/profile_images/631104996868792320/QX53Q6UB_normal.jpg","View")</f>
        <v>View</v>
      </c>
      <c r="P2794" s="11"/>
    </row>
    <row r="2795" spans="1:16" ht="12.75" x14ac:dyDescent="0.35">
      <c r="A2795" s="7">
        <v>42482.503159722226</v>
      </c>
      <c r="B2795" s="8" t="str">
        <f>HYPERLINK("https://twitter.com/IlseTV","@IlseTV")</f>
        <v>@IlseTV</v>
      </c>
      <c r="C2795" s="9" t="s">
        <v>6986</v>
      </c>
      <c r="D2795" s="9" t="s">
        <v>6987</v>
      </c>
      <c r="E2795" s="10" t="str">
        <f>HYPERLINK("https://twitter.com/IlseTV/status/723399574421790722","723399574421790722")</f>
        <v>723399574421790722</v>
      </c>
      <c r="F2795" s="11" t="s">
        <v>91</v>
      </c>
      <c r="G2795" s="11">
        <v>46</v>
      </c>
      <c r="H2795" s="11">
        <v>76</v>
      </c>
      <c r="I2795" s="11">
        <v>0</v>
      </c>
      <c r="J2795" s="11">
        <v>0</v>
      </c>
      <c r="K2795" s="11" t="s">
        <v>21</v>
      </c>
      <c r="L2795" s="7">
        <v>40143.493726851855</v>
      </c>
      <c r="M2795" s="12" t="s">
        <v>6988</v>
      </c>
      <c r="N2795" s="12" t="s">
        <v>6989</v>
      </c>
      <c r="O2795" s="10" t="str">
        <f>HYPERLINK("https://pbs.twimg.com/profile_images/637698864691159041/ps7J2zNx_normal.jpg","View")</f>
        <v>View</v>
      </c>
      <c r="P2795" s="11"/>
    </row>
    <row r="2796" spans="1:16" ht="12.75" x14ac:dyDescent="0.35">
      <c r="A2796" s="7">
        <v>42482.503634259258</v>
      </c>
      <c r="B2796" s="8" t="str">
        <f>HYPERLINK("https://twitter.com/katycollins","@katycollins")</f>
        <v>@katycollins</v>
      </c>
      <c r="C2796" s="9" t="s">
        <v>6990</v>
      </c>
      <c r="D2796" s="9" t="s">
        <v>5021</v>
      </c>
      <c r="E2796" s="10" t="str">
        <f>HYPERLINK("https://twitter.com/katycollins/status/723399747675942912","723399747675942912")</f>
        <v>723399747675942912</v>
      </c>
      <c r="F2796" s="11" t="s">
        <v>91</v>
      </c>
      <c r="G2796" s="11">
        <v>411</v>
      </c>
      <c r="H2796" s="11">
        <v>1226</v>
      </c>
      <c r="I2796" s="11">
        <v>2</v>
      </c>
      <c r="J2796" s="11">
        <v>0</v>
      </c>
      <c r="K2796" s="11" t="s">
        <v>21</v>
      </c>
      <c r="L2796" s="7">
        <v>40022.758333333331</v>
      </c>
      <c r="M2796" s="12" t="s">
        <v>6991</v>
      </c>
      <c r="N2796" s="12" t="s">
        <v>6992</v>
      </c>
      <c r="O2796" s="10" t="str">
        <f>HYPERLINK("https://pbs.twimg.com/profile_images/2611891825/076eb352-56d5-466d-b640-e643006f4748_normal.png","View")</f>
        <v>View</v>
      </c>
      <c r="P2796" s="11"/>
    </row>
    <row r="2797" spans="1:16" ht="12.75" x14ac:dyDescent="0.35">
      <c r="A2797" s="7">
        <v>42482.503750000003</v>
      </c>
      <c r="B2797" s="8" t="str">
        <f>HYPERLINK("https://twitter.com/Cardboard_VR","@Cardboard_VR")</f>
        <v>@Cardboard_VR</v>
      </c>
      <c r="C2797" s="9" t="s">
        <v>6993</v>
      </c>
      <c r="D2797" s="9" t="s">
        <v>6994</v>
      </c>
      <c r="E2797" s="10" t="str">
        <f>HYPERLINK("https://twitter.com/Cardboard_VR/status/723399790789189634","723399790789189634")</f>
        <v>723399790789189634</v>
      </c>
      <c r="F2797" s="11" t="s">
        <v>6995</v>
      </c>
      <c r="G2797" s="11">
        <v>10475</v>
      </c>
      <c r="H2797" s="11">
        <v>219</v>
      </c>
      <c r="I2797" s="11">
        <v>5</v>
      </c>
      <c r="J2797" s="11">
        <v>0</v>
      </c>
      <c r="K2797" s="11" t="s">
        <v>21</v>
      </c>
      <c r="L2797" s="7">
        <v>42302.306030092594</v>
      </c>
      <c r="M2797" s="12"/>
      <c r="N2797" s="12" t="s">
        <v>6996</v>
      </c>
      <c r="O2797" s="10" t="str">
        <f>HYPERLINK("https://pbs.twimg.com/profile_images/658098750582222848/5O-0Z2C3_normal.jpg","View")</f>
        <v>View</v>
      </c>
      <c r="P2797" s="11"/>
    </row>
    <row r="2798" spans="1:16" ht="12.75" x14ac:dyDescent="0.35">
      <c r="A2798" s="7">
        <v>42482.503888888888</v>
      </c>
      <c r="B2798" s="8" t="str">
        <f>HYPERLINK("https://twitter.com/jobless_mike","@jobless_mike")</f>
        <v>@jobless_mike</v>
      </c>
      <c r="C2798" s="9" t="s">
        <v>6997</v>
      </c>
      <c r="D2798" s="9" t="s">
        <v>6994</v>
      </c>
      <c r="E2798" s="10" t="str">
        <f>HYPERLINK("https://twitter.com/jobless_mike/status/723399838667145216","723399838667145216")</f>
        <v>723399838667145216</v>
      </c>
      <c r="F2798" s="11" t="s">
        <v>288</v>
      </c>
      <c r="G2798" s="11">
        <v>3501</v>
      </c>
      <c r="H2798" s="11">
        <v>3480</v>
      </c>
      <c r="I2798" s="11">
        <v>5</v>
      </c>
      <c r="J2798" s="11">
        <v>0</v>
      </c>
      <c r="K2798" s="11" t="s">
        <v>21</v>
      </c>
      <c r="L2798" s="7">
        <v>42420.090509259258</v>
      </c>
      <c r="M2798" s="12" t="s">
        <v>6998</v>
      </c>
      <c r="N2798" s="12" t="s">
        <v>6999</v>
      </c>
      <c r="O2798" s="10" t="str">
        <f>HYPERLINK("https://pbs.twimg.com/profile_images/700782877558964225/WliMK81e_normal.jpg","View")</f>
        <v>View</v>
      </c>
      <c r="P2798" s="11"/>
    </row>
    <row r="2799" spans="1:16" ht="12.75" x14ac:dyDescent="0.35">
      <c r="A2799" s="7">
        <v>42482.505694444444</v>
      </c>
      <c r="B2799" s="8" t="str">
        <f>HYPERLINK("https://twitter.com/ibotrampe","@ibotrampe")</f>
        <v>@ibotrampe</v>
      </c>
      <c r="C2799" s="9" t="s">
        <v>7000</v>
      </c>
      <c r="D2799" s="9" t="s">
        <v>7001</v>
      </c>
      <c r="E2799" s="10" t="str">
        <f>HYPERLINK("https://twitter.com/ibotrampe/status/723400494719213569","723400494719213569")</f>
        <v>723400494719213569</v>
      </c>
      <c r="F2799" s="11" t="s">
        <v>91</v>
      </c>
      <c r="G2799" s="11">
        <v>1144</v>
      </c>
      <c r="H2799" s="11">
        <v>1705</v>
      </c>
      <c r="I2799" s="11">
        <v>1</v>
      </c>
      <c r="J2799" s="11">
        <v>0</v>
      </c>
      <c r="K2799" s="11" t="s">
        <v>21</v>
      </c>
      <c r="L2799" s="7">
        <v>39646.591666666667</v>
      </c>
      <c r="M2799" s="12" t="s">
        <v>953</v>
      </c>
      <c r="N2799" s="12" t="s">
        <v>7002</v>
      </c>
      <c r="O2799" s="10" t="str">
        <f>HYPERLINK("https://pbs.twimg.com/profile_images/718350313720324097/N0vIwr6s_normal.jpg","View")</f>
        <v>View</v>
      </c>
      <c r="P2799" s="11"/>
    </row>
    <row r="2800" spans="1:16" ht="12.75" x14ac:dyDescent="0.35">
      <c r="A2800" s="7">
        <v>42482.505937499998</v>
      </c>
      <c r="B2800" s="8" t="str">
        <f>HYPERLINK("https://twitter.com/EmirDiz","@EmirDiz")</f>
        <v>@EmirDiz</v>
      </c>
      <c r="C2800" s="9" t="s">
        <v>7003</v>
      </c>
      <c r="D2800" s="9" t="s">
        <v>7004</v>
      </c>
      <c r="E2800" s="10" t="str">
        <f>HYPERLINK("https://twitter.com/EmirDiz/status/723400581306454017","723400581306454017")</f>
        <v>723400581306454017</v>
      </c>
      <c r="F2800" s="11" t="s">
        <v>43</v>
      </c>
      <c r="G2800" s="11">
        <v>480</v>
      </c>
      <c r="H2800" s="11">
        <v>922</v>
      </c>
      <c r="I2800" s="11">
        <v>0</v>
      </c>
      <c r="J2800" s="11">
        <v>0</v>
      </c>
      <c r="K2800" s="11" t="s">
        <v>21</v>
      </c>
      <c r="L2800" s="7">
        <v>41839.036898148144</v>
      </c>
      <c r="M2800" s="12" t="s">
        <v>3289</v>
      </c>
      <c r="N2800" s="12" t="s">
        <v>7005</v>
      </c>
      <c r="O2800" s="10" t="str">
        <f>HYPERLINK("https://pbs.twimg.com/profile_images/709468057991847936/MtiJQLfP_normal.jpg","View")</f>
        <v>View</v>
      </c>
      <c r="P2800" s="11"/>
    </row>
    <row r="2801" spans="1:16" ht="12.75" x14ac:dyDescent="0.35">
      <c r="A2801" s="7">
        <v>42482.506006944444</v>
      </c>
      <c r="B2801" s="8" t="str">
        <f>HYPERLINK("https://twitter.com/ZetsusHotDog","@ZetsusHotDog")</f>
        <v>@ZetsusHotDog</v>
      </c>
      <c r="C2801" s="9" t="s">
        <v>7006</v>
      </c>
      <c r="D2801" s="9" t="s">
        <v>7007</v>
      </c>
      <c r="E2801" s="10" t="str">
        <f>HYPERLINK("https://twitter.com/ZetsusHotDog/status/723400606170247168","723400606170247168")</f>
        <v>723400606170247168</v>
      </c>
      <c r="F2801" s="11" t="s">
        <v>48</v>
      </c>
      <c r="G2801" s="11">
        <v>42</v>
      </c>
      <c r="H2801" s="11">
        <v>169</v>
      </c>
      <c r="I2801" s="11">
        <v>0</v>
      </c>
      <c r="J2801" s="11">
        <v>1</v>
      </c>
      <c r="K2801" s="11" t="s">
        <v>21</v>
      </c>
      <c r="L2801" s="7">
        <v>40100.058854166666</v>
      </c>
      <c r="M2801" s="12" t="s">
        <v>7008</v>
      </c>
      <c r="N2801" s="12" t="s">
        <v>7009</v>
      </c>
      <c r="O2801" s="10" t="str">
        <f>HYPERLINK("https://pbs.twimg.com/profile_images/674695329724375040/S_GDHQ3B_normal.png","View")</f>
        <v>View</v>
      </c>
      <c r="P2801" s="11"/>
    </row>
    <row r="2802" spans="1:16" ht="12.75" x14ac:dyDescent="0.35">
      <c r="A2802" s="7">
        <v>42482.506388888884</v>
      </c>
      <c r="B2802" s="8" t="str">
        <f>HYPERLINK("https://twitter.com/elenagergen","@elenagergen")</f>
        <v>@elenagergen</v>
      </c>
      <c r="C2802" s="9" t="s">
        <v>7010</v>
      </c>
      <c r="D2802" s="9" t="s">
        <v>7011</v>
      </c>
      <c r="E2802" s="10" t="str">
        <f>HYPERLINK("https://twitter.com/elenagergen/status/723400747098869760","723400747098869760")</f>
        <v>723400747098869760</v>
      </c>
      <c r="F2802" s="11" t="s">
        <v>119</v>
      </c>
      <c r="G2802" s="11">
        <v>132</v>
      </c>
      <c r="H2802" s="11">
        <v>453</v>
      </c>
      <c r="I2802" s="11">
        <v>0</v>
      </c>
      <c r="J2802" s="11">
        <v>0</v>
      </c>
      <c r="K2802" s="11" t="s">
        <v>21</v>
      </c>
      <c r="L2802" s="7">
        <v>41549.173043981486</v>
      </c>
      <c r="M2802" s="12"/>
      <c r="N2802" s="12" t="s">
        <v>7012</v>
      </c>
      <c r="O2802" s="10" t="str">
        <f>HYPERLINK("https://pbs.twimg.com/profile_images/595353521379254272/73N-1R9W_normal.jpg","View")</f>
        <v>View</v>
      </c>
      <c r="P2802" s="11"/>
    </row>
    <row r="2803" spans="1:16" ht="12.75" x14ac:dyDescent="0.35">
      <c r="A2803" s="7">
        <v>42482.507152777776</v>
      </c>
      <c r="B2803" s="8" t="str">
        <f>HYPERLINK("https://twitter.com/Thomas_Jakob","@Thomas_Jakob")</f>
        <v>@Thomas_Jakob</v>
      </c>
      <c r="C2803" s="9" t="s">
        <v>7013</v>
      </c>
      <c r="D2803" s="9" t="s">
        <v>7014</v>
      </c>
      <c r="E2803" s="10" t="str">
        <f>HYPERLINK("https://twitter.com/Thomas_Jakob/status/723401022773719040","723401022773719040")</f>
        <v>723401022773719040</v>
      </c>
      <c r="F2803" s="11" t="s">
        <v>43</v>
      </c>
      <c r="G2803" s="11">
        <v>620</v>
      </c>
      <c r="H2803" s="11">
        <v>537</v>
      </c>
      <c r="I2803" s="11">
        <v>0</v>
      </c>
      <c r="J2803" s="11">
        <v>1</v>
      </c>
      <c r="K2803" s="11" t="s">
        <v>21</v>
      </c>
      <c r="L2803" s="7">
        <v>40968.085416666669</v>
      </c>
      <c r="M2803" s="12"/>
      <c r="N2803" s="12" t="s">
        <v>7015</v>
      </c>
      <c r="O2803" s="10" t="str">
        <f>HYPERLINK("https://pbs.twimg.com/profile_images/1951351455/thomas5b_normal.jpg","View")</f>
        <v>View</v>
      </c>
      <c r="P2803" s="11"/>
    </row>
    <row r="2804" spans="1:16" ht="12.75" x14ac:dyDescent="0.35">
      <c r="A2804" s="7">
        <v>42482.507523148146</v>
      </c>
      <c r="B2804" s="8" t="str">
        <f>HYPERLINK("https://twitter.com/ufomedia","@ufomedia")</f>
        <v>@ufomedia</v>
      </c>
      <c r="C2804" s="9" t="s">
        <v>7016</v>
      </c>
      <c r="D2804" s="9" t="s">
        <v>7017</v>
      </c>
      <c r="E2804" s="10" t="str">
        <f>HYPERLINK("https://twitter.com/ufomedia/status/723401156915912705","723401156915912705")</f>
        <v>723401156915912705</v>
      </c>
      <c r="F2804" s="11" t="s">
        <v>20</v>
      </c>
      <c r="G2804" s="11">
        <v>5532</v>
      </c>
      <c r="H2804" s="11">
        <v>635</v>
      </c>
      <c r="I2804" s="11">
        <v>1</v>
      </c>
      <c r="J2804" s="11">
        <v>0</v>
      </c>
      <c r="K2804" s="11" t="s">
        <v>21</v>
      </c>
      <c r="L2804" s="7">
        <v>39868.892812500002</v>
      </c>
      <c r="M2804" s="12" t="s">
        <v>7018</v>
      </c>
      <c r="N2804" s="12" t="s">
        <v>7019</v>
      </c>
      <c r="O2804" s="10" t="str">
        <f>HYPERLINK("https://pbs.twimg.com/profile_images/1229956769/Ufomedia-Avatar_normal.jpg","View")</f>
        <v>View</v>
      </c>
      <c r="P2804" s="11"/>
    </row>
    <row r="2805" spans="1:16" ht="12.75" x14ac:dyDescent="0.35">
      <c r="A2805" s="7">
        <v>42482.508113425924</v>
      </c>
      <c r="B2805" s="8" t="str">
        <f t="shared" ref="B2805:B2806" si="269">HYPERLINK("https://twitter.com/techhippie","@techhippie")</f>
        <v>@techhippie</v>
      </c>
      <c r="C2805" s="9" t="s">
        <v>246</v>
      </c>
      <c r="D2805" s="9" t="s">
        <v>7020</v>
      </c>
      <c r="E2805" s="10" t="str">
        <f>HYPERLINK("https://twitter.com/techhippie/status/723401370418585601","723401370418585601")</f>
        <v>723401370418585601</v>
      </c>
      <c r="F2805" s="11" t="s">
        <v>68</v>
      </c>
      <c r="G2805" s="11">
        <v>2471</v>
      </c>
      <c r="H2805" s="11">
        <v>3835</v>
      </c>
      <c r="I2805" s="11">
        <v>0</v>
      </c>
      <c r="J2805" s="11">
        <v>0</v>
      </c>
      <c r="K2805" s="11" t="s">
        <v>21</v>
      </c>
      <c r="L2805" s="7">
        <v>42424.852152777778</v>
      </c>
      <c r="M2805" s="12" t="s">
        <v>248</v>
      </c>
      <c r="N2805" s="12" t="s">
        <v>249</v>
      </c>
      <c r="O2805" s="10" t="str">
        <f t="shared" ref="O2805:O2806" si="270">HYPERLINK("https://pbs.twimg.com/profile_images/702511217793863680/lty8h9vE_normal.jpg","View")</f>
        <v>View</v>
      </c>
      <c r="P2805" s="11"/>
    </row>
    <row r="2806" spans="1:16" ht="12.75" x14ac:dyDescent="0.35">
      <c r="A2806" s="7">
        <v>42482.508148148147</v>
      </c>
      <c r="B2806" s="8" t="str">
        <f t="shared" si="269"/>
        <v>@techhippie</v>
      </c>
      <c r="C2806" s="9" t="s">
        <v>246</v>
      </c>
      <c r="D2806" s="9" t="s">
        <v>7021</v>
      </c>
      <c r="E2806" s="10" t="str">
        <f>HYPERLINK("https://twitter.com/techhippie/status/723401383555158016","723401383555158016")</f>
        <v>723401383555158016</v>
      </c>
      <c r="F2806" s="11" t="s">
        <v>68</v>
      </c>
      <c r="G2806" s="11">
        <v>2471</v>
      </c>
      <c r="H2806" s="11">
        <v>3835</v>
      </c>
      <c r="I2806" s="11">
        <v>0</v>
      </c>
      <c r="J2806" s="11">
        <v>0</v>
      </c>
      <c r="K2806" s="11" t="s">
        <v>21</v>
      </c>
      <c r="L2806" s="7">
        <v>42424.852152777778</v>
      </c>
      <c r="M2806" s="12" t="s">
        <v>248</v>
      </c>
      <c r="N2806" s="12" t="s">
        <v>249</v>
      </c>
      <c r="O2806" s="10" t="str">
        <f t="shared" si="270"/>
        <v>View</v>
      </c>
      <c r="P2806" s="11"/>
    </row>
    <row r="2807" spans="1:16" ht="12.75" x14ac:dyDescent="0.35">
      <c r="A2807" s="7">
        <v>42482.508842592593</v>
      </c>
      <c r="B2807" s="8" t="str">
        <f>HYPERLINK("https://twitter.com/StaceJake","@StaceJake")</f>
        <v>@StaceJake</v>
      </c>
      <c r="C2807" s="9" t="s">
        <v>7022</v>
      </c>
      <c r="D2807" s="9" t="s">
        <v>7023</v>
      </c>
      <c r="E2807" s="10" t="str">
        <f>HYPERLINK("https://twitter.com/StaceJake/status/723401636073197570","723401636073197570")</f>
        <v>723401636073197570</v>
      </c>
      <c r="F2807" s="11" t="s">
        <v>20</v>
      </c>
      <c r="G2807" s="11">
        <v>487</v>
      </c>
      <c r="H2807" s="11">
        <v>291</v>
      </c>
      <c r="I2807" s="11">
        <v>6</v>
      </c>
      <c r="J2807" s="11">
        <v>0</v>
      </c>
      <c r="K2807" s="11" t="s">
        <v>21</v>
      </c>
      <c r="L2807" s="7">
        <v>40769.980590277773</v>
      </c>
      <c r="M2807" s="12"/>
      <c r="N2807" s="12"/>
      <c r="O2807" s="10" t="str">
        <f>HYPERLINK("https://pbs.twimg.com/profile_images/666680114047004673/dUHoQqwN_normal.jpg","View")</f>
        <v>View</v>
      </c>
      <c r="P2807" s="11"/>
    </row>
    <row r="2808" spans="1:16" ht="12.75" x14ac:dyDescent="0.35">
      <c r="A2808" s="7">
        <v>42482.509131944447</v>
      </c>
      <c r="B2808" s="8" t="str">
        <f>HYPERLINK("https://twitter.com/MarkCSchneider","@MarkCSchneider")</f>
        <v>@MarkCSchneider</v>
      </c>
      <c r="C2808" s="9" t="s">
        <v>952</v>
      </c>
      <c r="D2808" s="9" t="s">
        <v>6734</v>
      </c>
      <c r="E2808" s="10" t="str">
        <f>HYPERLINK("https://twitter.com/MarkCSchneider/status/723401740825976832","723401740825976832")</f>
        <v>723401740825976832</v>
      </c>
      <c r="F2808" s="11" t="s">
        <v>20</v>
      </c>
      <c r="G2808" s="11">
        <v>370</v>
      </c>
      <c r="H2808" s="11">
        <v>335</v>
      </c>
      <c r="I2808" s="11">
        <v>8</v>
      </c>
      <c r="J2808" s="11">
        <v>0</v>
      </c>
      <c r="K2808" s="11" t="s">
        <v>21</v>
      </c>
      <c r="L2808" s="7">
        <v>41495.558136574073</v>
      </c>
      <c r="M2808" s="12" t="s">
        <v>953</v>
      </c>
      <c r="N2808" s="12"/>
      <c r="O2808" s="10" t="str">
        <f>HYPERLINK("https://pbs.twimg.com/profile_images/706784695795769345/XGXgdjww_normal.jpg","View")</f>
        <v>View</v>
      </c>
      <c r="P2808" s="11"/>
    </row>
    <row r="2809" spans="1:16" ht="12.75" x14ac:dyDescent="0.35">
      <c r="A2809" s="7">
        <v>42482.509513888886</v>
      </c>
      <c r="B2809" s="8" t="str">
        <f>HYPERLINK("https://twitter.com/woltron2","@woltron2")</f>
        <v>@woltron2</v>
      </c>
      <c r="C2809" s="9" t="s">
        <v>7024</v>
      </c>
      <c r="D2809" s="9" t="s">
        <v>7025</v>
      </c>
      <c r="E2809" s="10" t="str">
        <f>HYPERLINK("https://twitter.com/woltron2/status/723401876050300928","723401876050300928")</f>
        <v>723401876050300928</v>
      </c>
      <c r="F2809" s="11" t="s">
        <v>91</v>
      </c>
      <c r="G2809" s="11">
        <v>484</v>
      </c>
      <c r="H2809" s="11">
        <v>152</v>
      </c>
      <c r="I2809" s="11">
        <v>0</v>
      </c>
      <c r="J2809" s="11">
        <v>1</v>
      </c>
      <c r="K2809" s="11" t="s">
        <v>21</v>
      </c>
      <c r="L2809" s="7">
        <v>41297.837037037039</v>
      </c>
      <c r="M2809" s="12" t="s">
        <v>7026</v>
      </c>
      <c r="N2809" s="12" t="s">
        <v>7027</v>
      </c>
      <c r="O2809" s="10" t="str">
        <f>HYPERLINK("https://pbs.twimg.com/profile_images/699886430294831105/PTszJzYs_normal.jpg","View")</f>
        <v>View</v>
      </c>
      <c r="P2809" s="11"/>
    </row>
    <row r="2810" spans="1:16" ht="12.75" x14ac:dyDescent="0.35">
      <c r="A2810" s="7">
        <v>42482.509791666671</v>
      </c>
      <c r="B2810" s="8" t="str">
        <f>HYPERLINK("https://twitter.com/VWBeetleSales","@VWBeetleSales")</f>
        <v>@VWBeetleSales</v>
      </c>
      <c r="C2810" s="9" t="s">
        <v>127</v>
      </c>
      <c r="D2810" s="9" t="s">
        <v>7028</v>
      </c>
      <c r="E2810" s="10" t="str">
        <f>HYPERLINK("https://twitter.com/VWBeetleSales/status/723401979033063424","723401979033063424")</f>
        <v>723401979033063424</v>
      </c>
      <c r="F2810" s="10" t="s">
        <v>124</v>
      </c>
      <c r="G2810" s="11">
        <v>35</v>
      </c>
      <c r="H2810" s="11">
        <v>32</v>
      </c>
      <c r="I2810" s="11">
        <v>0</v>
      </c>
      <c r="J2810" s="11">
        <v>0</v>
      </c>
      <c r="K2810" s="11" t="s">
        <v>21</v>
      </c>
      <c r="L2810" s="7">
        <v>42427.019756944443</v>
      </c>
      <c r="M2810" s="12" t="s">
        <v>129</v>
      </c>
      <c r="N2810" s="12" t="s">
        <v>130</v>
      </c>
      <c r="O2810" s="10" t="str">
        <f>HYPERLINK("https://pbs.twimg.com/profile_images/703294545195307008/qeCvrX86_normal.jpg","View")</f>
        <v>View</v>
      </c>
      <c r="P2810" s="11"/>
    </row>
    <row r="2811" spans="1:16" ht="12.75" x14ac:dyDescent="0.35">
      <c r="A2811" s="7">
        <v>42482.510312500002</v>
      </c>
      <c r="B2811" s="8" t="str">
        <f>HYPERLINK("https://twitter.com/Optares_Auto","@Optares_Auto")</f>
        <v>@Optares_Auto</v>
      </c>
      <c r="C2811" s="9" t="s">
        <v>7029</v>
      </c>
      <c r="D2811" s="9" t="s">
        <v>6734</v>
      </c>
      <c r="E2811" s="10" t="str">
        <f>HYPERLINK("https://twitter.com/Optares_Auto/status/723402166371676163","723402166371676163")</f>
        <v>723402166371676163</v>
      </c>
      <c r="F2811" s="11" t="s">
        <v>43</v>
      </c>
      <c r="G2811" s="11">
        <v>193</v>
      </c>
      <c r="H2811" s="11">
        <v>604</v>
      </c>
      <c r="I2811" s="11">
        <v>8</v>
      </c>
      <c r="J2811" s="11">
        <v>0</v>
      </c>
      <c r="K2811" s="11" t="s">
        <v>21</v>
      </c>
      <c r="L2811" s="7">
        <v>41414.720902777779</v>
      </c>
      <c r="M2811" s="12" t="s">
        <v>7030</v>
      </c>
      <c r="N2811" s="12" t="s">
        <v>7031</v>
      </c>
      <c r="O2811" s="10" t="str">
        <f>HYPERLINK("https://pbs.twimg.com/profile_images/664751224772624384/5z4kQwIv_normal.jpg","View")</f>
        <v>View</v>
      </c>
      <c r="P2811" s="11"/>
    </row>
    <row r="2812" spans="1:16" ht="12.75" x14ac:dyDescent="0.35">
      <c r="A2812" s="7">
        <v>42482.510717592595</v>
      </c>
      <c r="B2812" s="8" t="str">
        <f t="shared" ref="B2812:B2814" si="271">HYPERLINK("https://twitter.com/VivaRedd","@VivaRedd")</f>
        <v>@VivaRedd</v>
      </c>
      <c r="C2812" s="9" t="s">
        <v>7032</v>
      </c>
      <c r="D2812" s="9" t="s">
        <v>6816</v>
      </c>
      <c r="E2812" s="10" t="str">
        <f>HYPERLINK("https://twitter.com/VivaRedd/status/723402312543133696","723402312543133696")</f>
        <v>723402312543133696</v>
      </c>
      <c r="F2812" s="11" t="s">
        <v>20</v>
      </c>
      <c r="G2812" s="11">
        <v>289</v>
      </c>
      <c r="H2812" s="11">
        <v>387</v>
      </c>
      <c r="I2812" s="11">
        <v>2</v>
      </c>
      <c r="J2812" s="11">
        <v>0</v>
      </c>
      <c r="K2812" s="11" t="s">
        <v>21</v>
      </c>
      <c r="L2812" s="7">
        <v>39960.385740740741</v>
      </c>
      <c r="M2812" s="12" t="s">
        <v>7033</v>
      </c>
      <c r="N2812" s="12"/>
      <c r="O2812" s="10" t="str">
        <f t="shared" ref="O2812:O2814" si="272">HYPERLINK("https://pbs.twimg.com/profile_images/551428279262257153/nmSvHIJ7_normal.jpeg","View")</f>
        <v>View</v>
      </c>
      <c r="P2812" s="11"/>
    </row>
    <row r="2813" spans="1:16" ht="12.75" x14ac:dyDescent="0.35">
      <c r="A2813" s="7">
        <v>42482.510937500003</v>
      </c>
      <c r="B2813" s="8" t="str">
        <f t="shared" si="271"/>
        <v>@VivaRedd</v>
      </c>
      <c r="C2813" s="9" t="s">
        <v>7032</v>
      </c>
      <c r="D2813" s="9" t="s">
        <v>5168</v>
      </c>
      <c r="E2813" s="10" t="str">
        <f>HYPERLINK("https://twitter.com/VivaRedd/status/723402395774906369","723402395774906369")</f>
        <v>723402395774906369</v>
      </c>
      <c r="F2813" s="11" t="s">
        <v>20</v>
      </c>
      <c r="G2813" s="11">
        <v>289</v>
      </c>
      <c r="H2813" s="11">
        <v>387</v>
      </c>
      <c r="I2813" s="11">
        <v>10</v>
      </c>
      <c r="J2813" s="11">
        <v>0</v>
      </c>
      <c r="K2813" s="11" t="s">
        <v>21</v>
      </c>
      <c r="L2813" s="7">
        <v>39960.385740740741</v>
      </c>
      <c r="M2813" s="12" t="s">
        <v>7033</v>
      </c>
      <c r="N2813" s="12"/>
      <c r="O2813" s="10" t="str">
        <f t="shared" si="272"/>
        <v>View</v>
      </c>
      <c r="P2813" s="11"/>
    </row>
    <row r="2814" spans="1:16" ht="12.75" x14ac:dyDescent="0.35">
      <c r="A2814" s="7">
        <v>42482.511053240742</v>
      </c>
      <c r="B2814" s="8" t="str">
        <f t="shared" si="271"/>
        <v>@VivaRedd</v>
      </c>
      <c r="C2814" s="9" t="s">
        <v>7032</v>
      </c>
      <c r="D2814" s="9" t="s">
        <v>6797</v>
      </c>
      <c r="E2814" s="10" t="str">
        <f>HYPERLINK("https://twitter.com/VivaRedd/status/723402434979069952","723402434979069952")</f>
        <v>723402434979069952</v>
      </c>
      <c r="F2814" s="11" t="s">
        <v>20</v>
      </c>
      <c r="G2814" s="11">
        <v>289</v>
      </c>
      <c r="H2814" s="11">
        <v>387</v>
      </c>
      <c r="I2814" s="11">
        <v>3</v>
      </c>
      <c r="J2814" s="11">
        <v>0</v>
      </c>
      <c r="K2814" s="11" t="s">
        <v>21</v>
      </c>
      <c r="L2814" s="7">
        <v>39960.385740740741</v>
      </c>
      <c r="M2814" s="12" t="s">
        <v>7033</v>
      </c>
      <c r="N2814" s="12"/>
      <c r="O2814" s="10" t="str">
        <f t="shared" si="272"/>
        <v>View</v>
      </c>
      <c r="P2814" s="11"/>
    </row>
    <row r="2815" spans="1:16" ht="12.75" x14ac:dyDescent="0.35">
      <c r="A2815" s="7">
        <v>42482.511122685188</v>
      </c>
      <c r="B2815" s="8" t="str">
        <f>HYPERLINK("https://twitter.com/SPIEGELONLINE","@SPIEGELONLINE")</f>
        <v>@SPIEGELONLINE</v>
      </c>
      <c r="C2815" s="9" t="s">
        <v>962</v>
      </c>
      <c r="D2815" s="9" t="s">
        <v>7034</v>
      </c>
      <c r="E2815" s="10" t="str">
        <f>HYPERLINK("https://twitter.com/SPIEGELONLINE/status/723402460832780289","723402460832780289")</f>
        <v>723402460832780289</v>
      </c>
      <c r="F2815" s="11" t="s">
        <v>63</v>
      </c>
      <c r="G2815" s="11">
        <v>1327297</v>
      </c>
      <c r="H2815" s="11">
        <v>295</v>
      </c>
      <c r="I2815" s="11">
        <v>9</v>
      </c>
      <c r="J2815" s="11">
        <v>5</v>
      </c>
      <c r="K2815" s="11" t="s">
        <v>21</v>
      </c>
      <c r="L2815" s="7">
        <v>39170.767199074078</v>
      </c>
      <c r="M2815" s="12" t="s">
        <v>964</v>
      </c>
      <c r="N2815" s="12" t="s">
        <v>965</v>
      </c>
      <c r="O2815" s="10" t="str">
        <f>HYPERLINK("https://pbs.twimg.com/profile_images/1719664041/tw_spon_normal.jpg","View")</f>
        <v>View</v>
      </c>
      <c r="P2815" s="11"/>
    </row>
    <row r="2816" spans="1:16" ht="12.75" x14ac:dyDescent="0.35">
      <c r="A2816" s="7">
        <v>42482.511446759258</v>
      </c>
      <c r="B2816" s="8" t="str">
        <f>HYPERLINK("https://twitter.com/CDespierres","@CDespierres")</f>
        <v>@CDespierres</v>
      </c>
      <c r="C2816" s="9" t="s">
        <v>7035</v>
      </c>
      <c r="D2816" s="9" t="s">
        <v>7036</v>
      </c>
      <c r="E2816" s="10" t="str">
        <f>HYPERLINK("https://twitter.com/CDespierres/status/723402576884957184","723402576884957184")</f>
        <v>723402576884957184</v>
      </c>
      <c r="F2816" s="11" t="s">
        <v>91</v>
      </c>
      <c r="G2816" s="11">
        <v>700</v>
      </c>
      <c r="H2816" s="11">
        <v>1384</v>
      </c>
      <c r="I2816" s="11">
        <v>9</v>
      </c>
      <c r="J2816" s="11">
        <v>0</v>
      </c>
      <c r="K2816" s="11" t="s">
        <v>21</v>
      </c>
      <c r="L2816" s="7">
        <v>41107.008287037039</v>
      </c>
      <c r="M2816" s="12" t="s">
        <v>7037</v>
      </c>
      <c r="N2816" s="12" t="s">
        <v>7038</v>
      </c>
      <c r="O2816" s="10" t="str">
        <f>HYPERLINK("https://pbs.twimg.com/profile_images/510061225103724544/CuYLl5Xy_normal.jpeg","View")</f>
        <v>View</v>
      </c>
      <c r="P2816" s="11"/>
    </row>
    <row r="2817" spans="1:16" ht="12.75" x14ac:dyDescent="0.35">
      <c r="A2817" s="7">
        <v>42482.512210648143</v>
      </c>
      <c r="B2817" s="8" t="str">
        <f>HYPERLINK("https://twitter.com/FelixLo525","@FelixLo525")</f>
        <v>@FelixLo525</v>
      </c>
      <c r="C2817" s="9" t="s">
        <v>7039</v>
      </c>
      <c r="D2817" s="9" t="s">
        <v>7040</v>
      </c>
      <c r="E2817" s="10" t="str">
        <f>HYPERLINK("https://twitter.com/FelixLo525/status/723402855873269760","723402855873269760")</f>
        <v>723402855873269760</v>
      </c>
      <c r="F2817" s="11" t="s">
        <v>48</v>
      </c>
      <c r="G2817" s="11">
        <v>263</v>
      </c>
      <c r="H2817" s="11">
        <v>895</v>
      </c>
      <c r="I2817" s="11">
        <v>0</v>
      </c>
      <c r="J2817" s="11">
        <v>0</v>
      </c>
      <c r="K2817" s="11" t="s">
        <v>21</v>
      </c>
      <c r="L2817" s="7">
        <v>39555.87767361111</v>
      </c>
      <c r="M2817" s="12" t="s">
        <v>7041</v>
      </c>
      <c r="N2817" s="12" t="s">
        <v>7042</v>
      </c>
      <c r="O2817" s="10" t="str">
        <f>HYPERLINK("https://pbs.twimg.com/profile_images/699878662313746432/BuMJ4YhB_normal.jpg","View")</f>
        <v>View</v>
      </c>
      <c r="P2817" s="11"/>
    </row>
    <row r="2818" spans="1:16" ht="12.75" x14ac:dyDescent="0.35">
      <c r="A2818" s="7">
        <v>42482.512372685189</v>
      </c>
      <c r="B2818" s="8" t="str">
        <f>HYPERLINK("https://twitter.com/deutch_az","@deutch_az")</f>
        <v>@deutch_az</v>
      </c>
      <c r="C2818" s="9" t="s">
        <v>1188</v>
      </c>
      <c r="D2818" s="9" t="s">
        <v>7043</v>
      </c>
      <c r="E2818" s="10" t="str">
        <f>HYPERLINK("https://twitter.com/deutch_az/status/723402913616293888","723402913616293888")</f>
        <v>723402913616293888</v>
      </c>
      <c r="F2818" s="11" t="s">
        <v>43</v>
      </c>
      <c r="G2818" s="11">
        <v>521</v>
      </c>
      <c r="H2818" s="11">
        <v>1444</v>
      </c>
      <c r="I2818" s="11">
        <v>0</v>
      </c>
      <c r="J2818" s="11">
        <v>0</v>
      </c>
      <c r="K2818" s="11" t="s">
        <v>21</v>
      </c>
      <c r="L2818" s="7">
        <v>42305.594456018516</v>
      </c>
      <c r="M2818" s="12"/>
      <c r="N2818" s="12"/>
      <c r="O2818" s="10" t="str">
        <f>HYPERLINK("https://pbs.twimg.com/profile_images/659295730222280705/W1FqHCVo_normal.jpg","View")</f>
        <v>View</v>
      </c>
      <c r="P2818" s="11"/>
    </row>
    <row r="2819" spans="1:16" ht="12.75" x14ac:dyDescent="0.35">
      <c r="A2819" s="7">
        <v>42482.51262731482</v>
      </c>
      <c r="B2819" s="8" t="str">
        <f>HYPERLINK("https://twitter.com/dialz16","@dialz16")</f>
        <v>@dialz16</v>
      </c>
      <c r="C2819" s="9" t="s">
        <v>7044</v>
      </c>
      <c r="D2819" s="9" t="s">
        <v>7036</v>
      </c>
      <c r="E2819" s="10" t="str">
        <f>HYPERLINK("https://twitter.com/dialz16/status/723403006486552576","723403006486552576")</f>
        <v>723403006486552576</v>
      </c>
      <c r="F2819" s="11" t="s">
        <v>20</v>
      </c>
      <c r="G2819" s="11">
        <v>13</v>
      </c>
      <c r="H2819" s="11">
        <v>204</v>
      </c>
      <c r="I2819" s="11">
        <v>9</v>
      </c>
      <c r="J2819" s="11">
        <v>0</v>
      </c>
      <c r="K2819" s="11" t="s">
        <v>21</v>
      </c>
      <c r="L2819" s="7">
        <v>42317.901284722218</v>
      </c>
      <c r="M2819" s="12"/>
      <c r="N2819" s="12"/>
      <c r="O2819" s="10" t="str">
        <f>HYPERLINK("https://pbs.twimg.com/profile_images/663751331430141952/pqnM4ICz_normal.jpg","View")</f>
        <v>View</v>
      </c>
      <c r="P2819" s="11"/>
    </row>
    <row r="2820" spans="1:16" ht="12.75" x14ac:dyDescent="0.35">
      <c r="A2820" s="7">
        <v>42482.512754629628</v>
      </c>
      <c r="B2820" s="8" t="str">
        <f>HYPERLINK("https://twitter.com/VolkerVotsmeier","@VolkerVotsmeier")</f>
        <v>@VolkerVotsmeier</v>
      </c>
      <c r="C2820" s="9" t="s">
        <v>1220</v>
      </c>
      <c r="D2820" s="9" t="s">
        <v>7045</v>
      </c>
      <c r="E2820" s="10" t="str">
        <f>HYPERLINK("https://twitter.com/VolkerVotsmeier/status/723403051780837376","723403051780837376")</f>
        <v>723403051780837376</v>
      </c>
      <c r="F2820" s="11" t="s">
        <v>43</v>
      </c>
      <c r="G2820" s="11">
        <v>1735</v>
      </c>
      <c r="H2820" s="11">
        <v>819</v>
      </c>
      <c r="I2820" s="11">
        <v>3</v>
      </c>
      <c r="J2820" s="11">
        <v>0</v>
      </c>
      <c r="K2820" s="11" t="s">
        <v>21</v>
      </c>
      <c r="L2820" s="7">
        <v>41289.594131944446</v>
      </c>
      <c r="M2820" s="12" t="s">
        <v>975</v>
      </c>
      <c r="N2820" s="12" t="s">
        <v>1222</v>
      </c>
      <c r="O2820" s="10" t="str">
        <f>HYPERLINK("https://pbs.twimg.com/profile_images/507897198911053824/7OqYAonJ_normal.jpeg","View")</f>
        <v>View</v>
      </c>
      <c r="P2820" s="11"/>
    </row>
    <row r="2821" spans="1:16" ht="12.75" x14ac:dyDescent="0.35">
      <c r="A2821" s="7">
        <v>42482.512789351851</v>
      </c>
      <c r="B2821" s="8" t="str">
        <f>HYPERLINK("https://twitter.com/Kanix007","@Kanix007")</f>
        <v>@Kanix007</v>
      </c>
      <c r="C2821" s="9" t="s">
        <v>7046</v>
      </c>
      <c r="D2821" s="9" t="s">
        <v>7036</v>
      </c>
      <c r="E2821" s="10" t="str">
        <f>HYPERLINK("https://twitter.com/Kanix007/status/723403064518955009","723403064518955009")</f>
        <v>723403064518955009</v>
      </c>
      <c r="F2821" s="11" t="s">
        <v>20</v>
      </c>
      <c r="G2821" s="11">
        <v>1468</v>
      </c>
      <c r="H2821" s="11">
        <v>301</v>
      </c>
      <c r="I2821" s="11">
        <v>9</v>
      </c>
      <c r="J2821" s="11">
        <v>0</v>
      </c>
      <c r="K2821" s="11" t="s">
        <v>21</v>
      </c>
      <c r="L2821" s="7">
        <v>40328.722696759258</v>
      </c>
      <c r="M2821" s="12" t="s">
        <v>7047</v>
      </c>
      <c r="N2821" s="12" t="s">
        <v>7048</v>
      </c>
      <c r="O2821" s="10" t="str">
        <f>HYPERLINK("https://pbs.twimg.com/profile_images/692850796598157312/0HMy-Q3Y_normal.jpg","View")</f>
        <v>View</v>
      </c>
      <c r="P2821" s="11"/>
    </row>
    <row r="2822" spans="1:16" ht="12.75" x14ac:dyDescent="0.35">
      <c r="A2822" s="7">
        <v>42482.513692129629</v>
      </c>
      <c r="B2822" s="8" t="str">
        <f>HYPERLINK("https://twitter.com/DMonigatti","@DMonigatti")</f>
        <v>@DMonigatti</v>
      </c>
      <c r="C2822" s="9" t="s">
        <v>7049</v>
      </c>
      <c r="D2822" s="9" t="s">
        <v>7036</v>
      </c>
      <c r="E2822" s="10" t="str">
        <f>HYPERLINK("https://twitter.com/DMonigatti/status/723403391536242688","723403391536242688")</f>
        <v>723403391536242688</v>
      </c>
      <c r="F2822" s="11" t="s">
        <v>48</v>
      </c>
      <c r="G2822" s="11">
        <v>1756</v>
      </c>
      <c r="H2822" s="11">
        <v>2214</v>
      </c>
      <c r="I2822" s="11">
        <v>9</v>
      </c>
      <c r="J2822" s="11">
        <v>0</v>
      </c>
      <c r="K2822" s="11" t="s">
        <v>21</v>
      </c>
      <c r="L2822" s="7">
        <v>41024.100740740745</v>
      </c>
      <c r="M2822" s="12" t="s">
        <v>7050</v>
      </c>
      <c r="N2822" s="12" t="s">
        <v>7051</v>
      </c>
      <c r="O2822" s="10" t="str">
        <f>HYPERLINK("https://pbs.twimg.com/profile_images/2999836477/4d9c72a43686f65998c0622a06942dd8_normal.jpeg","View")</f>
        <v>View</v>
      </c>
      <c r="P2822" s="11"/>
    </row>
    <row r="2823" spans="1:16" ht="12.75" x14ac:dyDescent="0.35">
      <c r="A2823" s="7">
        <v>42482.51394675926</v>
      </c>
      <c r="B2823" s="8" t="str">
        <f>HYPERLINK("https://twitter.com/cmsGOMEX","@cmsGOMEX")</f>
        <v>@cmsGOMEX</v>
      </c>
      <c r="C2823" s="9" t="s">
        <v>2519</v>
      </c>
      <c r="D2823" s="9" t="s">
        <v>7052</v>
      </c>
      <c r="E2823" s="10" t="str">
        <f>HYPERLINK("https://twitter.com/cmsGOMEX/status/723403484284878848","723403484284878848")</f>
        <v>723403484284878848</v>
      </c>
      <c r="F2823" s="11" t="s">
        <v>43</v>
      </c>
      <c r="G2823" s="11">
        <v>653</v>
      </c>
      <c r="H2823" s="11">
        <v>462</v>
      </c>
      <c r="I2823" s="11">
        <v>0</v>
      </c>
      <c r="J2823" s="11">
        <v>0</v>
      </c>
      <c r="K2823" s="11" t="s">
        <v>21</v>
      </c>
      <c r="L2823" s="7">
        <v>39983.775879629626</v>
      </c>
      <c r="M2823" s="12" t="s">
        <v>1116</v>
      </c>
      <c r="N2823" s="12" t="s">
        <v>2521</v>
      </c>
      <c r="O2823" s="10" t="str">
        <f>HYPERLINK("https://pbs.twimg.com/profile_images/472298206483607552/UogAMiRI_normal.png","View")</f>
        <v>View</v>
      </c>
      <c r="P2823" s="11"/>
    </row>
    <row r="2824" spans="1:16" ht="12.75" x14ac:dyDescent="0.35">
      <c r="A2824" s="7">
        <v>42482.514641203699</v>
      </c>
      <c r="B2824" s="8" t="str">
        <f>HYPERLINK("https://twitter.com/tazgezwitscher","@tazgezwitscher")</f>
        <v>@tazgezwitscher</v>
      </c>
      <c r="C2824" s="9" t="s">
        <v>7053</v>
      </c>
      <c r="D2824" s="9" t="s">
        <v>7054</v>
      </c>
      <c r="E2824" s="10" t="str">
        <f>HYPERLINK("https://twitter.com/tazgezwitscher/status/723403735049736192","723403735049736192")</f>
        <v>723403735049736192</v>
      </c>
      <c r="F2824" s="11" t="s">
        <v>43</v>
      </c>
      <c r="G2824" s="11">
        <v>435496</v>
      </c>
      <c r="H2824" s="11">
        <v>995</v>
      </c>
      <c r="I2824" s="11">
        <v>2</v>
      </c>
      <c r="J2824" s="11">
        <v>2</v>
      </c>
      <c r="K2824" s="11" t="s">
        <v>21</v>
      </c>
      <c r="L2824" s="7">
        <v>39625.786516203705</v>
      </c>
      <c r="M2824" s="12" t="s">
        <v>7055</v>
      </c>
      <c r="N2824" s="12" t="s">
        <v>7056</v>
      </c>
      <c r="O2824" s="10" t="str">
        <f>HYPERLINK("https://pbs.twimg.com/profile_images/454280998159532032/Pq43tr1F_normal.png","View")</f>
        <v>View</v>
      </c>
      <c r="P2824" s="11"/>
    </row>
    <row r="2825" spans="1:16" ht="12.75" x14ac:dyDescent="0.35">
      <c r="A2825" s="7">
        <v>42482.515324074076</v>
      </c>
      <c r="B2825" s="8" t="str">
        <f t="shared" ref="B2825:B2826" si="273">HYPERLINK("https://twitter.com/VWCamperSales","@VWCamperSales")</f>
        <v>@VWCamperSales</v>
      </c>
      <c r="C2825" s="9" t="s">
        <v>216</v>
      </c>
      <c r="D2825" s="9" t="s">
        <v>7057</v>
      </c>
      <c r="E2825" s="10" t="str">
        <f>HYPERLINK("https://twitter.com/VWCamperSales/status/723403983436402689","723403983436402689")</f>
        <v>723403983436402689</v>
      </c>
      <c r="F2825" s="10" t="s">
        <v>124</v>
      </c>
      <c r="G2825" s="11">
        <v>615</v>
      </c>
      <c r="H2825" s="11">
        <v>580</v>
      </c>
      <c r="I2825" s="11">
        <v>0</v>
      </c>
      <c r="J2825" s="11">
        <v>0</v>
      </c>
      <c r="K2825" s="11" t="s">
        <v>21</v>
      </c>
      <c r="L2825" s="7">
        <v>42215.98809027778</v>
      </c>
      <c r="M2825" s="12" t="s">
        <v>129</v>
      </c>
      <c r="N2825" s="12" t="s">
        <v>218</v>
      </c>
      <c r="O2825" s="10" t="str">
        <f t="shared" ref="O2825:O2826" si="274">HYPERLINK("https://pbs.twimg.com/profile_images/627949001179037696/skEBkS05_normal.jpg","View")</f>
        <v>View</v>
      </c>
      <c r="P2825" s="11"/>
    </row>
    <row r="2826" spans="1:16" ht="12.75" x14ac:dyDescent="0.35">
      <c r="A2826" s="7">
        <v>42482.515335648146</v>
      </c>
      <c r="B2826" s="8" t="str">
        <f t="shared" si="273"/>
        <v>@VWCamperSales</v>
      </c>
      <c r="C2826" s="9" t="s">
        <v>216</v>
      </c>
      <c r="D2826" s="9" t="s">
        <v>7058</v>
      </c>
      <c r="E2826" s="10" t="str">
        <f>HYPERLINK("https://twitter.com/VWCamperSales/status/723403986762485760","723403986762485760")</f>
        <v>723403986762485760</v>
      </c>
      <c r="F2826" s="10" t="s">
        <v>124</v>
      </c>
      <c r="G2826" s="11">
        <v>615</v>
      </c>
      <c r="H2826" s="11">
        <v>580</v>
      </c>
      <c r="I2826" s="11">
        <v>1</v>
      </c>
      <c r="J2826" s="11">
        <v>0</v>
      </c>
      <c r="K2826" s="11" t="s">
        <v>21</v>
      </c>
      <c r="L2826" s="7">
        <v>42215.98809027778</v>
      </c>
      <c r="M2826" s="12" t="s">
        <v>129</v>
      </c>
      <c r="N2826" s="12" t="s">
        <v>218</v>
      </c>
      <c r="O2826" s="10" t="str">
        <f t="shared" si="274"/>
        <v>View</v>
      </c>
      <c r="P2826" s="11"/>
    </row>
    <row r="2827" spans="1:16" ht="12.75" x14ac:dyDescent="0.35">
      <c r="A2827" s="7">
        <v>42482.515416666662</v>
      </c>
      <c r="B2827" s="8" t="str">
        <f>HYPERLINK("https://twitter.com/handelsblatt","@handelsblatt")</f>
        <v>@handelsblatt</v>
      </c>
      <c r="C2827" s="9" t="s">
        <v>973</v>
      </c>
      <c r="D2827" s="9" t="s">
        <v>7059</v>
      </c>
      <c r="E2827" s="10" t="str">
        <f>HYPERLINK("https://twitter.com/handelsblatt/status/723404017200586753","723404017200586753")</f>
        <v>723404017200586753</v>
      </c>
      <c r="F2827" s="11" t="s">
        <v>288</v>
      </c>
      <c r="G2827" s="11">
        <v>239918</v>
      </c>
      <c r="H2827" s="11">
        <v>534</v>
      </c>
      <c r="I2827" s="11">
        <v>3</v>
      </c>
      <c r="J2827" s="11">
        <v>0</v>
      </c>
      <c r="K2827" s="11" t="s">
        <v>21</v>
      </c>
      <c r="L2827" s="7">
        <v>39207.128182870372</v>
      </c>
      <c r="M2827" s="12" t="s">
        <v>975</v>
      </c>
      <c r="N2827" s="12" t="s">
        <v>976</v>
      </c>
      <c r="O2827" s="10" t="str">
        <f>HYPERLINK("https://pbs.twimg.com/profile_images/562563461171798017/AkHF4keI_normal.png","View")</f>
        <v>View</v>
      </c>
      <c r="P2827" s="11"/>
    </row>
    <row r="2828" spans="1:16" ht="12.75" x14ac:dyDescent="0.35">
      <c r="A2828" s="7">
        <v>42482.515844907408</v>
      </c>
      <c r="B2828" s="8" t="str">
        <f>HYPERLINK("https://twitter.com/Insta_Lego","@Insta_Lego")</f>
        <v>@Insta_Lego</v>
      </c>
      <c r="C2828" s="9" t="s">
        <v>7060</v>
      </c>
      <c r="D2828" s="9" t="s">
        <v>7061</v>
      </c>
      <c r="E2828" s="10" t="str">
        <f>HYPERLINK("https://twitter.com/Insta_Lego/status/723404171056041985","723404171056041985")</f>
        <v>723404171056041985</v>
      </c>
      <c r="F2828" s="11" t="s">
        <v>68</v>
      </c>
      <c r="G2828" s="11">
        <v>1030</v>
      </c>
      <c r="H2828" s="11">
        <v>0</v>
      </c>
      <c r="I2828" s="11">
        <v>0</v>
      </c>
      <c r="J2828" s="11">
        <v>1</v>
      </c>
      <c r="K2828" s="11" t="s">
        <v>21</v>
      </c>
      <c r="L2828" s="7">
        <v>41667.633483796293</v>
      </c>
      <c r="M2828" s="12" t="s">
        <v>2754</v>
      </c>
      <c r="N2828" s="12" t="s">
        <v>7062</v>
      </c>
      <c r="O2828" s="10" t="str">
        <f>HYPERLINK("https://pbs.twimg.com/profile_images/428101261989122048/m96h9SFV_normal.jpeg","View")</f>
        <v>View</v>
      </c>
      <c r="P2828" s="11"/>
    </row>
    <row r="2829" spans="1:16" ht="12.75" x14ac:dyDescent="0.35">
      <c r="A2829" s="7">
        <v>42482.516215277778</v>
      </c>
      <c r="B2829" s="8" t="str">
        <f>HYPERLINK("https://twitter.com/MartinTriker","@MartinTriker")</f>
        <v>@MartinTriker</v>
      </c>
      <c r="C2829" s="9" t="s">
        <v>7063</v>
      </c>
      <c r="D2829" s="9" t="s">
        <v>7064</v>
      </c>
      <c r="E2829" s="10" t="str">
        <f>HYPERLINK("https://twitter.com/MartinTriker/status/723404304850161664","723404304850161664")</f>
        <v>723404304850161664</v>
      </c>
      <c r="F2829" s="11" t="s">
        <v>43</v>
      </c>
      <c r="G2829" s="11">
        <v>551</v>
      </c>
      <c r="H2829" s="11">
        <v>772</v>
      </c>
      <c r="I2829" s="11">
        <v>2</v>
      </c>
      <c r="J2829" s="11">
        <v>0</v>
      </c>
      <c r="K2829" s="11" t="s">
        <v>21</v>
      </c>
      <c r="L2829" s="7">
        <v>40996.46193287037</v>
      </c>
      <c r="M2829" s="12" t="s">
        <v>1169</v>
      </c>
      <c r="N2829" s="12" t="s">
        <v>7065</v>
      </c>
      <c r="O2829" s="10" t="str">
        <f>HYPERLINK("https://pbs.twimg.com/profile_images/679601052325416960/dCWFENi-_normal.jpg","View")</f>
        <v>View</v>
      </c>
      <c r="P2829" s="11"/>
    </row>
    <row r="2830" spans="1:16" ht="12.75" x14ac:dyDescent="0.35">
      <c r="A2830" s="7">
        <v>42482.516608796301</v>
      </c>
      <c r="B2830" s="8" t="str">
        <f>HYPERLINK("https://twitter.com/LGlimm","@LGlimm")</f>
        <v>@LGlimm</v>
      </c>
      <c r="C2830" s="9" t="s">
        <v>7066</v>
      </c>
      <c r="D2830" s="9" t="s">
        <v>7067</v>
      </c>
      <c r="E2830" s="10" t="str">
        <f>HYPERLINK("https://twitter.com/LGlimm/status/723404449813651456","723404449813651456")</f>
        <v>723404449813651456</v>
      </c>
      <c r="F2830" s="11" t="s">
        <v>63</v>
      </c>
      <c r="G2830" s="11">
        <v>206</v>
      </c>
      <c r="H2830" s="11">
        <v>210</v>
      </c>
      <c r="I2830" s="11">
        <v>0</v>
      </c>
      <c r="J2830" s="11">
        <v>1</v>
      </c>
      <c r="K2830" s="11" t="s">
        <v>21</v>
      </c>
      <c r="L2830" s="7">
        <v>41152.826863425929</v>
      </c>
      <c r="M2830" s="12" t="s">
        <v>1107</v>
      </c>
      <c r="N2830" s="12" t="s">
        <v>7068</v>
      </c>
      <c r="O2830" s="10" t="str">
        <f>HYPERLINK("https://pbs.twimg.com/profile_images/378800000695047180/29e744def32e796e78ace7f04ccadc69_normal.jpeg","View")</f>
        <v>View</v>
      </c>
      <c r="P2830" s="11"/>
    </row>
    <row r="2831" spans="1:16" ht="12.75" x14ac:dyDescent="0.35">
      <c r="A2831" s="7">
        <v>42482.517106481479</v>
      </c>
      <c r="B2831" s="8" t="str">
        <f>HYPERLINK("https://twitter.com/aktienboersen","@aktienboersen")</f>
        <v>@aktienboersen</v>
      </c>
      <c r="C2831" s="9" t="s">
        <v>7069</v>
      </c>
      <c r="D2831" s="9" t="s">
        <v>7070</v>
      </c>
      <c r="E2831" s="10" t="str">
        <f>HYPERLINK("https://twitter.com/aktienboersen/status/723404630957268993","723404630957268993")</f>
        <v>723404630957268993</v>
      </c>
      <c r="F2831" s="11" t="s">
        <v>2206</v>
      </c>
      <c r="G2831" s="11">
        <v>232</v>
      </c>
      <c r="H2831" s="11">
        <v>24</v>
      </c>
      <c r="I2831" s="11">
        <v>0</v>
      </c>
      <c r="J2831" s="11">
        <v>0</v>
      </c>
      <c r="K2831" s="11" t="s">
        <v>21</v>
      </c>
      <c r="L2831" s="7">
        <v>41606.967685185184</v>
      </c>
      <c r="M2831" s="12" t="s">
        <v>1359</v>
      </c>
      <c r="N2831" s="12" t="s">
        <v>7071</v>
      </c>
      <c r="O2831" s="10" t="str">
        <f>HYPERLINK("https://pbs.twimg.com/profile_images/378800000845025515/04b4cc9dbcccb348e257afe7bbbdc348_normal.jpeg","View")</f>
        <v>View</v>
      </c>
      <c r="P2831" s="11"/>
    </row>
    <row r="2832" spans="1:16" ht="12.75" x14ac:dyDescent="0.35">
      <c r="A2832" s="7">
        <v>42482.517280092594</v>
      </c>
      <c r="B2832" s="8" t="str">
        <f>HYPERLINK("https://twitter.com/meckergecko","@meckergecko")</f>
        <v>@meckergecko</v>
      </c>
      <c r="C2832" s="9" t="s">
        <v>7072</v>
      </c>
      <c r="D2832" s="9" t="s">
        <v>7064</v>
      </c>
      <c r="E2832" s="10" t="str">
        <f>HYPERLINK("https://twitter.com/meckergecko/status/723404694081572864","723404694081572864")</f>
        <v>723404694081572864</v>
      </c>
      <c r="F2832" s="11" t="s">
        <v>3721</v>
      </c>
      <c r="G2832" s="11">
        <v>471</v>
      </c>
      <c r="H2832" s="11">
        <v>329</v>
      </c>
      <c r="I2832" s="11">
        <v>2</v>
      </c>
      <c r="J2832" s="11">
        <v>0</v>
      </c>
      <c r="K2832" s="11" t="s">
        <v>21</v>
      </c>
      <c r="L2832" s="7">
        <v>40074.28869212963</v>
      </c>
      <c r="M2832" s="12"/>
      <c r="N2832" s="12" t="s">
        <v>7073</v>
      </c>
      <c r="O2832" s="10" t="str">
        <f>HYPERLINK("https://pbs.twimg.com/profile_images/682309511789588480/evMIH9hg_normal.jpg","View")</f>
        <v>View</v>
      </c>
      <c r="P2832" s="11"/>
    </row>
    <row r="2833" spans="1:16" ht="12.75" x14ac:dyDescent="0.35">
      <c r="A2833" s="7">
        <v>42482.517314814817</v>
      </c>
      <c r="B2833" s="8" t="str">
        <f>HYPERLINK("https://twitter.com/pixilla","@pixilla")</f>
        <v>@pixilla</v>
      </c>
      <c r="C2833" s="9" t="s">
        <v>7074</v>
      </c>
      <c r="D2833" s="9" t="s">
        <v>7075</v>
      </c>
      <c r="E2833" s="10" t="str">
        <f>HYPERLINK("https://twitter.com/pixilla/status/723404705146097666","723404705146097666")</f>
        <v>723404705146097666</v>
      </c>
      <c r="F2833" s="11" t="s">
        <v>20</v>
      </c>
      <c r="G2833" s="11">
        <v>495</v>
      </c>
      <c r="H2833" s="11">
        <v>432</v>
      </c>
      <c r="I2833" s="11">
        <v>2</v>
      </c>
      <c r="J2833" s="11">
        <v>0</v>
      </c>
      <c r="K2833" s="11" t="s">
        <v>21</v>
      </c>
      <c r="L2833" s="7">
        <v>39315.304861111115</v>
      </c>
      <c r="M2833" s="12" t="s">
        <v>7076</v>
      </c>
      <c r="N2833" s="12" t="s">
        <v>7077</v>
      </c>
      <c r="O2833" s="10" t="str">
        <f>HYPERLINK("https://pbs.twimg.com/profile_images/488051398383521792/O2sEmC2L_normal.jpeg","View")</f>
        <v>View</v>
      </c>
      <c r="P2833" s="11"/>
    </row>
    <row r="2834" spans="1:16" ht="12.75" x14ac:dyDescent="0.35">
      <c r="A2834" s="7">
        <v>42482.517708333333</v>
      </c>
      <c r="B2834" s="8" t="str">
        <f>HYPERLINK("https://twitter.com/doern","@doern")</f>
        <v>@doern</v>
      </c>
      <c r="C2834" s="9" t="s">
        <v>3107</v>
      </c>
      <c r="D2834" s="9" t="s">
        <v>7078</v>
      </c>
      <c r="E2834" s="10" t="str">
        <f>HYPERLINK("https://twitter.com/doern/status/723404846284427264","723404846284427264")</f>
        <v>723404846284427264</v>
      </c>
      <c r="F2834" s="11" t="s">
        <v>20</v>
      </c>
      <c r="G2834" s="11">
        <v>342</v>
      </c>
      <c r="H2834" s="11">
        <v>63</v>
      </c>
      <c r="I2834" s="11">
        <v>0</v>
      </c>
      <c r="J2834" s="11">
        <v>0</v>
      </c>
      <c r="K2834" s="11" t="s">
        <v>21</v>
      </c>
      <c r="L2834" s="7">
        <v>39909.663194444445</v>
      </c>
      <c r="M2834" s="12" t="s">
        <v>262</v>
      </c>
      <c r="N2834" s="12" t="s">
        <v>3109</v>
      </c>
      <c r="O2834" s="10" t="str">
        <f>HYPERLINK("https://pbs.twimg.com/profile_images/657853466384191488/J6vAnfZr_normal.jpg","View")</f>
        <v>View</v>
      </c>
      <c r="P2834" s="11"/>
    </row>
    <row r="2835" spans="1:16" ht="12.75" x14ac:dyDescent="0.35">
      <c r="A2835" s="7">
        <v>42482.518865740742</v>
      </c>
      <c r="B2835" s="8" t="str">
        <f>HYPERLINK("https://twitter.com/DLFNachrichten","@DLFNachrichten")</f>
        <v>@DLFNachrichten</v>
      </c>
      <c r="C2835" s="9" t="s">
        <v>3369</v>
      </c>
      <c r="D2835" s="9" t="s">
        <v>7079</v>
      </c>
      <c r="E2835" s="10" t="str">
        <f>HYPERLINK("https://twitter.com/DLFNachrichten/status/723405268705402880","723405268705402880")</f>
        <v>723405268705402880</v>
      </c>
      <c r="F2835" s="11" t="s">
        <v>63</v>
      </c>
      <c r="G2835" s="11">
        <v>3172</v>
      </c>
      <c r="H2835" s="11">
        <v>27</v>
      </c>
      <c r="I2835" s="11">
        <v>2</v>
      </c>
      <c r="J2835" s="11">
        <v>3</v>
      </c>
      <c r="K2835" s="11" t="s">
        <v>21</v>
      </c>
      <c r="L2835" s="7">
        <v>42324.81086805556</v>
      </c>
      <c r="M2835" s="12" t="s">
        <v>3371</v>
      </c>
      <c r="N2835" s="12" t="s">
        <v>3372</v>
      </c>
      <c r="O2835" s="10" t="str">
        <f>HYPERLINK("https://pbs.twimg.com/profile_images/669541061711261696/eOfP0YD8_normal.png","View")</f>
        <v>View</v>
      </c>
      <c r="P2835" s="11"/>
    </row>
    <row r="2836" spans="1:16" ht="12.75" x14ac:dyDescent="0.35">
      <c r="A2836" s="7">
        <v>42482.51898148148</v>
      </c>
      <c r="B2836" s="8" t="str">
        <f>HYPERLINK("https://twitter.com/DLF","@DLF")</f>
        <v>@DLF</v>
      </c>
      <c r="C2836" s="9" t="s">
        <v>6072</v>
      </c>
      <c r="D2836" s="9" t="s">
        <v>7080</v>
      </c>
      <c r="E2836" s="10" t="str">
        <f>HYPERLINK("https://twitter.com/DLF/status/723405310212198400","723405310212198400")</f>
        <v>723405310212198400</v>
      </c>
      <c r="F2836" s="11" t="s">
        <v>63</v>
      </c>
      <c r="G2836" s="11">
        <v>89354</v>
      </c>
      <c r="H2836" s="11">
        <v>605</v>
      </c>
      <c r="I2836" s="11">
        <v>2</v>
      </c>
      <c r="J2836" s="11">
        <v>0</v>
      </c>
      <c r="K2836" s="11" t="s">
        <v>21</v>
      </c>
      <c r="L2836" s="7">
        <v>40488.244039351848</v>
      </c>
      <c r="M2836" s="12" t="s">
        <v>1241</v>
      </c>
      <c r="N2836" s="12" t="s">
        <v>6074</v>
      </c>
      <c r="O2836" s="10" t="str">
        <f>HYPERLINK("https://pbs.twimg.com/profile_images/667101948429123584/pzpPHONX_normal.jpg","View")</f>
        <v>View</v>
      </c>
      <c r="P2836" s="11"/>
    </row>
    <row r="2837" spans="1:16" ht="12.75" x14ac:dyDescent="0.35">
      <c r="A2837" s="7">
        <v>42482.519502314812</v>
      </c>
      <c r="B2837" s="8" t="str">
        <f>HYPERLINK("https://twitter.com/absieber","@absieber")</f>
        <v>@absieber</v>
      </c>
      <c r="C2837" s="9" t="s">
        <v>7081</v>
      </c>
      <c r="D2837" s="9" t="s">
        <v>7059</v>
      </c>
      <c r="E2837" s="10" t="str">
        <f>HYPERLINK("https://twitter.com/absieber/status/723405495856300033","723405495856300033")</f>
        <v>723405495856300033</v>
      </c>
      <c r="F2837" s="11" t="s">
        <v>367</v>
      </c>
      <c r="G2837" s="11">
        <v>1532</v>
      </c>
      <c r="H2837" s="11">
        <v>1485</v>
      </c>
      <c r="I2837" s="11">
        <v>3</v>
      </c>
      <c r="J2837" s="11">
        <v>0</v>
      </c>
      <c r="K2837" s="11" t="s">
        <v>21</v>
      </c>
      <c r="L2837" s="7">
        <v>40611.677303240736</v>
      </c>
      <c r="M2837" s="12" t="s">
        <v>1931</v>
      </c>
      <c r="N2837" s="12" t="s">
        <v>7082</v>
      </c>
      <c r="O2837" s="10" t="str">
        <f>HYPERLINK("https://pbs.twimg.com/profile_images/666627060715151360/GZ0yxrDk_normal.jpg","View")</f>
        <v>View</v>
      </c>
      <c r="P2837" s="11"/>
    </row>
    <row r="2838" spans="1:16" ht="12.75" x14ac:dyDescent="0.35">
      <c r="A2838" s="7">
        <v>42482.519641203704</v>
      </c>
      <c r="B2838" s="8" t="str">
        <f>HYPERLINK("https://twitter.com/rschu","@rschu")</f>
        <v>@rschu</v>
      </c>
      <c r="C2838" s="9" t="s">
        <v>7083</v>
      </c>
      <c r="D2838" s="9" t="s">
        <v>6994</v>
      </c>
      <c r="E2838" s="10" t="str">
        <f>HYPERLINK("https://twitter.com/rschu/status/723405548687781888","723405548687781888")</f>
        <v>723405548687781888</v>
      </c>
      <c r="F2838" s="11" t="s">
        <v>48</v>
      </c>
      <c r="G2838" s="11">
        <v>3657</v>
      </c>
      <c r="H2838" s="11">
        <v>545</v>
      </c>
      <c r="I2838" s="11">
        <v>5</v>
      </c>
      <c r="J2838" s="11">
        <v>0</v>
      </c>
      <c r="K2838" s="11" t="s">
        <v>21</v>
      </c>
      <c r="L2838" s="7">
        <v>39819.620150462964</v>
      </c>
      <c r="M2838" s="12" t="s">
        <v>7084</v>
      </c>
      <c r="N2838" s="12" t="s">
        <v>7085</v>
      </c>
      <c r="O2838" s="10" t="str">
        <f>HYPERLINK("https://pbs.twimg.com/profile_images/723380553832001536/OPuQOBXS_normal.jpg","View")</f>
        <v>View</v>
      </c>
      <c r="P2838" s="11"/>
    </row>
    <row r="2839" spans="1:16" ht="12.75" x14ac:dyDescent="0.35">
      <c r="A2839" s="7">
        <v>42482.520219907412</v>
      </c>
      <c r="B2839" s="8" t="str">
        <f>HYPERLINK("https://twitter.com/VanstoreUK","@VanstoreUK")</f>
        <v>@VanstoreUK</v>
      </c>
      <c r="C2839" s="9" t="s">
        <v>7086</v>
      </c>
      <c r="D2839" s="9" t="s">
        <v>7087</v>
      </c>
      <c r="E2839" s="10" t="str">
        <f>HYPERLINK("https://twitter.com/VanstoreUK/status/723405759346659329","723405759346659329")</f>
        <v>723405759346659329</v>
      </c>
      <c r="F2839" s="11" t="s">
        <v>20</v>
      </c>
      <c r="G2839" s="11">
        <v>3354</v>
      </c>
      <c r="H2839" s="11">
        <v>5000</v>
      </c>
      <c r="I2839" s="11">
        <v>1</v>
      </c>
      <c r="J2839" s="11">
        <v>0</v>
      </c>
      <c r="K2839" s="11" t="s">
        <v>21</v>
      </c>
      <c r="L2839" s="7">
        <v>42220.096458333333</v>
      </c>
      <c r="M2839" s="12" t="s">
        <v>7088</v>
      </c>
      <c r="N2839" s="12" t="s">
        <v>7089</v>
      </c>
      <c r="O2839" s="10" t="str">
        <f>HYPERLINK("https://pbs.twimg.com/profile_images/628307411879727104/JXWypqw9_normal.jpg","View")</f>
        <v>View</v>
      </c>
      <c r="P2839" s="11"/>
    </row>
    <row r="2840" spans="1:16" ht="12.75" x14ac:dyDescent="0.35">
      <c r="A2840" s="7">
        <v>42482.520625000005</v>
      </c>
      <c r="B2840" s="8" t="str">
        <f>HYPERLINK("https://twitter.com/hameles","@hameles")</f>
        <v>@hameles</v>
      </c>
      <c r="C2840" s="9" t="s">
        <v>2600</v>
      </c>
      <c r="D2840" s="9" t="s">
        <v>7036</v>
      </c>
      <c r="E2840" s="10" t="str">
        <f>HYPERLINK("https://twitter.com/hameles/status/723405904335376384","723405904335376384")</f>
        <v>723405904335376384</v>
      </c>
      <c r="F2840" s="11" t="s">
        <v>367</v>
      </c>
      <c r="G2840" s="11">
        <v>257</v>
      </c>
      <c r="H2840" s="11">
        <v>164</v>
      </c>
      <c r="I2840" s="11">
        <v>9</v>
      </c>
      <c r="J2840" s="11">
        <v>0</v>
      </c>
      <c r="K2840" s="11" t="s">
        <v>21</v>
      </c>
      <c r="L2840" s="7">
        <v>41789.724826388891</v>
      </c>
      <c r="M2840" s="12"/>
      <c r="N2840" s="12"/>
      <c r="O2840" s="10" t="str">
        <f>HYPERLINK("https://pbs.twimg.com/profile_images/720884007152394240/OWYVobwN_normal.jpg","View")</f>
        <v>View</v>
      </c>
      <c r="P2840" s="11"/>
    </row>
    <row r="2841" spans="1:16" ht="12.75" x14ac:dyDescent="0.35">
      <c r="A2841" s="7">
        <v>42482.520983796298</v>
      </c>
      <c r="B2841" s="8" t="str">
        <f>HYPERLINK("https://twitter.com/amsonline","@amsonline")</f>
        <v>@amsonline</v>
      </c>
      <c r="C2841" s="9" t="s">
        <v>5268</v>
      </c>
      <c r="D2841" s="9" t="s">
        <v>7090</v>
      </c>
      <c r="E2841" s="10" t="str">
        <f>HYPERLINK("https://twitter.com/amsonline/status/723406032920141826","723406032920141826")</f>
        <v>723406032920141826</v>
      </c>
      <c r="F2841" s="11" t="s">
        <v>63</v>
      </c>
      <c r="G2841" s="11">
        <v>11851</v>
      </c>
      <c r="H2841" s="11">
        <v>239</v>
      </c>
      <c r="I2841" s="11">
        <v>1</v>
      </c>
      <c r="J2841" s="11">
        <v>2</v>
      </c>
      <c r="K2841" s="11" t="s">
        <v>21</v>
      </c>
      <c r="L2841" s="7">
        <v>39842.782326388886</v>
      </c>
      <c r="M2841" s="12" t="s">
        <v>5270</v>
      </c>
      <c r="N2841" s="12" t="s">
        <v>5271</v>
      </c>
      <c r="O2841" s="10" t="str">
        <f>HYPERLINK("https://pbs.twimg.com/profile_images/458901987019333632/7FGKPDVB_normal.png","View")</f>
        <v>View</v>
      </c>
      <c r="P2841" s="11"/>
    </row>
    <row r="2842" spans="1:16" ht="12.75" x14ac:dyDescent="0.35">
      <c r="A2842" s="7">
        <v>42482.521793981483</v>
      </c>
      <c r="B2842" s="8" t="str">
        <f>HYPERLINK("https://twitter.com/wiwo","@wiwo")</f>
        <v>@wiwo</v>
      </c>
      <c r="C2842" s="9" t="s">
        <v>1198</v>
      </c>
      <c r="D2842" s="9" t="s">
        <v>7091</v>
      </c>
      <c r="E2842" s="10" t="str">
        <f>HYPERLINK("https://twitter.com/wiwo/status/723406327268003840","723406327268003840")</f>
        <v>723406327268003840</v>
      </c>
      <c r="F2842" s="11" t="s">
        <v>43</v>
      </c>
      <c r="G2842" s="11">
        <v>175031</v>
      </c>
      <c r="H2842" s="11">
        <v>642</v>
      </c>
      <c r="I2842" s="11">
        <v>2</v>
      </c>
      <c r="J2842" s="11">
        <v>0</v>
      </c>
      <c r="K2842" s="11" t="s">
        <v>21</v>
      </c>
      <c r="L2842" s="7">
        <v>39842.765717592592</v>
      </c>
      <c r="M2842" s="12" t="s">
        <v>975</v>
      </c>
      <c r="N2842" s="12" t="s">
        <v>1200</v>
      </c>
      <c r="O2842" s="10" t="str">
        <f>HYPERLINK("https://pbs.twimg.com/profile_images/596378323128836096/23C3DVmy_normal.jpg","View")</f>
        <v>View</v>
      </c>
      <c r="P2842" s="11"/>
    </row>
    <row r="2843" spans="1:16" ht="12.75" x14ac:dyDescent="0.35">
      <c r="A2843" s="7">
        <v>42482.522581018522</v>
      </c>
      <c r="B2843" s="8" t="str">
        <f>HYPERLINK("https://twitter.com/AlexWitzleben","@AlexWitzleben")</f>
        <v>@AlexWitzleben</v>
      </c>
      <c r="C2843" s="9" t="s">
        <v>1346</v>
      </c>
      <c r="D2843" s="9" t="s">
        <v>7092</v>
      </c>
      <c r="E2843" s="10" t="str">
        <f>HYPERLINK("https://twitter.com/AlexWitzleben/status/723406611889311744","723406611889311744")</f>
        <v>723406611889311744</v>
      </c>
      <c r="F2843" s="11" t="s">
        <v>43</v>
      </c>
      <c r="G2843" s="11">
        <v>1027</v>
      </c>
      <c r="H2843" s="11">
        <v>1000</v>
      </c>
      <c r="I2843" s="11">
        <v>0</v>
      </c>
      <c r="J2843" s="11">
        <v>0</v>
      </c>
      <c r="K2843" s="11" t="s">
        <v>21</v>
      </c>
      <c r="L2843" s="7">
        <v>40591.910462962966</v>
      </c>
      <c r="M2843" s="12" t="s">
        <v>1348</v>
      </c>
      <c r="N2843" s="12" t="s">
        <v>1349</v>
      </c>
      <c r="O2843" s="10" t="str">
        <f>HYPERLINK("https://pbs.twimg.com/profile_images/1913087124/AvW_website_normal.jpg","View")</f>
        <v>View</v>
      </c>
      <c r="P2843" s="11"/>
    </row>
    <row r="2844" spans="1:16" ht="12.75" x14ac:dyDescent="0.35">
      <c r="A2844" s="7">
        <v>42482.523287037038</v>
      </c>
      <c r="B2844" s="8" t="str">
        <f>HYPERLINK("https://twitter.com/JoachimHeck","@JoachimHeck")</f>
        <v>@JoachimHeck</v>
      </c>
      <c r="C2844" s="9" t="s">
        <v>6914</v>
      </c>
      <c r="D2844" s="9" t="s">
        <v>7093</v>
      </c>
      <c r="E2844" s="10" t="str">
        <f>HYPERLINK("https://twitter.com/JoachimHeck/status/723406868245155840","723406868245155840")</f>
        <v>723406868245155840</v>
      </c>
      <c r="F2844" s="11" t="s">
        <v>43</v>
      </c>
      <c r="G2844" s="11">
        <v>131</v>
      </c>
      <c r="H2844" s="11">
        <v>241</v>
      </c>
      <c r="I2844" s="11">
        <v>0</v>
      </c>
      <c r="J2844" s="11">
        <v>0</v>
      </c>
      <c r="K2844" s="11" t="s">
        <v>21</v>
      </c>
      <c r="L2844" s="7">
        <v>41544.596006944441</v>
      </c>
      <c r="M2844" s="12"/>
      <c r="N2844" s="12" t="s">
        <v>6916</v>
      </c>
      <c r="O2844" s="10" t="str">
        <f>HYPERLINK("https://pbs.twimg.com/profile_images/378800000566378572/084cb3103fd97db6ea2fcb90b2ea5dc7_normal.jpeg","View")</f>
        <v>View</v>
      </c>
      <c r="P2844" s="11"/>
    </row>
    <row r="2845" spans="1:16" ht="12.75" x14ac:dyDescent="0.35">
      <c r="A2845" s="7">
        <v>42482.523518518516</v>
      </c>
      <c r="B2845" s="8" t="str">
        <f>HYPERLINK("https://twitter.com/TechXB","@TechXB")</f>
        <v>@TechXB</v>
      </c>
      <c r="C2845" s="9" t="s">
        <v>7094</v>
      </c>
      <c r="D2845" s="9" t="s">
        <v>6994</v>
      </c>
      <c r="E2845" s="10" t="str">
        <f>HYPERLINK("https://twitter.com/TechXB/status/723406951791521792","723406951791521792")</f>
        <v>723406951791521792</v>
      </c>
      <c r="F2845" s="11" t="s">
        <v>288</v>
      </c>
      <c r="G2845" s="11">
        <v>5671</v>
      </c>
      <c r="H2845" s="11">
        <v>2929</v>
      </c>
      <c r="I2845" s="11">
        <v>5</v>
      </c>
      <c r="J2845" s="11">
        <v>0</v>
      </c>
      <c r="K2845" s="11" t="s">
        <v>21</v>
      </c>
      <c r="L2845" s="7">
        <v>39995.060266203705</v>
      </c>
      <c r="M2845" s="12" t="s">
        <v>638</v>
      </c>
      <c r="N2845" s="12" t="s">
        <v>7095</v>
      </c>
      <c r="O2845" s="10" t="str">
        <f>HYPERLINK("https://pbs.twimg.com/profile_images/2679762722/946e3e1372fd9cf7c92ed14c414d3a4a_normal.png","View")</f>
        <v>View</v>
      </c>
      <c r="P2845" s="11"/>
    </row>
    <row r="2846" spans="1:16" ht="12.75" x14ac:dyDescent="0.35">
      <c r="A2846" s="7">
        <v>42482.523831018523</v>
      </c>
      <c r="B2846" s="8" t="str">
        <f>HYPERLINK("https://twitter.com/TGotmar","@TGotmar")</f>
        <v>@TGotmar</v>
      </c>
      <c r="C2846" s="9" t="s">
        <v>7096</v>
      </c>
      <c r="D2846" s="9" t="s">
        <v>7097</v>
      </c>
      <c r="E2846" s="10" t="str">
        <f>HYPERLINK("https://twitter.com/TGotmar/status/723407064932839424","723407064932839424")</f>
        <v>723407064932839424</v>
      </c>
      <c r="F2846" s="11" t="s">
        <v>43</v>
      </c>
      <c r="G2846" s="11">
        <v>166</v>
      </c>
      <c r="H2846" s="11">
        <v>351</v>
      </c>
      <c r="I2846" s="11">
        <v>2</v>
      </c>
      <c r="J2846" s="11">
        <v>0</v>
      </c>
      <c r="K2846" s="11" t="s">
        <v>21</v>
      </c>
      <c r="L2846" s="7">
        <v>41576.450995370367</v>
      </c>
      <c r="M2846" s="12" t="s">
        <v>7098</v>
      </c>
      <c r="N2846" s="12" t="s">
        <v>7099</v>
      </c>
      <c r="O2846" s="10" t="str">
        <f>HYPERLINK("https://pbs.twimg.com/profile_images/378800000672586174/96c91a1755d0155d307483d48ec1c301_normal.jpeg","View")</f>
        <v>View</v>
      </c>
      <c r="P2846" s="11"/>
    </row>
    <row r="2847" spans="1:16" ht="12.75" x14ac:dyDescent="0.35">
      <c r="A2847" s="7">
        <v>42482.524675925924</v>
      </c>
      <c r="B2847" s="8" t="str">
        <f>HYPERLINK("https://twitter.com/Lennetaler","@Lennetaler")</f>
        <v>@Lennetaler</v>
      </c>
      <c r="C2847" s="9" t="s">
        <v>5132</v>
      </c>
      <c r="D2847" s="9" t="s">
        <v>7100</v>
      </c>
      <c r="E2847" s="10" t="str">
        <f>HYPERLINK("https://twitter.com/Lennetaler/status/723407372039802881","723407372039802881")</f>
        <v>723407372039802881</v>
      </c>
      <c r="F2847" s="11" t="s">
        <v>43</v>
      </c>
      <c r="G2847" s="11">
        <v>848</v>
      </c>
      <c r="H2847" s="11">
        <v>957</v>
      </c>
      <c r="I2847" s="11">
        <v>0</v>
      </c>
      <c r="J2847" s="11">
        <v>2</v>
      </c>
      <c r="K2847" s="11" t="s">
        <v>21</v>
      </c>
      <c r="L2847" s="7">
        <v>39941.591307870374</v>
      </c>
      <c r="M2847" s="12" t="s">
        <v>7101</v>
      </c>
      <c r="N2847" s="12" t="s">
        <v>7102</v>
      </c>
      <c r="O2847" s="10" t="str">
        <f>HYPERLINK("https://pbs.twimg.com/profile_images/577231841125515264/jZ2QV5wr_normal.jpeg","View")</f>
        <v>View</v>
      </c>
      <c r="P2847" s="11"/>
    </row>
    <row r="2848" spans="1:16" ht="12.75" x14ac:dyDescent="0.35">
      <c r="A2848" s="7">
        <v>42482.524976851855</v>
      </c>
      <c r="B2848" s="8" t="str">
        <f>HYPERLINK("https://twitter.com/conkers3","@conkers3")</f>
        <v>@conkers3</v>
      </c>
      <c r="C2848" s="9" t="s">
        <v>7103</v>
      </c>
      <c r="D2848" s="9" t="s">
        <v>7104</v>
      </c>
      <c r="E2848" s="10" t="str">
        <f>HYPERLINK("https://twitter.com/conkers3/status/723407483096563712","723407483096563712")</f>
        <v>723407483096563712</v>
      </c>
      <c r="F2848" s="11" t="s">
        <v>43</v>
      </c>
      <c r="G2848" s="11">
        <v>2013</v>
      </c>
      <c r="H2848" s="11">
        <v>1433</v>
      </c>
      <c r="I2848" s="11">
        <v>0</v>
      </c>
      <c r="J2848" s="11">
        <v>0</v>
      </c>
      <c r="K2848" s="11" t="s">
        <v>21</v>
      </c>
      <c r="L2848" s="7">
        <v>41123.576006944444</v>
      </c>
      <c r="M2848" s="12"/>
      <c r="N2848" s="12" t="s">
        <v>7105</v>
      </c>
      <c r="O2848" s="10" t="str">
        <f>HYPERLINK("https://pbs.twimg.com/profile_images/3601856046/89deb5d36c9951092d953fa6050d5fbc_normal.jpeg","View")</f>
        <v>View</v>
      </c>
      <c r="P2848" s="11"/>
    </row>
    <row r="2849" spans="1:16" ht="12.75" x14ac:dyDescent="0.35">
      <c r="A2849" s="7">
        <v>42482.525740740741</v>
      </c>
      <c r="B2849" s="8" t="str">
        <f>HYPERLINK("https://twitter.com/alphazeichen","@alphazeichen")</f>
        <v>@alphazeichen</v>
      </c>
      <c r="C2849" s="9" t="s">
        <v>7106</v>
      </c>
      <c r="D2849" s="9" t="s">
        <v>7036</v>
      </c>
      <c r="E2849" s="10" t="str">
        <f>HYPERLINK("https://twitter.com/alphazeichen/status/723407757190139904","723407757190139904")</f>
        <v>723407757190139904</v>
      </c>
      <c r="F2849" s="11" t="s">
        <v>20</v>
      </c>
      <c r="G2849" s="11">
        <v>2521</v>
      </c>
      <c r="H2849" s="11">
        <v>1090</v>
      </c>
      <c r="I2849" s="11">
        <v>9</v>
      </c>
      <c r="J2849" s="11">
        <v>0</v>
      </c>
      <c r="K2849" s="11" t="s">
        <v>21</v>
      </c>
      <c r="L2849" s="7">
        <v>39516.675312499996</v>
      </c>
      <c r="M2849" s="12" t="s">
        <v>7107</v>
      </c>
      <c r="N2849" s="12" t="s">
        <v>7108</v>
      </c>
      <c r="O2849" s="10" t="str">
        <f>HYPERLINK("https://pbs.twimg.com/profile_images/1447474623/dfdf_normal.jpg","View")</f>
        <v>View</v>
      </c>
      <c r="P2849" s="11"/>
    </row>
    <row r="2850" spans="1:16" ht="12.75" x14ac:dyDescent="0.35">
      <c r="A2850" s="7">
        <v>42482.52621527778</v>
      </c>
      <c r="B2850" s="8" t="str">
        <f>HYPERLINK("https://twitter.com/CollectHW","@CollectHW")</f>
        <v>@CollectHW</v>
      </c>
      <c r="C2850" s="9" t="s">
        <v>512</v>
      </c>
      <c r="D2850" s="9" t="s">
        <v>7109</v>
      </c>
      <c r="E2850" s="10" t="str">
        <f>HYPERLINK("https://twitter.com/CollectHW/status/723407929420836865","723407929420836865")</f>
        <v>723407929420836865</v>
      </c>
      <c r="F2850" s="11" t="s">
        <v>114</v>
      </c>
      <c r="G2850" s="11">
        <v>306</v>
      </c>
      <c r="H2850" s="11">
        <v>164</v>
      </c>
      <c r="I2850" s="11">
        <v>0</v>
      </c>
      <c r="J2850" s="11">
        <v>0</v>
      </c>
      <c r="K2850" s="11" t="s">
        <v>21</v>
      </c>
      <c r="L2850" s="7">
        <v>41141.872129629628</v>
      </c>
      <c r="M2850" s="12" t="s">
        <v>355</v>
      </c>
      <c r="N2850" s="12" t="s">
        <v>514</v>
      </c>
      <c r="O2850" s="10" t="str">
        <f>HYPERLINK("https://pbs.twimg.com/profile_images/522469771573350400/e5WjUwRr_normal.png","View")</f>
        <v>View</v>
      </c>
      <c r="P2850" s="11"/>
    </row>
    <row r="2851" spans="1:16" ht="12.75" x14ac:dyDescent="0.35">
      <c r="A2851" s="7">
        <v>42482.526631944449</v>
      </c>
      <c r="B2851" s="8" t="str">
        <f>HYPERLINK("https://twitter.com/sagaron62","@sagaron62")</f>
        <v>@sagaron62</v>
      </c>
      <c r="C2851" s="9" t="s">
        <v>7110</v>
      </c>
      <c r="D2851" s="9" t="s">
        <v>7111</v>
      </c>
      <c r="E2851" s="10" t="str">
        <f>HYPERLINK("https://twitter.com/sagaron62/status/723408081950937092","723408081950937092")</f>
        <v>723408081950937092</v>
      </c>
      <c r="F2851" s="11" t="s">
        <v>43</v>
      </c>
      <c r="G2851" s="11">
        <v>1718</v>
      </c>
      <c r="H2851" s="11">
        <v>184</v>
      </c>
      <c r="I2851" s="11">
        <v>0</v>
      </c>
      <c r="J2851" s="11">
        <v>2</v>
      </c>
      <c r="K2851" s="11" t="s">
        <v>21</v>
      </c>
      <c r="L2851" s="7">
        <v>40806.811481481483</v>
      </c>
      <c r="M2851" s="12" t="s">
        <v>7112</v>
      </c>
      <c r="N2851" s="12" t="s">
        <v>7113</v>
      </c>
      <c r="O2851" s="10" t="str">
        <f>HYPERLINK("https://pbs.twimg.com/profile_images/722770349134372864/uH_DeX25_normal.jpg","View")</f>
        <v>View</v>
      </c>
      <c r="P2851" s="11"/>
    </row>
    <row r="2852" spans="1:16" ht="12.75" x14ac:dyDescent="0.35">
      <c r="A2852" s="7">
        <v>42482.527175925927</v>
      </c>
      <c r="B2852" s="8" t="str">
        <f>HYPERLINK("https://twitter.com/Marlowe_yuyang","@Marlowe_yuyang")</f>
        <v>@Marlowe_yuyang</v>
      </c>
      <c r="C2852" s="9" t="s">
        <v>7114</v>
      </c>
      <c r="D2852" s="9" t="s">
        <v>7115</v>
      </c>
      <c r="E2852" s="10" t="str">
        <f>HYPERLINK("https://twitter.com/Marlowe_yuyang/status/723408277262848000","723408277262848000")</f>
        <v>723408277262848000</v>
      </c>
      <c r="F2852" s="11" t="s">
        <v>114</v>
      </c>
      <c r="G2852" s="11">
        <v>164</v>
      </c>
      <c r="H2852" s="11">
        <v>76</v>
      </c>
      <c r="I2852" s="11">
        <v>0</v>
      </c>
      <c r="J2852" s="11">
        <v>0</v>
      </c>
      <c r="K2852" s="11" t="s">
        <v>21</v>
      </c>
      <c r="L2852" s="7">
        <v>39272.86513888889</v>
      </c>
      <c r="M2852" s="12" t="s">
        <v>7116</v>
      </c>
      <c r="N2852" s="12"/>
      <c r="O2852" s="10" t="str">
        <f>HYPERLINK("https://pbs.twimg.com/profile_images/1542372733/icon13004942018967_normal.jpg","View")</f>
        <v>View</v>
      </c>
      <c r="P2852" s="11"/>
    </row>
    <row r="2853" spans="1:16" ht="12.75" x14ac:dyDescent="0.35">
      <c r="A2853" s="7">
        <v>42482.527800925927</v>
      </c>
      <c r="B2853" s="8" t="str">
        <f>HYPERLINK("https://twitter.com/bvdvliet","@bvdvliet")</f>
        <v>@bvdvliet</v>
      </c>
      <c r="C2853" s="9" t="s">
        <v>2513</v>
      </c>
      <c r="D2853" s="9" t="s">
        <v>6701</v>
      </c>
      <c r="E2853" s="10" t="str">
        <f>HYPERLINK("https://twitter.com/bvdvliet/status/723408506305421312","723408506305421312")</f>
        <v>723408506305421312</v>
      </c>
      <c r="F2853" s="11" t="s">
        <v>91</v>
      </c>
      <c r="G2853" s="11">
        <v>158</v>
      </c>
      <c r="H2853" s="11">
        <v>267</v>
      </c>
      <c r="I2853" s="11">
        <v>3</v>
      </c>
      <c r="J2853" s="11">
        <v>0</v>
      </c>
      <c r="K2853" s="11" t="s">
        <v>21</v>
      </c>
      <c r="L2853" s="7">
        <v>41594.873657407406</v>
      </c>
      <c r="M2853" s="12"/>
      <c r="N2853" s="12"/>
      <c r="O2853" s="10" t="str">
        <f>HYPERLINK("https://pbs.twimg.com/profile_images/378800000747750946/394d9f0f5e6dde5137683d9c98c5c8a9_normal.jpeg","View")</f>
        <v>View</v>
      </c>
      <c r="P2853" s="11"/>
    </row>
    <row r="2854" spans="1:16" ht="12.75" x14ac:dyDescent="0.35">
      <c r="A2854" s="7">
        <v>42482.527824074074</v>
      </c>
      <c r="B2854" s="8" t="str">
        <f>HYPERLINK("https://twitter.com/1lotscalper_fx","@1lotscalper_fx")</f>
        <v>@1lotscalper_fx</v>
      </c>
      <c r="C2854" s="9" t="s">
        <v>7117</v>
      </c>
      <c r="D2854" s="9" t="s">
        <v>7118</v>
      </c>
      <c r="E2854" s="10" t="str">
        <f>HYPERLINK("https://twitter.com/1lotscalper_fx/status/723408512961769476","723408512961769476")</f>
        <v>723408512961769476</v>
      </c>
      <c r="F2854" s="11" t="s">
        <v>43</v>
      </c>
      <c r="G2854" s="11">
        <v>46</v>
      </c>
      <c r="H2854" s="11">
        <v>102</v>
      </c>
      <c r="I2854" s="11">
        <v>0</v>
      </c>
      <c r="J2854" s="11">
        <v>0</v>
      </c>
      <c r="K2854" s="11" t="s">
        <v>21</v>
      </c>
      <c r="L2854" s="7">
        <v>42413.03696759259</v>
      </c>
      <c r="M2854" s="12" t="s">
        <v>7119</v>
      </c>
      <c r="N2854" s="12" t="s">
        <v>7120</v>
      </c>
      <c r="O2854" s="10" t="str">
        <f>HYPERLINK("https://pbs.twimg.com/profile_images/698793430357557248/N9l-eHCj_normal.jpg","View")</f>
        <v>View</v>
      </c>
      <c r="P2854" s="11"/>
    </row>
    <row r="2855" spans="1:16" ht="12.75" x14ac:dyDescent="0.35">
      <c r="A2855" s="7">
        <v>42482.527939814812</v>
      </c>
      <c r="B2855" s="8" t="str">
        <f>HYPERLINK("https://twitter.com/carstenhons","@carstenhons")</f>
        <v>@carstenhons</v>
      </c>
      <c r="C2855" s="9" t="s">
        <v>7121</v>
      </c>
      <c r="D2855" s="9" t="s">
        <v>7122</v>
      </c>
      <c r="E2855" s="10" t="str">
        <f>HYPERLINK("https://twitter.com/carstenhons/status/723408554212745216","723408554212745216")</f>
        <v>723408554212745216</v>
      </c>
      <c r="F2855" s="11" t="s">
        <v>152</v>
      </c>
      <c r="G2855" s="11">
        <v>86</v>
      </c>
      <c r="H2855" s="11">
        <v>121</v>
      </c>
      <c r="I2855" s="11">
        <v>0</v>
      </c>
      <c r="J2855" s="11">
        <v>0</v>
      </c>
      <c r="K2855" s="11" t="s">
        <v>21</v>
      </c>
      <c r="L2855" s="7">
        <v>39932.018194444448</v>
      </c>
      <c r="M2855" s="12" t="s">
        <v>7123</v>
      </c>
      <c r="N2855" s="12" t="s">
        <v>7124</v>
      </c>
      <c r="O2855" s="10" t="str">
        <f>HYPERLINK("https://pbs.twimg.com/profile_images/621570608112009216/jKsR35-x_normal.png","View")</f>
        <v>View</v>
      </c>
      <c r="P2855" s="11"/>
    </row>
    <row r="2856" spans="1:16" ht="12.75" x14ac:dyDescent="0.35">
      <c r="A2856" s="7">
        <v>42482.527939814812</v>
      </c>
      <c r="B2856" s="8" t="str">
        <f>HYPERLINK("https://twitter.com/dinsinstudio","@dinsinstudio")</f>
        <v>@dinsinstudio</v>
      </c>
      <c r="C2856" s="9" t="s">
        <v>7125</v>
      </c>
      <c r="D2856" s="9" t="s">
        <v>7126</v>
      </c>
      <c r="E2856" s="10" t="str">
        <f>HYPERLINK("https://twitter.com/dinsinstudio/status/723408556226023424","723408556226023424")</f>
        <v>723408556226023424</v>
      </c>
      <c r="F2856" s="11" t="s">
        <v>152</v>
      </c>
      <c r="G2856" s="11">
        <v>68</v>
      </c>
      <c r="H2856" s="11">
        <v>191</v>
      </c>
      <c r="I2856" s="11">
        <v>0</v>
      </c>
      <c r="J2856" s="11">
        <v>0</v>
      </c>
      <c r="K2856" s="11" t="s">
        <v>21</v>
      </c>
      <c r="L2856" s="7">
        <v>41625.561979166669</v>
      </c>
      <c r="M2856" s="12" t="s">
        <v>1116</v>
      </c>
      <c r="N2856" s="12" t="s">
        <v>7127</v>
      </c>
      <c r="O2856" s="10" t="str">
        <f>HYPERLINK("https://pbs.twimg.com/profile_images/622695888826273792/OVfZM4BZ_normal.png","View")</f>
        <v>View</v>
      </c>
      <c r="P2856" s="11"/>
    </row>
    <row r="2857" spans="1:16" ht="12.75" x14ac:dyDescent="0.35">
      <c r="A2857" s="7">
        <v>42482.527986111112</v>
      </c>
      <c r="B2857" s="8" t="str">
        <f>HYPERLINK("https://twitter.com/bvdvliet","@bvdvliet")</f>
        <v>@bvdvliet</v>
      </c>
      <c r="C2857" s="9" t="s">
        <v>2513</v>
      </c>
      <c r="D2857" s="9" t="s">
        <v>6707</v>
      </c>
      <c r="E2857" s="10" t="str">
        <f>HYPERLINK("https://twitter.com/bvdvliet/status/723408570788646912","723408570788646912")</f>
        <v>723408570788646912</v>
      </c>
      <c r="F2857" s="11" t="s">
        <v>91</v>
      </c>
      <c r="G2857" s="11">
        <v>158</v>
      </c>
      <c r="H2857" s="11">
        <v>267</v>
      </c>
      <c r="I2857" s="11">
        <v>8</v>
      </c>
      <c r="J2857" s="11">
        <v>0</v>
      </c>
      <c r="K2857" s="11" t="s">
        <v>21</v>
      </c>
      <c r="L2857" s="7">
        <v>41594.873657407406</v>
      </c>
      <c r="M2857" s="12"/>
      <c r="N2857" s="12"/>
      <c r="O2857" s="10" t="str">
        <f>HYPERLINK("https://pbs.twimg.com/profile_images/378800000747750946/394d9f0f5e6dde5137683d9c98c5c8a9_normal.jpeg","View")</f>
        <v>View</v>
      </c>
      <c r="P2857" s="11"/>
    </row>
    <row r="2858" spans="1:16" ht="12.75" x14ac:dyDescent="0.35">
      <c r="A2858" s="7">
        <v>42482.528020833328</v>
      </c>
      <c r="B2858" s="8" t="str">
        <f>HYPERLINK("https://twitter.com/bayl","@bayl")</f>
        <v>@bayl</v>
      </c>
      <c r="C2858" s="9" t="s">
        <v>3167</v>
      </c>
      <c r="D2858" s="9" t="s">
        <v>7128</v>
      </c>
      <c r="E2858" s="10" t="str">
        <f>HYPERLINK("https://twitter.com/bayl/status/723408584231387136","723408584231387136")</f>
        <v>723408584231387136</v>
      </c>
      <c r="F2858" s="11" t="s">
        <v>43</v>
      </c>
      <c r="G2858" s="11">
        <v>576</v>
      </c>
      <c r="H2858" s="11">
        <v>825</v>
      </c>
      <c r="I2858" s="11">
        <v>0</v>
      </c>
      <c r="J2858" s="11">
        <v>1</v>
      </c>
      <c r="K2858" s="11" t="s">
        <v>21</v>
      </c>
      <c r="L2858" s="7">
        <v>39567.463831018518</v>
      </c>
      <c r="M2858" s="12"/>
      <c r="N2858" s="12" t="s">
        <v>3169</v>
      </c>
      <c r="O2858" s="10" t="str">
        <f>HYPERLINK("https://pbs.twimg.com/profile_images/438619338942062592/OBEQvg6R_normal.jpeg","View")</f>
        <v>View</v>
      </c>
      <c r="P2858" s="11"/>
    </row>
    <row r="2859" spans="1:16" ht="12.75" x14ac:dyDescent="0.35">
      <c r="A2859" s="7">
        <v>42482.528344907405</v>
      </c>
      <c r="B2859" s="8" t="str">
        <f>HYPERLINK("https://twitter.com/iViewing","@iViewing")</f>
        <v>@iViewing</v>
      </c>
      <c r="C2859" s="9" t="s">
        <v>7129</v>
      </c>
      <c r="D2859" s="9" t="s">
        <v>6994</v>
      </c>
      <c r="E2859" s="10" t="str">
        <f>HYPERLINK("https://twitter.com/iViewing/status/723408703395766272","723408703395766272")</f>
        <v>723408703395766272</v>
      </c>
      <c r="F2859" s="11" t="s">
        <v>288</v>
      </c>
      <c r="G2859" s="11">
        <v>1331</v>
      </c>
      <c r="H2859" s="11">
        <v>327</v>
      </c>
      <c r="I2859" s="11">
        <v>5</v>
      </c>
      <c r="J2859" s="11">
        <v>0</v>
      </c>
      <c r="K2859" s="11" t="s">
        <v>21</v>
      </c>
      <c r="L2859" s="7">
        <v>42039.598958333328</v>
      </c>
      <c r="M2859" s="12" t="s">
        <v>7130</v>
      </c>
      <c r="N2859" s="12" t="s">
        <v>7131</v>
      </c>
      <c r="O2859" s="10" t="str">
        <f>HYPERLINK("https://pbs.twimg.com/profile_images/562896994444660736/WXXcgjVw_normal.png","View")</f>
        <v>View</v>
      </c>
      <c r="P2859" s="11"/>
    </row>
    <row r="2860" spans="1:16" ht="12.75" x14ac:dyDescent="0.35">
      <c r="A2860" s="7">
        <v>42482.528414351851</v>
      </c>
      <c r="B2860" s="8" t="str">
        <f>HYPERLINK("https://twitter.com/b_riexinger","@b_riexinger")</f>
        <v>@b_riexinger</v>
      </c>
      <c r="C2860" s="9" t="s">
        <v>7132</v>
      </c>
      <c r="D2860" s="9" t="s">
        <v>7133</v>
      </c>
      <c r="E2860" s="10" t="str">
        <f>HYPERLINK("https://twitter.com/b_riexinger/status/723408727387176962","723408727387176962")</f>
        <v>723408727387176962</v>
      </c>
      <c r="F2860" s="11" t="s">
        <v>48</v>
      </c>
      <c r="G2860" s="11">
        <v>7131</v>
      </c>
      <c r="H2860" s="11">
        <v>265</v>
      </c>
      <c r="I2860" s="11">
        <v>2</v>
      </c>
      <c r="J2860" s="11">
        <v>7</v>
      </c>
      <c r="K2860" s="11" t="s">
        <v>21</v>
      </c>
      <c r="L2860" s="7">
        <v>41179.657118055555</v>
      </c>
      <c r="M2860" s="12"/>
      <c r="N2860" s="12" t="s">
        <v>7134</v>
      </c>
      <c r="O2860" s="10" t="str">
        <f>HYPERLINK("https://pbs.twimg.com/profile_images/644848820422115329/swEcX4CR_normal.jpg","View")</f>
        <v>View</v>
      </c>
      <c r="P2860" s="11"/>
    </row>
    <row r="2861" spans="1:16" ht="12.75" x14ac:dyDescent="0.35">
      <c r="A2861" s="7">
        <v>42482.528796296298</v>
      </c>
      <c r="B2861" s="8" t="str">
        <f>HYPERLINK("https://twitter.com/weare_van","@weare_van")</f>
        <v>@weare_van</v>
      </c>
      <c r="C2861" s="9" t="s">
        <v>2104</v>
      </c>
      <c r="D2861" s="9" t="s">
        <v>7135</v>
      </c>
      <c r="E2861" s="10" t="str">
        <f>HYPERLINK("https://twitter.com/weare_van/status/723408867351093248","723408867351093248")</f>
        <v>723408867351093248</v>
      </c>
      <c r="F2861" s="11" t="s">
        <v>68</v>
      </c>
      <c r="G2861" s="11">
        <v>174</v>
      </c>
      <c r="H2861" s="11">
        <v>57</v>
      </c>
      <c r="I2861" s="11">
        <v>0</v>
      </c>
      <c r="J2861" s="11">
        <v>0</v>
      </c>
      <c r="K2861" s="11" t="s">
        <v>21</v>
      </c>
      <c r="L2861" s="7">
        <v>42429.136157407411</v>
      </c>
      <c r="M2861" s="12" t="s">
        <v>1397</v>
      </c>
      <c r="N2861" s="12" t="s">
        <v>2106</v>
      </c>
      <c r="O2861" s="10" t="str">
        <f>HYPERLINK("https://pbs.twimg.com/profile_images/707176643509538817/-s_VKgK4_normal.jpg","View")</f>
        <v>View</v>
      </c>
      <c r="P2861" s="11"/>
    </row>
    <row r="2862" spans="1:16" ht="12.75" x14ac:dyDescent="0.35">
      <c r="A2862" s="7">
        <v>42482.528900462959</v>
      </c>
      <c r="B2862" s="8" t="str">
        <f>HYPERLINK("https://twitter.com/GregorKuhn_IG","@GregorKuhn_IG")</f>
        <v>@GregorKuhn_IG</v>
      </c>
      <c r="C2862" s="9" t="s">
        <v>7136</v>
      </c>
      <c r="D2862" s="9" t="s">
        <v>7097</v>
      </c>
      <c r="E2862" s="10" t="str">
        <f>HYPERLINK("https://twitter.com/GregorKuhn_IG/status/723408903963189248","723408903963189248")</f>
        <v>723408903963189248</v>
      </c>
      <c r="F2862" s="11" t="s">
        <v>43</v>
      </c>
      <c r="G2862" s="11">
        <v>151</v>
      </c>
      <c r="H2862" s="11">
        <v>153</v>
      </c>
      <c r="I2862" s="11">
        <v>2</v>
      </c>
      <c r="J2862" s="11">
        <v>0</v>
      </c>
      <c r="K2862" s="11" t="s">
        <v>21</v>
      </c>
      <c r="L2862" s="7">
        <v>41261.902060185181</v>
      </c>
      <c r="M2862" s="12" t="s">
        <v>7137</v>
      </c>
      <c r="N2862" s="12" t="s">
        <v>7138</v>
      </c>
      <c r="O2862" s="10" t="str">
        <f>HYPERLINK("https://pbs.twimg.com/profile_images/443800157289590784/WmUhfykz_normal.jpeg","View")</f>
        <v>View</v>
      </c>
      <c r="P2862" s="11"/>
    </row>
    <row r="2863" spans="1:16" ht="12.75" x14ac:dyDescent="0.35">
      <c r="A2863" s="7">
        <v>42482.529224537036</v>
      </c>
      <c r="B2863" s="8" t="str">
        <f>HYPERLINK("https://twitter.com/MedAgness","@MedAgness")</f>
        <v>@MedAgness</v>
      </c>
      <c r="C2863" s="9" t="s">
        <v>3635</v>
      </c>
      <c r="D2863" s="9" t="s">
        <v>7139</v>
      </c>
      <c r="E2863" s="10" t="str">
        <f>HYPERLINK("https://twitter.com/MedAgness/status/723409022330638336","723409022330638336")</f>
        <v>723409022330638336</v>
      </c>
      <c r="F2863" s="11" t="s">
        <v>68</v>
      </c>
      <c r="G2863" s="11">
        <v>8139</v>
      </c>
      <c r="H2863" s="11">
        <v>865</v>
      </c>
      <c r="I2863" s="11">
        <v>0</v>
      </c>
      <c r="J2863" s="11">
        <v>0</v>
      </c>
      <c r="K2863" s="11" t="s">
        <v>21</v>
      </c>
      <c r="L2863" s="7">
        <v>40612.342650462961</v>
      </c>
      <c r="M2863" s="12" t="s">
        <v>3637</v>
      </c>
      <c r="N2863" s="12" t="s">
        <v>3638</v>
      </c>
      <c r="O2863" s="10" t="str">
        <f>HYPERLINK("https://pbs.twimg.com/profile_images/631084316802482176/y_wtMQWR_normal.png","View")</f>
        <v>View</v>
      </c>
      <c r="P2863" s="11"/>
    </row>
    <row r="2864" spans="1:16" ht="12.75" x14ac:dyDescent="0.35">
      <c r="A2864" s="7">
        <v>42482.52925925926</v>
      </c>
      <c r="B2864" s="8" t="str">
        <f>HYPERLINK("https://twitter.com/drnicnic","@drnicnic")</f>
        <v>@drnicnic</v>
      </c>
      <c r="C2864" s="9" t="s">
        <v>7140</v>
      </c>
      <c r="D2864" s="9" t="s">
        <v>7141</v>
      </c>
      <c r="E2864" s="10" t="str">
        <f>HYPERLINK("https://twitter.com/drnicnic/status/723409033281982464","723409033281982464")</f>
        <v>723409033281982464</v>
      </c>
      <c r="F2864" s="11" t="s">
        <v>80</v>
      </c>
      <c r="G2864" s="11">
        <v>1113</v>
      </c>
      <c r="H2864" s="11">
        <v>1727</v>
      </c>
      <c r="I2864" s="11">
        <v>0</v>
      </c>
      <c r="J2864" s="11">
        <v>0</v>
      </c>
      <c r="K2864" s="11" t="s">
        <v>21</v>
      </c>
      <c r="L2864" s="7">
        <v>40075.166030092594</v>
      </c>
      <c r="M2864" s="12" t="s">
        <v>1524</v>
      </c>
      <c r="N2864" s="12" t="s">
        <v>7142</v>
      </c>
      <c r="O2864" s="10" t="str">
        <f>HYPERLINK("https://pbs.twimg.com/profile_images/378800000497561937/9240096a6e2301504ecc798a461ad54b_normal.jpeg","View")</f>
        <v>View</v>
      </c>
      <c r="P2864" s="11"/>
    </row>
    <row r="2865" spans="1:16" ht="12.75" x14ac:dyDescent="0.35">
      <c r="A2865" s="7">
        <v>42482.529918981483</v>
      </c>
      <c r="B2865" s="8" t="str">
        <f>HYPERLINK("https://twitter.com/conkers3","@conkers3")</f>
        <v>@conkers3</v>
      </c>
      <c r="C2865" s="9" t="s">
        <v>7103</v>
      </c>
      <c r="D2865" s="9" t="s">
        <v>7143</v>
      </c>
      <c r="E2865" s="10" t="str">
        <f>HYPERLINK("https://twitter.com/conkers3/status/723409272592175104","723409272592175104")</f>
        <v>723409272592175104</v>
      </c>
      <c r="F2865" s="11" t="s">
        <v>43</v>
      </c>
      <c r="G2865" s="11">
        <v>2013</v>
      </c>
      <c r="H2865" s="11">
        <v>1433</v>
      </c>
      <c r="I2865" s="11">
        <v>0</v>
      </c>
      <c r="J2865" s="11">
        <v>2</v>
      </c>
      <c r="K2865" s="11" t="s">
        <v>21</v>
      </c>
      <c r="L2865" s="7">
        <v>41123.576006944444</v>
      </c>
      <c r="M2865" s="12"/>
      <c r="N2865" s="12" t="s">
        <v>7105</v>
      </c>
      <c r="O2865" s="10" t="str">
        <f>HYPERLINK("https://pbs.twimg.com/profile_images/3601856046/89deb5d36c9951092d953fa6050d5fbc_normal.jpeg","View")</f>
        <v>View</v>
      </c>
      <c r="P2865" s="11"/>
    </row>
    <row r="2866" spans="1:16" ht="12.75" x14ac:dyDescent="0.35">
      <c r="A2866" s="7">
        <v>42482.530289351853</v>
      </c>
      <c r="B2866" s="8" t="str">
        <f>HYPERLINK("https://twitter.com/AndreasAndy3131","@AndreasAndy3131")</f>
        <v>@AndreasAndy3131</v>
      </c>
      <c r="C2866" s="9" t="s">
        <v>3937</v>
      </c>
      <c r="D2866" s="9" t="s">
        <v>7144</v>
      </c>
      <c r="E2866" s="10" t="str">
        <f>HYPERLINK("https://twitter.com/AndreasAndy3131/status/723409404775661568","723409404775661568")</f>
        <v>723409404775661568</v>
      </c>
      <c r="F2866" s="11" t="s">
        <v>91</v>
      </c>
      <c r="G2866" s="11">
        <v>748</v>
      </c>
      <c r="H2866" s="11">
        <v>463</v>
      </c>
      <c r="I2866" s="11">
        <v>2</v>
      </c>
      <c r="J2866" s="11">
        <v>0</v>
      </c>
      <c r="K2866" s="11" t="s">
        <v>21</v>
      </c>
      <c r="L2866" s="7">
        <v>41685.664664351854</v>
      </c>
      <c r="M2866" s="12" t="s">
        <v>3939</v>
      </c>
      <c r="N2866" s="12" t="s">
        <v>3940</v>
      </c>
      <c r="O2866" s="10" t="str">
        <f>HYPERLINK("https://pbs.twimg.com/profile_images/705409156363063296/L-9HeIjW_normal.jpg","View")</f>
        <v>View</v>
      </c>
      <c r="P2866" s="11"/>
    </row>
    <row r="2867" spans="1:16" ht="12.75" x14ac:dyDescent="0.35">
      <c r="A2867" s="7">
        <v>42482.530370370368</v>
      </c>
      <c r="B2867" s="8" t="str">
        <f>HYPERLINK("https://twitter.com/vwpress_de","@vwpress_de")</f>
        <v>@vwpress_de</v>
      </c>
      <c r="C2867" s="9" t="s">
        <v>1685</v>
      </c>
      <c r="D2867" s="9" t="s">
        <v>7145</v>
      </c>
      <c r="E2867" s="10" t="str">
        <f>HYPERLINK("https://twitter.com/vwpress_de/status/723409435297619968","723409435297619968")</f>
        <v>723409435297619968</v>
      </c>
      <c r="F2867" s="11" t="s">
        <v>152</v>
      </c>
      <c r="G2867" s="11">
        <v>5763</v>
      </c>
      <c r="H2867" s="11">
        <v>610</v>
      </c>
      <c r="I2867" s="11">
        <v>0</v>
      </c>
      <c r="J2867" s="11">
        <v>1</v>
      </c>
      <c r="K2867" s="11" t="s">
        <v>21</v>
      </c>
      <c r="L2867" s="7">
        <v>42041.830381944441</v>
      </c>
      <c r="M2867" s="12" t="s">
        <v>1690</v>
      </c>
      <c r="N2867" s="12" t="s">
        <v>1691</v>
      </c>
      <c r="O2867" s="10" t="str">
        <f>HYPERLINK("https://pbs.twimg.com/profile_images/682117656502222848/Ge7YeAF3_normal.png","View")</f>
        <v>View</v>
      </c>
      <c r="P2867" s="11"/>
    </row>
    <row r="2868" spans="1:16" ht="12.75" x14ac:dyDescent="0.35">
      <c r="A2868" s="7">
        <v>42482.530671296292</v>
      </c>
      <c r="B2868" s="8" t="str">
        <f>HYPERLINK("https://twitter.com/Autohaasgroep","@Autohaasgroep")</f>
        <v>@Autohaasgroep</v>
      </c>
      <c r="C2868" s="9" t="s">
        <v>7146</v>
      </c>
      <c r="D2868" s="9" t="s">
        <v>7147</v>
      </c>
      <c r="E2868" s="10" t="str">
        <f>HYPERLINK("https://twitter.com/Autohaasgroep/status/723409544823472130","723409544823472130")</f>
        <v>723409544823472130</v>
      </c>
      <c r="F2868" s="11" t="s">
        <v>43</v>
      </c>
      <c r="G2868" s="11">
        <v>1244</v>
      </c>
      <c r="H2868" s="11">
        <v>976</v>
      </c>
      <c r="I2868" s="11">
        <v>0</v>
      </c>
      <c r="J2868" s="11">
        <v>0</v>
      </c>
      <c r="K2868" s="11" t="s">
        <v>21</v>
      </c>
      <c r="L2868" s="7">
        <v>40003.802094907405</v>
      </c>
      <c r="M2868" s="12" t="s">
        <v>7148</v>
      </c>
      <c r="N2868" s="12" t="s">
        <v>7149</v>
      </c>
      <c r="O2868" s="10" t="str">
        <f>HYPERLINK("https://pbs.twimg.com/profile_images/595219662083858432/frlAE-zM_normal.jpg","View")</f>
        <v>View</v>
      </c>
      <c r="P2868" s="11"/>
    </row>
    <row r="2869" spans="1:16" ht="12.75" x14ac:dyDescent="0.35">
      <c r="A2869" s="7">
        <v>42482.531041666662</v>
      </c>
      <c r="B2869" s="8" t="str">
        <f>HYPERLINK("https://twitter.com/SJudzikowski","@SJudzikowski")</f>
        <v>@SJudzikowski</v>
      </c>
      <c r="C2869" s="9" t="s">
        <v>7150</v>
      </c>
      <c r="D2869" s="9" t="s">
        <v>7151</v>
      </c>
      <c r="E2869" s="10" t="str">
        <f>HYPERLINK("https://twitter.com/SJudzikowski/status/723409680983171073","723409680983171073")</f>
        <v>723409680983171073</v>
      </c>
      <c r="F2869" s="11" t="s">
        <v>63</v>
      </c>
      <c r="G2869" s="11">
        <v>1321</v>
      </c>
      <c r="H2869" s="11">
        <v>1432</v>
      </c>
      <c r="I2869" s="11">
        <v>2</v>
      </c>
      <c r="J2869" s="11">
        <v>0</v>
      </c>
      <c r="K2869" s="11" t="s">
        <v>21</v>
      </c>
      <c r="L2869" s="7">
        <v>39962.158819444448</v>
      </c>
      <c r="M2869" s="12" t="s">
        <v>1359</v>
      </c>
      <c r="N2869" s="12" t="s">
        <v>7152</v>
      </c>
      <c r="O2869" s="10" t="str">
        <f>HYPERLINK("https://pbs.twimg.com/profile_images/2926889758/6c12a00a945f3cc781b09cdea18c5686_normal.jpeg","View")</f>
        <v>View</v>
      </c>
      <c r="P2869" s="11"/>
    </row>
    <row r="2870" spans="1:16" ht="12.75" x14ac:dyDescent="0.35">
      <c r="A2870" s="7">
        <v>42482.531400462962</v>
      </c>
      <c r="B2870" s="8" t="str">
        <f>HYPERLINK("https://twitter.com/Frontal21","@Frontal21")</f>
        <v>@Frontal21</v>
      </c>
      <c r="C2870" s="9" t="s">
        <v>3349</v>
      </c>
      <c r="D2870" s="9" t="s">
        <v>7151</v>
      </c>
      <c r="E2870" s="10" t="str">
        <f>HYPERLINK("https://twitter.com/Frontal21/status/723409807999258624","723409807999258624")</f>
        <v>723409807999258624</v>
      </c>
      <c r="F2870" s="11" t="s">
        <v>63</v>
      </c>
      <c r="G2870" s="11">
        <v>7741</v>
      </c>
      <c r="H2870" s="11">
        <v>132</v>
      </c>
      <c r="I2870" s="11">
        <v>2</v>
      </c>
      <c r="J2870" s="11">
        <v>0</v>
      </c>
      <c r="K2870" s="11" t="s">
        <v>21</v>
      </c>
      <c r="L2870" s="7">
        <v>41208.765763888892</v>
      </c>
      <c r="M2870" s="12" t="s">
        <v>2907</v>
      </c>
      <c r="N2870" s="12" t="s">
        <v>3351</v>
      </c>
      <c r="O2870" s="10" t="str">
        <f>HYPERLINK("https://pbs.twimg.com/profile_images/2783814203/4b5dc0bf52ddee4fe7fcfee4cb816dea_normal.jpeg","View")</f>
        <v>View</v>
      </c>
      <c r="P2870" s="11"/>
    </row>
    <row r="2871" spans="1:16" ht="12.75" x14ac:dyDescent="0.35">
      <c r="A2871" s="7">
        <v>42482.531493055554</v>
      </c>
      <c r="B2871" s="8" t="str">
        <f>HYPERLINK("https://twitter.com/boersenblogger","@boersenblogger")</f>
        <v>@boersenblogger</v>
      </c>
      <c r="C2871" s="9" t="s">
        <v>7153</v>
      </c>
      <c r="D2871" s="9" t="s">
        <v>7154</v>
      </c>
      <c r="E2871" s="10" t="str">
        <f>HYPERLINK("https://twitter.com/boersenblogger/status/723409840828084224","723409840828084224")</f>
        <v>723409840828084224</v>
      </c>
      <c r="F2871" s="11" t="s">
        <v>43</v>
      </c>
      <c r="G2871" s="11">
        <v>4805</v>
      </c>
      <c r="H2871" s="11">
        <v>562</v>
      </c>
      <c r="I2871" s="11">
        <v>0</v>
      </c>
      <c r="J2871" s="11">
        <v>0</v>
      </c>
      <c r="K2871" s="11" t="s">
        <v>21</v>
      </c>
      <c r="L2871" s="7">
        <v>39994.867245370369</v>
      </c>
      <c r="M2871" s="12" t="s">
        <v>262</v>
      </c>
      <c r="N2871" s="12" t="s">
        <v>7155</v>
      </c>
      <c r="O2871" s="10" t="str">
        <f>HYPERLINK("https://pbs.twimg.com/profile_images/671764635/Diblo_Twitter_normal.jpg","View")</f>
        <v>View</v>
      </c>
      <c r="P2871" s="11"/>
    </row>
    <row r="2872" spans="1:16" ht="12.75" x14ac:dyDescent="0.35">
      <c r="A2872" s="7">
        <v>42482.531493055554</v>
      </c>
      <c r="B2872" s="8" t="str">
        <f>HYPERLINK("https://twitter.com/panicswitch777","@panicswitch777")</f>
        <v>@panicswitch777</v>
      </c>
      <c r="C2872" s="9" t="s">
        <v>374</v>
      </c>
      <c r="D2872" s="9" t="s">
        <v>7156</v>
      </c>
      <c r="E2872" s="10" t="str">
        <f>HYPERLINK("https://twitter.com/panicswitch777/status/723409844930109440","723409844930109440")</f>
        <v>723409844930109440</v>
      </c>
      <c r="F2872" s="11" t="s">
        <v>114</v>
      </c>
      <c r="G2872" s="11">
        <v>186</v>
      </c>
      <c r="H2872" s="11">
        <v>185</v>
      </c>
      <c r="I2872" s="11">
        <v>0</v>
      </c>
      <c r="J2872" s="11">
        <v>0</v>
      </c>
      <c r="K2872" s="11" t="s">
        <v>21</v>
      </c>
      <c r="L2872" s="7">
        <v>41837.90216435185</v>
      </c>
      <c r="M2872" s="12" t="s">
        <v>376</v>
      </c>
      <c r="N2872" s="12"/>
      <c r="O2872" s="10" t="str">
        <f>HYPERLINK("https://pbs.twimg.com/profile_images/661248829682024449/IlOGOPEg_normal.jpg","View")</f>
        <v>View</v>
      </c>
      <c r="P2872" s="11"/>
    </row>
    <row r="2873" spans="1:16" ht="12.75" x14ac:dyDescent="0.35">
      <c r="A2873" s="7">
        <v>42482.531689814816</v>
      </c>
      <c r="B2873" s="8" t="str">
        <f>HYPERLINK("https://twitter.com/Theothebald","@Theothebald")</f>
        <v>@Theothebald</v>
      </c>
      <c r="C2873" s="9" t="s">
        <v>3209</v>
      </c>
      <c r="D2873" s="9" t="s">
        <v>7157</v>
      </c>
      <c r="E2873" s="10" t="str">
        <f>HYPERLINK("https://twitter.com/Theothebald/status/723409912823320576","723409912823320576")</f>
        <v>723409912823320576</v>
      </c>
      <c r="F2873" s="11" t="s">
        <v>20</v>
      </c>
      <c r="G2873" s="11">
        <v>1097</v>
      </c>
      <c r="H2873" s="11">
        <v>803</v>
      </c>
      <c r="I2873" s="11">
        <v>0</v>
      </c>
      <c r="J2873" s="11">
        <v>0</v>
      </c>
      <c r="K2873" s="11" t="s">
        <v>21</v>
      </c>
      <c r="L2873" s="7">
        <v>40470.012418981481</v>
      </c>
      <c r="M2873" s="12" t="s">
        <v>638</v>
      </c>
      <c r="N2873" s="12" t="s">
        <v>3211</v>
      </c>
      <c r="O2873" s="10" t="str">
        <f>HYPERLINK("https://pbs.twimg.com/profile_images/2592181176/udsjv0fy0o3b2krnx52h_normal.jpeg","View")</f>
        <v>View</v>
      </c>
      <c r="P2873" s="11"/>
    </row>
    <row r="2874" spans="1:16" ht="12.75" x14ac:dyDescent="0.35">
      <c r="A2874" s="7">
        <v>42482.532071759255</v>
      </c>
      <c r="B2874" s="8" t="str">
        <f>HYPERLINK("https://twitter.com/VRwatchingU","@VRwatchingU")</f>
        <v>@VRwatchingU</v>
      </c>
      <c r="C2874" s="9" t="s">
        <v>2280</v>
      </c>
      <c r="D2874" s="9" t="s">
        <v>7158</v>
      </c>
      <c r="E2874" s="10" t="str">
        <f>HYPERLINK("https://twitter.com/VRwatchingU/status/723410052359426048","723410052359426048")</f>
        <v>723410052359426048</v>
      </c>
      <c r="F2874" s="11" t="s">
        <v>43</v>
      </c>
      <c r="G2874" s="11">
        <v>1060</v>
      </c>
      <c r="H2874" s="11">
        <v>997</v>
      </c>
      <c r="I2874" s="11">
        <v>0</v>
      </c>
      <c r="J2874" s="11">
        <v>0</v>
      </c>
      <c r="K2874" s="11" t="s">
        <v>21</v>
      </c>
      <c r="L2874" s="7">
        <v>40789.069664351853</v>
      </c>
      <c r="M2874" s="12" t="s">
        <v>2282</v>
      </c>
      <c r="N2874" s="12" t="s">
        <v>2283</v>
      </c>
      <c r="O2874" s="10" t="str">
        <f>HYPERLINK("https://pbs.twimg.com/profile_images/1616567344/VRwatch2_normal.jpg","View")</f>
        <v>View</v>
      </c>
      <c r="P2874" s="11"/>
    </row>
    <row r="2875" spans="1:16" ht="12.75" x14ac:dyDescent="0.35">
      <c r="A2875" s="7">
        <v>42482.53224537037</v>
      </c>
      <c r="B2875" s="8" t="str">
        <f>HYPERLINK("https://twitter.com/panicswitch777","@panicswitch777")</f>
        <v>@panicswitch777</v>
      </c>
      <c r="C2875" s="9" t="s">
        <v>374</v>
      </c>
      <c r="D2875" s="9" t="s">
        <v>7159</v>
      </c>
      <c r="E2875" s="10" t="str">
        <f>HYPERLINK("https://twitter.com/panicswitch777/status/723410113432686593","723410113432686593")</f>
        <v>723410113432686593</v>
      </c>
      <c r="F2875" s="11" t="s">
        <v>114</v>
      </c>
      <c r="G2875" s="11">
        <v>186</v>
      </c>
      <c r="H2875" s="11">
        <v>185</v>
      </c>
      <c r="I2875" s="11">
        <v>0</v>
      </c>
      <c r="J2875" s="11">
        <v>0</v>
      </c>
      <c r="K2875" s="11" t="s">
        <v>21</v>
      </c>
      <c r="L2875" s="7">
        <v>41837.90216435185</v>
      </c>
      <c r="M2875" s="12" t="s">
        <v>376</v>
      </c>
      <c r="N2875" s="12"/>
      <c r="O2875" s="10" t="str">
        <f>HYPERLINK("https://pbs.twimg.com/profile_images/661248829682024449/IlOGOPEg_normal.jpg","View")</f>
        <v>View</v>
      </c>
      <c r="P2875" s="11"/>
    </row>
    <row r="2876" spans="1:16" ht="12.75" x14ac:dyDescent="0.35">
      <c r="A2876" s="7">
        <v>42482.532650462963</v>
      </c>
      <c r="B2876" s="8" t="str">
        <f>HYPERLINK("https://twitter.com/EsterDiazCortes","@EsterDiazCortes")</f>
        <v>@EsterDiazCortes</v>
      </c>
      <c r="C2876" s="9" t="s">
        <v>7160</v>
      </c>
      <c r="D2876" s="9" t="s">
        <v>7161</v>
      </c>
      <c r="E2876" s="10" t="str">
        <f>HYPERLINK("https://twitter.com/EsterDiazCortes/status/723410260682141696","723410260682141696")</f>
        <v>723410260682141696</v>
      </c>
      <c r="F2876" s="11" t="s">
        <v>48</v>
      </c>
      <c r="G2876" s="11">
        <v>307</v>
      </c>
      <c r="H2876" s="11">
        <v>744</v>
      </c>
      <c r="I2876" s="11">
        <v>1</v>
      </c>
      <c r="J2876" s="11">
        <v>0</v>
      </c>
      <c r="K2876" s="11" t="s">
        <v>21</v>
      </c>
      <c r="L2876" s="7">
        <v>41227.205104166671</v>
      </c>
      <c r="M2876" s="12" t="s">
        <v>7162</v>
      </c>
      <c r="N2876" s="12" t="s">
        <v>7163</v>
      </c>
      <c r="O2876" s="10" t="str">
        <f>HYPERLINK("https://pbs.twimg.com/profile_images/544873707072917504/jLvcqmB__normal.jpeg","View")</f>
        <v>View</v>
      </c>
      <c r="P2876" s="11"/>
    </row>
    <row r="2877" spans="1:16" ht="12.75" x14ac:dyDescent="0.35">
      <c r="A2877" s="7">
        <v>42482.532789351855</v>
      </c>
      <c r="B2877" s="8" t="str">
        <f>HYPERLINK("https://twitter.com/caro3009","@caro3009")</f>
        <v>@caro3009</v>
      </c>
      <c r="C2877" s="9" t="s">
        <v>7164</v>
      </c>
      <c r="D2877" s="9" t="s">
        <v>7075</v>
      </c>
      <c r="E2877" s="10" t="str">
        <f>HYPERLINK("https://twitter.com/caro3009/status/723410314369204224","723410314369204224")</f>
        <v>723410314369204224</v>
      </c>
      <c r="F2877" s="11" t="s">
        <v>20</v>
      </c>
      <c r="G2877" s="11">
        <v>327</v>
      </c>
      <c r="H2877" s="11">
        <v>392</v>
      </c>
      <c r="I2877" s="11">
        <v>2</v>
      </c>
      <c r="J2877" s="11">
        <v>0</v>
      </c>
      <c r="K2877" s="11" t="s">
        <v>21</v>
      </c>
      <c r="L2877" s="7">
        <v>39994.039976851855</v>
      </c>
      <c r="M2877" s="12"/>
      <c r="N2877" s="12"/>
      <c r="O2877" s="10" t="str">
        <f>HYPERLINK("https://pbs.twimg.com/profile_images/421932549842436096/nENjZgeQ_normal.jpeg","View")</f>
        <v>View</v>
      </c>
      <c r="P2877" s="11"/>
    </row>
    <row r="2878" spans="1:16" ht="12.75" x14ac:dyDescent="0.35">
      <c r="A2878" s="7">
        <v>42482.53288194444</v>
      </c>
      <c r="B2878" s="8" t="str">
        <f>HYPERLINK("https://twitter.com/bvdvliet","@bvdvliet")</f>
        <v>@bvdvliet</v>
      </c>
      <c r="C2878" s="9" t="s">
        <v>2513</v>
      </c>
      <c r="D2878" s="9" t="s">
        <v>6309</v>
      </c>
      <c r="E2878" s="10" t="str">
        <f>HYPERLINK("https://twitter.com/bvdvliet/status/723410347609055232","723410347609055232")</f>
        <v>723410347609055232</v>
      </c>
      <c r="F2878" s="11" t="s">
        <v>91</v>
      </c>
      <c r="G2878" s="11">
        <v>158</v>
      </c>
      <c r="H2878" s="11">
        <v>267</v>
      </c>
      <c r="I2878" s="11">
        <v>5</v>
      </c>
      <c r="J2878" s="11">
        <v>0</v>
      </c>
      <c r="K2878" s="11" t="s">
        <v>21</v>
      </c>
      <c r="L2878" s="7">
        <v>41594.873657407406</v>
      </c>
      <c r="M2878" s="12"/>
      <c r="N2878" s="12"/>
      <c r="O2878" s="10" t="str">
        <f>HYPERLINK("https://pbs.twimg.com/profile_images/378800000747750946/394d9f0f5e6dde5137683d9c98c5c8a9_normal.jpeg","View")</f>
        <v>View</v>
      </c>
      <c r="P2878" s="11"/>
    </row>
    <row r="2879" spans="1:16" ht="12.75" x14ac:dyDescent="0.35">
      <c r="A2879" s="7">
        <v>42482.532951388886</v>
      </c>
      <c r="B2879" s="8" t="str">
        <f>HYPERLINK("https://twitter.com/coccicab71","@coccicab71")</f>
        <v>@coccicab71</v>
      </c>
      <c r="C2879" s="9" t="s">
        <v>7165</v>
      </c>
      <c r="D2879" s="9" t="s">
        <v>6795</v>
      </c>
      <c r="E2879" s="10" t="str">
        <f>HYPERLINK("https://twitter.com/coccicab71/status/723410373223669760","723410373223669760")</f>
        <v>723410373223669760</v>
      </c>
      <c r="F2879" s="11" t="s">
        <v>43</v>
      </c>
      <c r="G2879" s="11">
        <v>262</v>
      </c>
      <c r="H2879" s="11">
        <v>279</v>
      </c>
      <c r="I2879" s="11">
        <v>2</v>
      </c>
      <c r="J2879" s="11">
        <v>0</v>
      </c>
      <c r="K2879" s="11" t="s">
        <v>21</v>
      </c>
      <c r="L2879" s="7">
        <v>41424.003611111111</v>
      </c>
      <c r="M2879" s="12" t="s">
        <v>7166</v>
      </c>
      <c r="N2879" s="12" t="s">
        <v>7167</v>
      </c>
      <c r="O2879" s="10" t="str">
        <f>HYPERLINK("https://pbs.twimg.com/profile_images/3728536184/f8618f162b51e72519303cccedbec92b_normal.jpeg","View")</f>
        <v>View</v>
      </c>
      <c r="P2879" s="11"/>
    </row>
    <row r="2880" spans="1:16" ht="12.75" x14ac:dyDescent="0.35">
      <c r="A2880" s="7">
        <v>42482.533229166671</v>
      </c>
      <c r="B2880" s="8" t="str">
        <f>HYPERLINK("https://twitter.com/channeldistrib","@channeldistrib")</f>
        <v>@channeldistrib</v>
      </c>
      <c r="C2880" s="9" t="s">
        <v>7168</v>
      </c>
      <c r="D2880" s="9" t="s">
        <v>7169</v>
      </c>
      <c r="E2880" s="10" t="str">
        <f>HYPERLINK("https://twitter.com/channeldistrib/status/723410471454265345","723410471454265345")</f>
        <v>723410471454265345</v>
      </c>
      <c r="F2880" s="11" t="s">
        <v>43</v>
      </c>
      <c r="G2880" s="11">
        <v>2</v>
      </c>
      <c r="H2880" s="11">
        <v>5</v>
      </c>
      <c r="I2880" s="11">
        <v>0</v>
      </c>
      <c r="J2880" s="11">
        <v>1</v>
      </c>
      <c r="K2880" s="11" t="s">
        <v>21</v>
      </c>
      <c r="L2880" s="7">
        <v>42130.60637731482</v>
      </c>
      <c r="M2880" s="12" t="s">
        <v>7170</v>
      </c>
      <c r="N2880" s="12" t="s">
        <v>7171</v>
      </c>
      <c r="O2880" s="10" t="str">
        <f>HYPERLINK("https://pbs.twimg.com/profile_images/709312415817662464/Q3B9rxhr_normal.jpg","View")</f>
        <v>View</v>
      </c>
      <c r="P2880" s="11"/>
    </row>
    <row r="2881" spans="1:16" ht="12.75" x14ac:dyDescent="0.35">
      <c r="A2881" s="7">
        <v>42482.533530092594</v>
      </c>
      <c r="B2881" s="8" t="str">
        <f>HYPERLINK("https://twitter.com/bvdvliet","@bvdvliet")</f>
        <v>@bvdvliet</v>
      </c>
      <c r="C2881" s="9" t="s">
        <v>2513</v>
      </c>
      <c r="D2881" s="9" t="s">
        <v>6073</v>
      </c>
      <c r="E2881" s="10" t="str">
        <f>HYPERLINK("https://twitter.com/bvdvliet/status/723410582657867776","723410582657867776")</f>
        <v>723410582657867776</v>
      </c>
      <c r="F2881" s="11" t="s">
        <v>91</v>
      </c>
      <c r="G2881" s="11">
        <v>158</v>
      </c>
      <c r="H2881" s="11">
        <v>267</v>
      </c>
      <c r="I2881" s="11">
        <v>3</v>
      </c>
      <c r="J2881" s="11">
        <v>0</v>
      </c>
      <c r="K2881" s="11" t="s">
        <v>21</v>
      </c>
      <c r="L2881" s="7">
        <v>41594.873657407406</v>
      </c>
      <c r="M2881" s="12"/>
      <c r="N2881" s="12"/>
      <c r="O2881" s="10" t="str">
        <f>HYPERLINK("https://pbs.twimg.com/profile_images/378800000747750946/394d9f0f5e6dde5137683d9c98c5c8a9_normal.jpeg","View")</f>
        <v>View</v>
      </c>
      <c r="P2881" s="11"/>
    </row>
    <row r="2882" spans="1:16" ht="12.75" x14ac:dyDescent="0.35">
      <c r="A2882" s="7">
        <v>42482.53398148148</v>
      </c>
      <c r="B2882" s="8" t="str">
        <f>HYPERLINK("https://twitter.com/Oeli378","@Oeli378")</f>
        <v>@Oeli378</v>
      </c>
      <c r="C2882" s="9" t="s">
        <v>7172</v>
      </c>
      <c r="D2882" s="9" t="s">
        <v>7173</v>
      </c>
      <c r="E2882" s="10" t="str">
        <f>HYPERLINK("https://twitter.com/Oeli378/status/723410743727521792","723410743727521792")</f>
        <v>723410743727521792</v>
      </c>
      <c r="F2882" s="11" t="s">
        <v>20</v>
      </c>
      <c r="G2882" s="11">
        <v>4</v>
      </c>
      <c r="H2882" s="11">
        <v>82</v>
      </c>
      <c r="I2882" s="11">
        <v>0</v>
      </c>
      <c r="J2882" s="11">
        <v>0</v>
      </c>
      <c r="K2882" s="11" t="s">
        <v>21</v>
      </c>
      <c r="L2882" s="7">
        <v>41638.991412037038</v>
      </c>
      <c r="M2882" s="12"/>
      <c r="N2882" s="12"/>
      <c r="O2882" s="10" t="str">
        <f>HYPERLINK("https://pbs.twimg.com/profile_images/445440803906002944/ewbdWuzC_normal.jpeg","View")</f>
        <v>View</v>
      </c>
      <c r="P2882" s="11"/>
    </row>
    <row r="2883" spans="1:16" ht="12.75" x14ac:dyDescent="0.35">
      <c r="A2883" s="7">
        <v>42482.534386574072</v>
      </c>
      <c r="B2883" s="8" t="str">
        <f>HYPERLINK("https://twitter.com/Beau_AveryxOx","@Beau_AveryxOx")</f>
        <v>@Beau_AveryxOx</v>
      </c>
      <c r="C2883" s="9" t="s">
        <v>7174</v>
      </c>
      <c r="D2883" s="9" t="s">
        <v>7175</v>
      </c>
      <c r="E2883" s="10" t="str">
        <f>HYPERLINK("https://twitter.com/Beau_AveryxOx/status/723410891878764544","723410891878764544")</f>
        <v>723410891878764544</v>
      </c>
      <c r="F2883" s="11" t="s">
        <v>20</v>
      </c>
      <c r="G2883" s="11">
        <v>16575</v>
      </c>
      <c r="H2883" s="11">
        <v>1540</v>
      </c>
      <c r="I2883" s="11">
        <v>1</v>
      </c>
      <c r="J2883" s="11">
        <v>1</v>
      </c>
      <c r="K2883" s="11" t="s">
        <v>21</v>
      </c>
      <c r="L2883" s="7">
        <v>39971.079988425925</v>
      </c>
      <c r="M2883" s="12" t="s">
        <v>7176</v>
      </c>
      <c r="N2883" s="12" t="s">
        <v>7177</v>
      </c>
      <c r="O2883" s="10" t="str">
        <f>HYPERLINK("https://pbs.twimg.com/profile_images/719960171628380161/AG1zttUj_normal.jpg","View")</f>
        <v>View</v>
      </c>
      <c r="P2883" s="11"/>
    </row>
    <row r="2884" spans="1:16" ht="12.75" x14ac:dyDescent="0.35">
      <c r="A2884" s="7">
        <v>42482.534594907411</v>
      </c>
      <c r="B2884" s="8" t="str">
        <f>HYPERLINK("https://twitter.com/golfturkiye","@golfturkiye")</f>
        <v>@golfturkiye</v>
      </c>
      <c r="C2884" s="9" t="s">
        <v>4593</v>
      </c>
      <c r="D2884" s="9" t="s">
        <v>7178</v>
      </c>
      <c r="E2884" s="10" t="str">
        <f>HYPERLINK("https://twitter.com/golfturkiye/status/723410968030539777","723410968030539777")</f>
        <v>723410968030539777</v>
      </c>
      <c r="F2884" s="11" t="s">
        <v>4595</v>
      </c>
      <c r="G2884" s="11">
        <v>833</v>
      </c>
      <c r="H2884" s="11">
        <v>1</v>
      </c>
      <c r="I2884" s="11">
        <v>0</v>
      </c>
      <c r="J2884" s="11">
        <v>0</v>
      </c>
      <c r="K2884" s="11" t="s">
        <v>21</v>
      </c>
      <c r="L2884" s="7">
        <v>41097.832256944443</v>
      </c>
      <c r="M2884" s="12"/>
      <c r="N2884" s="12" t="s">
        <v>4596</v>
      </c>
      <c r="O2884" s="10" t="str">
        <f>HYPERLINK("https://pbs.twimg.com/profile_images/2908590566/828967841f09b515ee36e3dfccea4d28_normal.png","View")</f>
        <v>View</v>
      </c>
      <c r="P2884" s="11"/>
    </row>
    <row r="2885" spans="1:16" ht="12.75" x14ac:dyDescent="0.35">
      <c r="A2885" s="7">
        <v>42482.534768518519</v>
      </c>
      <c r="B2885" s="8" t="str">
        <f>HYPERLINK("https://twitter.com/darksideoftheeg","@darksideoftheeg")</f>
        <v>@darksideoftheeg</v>
      </c>
      <c r="C2885" s="9" t="s">
        <v>7179</v>
      </c>
      <c r="D2885" s="9" t="s">
        <v>7180</v>
      </c>
      <c r="E2885" s="10" t="str">
        <f>HYPERLINK("https://twitter.com/darksideoftheeg/status/723411028608831491","723411028608831491")</f>
        <v>723411028608831491</v>
      </c>
      <c r="F2885" s="11" t="s">
        <v>367</v>
      </c>
      <c r="G2885" s="11">
        <v>12306</v>
      </c>
      <c r="H2885" s="11">
        <v>12309</v>
      </c>
      <c r="I2885" s="11">
        <v>6</v>
      </c>
      <c r="J2885" s="11">
        <v>10</v>
      </c>
      <c r="K2885" s="11" t="s">
        <v>21</v>
      </c>
      <c r="L2885" s="7">
        <v>41932.77002314815</v>
      </c>
      <c r="M2885" s="12" t="s">
        <v>1116</v>
      </c>
      <c r="N2885" s="12" t="s">
        <v>7181</v>
      </c>
      <c r="O2885" s="10" t="str">
        <f>HYPERLINK("https://pbs.twimg.com/profile_images/567774105684811776/-3LqVKeU_normal.jpeg","View")</f>
        <v>View</v>
      </c>
      <c r="P2885" s="11"/>
    </row>
    <row r="2886" spans="1:16" ht="12.75" x14ac:dyDescent="0.35">
      <c r="A2886" s="7">
        <v>42482.535254629634</v>
      </c>
      <c r="B2886" s="8" t="str">
        <f>HYPERLINK("https://twitter.com/nomorequangos","@nomorequangos")</f>
        <v>@nomorequangos</v>
      </c>
      <c r="C2886" s="9" t="s">
        <v>7182</v>
      </c>
      <c r="D2886" s="9" t="s">
        <v>5150</v>
      </c>
      <c r="E2886" s="10" t="str">
        <f>HYPERLINK("https://twitter.com/nomorequangos/status/723411204488613889","723411204488613889")</f>
        <v>723411204488613889</v>
      </c>
      <c r="F2886" s="11" t="s">
        <v>48</v>
      </c>
      <c r="G2886" s="11">
        <v>430</v>
      </c>
      <c r="H2886" s="11">
        <v>169</v>
      </c>
      <c r="I2886" s="11">
        <v>24</v>
      </c>
      <c r="J2886" s="11">
        <v>0</v>
      </c>
      <c r="K2886" s="11" t="s">
        <v>21</v>
      </c>
      <c r="L2886" s="7">
        <v>41907.153611111113</v>
      </c>
      <c r="M2886" s="12" t="s">
        <v>7183</v>
      </c>
      <c r="N2886" s="12" t="s">
        <v>7184</v>
      </c>
      <c r="O2886" s="10" t="str">
        <f>HYPERLINK("https://pbs.twimg.com/profile_images/515837051506544641/lBNA81-j_normal.jpeg","View")</f>
        <v>View</v>
      </c>
      <c r="P2886" s="11"/>
    </row>
    <row r="2887" spans="1:16" ht="12.75" x14ac:dyDescent="0.35">
      <c r="A2887" s="7">
        <v>42482.535254629634</v>
      </c>
      <c r="B2887" s="8" t="str">
        <f>HYPERLINK("https://twitter.com/starfishstuff","@starfishstuff")</f>
        <v>@starfishstuff</v>
      </c>
      <c r="C2887" s="9" t="s">
        <v>7185</v>
      </c>
      <c r="D2887" s="9" t="s">
        <v>7186</v>
      </c>
      <c r="E2887" s="10" t="str">
        <f>HYPERLINK("https://twitter.com/starfishstuff/status/723411206363439104","723411206363439104")</f>
        <v>723411206363439104</v>
      </c>
      <c r="F2887" s="11" t="s">
        <v>68</v>
      </c>
      <c r="G2887" s="11">
        <v>360</v>
      </c>
      <c r="H2887" s="11">
        <v>2</v>
      </c>
      <c r="I2887" s="11">
        <v>0</v>
      </c>
      <c r="J2887" s="11">
        <v>0</v>
      </c>
      <c r="K2887" s="11" t="s">
        <v>21</v>
      </c>
      <c r="L2887" s="7">
        <v>42411.00135416667</v>
      </c>
      <c r="M2887" s="12"/>
      <c r="N2887" s="12" t="s">
        <v>7187</v>
      </c>
      <c r="O2887" s="10" t="str">
        <f>HYPERLINK("https://pbs.twimg.com/profile_images/697517819697573888/wa-6T68W_normal.jpg","View")</f>
        <v>View</v>
      </c>
      <c r="P2887" s="11"/>
    </row>
    <row r="2888" spans="1:16" ht="12.75" x14ac:dyDescent="0.35">
      <c r="A2888" s="7">
        <v>42482.53606481482</v>
      </c>
      <c r="B2888" s="8" t="str">
        <f>HYPERLINK("https://twitter.com/andreasfrey5","@andreasfrey5")</f>
        <v>@andreasfrey5</v>
      </c>
      <c r="C2888" s="9" t="s">
        <v>7188</v>
      </c>
      <c r="D2888" s="9" t="s">
        <v>7189</v>
      </c>
      <c r="E2888" s="10" t="str">
        <f>HYPERLINK("https://twitter.com/andreasfrey5/status/723411499801169920","723411499801169920")</f>
        <v>723411499801169920</v>
      </c>
      <c r="F2888" s="11" t="s">
        <v>43</v>
      </c>
      <c r="G2888" s="11">
        <v>679</v>
      </c>
      <c r="H2888" s="11">
        <v>665</v>
      </c>
      <c r="I2888" s="11">
        <v>6</v>
      </c>
      <c r="J2888" s="11">
        <v>0</v>
      </c>
      <c r="K2888" s="11" t="s">
        <v>21</v>
      </c>
      <c r="L2888" s="7">
        <v>41387.655752314815</v>
      </c>
      <c r="M2888" s="12" t="s">
        <v>7190</v>
      </c>
      <c r="N2888" s="12" t="s">
        <v>7191</v>
      </c>
      <c r="O2888" s="10" t="str">
        <f>HYPERLINK("https://pbs.twimg.com/profile_images/3563929982/6ac34e03a48d926be2a448693ba17dff_normal.jpeg","View")</f>
        <v>View</v>
      </c>
      <c r="P2888" s="11"/>
    </row>
    <row r="2889" spans="1:16" ht="12.75" x14ac:dyDescent="0.35">
      <c r="A2889" s="7">
        <v>42482.536747685182</v>
      </c>
      <c r="B2889" s="8" t="str">
        <f>HYPERLINK("https://twitter.com/RollHardd","@RollHardd")</f>
        <v>@RollHardd</v>
      </c>
      <c r="C2889" s="9" t="s">
        <v>7192</v>
      </c>
      <c r="D2889" s="9" t="s">
        <v>7193</v>
      </c>
      <c r="E2889" s="10" t="str">
        <f>HYPERLINK("https://twitter.com/RollHardd/status/723411746195537921","723411746195537921")</f>
        <v>723411746195537921</v>
      </c>
      <c r="F2889" s="11" t="s">
        <v>20</v>
      </c>
      <c r="G2889" s="11">
        <v>628</v>
      </c>
      <c r="H2889" s="11">
        <v>189</v>
      </c>
      <c r="I2889" s="11">
        <v>1</v>
      </c>
      <c r="J2889" s="11">
        <v>0</v>
      </c>
      <c r="K2889" s="11" t="s">
        <v>21</v>
      </c>
      <c r="L2889" s="7">
        <v>40299.867037037038</v>
      </c>
      <c r="M2889" s="12" t="s">
        <v>7194</v>
      </c>
      <c r="N2889" s="12" t="s">
        <v>7195</v>
      </c>
      <c r="O2889" s="10" t="str">
        <f>HYPERLINK("https://pbs.twimg.com/profile_images/700351986668072960/jgas1t1D_normal.jpg","View")</f>
        <v>View</v>
      </c>
      <c r="P2889" s="11"/>
    </row>
    <row r="2890" spans="1:16" ht="12.75" x14ac:dyDescent="0.35">
      <c r="A2890" s="7">
        <v>42482.537210648152</v>
      </c>
      <c r="B2890" s="8" t="str">
        <f>HYPERLINK("https://twitter.com/Theothebald","@Theothebald")</f>
        <v>@Theothebald</v>
      </c>
      <c r="C2890" s="9" t="s">
        <v>3209</v>
      </c>
      <c r="D2890" s="9" t="s">
        <v>7196</v>
      </c>
      <c r="E2890" s="10" t="str">
        <f>HYPERLINK("https://twitter.com/Theothebald/status/723411912973635584","723411912973635584")</f>
        <v>723411912973635584</v>
      </c>
      <c r="F2890" s="11" t="s">
        <v>20</v>
      </c>
      <c r="G2890" s="11">
        <v>1097</v>
      </c>
      <c r="H2890" s="11">
        <v>803</v>
      </c>
      <c r="I2890" s="11">
        <v>1</v>
      </c>
      <c r="J2890" s="11">
        <v>1</v>
      </c>
      <c r="K2890" s="11" t="s">
        <v>21</v>
      </c>
      <c r="L2890" s="7">
        <v>40470.012418981481</v>
      </c>
      <c r="M2890" s="12" t="s">
        <v>638</v>
      </c>
      <c r="N2890" s="12" t="s">
        <v>3211</v>
      </c>
      <c r="O2890" s="10" t="str">
        <f>HYPERLINK("https://pbs.twimg.com/profile_images/2592181176/udsjv0fy0o3b2krnx52h_normal.jpeg","View")</f>
        <v>View</v>
      </c>
      <c r="P2890" s="11"/>
    </row>
    <row r="2891" spans="1:16" ht="12.75" x14ac:dyDescent="0.35">
      <c r="A2891" s="7">
        <v>42482.537592592591</v>
      </c>
      <c r="B2891" s="8" t="str">
        <f>HYPERLINK("https://twitter.com/MT_Online","@MT_Online")</f>
        <v>@MT_Online</v>
      </c>
      <c r="C2891" s="9" t="s">
        <v>7197</v>
      </c>
      <c r="D2891" s="9" t="s">
        <v>6865</v>
      </c>
      <c r="E2891" s="10" t="str">
        <f>HYPERLINK("https://twitter.com/MT_Online/status/723412052237127684","723412052237127684")</f>
        <v>723412052237127684</v>
      </c>
      <c r="F2891" s="11" t="s">
        <v>63</v>
      </c>
      <c r="G2891" s="11">
        <v>3034</v>
      </c>
      <c r="H2891" s="11">
        <v>420</v>
      </c>
      <c r="I2891" s="11">
        <v>2</v>
      </c>
      <c r="J2891" s="11">
        <v>0</v>
      </c>
      <c r="K2891" s="11" t="s">
        <v>21</v>
      </c>
      <c r="L2891" s="7">
        <v>39826.948321759257</v>
      </c>
      <c r="M2891" s="12" t="s">
        <v>7198</v>
      </c>
      <c r="N2891" s="12" t="s">
        <v>7199</v>
      </c>
      <c r="O2891" s="10" t="str">
        <f>HYPERLINK("https://pbs.twimg.com/profile_images/1694915873/MT_Icon_normal.jpg","View")</f>
        <v>View</v>
      </c>
      <c r="P2891" s="11"/>
    </row>
    <row r="2892" spans="1:16" ht="12.75" x14ac:dyDescent="0.35">
      <c r="A2892" s="7">
        <v>42482.537615740745</v>
      </c>
      <c r="B2892" s="8" t="str">
        <f t="shared" ref="B2892:B2893" si="275">HYPERLINK("https://twitter.com/oekomobil","@oekomobil")</f>
        <v>@oekomobil</v>
      </c>
      <c r="C2892" s="9" t="s">
        <v>7200</v>
      </c>
      <c r="D2892" s="9" t="s">
        <v>2360</v>
      </c>
      <c r="E2892" s="10" t="str">
        <f>HYPERLINK("https://twitter.com/oekomobil/status/723412060516687872","723412060516687872")</f>
        <v>723412060516687872</v>
      </c>
      <c r="F2892" s="11" t="s">
        <v>43</v>
      </c>
      <c r="G2892" s="11">
        <v>2324</v>
      </c>
      <c r="H2892" s="11">
        <v>1989</v>
      </c>
      <c r="I2892" s="11">
        <v>5</v>
      </c>
      <c r="J2892" s="11">
        <v>0</v>
      </c>
      <c r="K2892" s="11" t="s">
        <v>21</v>
      </c>
      <c r="L2892" s="7">
        <v>41574.753761574073</v>
      </c>
      <c r="M2892" s="12" t="s">
        <v>7201</v>
      </c>
      <c r="N2892" s="12" t="s">
        <v>7202</v>
      </c>
      <c r="O2892" s="10" t="str">
        <f t="shared" ref="O2892:O2893" si="276">HYPERLINK("https://pbs.twimg.com/profile_images/703329620259688448/RfdFkFzI_normal.jpg","View")</f>
        <v>View</v>
      </c>
      <c r="P2892" s="11"/>
    </row>
    <row r="2893" spans="1:16" ht="12.75" x14ac:dyDescent="0.35">
      <c r="A2893" s="7">
        <v>42482.537835648152</v>
      </c>
      <c r="B2893" s="8" t="str">
        <f t="shared" si="275"/>
        <v>@oekomobil</v>
      </c>
      <c r="C2893" s="9" t="s">
        <v>7200</v>
      </c>
      <c r="D2893" s="9" t="s">
        <v>3650</v>
      </c>
      <c r="E2893" s="10" t="str">
        <f>HYPERLINK("https://twitter.com/oekomobil/status/723412141944934401","723412141944934401")</f>
        <v>723412141944934401</v>
      </c>
      <c r="F2893" s="11" t="s">
        <v>43</v>
      </c>
      <c r="G2893" s="11">
        <v>2324</v>
      </c>
      <c r="H2893" s="11">
        <v>1989</v>
      </c>
      <c r="I2893" s="11">
        <v>5</v>
      </c>
      <c r="J2893" s="11">
        <v>0</v>
      </c>
      <c r="K2893" s="11" t="s">
        <v>21</v>
      </c>
      <c r="L2893" s="7">
        <v>41574.753761574073</v>
      </c>
      <c r="M2893" s="12" t="s">
        <v>7201</v>
      </c>
      <c r="N2893" s="12" t="s">
        <v>7202</v>
      </c>
      <c r="O2893" s="10" t="str">
        <f t="shared" si="276"/>
        <v>View</v>
      </c>
      <c r="P2893" s="11"/>
    </row>
    <row r="2894" spans="1:16" ht="12.75" x14ac:dyDescent="0.35">
      <c r="A2894" s="7">
        <v>42482.537858796291</v>
      </c>
      <c r="B2894" s="8" t="str">
        <f>HYPERLINK("https://twitter.com/EnergieDevlpmt","@EnergieDevlpmt")</f>
        <v>@EnergieDevlpmt</v>
      </c>
      <c r="C2894" s="9" t="s">
        <v>1309</v>
      </c>
      <c r="D2894" s="9" t="s">
        <v>7203</v>
      </c>
      <c r="E2894" s="10" t="str">
        <f>HYPERLINK("https://twitter.com/EnergieDevlpmt/status/723412148026646529","723412148026646529")</f>
        <v>723412148026646529</v>
      </c>
      <c r="F2894" s="11" t="s">
        <v>43</v>
      </c>
      <c r="G2894" s="11">
        <v>1802</v>
      </c>
      <c r="H2894" s="11">
        <v>495</v>
      </c>
      <c r="I2894" s="11">
        <v>0</v>
      </c>
      <c r="J2894" s="11">
        <v>1</v>
      </c>
      <c r="K2894" s="11" t="s">
        <v>21</v>
      </c>
      <c r="L2894" s="7">
        <v>40907.59746527778</v>
      </c>
      <c r="M2894" s="12" t="s">
        <v>1311</v>
      </c>
      <c r="N2894" s="12" t="s">
        <v>1312</v>
      </c>
      <c r="O2894" s="10" t="str">
        <f>HYPERLINK("https://pbs.twimg.com/profile_images/671802073848090624/NQemr0iG_normal.png","View")</f>
        <v>View</v>
      </c>
      <c r="P2894" s="11"/>
    </row>
    <row r="2895" spans="1:16" ht="12.75" x14ac:dyDescent="0.35">
      <c r="A2895" s="7">
        <v>42482.537916666668</v>
      </c>
      <c r="B2895" s="8" t="str">
        <f>HYPERLINK("https://twitter.com/autogazette","@autogazette")</f>
        <v>@autogazette</v>
      </c>
      <c r="C2895" s="9" t="s">
        <v>1720</v>
      </c>
      <c r="D2895" s="9" t="s">
        <v>7204</v>
      </c>
      <c r="E2895" s="10" t="str">
        <f>HYPERLINK("https://twitter.com/autogazette/status/723412169593737216","723412169593737216")</f>
        <v>723412169593737216</v>
      </c>
      <c r="F2895" s="11" t="s">
        <v>80</v>
      </c>
      <c r="G2895" s="11">
        <v>922</v>
      </c>
      <c r="H2895" s="11">
        <v>1404</v>
      </c>
      <c r="I2895" s="11">
        <v>0</v>
      </c>
      <c r="J2895" s="11">
        <v>0</v>
      </c>
      <c r="K2895" s="11" t="s">
        <v>21</v>
      </c>
      <c r="L2895" s="7">
        <v>40184.71230324074</v>
      </c>
      <c r="M2895" s="12" t="s">
        <v>1359</v>
      </c>
      <c r="N2895" s="12" t="s">
        <v>1722</v>
      </c>
      <c r="O2895" s="10" t="str">
        <f>HYPERLINK("https://pbs.twimg.com/profile_images/1170019200/ag_fb_logo_normal.jpg","View")</f>
        <v>View</v>
      </c>
      <c r="P2895" s="11"/>
    </row>
    <row r="2896" spans="1:16" ht="12.75" x14ac:dyDescent="0.35">
      <c r="A2896" s="7">
        <v>42482.537916666668</v>
      </c>
      <c r="B2896" s="8" t="str">
        <f>HYPERLINK("https://twitter.com/LukeFenek","@LukeFenek")</f>
        <v>@LukeFenek</v>
      </c>
      <c r="C2896" s="9" t="s">
        <v>7205</v>
      </c>
      <c r="D2896" s="9" t="s">
        <v>7206</v>
      </c>
      <c r="E2896" s="10" t="str">
        <f>HYPERLINK("https://twitter.com/LukeFenek/status/723412172777218050","723412172777218050")</f>
        <v>723412172777218050</v>
      </c>
      <c r="F2896" s="11" t="s">
        <v>48</v>
      </c>
      <c r="G2896" s="11">
        <v>676</v>
      </c>
      <c r="H2896" s="11">
        <v>2816</v>
      </c>
      <c r="I2896" s="11">
        <v>1</v>
      </c>
      <c r="J2896" s="11">
        <v>0</v>
      </c>
      <c r="K2896" s="11" t="s">
        <v>21</v>
      </c>
      <c r="L2896" s="7">
        <v>40699.097199074073</v>
      </c>
      <c r="M2896" s="12" t="s">
        <v>7207</v>
      </c>
      <c r="N2896" s="12" t="s">
        <v>7208</v>
      </c>
      <c r="O2896" s="10" t="str">
        <f>HYPERLINK("https://pbs.twimg.com/profile_images/669858479767576576/TrKosML3_normal.jpg","View")</f>
        <v>View</v>
      </c>
      <c r="P2896" s="11"/>
    </row>
    <row r="2897" spans="1:16" ht="12.75" x14ac:dyDescent="0.35">
      <c r="A2897" s="7">
        <v>42482.53869212963</v>
      </c>
      <c r="B2897" s="8" t="str">
        <f>HYPERLINK("https://twitter.com/wergshy","@wergshy")</f>
        <v>@wergshy</v>
      </c>
      <c r="C2897" s="9" t="s">
        <v>7209</v>
      </c>
      <c r="D2897" s="9" t="s">
        <v>7036</v>
      </c>
      <c r="E2897" s="10" t="str">
        <f>HYPERLINK("https://twitter.com/wergshy/status/723412451107049478","723412451107049478")</f>
        <v>723412451107049478</v>
      </c>
      <c r="F2897" s="11" t="s">
        <v>43</v>
      </c>
      <c r="G2897" s="11">
        <v>748</v>
      </c>
      <c r="H2897" s="11">
        <v>864</v>
      </c>
      <c r="I2897" s="11">
        <v>9</v>
      </c>
      <c r="J2897" s="11">
        <v>0</v>
      </c>
      <c r="K2897" s="11" t="s">
        <v>21</v>
      </c>
      <c r="L2897" s="7">
        <v>40829.475844907407</v>
      </c>
      <c r="M2897" s="12" t="s">
        <v>7210</v>
      </c>
      <c r="N2897" s="12"/>
      <c r="O2897" s="10" t="str">
        <f>HYPERLINK("https://pbs.twimg.com/profile_images/1687848767/pete_050_normal.JPG","View")</f>
        <v>View</v>
      </c>
      <c r="P2897" s="11"/>
    </row>
    <row r="2898" spans="1:16" ht="12.75" x14ac:dyDescent="0.35">
      <c r="A2898" s="7">
        <v>42482.538900462961</v>
      </c>
      <c r="B2898" s="8" t="str">
        <f>HYPERLINK("https://twitter.com/LouisPosern","@LouisPosern")</f>
        <v>@LouisPosern</v>
      </c>
      <c r="C2898" s="9" t="s">
        <v>7211</v>
      </c>
      <c r="D2898" s="9" t="s">
        <v>6734</v>
      </c>
      <c r="E2898" s="10" t="str">
        <f>HYPERLINK("https://twitter.com/LouisPosern/status/723412526172532736","723412526172532736")</f>
        <v>723412526172532736</v>
      </c>
      <c r="F2898" s="11" t="s">
        <v>20</v>
      </c>
      <c r="G2898" s="11">
        <v>416</v>
      </c>
      <c r="H2898" s="11">
        <v>261</v>
      </c>
      <c r="I2898" s="11">
        <v>8</v>
      </c>
      <c r="J2898" s="11">
        <v>0</v>
      </c>
      <c r="K2898" s="11" t="s">
        <v>21</v>
      </c>
      <c r="L2898" s="7">
        <v>41757.767152777778</v>
      </c>
      <c r="M2898" s="12" t="s">
        <v>2907</v>
      </c>
      <c r="N2898" s="12" t="s">
        <v>7212</v>
      </c>
      <c r="O2898" s="10" t="str">
        <f>HYPERLINK("https://pbs.twimg.com/profile_images/460768505382457345/L9RQPBW8_normal.jpeg","View")</f>
        <v>View</v>
      </c>
      <c r="P2898" s="11"/>
    </row>
    <row r="2899" spans="1:16" ht="12.75" x14ac:dyDescent="0.35">
      <c r="A2899" s="7">
        <v>42482.538946759261</v>
      </c>
      <c r="B2899" s="8" t="str">
        <f>HYPERLINK("https://twitter.com/Taykra","@Taykra")</f>
        <v>@Taykra</v>
      </c>
      <c r="C2899" s="9" t="s">
        <v>7213</v>
      </c>
      <c r="D2899" s="9" t="s">
        <v>7189</v>
      </c>
      <c r="E2899" s="10" t="str">
        <f>HYPERLINK("https://twitter.com/Taykra/status/723412546066087937","723412546066087937")</f>
        <v>723412546066087937</v>
      </c>
      <c r="F2899" s="11" t="s">
        <v>43</v>
      </c>
      <c r="G2899" s="11">
        <v>371</v>
      </c>
      <c r="H2899" s="11">
        <v>334</v>
      </c>
      <c r="I2899" s="11">
        <v>6</v>
      </c>
      <c r="J2899" s="11">
        <v>0</v>
      </c>
      <c r="K2899" s="11" t="s">
        <v>21</v>
      </c>
      <c r="L2899" s="7">
        <v>40535.788124999999</v>
      </c>
      <c r="M2899" s="12"/>
      <c r="N2899" s="12"/>
      <c r="O2899" s="10" t="str">
        <f>HYPERLINK("https://pbs.twimg.com/profile_images/678306300988669952/Ur4m2gN8_normal.jpg","View")</f>
        <v>View</v>
      </c>
      <c r="P2899" s="11"/>
    </row>
    <row r="2900" spans="1:16" ht="12.75" x14ac:dyDescent="0.35">
      <c r="A2900" s="7">
        <v>42482.539641203708</v>
      </c>
      <c r="B2900" s="8" t="str">
        <f>HYPERLINK("https://twitter.com/LSP_skills","@LSP_skills")</f>
        <v>@LSP_skills</v>
      </c>
      <c r="C2900" s="9" t="s">
        <v>7214</v>
      </c>
      <c r="D2900" s="9" t="s">
        <v>7215</v>
      </c>
      <c r="E2900" s="10" t="str">
        <f>HYPERLINK("https://twitter.com/LSP_skills/status/723412796587675648","723412796587675648")</f>
        <v>723412796587675648</v>
      </c>
      <c r="F2900" s="11" t="s">
        <v>80</v>
      </c>
      <c r="G2900" s="11">
        <v>270</v>
      </c>
      <c r="H2900" s="11">
        <v>462</v>
      </c>
      <c r="I2900" s="11">
        <v>0</v>
      </c>
      <c r="J2900" s="11">
        <v>0</v>
      </c>
      <c r="K2900" s="11" t="s">
        <v>21</v>
      </c>
      <c r="L2900" s="7">
        <v>41429.762326388889</v>
      </c>
      <c r="M2900" s="12" t="s">
        <v>35</v>
      </c>
      <c r="N2900" s="12" t="s">
        <v>7216</v>
      </c>
      <c r="O2900" s="10" t="str">
        <f>HYPERLINK("https://pbs.twimg.com/profile_images/3754568961/ecb09e66d77e82599a123fb12680eed5_normal.png","View")</f>
        <v>View</v>
      </c>
      <c r="P2900" s="11"/>
    </row>
    <row r="2901" spans="1:16" ht="12.75" x14ac:dyDescent="0.35">
      <c r="A2901" s="7">
        <v>42482.540023148147</v>
      </c>
      <c r="B2901" s="8" t="str">
        <f>HYPERLINK("https://twitter.com/MartinTriker","@MartinTriker")</f>
        <v>@MartinTriker</v>
      </c>
      <c r="C2901" s="9" t="s">
        <v>7063</v>
      </c>
      <c r="D2901" s="9" t="s">
        <v>3650</v>
      </c>
      <c r="E2901" s="10" t="str">
        <f>HYPERLINK("https://twitter.com/MartinTriker/status/723412933288415237","723412933288415237")</f>
        <v>723412933288415237</v>
      </c>
      <c r="F2901" s="11" t="s">
        <v>43</v>
      </c>
      <c r="G2901" s="11">
        <v>551</v>
      </c>
      <c r="H2901" s="11">
        <v>772</v>
      </c>
      <c r="I2901" s="11">
        <v>5</v>
      </c>
      <c r="J2901" s="11">
        <v>0</v>
      </c>
      <c r="K2901" s="11" t="s">
        <v>21</v>
      </c>
      <c r="L2901" s="7">
        <v>40996.46193287037</v>
      </c>
      <c r="M2901" s="12" t="s">
        <v>1169</v>
      </c>
      <c r="N2901" s="12" t="s">
        <v>7065</v>
      </c>
      <c r="O2901" s="10" t="str">
        <f>HYPERLINK("https://pbs.twimg.com/profile_images/679601052325416960/dCWFENi-_normal.jpg","View")</f>
        <v>View</v>
      </c>
      <c r="P2901" s="11"/>
    </row>
    <row r="2902" spans="1:16" ht="12.75" x14ac:dyDescent="0.35">
      <c r="A2902" s="7">
        <v>42482.540185185186</v>
      </c>
      <c r="B2902" s="8" t="str">
        <f>HYPERLINK("https://twitter.com/GirtsRungainis","@GirtsRungainis")</f>
        <v>@GirtsRungainis</v>
      </c>
      <c r="C2902" s="9" t="s">
        <v>7217</v>
      </c>
      <c r="D2902" s="9" t="s">
        <v>7036</v>
      </c>
      <c r="E2902" s="10" t="str">
        <f>HYPERLINK("https://twitter.com/GirtsRungainis/status/723412991262117889","723412991262117889")</f>
        <v>723412991262117889</v>
      </c>
      <c r="F2902" s="11" t="s">
        <v>43</v>
      </c>
      <c r="G2902" s="11">
        <v>1907</v>
      </c>
      <c r="H2902" s="11">
        <v>1239</v>
      </c>
      <c r="I2902" s="11">
        <v>9</v>
      </c>
      <c r="J2902" s="11">
        <v>0</v>
      </c>
      <c r="K2902" s="11" t="s">
        <v>21</v>
      </c>
      <c r="L2902" s="7">
        <v>40287.582685185189</v>
      </c>
      <c r="M2902" s="12"/>
      <c r="N2902" s="12" t="s">
        <v>7218</v>
      </c>
      <c r="O2902" s="10" t="str">
        <f>HYPERLINK("https://pbs.twimg.com/profile_images/2158844577/prudentia-047-11-200x300_normal.jpg","View")</f>
        <v>View</v>
      </c>
      <c r="P2902" s="11"/>
    </row>
    <row r="2903" spans="1:16" ht="12.75" x14ac:dyDescent="0.35">
      <c r="A2903" s="7">
        <v>42482.54074074074</v>
      </c>
      <c r="B2903" s="8" t="str">
        <f>HYPERLINK("https://twitter.com/MiManske","@MiManske")</f>
        <v>@MiManske</v>
      </c>
      <c r="C2903" s="9" t="s">
        <v>1409</v>
      </c>
      <c r="D2903" s="9" t="s">
        <v>7219</v>
      </c>
      <c r="E2903" s="10" t="str">
        <f>HYPERLINK("https://twitter.com/MiManske/status/723413195877023744","723413195877023744")</f>
        <v>723413195877023744</v>
      </c>
      <c r="F2903" s="11" t="s">
        <v>43</v>
      </c>
      <c r="G2903" s="11">
        <v>1311</v>
      </c>
      <c r="H2903" s="11">
        <v>796</v>
      </c>
      <c r="I2903" s="11">
        <v>0</v>
      </c>
      <c r="J2903" s="11">
        <v>0</v>
      </c>
      <c r="K2903" s="11" t="s">
        <v>21</v>
      </c>
      <c r="L2903" s="7">
        <v>40522.240474537037</v>
      </c>
      <c r="M2903" s="12" t="s">
        <v>1411</v>
      </c>
      <c r="N2903" s="12" t="s">
        <v>1412</v>
      </c>
      <c r="O2903" s="10" t="str">
        <f>HYPERLINK("https://pbs.twimg.com/profile_images/652191269934993408/5bZKOI8y_normal.jpg","View")</f>
        <v>View</v>
      </c>
      <c r="P2903" s="11"/>
    </row>
    <row r="2904" spans="1:16" ht="12.75" x14ac:dyDescent="0.35">
      <c r="A2904" s="7">
        <v>42482.542916666665</v>
      </c>
      <c r="B2904" s="8" t="str">
        <f>HYPERLINK("https://twitter.com/bvdvliet","@bvdvliet")</f>
        <v>@bvdvliet</v>
      </c>
      <c r="C2904" s="9" t="s">
        <v>2513</v>
      </c>
      <c r="D2904" s="9" t="s">
        <v>7080</v>
      </c>
      <c r="E2904" s="10" t="str">
        <f>HYPERLINK("https://twitter.com/bvdvliet/status/723413981252067328","723413981252067328")</f>
        <v>723413981252067328</v>
      </c>
      <c r="F2904" s="11" t="s">
        <v>91</v>
      </c>
      <c r="G2904" s="11">
        <v>158</v>
      </c>
      <c r="H2904" s="11">
        <v>267</v>
      </c>
      <c r="I2904" s="11">
        <v>2</v>
      </c>
      <c r="J2904" s="11">
        <v>0</v>
      </c>
      <c r="K2904" s="11" t="s">
        <v>21</v>
      </c>
      <c r="L2904" s="7">
        <v>41594.873657407406</v>
      </c>
      <c r="M2904" s="12"/>
      <c r="N2904" s="12"/>
      <c r="O2904" s="10" t="str">
        <f>HYPERLINK("https://pbs.twimg.com/profile_images/378800000747750946/394d9f0f5e6dde5137683d9c98c5c8a9_normal.jpeg","View")</f>
        <v>View</v>
      </c>
      <c r="P2904" s="11"/>
    </row>
    <row r="2905" spans="1:16" ht="12.75" x14ac:dyDescent="0.35">
      <c r="A2905" s="7">
        <v>42482.542939814812</v>
      </c>
      <c r="B2905" s="8" t="str">
        <f>HYPERLINK("https://twitter.com/BarryDesignWeb","@BarryDesignWeb")</f>
        <v>@BarryDesignWeb</v>
      </c>
      <c r="C2905" s="9" t="s">
        <v>7220</v>
      </c>
      <c r="D2905" s="9" t="s">
        <v>7221</v>
      </c>
      <c r="E2905" s="10" t="str">
        <f>HYPERLINK("https://twitter.com/BarryDesignWeb/status/723413992387936256","723413992387936256")</f>
        <v>723413992387936256</v>
      </c>
      <c r="F2905" s="11" t="s">
        <v>20</v>
      </c>
      <c r="G2905" s="11">
        <v>2124</v>
      </c>
      <c r="H2905" s="11">
        <v>2330</v>
      </c>
      <c r="I2905" s="11">
        <v>2</v>
      </c>
      <c r="J2905" s="11">
        <v>0</v>
      </c>
      <c r="K2905" s="11" t="s">
        <v>21</v>
      </c>
      <c r="L2905" s="7">
        <v>40284.752002314817</v>
      </c>
      <c r="M2905" s="12" t="s">
        <v>7222</v>
      </c>
      <c r="N2905" s="12" t="s">
        <v>7223</v>
      </c>
      <c r="O2905" s="10" t="str">
        <f>HYPERLINK("https://pbs.twimg.com/profile_images/661514517122256896/8o8UWEmC_normal.jpg","View")</f>
        <v>View</v>
      </c>
      <c r="P2905" s="11"/>
    </row>
    <row r="2906" spans="1:16" ht="12.75" x14ac:dyDescent="0.35">
      <c r="A2906" s="7">
        <v>42482.543900462959</v>
      </c>
      <c r="B2906" s="8" t="str">
        <f>HYPERLINK("https://twitter.com/boerseARD","@boerseARD")</f>
        <v>@boerseARD</v>
      </c>
      <c r="C2906" s="9" t="s">
        <v>1227</v>
      </c>
      <c r="D2906" s="9" t="s">
        <v>7224</v>
      </c>
      <c r="E2906" s="10" t="str">
        <f>HYPERLINK("https://twitter.com/boerseARD/status/723414338472562688","723414338472562688")</f>
        <v>723414338472562688</v>
      </c>
      <c r="F2906" s="11" t="s">
        <v>43</v>
      </c>
      <c r="G2906" s="11">
        <v>1969</v>
      </c>
      <c r="H2906" s="11">
        <v>231</v>
      </c>
      <c r="I2906" s="11">
        <v>0</v>
      </c>
      <c r="J2906" s="11">
        <v>0</v>
      </c>
      <c r="K2906" s="11" t="s">
        <v>21</v>
      </c>
      <c r="L2906" s="7">
        <v>42016.832812499997</v>
      </c>
      <c r="M2906" s="12" t="s">
        <v>1229</v>
      </c>
      <c r="N2906" s="12" t="s">
        <v>1230</v>
      </c>
      <c r="O2906" s="10" t="str">
        <f>HYPERLINK("https://pbs.twimg.com/profile_images/666163579700277248/vIv69HhR_normal.jpg","View")</f>
        <v>View</v>
      </c>
      <c r="P2906" s="11"/>
    </row>
    <row r="2907" spans="1:16" ht="12.75" x14ac:dyDescent="0.35">
      <c r="A2907" s="7">
        <v>42482.544340277775</v>
      </c>
      <c r="B2907" s="8" t="str">
        <f t="shared" ref="B2907:B2911" si="277">HYPERLINK("https://twitter.com/beetlebug1938","@beetlebug1938")</f>
        <v>@beetlebug1938</v>
      </c>
      <c r="C2907" s="9" t="s">
        <v>66</v>
      </c>
      <c r="D2907" s="9" t="s">
        <v>7225</v>
      </c>
      <c r="E2907" s="10" t="str">
        <f>HYPERLINK("https://twitter.com/beetlebug1938/status/723414500355903488","723414500355903488")</f>
        <v>723414500355903488</v>
      </c>
      <c r="F2907" s="11" t="s">
        <v>68</v>
      </c>
      <c r="G2907" s="11">
        <v>346</v>
      </c>
      <c r="H2907" s="11">
        <v>2222</v>
      </c>
      <c r="I2907" s="11">
        <v>0</v>
      </c>
      <c r="J2907" s="11">
        <v>0</v>
      </c>
      <c r="K2907" s="11" t="s">
        <v>21</v>
      </c>
      <c r="L2907" s="7">
        <v>42469.863865740743</v>
      </c>
      <c r="M2907" s="12" t="s">
        <v>69</v>
      </c>
      <c r="N2907" s="12"/>
      <c r="O2907" s="10" t="str">
        <f t="shared" ref="O2907:O2911" si="278">HYPERLINK("https://pbs.twimg.com/profile_images/718820712757215233/LXXndPTS_normal.jpg","View")</f>
        <v>View</v>
      </c>
      <c r="P2907" s="11"/>
    </row>
    <row r="2908" spans="1:16" ht="12.75" x14ac:dyDescent="0.35">
      <c r="A2908" s="7">
        <v>42482.544398148151</v>
      </c>
      <c r="B2908" s="8" t="str">
        <f t="shared" si="277"/>
        <v>@beetlebug1938</v>
      </c>
      <c r="C2908" s="9" t="s">
        <v>66</v>
      </c>
      <c r="D2908" s="9" t="s">
        <v>7226</v>
      </c>
      <c r="E2908" s="10" t="str">
        <f>HYPERLINK("https://twitter.com/beetlebug1938/status/723414518706016258","723414518706016258")</f>
        <v>723414518706016258</v>
      </c>
      <c r="F2908" s="11" t="s">
        <v>68</v>
      </c>
      <c r="G2908" s="11">
        <v>346</v>
      </c>
      <c r="H2908" s="11">
        <v>2222</v>
      </c>
      <c r="I2908" s="11">
        <v>0</v>
      </c>
      <c r="J2908" s="11">
        <v>0</v>
      </c>
      <c r="K2908" s="11" t="s">
        <v>21</v>
      </c>
      <c r="L2908" s="7">
        <v>42469.863865740743</v>
      </c>
      <c r="M2908" s="12" t="s">
        <v>69</v>
      </c>
      <c r="N2908" s="12"/>
      <c r="O2908" s="10" t="str">
        <f t="shared" si="278"/>
        <v>View</v>
      </c>
      <c r="P2908" s="11"/>
    </row>
    <row r="2909" spans="1:16" ht="12.75" x14ac:dyDescent="0.35">
      <c r="A2909" s="7">
        <v>42482.544444444444</v>
      </c>
      <c r="B2909" s="8" t="str">
        <f t="shared" si="277"/>
        <v>@beetlebug1938</v>
      </c>
      <c r="C2909" s="9" t="s">
        <v>66</v>
      </c>
      <c r="D2909" s="9" t="s">
        <v>7227</v>
      </c>
      <c r="E2909" s="10" t="str">
        <f>HYPERLINK("https://twitter.com/beetlebug1938/status/723414534363324416","723414534363324416")</f>
        <v>723414534363324416</v>
      </c>
      <c r="F2909" s="11" t="s">
        <v>68</v>
      </c>
      <c r="G2909" s="11">
        <v>346</v>
      </c>
      <c r="H2909" s="11">
        <v>2222</v>
      </c>
      <c r="I2909" s="11">
        <v>0</v>
      </c>
      <c r="J2909" s="11">
        <v>1</v>
      </c>
      <c r="K2909" s="11" t="s">
        <v>21</v>
      </c>
      <c r="L2909" s="7">
        <v>42469.863865740743</v>
      </c>
      <c r="M2909" s="12" t="s">
        <v>69</v>
      </c>
      <c r="N2909" s="12"/>
      <c r="O2909" s="10" t="str">
        <f t="shared" si="278"/>
        <v>View</v>
      </c>
      <c r="P2909" s="11"/>
    </row>
    <row r="2910" spans="1:16" ht="12.75" x14ac:dyDescent="0.35">
      <c r="A2910" s="7">
        <v>42482.544456018513</v>
      </c>
      <c r="B2910" s="8" t="str">
        <f t="shared" si="277"/>
        <v>@beetlebug1938</v>
      </c>
      <c r="C2910" s="9" t="s">
        <v>66</v>
      </c>
      <c r="D2910" s="9" t="s">
        <v>7228</v>
      </c>
      <c r="E2910" s="10" t="str">
        <f>HYPERLINK("https://twitter.com/beetlebug1938/status/723414541787242496","723414541787242496")</f>
        <v>723414541787242496</v>
      </c>
      <c r="F2910" s="11" t="s">
        <v>68</v>
      </c>
      <c r="G2910" s="11">
        <v>346</v>
      </c>
      <c r="H2910" s="11">
        <v>2222</v>
      </c>
      <c r="I2910" s="11">
        <v>1</v>
      </c>
      <c r="J2910" s="11">
        <v>1</v>
      </c>
      <c r="K2910" s="11" t="s">
        <v>21</v>
      </c>
      <c r="L2910" s="7">
        <v>42469.863865740743</v>
      </c>
      <c r="M2910" s="12" t="s">
        <v>69</v>
      </c>
      <c r="N2910" s="12"/>
      <c r="O2910" s="10" t="str">
        <f t="shared" si="278"/>
        <v>View</v>
      </c>
      <c r="P2910" s="11"/>
    </row>
    <row r="2911" spans="1:16" ht="12.75" x14ac:dyDescent="0.35">
      <c r="A2911" s="7">
        <v>42482.544490740736</v>
      </c>
      <c r="B2911" s="8" t="str">
        <f t="shared" si="277"/>
        <v>@beetlebug1938</v>
      </c>
      <c r="C2911" s="9" t="s">
        <v>66</v>
      </c>
      <c r="D2911" s="9" t="s">
        <v>7229</v>
      </c>
      <c r="E2911" s="10" t="str">
        <f>HYPERLINK("https://twitter.com/beetlebug1938/status/723414554525364224","723414554525364224")</f>
        <v>723414554525364224</v>
      </c>
      <c r="F2911" s="11" t="s">
        <v>68</v>
      </c>
      <c r="G2911" s="11">
        <v>346</v>
      </c>
      <c r="H2911" s="11">
        <v>2222</v>
      </c>
      <c r="I2911" s="11">
        <v>0</v>
      </c>
      <c r="J2911" s="11">
        <v>1</v>
      </c>
      <c r="K2911" s="11" t="s">
        <v>21</v>
      </c>
      <c r="L2911" s="7">
        <v>42469.863865740743</v>
      </c>
      <c r="M2911" s="12" t="s">
        <v>69</v>
      </c>
      <c r="N2911" s="12"/>
      <c r="O2911" s="10" t="str">
        <f t="shared" si="278"/>
        <v>View</v>
      </c>
      <c r="P2911" s="11"/>
    </row>
    <row r="2912" spans="1:16" ht="12.75" x14ac:dyDescent="0.35">
      <c r="A2912" s="7">
        <v>42482.545949074076</v>
      </c>
      <c r="B2912" s="8" t="str">
        <f>HYPERLINK("https://twitter.com/RolfMecke","@RolfMecke")</f>
        <v>@RolfMecke</v>
      </c>
      <c r="C2912" s="9" t="s">
        <v>7230</v>
      </c>
      <c r="D2912" s="9" t="s">
        <v>2360</v>
      </c>
      <c r="E2912" s="10" t="str">
        <f>HYPERLINK("https://twitter.com/RolfMecke/status/723415082747600897","723415082747600897")</f>
        <v>723415082747600897</v>
      </c>
      <c r="F2912" s="11" t="s">
        <v>43</v>
      </c>
      <c r="G2912" s="11">
        <v>2910</v>
      </c>
      <c r="H2912" s="11">
        <v>2501</v>
      </c>
      <c r="I2912" s="11">
        <v>5</v>
      </c>
      <c r="J2912" s="11">
        <v>0</v>
      </c>
      <c r="K2912" s="11" t="s">
        <v>21</v>
      </c>
      <c r="L2912" s="7">
        <v>40266.843923611115</v>
      </c>
      <c r="M2912" s="12" t="s">
        <v>7231</v>
      </c>
      <c r="N2912" s="12" t="s">
        <v>7232</v>
      </c>
      <c r="O2912" s="10" t="str">
        <f>HYPERLINK("https://pbs.twimg.com/profile_images/430616979162951681/ZMqm7I3c_normal.png","View")</f>
        <v>View</v>
      </c>
      <c r="P2912" s="11"/>
    </row>
    <row r="2913" spans="1:16" ht="12.75" x14ac:dyDescent="0.35">
      <c r="A2913" s="7">
        <v>42482.546122685184</v>
      </c>
      <c r="B2913" s="8" t="str">
        <f>HYPERLINK("https://twitter.com/mia_herr","@mia_herr")</f>
        <v>@mia_herr</v>
      </c>
      <c r="C2913" s="9" t="s">
        <v>7233</v>
      </c>
      <c r="D2913" s="9" t="s">
        <v>7189</v>
      </c>
      <c r="E2913" s="10" t="str">
        <f>HYPERLINK("https://twitter.com/mia_herr/status/723415143481110529","723415143481110529")</f>
        <v>723415143481110529</v>
      </c>
      <c r="F2913" s="11" t="s">
        <v>48</v>
      </c>
      <c r="G2913" s="11">
        <v>124</v>
      </c>
      <c r="H2913" s="11">
        <v>65</v>
      </c>
      <c r="I2913" s="11">
        <v>6</v>
      </c>
      <c r="J2913" s="11">
        <v>0</v>
      </c>
      <c r="K2913" s="11" t="s">
        <v>21</v>
      </c>
      <c r="L2913" s="7">
        <v>42358.065405092595</v>
      </c>
      <c r="M2913" s="12" t="s">
        <v>7234</v>
      </c>
      <c r="N2913" s="12" t="s">
        <v>7235</v>
      </c>
      <c r="O2913" s="10" t="str">
        <f>HYPERLINK("https://pbs.twimg.com/profile_images/722869670928392193/jqNoGw6x_normal.jpg","View")</f>
        <v>View</v>
      </c>
      <c r="P2913" s="11"/>
    </row>
    <row r="2914" spans="1:16" ht="12.75" x14ac:dyDescent="0.35">
      <c r="A2914" s="7">
        <v>42482.546493055561</v>
      </c>
      <c r="B2914" s="8" t="str">
        <f>HYPERLINK("https://twitter.com/adhddoyle","@adhddoyle")</f>
        <v>@adhddoyle</v>
      </c>
      <c r="C2914" s="9" t="s">
        <v>7236</v>
      </c>
      <c r="D2914" s="9" t="s">
        <v>7237</v>
      </c>
      <c r="E2914" s="10" t="str">
        <f>HYPERLINK("https://twitter.com/adhddoyle/status/723415280630681600","723415280630681600")</f>
        <v>723415280630681600</v>
      </c>
      <c r="F2914" s="11" t="s">
        <v>48</v>
      </c>
      <c r="G2914" s="11">
        <v>1439</v>
      </c>
      <c r="H2914" s="11">
        <v>1816</v>
      </c>
      <c r="I2914" s="11">
        <v>2</v>
      </c>
      <c r="J2914" s="11">
        <v>0</v>
      </c>
      <c r="K2914" s="11" t="s">
        <v>21</v>
      </c>
      <c r="L2914" s="7">
        <v>40574.032025462962</v>
      </c>
      <c r="M2914" s="12" t="s">
        <v>7238</v>
      </c>
      <c r="N2914" s="12" t="s">
        <v>7239</v>
      </c>
      <c r="O2914" s="10" t="str">
        <f>HYPERLINK("https://pbs.twimg.com/profile_images/2549923530/7li4rLCm_normal","View")</f>
        <v>View</v>
      </c>
      <c r="P2914" s="11"/>
    </row>
    <row r="2915" spans="1:16" ht="12.75" x14ac:dyDescent="0.35">
      <c r="A2915" s="7">
        <v>42482.548055555555</v>
      </c>
      <c r="B2915" s="8" t="str">
        <f>HYPERLINK("https://twitter.com/NDRnds","@NDRnds")</f>
        <v>@NDRnds</v>
      </c>
      <c r="C2915" s="9" t="s">
        <v>7240</v>
      </c>
      <c r="D2915" s="9" t="s">
        <v>7241</v>
      </c>
      <c r="E2915" s="10" t="str">
        <f>HYPERLINK("https://twitter.com/NDRnds/status/723415843313315843","723415843313315843")</f>
        <v>723415843313315843</v>
      </c>
      <c r="F2915" s="11" t="s">
        <v>152</v>
      </c>
      <c r="G2915" s="11">
        <v>8905</v>
      </c>
      <c r="H2915" s="11">
        <v>581</v>
      </c>
      <c r="I2915" s="11">
        <v>1</v>
      </c>
      <c r="J2915" s="11">
        <v>0</v>
      </c>
      <c r="K2915" s="11" t="s">
        <v>21</v>
      </c>
      <c r="L2915" s="7">
        <v>41253.654791666668</v>
      </c>
      <c r="M2915" s="12"/>
      <c r="N2915" s="12" t="s">
        <v>7242</v>
      </c>
      <c r="O2915" s="10" t="str">
        <f>HYPERLINK("https://pbs.twimg.com/profile_images/628233882014457856/o87vMXlL_normal.jpg","View")</f>
        <v>View</v>
      </c>
      <c r="P2915" s="11"/>
    </row>
    <row r="2916" spans="1:16" ht="12.75" x14ac:dyDescent="0.35">
      <c r="A2916" s="7">
        <v>42482.548113425924</v>
      </c>
      <c r="B2916" s="8" t="str">
        <f>HYPERLINK("https://twitter.com/schoenbornmc","@schoenbornmc")</f>
        <v>@schoenbornmc</v>
      </c>
      <c r="C2916" s="9" t="s">
        <v>7243</v>
      </c>
      <c r="D2916" s="9" t="s">
        <v>7244</v>
      </c>
      <c r="E2916" s="10" t="str">
        <f>HYPERLINK("https://twitter.com/schoenbornmc/status/723415864767221760","723415864767221760")</f>
        <v>723415864767221760</v>
      </c>
      <c r="F2916" s="11" t="s">
        <v>43</v>
      </c>
      <c r="G2916" s="11">
        <v>20</v>
      </c>
      <c r="H2916" s="11">
        <v>358</v>
      </c>
      <c r="I2916" s="11">
        <v>0</v>
      </c>
      <c r="J2916" s="11">
        <v>0</v>
      </c>
      <c r="K2916" s="11" t="s">
        <v>21</v>
      </c>
      <c r="L2916" s="7">
        <v>42433.825694444444</v>
      </c>
      <c r="M2916" s="12" t="s">
        <v>7245</v>
      </c>
      <c r="N2916" s="12" t="s">
        <v>7246</v>
      </c>
      <c r="O2916" s="10" t="str">
        <f>HYPERLINK("https://pbs.twimg.com/profile_images/705812199885967360/9ddZJ66P_normal.jpg","View")</f>
        <v>View</v>
      </c>
      <c r="P2916" s="11"/>
    </row>
    <row r="2917" spans="1:16" ht="12.75" x14ac:dyDescent="0.35">
      <c r="A2917" s="7">
        <v>42482.549803240741</v>
      </c>
      <c r="B2917" s="8" t="str">
        <f>HYPERLINK("https://twitter.com/SvOstrow","@SvOstrow")</f>
        <v>@SvOstrow</v>
      </c>
      <c r="C2917" s="9" t="s">
        <v>7247</v>
      </c>
      <c r="D2917" s="9" t="s">
        <v>7248</v>
      </c>
      <c r="E2917" s="10" t="str">
        <f>HYPERLINK("https://twitter.com/SvOstrow/status/723416476883914753","723416476883914753")</f>
        <v>723416476883914753</v>
      </c>
      <c r="F2917" s="11" t="s">
        <v>91</v>
      </c>
      <c r="G2917" s="11">
        <v>207</v>
      </c>
      <c r="H2917" s="11">
        <v>138</v>
      </c>
      <c r="I2917" s="11">
        <v>0</v>
      </c>
      <c r="J2917" s="11">
        <v>0</v>
      </c>
      <c r="K2917" s="11" t="s">
        <v>21</v>
      </c>
      <c r="L2917" s="7">
        <v>41866.102569444447</v>
      </c>
      <c r="M2917" s="12"/>
      <c r="N2917" s="12" t="s">
        <v>7249</v>
      </c>
      <c r="O2917" s="10" t="str">
        <f>HYPERLINK("https://pbs.twimg.com/profile_images/531108045451837442/KHuLHxmU_normal.jpeg","View")</f>
        <v>View</v>
      </c>
      <c r="P2917" s="11"/>
    </row>
    <row r="2918" spans="1:16" ht="12.75" x14ac:dyDescent="0.35">
      <c r="A2918" s="7">
        <v>42482.549861111111</v>
      </c>
      <c r="B2918" s="8" t="str">
        <f>HYPERLINK("https://twitter.com/airjibeer","@airjibeer")</f>
        <v>@airjibeer</v>
      </c>
      <c r="C2918" s="9" t="s">
        <v>7250</v>
      </c>
      <c r="D2918" s="9" t="s">
        <v>7251</v>
      </c>
      <c r="E2918" s="10" t="str">
        <f>HYPERLINK("https://twitter.com/airjibeer/status/723416498899800067","723416498899800067")</f>
        <v>723416498899800067</v>
      </c>
      <c r="F2918" s="11" t="s">
        <v>63</v>
      </c>
      <c r="G2918" s="11">
        <v>1014</v>
      </c>
      <c r="H2918" s="11">
        <v>756</v>
      </c>
      <c r="I2918" s="11">
        <v>0</v>
      </c>
      <c r="J2918" s="11">
        <v>1</v>
      </c>
      <c r="K2918" s="11" t="s">
        <v>21</v>
      </c>
      <c r="L2918" s="7">
        <v>40485.050578703704</v>
      </c>
      <c r="M2918" s="12" t="s">
        <v>1169</v>
      </c>
      <c r="N2918" s="12" t="s">
        <v>7252</v>
      </c>
      <c r="O2918" s="10" t="str">
        <f>HYPERLINK("https://pbs.twimg.com/profile_images/548232144980426752/uigzjjCu_normal.jpeg","View")</f>
        <v>View</v>
      </c>
      <c r="P2918" s="11"/>
    </row>
    <row r="2919" spans="1:16" ht="12.75" x14ac:dyDescent="0.35">
      <c r="A2919" s="7">
        <v>42482.549895833334</v>
      </c>
      <c r="B2919" s="8" t="str">
        <f>HYPERLINK("https://twitter.com/SvOstrow","@SvOstrow")</f>
        <v>@SvOstrow</v>
      </c>
      <c r="C2919" s="9" t="s">
        <v>7247</v>
      </c>
      <c r="D2919" s="9" t="s">
        <v>7253</v>
      </c>
      <c r="E2919" s="10" t="str">
        <f>HYPERLINK("https://twitter.com/SvOstrow/status/723416511856037888","723416511856037888")</f>
        <v>723416511856037888</v>
      </c>
      <c r="F2919" s="11" t="s">
        <v>91</v>
      </c>
      <c r="G2919" s="11">
        <v>207</v>
      </c>
      <c r="H2919" s="11">
        <v>138</v>
      </c>
      <c r="I2919" s="11">
        <v>1</v>
      </c>
      <c r="J2919" s="11">
        <v>0</v>
      </c>
      <c r="K2919" s="11" t="s">
        <v>21</v>
      </c>
      <c r="L2919" s="7">
        <v>41866.102569444447</v>
      </c>
      <c r="M2919" s="12"/>
      <c r="N2919" s="12" t="s">
        <v>7249</v>
      </c>
      <c r="O2919" s="10" t="str">
        <f>HYPERLINK("https://pbs.twimg.com/profile_images/531108045451837442/KHuLHxmU_normal.jpeg","View")</f>
        <v>View</v>
      </c>
      <c r="P2919" s="11"/>
    </row>
    <row r="2920" spans="1:16" ht="12.75" x14ac:dyDescent="0.35">
      <c r="A2920" s="7">
        <v>42482.550289351857</v>
      </c>
      <c r="B2920" s="8" t="str">
        <f>HYPERLINK("https://twitter.com/TerraInstitute1","@TerraInstitute1")</f>
        <v>@TerraInstitute1</v>
      </c>
      <c r="C2920" s="9" t="s">
        <v>7254</v>
      </c>
      <c r="D2920" s="9" t="s">
        <v>7255</v>
      </c>
      <c r="E2920" s="10" t="str">
        <f>HYPERLINK("https://twitter.com/TerraInstitute1/status/723416656496627712","723416656496627712")</f>
        <v>723416656496627712</v>
      </c>
      <c r="F2920" s="11" t="s">
        <v>43</v>
      </c>
      <c r="G2920" s="11">
        <v>250</v>
      </c>
      <c r="H2920" s="11">
        <v>406</v>
      </c>
      <c r="I2920" s="11">
        <v>0</v>
      </c>
      <c r="J2920" s="11">
        <v>0</v>
      </c>
      <c r="K2920" s="11" t="s">
        <v>21</v>
      </c>
      <c r="L2920" s="7">
        <v>40932.661377314813</v>
      </c>
      <c r="M2920" s="12"/>
      <c r="N2920" s="12" t="s">
        <v>7256</v>
      </c>
      <c r="O2920" s="10" t="str">
        <f>HYPERLINK("https://pbs.twimg.com/profile_images/1777666313/Terra_normal.jpg","View")</f>
        <v>View</v>
      </c>
      <c r="P2920" s="11"/>
    </row>
    <row r="2921" spans="1:16" ht="12.75" x14ac:dyDescent="0.35">
      <c r="A2921" s="7">
        <v>42482.551423611112</v>
      </c>
      <c r="B2921" s="8" t="str">
        <f>HYPERLINK("https://twitter.com/Hostyourparty","@Hostyourparty")</f>
        <v>@Hostyourparty</v>
      </c>
      <c r="C2921" s="9" t="s">
        <v>7257</v>
      </c>
      <c r="D2921" s="9" t="s">
        <v>7258</v>
      </c>
      <c r="E2921" s="10" t="str">
        <f>HYPERLINK("https://twitter.com/Hostyourparty/status/723417064321376256","723417064321376256")</f>
        <v>723417064321376256</v>
      </c>
      <c r="F2921" s="11" t="s">
        <v>20</v>
      </c>
      <c r="G2921" s="11">
        <v>43151</v>
      </c>
      <c r="H2921" s="11">
        <v>3474</v>
      </c>
      <c r="I2921" s="11">
        <v>0</v>
      </c>
      <c r="J2921" s="11">
        <v>0</v>
      </c>
      <c r="K2921" s="11" t="s">
        <v>21</v>
      </c>
      <c r="L2921" s="7">
        <v>40558.599305555559</v>
      </c>
      <c r="M2921" s="12" t="s">
        <v>7259</v>
      </c>
      <c r="N2921" s="12" t="s">
        <v>7260</v>
      </c>
      <c r="O2921" s="10" t="str">
        <f>HYPERLINK("https://pbs.twimg.com/profile_images/659430911537205248/ofXAfeUV_normal.jpg","View")</f>
        <v>View</v>
      </c>
      <c r="P2921" s="11"/>
    </row>
    <row r="2922" spans="1:16" ht="12.75" x14ac:dyDescent="0.35">
      <c r="A2922" s="7">
        <v>42482.553113425922</v>
      </c>
      <c r="B2922" s="8" t="str">
        <f>HYPERLINK("https://twitter.com/MartinHeine1","@MartinHeine1")</f>
        <v>@MartinHeine1</v>
      </c>
      <c r="C2922" s="9" t="s">
        <v>7261</v>
      </c>
      <c r="D2922" s="9" t="s">
        <v>7189</v>
      </c>
      <c r="E2922" s="10" t="str">
        <f>HYPERLINK("https://twitter.com/MartinHeine1/status/723417677440516096","723417677440516096")</f>
        <v>723417677440516096</v>
      </c>
      <c r="F2922" s="11" t="s">
        <v>91</v>
      </c>
      <c r="G2922" s="11">
        <v>84</v>
      </c>
      <c r="H2922" s="11">
        <v>108</v>
      </c>
      <c r="I2922" s="11">
        <v>6</v>
      </c>
      <c r="J2922" s="11">
        <v>0</v>
      </c>
      <c r="K2922" s="11" t="s">
        <v>21</v>
      </c>
      <c r="L2922" s="7">
        <v>41671.115914351853</v>
      </c>
      <c r="M2922" s="12" t="s">
        <v>7262</v>
      </c>
      <c r="N2922" s="12" t="s">
        <v>7263</v>
      </c>
      <c r="O2922" s="10" t="str">
        <f>HYPERLINK("https://pbs.twimg.com/profile_images/714105573571166208/8VHOE6pb_normal.jpg","View")</f>
        <v>View</v>
      </c>
      <c r="P2922" s="11"/>
    </row>
    <row r="2923" spans="1:16" ht="12.75" x14ac:dyDescent="0.35">
      <c r="A2923" s="7">
        <v>42482.553287037037</v>
      </c>
      <c r="B2923" s="8" t="str">
        <f>HYPERLINK("https://twitter.com/MiManske","@MiManske")</f>
        <v>@MiManske</v>
      </c>
      <c r="C2923" s="9" t="s">
        <v>1409</v>
      </c>
      <c r="D2923" s="9" t="s">
        <v>7264</v>
      </c>
      <c r="E2923" s="10" t="str">
        <f>HYPERLINK("https://twitter.com/MiManske/status/723417741185544193","723417741185544193")</f>
        <v>723417741185544193</v>
      </c>
      <c r="F2923" s="11" t="s">
        <v>43</v>
      </c>
      <c r="G2923" s="11">
        <v>1311</v>
      </c>
      <c r="H2923" s="11">
        <v>796</v>
      </c>
      <c r="I2923" s="11">
        <v>0</v>
      </c>
      <c r="J2923" s="11">
        <v>0</v>
      </c>
      <c r="K2923" s="11" t="s">
        <v>21</v>
      </c>
      <c r="L2923" s="7">
        <v>40522.240474537037</v>
      </c>
      <c r="M2923" s="12" t="s">
        <v>1411</v>
      </c>
      <c r="N2923" s="12" t="s">
        <v>1412</v>
      </c>
      <c r="O2923" s="10" t="str">
        <f>HYPERLINK("https://pbs.twimg.com/profile_images/652191269934993408/5bZKOI8y_normal.jpg","View")</f>
        <v>View</v>
      </c>
      <c r="P2923" s="11"/>
    </row>
    <row r="2924" spans="1:16" ht="12.75" x14ac:dyDescent="0.35">
      <c r="A2924" s="7">
        <v>42482.554247685184</v>
      </c>
      <c r="B2924" s="8" t="str">
        <f>HYPERLINK("https://twitter.com/VWBeetleSales","@VWBeetleSales")</f>
        <v>@VWBeetleSales</v>
      </c>
      <c r="C2924" s="9" t="s">
        <v>127</v>
      </c>
      <c r="D2924" s="9" t="s">
        <v>7265</v>
      </c>
      <c r="E2924" s="10" t="str">
        <f>HYPERLINK("https://twitter.com/VWBeetleSales/status/723418087224004609","723418087224004609")</f>
        <v>723418087224004609</v>
      </c>
      <c r="F2924" s="10" t="s">
        <v>124</v>
      </c>
      <c r="G2924" s="11">
        <v>35</v>
      </c>
      <c r="H2924" s="11">
        <v>32</v>
      </c>
      <c r="I2924" s="11">
        <v>0</v>
      </c>
      <c r="J2924" s="11">
        <v>0</v>
      </c>
      <c r="K2924" s="11" t="s">
        <v>21</v>
      </c>
      <c r="L2924" s="7">
        <v>42427.019756944443</v>
      </c>
      <c r="M2924" s="12" t="s">
        <v>129</v>
      </c>
      <c r="N2924" s="12" t="s">
        <v>130</v>
      </c>
      <c r="O2924" s="10" t="str">
        <f>HYPERLINK("https://pbs.twimg.com/profile_images/703294545195307008/qeCvrX86_normal.jpg","View")</f>
        <v>View</v>
      </c>
      <c r="P2924" s="11"/>
    </row>
    <row r="2925" spans="1:16" ht="12.75" x14ac:dyDescent="0.35">
      <c r="A2925" s="7">
        <v>42482.554259259261</v>
      </c>
      <c r="B2925" s="8" t="str">
        <f>HYPERLINK("https://twitter.com/SkySamantha","@SkySamantha")</f>
        <v>@SkySamantha</v>
      </c>
      <c r="C2925" s="9" t="s">
        <v>7266</v>
      </c>
      <c r="D2925" s="9" t="s">
        <v>7267</v>
      </c>
      <c r="E2925" s="10" t="str">
        <f>HYPERLINK("https://twitter.com/SkySamantha/status/723418094933176322","723418094933176322")</f>
        <v>723418094933176322</v>
      </c>
      <c r="F2925" s="11" t="s">
        <v>43</v>
      </c>
      <c r="G2925" s="11">
        <v>5269</v>
      </c>
      <c r="H2925" s="11">
        <v>994</v>
      </c>
      <c r="I2925" s="11">
        <v>0</v>
      </c>
      <c r="J2925" s="11">
        <v>2</v>
      </c>
      <c r="K2925" s="11" t="s">
        <v>21</v>
      </c>
      <c r="L2925" s="7">
        <v>40296.662222222221</v>
      </c>
      <c r="M2925" s="12" t="s">
        <v>7268</v>
      </c>
      <c r="N2925" s="12" t="s">
        <v>7269</v>
      </c>
      <c r="O2925" s="10" t="str">
        <f>HYPERLINK("https://pbs.twimg.com/profile_images/620549642619604992/XHq5uP9P_normal.jpg","View")</f>
        <v>View</v>
      </c>
      <c r="P2925" s="11"/>
    </row>
    <row r="2926" spans="1:16" ht="12.75" x14ac:dyDescent="0.35">
      <c r="A2926" s="7">
        <v>42482.554652777777</v>
      </c>
      <c r="B2926" s="8" t="str">
        <f>HYPERLINK("https://twitter.com/MHubertus","@MHubertus")</f>
        <v>@MHubertus</v>
      </c>
      <c r="C2926" s="9" t="s">
        <v>7270</v>
      </c>
      <c r="D2926" s="9" t="s">
        <v>7144</v>
      </c>
      <c r="E2926" s="10" t="str">
        <f>HYPERLINK("https://twitter.com/MHubertus/status/723418236075663362","723418236075663362")</f>
        <v>723418236075663362</v>
      </c>
      <c r="F2926" s="11" t="s">
        <v>48</v>
      </c>
      <c r="G2926" s="11">
        <v>43</v>
      </c>
      <c r="H2926" s="11">
        <v>259</v>
      </c>
      <c r="I2926" s="11">
        <v>2</v>
      </c>
      <c r="J2926" s="11">
        <v>0</v>
      </c>
      <c r="K2926" s="11" t="s">
        <v>21</v>
      </c>
      <c r="L2926" s="7">
        <v>41042.710439814815</v>
      </c>
      <c r="M2926" s="12"/>
      <c r="N2926" s="12"/>
      <c r="O2926" s="10" t="str">
        <f>HYPERLINK("https://pbs.twimg.com/profile_images/2214646082/Bild6_normal.jpg","View")</f>
        <v>View</v>
      </c>
      <c r="P2926" s="11"/>
    </row>
    <row r="2927" spans="1:16" ht="12.75" x14ac:dyDescent="0.35">
      <c r="A2927" s="7">
        <v>42482.555567129632</v>
      </c>
      <c r="B2927" s="8" t="str">
        <f>HYPERLINK("https://twitter.com/Bra49","@Bra49")</f>
        <v>@Bra49</v>
      </c>
      <c r="C2927" s="9" t="s">
        <v>7271</v>
      </c>
      <c r="D2927" s="9" t="s">
        <v>7272</v>
      </c>
      <c r="E2927" s="10" t="str">
        <f>HYPERLINK("https://twitter.com/Bra49/status/723418565085286400","723418565085286400")</f>
        <v>723418565085286400</v>
      </c>
      <c r="F2927" s="11" t="s">
        <v>48</v>
      </c>
      <c r="G2927" s="11">
        <v>18</v>
      </c>
      <c r="H2927" s="11">
        <v>292</v>
      </c>
      <c r="I2927" s="11">
        <v>1</v>
      </c>
      <c r="J2927" s="11">
        <v>0</v>
      </c>
      <c r="K2927" s="11" t="s">
        <v>21</v>
      </c>
      <c r="L2927" s="7">
        <v>40140.926203703704</v>
      </c>
      <c r="M2927" s="12"/>
      <c r="N2927" s="12"/>
      <c r="O2927" s="10" t="str">
        <f>HYPERLINK("https://pbs.twimg.com/profile_images/597478620580417538/f-Jf4hXY_normal.jpg","View")</f>
        <v>View</v>
      </c>
      <c r="P2927" s="11"/>
    </row>
    <row r="2928" spans="1:16" ht="12.75" x14ac:dyDescent="0.35">
      <c r="A2928" s="7">
        <v>42482.556145833332</v>
      </c>
      <c r="B2928" s="8" t="str">
        <f>HYPERLINK("https://twitter.com/golfturkiye","@golfturkiye")</f>
        <v>@golfturkiye</v>
      </c>
      <c r="C2928" s="9" t="s">
        <v>4593</v>
      </c>
      <c r="D2928" s="9" t="s">
        <v>7273</v>
      </c>
      <c r="E2928" s="10" t="str">
        <f>HYPERLINK("https://twitter.com/golfturkiye/status/723418774754320384","723418774754320384")</f>
        <v>723418774754320384</v>
      </c>
      <c r="F2928" s="11" t="s">
        <v>4595</v>
      </c>
      <c r="G2928" s="11">
        <v>833</v>
      </c>
      <c r="H2928" s="11">
        <v>1</v>
      </c>
      <c r="I2928" s="11">
        <v>0</v>
      </c>
      <c r="J2928" s="11">
        <v>0</v>
      </c>
      <c r="K2928" s="11" t="s">
        <v>21</v>
      </c>
      <c r="L2928" s="7">
        <v>41097.832256944443</v>
      </c>
      <c r="M2928" s="12"/>
      <c r="N2928" s="12" t="s">
        <v>4596</v>
      </c>
      <c r="O2928" s="10" t="str">
        <f>HYPERLINK("https://pbs.twimg.com/profile_images/2908590566/828967841f09b515ee36e3dfccea4d28_normal.png","View")</f>
        <v>View</v>
      </c>
      <c r="P2928" s="11"/>
    </row>
    <row r="2929" spans="1:16" ht="12.75" x14ac:dyDescent="0.35">
      <c r="A2929" s="7">
        <v>42482.556354166663</v>
      </c>
      <c r="B2929" s="8" t="str">
        <f>HYPERLINK("https://twitter.com/RovanZon","@RovanZon")</f>
        <v>@RovanZon</v>
      </c>
      <c r="C2929" s="9" t="s">
        <v>7274</v>
      </c>
      <c r="D2929" s="9" t="s">
        <v>7275</v>
      </c>
      <c r="E2929" s="10" t="str">
        <f>HYPERLINK("https://twitter.com/RovanZon/status/723418851812081664","723418851812081664")</f>
        <v>723418851812081664</v>
      </c>
      <c r="F2929" s="11" t="s">
        <v>43</v>
      </c>
      <c r="G2929" s="11">
        <v>561</v>
      </c>
      <c r="H2929" s="11">
        <v>511</v>
      </c>
      <c r="I2929" s="11">
        <v>0</v>
      </c>
      <c r="J2929" s="11">
        <v>0</v>
      </c>
      <c r="K2929" s="11" t="s">
        <v>21</v>
      </c>
      <c r="L2929" s="7">
        <v>39885.918263888889</v>
      </c>
      <c r="M2929" s="12" t="s">
        <v>7276</v>
      </c>
      <c r="N2929" s="12" t="s">
        <v>7277</v>
      </c>
      <c r="O2929" s="10" t="str">
        <f>HYPERLINK("https://pbs.twimg.com/profile_images/1864487312/RonvanZon_pasfoto_500K_normal.jpg","View")</f>
        <v>View</v>
      </c>
      <c r="P2929" s="11"/>
    </row>
    <row r="2930" spans="1:16" ht="12.75" x14ac:dyDescent="0.35">
      <c r="A2930" s="7">
        <v>42482.557060185187</v>
      </c>
      <c r="B2930" s="8" t="str">
        <f>HYPERLINK("https://twitter.com/hugobassey","@hugobassey")</f>
        <v>@hugobassey</v>
      </c>
      <c r="C2930" s="9" t="s">
        <v>7278</v>
      </c>
      <c r="D2930" s="9" t="s">
        <v>7279</v>
      </c>
      <c r="E2930" s="10" t="str">
        <f>HYPERLINK("https://twitter.com/hugobassey/status/723419107647877120","723419107647877120")</f>
        <v>723419107647877120</v>
      </c>
      <c r="F2930" s="11" t="s">
        <v>20</v>
      </c>
      <c r="G2930" s="11">
        <v>378</v>
      </c>
      <c r="H2930" s="11">
        <v>296</v>
      </c>
      <c r="I2930" s="11">
        <v>0</v>
      </c>
      <c r="J2930" s="11">
        <v>0</v>
      </c>
      <c r="K2930" s="11" t="s">
        <v>21</v>
      </c>
      <c r="L2930" s="7">
        <v>40284.042754629627</v>
      </c>
      <c r="M2930" s="12" t="s">
        <v>7280</v>
      </c>
      <c r="N2930" s="12"/>
      <c r="O2930" s="10" t="str">
        <f>HYPERLINK("https://pbs.twimg.com/profile_images/700268249225818113/TUSCd9Sx_normal.jpg","View")</f>
        <v>View</v>
      </c>
      <c r="P2930" s="11"/>
    </row>
    <row r="2931" spans="1:16" ht="12.75" x14ac:dyDescent="0.35">
      <c r="A2931" s="7">
        <v>42482.559039351851</v>
      </c>
      <c r="B2931" s="8" t="str">
        <f>HYPERLINK("https://twitter.com/instock_de","@instock_de")</f>
        <v>@instock_de</v>
      </c>
      <c r="C2931" s="8" t="s">
        <v>1723</v>
      </c>
      <c r="D2931" s="9" t="s">
        <v>7281</v>
      </c>
      <c r="E2931" s="10" t="str">
        <f>HYPERLINK("https://twitter.com/instock_de/status/723419824404094976","723419824404094976")</f>
        <v>723419824404094976</v>
      </c>
      <c r="F2931" s="11" t="s">
        <v>43</v>
      </c>
      <c r="G2931" s="11">
        <v>155</v>
      </c>
      <c r="H2931" s="11">
        <v>82</v>
      </c>
      <c r="I2931" s="11">
        <v>0</v>
      </c>
      <c r="J2931" s="11">
        <v>0</v>
      </c>
      <c r="K2931" s="11" t="s">
        <v>21</v>
      </c>
      <c r="L2931" s="7">
        <v>40441.683877314819</v>
      </c>
      <c r="M2931" s="12" t="s">
        <v>1725</v>
      </c>
      <c r="N2931" s="12" t="s">
        <v>1726</v>
      </c>
      <c r="O2931" s="10" t="str">
        <f>HYPERLINK("https://pbs.twimg.com/profile_images/1200648485/instock_normal.jpg","View")</f>
        <v>View</v>
      </c>
      <c r="P2931" s="11"/>
    </row>
    <row r="2932" spans="1:16" ht="12.75" x14ac:dyDescent="0.35">
      <c r="A2932" s="7">
        <v>42482.560173611113</v>
      </c>
      <c r="B2932" s="8" t="str">
        <f>HYPERLINK("https://twitter.com/TymukUpdates","@TymukUpdates")</f>
        <v>@TymukUpdates</v>
      </c>
      <c r="C2932" s="9" t="s">
        <v>7282</v>
      </c>
      <c r="D2932" s="9" t="s">
        <v>7283</v>
      </c>
      <c r="E2932" s="10" t="str">
        <f>HYPERLINK("https://twitter.com/TymukUpdates/status/723420237358501888","723420237358501888")</f>
        <v>723420237358501888</v>
      </c>
      <c r="F2932" s="11" t="s">
        <v>20</v>
      </c>
      <c r="G2932" s="11">
        <v>373</v>
      </c>
      <c r="H2932" s="11">
        <v>461</v>
      </c>
      <c r="I2932" s="11">
        <v>0</v>
      </c>
      <c r="J2932" s="11">
        <v>0</v>
      </c>
      <c r="K2932" s="11" t="s">
        <v>21</v>
      </c>
      <c r="L2932" s="7">
        <v>42370.936226851853</v>
      </c>
      <c r="M2932" s="12"/>
      <c r="N2932" s="12" t="s">
        <v>7284</v>
      </c>
      <c r="O2932" s="10" t="str">
        <f>HYPERLINK("https://pbs.twimg.com/profile_images/708004004962418688/kOexCZwK_normal.jpg","View")</f>
        <v>View</v>
      </c>
      <c r="P2932" s="11"/>
    </row>
    <row r="2933" spans="1:16" ht="12.75" x14ac:dyDescent="0.35">
      <c r="A2933" s="7">
        <v>42482.560393518521</v>
      </c>
      <c r="B2933" s="8" t="str">
        <f>HYPERLINK("https://twitter.com/JulieTestAchats","@JulieTestAchats")</f>
        <v>@JulieTestAchats</v>
      </c>
      <c r="C2933" s="9" t="s">
        <v>1501</v>
      </c>
      <c r="D2933" s="9" t="s">
        <v>7285</v>
      </c>
      <c r="E2933" s="10" t="str">
        <f>HYPERLINK("https://twitter.com/JulieTestAchats/status/723420314114228224","723420314114228224")</f>
        <v>723420314114228224</v>
      </c>
      <c r="F2933" s="11" t="s">
        <v>48</v>
      </c>
      <c r="G2933" s="11">
        <v>1433</v>
      </c>
      <c r="H2933" s="11">
        <v>844</v>
      </c>
      <c r="I2933" s="11">
        <v>5</v>
      </c>
      <c r="J2933" s="11">
        <v>1</v>
      </c>
      <c r="K2933" s="11" t="s">
        <v>21</v>
      </c>
      <c r="L2933" s="7">
        <v>41677.662731481483</v>
      </c>
      <c r="M2933" s="12" t="s">
        <v>980</v>
      </c>
      <c r="N2933" s="12" t="s">
        <v>1502</v>
      </c>
      <c r="O2933" s="10" t="str">
        <f>HYPERLINK("https://pbs.twimg.com/profile_images/674233130828468224/KRUDL_tK_normal.jpg","View")</f>
        <v>View</v>
      </c>
      <c r="P2933" s="11"/>
    </row>
    <row r="2934" spans="1:16" ht="12.75" x14ac:dyDescent="0.35">
      <c r="A2934" s="7">
        <v>42482.56077546296</v>
      </c>
      <c r="B2934" s="8" t="str">
        <f>HYPERLINK("https://twitter.com/r_kreisel","@r_kreisel")</f>
        <v>@r_kreisel</v>
      </c>
      <c r="C2934" s="9" t="s">
        <v>4183</v>
      </c>
      <c r="D2934" s="9" t="s">
        <v>7286</v>
      </c>
      <c r="E2934" s="10" t="str">
        <f>HYPERLINK("https://twitter.com/r_kreisel/status/723420453952327681","723420453952327681")</f>
        <v>723420453952327681</v>
      </c>
      <c r="F2934" s="11" t="s">
        <v>43</v>
      </c>
      <c r="G2934" s="11">
        <v>52</v>
      </c>
      <c r="H2934" s="11">
        <v>117</v>
      </c>
      <c r="I2934" s="11">
        <v>0</v>
      </c>
      <c r="J2934" s="11">
        <v>0</v>
      </c>
      <c r="K2934" s="11" t="s">
        <v>21</v>
      </c>
      <c r="L2934" s="7">
        <v>41940.65688657407</v>
      </c>
      <c r="M2934" s="12"/>
      <c r="N2934" s="12" t="s">
        <v>4184</v>
      </c>
      <c r="O2934" s="10" t="str">
        <f>HYPERLINK("https://pbs.twimg.com/profile_images/527052537992470529/T_xUcDO1_normal.jpeg","View")</f>
        <v>View</v>
      </c>
      <c r="P2934" s="11"/>
    </row>
    <row r="2935" spans="1:16" ht="12.75" x14ac:dyDescent="0.35">
      <c r="A2935" s="7">
        <v>42482.561319444445</v>
      </c>
      <c r="B2935" s="8" t="str">
        <f>HYPERLINK("https://twitter.com/halucinatio","@halucinatio")</f>
        <v>@halucinatio</v>
      </c>
      <c r="C2935" s="9" t="s">
        <v>7287</v>
      </c>
      <c r="D2935" s="9" t="s">
        <v>7288</v>
      </c>
      <c r="E2935" s="10" t="str">
        <f>HYPERLINK("https://twitter.com/halucinatio/status/723420650862313472","723420650862313472")</f>
        <v>723420650862313472</v>
      </c>
      <c r="F2935" s="11" t="s">
        <v>2645</v>
      </c>
      <c r="G2935" s="11">
        <v>108</v>
      </c>
      <c r="H2935" s="11">
        <v>283</v>
      </c>
      <c r="I2935" s="11">
        <v>1</v>
      </c>
      <c r="J2935" s="11">
        <v>0</v>
      </c>
      <c r="K2935" s="11" t="s">
        <v>21</v>
      </c>
      <c r="L2935" s="7">
        <v>41067.595138888893</v>
      </c>
      <c r="M2935" s="12" t="s">
        <v>7289</v>
      </c>
      <c r="N2935" s="12" t="s">
        <v>7290</v>
      </c>
      <c r="O2935" s="10" t="str">
        <f>HYPERLINK("https://pbs.twimg.com/profile_images/2692048785/d562a201529f797971cc79e8c5dc1699_normal.png","View")</f>
        <v>View</v>
      </c>
      <c r="P2935" s="11"/>
    </row>
    <row r="2936" spans="1:16" ht="12.75" x14ac:dyDescent="0.35">
      <c r="A2936" s="7">
        <v>42482.561435185184</v>
      </c>
      <c r="B2936" s="8" t="str">
        <f>HYPERLINK("https://twitter.com/hugobassey","@hugobassey")</f>
        <v>@hugobassey</v>
      </c>
      <c r="C2936" s="9" t="s">
        <v>7278</v>
      </c>
      <c r="D2936" s="9" t="s">
        <v>7291</v>
      </c>
      <c r="E2936" s="10" t="str">
        <f>HYPERLINK("https://twitter.com/hugobassey/status/723420694801842177","723420694801842177")</f>
        <v>723420694801842177</v>
      </c>
      <c r="F2936" s="11" t="s">
        <v>20</v>
      </c>
      <c r="G2936" s="11">
        <v>378</v>
      </c>
      <c r="H2936" s="11">
        <v>296</v>
      </c>
      <c r="I2936" s="11">
        <v>0</v>
      </c>
      <c r="J2936" s="11">
        <v>0</v>
      </c>
      <c r="K2936" s="11" t="s">
        <v>21</v>
      </c>
      <c r="L2936" s="7">
        <v>40284.042754629627</v>
      </c>
      <c r="M2936" s="12" t="s">
        <v>7280</v>
      </c>
      <c r="N2936" s="12"/>
      <c r="O2936" s="10" t="str">
        <f>HYPERLINK("https://pbs.twimg.com/profile_images/700268249225818113/TUSCd9Sx_normal.jpg","View")</f>
        <v>View</v>
      </c>
      <c r="P2936" s="11"/>
    </row>
    <row r="2937" spans="1:16" ht="12.75" x14ac:dyDescent="0.35">
      <c r="A2937" s="7">
        <v>42482.561886574069</v>
      </c>
      <c r="B2937" s="8" t="str">
        <f>HYPERLINK("https://twitter.com/roansub","@roansub")</f>
        <v>@roansub</v>
      </c>
      <c r="C2937" s="9" t="s">
        <v>4541</v>
      </c>
      <c r="D2937" s="9" t="s">
        <v>7292</v>
      </c>
      <c r="E2937" s="10" t="str">
        <f>HYPERLINK("https://twitter.com/roansub/status/723420856395784192","723420856395784192")</f>
        <v>723420856395784192</v>
      </c>
      <c r="F2937" s="11" t="s">
        <v>43</v>
      </c>
      <c r="G2937" s="11">
        <v>209</v>
      </c>
      <c r="H2937" s="11">
        <v>168</v>
      </c>
      <c r="I2937" s="11">
        <v>0</v>
      </c>
      <c r="J2937" s="11">
        <v>0</v>
      </c>
      <c r="K2937" s="11" t="s">
        <v>21</v>
      </c>
      <c r="L2937" s="7">
        <v>40573.872129629628</v>
      </c>
      <c r="M2937" s="12"/>
      <c r="N2937" s="12" t="s">
        <v>4543</v>
      </c>
      <c r="O2937" s="10" t="str">
        <f>HYPERLINK("https://pbs.twimg.com/profile_images/638973360169463808/YEbGEWne_normal.jpg","View")</f>
        <v>View</v>
      </c>
      <c r="P2937" s="11"/>
    </row>
    <row r="2938" spans="1:16" ht="12.75" x14ac:dyDescent="0.35">
      <c r="A2938" s="7">
        <v>42482.561932870369</v>
      </c>
      <c r="B2938" s="8" t="str">
        <f>HYPERLINK("https://twitter.com/Hausfrauen","@Hausfrauen")</f>
        <v>@Hausfrauen</v>
      </c>
      <c r="C2938" s="9" t="s">
        <v>7293</v>
      </c>
      <c r="D2938" s="9" t="s">
        <v>7294</v>
      </c>
      <c r="E2938" s="10" t="str">
        <f>HYPERLINK("https://twitter.com/Hausfrauen/status/723420875450523648","723420875450523648")</f>
        <v>723420875450523648</v>
      </c>
      <c r="F2938" s="11" t="s">
        <v>43</v>
      </c>
      <c r="G2938" s="11">
        <v>2521</v>
      </c>
      <c r="H2938" s="11">
        <v>978</v>
      </c>
      <c r="I2938" s="11">
        <v>6</v>
      </c>
      <c r="J2938" s="11">
        <v>0</v>
      </c>
      <c r="K2938" s="11" t="s">
        <v>21</v>
      </c>
      <c r="L2938" s="7">
        <v>39893.821284722224</v>
      </c>
      <c r="M2938" s="12" t="s">
        <v>7295</v>
      </c>
      <c r="N2938" s="12" t="s">
        <v>7296</v>
      </c>
      <c r="O2938" s="10" t="str">
        <f>HYPERLINK("https://pbs.twimg.com/profile_images/1621959672/Hausfrauen22_normal.jpg","View")</f>
        <v>View</v>
      </c>
      <c r="P2938" s="11"/>
    </row>
    <row r="2939" spans="1:16" ht="12.75" x14ac:dyDescent="0.35">
      <c r="A2939" s="7">
        <v>42482.562685185185</v>
      </c>
      <c r="B2939" s="8" t="str">
        <f>HYPERLINK("https://twitter.com/NeedTechs","@NeedTechs")</f>
        <v>@NeedTechs</v>
      </c>
      <c r="C2939" s="9" t="s">
        <v>103</v>
      </c>
      <c r="D2939" s="9" t="s">
        <v>7297</v>
      </c>
      <c r="E2939" s="10" t="str">
        <f>HYPERLINK("https://twitter.com/NeedTechs/status/723421148361285632","723421148361285632")</f>
        <v>723421148361285632</v>
      </c>
      <c r="F2939" s="11" t="s">
        <v>63</v>
      </c>
      <c r="G2939" s="11">
        <v>588</v>
      </c>
      <c r="H2939" s="11">
        <v>606</v>
      </c>
      <c r="I2939" s="11">
        <v>0</v>
      </c>
      <c r="J2939" s="11">
        <v>0</v>
      </c>
      <c r="K2939" s="11" t="s">
        <v>21</v>
      </c>
      <c r="L2939" s="7">
        <v>40808.092199074075</v>
      </c>
      <c r="M2939" s="12" t="s">
        <v>105</v>
      </c>
      <c r="N2939" s="12" t="s">
        <v>106</v>
      </c>
      <c r="O2939" s="10" t="str">
        <f>HYPERLINK("https://pbs.twimg.com/profile_images/588750621353717760/15I04Sdg_normal.png","View")</f>
        <v>View</v>
      </c>
      <c r="P2939" s="11"/>
    </row>
    <row r="2940" spans="1:16" ht="12.75" x14ac:dyDescent="0.35">
      <c r="A2940" s="7">
        <v>42482.562754629631</v>
      </c>
      <c r="B2940" s="8" t="str">
        <f>HYPERLINK("https://twitter.com/ruv24_de","@ruv24_de")</f>
        <v>@ruv24_de</v>
      </c>
      <c r="C2940" s="9" t="s">
        <v>7298</v>
      </c>
      <c r="D2940" s="9" t="s">
        <v>7299</v>
      </c>
      <c r="E2940" s="10" t="str">
        <f>HYPERLINK("https://twitter.com/ruv24_de/status/723421170393997318","723421170393997318")</f>
        <v>723421170393997318</v>
      </c>
      <c r="F2940" s="11" t="s">
        <v>152</v>
      </c>
      <c r="G2940" s="11">
        <v>3526</v>
      </c>
      <c r="H2940" s="11">
        <v>851</v>
      </c>
      <c r="I2940" s="11">
        <v>0</v>
      </c>
      <c r="J2940" s="11">
        <v>0</v>
      </c>
      <c r="K2940" s="11" t="s">
        <v>21</v>
      </c>
      <c r="L2940" s="7">
        <v>39983.833483796298</v>
      </c>
      <c r="M2940" s="12" t="s">
        <v>7300</v>
      </c>
      <c r="N2940" s="12" t="s">
        <v>7301</v>
      </c>
      <c r="O2940" s="10" t="str">
        <f>HYPERLINK("https://pbs.twimg.com/profile_images/461143330147954688/HZO45eNS_normal.jpeg","View")</f>
        <v>View</v>
      </c>
      <c r="P2940" s="11"/>
    </row>
    <row r="2941" spans="1:16" ht="12.75" x14ac:dyDescent="0.35">
      <c r="A2941" s="7">
        <v>42482.562928240739</v>
      </c>
      <c r="B2941" s="8" t="str">
        <f>HYPERLINK("https://twitter.com/roansub","@roansub")</f>
        <v>@roansub</v>
      </c>
      <c r="C2941" s="9" t="s">
        <v>4541</v>
      </c>
      <c r="D2941" s="9" t="s">
        <v>7302</v>
      </c>
      <c r="E2941" s="10" t="str">
        <f>HYPERLINK("https://twitter.com/roansub/status/723421236164874240","723421236164874240")</f>
        <v>723421236164874240</v>
      </c>
      <c r="F2941" s="11" t="s">
        <v>43</v>
      </c>
      <c r="G2941" s="11">
        <v>209</v>
      </c>
      <c r="H2941" s="11">
        <v>168</v>
      </c>
      <c r="I2941" s="11">
        <v>0</v>
      </c>
      <c r="J2941" s="11">
        <v>0</v>
      </c>
      <c r="K2941" s="11" t="s">
        <v>21</v>
      </c>
      <c r="L2941" s="7">
        <v>40573.872129629628</v>
      </c>
      <c r="M2941" s="12"/>
      <c r="N2941" s="12" t="s">
        <v>4543</v>
      </c>
      <c r="O2941" s="10" t="str">
        <f>HYPERLINK("https://pbs.twimg.com/profile_images/638973360169463808/YEbGEWne_normal.jpg","View")</f>
        <v>View</v>
      </c>
      <c r="P2941" s="11"/>
    </row>
    <row r="2942" spans="1:16" ht="12.75" x14ac:dyDescent="0.35">
      <c r="A2942" s="7">
        <v>42482.562951388885</v>
      </c>
      <c r="B2942" s="8" t="str">
        <f>HYPERLINK("https://twitter.com/InstaKirov","@InstaKirov")</f>
        <v>@InstaKirov</v>
      </c>
      <c r="C2942" s="9" t="s">
        <v>7303</v>
      </c>
      <c r="D2942" s="9" t="s">
        <v>7304</v>
      </c>
      <c r="E2942" s="10" t="str">
        <f>HYPERLINK("https://twitter.com/InstaKirov/status/723421242338897920","723421242338897920")</f>
        <v>723421242338897920</v>
      </c>
      <c r="F2942" s="11" t="s">
        <v>68</v>
      </c>
      <c r="G2942" s="11">
        <v>2130</v>
      </c>
      <c r="H2942" s="11">
        <v>266</v>
      </c>
      <c r="I2942" s="11">
        <v>0</v>
      </c>
      <c r="J2942" s="11">
        <v>0</v>
      </c>
      <c r="K2942" s="11" t="s">
        <v>21</v>
      </c>
      <c r="L2942" s="7">
        <v>41694.638194444444</v>
      </c>
      <c r="M2942" s="12" t="s">
        <v>7305</v>
      </c>
      <c r="N2942" s="12" t="s">
        <v>7306</v>
      </c>
      <c r="O2942" s="10" t="str">
        <f>HYPERLINK("https://pbs.twimg.com/profile_images/437889234502819840/B3nuRsI3_normal.png","View")</f>
        <v>View</v>
      </c>
      <c r="P2942" s="11"/>
    </row>
    <row r="2943" spans="1:16" ht="12.75" x14ac:dyDescent="0.35">
      <c r="A2943" s="7">
        <v>42482.563090277778</v>
      </c>
      <c r="B2943" s="8" t="str">
        <f>HYPERLINK("https://twitter.com/Bellitum","@Bellitum")</f>
        <v>@Bellitum</v>
      </c>
      <c r="C2943" s="9" t="s">
        <v>7307</v>
      </c>
      <c r="D2943" s="9" t="s">
        <v>7237</v>
      </c>
      <c r="E2943" s="10" t="str">
        <f>HYPERLINK("https://twitter.com/Bellitum/status/723421294591533056","723421294591533056")</f>
        <v>723421294591533056</v>
      </c>
      <c r="F2943" s="11" t="s">
        <v>43</v>
      </c>
      <c r="G2943" s="11">
        <v>836</v>
      </c>
      <c r="H2943" s="11">
        <v>827</v>
      </c>
      <c r="I2943" s="11">
        <v>2</v>
      </c>
      <c r="J2943" s="11">
        <v>0</v>
      </c>
      <c r="K2943" s="11" t="s">
        <v>21</v>
      </c>
      <c r="L2943" s="7">
        <v>40567.797395833331</v>
      </c>
      <c r="M2943" s="12" t="s">
        <v>7308</v>
      </c>
      <c r="N2943" s="12" t="s">
        <v>7309</v>
      </c>
      <c r="O2943" s="10" t="str">
        <f>HYPERLINK("https://pbs.twimg.com/profile_images/699649228235280385/au_ND-6G_normal.jpg","View")</f>
        <v>View</v>
      </c>
      <c r="P2943" s="11"/>
    </row>
    <row r="2944" spans="1:16" ht="12.75" x14ac:dyDescent="0.35">
      <c r="A2944" s="7">
        <v>42482.563321759255</v>
      </c>
      <c r="B2944" s="8" t="str">
        <f>HYPERLINK("https://twitter.com/AutobahnSales","@AutobahnSales")</f>
        <v>@AutobahnSales</v>
      </c>
      <c r="C2944" s="9" t="s">
        <v>7310</v>
      </c>
      <c r="D2944" s="9" t="s">
        <v>7311</v>
      </c>
      <c r="E2944" s="10" t="str">
        <f>HYPERLINK("https://twitter.com/AutobahnSales/status/723421378003640320","723421378003640320")</f>
        <v>723421378003640320</v>
      </c>
      <c r="F2944" s="11" t="s">
        <v>152</v>
      </c>
      <c r="G2944" s="11">
        <v>269</v>
      </c>
      <c r="H2944" s="11">
        <v>180</v>
      </c>
      <c r="I2944" s="11">
        <v>0</v>
      </c>
      <c r="J2944" s="11">
        <v>0</v>
      </c>
      <c r="K2944" s="11" t="s">
        <v>21</v>
      </c>
      <c r="L2944" s="7">
        <v>40766.711122685185</v>
      </c>
      <c r="M2944" s="12" t="s">
        <v>7312</v>
      </c>
      <c r="N2944" s="12" t="s">
        <v>7313</v>
      </c>
      <c r="O2944" s="10" t="str">
        <f>HYPERLINK("https://pbs.twimg.com/profile_images/603104992703152128/ENsieqFD_normal.jpg","View")</f>
        <v>View</v>
      </c>
      <c r="P2944" s="11"/>
    </row>
    <row r="2945" spans="1:16" ht="12.75" x14ac:dyDescent="0.35">
      <c r="A2945" s="7">
        <v>42482.563368055555</v>
      </c>
      <c r="B2945" s="8" t="str">
        <f>HYPERLINK("https://twitter.com/annalenaboehm","@annalenaboehm")</f>
        <v>@annalenaboehm</v>
      </c>
      <c r="C2945" s="9" t="s">
        <v>7314</v>
      </c>
      <c r="D2945" s="9" t="s">
        <v>7315</v>
      </c>
      <c r="E2945" s="10" t="str">
        <f>HYPERLINK("https://twitter.com/annalenaboehm/status/723421395883986944","723421395883986944")</f>
        <v>723421395883986944</v>
      </c>
      <c r="F2945" s="11" t="s">
        <v>48</v>
      </c>
      <c r="G2945" s="11">
        <v>483</v>
      </c>
      <c r="H2945" s="11">
        <v>184</v>
      </c>
      <c r="I2945" s="11">
        <v>1</v>
      </c>
      <c r="J2945" s="11">
        <v>0</v>
      </c>
      <c r="K2945" s="11" t="s">
        <v>21</v>
      </c>
      <c r="L2945" s="7">
        <v>40098.978541666671</v>
      </c>
      <c r="M2945" s="12"/>
      <c r="N2945" s="12" t="s">
        <v>7316</v>
      </c>
      <c r="O2945" s="10" t="str">
        <f>HYPERLINK("https://pbs.twimg.com/profile_images/721039070735024129/Tv1GGMI0_normal.jpg","View")</f>
        <v>View</v>
      </c>
      <c r="P2945" s="11"/>
    </row>
    <row r="2946" spans="1:16" ht="12.75" x14ac:dyDescent="0.35">
      <c r="A2946" s="7">
        <v>42482.563773148147</v>
      </c>
      <c r="B2946" s="8" t="str">
        <f>HYPERLINK("https://twitter.com/roansub","@roansub")</f>
        <v>@roansub</v>
      </c>
      <c r="C2946" s="9" t="s">
        <v>4541</v>
      </c>
      <c r="D2946" s="9" t="s">
        <v>7317</v>
      </c>
      <c r="E2946" s="10" t="str">
        <f>HYPERLINK("https://twitter.com/roansub/status/723421541183053824","723421541183053824")</f>
        <v>723421541183053824</v>
      </c>
      <c r="F2946" s="11" t="s">
        <v>43</v>
      </c>
      <c r="G2946" s="11">
        <v>209</v>
      </c>
      <c r="H2946" s="11">
        <v>168</v>
      </c>
      <c r="I2946" s="11">
        <v>1</v>
      </c>
      <c r="J2946" s="11">
        <v>0</v>
      </c>
      <c r="K2946" s="11" t="s">
        <v>21</v>
      </c>
      <c r="L2946" s="7">
        <v>40573.872129629628</v>
      </c>
      <c r="M2946" s="12"/>
      <c r="N2946" s="12" t="s">
        <v>4543</v>
      </c>
      <c r="O2946" s="10" t="str">
        <f>HYPERLINK("https://pbs.twimg.com/profile_images/638973360169463808/YEbGEWne_normal.jpg","View")</f>
        <v>View</v>
      </c>
      <c r="P2946" s="11"/>
    </row>
    <row r="2947" spans="1:16" ht="12.75" x14ac:dyDescent="0.35">
      <c r="A2947" s="7">
        <v>42482.563923611116</v>
      </c>
      <c r="B2947" s="8" t="str">
        <f>HYPERLINK("https://twitter.com/Vital_Hydro","@Vital_Hydro")</f>
        <v>@Vital_Hydro</v>
      </c>
      <c r="C2947" s="9" t="s">
        <v>7318</v>
      </c>
      <c r="D2947" s="9" t="s">
        <v>7319</v>
      </c>
      <c r="E2947" s="10" t="str">
        <f>HYPERLINK("https://twitter.com/Vital_Hydro/status/723421596577206273","723421596577206273")</f>
        <v>723421596577206273</v>
      </c>
      <c r="F2947" s="11" t="s">
        <v>7320</v>
      </c>
      <c r="G2947" s="11">
        <v>63</v>
      </c>
      <c r="H2947" s="11">
        <v>213</v>
      </c>
      <c r="I2947" s="11">
        <v>0</v>
      </c>
      <c r="J2947" s="11">
        <v>0</v>
      </c>
      <c r="K2947" s="11" t="s">
        <v>21</v>
      </c>
      <c r="L2947" s="7">
        <v>41942.036898148144</v>
      </c>
      <c r="M2947" s="12" t="s">
        <v>7321</v>
      </c>
      <c r="N2947" s="12" t="s">
        <v>7322</v>
      </c>
      <c r="O2947" s="10" t="str">
        <f>HYPERLINK("https://pbs.twimg.com/profile_images/527543470005964800/j2iA1fA8_normal.jpeg","View")</f>
        <v>View</v>
      </c>
      <c r="P2947" s="11"/>
    </row>
    <row r="2948" spans="1:16" ht="12.75" x14ac:dyDescent="0.35">
      <c r="A2948" s="7">
        <v>42482.564236111109</v>
      </c>
      <c r="B2948" s="8" t="str">
        <f t="shared" ref="B2948:B2949" si="279">HYPERLINK("https://twitter.com/Autourtiti","@Autourtiti")</f>
        <v>@Autourtiti</v>
      </c>
      <c r="C2948" s="9" t="s">
        <v>3820</v>
      </c>
      <c r="D2948" s="9" t="s">
        <v>7323</v>
      </c>
      <c r="E2948" s="10" t="str">
        <f>HYPERLINK("https://twitter.com/Autourtiti/status/723421710398025729","723421710398025729")</f>
        <v>723421710398025729</v>
      </c>
      <c r="F2948" s="11" t="s">
        <v>3822</v>
      </c>
      <c r="G2948" s="11">
        <v>43</v>
      </c>
      <c r="H2948" s="11">
        <v>0</v>
      </c>
      <c r="I2948" s="11">
        <v>0</v>
      </c>
      <c r="J2948" s="11">
        <v>0</v>
      </c>
      <c r="K2948" s="11" t="s">
        <v>21</v>
      </c>
      <c r="L2948" s="7">
        <v>41590.915937500002</v>
      </c>
      <c r="M2948" s="12"/>
      <c r="N2948" s="12" t="s">
        <v>3823</v>
      </c>
      <c r="O2948" s="10" t="str">
        <f t="shared" ref="O2948:O2949" si="280">HYPERLINK("https://pbs.twimg.com/profile_images/378800000756387886/c547a918bcad5d95a42507361c94d2fa_normal.png","View")</f>
        <v>View</v>
      </c>
      <c r="P2948" s="11"/>
    </row>
    <row r="2949" spans="1:16" ht="12.75" x14ac:dyDescent="0.35">
      <c r="A2949" s="7">
        <v>42482.564247685186</v>
      </c>
      <c r="B2949" s="8" t="str">
        <f t="shared" si="279"/>
        <v>@Autourtiti</v>
      </c>
      <c r="C2949" s="9" t="s">
        <v>3820</v>
      </c>
      <c r="D2949" s="9" t="s">
        <v>7324</v>
      </c>
      <c r="E2949" s="10" t="str">
        <f>HYPERLINK("https://twitter.com/Autourtiti/status/723421713162113024","723421713162113024")</f>
        <v>723421713162113024</v>
      </c>
      <c r="F2949" s="11" t="s">
        <v>3822</v>
      </c>
      <c r="G2949" s="11">
        <v>43</v>
      </c>
      <c r="H2949" s="11">
        <v>0</v>
      </c>
      <c r="I2949" s="11">
        <v>0</v>
      </c>
      <c r="J2949" s="11">
        <v>0</v>
      </c>
      <c r="K2949" s="11" t="s">
        <v>21</v>
      </c>
      <c r="L2949" s="7">
        <v>41590.915937500002</v>
      </c>
      <c r="M2949" s="12"/>
      <c r="N2949" s="12" t="s">
        <v>3823</v>
      </c>
      <c r="O2949" s="10" t="str">
        <f t="shared" si="280"/>
        <v>View</v>
      </c>
      <c r="P2949" s="11"/>
    </row>
    <row r="2950" spans="1:16" ht="12.75" x14ac:dyDescent="0.35">
      <c r="A2950" s="7">
        <v>42482.564363425925</v>
      </c>
      <c r="B2950" s="8" t="str">
        <f>HYPERLINK("https://twitter.com/E15news","@E15news")</f>
        <v>@E15news</v>
      </c>
      <c r="C2950" s="8" t="s">
        <v>7325</v>
      </c>
      <c r="D2950" s="9" t="s">
        <v>7326</v>
      </c>
      <c r="E2950" s="10" t="str">
        <f>HYPERLINK("https://twitter.com/E15news/status/723421756157923329","723421756157923329")</f>
        <v>723421756157923329</v>
      </c>
      <c r="F2950" s="11" t="s">
        <v>43</v>
      </c>
      <c r="G2950" s="11">
        <v>4874</v>
      </c>
      <c r="H2950" s="11">
        <v>50</v>
      </c>
      <c r="I2950" s="11">
        <v>0</v>
      </c>
      <c r="J2950" s="11">
        <v>0</v>
      </c>
      <c r="K2950" s="11" t="s">
        <v>21</v>
      </c>
      <c r="L2950" s="7">
        <v>41186.550682870373</v>
      </c>
      <c r="M2950" s="12"/>
      <c r="N2950" s="12" t="s">
        <v>7327</v>
      </c>
      <c r="O2950" s="10" t="str">
        <f>HYPERLINK("https://pbs.twimg.com/profile_images/650920345134731264/18YJd4Uk_normal.png","View")</f>
        <v>View</v>
      </c>
      <c r="P2950" s="11"/>
    </row>
    <row r="2951" spans="1:16" ht="12.75" x14ac:dyDescent="0.35">
      <c r="A2951" s="7">
        <v>42482.564606481479</v>
      </c>
      <c r="B2951" s="8" t="str">
        <f>HYPERLINK("https://twitter.com/_Hupomnemata","@_Hupomnemata")</f>
        <v>@_Hupomnemata</v>
      </c>
      <c r="C2951" s="9" t="s">
        <v>7328</v>
      </c>
      <c r="D2951" s="9" t="s">
        <v>7329</v>
      </c>
      <c r="E2951" s="10" t="str">
        <f>HYPERLINK("https://twitter.com/_Hupomnemata/status/723421841709142017","723421841709142017")</f>
        <v>723421841709142017</v>
      </c>
      <c r="F2951" s="11" t="s">
        <v>20</v>
      </c>
      <c r="G2951" s="11">
        <v>10</v>
      </c>
      <c r="H2951" s="11">
        <v>43</v>
      </c>
      <c r="I2951" s="11">
        <v>5</v>
      </c>
      <c r="J2951" s="11">
        <v>0</v>
      </c>
      <c r="K2951" s="11" t="s">
        <v>21</v>
      </c>
      <c r="L2951" s="7">
        <v>42402.003125000003</v>
      </c>
      <c r="M2951" s="12"/>
      <c r="N2951" s="12"/>
      <c r="O2951" s="10" t="str">
        <f>HYPERLINK("https://pbs.twimg.com/profile_images/697073646754463744/5hjfjCdd_normal.jpg","View")</f>
        <v>View</v>
      </c>
      <c r="P2951" s="11"/>
    </row>
    <row r="2952" spans="1:16" ht="12.75" x14ac:dyDescent="0.35">
      <c r="A2952" s="7">
        <v>42482.565335648149</v>
      </c>
      <c r="B2952" s="8" t="str">
        <f>HYPERLINK("https://twitter.com/NegroAutomobili","@NegroAutomobili")</f>
        <v>@NegroAutomobili</v>
      </c>
      <c r="C2952" s="9" t="s">
        <v>7330</v>
      </c>
      <c r="D2952" s="9" t="s">
        <v>7331</v>
      </c>
      <c r="E2952" s="10" t="str">
        <f>HYPERLINK("https://twitter.com/NegroAutomobili/status/723422105077862401","723422105077862401")</f>
        <v>723422105077862401</v>
      </c>
      <c r="F2952" s="11" t="s">
        <v>7332</v>
      </c>
      <c r="G2952" s="11">
        <v>84</v>
      </c>
      <c r="H2952" s="11">
        <v>34</v>
      </c>
      <c r="I2952" s="11">
        <v>0</v>
      </c>
      <c r="J2952" s="11">
        <v>0</v>
      </c>
      <c r="K2952" s="11" t="s">
        <v>21</v>
      </c>
      <c r="L2952" s="7">
        <v>41096.897835648146</v>
      </c>
      <c r="M2952" s="12" t="s">
        <v>7333</v>
      </c>
      <c r="N2952" s="12"/>
      <c r="O2952" s="10" t="str">
        <f>HYPERLINK("https://pbs.twimg.com/profile_images/2373311233/logo_VW_CONCESSIONARIO_normal.jpg","View")</f>
        <v>View</v>
      </c>
      <c r="P2952" s="10" t="str">
        <f>HYPERLINK("http://ctrlq.org/maps/address/#45.6895397,12.2485197","Map")</f>
        <v>Map</v>
      </c>
    </row>
    <row r="2953" spans="1:16" ht="12.75" x14ac:dyDescent="0.35">
      <c r="A2953" s="7">
        <v>42482.565335648149</v>
      </c>
      <c r="B2953" s="8" t="str">
        <f>HYPERLINK("https://twitter.com/UsatoAutoSystem","@UsatoAutoSystem")</f>
        <v>@UsatoAutoSystem</v>
      </c>
      <c r="C2953" s="9" t="s">
        <v>7334</v>
      </c>
      <c r="D2953" s="9" t="s">
        <v>7335</v>
      </c>
      <c r="E2953" s="10" t="str">
        <f>HYPERLINK("https://twitter.com/UsatoAutoSystem/status/723422107204358144","723422107204358144")</f>
        <v>723422107204358144</v>
      </c>
      <c r="F2953" s="11" t="s">
        <v>7336</v>
      </c>
      <c r="G2953" s="11">
        <v>257</v>
      </c>
      <c r="H2953" s="11">
        <v>521</v>
      </c>
      <c r="I2953" s="11">
        <v>0</v>
      </c>
      <c r="J2953" s="11">
        <v>0</v>
      </c>
      <c r="K2953" s="11" t="s">
        <v>21</v>
      </c>
      <c r="L2953" s="7">
        <v>41680.625844907408</v>
      </c>
      <c r="M2953" s="12" t="s">
        <v>7337</v>
      </c>
      <c r="N2953" s="12" t="s">
        <v>7338</v>
      </c>
      <c r="O2953" s="10" t="str">
        <f>HYPERLINK("https://pbs.twimg.com/profile_images/614723809590018048/IWZnUTnV_normal.jpg","View")</f>
        <v>View</v>
      </c>
      <c r="P2953" s="11"/>
    </row>
    <row r="2954" spans="1:16" ht="12.75" x14ac:dyDescent="0.35">
      <c r="A2954" s="7">
        <v>42482.565335648149</v>
      </c>
      <c r="B2954" s="8" t="str">
        <f t="shared" ref="B2954:B2955" si="281">HYPERLINK("https://twitter.com/NegroAutomobili","@NegroAutomobili")</f>
        <v>@NegroAutomobili</v>
      </c>
      <c r="C2954" s="9" t="s">
        <v>7330</v>
      </c>
      <c r="D2954" s="9" t="s">
        <v>7339</v>
      </c>
      <c r="E2954" s="10" t="str">
        <f>HYPERLINK("https://twitter.com/NegroAutomobili/status/723422109091811329","723422109091811329")</f>
        <v>723422109091811329</v>
      </c>
      <c r="F2954" s="11" t="s">
        <v>7332</v>
      </c>
      <c r="G2954" s="11">
        <v>84</v>
      </c>
      <c r="H2954" s="11">
        <v>34</v>
      </c>
      <c r="I2954" s="11">
        <v>0</v>
      </c>
      <c r="J2954" s="11">
        <v>0</v>
      </c>
      <c r="K2954" s="11" t="s">
        <v>21</v>
      </c>
      <c r="L2954" s="7">
        <v>41096.897835648146</v>
      </c>
      <c r="M2954" s="12" t="s">
        <v>7333</v>
      </c>
      <c r="N2954" s="12"/>
      <c r="O2954" s="10" t="str">
        <f t="shared" ref="O2954:O2955" si="282">HYPERLINK("https://pbs.twimg.com/profile_images/2373311233/logo_VW_CONCESSIONARIO_normal.jpg","View")</f>
        <v>View</v>
      </c>
      <c r="P2954" s="10" t="str">
        <f t="shared" ref="P2954:P2955" si="283">HYPERLINK("http://ctrlq.org/maps/address/#45.6895397,12.2485197","Map")</f>
        <v>Map</v>
      </c>
    </row>
    <row r="2955" spans="1:16" ht="12.75" x14ac:dyDescent="0.35">
      <c r="A2955" s="7">
        <v>42482.565347222218</v>
      </c>
      <c r="B2955" s="8" t="str">
        <f t="shared" si="281"/>
        <v>@NegroAutomobili</v>
      </c>
      <c r="C2955" s="9" t="s">
        <v>7330</v>
      </c>
      <c r="D2955" s="9" t="s">
        <v>7340</v>
      </c>
      <c r="E2955" s="10" t="str">
        <f>HYPERLINK("https://twitter.com/NegroAutomobili/status/723422112648597504","723422112648597504")</f>
        <v>723422112648597504</v>
      </c>
      <c r="F2955" s="11" t="s">
        <v>7332</v>
      </c>
      <c r="G2955" s="11">
        <v>84</v>
      </c>
      <c r="H2955" s="11">
        <v>34</v>
      </c>
      <c r="I2955" s="11">
        <v>0</v>
      </c>
      <c r="J2955" s="11">
        <v>0</v>
      </c>
      <c r="K2955" s="11" t="s">
        <v>21</v>
      </c>
      <c r="L2955" s="7">
        <v>41096.897835648146</v>
      </c>
      <c r="M2955" s="12" t="s">
        <v>7333</v>
      </c>
      <c r="N2955" s="12"/>
      <c r="O2955" s="10" t="str">
        <f t="shared" si="282"/>
        <v>View</v>
      </c>
      <c r="P2955" s="10" t="str">
        <f t="shared" si="283"/>
        <v>Map</v>
      </c>
    </row>
    <row r="2956" spans="1:16" ht="12.75" x14ac:dyDescent="0.35">
      <c r="A2956" s="7">
        <v>42482.565358796295</v>
      </c>
      <c r="B2956" s="8" t="str">
        <f>HYPERLINK("https://twitter.com/UsatoAutoSystem","@UsatoAutoSystem")</f>
        <v>@UsatoAutoSystem</v>
      </c>
      <c r="C2956" s="9" t="s">
        <v>7334</v>
      </c>
      <c r="D2956" s="9" t="s">
        <v>7341</v>
      </c>
      <c r="E2956" s="10" t="str">
        <f>HYPERLINK("https://twitter.com/UsatoAutoSystem/status/723422115026767872","723422115026767872")</f>
        <v>723422115026767872</v>
      </c>
      <c r="F2956" s="11" t="s">
        <v>7336</v>
      </c>
      <c r="G2956" s="11">
        <v>257</v>
      </c>
      <c r="H2956" s="11">
        <v>521</v>
      </c>
      <c r="I2956" s="11">
        <v>0</v>
      </c>
      <c r="J2956" s="11">
        <v>0</v>
      </c>
      <c r="K2956" s="11" t="s">
        <v>21</v>
      </c>
      <c r="L2956" s="7">
        <v>41680.625844907408</v>
      </c>
      <c r="M2956" s="12" t="s">
        <v>7337</v>
      </c>
      <c r="N2956" s="12" t="s">
        <v>7338</v>
      </c>
      <c r="O2956" s="10" t="str">
        <f>HYPERLINK("https://pbs.twimg.com/profile_images/614723809590018048/IWZnUTnV_normal.jpg","View")</f>
        <v>View</v>
      </c>
      <c r="P2956" s="11"/>
    </row>
    <row r="2957" spans="1:16" ht="12.75" x14ac:dyDescent="0.35">
      <c r="A2957" s="7">
        <v>42482.565358796295</v>
      </c>
      <c r="B2957" s="8" t="str">
        <f>HYPERLINK("https://twitter.com/NegroAutomobili","@NegroAutomobili")</f>
        <v>@NegroAutomobili</v>
      </c>
      <c r="C2957" s="9" t="s">
        <v>7330</v>
      </c>
      <c r="D2957" s="9" t="s">
        <v>7342</v>
      </c>
      <c r="E2957" s="10" t="str">
        <f>HYPERLINK("https://twitter.com/NegroAutomobili/status/723422115957891072","723422115957891072")</f>
        <v>723422115957891072</v>
      </c>
      <c r="F2957" s="11" t="s">
        <v>7332</v>
      </c>
      <c r="G2957" s="11">
        <v>84</v>
      </c>
      <c r="H2957" s="11">
        <v>34</v>
      </c>
      <c r="I2957" s="11">
        <v>0</v>
      </c>
      <c r="J2957" s="11">
        <v>0</v>
      </c>
      <c r="K2957" s="11" t="s">
        <v>21</v>
      </c>
      <c r="L2957" s="7">
        <v>41096.897835648146</v>
      </c>
      <c r="M2957" s="12" t="s">
        <v>7333</v>
      </c>
      <c r="N2957" s="12"/>
      <c r="O2957" s="10" t="str">
        <f>HYPERLINK("https://pbs.twimg.com/profile_images/2373311233/logo_VW_CONCESSIONARIO_normal.jpg","View")</f>
        <v>View</v>
      </c>
      <c r="P2957" s="10" t="str">
        <f>HYPERLINK("http://ctrlq.org/maps/address/#45.6895397,12.2485197","Map")</f>
        <v>Map</v>
      </c>
    </row>
    <row r="2958" spans="1:16" ht="12.75" x14ac:dyDescent="0.35">
      <c r="A2958" s="7">
        <v>42482.565370370372</v>
      </c>
      <c r="B2958" s="8" t="str">
        <f t="shared" ref="B2958:B2960" si="284">HYPERLINK("https://twitter.com/UsatoAutoSystem","@UsatoAutoSystem")</f>
        <v>@UsatoAutoSystem</v>
      </c>
      <c r="C2958" s="9" t="s">
        <v>7334</v>
      </c>
      <c r="D2958" s="9" t="s">
        <v>7343</v>
      </c>
      <c r="E2958" s="10" t="str">
        <f>HYPERLINK("https://twitter.com/UsatoAutoSystem/status/723422121372700672","723422121372700672")</f>
        <v>723422121372700672</v>
      </c>
      <c r="F2958" s="11" t="s">
        <v>7336</v>
      </c>
      <c r="G2958" s="11">
        <v>257</v>
      </c>
      <c r="H2958" s="11">
        <v>521</v>
      </c>
      <c r="I2958" s="11">
        <v>0</v>
      </c>
      <c r="J2958" s="11">
        <v>0</v>
      </c>
      <c r="K2958" s="11" t="s">
        <v>21</v>
      </c>
      <c r="L2958" s="7">
        <v>41680.625844907408</v>
      </c>
      <c r="M2958" s="12" t="s">
        <v>7337</v>
      </c>
      <c r="N2958" s="12" t="s">
        <v>7338</v>
      </c>
      <c r="O2958" s="10" t="str">
        <f t="shared" ref="O2958:O2960" si="285">HYPERLINK("https://pbs.twimg.com/profile_images/614723809590018048/IWZnUTnV_normal.jpg","View")</f>
        <v>View</v>
      </c>
      <c r="P2958" s="11"/>
    </row>
    <row r="2959" spans="1:16" ht="12.75" x14ac:dyDescent="0.35">
      <c r="A2959" s="7">
        <v>42482.565405092595</v>
      </c>
      <c r="B2959" s="8" t="str">
        <f t="shared" si="284"/>
        <v>@UsatoAutoSystem</v>
      </c>
      <c r="C2959" s="9" t="s">
        <v>7334</v>
      </c>
      <c r="D2959" s="9" t="s">
        <v>7344</v>
      </c>
      <c r="E2959" s="10" t="str">
        <f>HYPERLINK("https://twitter.com/UsatoAutoSystem/status/723422130814111745","723422130814111745")</f>
        <v>723422130814111745</v>
      </c>
      <c r="F2959" s="11" t="s">
        <v>7336</v>
      </c>
      <c r="G2959" s="11">
        <v>257</v>
      </c>
      <c r="H2959" s="11">
        <v>521</v>
      </c>
      <c r="I2959" s="11">
        <v>0</v>
      </c>
      <c r="J2959" s="11">
        <v>0</v>
      </c>
      <c r="K2959" s="11" t="s">
        <v>21</v>
      </c>
      <c r="L2959" s="7">
        <v>41680.625844907408</v>
      </c>
      <c r="M2959" s="12" t="s">
        <v>7337</v>
      </c>
      <c r="N2959" s="12" t="s">
        <v>7338</v>
      </c>
      <c r="O2959" s="10" t="str">
        <f t="shared" si="285"/>
        <v>View</v>
      </c>
      <c r="P2959" s="11"/>
    </row>
    <row r="2960" spans="1:16" ht="12.75" x14ac:dyDescent="0.35">
      <c r="A2960" s="7">
        <v>42482.565416666665</v>
      </c>
      <c r="B2960" s="8" t="str">
        <f t="shared" si="284"/>
        <v>@UsatoAutoSystem</v>
      </c>
      <c r="C2960" s="9" t="s">
        <v>7334</v>
      </c>
      <c r="D2960" s="9" t="s">
        <v>7345</v>
      </c>
      <c r="E2960" s="10" t="str">
        <f>HYPERLINK("https://twitter.com/UsatoAutoSystem/status/723422137873104897","723422137873104897")</f>
        <v>723422137873104897</v>
      </c>
      <c r="F2960" s="11" t="s">
        <v>7336</v>
      </c>
      <c r="G2960" s="11">
        <v>257</v>
      </c>
      <c r="H2960" s="11">
        <v>521</v>
      </c>
      <c r="I2960" s="11">
        <v>0</v>
      </c>
      <c r="J2960" s="11">
        <v>0</v>
      </c>
      <c r="K2960" s="11" t="s">
        <v>21</v>
      </c>
      <c r="L2960" s="7">
        <v>41680.625844907408</v>
      </c>
      <c r="M2960" s="12" t="s">
        <v>7337</v>
      </c>
      <c r="N2960" s="12" t="s">
        <v>7338</v>
      </c>
      <c r="O2960" s="10" t="str">
        <f t="shared" si="285"/>
        <v>View</v>
      </c>
      <c r="P2960" s="11"/>
    </row>
    <row r="2961" spans="1:16" ht="12.75" x14ac:dyDescent="0.35">
      <c r="A2961" s="7">
        <v>42482.565428240741</v>
      </c>
      <c r="B2961" s="8" t="str">
        <f t="shared" ref="B2961:B2964" si="286">HYPERLINK("https://twitter.com/NegroAutomobili","@NegroAutomobili")</f>
        <v>@NegroAutomobili</v>
      </c>
      <c r="C2961" s="9" t="s">
        <v>7330</v>
      </c>
      <c r="D2961" s="9" t="s">
        <v>7346</v>
      </c>
      <c r="E2961" s="10" t="str">
        <f>HYPERLINK("https://twitter.com/NegroAutomobili/status/723422141757059073","723422141757059073")</f>
        <v>723422141757059073</v>
      </c>
      <c r="F2961" s="11" t="s">
        <v>53</v>
      </c>
      <c r="G2961" s="11">
        <v>84</v>
      </c>
      <c r="H2961" s="11">
        <v>34</v>
      </c>
      <c r="I2961" s="11">
        <v>0</v>
      </c>
      <c r="J2961" s="11">
        <v>0</v>
      </c>
      <c r="K2961" s="11" t="s">
        <v>21</v>
      </c>
      <c r="L2961" s="7">
        <v>41096.897835648146</v>
      </c>
      <c r="M2961" s="12" t="s">
        <v>7333</v>
      </c>
      <c r="N2961" s="12"/>
      <c r="O2961" s="10" t="str">
        <f t="shared" ref="O2961:O2964" si="287">HYPERLINK("https://pbs.twimg.com/profile_images/2373311233/logo_VW_CONCESSIONARIO_normal.jpg","View")</f>
        <v>View</v>
      </c>
      <c r="P2961" s="11"/>
    </row>
    <row r="2962" spans="1:16" ht="12.75" x14ac:dyDescent="0.35">
      <c r="A2962" s="7">
        <v>42482.565451388888</v>
      </c>
      <c r="B2962" s="8" t="str">
        <f t="shared" si="286"/>
        <v>@NegroAutomobili</v>
      </c>
      <c r="C2962" s="9" t="s">
        <v>7330</v>
      </c>
      <c r="D2962" s="9" t="s">
        <v>7347</v>
      </c>
      <c r="E2962" s="10" t="str">
        <f>HYPERLINK("https://twitter.com/NegroAutomobili/status/723422149109673984","723422149109673984")</f>
        <v>723422149109673984</v>
      </c>
      <c r="F2962" s="11" t="s">
        <v>53</v>
      </c>
      <c r="G2962" s="11">
        <v>84</v>
      </c>
      <c r="H2962" s="11">
        <v>34</v>
      </c>
      <c r="I2962" s="11">
        <v>0</v>
      </c>
      <c r="J2962" s="11">
        <v>0</v>
      </c>
      <c r="K2962" s="11" t="s">
        <v>21</v>
      </c>
      <c r="L2962" s="7">
        <v>41096.897835648146</v>
      </c>
      <c r="M2962" s="12" t="s">
        <v>7333</v>
      </c>
      <c r="N2962" s="12"/>
      <c r="O2962" s="10" t="str">
        <f t="shared" si="287"/>
        <v>View</v>
      </c>
      <c r="P2962" s="11"/>
    </row>
    <row r="2963" spans="1:16" ht="12.75" x14ac:dyDescent="0.35">
      <c r="A2963" s="7">
        <v>42482.565486111111</v>
      </c>
      <c r="B2963" s="8" t="str">
        <f t="shared" si="286"/>
        <v>@NegroAutomobili</v>
      </c>
      <c r="C2963" s="9" t="s">
        <v>7330</v>
      </c>
      <c r="D2963" s="9" t="s">
        <v>7348</v>
      </c>
      <c r="E2963" s="10" t="str">
        <f>HYPERLINK("https://twitter.com/NegroAutomobili/status/723422163265458177","723422163265458177")</f>
        <v>723422163265458177</v>
      </c>
      <c r="F2963" s="11" t="s">
        <v>53</v>
      </c>
      <c r="G2963" s="11">
        <v>84</v>
      </c>
      <c r="H2963" s="11">
        <v>34</v>
      </c>
      <c r="I2963" s="11">
        <v>0</v>
      </c>
      <c r="J2963" s="11">
        <v>0</v>
      </c>
      <c r="K2963" s="11" t="s">
        <v>21</v>
      </c>
      <c r="L2963" s="7">
        <v>41096.897835648146</v>
      </c>
      <c r="M2963" s="12" t="s">
        <v>7333</v>
      </c>
      <c r="N2963" s="12"/>
      <c r="O2963" s="10" t="str">
        <f t="shared" si="287"/>
        <v>View</v>
      </c>
      <c r="P2963" s="11"/>
    </row>
    <row r="2964" spans="1:16" ht="12.75" x14ac:dyDescent="0.35">
      <c r="A2964" s="7">
        <v>42482.56554398148</v>
      </c>
      <c r="B2964" s="8" t="str">
        <f t="shared" si="286"/>
        <v>@NegroAutomobili</v>
      </c>
      <c r="C2964" s="9" t="s">
        <v>7330</v>
      </c>
      <c r="D2964" s="9" t="s">
        <v>7349</v>
      </c>
      <c r="E2964" s="10" t="str">
        <f>HYPERLINK("https://twitter.com/NegroAutomobili/status/723422182857023488","723422182857023488")</f>
        <v>723422182857023488</v>
      </c>
      <c r="F2964" s="11" t="s">
        <v>53</v>
      </c>
      <c r="G2964" s="11">
        <v>84</v>
      </c>
      <c r="H2964" s="11">
        <v>34</v>
      </c>
      <c r="I2964" s="11">
        <v>0</v>
      </c>
      <c r="J2964" s="11">
        <v>0</v>
      </c>
      <c r="K2964" s="11" t="s">
        <v>21</v>
      </c>
      <c r="L2964" s="7">
        <v>41096.897835648146</v>
      </c>
      <c r="M2964" s="12" t="s">
        <v>7333</v>
      </c>
      <c r="N2964" s="12"/>
      <c r="O2964" s="10" t="str">
        <f t="shared" si="287"/>
        <v>View</v>
      </c>
      <c r="P2964" s="11"/>
    </row>
    <row r="2965" spans="1:16" ht="12.75" x14ac:dyDescent="0.35">
      <c r="A2965" s="7">
        <v>42482.565983796296</v>
      </c>
      <c r="B2965" s="8" t="str">
        <f>HYPERLINK("https://twitter.com/johnjoechad","@johnjoechad")</f>
        <v>@johnjoechad</v>
      </c>
      <c r="C2965" s="9" t="s">
        <v>7350</v>
      </c>
      <c r="D2965" s="9" t="s">
        <v>5150</v>
      </c>
      <c r="E2965" s="10" t="str">
        <f>HYPERLINK("https://twitter.com/johnjoechad/status/723422343456911360","723422343456911360")</f>
        <v>723422343456911360</v>
      </c>
      <c r="F2965" s="11" t="s">
        <v>48</v>
      </c>
      <c r="G2965" s="11">
        <v>4980</v>
      </c>
      <c r="H2965" s="11">
        <v>5493</v>
      </c>
      <c r="I2965" s="11">
        <v>24</v>
      </c>
      <c r="J2965" s="11">
        <v>0</v>
      </c>
      <c r="K2965" s="11" t="s">
        <v>21</v>
      </c>
      <c r="L2965" s="7">
        <v>40353.761030092595</v>
      </c>
      <c r="M2965" s="12"/>
      <c r="N2965" s="12"/>
      <c r="O2965" s="10" t="str">
        <f>HYPERLINK("https://pbs.twimg.com/profile_images/1799314685/SfwN58Em_normal","View")</f>
        <v>View</v>
      </c>
      <c r="P2965" s="11"/>
    </row>
    <row r="2966" spans="1:16" ht="12.75" x14ac:dyDescent="0.35">
      <c r="A2966" s="7">
        <v>42482.566099537042</v>
      </c>
      <c r="B2966" s="8" t="str">
        <f>HYPERLINK("https://twitter.com/PRossberg","@PRossberg")</f>
        <v>@PRossberg</v>
      </c>
      <c r="C2966" s="9" t="s">
        <v>7351</v>
      </c>
      <c r="D2966" s="9" t="s">
        <v>3578</v>
      </c>
      <c r="E2966" s="10" t="str">
        <f>HYPERLINK("https://twitter.com/PRossberg/status/723422381755109376","723422381755109376")</f>
        <v>723422381755109376</v>
      </c>
      <c r="F2966" s="11" t="s">
        <v>91</v>
      </c>
      <c r="G2966" s="11">
        <v>1203</v>
      </c>
      <c r="H2966" s="11">
        <v>1876</v>
      </c>
      <c r="I2966" s="11">
        <v>3</v>
      </c>
      <c r="J2966" s="11">
        <v>0</v>
      </c>
      <c r="K2966" s="11" t="s">
        <v>21</v>
      </c>
      <c r="L2966" s="7">
        <v>41450.059490740743</v>
      </c>
      <c r="M2966" s="12"/>
      <c r="N2966" s="12" t="s">
        <v>7352</v>
      </c>
      <c r="O2966" s="10" t="str">
        <f>HYPERLINK("https://pbs.twimg.com/profile_images/651870316692697093/njx4sk8f_normal.jpg","View")</f>
        <v>View</v>
      </c>
      <c r="P2966" s="11"/>
    </row>
    <row r="2967" spans="1:16" ht="12.75" x14ac:dyDescent="0.35">
      <c r="A2967" s="7">
        <v>42482.566550925927</v>
      </c>
      <c r="B2967" s="8" t="str">
        <f>HYPERLINK("https://twitter.com/cmsGOMEX","@cmsGOMEX")</f>
        <v>@cmsGOMEX</v>
      </c>
      <c r="C2967" s="9" t="s">
        <v>2519</v>
      </c>
      <c r="D2967" s="9" t="s">
        <v>7353</v>
      </c>
      <c r="E2967" s="10" t="str">
        <f>HYPERLINK("https://twitter.com/cmsGOMEX/status/723422545710456832","723422545710456832")</f>
        <v>723422545710456832</v>
      </c>
      <c r="F2967" s="11" t="s">
        <v>43</v>
      </c>
      <c r="G2967" s="11">
        <v>653</v>
      </c>
      <c r="H2967" s="11">
        <v>462</v>
      </c>
      <c r="I2967" s="11">
        <v>0</v>
      </c>
      <c r="J2967" s="11">
        <v>0</v>
      </c>
      <c r="K2967" s="11" t="s">
        <v>21</v>
      </c>
      <c r="L2967" s="7">
        <v>39983.775879629626</v>
      </c>
      <c r="M2967" s="12" t="s">
        <v>1116</v>
      </c>
      <c r="N2967" s="12" t="s">
        <v>2521</v>
      </c>
      <c r="O2967" s="10" t="str">
        <f>HYPERLINK("https://pbs.twimg.com/profile_images/472298206483607552/UogAMiRI_normal.png","View")</f>
        <v>View</v>
      </c>
      <c r="P2967" s="11"/>
    </row>
    <row r="2968" spans="1:16" ht="12.75" x14ac:dyDescent="0.35">
      <c r="A2968" s="7">
        <v>42482.566863425927</v>
      </c>
      <c r="B2968" s="8" t="str">
        <f>HYPERLINK("https://twitter.com/aktionaer","@aktionaer")</f>
        <v>@aktionaer</v>
      </c>
      <c r="C2968" s="9" t="s">
        <v>1252</v>
      </c>
      <c r="D2968" s="9" t="s">
        <v>7354</v>
      </c>
      <c r="E2968" s="10" t="str">
        <f>HYPERLINK("https://twitter.com/aktionaer/status/723422659489341440","723422659489341440")</f>
        <v>723422659489341440</v>
      </c>
      <c r="F2968" s="11" t="s">
        <v>2567</v>
      </c>
      <c r="G2968" s="11">
        <v>4631</v>
      </c>
      <c r="H2968" s="11">
        <v>1111</v>
      </c>
      <c r="I2968" s="11">
        <v>0</v>
      </c>
      <c r="J2968" s="11">
        <v>0</v>
      </c>
      <c r="K2968" s="11" t="s">
        <v>21</v>
      </c>
      <c r="L2968" s="7">
        <v>39844.695729166662</v>
      </c>
      <c r="M2968" s="12" t="s">
        <v>1254</v>
      </c>
      <c r="N2968" s="12" t="s">
        <v>1255</v>
      </c>
      <c r="O2968" s="10" t="str">
        <f>HYPERLINK("https://pbs.twimg.com/profile_images/679552623641509888/_vPw9IS2_normal.png","View")</f>
        <v>View</v>
      </c>
      <c r="P2968" s="11"/>
    </row>
    <row r="2969" spans="1:16" ht="12.75" x14ac:dyDescent="0.35">
      <c r="A2969" s="7">
        <v>42482.567905092597</v>
      </c>
      <c r="B2969" s="8" t="str">
        <f>HYPERLINK("https://twitter.com/MDRINFO","@MDRINFO")</f>
        <v>@MDRINFO</v>
      </c>
      <c r="C2969" s="9" t="s">
        <v>3646</v>
      </c>
      <c r="D2969" s="9" t="s">
        <v>7355</v>
      </c>
      <c r="E2969" s="10" t="str">
        <f>HYPERLINK("https://twitter.com/MDRINFO/status/723423039476502529","723423039476502529")</f>
        <v>723423039476502529</v>
      </c>
      <c r="F2969" s="11" t="s">
        <v>63</v>
      </c>
      <c r="G2969" s="11">
        <v>17531</v>
      </c>
      <c r="H2969" s="11">
        <v>324</v>
      </c>
      <c r="I2969" s="11">
        <v>0</v>
      </c>
      <c r="J2969" s="11">
        <v>0</v>
      </c>
      <c r="K2969" s="11" t="s">
        <v>21</v>
      </c>
      <c r="L2969" s="7">
        <v>39833.671817129631</v>
      </c>
      <c r="M2969" s="12" t="s">
        <v>3648</v>
      </c>
      <c r="N2969" s="12" t="s">
        <v>3649</v>
      </c>
      <c r="O2969" s="10" t="str">
        <f>HYPERLINK("https://pbs.twimg.com/profile_images/2289706087/q66ajanznpfm87cybp5p_normal.jpeg","View")</f>
        <v>View</v>
      </c>
      <c r="P2969" s="11"/>
    </row>
    <row r="2970" spans="1:16" ht="12.75" x14ac:dyDescent="0.35">
      <c r="A2970" s="7">
        <v>42482.568298611106</v>
      </c>
      <c r="B2970" s="8" t="str">
        <f>HYPERLINK("https://twitter.com/vzbv","@vzbv")</f>
        <v>@vzbv</v>
      </c>
      <c r="C2970" s="9" t="s">
        <v>2306</v>
      </c>
      <c r="D2970" s="9" t="s">
        <v>3948</v>
      </c>
      <c r="E2970" s="10" t="str">
        <f>HYPERLINK("https://twitter.com/vzbv/status/723423180199612416","723423180199612416")</f>
        <v>723423180199612416</v>
      </c>
      <c r="F2970" s="11" t="s">
        <v>20</v>
      </c>
      <c r="G2970" s="11">
        <v>9417</v>
      </c>
      <c r="H2970" s="11">
        <v>471</v>
      </c>
      <c r="I2970" s="11">
        <v>4</v>
      </c>
      <c r="J2970" s="11">
        <v>0</v>
      </c>
      <c r="K2970" s="11" t="s">
        <v>21</v>
      </c>
      <c r="L2970" s="7">
        <v>39985.132523148146</v>
      </c>
      <c r="M2970" s="12" t="s">
        <v>1116</v>
      </c>
      <c r="N2970" s="12" t="s">
        <v>2308</v>
      </c>
      <c r="O2970" s="10" t="str">
        <f>HYPERLINK("https://pbs.twimg.com/profile_images/617979796744568832/YHw6Izem_normal.jpg","View")</f>
        <v>View</v>
      </c>
      <c r="P2970" s="11"/>
    </row>
    <row r="2971" spans="1:16" ht="12.75" x14ac:dyDescent="0.35">
      <c r="A2971" s="7">
        <v>42482.569282407407</v>
      </c>
      <c r="B2971" s="8" t="str">
        <f>HYPERLINK("https://twitter.com/rantindave","@rantindave")</f>
        <v>@rantindave</v>
      </c>
      <c r="C2971" s="9" t="s">
        <v>7356</v>
      </c>
      <c r="D2971" s="9" t="s">
        <v>5150</v>
      </c>
      <c r="E2971" s="10" t="str">
        <f>HYPERLINK("https://twitter.com/rantindave/status/723423539215257601","723423539215257601")</f>
        <v>723423539215257601</v>
      </c>
      <c r="F2971" s="11" t="s">
        <v>7357</v>
      </c>
      <c r="G2971" s="11">
        <v>474</v>
      </c>
      <c r="H2971" s="11">
        <v>500</v>
      </c>
      <c r="I2971" s="11">
        <v>24</v>
      </c>
      <c r="J2971" s="11">
        <v>0</v>
      </c>
      <c r="K2971" s="11" t="s">
        <v>21</v>
      </c>
      <c r="L2971" s="7">
        <v>40521.564872685187</v>
      </c>
      <c r="M2971" s="12" t="s">
        <v>7358</v>
      </c>
      <c r="N2971" s="12" t="s">
        <v>7359</v>
      </c>
      <c r="O2971" s="10" t="str">
        <f>HYPERLINK("https://pbs.twimg.com/profile_images/1266733055/4e731a3a-416a-4eaa-b595-6a8453d11eb4_normal.png","View")</f>
        <v>View</v>
      </c>
      <c r="P2971" s="11"/>
    </row>
    <row r="2972" spans="1:16" ht="12.75" x14ac:dyDescent="0.35">
      <c r="A2972" s="7">
        <v>42482.570752314816</v>
      </c>
      <c r="B2972" s="8" t="str">
        <f>HYPERLINK("https://twitter.com/doern","@doern")</f>
        <v>@doern</v>
      </c>
      <c r="C2972" s="9" t="s">
        <v>3107</v>
      </c>
      <c r="D2972" s="9" t="s">
        <v>7360</v>
      </c>
      <c r="E2972" s="10" t="str">
        <f>HYPERLINK("https://twitter.com/doern/status/723424070964928512","723424070964928512")</f>
        <v>723424070964928512</v>
      </c>
      <c r="F2972" s="11" t="s">
        <v>43</v>
      </c>
      <c r="G2972" s="11">
        <v>342</v>
      </c>
      <c r="H2972" s="11">
        <v>63</v>
      </c>
      <c r="I2972" s="11">
        <v>1</v>
      </c>
      <c r="J2972" s="11">
        <v>1</v>
      </c>
      <c r="K2972" s="11" t="s">
        <v>21</v>
      </c>
      <c r="L2972" s="7">
        <v>39909.663194444445</v>
      </c>
      <c r="M2972" s="12" t="s">
        <v>262</v>
      </c>
      <c r="N2972" s="12" t="s">
        <v>3109</v>
      </c>
      <c r="O2972" s="10" t="str">
        <f>HYPERLINK("https://pbs.twimg.com/profile_images/657853466384191488/J6vAnfZr_normal.jpg","View")</f>
        <v>View</v>
      </c>
      <c r="P2972" s="11"/>
    </row>
    <row r="2973" spans="1:16" ht="12.75" x14ac:dyDescent="0.35">
      <c r="A2973" s="7">
        <v>42482.570891203708</v>
      </c>
      <c r="B2973" s="8" t="str">
        <f>HYPERLINK("https://twitter.com/frisch_fish","@frisch_fish")</f>
        <v>@frisch_fish</v>
      </c>
      <c r="C2973" s="9" t="s">
        <v>7361</v>
      </c>
      <c r="D2973" s="9" t="s">
        <v>7362</v>
      </c>
      <c r="E2973" s="10" t="str">
        <f>HYPERLINK("https://twitter.com/frisch_fish/status/723424122353512448","723424122353512448")</f>
        <v>723424122353512448</v>
      </c>
      <c r="F2973" s="11" t="s">
        <v>2060</v>
      </c>
      <c r="G2973" s="11">
        <v>1189</v>
      </c>
      <c r="H2973" s="11">
        <v>2481</v>
      </c>
      <c r="I2973" s="11">
        <v>1</v>
      </c>
      <c r="J2973" s="11">
        <v>0</v>
      </c>
      <c r="K2973" s="11" t="s">
        <v>21</v>
      </c>
      <c r="L2973" s="7">
        <v>41382.599756944444</v>
      </c>
      <c r="M2973" s="12" t="s">
        <v>7363</v>
      </c>
      <c r="N2973" s="12" t="s">
        <v>7364</v>
      </c>
      <c r="O2973" s="10" t="str">
        <f>HYPERLINK("https://pbs.twimg.com/profile_images/491217423396134913/ygdCi_0u_normal.jpeg","View")</f>
        <v>View</v>
      </c>
      <c r="P2973" s="11"/>
    </row>
    <row r="2974" spans="1:16" ht="12.75" x14ac:dyDescent="0.35">
      <c r="A2974" s="7">
        <v>42482.571898148148</v>
      </c>
      <c r="B2974" s="8" t="str">
        <f t="shared" ref="B2974:B2976" si="288">HYPERLINK("https://twitter.com/Insta_VWT","@Insta_VWT")</f>
        <v>@Insta_VWT</v>
      </c>
      <c r="C2974" s="9" t="s">
        <v>181</v>
      </c>
      <c r="D2974" s="9" t="s">
        <v>7365</v>
      </c>
      <c r="E2974" s="10" t="str">
        <f>HYPERLINK("https://twitter.com/Insta_VWT/status/723424484829470721","723424484829470721")</f>
        <v>723424484829470721</v>
      </c>
      <c r="F2974" s="11" t="s">
        <v>68</v>
      </c>
      <c r="G2974" s="11">
        <v>480</v>
      </c>
      <c r="H2974" s="11">
        <v>0</v>
      </c>
      <c r="I2974" s="11">
        <v>0</v>
      </c>
      <c r="J2974" s="11">
        <v>0</v>
      </c>
      <c r="K2974" s="11" t="s">
        <v>21</v>
      </c>
      <c r="L2974" s="7">
        <v>41658.782800925925</v>
      </c>
      <c r="M2974" s="12" t="s">
        <v>183</v>
      </c>
      <c r="N2974" s="12" t="s">
        <v>184</v>
      </c>
      <c r="O2974" s="10" t="str">
        <f t="shared" ref="O2974:O2976" si="289">HYPERLINK("https://pbs.twimg.com/profile_images/424893967197433858/iQ86NktX_normal.jpeg","View")</f>
        <v>View</v>
      </c>
      <c r="P2974" s="11"/>
    </row>
    <row r="2975" spans="1:16" ht="12.75" x14ac:dyDescent="0.35">
      <c r="A2975" s="7">
        <v>42482.571921296301</v>
      </c>
      <c r="B2975" s="8" t="str">
        <f t="shared" si="288"/>
        <v>@Insta_VWT</v>
      </c>
      <c r="C2975" s="9" t="s">
        <v>181</v>
      </c>
      <c r="D2975" s="9" t="s">
        <v>7366</v>
      </c>
      <c r="E2975" s="10" t="str">
        <f>HYPERLINK("https://twitter.com/Insta_VWT/status/723424492156915712","723424492156915712")</f>
        <v>723424492156915712</v>
      </c>
      <c r="F2975" s="11" t="s">
        <v>68</v>
      </c>
      <c r="G2975" s="11">
        <v>480</v>
      </c>
      <c r="H2975" s="11">
        <v>0</v>
      </c>
      <c r="I2975" s="11">
        <v>0</v>
      </c>
      <c r="J2975" s="11">
        <v>0</v>
      </c>
      <c r="K2975" s="11" t="s">
        <v>21</v>
      </c>
      <c r="L2975" s="7">
        <v>41658.782800925925</v>
      </c>
      <c r="M2975" s="12" t="s">
        <v>183</v>
      </c>
      <c r="N2975" s="12" t="s">
        <v>184</v>
      </c>
      <c r="O2975" s="10" t="str">
        <f t="shared" si="289"/>
        <v>View</v>
      </c>
      <c r="P2975" s="11"/>
    </row>
    <row r="2976" spans="1:16" ht="12.75" x14ac:dyDescent="0.35">
      <c r="A2976" s="7">
        <v>42482.571932870371</v>
      </c>
      <c r="B2976" s="8" t="str">
        <f t="shared" si="288"/>
        <v>@Insta_VWT</v>
      </c>
      <c r="C2976" s="9" t="s">
        <v>181</v>
      </c>
      <c r="D2976" s="9" t="s">
        <v>7367</v>
      </c>
      <c r="E2976" s="10" t="str">
        <f>HYPERLINK("https://twitter.com/Insta_VWT/status/723424499425648642","723424499425648642")</f>
        <v>723424499425648642</v>
      </c>
      <c r="F2976" s="11" t="s">
        <v>68</v>
      </c>
      <c r="G2976" s="11">
        <v>480</v>
      </c>
      <c r="H2976" s="11">
        <v>0</v>
      </c>
      <c r="I2976" s="11">
        <v>1</v>
      </c>
      <c r="J2976" s="11">
        <v>2</v>
      </c>
      <c r="K2976" s="11" t="s">
        <v>21</v>
      </c>
      <c r="L2976" s="7">
        <v>41658.782800925925</v>
      </c>
      <c r="M2976" s="12" t="s">
        <v>183</v>
      </c>
      <c r="N2976" s="12" t="s">
        <v>184</v>
      </c>
      <c r="O2976" s="10" t="str">
        <f t="shared" si="289"/>
        <v>View</v>
      </c>
      <c r="P2976" s="11"/>
    </row>
    <row r="2977" spans="1:16" ht="12.75" x14ac:dyDescent="0.35">
      <c r="A2977" s="7">
        <v>42482.572210648148</v>
      </c>
      <c r="B2977" s="8" t="str">
        <f>HYPERLINK("https://twitter.com/parksj86","@parksj86")</f>
        <v>@parksj86</v>
      </c>
      <c r="C2977" s="9" t="s">
        <v>7368</v>
      </c>
      <c r="D2977" s="9" t="s">
        <v>7059</v>
      </c>
      <c r="E2977" s="10" t="str">
        <f>HYPERLINK("https://twitter.com/parksj86/status/723424596821561344","723424596821561344")</f>
        <v>723424596821561344</v>
      </c>
      <c r="F2977" s="11" t="s">
        <v>20</v>
      </c>
      <c r="G2977" s="11">
        <v>327</v>
      </c>
      <c r="H2977" s="11">
        <v>324</v>
      </c>
      <c r="I2977" s="11">
        <v>3</v>
      </c>
      <c r="J2977" s="11">
        <v>0</v>
      </c>
      <c r="K2977" s="11" t="s">
        <v>21</v>
      </c>
      <c r="L2977" s="7">
        <v>40673.754756944443</v>
      </c>
      <c r="M2977" s="12" t="s">
        <v>1658</v>
      </c>
      <c r="N2977" s="12" t="s">
        <v>7369</v>
      </c>
      <c r="O2977" s="10" t="str">
        <f>HYPERLINK("https://pbs.twimg.com/profile_images/447122704626221056/YLBEEZWB_normal.jpeg","View")</f>
        <v>View</v>
      </c>
      <c r="P2977" s="11"/>
    </row>
    <row r="2978" spans="1:16" ht="12.75" x14ac:dyDescent="0.35">
      <c r="A2978" s="7">
        <v>42482.572719907403</v>
      </c>
      <c r="B2978" s="8" t="str">
        <f>HYPERLINK("https://twitter.com/VeeDubMk1_","@VeeDubMk1_")</f>
        <v>@VeeDubMk1_</v>
      </c>
      <c r="C2978" s="9" t="s">
        <v>185</v>
      </c>
      <c r="D2978" s="9" t="s">
        <v>7370</v>
      </c>
      <c r="E2978" s="10" t="str">
        <f>HYPERLINK("https://twitter.com/VeeDubMk1_/status/723424782859956225","723424782859956225")</f>
        <v>723424782859956225</v>
      </c>
      <c r="F2978" s="11" t="s">
        <v>68</v>
      </c>
      <c r="G2978" s="11">
        <v>545</v>
      </c>
      <c r="H2978" s="11">
        <v>3527</v>
      </c>
      <c r="I2978" s="11">
        <v>1</v>
      </c>
      <c r="J2978" s="11">
        <v>0</v>
      </c>
      <c r="K2978" s="11" t="s">
        <v>21</v>
      </c>
      <c r="L2978" s="7">
        <v>42343.063356481478</v>
      </c>
      <c r="M2978" s="12"/>
      <c r="N2978" s="12"/>
      <c r="O2978" s="10" t="str">
        <f>HYPERLINK("https://pbs.twimg.com/profile_images/672878354127839232/M7OYc-zx_normal.jpg","View")</f>
        <v>View</v>
      </c>
      <c r="P2978" s="11"/>
    </row>
    <row r="2979" spans="1:16" ht="12.75" x14ac:dyDescent="0.35">
      <c r="A2979" s="7">
        <v>42482.572754629626</v>
      </c>
      <c r="B2979" s="8" t="str">
        <f>HYPERLINK("https://twitter.com/gerd_lutz","@gerd_lutz")</f>
        <v>@gerd_lutz</v>
      </c>
      <c r="C2979" s="9" t="s">
        <v>7371</v>
      </c>
      <c r="D2979" s="9" t="s">
        <v>7372</v>
      </c>
      <c r="E2979" s="10" t="str">
        <f>HYPERLINK("https://twitter.com/gerd_lutz/status/723424794801098752","723424794801098752")</f>
        <v>723424794801098752</v>
      </c>
      <c r="F2979" s="11" t="s">
        <v>43</v>
      </c>
      <c r="G2979" s="11">
        <v>3</v>
      </c>
      <c r="H2979" s="11">
        <v>5</v>
      </c>
      <c r="I2979" s="11">
        <v>0</v>
      </c>
      <c r="J2979" s="11">
        <v>1</v>
      </c>
      <c r="K2979" s="11" t="s">
        <v>21</v>
      </c>
      <c r="L2979" s="7">
        <v>40802.77065972222</v>
      </c>
      <c r="M2979" s="12" t="s">
        <v>507</v>
      </c>
      <c r="N2979" s="12"/>
      <c r="O2979" s="10" t="str">
        <f>HYPERLINK("https://pbs.twimg.com/profile_images/661502761985556480/-CFhbAVI_normal.png","View")</f>
        <v>View</v>
      </c>
      <c r="P2979" s="11"/>
    </row>
    <row r="2980" spans="1:16" ht="12.75" x14ac:dyDescent="0.35">
      <c r="A2980" s="7">
        <v>42482.573171296295</v>
      </c>
      <c r="B2980" s="8" t="str">
        <f>HYPERLINK("https://twitter.com/shinemyrideuk","@shinemyrideuk")</f>
        <v>@shinemyrideuk</v>
      </c>
      <c r="C2980" s="9" t="s">
        <v>1697</v>
      </c>
      <c r="D2980" s="9" t="s">
        <v>7373</v>
      </c>
      <c r="E2980" s="10" t="str">
        <f>HYPERLINK("https://twitter.com/shinemyrideuk/status/723424947444412416","723424947444412416")</f>
        <v>723424947444412416</v>
      </c>
      <c r="F2980" s="11" t="s">
        <v>152</v>
      </c>
      <c r="G2980" s="11">
        <v>1514</v>
      </c>
      <c r="H2980" s="11">
        <v>531</v>
      </c>
      <c r="I2980" s="11">
        <v>0</v>
      </c>
      <c r="J2980" s="11">
        <v>0</v>
      </c>
      <c r="K2980" s="11" t="s">
        <v>21</v>
      </c>
      <c r="L2980" s="7">
        <v>40504.286840277782</v>
      </c>
      <c r="M2980" s="12" t="s">
        <v>1699</v>
      </c>
      <c r="N2980" s="12" t="s">
        <v>1700</v>
      </c>
      <c r="O2980" s="10" t="str">
        <f>HYPERLINK("https://pbs.twimg.com/profile_images/673219952988413952/RwM7EX2v_normal.png","View")</f>
        <v>View</v>
      </c>
      <c r="P2980" s="11"/>
    </row>
    <row r="2981" spans="1:16" ht="12.75" x14ac:dyDescent="0.35">
      <c r="A2981" s="7">
        <v>42482.574050925927</v>
      </c>
      <c r="B2981" s="8" t="str">
        <f>HYPERLINK("https://twitter.com/srfnews","@srfnews")</f>
        <v>@srfnews</v>
      </c>
      <c r="C2981" s="9" t="s">
        <v>3768</v>
      </c>
      <c r="D2981" s="9" t="s">
        <v>7374</v>
      </c>
      <c r="E2981" s="10" t="str">
        <f>HYPERLINK("https://twitter.com/srfnews/status/723425265636937728","723425265636937728")</f>
        <v>723425265636937728</v>
      </c>
      <c r="F2981" s="11" t="s">
        <v>63</v>
      </c>
      <c r="G2981" s="11">
        <v>141358</v>
      </c>
      <c r="H2981" s="11">
        <v>23</v>
      </c>
      <c r="I2981" s="11">
        <v>4</v>
      </c>
      <c r="J2981" s="11">
        <v>3</v>
      </c>
      <c r="K2981" s="11" t="s">
        <v>21</v>
      </c>
      <c r="L2981" s="7">
        <v>39786.642754629633</v>
      </c>
      <c r="M2981" s="12" t="s">
        <v>3770</v>
      </c>
      <c r="N2981" s="12" t="s">
        <v>3771</v>
      </c>
      <c r="O2981" s="10" t="str">
        <f>HYPERLINK("https://pbs.twimg.com/profile_images/471294691783098369/x9C02baa_normal.png","View")</f>
        <v>View</v>
      </c>
      <c r="P2981" s="11"/>
    </row>
    <row r="2982" spans="1:16" ht="12.75" x14ac:dyDescent="0.35">
      <c r="A2982" s="7">
        <v>42482.574189814812</v>
      </c>
      <c r="B2982" s="8" t="str">
        <f>HYPERLINK("https://twitter.com/ME262P","@ME262P")</f>
        <v>@ME262P</v>
      </c>
      <c r="C2982" s="9" t="s">
        <v>1651</v>
      </c>
      <c r="D2982" s="9" t="s">
        <v>3948</v>
      </c>
      <c r="E2982" s="10" t="str">
        <f>HYPERLINK("https://twitter.com/ME262P/status/723425315955970048","723425315955970048")</f>
        <v>723425315955970048</v>
      </c>
      <c r="F2982" s="11" t="s">
        <v>43</v>
      </c>
      <c r="G2982" s="11">
        <v>176</v>
      </c>
      <c r="H2982" s="11">
        <v>455</v>
      </c>
      <c r="I2982" s="11">
        <v>4</v>
      </c>
      <c r="J2982" s="11">
        <v>0</v>
      </c>
      <c r="K2982" s="11" t="s">
        <v>21</v>
      </c>
      <c r="L2982" s="7">
        <v>41883.920868055553</v>
      </c>
      <c r="M2982" s="12"/>
      <c r="N2982" s="12" t="s">
        <v>1653</v>
      </c>
      <c r="O2982" s="10" t="str">
        <f>HYPERLINK("https://pbs.twimg.com/profile_images/534347903415091200/7vSjzA4l_normal.jpeg","View")</f>
        <v>View</v>
      </c>
      <c r="P2982" s="11"/>
    </row>
    <row r="2983" spans="1:16" ht="12.75" x14ac:dyDescent="0.35">
      <c r="A2983" s="7">
        <v>42482.574374999997</v>
      </c>
      <c r="B2983" s="8" t="str">
        <f>HYPERLINK("https://twitter.com/PorscheOfficApp","@PorscheOfficApp")</f>
        <v>@PorscheOfficApp</v>
      </c>
      <c r="C2983" s="9" t="s">
        <v>7375</v>
      </c>
      <c r="D2983" s="9" t="s">
        <v>7376</v>
      </c>
      <c r="E2983" s="10" t="str">
        <f>HYPERLINK("https://twitter.com/PorscheOfficApp/status/723425381244493825","723425381244493825")</f>
        <v>723425381244493825</v>
      </c>
      <c r="F2983" s="11" t="s">
        <v>7375</v>
      </c>
      <c r="G2983" s="11">
        <v>659</v>
      </c>
      <c r="H2983" s="11">
        <v>270</v>
      </c>
      <c r="I2983" s="11">
        <v>1</v>
      </c>
      <c r="J2983" s="11">
        <v>0</v>
      </c>
      <c r="K2983" s="11" t="s">
        <v>21</v>
      </c>
      <c r="L2983" s="7">
        <v>42374.718981481477</v>
      </c>
      <c r="M2983" s="12" t="s">
        <v>2646</v>
      </c>
      <c r="N2983" s="12" t="s">
        <v>7377</v>
      </c>
      <c r="O2983" s="10" t="str">
        <f>HYPERLINK("https://pbs.twimg.com/profile_images/684716541322072065/eXpLts42_normal.jpg","View")</f>
        <v>View</v>
      </c>
      <c r="P2983" s="11"/>
    </row>
    <row r="2984" spans="1:16" ht="12.75" x14ac:dyDescent="0.35">
      <c r="A2984" s="7">
        <v>42482.575092592597</v>
      </c>
      <c r="B2984" s="8" t="str">
        <f>HYPERLINK("https://twitter.com/misterwy","@misterwy")</f>
        <v>@misterwy</v>
      </c>
      <c r="C2984" s="9" t="s">
        <v>7378</v>
      </c>
      <c r="D2984" s="9" t="s">
        <v>7379</v>
      </c>
      <c r="E2984" s="10" t="str">
        <f>HYPERLINK("https://twitter.com/misterwy/status/723425641857576961","723425641857576961")</f>
        <v>723425641857576961</v>
      </c>
      <c r="F2984" s="11" t="s">
        <v>1838</v>
      </c>
      <c r="G2984" s="11">
        <v>53</v>
      </c>
      <c r="H2984" s="11">
        <v>376</v>
      </c>
      <c r="I2984" s="11">
        <v>0</v>
      </c>
      <c r="J2984" s="11">
        <v>0</v>
      </c>
      <c r="K2984" s="11" t="s">
        <v>21</v>
      </c>
      <c r="L2984" s="7">
        <v>40958.221643518518</v>
      </c>
      <c r="M2984" s="12"/>
      <c r="N2984" s="12" t="s">
        <v>7380</v>
      </c>
      <c r="O2984" s="10" t="str">
        <f>HYPERLINK("https://pbs.twimg.com/profile_images/1845805113/foto_normal.gif","View")</f>
        <v>View</v>
      </c>
      <c r="P2984" s="11"/>
    </row>
    <row r="2985" spans="1:16" ht="12.75" x14ac:dyDescent="0.35">
      <c r="A2985" s="7">
        <v>42482.575543981482</v>
      </c>
      <c r="B2985" s="8" t="str">
        <f>HYPERLINK("https://twitter.com/JimHawkins11","@JimHawkins11")</f>
        <v>@JimHawkins11</v>
      </c>
      <c r="C2985" s="9" t="s">
        <v>7381</v>
      </c>
      <c r="D2985" s="9" t="s">
        <v>7382</v>
      </c>
      <c r="E2985" s="10" t="str">
        <f>HYPERLINK("https://twitter.com/JimHawkins11/status/723425804856619008","723425804856619008")</f>
        <v>723425804856619008</v>
      </c>
      <c r="F2985" s="11" t="s">
        <v>48</v>
      </c>
      <c r="G2985" s="11">
        <v>253</v>
      </c>
      <c r="H2985" s="11">
        <v>1148</v>
      </c>
      <c r="I2985" s="11">
        <v>4</v>
      </c>
      <c r="J2985" s="11">
        <v>0</v>
      </c>
      <c r="K2985" s="11" t="s">
        <v>21</v>
      </c>
      <c r="L2985" s="7">
        <v>40822.135636574072</v>
      </c>
      <c r="M2985" s="12"/>
      <c r="N2985" s="12" t="s">
        <v>7383</v>
      </c>
      <c r="O2985" s="10" t="str">
        <f>HYPERLINK("https://pbs.twimg.com/profile_images/1575602647/369px-Treasure-Island-map_normal.jpg","View")</f>
        <v>View</v>
      </c>
      <c r="P2985" s="11"/>
    </row>
    <row r="2986" spans="1:16" ht="12.75" x14ac:dyDescent="0.35">
      <c r="A2986" s="7">
        <v>42482.577789351853</v>
      </c>
      <c r="B2986" s="8" t="str">
        <f>HYPERLINK("https://twitter.com/woutervh1987","@woutervh1987")</f>
        <v>@woutervh1987</v>
      </c>
      <c r="C2986" s="9" t="s">
        <v>7384</v>
      </c>
      <c r="D2986" s="9" t="s">
        <v>7385</v>
      </c>
      <c r="E2986" s="10" t="str">
        <f>HYPERLINK("https://twitter.com/woutervh1987/status/723426619256266752","723426619256266752")</f>
        <v>723426619256266752</v>
      </c>
      <c r="F2986" s="11" t="s">
        <v>114</v>
      </c>
      <c r="G2986" s="11">
        <v>223</v>
      </c>
      <c r="H2986" s="11">
        <v>1126</v>
      </c>
      <c r="I2986" s="11">
        <v>0</v>
      </c>
      <c r="J2986" s="11">
        <v>0</v>
      </c>
      <c r="K2986" s="11" t="s">
        <v>21</v>
      </c>
      <c r="L2986" s="7">
        <v>40579.116840277777</v>
      </c>
      <c r="M2986" s="12" t="s">
        <v>7386</v>
      </c>
      <c r="N2986" s="12" t="s">
        <v>7387</v>
      </c>
      <c r="O2986" s="10" t="str">
        <f>HYPERLINK("https://pbs.twimg.com/profile_images/640615823690731520/ygB3pA2g_normal.jpg","View")</f>
        <v>View</v>
      </c>
      <c r="P2986" s="11"/>
    </row>
    <row r="2987" spans="1:16" ht="12.75" x14ac:dyDescent="0.35">
      <c r="A2987" s="7">
        <v>42482.579560185186</v>
      </c>
      <c r="B2987" s="8" t="str">
        <f>HYPERLINK("https://twitter.com/mz_wirtschaft","@mz_wirtschaft")</f>
        <v>@mz_wirtschaft</v>
      </c>
      <c r="C2987" s="9" t="s">
        <v>7388</v>
      </c>
      <c r="D2987" s="9" t="s">
        <v>7389</v>
      </c>
      <c r="E2987" s="10" t="str">
        <f>HYPERLINK("https://twitter.com/mz_wirtschaft/status/723427260120752130","723427260120752130")</f>
        <v>723427260120752130</v>
      </c>
      <c r="F2987" s="11" t="s">
        <v>63</v>
      </c>
      <c r="G2987" s="11">
        <v>156</v>
      </c>
      <c r="H2987" s="11">
        <v>71</v>
      </c>
      <c r="I2987" s="11">
        <v>0</v>
      </c>
      <c r="J2987" s="11">
        <v>0</v>
      </c>
      <c r="K2987" s="11" t="s">
        <v>21</v>
      </c>
      <c r="L2987" s="7">
        <v>41863.827638888892</v>
      </c>
      <c r="M2987" s="12"/>
      <c r="N2987" s="12"/>
      <c r="O2987" s="10" t="str">
        <f>HYPERLINK("https://pbs.twimg.com/profile_images/649586851238572032/GK0i6M1k_normal.png","View")</f>
        <v>View</v>
      </c>
      <c r="P2987" s="11"/>
    </row>
    <row r="2988" spans="1:16" ht="12.75" x14ac:dyDescent="0.35">
      <c r="A2988" s="7">
        <v>42482.579710648148</v>
      </c>
      <c r="B2988" s="8" t="str">
        <f>HYPERLINK("https://twitter.com/Test_Achats","@Test_Achats")</f>
        <v>@Test_Achats</v>
      </c>
      <c r="C2988" s="9" t="s">
        <v>1757</v>
      </c>
      <c r="D2988" s="9" t="s">
        <v>7329</v>
      </c>
      <c r="E2988" s="10" t="str">
        <f>HYPERLINK("https://twitter.com/Test_Achats/status/723427316647370752","723427316647370752")</f>
        <v>723427316647370752</v>
      </c>
      <c r="F2988" s="11" t="s">
        <v>43</v>
      </c>
      <c r="G2988" s="11">
        <v>1800</v>
      </c>
      <c r="H2988" s="11">
        <v>112</v>
      </c>
      <c r="I2988" s="11">
        <v>5</v>
      </c>
      <c r="J2988" s="11">
        <v>0</v>
      </c>
      <c r="K2988" s="11" t="s">
        <v>21</v>
      </c>
      <c r="L2988" s="7">
        <v>40106.659560185188</v>
      </c>
      <c r="M2988" s="12" t="s">
        <v>980</v>
      </c>
      <c r="N2988" s="12"/>
      <c r="O2988" s="10" t="str">
        <f>HYPERLINK("https://pbs.twimg.com/profile_images/717651142327607296/1uRZ3jg3_normal.jpg","View")</f>
        <v>View</v>
      </c>
      <c r="P2988" s="11"/>
    </row>
    <row r="2989" spans="1:16" ht="12.75" x14ac:dyDescent="0.35">
      <c r="A2989" s="7">
        <v>42482.579965277779</v>
      </c>
      <c r="B2989" s="8" t="str">
        <f>HYPERLINK("https://twitter.com/t00lkit","@t00lkit")</f>
        <v>@t00lkit</v>
      </c>
      <c r="C2989" s="9" t="s">
        <v>7390</v>
      </c>
      <c r="D2989" s="9" t="s">
        <v>7391</v>
      </c>
      <c r="E2989" s="10" t="str">
        <f>HYPERLINK("https://twitter.com/t00lkit/status/723427407055581184","723427407055581184")</f>
        <v>723427407055581184</v>
      </c>
      <c r="F2989" s="11" t="s">
        <v>43</v>
      </c>
      <c r="G2989" s="11">
        <v>14</v>
      </c>
      <c r="H2989" s="11">
        <v>68</v>
      </c>
      <c r="I2989" s="11">
        <v>0</v>
      </c>
      <c r="J2989" s="11">
        <v>0</v>
      </c>
      <c r="K2989" s="11" t="s">
        <v>21</v>
      </c>
      <c r="L2989" s="7">
        <v>42391.191747685181</v>
      </c>
      <c r="M2989" s="12"/>
      <c r="N2989" s="12"/>
      <c r="O2989" s="10" t="str">
        <f>HYPERLINK("https://pbs.twimg.com/profile_images/690311863733751808/JXUoHCV3_normal.jpg","View")</f>
        <v>View</v>
      </c>
      <c r="P2989" s="11"/>
    </row>
    <row r="2990" spans="1:16" ht="12.75" x14ac:dyDescent="0.35">
      <c r="A2990" s="7">
        <v>42482.58017361111</v>
      </c>
      <c r="B2990" s="8" t="str">
        <f>HYPERLINK("https://twitter.com/Marinella_Maria","@Marinella_Maria")</f>
        <v>@Marinella_Maria</v>
      </c>
      <c r="C2990" s="9" t="s">
        <v>7392</v>
      </c>
      <c r="D2990" s="9" t="s">
        <v>7329</v>
      </c>
      <c r="E2990" s="10" t="str">
        <f>HYPERLINK("https://twitter.com/Marinella_Maria/status/723427483840708610","723427483840708610")</f>
        <v>723427483840708610</v>
      </c>
      <c r="F2990" s="11" t="s">
        <v>43</v>
      </c>
      <c r="G2990" s="11">
        <v>71</v>
      </c>
      <c r="H2990" s="11">
        <v>108</v>
      </c>
      <c r="I2990" s="11">
        <v>5</v>
      </c>
      <c r="J2990" s="11">
        <v>0</v>
      </c>
      <c r="K2990" s="11" t="s">
        <v>21</v>
      </c>
      <c r="L2990" s="7">
        <v>41125.600752314815</v>
      </c>
      <c r="M2990" s="12" t="s">
        <v>1089</v>
      </c>
      <c r="N2990" s="12" t="s">
        <v>7393</v>
      </c>
      <c r="O2990" s="10" t="str">
        <f>HYPERLINK("https://pbs.twimg.com/profile_images/714499325313880064/pQsiHVWm_normal.jpg","View")</f>
        <v>View</v>
      </c>
      <c r="P2990" s="11"/>
    </row>
    <row r="2991" spans="1:16" ht="12.75" x14ac:dyDescent="0.35">
      <c r="A2991" s="7">
        <v>42482.580891203703</v>
      </c>
      <c r="B2991" s="8" t="str">
        <f>HYPERLINK("https://twitter.com/NDRinfo","@NDRinfo")</f>
        <v>@NDRinfo</v>
      </c>
      <c r="C2991" s="9" t="s">
        <v>1473</v>
      </c>
      <c r="D2991" s="9" t="s">
        <v>7394</v>
      </c>
      <c r="E2991" s="10" t="str">
        <f>HYPERLINK("https://twitter.com/NDRinfo/status/723427746131517440","723427746131517440")</f>
        <v>723427746131517440</v>
      </c>
      <c r="F2991" s="11" t="s">
        <v>63</v>
      </c>
      <c r="G2991" s="11">
        <v>5702</v>
      </c>
      <c r="H2991" s="11">
        <v>137</v>
      </c>
      <c r="I2991" s="11">
        <v>1</v>
      </c>
      <c r="J2991" s="11">
        <v>0</v>
      </c>
      <c r="K2991" s="11" t="s">
        <v>21</v>
      </c>
      <c r="L2991" s="7">
        <v>41787.632754629631</v>
      </c>
      <c r="M2991" s="12" t="s">
        <v>953</v>
      </c>
      <c r="N2991" s="12" t="s">
        <v>1475</v>
      </c>
      <c r="O2991" s="10" t="str">
        <f>HYPERLINK("https://pbs.twimg.com/profile_images/694104559229243392/gP-hYBim_normal.png","View")</f>
        <v>View</v>
      </c>
      <c r="P2991" s="11"/>
    </row>
    <row r="2992" spans="1:16" ht="12.75" x14ac:dyDescent="0.35">
      <c r="A2992" s="7">
        <v>42482.581550925926</v>
      </c>
      <c r="B2992" s="8" t="str">
        <f>HYPERLINK("https://twitter.com/Rainer42","@Rainer42")</f>
        <v>@Rainer42</v>
      </c>
      <c r="C2992" s="9" t="s">
        <v>7395</v>
      </c>
      <c r="D2992" s="9" t="s">
        <v>7189</v>
      </c>
      <c r="E2992" s="10" t="str">
        <f>HYPERLINK("https://twitter.com/Rainer42/status/723427982715441153","723427982715441153")</f>
        <v>723427982715441153</v>
      </c>
      <c r="F2992" s="11" t="s">
        <v>43</v>
      </c>
      <c r="G2992" s="11">
        <v>709</v>
      </c>
      <c r="H2992" s="11">
        <v>1588</v>
      </c>
      <c r="I2992" s="11">
        <v>6</v>
      </c>
      <c r="J2992" s="11">
        <v>0</v>
      </c>
      <c r="K2992" s="11" t="s">
        <v>21</v>
      </c>
      <c r="L2992" s="7">
        <v>39714.831250000003</v>
      </c>
      <c r="M2992" s="12" t="s">
        <v>7396</v>
      </c>
      <c r="N2992" s="12" t="s">
        <v>7397</v>
      </c>
      <c r="O2992" s="10" t="str">
        <f>HYPERLINK("https://pbs.twimg.com/profile_images/609626752802009088/UsQorUBS_normal.jpg","View")</f>
        <v>View</v>
      </c>
      <c r="P2992" s="11"/>
    </row>
    <row r="2993" spans="1:16" ht="12.75" x14ac:dyDescent="0.35">
      <c r="A2993" s="7">
        <v>42482.581562499996</v>
      </c>
      <c r="B2993" s="8" t="str">
        <f>HYPERLINK("https://twitter.com/Scirocco_Tuning","@Scirocco_Tuning")</f>
        <v>@Scirocco_Tuning</v>
      </c>
      <c r="C2993" s="9" t="s">
        <v>51</v>
      </c>
      <c r="D2993" s="9" t="s">
        <v>7398</v>
      </c>
      <c r="E2993" s="10" t="str">
        <f>HYPERLINK("https://twitter.com/Scirocco_Tuning/status/723427988075765760","723427988075765760")</f>
        <v>723427988075765760</v>
      </c>
      <c r="F2993" s="11" t="s">
        <v>53</v>
      </c>
      <c r="G2993" s="11">
        <v>69</v>
      </c>
      <c r="H2993" s="11">
        <v>215</v>
      </c>
      <c r="I2993" s="11">
        <v>0</v>
      </c>
      <c r="J2993" s="11">
        <v>0</v>
      </c>
      <c r="K2993" s="11" t="s">
        <v>21</v>
      </c>
      <c r="L2993" s="7">
        <v>40844.564722222218</v>
      </c>
      <c r="M2993" s="12"/>
      <c r="N2993" s="12"/>
      <c r="O2993" s="10" t="str">
        <f>HYPERLINK("https://pbs.twimg.com/profile_images/1610421423/Image2_normal.jpg","View")</f>
        <v>View</v>
      </c>
      <c r="P2993" s="11"/>
    </row>
    <row r="2994" spans="1:16" ht="12.75" x14ac:dyDescent="0.35">
      <c r="A2994" s="7">
        <v>42482.581759259258</v>
      </c>
      <c r="B2994" s="8" t="str">
        <f>HYPERLINK("https://twitter.com/dapper013","@dapper013")</f>
        <v>@dapper013</v>
      </c>
      <c r="C2994" s="9" t="s">
        <v>1567</v>
      </c>
      <c r="D2994" s="9" t="s">
        <v>7399</v>
      </c>
      <c r="E2994" s="10" t="str">
        <f>HYPERLINK("https://twitter.com/dapper013/status/723428057525035008","723428057525035008")</f>
        <v>723428057525035008</v>
      </c>
      <c r="F2994" s="11" t="s">
        <v>48</v>
      </c>
      <c r="G2994" s="11">
        <v>291</v>
      </c>
      <c r="H2994" s="11">
        <v>304</v>
      </c>
      <c r="I2994" s="11">
        <v>0</v>
      </c>
      <c r="J2994" s="11">
        <v>1</v>
      </c>
      <c r="K2994" s="11" t="s">
        <v>21</v>
      </c>
      <c r="L2994" s="7">
        <v>40871.767500000002</v>
      </c>
      <c r="M2994" s="12" t="s">
        <v>1569</v>
      </c>
      <c r="N2994" s="12" t="s">
        <v>1570</v>
      </c>
      <c r="O2994" s="10" t="str">
        <f>HYPERLINK("https://pbs.twimg.com/profile_images/704424786777280513/YQVkJF57_normal.jpg","View")</f>
        <v>View</v>
      </c>
      <c r="P2994" s="11"/>
    </row>
    <row r="2995" spans="1:16" ht="12.75" x14ac:dyDescent="0.35">
      <c r="A2995" s="7">
        <v>42482.582800925928</v>
      </c>
      <c r="B2995" s="8" t="str">
        <f>HYPERLINK("https://twitter.com/VWHeritage","@VWHeritage")</f>
        <v>@VWHeritage</v>
      </c>
      <c r="C2995" s="9" t="s">
        <v>1402</v>
      </c>
      <c r="D2995" s="9" t="s">
        <v>7400</v>
      </c>
      <c r="E2995" s="10" t="str">
        <f>HYPERLINK("https://twitter.com/VWHeritage/status/723428435419238401","723428435419238401")</f>
        <v>723428435419238401</v>
      </c>
      <c r="F2995" s="11" t="s">
        <v>43</v>
      </c>
      <c r="G2995" s="11">
        <v>9227</v>
      </c>
      <c r="H2995" s="11">
        <v>1355</v>
      </c>
      <c r="I2995" s="11">
        <v>1</v>
      </c>
      <c r="J2995" s="11">
        <v>0</v>
      </c>
      <c r="K2995" s="11" t="s">
        <v>21</v>
      </c>
      <c r="L2995" s="7">
        <v>40193.185613425929</v>
      </c>
      <c r="M2995" s="12" t="s">
        <v>1338</v>
      </c>
      <c r="N2995" s="12" t="s">
        <v>1404</v>
      </c>
      <c r="O2995" s="10" t="str">
        <f>HYPERLINK("https://pbs.twimg.com/profile_images/709359494128599041/-2u0_Nqv_normal.jpg","View")</f>
        <v>View</v>
      </c>
      <c r="P2995" s="11"/>
    </row>
    <row r="2996" spans="1:16" ht="12.75" x14ac:dyDescent="0.35">
      <c r="A2996" s="7">
        <v>42482.583067129628</v>
      </c>
      <c r="B2996" s="8" t="str">
        <f>HYPERLINK("https://twitter.com/Klimaatcombi","@Klimaatcombi")</f>
        <v>@Klimaatcombi</v>
      </c>
      <c r="C2996" s="9" t="s">
        <v>7401</v>
      </c>
      <c r="D2996" s="9" t="s">
        <v>7382</v>
      </c>
      <c r="E2996" s="10" t="str">
        <f>HYPERLINK("https://twitter.com/Klimaatcombi/status/723428534144798724","723428534144798724")</f>
        <v>723428534144798724</v>
      </c>
      <c r="F2996" s="11" t="s">
        <v>48</v>
      </c>
      <c r="G2996" s="11">
        <v>438</v>
      </c>
      <c r="H2996" s="11">
        <v>277</v>
      </c>
      <c r="I2996" s="11">
        <v>4</v>
      </c>
      <c r="J2996" s="11">
        <v>0</v>
      </c>
      <c r="K2996" s="11" t="s">
        <v>21</v>
      </c>
      <c r="L2996" s="7">
        <v>40670.694502314815</v>
      </c>
      <c r="M2996" s="12" t="s">
        <v>7402</v>
      </c>
      <c r="N2996" s="12" t="s">
        <v>7403</v>
      </c>
      <c r="O2996" s="10" t="str">
        <f>HYPERLINK("https://pbs.twimg.com/profile_images/525996707830435840/HCZkBfU9_normal.jpeg","View")</f>
        <v>View</v>
      </c>
      <c r="P2996" s="11"/>
    </row>
    <row r="2997" spans="1:16" ht="12.75" x14ac:dyDescent="0.35">
      <c r="A2997" s="7">
        <v>42482.583067129628</v>
      </c>
      <c r="B2997" s="8" t="str">
        <f>HYPERLINK("https://twitter.com/BWResearch","@BWResearch")</f>
        <v>@BWResearch</v>
      </c>
      <c r="C2997" s="9" t="s">
        <v>1677</v>
      </c>
      <c r="D2997" s="9" t="s">
        <v>7404</v>
      </c>
      <c r="E2997" s="10" t="str">
        <f>HYPERLINK("https://twitter.com/BWResearch/status/723428534740340736","723428534740340736")</f>
        <v>723428534740340736</v>
      </c>
      <c r="F2997" s="11" t="s">
        <v>43</v>
      </c>
      <c r="G2997" s="11">
        <v>879</v>
      </c>
      <c r="H2997" s="11">
        <v>800</v>
      </c>
      <c r="I2997" s="11">
        <v>0</v>
      </c>
      <c r="J2997" s="11">
        <v>0</v>
      </c>
      <c r="K2997" s="11" t="s">
        <v>21</v>
      </c>
      <c r="L2997" s="7">
        <v>40467.013333333336</v>
      </c>
      <c r="M2997" s="12" t="s">
        <v>1679</v>
      </c>
      <c r="N2997" s="12" t="s">
        <v>1680</v>
      </c>
      <c r="O2997" s="10" t="str">
        <f>HYPERLINK("https://pbs.twimg.com/profile_images/1454103259/logo_normal.gif","View")</f>
        <v>View</v>
      </c>
      <c r="P2997" s="11"/>
    </row>
    <row r="2998" spans="1:16" ht="12.75" x14ac:dyDescent="0.35">
      <c r="A2998" s="7">
        <v>42482.583460648151</v>
      </c>
      <c r="B2998" s="8" t="str">
        <f>HYPERLINK("https://twitter.com/chdauriac","@chdauriac")</f>
        <v>@chdauriac</v>
      </c>
      <c r="C2998" s="9" t="s">
        <v>7405</v>
      </c>
      <c r="D2998" s="9" t="s">
        <v>7329</v>
      </c>
      <c r="E2998" s="10" t="str">
        <f>HYPERLINK("https://twitter.com/chdauriac/status/723428674926575616","723428674926575616")</f>
        <v>723428674926575616</v>
      </c>
      <c r="F2998" s="11" t="s">
        <v>20</v>
      </c>
      <c r="G2998" s="11">
        <v>1613</v>
      </c>
      <c r="H2998" s="11">
        <v>2452</v>
      </c>
      <c r="I2998" s="11">
        <v>5</v>
      </c>
      <c r="J2998" s="11">
        <v>0</v>
      </c>
      <c r="K2998" s="11" t="s">
        <v>21</v>
      </c>
      <c r="L2998" s="7">
        <v>40155.821898148148</v>
      </c>
      <c r="M2998" s="12" t="s">
        <v>7406</v>
      </c>
      <c r="N2998" s="12" t="s">
        <v>7407</v>
      </c>
      <c r="O2998" s="10" t="str">
        <f>HYPERLINK("https://pbs.twimg.com/profile_images/719437056619978752/TQFA0u7S_normal.jpg","View")</f>
        <v>View</v>
      </c>
      <c r="P2998" s="11"/>
    </row>
    <row r="2999" spans="1:16" ht="12.75" x14ac:dyDescent="0.35">
      <c r="A2999" s="7">
        <v>42482.584421296298</v>
      </c>
      <c r="B2999" s="8" t="str">
        <f>HYPERLINK("https://twitter.com/sciubidu","@sciubidu")</f>
        <v>@sciubidu</v>
      </c>
      <c r="C2999" s="9" t="s">
        <v>7408</v>
      </c>
      <c r="D2999" s="9" t="s">
        <v>7409</v>
      </c>
      <c r="E2999" s="10" t="str">
        <f>HYPERLINK("https://twitter.com/sciubidu/status/723429022546325504","723429022546325504")</f>
        <v>723429022546325504</v>
      </c>
      <c r="F2999" s="11" t="s">
        <v>20</v>
      </c>
      <c r="G2999" s="11">
        <v>997</v>
      </c>
      <c r="H2999" s="11">
        <v>2949</v>
      </c>
      <c r="I2999" s="11">
        <v>1</v>
      </c>
      <c r="J2999" s="11">
        <v>0</v>
      </c>
      <c r="K2999" s="11" t="s">
        <v>21</v>
      </c>
      <c r="L2999" s="7">
        <v>39925.91710648148</v>
      </c>
      <c r="M2999" s="12" t="s">
        <v>1443</v>
      </c>
      <c r="N2999" s="12" t="s">
        <v>7410</v>
      </c>
      <c r="O2999" s="10" t="str">
        <f>HYPERLINK("https://pbs.twimg.com/profile_images/665590151817596932/NTDY624i_normal.png","View")</f>
        <v>View</v>
      </c>
      <c r="P2999" s="11"/>
    </row>
    <row r="3000" spans="1:16" ht="12.75" x14ac:dyDescent="0.35">
      <c r="A3000" s="7">
        <v>42482.584687499999</v>
      </c>
      <c r="B3000" s="8" t="str">
        <f>HYPERLINK("https://twitter.com/hashtagvanlife","@hashtagvanlife")</f>
        <v>@hashtagvanlife</v>
      </c>
      <c r="C3000" s="9" t="s">
        <v>187</v>
      </c>
      <c r="D3000" s="9" t="s">
        <v>7411</v>
      </c>
      <c r="E3000" s="10" t="str">
        <f>HYPERLINK("https://twitter.com/hashtagvanlife/status/723429119216635905","723429119216635905")</f>
        <v>723429119216635905</v>
      </c>
      <c r="F3000" s="11" t="s">
        <v>189</v>
      </c>
      <c r="G3000" s="11">
        <v>1016</v>
      </c>
      <c r="H3000" s="11">
        <v>29</v>
      </c>
      <c r="I3000" s="11">
        <v>1</v>
      </c>
      <c r="J3000" s="11">
        <v>0</v>
      </c>
      <c r="K3000" s="11" t="s">
        <v>21</v>
      </c>
      <c r="L3000" s="7">
        <v>42289.994583333333</v>
      </c>
      <c r="M3000" s="12"/>
      <c r="N3000" s="12" t="s">
        <v>190</v>
      </c>
      <c r="O3000" s="10" t="str">
        <f>HYPERLINK("https://pbs.twimg.com/profile_images/653637535545995264/gHuXQ5Bt_normal.jpg","View")</f>
        <v>View</v>
      </c>
      <c r="P3000" s="11"/>
    </row>
    <row r="3001" spans="1:16" ht="12.75" x14ac:dyDescent="0.35">
      <c r="A3001" s="7">
        <v>42482.586134259254</v>
      </c>
      <c r="B3001" s="8" t="str">
        <f>HYPERLINK("https://twitter.com/vwpress_de","@vwpress_de")</f>
        <v>@vwpress_de</v>
      </c>
      <c r="C3001" s="9" t="s">
        <v>1685</v>
      </c>
      <c r="D3001" s="9" t="s">
        <v>7412</v>
      </c>
      <c r="E3001" s="10" t="str">
        <f>HYPERLINK("https://twitter.com/vwpress_de/status/723429644146331650","723429644146331650")</f>
        <v>723429644146331650</v>
      </c>
      <c r="F3001" s="11" t="s">
        <v>152</v>
      </c>
      <c r="G3001" s="11">
        <v>5763</v>
      </c>
      <c r="H3001" s="11">
        <v>610</v>
      </c>
      <c r="I3001" s="11">
        <v>2</v>
      </c>
      <c r="J3001" s="11">
        <v>0</v>
      </c>
      <c r="K3001" s="11" t="s">
        <v>21</v>
      </c>
      <c r="L3001" s="7">
        <v>42041.830381944441</v>
      </c>
      <c r="M3001" s="12" t="s">
        <v>1690</v>
      </c>
      <c r="N3001" s="12" t="s">
        <v>1691</v>
      </c>
      <c r="O3001" s="10" t="str">
        <f>HYPERLINK("https://pbs.twimg.com/profile_images/682117656502222848/Ge7YeAF3_normal.png","View")</f>
        <v>View</v>
      </c>
      <c r="P3001" s="11"/>
    </row>
    <row r="3002" spans="1:16" ht="12.75" x14ac:dyDescent="0.35">
      <c r="A3002" s="7">
        <v>42482.586180555554</v>
      </c>
      <c r="B3002" s="8" t="str">
        <f t="shared" ref="B3002:B3004" si="290">HYPERLINK("https://twitter.com/VWBeetleSales","@VWBeetleSales")</f>
        <v>@VWBeetleSales</v>
      </c>
      <c r="C3002" s="9" t="s">
        <v>127</v>
      </c>
      <c r="D3002" s="9" t="s">
        <v>7413</v>
      </c>
      <c r="E3002" s="10" t="str">
        <f>HYPERLINK("https://twitter.com/VWBeetleSales/status/723429658998403072","723429658998403072")</f>
        <v>723429658998403072</v>
      </c>
      <c r="F3002" s="10" t="s">
        <v>124</v>
      </c>
      <c r="G3002" s="11">
        <v>35</v>
      </c>
      <c r="H3002" s="11">
        <v>32</v>
      </c>
      <c r="I3002" s="11">
        <v>0</v>
      </c>
      <c r="J3002" s="11">
        <v>0</v>
      </c>
      <c r="K3002" s="11" t="s">
        <v>21</v>
      </c>
      <c r="L3002" s="7">
        <v>42427.019756944443</v>
      </c>
      <c r="M3002" s="12" t="s">
        <v>129</v>
      </c>
      <c r="N3002" s="12" t="s">
        <v>130</v>
      </c>
      <c r="O3002" s="10" t="str">
        <f t="shared" ref="O3002:O3004" si="291">HYPERLINK("https://pbs.twimg.com/profile_images/703294545195307008/qeCvrX86_normal.jpg","View")</f>
        <v>View</v>
      </c>
      <c r="P3002" s="11"/>
    </row>
    <row r="3003" spans="1:16" ht="12.75" x14ac:dyDescent="0.35">
      <c r="A3003" s="7">
        <v>42482.586192129631</v>
      </c>
      <c r="B3003" s="8" t="str">
        <f t="shared" si="290"/>
        <v>@VWBeetleSales</v>
      </c>
      <c r="C3003" s="9" t="s">
        <v>127</v>
      </c>
      <c r="D3003" s="9" t="s">
        <v>7414</v>
      </c>
      <c r="E3003" s="10" t="str">
        <f>HYPERLINK("https://twitter.com/VWBeetleSales/status/723429664228659200","723429664228659200")</f>
        <v>723429664228659200</v>
      </c>
      <c r="F3003" s="10" t="s">
        <v>124</v>
      </c>
      <c r="G3003" s="11">
        <v>35</v>
      </c>
      <c r="H3003" s="11">
        <v>32</v>
      </c>
      <c r="I3003" s="11">
        <v>0</v>
      </c>
      <c r="J3003" s="11">
        <v>0</v>
      </c>
      <c r="K3003" s="11" t="s">
        <v>21</v>
      </c>
      <c r="L3003" s="7">
        <v>42427.019756944443</v>
      </c>
      <c r="M3003" s="12" t="s">
        <v>129</v>
      </c>
      <c r="N3003" s="12" t="s">
        <v>130</v>
      </c>
      <c r="O3003" s="10" t="str">
        <f t="shared" si="291"/>
        <v>View</v>
      </c>
      <c r="P3003" s="11"/>
    </row>
    <row r="3004" spans="1:16" ht="12.75" x14ac:dyDescent="0.35">
      <c r="A3004" s="7">
        <v>42482.5862037037</v>
      </c>
      <c r="B3004" s="8" t="str">
        <f t="shared" si="290"/>
        <v>@VWBeetleSales</v>
      </c>
      <c r="C3004" s="9" t="s">
        <v>127</v>
      </c>
      <c r="D3004" s="9" t="s">
        <v>7415</v>
      </c>
      <c r="E3004" s="10" t="str">
        <f>HYPERLINK("https://twitter.com/VWBeetleSales/status/723429668041302017","723429668041302017")</f>
        <v>723429668041302017</v>
      </c>
      <c r="F3004" s="10" t="s">
        <v>124</v>
      </c>
      <c r="G3004" s="11">
        <v>35</v>
      </c>
      <c r="H3004" s="11">
        <v>32</v>
      </c>
      <c r="I3004" s="11">
        <v>0</v>
      </c>
      <c r="J3004" s="11">
        <v>0</v>
      </c>
      <c r="K3004" s="11" t="s">
        <v>21</v>
      </c>
      <c r="L3004" s="7">
        <v>42427.019756944443</v>
      </c>
      <c r="M3004" s="12" t="s">
        <v>129</v>
      </c>
      <c r="N3004" s="12" t="s">
        <v>130</v>
      </c>
      <c r="O3004" s="10" t="str">
        <f t="shared" si="291"/>
        <v>View</v>
      </c>
      <c r="P3004" s="11"/>
    </row>
    <row r="3005" spans="1:16" ht="12.75" x14ac:dyDescent="0.35">
      <c r="A3005" s="7">
        <v>42482.5862962963</v>
      </c>
      <c r="B3005" s="8" t="str">
        <f>HYPERLINK("https://twitter.com/vwpress_en","@vwpress_en")</f>
        <v>@vwpress_en</v>
      </c>
      <c r="C3005" s="9" t="s">
        <v>1685</v>
      </c>
      <c r="D3005" s="9" t="s">
        <v>7416</v>
      </c>
      <c r="E3005" s="10" t="str">
        <f>HYPERLINK("https://twitter.com/vwpress_en/status/723429704166862848","723429704166862848")</f>
        <v>723429704166862848</v>
      </c>
      <c r="F3005" s="11" t="s">
        <v>152</v>
      </c>
      <c r="G3005" s="11">
        <v>54717</v>
      </c>
      <c r="H3005" s="11">
        <v>339</v>
      </c>
      <c r="I3005" s="11">
        <v>9</v>
      </c>
      <c r="J3005" s="11">
        <v>9</v>
      </c>
      <c r="K3005" s="11" t="s">
        <v>21</v>
      </c>
      <c r="L3005" s="7">
        <v>42041.83189814815</v>
      </c>
      <c r="M3005" s="12" t="s">
        <v>1687</v>
      </c>
      <c r="N3005" s="12" t="s">
        <v>1688</v>
      </c>
      <c r="O3005" s="10" t="str">
        <f>HYPERLINK("https://pbs.twimg.com/profile_images/682117963349135360/IUfZQy35_normal.png","View")</f>
        <v>View</v>
      </c>
      <c r="P3005" s="11"/>
    </row>
    <row r="3006" spans="1:16" ht="12.75" x14ac:dyDescent="0.35">
      <c r="A3006" s="7">
        <v>42482.586423611108</v>
      </c>
      <c r="B3006" s="8" t="str">
        <f>HYPERLINK("https://twitter.com/jerryhibbert","@jerryhibbert")</f>
        <v>@jerryhibbert</v>
      </c>
      <c r="C3006" s="9" t="s">
        <v>7417</v>
      </c>
      <c r="D3006" s="9" t="s">
        <v>7418</v>
      </c>
      <c r="E3006" s="10" t="str">
        <f>HYPERLINK("https://twitter.com/jerryhibbert/status/723429747561103361","723429747561103361")</f>
        <v>723429747561103361</v>
      </c>
      <c r="F3006" s="11" t="s">
        <v>20</v>
      </c>
      <c r="G3006" s="11">
        <v>199</v>
      </c>
      <c r="H3006" s="11">
        <v>74</v>
      </c>
      <c r="I3006" s="11">
        <v>0</v>
      </c>
      <c r="J3006" s="11">
        <v>0</v>
      </c>
      <c r="K3006" s="11" t="s">
        <v>21</v>
      </c>
      <c r="L3006" s="7">
        <v>40010.654108796298</v>
      </c>
      <c r="M3006" s="12" t="s">
        <v>7419</v>
      </c>
      <c r="N3006" s="12" t="s">
        <v>7420</v>
      </c>
      <c r="O3006" s="10" t="str">
        <f>HYPERLINK("https://pbs.twimg.com/profile_images/1096071870/Jerry_close_up_normal.jpg","View")</f>
        <v>View</v>
      </c>
      <c r="P3006" s="11"/>
    </row>
    <row r="3007" spans="1:16" ht="12.75" x14ac:dyDescent="0.35">
      <c r="A3007" s="7">
        <v>42482.586435185185</v>
      </c>
      <c r="B3007" s="8" t="str">
        <f>HYPERLINK("https://twitter.com/porsche__dp","@porsche__dp")</f>
        <v>@porsche__dp</v>
      </c>
      <c r="C3007" s="9" t="s">
        <v>7421</v>
      </c>
      <c r="D3007" s="9" t="s">
        <v>7422</v>
      </c>
      <c r="E3007" s="10" t="str">
        <f>HYPERLINK("https://twitter.com/porsche__dp/status/723429754393624576","723429754393624576")</f>
        <v>723429754393624576</v>
      </c>
      <c r="F3007" s="11" t="s">
        <v>7423</v>
      </c>
      <c r="G3007" s="11">
        <v>1155</v>
      </c>
      <c r="H3007" s="11">
        <v>1916</v>
      </c>
      <c r="I3007" s="11">
        <v>1</v>
      </c>
      <c r="J3007" s="11">
        <v>0</v>
      </c>
      <c r="K3007" s="11" t="s">
        <v>21</v>
      </c>
      <c r="L3007" s="7">
        <v>41776.820509259262</v>
      </c>
      <c r="M3007" s="12"/>
      <c r="N3007" s="12" t="s">
        <v>7424</v>
      </c>
      <c r="O3007" s="10" t="str">
        <f>HYPERLINK("https://pbs.twimg.com/profile_images/475920780161601537/-Ofvmc0k_normal.jpeg","View")</f>
        <v>View</v>
      </c>
      <c r="P3007" s="11"/>
    </row>
    <row r="3008" spans="1:16" ht="12.75" x14ac:dyDescent="0.35">
      <c r="A3008" s="7">
        <v>42482.586736111116</v>
      </c>
      <c r="B3008" s="8" t="str">
        <f>HYPERLINK("https://twitter.com/anura_bandara","@anura_bandara")</f>
        <v>@anura_bandara</v>
      </c>
      <c r="C3008" s="9" t="s">
        <v>7425</v>
      </c>
      <c r="D3008" s="9" t="s">
        <v>7426</v>
      </c>
      <c r="E3008" s="10" t="str">
        <f>HYPERLINK("https://twitter.com/anura_bandara/status/723429861595877380","723429861595877380")</f>
        <v>723429861595877380</v>
      </c>
      <c r="F3008" s="11" t="s">
        <v>43</v>
      </c>
      <c r="G3008" s="11">
        <v>148</v>
      </c>
      <c r="H3008" s="11">
        <v>981</v>
      </c>
      <c r="I3008" s="11">
        <v>9</v>
      </c>
      <c r="J3008" s="11">
        <v>0</v>
      </c>
      <c r="K3008" s="11" t="s">
        <v>21</v>
      </c>
      <c r="L3008" s="7">
        <v>40900.613055555557</v>
      </c>
      <c r="M3008" s="12"/>
      <c r="N3008" s="12"/>
      <c r="O3008" s="10" t="str">
        <f>HYPERLINK("https://pbs.twimg.com/profile_images/620914141826449408/sUP7INra_normal.jpg","View")</f>
        <v>View</v>
      </c>
      <c r="P3008" s="11"/>
    </row>
    <row r="3009" spans="1:16" ht="12.75" x14ac:dyDescent="0.35">
      <c r="A3009" s="7">
        <v>42482.586747685185</v>
      </c>
      <c r="B3009" s="8" t="str">
        <f>HYPERLINK("https://twitter.com/virtualmotorpix","@virtualmotorpix")</f>
        <v>@virtualmotorpix</v>
      </c>
      <c r="C3009" s="9" t="s">
        <v>7427</v>
      </c>
      <c r="D3009" s="9" t="s">
        <v>7428</v>
      </c>
      <c r="E3009" s="10" t="str">
        <f>HYPERLINK("https://twitter.com/virtualmotorpix/status/723429865051947008","723429865051947008")</f>
        <v>723429865051947008</v>
      </c>
      <c r="F3009" s="11" t="s">
        <v>43</v>
      </c>
      <c r="G3009" s="11">
        <v>1132</v>
      </c>
      <c r="H3009" s="11">
        <v>1783</v>
      </c>
      <c r="I3009" s="11">
        <v>1</v>
      </c>
      <c r="J3009" s="11">
        <v>0</v>
      </c>
      <c r="K3009" s="11" t="s">
        <v>21</v>
      </c>
      <c r="L3009" s="7">
        <v>40387.659479166665</v>
      </c>
      <c r="M3009" s="12" t="s">
        <v>7429</v>
      </c>
      <c r="N3009" s="12" t="s">
        <v>7430</v>
      </c>
      <c r="O3009" s="10" t="str">
        <f>HYPERLINK("https://pbs.twimg.com/profile_images/3059862224/4077ef61fd1e697b982ff0bb499caaf7_normal.jpeg","View")</f>
        <v>View</v>
      </c>
      <c r="P3009" s="11"/>
    </row>
    <row r="3010" spans="1:16" ht="12.75" x14ac:dyDescent="0.35">
      <c r="A3010" s="7">
        <v>42482.586828703701</v>
      </c>
      <c r="B3010" s="8" t="str">
        <f>HYPERLINK("https://twitter.com/theDrivenUKshow","@theDrivenUKshow")</f>
        <v>@theDrivenUKshow</v>
      </c>
      <c r="C3010" s="9" t="s">
        <v>7431</v>
      </c>
      <c r="D3010" s="9" t="s">
        <v>7432</v>
      </c>
      <c r="E3010" s="10" t="str">
        <f>HYPERLINK("https://twitter.com/theDrivenUKshow/status/723429894470819840","723429894470819840")</f>
        <v>723429894470819840</v>
      </c>
      <c r="F3010" s="11" t="s">
        <v>114</v>
      </c>
      <c r="G3010" s="11">
        <v>0</v>
      </c>
      <c r="H3010" s="11">
        <v>27</v>
      </c>
      <c r="I3010" s="11">
        <v>0</v>
      </c>
      <c r="J3010" s="11">
        <v>0</v>
      </c>
      <c r="K3010" s="11" t="s">
        <v>21</v>
      </c>
      <c r="L3010" s="7">
        <v>42482.578993055555</v>
      </c>
      <c r="M3010" s="12"/>
      <c r="N3010" s="12"/>
      <c r="O3010" s="10" t="str">
        <f>HYPERLINK("https://abs.twimg.com/sticky/default_profile_images/default_profile_6_normal.png","View")</f>
        <v>View</v>
      </c>
      <c r="P3010" s="11"/>
    </row>
    <row r="3011" spans="1:16" ht="12.75" x14ac:dyDescent="0.35">
      <c r="A3011" s="7">
        <v>42482.587094907409</v>
      </c>
      <c r="B3011" s="8" t="str">
        <f>HYPERLINK("https://twitter.com/Giustozziauto","@Giustozziauto")</f>
        <v>@Giustozziauto</v>
      </c>
      <c r="C3011" s="9" t="s">
        <v>7433</v>
      </c>
      <c r="D3011" s="9" t="s">
        <v>7426</v>
      </c>
      <c r="E3011" s="10" t="str">
        <f>HYPERLINK("https://twitter.com/Giustozziauto/status/723429993720619008","723429993720619008")</f>
        <v>723429993720619008</v>
      </c>
      <c r="F3011" s="11" t="s">
        <v>63</v>
      </c>
      <c r="G3011" s="11">
        <v>949</v>
      </c>
      <c r="H3011" s="11">
        <v>1377</v>
      </c>
      <c r="I3011" s="11">
        <v>9</v>
      </c>
      <c r="J3011" s="11">
        <v>0</v>
      </c>
      <c r="K3011" s="11" t="s">
        <v>21</v>
      </c>
      <c r="L3011" s="7">
        <v>40132.649050925924</v>
      </c>
      <c r="M3011" s="12" t="s">
        <v>7434</v>
      </c>
      <c r="N3011" s="12" t="s">
        <v>7435</v>
      </c>
      <c r="O3011" s="10" t="str">
        <f>HYPERLINK("https://pbs.twimg.com/profile_images/602784795119190016/VyaVwPXK_normal.jpg","View")</f>
        <v>View</v>
      </c>
      <c r="P3011" s="11"/>
    </row>
    <row r="3012" spans="1:16" ht="12.75" x14ac:dyDescent="0.35">
      <c r="A3012" s="7">
        <v>42482.587581018517</v>
      </c>
      <c r="B3012" s="8" t="str">
        <f>HYPERLINK("https://twitter.com/TrefyJot","@TrefyJot")</f>
        <v>@TrefyJot</v>
      </c>
      <c r="C3012" s="9" t="s">
        <v>7436</v>
      </c>
      <c r="D3012" s="9" t="s">
        <v>7437</v>
      </c>
      <c r="E3012" s="10" t="str">
        <f>HYPERLINK("https://twitter.com/TrefyJot/status/723430168841199616","723430168841199616")</f>
        <v>723430168841199616</v>
      </c>
      <c r="F3012" s="11" t="s">
        <v>114</v>
      </c>
      <c r="G3012" s="11">
        <v>59</v>
      </c>
      <c r="H3012" s="11">
        <v>97</v>
      </c>
      <c r="I3012" s="11">
        <v>0</v>
      </c>
      <c r="J3012" s="11">
        <v>0</v>
      </c>
      <c r="K3012" s="11" t="s">
        <v>21</v>
      </c>
      <c r="L3012" s="7">
        <v>40802.787951388891</v>
      </c>
      <c r="M3012" s="12" t="s">
        <v>7438</v>
      </c>
      <c r="N3012" s="12" t="s">
        <v>7439</v>
      </c>
      <c r="O3012" s="10" t="str">
        <f>HYPERLINK("https://pbs.twimg.com/profile_images/2268494982/ldbsvau1mxw0ny4vuv51_normal.jpeg","View")</f>
        <v>View</v>
      </c>
      <c r="P3012" s="11"/>
    </row>
    <row r="3013" spans="1:16" ht="12.75" x14ac:dyDescent="0.35">
      <c r="A3013" s="7">
        <v>42482.587731481486</v>
      </c>
      <c r="B3013" s="8" t="str">
        <f>HYPERLINK("https://twitter.com/merkityksetoen","@merkityksetoen")</f>
        <v>@merkityksetoen</v>
      </c>
      <c r="C3013" s="9" t="s">
        <v>7440</v>
      </c>
      <c r="D3013" s="9" t="s">
        <v>7441</v>
      </c>
      <c r="E3013" s="10" t="str">
        <f>HYPERLINK("https://twitter.com/merkityksetoen/status/723430221035102208","723430221035102208")</f>
        <v>723430221035102208</v>
      </c>
      <c r="F3013" s="11" t="s">
        <v>43</v>
      </c>
      <c r="G3013" s="11">
        <v>72</v>
      </c>
      <c r="H3013" s="11">
        <v>460</v>
      </c>
      <c r="I3013" s="11">
        <v>0</v>
      </c>
      <c r="J3013" s="11">
        <v>0</v>
      </c>
      <c r="K3013" s="11" t="s">
        <v>21</v>
      </c>
      <c r="L3013" s="7">
        <v>42008.707673611112</v>
      </c>
      <c r="M3013" s="12"/>
      <c r="N3013" s="12" t="s">
        <v>7442</v>
      </c>
      <c r="O3013" s="10" t="str">
        <f>HYPERLINK("https://pbs.twimg.com/profile_images/664381241035124736/OkfTkL3J_normal.png","View")</f>
        <v>View</v>
      </c>
      <c r="P3013" s="11"/>
    </row>
    <row r="3014" spans="1:16" ht="12.75" x14ac:dyDescent="0.35">
      <c r="A3014" s="7">
        <v>42482.587835648148</v>
      </c>
      <c r="B3014" s="8" t="str">
        <f>HYPERLINK("https://twitter.com/magnetic_cement","@magnetic_cement")</f>
        <v>@magnetic_cement</v>
      </c>
      <c r="C3014" s="9" t="s">
        <v>7443</v>
      </c>
      <c r="D3014" s="9" t="s">
        <v>7444</v>
      </c>
      <c r="E3014" s="10" t="str">
        <f>HYPERLINK("https://twitter.com/magnetic_cement/status/723430259832410112","723430259832410112")</f>
        <v>723430259832410112</v>
      </c>
      <c r="F3014" s="11" t="s">
        <v>48</v>
      </c>
      <c r="G3014" s="11">
        <v>340</v>
      </c>
      <c r="H3014" s="11">
        <v>1440</v>
      </c>
      <c r="I3014" s="11">
        <v>2</v>
      </c>
      <c r="J3014" s="11">
        <v>0</v>
      </c>
      <c r="K3014" s="11" t="s">
        <v>21</v>
      </c>
      <c r="L3014" s="7">
        <v>42303.81858796296</v>
      </c>
      <c r="M3014" s="12" t="s">
        <v>7445</v>
      </c>
      <c r="N3014" s="12" t="s">
        <v>7446</v>
      </c>
      <c r="O3014" s="10" t="str">
        <f>HYPERLINK("https://pbs.twimg.com/profile_images/658647201581834240/dxUc3YHk_normal.png","View")</f>
        <v>View</v>
      </c>
      <c r="P3014" s="11"/>
    </row>
    <row r="3015" spans="1:16" ht="12.75" x14ac:dyDescent="0.35">
      <c r="A3015" s="7">
        <v>42482.587951388894</v>
      </c>
      <c r="B3015" s="8" t="str">
        <f>HYPERLINK("https://twitter.com/techhippie","@techhippie")</f>
        <v>@techhippie</v>
      </c>
      <c r="C3015" s="9" t="s">
        <v>246</v>
      </c>
      <c r="D3015" s="9" t="s">
        <v>7447</v>
      </c>
      <c r="E3015" s="10" t="str">
        <f>HYPERLINK("https://twitter.com/techhippie/status/723430304673751042","723430304673751042")</f>
        <v>723430304673751042</v>
      </c>
      <c r="F3015" s="11" t="s">
        <v>68</v>
      </c>
      <c r="G3015" s="11">
        <v>2471</v>
      </c>
      <c r="H3015" s="11">
        <v>3835</v>
      </c>
      <c r="I3015" s="11">
        <v>0</v>
      </c>
      <c r="J3015" s="11">
        <v>0</v>
      </c>
      <c r="K3015" s="11" t="s">
        <v>21</v>
      </c>
      <c r="L3015" s="7">
        <v>42424.852152777778</v>
      </c>
      <c r="M3015" s="12" t="s">
        <v>248</v>
      </c>
      <c r="N3015" s="12" t="s">
        <v>249</v>
      </c>
      <c r="O3015" s="10" t="str">
        <f>HYPERLINK("https://pbs.twimg.com/profile_images/702511217793863680/lty8h9vE_normal.jpg","View")</f>
        <v>View</v>
      </c>
      <c r="P3015" s="11"/>
    </row>
    <row r="3016" spans="1:16" ht="12.75" x14ac:dyDescent="0.35">
      <c r="A3016" s="7">
        <v>42482.588055555556</v>
      </c>
      <c r="B3016" s="8" t="str">
        <f>HYPERLINK("https://twitter.com/kasamui","@kasamui")</f>
        <v>@kasamui</v>
      </c>
      <c r="C3016" s="9" t="s">
        <v>7448</v>
      </c>
      <c r="D3016" s="9" t="s">
        <v>7382</v>
      </c>
      <c r="E3016" s="10" t="str">
        <f>HYPERLINK("https://twitter.com/kasamui/status/723430341952737284","723430341952737284")</f>
        <v>723430341952737284</v>
      </c>
      <c r="F3016" s="11" t="s">
        <v>20</v>
      </c>
      <c r="G3016" s="11">
        <v>96</v>
      </c>
      <c r="H3016" s="11">
        <v>239</v>
      </c>
      <c r="I3016" s="11">
        <v>4</v>
      </c>
      <c r="J3016" s="11">
        <v>0</v>
      </c>
      <c r="K3016" s="11" t="s">
        <v>21</v>
      </c>
      <c r="L3016" s="7">
        <v>40234.922638888893</v>
      </c>
      <c r="M3016" s="12" t="s">
        <v>1658</v>
      </c>
      <c r="N3016" s="12" t="s">
        <v>7449</v>
      </c>
      <c r="O3016" s="10" t="str">
        <f>HYPERLINK("https://pbs.twimg.com/profile_images/1110615804/kBqfF_normal.jpg","View")</f>
        <v>View</v>
      </c>
      <c r="P3016" s="11"/>
    </row>
    <row r="3017" spans="1:16" ht="12.75" x14ac:dyDescent="0.35">
      <c r="A3017" s="7">
        <v>42482.588067129633</v>
      </c>
      <c r="B3017" s="8" t="str">
        <f t="shared" ref="B3017:B3019" si="292">HYPERLINK("https://twitter.com/techhippie","@techhippie")</f>
        <v>@techhippie</v>
      </c>
      <c r="C3017" s="9" t="s">
        <v>246</v>
      </c>
      <c r="D3017" s="9" t="s">
        <v>7450</v>
      </c>
      <c r="E3017" s="10" t="str">
        <f>HYPERLINK("https://twitter.com/techhippie/status/723430343311691776","723430343311691776")</f>
        <v>723430343311691776</v>
      </c>
      <c r="F3017" s="11" t="s">
        <v>68</v>
      </c>
      <c r="G3017" s="11">
        <v>2471</v>
      </c>
      <c r="H3017" s="11">
        <v>3835</v>
      </c>
      <c r="I3017" s="11">
        <v>0</v>
      </c>
      <c r="J3017" s="11">
        <v>0</v>
      </c>
      <c r="K3017" s="11" t="s">
        <v>21</v>
      </c>
      <c r="L3017" s="7">
        <v>42424.852152777778</v>
      </c>
      <c r="M3017" s="12" t="s">
        <v>248</v>
      </c>
      <c r="N3017" s="12" t="s">
        <v>249</v>
      </c>
      <c r="O3017" s="10" t="str">
        <f t="shared" ref="O3017:O3019" si="293">HYPERLINK("https://pbs.twimg.com/profile_images/702511217793863680/lty8h9vE_normal.jpg","View")</f>
        <v>View</v>
      </c>
      <c r="P3017" s="11"/>
    </row>
    <row r="3018" spans="1:16" ht="12.75" x14ac:dyDescent="0.35">
      <c r="A3018" s="7">
        <v>42482.588090277779</v>
      </c>
      <c r="B3018" s="8" t="str">
        <f t="shared" si="292"/>
        <v>@techhippie</v>
      </c>
      <c r="C3018" s="9" t="s">
        <v>246</v>
      </c>
      <c r="D3018" s="9" t="s">
        <v>7451</v>
      </c>
      <c r="E3018" s="10" t="str">
        <f>HYPERLINK("https://twitter.com/techhippie/status/723430351058563072","723430351058563072")</f>
        <v>723430351058563072</v>
      </c>
      <c r="F3018" s="11" t="s">
        <v>68</v>
      </c>
      <c r="G3018" s="11">
        <v>2471</v>
      </c>
      <c r="H3018" s="11">
        <v>3835</v>
      </c>
      <c r="I3018" s="11">
        <v>0</v>
      </c>
      <c r="J3018" s="11">
        <v>0</v>
      </c>
      <c r="K3018" s="11" t="s">
        <v>21</v>
      </c>
      <c r="L3018" s="7">
        <v>42424.852152777778</v>
      </c>
      <c r="M3018" s="12" t="s">
        <v>248</v>
      </c>
      <c r="N3018" s="12" t="s">
        <v>249</v>
      </c>
      <c r="O3018" s="10" t="str">
        <f t="shared" si="293"/>
        <v>View</v>
      </c>
      <c r="P3018" s="11"/>
    </row>
    <row r="3019" spans="1:16" ht="12.75" x14ac:dyDescent="0.35">
      <c r="A3019" s="7">
        <v>42482.588124999995</v>
      </c>
      <c r="B3019" s="8" t="str">
        <f t="shared" si="292"/>
        <v>@techhippie</v>
      </c>
      <c r="C3019" s="9" t="s">
        <v>246</v>
      </c>
      <c r="D3019" s="9" t="s">
        <v>7452</v>
      </c>
      <c r="E3019" s="10" t="str">
        <f>HYPERLINK("https://twitter.com/techhippie/status/723430366602612737","723430366602612737")</f>
        <v>723430366602612737</v>
      </c>
      <c r="F3019" s="11" t="s">
        <v>68</v>
      </c>
      <c r="G3019" s="11">
        <v>2471</v>
      </c>
      <c r="H3019" s="11">
        <v>3835</v>
      </c>
      <c r="I3019" s="11">
        <v>0</v>
      </c>
      <c r="J3019" s="11">
        <v>0</v>
      </c>
      <c r="K3019" s="11" t="s">
        <v>21</v>
      </c>
      <c r="L3019" s="7">
        <v>42424.852152777778</v>
      </c>
      <c r="M3019" s="12" t="s">
        <v>248</v>
      </c>
      <c r="N3019" s="12" t="s">
        <v>249</v>
      </c>
      <c r="O3019" s="10" t="str">
        <f t="shared" si="293"/>
        <v>View</v>
      </c>
      <c r="P3019" s="11"/>
    </row>
    <row r="3020" spans="1:16" ht="12.75" x14ac:dyDescent="0.35">
      <c r="A3020" s="7">
        <v>42482.588182870371</v>
      </c>
      <c r="B3020" s="8" t="str">
        <f>HYPERLINK("https://twitter.com/ZoomStocks","@ZoomStocks")</f>
        <v>@ZoomStocks</v>
      </c>
      <c r="C3020" s="9" t="s">
        <v>2054</v>
      </c>
      <c r="D3020" s="9" t="s">
        <v>7453</v>
      </c>
      <c r="E3020" s="10" t="str">
        <f>HYPERLINK("https://twitter.com/ZoomStocks/status/723430384612990976","723430384612990976")</f>
        <v>723430384612990976</v>
      </c>
      <c r="F3020" s="11" t="s">
        <v>43</v>
      </c>
      <c r="G3020" s="11">
        <v>66</v>
      </c>
      <c r="H3020" s="11">
        <v>58</v>
      </c>
      <c r="I3020" s="11">
        <v>0</v>
      </c>
      <c r="J3020" s="11">
        <v>0</v>
      </c>
      <c r="K3020" s="11" t="s">
        <v>21</v>
      </c>
      <c r="L3020" s="7">
        <v>42376.758414351847</v>
      </c>
      <c r="M3020" s="12" t="s">
        <v>2056</v>
      </c>
      <c r="N3020" s="12" t="s">
        <v>2057</v>
      </c>
      <c r="O3020" s="10" t="str">
        <f>HYPERLINK("https://pbs.twimg.com/profile_images/692688034601443328/Xvlk-vez_normal.png","View")</f>
        <v>View</v>
      </c>
      <c r="P3020" s="11"/>
    </row>
    <row r="3021" spans="1:16" ht="12.75" x14ac:dyDescent="0.35">
      <c r="A3021" s="7">
        <v>42482.588877314818</v>
      </c>
      <c r="B3021" s="8" t="str">
        <f>HYPERLINK("https://twitter.com/MiManske","@MiManske")</f>
        <v>@MiManske</v>
      </c>
      <c r="C3021" s="9" t="s">
        <v>1409</v>
      </c>
      <c r="D3021" s="9" t="s">
        <v>7454</v>
      </c>
      <c r="E3021" s="10" t="str">
        <f>HYPERLINK("https://twitter.com/MiManske/status/723430636606775296","723430636606775296")</f>
        <v>723430636606775296</v>
      </c>
      <c r="F3021" s="11" t="s">
        <v>43</v>
      </c>
      <c r="G3021" s="11">
        <v>1311</v>
      </c>
      <c r="H3021" s="11">
        <v>796</v>
      </c>
      <c r="I3021" s="11">
        <v>0</v>
      </c>
      <c r="J3021" s="11">
        <v>0</v>
      </c>
      <c r="K3021" s="11" t="s">
        <v>21</v>
      </c>
      <c r="L3021" s="7">
        <v>40522.240474537037</v>
      </c>
      <c r="M3021" s="12" t="s">
        <v>1411</v>
      </c>
      <c r="N3021" s="12" t="s">
        <v>1412</v>
      </c>
      <c r="O3021" s="10" t="str">
        <f>HYPERLINK("https://pbs.twimg.com/profile_images/652191269934993408/5bZKOI8y_normal.jpg","View")</f>
        <v>View</v>
      </c>
      <c r="P3021" s="11"/>
    </row>
    <row r="3022" spans="1:16" ht="12.75" x14ac:dyDescent="0.35">
      <c r="A3022" s="7">
        <v>42482.588946759264</v>
      </c>
      <c r="B3022" s="8" t="str">
        <f>HYPERLINK("https://twitter.com/BujangJalang_","@BujangJalang_")</f>
        <v>@BujangJalang_</v>
      </c>
      <c r="C3022" s="9" t="s">
        <v>7455</v>
      </c>
      <c r="D3022" s="9" t="s">
        <v>7456</v>
      </c>
      <c r="E3022" s="10" t="str">
        <f>HYPERLINK("https://twitter.com/BujangJalang_/status/723430664847028224","723430664847028224")</f>
        <v>723430664847028224</v>
      </c>
      <c r="F3022" s="11" t="s">
        <v>20</v>
      </c>
      <c r="G3022" s="11">
        <v>3308</v>
      </c>
      <c r="H3022" s="11">
        <v>660</v>
      </c>
      <c r="I3022" s="11">
        <v>14</v>
      </c>
      <c r="J3022" s="11">
        <v>0</v>
      </c>
      <c r="K3022" s="11" t="s">
        <v>21</v>
      </c>
      <c r="L3022" s="7">
        <v>41427.367974537039</v>
      </c>
      <c r="M3022" s="12" t="s">
        <v>7457</v>
      </c>
      <c r="N3022" s="12" t="s">
        <v>7458</v>
      </c>
      <c r="O3022" s="10" t="str">
        <f>HYPERLINK("https://pbs.twimg.com/profile_images/723155111011209216/AQ99ZkG0_normal.jpg","View")</f>
        <v>View</v>
      </c>
      <c r="P3022" s="11"/>
    </row>
    <row r="3023" spans="1:16" ht="12.75" x14ac:dyDescent="0.35">
      <c r="A3023" s="7">
        <v>42482.589236111111</v>
      </c>
      <c r="B3023" s="8" t="str">
        <f>HYPERLINK("https://twitter.com/LouisTyson","@LouisTyson")</f>
        <v>@LouisTyson</v>
      </c>
      <c r="C3023" s="9" t="s">
        <v>7459</v>
      </c>
      <c r="D3023" s="9" t="s">
        <v>7426</v>
      </c>
      <c r="E3023" s="10" t="str">
        <f>HYPERLINK("https://twitter.com/LouisTyson/status/723430768119144449","723430768119144449")</f>
        <v>723430768119144449</v>
      </c>
      <c r="F3023" s="11" t="s">
        <v>20</v>
      </c>
      <c r="G3023" s="11">
        <v>268</v>
      </c>
      <c r="H3023" s="11">
        <v>356</v>
      </c>
      <c r="I3023" s="11">
        <v>9</v>
      </c>
      <c r="J3023" s="11">
        <v>0</v>
      </c>
      <c r="K3023" s="11" t="s">
        <v>21</v>
      </c>
      <c r="L3023" s="7">
        <v>40504.190659722226</v>
      </c>
      <c r="M3023" s="12" t="s">
        <v>7460</v>
      </c>
      <c r="N3023" s="12" t="s">
        <v>7461</v>
      </c>
      <c r="O3023" s="10" t="str">
        <f>HYPERLINK("https://pbs.twimg.com/profile_images/3719823744/516909e8f990902c7d918e9c659999a9_normal.jpeg","View")</f>
        <v>View</v>
      </c>
      <c r="P3023" s="11"/>
    </row>
    <row r="3024" spans="1:16" ht="12.75" x14ac:dyDescent="0.35">
      <c r="A3024" s="7">
        <v>42482.589421296296</v>
      </c>
      <c r="B3024" s="8" t="str">
        <f>HYPERLINK("https://twitter.com/vwgroup_de","@vwgroup_de")</f>
        <v>@vwgroup_de</v>
      </c>
      <c r="C3024" s="9" t="s">
        <v>7462</v>
      </c>
      <c r="D3024" s="9" t="s">
        <v>7444</v>
      </c>
      <c r="E3024" s="10" t="str">
        <f>HYPERLINK("https://twitter.com/vwgroup_de/status/723430834456264704","723430834456264704")</f>
        <v>723430834456264704</v>
      </c>
      <c r="F3024" s="11" t="s">
        <v>152</v>
      </c>
      <c r="G3024" s="11">
        <v>7374</v>
      </c>
      <c r="H3024" s="11">
        <v>605</v>
      </c>
      <c r="I3024" s="11">
        <v>2</v>
      </c>
      <c r="J3024" s="11">
        <v>0</v>
      </c>
      <c r="K3024" s="11" t="s">
        <v>21</v>
      </c>
      <c r="L3024" s="7">
        <v>42041.614525462966</v>
      </c>
      <c r="M3024" s="12" t="s">
        <v>1690</v>
      </c>
      <c r="N3024" s="12" t="s">
        <v>7463</v>
      </c>
      <c r="O3024" s="10" t="str">
        <f>HYPERLINK("https://pbs.twimg.com/profile_images/666952128108363777/FL78g9n-_normal.png","View")</f>
        <v>View</v>
      </c>
      <c r="P3024" s="11"/>
    </row>
    <row r="3025" spans="1:16" ht="12.75" x14ac:dyDescent="0.35">
      <c r="A3025" s="7">
        <v>42482.589479166665</v>
      </c>
      <c r="B3025" s="8" t="str">
        <f>HYPERLINK("https://twitter.com/vwgroup_en","@vwgroup_en")</f>
        <v>@vwgroup_en</v>
      </c>
      <c r="C3025" s="9" t="s">
        <v>7462</v>
      </c>
      <c r="D3025" s="9" t="s">
        <v>7426</v>
      </c>
      <c r="E3025" s="10" t="str">
        <f>HYPERLINK("https://twitter.com/vwgroup_en/status/723430854622470145","723430854622470145")</f>
        <v>723430854622470145</v>
      </c>
      <c r="F3025" s="11" t="s">
        <v>152</v>
      </c>
      <c r="G3025" s="11">
        <v>57446</v>
      </c>
      <c r="H3025" s="11">
        <v>366</v>
      </c>
      <c r="I3025" s="11">
        <v>9</v>
      </c>
      <c r="J3025" s="11">
        <v>0</v>
      </c>
      <c r="K3025" s="11" t="s">
        <v>21</v>
      </c>
      <c r="L3025" s="7">
        <v>42041.640034722222</v>
      </c>
      <c r="M3025" s="12" t="s">
        <v>1687</v>
      </c>
      <c r="N3025" s="12" t="s">
        <v>7464</v>
      </c>
      <c r="O3025" s="10" t="str">
        <f>HYPERLINK("https://pbs.twimg.com/profile_images/666952430177935362/T46eVne2_normal.png","View")</f>
        <v>View</v>
      </c>
      <c r="P3025" s="11"/>
    </row>
    <row r="3026" spans="1:16" ht="12.75" x14ac:dyDescent="0.35">
      <c r="A3026" s="7">
        <v>42482.589687500003</v>
      </c>
      <c r="B3026" s="8" t="str">
        <f>HYPERLINK("https://twitter.com/frugalmaniac","@frugalmaniac")</f>
        <v>@frugalmaniac</v>
      </c>
      <c r="C3026" s="9" t="s">
        <v>1762</v>
      </c>
      <c r="D3026" s="9" t="s">
        <v>7465</v>
      </c>
      <c r="E3026" s="10" t="str">
        <f>HYPERLINK("https://twitter.com/frugalmaniac/status/723430932842082304","723430932842082304")</f>
        <v>723430932842082304</v>
      </c>
      <c r="F3026" s="11" t="s">
        <v>1764</v>
      </c>
      <c r="G3026" s="11">
        <v>20488</v>
      </c>
      <c r="H3026" s="11">
        <v>21071</v>
      </c>
      <c r="I3026" s="11">
        <v>0</v>
      </c>
      <c r="J3026" s="11">
        <v>0</v>
      </c>
      <c r="K3026" s="11" t="s">
        <v>21</v>
      </c>
      <c r="L3026" s="7">
        <v>40967.904074074075</v>
      </c>
      <c r="M3026" s="12" t="s">
        <v>1765</v>
      </c>
      <c r="N3026" s="12" t="s">
        <v>1766</v>
      </c>
      <c r="O3026" s="10" t="str">
        <f>HYPERLINK("https://pbs.twimg.com/profile_images/459437340893532161/JWfT0I5C_normal.jpeg","View")</f>
        <v>View</v>
      </c>
      <c r="P3026" s="11"/>
    </row>
    <row r="3027" spans="1:16" ht="12.75" x14ac:dyDescent="0.35">
      <c r="A3027" s="7">
        <v>42482.589745370366</v>
      </c>
      <c r="B3027" s="8" t="str">
        <f>HYPERLINK("https://twitter.com/LionelMaugain","@LionelMaugain")</f>
        <v>@LionelMaugain</v>
      </c>
      <c r="C3027" s="9" t="s">
        <v>7466</v>
      </c>
      <c r="D3027" s="9" t="s">
        <v>7329</v>
      </c>
      <c r="E3027" s="10" t="str">
        <f>HYPERLINK("https://twitter.com/LionelMaugain/status/723430950831411201","723430950831411201")</f>
        <v>723430950831411201</v>
      </c>
      <c r="F3027" s="11" t="s">
        <v>43</v>
      </c>
      <c r="G3027" s="11">
        <v>1156</v>
      </c>
      <c r="H3027" s="11">
        <v>552</v>
      </c>
      <c r="I3027" s="11">
        <v>5</v>
      </c>
      <c r="J3027" s="11">
        <v>0</v>
      </c>
      <c r="K3027" s="11" t="s">
        <v>21</v>
      </c>
      <c r="L3027" s="7">
        <v>40732.81689814815</v>
      </c>
      <c r="M3027" s="12" t="s">
        <v>2427</v>
      </c>
      <c r="N3027" s="12" t="s">
        <v>7467</v>
      </c>
      <c r="O3027" s="10" t="str">
        <f>HYPERLINK("https://pbs.twimg.com/profile_images/701317392778051584/QRK70qit_normal.jpg","View")</f>
        <v>View</v>
      </c>
      <c r="P3027" s="11"/>
    </row>
    <row r="3028" spans="1:16" ht="12.75" x14ac:dyDescent="0.35">
      <c r="A3028" s="7">
        <v>42482.589918981481</v>
      </c>
      <c r="B3028" s="8" t="str">
        <f>HYPERLINK("https://twitter.com/Artemka86","@Artemka86")</f>
        <v>@Artemka86</v>
      </c>
      <c r="C3028" s="9" t="s">
        <v>7468</v>
      </c>
      <c r="D3028" s="9" t="s">
        <v>7426</v>
      </c>
      <c r="E3028" s="10" t="str">
        <f>HYPERLINK("https://twitter.com/Artemka86/status/723431015096578048","723431015096578048")</f>
        <v>723431015096578048</v>
      </c>
      <c r="F3028" s="11" t="s">
        <v>43</v>
      </c>
      <c r="G3028" s="11">
        <v>69</v>
      </c>
      <c r="H3028" s="11">
        <v>198</v>
      </c>
      <c r="I3028" s="11">
        <v>9</v>
      </c>
      <c r="J3028" s="11">
        <v>0</v>
      </c>
      <c r="K3028" s="11" t="s">
        <v>21</v>
      </c>
      <c r="L3028" s="7">
        <v>40445.428935185184</v>
      </c>
      <c r="M3028" s="12" t="s">
        <v>7469</v>
      </c>
      <c r="N3028" s="12" t="s">
        <v>7470</v>
      </c>
      <c r="O3028" s="10" t="str">
        <f>HYPERLINK("https://pbs.twimg.com/profile_images/1130086665/berr_normal.JPG","View")</f>
        <v>View</v>
      </c>
      <c r="P3028" s="11"/>
    </row>
    <row r="3029" spans="1:16" ht="12.75" x14ac:dyDescent="0.35">
      <c r="A3029" s="7">
        <v>42482.590104166666</v>
      </c>
      <c r="B3029" s="8" t="str">
        <f>HYPERLINK("https://twitter.com/Stahlhammer","@Stahlhammer")</f>
        <v>@Stahlhammer</v>
      </c>
      <c r="C3029" s="9" t="s">
        <v>1085</v>
      </c>
      <c r="D3029" s="9" t="s">
        <v>7471</v>
      </c>
      <c r="E3029" s="10" t="str">
        <f>HYPERLINK("https://twitter.com/Stahlhammer/status/723431083203694593","723431083203694593")</f>
        <v>723431083203694593</v>
      </c>
      <c r="F3029" s="11" t="s">
        <v>20</v>
      </c>
      <c r="G3029" s="11">
        <v>322</v>
      </c>
      <c r="H3029" s="11">
        <v>258</v>
      </c>
      <c r="I3029" s="11">
        <v>1</v>
      </c>
      <c r="J3029" s="11">
        <v>0</v>
      </c>
      <c r="K3029" s="11" t="s">
        <v>21</v>
      </c>
      <c r="L3029" s="7">
        <v>39804.043923611112</v>
      </c>
      <c r="M3029" s="12"/>
      <c r="N3029" s="12" t="s">
        <v>1086</v>
      </c>
      <c r="O3029" s="10" t="str">
        <f>HYPERLINK("https://pbs.twimg.com/profile_images/603480066887127041/ZqzOY80Q_normal.jpg","View")</f>
        <v>View</v>
      </c>
      <c r="P3029" s="11"/>
    </row>
    <row r="3030" spans="1:16" ht="12.75" x14ac:dyDescent="0.35">
      <c r="A3030" s="7">
        <v>42482.590787037036</v>
      </c>
      <c r="B3030" s="8" t="str">
        <f>HYPERLINK("https://twitter.com/MichaelNdri","@MichaelNdri")</f>
        <v>@MichaelNdri</v>
      </c>
      <c r="C3030" s="9" t="s">
        <v>7472</v>
      </c>
      <c r="D3030" s="9" t="s">
        <v>7426</v>
      </c>
      <c r="E3030" s="10" t="str">
        <f>HYPERLINK("https://twitter.com/MichaelNdri/status/723431330374021120","723431330374021120")</f>
        <v>723431330374021120</v>
      </c>
      <c r="F3030" s="11" t="s">
        <v>43</v>
      </c>
      <c r="G3030" s="11">
        <v>60</v>
      </c>
      <c r="H3030" s="11">
        <v>196</v>
      </c>
      <c r="I3030" s="11">
        <v>9</v>
      </c>
      <c r="J3030" s="11">
        <v>0</v>
      </c>
      <c r="K3030" s="11" t="s">
        <v>21</v>
      </c>
      <c r="L3030" s="7">
        <v>41064.097592592589</v>
      </c>
      <c r="M3030" s="12" t="s">
        <v>7473</v>
      </c>
      <c r="N3030" s="12" t="s">
        <v>7474</v>
      </c>
      <c r="O3030" s="10" t="str">
        <f>HYPERLINK("https://pbs.twimg.com/profile_images/2275736241/0wxdwpqqkero82c7tj5z_normal.jpeg","View")</f>
        <v>View</v>
      </c>
      <c r="P3030" s="11"/>
    </row>
    <row r="3031" spans="1:16" ht="12.75" x14ac:dyDescent="0.35">
      <c r="A3031" s="7">
        <v>42482.591736111106</v>
      </c>
      <c r="B3031" s="8" t="str">
        <f>HYPERLINK("https://twitter.com/VWBeetleSales","@VWBeetleSales")</f>
        <v>@VWBeetleSales</v>
      </c>
      <c r="C3031" s="9" t="s">
        <v>127</v>
      </c>
      <c r="D3031" s="9" t="s">
        <v>7475</v>
      </c>
      <c r="E3031" s="10" t="str">
        <f>HYPERLINK("https://twitter.com/VWBeetleSales/status/723431675259023360","723431675259023360")</f>
        <v>723431675259023360</v>
      </c>
      <c r="F3031" s="10" t="s">
        <v>124</v>
      </c>
      <c r="G3031" s="11">
        <v>35</v>
      </c>
      <c r="H3031" s="11">
        <v>32</v>
      </c>
      <c r="I3031" s="11">
        <v>0</v>
      </c>
      <c r="J3031" s="11">
        <v>0</v>
      </c>
      <c r="K3031" s="11" t="s">
        <v>21</v>
      </c>
      <c r="L3031" s="7">
        <v>42427.019756944443</v>
      </c>
      <c r="M3031" s="12" t="s">
        <v>129</v>
      </c>
      <c r="N3031" s="12" t="s">
        <v>130</v>
      </c>
      <c r="O3031" s="10" t="str">
        <f>HYPERLINK("https://pbs.twimg.com/profile_images/703294545195307008/qeCvrX86_normal.jpg","View")</f>
        <v>View</v>
      </c>
      <c r="P3031" s="11"/>
    </row>
    <row r="3032" spans="1:16" ht="12.75" x14ac:dyDescent="0.35">
      <c r="A3032" s="7">
        <v>42482.591782407406</v>
      </c>
      <c r="B3032" s="8" t="str">
        <f>HYPERLINK("https://twitter.com/conkers3","@conkers3")</f>
        <v>@conkers3</v>
      </c>
      <c r="C3032" s="9" t="s">
        <v>7103</v>
      </c>
      <c r="D3032" s="9" t="s">
        <v>7476</v>
      </c>
      <c r="E3032" s="10" t="str">
        <f>HYPERLINK("https://twitter.com/conkers3/status/723431690803126277","723431690803126277")</f>
        <v>723431690803126277</v>
      </c>
      <c r="F3032" s="11" t="s">
        <v>43</v>
      </c>
      <c r="G3032" s="11">
        <v>2013</v>
      </c>
      <c r="H3032" s="11">
        <v>1433</v>
      </c>
      <c r="I3032" s="11">
        <v>0</v>
      </c>
      <c r="J3032" s="11">
        <v>0</v>
      </c>
      <c r="K3032" s="11" t="s">
        <v>21</v>
      </c>
      <c r="L3032" s="7">
        <v>41123.576006944444</v>
      </c>
      <c r="M3032" s="12"/>
      <c r="N3032" s="12" t="s">
        <v>7105</v>
      </c>
      <c r="O3032" s="10" t="str">
        <f>HYPERLINK("https://pbs.twimg.com/profile_images/3601856046/89deb5d36c9951092d953fa6050d5fbc_normal.jpeg","View")</f>
        <v>View</v>
      </c>
      <c r="P3032" s="11"/>
    </row>
    <row r="3033" spans="1:16" ht="12.75" x14ac:dyDescent="0.35">
      <c r="A3033" s="7">
        <v>42482.5934837963</v>
      </c>
      <c r="B3033" s="8" t="str">
        <f>HYPERLINK("https://twitter.com/Kabam1Petra","@Kabam1Petra")</f>
        <v>@Kabam1Petra</v>
      </c>
      <c r="C3033" s="9" t="s">
        <v>7477</v>
      </c>
      <c r="D3033" s="9" t="s">
        <v>7478</v>
      </c>
      <c r="E3033" s="10" t="str">
        <f>HYPERLINK("https://twitter.com/Kabam1Petra/status/723432307797856257","723432307797856257")</f>
        <v>723432307797856257</v>
      </c>
      <c r="F3033" s="11" t="s">
        <v>91</v>
      </c>
      <c r="G3033" s="11">
        <v>19</v>
      </c>
      <c r="H3033" s="11">
        <v>57</v>
      </c>
      <c r="I3033" s="11">
        <v>0</v>
      </c>
      <c r="J3033" s="11">
        <v>0</v>
      </c>
      <c r="K3033" s="11" t="s">
        <v>21</v>
      </c>
      <c r="L3033" s="7">
        <v>42322.643020833333</v>
      </c>
      <c r="M3033" s="12"/>
      <c r="N3033" s="12"/>
      <c r="O3033" s="10" t="str">
        <f>HYPERLINK("https://pbs.twimg.com/profile_images/704021939631886337/eCYRucM2_normal.jpg","View")</f>
        <v>View</v>
      </c>
      <c r="P3033" s="11"/>
    </row>
    <row r="3034" spans="1:16" ht="12.75" x14ac:dyDescent="0.35">
      <c r="A3034" s="7">
        <v>42482.594456018516</v>
      </c>
      <c r="B3034" s="8" t="str">
        <f>HYPERLINK("https://twitter.com/schillipaeppa","@schillipaeppa")</f>
        <v>@schillipaeppa</v>
      </c>
      <c r="C3034" s="9" t="s">
        <v>7479</v>
      </c>
      <c r="D3034" s="9" t="s">
        <v>7480</v>
      </c>
      <c r="E3034" s="10" t="str">
        <f>HYPERLINK("https://twitter.com/schillipaeppa/status/723432659083362304","723432659083362304")</f>
        <v>723432659083362304</v>
      </c>
      <c r="F3034" s="11" t="s">
        <v>20</v>
      </c>
      <c r="G3034" s="11">
        <v>436</v>
      </c>
      <c r="H3034" s="11">
        <v>525</v>
      </c>
      <c r="I3034" s="11">
        <v>0</v>
      </c>
      <c r="J3034" s="11">
        <v>0</v>
      </c>
      <c r="K3034" s="11" t="s">
        <v>21</v>
      </c>
      <c r="L3034" s="7">
        <v>41531.56212962963</v>
      </c>
      <c r="M3034" s="12"/>
      <c r="N3034" s="12" t="s">
        <v>7481</v>
      </c>
      <c r="O3034" s="10" t="str">
        <f>HYPERLINK("https://pbs.twimg.com/profile_images/540494664193683456/ZMJVMiQE_normal.jpeg","View")</f>
        <v>View</v>
      </c>
      <c r="P3034" s="11"/>
    </row>
    <row r="3035" spans="1:16" ht="12.75" x14ac:dyDescent="0.35">
      <c r="A3035" s="7">
        <v>42482.594652777778</v>
      </c>
      <c r="B3035" s="8" t="str">
        <f>HYPERLINK("https://twitter.com/fireman653706","@fireman653706")</f>
        <v>@fireman653706</v>
      </c>
      <c r="C3035" s="9" t="s">
        <v>7482</v>
      </c>
      <c r="D3035" s="9" t="s">
        <v>7426</v>
      </c>
      <c r="E3035" s="10" t="str">
        <f>HYPERLINK("https://twitter.com/fireman653706/status/723432729631584257","723432729631584257")</f>
        <v>723432729631584257</v>
      </c>
      <c r="F3035" s="11" t="s">
        <v>48</v>
      </c>
      <c r="G3035" s="11">
        <v>198</v>
      </c>
      <c r="H3035" s="11">
        <v>189</v>
      </c>
      <c r="I3035" s="11">
        <v>9</v>
      </c>
      <c r="J3035" s="11">
        <v>0</v>
      </c>
      <c r="K3035" s="11" t="s">
        <v>21</v>
      </c>
      <c r="L3035" s="7">
        <v>41600.822013888886</v>
      </c>
      <c r="M3035" s="12"/>
      <c r="N3035" s="12" t="s">
        <v>7483</v>
      </c>
      <c r="O3035" s="10" t="str">
        <f>HYPERLINK("https://pbs.twimg.com/profile_images/717435966605168641/hHL9WubH_normal.jpg","View")</f>
        <v>View</v>
      </c>
      <c r="P3035" s="11"/>
    </row>
    <row r="3036" spans="1:16" ht="12.75" x14ac:dyDescent="0.35">
      <c r="A3036" s="7">
        <v>42482.594675925924</v>
      </c>
      <c r="B3036" s="8" t="str">
        <f>HYPERLINK("https://twitter.com/Jaravuy01","@Jaravuy01")</f>
        <v>@Jaravuy01</v>
      </c>
      <c r="C3036" s="9" t="s">
        <v>7484</v>
      </c>
      <c r="D3036" s="9" t="s">
        <v>7426</v>
      </c>
      <c r="E3036" s="10" t="str">
        <f>HYPERLINK("https://twitter.com/Jaravuy01/status/723432739794374657","723432739794374657")</f>
        <v>723432739794374657</v>
      </c>
      <c r="F3036" s="11" t="s">
        <v>48</v>
      </c>
      <c r="G3036" s="11">
        <v>253</v>
      </c>
      <c r="H3036" s="11">
        <v>820</v>
      </c>
      <c r="I3036" s="11">
        <v>9</v>
      </c>
      <c r="J3036" s="11">
        <v>0</v>
      </c>
      <c r="K3036" s="11" t="s">
        <v>21</v>
      </c>
      <c r="L3036" s="7">
        <v>41544.756365740745</v>
      </c>
      <c r="M3036" s="12" t="s">
        <v>7485</v>
      </c>
      <c r="N3036" s="12" t="s">
        <v>7486</v>
      </c>
      <c r="O3036" s="10" t="str">
        <f>HYPERLINK("https://pbs.twimg.com/profile_images/720482237049913344/WxmlpZ_-_normal.jpg","View")</f>
        <v>View</v>
      </c>
      <c r="P3036" s="11"/>
    </row>
    <row r="3037" spans="1:16" ht="12.75" x14ac:dyDescent="0.35">
      <c r="A3037" s="7">
        <v>42482.594907407409</v>
      </c>
      <c r="B3037" s="8" t="str">
        <f>HYPERLINK("https://twitter.com/ayondoTrading","@ayondoTrading")</f>
        <v>@ayondoTrading</v>
      </c>
      <c r="C3037" s="9" t="s">
        <v>7487</v>
      </c>
      <c r="D3037" s="9" t="s">
        <v>7488</v>
      </c>
      <c r="E3037" s="10" t="str">
        <f>HYPERLINK("https://twitter.com/ayondoTrading/status/723432823286190080","723432823286190080")</f>
        <v>723432823286190080</v>
      </c>
      <c r="F3037" s="11" t="s">
        <v>43</v>
      </c>
      <c r="G3037" s="11">
        <v>772</v>
      </c>
      <c r="H3037" s="11">
        <v>45</v>
      </c>
      <c r="I3037" s="11">
        <v>0</v>
      </c>
      <c r="J3037" s="11">
        <v>0</v>
      </c>
      <c r="K3037" s="11" t="s">
        <v>21</v>
      </c>
      <c r="L3037" s="7">
        <v>41166.601423611108</v>
      </c>
      <c r="M3037" s="12" t="s">
        <v>638</v>
      </c>
      <c r="N3037" s="12" t="s">
        <v>7489</v>
      </c>
      <c r="O3037" s="10" t="str">
        <f>HYPERLINK("https://pbs.twimg.com/profile_images/484339112711696384/MpNzWd-__normal.png","View")</f>
        <v>View</v>
      </c>
      <c r="P3037" s="11"/>
    </row>
    <row r="3038" spans="1:16" ht="12.75" x14ac:dyDescent="0.35">
      <c r="A3038" s="7">
        <v>42482.595219907409</v>
      </c>
      <c r="B3038" s="8" t="str">
        <f>HYPERLINK("https://twitter.com/sagaron62","@sagaron62")</f>
        <v>@sagaron62</v>
      </c>
      <c r="C3038" s="9" t="s">
        <v>7110</v>
      </c>
      <c r="D3038" s="9" t="s">
        <v>7490</v>
      </c>
      <c r="E3038" s="10" t="str">
        <f>HYPERLINK("https://twitter.com/sagaron62/status/723432937903943680","723432937903943680")</f>
        <v>723432937903943680</v>
      </c>
      <c r="F3038" s="11" t="s">
        <v>43</v>
      </c>
      <c r="G3038" s="11">
        <v>1718</v>
      </c>
      <c r="H3038" s="11">
        <v>184</v>
      </c>
      <c r="I3038" s="11">
        <v>0</v>
      </c>
      <c r="J3038" s="11">
        <v>1</v>
      </c>
      <c r="K3038" s="11" t="s">
        <v>21</v>
      </c>
      <c r="L3038" s="7">
        <v>40806.811481481483</v>
      </c>
      <c r="M3038" s="12" t="s">
        <v>7112</v>
      </c>
      <c r="N3038" s="12" t="s">
        <v>7113</v>
      </c>
      <c r="O3038" s="10" t="str">
        <f>HYPERLINK("https://pbs.twimg.com/profile_images/722770349134372864/uH_DeX25_normal.jpg","View")</f>
        <v>View</v>
      </c>
      <c r="P3038" s="11"/>
    </row>
    <row r="3039" spans="1:16" ht="12.75" x14ac:dyDescent="0.35">
      <c r="A3039" s="7">
        <v>42482.595601851848</v>
      </c>
      <c r="B3039" s="8" t="str">
        <f t="shared" ref="B3039:B3040" si="294">HYPERLINK("https://twitter.com/SalihiShejzije","@SalihiShejzije")</f>
        <v>@SalihiShejzije</v>
      </c>
      <c r="C3039" s="9" t="s">
        <v>1829</v>
      </c>
      <c r="D3039" s="9" t="s">
        <v>7382</v>
      </c>
      <c r="E3039" s="10" t="str">
        <f>HYPERLINK("https://twitter.com/SalihiShejzije/status/723433073207992320","723433073207992320")</f>
        <v>723433073207992320</v>
      </c>
      <c r="F3039" s="11" t="s">
        <v>48</v>
      </c>
      <c r="G3039" s="11">
        <v>25</v>
      </c>
      <c r="H3039" s="11">
        <v>13</v>
      </c>
      <c r="I3039" s="11">
        <v>4</v>
      </c>
      <c r="J3039" s="11">
        <v>0</v>
      </c>
      <c r="K3039" s="11" t="s">
        <v>21</v>
      </c>
      <c r="L3039" s="7">
        <v>42421.055231481485</v>
      </c>
      <c r="M3039" s="12" t="s">
        <v>1830</v>
      </c>
      <c r="N3039" s="12"/>
      <c r="O3039" s="10" t="str">
        <f t="shared" ref="O3039:O3040" si="295">HYPERLINK("https://pbs.twimg.com/profile_images/704001047216447488/5a1ozl-l_normal.jpg","View")</f>
        <v>View</v>
      </c>
      <c r="P3039" s="11"/>
    </row>
    <row r="3040" spans="1:16" ht="12.75" x14ac:dyDescent="0.35">
      <c r="A3040" s="7">
        <v>42482.595914351856</v>
      </c>
      <c r="B3040" s="8" t="str">
        <f t="shared" si="294"/>
        <v>@SalihiShejzije</v>
      </c>
      <c r="C3040" s="9" t="s">
        <v>1829</v>
      </c>
      <c r="D3040" s="9" t="s">
        <v>6875</v>
      </c>
      <c r="E3040" s="10" t="str">
        <f>HYPERLINK("https://twitter.com/SalihiShejzije/status/723433189004304384","723433189004304384")</f>
        <v>723433189004304384</v>
      </c>
      <c r="F3040" s="11" t="s">
        <v>48</v>
      </c>
      <c r="G3040" s="11">
        <v>25</v>
      </c>
      <c r="H3040" s="11">
        <v>13</v>
      </c>
      <c r="I3040" s="11">
        <v>3</v>
      </c>
      <c r="J3040" s="11">
        <v>0</v>
      </c>
      <c r="K3040" s="11" t="s">
        <v>21</v>
      </c>
      <c r="L3040" s="7">
        <v>42421.055231481485</v>
      </c>
      <c r="M3040" s="12" t="s">
        <v>1830</v>
      </c>
      <c r="N3040" s="12"/>
      <c r="O3040" s="10" t="str">
        <f t="shared" si="295"/>
        <v>View</v>
      </c>
      <c r="P3040" s="11"/>
    </row>
    <row r="3041" spans="1:16" ht="12.75" x14ac:dyDescent="0.35">
      <c r="A3041" s="7">
        <v>42482.595972222218</v>
      </c>
      <c r="B3041" s="8" t="str">
        <f>HYPERLINK("https://twitter.com/joe_rundle","@joe_rundle")</f>
        <v>@joe_rundle</v>
      </c>
      <c r="C3041" s="9" t="s">
        <v>7491</v>
      </c>
      <c r="D3041" s="9" t="s">
        <v>7492</v>
      </c>
      <c r="E3041" s="10" t="str">
        <f>HYPERLINK("https://twitter.com/joe_rundle/status/723433211087331328","723433211087331328")</f>
        <v>723433211087331328</v>
      </c>
      <c r="F3041" s="11" t="s">
        <v>20</v>
      </c>
      <c r="G3041" s="11">
        <v>655</v>
      </c>
      <c r="H3041" s="11">
        <v>584</v>
      </c>
      <c r="I3041" s="11">
        <v>0</v>
      </c>
      <c r="J3041" s="11">
        <v>0</v>
      </c>
      <c r="K3041" s="11" t="s">
        <v>21</v>
      </c>
      <c r="L3041" s="7">
        <v>40757.76898148148</v>
      </c>
      <c r="M3041" s="12"/>
      <c r="N3041" s="12" t="s">
        <v>7493</v>
      </c>
      <c r="O3041" s="10" t="str">
        <f>HYPERLINK("https://pbs.twimg.com/profile_images/2647587230/d4dc2dcff2317bc6a8f2ff61406f81f1_normal.jpeg","View")</f>
        <v>View</v>
      </c>
      <c r="P3041" s="11"/>
    </row>
    <row r="3042" spans="1:16" ht="12.75" x14ac:dyDescent="0.35">
      <c r="A3042" s="7">
        <v>42482.59652777778</v>
      </c>
      <c r="B3042" s="8" t="str">
        <f>HYPERLINK("https://twitter.com/RainerKresken","@RainerKresken")</f>
        <v>@RainerKresken</v>
      </c>
      <c r="C3042" s="9" t="s">
        <v>7494</v>
      </c>
      <c r="D3042" s="9" t="s">
        <v>7495</v>
      </c>
      <c r="E3042" s="10" t="str">
        <f>HYPERLINK("https://twitter.com/RainerKresken/status/723433410681704448","723433410681704448")</f>
        <v>723433410681704448</v>
      </c>
      <c r="F3042" s="11" t="s">
        <v>43</v>
      </c>
      <c r="G3042" s="11">
        <v>770</v>
      </c>
      <c r="H3042" s="11">
        <v>1134</v>
      </c>
      <c r="I3042" s="11">
        <v>0</v>
      </c>
      <c r="J3042" s="11">
        <v>0</v>
      </c>
      <c r="K3042" s="11" t="s">
        <v>21</v>
      </c>
      <c r="L3042" s="7">
        <v>41122.08520833333</v>
      </c>
      <c r="M3042" s="12" t="s">
        <v>7496</v>
      </c>
      <c r="N3042" s="12" t="s">
        <v>7497</v>
      </c>
      <c r="O3042" s="10" t="str">
        <f>HYPERLINK("https://pbs.twimg.com/profile_images/378800000860241295/VwDIjjjI_normal.png","View")</f>
        <v>View</v>
      </c>
      <c r="P3042" s="11"/>
    </row>
    <row r="3043" spans="1:16" ht="12.75" x14ac:dyDescent="0.35">
      <c r="A3043" s="7">
        <v>42482.596643518518</v>
      </c>
      <c r="B3043" s="8" t="str">
        <f>HYPERLINK("https://twitter.com/vamp_kris2102","@vamp_kris2102")</f>
        <v>@vamp_kris2102</v>
      </c>
      <c r="C3043" s="9" t="s">
        <v>7498</v>
      </c>
      <c r="D3043" s="9" t="s">
        <v>7499</v>
      </c>
      <c r="E3043" s="10" t="str">
        <f>HYPERLINK("https://twitter.com/vamp_kris2102/status/723433452834459648","723433452834459648")</f>
        <v>723433452834459648</v>
      </c>
      <c r="F3043" s="11" t="s">
        <v>7500</v>
      </c>
      <c r="G3043" s="11">
        <v>2971</v>
      </c>
      <c r="H3043" s="11">
        <v>153</v>
      </c>
      <c r="I3043" s="11">
        <v>0</v>
      </c>
      <c r="J3043" s="11">
        <v>0</v>
      </c>
      <c r="K3043" s="11" t="s">
        <v>21</v>
      </c>
      <c r="L3043" s="7">
        <v>41632.808124999996</v>
      </c>
      <c r="M3043" s="12" t="s">
        <v>7501</v>
      </c>
      <c r="N3043" s="12" t="s">
        <v>7502</v>
      </c>
      <c r="O3043" s="10" t="str">
        <f>HYPERLINK("https://pbs.twimg.com/profile_images/506828098864558080/mVheZCwt_normal.jpeg","View")</f>
        <v>View</v>
      </c>
      <c r="P3043" s="11"/>
    </row>
    <row r="3044" spans="1:16" ht="12.75" x14ac:dyDescent="0.35">
      <c r="A3044" s="7">
        <v>42482.596689814818</v>
      </c>
      <c r="B3044" s="8" t="str">
        <f>HYPERLINK("https://twitter.com/CemilGenc_WDC","@CemilGenc_WDC")</f>
        <v>@CemilGenc_WDC</v>
      </c>
      <c r="C3044" s="9" t="s">
        <v>7503</v>
      </c>
      <c r="D3044" s="9" t="s">
        <v>7504</v>
      </c>
      <c r="E3044" s="10" t="str">
        <f>HYPERLINK("https://twitter.com/CemilGenc_WDC/status/723433470697951232","723433470697951232")</f>
        <v>723433470697951232</v>
      </c>
      <c r="F3044" s="11" t="s">
        <v>91</v>
      </c>
      <c r="G3044" s="11">
        <v>1759</v>
      </c>
      <c r="H3044" s="11">
        <v>492</v>
      </c>
      <c r="I3044" s="11">
        <v>0</v>
      </c>
      <c r="J3044" s="11">
        <v>0</v>
      </c>
      <c r="K3044" s="11" t="s">
        <v>21</v>
      </c>
      <c r="L3044" s="7">
        <v>41598.003009259257</v>
      </c>
      <c r="M3044" s="12" t="s">
        <v>7505</v>
      </c>
      <c r="N3044" s="12" t="s">
        <v>7506</v>
      </c>
      <c r="O3044" s="10" t="str">
        <f>HYPERLINK("https://pbs.twimg.com/profile_images/416938050842034176/mrsQgnd8_normal.jpeg","View")</f>
        <v>View</v>
      </c>
      <c r="P3044" s="11"/>
    </row>
    <row r="3045" spans="1:16" ht="12.75" x14ac:dyDescent="0.35">
      <c r="A3045" s="7">
        <v>42482.596990740742</v>
      </c>
      <c r="B3045" s="8" t="str">
        <f>HYPERLINK("https://twitter.com/Horst1941","@Horst1941")</f>
        <v>@Horst1941</v>
      </c>
      <c r="C3045" s="9" t="s">
        <v>7507</v>
      </c>
      <c r="D3045" s="9" t="s">
        <v>7189</v>
      </c>
      <c r="E3045" s="10" t="str">
        <f>HYPERLINK("https://twitter.com/Horst1941/status/723433577132621824","723433577132621824")</f>
        <v>723433577132621824</v>
      </c>
      <c r="F3045" s="11" t="s">
        <v>48</v>
      </c>
      <c r="G3045" s="11">
        <v>1507</v>
      </c>
      <c r="H3045" s="11">
        <v>887</v>
      </c>
      <c r="I3045" s="11">
        <v>6</v>
      </c>
      <c r="J3045" s="11">
        <v>0</v>
      </c>
      <c r="K3045" s="11" t="s">
        <v>21</v>
      </c>
      <c r="L3045" s="7">
        <v>41416.812534722223</v>
      </c>
      <c r="M3045" s="12"/>
      <c r="N3045" s="12" t="s">
        <v>7508</v>
      </c>
      <c r="O3045" s="10" t="str">
        <f>HYPERLINK("https://pbs.twimg.com/profile_images/477014576001589248/U9HDLmZK_normal.jpeg","View")</f>
        <v>View</v>
      </c>
      <c r="P3045" s="11"/>
    </row>
    <row r="3046" spans="1:16" ht="12.75" x14ac:dyDescent="0.35">
      <c r="A3046" s="7">
        <v>42482.598217592589</v>
      </c>
      <c r="B3046" s="8" t="str">
        <f>HYPERLINK("https://twitter.com/MxKyouR","@MxKyouR")</f>
        <v>@MxKyouR</v>
      </c>
      <c r="C3046" s="9" t="s">
        <v>7509</v>
      </c>
      <c r="D3046" s="9" t="s">
        <v>7510</v>
      </c>
      <c r="E3046" s="10" t="str">
        <f>HYPERLINK("https://twitter.com/MxKyouR/status/723434024341921792","723434024341921792")</f>
        <v>723434024341921792</v>
      </c>
      <c r="F3046" s="11" t="s">
        <v>20</v>
      </c>
      <c r="G3046" s="11">
        <v>14</v>
      </c>
      <c r="H3046" s="11">
        <v>91</v>
      </c>
      <c r="I3046" s="11">
        <v>0</v>
      </c>
      <c r="J3046" s="11">
        <v>0</v>
      </c>
      <c r="K3046" s="11" t="s">
        <v>21</v>
      </c>
      <c r="L3046" s="7">
        <v>42227.123958333337</v>
      </c>
      <c r="M3046" s="12" t="s">
        <v>262</v>
      </c>
      <c r="N3046" s="12"/>
      <c r="O3046" s="10" t="str">
        <f>HYPERLINK("https://pbs.twimg.com/profile_images/642101062820843520/uJ96gYO5_normal.jpg","View")</f>
        <v>View</v>
      </c>
      <c r="P3046" s="11"/>
    </row>
    <row r="3047" spans="1:16" ht="12.75" x14ac:dyDescent="0.35">
      <c r="A3047" s="7">
        <v>42482.598298611112</v>
      </c>
      <c r="B3047" s="8" t="str">
        <f>HYPERLINK("https://twitter.com/BlackCarbonMan","@BlackCarbonMan")</f>
        <v>@BlackCarbonMan</v>
      </c>
      <c r="C3047" s="9" t="s">
        <v>7511</v>
      </c>
      <c r="D3047" s="9" t="s">
        <v>7512</v>
      </c>
      <c r="E3047" s="10" t="str">
        <f>HYPERLINK("https://twitter.com/BlackCarbonMan/status/723434051873329152","723434051873329152")</f>
        <v>723434051873329152</v>
      </c>
      <c r="F3047" s="11" t="s">
        <v>20</v>
      </c>
      <c r="G3047" s="11">
        <v>31</v>
      </c>
      <c r="H3047" s="11">
        <v>92</v>
      </c>
      <c r="I3047" s="11">
        <v>0</v>
      </c>
      <c r="J3047" s="11">
        <v>0</v>
      </c>
      <c r="K3047" s="11" t="s">
        <v>21</v>
      </c>
      <c r="L3047" s="7">
        <v>42466.894178240742</v>
      </c>
      <c r="M3047" s="12" t="s">
        <v>2038</v>
      </c>
      <c r="N3047" s="12" t="s">
        <v>7513</v>
      </c>
      <c r="O3047" s="10" t="str">
        <f>HYPERLINK("https://pbs.twimg.com/profile_images/718068614998409217/O0N1ksar_normal.jpg","View")</f>
        <v>View</v>
      </c>
      <c r="P3047" s="11"/>
    </row>
    <row r="3048" spans="1:16" ht="12.75" x14ac:dyDescent="0.35">
      <c r="A3048" s="7">
        <v>42482.598402777774</v>
      </c>
      <c r="B3048" s="8" t="str">
        <f>HYPERLINK("https://twitter.com/creator_mack_","@creator_mack_")</f>
        <v>@creator_mack_</v>
      </c>
      <c r="C3048" s="9" t="s">
        <v>7514</v>
      </c>
      <c r="D3048" s="9" t="s">
        <v>396</v>
      </c>
      <c r="E3048" s="10" t="str">
        <f>HYPERLINK("https://twitter.com/creator_mack_/status/723434091626942464","723434091626942464")</f>
        <v>723434091626942464</v>
      </c>
      <c r="F3048" s="11" t="s">
        <v>7515</v>
      </c>
      <c r="G3048" s="11">
        <v>157</v>
      </c>
      <c r="H3048" s="11">
        <v>136</v>
      </c>
      <c r="I3048" s="11">
        <v>10</v>
      </c>
      <c r="J3048" s="11">
        <v>0</v>
      </c>
      <c r="K3048" s="11" t="s">
        <v>21</v>
      </c>
      <c r="L3048" s="7">
        <v>40457.547673611109</v>
      </c>
      <c r="M3048" s="12"/>
      <c r="N3048" s="12" t="s">
        <v>7516</v>
      </c>
      <c r="O3048" s="10" t="str">
        <f>HYPERLINK("https://pbs.twimg.com/profile_images/673840837118177280/Fb0hOqos_normal.jpg","View")</f>
        <v>View</v>
      </c>
      <c r="P3048" s="11"/>
    </row>
    <row r="3049" spans="1:16" ht="12.75" x14ac:dyDescent="0.35">
      <c r="A3049" s="7">
        <v>42482.598692129628</v>
      </c>
      <c r="B3049" s="8" t="str">
        <f t="shared" ref="B3049:B3050" si="296">HYPERLINK("https://twitter.com/weare_van","@weare_van")</f>
        <v>@weare_van</v>
      </c>
      <c r="C3049" s="9" t="s">
        <v>2104</v>
      </c>
      <c r="D3049" s="9" t="s">
        <v>7517</v>
      </c>
      <c r="E3049" s="10" t="str">
        <f>HYPERLINK("https://twitter.com/weare_van/status/723434196820103168","723434196820103168")</f>
        <v>723434196820103168</v>
      </c>
      <c r="F3049" s="11" t="s">
        <v>68</v>
      </c>
      <c r="G3049" s="11">
        <v>174</v>
      </c>
      <c r="H3049" s="11">
        <v>57</v>
      </c>
      <c r="I3049" s="11">
        <v>0</v>
      </c>
      <c r="J3049" s="11">
        <v>0</v>
      </c>
      <c r="K3049" s="11" t="s">
        <v>21</v>
      </c>
      <c r="L3049" s="7">
        <v>42429.136157407411</v>
      </c>
      <c r="M3049" s="12" t="s">
        <v>1397</v>
      </c>
      <c r="N3049" s="12" t="s">
        <v>2106</v>
      </c>
      <c r="O3049" s="10" t="str">
        <f t="shared" ref="O3049:O3050" si="297">HYPERLINK("https://pbs.twimg.com/profile_images/707176643509538817/-s_VKgK4_normal.jpg","View")</f>
        <v>View</v>
      </c>
      <c r="P3049" s="11"/>
    </row>
    <row r="3050" spans="1:16" ht="12.75" x14ac:dyDescent="0.35">
      <c r="A3050" s="7">
        <v>42482.598738425921</v>
      </c>
      <c r="B3050" s="8" t="str">
        <f t="shared" si="296"/>
        <v>@weare_van</v>
      </c>
      <c r="C3050" s="9" t="s">
        <v>2104</v>
      </c>
      <c r="D3050" s="9" t="s">
        <v>7518</v>
      </c>
      <c r="E3050" s="10" t="str">
        <f>HYPERLINK("https://twitter.com/weare_van/status/723434209730170882","723434209730170882")</f>
        <v>723434209730170882</v>
      </c>
      <c r="F3050" s="11" t="s">
        <v>68</v>
      </c>
      <c r="G3050" s="11">
        <v>174</v>
      </c>
      <c r="H3050" s="11">
        <v>57</v>
      </c>
      <c r="I3050" s="11">
        <v>0</v>
      </c>
      <c r="J3050" s="11">
        <v>0</v>
      </c>
      <c r="K3050" s="11" t="s">
        <v>21</v>
      </c>
      <c r="L3050" s="7">
        <v>42429.136157407411</v>
      </c>
      <c r="M3050" s="12" t="s">
        <v>1397</v>
      </c>
      <c r="N3050" s="12" t="s">
        <v>2106</v>
      </c>
      <c r="O3050" s="10" t="str">
        <f t="shared" si="297"/>
        <v>View</v>
      </c>
      <c r="P3050" s="11"/>
    </row>
    <row r="3051" spans="1:16" ht="12.75" x14ac:dyDescent="0.35">
      <c r="A3051" s="7">
        <v>42482.598819444444</v>
      </c>
      <c r="B3051" s="8" t="str">
        <f>HYPERLINK("https://twitter.com/vintagevwdita","@vintagevwdita")</f>
        <v>@vintagevwdita</v>
      </c>
      <c r="C3051" s="9" t="s">
        <v>5176</v>
      </c>
      <c r="D3051" s="9" t="s">
        <v>7519</v>
      </c>
      <c r="E3051" s="10" t="str">
        <f>HYPERLINK("https://twitter.com/vintagevwdita/status/723434242592493569","723434242592493569")</f>
        <v>723434242592493569</v>
      </c>
      <c r="F3051" s="11" t="s">
        <v>20</v>
      </c>
      <c r="G3051" s="11">
        <v>549</v>
      </c>
      <c r="H3051" s="11">
        <v>595</v>
      </c>
      <c r="I3051" s="11">
        <v>0</v>
      </c>
      <c r="J3051" s="11">
        <v>0</v>
      </c>
      <c r="K3051" s="11" t="s">
        <v>21</v>
      </c>
      <c r="L3051" s="7">
        <v>42114.550115740742</v>
      </c>
      <c r="M3051" s="12" t="s">
        <v>5178</v>
      </c>
      <c r="N3051" s="12" t="s">
        <v>5179</v>
      </c>
      <c r="O3051" s="10" t="str">
        <f>HYPERLINK("https://pbs.twimg.com/profile_images/687419637429080064/YhD1MggI_normal.jpg","View")</f>
        <v>View</v>
      </c>
      <c r="P3051" s="11"/>
    </row>
    <row r="3052" spans="1:16" ht="12.75" x14ac:dyDescent="0.35">
      <c r="A3052" s="7">
        <v>42482.600069444445</v>
      </c>
      <c r="B3052" s="8" t="str">
        <f>HYPERLINK("https://twitter.com/VWCamperSales","@VWCamperSales")</f>
        <v>@VWCamperSales</v>
      </c>
      <c r="C3052" s="9" t="s">
        <v>216</v>
      </c>
      <c r="D3052" s="9" t="s">
        <v>7520</v>
      </c>
      <c r="E3052" s="10" t="str">
        <f>HYPERLINK("https://twitter.com/VWCamperSales/status/723434695518638080","723434695518638080")</f>
        <v>723434695518638080</v>
      </c>
      <c r="F3052" s="10" t="s">
        <v>124</v>
      </c>
      <c r="G3052" s="11">
        <v>615</v>
      </c>
      <c r="H3052" s="11">
        <v>580</v>
      </c>
      <c r="I3052" s="11">
        <v>0</v>
      </c>
      <c r="J3052" s="11">
        <v>0</v>
      </c>
      <c r="K3052" s="11" t="s">
        <v>21</v>
      </c>
      <c r="L3052" s="7">
        <v>42215.98809027778</v>
      </c>
      <c r="M3052" s="12" t="s">
        <v>129</v>
      </c>
      <c r="N3052" s="12" t="s">
        <v>218</v>
      </c>
      <c r="O3052" s="10" t="str">
        <f>HYPERLINK("https://pbs.twimg.com/profile_images/627949001179037696/skEBkS05_normal.jpg","View")</f>
        <v>View</v>
      </c>
      <c r="P3052" s="11"/>
    </row>
    <row r="3053" spans="1:16" ht="12.75" x14ac:dyDescent="0.35">
      <c r="A3053" s="7">
        <v>42482.600092592591</v>
      </c>
      <c r="B3053" s="8" t="str">
        <f>HYPERLINK("https://twitter.com/KillianMurphy2","@KillianMurphy2")</f>
        <v>@KillianMurphy2</v>
      </c>
      <c r="C3053" s="9" t="s">
        <v>7521</v>
      </c>
      <c r="D3053" s="9" t="s">
        <v>7522</v>
      </c>
      <c r="E3053" s="10" t="str">
        <f>HYPERLINK("https://twitter.com/KillianMurphy2/status/723434700518236160","723434700518236160")</f>
        <v>723434700518236160</v>
      </c>
      <c r="F3053" s="11" t="s">
        <v>20</v>
      </c>
      <c r="G3053" s="11">
        <v>358</v>
      </c>
      <c r="H3053" s="11">
        <v>833</v>
      </c>
      <c r="I3053" s="11">
        <v>1</v>
      </c>
      <c r="J3053" s="11">
        <v>0</v>
      </c>
      <c r="K3053" s="11" t="s">
        <v>21</v>
      </c>
      <c r="L3053" s="7">
        <v>40798.078657407408</v>
      </c>
      <c r="M3053" s="12" t="s">
        <v>7523</v>
      </c>
      <c r="N3053" s="12" t="s">
        <v>7524</v>
      </c>
      <c r="O3053" s="10" t="str">
        <f>HYPERLINK("https://pbs.twimg.com/profile_images/570022305553887232/uyEn4tET_normal.jpeg","View")</f>
        <v>View</v>
      </c>
      <c r="P3053" s="11"/>
    </row>
    <row r="3054" spans="1:16" ht="12.75" x14ac:dyDescent="0.35">
      <c r="A3054" s="7">
        <v>42482.600150462968</v>
      </c>
      <c r="B3054" s="8" t="str">
        <f>HYPERLINK("https://twitter.com/janduesseldorff","@janduesseldorff")</f>
        <v>@janduesseldorff</v>
      </c>
      <c r="C3054" s="9" t="s">
        <v>7525</v>
      </c>
      <c r="D3054" s="9" t="s">
        <v>7526</v>
      </c>
      <c r="E3054" s="10" t="str">
        <f>HYPERLINK("https://twitter.com/janduesseldorff/status/723434724304117760","723434724304117760")</f>
        <v>723434724304117760</v>
      </c>
      <c r="F3054" s="11" t="s">
        <v>48</v>
      </c>
      <c r="G3054" s="11">
        <v>316</v>
      </c>
      <c r="H3054" s="11">
        <v>350</v>
      </c>
      <c r="I3054" s="11">
        <v>0</v>
      </c>
      <c r="J3054" s="11">
        <v>0</v>
      </c>
      <c r="K3054" s="11" t="s">
        <v>21</v>
      </c>
      <c r="L3054" s="7">
        <v>42211.056284722217</v>
      </c>
      <c r="M3054" s="12"/>
      <c r="N3054" s="12" t="s">
        <v>7527</v>
      </c>
      <c r="O3054" s="10" t="str">
        <f>HYPERLINK("https://pbs.twimg.com/profile_images/682116805423435776/QR92Hz72_normal.jpg","View")</f>
        <v>View</v>
      </c>
      <c r="P3054" s="11"/>
    </row>
    <row r="3055" spans="1:16" ht="12.75" x14ac:dyDescent="0.35">
      <c r="A3055" s="7">
        <v>42482.600486111114</v>
      </c>
      <c r="B3055" s="8" t="str">
        <f>HYPERLINK("https://twitter.com/Mphilpot1","@Mphilpot1")</f>
        <v>@Mphilpot1</v>
      </c>
      <c r="C3055" s="9" t="s">
        <v>1280</v>
      </c>
      <c r="D3055" s="9" t="s">
        <v>7528</v>
      </c>
      <c r="E3055" s="10" t="str">
        <f>HYPERLINK("https://twitter.com/Mphilpot1/status/723434845355941888","723434845355941888")</f>
        <v>723434845355941888</v>
      </c>
      <c r="F3055" s="11" t="s">
        <v>34</v>
      </c>
      <c r="G3055" s="11">
        <v>113</v>
      </c>
      <c r="H3055" s="11">
        <v>141</v>
      </c>
      <c r="I3055" s="11">
        <v>0</v>
      </c>
      <c r="J3055" s="11">
        <v>0</v>
      </c>
      <c r="K3055" s="11" t="s">
        <v>21</v>
      </c>
      <c r="L3055" s="7">
        <v>41137.855208333334</v>
      </c>
      <c r="M3055" s="12"/>
      <c r="N3055" s="12"/>
      <c r="O3055" s="10" t="str">
        <f>HYPERLINK("https://pbs.twimg.com/profile_images/422164778639839234/LVnS1q1c_normal.jpeg","View")</f>
        <v>View</v>
      </c>
      <c r="P3055" s="11"/>
    </row>
    <row r="3056" spans="1:16" ht="12.75" x14ac:dyDescent="0.35">
      <c r="A3056" s="7">
        <v>42482.60056712963</v>
      </c>
      <c r="B3056" s="8" t="str">
        <f>HYPERLINK("https://twitter.com/gellis18","@gellis18")</f>
        <v>@gellis18</v>
      </c>
      <c r="C3056" s="9" t="s">
        <v>7529</v>
      </c>
      <c r="D3056" s="9" t="s">
        <v>7189</v>
      </c>
      <c r="E3056" s="10" t="str">
        <f>HYPERLINK("https://twitter.com/gellis18/status/723434873084481536","723434873084481536")</f>
        <v>723434873084481536</v>
      </c>
      <c r="F3056" s="11" t="s">
        <v>43</v>
      </c>
      <c r="G3056" s="11">
        <v>282</v>
      </c>
      <c r="H3056" s="11">
        <v>370</v>
      </c>
      <c r="I3056" s="11">
        <v>8</v>
      </c>
      <c r="J3056" s="11">
        <v>0</v>
      </c>
      <c r="K3056" s="11" t="s">
        <v>21</v>
      </c>
      <c r="L3056" s="7">
        <v>41382.077372685184</v>
      </c>
      <c r="M3056" s="12" t="s">
        <v>7530</v>
      </c>
      <c r="N3056" s="12" t="s">
        <v>7531</v>
      </c>
      <c r="O3056" s="10" t="str">
        <f>HYPERLINK("https://pbs.twimg.com/profile_images/705911078744621056/rgqbjoIr_normal.jpg","View")</f>
        <v>View</v>
      </c>
      <c r="P3056" s="11"/>
    </row>
    <row r="3057" spans="1:16" ht="12.75" x14ac:dyDescent="0.35">
      <c r="A3057" s="7">
        <v>42482.601087962961</v>
      </c>
      <c r="B3057" s="8" t="str">
        <f>HYPERLINK("https://twitter.com/VWBeetleSales","@VWBeetleSales")</f>
        <v>@VWBeetleSales</v>
      </c>
      <c r="C3057" s="9" t="s">
        <v>127</v>
      </c>
      <c r="D3057" s="9" t="s">
        <v>7532</v>
      </c>
      <c r="E3057" s="10" t="str">
        <f>HYPERLINK("https://twitter.com/VWBeetleSales/status/723435061291278337","723435061291278337")</f>
        <v>723435061291278337</v>
      </c>
      <c r="F3057" s="10" t="s">
        <v>124</v>
      </c>
      <c r="G3057" s="11">
        <v>35</v>
      </c>
      <c r="H3057" s="11">
        <v>32</v>
      </c>
      <c r="I3057" s="11">
        <v>1</v>
      </c>
      <c r="J3057" s="11">
        <v>0</v>
      </c>
      <c r="K3057" s="11" t="s">
        <v>21</v>
      </c>
      <c r="L3057" s="7">
        <v>42427.019756944443</v>
      </c>
      <c r="M3057" s="12" t="s">
        <v>129</v>
      </c>
      <c r="N3057" s="12" t="s">
        <v>130</v>
      </c>
      <c r="O3057" s="10" t="str">
        <f>HYPERLINK("https://pbs.twimg.com/profile_images/703294545195307008/qeCvrX86_normal.jpg","View")</f>
        <v>View</v>
      </c>
      <c r="P3057" s="11"/>
    </row>
    <row r="3058" spans="1:16" ht="12.75" x14ac:dyDescent="0.35">
      <c r="A3058" s="7">
        <v>42482.601342592592</v>
      </c>
      <c r="B3058" s="8" t="str">
        <f>HYPERLINK("https://twitter.com/1815_online","@1815_online")</f>
        <v>@1815_online</v>
      </c>
      <c r="C3058" s="8" t="s">
        <v>7533</v>
      </c>
      <c r="D3058" s="9" t="s">
        <v>7534</v>
      </c>
      <c r="E3058" s="10" t="str">
        <f>HYPERLINK("https://twitter.com/1815_online/status/723435156049039362","723435156049039362")</f>
        <v>723435156049039362</v>
      </c>
      <c r="F3058" s="11" t="s">
        <v>43</v>
      </c>
      <c r="G3058" s="11">
        <v>1451</v>
      </c>
      <c r="H3058" s="11">
        <v>191</v>
      </c>
      <c r="I3058" s="11">
        <v>0</v>
      </c>
      <c r="J3058" s="11">
        <v>0</v>
      </c>
      <c r="K3058" s="11" t="s">
        <v>21</v>
      </c>
      <c r="L3058" s="7">
        <v>40512.90115740741</v>
      </c>
      <c r="M3058" s="12" t="s">
        <v>7535</v>
      </c>
      <c r="N3058" s="12" t="s">
        <v>7536</v>
      </c>
      <c r="O3058" s="10" t="str">
        <f>HYPERLINK("https://pbs.twimg.com/profile_images/1665847531/twitter_normal.png","View")</f>
        <v>View</v>
      </c>
      <c r="P3058" s="11"/>
    </row>
    <row r="3059" spans="1:16" ht="12.75" x14ac:dyDescent="0.35">
      <c r="A3059" s="7">
        <v>42482.601643518516</v>
      </c>
      <c r="B3059" s="8" t="str">
        <f>HYPERLINK("https://twitter.com/Woogpirat","@Woogpirat")</f>
        <v>@Woogpirat</v>
      </c>
      <c r="C3059" s="9" t="s">
        <v>7537</v>
      </c>
      <c r="D3059" s="9" t="s">
        <v>7189</v>
      </c>
      <c r="E3059" s="10" t="str">
        <f>HYPERLINK("https://twitter.com/Woogpirat/status/723435265369333760","723435265369333760")</f>
        <v>723435265369333760</v>
      </c>
      <c r="F3059" s="11" t="s">
        <v>48</v>
      </c>
      <c r="G3059" s="11">
        <v>106</v>
      </c>
      <c r="H3059" s="11">
        <v>104</v>
      </c>
      <c r="I3059" s="11">
        <v>8</v>
      </c>
      <c r="J3059" s="11">
        <v>0</v>
      </c>
      <c r="K3059" s="11" t="s">
        <v>21</v>
      </c>
      <c r="L3059" s="7">
        <v>40508.962337962963</v>
      </c>
      <c r="M3059" s="12" t="s">
        <v>7538</v>
      </c>
      <c r="N3059" s="12" t="s">
        <v>7539</v>
      </c>
      <c r="O3059" s="10" t="str">
        <f>HYPERLINK("https://pbs.twimg.com/profile_images/722841554172428288/qqVagYHE_normal.jpg","View")</f>
        <v>View</v>
      </c>
      <c r="P3059" s="11"/>
    </row>
    <row r="3060" spans="1:16" ht="12.75" x14ac:dyDescent="0.35">
      <c r="A3060" s="7">
        <v>42482.602164351847</v>
      </c>
      <c r="B3060" s="8" t="str">
        <f>HYPERLINK("https://twitter.com/VolkswagenPost","@VolkswagenPost")</f>
        <v>@VolkswagenPost</v>
      </c>
      <c r="C3060" s="9" t="s">
        <v>321</v>
      </c>
      <c r="D3060" s="9" t="s">
        <v>7540</v>
      </c>
      <c r="E3060" s="10" t="str">
        <f>HYPERLINK("https://twitter.com/VolkswagenPost/status/723435453945257985","723435453945257985")</f>
        <v>723435453945257985</v>
      </c>
      <c r="F3060" s="11" t="s">
        <v>34</v>
      </c>
      <c r="G3060" s="11">
        <v>571</v>
      </c>
      <c r="H3060" s="11">
        <v>446</v>
      </c>
      <c r="I3060" s="11">
        <v>0</v>
      </c>
      <c r="J3060" s="11">
        <v>0</v>
      </c>
      <c r="K3060" s="11" t="s">
        <v>21</v>
      </c>
      <c r="L3060" s="7">
        <v>41940.618379629632</v>
      </c>
      <c r="M3060" s="12"/>
      <c r="N3060" s="12"/>
      <c r="O3060" s="10" t="str">
        <f>HYPERLINK("https://pbs.twimg.com/profile_images/530071272881803264/a_jcCmPZ_normal.png","View")</f>
        <v>View</v>
      </c>
      <c r="P3060" s="11"/>
    </row>
    <row r="3061" spans="1:16" ht="12.75" x14ac:dyDescent="0.35">
      <c r="A3061" s="7">
        <v>42482.60224537037</v>
      </c>
      <c r="B3061" s="8" t="str">
        <f>HYPERLINK("https://twitter.com/MiManske","@MiManske")</f>
        <v>@MiManske</v>
      </c>
      <c r="C3061" s="9" t="s">
        <v>1409</v>
      </c>
      <c r="D3061" s="9" t="s">
        <v>7541</v>
      </c>
      <c r="E3061" s="10" t="str">
        <f>HYPERLINK("https://twitter.com/MiManske/status/723435483154391041","723435483154391041")</f>
        <v>723435483154391041</v>
      </c>
      <c r="F3061" s="11" t="s">
        <v>43</v>
      </c>
      <c r="G3061" s="11">
        <v>1311</v>
      </c>
      <c r="H3061" s="11">
        <v>796</v>
      </c>
      <c r="I3061" s="11">
        <v>0</v>
      </c>
      <c r="J3061" s="11">
        <v>0</v>
      </c>
      <c r="K3061" s="11" t="s">
        <v>21</v>
      </c>
      <c r="L3061" s="7">
        <v>40522.240474537037</v>
      </c>
      <c r="M3061" s="12" t="s">
        <v>1411</v>
      </c>
      <c r="N3061" s="12" t="s">
        <v>1412</v>
      </c>
      <c r="O3061" s="10" t="str">
        <f>HYPERLINK("https://pbs.twimg.com/profile_images/652191269934993408/5bZKOI8y_normal.jpg","View")</f>
        <v>View</v>
      </c>
      <c r="P3061" s="11"/>
    </row>
    <row r="3062" spans="1:16" ht="12.75" x14ac:dyDescent="0.35">
      <c r="A3062" s="7">
        <v>42482.603865740741</v>
      </c>
      <c r="B3062" s="8" t="str">
        <f>HYPERLINK("https://twitter.com/5StarChickMeem","@5StarChickMeem")</f>
        <v>@5StarChickMeem</v>
      </c>
      <c r="C3062" s="9" t="s">
        <v>7542</v>
      </c>
      <c r="D3062" s="9" t="s">
        <v>151</v>
      </c>
      <c r="E3062" s="10" t="str">
        <f>HYPERLINK("https://twitter.com/5StarChickMeem/status/723436071007055872","723436071007055872")</f>
        <v>723436071007055872</v>
      </c>
      <c r="F3062" s="11" t="s">
        <v>48</v>
      </c>
      <c r="G3062" s="11">
        <v>519</v>
      </c>
      <c r="H3062" s="11">
        <v>227</v>
      </c>
      <c r="I3062" s="11">
        <v>17</v>
      </c>
      <c r="J3062" s="11">
        <v>0</v>
      </c>
      <c r="K3062" s="11" t="s">
        <v>21</v>
      </c>
      <c r="L3062" s="7">
        <v>39960.602534722224</v>
      </c>
      <c r="M3062" s="12" t="s">
        <v>7543</v>
      </c>
      <c r="N3062" s="12" t="s">
        <v>7544</v>
      </c>
      <c r="O3062" s="10" t="str">
        <f>HYPERLINK("https://pbs.twimg.com/profile_images/542750047444955136/ZZDxu4BV_normal.jpeg","View")</f>
        <v>View</v>
      </c>
      <c r="P3062" s="11"/>
    </row>
    <row r="3063" spans="1:16" ht="12.75" x14ac:dyDescent="0.35">
      <c r="A3063" s="7">
        <v>42482.604178240741</v>
      </c>
      <c r="B3063" s="8" t="str">
        <f>HYPERLINK("https://twitter.com/WrexhamVW","@WrexhamVW")</f>
        <v>@WrexhamVW</v>
      </c>
      <c r="C3063" s="9" t="s">
        <v>4038</v>
      </c>
      <c r="D3063" s="9" t="s">
        <v>7545</v>
      </c>
      <c r="E3063" s="10" t="str">
        <f>HYPERLINK("https://twitter.com/WrexhamVW/status/723436184106463232","723436184106463232")</f>
        <v>723436184106463232</v>
      </c>
      <c r="F3063" s="11" t="s">
        <v>140</v>
      </c>
      <c r="G3063" s="11">
        <v>3135</v>
      </c>
      <c r="H3063" s="11">
        <v>2900</v>
      </c>
      <c r="I3063" s="11">
        <v>0</v>
      </c>
      <c r="J3063" s="11">
        <v>0</v>
      </c>
      <c r="K3063" s="11" t="s">
        <v>21</v>
      </c>
      <c r="L3063" s="7">
        <v>41057.694652777776</v>
      </c>
      <c r="M3063" s="12" t="s">
        <v>4040</v>
      </c>
      <c r="N3063" s="12" t="s">
        <v>4041</v>
      </c>
      <c r="O3063" s="10" t="str">
        <f>HYPERLINK("https://pbs.twimg.com/profile_images/488719995401027584/VzWWQNs__normal.jpeg","View")</f>
        <v>View</v>
      </c>
      <c r="P3063" s="11"/>
    </row>
    <row r="3064" spans="1:16" ht="12.75" x14ac:dyDescent="0.35">
      <c r="A3064" s="7">
        <v>42482.604178240741</v>
      </c>
      <c r="B3064" s="8" t="str">
        <f>HYPERLINK("https://twitter.com/swanswaygroup","@swanswaygroup")</f>
        <v>@swanswaygroup</v>
      </c>
      <c r="C3064" s="9" t="s">
        <v>2558</v>
      </c>
      <c r="D3064" s="9" t="s">
        <v>7546</v>
      </c>
      <c r="E3064" s="10" t="str">
        <f>HYPERLINK("https://twitter.com/swanswaygroup/status/723436184123244544","723436184123244544")</f>
        <v>723436184123244544</v>
      </c>
      <c r="F3064" s="11" t="s">
        <v>140</v>
      </c>
      <c r="G3064" s="11">
        <v>6195</v>
      </c>
      <c r="H3064" s="11">
        <v>4459</v>
      </c>
      <c r="I3064" s="11">
        <v>0</v>
      </c>
      <c r="J3064" s="11">
        <v>0</v>
      </c>
      <c r="K3064" s="11" t="s">
        <v>21</v>
      </c>
      <c r="L3064" s="7">
        <v>40137.651365740741</v>
      </c>
      <c r="M3064" s="12" t="s">
        <v>2560</v>
      </c>
      <c r="N3064" s="12" t="s">
        <v>2561</v>
      </c>
      <c r="O3064" s="10" t="str">
        <f>HYPERLINK("https://pbs.twimg.com/profile_images/552037189328982016/r65JRGTS_normal.jpeg","View")</f>
        <v>View</v>
      </c>
      <c r="P3064" s="11"/>
    </row>
    <row r="3065" spans="1:16" ht="12.75" x14ac:dyDescent="0.35">
      <c r="A3065" s="7">
        <v>42482.604247685187</v>
      </c>
      <c r="B3065" s="8" t="str">
        <f>HYPERLINK("https://twitter.com/VWCamperSales","@VWCamperSales")</f>
        <v>@VWCamperSales</v>
      </c>
      <c r="C3065" s="9" t="s">
        <v>216</v>
      </c>
      <c r="D3065" s="9" t="s">
        <v>7547</v>
      </c>
      <c r="E3065" s="10" t="str">
        <f>HYPERLINK("https://twitter.com/VWCamperSales/status/723436209087770627","723436209087770627")</f>
        <v>723436209087770627</v>
      </c>
      <c r="F3065" s="10" t="s">
        <v>124</v>
      </c>
      <c r="G3065" s="11">
        <v>615</v>
      </c>
      <c r="H3065" s="11">
        <v>580</v>
      </c>
      <c r="I3065" s="11">
        <v>0</v>
      </c>
      <c r="J3065" s="11">
        <v>0</v>
      </c>
      <c r="K3065" s="11" t="s">
        <v>21</v>
      </c>
      <c r="L3065" s="7">
        <v>42215.98809027778</v>
      </c>
      <c r="M3065" s="12" t="s">
        <v>129</v>
      </c>
      <c r="N3065" s="12" t="s">
        <v>218</v>
      </c>
      <c r="O3065" s="10" t="str">
        <f>HYPERLINK("https://pbs.twimg.com/profile_images/627949001179037696/skEBkS05_normal.jpg","View")</f>
        <v>View</v>
      </c>
      <c r="P3065" s="11"/>
    </row>
    <row r="3066" spans="1:16" ht="12.75" x14ac:dyDescent="0.35">
      <c r="A3066" s="7">
        <v>42482.605092592596</v>
      </c>
      <c r="B3066" s="8" t="str">
        <f>HYPERLINK("https://twitter.com/mightybuyer","@mightybuyer")</f>
        <v>@mightybuyer</v>
      </c>
      <c r="C3066" s="9" t="s">
        <v>7548</v>
      </c>
      <c r="D3066" s="9" t="s">
        <v>7549</v>
      </c>
      <c r="E3066" s="10" t="str">
        <f>HYPERLINK("https://twitter.com/mightybuyer/status/723436516295364608","723436516295364608")</f>
        <v>723436516295364608</v>
      </c>
      <c r="F3066" s="11" t="s">
        <v>20</v>
      </c>
      <c r="G3066" s="11">
        <v>54</v>
      </c>
      <c r="H3066" s="11">
        <v>512</v>
      </c>
      <c r="I3066" s="11">
        <v>0</v>
      </c>
      <c r="J3066" s="11">
        <v>0</v>
      </c>
      <c r="K3066" s="11" t="s">
        <v>21</v>
      </c>
      <c r="L3066" s="7">
        <v>41016.925127314811</v>
      </c>
      <c r="M3066" s="12"/>
      <c r="N3066" s="12"/>
      <c r="O3066" s="10" t="str">
        <f>HYPERLINK("https://pbs.twimg.com/profile_images/2755794784/46a2040b4700be620b431b6865fb340d_normal.jpeg","View")</f>
        <v>View</v>
      </c>
      <c r="P3066" s="11"/>
    </row>
    <row r="3067" spans="1:16" ht="12.75" x14ac:dyDescent="0.35">
      <c r="A3067" s="7">
        <v>42482.605115740742</v>
      </c>
      <c r="B3067" s="8" t="str">
        <f>HYPERLINK("https://twitter.com/peredaNacho2","@peredaNacho2")</f>
        <v>@peredaNacho2</v>
      </c>
      <c r="C3067" s="9" t="s">
        <v>7550</v>
      </c>
      <c r="D3067" s="9" t="s">
        <v>7551</v>
      </c>
      <c r="E3067" s="10" t="str">
        <f>HYPERLINK("https://twitter.com/peredaNacho2/status/723436524465876992","723436524465876992")</f>
        <v>723436524465876992</v>
      </c>
      <c r="F3067" s="11" t="s">
        <v>20</v>
      </c>
      <c r="G3067" s="11">
        <v>16</v>
      </c>
      <c r="H3067" s="11">
        <v>47</v>
      </c>
      <c r="I3067" s="11">
        <v>0</v>
      </c>
      <c r="J3067" s="11">
        <v>0</v>
      </c>
      <c r="K3067" s="11" t="s">
        <v>21</v>
      </c>
      <c r="L3067" s="7">
        <v>42331.092488425929</v>
      </c>
      <c r="M3067" s="12"/>
      <c r="N3067" s="12"/>
      <c r="O3067" s="10" t="str">
        <f>HYPERLINK("https://pbs.twimg.com/profile_images/669116973075341312/r8-po-CI_normal.jpg","View")</f>
        <v>View</v>
      </c>
      <c r="P3067" s="11"/>
    </row>
    <row r="3068" spans="1:16" ht="12.75" x14ac:dyDescent="0.35">
      <c r="A3068" s="7">
        <v>42482.60527777778</v>
      </c>
      <c r="B3068" s="8" t="str">
        <f>HYPERLINK("https://twitter.com/VWBeetleSales","@VWBeetleSales")</f>
        <v>@VWBeetleSales</v>
      </c>
      <c r="C3068" s="9" t="s">
        <v>127</v>
      </c>
      <c r="D3068" s="9" t="s">
        <v>7552</v>
      </c>
      <c r="E3068" s="10" t="str">
        <f>HYPERLINK("https://twitter.com/VWBeetleSales/status/723436580484993024","723436580484993024")</f>
        <v>723436580484993024</v>
      </c>
      <c r="F3068" s="10" t="s">
        <v>124</v>
      </c>
      <c r="G3068" s="11">
        <v>35</v>
      </c>
      <c r="H3068" s="11">
        <v>32</v>
      </c>
      <c r="I3068" s="11">
        <v>0</v>
      </c>
      <c r="J3068" s="11">
        <v>0</v>
      </c>
      <c r="K3068" s="11" t="s">
        <v>21</v>
      </c>
      <c r="L3068" s="7">
        <v>42427.019756944443</v>
      </c>
      <c r="M3068" s="12" t="s">
        <v>129</v>
      </c>
      <c r="N3068" s="12" t="s">
        <v>130</v>
      </c>
      <c r="O3068" s="10" t="str">
        <f>HYPERLINK("https://pbs.twimg.com/profile_images/703294545195307008/qeCvrX86_normal.jpg","View")</f>
        <v>View</v>
      </c>
      <c r="P3068" s="11"/>
    </row>
    <row r="3069" spans="1:16" ht="12.75" x14ac:dyDescent="0.35">
      <c r="A3069" s="7">
        <v>42482.60533564815</v>
      </c>
      <c r="B3069" s="8" t="str">
        <f>HYPERLINK("https://twitter.com/berendes59","@berendes59")</f>
        <v>@berendes59</v>
      </c>
      <c r="C3069" s="9" t="s">
        <v>7553</v>
      </c>
      <c r="D3069" s="9" t="s">
        <v>7554</v>
      </c>
      <c r="E3069" s="10" t="str">
        <f>HYPERLINK("https://twitter.com/berendes59/status/723436602882584578","723436602882584578")</f>
        <v>723436602882584578</v>
      </c>
      <c r="F3069" s="11" t="s">
        <v>48</v>
      </c>
      <c r="G3069" s="11">
        <v>10</v>
      </c>
      <c r="H3069" s="11">
        <v>31</v>
      </c>
      <c r="I3069" s="11">
        <v>0</v>
      </c>
      <c r="J3069" s="11">
        <v>0</v>
      </c>
      <c r="K3069" s="11" t="s">
        <v>21</v>
      </c>
      <c r="L3069" s="7">
        <v>42069.733587962968</v>
      </c>
      <c r="M3069" s="12" t="s">
        <v>5057</v>
      </c>
      <c r="N3069" s="12" t="s">
        <v>7555</v>
      </c>
      <c r="O3069" s="10" t="str">
        <f>HYPERLINK("https://pbs.twimg.com/profile_images/712241480937644032/oD5uEdC4_normal.jpg","View")</f>
        <v>View</v>
      </c>
      <c r="P3069" s="11"/>
    </row>
    <row r="3070" spans="1:16" ht="12.75" x14ac:dyDescent="0.35">
      <c r="A3070" s="7">
        <v>42482.605578703704</v>
      </c>
      <c r="B3070" s="8" t="str">
        <f>HYPERLINK("https://twitter.com/CarsSouthAfrica","@CarsSouthAfrica")</f>
        <v>@CarsSouthAfrica</v>
      </c>
      <c r="C3070" s="8" t="s">
        <v>7556</v>
      </c>
      <c r="D3070" s="9" t="s">
        <v>7557</v>
      </c>
      <c r="E3070" s="10" t="str">
        <f>HYPERLINK("https://twitter.com/CarsSouthAfrica/status/723436690790965248","723436690790965248")</f>
        <v>723436690790965248</v>
      </c>
      <c r="F3070" s="11" t="s">
        <v>140</v>
      </c>
      <c r="G3070" s="11">
        <v>121253</v>
      </c>
      <c r="H3070" s="11">
        <v>1149</v>
      </c>
      <c r="I3070" s="11">
        <v>1</v>
      </c>
      <c r="J3070" s="11">
        <v>2</v>
      </c>
      <c r="K3070" s="11" t="s">
        <v>21</v>
      </c>
      <c r="L3070" s="7">
        <v>40065.727939814817</v>
      </c>
      <c r="M3070" s="12" t="s">
        <v>2816</v>
      </c>
      <c r="N3070" s="12" t="s">
        <v>7558</v>
      </c>
      <c r="O3070" s="10" t="str">
        <f>HYPERLINK("https://pbs.twimg.com/profile_images/2201076564/profile-ro_normal.jpg","View")</f>
        <v>View</v>
      </c>
      <c r="P3070" s="11"/>
    </row>
    <row r="3071" spans="1:16" ht="12.75" x14ac:dyDescent="0.35">
      <c r="A3071" s="7">
        <v>42482.606261574074</v>
      </c>
      <c r="B3071" s="8" t="str">
        <f>HYPERLINK("https://twitter.com/twittonium","@twittonium")</f>
        <v>@twittonium</v>
      </c>
      <c r="C3071" s="9" t="s">
        <v>1457</v>
      </c>
      <c r="D3071" s="9" t="s">
        <v>7559</v>
      </c>
      <c r="E3071" s="10" t="str">
        <f>HYPERLINK("https://twitter.com/twittonium/status/723436939383173121","723436939383173121")</f>
        <v>723436939383173121</v>
      </c>
      <c r="F3071" s="11" t="s">
        <v>43</v>
      </c>
      <c r="G3071" s="11">
        <v>485</v>
      </c>
      <c r="H3071" s="11">
        <v>526</v>
      </c>
      <c r="I3071" s="11">
        <v>0</v>
      </c>
      <c r="J3071" s="11">
        <v>0</v>
      </c>
      <c r="K3071" s="11" t="s">
        <v>21</v>
      </c>
      <c r="L3071" s="7">
        <v>40440.49858796296</v>
      </c>
      <c r="M3071" s="12" t="s">
        <v>1458</v>
      </c>
      <c r="N3071" s="12" t="s">
        <v>1459</v>
      </c>
      <c r="O3071" s="10" t="str">
        <f>HYPERLINK("https://pbs.twimg.com/profile_images/662335141537280001/ZH4b_Zba_normal.png","View")</f>
        <v>View</v>
      </c>
      <c r="P3071" s="11"/>
    </row>
    <row r="3072" spans="1:16" ht="12.75" x14ac:dyDescent="0.35">
      <c r="A3072" s="7">
        <v>42482.606469907405</v>
      </c>
      <c r="B3072" s="8" t="str">
        <f>HYPERLINK("https://twitter.com/ratingwissen","@ratingwissen")</f>
        <v>@ratingwissen</v>
      </c>
      <c r="C3072" s="9" t="s">
        <v>7560</v>
      </c>
      <c r="D3072" s="9" t="s">
        <v>7561</v>
      </c>
      <c r="E3072" s="10" t="str">
        <f>HYPERLINK("https://twitter.com/ratingwissen/status/723437011877527552","723437011877527552")</f>
        <v>723437011877527552</v>
      </c>
      <c r="F3072" s="11" t="s">
        <v>43</v>
      </c>
      <c r="G3072" s="11">
        <v>1138</v>
      </c>
      <c r="H3072" s="11">
        <v>1408</v>
      </c>
      <c r="I3072" s="11">
        <v>2</v>
      </c>
      <c r="J3072" s="11">
        <v>0</v>
      </c>
      <c r="K3072" s="11" t="s">
        <v>21</v>
      </c>
      <c r="L3072" s="7">
        <v>39838.785011574073</v>
      </c>
      <c r="M3072" s="12" t="s">
        <v>964</v>
      </c>
      <c r="N3072" s="12" t="s">
        <v>7562</v>
      </c>
      <c r="O3072" s="10" t="str">
        <f>HYPERLINK("https://pbs.twimg.com/profile_images/1237269784/braatz_web_normal.jpg","View")</f>
        <v>View</v>
      </c>
      <c r="P3072" s="11"/>
    </row>
    <row r="3073" spans="1:16" ht="12.75" x14ac:dyDescent="0.35">
      <c r="A3073" s="7">
        <v>42482.60701388889</v>
      </c>
      <c r="B3073" s="8" t="str">
        <f>HYPERLINK("https://twitter.com/Boersenradar","@Boersenradar")</f>
        <v>@Boersenradar</v>
      </c>
      <c r="C3073" s="9" t="s">
        <v>4727</v>
      </c>
      <c r="D3073" s="9" t="s">
        <v>7563</v>
      </c>
      <c r="E3073" s="10" t="str">
        <f>HYPERLINK("https://twitter.com/Boersenradar/status/723437210444304385","723437210444304385")</f>
        <v>723437210444304385</v>
      </c>
      <c r="F3073" s="11" t="s">
        <v>43</v>
      </c>
      <c r="G3073" s="11">
        <v>2815</v>
      </c>
      <c r="H3073" s="11">
        <v>523</v>
      </c>
      <c r="I3073" s="11">
        <v>0</v>
      </c>
      <c r="J3073" s="11">
        <v>0</v>
      </c>
      <c r="K3073" s="11" t="s">
        <v>21</v>
      </c>
      <c r="L3073" s="7">
        <v>39919.758796296301</v>
      </c>
      <c r="M3073" s="12" t="s">
        <v>4729</v>
      </c>
      <c r="N3073" s="12" t="s">
        <v>4730</v>
      </c>
      <c r="O3073" s="10" t="str">
        <f>HYPERLINK("https://pbs.twimg.com/profile_images/648862182936047616/p6o1BlmC_normal.jpg","View")</f>
        <v>View</v>
      </c>
      <c r="P3073" s="11"/>
    </row>
    <row r="3074" spans="1:16" ht="12.75" x14ac:dyDescent="0.35">
      <c r="A3074" s="7">
        <v>42482.607407407406</v>
      </c>
      <c r="B3074" s="8" t="str">
        <f>HYPERLINK("https://twitter.com/Roterhai","@Roterhai")</f>
        <v>@Roterhai</v>
      </c>
      <c r="C3074" s="9" t="s">
        <v>7564</v>
      </c>
      <c r="D3074" s="9" t="s">
        <v>7561</v>
      </c>
      <c r="E3074" s="10" t="str">
        <f>HYPERLINK("https://twitter.com/Roterhai/status/723437352081719297","723437352081719297")</f>
        <v>723437352081719297</v>
      </c>
      <c r="F3074" s="11" t="s">
        <v>7565</v>
      </c>
      <c r="G3074" s="11">
        <v>1507</v>
      </c>
      <c r="H3074" s="11">
        <v>1256</v>
      </c>
      <c r="I3074" s="11">
        <v>2</v>
      </c>
      <c r="J3074" s="11">
        <v>0</v>
      </c>
      <c r="K3074" s="11" t="s">
        <v>21</v>
      </c>
      <c r="L3074" s="7">
        <v>39890.918194444443</v>
      </c>
      <c r="M3074" s="12"/>
      <c r="N3074" s="12" t="s">
        <v>7566</v>
      </c>
      <c r="O3074" s="10" t="str">
        <f>HYPERLINK("https://pbs.twimg.com/profile_images/524173985303785473/QMd16DWm_normal.jpeg","View")</f>
        <v>View</v>
      </c>
      <c r="P3074" s="11"/>
    </row>
    <row r="3075" spans="1:16" ht="12.75" x14ac:dyDescent="0.35">
      <c r="A3075" s="7">
        <v>42482.60765046296</v>
      </c>
      <c r="B3075" s="8" t="str">
        <f t="shared" ref="B3075:B3078" si="298">HYPERLINK("https://twitter.com/beetlebug1938","@beetlebug1938")</f>
        <v>@beetlebug1938</v>
      </c>
      <c r="C3075" s="9" t="s">
        <v>66</v>
      </c>
      <c r="D3075" s="9" t="s">
        <v>7567</v>
      </c>
      <c r="E3075" s="10" t="str">
        <f>HYPERLINK("https://twitter.com/beetlebug1938/status/723437440229240834","723437440229240834")</f>
        <v>723437440229240834</v>
      </c>
      <c r="F3075" s="11" t="s">
        <v>68</v>
      </c>
      <c r="G3075" s="11">
        <v>346</v>
      </c>
      <c r="H3075" s="11">
        <v>2222</v>
      </c>
      <c r="I3075" s="11">
        <v>0</v>
      </c>
      <c r="J3075" s="11">
        <v>1</v>
      </c>
      <c r="K3075" s="11" t="s">
        <v>21</v>
      </c>
      <c r="L3075" s="7">
        <v>42469.863865740743</v>
      </c>
      <c r="M3075" s="12" t="s">
        <v>69</v>
      </c>
      <c r="N3075" s="12"/>
      <c r="O3075" s="10" t="str">
        <f t="shared" ref="O3075:O3078" si="299">HYPERLINK("https://pbs.twimg.com/profile_images/718820712757215233/LXXndPTS_normal.jpg","View")</f>
        <v>View</v>
      </c>
      <c r="P3075" s="11"/>
    </row>
    <row r="3076" spans="1:16" ht="12.75" x14ac:dyDescent="0.35">
      <c r="A3076" s="7">
        <v>42482.607685185183</v>
      </c>
      <c r="B3076" s="8" t="str">
        <f t="shared" si="298"/>
        <v>@beetlebug1938</v>
      </c>
      <c r="C3076" s="9" t="s">
        <v>66</v>
      </c>
      <c r="D3076" s="9" t="s">
        <v>7568</v>
      </c>
      <c r="E3076" s="10" t="str">
        <f>HYPERLINK("https://twitter.com/beetlebug1938/status/723437452107485184","723437452107485184")</f>
        <v>723437452107485184</v>
      </c>
      <c r="F3076" s="11" t="s">
        <v>68</v>
      </c>
      <c r="G3076" s="11">
        <v>346</v>
      </c>
      <c r="H3076" s="11">
        <v>2222</v>
      </c>
      <c r="I3076" s="11">
        <v>0</v>
      </c>
      <c r="J3076" s="11">
        <v>0</v>
      </c>
      <c r="K3076" s="11" t="s">
        <v>21</v>
      </c>
      <c r="L3076" s="7">
        <v>42469.863865740743</v>
      </c>
      <c r="M3076" s="12" t="s">
        <v>69</v>
      </c>
      <c r="N3076" s="12"/>
      <c r="O3076" s="10" t="str">
        <f t="shared" si="299"/>
        <v>View</v>
      </c>
      <c r="P3076" s="11"/>
    </row>
    <row r="3077" spans="1:16" ht="12.75" x14ac:dyDescent="0.35">
      <c r="A3077" s="7">
        <v>42482.607719907406</v>
      </c>
      <c r="B3077" s="8" t="str">
        <f t="shared" si="298"/>
        <v>@beetlebug1938</v>
      </c>
      <c r="C3077" s="9" t="s">
        <v>66</v>
      </c>
      <c r="D3077" s="9" t="s">
        <v>7569</v>
      </c>
      <c r="E3077" s="10" t="str">
        <f>HYPERLINK("https://twitter.com/beetlebug1938/status/723437467731288065","723437467731288065")</f>
        <v>723437467731288065</v>
      </c>
      <c r="F3077" s="11" t="s">
        <v>68</v>
      </c>
      <c r="G3077" s="11">
        <v>346</v>
      </c>
      <c r="H3077" s="11">
        <v>2222</v>
      </c>
      <c r="I3077" s="11">
        <v>0</v>
      </c>
      <c r="J3077" s="11">
        <v>0</v>
      </c>
      <c r="K3077" s="11" t="s">
        <v>21</v>
      </c>
      <c r="L3077" s="7">
        <v>42469.863865740743</v>
      </c>
      <c r="M3077" s="12" t="s">
        <v>69</v>
      </c>
      <c r="N3077" s="12"/>
      <c r="O3077" s="10" t="str">
        <f t="shared" si="299"/>
        <v>View</v>
      </c>
      <c r="P3077" s="11"/>
    </row>
    <row r="3078" spans="1:16" ht="12.75" x14ac:dyDescent="0.35">
      <c r="A3078" s="7">
        <v>42482.607766203699</v>
      </c>
      <c r="B3078" s="8" t="str">
        <f t="shared" si="298"/>
        <v>@beetlebug1938</v>
      </c>
      <c r="C3078" s="9" t="s">
        <v>66</v>
      </c>
      <c r="D3078" s="9" t="s">
        <v>7570</v>
      </c>
      <c r="E3078" s="10" t="str">
        <f>HYPERLINK("https://twitter.com/beetlebug1938/status/723437482314854400","723437482314854400")</f>
        <v>723437482314854400</v>
      </c>
      <c r="F3078" s="11" t="s">
        <v>68</v>
      </c>
      <c r="G3078" s="11">
        <v>346</v>
      </c>
      <c r="H3078" s="11">
        <v>2222</v>
      </c>
      <c r="I3078" s="11">
        <v>0</v>
      </c>
      <c r="J3078" s="11">
        <v>0</v>
      </c>
      <c r="K3078" s="11" t="s">
        <v>21</v>
      </c>
      <c r="L3078" s="7">
        <v>42469.863865740743</v>
      </c>
      <c r="M3078" s="12" t="s">
        <v>69</v>
      </c>
      <c r="N3078" s="12"/>
      <c r="O3078" s="10" t="str">
        <f t="shared" si="299"/>
        <v>View</v>
      </c>
      <c r="P3078" s="11"/>
    </row>
    <row r="3079" spans="1:16" ht="12.75" x14ac:dyDescent="0.35">
      <c r="A3079" s="7">
        <v>42482.607847222222</v>
      </c>
      <c r="B3079" s="8" t="str">
        <f>HYPERLINK("https://twitter.com/uk_barn_finds","@uk_barn_finds")</f>
        <v>@uk_barn_finds</v>
      </c>
      <c r="C3079" s="9" t="s">
        <v>2615</v>
      </c>
      <c r="D3079" s="9" t="s">
        <v>7571</v>
      </c>
      <c r="E3079" s="10" t="str">
        <f>HYPERLINK("https://twitter.com/uk_barn_finds/status/723437513528905729","723437513528905729")</f>
        <v>723437513528905729</v>
      </c>
      <c r="F3079" s="11" t="s">
        <v>7572</v>
      </c>
      <c r="G3079" s="11">
        <v>430</v>
      </c>
      <c r="H3079" s="11">
        <v>189</v>
      </c>
      <c r="I3079" s="11">
        <v>0</v>
      </c>
      <c r="J3079" s="11">
        <v>0</v>
      </c>
      <c r="K3079" s="11" t="s">
        <v>21</v>
      </c>
      <c r="L3079" s="7">
        <v>41785.105671296296</v>
      </c>
      <c r="M3079" s="12" t="s">
        <v>7573</v>
      </c>
      <c r="N3079" s="12" t="s">
        <v>7574</v>
      </c>
      <c r="O3079" s="10" t="str">
        <f>HYPERLINK("https://pbs.twimg.com/profile_images/674735994638348289/svf5Ietj_normal.jpg","View")</f>
        <v>View</v>
      </c>
      <c r="P3079" s="11"/>
    </row>
    <row r="3080" spans="1:16" ht="12.75" x14ac:dyDescent="0.35">
      <c r="A3080" s="7">
        <v>42482.607893518521</v>
      </c>
      <c r="B3080" s="8" t="str">
        <f t="shared" ref="B3080:B3083" si="300">HYPERLINK("https://twitter.com/beetlebug1938","@beetlebug1938")</f>
        <v>@beetlebug1938</v>
      </c>
      <c r="C3080" s="9" t="s">
        <v>66</v>
      </c>
      <c r="D3080" s="9" t="s">
        <v>7575</v>
      </c>
      <c r="E3080" s="10" t="str">
        <f>HYPERLINK("https://twitter.com/beetlebug1938/status/723437531140747264","723437531140747264")</f>
        <v>723437531140747264</v>
      </c>
      <c r="F3080" s="11" t="s">
        <v>68</v>
      </c>
      <c r="G3080" s="11">
        <v>346</v>
      </c>
      <c r="H3080" s="11">
        <v>2222</v>
      </c>
      <c r="I3080" s="11">
        <v>0</v>
      </c>
      <c r="J3080" s="11">
        <v>0</v>
      </c>
      <c r="K3080" s="11" t="s">
        <v>21</v>
      </c>
      <c r="L3080" s="7">
        <v>42469.863865740743</v>
      </c>
      <c r="M3080" s="12" t="s">
        <v>69</v>
      </c>
      <c r="N3080" s="12"/>
      <c r="O3080" s="10" t="str">
        <f t="shared" ref="O3080:O3083" si="301">HYPERLINK("https://pbs.twimg.com/profile_images/718820712757215233/LXXndPTS_normal.jpg","View")</f>
        <v>View</v>
      </c>
      <c r="P3080" s="11"/>
    </row>
    <row r="3081" spans="1:16" ht="12.75" x14ac:dyDescent="0.35">
      <c r="A3081" s="7">
        <v>42482.607951388884</v>
      </c>
      <c r="B3081" s="8" t="str">
        <f t="shared" si="300"/>
        <v>@beetlebug1938</v>
      </c>
      <c r="C3081" s="9" t="s">
        <v>66</v>
      </c>
      <c r="D3081" s="9" t="s">
        <v>7576</v>
      </c>
      <c r="E3081" s="10" t="str">
        <f>HYPERLINK("https://twitter.com/beetlebug1938/status/723437549692162053","723437549692162053")</f>
        <v>723437549692162053</v>
      </c>
      <c r="F3081" s="11" t="s">
        <v>68</v>
      </c>
      <c r="G3081" s="11">
        <v>346</v>
      </c>
      <c r="H3081" s="11">
        <v>2222</v>
      </c>
      <c r="I3081" s="11">
        <v>0</v>
      </c>
      <c r="J3081" s="11">
        <v>0</v>
      </c>
      <c r="K3081" s="11" t="s">
        <v>21</v>
      </c>
      <c r="L3081" s="7">
        <v>42469.863865740743</v>
      </c>
      <c r="M3081" s="12" t="s">
        <v>69</v>
      </c>
      <c r="N3081" s="12"/>
      <c r="O3081" s="10" t="str">
        <f t="shared" si="301"/>
        <v>View</v>
      </c>
      <c r="P3081" s="11"/>
    </row>
    <row r="3082" spans="1:16" ht="12.75" x14ac:dyDescent="0.35">
      <c r="A3082" s="7">
        <v>42482.60800925926</v>
      </c>
      <c r="B3082" s="8" t="str">
        <f t="shared" si="300"/>
        <v>@beetlebug1938</v>
      </c>
      <c r="C3082" s="9" t="s">
        <v>66</v>
      </c>
      <c r="D3082" s="9" t="s">
        <v>7577</v>
      </c>
      <c r="E3082" s="10" t="str">
        <f>HYPERLINK("https://twitter.com/beetlebug1938/status/723437570923720704","723437570923720704")</f>
        <v>723437570923720704</v>
      </c>
      <c r="F3082" s="11" t="s">
        <v>68</v>
      </c>
      <c r="G3082" s="11">
        <v>346</v>
      </c>
      <c r="H3082" s="11">
        <v>2222</v>
      </c>
      <c r="I3082" s="11">
        <v>1</v>
      </c>
      <c r="J3082" s="11">
        <v>0</v>
      </c>
      <c r="K3082" s="11" t="s">
        <v>21</v>
      </c>
      <c r="L3082" s="7">
        <v>42469.863865740743</v>
      </c>
      <c r="M3082" s="12" t="s">
        <v>69</v>
      </c>
      <c r="N3082" s="12"/>
      <c r="O3082" s="10" t="str">
        <f t="shared" si="301"/>
        <v>View</v>
      </c>
      <c r="P3082" s="11"/>
    </row>
    <row r="3083" spans="1:16" ht="12.75" x14ac:dyDescent="0.35">
      <c r="A3083" s="7">
        <v>42482.608055555553</v>
      </c>
      <c r="B3083" s="8" t="str">
        <f t="shared" si="300"/>
        <v>@beetlebug1938</v>
      </c>
      <c r="C3083" s="9" t="s">
        <v>66</v>
      </c>
      <c r="D3083" s="9" t="s">
        <v>7578</v>
      </c>
      <c r="E3083" s="10" t="str">
        <f>HYPERLINK("https://twitter.com/beetlebug1938/status/723437589357711360","723437589357711360")</f>
        <v>723437589357711360</v>
      </c>
      <c r="F3083" s="11" t="s">
        <v>68</v>
      </c>
      <c r="G3083" s="11">
        <v>346</v>
      </c>
      <c r="H3083" s="11">
        <v>2222</v>
      </c>
      <c r="I3083" s="11">
        <v>0</v>
      </c>
      <c r="J3083" s="11">
        <v>0</v>
      </c>
      <c r="K3083" s="11" t="s">
        <v>21</v>
      </c>
      <c r="L3083" s="7">
        <v>42469.863865740743</v>
      </c>
      <c r="M3083" s="12" t="s">
        <v>69</v>
      </c>
      <c r="N3083" s="12"/>
      <c r="O3083" s="10" t="str">
        <f t="shared" si="301"/>
        <v>View</v>
      </c>
      <c r="P3083" s="11"/>
    </row>
    <row r="3084" spans="1:16" ht="12.75" x14ac:dyDescent="0.35">
      <c r="A3084" s="7">
        <v>42482.608287037037</v>
      </c>
      <c r="B3084" s="8" t="str">
        <f>HYPERLINK("https://twitter.com/TalaQaraeen","@TalaQaraeen")</f>
        <v>@TalaQaraeen</v>
      </c>
      <c r="C3084" s="9" t="s">
        <v>7579</v>
      </c>
      <c r="D3084" s="9" t="s">
        <v>7580</v>
      </c>
      <c r="E3084" s="10" t="str">
        <f>HYPERLINK("https://twitter.com/TalaQaraeen/status/723437673776476160","723437673776476160")</f>
        <v>723437673776476160</v>
      </c>
      <c r="F3084" s="11" t="s">
        <v>20</v>
      </c>
      <c r="G3084" s="11">
        <v>896</v>
      </c>
      <c r="H3084" s="11">
        <v>615</v>
      </c>
      <c r="I3084" s="11">
        <v>0</v>
      </c>
      <c r="J3084" s="11">
        <v>0</v>
      </c>
      <c r="K3084" s="11" t="s">
        <v>21</v>
      </c>
      <c r="L3084" s="7">
        <v>40490.015300925923</v>
      </c>
      <c r="M3084" s="12" t="s">
        <v>7543</v>
      </c>
      <c r="N3084" s="12" t="s">
        <v>7581</v>
      </c>
      <c r="O3084" s="10" t="str">
        <f>HYPERLINK("https://pbs.twimg.com/profile_images/698905236400795648/bYJ_fyQI_normal.jpg","View")</f>
        <v>View</v>
      </c>
      <c r="P3084" s="11"/>
    </row>
    <row r="3085" spans="1:16" ht="12.75" x14ac:dyDescent="0.35">
      <c r="A3085" s="7">
        <v>42482.609351851846</v>
      </c>
      <c r="B3085" s="8" t="str">
        <f>HYPERLINK("https://twitter.com/RFN19","@RFN19")</f>
        <v>@RFN19</v>
      </c>
      <c r="C3085" s="9" t="s">
        <v>6663</v>
      </c>
      <c r="D3085" s="9" t="s">
        <v>7582</v>
      </c>
      <c r="E3085" s="10" t="str">
        <f>HYPERLINK("https://twitter.com/RFN19/status/723438058918408193","723438058918408193")</f>
        <v>723438058918408193</v>
      </c>
      <c r="F3085" s="11" t="s">
        <v>43</v>
      </c>
      <c r="G3085" s="11">
        <v>468</v>
      </c>
      <c r="H3085" s="11">
        <v>263</v>
      </c>
      <c r="I3085" s="11">
        <v>0</v>
      </c>
      <c r="J3085" s="11">
        <v>0</v>
      </c>
      <c r="K3085" s="11" t="s">
        <v>21</v>
      </c>
      <c r="L3085" s="7">
        <v>41188.796724537038</v>
      </c>
      <c r="M3085" s="12" t="s">
        <v>6665</v>
      </c>
      <c r="N3085" s="12" t="s">
        <v>6666</v>
      </c>
      <c r="O3085" s="10" t="str">
        <f>HYPERLINK("https://pbs.twimg.com/profile_images/571872729201012736/GOT-p0KX_normal.jpeg","View")</f>
        <v>View</v>
      </c>
      <c r="P3085" s="11"/>
    </row>
    <row r="3086" spans="1:16" ht="12.75" x14ac:dyDescent="0.35">
      <c r="A3086" s="7">
        <v>42482.609467592592</v>
      </c>
      <c r="B3086" s="8" t="str">
        <f>HYPERLINK("https://twitter.com/Mfundo_Jobe","@Mfundo_Jobe")</f>
        <v>@Mfundo_Jobe</v>
      </c>
      <c r="C3086" s="9" t="s">
        <v>7583</v>
      </c>
      <c r="D3086" s="9" t="s">
        <v>7584</v>
      </c>
      <c r="E3086" s="10" t="str">
        <f>HYPERLINK("https://twitter.com/Mfundo_Jobe/status/723438098676248578","723438098676248578")</f>
        <v>723438098676248578</v>
      </c>
      <c r="F3086" s="11" t="s">
        <v>48</v>
      </c>
      <c r="G3086" s="11">
        <v>363</v>
      </c>
      <c r="H3086" s="11">
        <v>1151</v>
      </c>
      <c r="I3086" s="11">
        <v>1</v>
      </c>
      <c r="J3086" s="11">
        <v>0</v>
      </c>
      <c r="K3086" s="11" t="s">
        <v>21</v>
      </c>
      <c r="L3086" s="7">
        <v>42374.092442129629</v>
      </c>
      <c r="M3086" s="12" t="s">
        <v>1267</v>
      </c>
      <c r="N3086" s="12" t="s">
        <v>7585</v>
      </c>
      <c r="O3086" s="10" t="str">
        <f>HYPERLINK("https://pbs.twimg.com/profile_images/688782306794950656/FOlrxypw_normal.jpg","View")</f>
        <v>View</v>
      </c>
      <c r="P3086" s="11"/>
    </row>
    <row r="3087" spans="1:16" ht="12.75" x14ac:dyDescent="0.35">
      <c r="A3087" s="7">
        <v>42482.609803240739</v>
      </c>
      <c r="B3087" s="8" t="str">
        <f>HYPERLINK("https://twitter.com/FuscaWorld","@FuscaWorld")</f>
        <v>@FuscaWorld</v>
      </c>
      <c r="C3087" s="9" t="s">
        <v>74</v>
      </c>
      <c r="D3087" s="9" t="s">
        <v>2245</v>
      </c>
      <c r="E3087" s="10" t="str">
        <f>HYPERLINK("https://twitter.com/FuscaWorld/status/723438223024746497","723438223024746497")</f>
        <v>723438223024746497</v>
      </c>
      <c r="F3087" s="11" t="s">
        <v>76</v>
      </c>
      <c r="G3087" s="11">
        <v>48</v>
      </c>
      <c r="H3087" s="11">
        <v>1</v>
      </c>
      <c r="I3087" s="11">
        <v>1</v>
      </c>
      <c r="J3087" s="11">
        <v>0</v>
      </c>
      <c r="K3087" s="11" t="s">
        <v>21</v>
      </c>
      <c r="L3087" s="7">
        <v>42433.880914351852</v>
      </c>
      <c r="M3087" s="12"/>
      <c r="N3087" s="12" t="s">
        <v>77</v>
      </c>
      <c r="O3087" s="10" t="str">
        <f>HYPERLINK("https://pbs.twimg.com/profile_images/705780107844067328/e7O4UBNb_normal.jpg","View")</f>
        <v>View</v>
      </c>
      <c r="P3087" s="11"/>
    </row>
    <row r="3088" spans="1:16" ht="12.75" x14ac:dyDescent="0.35">
      <c r="A3088" s="7">
        <v>42482.610949074078</v>
      </c>
      <c r="B3088" s="8" t="str">
        <f>HYPERLINK("https://twitter.com/tuskami","@tuskami")</f>
        <v>@tuskami</v>
      </c>
      <c r="C3088" s="9" t="s">
        <v>7586</v>
      </c>
      <c r="D3088" s="9" t="s">
        <v>7587</v>
      </c>
      <c r="E3088" s="10" t="str">
        <f>HYPERLINK("https://twitter.com/tuskami/status/723438636922851329","723438636922851329")</f>
        <v>723438636922851329</v>
      </c>
      <c r="F3088" s="11" t="s">
        <v>43</v>
      </c>
      <c r="G3088" s="11">
        <v>25</v>
      </c>
      <c r="H3088" s="11">
        <v>134</v>
      </c>
      <c r="I3088" s="11">
        <v>0</v>
      </c>
      <c r="J3088" s="11">
        <v>0</v>
      </c>
      <c r="K3088" s="11" t="s">
        <v>21</v>
      </c>
      <c r="L3088" s="7">
        <v>40854.709513888891</v>
      </c>
      <c r="M3088" s="12" t="s">
        <v>1622</v>
      </c>
      <c r="N3088" s="12" t="s">
        <v>7588</v>
      </c>
      <c r="O3088" s="10" t="str">
        <f>HYPERLINK("https://pbs.twimg.com/profile_images/717008192346189824/pJ8teK6t_normal.jpg","View")</f>
        <v>View</v>
      </c>
      <c r="P3088" s="11"/>
    </row>
    <row r="3089" spans="1:16" ht="12.75" x14ac:dyDescent="0.35">
      <c r="A3089" s="7">
        <v>42482.611724537041</v>
      </c>
      <c r="B3089" s="8" t="str">
        <f>HYPERLINK("https://twitter.com/Racewars_org","@Racewars_org")</f>
        <v>@Racewars_org</v>
      </c>
      <c r="C3089" s="9" t="s">
        <v>7589</v>
      </c>
      <c r="D3089" s="9" t="s">
        <v>7590</v>
      </c>
      <c r="E3089" s="10" t="str">
        <f>HYPERLINK("https://twitter.com/Racewars_org/status/723438918410993665","723438918410993665")</f>
        <v>723438918410993665</v>
      </c>
      <c r="F3089" s="11" t="s">
        <v>114</v>
      </c>
      <c r="G3089" s="11">
        <v>7</v>
      </c>
      <c r="H3089" s="11">
        <v>0</v>
      </c>
      <c r="I3089" s="11">
        <v>0</v>
      </c>
      <c r="J3089" s="11">
        <v>0</v>
      </c>
      <c r="K3089" s="11" t="s">
        <v>21</v>
      </c>
      <c r="L3089" s="7">
        <v>42461.758460648147</v>
      </c>
      <c r="M3089" s="12" t="s">
        <v>248</v>
      </c>
      <c r="N3089" s="12" t="s">
        <v>7591</v>
      </c>
      <c r="O3089" s="10" t="str">
        <f>HYPERLINK("https://pbs.twimg.com/profile_images/717760586927501313/mJOhNRKM_normal.jpg","View")</f>
        <v>View</v>
      </c>
      <c r="P3089" s="11"/>
    </row>
    <row r="3090" spans="1:16" ht="12.75" x14ac:dyDescent="0.35">
      <c r="A3090" s="7">
        <v>42482.61173611111</v>
      </c>
      <c r="B3090" s="8" t="str">
        <f>HYPERLINK("https://twitter.com/MiKaTa_de","@MiKaTa_de")</f>
        <v>@MiKaTa_de</v>
      </c>
      <c r="C3090" s="8" t="s">
        <v>7592</v>
      </c>
      <c r="D3090" s="9" t="s">
        <v>7593</v>
      </c>
      <c r="E3090" s="10" t="str">
        <f>HYPERLINK("https://twitter.com/MiKaTa_de/status/723438920596226049","723438920596226049")</f>
        <v>723438920596226049</v>
      </c>
      <c r="F3090" s="11" t="s">
        <v>43</v>
      </c>
      <c r="G3090" s="11">
        <v>20</v>
      </c>
      <c r="H3090" s="11">
        <v>20</v>
      </c>
      <c r="I3090" s="11">
        <v>0</v>
      </c>
      <c r="J3090" s="11">
        <v>0</v>
      </c>
      <c r="K3090" s="11" t="s">
        <v>21</v>
      </c>
      <c r="L3090" s="7">
        <v>42204.65587962963</v>
      </c>
      <c r="M3090" s="12"/>
      <c r="N3090" s="12"/>
      <c r="O3090" s="10" t="str">
        <f>HYPERLINK("https://pbs.twimg.com/profile_images/654711316343488513/-LeBbYMa_normal.jpg","View")</f>
        <v>View</v>
      </c>
      <c r="P3090" s="11"/>
    </row>
    <row r="3091" spans="1:16" ht="12.75" x14ac:dyDescent="0.35">
      <c r="A3091" s="7">
        <v>42482.61336805555</v>
      </c>
      <c r="B3091" s="8" t="str">
        <f>HYPERLINK("https://twitter.com/hddoger","@hddoger")</f>
        <v>@hddoger</v>
      </c>
      <c r="C3091" s="9" t="s">
        <v>7594</v>
      </c>
      <c r="D3091" s="9" t="s">
        <v>7595</v>
      </c>
      <c r="E3091" s="10" t="str">
        <f>HYPERLINK("https://twitter.com/hddoger/status/723439511611412486","723439511611412486")</f>
        <v>723439511611412486</v>
      </c>
      <c r="F3091" s="11" t="s">
        <v>91</v>
      </c>
      <c r="G3091" s="11">
        <v>617</v>
      </c>
      <c r="H3091" s="11">
        <v>508</v>
      </c>
      <c r="I3091" s="11">
        <v>0</v>
      </c>
      <c r="J3091" s="11">
        <v>0</v>
      </c>
      <c r="K3091" s="11" t="s">
        <v>21</v>
      </c>
      <c r="L3091" s="7">
        <v>40914.905057870368</v>
      </c>
      <c r="M3091" s="12"/>
      <c r="N3091" s="12" t="s">
        <v>7596</v>
      </c>
      <c r="O3091" s="10" t="str">
        <f>HYPERLINK("https://pbs.twimg.com/profile_images/3296258792/7852b77f95bc153cf32db2ba07fb879c_normal.jpeg","View")</f>
        <v>View</v>
      </c>
      <c r="P3091" s="11"/>
    </row>
    <row r="3092" spans="1:16" ht="12.75" x14ac:dyDescent="0.35">
      <c r="A3092" s="7">
        <v>42482.614537037036</v>
      </c>
      <c r="B3092" s="8" t="str">
        <f>HYPERLINK("https://twitter.com/WCBD","@WCBD")</f>
        <v>@WCBD</v>
      </c>
      <c r="C3092" s="9" t="s">
        <v>7597</v>
      </c>
      <c r="D3092" s="9" t="s">
        <v>7598</v>
      </c>
      <c r="E3092" s="10" t="str">
        <f>HYPERLINK("https://twitter.com/WCBD/status/723439937240981504","723439937240981504")</f>
        <v>723439937240981504</v>
      </c>
      <c r="F3092" s="11" t="s">
        <v>43</v>
      </c>
      <c r="G3092" s="11">
        <v>31381</v>
      </c>
      <c r="H3092" s="11">
        <v>3442</v>
      </c>
      <c r="I3092" s="11">
        <v>0</v>
      </c>
      <c r="J3092" s="11">
        <v>0</v>
      </c>
      <c r="K3092" s="11" t="s">
        <v>21</v>
      </c>
      <c r="L3092" s="7">
        <v>39638.045787037037</v>
      </c>
      <c r="M3092" s="12" t="s">
        <v>7599</v>
      </c>
      <c r="N3092" s="12" t="s">
        <v>7600</v>
      </c>
      <c r="O3092" s="10" t="str">
        <f>HYPERLINK("https://pbs.twimg.com/profile_images/653516886228008960/tqf_uZMf_normal.jpg","View")</f>
        <v>View</v>
      </c>
      <c r="P3092" s="11"/>
    </row>
    <row r="3093" spans="1:16" ht="12.75" x14ac:dyDescent="0.35">
      <c r="A3093" s="7">
        <v>42482.614745370374</v>
      </c>
      <c r="B3093" s="8" t="str">
        <f>HYPERLINK("https://twitter.com/RWEmobility","@RWEmobility")</f>
        <v>@RWEmobility</v>
      </c>
      <c r="C3093" s="9" t="s">
        <v>7601</v>
      </c>
      <c r="D3093" s="9" t="s">
        <v>7602</v>
      </c>
      <c r="E3093" s="10" t="str">
        <f>HYPERLINK("https://twitter.com/RWEmobility/status/723440014391025667","723440014391025667")</f>
        <v>723440014391025667</v>
      </c>
      <c r="F3093" s="11" t="s">
        <v>152</v>
      </c>
      <c r="G3093" s="11">
        <v>6112</v>
      </c>
      <c r="H3093" s="11">
        <v>4393</v>
      </c>
      <c r="I3093" s="11">
        <v>0</v>
      </c>
      <c r="J3093" s="11">
        <v>0</v>
      </c>
      <c r="K3093" s="11" t="s">
        <v>21</v>
      </c>
      <c r="L3093" s="7">
        <v>40016.569062499999</v>
      </c>
      <c r="M3093" s="12" t="s">
        <v>7603</v>
      </c>
      <c r="N3093" s="12" t="s">
        <v>7604</v>
      </c>
      <c r="O3093" s="10" t="str">
        <f>HYPERLINK("https://pbs.twimg.com/profile_images/631089331243978752/Gd2N8SDJ_normal.png","View")</f>
        <v>View</v>
      </c>
      <c r="P3093" s="11"/>
    </row>
    <row r="3094" spans="1:16" ht="12.75" x14ac:dyDescent="0.35">
      <c r="A3094" s="7">
        <v>42482.614976851852</v>
      </c>
      <c r="B3094" s="8" t="str">
        <f>HYPERLINK("https://twitter.com/carworld_uk","@carworld_uk")</f>
        <v>@carworld_uk</v>
      </c>
      <c r="C3094" s="9" t="s">
        <v>7605</v>
      </c>
      <c r="D3094" s="9" t="s">
        <v>7606</v>
      </c>
      <c r="E3094" s="10" t="str">
        <f>HYPERLINK("https://twitter.com/carworld_uk/status/723440098457481218","723440098457481218")</f>
        <v>723440098457481218</v>
      </c>
      <c r="F3094" s="11" t="s">
        <v>7607</v>
      </c>
      <c r="G3094" s="11">
        <v>1095</v>
      </c>
      <c r="H3094" s="11">
        <v>1964</v>
      </c>
      <c r="I3094" s="11">
        <v>0</v>
      </c>
      <c r="J3094" s="11">
        <v>0</v>
      </c>
      <c r="K3094" s="11" t="s">
        <v>21</v>
      </c>
      <c r="L3094" s="7">
        <v>40947.968715277777</v>
      </c>
      <c r="M3094" s="12" t="s">
        <v>7608</v>
      </c>
      <c r="N3094" s="12" t="s">
        <v>7609</v>
      </c>
      <c r="O3094" s="10" t="str">
        <f>HYPERLINK("https://pbs.twimg.com/profile_images/425929548199231488/Xai3vHX2_normal.jpeg","View")</f>
        <v>View</v>
      </c>
      <c r="P3094" s="11"/>
    </row>
    <row r="3095" spans="1:16" ht="12.75" x14ac:dyDescent="0.35">
      <c r="A3095" s="7">
        <v>42482.615173611106</v>
      </c>
      <c r="B3095" s="8" t="str">
        <f>HYPERLINK("https://twitter.com/Newell_Palmer","@Newell_Palmer")</f>
        <v>@Newell_Palmer</v>
      </c>
      <c r="C3095" s="9" t="s">
        <v>7610</v>
      </c>
      <c r="D3095" s="9" t="s">
        <v>7611</v>
      </c>
      <c r="E3095" s="10" t="str">
        <f>HYPERLINK("https://twitter.com/Newell_Palmer/status/723440167525064704","723440167525064704")</f>
        <v>723440167525064704</v>
      </c>
      <c r="F3095" s="11" t="s">
        <v>43</v>
      </c>
      <c r="G3095" s="11">
        <v>123</v>
      </c>
      <c r="H3095" s="11">
        <v>120</v>
      </c>
      <c r="I3095" s="11">
        <v>0</v>
      </c>
      <c r="J3095" s="11">
        <v>0</v>
      </c>
      <c r="K3095" s="11" t="s">
        <v>21</v>
      </c>
      <c r="L3095" s="7">
        <v>41897.692488425928</v>
      </c>
      <c r="M3095" s="12" t="s">
        <v>7612</v>
      </c>
      <c r="N3095" s="12" t="s">
        <v>7613</v>
      </c>
      <c r="O3095" s="10" t="str">
        <f>HYPERLINK("https://pbs.twimg.com/profile_images/649889698266152960/zg2lLiEI_normal.jpg","View")</f>
        <v>View</v>
      </c>
      <c r="P3095" s="11"/>
    </row>
    <row r="3096" spans="1:16" ht="12.75" x14ac:dyDescent="0.35">
      <c r="A3096" s="7">
        <v>42482.615659722222</v>
      </c>
      <c r="B3096" s="8" t="str">
        <f>HYPERLINK("https://twitter.com/doern","@doern")</f>
        <v>@doern</v>
      </c>
      <c r="C3096" s="9" t="s">
        <v>3107</v>
      </c>
      <c r="D3096" s="9" t="s">
        <v>7614</v>
      </c>
      <c r="E3096" s="10" t="str">
        <f>HYPERLINK("https://twitter.com/doern/status/723440342809214981","723440342809214981")</f>
        <v>723440342809214981</v>
      </c>
      <c r="F3096" s="11" t="s">
        <v>20</v>
      </c>
      <c r="G3096" s="11">
        <v>342</v>
      </c>
      <c r="H3096" s="11">
        <v>63</v>
      </c>
      <c r="I3096" s="11">
        <v>0</v>
      </c>
      <c r="J3096" s="11">
        <v>0</v>
      </c>
      <c r="K3096" s="11" t="s">
        <v>21</v>
      </c>
      <c r="L3096" s="7">
        <v>39909.663194444445</v>
      </c>
      <c r="M3096" s="12" t="s">
        <v>262</v>
      </c>
      <c r="N3096" s="12" t="s">
        <v>3109</v>
      </c>
      <c r="O3096" s="10" t="str">
        <f>HYPERLINK("https://pbs.twimg.com/profile_images/657853466384191488/J6vAnfZr_normal.jpg","View")</f>
        <v>View</v>
      </c>
      <c r="P3096" s="11"/>
    </row>
    <row r="3097" spans="1:16" ht="12.75" x14ac:dyDescent="0.35">
      <c r="A3097" s="7">
        <v>42482.616111111114</v>
      </c>
      <c r="B3097" s="8" t="str">
        <f>HYPERLINK("https://twitter.com/KorruptPolitik","@KorruptPolitik")</f>
        <v>@KorruptPolitik</v>
      </c>
      <c r="C3097" s="9" t="s">
        <v>7615</v>
      </c>
      <c r="D3097" s="9" t="s">
        <v>7189</v>
      </c>
      <c r="E3097" s="10" t="str">
        <f>HYPERLINK("https://twitter.com/KorruptPolitik/status/723440509205630976","723440509205630976")</f>
        <v>723440509205630976</v>
      </c>
      <c r="F3097" s="11" t="s">
        <v>48</v>
      </c>
      <c r="G3097" s="11">
        <v>219</v>
      </c>
      <c r="H3097" s="11">
        <v>210</v>
      </c>
      <c r="I3097" s="11">
        <v>10</v>
      </c>
      <c r="J3097" s="11">
        <v>0</v>
      </c>
      <c r="K3097" s="11" t="s">
        <v>21</v>
      </c>
      <c r="L3097" s="7">
        <v>42374.737037037034</v>
      </c>
      <c r="M3097" s="12"/>
      <c r="N3097" s="12"/>
      <c r="O3097" s="10" t="str">
        <f>HYPERLINK("https://pbs.twimg.com/profile_images/688326480217141248/2BTGhJ-b_normal.jpg","View")</f>
        <v>View</v>
      </c>
      <c r="P3097" s="11"/>
    </row>
    <row r="3098" spans="1:16" ht="12.75" x14ac:dyDescent="0.35">
      <c r="A3098" s="7">
        <v>42482.616261574076</v>
      </c>
      <c r="B3098" s="8" t="str">
        <f>HYPERLINK("https://twitter.com/VolkswagenPost","@VolkswagenPost")</f>
        <v>@VolkswagenPost</v>
      </c>
      <c r="C3098" s="9" t="s">
        <v>321</v>
      </c>
      <c r="D3098" s="9" t="s">
        <v>7616</v>
      </c>
      <c r="E3098" s="10" t="str">
        <f>HYPERLINK("https://twitter.com/VolkswagenPost/status/723440562448306176","723440562448306176")</f>
        <v>723440562448306176</v>
      </c>
      <c r="F3098" s="11" t="s">
        <v>288</v>
      </c>
      <c r="G3098" s="11">
        <v>570</v>
      </c>
      <c r="H3098" s="11">
        <v>446</v>
      </c>
      <c r="I3098" s="11">
        <v>1</v>
      </c>
      <c r="J3098" s="11">
        <v>0</v>
      </c>
      <c r="K3098" s="11" t="s">
        <v>21</v>
      </c>
      <c r="L3098" s="7">
        <v>41940.618379629632</v>
      </c>
      <c r="M3098" s="12"/>
      <c r="N3098" s="12"/>
      <c r="O3098" s="10" t="str">
        <f>HYPERLINK("https://pbs.twimg.com/profile_images/530071272881803264/a_jcCmPZ_normal.png","View")</f>
        <v>View</v>
      </c>
      <c r="P3098" s="11"/>
    </row>
    <row r="3099" spans="1:16" ht="12.75" x14ac:dyDescent="0.35">
      <c r="A3099" s="7">
        <v>42482.616678240738</v>
      </c>
      <c r="B3099" s="8" t="str">
        <f>HYPERLINK("https://twitter.com/swanswaygroup","@swanswaygroup")</f>
        <v>@swanswaygroup</v>
      </c>
      <c r="C3099" s="9" t="s">
        <v>2558</v>
      </c>
      <c r="D3099" s="9" t="s">
        <v>7617</v>
      </c>
      <c r="E3099" s="10" t="str">
        <f>HYPERLINK("https://twitter.com/swanswaygroup/status/723440711933132801","723440711933132801")</f>
        <v>723440711933132801</v>
      </c>
      <c r="F3099" s="11" t="s">
        <v>140</v>
      </c>
      <c r="G3099" s="11">
        <v>6197</v>
      </c>
      <c r="H3099" s="11">
        <v>4454</v>
      </c>
      <c r="I3099" s="11">
        <v>0</v>
      </c>
      <c r="J3099" s="11">
        <v>0</v>
      </c>
      <c r="K3099" s="11" t="s">
        <v>21</v>
      </c>
      <c r="L3099" s="7">
        <v>40137.651365740741</v>
      </c>
      <c r="M3099" s="12" t="s">
        <v>2560</v>
      </c>
      <c r="N3099" s="12" t="s">
        <v>2561</v>
      </c>
      <c r="O3099" s="10" t="str">
        <f>HYPERLINK("https://pbs.twimg.com/profile_images/552037189328982016/r65JRGTS_normal.jpeg","View")</f>
        <v>View</v>
      </c>
      <c r="P3099" s="11"/>
    </row>
    <row r="3100" spans="1:16" ht="12.75" x14ac:dyDescent="0.35">
      <c r="A3100" s="7">
        <v>42482.616678240738</v>
      </c>
      <c r="B3100" s="8" t="str">
        <f>HYPERLINK("https://twitter.com/crewevw","@crewevw")</f>
        <v>@crewevw</v>
      </c>
      <c r="C3100" s="9" t="s">
        <v>2562</v>
      </c>
      <c r="D3100" s="9" t="s">
        <v>7618</v>
      </c>
      <c r="E3100" s="10" t="str">
        <f>HYPERLINK("https://twitter.com/crewevw/status/723440711945740289","723440711945740289")</f>
        <v>723440711945740289</v>
      </c>
      <c r="F3100" s="11" t="s">
        <v>140</v>
      </c>
      <c r="G3100" s="11">
        <v>2780</v>
      </c>
      <c r="H3100" s="11">
        <v>2269</v>
      </c>
      <c r="I3100" s="11">
        <v>1</v>
      </c>
      <c r="J3100" s="11">
        <v>0</v>
      </c>
      <c r="K3100" s="11" t="s">
        <v>21</v>
      </c>
      <c r="L3100" s="7">
        <v>40240.83458333333</v>
      </c>
      <c r="M3100" s="12" t="s">
        <v>2564</v>
      </c>
      <c r="N3100" s="12" t="s">
        <v>2565</v>
      </c>
      <c r="O3100" s="10" t="str">
        <f>HYPERLINK("https://pbs.twimg.com/profile_images/488678354338324481/_qtBruR6_normal.jpeg","View")</f>
        <v>View</v>
      </c>
      <c r="P3100" s="11"/>
    </row>
    <row r="3101" spans="1:16" ht="12.75" x14ac:dyDescent="0.35">
      <c r="A3101" s="7">
        <v>42482.616851851853</v>
      </c>
      <c r="B3101" s="8" t="str">
        <f>HYPERLINK("https://twitter.com/FreeEzidis","@FreeEzidis")</f>
        <v>@FreeEzidis</v>
      </c>
      <c r="C3101" s="9" t="s">
        <v>7619</v>
      </c>
      <c r="D3101" s="9" t="s">
        <v>7620</v>
      </c>
      <c r="E3101" s="10" t="str">
        <f>HYPERLINK("https://twitter.com/FreeEzidis/status/723440776802246656","723440776802246656")</f>
        <v>723440776802246656</v>
      </c>
      <c r="F3101" s="11" t="s">
        <v>48</v>
      </c>
      <c r="G3101" s="11">
        <v>515</v>
      </c>
      <c r="H3101" s="11">
        <v>179</v>
      </c>
      <c r="I3101" s="11">
        <v>0</v>
      </c>
      <c r="J3101" s="11">
        <v>0</v>
      </c>
      <c r="K3101" s="11" t="s">
        <v>21</v>
      </c>
      <c r="L3101" s="7">
        <v>42181.755462962959</v>
      </c>
      <c r="M3101" s="12"/>
      <c r="N3101" s="12" t="s">
        <v>7621</v>
      </c>
      <c r="O3101" s="10" t="str">
        <f>HYPERLINK("https://pbs.twimg.com/profile_images/700054002537463808/yT5THPmN_normal.jpg","View")</f>
        <v>View</v>
      </c>
      <c r="P3101" s="11"/>
    </row>
    <row r="3102" spans="1:16" ht="12.75" x14ac:dyDescent="0.35">
      <c r="A3102" s="7">
        <v>42482.617141203707</v>
      </c>
      <c r="B3102" s="8" t="str">
        <f>HYPERLINK("https://twitter.com/tyres4sale_com","@tyres4sale_com")</f>
        <v>@tyres4sale_com</v>
      </c>
      <c r="C3102" s="9" t="s">
        <v>2018</v>
      </c>
      <c r="D3102" s="9" t="s">
        <v>7622</v>
      </c>
      <c r="E3102" s="10" t="str">
        <f>HYPERLINK("https://twitter.com/tyres4sale_com/status/723440881815031808","723440881815031808")</f>
        <v>723440881815031808</v>
      </c>
      <c r="F3102" s="11" t="s">
        <v>43</v>
      </c>
      <c r="G3102" s="11">
        <v>588</v>
      </c>
      <c r="H3102" s="11">
        <v>591</v>
      </c>
      <c r="I3102" s="11">
        <v>0</v>
      </c>
      <c r="J3102" s="11">
        <v>0</v>
      </c>
      <c r="K3102" s="11" t="s">
        <v>21</v>
      </c>
      <c r="L3102" s="7">
        <v>40467.169027777782</v>
      </c>
      <c r="M3102" s="12" t="s">
        <v>35</v>
      </c>
      <c r="N3102" s="12" t="s">
        <v>2020</v>
      </c>
      <c r="O3102" s="10" t="str">
        <f>HYPERLINK("https://pbs.twimg.com/profile_images/621239347208192000/wXN4MLBs_normal.jpg","View")</f>
        <v>View</v>
      </c>
      <c r="P3102" s="11"/>
    </row>
    <row r="3103" spans="1:16" ht="12.75" x14ac:dyDescent="0.35">
      <c r="A3103" s="7">
        <v>42482.61782407407</v>
      </c>
      <c r="B3103" s="8" t="str">
        <f>HYPERLINK("https://twitter.com/VWCamperSales","@VWCamperSales")</f>
        <v>@VWCamperSales</v>
      </c>
      <c r="C3103" s="9" t="s">
        <v>216</v>
      </c>
      <c r="D3103" s="9" t="s">
        <v>7623</v>
      </c>
      <c r="E3103" s="10" t="str">
        <f>HYPERLINK("https://twitter.com/VWCamperSales/status/723441129249632256","723441129249632256")</f>
        <v>723441129249632256</v>
      </c>
      <c r="F3103" s="10" t="s">
        <v>124</v>
      </c>
      <c r="G3103" s="11">
        <v>615</v>
      </c>
      <c r="H3103" s="11">
        <v>580</v>
      </c>
      <c r="I3103" s="11">
        <v>0</v>
      </c>
      <c r="J3103" s="11">
        <v>0</v>
      </c>
      <c r="K3103" s="11" t="s">
        <v>21</v>
      </c>
      <c r="L3103" s="7">
        <v>42215.98809027778</v>
      </c>
      <c r="M3103" s="12" t="s">
        <v>129</v>
      </c>
      <c r="N3103" s="12" t="s">
        <v>218</v>
      </c>
      <c r="O3103" s="10" t="str">
        <f>HYPERLINK("https://pbs.twimg.com/profile_images/627949001179037696/skEBkS05_normal.jpg","View")</f>
        <v>View</v>
      </c>
      <c r="P3103" s="11"/>
    </row>
    <row r="3104" spans="1:16" ht="12.75" x14ac:dyDescent="0.35">
      <c r="A3104" s="7">
        <v>42482.619108796294</v>
      </c>
      <c r="B3104" s="8" t="str">
        <f>HYPERLINK("https://twitter.com/mconde_vw","@mconde_vw")</f>
        <v>@mconde_vw</v>
      </c>
      <c r="C3104" s="9" t="s">
        <v>7624</v>
      </c>
      <c r="D3104" s="9" t="s">
        <v>7625</v>
      </c>
      <c r="E3104" s="10" t="str">
        <f>HYPERLINK("https://twitter.com/mconde_vw/status/723441594314051584","723441594314051584")</f>
        <v>723441594314051584</v>
      </c>
      <c r="F3104" s="11" t="s">
        <v>43</v>
      </c>
      <c r="G3104" s="11">
        <v>1715</v>
      </c>
      <c r="H3104" s="11">
        <v>1011</v>
      </c>
      <c r="I3104" s="11">
        <v>1</v>
      </c>
      <c r="J3104" s="11">
        <v>0</v>
      </c>
      <c r="K3104" s="11" t="s">
        <v>21</v>
      </c>
      <c r="L3104" s="7">
        <v>39808.666087962964</v>
      </c>
      <c r="M3104" s="12" t="s">
        <v>7626</v>
      </c>
      <c r="N3104" s="12" t="s">
        <v>7627</v>
      </c>
      <c r="O3104" s="10" t="str">
        <f>HYPERLINK("https://pbs.twimg.com/profile_images/2779433989/ea5b9884fc97d178dceb738ac5e50ac2_normal.png","View")</f>
        <v>View</v>
      </c>
      <c r="P3104" s="11"/>
    </row>
    <row r="3105" spans="1:16" ht="12.75" x14ac:dyDescent="0.35">
      <c r="A3105" s="7">
        <v>42482.620532407411</v>
      </c>
      <c r="B3105" s="8" t="str">
        <f t="shared" ref="B3105:B3108" si="302">HYPERLINK("https://twitter.com/Insta_VWT","@Insta_VWT")</f>
        <v>@Insta_VWT</v>
      </c>
      <c r="C3105" s="9" t="s">
        <v>181</v>
      </c>
      <c r="D3105" s="9" t="s">
        <v>7628</v>
      </c>
      <c r="E3105" s="10" t="str">
        <f>HYPERLINK("https://twitter.com/Insta_VWT/status/723442110947446784","723442110947446784")</f>
        <v>723442110947446784</v>
      </c>
      <c r="F3105" s="11" t="s">
        <v>68</v>
      </c>
      <c r="G3105" s="11">
        <v>480</v>
      </c>
      <c r="H3105" s="11">
        <v>0</v>
      </c>
      <c r="I3105" s="11">
        <v>0</v>
      </c>
      <c r="J3105" s="11">
        <v>0</v>
      </c>
      <c r="K3105" s="11" t="s">
        <v>21</v>
      </c>
      <c r="L3105" s="7">
        <v>41658.782800925925</v>
      </c>
      <c r="M3105" s="12" t="s">
        <v>183</v>
      </c>
      <c r="N3105" s="12" t="s">
        <v>184</v>
      </c>
      <c r="O3105" s="10" t="str">
        <f t="shared" ref="O3105:O3108" si="303">HYPERLINK("https://pbs.twimg.com/profile_images/424893967197433858/iQ86NktX_normal.jpeg","View")</f>
        <v>View</v>
      </c>
      <c r="P3105" s="11"/>
    </row>
    <row r="3106" spans="1:16" ht="12.75" x14ac:dyDescent="0.35">
      <c r="A3106" s="7">
        <v>42482.620555555557</v>
      </c>
      <c r="B3106" s="8" t="str">
        <f t="shared" si="302"/>
        <v>@Insta_VWT</v>
      </c>
      <c r="C3106" s="9" t="s">
        <v>181</v>
      </c>
      <c r="D3106" s="9" t="s">
        <v>7629</v>
      </c>
      <c r="E3106" s="10" t="str">
        <f>HYPERLINK("https://twitter.com/Insta_VWT/status/723442116882513920","723442116882513920")</f>
        <v>723442116882513920</v>
      </c>
      <c r="F3106" s="11" t="s">
        <v>68</v>
      </c>
      <c r="G3106" s="11">
        <v>480</v>
      </c>
      <c r="H3106" s="11">
        <v>0</v>
      </c>
      <c r="I3106" s="11">
        <v>0</v>
      </c>
      <c r="J3106" s="11">
        <v>1</v>
      </c>
      <c r="K3106" s="11" t="s">
        <v>21</v>
      </c>
      <c r="L3106" s="7">
        <v>41658.782800925925</v>
      </c>
      <c r="M3106" s="12" t="s">
        <v>183</v>
      </c>
      <c r="N3106" s="12" t="s">
        <v>184</v>
      </c>
      <c r="O3106" s="10" t="str">
        <f t="shared" si="303"/>
        <v>View</v>
      </c>
      <c r="P3106" s="11"/>
    </row>
    <row r="3107" spans="1:16" ht="12.75" x14ac:dyDescent="0.35">
      <c r="A3107" s="7">
        <v>42482.620567129634</v>
      </c>
      <c r="B3107" s="8" t="str">
        <f t="shared" si="302"/>
        <v>@Insta_VWT</v>
      </c>
      <c r="C3107" s="9" t="s">
        <v>181</v>
      </c>
      <c r="D3107" s="9" t="s">
        <v>7630</v>
      </c>
      <c r="E3107" s="10" t="str">
        <f>HYPERLINK("https://twitter.com/Insta_VWT/status/723442123882663936","723442123882663936")</f>
        <v>723442123882663936</v>
      </c>
      <c r="F3107" s="11" t="s">
        <v>68</v>
      </c>
      <c r="G3107" s="11">
        <v>480</v>
      </c>
      <c r="H3107" s="11">
        <v>0</v>
      </c>
      <c r="I3107" s="11">
        <v>0</v>
      </c>
      <c r="J3107" s="11">
        <v>0</v>
      </c>
      <c r="K3107" s="11" t="s">
        <v>21</v>
      </c>
      <c r="L3107" s="7">
        <v>41658.782800925925</v>
      </c>
      <c r="M3107" s="12" t="s">
        <v>183</v>
      </c>
      <c r="N3107" s="12" t="s">
        <v>184</v>
      </c>
      <c r="O3107" s="10" t="str">
        <f t="shared" si="303"/>
        <v>View</v>
      </c>
      <c r="P3107" s="11"/>
    </row>
    <row r="3108" spans="1:16" ht="12.75" x14ac:dyDescent="0.35">
      <c r="A3108" s="7">
        <v>42482.620590277773</v>
      </c>
      <c r="B3108" s="8" t="str">
        <f t="shared" si="302"/>
        <v>@Insta_VWT</v>
      </c>
      <c r="C3108" s="9" t="s">
        <v>181</v>
      </c>
      <c r="D3108" s="9" t="s">
        <v>7631</v>
      </c>
      <c r="E3108" s="10" t="str">
        <f>HYPERLINK("https://twitter.com/Insta_VWT/status/723442132594229248","723442132594229248")</f>
        <v>723442132594229248</v>
      </c>
      <c r="F3108" s="11" t="s">
        <v>68</v>
      </c>
      <c r="G3108" s="11">
        <v>480</v>
      </c>
      <c r="H3108" s="11">
        <v>0</v>
      </c>
      <c r="I3108" s="11">
        <v>0</v>
      </c>
      <c r="J3108" s="11">
        <v>0</v>
      </c>
      <c r="K3108" s="11" t="s">
        <v>21</v>
      </c>
      <c r="L3108" s="7">
        <v>41658.782800925925</v>
      </c>
      <c r="M3108" s="12" t="s">
        <v>183</v>
      </c>
      <c r="N3108" s="12" t="s">
        <v>184</v>
      </c>
      <c r="O3108" s="10" t="str">
        <f t="shared" si="303"/>
        <v>View</v>
      </c>
      <c r="P3108" s="11"/>
    </row>
    <row r="3109" spans="1:16" ht="12.75" x14ac:dyDescent="0.35">
      <c r="A3109" s="7">
        <v>42482.620798611111</v>
      </c>
      <c r="B3109" s="8" t="str">
        <f>HYPERLINK("https://twitter.com/woever","@woever")</f>
        <v>@woever</v>
      </c>
      <c r="C3109" s="9" t="s">
        <v>5573</v>
      </c>
      <c r="D3109" s="9" t="s">
        <v>7632</v>
      </c>
      <c r="E3109" s="10" t="str">
        <f>HYPERLINK("https://twitter.com/woever/status/723442206649004032","723442206649004032")</f>
        <v>723442206649004032</v>
      </c>
      <c r="F3109" s="11" t="s">
        <v>43</v>
      </c>
      <c r="G3109" s="11">
        <v>340</v>
      </c>
      <c r="H3109" s="11">
        <v>324</v>
      </c>
      <c r="I3109" s="11">
        <v>2</v>
      </c>
      <c r="J3109" s="11">
        <v>0</v>
      </c>
      <c r="K3109" s="11" t="s">
        <v>21</v>
      </c>
      <c r="L3109" s="7">
        <v>40003.569363425922</v>
      </c>
      <c r="M3109" s="12" t="s">
        <v>5574</v>
      </c>
      <c r="N3109" s="12"/>
      <c r="O3109" s="10" t="str">
        <f>HYPERLINK("https://pbs.twimg.com/profile_images/457491035/55178663_normal.jpg","View")</f>
        <v>View</v>
      </c>
      <c r="P3109" s="11"/>
    </row>
    <row r="3110" spans="1:16" ht="12.75" x14ac:dyDescent="0.35">
      <c r="A3110" s="7">
        <v>42482.621712962966</v>
      </c>
      <c r="B3110" s="8" t="str">
        <f>HYPERLINK("https://twitter.com/vwpress_en","@vwpress_en")</f>
        <v>@vwpress_en</v>
      </c>
      <c r="C3110" s="9" t="s">
        <v>1685</v>
      </c>
      <c r="D3110" s="9" t="s">
        <v>7633</v>
      </c>
      <c r="E3110" s="10" t="str">
        <f>HYPERLINK("https://twitter.com/vwpress_en/status/723442536941932544","723442536941932544")</f>
        <v>723442536941932544</v>
      </c>
      <c r="F3110" s="11" t="s">
        <v>152</v>
      </c>
      <c r="G3110" s="11">
        <v>54735</v>
      </c>
      <c r="H3110" s="11">
        <v>339</v>
      </c>
      <c r="I3110" s="11">
        <v>2</v>
      </c>
      <c r="J3110" s="11">
        <v>0</v>
      </c>
      <c r="K3110" s="11" t="s">
        <v>21</v>
      </c>
      <c r="L3110" s="7">
        <v>42041.83189814815</v>
      </c>
      <c r="M3110" s="12" t="s">
        <v>1687</v>
      </c>
      <c r="N3110" s="12" t="s">
        <v>1688</v>
      </c>
      <c r="O3110" s="10" t="str">
        <f>HYPERLINK("https://pbs.twimg.com/profile_images/682117963349135360/IUfZQy35_normal.png","View")</f>
        <v>View</v>
      </c>
      <c r="P3110" s="11"/>
    </row>
    <row r="3111" spans="1:16" ht="12.75" x14ac:dyDescent="0.35">
      <c r="A3111" s="7">
        <v>42482.621967592597</v>
      </c>
      <c r="B3111" s="8" t="str">
        <f>HYPERLINK("https://twitter.com/vwpress_de","@vwpress_de")</f>
        <v>@vwpress_de</v>
      </c>
      <c r="C3111" s="9" t="s">
        <v>1685</v>
      </c>
      <c r="D3111" s="9" t="s">
        <v>7634</v>
      </c>
      <c r="E3111" s="10" t="str">
        <f>HYPERLINK("https://twitter.com/vwpress_de/status/723442631179669504","723442631179669504")</f>
        <v>723442631179669504</v>
      </c>
      <c r="F3111" s="11" t="s">
        <v>152</v>
      </c>
      <c r="G3111" s="11">
        <v>5766</v>
      </c>
      <c r="H3111" s="11">
        <v>610</v>
      </c>
      <c r="I3111" s="11">
        <v>0</v>
      </c>
      <c r="J3111" s="11">
        <v>0</v>
      </c>
      <c r="K3111" s="11" t="s">
        <v>21</v>
      </c>
      <c r="L3111" s="7">
        <v>42041.830381944441</v>
      </c>
      <c r="M3111" s="12" t="s">
        <v>1690</v>
      </c>
      <c r="N3111" s="12" t="s">
        <v>1691</v>
      </c>
      <c r="O3111" s="10" t="str">
        <f>HYPERLINK("https://pbs.twimg.com/profile_images/682117656502222848/Ge7YeAF3_normal.png","View")</f>
        <v>View</v>
      </c>
      <c r="P3111" s="11"/>
    </row>
    <row r="3112" spans="1:16" ht="12.75" x14ac:dyDescent="0.35">
      <c r="A3112" s="7">
        <v>42482.622037037036</v>
      </c>
      <c r="B3112" s="8" t="str">
        <f t="shared" ref="B3112:B3113" si="304">HYPERLINK("https://twitter.com/VolkswagenPost","@VolkswagenPost")</f>
        <v>@VolkswagenPost</v>
      </c>
      <c r="C3112" s="9" t="s">
        <v>321</v>
      </c>
      <c r="D3112" s="9" t="s">
        <v>7635</v>
      </c>
      <c r="E3112" s="10" t="str">
        <f>HYPERLINK("https://twitter.com/VolkswagenPost/status/723442653690531840","723442653690531840")</f>
        <v>723442653690531840</v>
      </c>
      <c r="F3112" s="11" t="s">
        <v>288</v>
      </c>
      <c r="G3112" s="11">
        <v>570</v>
      </c>
      <c r="H3112" s="11">
        <v>446</v>
      </c>
      <c r="I3112" s="11">
        <v>1</v>
      </c>
      <c r="J3112" s="11">
        <v>0</v>
      </c>
      <c r="K3112" s="11" t="s">
        <v>21</v>
      </c>
      <c r="L3112" s="7">
        <v>41940.618379629632</v>
      </c>
      <c r="M3112" s="12"/>
      <c r="N3112" s="12"/>
      <c r="O3112" s="10" t="str">
        <f t="shared" ref="O3112:O3113" si="305">HYPERLINK("https://pbs.twimg.com/profile_images/530071272881803264/a_jcCmPZ_normal.png","View")</f>
        <v>View</v>
      </c>
      <c r="P3112" s="11"/>
    </row>
    <row r="3113" spans="1:16" ht="12.75" x14ac:dyDescent="0.35">
      <c r="A3113" s="7">
        <v>42482.622037037036</v>
      </c>
      <c r="B3113" s="8" t="str">
        <f t="shared" si="304"/>
        <v>@VolkswagenPost</v>
      </c>
      <c r="C3113" s="9" t="s">
        <v>321</v>
      </c>
      <c r="D3113" s="9" t="s">
        <v>7636</v>
      </c>
      <c r="E3113" s="10" t="str">
        <f>HYPERLINK("https://twitter.com/VolkswagenPost/status/723442654713802753","723442654713802753")</f>
        <v>723442654713802753</v>
      </c>
      <c r="F3113" s="11" t="s">
        <v>288</v>
      </c>
      <c r="G3113" s="11">
        <v>570</v>
      </c>
      <c r="H3113" s="11">
        <v>446</v>
      </c>
      <c r="I3113" s="11">
        <v>1</v>
      </c>
      <c r="J3113" s="11">
        <v>0</v>
      </c>
      <c r="K3113" s="11" t="s">
        <v>21</v>
      </c>
      <c r="L3113" s="7">
        <v>41940.618379629632</v>
      </c>
      <c r="M3113" s="12"/>
      <c r="N3113" s="12"/>
      <c r="O3113" s="10" t="str">
        <f t="shared" si="305"/>
        <v>View</v>
      </c>
      <c r="P3113" s="11"/>
    </row>
    <row r="3114" spans="1:16" ht="12.75" x14ac:dyDescent="0.35">
      <c r="A3114" s="7">
        <v>42482.622094907405</v>
      </c>
      <c r="B3114" s="8" t="str">
        <f>HYPERLINK("https://twitter.com/Elektroflitzer","@Elektroflitzer")</f>
        <v>@Elektroflitzer</v>
      </c>
      <c r="C3114" s="9" t="s">
        <v>7637</v>
      </c>
      <c r="D3114" s="9" t="s">
        <v>7638</v>
      </c>
      <c r="E3114" s="10" t="str">
        <f>HYPERLINK("https://twitter.com/Elektroflitzer/status/723442674141777921","723442674141777921")</f>
        <v>723442674141777921</v>
      </c>
      <c r="F3114" s="11" t="s">
        <v>91</v>
      </c>
      <c r="G3114" s="11">
        <v>146</v>
      </c>
      <c r="H3114" s="11">
        <v>118</v>
      </c>
      <c r="I3114" s="11">
        <v>0</v>
      </c>
      <c r="J3114" s="11">
        <v>0</v>
      </c>
      <c r="K3114" s="11" t="s">
        <v>21</v>
      </c>
      <c r="L3114" s="7">
        <v>41843.798657407409</v>
      </c>
      <c r="M3114" s="12" t="s">
        <v>7639</v>
      </c>
      <c r="N3114" s="12" t="s">
        <v>7640</v>
      </c>
      <c r="O3114" s="10" t="str">
        <f>HYPERLINK("https://pbs.twimg.com/profile_images/718678305709432832/w-KvPE1i_normal.jpg","View")</f>
        <v>View</v>
      </c>
      <c r="P3114" s="11"/>
    </row>
    <row r="3115" spans="1:16" ht="12.75" x14ac:dyDescent="0.35">
      <c r="A3115" s="7">
        <v>42482.62222222222</v>
      </c>
      <c r="B3115" s="8" t="str">
        <f>HYPERLINK("https://twitter.com/SpirosMargaris","@SpirosMargaris")</f>
        <v>@SpirosMargaris</v>
      </c>
      <c r="C3115" s="9" t="s">
        <v>7641</v>
      </c>
      <c r="D3115" s="9" t="s">
        <v>7642</v>
      </c>
      <c r="E3115" s="10" t="str">
        <f>HYPERLINK("https://twitter.com/SpirosMargaris/status/723442720568545281","723442720568545281")</f>
        <v>723442720568545281</v>
      </c>
      <c r="F3115" s="11" t="s">
        <v>20</v>
      </c>
      <c r="G3115" s="11">
        <v>7405</v>
      </c>
      <c r="H3115" s="11">
        <v>6771</v>
      </c>
      <c r="I3115" s="11">
        <v>0</v>
      </c>
      <c r="J3115" s="11">
        <v>1</v>
      </c>
      <c r="K3115" s="11" t="s">
        <v>21</v>
      </c>
      <c r="L3115" s="7">
        <v>41857.451574074075</v>
      </c>
      <c r="M3115" s="12" t="s">
        <v>7643</v>
      </c>
      <c r="N3115" s="12" t="s">
        <v>7644</v>
      </c>
      <c r="O3115" s="10" t="str">
        <f>HYPERLINK("https://pbs.twimg.com/profile_images/496890872990953473/XPDr3fmF_normal.jpeg","View")</f>
        <v>View</v>
      </c>
      <c r="P3115" s="11"/>
    </row>
    <row r="3116" spans="1:16" ht="12.75" x14ac:dyDescent="0.35">
      <c r="A3116" s="7">
        <v>42482.62222222222</v>
      </c>
      <c r="B3116" s="8" t="str">
        <f>HYPERLINK("https://twitter.com/CharmedJohanna","@CharmedJohanna")</f>
        <v>@CharmedJohanna</v>
      </c>
      <c r="C3116" s="9" t="s">
        <v>7645</v>
      </c>
      <c r="D3116" s="9" t="s">
        <v>7646</v>
      </c>
      <c r="E3116" s="10" t="str">
        <f>HYPERLINK("https://twitter.com/CharmedJohanna/status/723442721046720514","723442721046720514")</f>
        <v>723442721046720514</v>
      </c>
      <c r="F3116" s="11" t="s">
        <v>43</v>
      </c>
      <c r="G3116" s="11">
        <v>124</v>
      </c>
      <c r="H3116" s="11">
        <v>321</v>
      </c>
      <c r="I3116" s="11">
        <v>2</v>
      </c>
      <c r="J3116" s="11">
        <v>0</v>
      </c>
      <c r="K3116" s="11" t="s">
        <v>21</v>
      </c>
      <c r="L3116" s="7">
        <v>41231.279537037037</v>
      </c>
      <c r="M3116" s="12"/>
      <c r="N3116" s="12" t="s">
        <v>7647</v>
      </c>
      <c r="O3116" s="10" t="str">
        <f>HYPERLINK("https://pbs.twimg.com/profile_images/716145218383396866/1ULcAgor_normal.jpg","View")</f>
        <v>View</v>
      </c>
      <c r="P3116" s="11"/>
    </row>
    <row r="3117" spans="1:16" ht="12.75" x14ac:dyDescent="0.35">
      <c r="A3117" s="7">
        <v>42482.622650462959</v>
      </c>
      <c r="B3117" s="8" t="str">
        <f>HYPERLINK("https://twitter.com/andreafiorello","@andreafiorello")</f>
        <v>@andreafiorello</v>
      </c>
      <c r="C3117" s="9" t="s">
        <v>7648</v>
      </c>
      <c r="D3117" s="9" t="s">
        <v>5208</v>
      </c>
      <c r="E3117" s="10" t="str">
        <f>HYPERLINK("https://twitter.com/andreafiorello/status/723442877032861696","723442877032861696")</f>
        <v>723442877032861696</v>
      </c>
      <c r="F3117" s="11" t="s">
        <v>63</v>
      </c>
      <c r="G3117" s="11">
        <v>1636</v>
      </c>
      <c r="H3117" s="11">
        <v>2001</v>
      </c>
      <c r="I3117" s="11">
        <v>6</v>
      </c>
      <c r="J3117" s="11">
        <v>0</v>
      </c>
      <c r="K3117" s="11" t="s">
        <v>21</v>
      </c>
      <c r="L3117" s="7">
        <v>40096.200671296298</v>
      </c>
      <c r="M3117" s="12" t="s">
        <v>7649</v>
      </c>
      <c r="N3117" s="12" t="s">
        <v>7650</v>
      </c>
      <c r="O3117" s="10" t="str">
        <f>HYPERLINK("https://pbs.twimg.com/profile_images/530315974344323072/zJAHiLD5_normal.jpeg","View")</f>
        <v>View</v>
      </c>
      <c r="P3117" s="11"/>
    </row>
    <row r="3118" spans="1:16" ht="12.75" x14ac:dyDescent="0.35">
      <c r="A3118" s="7">
        <v>42482.622650462959</v>
      </c>
      <c r="B3118" s="8" t="str">
        <f>HYPERLINK("https://twitter.com/AutoNewsEurope","@AutoNewsEurope")</f>
        <v>@AutoNewsEurope</v>
      </c>
      <c r="C3118" s="9" t="s">
        <v>7651</v>
      </c>
      <c r="D3118" s="9" t="s">
        <v>5208</v>
      </c>
      <c r="E3118" s="10" t="str">
        <f>HYPERLINK("https://twitter.com/AutoNewsEurope/status/723442877083213824","723442877083213824")</f>
        <v>723442877083213824</v>
      </c>
      <c r="F3118" s="11" t="s">
        <v>63</v>
      </c>
      <c r="G3118" s="11">
        <v>10596</v>
      </c>
      <c r="H3118" s="11">
        <v>420</v>
      </c>
      <c r="I3118" s="11">
        <v>6</v>
      </c>
      <c r="J3118" s="11">
        <v>0</v>
      </c>
      <c r="K3118" s="11" t="s">
        <v>21</v>
      </c>
      <c r="L3118" s="7">
        <v>39867.597245370373</v>
      </c>
      <c r="M3118" s="12" t="s">
        <v>6984</v>
      </c>
      <c r="N3118" s="12" t="s">
        <v>7652</v>
      </c>
      <c r="O3118" s="10" t="str">
        <f>HYPERLINK("https://pbs.twimg.com/profile_images/531881513457971201/xLcgNzit_normal.png","View")</f>
        <v>View</v>
      </c>
      <c r="P3118" s="11"/>
    </row>
    <row r="3119" spans="1:16" ht="12.75" x14ac:dyDescent="0.35">
      <c r="A3119" s="7">
        <v>42482.622743055559</v>
      </c>
      <c r="B3119" s="8" t="str">
        <f>HYPERLINK("https://twitter.com/NDRreporter","@NDRreporter")</f>
        <v>@NDRreporter</v>
      </c>
      <c r="C3119" s="9" t="s">
        <v>1660</v>
      </c>
      <c r="D3119" s="9" t="s">
        <v>7653</v>
      </c>
      <c r="E3119" s="10" t="str">
        <f>HYPERLINK("https://twitter.com/NDRreporter/status/723442909052174336","723442909052174336")</f>
        <v>723442909052174336</v>
      </c>
      <c r="F3119" s="11" t="s">
        <v>43</v>
      </c>
      <c r="G3119" s="11">
        <v>11484</v>
      </c>
      <c r="H3119" s="11">
        <v>297</v>
      </c>
      <c r="I3119" s="11">
        <v>0</v>
      </c>
      <c r="J3119" s="11">
        <v>0</v>
      </c>
      <c r="K3119" s="11" t="s">
        <v>21</v>
      </c>
      <c r="L3119" s="7">
        <v>41386.591909722221</v>
      </c>
      <c r="M3119" s="12" t="s">
        <v>953</v>
      </c>
      <c r="N3119" s="12" t="s">
        <v>1662</v>
      </c>
      <c r="O3119" s="10" t="str">
        <f>HYPERLINK("https://pbs.twimg.com/profile_images/466908605317279744/I5a712BQ_normal.jpeg","View")</f>
        <v>View</v>
      </c>
      <c r="P3119" s="11"/>
    </row>
    <row r="3120" spans="1:16" ht="12.75" x14ac:dyDescent="0.35">
      <c r="A3120" s="7">
        <v>42482.622870370367</v>
      </c>
      <c r="B3120" s="8" t="str">
        <f>HYPERLINK("https://twitter.com/Joelsampaul","@Joelsampaul")</f>
        <v>@Joelsampaul</v>
      </c>
      <c r="C3120" s="9" t="s">
        <v>7654</v>
      </c>
      <c r="D3120" s="9" t="s">
        <v>7646</v>
      </c>
      <c r="E3120" s="10" t="str">
        <f>HYPERLINK("https://twitter.com/Joelsampaul/status/723442956280041473","723442956280041473")</f>
        <v>723442956280041473</v>
      </c>
      <c r="F3120" s="11" t="s">
        <v>48</v>
      </c>
      <c r="G3120" s="11">
        <v>328</v>
      </c>
      <c r="H3120" s="11">
        <v>1301</v>
      </c>
      <c r="I3120" s="11">
        <v>2</v>
      </c>
      <c r="J3120" s="11">
        <v>0</v>
      </c>
      <c r="K3120" s="11" t="s">
        <v>21</v>
      </c>
      <c r="L3120" s="7">
        <v>42356.309664351851</v>
      </c>
      <c r="M3120" s="12" t="s">
        <v>7655</v>
      </c>
      <c r="N3120" s="12" t="s">
        <v>7656</v>
      </c>
      <c r="O3120" s="10" t="str">
        <f>HYPERLINK("https://pbs.twimg.com/profile_images/720225287829479424/3EPXdeSh_normal.jpg","View")</f>
        <v>View</v>
      </c>
      <c r="P3120" s="11"/>
    </row>
    <row r="3121" spans="1:16" ht="12.75" x14ac:dyDescent="0.35">
      <c r="A3121" s="7">
        <v>42482.624837962961</v>
      </c>
      <c r="B3121" s="8" t="str">
        <f>HYPERLINK("https://twitter.com/doern","@doern")</f>
        <v>@doern</v>
      </c>
      <c r="C3121" s="9" t="s">
        <v>3107</v>
      </c>
      <c r="D3121" s="9" t="s">
        <v>7657</v>
      </c>
      <c r="E3121" s="10" t="str">
        <f>HYPERLINK("https://twitter.com/doern/status/723443670347706369","723443670347706369")</f>
        <v>723443670347706369</v>
      </c>
      <c r="F3121" s="11" t="s">
        <v>20</v>
      </c>
      <c r="G3121" s="11">
        <v>342</v>
      </c>
      <c r="H3121" s="11">
        <v>63</v>
      </c>
      <c r="I3121" s="11">
        <v>0</v>
      </c>
      <c r="J3121" s="11">
        <v>0</v>
      </c>
      <c r="K3121" s="11" t="s">
        <v>21</v>
      </c>
      <c r="L3121" s="7">
        <v>39909.663194444445</v>
      </c>
      <c r="M3121" s="12" t="s">
        <v>262</v>
      </c>
      <c r="N3121" s="12" t="s">
        <v>3109</v>
      </c>
      <c r="O3121" s="10" t="str">
        <f>HYPERLINK("https://pbs.twimg.com/profile_images/657853466384191488/J6vAnfZr_normal.jpg","View")</f>
        <v>View</v>
      </c>
      <c r="P3121" s="11"/>
    </row>
    <row r="3122" spans="1:16" ht="12.75" x14ac:dyDescent="0.35">
      <c r="A3122" s="7">
        <v>42482.625092592592</v>
      </c>
      <c r="B3122" s="8" t="str">
        <f>HYPERLINK("https://twitter.com/LarissaWalter5","@LarissaWalter5")</f>
        <v>@LarissaWalter5</v>
      </c>
      <c r="C3122" s="9" t="s">
        <v>7658</v>
      </c>
      <c r="D3122" s="9" t="s">
        <v>7189</v>
      </c>
      <c r="E3122" s="10" t="str">
        <f>HYPERLINK("https://twitter.com/LarissaWalter5/status/723443760713977856","723443760713977856")</f>
        <v>723443760713977856</v>
      </c>
      <c r="F3122" s="11" t="s">
        <v>20</v>
      </c>
      <c r="G3122" s="11">
        <v>82</v>
      </c>
      <c r="H3122" s="11">
        <v>218</v>
      </c>
      <c r="I3122" s="11">
        <v>10</v>
      </c>
      <c r="J3122" s="11">
        <v>0</v>
      </c>
      <c r="K3122" s="11" t="s">
        <v>21</v>
      </c>
      <c r="L3122" s="7">
        <v>42456.018043981487</v>
      </c>
      <c r="M3122" s="12" t="s">
        <v>7659</v>
      </c>
      <c r="N3122" s="12"/>
      <c r="O3122" s="10" t="str">
        <f>HYPERLINK("https://abs.twimg.com/sticky/default_profile_images/default_profile_4_normal.png","View")</f>
        <v>View</v>
      </c>
      <c r="P3122" s="11"/>
    </row>
    <row r="3123" spans="1:16" ht="12.75" x14ac:dyDescent="0.35">
      <c r="A3123" s="7">
        <v>42482.625335648147</v>
      </c>
      <c r="B3123" s="8" t="str">
        <f>HYPERLINK("https://twitter.com/bitcoinagile","@bitcoinagile")</f>
        <v>@bitcoinagile</v>
      </c>
      <c r="C3123" s="9" t="s">
        <v>7660</v>
      </c>
      <c r="D3123" s="9" t="s">
        <v>7661</v>
      </c>
      <c r="E3123" s="10" t="str">
        <f>HYPERLINK("https://twitter.com/bitcoinagile/status/723443849884917760","723443849884917760")</f>
        <v>723443849884917760</v>
      </c>
      <c r="F3123" s="11" t="s">
        <v>7662</v>
      </c>
      <c r="G3123" s="11">
        <v>11061</v>
      </c>
      <c r="H3123" s="11">
        <v>7946</v>
      </c>
      <c r="I3123" s="11">
        <v>0</v>
      </c>
      <c r="J3123" s="11">
        <v>0</v>
      </c>
      <c r="K3123" s="11" t="s">
        <v>21</v>
      </c>
      <c r="L3123" s="7">
        <v>41647.224143518521</v>
      </c>
      <c r="M3123" s="12" t="s">
        <v>7663</v>
      </c>
      <c r="N3123" s="12" t="s">
        <v>7664</v>
      </c>
      <c r="O3123" s="10" t="str">
        <f>HYPERLINK("https://pbs.twimg.com/profile_images/463897635380682753/ZLmcIFL2_normal.png","View")</f>
        <v>View</v>
      </c>
      <c r="P3123" s="11"/>
    </row>
    <row r="3124" spans="1:16" ht="12.75" x14ac:dyDescent="0.35">
      <c r="A3124" s="7">
        <v>42482.625937500001</v>
      </c>
      <c r="B3124" s="8" t="str">
        <f>HYPERLINK("https://twitter.com/Jo_Huyghe","@Jo_Huyghe")</f>
        <v>@Jo_Huyghe</v>
      </c>
      <c r="C3124" s="9" t="s">
        <v>7665</v>
      </c>
      <c r="D3124" s="9" t="s">
        <v>7646</v>
      </c>
      <c r="E3124" s="10" t="str">
        <f>HYPERLINK("https://twitter.com/Jo_Huyghe/status/723444066785103872","723444066785103872")</f>
        <v>723444066785103872</v>
      </c>
      <c r="F3124" s="11" t="s">
        <v>48</v>
      </c>
      <c r="G3124" s="11">
        <v>161</v>
      </c>
      <c r="H3124" s="11">
        <v>272</v>
      </c>
      <c r="I3124" s="11">
        <v>4</v>
      </c>
      <c r="J3124" s="11">
        <v>0</v>
      </c>
      <c r="K3124" s="11" t="s">
        <v>21</v>
      </c>
      <c r="L3124" s="7">
        <v>40043.124386574076</v>
      </c>
      <c r="M3124" s="12" t="s">
        <v>7666</v>
      </c>
      <c r="N3124" s="12" t="s">
        <v>7667</v>
      </c>
      <c r="O3124" s="10" t="str">
        <f>HYPERLINK("https://pbs.twimg.com/profile_images/673593444179320834/KHLFVBKv_normal.jpg","View")</f>
        <v>View</v>
      </c>
      <c r="P3124" s="11"/>
    </row>
    <row r="3125" spans="1:16" ht="12.75" x14ac:dyDescent="0.35">
      <c r="A3125" s="7">
        <v>42482.627164351856</v>
      </c>
      <c r="B3125" s="8" t="str">
        <f>HYPERLINK("https://twitter.com/VWBeetleSales","@VWBeetleSales")</f>
        <v>@VWBeetleSales</v>
      </c>
      <c r="C3125" s="9" t="s">
        <v>127</v>
      </c>
      <c r="D3125" s="9" t="s">
        <v>7668</v>
      </c>
      <c r="E3125" s="10" t="str">
        <f>HYPERLINK("https://twitter.com/VWBeetleSales/status/723444513788719105","723444513788719105")</f>
        <v>723444513788719105</v>
      </c>
      <c r="F3125" s="10" t="s">
        <v>124</v>
      </c>
      <c r="G3125" s="11">
        <v>35</v>
      </c>
      <c r="H3125" s="11">
        <v>32</v>
      </c>
      <c r="I3125" s="11">
        <v>0</v>
      </c>
      <c r="J3125" s="11">
        <v>0</v>
      </c>
      <c r="K3125" s="11" t="s">
        <v>21</v>
      </c>
      <c r="L3125" s="7">
        <v>42427.019756944443</v>
      </c>
      <c r="M3125" s="12" t="s">
        <v>129</v>
      </c>
      <c r="N3125" s="12" t="s">
        <v>130</v>
      </c>
      <c r="O3125" s="10" t="str">
        <f>HYPERLINK("https://pbs.twimg.com/profile_images/703294545195307008/qeCvrX86_normal.jpg","View")</f>
        <v>View</v>
      </c>
      <c r="P3125" s="11"/>
    </row>
    <row r="3126" spans="1:16" ht="12.75" x14ac:dyDescent="0.35">
      <c r="A3126" s="7">
        <v>42482.627210648148</v>
      </c>
      <c r="B3126" s="8" t="str">
        <f t="shared" ref="B3126:B3127" si="306">HYPERLINK("https://twitter.com/VWCamperSales","@VWCamperSales")</f>
        <v>@VWCamperSales</v>
      </c>
      <c r="C3126" s="9" t="s">
        <v>216</v>
      </c>
      <c r="D3126" s="9" t="s">
        <v>7669</v>
      </c>
      <c r="E3126" s="10" t="str">
        <f>HYPERLINK("https://twitter.com/VWCamperSales/status/723444529622196225","723444529622196225")</f>
        <v>723444529622196225</v>
      </c>
      <c r="F3126" s="10" t="s">
        <v>124</v>
      </c>
      <c r="G3126" s="11">
        <v>615</v>
      </c>
      <c r="H3126" s="11">
        <v>580</v>
      </c>
      <c r="I3126" s="11">
        <v>0</v>
      </c>
      <c r="J3126" s="11">
        <v>0</v>
      </c>
      <c r="K3126" s="11" t="s">
        <v>21</v>
      </c>
      <c r="L3126" s="7">
        <v>42215.98809027778</v>
      </c>
      <c r="M3126" s="12" t="s">
        <v>129</v>
      </c>
      <c r="N3126" s="12" t="s">
        <v>218</v>
      </c>
      <c r="O3126" s="10" t="str">
        <f t="shared" ref="O3126:O3127" si="307">HYPERLINK("https://pbs.twimg.com/profile_images/627949001179037696/skEBkS05_normal.jpg","View")</f>
        <v>View</v>
      </c>
      <c r="P3126" s="11"/>
    </row>
    <row r="3127" spans="1:16" ht="12.75" x14ac:dyDescent="0.35">
      <c r="A3127" s="7">
        <v>42482.627233796295</v>
      </c>
      <c r="B3127" s="8" t="str">
        <f t="shared" si="306"/>
        <v>@VWCamperSales</v>
      </c>
      <c r="C3127" s="9" t="s">
        <v>216</v>
      </c>
      <c r="D3127" s="9" t="s">
        <v>7670</v>
      </c>
      <c r="E3127" s="10" t="str">
        <f>HYPERLINK("https://twitter.com/VWCamperSales/status/723444537700442112","723444537700442112")</f>
        <v>723444537700442112</v>
      </c>
      <c r="F3127" s="10" t="s">
        <v>124</v>
      </c>
      <c r="G3127" s="11">
        <v>615</v>
      </c>
      <c r="H3127" s="11">
        <v>580</v>
      </c>
      <c r="I3127" s="11">
        <v>0</v>
      </c>
      <c r="J3127" s="11">
        <v>0</v>
      </c>
      <c r="K3127" s="11" t="s">
        <v>21</v>
      </c>
      <c r="L3127" s="7">
        <v>42215.98809027778</v>
      </c>
      <c r="M3127" s="12" t="s">
        <v>129</v>
      </c>
      <c r="N3127" s="12" t="s">
        <v>218</v>
      </c>
      <c r="O3127" s="10" t="str">
        <f t="shared" si="307"/>
        <v>View</v>
      </c>
      <c r="P3127" s="11"/>
    </row>
    <row r="3128" spans="1:16" ht="12.75" x14ac:dyDescent="0.35">
      <c r="A3128" s="7">
        <v>42482.62736111111</v>
      </c>
      <c r="B3128" s="8" t="str">
        <f t="shared" ref="B3128:B3129" si="308">HYPERLINK("https://twitter.com/LittleCountry_M","@LittleCountry_M")</f>
        <v>@LittleCountry_M</v>
      </c>
      <c r="C3128" s="9" t="s">
        <v>7671</v>
      </c>
      <c r="D3128" s="9" t="s">
        <v>7672</v>
      </c>
      <c r="E3128" s="10" t="str">
        <f>HYPERLINK("https://twitter.com/LittleCountry_M/status/723444584978640896","723444584978640896")</f>
        <v>723444584978640896</v>
      </c>
      <c r="F3128" s="11" t="s">
        <v>114</v>
      </c>
      <c r="G3128" s="11">
        <v>312</v>
      </c>
      <c r="H3128" s="11">
        <v>215</v>
      </c>
      <c r="I3128" s="11">
        <v>0</v>
      </c>
      <c r="J3128" s="11">
        <v>0</v>
      </c>
      <c r="K3128" s="11" t="s">
        <v>21</v>
      </c>
      <c r="L3128" s="7">
        <v>41083.964178240742</v>
      </c>
      <c r="M3128" s="12" t="s">
        <v>7673</v>
      </c>
      <c r="N3128" s="12" t="s">
        <v>7674</v>
      </c>
      <c r="O3128" s="10" t="str">
        <f t="shared" ref="O3128:O3129" si="309">HYPERLINK("https://pbs.twimg.com/profile_images/708323870512533506/MCmjP2UD_normal.jpg","View")</f>
        <v>View</v>
      </c>
      <c r="P3128" s="10" t="str">
        <f>HYPERLINK("http://ctrlq.org/maps/address/#35.7289658,139.6838808","Map")</f>
        <v>Map</v>
      </c>
    </row>
    <row r="3129" spans="1:16" ht="12.75" x14ac:dyDescent="0.35">
      <c r="A3129" s="7">
        <v>42482.627407407403</v>
      </c>
      <c r="B3129" s="8" t="str">
        <f t="shared" si="308"/>
        <v>@LittleCountry_M</v>
      </c>
      <c r="C3129" s="9" t="s">
        <v>7671</v>
      </c>
      <c r="D3129" s="9" t="s">
        <v>7675</v>
      </c>
      <c r="E3129" s="10" t="str">
        <f>HYPERLINK("https://twitter.com/LittleCountry_M/status/723444600128442368","723444600128442368")</f>
        <v>723444600128442368</v>
      </c>
      <c r="F3129" s="11" t="s">
        <v>53</v>
      </c>
      <c r="G3129" s="11">
        <v>312</v>
      </c>
      <c r="H3129" s="11">
        <v>215</v>
      </c>
      <c r="I3129" s="11">
        <v>0</v>
      </c>
      <c r="J3129" s="11">
        <v>0</v>
      </c>
      <c r="K3129" s="11" t="s">
        <v>21</v>
      </c>
      <c r="L3129" s="7">
        <v>41083.964178240742</v>
      </c>
      <c r="M3129" s="12" t="s">
        <v>7673</v>
      </c>
      <c r="N3129" s="12" t="s">
        <v>7674</v>
      </c>
      <c r="O3129" s="10" t="str">
        <f t="shared" si="309"/>
        <v>View</v>
      </c>
      <c r="P3129" s="11"/>
    </row>
    <row r="3130" spans="1:16" ht="12.75" x14ac:dyDescent="0.35">
      <c r="A3130" s="7">
        <v>42482.627407407403</v>
      </c>
      <c r="B3130" s="8" t="str">
        <f>HYPERLINK("https://twitter.com/dermaschinist","@dermaschinist")</f>
        <v>@dermaschinist</v>
      </c>
      <c r="C3130" s="9" t="s">
        <v>2483</v>
      </c>
      <c r="D3130" s="9" t="s">
        <v>7676</v>
      </c>
      <c r="E3130" s="10" t="str">
        <f>HYPERLINK("https://twitter.com/dermaschinist/status/723444600631791616","723444600631791616")</f>
        <v>723444600631791616</v>
      </c>
      <c r="F3130" s="11" t="s">
        <v>2485</v>
      </c>
      <c r="G3130" s="11">
        <v>1832</v>
      </c>
      <c r="H3130" s="11">
        <v>1014</v>
      </c>
      <c r="I3130" s="11">
        <v>0</v>
      </c>
      <c r="J3130" s="11">
        <v>0</v>
      </c>
      <c r="K3130" s="11" t="s">
        <v>21</v>
      </c>
      <c r="L3130" s="7">
        <v>40022.197916666664</v>
      </c>
      <c r="M3130" s="12"/>
      <c r="N3130" s="12" t="s">
        <v>2486</v>
      </c>
      <c r="O3130" s="10" t="str">
        <f>HYPERLINK("https://pbs.twimg.com/profile_images/2990215932/3d67f4dbdf71510d4c8e81b422b73de8_normal.jpeg","View")</f>
        <v>View</v>
      </c>
      <c r="P3130" s="11"/>
    </row>
    <row r="3131" spans="1:16" ht="12.75" x14ac:dyDescent="0.35">
      <c r="A3131" s="7">
        <v>42482.628032407403</v>
      </c>
      <c r="B3131" s="8" t="str">
        <f>HYPERLINK("https://twitter.com/ExCEO_","@ExCEO_")</f>
        <v>@ExCEO_</v>
      </c>
      <c r="C3131" s="9" t="s">
        <v>2803</v>
      </c>
      <c r="D3131" s="9" t="s">
        <v>7677</v>
      </c>
      <c r="E3131" s="10" t="str">
        <f>HYPERLINK("https://twitter.com/ExCEO_/status/723444825819742208","723444825819742208")</f>
        <v>723444825819742208</v>
      </c>
      <c r="F3131" s="11" t="s">
        <v>43</v>
      </c>
      <c r="G3131" s="11">
        <v>3222</v>
      </c>
      <c r="H3131" s="11">
        <v>2933</v>
      </c>
      <c r="I3131" s="11">
        <v>0</v>
      </c>
      <c r="J3131" s="11">
        <v>0</v>
      </c>
      <c r="K3131" s="11" t="s">
        <v>21</v>
      </c>
      <c r="L3131" s="7">
        <v>41340.071620370371</v>
      </c>
      <c r="M3131" s="12" t="s">
        <v>2805</v>
      </c>
      <c r="N3131" s="12" t="s">
        <v>2806</v>
      </c>
      <c r="O3131" s="10" t="str">
        <f>HYPERLINK("https://pbs.twimg.com/profile_images/3346543471/c7c79480b7b405ee902a5fcb600153a0_normal.jpeg","View")</f>
        <v>View</v>
      </c>
      <c r="P3131" s="11"/>
    </row>
    <row r="3132" spans="1:16" ht="12.75" x14ac:dyDescent="0.35">
      <c r="A3132" s="7">
        <v>42482.628125000003</v>
      </c>
      <c r="B3132" s="8" t="str">
        <f>HYPERLINK("https://twitter.com/JuanjoMorodo","@JuanjoMorodo")</f>
        <v>@JuanjoMorodo</v>
      </c>
      <c r="C3132" s="9" t="s">
        <v>7678</v>
      </c>
      <c r="D3132" s="9" t="s">
        <v>7679</v>
      </c>
      <c r="E3132" s="10" t="str">
        <f>HYPERLINK("https://twitter.com/JuanjoMorodo/status/723444861173518336","723444861173518336")</f>
        <v>723444861173518336</v>
      </c>
      <c r="F3132" s="11" t="s">
        <v>20</v>
      </c>
      <c r="G3132" s="11">
        <v>1797</v>
      </c>
      <c r="H3132" s="11">
        <v>174</v>
      </c>
      <c r="I3132" s="11">
        <v>0</v>
      </c>
      <c r="J3132" s="11">
        <v>1</v>
      </c>
      <c r="K3132" s="11" t="s">
        <v>21</v>
      </c>
      <c r="L3132" s="7">
        <v>40542.882696759261</v>
      </c>
      <c r="M3132" s="12" t="s">
        <v>1622</v>
      </c>
      <c r="N3132" s="12" t="s">
        <v>7680</v>
      </c>
      <c r="O3132" s="10" t="str">
        <f>HYPERLINK("https://pbs.twimg.com/profile_images/1202564418/Juanjo_normal.jpg","View")</f>
        <v>View</v>
      </c>
      <c r="P3132" s="11"/>
    </row>
    <row r="3133" spans="1:16" ht="12.75" x14ac:dyDescent="0.35">
      <c r="A3133" s="7">
        <v>42482.628460648149</v>
      </c>
      <c r="B3133" s="8" t="str">
        <f>HYPERLINK("https://twitter.com/nicolettamanzio","@nicolettamanzio")</f>
        <v>@nicolettamanzio</v>
      </c>
      <c r="C3133" s="9" t="s">
        <v>7681</v>
      </c>
      <c r="D3133" s="9" t="s">
        <v>7059</v>
      </c>
      <c r="E3133" s="10" t="str">
        <f>HYPERLINK("https://twitter.com/nicolettamanzio/status/723444981495517184","723444981495517184")</f>
        <v>723444981495517184</v>
      </c>
      <c r="F3133" s="11" t="s">
        <v>91</v>
      </c>
      <c r="G3133" s="11">
        <v>1086</v>
      </c>
      <c r="H3133" s="11">
        <v>826</v>
      </c>
      <c r="I3133" s="11">
        <v>4</v>
      </c>
      <c r="J3133" s="11">
        <v>0</v>
      </c>
      <c r="K3133" s="11" t="s">
        <v>21</v>
      </c>
      <c r="L3133" s="7">
        <v>40900.998981481483</v>
      </c>
      <c r="M3133" s="12" t="s">
        <v>1359</v>
      </c>
      <c r="N3133" s="12" t="s">
        <v>7682</v>
      </c>
      <c r="O3133" s="10" t="str">
        <f>HYPERLINK("https://pbs.twimg.com/profile_images/719138351425658881/kX6nf0Jy_normal.jpg","View")</f>
        <v>View</v>
      </c>
      <c r="P3133" s="11"/>
    </row>
    <row r="3134" spans="1:16" ht="12.75" x14ac:dyDescent="0.35">
      <c r="A3134" s="7">
        <v>42482.628495370373</v>
      </c>
      <c r="B3134" s="8" t="str">
        <f t="shared" ref="B3134:B3135" si="310">HYPERLINK("https://twitter.com/VolkswagenPost","@VolkswagenPost")</f>
        <v>@VolkswagenPost</v>
      </c>
      <c r="C3134" s="9" t="s">
        <v>321</v>
      </c>
      <c r="D3134" s="9" t="s">
        <v>7683</v>
      </c>
      <c r="E3134" s="10" t="str">
        <f>HYPERLINK("https://twitter.com/VolkswagenPost/status/723444997337567232","723444997337567232")</f>
        <v>723444997337567232</v>
      </c>
      <c r="F3134" s="11" t="s">
        <v>288</v>
      </c>
      <c r="G3134" s="11">
        <v>570</v>
      </c>
      <c r="H3134" s="11">
        <v>446</v>
      </c>
      <c r="I3134" s="11">
        <v>1</v>
      </c>
      <c r="J3134" s="11">
        <v>0</v>
      </c>
      <c r="K3134" s="11" t="s">
        <v>21</v>
      </c>
      <c r="L3134" s="7">
        <v>41940.618379629632</v>
      </c>
      <c r="M3134" s="12"/>
      <c r="N3134" s="12"/>
      <c r="O3134" s="10" t="str">
        <f t="shared" ref="O3134:O3135" si="311">HYPERLINK("https://pbs.twimg.com/profile_images/530071272881803264/a_jcCmPZ_normal.png","View")</f>
        <v>View</v>
      </c>
      <c r="P3134" s="11"/>
    </row>
    <row r="3135" spans="1:16" ht="12.75" x14ac:dyDescent="0.35">
      <c r="A3135" s="7">
        <v>42482.628506944442</v>
      </c>
      <c r="B3135" s="8" t="str">
        <f t="shared" si="310"/>
        <v>@VolkswagenPost</v>
      </c>
      <c r="C3135" s="9" t="s">
        <v>321</v>
      </c>
      <c r="D3135" s="9" t="s">
        <v>7684</v>
      </c>
      <c r="E3135" s="10" t="str">
        <f>HYPERLINK("https://twitter.com/VolkswagenPost/status/723444998524526592","723444998524526592")</f>
        <v>723444998524526592</v>
      </c>
      <c r="F3135" s="11" t="s">
        <v>288</v>
      </c>
      <c r="G3135" s="11">
        <v>570</v>
      </c>
      <c r="H3135" s="11">
        <v>446</v>
      </c>
      <c r="I3135" s="11">
        <v>1</v>
      </c>
      <c r="J3135" s="11">
        <v>0</v>
      </c>
      <c r="K3135" s="11" t="s">
        <v>21</v>
      </c>
      <c r="L3135" s="7">
        <v>41940.618379629632</v>
      </c>
      <c r="M3135" s="12"/>
      <c r="N3135" s="12"/>
      <c r="O3135" s="10" t="str">
        <f t="shared" si="311"/>
        <v>View</v>
      </c>
      <c r="P3135" s="11"/>
    </row>
    <row r="3136" spans="1:16" ht="12.75" x14ac:dyDescent="0.35">
      <c r="A3136" s="7">
        <v>42482.62908564815</v>
      </c>
      <c r="B3136" s="8" t="str">
        <f>HYPERLINK("https://twitter.com/BGKSR","@BGKSR")</f>
        <v>@BGKSR</v>
      </c>
      <c r="C3136" s="9" t="s">
        <v>7685</v>
      </c>
      <c r="D3136" s="9" t="s">
        <v>7686</v>
      </c>
      <c r="E3136" s="10" t="str">
        <f>HYPERLINK("https://twitter.com/BGKSR/status/723445209082662913","723445209082662913")</f>
        <v>723445209082662913</v>
      </c>
      <c r="F3136" s="11" t="s">
        <v>43</v>
      </c>
      <c r="G3136" s="11">
        <v>933</v>
      </c>
      <c r="H3136" s="11">
        <v>1452</v>
      </c>
      <c r="I3136" s="11">
        <v>0</v>
      </c>
      <c r="J3136" s="11">
        <v>0</v>
      </c>
      <c r="K3136" s="11" t="s">
        <v>21</v>
      </c>
      <c r="L3136" s="7">
        <v>40620.735173611109</v>
      </c>
      <c r="M3136" s="12" t="s">
        <v>6661</v>
      </c>
      <c r="N3136" s="12" t="s">
        <v>7687</v>
      </c>
      <c r="O3136" s="10" t="str">
        <f>HYPERLINK("https://pbs.twimg.com/profile_images/721954107779588096/PAgGOjNi_normal.jpg","View")</f>
        <v>View</v>
      </c>
      <c r="P3136" s="11"/>
    </row>
    <row r="3137" spans="1:16" ht="12.75" x14ac:dyDescent="0.35">
      <c r="A3137" s="7">
        <v>42482.629340277781</v>
      </c>
      <c r="B3137" s="8" t="str">
        <f>HYPERLINK("https://twitter.com/ACE_Autoclub","@ACE_Autoclub")</f>
        <v>@ACE_Autoclub</v>
      </c>
      <c r="C3137" s="9" t="s">
        <v>7688</v>
      </c>
      <c r="D3137" s="9" t="s">
        <v>7689</v>
      </c>
      <c r="E3137" s="10" t="str">
        <f>HYPERLINK("https://twitter.com/ACE_Autoclub/status/723445303546810373","723445303546810373")</f>
        <v>723445303546810373</v>
      </c>
      <c r="F3137" s="11" t="s">
        <v>43</v>
      </c>
      <c r="G3137" s="11">
        <v>1122</v>
      </c>
      <c r="H3137" s="11">
        <v>49</v>
      </c>
      <c r="I3137" s="11">
        <v>0</v>
      </c>
      <c r="J3137" s="11">
        <v>0</v>
      </c>
      <c r="K3137" s="11" t="s">
        <v>21</v>
      </c>
      <c r="L3137" s="7">
        <v>40259.79619212963</v>
      </c>
      <c r="M3137" s="12" t="s">
        <v>5270</v>
      </c>
      <c r="N3137" s="12" t="s">
        <v>7690</v>
      </c>
      <c r="O3137" s="10" t="str">
        <f>HYPERLINK("https://pbs.twimg.com/profile_images/1307816416/Profilbild_normal.jpg","View")</f>
        <v>View</v>
      </c>
      <c r="P3137" s="11"/>
    </row>
    <row r="3138" spans="1:16" ht="12.75" x14ac:dyDescent="0.35">
      <c r="A3138" s="7">
        <v>42482.629502314812</v>
      </c>
      <c r="B3138" s="8" t="str">
        <f>HYPERLINK("https://twitter.com/Kottem1","@Kottem1")</f>
        <v>@Kottem1</v>
      </c>
      <c r="C3138" s="9" t="s">
        <v>7691</v>
      </c>
      <c r="D3138" s="9" t="s">
        <v>7692</v>
      </c>
      <c r="E3138" s="10" t="str">
        <f>HYPERLINK("https://twitter.com/Kottem1/status/723445360824217604","723445360824217604")</f>
        <v>723445360824217604</v>
      </c>
      <c r="F3138" s="11" t="s">
        <v>43</v>
      </c>
      <c r="G3138" s="11">
        <v>930</v>
      </c>
      <c r="H3138" s="11">
        <v>2197</v>
      </c>
      <c r="I3138" s="11">
        <v>0</v>
      </c>
      <c r="J3138" s="11">
        <v>0</v>
      </c>
      <c r="K3138" s="11" t="s">
        <v>21</v>
      </c>
      <c r="L3138" s="7">
        <v>40108.990115740744</v>
      </c>
      <c r="M3138" s="12" t="s">
        <v>7693</v>
      </c>
      <c r="N3138" s="12" t="s">
        <v>7694</v>
      </c>
      <c r="O3138" s="10" t="str">
        <f>HYPERLINK("https://pbs.twimg.com/profile_images/720950683390906368/nQPvrHmi_normal.jpg","View")</f>
        <v>View</v>
      </c>
      <c r="P3138" s="11"/>
    </row>
    <row r="3139" spans="1:16" ht="12.75" x14ac:dyDescent="0.35">
      <c r="A3139" s="7">
        <v>42482.629641203705</v>
      </c>
      <c r="B3139" s="8" t="str">
        <f>HYPERLINK("https://twitter.com/networkimages","@networkimages")</f>
        <v>@networkimages</v>
      </c>
      <c r="C3139" s="9" t="s">
        <v>7695</v>
      </c>
      <c r="D3139" s="9" t="s">
        <v>7696</v>
      </c>
      <c r="E3139" s="10" t="str">
        <f>HYPERLINK("https://twitter.com/networkimages/status/723445409574719488","723445409574719488")</f>
        <v>723445409574719488</v>
      </c>
      <c r="F3139" s="11" t="s">
        <v>114</v>
      </c>
      <c r="G3139" s="11">
        <v>2039</v>
      </c>
      <c r="H3139" s="11">
        <v>2078</v>
      </c>
      <c r="I3139" s="11">
        <v>0</v>
      </c>
      <c r="J3139" s="11">
        <v>0</v>
      </c>
      <c r="K3139" s="11" t="s">
        <v>21</v>
      </c>
      <c r="L3139" s="7">
        <v>41665.927881944444</v>
      </c>
      <c r="M3139" s="12" t="s">
        <v>1534</v>
      </c>
      <c r="N3139" s="12" t="s">
        <v>7697</v>
      </c>
      <c r="O3139" s="10" t="str">
        <f>HYPERLINK("https://pbs.twimg.com/profile_images/618480038120423424/5KWa6rCE_normal.jpg","View")</f>
        <v>View</v>
      </c>
      <c r="P3139" s="10" t="str">
        <f>HYPERLINK("http://ctrlq.org/maps/address/#52.82912614,-1.38241631","Map")</f>
        <v>Map</v>
      </c>
    </row>
    <row r="3140" spans="1:16" ht="12.75" x14ac:dyDescent="0.35">
      <c r="A3140" s="7">
        <v>42482.630706018521</v>
      </c>
      <c r="B3140" s="8" t="str">
        <f>HYPERLINK("https://twitter.com/techhippie","@techhippie")</f>
        <v>@techhippie</v>
      </c>
      <c r="C3140" s="9" t="s">
        <v>246</v>
      </c>
      <c r="D3140" s="9" t="s">
        <v>7698</v>
      </c>
      <c r="E3140" s="10" t="str">
        <f>HYPERLINK("https://twitter.com/techhippie/status/723445798357372928","723445798357372928")</f>
        <v>723445798357372928</v>
      </c>
      <c r="F3140" s="11" t="s">
        <v>68</v>
      </c>
      <c r="G3140" s="11">
        <v>2480</v>
      </c>
      <c r="H3140" s="11">
        <v>3835</v>
      </c>
      <c r="I3140" s="11">
        <v>0</v>
      </c>
      <c r="J3140" s="11">
        <v>0</v>
      </c>
      <c r="K3140" s="11" t="s">
        <v>21</v>
      </c>
      <c r="L3140" s="7">
        <v>42424.852152777778</v>
      </c>
      <c r="M3140" s="12" t="s">
        <v>248</v>
      </c>
      <c r="N3140" s="12" t="s">
        <v>249</v>
      </c>
      <c r="O3140" s="10" t="str">
        <f>HYPERLINK("https://pbs.twimg.com/profile_images/702511217793863680/lty8h9vE_normal.jpg","View")</f>
        <v>View</v>
      </c>
      <c r="P3140" s="11"/>
    </row>
    <row r="3141" spans="1:16" ht="12.75" x14ac:dyDescent="0.35">
      <c r="A3141" s="7">
        <v>42482.631724537037</v>
      </c>
      <c r="B3141" s="8" t="str">
        <f>HYPERLINK("https://twitter.com/bkuchti","@bkuchti")</f>
        <v>@bkuchti</v>
      </c>
      <c r="C3141" s="9" t="s">
        <v>7699</v>
      </c>
      <c r="D3141" s="9" t="s">
        <v>7700</v>
      </c>
      <c r="E3141" s="10" t="str">
        <f>HYPERLINK("https://twitter.com/bkuchti/status/723446164171812864","723446164171812864")</f>
        <v>723446164171812864</v>
      </c>
      <c r="F3141" s="11" t="s">
        <v>48</v>
      </c>
      <c r="G3141" s="11">
        <v>857</v>
      </c>
      <c r="H3141" s="11">
        <v>1954</v>
      </c>
      <c r="I3141" s="11">
        <v>1</v>
      </c>
      <c r="J3141" s="11">
        <v>0</v>
      </c>
      <c r="K3141" s="11" t="s">
        <v>21</v>
      </c>
      <c r="L3141" s="7">
        <v>41649.861180555556</v>
      </c>
      <c r="M3141" s="12" t="s">
        <v>1359</v>
      </c>
      <c r="N3141" s="12"/>
      <c r="O3141" s="10" t="str">
        <f>HYPERLINK("https://pbs.twimg.com/profile_images/609596237097119744/s3XC4t2-_normal.jpg","View")</f>
        <v>View</v>
      </c>
      <c r="P3141" s="11"/>
    </row>
    <row r="3142" spans="1:16" ht="12.75" x14ac:dyDescent="0.35">
      <c r="A3142" s="7">
        <v>42482.631747685184</v>
      </c>
      <c r="B3142" s="8" t="str">
        <f>HYPERLINK("https://twitter.com/VolkerVotsmeier","@VolkerVotsmeier")</f>
        <v>@VolkerVotsmeier</v>
      </c>
      <c r="C3142" s="9" t="s">
        <v>1220</v>
      </c>
      <c r="D3142" s="9" t="s">
        <v>7701</v>
      </c>
      <c r="E3142" s="10" t="str">
        <f>HYPERLINK("https://twitter.com/VolkerVotsmeier/status/723446175978770434","723446175978770434")</f>
        <v>723446175978770434</v>
      </c>
      <c r="F3142" s="11" t="s">
        <v>63</v>
      </c>
      <c r="G3142" s="11">
        <v>1734</v>
      </c>
      <c r="H3142" s="11">
        <v>819</v>
      </c>
      <c r="I3142" s="11">
        <v>2</v>
      </c>
      <c r="J3142" s="11">
        <v>0</v>
      </c>
      <c r="K3142" s="11" t="s">
        <v>21</v>
      </c>
      <c r="L3142" s="7">
        <v>41289.594131944446</v>
      </c>
      <c r="M3142" s="12" t="s">
        <v>975</v>
      </c>
      <c r="N3142" s="12" t="s">
        <v>1222</v>
      </c>
      <c r="O3142" s="10" t="str">
        <f>HYPERLINK("https://pbs.twimg.com/profile_images/507897198911053824/7OqYAonJ_normal.jpeg","View")</f>
        <v>View</v>
      </c>
      <c r="P3142" s="11"/>
    </row>
    <row r="3143" spans="1:16" ht="12.75" x14ac:dyDescent="0.35">
      <c r="A3143" s="7">
        <v>42482.631921296299</v>
      </c>
      <c r="B3143" s="8" t="str">
        <f>HYPERLINK("https://twitter.com/TelanganaPress","@TelanganaPress")</f>
        <v>@TelanganaPress</v>
      </c>
      <c r="C3143" s="9" t="s">
        <v>7702</v>
      </c>
      <c r="D3143" s="9" t="s">
        <v>7703</v>
      </c>
      <c r="E3143" s="10" t="str">
        <f>HYPERLINK("https://twitter.com/TelanganaPress/status/723446236121018368","723446236121018368")</f>
        <v>723446236121018368</v>
      </c>
      <c r="F3143" s="11" t="s">
        <v>68</v>
      </c>
      <c r="G3143" s="11">
        <v>174</v>
      </c>
      <c r="H3143" s="11">
        <v>1</v>
      </c>
      <c r="I3143" s="11">
        <v>0</v>
      </c>
      <c r="J3143" s="11">
        <v>0</v>
      </c>
      <c r="K3143" s="11" t="s">
        <v>21</v>
      </c>
      <c r="L3143" s="7">
        <v>42131.437986111108</v>
      </c>
      <c r="M3143" s="12"/>
      <c r="N3143" s="12"/>
      <c r="O3143" s="10" t="str">
        <f>HYPERLINK("https://pbs.twimg.com/profile_images/596178888184582144/fgYrc3ld_normal.jpg","View")</f>
        <v>View</v>
      </c>
      <c r="P3143" s="11"/>
    </row>
    <row r="3144" spans="1:16" ht="12.75" x14ac:dyDescent="0.35">
      <c r="A3144" s="7">
        <v>42482.632048611107</v>
      </c>
      <c r="B3144" s="8" t="str">
        <f>HYPERLINK("https://twitter.com/hubberme","@hubberme")</f>
        <v>@hubberme</v>
      </c>
      <c r="C3144" s="8" t="s">
        <v>7704</v>
      </c>
      <c r="D3144" s="9" t="s">
        <v>7705</v>
      </c>
      <c r="E3144" s="10" t="str">
        <f>HYPERLINK("https://twitter.com/hubberme/status/723446283092905984","723446283092905984")</f>
        <v>723446283092905984</v>
      </c>
      <c r="F3144" s="11" t="s">
        <v>63</v>
      </c>
      <c r="G3144" s="11">
        <v>203</v>
      </c>
      <c r="H3144" s="11">
        <v>126</v>
      </c>
      <c r="I3144" s="11">
        <v>0</v>
      </c>
      <c r="J3144" s="11">
        <v>0</v>
      </c>
      <c r="K3144" s="11" t="s">
        <v>21</v>
      </c>
      <c r="L3144" s="7">
        <v>42298.856840277775</v>
      </c>
      <c r="M3144" s="12" t="s">
        <v>2907</v>
      </c>
      <c r="N3144" s="12" t="s">
        <v>7706</v>
      </c>
      <c r="O3144" s="10" t="str">
        <f>HYPERLINK("https://pbs.twimg.com/profile_images/658982987573407744/n_n0LSWB_normal.png","View")</f>
        <v>View</v>
      </c>
      <c r="P3144" s="11"/>
    </row>
    <row r="3145" spans="1:16" ht="12.75" x14ac:dyDescent="0.35">
      <c r="A3145" s="7">
        <v>42482.632071759261</v>
      </c>
      <c r="B3145" s="8" t="str">
        <f>HYPERLINK("https://twitter.com/CityIndex","@CityIndex")</f>
        <v>@CityIndex</v>
      </c>
      <c r="C3145" s="9" t="s">
        <v>7707</v>
      </c>
      <c r="D3145" s="9" t="s">
        <v>7708</v>
      </c>
      <c r="E3145" s="10" t="str">
        <f>HYPERLINK("https://twitter.com/CityIndex/status/723446290462445568","723446290462445568")</f>
        <v>723446290462445568</v>
      </c>
      <c r="F3145" s="11" t="s">
        <v>152</v>
      </c>
      <c r="G3145" s="11">
        <v>11291</v>
      </c>
      <c r="H3145" s="11">
        <v>325</v>
      </c>
      <c r="I3145" s="11">
        <v>0</v>
      </c>
      <c r="J3145" s="11">
        <v>0</v>
      </c>
      <c r="K3145" s="11" t="s">
        <v>21</v>
      </c>
      <c r="L3145" s="7">
        <v>41022.699131944442</v>
      </c>
      <c r="M3145" s="12" t="s">
        <v>638</v>
      </c>
      <c r="N3145" s="12" t="s">
        <v>7709</v>
      </c>
      <c r="O3145" s="10" t="str">
        <f>HYPERLINK("https://pbs.twimg.com/profile_images/532459673710915584/uhjS6JEV_normal.jpeg","View")</f>
        <v>View</v>
      </c>
      <c r="P3145" s="11"/>
    </row>
    <row r="3146" spans="1:16" ht="12.75" x14ac:dyDescent="0.35">
      <c r="A3146" s="7">
        <v>42482.632071759261</v>
      </c>
      <c r="B3146" s="8" t="str">
        <f>HYPERLINK("https://twitter.com/Ken_CityIndex","@Ken_CityIndex")</f>
        <v>@Ken_CityIndex</v>
      </c>
      <c r="C3146" s="9" t="s">
        <v>7710</v>
      </c>
      <c r="D3146" s="9" t="s">
        <v>7708</v>
      </c>
      <c r="E3146" s="10" t="str">
        <f>HYPERLINK("https://twitter.com/Ken_CityIndex/status/723446290491801601","723446290491801601")</f>
        <v>723446290491801601</v>
      </c>
      <c r="F3146" s="11" t="s">
        <v>152</v>
      </c>
      <c r="G3146" s="11">
        <v>743</v>
      </c>
      <c r="H3146" s="11">
        <v>201</v>
      </c>
      <c r="I3146" s="11">
        <v>0</v>
      </c>
      <c r="J3146" s="11">
        <v>0</v>
      </c>
      <c r="K3146" s="11" t="s">
        <v>21</v>
      </c>
      <c r="L3146" s="7">
        <v>40690.778587962966</v>
      </c>
      <c r="M3146" s="12" t="s">
        <v>638</v>
      </c>
      <c r="N3146" s="12" t="s">
        <v>7711</v>
      </c>
      <c r="O3146" s="10" t="str">
        <f>HYPERLINK("https://pbs.twimg.com/profile_images/506770159353081857/X1KYKwcE_normal.jpeg","View")</f>
        <v>View</v>
      </c>
      <c r="P3146" s="11"/>
    </row>
    <row r="3147" spans="1:16" ht="12.75" x14ac:dyDescent="0.35">
      <c r="A3147" s="7">
        <v>42482.633993055555</v>
      </c>
      <c r="B3147" s="8" t="str">
        <f>HYPERLINK("https://twitter.com/doern","@doern")</f>
        <v>@doern</v>
      </c>
      <c r="C3147" s="9" t="s">
        <v>3107</v>
      </c>
      <c r="D3147" s="9" t="s">
        <v>7712</v>
      </c>
      <c r="E3147" s="10" t="str">
        <f>HYPERLINK("https://twitter.com/doern/status/723446986704359425","723446986704359425")</f>
        <v>723446986704359425</v>
      </c>
      <c r="F3147" s="11" t="s">
        <v>43</v>
      </c>
      <c r="G3147" s="11">
        <v>347</v>
      </c>
      <c r="H3147" s="11">
        <v>63</v>
      </c>
      <c r="I3147" s="11">
        <v>1</v>
      </c>
      <c r="J3147" s="11">
        <v>0</v>
      </c>
      <c r="K3147" s="11" t="s">
        <v>21</v>
      </c>
      <c r="L3147" s="7">
        <v>39909.663194444445</v>
      </c>
      <c r="M3147" s="12" t="s">
        <v>262</v>
      </c>
      <c r="N3147" s="12" t="s">
        <v>3109</v>
      </c>
      <c r="O3147" s="10" t="str">
        <f>HYPERLINK("https://pbs.twimg.com/profile_images/657853466384191488/J6vAnfZr_normal.jpg","View")</f>
        <v>View</v>
      </c>
      <c r="P3147" s="11"/>
    </row>
    <row r="3148" spans="1:16" ht="12.75" x14ac:dyDescent="0.35">
      <c r="A3148" s="7">
        <v>42482.634513888886</v>
      </c>
      <c r="B3148" s="8" t="str">
        <f>HYPERLINK("https://twitter.com/halt_design","@halt_design")</f>
        <v>@halt_design</v>
      </c>
      <c r="C3148" s="9" t="s">
        <v>7713</v>
      </c>
      <c r="D3148" s="9" t="s">
        <v>7714</v>
      </c>
      <c r="E3148" s="10" t="str">
        <f>HYPERLINK("https://twitter.com/halt_design/status/723447176454512640","723447176454512640")</f>
        <v>723447176454512640</v>
      </c>
      <c r="F3148" s="11" t="s">
        <v>43</v>
      </c>
      <c r="G3148" s="11">
        <v>33</v>
      </c>
      <c r="H3148" s="11">
        <v>31</v>
      </c>
      <c r="I3148" s="11">
        <v>0</v>
      </c>
      <c r="J3148" s="11">
        <v>0</v>
      </c>
      <c r="K3148" s="11" t="s">
        <v>21</v>
      </c>
      <c r="L3148" s="7">
        <v>42310.305405092593</v>
      </c>
      <c r="M3148" s="12" t="s">
        <v>7715</v>
      </c>
      <c r="N3148" s="12" t="s">
        <v>7716</v>
      </c>
      <c r="O3148" s="10" t="str">
        <f>HYPERLINK("https://pbs.twimg.com/profile_images/716208660876144645/X7VuzobY_normal.jpg","View")</f>
        <v>View</v>
      </c>
      <c r="P3148" s="11"/>
    </row>
    <row r="3149" spans="1:16" ht="12.75" x14ac:dyDescent="0.35">
      <c r="A3149" s="7">
        <v>42482.63486111111</v>
      </c>
      <c r="B3149" s="8" t="str">
        <f>HYPERLINK("https://twitter.com/nextmarkets_de","@nextmarkets_de")</f>
        <v>@nextmarkets_de</v>
      </c>
      <c r="C3149" s="9" t="s">
        <v>7717</v>
      </c>
      <c r="D3149" s="9" t="s">
        <v>7718</v>
      </c>
      <c r="E3149" s="10" t="str">
        <f>HYPERLINK("https://twitter.com/nextmarkets_de/status/723447303403511809","723447303403511809")</f>
        <v>723447303403511809</v>
      </c>
      <c r="F3149" s="11" t="s">
        <v>43</v>
      </c>
      <c r="G3149" s="11">
        <v>48</v>
      </c>
      <c r="H3149" s="11">
        <v>84</v>
      </c>
      <c r="I3149" s="11">
        <v>0</v>
      </c>
      <c r="J3149" s="11">
        <v>0</v>
      </c>
      <c r="K3149" s="11" t="s">
        <v>21</v>
      </c>
      <c r="L3149" s="7">
        <v>42278.598240740743</v>
      </c>
      <c r="M3149" s="12"/>
      <c r="N3149" s="12" t="s">
        <v>7719</v>
      </c>
      <c r="O3149" s="10" t="str">
        <f>HYPERLINK("https://pbs.twimg.com/profile_images/649507422172749824/x14RxlfE_normal.jpg","View")</f>
        <v>View</v>
      </c>
      <c r="P3149" s="11"/>
    </row>
    <row r="3150" spans="1:16" ht="12.75" x14ac:dyDescent="0.35">
      <c r="A3150" s="7">
        <v>42482.635046296295</v>
      </c>
      <c r="B3150" s="8" t="str">
        <f t="shared" ref="B3150:B3151" si="312">HYPERLINK("https://twitter.com/handelsblatt","@handelsblatt")</f>
        <v>@handelsblatt</v>
      </c>
      <c r="C3150" s="9" t="s">
        <v>973</v>
      </c>
      <c r="D3150" s="9" t="s">
        <v>7720</v>
      </c>
      <c r="E3150" s="10" t="str">
        <f>HYPERLINK("https://twitter.com/handelsblatt/status/723447371040849920","723447371040849920")</f>
        <v>723447371040849920</v>
      </c>
      <c r="F3150" s="11" t="s">
        <v>63</v>
      </c>
      <c r="G3150" s="11">
        <v>239926</v>
      </c>
      <c r="H3150" s="11">
        <v>534</v>
      </c>
      <c r="I3150" s="11">
        <v>1</v>
      </c>
      <c r="J3150" s="11">
        <v>0</v>
      </c>
      <c r="K3150" s="11" t="s">
        <v>21</v>
      </c>
      <c r="L3150" s="7">
        <v>39207.128182870372</v>
      </c>
      <c r="M3150" s="12" t="s">
        <v>975</v>
      </c>
      <c r="N3150" s="12" t="s">
        <v>976</v>
      </c>
      <c r="O3150" s="10" t="str">
        <f t="shared" ref="O3150:O3151" si="313">HYPERLINK("https://pbs.twimg.com/profile_images/562563461171798017/AkHF4keI_normal.png","View")</f>
        <v>View</v>
      </c>
      <c r="P3150" s="11"/>
    </row>
    <row r="3151" spans="1:16" ht="12.75" x14ac:dyDescent="0.35">
      <c r="A3151" s="7">
        <v>42482.635162037041</v>
      </c>
      <c r="B3151" s="8" t="str">
        <f t="shared" si="312"/>
        <v>@handelsblatt</v>
      </c>
      <c r="C3151" s="9" t="s">
        <v>973</v>
      </c>
      <c r="D3151" s="9" t="s">
        <v>7701</v>
      </c>
      <c r="E3151" s="10" t="str">
        <f>HYPERLINK("https://twitter.com/handelsblatt/status/723447409959792640","723447409959792640")</f>
        <v>723447409959792640</v>
      </c>
      <c r="F3151" s="11" t="s">
        <v>63</v>
      </c>
      <c r="G3151" s="11">
        <v>239926</v>
      </c>
      <c r="H3151" s="11">
        <v>534</v>
      </c>
      <c r="I3151" s="11">
        <v>2</v>
      </c>
      <c r="J3151" s="11">
        <v>0</v>
      </c>
      <c r="K3151" s="11" t="s">
        <v>21</v>
      </c>
      <c r="L3151" s="7">
        <v>39207.128182870372</v>
      </c>
      <c r="M3151" s="12" t="s">
        <v>975</v>
      </c>
      <c r="N3151" s="12" t="s">
        <v>976</v>
      </c>
      <c r="O3151" s="10" t="str">
        <f t="shared" si="313"/>
        <v>View</v>
      </c>
      <c r="P3151" s="11"/>
    </row>
    <row r="3152" spans="1:16" ht="12.75" x14ac:dyDescent="0.35">
      <c r="A3152" s="7">
        <v>42482.635196759264</v>
      </c>
      <c r="B3152" s="8" t="str">
        <f>HYPERLINK("https://twitter.com/MrTARIQSs","@MrTARIQSs")</f>
        <v>@MrTARIQSs</v>
      </c>
      <c r="C3152" s="9" t="s">
        <v>7721</v>
      </c>
      <c r="D3152" s="9" t="s">
        <v>7646</v>
      </c>
      <c r="E3152" s="10" t="str">
        <f>HYPERLINK("https://twitter.com/MrTARIQSs/status/723447425768148992","723447425768148992")</f>
        <v>723447425768148992</v>
      </c>
      <c r="F3152" s="11" t="s">
        <v>91</v>
      </c>
      <c r="G3152" s="11">
        <v>285</v>
      </c>
      <c r="H3152" s="11">
        <v>345</v>
      </c>
      <c r="I3152" s="11">
        <v>4</v>
      </c>
      <c r="J3152" s="11">
        <v>0</v>
      </c>
      <c r="K3152" s="11" t="s">
        <v>21</v>
      </c>
      <c r="L3152" s="7">
        <v>41096.746145833335</v>
      </c>
      <c r="M3152" s="12" t="s">
        <v>7722</v>
      </c>
      <c r="N3152" s="12" t="s">
        <v>7723</v>
      </c>
      <c r="O3152" s="10" t="str">
        <f>HYPERLINK("https://pbs.twimg.com/profile_images/712388668753846276/lmSVTnOw_normal.jpg","View")</f>
        <v>View</v>
      </c>
      <c r="P3152" s="11"/>
    </row>
    <row r="3153" spans="1:16" ht="12.75" x14ac:dyDescent="0.35">
      <c r="A3153" s="7">
        <v>42482.63548611111</v>
      </c>
      <c r="B3153" s="8" t="str">
        <f>HYPERLINK("https://twitter.com/CityIndex","@CityIndex")</f>
        <v>@CityIndex</v>
      </c>
      <c r="C3153" s="9" t="s">
        <v>7707</v>
      </c>
      <c r="D3153" s="9" t="s">
        <v>7724</v>
      </c>
      <c r="E3153" s="10" t="str">
        <f>HYPERLINK("https://twitter.com/CityIndex/status/723447527400476672","723447527400476672")</f>
        <v>723447527400476672</v>
      </c>
      <c r="F3153" s="11" t="s">
        <v>152</v>
      </c>
      <c r="G3153" s="11">
        <v>11291</v>
      </c>
      <c r="H3153" s="11">
        <v>325</v>
      </c>
      <c r="I3153" s="11">
        <v>0</v>
      </c>
      <c r="J3153" s="11">
        <v>0</v>
      </c>
      <c r="K3153" s="11" t="s">
        <v>21</v>
      </c>
      <c r="L3153" s="7">
        <v>41022.699131944442</v>
      </c>
      <c r="M3153" s="12" t="s">
        <v>638</v>
      </c>
      <c r="N3153" s="12" t="s">
        <v>7709</v>
      </c>
      <c r="O3153" s="10" t="str">
        <f>HYPERLINK("https://pbs.twimg.com/profile_images/532459673710915584/uhjS6JEV_normal.jpeg","View")</f>
        <v>View</v>
      </c>
      <c r="P3153" s="11"/>
    </row>
    <row r="3154" spans="1:16" ht="12.75" x14ac:dyDescent="0.35">
      <c r="A3154" s="7">
        <v>42482.63548611111</v>
      </c>
      <c r="B3154" s="8" t="str">
        <f>HYPERLINK("https://twitter.com/Ken_CityIndex","@Ken_CityIndex")</f>
        <v>@Ken_CityIndex</v>
      </c>
      <c r="C3154" s="9" t="s">
        <v>7710</v>
      </c>
      <c r="D3154" s="9" t="s">
        <v>7724</v>
      </c>
      <c r="E3154" s="10" t="str">
        <f>HYPERLINK("https://twitter.com/Ken_CityIndex/status/723447527501119488","723447527501119488")</f>
        <v>723447527501119488</v>
      </c>
      <c r="F3154" s="11" t="s">
        <v>152</v>
      </c>
      <c r="G3154" s="11">
        <v>743</v>
      </c>
      <c r="H3154" s="11">
        <v>201</v>
      </c>
      <c r="I3154" s="11">
        <v>0</v>
      </c>
      <c r="J3154" s="11">
        <v>0</v>
      </c>
      <c r="K3154" s="11" t="s">
        <v>21</v>
      </c>
      <c r="L3154" s="7">
        <v>40690.778587962966</v>
      </c>
      <c r="M3154" s="12" t="s">
        <v>638</v>
      </c>
      <c r="N3154" s="12" t="s">
        <v>7711</v>
      </c>
      <c r="O3154" s="10" t="str">
        <f>HYPERLINK("https://pbs.twimg.com/profile_images/506770159353081857/X1KYKwcE_normal.jpeg","View")</f>
        <v>View</v>
      </c>
      <c r="P3154" s="11"/>
    </row>
    <row r="3155" spans="1:16" ht="12.75" x14ac:dyDescent="0.35">
      <c r="A3155" s="7">
        <v>42482.636018518519</v>
      </c>
      <c r="B3155" s="8" t="str">
        <f>HYPERLINK("https://twitter.com/ksta_news","@ksta_news")</f>
        <v>@ksta_news</v>
      </c>
      <c r="C3155" s="8" t="s">
        <v>1239</v>
      </c>
      <c r="D3155" s="9" t="s">
        <v>7725</v>
      </c>
      <c r="E3155" s="10" t="str">
        <f>HYPERLINK("https://twitter.com/ksta_news/status/723447720573280256","723447720573280256")</f>
        <v>723447720573280256</v>
      </c>
      <c r="F3155" s="11" t="s">
        <v>63</v>
      </c>
      <c r="G3155" s="11">
        <v>34254</v>
      </c>
      <c r="H3155" s="11">
        <v>2235</v>
      </c>
      <c r="I3155" s="11">
        <v>0</v>
      </c>
      <c r="J3155" s="11">
        <v>0</v>
      </c>
      <c r="K3155" s="11" t="s">
        <v>21</v>
      </c>
      <c r="L3155" s="7">
        <v>39881.823217592595</v>
      </c>
      <c r="M3155" s="12" t="s">
        <v>1241</v>
      </c>
      <c r="N3155" s="12" t="s">
        <v>1242</v>
      </c>
      <c r="O3155" s="10" t="str">
        <f>HYPERLINK("https://pbs.twimg.com/profile_images/2323790201/ctdn7vtih30fwf5dcx8z_normal.jpeg","View")</f>
        <v>View</v>
      </c>
      <c r="P3155" s="11"/>
    </row>
    <row r="3156" spans="1:16" ht="12.75" x14ac:dyDescent="0.35">
      <c r="A3156" s="7">
        <v>42482.636030092588</v>
      </c>
      <c r="B3156" s="8" t="str">
        <f>HYPERLINK("https://twitter.com/handelsblatt","@handelsblatt")</f>
        <v>@handelsblatt</v>
      </c>
      <c r="C3156" s="9" t="s">
        <v>973</v>
      </c>
      <c r="D3156" s="9" t="s">
        <v>7726</v>
      </c>
      <c r="E3156" s="10" t="str">
        <f>HYPERLINK("https://twitter.com/handelsblatt/status/723447726164176897","723447726164176897")</f>
        <v>723447726164176897</v>
      </c>
      <c r="F3156" s="11" t="s">
        <v>63</v>
      </c>
      <c r="G3156" s="11">
        <v>239926</v>
      </c>
      <c r="H3156" s="11">
        <v>535</v>
      </c>
      <c r="I3156" s="11">
        <v>0</v>
      </c>
      <c r="J3156" s="11">
        <v>0</v>
      </c>
      <c r="K3156" s="11" t="s">
        <v>21</v>
      </c>
      <c r="L3156" s="7">
        <v>39207.128182870372</v>
      </c>
      <c r="M3156" s="12" t="s">
        <v>975</v>
      </c>
      <c r="N3156" s="12" t="s">
        <v>976</v>
      </c>
      <c r="O3156" s="10" t="str">
        <f>HYPERLINK("https://pbs.twimg.com/profile_images/562563461171798017/AkHF4keI_normal.png","View")</f>
        <v>View</v>
      </c>
      <c r="P3156" s="11"/>
    </row>
    <row r="3157" spans="1:16" ht="12.75" x14ac:dyDescent="0.35">
      <c r="A3157" s="7">
        <v>42482.636365740742</v>
      </c>
      <c r="B3157" s="8" t="str">
        <f>HYPERLINK("https://twitter.com/BGKSR","@BGKSR")</f>
        <v>@BGKSR</v>
      </c>
      <c r="C3157" s="9" t="s">
        <v>7685</v>
      </c>
      <c r="D3157" s="9" t="s">
        <v>7646</v>
      </c>
      <c r="E3157" s="10" t="str">
        <f>HYPERLINK("https://twitter.com/BGKSR/status/723447849397014528","723447849397014528")</f>
        <v>723447849397014528</v>
      </c>
      <c r="F3157" s="11" t="s">
        <v>43</v>
      </c>
      <c r="G3157" s="11">
        <v>933</v>
      </c>
      <c r="H3157" s="11">
        <v>1449</v>
      </c>
      <c r="I3157" s="11">
        <v>6</v>
      </c>
      <c r="J3157" s="11">
        <v>0</v>
      </c>
      <c r="K3157" s="11" t="s">
        <v>21</v>
      </c>
      <c r="L3157" s="7">
        <v>40620.735173611109</v>
      </c>
      <c r="M3157" s="12" t="s">
        <v>6661</v>
      </c>
      <c r="N3157" s="12" t="s">
        <v>7687</v>
      </c>
      <c r="O3157" s="10" t="str">
        <f>HYPERLINK("https://pbs.twimg.com/profile_images/721954107779588096/PAgGOjNi_normal.jpg","View")</f>
        <v>View</v>
      </c>
      <c r="P3157" s="11"/>
    </row>
    <row r="3158" spans="1:16" ht="12.75" x14ac:dyDescent="0.35">
      <c r="A3158" s="7">
        <v>42482.636689814812</v>
      </c>
      <c r="B3158" s="8" t="str">
        <f>HYPERLINK("https://twitter.com/ksta_news","@ksta_news")</f>
        <v>@ksta_news</v>
      </c>
      <c r="C3158" s="8" t="s">
        <v>1239</v>
      </c>
      <c r="D3158" s="9" t="s">
        <v>7727</v>
      </c>
      <c r="E3158" s="10" t="str">
        <f>HYPERLINK("https://twitter.com/ksta_news/status/723447964119797760","723447964119797760")</f>
        <v>723447964119797760</v>
      </c>
      <c r="F3158" s="11" t="s">
        <v>63</v>
      </c>
      <c r="G3158" s="11">
        <v>34254</v>
      </c>
      <c r="H3158" s="11">
        <v>2235</v>
      </c>
      <c r="I3158" s="11">
        <v>1</v>
      </c>
      <c r="J3158" s="11">
        <v>0</v>
      </c>
      <c r="K3158" s="11" t="s">
        <v>21</v>
      </c>
      <c r="L3158" s="7">
        <v>39881.823217592595</v>
      </c>
      <c r="M3158" s="12" t="s">
        <v>1241</v>
      </c>
      <c r="N3158" s="12" t="s">
        <v>1242</v>
      </c>
      <c r="O3158" s="10" t="str">
        <f>HYPERLINK("https://pbs.twimg.com/profile_images/2323790201/ctdn7vtih30fwf5dcx8z_normal.jpeg","View")</f>
        <v>View</v>
      </c>
      <c r="P3158" s="11"/>
    </row>
    <row r="3159" spans="1:16" ht="12.75" x14ac:dyDescent="0.35">
      <c r="A3159" s="7">
        <v>42482.636712962965</v>
      </c>
      <c r="B3159" s="8" t="str">
        <f>HYPERLINK("https://twitter.com/foerdesparkasse","@foerdesparkasse")</f>
        <v>@foerdesparkasse</v>
      </c>
      <c r="C3159" s="9" t="s">
        <v>7728</v>
      </c>
      <c r="D3159" s="9" t="s">
        <v>7729</v>
      </c>
      <c r="E3159" s="10" t="str">
        <f>HYPERLINK("https://twitter.com/foerdesparkasse/status/723447972663431168","723447972663431168")</f>
        <v>723447972663431168</v>
      </c>
      <c r="F3159" s="11" t="s">
        <v>43</v>
      </c>
      <c r="G3159" s="11">
        <v>413</v>
      </c>
      <c r="H3159" s="11">
        <v>83</v>
      </c>
      <c r="I3159" s="11">
        <v>0</v>
      </c>
      <c r="J3159" s="11">
        <v>0</v>
      </c>
      <c r="K3159" s="11" t="s">
        <v>21</v>
      </c>
      <c r="L3159" s="7">
        <v>40142.670590277776</v>
      </c>
      <c r="M3159" s="12" t="s">
        <v>3658</v>
      </c>
      <c r="N3159" s="12" t="s">
        <v>7730</v>
      </c>
      <c r="O3159" s="10" t="str">
        <f>HYPERLINK("https://pbs.twimg.com/profile_images/458846044034330625/Rvafc_vA_normal.png","View")</f>
        <v>View</v>
      </c>
      <c r="P3159" s="11"/>
    </row>
    <row r="3160" spans="1:16" ht="12.75" x14ac:dyDescent="0.35">
      <c r="A3160" s="7">
        <v>42482.636921296296</v>
      </c>
      <c r="B3160" s="8" t="str">
        <f>HYPERLINK("https://twitter.com/VeeriahSajeevan","@VeeriahSajeevan")</f>
        <v>@VeeriahSajeevan</v>
      </c>
      <c r="C3160" s="9" t="s">
        <v>7731</v>
      </c>
      <c r="D3160" s="9" t="s">
        <v>7426</v>
      </c>
      <c r="E3160" s="10" t="str">
        <f>HYPERLINK("https://twitter.com/VeeriahSajeevan/status/723448050669096960","723448050669096960")</f>
        <v>723448050669096960</v>
      </c>
      <c r="F3160" s="11" t="s">
        <v>20</v>
      </c>
      <c r="G3160" s="11">
        <v>235</v>
      </c>
      <c r="H3160" s="11">
        <v>901</v>
      </c>
      <c r="I3160" s="11">
        <v>11</v>
      </c>
      <c r="J3160" s="11">
        <v>0</v>
      </c>
      <c r="K3160" s="11" t="s">
        <v>21</v>
      </c>
      <c r="L3160" s="7">
        <v>40931.902812500004</v>
      </c>
      <c r="M3160" s="12" t="s">
        <v>7732</v>
      </c>
      <c r="N3160" s="12" t="s">
        <v>7733</v>
      </c>
      <c r="O3160" s="10" t="str">
        <f>HYPERLINK("https://pbs.twimg.com/profile_images/707275776802992128/pkIli-Ub_normal.jpg","View")</f>
        <v>View</v>
      </c>
      <c r="P3160" s="11"/>
    </row>
    <row r="3161" spans="1:16" ht="12.75" x14ac:dyDescent="0.35">
      <c r="A3161" s="7">
        <v>42482.637013888889</v>
      </c>
      <c r="B3161" s="8" t="str">
        <f>HYPERLINK("https://twitter.com/specialistveh","@specialistveh")</f>
        <v>@specialistveh</v>
      </c>
      <c r="C3161" s="9" t="s">
        <v>7734</v>
      </c>
      <c r="D3161" s="9" t="s">
        <v>7735</v>
      </c>
      <c r="E3161" s="10" t="str">
        <f>HYPERLINK("https://twitter.com/specialistveh/status/723448084139667458","723448084139667458")</f>
        <v>723448084139667458</v>
      </c>
      <c r="F3161" s="11" t="s">
        <v>43</v>
      </c>
      <c r="G3161" s="11">
        <v>1243</v>
      </c>
      <c r="H3161" s="11">
        <v>1096</v>
      </c>
      <c r="I3161" s="11">
        <v>1</v>
      </c>
      <c r="J3161" s="11">
        <v>0</v>
      </c>
      <c r="K3161" s="11" t="s">
        <v>21</v>
      </c>
      <c r="L3161" s="7">
        <v>41454.740289351852</v>
      </c>
      <c r="M3161" s="12" t="s">
        <v>7736</v>
      </c>
      <c r="N3161" s="12" t="s">
        <v>7737</v>
      </c>
      <c r="O3161" s="10" t="str">
        <f>HYPERLINK("https://pbs.twimg.com/profile_images/722053762462912512/Eh0JxrRS_normal.jpg","View")</f>
        <v>View</v>
      </c>
      <c r="P3161" s="11"/>
    </row>
    <row r="3162" spans="1:16" ht="12.75" x14ac:dyDescent="0.35">
      <c r="A3162" s="7">
        <v>42482.637326388889</v>
      </c>
      <c r="B3162" s="8" t="str">
        <f>HYPERLINK("https://twitter.com/NDRnds","@NDRnds")</f>
        <v>@NDRnds</v>
      </c>
      <c r="C3162" s="9" t="s">
        <v>7240</v>
      </c>
      <c r="D3162" s="9" t="s">
        <v>7738</v>
      </c>
      <c r="E3162" s="10" t="str">
        <f>HYPERLINK("https://twitter.com/NDRnds/status/723448196471508994","723448196471508994")</f>
        <v>723448196471508994</v>
      </c>
      <c r="F3162" s="11" t="s">
        <v>43</v>
      </c>
      <c r="G3162" s="11">
        <v>8906</v>
      </c>
      <c r="H3162" s="11">
        <v>581</v>
      </c>
      <c r="I3162" s="11">
        <v>2</v>
      </c>
      <c r="J3162" s="11">
        <v>0</v>
      </c>
      <c r="K3162" s="11" t="s">
        <v>21</v>
      </c>
      <c r="L3162" s="7">
        <v>41253.654791666668</v>
      </c>
      <c r="M3162" s="12"/>
      <c r="N3162" s="12" t="s">
        <v>7242</v>
      </c>
      <c r="O3162" s="10" t="str">
        <f>HYPERLINK("https://pbs.twimg.com/profile_images/628233882014457856/o87vMXlL_normal.jpg","View")</f>
        <v>View</v>
      </c>
      <c r="P3162" s="11"/>
    </row>
    <row r="3163" spans="1:16" ht="12.75" x14ac:dyDescent="0.35">
      <c r="A3163" s="7">
        <v>42482.637546296297</v>
      </c>
      <c r="B3163" s="8" t="str">
        <f>HYPERLINK("https://twitter.com/Drey_VH","@Drey_VH")</f>
        <v>@Drey_VH</v>
      </c>
      <c r="C3163" s="9" t="s">
        <v>1511</v>
      </c>
      <c r="D3163" s="9" t="s">
        <v>7329</v>
      </c>
      <c r="E3163" s="10" t="str">
        <f>HYPERLINK("https://twitter.com/Drey_VH/status/723448273856389120","723448273856389120")</f>
        <v>723448273856389120</v>
      </c>
      <c r="F3163" s="11" t="s">
        <v>43</v>
      </c>
      <c r="G3163" s="11">
        <v>38</v>
      </c>
      <c r="H3163" s="11">
        <v>85</v>
      </c>
      <c r="I3163" s="11">
        <v>6</v>
      </c>
      <c r="J3163" s="11">
        <v>0</v>
      </c>
      <c r="K3163" s="11" t="s">
        <v>21</v>
      </c>
      <c r="L3163" s="7">
        <v>41219.120567129634</v>
      </c>
      <c r="M3163" s="12"/>
      <c r="N3163" s="12" t="s">
        <v>1512</v>
      </c>
      <c r="O3163" s="10" t="str">
        <f>HYPERLINK("https://pbs.twimg.com/profile_images/688412401667035136/gvoxnxoc_normal.jpg","View")</f>
        <v>View</v>
      </c>
      <c r="P3163" s="11"/>
    </row>
    <row r="3164" spans="1:16" ht="12.75" x14ac:dyDescent="0.35">
      <c r="A3164" s="7">
        <v>42482.638275462959</v>
      </c>
      <c r="B3164" s="8" t="str">
        <f>HYPERLINK("https://twitter.com/Edgarruedamotor","@Edgarruedamotor")</f>
        <v>@Edgarruedamotor</v>
      </c>
      <c r="C3164" s="9" t="s">
        <v>7739</v>
      </c>
      <c r="D3164" s="9" t="s">
        <v>7646</v>
      </c>
      <c r="E3164" s="10" t="str">
        <f>HYPERLINK("https://twitter.com/Edgarruedamotor/status/723448540865826816","723448540865826816")</f>
        <v>723448540865826816</v>
      </c>
      <c r="F3164" s="11" t="s">
        <v>48</v>
      </c>
      <c r="G3164" s="11">
        <v>97</v>
      </c>
      <c r="H3164" s="11">
        <v>224</v>
      </c>
      <c r="I3164" s="11">
        <v>6</v>
      </c>
      <c r="J3164" s="11">
        <v>0</v>
      </c>
      <c r="K3164" s="11" t="s">
        <v>21</v>
      </c>
      <c r="L3164" s="7">
        <v>42432.050254629634</v>
      </c>
      <c r="M3164" s="12"/>
      <c r="N3164" s="12" t="s">
        <v>7740</v>
      </c>
      <c r="O3164" s="10" t="str">
        <f>HYPERLINK("https://pbs.twimg.com/profile_images/723095120959180800/uiP41uvb_normal.jpg","View")</f>
        <v>View</v>
      </c>
      <c r="P3164" s="11"/>
    </row>
    <row r="3165" spans="1:16" ht="12.75" x14ac:dyDescent="0.35">
      <c r="A3165" s="7">
        <v>42482.639004629629</v>
      </c>
      <c r="B3165" s="8" t="str">
        <f>HYPERLINK("https://twitter.com/FlatOutWR_JP","@FlatOutWR_JP")</f>
        <v>@FlatOutWR_JP</v>
      </c>
      <c r="C3165" s="8" t="s">
        <v>7741</v>
      </c>
      <c r="D3165" s="9" t="s">
        <v>7742</v>
      </c>
      <c r="E3165" s="10" t="str">
        <f>HYPERLINK("https://twitter.com/FlatOutWR_JP/status/723448802863009792","723448802863009792")</f>
        <v>723448802863009792</v>
      </c>
      <c r="F3165" s="11" t="s">
        <v>7743</v>
      </c>
      <c r="G3165" s="11">
        <v>846</v>
      </c>
      <c r="H3165" s="11">
        <v>1596</v>
      </c>
      <c r="I3165" s="11">
        <v>0</v>
      </c>
      <c r="J3165" s="11">
        <v>0</v>
      </c>
      <c r="K3165" s="11" t="s">
        <v>21</v>
      </c>
      <c r="L3165" s="7">
        <v>41140.216238425928</v>
      </c>
      <c r="M3165" s="12" t="s">
        <v>7744</v>
      </c>
      <c r="N3165" s="12" t="s">
        <v>7745</v>
      </c>
      <c r="O3165" s="10" t="str">
        <f>HYPERLINK("https://pbs.twimg.com/profile_images/2519193895/FLATOUTWRJP_HD_normal.JPG","View")</f>
        <v>View</v>
      </c>
      <c r="P3165" s="11"/>
    </row>
    <row r="3166" spans="1:16" ht="12.75" x14ac:dyDescent="0.35">
      <c r="A3166" s="7">
        <v>42482.639317129629</v>
      </c>
      <c r="B3166" s="8" t="str">
        <f>HYPERLINK("https://twitter.com/5aliN","@5aliN")</f>
        <v>@5aliN</v>
      </c>
      <c r="C3166" s="9" t="s">
        <v>7746</v>
      </c>
      <c r="D3166" s="9" t="s">
        <v>7747</v>
      </c>
      <c r="E3166" s="10" t="str">
        <f>HYPERLINK("https://twitter.com/5aliN/status/723448916977528832","723448916977528832")</f>
        <v>723448916977528832</v>
      </c>
      <c r="F3166" s="11" t="s">
        <v>43</v>
      </c>
      <c r="G3166" s="11">
        <v>202</v>
      </c>
      <c r="H3166" s="11">
        <v>146</v>
      </c>
      <c r="I3166" s="11">
        <v>0</v>
      </c>
      <c r="J3166" s="11">
        <v>0</v>
      </c>
      <c r="K3166" s="11" t="s">
        <v>21</v>
      </c>
      <c r="L3166" s="7">
        <v>40525.988263888888</v>
      </c>
      <c r="M3166" s="12" t="s">
        <v>7748</v>
      </c>
      <c r="N3166" s="12" t="s">
        <v>7749</v>
      </c>
      <c r="O3166" s="10" t="str">
        <f>HYPERLINK("https://pbs.twimg.com/profile_images/1993548720/DSC05277a_normal.jpg","View")</f>
        <v>View</v>
      </c>
      <c r="P3166" s="11"/>
    </row>
    <row r="3167" spans="1:16" ht="12.75" x14ac:dyDescent="0.35">
      <c r="A3167" s="7">
        <v>42482.639745370368</v>
      </c>
      <c r="B3167" s="8" t="str">
        <f>HYPERLINK("https://twitter.com/ndr","@ndr")</f>
        <v>@ndr</v>
      </c>
      <c r="C3167" s="8" t="s">
        <v>7750</v>
      </c>
      <c r="D3167" s="9" t="s">
        <v>7751</v>
      </c>
      <c r="E3167" s="10" t="str">
        <f>HYPERLINK("https://twitter.com/ndr/status/723449073047478273","723449073047478273")</f>
        <v>723449073047478273</v>
      </c>
      <c r="F3167" s="11" t="s">
        <v>43</v>
      </c>
      <c r="G3167" s="11">
        <v>57721</v>
      </c>
      <c r="H3167" s="11">
        <v>35</v>
      </c>
      <c r="I3167" s="11">
        <v>2</v>
      </c>
      <c r="J3167" s="11">
        <v>0</v>
      </c>
      <c r="K3167" s="11" t="s">
        <v>21</v>
      </c>
      <c r="L3167" s="7">
        <v>40282.156018518523</v>
      </c>
      <c r="M3167" s="12" t="s">
        <v>7752</v>
      </c>
      <c r="N3167" s="12" t="s">
        <v>7753</v>
      </c>
      <c r="O3167" s="10" t="str">
        <f>HYPERLINK("https://pbs.twimg.com/profile_images/529617003351269377/KAwqofTC_normal.jpeg","View")</f>
        <v>View</v>
      </c>
      <c r="P3167" s="11"/>
    </row>
    <row r="3168" spans="1:16" ht="12.75" x14ac:dyDescent="0.35">
      <c r="A3168" s="7">
        <v>42482.640590277777</v>
      </c>
      <c r="B3168" s="8" t="str">
        <f>HYPERLINK("https://twitter.com/Scirocco_Tuning","@Scirocco_Tuning")</f>
        <v>@Scirocco_Tuning</v>
      </c>
      <c r="C3168" s="9" t="s">
        <v>51</v>
      </c>
      <c r="D3168" s="9" t="s">
        <v>7754</v>
      </c>
      <c r="E3168" s="10" t="str">
        <f>HYPERLINK("https://twitter.com/Scirocco_Tuning/status/723449380351565826","723449380351565826")</f>
        <v>723449380351565826</v>
      </c>
      <c r="F3168" s="11" t="s">
        <v>53</v>
      </c>
      <c r="G3168" s="11">
        <v>69</v>
      </c>
      <c r="H3168" s="11">
        <v>215</v>
      </c>
      <c r="I3168" s="11">
        <v>0</v>
      </c>
      <c r="J3168" s="11">
        <v>0</v>
      </c>
      <c r="K3168" s="11" t="s">
        <v>21</v>
      </c>
      <c r="L3168" s="7">
        <v>40844.564722222218</v>
      </c>
      <c r="M3168" s="12"/>
      <c r="N3168" s="12"/>
      <c r="O3168" s="10" t="str">
        <f>HYPERLINK("https://pbs.twimg.com/profile_images/1610421423/Image2_normal.jpg","View")</f>
        <v>View</v>
      </c>
      <c r="P3168" s="11"/>
    </row>
    <row r="3169" spans="1:16" ht="12.75" x14ac:dyDescent="0.35">
      <c r="A3169" s="7">
        <v>42482.64099537037</v>
      </c>
      <c r="B3169" s="8" t="str">
        <f>HYPERLINK("https://twitter.com/TepelmannMentor","@TepelmannMentor")</f>
        <v>@TepelmannMentor</v>
      </c>
      <c r="C3169" s="9" t="s">
        <v>7755</v>
      </c>
      <c r="D3169" s="9" t="s">
        <v>7701</v>
      </c>
      <c r="E3169" s="10" t="str">
        <f>HYPERLINK("https://twitter.com/TepelmannMentor/status/723449524174225409","723449524174225409")</f>
        <v>723449524174225409</v>
      </c>
      <c r="F3169" s="11" t="s">
        <v>43</v>
      </c>
      <c r="G3169" s="11">
        <v>19</v>
      </c>
      <c r="H3169" s="11">
        <v>77</v>
      </c>
      <c r="I3169" s="11">
        <v>3</v>
      </c>
      <c r="J3169" s="11">
        <v>0</v>
      </c>
      <c r="K3169" s="11" t="s">
        <v>21</v>
      </c>
      <c r="L3169" s="7">
        <v>42428.711562500001</v>
      </c>
      <c r="M3169" s="12" t="s">
        <v>7756</v>
      </c>
      <c r="N3169" s="12" t="s">
        <v>7757</v>
      </c>
      <c r="O3169" s="10" t="str">
        <f>HYPERLINK("https://pbs.twimg.com/profile_images/703995356049252353/5FP6lekY_normal.jpg","View")</f>
        <v>View</v>
      </c>
      <c r="P3169" s="11"/>
    </row>
    <row r="3170" spans="1:16" ht="12.75" x14ac:dyDescent="0.35">
      <c r="A3170" s="7">
        <v>42482.641712962963</v>
      </c>
      <c r="B3170" s="8" t="str">
        <f>HYPERLINK("https://twitter.com/VWBeetleSales","@VWBeetleSales")</f>
        <v>@VWBeetleSales</v>
      </c>
      <c r="C3170" s="9" t="s">
        <v>127</v>
      </c>
      <c r="D3170" s="9" t="s">
        <v>7758</v>
      </c>
      <c r="E3170" s="10" t="str">
        <f>HYPERLINK("https://twitter.com/VWBeetleSales/status/723449783394816000","723449783394816000")</f>
        <v>723449783394816000</v>
      </c>
      <c r="F3170" s="10" t="s">
        <v>124</v>
      </c>
      <c r="G3170" s="11">
        <v>35</v>
      </c>
      <c r="H3170" s="11">
        <v>32</v>
      </c>
      <c r="I3170" s="11">
        <v>0</v>
      </c>
      <c r="J3170" s="11">
        <v>0</v>
      </c>
      <c r="K3170" s="11" t="s">
        <v>21</v>
      </c>
      <c r="L3170" s="7">
        <v>42427.019756944443</v>
      </c>
      <c r="M3170" s="12" t="s">
        <v>129</v>
      </c>
      <c r="N3170" s="12" t="s">
        <v>130</v>
      </c>
      <c r="O3170" s="10" t="str">
        <f>HYPERLINK("https://pbs.twimg.com/profile_images/703294545195307008/qeCvrX86_normal.jpg","View")</f>
        <v>View</v>
      </c>
      <c r="P3170" s="11"/>
    </row>
    <row r="3171" spans="1:16" ht="12.75" x14ac:dyDescent="0.35">
      <c r="A3171" s="7">
        <v>42482.641747685186</v>
      </c>
      <c r="B3171" s="8" t="str">
        <f>HYPERLINK("https://twitter.com/VWCamperSales","@VWCamperSales")</f>
        <v>@VWCamperSales</v>
      </c>
      <c r="C3171" s="9" t="s">
        <v>216</v>
      </c>
      <c r="D3171" s="9" t="s">
        <v>7759</v>
      </c>
      <c r="E3171" s="10" t="str">
        <f>HYPERLINK("https://twitter.com/VWCamperSales/status/723449795788972032","723449795788972032")</f>
        <v>723449795788972032</v>
      </c>
      <c r="F3171" s="10" t="s">
        <v>124</v>
      </c>
      <c r="G3171" s="11">
        <v>615</v>
      </c>
      <c r="H3171" s="11">
        <v>580</v>
      </c>
      <c r="I3171" s="11">
        <v>0</v>
      </c>
      <c r="J3171" s="11">
        <v>0</v>
      </c>
      <c r="K3171" s="11" t="s">
        <v>21</v>
      </c>
      <c r="L3171" s="7">
        <v>42215.98809027778</v>
      </c>
      <c r="M3171" s="12" t="s">
        <v>129</v>
      </c>
      <c r="N3171" s="12" t="s">
        <v>218</v>
      </c>
      <c r="O3171" s="10" t="str">
        <f>HYPERLINK("https://pbs.twimg.com/profile_images/627949001179037696/skEBkS05_normal.jpg","View")</f>
        <v>View</v>
      </c>
      <c r="P3171" s="11"/>
    </row>
    <row r="3172" spans="1:16" ht="12.75" x14ac:dyDescent="0.35">
      <c r="A3172" s="7">
        <v>42482.641817129625</v>
      </c>
      <c r="B3172" s="8" t="str">
        <f>HYPERLINK("https://twitter.com/brett687","@brett687")</f>
        <v>@brett687</v>
      </c>
      <c r="C3172" s="9" t="s">
        <v>7760</v>
      </c>
      <c r="D3172" s="9" t="s">
        <v>7761</v>
      </c>
      <c r="E3172" s="10" t="str">
        <f>HYPERLINK("https://twitter.com/brett687/status/723449823156797443","723449823156797443")</f>
        <v>723449823156797443</v>
      </c>
      <c r="F3172" s="11" t="s">
        <v>43</v>
      </c>
      <c r="G3172" s="11">
        <v>201</v>
      </c>
      <c r="H3172" s="11">
        <v>623</v>
      </c>
      <c r="I3172" s="11">
        <v>1</v>
      </c>
      <c r="J3172" s="11">
        <v>0</v>
      </c>
      <c r="K3172" s="11" t="s">
        <v>21</v>
      </c>
      <c r="L3172" s="7">
        <v>40951.932708333334</v>
      </c>
      <c r="M3172" s="12" t="s">
        <v>7762</v>
      </c>
      <c r="N3172" s="12" t="s">
        <v>7763</v>
      </c>
      <c r="O3172" s="10" t="str">
        <f>HYPERLINK("https://pbs.twimg.com/profile_images/563275727810752514/bwvq74zt_normal.jpeg","View")</f>
        <v>View</v>
      </c>
      <c r="P3172" s="11"/>
    </row>
    <row r="3173" spans="1:16" ht="12.75" x14ac:dyDescent="0.35">
      <c r="A3173" s="7">
        <v>42482.641967592594</v>
      </c>
      <c r="B3173" s="8" t="str">
        <f>HYPERLINK("https://twitter.com/Shaznimohamed","@Shaznimohamed")</f>
        <v>@Shaznimohamed</v>
      </c>
      <c r="C3173" s="9" t="s">
        <v>7764</v>
      </c>
      <c r="D3173" s="9" t="s">
        <v>7426</v>
      </c>
      <c r="E3173" s="10" t="str">
        <f>HYPERLINK("https://twitter.com/Shaznimohamed/status/723449878307737601","723449878307737601")</f>
        <v>723449878307737601</v>
      </c>
      <c r="F3173" s="11" t="s">
        <v>20</v>
      </c>
      <c r="G3173" s="11">
        <v>29</v>
      </c>
      <c r="H3173" s="11">
        <v>158</v>
      </c>
      <c r="I3173" s="11">
        <v>11</v>
      </c>
      <c r="J3173" s="11">
        <v>0</v>
      </c>
      <c r="K3173" s="11" t="s">
        <v>21</v>
      </c>
      <c r="L3173" s="7">
        <v>40828.393680555557</v>
      </c>
      <c r="M3173" s="12"/>
      <c r="N3173" s="12"/>
      <c r="O3173" s="10" t="str">
        <f>HYPERLINK("https://pbs.twimg.com/profile_images/1584371772/islamic_written_13_normal.gif","View")</f>
        <v>View</v>
      </c>
      <c r="P3173" s="11"/>
    </row>
    <row r="3174" spans="1:16" ht="12.75" x14ac:dyDescent="0.35">
      <c r="A3174" s="7">
        <v>42482.642048611116</v>
      </c>
      <c r="B3174" s="8" t="str">
        <f>HYPERLINK("https://twitter.com/EIV_Bayreuth","@EIV_Bayreuth")</f>
        <v>@EIV_Bayreuth</v>
      </c>
      <c r="C3174" s="9" t="s">
        <v>7765</v>
      </c>
      <c r="D3174" s="9" t="s">
        <v>7720</v>
      </c>
      <c r="E3174" s="10" t="str">
        <f>HYPERLINK("https://twitter.com/EIV_Bayreuth/status/723449906510209024","723449906510209024")</f>
        <v>723449906510209024</v>
      </c>
      <c r="F3174" s="11" t="s">
        <v>43</v>
      </c>
      <c r="G3174" s="11">
        <v>214</v>
      </c>
      <c r="H3174" s="11">
        <v>178</v>
      </c>
      <c r="I3174" s="11">
        <v>2</v>
      </c>
      <c r="J3174" s="11">
        <v>0</v>
      </c>
      <c r="K3174" s="11" t="s">
        <v>21</v>
      </c>
      <c r="L3174" s="7">
        <v>41715.698981481481</v>
      </c>
      <c r="M3174" s="12" t="s">
        <v>7766</v>
      </c>
      <c r="N3174" s="12" t="s">
        <v>7767</v>
      </c>
      <c r="O3174" s="10" t="str">
        <f>HYPERLINK("https://pbs.twimg.com/profile_images/445545482572410880/pVcl7UPf_normal.jpeg","View")</f>
        <v>View</v>
      </c>
      <c r="P3174" s="11"/>
    </row>
    <row r="3175" spans="1:16" ht="12.75" x14ac:dyDescent="0.35">
      <c r="A3175" s="7">
        <v>42482.642581018517</v>
      </c>
      <c r="B3175" s="8" t="str">
        <f>HYPERLINK("https://twitter.com/matthewhowe69","@matthewhowe69")</f>
        <v>@matthewhowe69</v>
      </c>
      <c r="C3175" s="9" t="s">
        <v>7768</v>
      </c>
      <c r="D3175" s="9" t="s">
        <v>7769</v>
      </c>
      <c r="E3175" s="10" t="str">
        <f>HYPERLINK("https://twitter.com/matthewhowe69/status/723450099569827840","723450099569827840")</f>
        <v>723450099569827840</v>
      </c>
      <c r="F3175" s="11" t="s">
        <v>20</v>
      </c>
      <c r="G3175" s="11">
        <v>153</v>
      </c>
      <c r="H3175" s="11">
        <v>457</v>
      </c>
      <c r="I3175" s="11">
        <v>0</v>
      </c>
      <c r="J3175" s="11">
        <v>1</v>
      </c>
      <c r="K3175" s="11" t="s">
        <v>21</v>
      </c>
      <c r="L3175" s="7">
        <v>39878.104085648149</v>
      </c>
      <c r="M3175" s="12" t="s">
        <v>7770</v>
      </c>
      <c r="N3175" s="12" t="s">
        <v>7771</v>
      </c>
      <c r="O3175" s="10" t="str">
        <f>HYPERLINK("https://pbs.twimg.com/profile_images/486450295204241409/ADvbh2Wm_normal.jpeg","View")</f>
        <v>View</v>
      </c>
      <c r="P3175" s="11"/>
    </row>
    <row r="3176" spans="1:16" ht="12.75" x14ac:dyDescent="0.35">
      <c r="A3176" s="7">
        <v>42482.64298611111</v>
      </c>
      <c r="B3176" s="8" t="str">
        <f>HYPERLINK("https://twitter.com/bestautos_","@bestautos_")</f>
        <v>@bestautos_</v>
      </c>
      <c r="C3176" s="9" t="s">
        <v>7772</v>
      </c>
      <c r="D3176" s="9" t="s">
        <v>171</v>
      </c>
      <c r="E3176" s="10" t="str">
        <f>HYPERLINK("https://twitter.com/bestautos_/status/723450245133164544","723450245133164544")</f>
        <v>723450245133164544</v>
      </c>
      <c r="F3176" s="11" t="s">
        <v>43</v>
      </c>
      <c r="G3176" s="11">
        <v>7668</v>
      </c>
      <c r="H3176" s="11">
        <v>2328</v>
      </c>
      <c r="I3176" s="11">
        <v>67</v>
      </c>
      <c r="J3176" s="11">
        <v>0</v>
      </c>
      <c r="K3176" s="11" t="s">
        <v>21</v>
      </c>
      <c r="L3176" s="7">
        <v>42260.474236111113</v>
      </c>
      <c r="M3176" s="12" t="s">
        <v>1060</v>
      </c>
      <c r="N3176" s="12" t="s">
        <v>7773</v>
      </c>
      <c r="O3176" s="10" t="str">
        <f>HYPERLINK("https://pbs.twimg.com/profile_images/649739044239372288/0ODkSJLg_normal.png","View")</f>
        <v>View</v>
      </c>
      <c r="P3176" s="11"/>
    </row>
    <row r="3177" spans="1:16" ht="12.75" x14ac:dyDescent="0.35">
      <c r="A3177" s="7">
        <v>42482.643506944441</v>
      </c>
      <c r="B3177" s="8" t="str">
        <f>HYPERLINK("https://twitter.com/wehrs18","@wehrs18")</f>
        <v>@wehrs18</v>
      </c>
      <c r="C3177" s="9" t="s">
        <v>1964</v>
      </c>
      <c r="D3177" s="9" t="s">
        <v>7751</v>
      </c>
      <c r="E3177" s="10" t="str">
        <f>HYPERLINK("https://twitter.com/wehrs18/status/723450436406022144","723450436406022144")</f>
        <v>723450436406022144</v>
      </c>
      <c r="F3177" s="11" t="s">
        <v>48</v>
      </c>
      <c r="G3177" s="11">
        <v>122</v>
      </c>
      <c r="H3177" s="11">
        <v>241</v>
      </c>
      <c r="I3177" s="11">
        <v>2</v>
      </c>
      <c r="J3177" s="11">
        <v>0</v>
      </c>
      <c r="K3177" s="11" t="s">
        <v>21</v>
      </c>
      <c r="L3177" s="7">
        <v>41836.590428240743</v>
      </c>
      <c r="M3177" s="12" t="s">
        <v>1116</v>
      </c>
      <c r="N3177" s="12" t="s">
        <v>1965</v>
      </c>
      <c r="O3177" s="10" t="str">
        <f>HYPERLINK("https://pbs.twimg.com/profile_images/687314255507513346/a83L5Opq_normal.jpg","View")</f>
        <v>View</v>
      </c>
      <c r="P3177" s="11"/>
    </row>
    <row r="3178" spans="1:16" ht="12.75" x14ac:dyDescent="0.35">
      <c r="A3178" s="7">
        <v>42482.643680555557</v>
      </c>
      <c r="B3178" s="8" t="str">
        <f>HYPERLINK("https://twitter.com/yhuberty","@yhuberty")</f>
        <v>@yhuberty</v>
      </c>
      <c r="C3178" s="9" t="s">
        <v>7774</v>
      </c>
      <c r="D3178" s="9" t="s">
        <v>7775</v>
      </c>
      <c r="E3178" s="10" t="str">
        <f>HYPERLINK("https://twitter.com/yhuberty/status/723450496200130560","723450496200130560")</f>
        <v>723450496200130560</v>
      </c>
      <c r="F3178" s="11" t="s">
        <v>68</v>
      </c>
      <c r="G3178" s="11">
        <v>25</v>
      </c>
      <c r="H3178" s="11">
        <v>45</v>
      </c>
      <c r="I3178" s="11">
        <v>0</v>
      </c>
      <c r="J3178" s="11">
        <v>0</v>
      </c>
      <c r="K3178" s="11" t="s">
        <v>21</v>
      </c>
      <c r="L3178" s="7">
        <v>40490.80269675926</v>
      </c>
      <c r="M3178" s="12" t="s">
        <v>7776</v>
      </c>
      <c r="N3178" s="12" t="s">
        <v>7777</v>
      </c>
      <c r="O3178" s="10" t="str">
        <f>HYPERLINK("https://pbs.twimg.com/profile_images/3206352755/e7cfc7248c1779fd33ff5c0bdff273f0_normal.jpeg","View")</f>
        <v>View</v>
      </c>
      <c r="P3178" s="11"/>
    </row>
    <row r="3179" spans="1:16" ht="12.75" x14ac:dyDescent="0.35">
      <c r="A3179" s="7">
        <v>42482.643773148149</v>
      </c>
      <c r="B3179" s="8" t="str">
        <f>HYPERLINK("https://twitter.com/PatrickGensing","@PatrickGensing")</f>
        <v>@PatrickGensing</v>
      </c>
      <c r="C3179" s="9" t="s">
        <v>7778</v>
      </c>
      <c r="D3179" s="9" t="s">
        <v>7779</v>
      </c>
      <c r="E3179" s="10" t="str">
        <f>HYPERLINK("https://twitter.com/PatrickGensing/status/723450533357314048","723450533357314048")</f>
        <v>723450533357314048</v>
      </c>
      <c r="F3179" s="11" t="s">
        <v>43</v>
      </c>
      <c r="G3179" s="11">
        <v>3312</v>
      </c>
      <c r="H3179" s="11">
        <v>734</v>
      </c>
      <c r="I3179" s="11">
        <v>0</v>
      </c>
      <c r="J3179" s="11">
        <v>0</v>
      </c>
      <c r="K3179" s="11" t="s">
        <v>21</v>
      </c>
      <c r="L3179" s="7">
        <v>41761.724351851852</v>
      </c>
      <c r="M3179" s="12" t="s">
        <v>7780</v>
      </c>
      <c r="N3179" s="12" t="s">
        <v>7781</v>
      </c>
      <c r="O3179" s="10" t="str">
        <f>HYPERLINK("https://pbs.twimg.com/profile_images/511748869990776832/hVFIeeo8_normal.jpeg","View")</f>
        <v>View</v>
      </c>
      <c r="P3179" s="11"/>
    </row>
    <row r="3180" spans="1:16" ht="12.75" x14ac:dyDescent="0.35">
      <c r="A3180" s="7">
        <v>42482.643958333334</v>
      </c>
      <c r="B3180" s="8" t="str">
        <f>HYPERLINK("https://twitter.com/EllisT17","@EllisT17")</f>
        <v>@EllisT17</v>
      </c>
      <c r="C3180" s="9" t="s">
        <v>7782</v>
      </c>
      <c r="D3180" s="9" t="s">
        <v>7783</v>
      </c>
      <c r="E3180" s="10" t="str">
        <f>HYPERLINK("https://twitter.com/EllisT17/status/723450597832155136","723450597832155136")</f>
        <v>723450597832155136</v>
      </c>
      <c r="F3180" s="11" t="s">
        <v>20</v>
      </c>
      <c r="G3180" s="11">
        <v>340</v>
      </c>
      <c r="H3180" s="11">
        <v>250</v>
      </c>
      <c r="I3180" s="11">
        <v>0</v>
      </c>
      <c r="J3180" s="11">
        <v>0</v>
      </c>
      <c r="K3180" s="11" t="s">
        <v>21</v>
      </c>
      <c r="L3180" s="7">
        <v>41544.172835648147</v>
      </c>
      <c r="M3180" s="12"/>
      <c r="N3180" s="12"/>
      <c r="O3180" s="10" t="str">
        <f>HYPERLINK("https://pbs.twimg.com/profile_images/722881693296803840/Q1r0epiK_normal.jpg","View")</f>
        <v>View</v>
      </c>
      <c r="P3180" s="11"/>
    </row>
    <row r="3181" spans="1:16" ht="12.75" x14ac:dyDescent="0.35">
      <c r="A3181" s="7">
        <v>42482.644976851851</v>
      </c>
      <c r="B3181" s="8" t="str">
        <f>HYPERLINK("https://twitter.com/NDRreporter","@NDRreporter")</f>
        <v>@NDRreporter</v>
      </c>
      <c r="C3181" s="9" t="s">
        <v>1660</v>
      </c>
      <c r="D3181" s="9" t="s">
        <v>7784</v>
      </c>
      <c r="E3181" s="10" t="str">
        <f>HYPERLINK("https://twitter.com/NDRreporter/status/723450969648844800","723450969648844800")</f>
        <v>723450969648844800</v>
      </c>
      <c r="F3181" s="11" t="s">
        <v>43</v>
      </c>
      <c r="G3181" s="11">
        <v>11484</v>
      </c>
      <c r="H3181" s="11">
        <v>297</v>
      </c>
      <c r="I3181" s="11">
        <v>0</v>
      </c>
      <c r="J3181" s="11">
        <v>0</v>
      </c>
      <c r="K3181" s="11" t="s">
        <v>21</v>
      </c>
      <c r="L3181" s="7">
        <v>41386.591909722221</v>
      </c>
      <c r="M3181" s="12" t="s">
        <v>953</v>
      </c>
      <c r="N3181" s="12" t="s">
        <v>1662</v>
      </c>
      <c r="O3181" s="10" t="str">
        <f>HYPERLINK("https://pbs.twimg.com/profile_images/466908605317279744/I5a712BQ_normal.jpeg","View")</f>
        <v>View</v>
      </c>
      <c r="P3181" s="11"/>
    </row>
    <row r="3182" spans="1:16" ht="12.75" x14ac:dyDescent="0.35">
      <c r="A3182" s="7">
        <v>42482.645208333328</v>
      </c>
      <c r="B3182" s="8" t="str">
        <f>HYPERLINK("https://twitter.com/yVe1705","@yVe1705")</f>
        <v>@yVe1705</v>
      </c>
      <c r="C3182" s="9" t="s">
        <v>7785</v>
      </c>
      <c r="D3182" s="9" t="s">
        <v>7786</v>
      </c>
      <c r="E3182" s="10" t="str">
        <f>HYPERLINK("https://twitter.com/yVe1705/status/723451053035802625","723451053035802625")</f>
        <v>723451053035802625</v>
      </c>
      <c r="F3182" s="11" t="s">
        <v>20</v>
      </c>
      <c r="G3182" s="11">
        <v>11</v>
      </c>
      <c r="H3182" s="11">
        <v>23</v>
      </c>
      <c r="I3182" s="11">
        <v>0</v>
      </c>
      <c r="J3182" s="11">
        <v>0</v>
      </c>
      <c r="K3182" s="11" t="s">
        <v>21</v>
      </c>
      <c r="L3182" s="7">
        <v>42159.102986111116</v>
      </c>
      <c r="M3182" s="12" t="s">
        <v>7787</v>
      </c>
      <c r="N3182" s="12"/>
      <c r="O3182" s="10" t="str">
        <f>HYPERLINK("https://pbs.twimg.com/profile_images/606204089177927681/5EncE4kG_normal.jpg","View")</f>
        <v>View</v>
      </c>
      <c r="P3182" s="11"/>
    </row>
    <row r="3183" spans="1:16" ht="12.75" x14ac:dyDescent="0.35">
      <c r="A3183" s="7">
        <v>42482.64539351852</v>
      </c>
      <c r="B3183" s="8" t="str">
        <f>HYPERLINK("https://twitter.com/simonorr32","@simonorr32")</f>
        <v>@simonorr32</v>
      </c>
      <c r="C3183" s="9" t="s">
        <v>7788</v>
      </c>
      <c r="D3183" s="9" t="s">
        <v>7789</v>
      </c>
      <c r="E3183" s="10" t="str">
        <f>HYPERLINK("https://twitter.com/simonorr32/status/723451120220143616","723451120220143616")</f>
        <v>723451120220143616</v>
      </c>
      <c r="F3183" s="11" t="s">
        <v>20</v>
      </c>
      <c r="G3183" s="11">
        <v>195</v>
      </c>
      <c r="H3183" s="11">
        <v>350</v>
      </c>
      <c r="I3183" s="11">
        <v>1</v>
      </c>
      <c r="J3183" s="11">
        <v>0</v>
      </c>
      <c r="K3183" s="11" t="s">
        <v>21</v>
      </c>
      <c r="L3183" s="7">
        <v>41141.801562499997</v>
      </c>
      <c r="M3183" s="12" t="s">
        <v>7790</v>
      </c>
      <c r="N3183" s="12" t="s">
        <v>7791</v>
      </c>
      <c r="O3183" s="10" t="str">
        <f>HYPERLINK("https://pbs.twimg.com/profile_images/676523495229161482/y8f99TxO_normal.jpg","View")</f>
        <v>View</v>
      </c>
      <c r="P3183" s="11"/>
    </row>
    <row r="3184" spans="1:16" ht="12.75" x14ac:dyDescent="0.35">
      <c r="A3184" s="7">
        <v>42482.64539351852</v>
      </c>
      <c r="B3184" s="8" t="str">
        <f>HYPERLINK("https://twitter.com/zeitonline","@zeitonline")</f>
        <v>@zeitonline</v>
      </c>
      <c r="C3184" s="9" t="s">
        <v>1663</v>
      </c>
      <c r="D3184" s="9" t="s">
        <v>7792</v>
      </c>
      <c r="E3184" s="10" t="str">
        <f>HYPERLINK("https://twitter.com/zeitonline/status/723451120979456001","723451120979456001")</f>
        <v>723451120979456001</v>
      </c>
      <c r="F3184" s="11" t="s">
        <v>1665</v>
      </c>
      <c r="G3184" s="11">
        <v>1171023</v>
      </c>
      <c r="H3184" s="11">
        <v>22</v>
      </c>
      <c r="I3184" s="11">
        <v>1</v>
      </c>
      <c r="J3184" s="11">
        <v>2</v>
      </c>
      <c r="K3184" s="11" t="s">
        <v>21</v>
      </c>
      <c r="L3184" s="7">
        <v>39204.865983796299</v>
      </c>
      <c r="M3184" s="12" t="s">
        <v>1666</v>
      </c>
      <c r="N3184" s="12" t="s">
        <v>1667</v>
      </c>
      <c r="O3184" s="10" t="str">
        <f>HYPERLINK("https://pbs.twimg.com/profile_images/702423578608852994/zVbR9TA1_normal.jpg","View")</f>
        <v>View</v>
      </c>
      <c r="P3184" s="11"/>
    </row>
    <row r="3185" spans="1:16" ht="12.75" x14ac:dyDescent="0.35">
      <c r="A3185" s="7">
        <v>42482.64565972222</v>
      </c>
      <c r="B3185" s="8" t="str">
        <f>HYPERLINK("https://twitter.com/581eGliese","@581eGliese")</f>
        <v>@581eGliese</v>
      </c>
      <c r="C3185" s="9" t="s">
        <v>7793</v>
      </c>
      <c r="D3185" s="9" t="s">
        <v>7794</v>
      </c>
      <c r="E3185" s="10" t="str">
        <f>HYPERLINK("https://twitter.com/581eGliese/status/723451215087058944","723451215087058944")</f>
        <v>723451215087058944</v>
      </c>
      <c r="F3185" s="11" t="s">
        <v>43</v>
      </c>
      <c r="G3185" s="11">
        <v>54</v>
      </c>
      <c r="H3185" s="11">
        <v>278</v>
      </c>
      <c r="I3185" s="11">
        <v>1</v>
      </c>
      <c r="J3185" s="11">
        <v>0</v>
      </c>
      <c r="K3185" s="11" t="s">
        <v>21</v>
      </c>
      <c r="L3185" s="7">
        <v>41077.839166666665</v>
      </c>
      <c r="M3185" s="12" t="s">
        <v>1116</v>
      </c>
      <c r="N3185" s="12" t="s">
        <v>7795</v>
      </c>
      <c r="O3185" s="10" t="str">
        <f>HYPERLINK("https://pbs.twimg.com/profile_images/2316415935/pi_by_strenuus-d39pkb3_normal.jpg","View")</f>
        <v>View</v>
      </c>
      <c r="P3185" s="11"/>
    </row>
    <row r="3186" spans="1:16" ht="12.75" x14ac:dyDescent="0.35">
      <c r="A3186" s="7">
        <v>42482.645925925928</v>
      </c>
      <c r="B3186" s="8" t="str">
        <f>HYPERLINK("https://twitter.com/Henriquelagarto","@Henriquelagarto")</f>
        <v>@Henriquelagarto</v>
      </c>
      <c r="C3186" s="9" t="s">
        <v>7796</v>
      </c>
      <c r="D3186" s="9" t="s">
        <v>171</v>
      </c>
      <c r="E3186" s="10" t="str">
        <f>HYPERLINK("https://twitter.com/Henriquelagarto/status/723451311933378560","723451311933378560")</f>
        <v>723451311933378560</v>
      </c>
      <c r="F3186" s="11" t="s">
        <v>48</v>
      </c>
      <c r="G3186" s="11">
        <v>765</v>
      </c>
      <c r="H3186" s="11">
        <v>1180</v>
      </c>
      <c r="I3186" s="11">
        <v>67</v>
      </c>
      <c r="J3186" s="11">
        <v>0</v>
      </c>
      <c r="K3186" s="11" t="s">
        <v>21</v>
      </c>
      <c r="L3186" s="7">
        <v>40815.043009259258</v>
      </c>
      <c r="M3186" s="12" t="s">
        <v>7797</v>
      </c>
      <c r="N3186" s="12" t="s">
        <v>7798</v>
      </c>
      <c r="O3186" s="10" t="str">
        <f>HYPERLINK("https://pbs.twimg.com/profile_images/712104707410542592/qQcqzmda_normal.jpg","View")</f>
        <v>View</v>
      </c>
      <c r="P3186" s="11"/>
    </row>
    <row r="3187" spans="1:16" ht="12.75" x14ac:dyDescent="0.35">
      <c r="A3187" s="7">
        <v>42482.646134259259</v>
      </c>
      <c r="B3187" s="8" t="str">
        <f>HYPERLINK("https://twitter.com/RSTOKAR","@RSTOKAR")</f>
        <v>@RSTOKAR</v>
      </c>
      <c r="C3187" s="9" t="s">
        <v>2514</v>
      </c>
      <c r="D3187" s="9" t="s">
        <v>7097</v>
      </c>
      <c r="E3187" s="10" t="str">
        <f>HYPERLINK("https://twitter.com/RSTOKAR/status/723451389020610560","723451389020610560")</f>
        <v>723451389020610560</v>
      </c>
      <c r="F3187" s="11" t="s">
        <v>43</v>
      </c>
      <c r="G3187" s="11">
        <v>154</v>
      </c>
      <c r="H3187" s="11">
        <v>333</v>
      </c>
      <c r="I3187" s="11">
        <v>3</v>
      </c>
      <c r="J3187" s="11">
        <v>0</v>
      </c>
      <c r="K3187" s="11" t="s">
        <v>21</v>
      </c>
      <c r="L3187" s="7">
        <v>41055.080138888887</v>
      </c>
      <c r="M3187" s="12" t="s">
        <v>2515</v>
      </c>
      <c r="N3187" s="12" t="s">
        <v>2516</v>
      </c>
      <c r="O3187" s="10" t="str">
        <f>HYPERLINK("https://pbs.twimg.com/profile_images/3282181310/09912193e3b2ecc229b9028eb0f19def_normal.jpeg","View")</f>
        <v>View</v>
      </c>
      <c r="P3187" s="11"/>
    </row>
    <row r="3188" spans="1:16" ht="12.75" x14ac:dyDescent="0.35">
      <c r="A3188" s="7">
        <v>42482.646851851852</v>
      </c>
      <c r="B3188" s="8" t="str">
        <f>HYPERLINK("https://twitter.com/FM_Elektro","@FM_Elektro")</f>
        <v>@FM_Elektro</v>
      </c>
      <c r="C3188" s="9" t="s">
        <v>7799</v>
      </c>
      <c r="D3188" s="9" t="s">
        <v>7632</v>
      </c>
      <c r="E3188" s="10" t="str">
        <f>HYPERLINK("https://twitter.com/FM_Elektro/status/723451647788224512","723451647788224512")</f>
        <v>723451647788224512</v>
      </c>
      <c r="F3188" s="11" t="s">
        <v>152</v>
      </c>
      <c r="G3188" s="11">
        <v>184</v>
      </c>
      <c r="H3188" s="11">
        <v>231</v>
      </c>
      <c r="I3188" s="11">
        <v>3</v>
      </c>
      <c r="J3188" s="11">
        <v>0</v>
      </c>
      <c r="K3188" s="11" t="s">
        <v>21</v>
      </c>
      <c r="L3188" s="7">
        <v>41464.652106481481</v>
      </c>
      <c r="M3188" s="12" t="s">
        <v>2686</v>
      </c>
      <c r="N3188" s="12" t="s">
        <v>7800</v>
      </c>
      <c r="O3188" s="10" t="str">
        <f>HYPERLINK("https://pbs.twimg.com/profile_images/699912588302426112/2kZQzAuA_normal.jpg","View")</f>
        <v>View</v>
      </c>
      <c r="P3188" s="11"/>
    </row>
    <row r="3189" spans="1:16" ht="12.75" x14ac:dyDescent="0.35">
      <c r="A3189" s="7">
        <v>42482.646886574075</v>
      </c>
      <c r="B3189" s="8" t="str">
        <f>HYPERLINK("https://twitter.com/CarSniff","@CarSniff")</f>
        <v>@CarSniff</v>
      </c>
      <c r="C3189" s="9" t="s">
        <v>7801</v>
      </c>
      <c r="D3189" s="9" t="s">
        <v>7789</v>
      </c>
      <c r="E3189" s="10" t="str">
        <f>HYPERLINK("https://twitter.com/CarSniff/status/723451659880271872","723451659880271872")</f>
        <v>723451659880271872</v>
      </c>
      <c r="F3189" s="11" t="s">
        <v>7802</v>
      </c>
      <c r="G3189" s="11">
        <v>1443</v>
      </c>
      <c r="H3189" s="11">
        <v>340</v>
      </c>
      <c r="I3189" s="11">
        <v>2</v>
      </c>
      <c r="J3189" s="11">
        <v>0</v>
      </c>
      <c r="K3189" s="11" t="s">
        <v>21</v>
      </c>
      <c r="L3189" s="7">
        <v>40266.451608796298</v>
      </c>
      <c r="M3189" s="12"/>
      <c r="N3189" s="12" t="s">
        <v>7803</v>
      </c>
      <c r="O3189" s="10" t="str">
        <f>HYPERLINK("https://pbs.twimg.com/profile_images/789711681/s2_normal.bmp","View")</f>
        <v>View</v>
      </c>
      <c r="P3189" s="11"/>
    </row>
    <row r="3190" spans="1:16" ht="12.75" x14ac:dyDescent="0.35">
      <c r="A3190" s="7">
        <v>42482.647152777776</v>
      </c>
      <c r="B3190" s="8" t="str">
        <f>HYPERLINK("https://twitter.com/Stahlhammer","@Stahlhammer")</f>
        <v>@Stahlhammer</v>
      </c>
      <c r="C3190" s="9" t="s">
        <v>1085</v>
      </c>
      <c r="D3190" s="9" t="s">
        <v>7701</v>
      </c>
      <c r="E3190" s="10" t="str">
        <f>HYPERLINK("https://twitter.com/Stahlhammer/status/723451755720114176","723451755720114176")</f>
        <v>723451755720114176</v>
      </c>
      <c r="F3190" s="11" t="s">
        <v>20</v>
      </c>
      <c r="G3190" s="11">
        <v>322</v>
      </c>
      <c r="H3190" s="11">
        <v>258</v>
      </c>
      <c r="I3190" s="11">
        <v>4</v>
      </c>
      <c r="J3190" s="11">
        <v>0</v>
      </c>
      <c r="K3190" s="11" t="s">
        <v>21</v>
      </c>
      <c r="L3190" s="7">
        <v>39804.043923611112</v>
      </c>
      <c r="M3190" s="12"/>
      <c r="N3190" s="12" t="s">
        <v>1086</v>
      </c>
      <c r="O3190" s="10" t="str">
        <f>HYPERLINK("https://pbs.twimg.com/profile_images/603480066887127041/ZqzOY80Q_normal.jpg","View")</f>
        <v>View</v>
      </c>
      <c r="P3190" s="11"/>
    </row>
    <row r="3191" spans="1:16" ht="12.75" x14ac:dyDescent="0.35">
      <c r="A3191" s="7">
        <v>42482.648182870369</v>
      </c>
      <c r="B3191" s="8" t="str">
        <f>HYPERLINK("https://twitter.com/boersenzeitung","@boersenzeitung")</f>
        <v>@boersenzeitung</v>
      </c>
      <c r="C3191" s="9" t="s">
        <v>7804</v>
      </c>
      <c r="D3191" s="9" t="s">
        <v>7805</v>
      </c>
      <c r="E3191" s="10" t="str">
        <f>HYPERLINK("https://twitter.com/boersenzeitung/status/723452129768173568","723452129768173568")</f>
        <v>723452129768173568</v>
      </c>
      <c r="F3191" s="11" t="s">
        <v>43</v>
      </c>
      <c r="G3191" s="11">
        <v>4519</v>
      </c>
      <c r="H3191" s="11">
        <v>2139</v>
      </c>
      <c r="I3191" s="11">
        <v>0</v>
      </c>
      <c r="J3191" s="11">
        <v>0</v>
      </c>
      <c r="K3191" s="11" t="s">
        <v>21</v>
      </c>
      <c r="L3191" s="7">
        <v>39941.513969907406</v>
      </c>
      <c r="M3191" s="12" t="s">
        <v>7806</v>
      </c>
      <c r="N3191" s="12" t="s">
        <v>7807</v>
      </c>
      <c r="O3191" s="10" t="str">
        <f>HYPERLINK("https://pbs.twimg.com/profile_images/574906201290334209/eDNLUdPe_normal.png","View")</f>
        <v>View</v>
      </c>
      <c r="P3191" s="11"/>
    </row>
    <row r="3192" spans="1:16" ht="12.75" x14ac:dyDescent="0.35">
      <c r="A3192" s="7">
        <v>42482.648414351846</v>
      </c>
      <c r="B3192" s="8" t="str">
        <f>HYPERLINK("https://twitter.com/heinripe","@heinripe")</f>
        <v>@heinripe</v>
      </c>
      <c r="C3192" s="9" t="s">
        <v>7808</v>
      </c>
      <c r="D3192" s="9" t="s">
        <v>7794</v>
      </c>
      <c r="E3192" s="10" t="str">
        <f>HYPERLINK("https://twitter.com/heinripe/status/723452214136598528","723452214136598528")</f>
        <v>723452214136598528</v>
      </c>
      <c r="F3192" s="11" t="s">
        <v>91</v>
      </c>
      <c r="G3192" s="11">
        <v>12</v>
      </c>
      <c r="H3192" s="11">
        <v>53</v>
      </c>
      <c r="I3192" s="11">
        <v>4</v>
      </c>
      <c r="J3192" s="11">
        <v>0</v>
      </c>
      <c r="K3192" s="11" t="s">
        <v>21</v>
      </c>
      <c r="L3192" s="7">
        <v>41730.831597222219</v>
      </c>
      <c r="M3192" s="12"/>
      <c r="N3192" s="12"/>
      <c r="O3192" s="10" t="str">
        <f>HYPERLINK("https://abs.twimg.com/sticky/default_profile_images/default_profile_6_normal.png","View")</f>
        <v>View</v>
      </c>
      <c r="P3192" s="11"/>
    </row>
    <row r="3193" spans="1:16" ht="12.75" x14ac:dyDescent="0.35">
      <c r="A3193" s="7">
        <v>42482.648831018523</v>
      </c>
      <c r="B3193" s="8" t="str">
        <f>HYPERLINK("https://twitter.com/beetlebug1938","@beetlebug1938")</f>
        <v>@beetlebug1938</v>
      </c>
      <c r="C3193" s="9" t="s">
        <v>66</v>
      </c>
      <c r="D3193" s="9" t="s">
        <v>7809</v>
      </c>
      <c r="E3193" s="10" t="str">
        <f>HYPERLINK("https://twitter.com/beetlebug1938/status/723452365748211712","723452365748211712")</f>
        <v>723452365748211712</v>
      </c>
      <c r="F3193" s="11" t="s">
        <v>68</v>
      </c>
      <c r="G3193" s="11">
        <v>347</v>
      </c>
      <c r="H3193" s="11">
        <v>2222</v>
      </c>
      <c r="I3193" s="11">
        <v>0</v>
      </c>
      <c r="J3193" s="11">
        <v>0</v>
      </c>
      <c r="K3193" s="11" t="s">
        <v>21</v>
      </c>
      <c r="L3193" s="7">
        <v>42469.863865740743</v>
      </c>
      <c r="M3193" s="12" t="s">
        <v>69</v>
      </c>
      <c r="N3193" s="12"/>
      <c r="O3193" s="10" t="str">
        <f>HYPERLINK("https://pbs.twimg.com/profile_images/718820712757215233/LXXndPTS_normal.jpg","View")</f>
        <v>View</v>
      </c>
      <c r="P3193" s="11"/>
    </row>
    <row r="3194" spans="1:16" ht="12.75" x14ac:dyDescent="0.35">
      <c r="A3194" s="7">
        <v>42482.648831018523</v>
      </c>
      <c r="B3194" s="8" t="str">
        <f>HYPERLINK("https://twitter.com/parrish_isiah","@parrish_isiah")</f>
        <v>@parrish_isiah</v>
      </c>
      <c r="C3194" s="9" t="s">
        <v>7810</v>
      </c>
      <c r="D3194" s="9" t="s">
        <v>171</v>
      </c>
      <c r="E3194" s="10" t="str">
        <f>HYPERLINK("https://twitter.com/parrish_isiah/status/723452366045896704","723452366045896704")</f>
        <v>723452366045896704</v>
      </c>
      <c r="F3194" s="11" t="s">
        <v>48</v>
      </c>
      <c r="G3194" s="11">
        <v>622</v>
      </c>
      <c r="H3194" s="11">
        <v>880</v>
      </c>
      <c r="I3194" s="11">
        <v>68</v>
      </c>
      <c r="J3194" s="11">
        <v>0</v>
      </c>
      <c r="K3194" s="11" t="s">
        <v>21</v>
      </c>
      <c r="L3194" s="7">
        <v>41750.385081018518</v>
      </c>
      <c r="M3194" s="12" t="s">
        <v>1363</v>
      </c>
      <c r="N3194" s="12" t="s">
        <v>7811</v>
      </c>
      <c r="O3194" s="10" t="str">
        <f>HYPERLINK("https://pbs.twimg.com/profile_images/717767756104409088/FwQrD584_normal.jpg","View")</f>
        <v>View</v>
      </c>
      <c r="P3194" s="11"/>
    </row>
    <row r="3195" spans="1:16" ht="12.75" x14ac:dyDescent="0.35">
      <c r="A3195" s="7">
        <v>42482.648993055554</v>
      </c>
      <c r="B3195" s="8" t="str">
        <f>HYPERLINK("https://twitter.com/x3m_f","@x3m_f")</f>
        <v>@x3m_f</v>
      </c>
      <c r="C3195" s="9" t="s">
        <v>3559</v>
      </c>
      <c r="D3195" s="9" t="s">
        <v>7812</v>
      </c>
      <c r="E3195" s="10" t="str">
        <f>HYPERLINK("https://twitter.com/x3m_f/status/723452422350352384","723452422350352384")</f>
        <v>723452422350352384</v>
      </c>
      <c r="F3195" s="11" t="s">
        <v>68</v>
      </c>
      <c r="G3195" s="11">
        <v>108</v>
      </c>
      <c r="H3195" s="11">
        <v>92</v>
      </c>
      <c r="I3195" s="11">
        <v>0</v>
      </c>
      <c r="J3195" s="11">
        <v>0</v>
      </c>
      <c r="K3195" s="11" t="s">
        <v>21</v>
      </c>
      <c r="L3195" s="7">
        <v>42363.436157407406</v>
      </c>
      <c r="M3195" s="12" t="s">
        <v>3274</v>
      </c>
      <c r="N3195" s="12" t="s">
        <v>3561</v>
      </c>
      <c r="O3195" s="10" t="str">
        <f>HYPERLINK("https://pbs.twimg.com/profile_images/680251329592344576/lnXUGVBa_normal.jpg","View")</f>
        <v>View</v>
      </c>
      <c r="P3195" s="11"/>
    </row>
    <row r="3196" spans="1:16" ht="12.75" x14ac:dyDescent="0.35">
      <c r="A3196" s="7">
        <v>42482.649594907409</v>
      </c>
      <c r="B3196" s="8" t="str">
        <f>HYPERLINK("https://twitter.com/lars_scho","@lars_scho")</f>
        <v>@lars_scho</v>
      </c>
      <c r="C3196" s="9" t="s">
        <v>7813</v>
      </c>
      <c r="D3196" s="9" t="s">
        <v>7814</v>
      </c>
      <c r="E3196" s="10" t="str">
        <f>HYPERLINK("https://twitter.com/lars_scho/status/723452641649504256","723452641649504256")</f>
        <v>723452641649504256</v>
      </c>
      <c r="F3196" s="11" t="s">
        <v>43</v>
      </c>
      <c r="G3196" s="11">
        <v>287</v>
      </c>
      <c r="H3196" s="11">
        <v>495</v>
      </c>
      <c r="I3196" s="11">
        <v>0</v>
      </c>
      <c r="J3196" s="11">
        <v>0</v>
      </c>
      <c r="K3196" s="11" t="s">
        <v>21</v>
      </c>
      <c r="L3196" s="7">
        <v>41779.134282407409</v>
      </c>
      <c r="M3196" s="12" t="s">
        <v>1495</v>
      </c>
      <c r="N3196" s="12" t="s">
        <v>7815</v>
      </c>
      <c r="O3196" s="10" t="str">
        <f>HYPERLINK("https://pbs.twimg.com/profile_images/721996706657779713/1ngKuolF_normal.jpg","View")</f>
        <v>View</v>
      </c>
      <c r="P3196" s="11"/>
    </row>
    <row r="3197" spans="1:16" ht="12.75" x14ac:dyDescent="0.35">
      <c r="A3197" s="7">
        <v>42482.649675925924</v>
      </c>
      <c r="B3197" s="8" t="str">
        <f t="shared" ref="B3197:B3198" si="314">HYPERLINK("https://twitter.com/VW_OC","@VW_OC")</f>
        <v>@VW_OC</v>
      </c>
      <c r="C3197" s="9" t="s">
        <v>7816</v>
      </c>
      <c r="D3197" s="9" t="s">
        <v>7646</v>
      </c>
      <c r="E3197" s="10" t="str">
        <f>HYPERLINK("https://twitter.com/VW_OC/status/723452672783822848","723452672783822848")</f>
        <v>723452672783822848</v>
      </c>
      <c r="F3197" s="11" t="s">
        <v>91</v>
      </c>
      <c r="G3197" s="11">
        <v>169</v>
      </c>
      <c r="H3197" s="11">
        <v>317</v>
      </c>
      <c r="I3197" s="11">
        <v>8</v>
      </c>
      <c r="J3197" s="11">
        <v>0</v>
      </c>
      <c r="K3197" s="11" t="s">
        <v>21</v>
      </c>
      <c r="L3197" s="7">
        <v>40991.638182870374</v>
      </c>
      <c r="M3197" s="12" t="s">
        <v>7817</v>
      </c>
      <c r="N3197" s="12" t="s">
        <v>7818</v>
      </c>
      <c r="O3197" s="10" t="str">
        <f t="shared" ref="O3197:O3198" si="315">HYPERLINK("https://pbs.twimg.com/profile_images/637390204526030849/x7fTNLV__normal.png","View")</f>
        <v>View</v>
      </c>
      <c r="P3197" s="11"/>
    </row>
    <row r="3198" spans="1:16" ht="12.75" x14ac:dyDescent="0.35">
      <c r="A3198" s="7">
        <v>42482.650011574078</v>
      </c>
      <c r="B3198" s="8" t="str">
        <f t="shared" si="314"/>
        <v>@VW_OC</v>
      </c>
      <c r="C3198" s="9" t="s">
        <v>7816</v>
      </c>
      <c r="D3198" s="9" t="s">
        <v>7426</v>
      </c>
      <c r="E3198" s="10" t="str">
        <f>HYPERLINK("https://twitter.com/VW_OC/status/723452793160368128","723452793160368128")</f>
        <v>723452793160368128</v>
      </c>
      <c r="F3198" s="11" t="s">
        <v>91</v>
      </c>
      <c r="G3198" s="11">
        <v>169</v>
      </c>
      <c r="H3198" s="11">
        <v>317</v>
      </c>
      <c r="I3198" s="11">
        <v>15</v>
      </c>
      <c r="J3198" s="11">
        <v>0</v>
      </c>
      <c r="K3198" s="11" t="s">
        <v>21</v>
      </c>
      <c r="L3198" s="7">
        <v>40991.638182870374</v>
      </c>
      <c r="M3198" s="12" t="s">
        <v>7817</v>
      </c>
      <c r="N3198" s="12" t="s">
        <v>7818</v>
      </c>
      <c r="O3198" s="10" t="str">
        <f t="shared" si="315"/>
        <v>View</v>
      </c>
      <c r="P3198" s="11"/>
    </row>
    <row r="3199" spans="1:16" ht="12.75" x14ac:dyDescent="0.35">
      <c r="A3199" s="7">
        <v>42482.650057870371</v>
      </c>
      <c r="B3199" s="8" t="str">
        <f>HYPERLINK("https://twitter.com/Hallaschka_HH","@Hallaschka_HH")</f>
        <v>@Hallaschka_HH</v>
      </c>
      <c r="C3199" s="9" t="s">
        <v>7819</v>
      </c>
      <c r="D3199" s="9" t="s">
        <v>7820</v>
      </c>
      <c r="E3199" s="10" t="str">
        <f>HYPERLINK("https://twitter.com/Hallaschka_HH/status/723452810411409408","723452810411409408")</f>
        <v>723452810411409408</v>
      </c>
      <c r="F3199" s="11" t="s">
        <v>20</v>
      </c>
      <c r="G3199" s="11">
        <v>584</v>
      </c>
      <c r="H3199" s="11">
        <v>1013</v>
      </c>
      <c r="I3199" s="11">
        <v>1</v>
      </c>
      <c r="J3199" s="11">
        <v>0</v>
      </c>
      <c r="K3199" s="11" t="s">
        <v>21</v>
      </c>
      <c r="L3199" s="7">
        <v>42061.753564814819</v>
      </c>
      <c r="M3199" s="12" t="s">
        <v>7821</v>
      </c>
      <c r="N3199" s="12" t="s">
        <v>7822</v>
      </c>
      <c r="O3199" s="10" t="str">
        <f>HYPERLINK("https://pbs.twimg.com/profile_images/668824909116809220/Wb-7Gely_normal.jpg","View")</f>
        <v>View</v>
      </c>
      <c r="P3199" s="11"/>
    </row>
    <row r="3200" spans="1:16" ht="12.75" x14ac:dyDescent="0.35">
      <c r="A3200" s="7">
        <v>42482.650567129633</v>
      </c>
      <c r="B3200" s="8" t="str">
        <f>HYPERLINK("https://twitter.com/EricTheCarGuy","@EricTheCarGuy")</f>
        <v>@EricTheCarGuy</v>
      </c>
      <c r="C3200" s="9" t="s">
        <v>7823</v>
      </c>
      <c r="D3200" s="9" t="s">
        <v>7824</v>
      </c>
      <c r="E3200" s="10" t="str">
        <f>HYPERLINK("https://twitter.com/EricTheCarGuy/status/723452993174155264","723452993174155264")</f>
        <v>723452993174155264</v>
      </c>
      <c r="F3200" s="11" t="s">
        <v>43</v>
      </c>
      <c r="G3200" s="11">
        <v>8913</v>
      </c>
      <c r="H3200" s="11">
        <v>625</v>
      </c>
      <c r="I3200" s="11">
        <v>1</v>
      </c>
      <c r="J3200" s="11">
        <v>0</v>
      </c>
      <c r="K3200" s="11" t="s">
        <v>21</v>
      </c>
      <c r="L3200" s="7">
        <v>40219.842013888891</v>
      </c>
      <c r="M3200" s="12" t="s">
        <v>7825</v>
      </c>
      <c r="N3200" s="12" t="s">
        <v>7826</v>
      </c>
      <c r="O3200" s="10" t="str">
        <f>HYPERLINK("https://pbs.twimg.com/profile_images/687368109/WrenchEYE3Avitar_normal.jpg","View")</f>
        <v>View</v>
      </c>
      <c r="P3200" s="11"/>
    </row>
    <row r="3201" spans="1:16" ht="12.75" x14ac:dyDescent="0.35">
      <c r="A3201" s="7">
        <v>42482.650972222225</v>
      </c>
      <c r="B3201" s="8" t="str">
        <f>HYPERLINK("https://twitter.com/TIMECODEX","@TIMECODEX")</f>
        <v>@TIMECODEX</v>
      </c>
      <c r="C3201" s="9" t="s">
        <v>7827</v>
      </c>
      <c r="D3201" s="9" t="s">
        <v>7794</v>
      </c>
      <c r="E3201" s="10" t="str">
        <f>HYPERLINK("https://twitter.com/TIMECODEX/status/723453139098042368","723453139098042368")</f>
        <v>723453139098042368</v>
      </c>
      <c r="F3201" s="11" t="s">
        <v>48</v>
      </c>
      <c r="G3201" s="11">
        <v>1344</v>
      </c>
      <c r="H3201" s="11">
        <v>2157</v>
      </c>
      <c r="I3201" s="11">
        <v>4</v>
      </c>
      <c r="J3201" s="11">
        <v>0</v>
      </c>
      <c r="K3201" s="11" t="s">
        <v>21</v>
      </c>
      <c r="L3201" s="7">
        <v>41154.080057870371</v>
      </c>
      <c r="M3201" s="12"/>
      <c r="N3201" s="12" t="s">
        <v>7828</v>
      </c>
      <c r="O3201" s="10" t="str">
        <f>HYPERLINK("https://pbs.twimg.com/profile_images/526830842329321472/6rRX2J0E_normal.jpeg","View")</f>
        <v>View</v>
      </c>
      <c r="P3201" s="11"/>
    </row>
    <row r="3202" spans="1:16" ht="12.75" x14ac:dyDescent="0.35">
      <c r="A3202" s="7">
        <v>42482.651886574073</v>
      </c>
      <c r="B3202" s="8" t="str">
        <f>HYPERLINK("https://twitter.com/JulieTestAchats","@JulieTestAchats")</f>
        <v>@JulieTestAchats</v>
      </c>
      <c r="C3202" s="9" t="s">
        <v>1501</v>
      </c>
      <c r="D3202" s="9" t="s">
        <v>7829</v>
      </c>
      <c r="E3202" s="10" t="str">
        <f>HYPERLINK("https://twitter.com/JulieTestAchats/status/723453470380957696","723453470380957696")</f>
        <v>723453470380957696</v>
      </c>
      <c r="F3202" s="11" t="s">
        <v>43</v>
      </c>
      <c r="G3202" s="11">
        <v>1433</v>
      </c>
      <c r="H3202" s="11">
        <v>844</v>
      </c>
      <c r="I3202" s="11">
        <v>1</v>
      </c>
      <c r="J3202" s="11">
        <v>0</v>
      </c>
      <c r="K3202" s="11" t="s">
        <v>21</v>
      </c>
      <c r="L3202" s="7">
        <v>41677.662731481483</v>
      </c>
      <c r="M3202" s="12" t="s">
        <v>980</v>
      </c>
      <c r="N3202" s="12" t="s">
        <v>1502</v>
      </c>
      <c r="O3202" s="10" t="str">
        <f>HYPERLINK("https://pbs.twimg.com/profile_images/674233130828468224/KRUDL_tK_normal.jpg","View")</f>
        <v>View</v>
      </c>
      <c r="P3202" s="11"/>
    </row>
    <row r="3203" spans="1:16" ht="12.75" x14ac:dyDescent="0.35">
      <c r="A3203" s="7">
        <v>42482.652199074073</v>
      </c>
      <c r="B3203" s="8" t="str">
        <f>HYPERLINK("https://twitter.com/Drey_VH","@Drey_VH")</f>
        <v>@Drey_VH</v>
      </c>
      <c r="C3203" s="9" t="s">
        <v>1511</v>
      </c>
      <c r="D3203" s="9" t="s">
        <v>7830</v>
      </c>
      <c r="E3203" s="10" t="str">
        <f>HYPERLINK("https://twitter.com/Drey_VH/status/723453585397321728","723453585397321728")</f>
        <v>723453585397321728</v>
      </c>
      <c r="F3203" s="11" t="s">
        <v>43</v>
      </c>
      <c r="G3203" s="11">
        <v>38</v>
      </c>
      <c r="H3203" s="11">
        <v>85</v>
      </c>
      <c r="I3203" s="11">
        <v>1</v>
      </c>
      <c r="J3203" s="11">
        <v>0</v>
      </c>
      <c r="K3203" s="11" t="s">
        <v>21</v>
      </c>
      <c r="L3203" s="7">
        <v>41219.120567129634</v>
      </c>
      <c r="M3203" s="12"/>
      <c r="N3203" s="12" t="s">
        <v>1512</v>
      </c>
      <c r="O3203" s="10" t="str">
        <f>HYPERLINK("https://pbs.twimg.com/profile_images/688412401667035136/gvoxnxoc_normal.jpg","View")</f>
        <v>View</v>
      </c>
      <c r="P3203" s="11"/>
    </row>
    <row r="3204" spans="1:16" ht="12.75" x14ac:dyDescent="0.35">
      <c r="A3204" s="7">
        <v>42482.652442129634</v>
      </c>
      <c r="B3204" s="8" t="str">
        <f>HYPERLINK("https://twitter.com/CincoDiascom","@CincoDiascom")</f>
        <v>@CincoDiascom</v>
      </c>
      <c r="C3204" s="9" t="s">
        <v>7831</v>
      </c>
      <c r="D3204" s="9" t="s">
        <v>7832</v>
      </c>
      <c r="E3204" s="10" t="str">
        <f>HYPERLINK("https://twitter.com/CincoDiascom/status/723453673649659904","723453673649659904")</f>
        <v>723453673649659904</v>
      </c>
      <c r="F3204" s="11" t="s">
        <v>63</v>
      </c>
      <c r="G3204" s="11">
        <v>307420</v>
      </c>
      <c r="H3204" s="11">
        <v>360</v>
      </c>
      <c r="I3204" s="11">
        <v>1</v>
      </c>
      <c r="J3204" s="11">
        <v>0</v>
      </c>
      <c r="K3204" s="11" t="s">
        <v>21</v>
      </c>
      <c r="L3204" s="7">
        <v>39932.909050925926</v>
      </c>
      <c r="M3204" s="12" t="s">
        <v>2403</v>
      </c>
      <c r="N3204" s="12" t="s">
        <v>7833</v>
      </c>
      <c r="O3204" s="10" t="str">
        <f>HYPERLINK("https://pbs.twimg.com/profile_images/378800000636198735/b92a40233a8a80eb212a4bdb248b30d6_normal.png","View")</f>
        <v>View</v>
      </c>
      <c r="P3204" s="11"/>
    </row>
    <row r="3205" spans="1:16" ht="12.75" x14ac:dyDescent="0.35">
      <c r="A3205" s="7">
        <v>42482.652499999997</v>
      </c>
      <c r="B3205" s="8" t="str">
        <f>HYPERLINK("https://twitter.com/norbertruecker","@norbertruecker")</f>
        <v>@norbertruecker</v>
      </c>
      <c r="C3205" s="9" t="s">
        <v>7834</v>
      </c>
      <c r="D3205" s="9" t="s">
        <v>7794</v>
      </c>
      <c r="E3205" s="10" t="str">
        <f>HYPERLINK("https://twitter.com/norbertruecker/status/723453694981734400","723453694981734400")</f>
        <v>723453694981734400</v>
      </c>
      <c r="F3205" s="11" t="s">
        <v>63</v>
      </c>
      <c r="G3205" s="11">
        <v>276</v>
      </c>
      <c r="H3205" s="11">
        <v>67</v>
      </c>
      <c r="I3205" s="11">
        <v>4</v>
      </c>
      <c r="J3205" s="11">
        <v>0</v>
      </c>
      <c r="K3205" s="11" t="s">
        <v>21</v>
      </c>
      <c r="L3205" s="7">
        <v>40444.470902777779</v>
      </c>
      <c r="M3205" s="12"/>
      <c r="N3205" s="12" t="s">
        <v>7835</v>
      </c>
      <c r="O3205" s="10" t="str">
        <f>HYPERLINK("https://pbs.twimg.com/profile_images/378800000234075876/b010cff1cb792e4f4bd8b4c6ea59098b_normal.jpeg","View")</f>
        <v>View</v>
      </c>
      <c r="P3205" s="11"/>
    </row>
    <row r="3206" spans="1:16" ht="12.75" x14ac:dyDescent="0.35">
      <c r="A3206" s="7">
        <v>42482.652557870373</v>
      </c>
      <c r="B3206" s="8" t="str">
        <f>HYPERLINK("https://twitter.com/JanKassies","@JanKassies")</f>
        <v>@JanKassies</v>
      </c>
      <c r="C3206" s="9" t="s">
        <v>7836</v>
      </c>
      <c r="D3206" s="9" t="s">
        <v>7837</v>
      </c>
      <c r="E3206" s="10" t="str">
        <f>HYPERLINK("https://twitter.com/JanKassies/status/723453715236175872","723453715236175872")</f>
        <v>723453715236175872</v>
      </c>
      <c r="F3206" s="11" t="s">
        <v>20</v>
      </c>
      <c r="G3206" s="11">
        <v>226</v>
      </c>
      <c r="H3206" s="11">
        <v>230</v>
      </c>
      <c r="I3206" s="11">
        <v>0</v>
      </c>
      <c r="J3206" s="11">
        <v>0</v>
      </c>
      <c r="K3206" s="11" t="s">
        <v>21</v>
      </c>
      <c r="L3206" s="7">
        <v>40598.051990740743</v>
      </c>
      <c r="M3206" s="12"/>
      <c r="N3206" s="12" t="s">
        <v>7838</v>
      </c>
      <c r="O3206" s="10" t="str">
        <f>HYPERLINK("https://pbs.twimg.com/profile_images/683738382304948224/-LF06h4p_normal.jpg","View")</f>
        <v>View</v>
      </c>
      <c r="P3206" s="11"/>
    </row>
    <row r="3207" spans="1:16" ht="12.75" x14ac:dyDescent="0.35">
      <c r="A3207" s="7">
        <v>42482.652650462958</v>
      </c>
      <c r="B3207" s="8" t="str">
        <f>HYPERLINK("https://twitter.com/vw8valve","@vw8valve")</f>
        <v>@vw8valve</v>
      </c>
      <c r="C3207" s="9" t="s">
        <v>7839</v>
      </c>
      <c r="D3207" s="9" t="s">
        <v>7426</v>
      </c>
      <c r="E3207" s="10" t="str">
        <f>HYPERLINK("https://twitter.com/vw8valve/status/723453747825758208","723453747825758208")</f>
        <v>723453747825758208</v>
      </c>
      <c r="F3207" s="11" t="s">
        <v>48</v>
      </c>
      <c r="G3207" s="11">
        <v>142</v>
      </c>
      <c r="H3207" s="11">
        <v>318</v>
      </c>
      <c r="I3207" s="11">
        <v>15</v>
      </c>
      <c r="J3207" s="11">
        <v>0</v>
      </c>
      <c r="K3207" s="11" t="s">
        <v>21</v>
      </c>
      <c r="L3207" s="7">
        <v>40315.142233796294</v>
      </c>
      <c r="M3207" s="12" t="s">
        <v>7840</v>
      </c>
      <c r="N3207" s="12"/>
      <c r="O3207" s="10" t="str">
        <f>HYPERLINK("https://pbs.twimg.com/profile_images/614981295773384708/sXMDZxDO_normal.jpg","View")</f>
        <v>View</v>
      </c>
      <c r="P3207" s="11"/>
    </row>
    <row r="3208" spans="1:16" ht="12.75" x14ac:dyDescent="0.35">
      <c r="A3208" s="7">
        <v>42482.652905092589</v>
      </c>
      <c r="B3208" s="8" t="str">
        <f>HYPERLINK("https://twitter.com/wdr5","@wdr5")</f>
        <v>@wdr5</v>
      </c>
      <c r="C3208" s="9" t="s">
        <v>7841</v>
      </c>
      <c r="D3208" s="9" t="s">
        <v>7842</v>
      </c>
      <c r="E3208" s="10" t="str">
        <f>HYPERLINK("https://twitter.com/wdr5/status/723453839676833792","723453839676833792")</f>
        <v>723453839676833792</v>
      </c>
      <c r="F3208" s="11" t="s">
        <v>63</v>
      </c>
      <c r="G3208" s="11">
        <v>5773</v>
      </c>
      <c r="H3208" s="11">
        <v>565</v>
      </c>
      <c r="I3208" s="11">
        <v>0</v>
      </c>
      <c r="J3208" s="11">
        <v>0</v>
      </c>
      <c r="K3208" s="11" t="s">
        <v>21</v>
      </c>
      <c r="L3208" s="7">
        <v>41537.573148148149</v>
      </c>
      <c r="M3208" s="12" t="s">
        <v>1874</v>
      </c>
      <c r="N3208" s="12" t="s">
        <v>7843</v>
      </c>
      <c r="O3208" s="10" t="str">
        <f>HYPERLINK("https://pbs.twimg.com/profile_images/616142735079292928/L2GZ2_qc_normal.jpg","View")</f>
        <v>View</v>
      </c>
      <c r="P3208" s="11"/>
    </row>
    <row r="3209" spans="1:16" ht="12.75" x14ac:dyDescent="0.35">
      <c r="A3209" s="7">
        <v>42482.652916666666</v>
      </c>
      <c r="B3209" s="8" t="str">
        <f>HYPERLINK("https://twitter.com/ruv24_de","@ruv24_de")</f>
        <v>@ruv24_de</v>
      </c>
      <c r="C3209" s="9" t="s">
        <v>7298</v>
      </c>
      <c r="D3209" s="9" t="s">
        <v>7844</v>
      </c>
      <c r="E3209" s="10" t="str">
        <f>HYPERLINK("https://twitter.com/ruv24_de/status/723453844206792705","723453844206792705")</f>
        <v>723453844206792705</v>
      </c>
      <c r="F3209" s="11" t="s">
        <v>152</v>
      </c>
      <c r="G3209" s="11">
        <v>3526</v>
      </c>
      <c r="H3209" s="11">
        <v>851</v>
      </c>
      <c r="I3209" s="11">
        <v>0</v>
      </c>
      <c r="J3209" s="11">
        <v>0</v>
      </c>
      <c r="K3209" s="11" t="s">
        <v>21</v>
      </c>
      <c r="L3209" s="7">
        <v>39983.833483796298</v>
      </c>
      <c r="M3209" s="12" t="s">
        <v>7300</v>
      </c>
      <c r="N3209" s="12" t="s">
        <v>7301</v>
      </c>
      <c r="O3209" s="10" t="str">
        <f>HYPERLINK("https://pbs.twimg.com/profile_images/461143330147954688/HZO45eNS_normal.jpeg","View")</f>
        <v>View</v>
      </c>
      <c r="P3209" s="11"/>
    </row>
    <row r="3210" spans="1:16" ht="12.75" x14ac:dyDescent="0.35">
      <c r="A3210" s="7">
        <v>42482.653009259258</v>
      </c>
      <c r="B3210" s="8" t="str">
        <f>HYPERLINK("https://twitter.com/LinDePaTo","@LinDePaTo")</f>
        <v>@LinDePaTo</v>
      </c>
      <c r="C3210" s="9" t="s">
        <v>7845</v>
      </c>
      <c r="D3210" s="9" t="s">
        <v>7426</v>
      </c>
      <c r="E3210" s="10" t="str">
        <f>HYPERLINK("https://twitter.com/LinDePaTo/status/723453876893044736","723453876893044736")</f>
        <v>723453876893044736</v>
      </c>
      <c r="F3210" s="11" t="s">
        <v>20</v>
      </c>
      <c r="G3210" s="11">
        <v>49</v>
      </c>
      <c r="H3210" s="11">
        <v>238</v>
      </c>
      <c r="I3210" s="11">
        <v>15</v>
      </c>
      <c r="J3210" s="11">
        <v>0</v>
      </c>
      <c r="K3210" s="11" t="s">
        <v>21</v>
      </c>
      <c r="L3210" s="7">
        <v>40283.106574074074</v>
      </c>
      <c r="M3210" s="12" t="s">
        <v>6516</v>
      </c>
      <c r="N3210" s="12" t="s">
        <v>7846</v>
      </c>
      <c r="O3210" s="10" t="str">
        <f>HYPERLINK("https://pbs.twimg.com/profile_images/672477508709785600/wUZ5ijze_normal.jpg","View")</f>
        <v>View</v>
      </c>
      <c r="P3210" s="11"/>
    </row>
    <row r="3211" spans="1:16" ht="12.75" x14ac:dyDescent="0.35">
      <c r="A3211" s="7">
        <v>42482.653657407413</v>
      </c>
      <c r="B3211" s="8" t="str">
        <f>HYPERLINK("https://twitter.com/raschnzz","@raschnzz")</f>
        <v>@raschnzz</v>
      </c>
      <c r="C3211" s="9" t="s">
        <v>7847</v>
      </c>
      <c r="D3211" s="9" t="s">
        <v>7848</v>
      </c>
      <c r="E3211" s="10" t="str">
        <f>HYPERLINK("https://twitter.com/raschnzz/status/723454112541609984","723454112541609984")</f>
        <v>723454112541609984</v>
      </c>
      <c r="F3211" s="11" t="s">
        <v>43</v>
      </c>
      <c r="G3211" s="11">
        <v>1312</v>
      </c>
      <c r="H3211" s="11">
        <v>185</v>
      </c>
      <c r="I3211" s="11">
        <v>0</v>
      </c>
      <c r="J3211" s="11">
        <v>0</v>
      </c>
      <c r="K3211" s="11" t="s">
        <v>21</v>
      </c>
      <c r="L3211" s="7">
        <v>40331.859143518523</v>
      </c>
      <c r="M3211" s="12" t="s">
        <v>6853</v>
      </c>
      <c r="N3211" s="12" t="s">
        <v>7849</v>
      </c>
      <c r="O3211" s="10" t="str">
        <f>HYPERLINK("https://pbs.twimg.com/profile_images/602942207088136192/fJKoWBlU_normal.jpg","View")</f>
        <v>View</v>
      </c>
      <c r="P3211" s="11"/>
    </row>
    <row r="3212" spans="1:16" ht="12.75" x14ac:dyDescent="0.35">
      <c r="A3212" s="7">
        <v>42482.653912037036</v>
      </c>
      <c r="B3212" s="8" t="str">
        <f>HYPERLINK("https://twitter.com/LiveStudyEnjoy","@LiveStudyEnjoy")</f>
        <v>@LiveStudyEnjoy</v>
      </c>
      <c r="C3212" s="9" t="s">
        <v>7850</v>
      </c>
      <c r="D3212" s="9" t="s">
        <v>7851</v>
      </c>
      <c r="E3212" s="10" t="str">
        <f>HYPERLINK("https://twitter.com/LiveStudyEnjoy/status/723454204652613632","723454204652613632")</f>
        <v>723454204652613632</v>
      </c>
      <c r="F3212" s="11" t="s">
        <v>20</v>
      </c>
      <c r="G3212" s="11">
        <v>206</v>
      </c>
      <c r="H3212" s="11">
        <v>1154</v>
      </c>
      <c r="I3212" s="11">
        <v>0</v>
      </c>
      <c r="J3212" s="11">
        <v>0</v>
      </c>
      <c r="K3212" s="11" t="s">
        <v>21</v>
      </c>
      <c r="L3212" s="7">
        <v>42394.723032407404</v>
      </c>
      <c r="M3212" s="12" t="s">
        <v>1144</v>
      </c>
      <c r="N3212" s="12" t="s">
        <v>7852</v>
      </c>
      <c r="O3212" s="10" t="str">
        <f>HYPERLINK("https://pbs.twimg.com/profile_images/691591397321891840/1KKAE0Rf_normal.jpg","View")</f>
        <v>View</v>
      </c>
      <c r="P3212" s="11"/>
    </row>
    <row r="3213" spans="1:16" ht="12.75" x14ac:dyDescent="0.35">
      <c r="A3213" s="7">
        <v>42482.654351851852</v>
      </c>
      <c r="B3213" s="8" t="str">
        <f>HYPERLINK("https://twitter.com/klaus_koester","@klaus_koester")</f>
        <v>@klaus_koester</v>
      </c>
      <c r="C3213" s="9" t="s">
        <v>7853</v>
      </c>
      <c r="D3213" s="9" t="s">
        <v>7854</v>
      </c>
      <c r="E3213" s="10" t="str">
        <f>HYPERLINK("https://twitter.com/klaus_koester/status/723454367131688960","723454367131688960")</f>
        <v>723454367131688960</v>
      </c>
      <c r="F3213" s="11" t="s">
        <v>20</v>
      </c>
      <c r="G3213" s="11">
        <v>39</v>
      </c>
      <c r="H3213" s="11">
        <v>117</v>
      </c>
      <c r="I3213" s="11">
        <v>1</v>
      </c>
      <c r="J3213" s="11">
        <v>0</v>
      </c>
      <c r="K3213" s="11" t="s">
        <v>21</v>
      </c>
      <c r="L3213" s="7">
        <v>42405.641828703709</v>
      </c>
      <c r="M3213" s="12" t="s">
        <v>1169</v>
      </c>
      <c r="N3213" s="12" t="s">
        <v>7855</v>
      </c>
      <c r="O3213" s="10" t="str">
        <f>HYPERLINK("https://pbs.twimg.com/profile_images/695547472677048320/Slt-fosz_normal.jpg","View")</f>
        <v>View</v>
      </c>
      <c r="P3213" s="11"/>
    </row>
    <row r="3214" spans="1:16" ht="12.75" x14ac:dyDescent="0.35">
      <c r="A3214" s="7">
        <v>42482.654432870375</v>
      </c>
      <c r="B3214" s="8" t="str">
        <f>HYPERLINK("https://twitter.com/muhanna00923593","@muhanna00923593")</f>
        <v>@muhanna00923593</v>
      </c>
      <c r="C3214" s="9" t="s">
        <v>7856</v>
      </c>
      <c r="D3214" s="9" t="s">
        <v>7857</v>
      </c>
      <c r="E3214" s="10" t="str">
        <f>HYPERLINK("https://twitter.com/muhanna00923593/status/723454395858313216","723454395858313216")</f>
        <v>723454395858313216</v>
      </c>
      <c r="F3214" s="11" t="s">
        <v>20</v>
      </c>
      <c r="G3214" s="11">
        <v>243</v>
      </c>
      <c r="H3214" s="11">
        <v>238</v>
      </c>
      <c r="I3214" s="11">
        <v>0</v>
      </c>
      <c r="J3214" s="11">
        <v>0</v>
      </c>
      <c r="K3214" s="11" t="s">
        <v>21</v>
      </c>
      <c r="L3214" s="7">
        <v>42000.282337962963</v>
      </c>
      <c r="M3214" s="12" t="s">
        <v>7858</v>
      </c>
      <c r="N3214" s="12" t="s">
        <v>7859</v>
      </c>
      <c r="O3214" s="10" t="str">
        <f>HYPERLINK("https://pbs.twimg.com/profile_images/720297524540620800/-O3K8tzt_normal.jpg","View")</f>
        <v>View</v>
      </c>
      <c r="P3214" s="11"/>
    </row>
    <row r="3215" spans="1:16" ht="12.75" x14ac:dyDescent="0.35">
      <c r="A3215" s="7">
        <v>42482.654548611114</v>
      </c>
      <c r="B3215" s="8" t="str">
        <f t="shared" ref="B3215:B3216" si="316">HYPERLINK("https://twitter.com/VWBeetleSales","@VWBeetleSales")</f>
        <v>@VWBeetleSales</v>
      </c>
      <c r="C3215" s="9" t="s">
        <v>127</v>
      </c>
      <c r="D3215" s="9" t="s">
        <v>7860</v>
      </c>
      <c r="E3215" s="10" t="str">
        <f>HYPERLINK("https://twitter.com/VWBeetleSales/status/723454437054767104","723454437054767104")</f>
        <v>723454437054767104</v>
      </c>
      <c r="F3215" s="10" t="s">
        <v>124</v>
      </c>
      <c r="G3215" s="11">
        <v>35</v>
      </c>
      <c r="H3215" s="11">
        <v>32</v>
      </c>
      <c r="I3215" s="11">
        <v>0</v>
      </c>
      <c r="J3215" s="11">
        <v>0</v>
      </c>
      <c r="K3215" s="11" t="s">
        <v>21</v>
      </c>
      <c r="L3215" s="7">
        <v>42427.019756944443</v>
      </c>
      <c r="M3215" s="12" t="s">
        <v>129</v>
      </c>
      <c r="N3215" s="12" t="s">
        <v>130</v>
      </c>
      <c r="O3215" s="10" t="str">
        <f t="shared" ref="O3215:O3216" si="317">HYPERLINK("https://pbs.twimg.com/profile_images/703294545195307008/qeCvrX86_normal.jpg","View")</f>
        <v>View</v>
      </c>
      <c r="P3215" s="11"/>
    </row>
    <row r="3216" spans="1:16" ht="12.75" x14ac:dyDescent="0.35">
      <c r="A3216" s="7">
        <v>42482.654560185183</v>
      </c>
      <c r="B3216" s="8" t="str">
        <f t="shared" si="316"/>
        <v>@VWBeetleSales</v>
      </c>
      <c r="C3216" s="9" t="s">
        <v>127</v>
      </c>
      <c r="D3216" s="9" t="s">
        <v>7861</v>
      </c>
      <c r="E3216" s="10" t="str">
        <f>HYPERLINK("https://twitter.com/VWBeetleSales/status/723454439537827840","723454439537827840")</f>
        <v>723454439537827840</v>
      </c>
      <c r="F3216" s="10" t="s">
        <v>124</v>
      </c>
      <c r="G3216" s="11">
        <v>35</v>
      </c>
      <c r="H3216" s="11">
        <v>32</v>
      </c>
      <c r="I3216" s="11">
        <v>0</v>
      </c>
      <c r="J3216" s="11">
        <v>0</v>
      </c>
      <c r="K3216" s="11" t="s">
        <v>21</v>
      </c>
      <c r="L3216" s="7">
        <v>42427.019756944443</v>
      </c>
      <c r="M3216" s="12" t="s">
        <v>129</v>
      </c>
      <c r="N3216" s="12" t="s">
        <v>130</v>
      </c>
      <c r="O3216" s="10" t="str">
        <f t="shared" si="317"/>
        <v>View</v>
      </c>
      <c r="P3216" s="11"/>
    </row>
    <row r="3217" spans="1:16" ht="12.75" x14ac:dyDescent="0.35">
      <c r="A3217" s="7">
        <v>42482.655046296291</v>
      </c>
      <c r="B3217" s="8" t="str">
        <f>HYPERLINK("https://twitter.com/instock_de","@instock_de")</f>
        <v>@instock_de</v>
      </c>
      <c r="C3217" s="8" t="s">
        <v>1723</v>
      </c>
      <c r="D3217" s="9" t="s">
        <v>7862</v>
      </c>
      <c r="E3217" s="10" t="str">
        <f>HYPERLINK("https://twitter.com/instock_de/status/723454618177556480","723454618177556480")</f>
        <v>723454618177556480</v>
      </c>
      <c r="F3217" s="11" t="s">
        <v>43</v>
      </c>
      <c r="G3217" s="11">
        <v>155</v>
      </c>
      <c r="H3217" s="11">
        <v>82</v>
      </c>
      <c r="I3217" s="11">
        <v>0</v>
      </c>
      <c r="J3217" s="11">
        <v>0</v>
      </c>
      <c r="K3217" s="11" t="s">
        <v>21</v>
      </c>
      <c r="L3217" s="7">
        <v>40441.683877314819</v>
      </c>
      <c r="M3217" s="12" t="s">
        <v>1725</v>
      </c>
      <c r="N3217" s="12" t="s">
        <v>1726</v>
      </c>
      <c r="O3217" s="10" t="str">
        <f>HYPERLINK("https://pbs.twimg.com/profile_images/1200648485/instock_normal.jpg","View")</f>
        <v>View</v>
      </c>
      <c r="P3217" s="11"/>
    </row>
    <row r="3218" spans="1:16" ht="12.75" x14ac:dyDescent="0.35">
      <c r="A3218" s="7">
        <v>42482.655335648145</v>
      </c>
      <c r="B3218" s="8" t="str">
        <f>HYPERLINK("https://twitter.com/MarkCSchneider","@MarkCSchneider")</f>
        <v>@MarkCSchneider</v>
      </c>
      <c r="C3218" s="9" t="s">
        <v>952</v>
      </c>
      <c r="D3218" s="9" t="s">
        <v>7863</v>
      </c>
      <c r="E3218" s="10" t="str">
        <f>HYPERLINK("https://twitter.com/MarkCSchneider/status/723454723160956928","723454723160956928")</f>
        <v>723454723160956928</v>
      </c>
      <c r="F3218" s="11" t="s">
        <v>20</v>
      </c>
      <c r="G3218" s="11">
        <v>370</v>
      </c>
      <c r="H3218" s="11">
        <v>335</v>
      </c>
      <c r="I3218" s="11">
        <v>1</v>
      </c>
      <c r="J3218" s="11">
        <v>0</v>
      </c>
      <c r="K3218" s="11" t="s">
        <v>21</v>
      </c>
      <c r="L3218" s="7">
        <v>41495.558136574073</v>
      </c>
      <c r="M3218" s="12" t="s">
        <v>953</v>
      </c>
      <c r="N3218" s="12"/>
      <c r="O3218" s="10" t="str">
        <f>HYPERLINK("https://pbs.twimg.com/profile_images/706784695795769345/XGXgdjww_normal.jpg","View")</f>
        <v>View</v>
      </c>
      <c r="P3218" s="11"/>
    </row>
    <row r="3219" spans="1:16" ht="12.75" x14ac:dyDescent="0.35">
      <c r="A3219" s="7">
        <v>42482.655451388884</v>
      </c>
      <c r="B3219" s="8" t="str">
        <f>HYPERLINK("https://twitter.com/LinDePaTo","@LinDePaTo")</f>
        <v>@LinDePaTo</v>
      </c>
      <c r="C3219" s="9" t="s">
        <v>7845</v>
      </c>
      <c r="D3219" s="9" t="s">
        <v>7646</v>
      </c>
      <c r="E3219" s="10" t="str">
        <f>HYPERLINK("https://twitter.com/LinDePaTo/status/723454765791870976","723454765791870976")</f>
        <v>723454765791870976</v>
      </c>
      <c r="F3219" s="11" t="s">
        <v>20</v>
      </c>
      <c r="G3219" s="11">
        <v>49</v>
      </c>
      <c r="H3219" s="11">
        <v>238</v>
      </c>
      <c r="I3219" s="11">
        <v>8</v>
      </c>
      <c r="J3219" s="11">
        <v>0</v>
      </c>
      <c r="K3219" s="11" t="s">
        <v>21</v>
      </c>
      <c r="L3219" s="7">
        <v>40283.106574074074</v>
      </c>
      <c r="M3219" s="12" t="s">
        <v>6516</v>
      </c>
      <c r="N3219" s="12" t="s">
        <v>7846</v>
      </c>
      <c r="O3219" s="10" t="str">
        <f>HYPERLINK("https://pbs.twimg.com/profile_images/672477508709785600/wUZ5ijze_normal.jpg","View")</f>
        <v>View</v>
      </c>
      <c r="P3219" s="11"/>
    </row>
    <row r="3220" spans="1:16" ht="12.75" x14ac:dyDescent="0.35">
      <c r="A3220" s="7">
        <v>42482.655914351853</v>
      </c>
      <c r="B3220" s="8" t="str">
        <f>HYPERLINK("https://twitter.com/DayanLuce","@DayanLuce")</f>
        <v>@DayanLuce</v>
      </c>
      <c r="C3220" s="9" t="s">
        <v>7864</v>
      </c>
      <c r="D3220" s="9" t="s">
        <v>7426</v>
      </c>
      <c r="E3220" s="10" t="str">
        <f>HYPERLINK("https://twitter.com/DayanLuce/status/723454932322390016","723454932322390016")</f>
        <v>723454932322390016</v>
      </c>
      <c r="F3220" s="11" t="s">
        <v>48</v>
      </c>
      <c r="G3220" s="11">
        <v>1440</v>
      </c>
      <c r="H3220" s="11">
        <v>3118</v>
      </c>
      <c r="I3220" s="11">
        <v>15</v>
      </c>
      <c r="J3220" s="11">
        <v>0</v>
      </c>
      <c r="K3220" s="11" t="s">
        <v>21</v>
      </c>
      <c r="L3220" s="7">
        <v>42155.180578703701</v>
      </c>
      <c r="M3220" s="12"/>
      <c r="N3220" s="12" t="s">
        <v>7865</v>
      </c>
      <c r="O3220" s="10" t="str">
        <f>HYPERLINK("https://pbs.twimg.com/profile_images/690294370784808960/v_JX4JJS_normal.jpg","View")</f>
        <v>View</v>
      </c>
      <c r="P3220" s="11"/>
    </row>
    <row r="3221" spans="1:16" ht="12.75" x14ac:dyDescent="0.35">
      <c r="A3221" s="7">
        <v>42482.657418981486</v>
      </c>
      <c r="B3221" s="8" t="str">
        <f>HYPERLINK("https://twitter.com/MotorphiliacsTv","@MotorphiliacsTv")</f>
        <v>@MotorphiliacsTv</v>
      </c>
      <c r="C3221" s="9" t="s">
        <v>6101</v>
      </c>
      <c r="D3221" s="9" t="s">
        <v>7646</v>
      </c>
      <c r="E3221" s="10" t="str">
        <f>HYPERLINK("https://twitter.com/MotorphiliacsTv/status/723455474864001024","723455474864001024")</f>
        <v>723455474864001024</v>
      </c>
      <c r="F3221" s="11" t="s">
        <v>20</v>
      </c>
      <c r="G3221" s="11">
        <v>334</v>
      </c>
      <c r="H3221" s="11">
        <v>680</v>
      </c>
      <c r="I3221" s="11">
        <v>10</v>
      </c>
      <c r="J3221" s="11">
        <v>0</v>
      </c>
      <c r="K3221" s="11" t="s">
        <v>21</v>
      </c>
      <c r="L3221" s="7">
        <v>42421.034282407403</v>
      </c>
      <c r="M3221" s="12" t="s">
        <v>6103</v>
      </c>
      <c r="N3221" s="12" t="s">
        <v>6104</v>
      </c>
      <c r="O3221" s="10" t="str">
        <f>HYPERLINK("https://pbs.twimg.com/profile_images/701133680937291776/4TSsJk3y_normal.jpg","View")</f>
        <v>View</v>
      </c>
      <c r="P3221" s="11"/>
    </row>
    <row r="3222" spans="1:16" ht="12.75" x14ac:dyDescent="0.35">
      <c r="A3222" s="7">
        <v>42482.658437499995</v>
      </c>
      <c r="B3222" s="8" t="str">
        <f>HYPERLINK("https://twitter.com/dw_turkce","@dw_turkce")</f>
        <v>@dw_turkce</v>
      </c>
      <c r="C3222" s="9" t="s">
        <v>7866</v>
      </c>
      <c r="D3222" s="9" t="s">
        <v>7867</v>
      </c>
      <c r="E3222" s="10" t="str">
        <f>HYPERLINK("https://twitter.com/dw_turkce/status/723455846525624320","723455846525624320")</f>
        <v>723455846525624320</v>
      </c>
      <c r="F3222" s="11" t="s">
        <v>43</v>
      </c>
      <c r="G3222" s="11">
        <v>25033</v>
      </c>
      <c r="H3222" s="11">
        <v>8</v>
      </c>
      <c r="I3222" s="11">
        <v>0</v>
      </c>
      <c r="J3222" s="11">
        <v>0</v>
      </c>
      <c r="K3222" s="11" t="s">
        <v>21</v>
      </c>
      <c r="L3222" s="7">
        <v>40023.112800925926</v>
      </c>
      <c r="M3222" s="12" t="s">
        <v>1116</v>
      </c>
      <c r="N3222" s="12" t="s">
        <v>7868</v>
      </c>
      <c r="O3222" s="10" t="str">
        <f>HYPERLINK("https://pbs.twimg.com/profile_images/461426238695821313/4ece1u66_normal.png","View")</f>
        <v>View</v>
      </c>
      <c r="P3222" s="11"/>
    </row>
    <row r="3223" spans="1:16" ht="12.75" x14ac:dyDescent="0.35">
      <c r="A3223" s="7">
        <v>42482.658518518518</v>
      </c>
      <c r="B3223" s="8" t="str">
        <f>HYPERLINK("https://twitter.com/Scirocco_Tuning","@Scirocco_Tuning")</f>
        <v>@Scirocco_Tuning</v>
      </c>
      <c r="C3223" s="9" t="s">
        <v>51</v>
      </c>
      <c r="D3223" s="9" t="s">
        <v>7869</v>
      </c>
      <c r="E3223" s="10" t="str">
        <f>HYPERLINK("https://twitter.com/Scirocco_Tuning/status/723455876162564096","723455876162564096")</f>
        <v>723455876162564096</v>
      </c>
      <c r="F3223" s="11" t="s">
        <v>53</v>
      </c>
      <c r="G3223" s="11">
        <v>69</v>
      </c>
      <c r="H3223" s="11">
        <v>215</v>
      </c>
      <c r="I3223" s="11">
        <v>0</v>
      </c>
      <c r="J3223" s="11">
        <v>0</v>
      </c>
      <c r="K3223" s="11" t="s">
        <v>21</v>
      </c>
      <c r="L3223" s="7">
        <v>40844.564722222218</v>
      </c>
      <c r="M3223" s="12"/>
      <c r="N3223" s="12"/>
      <c r="O3223" s="10" t="str">
        <f>HYPERLINK("https://pbs.twimg.com/profile_images/1610421423/Image2_normal.jpg","View")</f>
        <v>View</v>
      </c>
      <c r="P3223" s="11"/>
    </row>
    <row r="3224" spans="1:16" ht="12.75" x14ac:dyDescent="0.35">
      <c r="A3224" s="7">
        <v>42482.658680555556</v>
      </c>
      <c r="B3224" s="8" t="str">
        <f>HYPERLINK("https://twitter.com/wolf_Sti","@wolf_Sti")</f>
        <v>@wolf_Sti</v>
      </c>
      <c r="C3224" s="9" t="s">
        <v>6864</v>
      </c>
      <c r="D3224" s="9" t="s">
        <v>7870</v>
      </c>
      <c r="E3224" s="10" t="str">
        <f>HYPERLINK("https://twitter.com/wolf_Sti/status/723455935616847872","723455935616847872")</f>
        <v>723455935616847872</v>
      </c>
      <c r="F3224" s="11" t="s">
        <v>20</v>
      </c>
      <c r="G3224" s="11">
        <v>1856</v>
      </c>
      <c r="H3224" s="11">
        <v>2005</v>
      </c>
      <c r="I3224" s="11">
        <v>2</v>
      </c>
      <c r="J3224" s="11">
        <v>0</v>
      </c>
      <c r="K3224" s="11" t="s">
        <v>21</v>
      </c>
      <c r="L3224" s="7">
        <v>39886.08630787037</v>
      </c>
      <c r="M3224" s="12" t="s">
        <v>6866</v>
      </c>
      <c r="N3224" s="12" t="s">
        <v>6867</v>
      </c>
      <c r="O3224" s="10" t="str">
        <f>HYPERLINK("https://pbs.twimg.com/profile_images/476965678428467200/kpN-jvkF_normal.jpeg","View")</f>
        <v>View</v>
      </c>
      <c r="P3224" s="11"/>
    </row>
    <row r="3225" spans="1:16" ht="12.75" x14ac:dyDescent="0.35">
      <c r="A3225" s="7">
        <v>42482.658912037034</v>
      </c>
      <c r="B3225" s="8" t="str">
        <f>HYPERLINK("https://twitter.com/vwfestival","@vwfestival")</f>
        <v>@vwfestival</v>
      </c>
      <c r="C3225" s="9" t="s">
        <v>7871</v>
      </c>
      <c r="D3225" s="9" t="s">
        <v>7400</v>
      </c>
      <c r="E3225" s="10" t="str">
        <f>HYPERLINK("https://twitter.com/vwfestival/status/723456018974429184","723456018974429184")</f>
        <v>723456018974429184</v>
      </c>
      <c r="F3225" s="11" t="s">
        <v>20</v>
      </c>
      <c r="G3225" s="11">
        <v>6642</v>
      </c>
      <c r="H3225" s="11">
        <v>429</v>
      </c>
      <c r="I3225" s="11">
        <v>3</v>
      </c>
      <c r="J3225" s="11">
        <v>0</v>
      </c>
      <c r="K3225" s="11" t="s">
        <v>21</v>
      </c>
      <c r="L3225" s="7">
        <v>39879.05746527778</v>
      </c>
      <c r="M3225" s="12" t="s">
        <v>7872</v>
      </c>
      <c r="N3225" s="12" t="s">
        <v>7873</v>
      </c>
      <c r="O3225" s="10" t="str">
        <f>HYPERLINK("https://pbs.twimg.com/profile_images/664502890170613761/q2QMKfkm_normal.jpg","View")</f>
        <v>View</v>
      </c>
      <c r="P3225" s="11"/>
    </row>
    <row r="3226" spans="1:16" ht="12.75" x14ac:dyDescent="0.35">
      <c r="A3226" s="7">
        <v>42482.659097222218</v>
      </c>
      <c r="B3226" s="8" t="str">
        <f>HYPERLINK("https://twitter.com/VWCamperSales","@VWCamperSales")</f>
        <v>@VWCamperSales</v>
      </c>
      <c r="C3226" s="9" t="s">
        <v>216</v>
      </c>
      <c r="D3226" s="9" t="s">
        <v>7874</v>
      </c>
      <c r="E3226" s="10" t="str">
        <f>HYPERLINK("https://twitter.com/VWCamperSales/status/723456084988448769","723456084988448769")</f>
        <v>723456084988448769</v>
      </c>
      <c r="F3226" s="10" t="s">
        <v>124</v>
      </c>
      <c r="G3226" s="11">
        <v>615</v>
      </c>
      <c r="H3226" s="11">
        <v>580</v>
      </c>
      <c r="I3226" s="11">
        <v>0</v>
      </c>
      <c r="J3226" s="11">
        <v>0</v>
      </c>
      <c r="K3226" s="11" t="s">
        <v>21</v>
      </c>
      <c r="L3226" s="7">
        <v>42215.98809027778</v>
      </c>
      <c r="M3226" s="12" t="s">
        <v>129</v>
      </c>
      <c r="N3226" s="12" t="s">
        <v>218</v>
      </c>
      <c r="O3226" s="10" t="str">
        <f>HYPERLINK("https://pbs.twimg.com/profile_images/627949001179037696/skEBkS05_normal.jpg","View")</f>
        <v>View</v>
      </c>
      <c r="P3226" s="11"/>
    </row>
    <row r="3227" spans="1:16" ht="12.75" x14ac:dyDescent="0.35">
      <c r="A3227" s="7">
        <v>42482.659629629634</v>
      </c>
      <c r="B3227" s="8" t="str">
        <f>HYPERLINK("https://twitter.com/theto3k","@theto3k")</f>
        <v>@theto3k</v>
      </c>
      <c r="C3227" s="9" t="s">
        <v>7875</v>
      </c>
      <c r="D3227" s="9" t="s">
        <v>7876</v>
      </c>
      <c r="E3227" s="10" t="str">
        <f>HYPERLINK("https://twitter.com/theto3k/status/723456277662318592","723456277662318592")</f>
        <v>723456277662318592</v>
      </c>
      <c r="F3227" s="11" t="s">
        <v>63</v>
      </c>
      <c r="G3227" s="11">
        <v>491</v>
      </c>
      <c r="H3227" s="11">
        <v>167</v>
      </c>
      <c r="I3227" s="11">
        <v>0</v>
      </c>
      <c r="J3227" s="11">
        <v>0</v>
      </c>
      <c r="K3227" s="11" t="s">
        <v>21</v>
      </c>
      <c r="L3227" s="7">
        <v>40890.077175925922</v>
      </c>
      <c r="M3227" s="12" t="s">
        <v>7877</v>
      </c>
      <c r="N3227" s="12" t="s">
        <v>7878</v>
      </c>
      <c r="O3227" s="10" t="str">
        <f>HYPERLINK("https://pbs.twimg.com/profile_images/636436857983758336/vRwcQ43Z_normal.jpg","View")</f>
        <v>View</v>
      </c>
      <c r="P3227" s="11"/>
    </row>
    <row r="3228" spans="1:16" ht="12.75" x14ac:dyDescent="0.35">
      <c r="A3228" s="7">
        <v>42482.660208333335</v>
      </c>
      <c r="B3228" s="8" t="str">
        <f>HYPERLINK("https://twitter.com/becky1363","@becky1363")</f>
        <v>@becky1363</v>
      </c>
      <c r="C3228" s="9" t="s">
        <v>7879</v>
      </c>
      <c r="D3228" s="9" t="s">
        <v>7400</v>
      </c>
      <c r="E3228" s="10" t="str">
        <f>HYPERLINK("https://twitter.com/becky1363/status/723456488375771136","723456488375771136")</f>
        <v>723456488375771136</v>
      </c>
      <c r="F3228" s="11" t="s">
        <v>20</v>
      </c>
      <c r="G3228" s="11">
        <v>2297</v>
      </c>
      <c r="H3228" s="11">
        <v>2548</v>
      </c>
      <c r="I3228" s="11">
        <v>3</v>
      </c>
      <c r="J3228" s="11">
        <v>0</v>
      </c>
      <c r="K3228" s="11" t="s">
        <v>21</v>
      </c>
      <c r="L3228" s="7">
        <v>40659.956145833334</v>
      </c>
      <c r="M3228" s="12" t="s">
        <v>7880</v>
      </c>
      <c r="N3228" s="12" t="s">
        <v>7881</v>
      </c>
      <c r="O3228" s="10" t="str">
        <f>HYPERLINK("https://pbs.twimg.com/profile_images/720645057452355584/gMtuN1tX_normal.jpg","View")</f>
        <v>View</v>
      </c>
      <c r="P3228" s="11"/>
    </row>
    <row r="3229" spans="1:16" ht="12.75" x14ac:dyDescent="0.35">
      <c r="A3229" s="7">
        <v>42482.660833333328</v>
      </c>
      <c r="B3229" s="8" t="str">
        <f>HYPERLINK("https://twitter.com/SophiaOtto","@SophiaOtto")</f>
        <v>@SophiaOtto</v>
      </c>
      <c r="C3229" s="9" t="s">
        <v>7882</v>
      </c>
      <c r="D3229" s="9" t="s">
        <v>7883</v>
      </c>
      <c r="E3229" s="10" t="str">
        <f>HYPERLINK("https://twitter.com/SophiaOtto/status/723456713349836800","723456713349836800")</f>
        <v>723456713349836800</v>
      </c>
      <c r="F3229" s="11" t="s">
        <v>48</v>
      </c>
      <c r="G3229" s="11">
        <v>207</v>
      </c>
      <c r="H3229" s="11">
        <v>532</v>
      </c>
      <c r="I3229" s="11">
        <v>0</v>
      </c>
      <c r="J3229" s="11">
        <v>0</v>
      </c>
      <c r="K3229" s="11" t="s">
        <v>21</v>
      </c>
      <c r="L3229" s="7">
        <v>41123.919525462959</v>
      </c>
      <c r="M3229" s="12"/>
      <c r="N3229" s="12" t="s">
        <v>7884</v>
      </c>
      <c r="O3229" s="10" t="str">
        <f>HYPERLINK("https://pbs.twimg.com/profile_images/2524763067/4lpj759sc02zh4xqmm55_normal.jpeg","View")</f>
        <v>View</v>
      </c>
      <c r="P3229" s="11"/>
    </row>
    <row r="3230" spans="1:16" ht="12.75" x14ac:dyDescent="0.35">
      <c r="A3230" s="7">
        <v>42482.661099537036</v>
      </c>
      <c r="B3230" s="8" t="str">
        <f>HYPERLINK("https://twitter.com/Ferrari_Jadore","@Ferrari_Jadore")</f>
        <v>@Ferrari_Jadore</v>
      </c>
      <c r="C3230" s="9" t="s">
        <v>7885</v>
      </c>
      <c r="D3230" s="9" t="s">
        <v>7886</v>
      </c>
      <c r="E3230" s="10" t="str">
        <f>HYPERLINK("https://twitter.com/Ferrari_Jadore/status/723456808627625984","723456808627625984")</f>
        <v>723456808627625984</v>
      </c>
      <c r="F3230" s="11" t="s">
        <v>68</v>
      </c>
      <c r="G3230" s="11">
        <v>42</v>
      </c>
      <c r="H3230" s="11">
        <v>0</v>
      </c>
      <c r="I3230" s="11">
        <v>0</v>
      </c>
      <c r="J3230" s="11">
        <v>0</v>
      </c>
      <c r="K3230" s="11" t="s">
        <v>21</v>
      </c>
      <c r="L3230" s="7">
        <v>42471.65525462963</v>
      </c>
      <c r="M3230" s="12"/>
      <c r="N3230" s="12"/>
      <c r="O3230" s="10" t="str">
        <f>HYPERLINK("https://pbs.twimg.com/profile_images/719469365452808192/1OFS9oRH_normal.jpg","View")</f>
        <v>View</v>
      </c>
      <c r="P3230" s="11"/>
    </row>
    <row r="3231" spans="1:16" ht="12.75" x14ac:dyDescent="0.35">
      <c r="A3231" s="7">
        <v>42482.661574074074</v>
      </c>
      <c r="B3231" s="8" t="str">
        <f>HYPERLINK("https://twitter.com/CampervanGift","@CampervanGift")</f>
        <v>@CampervanGift</v>
      </c>
      <c r="C3231" s="9" t="s">
        <v>7887</v>
      </c>
      <c r="D3231" s="9" t="s">
        <v>7888</v>
      </c>
      <c r="E3231" s="10" t="str">
        <f>HYPERLINK("https://twitter.com/CampervanGift/status/723456982003388416","723456982003388416")</f>
        <v>723456982003388416</v>
      </c>
      <c r="F3231" s="11" t="s">
        <v>43</v>
      </c>
      <c r="G3231" s="11">
        <v>3282</v>
      </c>
      <c r="H3231" s="11">
        <v>2562</v>
      </c>
      <c r="I3231" s="11">
        <v>0</v>
      </c>
      <c r="J3231" s="11">
        <v>1</v>
      </c>
      <c r="K3231" s="11" t="s">
        <v>21</v>
      </c>
      <c r="L3231" s="7">
        <v>41180.842256944445</v>
      </c>
      <c r="M3231" s="12" t="s">
        <v>7889</v>
      </c>
      <c r="N3231" s="12" t="s">
        <v>7890</v>
      </c>
      <c r="O3231" s="10" t="str">
        <f>HYPERLINK("https://pbs.twimg.com/profile_images/684011521010221056/m0qyKLZH_normal.jpg","View")</f>
        <v>View</v>
      </c>
      <c r="P3231" s="11"/>
    </row>
    <row r="3232" spans="1:16" ht="12.75" x14ac:dyDescent="0.35">
      <c r="A3232" s="7">
        <v>42482.661724537036</v>
      </c>
      <c r="B3232" s="8" t="str">
        <f>HYPERLINK("https://twitter.com/TillSchriller","@TillSchriller")</f>
        <v>@TillSchriller</v>
      </c>
      <c r="C3232" s="9" t="s">
        <v>7891</v>
      </c>
      <c r="D3232" s="9" t="s">
        <v>7892</v>
      </c>
      <c r="E3232" s="10" t="str">
        <f>HYPERLINK("https://twitter.com/TillSchriller/status/723457039125622784","723457039125622784")</f>
        <v>723457039125622784</v>
      </c>
      <c r="F3232" s="11" t="s">
        <v>43</v>
      </c>
      <c r="G3232" s="11">
        <v>71</v>
      </c>
      <c r="H3232" s="11">
        <v>533</v>
      </c>
      <c r="I3232" s="11">
        <v>0</v>
      </c>
      <c r="J3232" s="11">
        <v>1</v>
      </c>
      <c r="K3232" s="11" t="s">
        <v>21</v>
      </c>
      <c r="L3232" s="7">
        <v>42293.698599537034</v>
      </c>
      <c r="M3232" s="12" t="s">
        <v>5057</v>
      </c>
      <c r="N3232" s="12" t="s">
        <v>7893</v>
      </c>
      <c r="O3232" s="10" t="str">
        <f>HYPERLINK("https://pbs.twimg.com/profile_images/684064663533973509/j38nNdrP_normal.jpg","View")</f>
        <v>View</v>
      </c>
      <c r="P3232" s="11"/>
    </row>
    <row r="3233" spans="1:16" ht="12.75" x14ac:dyDescent="0.35">
      <c r="A3233" s="7">
        <v>42482.661793981482</v>
      </c>
      <c r="B3233" s="8" t="str">
        <f>HYPERLINK("https://twitter.com/GermaniaOne","@GermaniaOne")</f>
        <v>@GermaniaOne</v>
      </c>
      <c r="C3233" s="9" t="s">
        <v>7894</v>
      </c>
      <c r="D3233" s="9" t="s">
        <v>7895</v>
      </c>
      <c r="E3233" s="10" t="str">
        <f>HYPERLINK("https://twitter.com/GermaniaOne/status/723457062588583937","723457062588583937")</f>
        <v>723457062588583937</v>
      </c>
      <c r="F3233" s="11" t="s">
        <v>7896</v>
      </c>
      <c r="G3233" s="11">
        <v>2</v>
      </c>
      <c r="H3233" s="11">
        <v>0</v>
      </c>
      <c r="I3233" s="11">
        <v>0</v>
      </c>
      <c r="J3233" s="11">
        <v>0</v>
      </c>
      <c r="K3233" s="11" t="s">
        <v>21</v>
      </c>
      <c r="L3233" s="7">
        <v>42387.873703703706</v>
      </c>
      <c r="M3233" s="12"/>
      <c r="N3233" s="12"/>
      <c r="O3233" s="10" t="str">
        <f>HYPERLINK("https://pbs.twimg.com/profile_images/689107326742192128/_uhCMtae_normal.png","View")</f>
        <v>View</v>
      </c>
      <c r="P3233" s="11"/>
    </row>
    <row r="3234" spans="1:16" ht="12.75" x14ac:dyDescent="0.35">
      <c r="A3234" s="7">
        <v>42482.66201388889</v>
      </c>
      <c r="B3234" s="8" t="str">
        <f>HYPERLINK("https://twitter.com/DCarrionF","@DCarrionF")</f>
        <v>@DCarrionF</v>
      </c>
      <c r="C3234" s="9" t="s">
        <v>7897</v>
      </c>
      <c r="D3234" s="9" t="s">
        <v>7832</v>
      </c>
      <c r="E3234" s="10" t="str">
        <f>HYPERLINK("https://twitter.com/DCarrionF/status/723457140531322880","723457140531322880")</f>
        <v>723457140531322880</v>
      </c>
      <c r="F3234" s="11" t="s">
        <v>20</v>
      </c>
      <c r="G3234" s="11">
        <v>150</v>
      </c>
      <c r="H3234" s="11">
        <v>179</v>
      </c>
      <c r="I3234" s="11">
        <v>2</v>
      </c>
      <c r="J3234" s="11">
        <v>0</v>
      </c>
      <c r="K3234" s="11" t="s">
        <v>21</v>
      </c>
      <c r="L3234" s="7">
        <v>40716.452523148146</v>
      </c>
      <c r="M3234" s="12" t="s">
        <v>7898</v>
      </c>
      <c r="N3234" s="12" t="s">
        <v>7899</v>
      </c>
      <c r="O3234" s="10" t="str">
        <f>HYPERLINK("https://pbs.twimg.com/profile_images/707148186822053888/adrr4gqg_normal.jpg","View")</f>
        <v>View</v>
      </c>
      <c r="P3234" s="11"/>
    </row>
    <row r="3235" spans="1:16" ht="12.75" x14ac:dyDescent="0.35">
      <c r="A3235" s="7">
        <v>42482.66238425926</v>
      </c>
      <c r="B3235" s="8" t="str">
        <f>HYPERLINK("https://twitter.com/doern","@doern")</f>
        <v>@doern</v>
      </c>
      <c r="C3235" s="9" t="s">
        <v>3107</v>
      </c>
      <c r="D3235" s="9" t="s">
        <v>7900</v>
      </c>
      <c r="E3235" s="10" t="str">
        <f>HYPERLINK("https://twitter.com/doern/status/723457275692748801","723457275692748801")</f>
        <v>723457275692748801</v>
      </c>
      <c r="F3235" s="11" t="s">
        <v>20</v>
      </c>
      <c r="G3235" s="11">
        <v>352</v>
      </c>
      <c r="H3235" s="11">
        <v>63</v>
      </c>
      <c r="I3235" s="11">
        <v>2</v>
      </c>
      <c r="J3235" s="11">
        <v>2</v>
      </c>
      <c r="K3235" s="11" t="s">
        <v>21</v>
      </c>
      <c r="L3235" s="7">
        <v>39909.663194444445</v>
      </c>
      <c r="M3235" s="12" t="s">
        <v>262</v>
      </c>
      <c r="N3235" s="12" t="s">
        <v>3109</v>
      </c>
      <c r="O3235" s="10" t="str">
        <f>HYPERLINK("https://pbs.twimg.com/profile_images/657853466384191488/J6vAnfZr_normal.jpg","View")</f>
        <v>View</v>
      </c>
      <c r="P3235" s="11"/>
    </row>
    <row r="3236" spans="1:16" ht="12.75" x14ac:dyDescent="0.35">
      <c r="A3236" s="7">
        <v>42482.662453703699</v>
      </c>
      <c r="B3236" s="8" t="str">
        <f>HYPERLINK("https://twitter.com/unlmtdsmarttech","@unlmtdsmarttech")</f>
        <v>@unlmtdsmarttech</v>
      </c>
      <c r="C3236" s="9" t="s">
        <v>7901</v>
      </c>
      <c r="D3236" s="9" t="s">
        <v>7902</v>
      </c>
      <c r="E3236" s="10" t="str">
        <f>HYPERLINK("https://twitter.com/unlmtdsmarttech/status/723457300804042752","723457300804042752")</f>
        <v>723457300804042752</v>
      </c>
      <c r="F3236" s="11" t="s">
        <v>68</v>
      </c>
      <c r="G3236" s="11">
        <v>2161</v>
      </c>
      <c r="H3236" s="11">
        <v>4</v>
      </c>
      <c r="I3236" s="11">
        <v>0</v>
      </c>
      <c r="J3236" s="11">
        <v>0</v>
      </c>
      <c r="K3236" s="11" t="s">
        <v>21</v>
      </c>
      <c r="L3236" s="7">
        <v>42339.340740740736</v>
      </c>
      <c r="M3236" s="12"/>
      <c r="N3236" s="12"/>
      <c r="O3236" s="10" t="str">
        <f>HYPERLINK("https://pbs.twimg.com/profile_images/671525031948652544/gPRky3nV_normal.jpg","View")</f>
        <v>View</v>
      </c>
      <c r="P3236" s="11"/>
    </row>
    <row r="3237" spans="1:16" ht="12.75" x14ac:dyDescent="0.35">
      <c r="A3237" s="7">
        <v>42482.66342592593</v>
      </c>
      <c r="B3237" s="8" t="str">
        <f>HYPERLINK("https://twitter.com/VCT_Tweets","@VCT_Tweets")</f>
        <v>@VCT_Tweets</v>
      </c>
      <c r="C3237" s="9" t="s">
        <v>199</v>
      </c>
      <c r="D3237" s="9" t="s">
        <v>7903</v>
      </c>
      <c r="E3237" s="10" t="str">
        <f>HYPERLINK("https://twitter.com/VCT_Tweets/status/723457654765588481","723457654765588481")</f>
        <v>723457654765588481</v>
      </c>
      <c r="F3237" s="11" t="s">
        <v>68</v>
      </c>
      <c r="G3237" s="11">
        <v>887</v>
      </c>
      <c r="H3237" s="11">
        <v>211</v>
      </c>
      <c r="I3237" s="11">
        <v>0</v>
      </c>
      <c r="J3237" s="11">
        <v>0</v>
      </c>
      <c r="K3237" s="11" t="s">
        <v>21</v>
      </c>
      <c r="L3237" s="7">
        <v>40744.914837962962</v>
      </c>
      <c r="M3237" s="12" t="s">
        <v>201</v>
      </c>
      <c r="N3237" s="12" t="s">
        <v>202</v>
      </c>
      <c r="O3237" s="10" t="str">
        <f>HYPERLINK("https://pbs.twimg.com/profile_images/569800899141177344/nVFLMSdb_normal.png","View")</f>
        <v>View</v>
      </c>
      <c r="P3237" s="11"/>
    </row>
    <row r="3238" spans="1:16" ht="12.75" x14ac:dyDescent="0.35">
      <c r="A3238" s="7">
        <v>42482.663680555561</v>
      </c>
      <c r="B3238" s="8" t="str">
        <f>HYPERLINK("https://twitter.com/willi_haentjes","@willi_haentjes")</f>
        <v>@willi_haentjes</v>
      </c>
      <c r="C3238" s="9" t="s">
        <v>7904</v>
      </c>
      <c r="D3238" s="9" t="s">
        <v>7905</v>
      </c>
      <c r="E3238" s="10" t="str">
        <f>HYPERLINK("https://twitter.com/willi_haentjes/status/723457746989920256","723457746989920256")</f>
        <v>723457746989920256</v>
      </c>
      <c r="F3238" s="11" t="s">
        <v>48</v>
      </c>
      <c r="G3238" s="11">
        <v>169</v>
      </c>
      <c r="H3238" s="11">
        <v>369</v>
      </c>
      <c r="I3238" s="11">
        <v>0</v>
      </c>
      <c r="J3238" s="11">
        <v>0</v>
      </c>
      <c r="K3238" s="11" t="s">
        <v>21</v>
      </c>
      <c r="L3238" s="7">
        <v>42009.858576388884</v>
      </c>
      <c r="M3238" s="12" t="s">
        <v>1359</v>
      </c>
      <c r="N3238" s="12" t="s">
        <v>7906</v>
      </c>
      <c r="O3238" s="10" t="str">
        <f>HYPERLINK("https://pbs.twimg.com/profile_images/631826061446246400/nn2ngg0v_normal.jpg","View")</f>
        <v>View</v>
      </c>
      <c r="P3238" s="11"/>
    </row>
    <row r="3239" spans="1:16" ht="12.75" x14ac:dyDescent="0.35">
      <c r="A3239" s="7">
        <v>42482.664259259254</v>
      </c>
      <c r="B3239" s="8" t="str">
        <f>HYPERLINK("https://twitter.com/bayl","@bayl")</f>
        <v>@bayl</v>
      </c>
      <c r="C3239" s="9" t="s">
        <v>3167</v>
      </c>
      <c r="D3239" s="9" t="s">
        <v>7907</v>
      </c>
      <c r="E3239" s="10" t="str">
        <f>HYPERLINK("https://twitter.com/bayl/status/723457953932709889","723457953932709889")</f>
        <v>723457953932709889</v>
      </c>
      <c r="F3239" s="11" t="s">
        <v>43</v>
      </c>
      <c r="G3239" s="11">
        <v>577</v>
      </c>
      <c r="H3239" s="11">
        <v>825</v>
      </c>
      <c r="I3239" s="11">
        <v>0</v>
      </c>
      <c r="J3239" s="11">
        <v>1</v>
      </c>
      <c r="K3239" s="11" t="s">
        <v>21</v>
      </c>
      <c r="L3239" s="7">
        <v>39567.463831018518</v>
      </c>
      <c r="M3239" s="12"/>
      <c r="N3239" s="12" t="s">
        <v>3169</v>
      </c>
      <c r="O3239" s="10" t="str">
        <f>HYPERLINK("https://pbs.twimg.com/profile_images/438619338942062592/OBEQvg6R_normal.jpeg","View")</f>
        <v>View</v>
      </c>
      <c r="P3239" s="11"/>
    </row>
    <row r="3240" spans="1:16" ht="12.75" x14ac:dyDescent="0.35">
      <c r="A3240" s="7">
        <v>42482.664351851854</v>
      </c>
      <c r="B3240" s="8" t="str">
        <f>HYPERLINK("https://twitter.com/zdmak","@zdmak")</f>
        <v>@zdmak</v>
      </c>
      <c r="C3240" s="9" t="s">
        <v>2476</v>
      </c>
      <c r="D3240" s="9" t="s">
        <v>7908</v>
      </c>
      <c r="E3240" s="10" t="str">
        <f>HYPERLINK("https://twitter.com/zdmak/status/723457987369668608","723457987369668608")</f>
        <v>723457987369668608</v>
      </c>
      <c r="F3240" s="11" t="s">
        <v>43</v>
      </c>
      <c r="G3240" s="11">
        <v>585</v>
      </c>
      <c r="H3240" s="11">
        <v>1252</v>
      </c>
      <c r="I3240" s="11">
        <v>0</v>
      </c>
      <c r="J3240" s="11">
        <v>0</v>
      </c>
      <c r="K3240" s="11" t="s">
        <v>21</v>
      </c>
      <c r="L3240" s="7">
        <v>40478.984224537038</v>
      </c>
      <c r="M3240" s="12" t="s">
        <v>305</v>
      </c>
      <c r="N3240" s="12" t="s">
        <v>2478</v>
      </c>
      <c r="O3240" s="10" t="str">
        <f>HYPERLINK("https://pbs.twimg.com/profile_images/573248726212325376/60EMO_jJ_normal.jpeg","View")</f>
        <v>View</v>
      </c>
      <c r="P3240" s="11"/>
    </row>
    <row r="3241" spans="1:16" ht="12.75" x14ac:dyDescent="0.35">
      <c r="A3241" s="7">
        <v>42482.664733796293</v>
      </c>
      <c r="B3241" s="8" t="str">
        <f>HYPERLINK("https://twitter.com/handelsblatt","@handelsblatt")</f>
        <v>@handelsblatt</v>
      </c>
      <c r="C3241" s="9" t="s">
        <v>973</v>
      </c>
      <c r="D3241" s="9" t="s">
        <v>7909</v>
      </c>
      <c r="E3241" s="10" t="str">
        <f>HYPERLINK("https://twitter.com/handelsblatt/status/723458126532493312","723458126532493312")</f>
        <v>723458126532493312</v>
      </c>
      <c r="F3241" s="11" t="s">
        <v>288</v>
      </c>
      <c r="G3241" s="11">
        <v>239932</v>
      </c>
      <c r="H3241" s="11">
        <v>535</v>
      </c>
      <c r="I3241" s="11">
        <v>2</v>
      </c>
      <c r="J3241" s="11">
        <v>0</v>
      </c>
      <c r="K3241" s="11" t="s">
        <v>21</v>
      </c>
      <c r="L3241" s="7">
        <v>39207.128182870372</v>
      </c>
      <c r="M3241" s="12" t="s">
        <v>975</v>
      </c>
      <c r="N3241" s="12" t="s">
        <v>976</v>
      </c>
      <c r="O3241" s="10" t="str">
        <f>HYPERLINK("https://pbs.twimg.com/profile_images/562563461171798017/AkHF4keI_normal.png","View")</f>
        <v>View</v>
      </c>
      <c r="P3241" s="11"/>
    </row>
    <row r="3242" spans="1:16" ht="12.75" x14ac:dyDescent="0.35">
      <c r="A3242" s="7">
        <v>42482.664849537032</v>
      </c>
      <c r="B3242" s="8" t="str">
        <f>HYPERLINK("https://twitter.com/zdmak","@zdmak")</f>
        <v>@zdmak</v>
      </c>
      <c r="C3242" s="9" t="s">
        <v>2476</v>
      </c>
      <c r="D3242" s="9" t="s">
        <v>7910</v>
      </c>
      <c r="E3242" s="10" t="str">
        <f>HYPERLINK("https://twitter.com/zdmak/status/723458170505584641","723458170505584641")</f>
        <v>723458170505584641</v>
      </c>
      <c r="F3242" s="11" t="s">
        <v>43</v>
      </c>
      <c r="G3242" s="11">
        <v>585</v>
      </c>
      <c r="H3242" s="11">
        <v>1252</v>
      </c>
      <c r="I3242" s="11">
        <v>0</v>
      </c>
      <c r="J3242" s="11">
        <v>0</v>
      </c>
      <c r="K3242" s="11" t="s">
        <v>21</v>
      </c>
      <c r="L3242" s="7">
        <v>40478.984224537038</v>
      </c>
      <c r="M3242" s="12" t="s">
        <v>305</v>
      </c>
      <c r="N3242" s="12" t="s">
        <v>2478</v>
      </c>
      <c r="O3242" s="10" t="str">
        <f>HYPERLINK("https://pbs.twimg.com/profile_images/573248726212325376/60EMO_jJ_normal.jpeg","View")</f>
        <v>View</v>
      </c>
      <c r="P3242" s="11"/>
    </row>
    <row r="3243" spans="1:16" ht="12.75" x14ac:dyDescent="0.35">
      <c r="A3243" s="7">
        <v>42482.665023148147</v>
      </c>
      <c r="B3243" s="8" t="str">
        <f>HYPERLINK("https://twitter.com/SNovember_TA","@SNovember_TA")</f>
        <v>@SNovember_TA</v>
      </c>
      <c r="C3243" s="9" t="s">
        <v>1508</v>
      </c>
      <c r="D3243" s="9" t="s">
        <v>7830</v>
      </c>
      <c r="E3243" s="10" t="str">
        <f>HYPERLINK("https://twitter.com/SNovember_TA/status/723458234347065344","723458234347065344")</f>
        <v>723458234347065344</v>
      </c>
      <c r="F3243" s="11" t="s">
        <v>43</v>
      </c>
      <c r="G3243" s="11">
        <v>305</v>
      </c>
      <c r="H3243" s="11">
        <v>665</v>
      </c>
      <c r="I3243" s="11">
        <v>2</v>
      </c>
      <c r="J3243" s="11">
        <v>0</v>
      </c>
      <c r="K3243" s="11" t="s">
        <v>21</v>
      </c>
      <c r="L3243" s="7">
        <v>42187.016956018517</v>
      </c>
      <c r="M3243" s="12" t="s">
        <v>1509</v>
      </c>
      <c r="N3243" s="12" t="s">
        <v>1510</v>
      </c>
      <c r="O3243" s="10" t="str">
        <f>HYPERLINK("https://pbs.twimg.com/profile_images/641589533696491520/z_Rxec7o_normal.jpg","View")</f>
        <v>View</v>
      </c>
      <c r="P3243" s="11"/>
    </row>
    <row r="3244" spans="1:16" ht="12.75" x14ac:dyDescent="0.35">
      <c r="A3244" s="7">
        <v>42482.665567129632</v>
      </c>
      <c r="B3244" s="8" t="str">
        <f>HYPERLINK("https://twitter.com/EIV_Bayreuth","@EIV_Bayreuth")</f>
        <v>@EIV_Bayreuth</v>
      </c>
      <c r="C3244" s="9" t="s">
        <v>7765</v>
      </c>
      <c r="D3244" s="9" t="s">
        <v>7909</v>
      </c>
      <c r="E3244" s="10" t="str">
        <f>HYPERLINK("https://twitter.com/EIV_Bayreuth/status/723458430233616384","723458430233616384")</f>
        <v>723458430233616384</v>
      </c>
      <c r="F3244" s="11" t="s">
        <v>43</v>
      </c>
      <c r="G3244" s="11">
        <v>214</v>
      </c>
      <c r="H3244" s="11">
        <v>178</v>
      </c>
      <c r="I3244" s="11">
        <v>2</v>
      </c>
      <c r="J3244" s="11">
        <v>0</v>
      </c>
      <c r="K3244" s="11" t="s">
        <v>21</v>
      </c>
      <c r="L3244" s="7">
        <v>41715.698981481481</v>
      </c>
      <c r="M3244" s="12" t="s">
        <v>7766</v>
      </c>
      <c r="N3244" s="12" t="s">
        <v>7767</v>
      </c>
      <c r="O3244" s="10" t="str">
        <f>HYPERLINK("https://pbs.twimg.com/profile_images/445545482572410880/pVcl7UPf_normal.jpeg","View")</f>
        <v>View</v>
      </c>
      <c r="P3244" s="11"/>
    </row>
    <row r="3245" spans="1:16" ht="12.75" x14ac:dyDescent="0.35">
      <c r="A3245" s="7">
        <v>42482.665613425925</v>
      </c>
      <c r="B3245" s="8" t="str">
        <f>HYPERLINK("https://twitter.com/Eliott_Law","@Eliott_Law")</f>
        <v>@Eliott_Law</v>
      </c>
      <c r="C3245" s="9" t="s">
        <v>7911</v>
      </c>
      <c r="D3245" s="9" t="s">
        <v>7646</v>
      </c>
      <c r="E3245" s="10" t="str">
        <f>HYPERLINK("https://twitter.com/Eliott_Law/status/723458447103131648","723458447103131648")</f>
        <v>723458447103131648</v>
      </c>
      <c r="F3245" s="11" t="s">
        <v>20</v>
      </c>
      <c r="G3245" s="11">
        <v>104</v>
      </c>
      <c r="H3245" s="11">
        <v>326</v>
      </c>
      <c r="I3245" s="11">
        <v>10</v>
      </c>
      <c r="J3245" s="11">
        <v>0</v>
      </c>
      <c r="K3245" s="11" t="s">
        <v>21</v>
      </c>
      <c r="L3245" s="7">
        <v>41226.828773148147</v>
      </c>
      <c r="M3245" s="12" t="s">
        <v>7912</v>
      </c>
      <c r="N3245" s="12" t="s">
        <v>7913</v>
      </c>
      <c r="O3245" s="10" t="str">
        <f>HYPERLINK("https://pbs.twimg.com/profile_images/689530457378181120/hebb5eT3_normal.jpg","View")</f>
        <v>View</v>
      </c>
      <c r="P3245" s="11"/>
    </row>
    <row r="3246" spans="1:16" ht="12.75" x14ac:dyDescent="0.35">
      <c r="A3246" s="7">
        <v>42482.666388888887</v>
      </c>
      <c r="B3246" s="8" t="str">
        <f>HYPERLINK("https://twitter.com/EIV_Bayreuth","@EIV_Bayreuth")</f>
        <v>@EIV_Bayreuth</v>
      </c>
      <c r="C3246" s="9" t="s">
        <v>7765</v>
      </c>
      <c r="D3246" s="9" t="s">
        <v>7914</v>
      </c>
      <c r="E3246" s="10" t="str">
        <f>HYPERLINK("https://twitter.com/EIV_Bayreuth/status/723458726267654145","723458726267654145")</f>
        <v>723458726267654145</v>
      </c>
      <c r="F3246" s="11" t="s">
        <v>43</v>
      </c>
      <c r="G3246" s="11">
        <v>214</v>
      </c>
      <c r="H3246" s="11">
        <v>178</v>
      </c>
      <c r="I3246" s="11">
        <v>1</v>
      </c>
      <c r="J3246" s="11">
        <v>0</v>
      </c>
      <c r="K3246" s="11" t="s">
        <v>21</v>
      </c>
      <c r="L3246" s="7">
        <v>41715.698981481481</v>
      </c>
      <c r="M3246" s="12" t="s">
        <v>7766</v>
      </c>
      <c r="N3246" s="12" t="s">
        <v>7767</v>
      </c>
      <c r="O3246" s="10" t="str">
        <f>HYPERLINK("https://pbs.twimg.com/profile_images/445545482572410880/pVcl7UPf_normal.jpeg","View")</f>
        <v>View</v>
      </c>
      <c r="P3246" s="11"/>
    </row>
    <row r="3247" spans="1:16" ht="12.75" x14ac:dyDescent="0.35">
      <c r="A3247" s="7">
        <v>42482.666516203702</v>
      </c>
      <c r="B3247" s="8" t="str">
        <f>HYPERLINK("https://twitter.com/DeLausert","@DeLausert")</f>
        <v>@DeLausert</v>
      </c>
      <c r="C3247" s="9" t="s">
        <v>3753</v>
      </c>
      <c r="D3247" s="9" t="s">
        <v>7870</v>
      </c>
      <c r="E3247" s="10" t="str">
        <f>HYPERLINK("https://twitter.com/DeLausert/status/723458773495472128","723458773495472128")</f>
        <v>723458773495472128</v>
      </c>
      <c r="F3247" s="11" t="s">
        <v>43</v>
      </c>
      <c r="G3247" s="11">
        <v>130</v>
      </c>
      <c r="H3247" s="11">
        <v>196</v>
      </c>
      <c r="I3247" s="11">
        <v>2</v>
      </c>
      <c r="J3247" s="11">
        <v>0</v>
      </c>
      <c r="K3247" s="11" t="s">
        <v>21</v>
      </c>
      <c r="L3247" s="7">
        <v>41340.682569444441</v>
      </c>
      <c r="M3247" s="12"/>
      <c r="N3247" s="12" t="s">
        <v>3754</v>
      </c>
      <c r="O3247" s="10" t="str">
        <f>HYPERLINK("https://pbs.twimg.com/profile_images/672181739301822465/2EHqX_W1_normal.jpg","View")</f>
        <v>View</v>
      </c>
      <c r="P3247" s="11"/>
    </row>
    <row r="3248" spans="1:16" ht="12.75" x14ac:dyDescent="0.35">
      <c r="A3248" s="7">
        <v>42482.667002314818</v>
      </c>
      <c r="B3248" s="8" t="str">
        <f>HYPERLINK("https://twitter.com/Braulio_Urresti","@Braulio_Urresti")</f>
        <v>@Braulio_Urresti</v>
      </c>
      <c r="C3248" s="9" t="s">
        <v>7915</v>
      </c>
      <c r="D3248" s="9" t="s">
        <v>7916</v>
      </c>
      <c r="E3248" s="10" t="str">
        <f>HYPERLINK("https://twitter.com/Braulio_Urresti/status/723458950771945473","723458950771945473")</f>
        <v>723458950771945473</v>
      </c>
      <c r="F3248" s="11" t="s">
        <v>68</v>
      </c>
      <c r="G3248" s="11">
        <v>46</v>
      </c>
      <c r="H3248" s="11">
        <v>94</v>
      </c>
      <c r="I3248" s="11">
        <v>0</v>
      </c>
      <c r="J3248" s="11">
        <v>0</v>
      </c>
      <c r="K3248" s="11" t="s">
        <v>21</v>
      </c>
      <c r="L3248" s="7">
        <v>42474.937349537038</v>
      </c>
      <c r="M3248" s="12"/>
      <c r="N3248" s="12"/>
      <c r="O3248" s="10" t="str">
        <f>HYPERLINK("https://abs.twimg.com/sticky/default_profile_images/default_profile_5_normal.png","View")</f>
        <v>View</v>
      </c>
      <c r="P3248" s="11"/>
    </row>
    <row r="3249" spans="1:16" ht="12.75" x14ac:dyDescent="0.35">
      <c r="A3249" s="7">
        <v>42482.667303240742</v>
      </c>
      <c r="B3249" s="8" t="str">
        <f>HYPERLINK("https://twitter.com/eMobOnline","@eMobOnline")</f>
        <v>@eMobOnline</v>
      </c>
      <c r="C3249" s="9" t="s">
        <v>7917</v>
      </c>
      <c r="D3249" s="9" t="s">
        <v>7918</v>
      </c>
      <c r="E3249" s="10" t="str">
        <f>HYPERLINK("https://twitter.com/eMobOnline/status/723459059198877698","723459059198877698")</f>
        <v>723459059198877698</v>
      </c>
      <c r="F3249" s="11" t="s">
        <v>43</v>
      </c>
      <c r="G3249" s="11">
        <v>1033</v>
      </c>
      <c r="H3249" s="11">
        <v>267</v>
      </c>
      <c r="I3249" s="11">
        <v>0</v>
      </c>
      <c r="J3249" s="11">
        <v>0</v>
      </c>
      <c r="K3249" s="11" t="s">
        <v>21</v>
      </c>
      <c r="L3249" s="7">
        <v>41290.843310185184</v>
      </c>
      <c r="M3249" s="12" t="s">
        <v>1359</v>
      </c>
      <c r="N3249" s="12" t="s">
        <v>7919</v>
      </c>
      <c r="O3249" s="10" t="str">
        <f>HYPERLINK("https://pbs.twimg.com/profile_images/542767146820829184/FQICfA62_normal.jpeg","View")</f>
        <v>View</v>
      </c>
      <c r="P3249" s="11"/>
    </row>
    <row r="3250" spans="1:16" ht="12.75" x14ac:dyDescent="0.35">
      <c r="A3250" s="7">
        <v>42482.668032407411</v>
      </c>
      <c r="B3250" s="8" t="str">
        <f>HYPERLINK("https://twitter.com/JoHammonia","@JoHammonia")</f>
        <v>@JoHammonia</v>
      </c>
      <c r="C3250" s="9" t="s">
        <v>7920</v>
      </c>
      <c r="D3250" s="9" t="s">
        <v>7921</v>
      </c>
      <c r="E3250" s="10" t="str">
        <f>HYPERLINK("https://twitter.com/JoHammonia/status/723459324316667904","723459324316667904")</f>
        <v>723459324316667904</v>
      </c>
      <c r="F3250" s="11" t="s">
        <v>43</v>
      </c>
      <c r="G3250" s="11">
        <v>231</v>
      </c>
      <c r="H3250" s="11">
        <v>512</v>
      </c>
      <c r="I3250" s="11">
        <v>0</v>
      </c>
      <c r="J3250" s="11">
        <v>0</v>
      </c>
      <c r="K3250" s="11" t="s">
        <v>21</v>
      </c>
      <c r="L3250" s="7">
        <v>40301.687546296293</v>
      </c>
      <c r="M3250" s="12" t="s">
        <v>7922</v>
      </c>
      <c r="N3250" s="12" t="s">
        <v>7923</v>
      </c>
      <c r="O3250" s="10" t="str">
        <f>HYPERLINK("https://pbs.twimg.com/profile_images/696813255466029056/c1kb5BWS_normal.jpg","View")</f>
        <v>View</v>
      </c>
      <c r="P3250" s="11"/>
    </row>
    <row r="3251" spans="1:16" ht="12.75" x14ac:dyDescent="0.35">
      <c r="A3251" s="7">
        <v>42482.668645833328</v>
      </c>
      <c r="B3251" s="8" t="str">
        <f>HYPERLINK("https://twitter.com/KarSmid","@KarSmid")</f>
        <v>@KarSmid</v>
      </c>
      <c r="C3251" s="9" t="s">
        <v>7924</v>
      </c>
      <c r="D3251" s="9" t="s">
        <v>7925</v>
      </c>
      <c r="E3251" s="10" t="str">
        <f>HYPERLINK("https://twitter.com/KarSmid/status/723459544060432385","723459544060432385")</f>
        <v>723459544060432385</v>
      </c>
      <c r="F3251" s="11" t="s">
        <v>43</v>
      </c>
      <c r="G3251" s="11">
        <v>479</v>
      </c>
      <c r="H3251" s="11">
        <v>146</v>
      </c>
      <c r="I3251" s="11">
        <v>0</v>
      </c>
      <c r="J3251" s="11">
        <v>0</v>
      </c>
      <c r="K3251" s="11" t="s">
        <v>21</v>
      </c>
      <c r="L3251" s="7">
        <v>41077.015243055554</v>
      </c>
      <c r="M3251" s="12"/>
      <c r="N3251" s="12" t="s">
        <v>7926</v>
      </c>
      <c r="O3251" s="10" t="str">
        <f>HYPERLINK("https://pbs.twimg.com/profile_images/2314052504/Karsten-0047small_normal.jpg","View")</f>
        <v>View</v>
      </c>
      <c r="P3251" s="11"/>
    </row>
    <row r="3252" spans="1:16" ht="12.75" x14ac:dyDescent="0.35">
      <c r="A3252" s="7">
        <v>42482.668888888889</v>
      </c>
      <c r="B3252" s="8" t="str">
        <f>HYPERLINK("https://twitter.com/xcomp1","@xcomp1")</f>
        <v>@xcomp1</v>
      </c>
      <c r="C3252" s="9" t="s">
        <v>7927</v>
      </c>
      <c r="D3252" s="9" t="s">
        <v>7928</v>
      </c>
      <c r="E3252" s="10" t="str">
        <f>HYPERLINK("https://twitter.com/xcomp1/status/723459631415177216","723459631415177216")</f>
        <v>723459631415177216</v>
      </c>
      <c r="F3252" s="11" t="s">
        <v>7929</v>
      </c>
      <c r="G3252" s="11">
        <v>21</v>
      </c>
      <c r="H3252" s="11">
        <v>159</v>
      </c>
      <c r="I3252" s="11">
        <v>0</v>
      </c>
      <c r="J3252" s="11">
        <v>0</v>
      </c>
      <c r="K3252" s="11" t="s">
        <v>21</v>
      </c>
      <c r="L3252" s="7">
        <v>41117.719328703708</v>
      </c>
      <c r="M3252" s="12" t="s">
        <v>7930</v>
      </c>
      <c r="N3252" s="12" t="s">
        <v>7931</v>
      </c>
      <c r="O3252" s="10" t="str">
        <f>HYPERLINK("https://pbs.twimg.com/profile_images/3689150960/92d347a9fd891b206f2d6df9f8d9b52e_normal.jpeg","View")</f>
        <v>View</v>
      </c>
      <c r="P3252" s="11"/>
    </row>
    <row r="3253" spans="1:16" ht="12.75" x14ac:dyDescent="0.35">
      <c r="A3253" s="7">
        <v>42482.669305555552</v>
      </c>
      <c r="B3253" s="8" t="str">
        <f>HYPERLINK("https://twitter.com/de_Tocqueville","@de_Tocqueville")</f>
        <v>@de_Tocqueville</v>
      </c>
      <c r="C3253" s="9" t="s">
        <v>7932</v>
      </c>
      <c r="D3253" s="9" t="s">
        <v>7561</v>
      </c>
      <c r="E3253" s="10" t="str">
        <f>HYPERLINK("https://twitter.com/de_Tocqueville/status/723459785090314240","723459785090314240")</f>
        <v>723459785090314240</v>
      </c>
      <c r="F3253" s="11" t="s">
        <v>243</v>
      </c>
      <c r="G3253" s="11">
        <v>318</v>
      </c>
      <c r="H3253" s="11">
        <v>766</v>
      </c>
      <c r="I3253" s="11">
        <v>3</v>
      </c>
      <c r="J3253" s="11">
        <v>0</v>
      </c>
      <c r="K3253" s="11" t="s">
        <v>21</v>
      </c>
      <c r="L3253" s="7">
        <v>40589.254826388889</v>
      </c>
      <c r="M3253" s="12" t="s">
        <v>7933</v>
      </c>
      <c r="N3253" s="12" t="s">
        <v>7934</v>
      </c>
      <c r="O3253" s="10" t="str">
        <f>HYPERLINK("https://pbs.twimg.com/profile_images/610186753719291904/V4q-4KWh_normal.png","View")</f>
        <v>View</v>
      </c>
      <c r="P3253" s="11"/>
    </row>
    <row r="3254" spans="1:16" ht="12.75" x14ac:dyDescent="0.35">
      <c r="A3254" s="7">
        <v>42482.669641203705</v>
      </c>
      <c r="B3254" s="8" t="str">
        <f>HYPERLINK("https://twitter.com/TeresaMontao","@TeresaMontao")</f>
        <v>@TeresaMontao</v>
      </c>
      <c r="C3254" s="9" t="s">
        <v>7935</v>
      </c>
      <c r="D3254" s="9" t="s">
        <v>7832</v>
      </c>
      <c r="E3254" s="10" t="str">
        <f>HYPERLINK("https://twitter.com/TeresaMontao/status/723459905521328128","723459905521328128")</f>
        <v>723459905521328128</v>
      </c>
      <c r="F3254" s="11" t="s">
        <v>48</v>
      </c>
      <c r="G3254" s="11">
        <v>726</v>
      </c>
      <c r="H3254" s="11">
        <v>75</v>
      </c>
      <c r="I3254" s="11">
        <v>3</v>
      </c>
      <c r="J3254" s="11">
        <v>0</v>
      </c>
      <c r="K3254" s="11" t="s">
        <v>21</v>
      </c>
      <c r="L3254" s="7">
        <v>41318.982939814814</v>
      </c>
      <c r="M3254" s="12"/>
      <c r="N3254" s="12"/>
      <c r="O3254" s="10" t="str">
        <f>HYPERLINK("https://pbs.twimg.com/profile_images/637232896336625664/dpO-f4Mn_normal.png","View")</f>
        <v>View</v>
      </c>
      <c r="P3254" s="11"/>
    </row>
    <row r="3255" spans="1:16" ht="12.75" x14ac:dyDescent="0.35">
      <c r="A3255" s="7">
        <v>42482.670578703706</v>
      </c>
      <c r="B3255" s="8" t="str">
        <f>HYPERLINK("https://twitter.com/MarkCSchneider","@MarkCSchneider")</f>
        <v>@MarkCSchneider</v>
      </c>
      <c r="C3255" s="9" t="s">
        <v>952</v>
      </c>
      <c r="D3255" s="9" t="s">
        <v>7936</v>
      </c>
      <c r="E3255" s="10" t="str">
        <f>HYPERLINK("https://twitter.com/MarkCSchneider/status/723460245108994048","723460245108994048")</f>
        <v>723460245108994048</v>
      </c>
      <c r="F3255" s="11" t="s">
        <v>43</v>
      </c>
      <c r="G3255" s="11">
        <v>370</v>
      </c>
      <c r="H3255" s="11">
        <v>335</v>
      </c>
      <c r="I3255" s="11">
        <v>0</v>
      </c>
      <c r="J3255" s="11">
        <v>0</v>
      </c>
      <c r="K3255" s="11" t="s">
        <v>21</v>
      </c>
      <c r="L3255" s="7">
        <v>41495.558136574073</v>
      </c>
      <c r="M3255" s="12" t="s">
        <v>953</v>
      </c>
      <c r="N3255" s="12"/>
      <c r="O3255" s="10" t="str">
        <f>HYPERLINK("https://pbs.twimg.com/profile_images/706784695795769345/XGXgdjww_normal.jpg","View")</f>
        <v>View</v>
      </c>
      <c r="P3255" s="11"/>
    </row>
    <row r="3256" spans="1:16" ht="12.75" x14ac:dyDescent="0.35">
      <c r="A3256" s="7">
        <v>42482.67087962963</v>
      </c>
      <c r="B3256" s="8" t="str">
        <f>HYPERLINK("https://twitter.com/CafeRacerGear","@CafeRacerGear")</f>
        <v>@CafeRacerGear</v>
      </c>
      <c r="C3256" s="9" t="s">
        <v>7937</v>
      </c>
      <c r="D3256" s="9" t="s">
        <v>7938</v>
      </c>
      <c r="E3256" s="10" t="str">
        <f>HYPERLINK("https://twitter.com/CafeRacerGear/status/723460356782190592","723460356782190592")</f>
        <v>723460356782190592</v>
      </c>
      <c r="F3256" s="11" t="s">
        <v>43</v>
      </c>
      <c r="G3256" s="11">
        <v>486</v>
      </c>
      <c r="H3256" s="11">
        <v>921</v>
      </c>
      <c r="I3256" s="11">
        <v>0</v>
      </c>
      <c r="J3256" s="11">
        <v>0</v>
      </c>
      <c r="K3256" s="11" t="s">
        <v>21</v>
      </c>
      <c r="L3256" s="7">
        <v>42470.623124999998</v>
      </c>
      <c r="M3256" s="12"/>
      <c r="N3256" s="12" t="s">
        <v>7939</v>
      </c>
      <c r="O3256" s="10" t="str">
        <f>HYPERLINK("https://pbs.twimg.com/profile_images/719095366533181440/DWQU4rs7_normal.jpg","View")</f>
        <v>View</v>
      </c>
      <c r="P3256" s="11"/>
    </row>
    <row r="3257" spans="1:16" ht="12.75" x14ac:dyDescent="0.35">
      <c r="A3257" s="7">
        <v>42482.671377314815</v>
      </c>
      <c r="B3257" s="8" t="str">
        <f>HYPERLINK("https://twitter.com/olewin","@olewin")</f>
        <v>@olewin</v>
      </c>
      <c r="C3257" s="9" t="s">
        <v>7940</v>
      </c>
      <c r="D3257" s="9" t="s">
        <v>7941</v>
      </c>
      <c r="E3257" s="10" t="str">
        <f>HYPERLINK("https://twitter.com/olewin/status/723460533454802944","723460533454802944")</f>
        <v>723460533454802944</v>
      </c>
      <c r="F3257" s="11" t="s">
        <v>1143</v>
      </c>
      <c r="G3257" s="11">
        <v>3633</v>
      </c>
      <c r="H3257" s="11">
        <v>1796</v>
      </c>
      <c r="I3257" s="11">
        <v>1</v>
      </c>
      <c r="J3257" s="11">
        <v>1</v>
      </c>
      <c r="K3257" s="11" t="s">
        <v>21</v>
      </c>
      <c r="L3257" s="7">
        <v>40074.526747685188</v>
      </c>
      <c r="M3257" s="12" t="s">
        <v>7942</v>
      </c>
      <c r="N3257" s="12" t="s">
        <v>7943</v>
      </c>
      <c r="O3257" s="10" t="str">
        <f>HYPERLINK("https://pbs.twimg.com/profile_images/720198919536386048/g0mf6kQs_normal.jpg","View")</f>
        <v>View</v>
      </c>
      <c r="P3257" s="11"/>
    </row>
    <row r="3258" spans="1:16" ht="12.75" x14ac:dyDescent="0.35">
      <c r="A3258" s="7">
        <v>42482.671481481477</v>
      </c>
      <c r="B3258" s="8" t="str">
        <f>HYPERLINK("https://twitter.com/Logistique01","@Logistique01")</f>
        <v>@Logistique01</v>
      </c>
      <c r="C3258" s="9" t="s">
        <v>1804</v>
      </c>
      <c r="D3258" s="9" t="s">
        <v>7944</v>
      </c>
      <c r="E3258" s="10" t="str">
        <f>HYPERLINK("https://twitter.com/Logistique01/status/723460574433038336","723460574433038336")</f>
        <v>723460574433038336</v>
      </c>
      <c r="F3258" s="11" t="s">
        <v>1806</v>
      </c>
      <c r="G3258" s="11">
        <v>154</v>
      </c>
      <c r="H3258" s="11">
        <v>173</v>
      </c>
      <c r="I3258" s="11">
        <v>0</v>
      </c>
      <c r="J3258" s="11">
        <v>0</v>
      </c>
      <c r="K3258" s="11" t="s">
        <v>21</v>
      </c>
      <c r="L3258" s="7">
        <v>41373.671875</v>
      </c>
      <c r="M3258" s="12" t="s">
        <v>1807</v>
      </c>
      <c r="N3258" s="12" t="s">
        <v>1808</v>
      </c>
      <c r="O3258" s="10" t="str">
        <f>HYPERLINK("https://pbs.twimg.com/profile_images/3497903431/ae95594a00a0817e860e73da8fef6dca_normal.png","View")</f>
        <v>View</v>
      </c>
      <c r="P3258" s="11"/>
    </row>
    <row r="3259" spans="1:16" ht="12.75" x14ac:dyDescent="0.35">
      <c r="A3259" s="7">
        <v>42482.671701388885</v>
      </c>
      <c r="B3259" s="8" t="str">
        <f>HYPERLINK("https://twitter.com/DubLuvTuning","@DubLuvTuning")</f>
        <v>@DubLuvTuning</v>
      </c>
      <c r="C3259" s="9" t="s">
        <v>299</v>
      </c>
      <c r="D3259" s="9" t="s">
        <v>7945</v>
      </c>
      <c r="E3259" s="10" t="str">
        <f>HYPERLINK("https://twitter.com/DubLuvTuning/status/723460653948739584","723460653948739584")</f>
        <v>723460653948739584</v>
      </c>
      <c r="F3259" s="11" t="s">
        <v>288</v>
      </c>
      <c r="G3259" s="11">
        <v>690</v>
      </c>
      <c r="H3259" s="11">
        <v>431</v>
      </c>
      <c r="I3259" s="11">
        <v>1</v>
      </c>
      <c r="J3259" s="11">
        <v>0</v>
      </c>
      <c r="K3259" s="11" t="s">
        <v>21</v>
      </c>
      <c r="L3259" s="7">
        <v>41549.898287037038</v>
      </c>
      <c r="M3259" s="12" t="s">
        <v>301</v>
      </c>
      <c r="N3259" s="12" t="s">
        <v>302</v>
      </c>
      <c r="O3259" s="10" t="str">
        <f>HYPERLINK("https://pbs.twimg.com/profile_images/378800000572104796/1de43e1cf23efb3f4101c02afad0d3b6_normal.png","View")</f>
        <v>View</v>
      </c>
      <c r="P3259" s="11"/>
    </row>
    <row r="3260" spans="1:16" ht="12.75" x14ac:dyDescent="0.35">
      <c r="A3260" s="7">
        <v>42482.672094907408</v>
      </c>
      <c r="B3260" s="8" t="str">
        <f>HYPERLINK("https://twitter.com/mjuntorius","@mjuntorius")</f>
        <v>@mjuntorius</v>
      </c>
      <c r="C3260" s="9" t="s">
        <v>7946</v>
      </c>
      <c r="D3260" s="9" t="s">
        <v>7947</v>
      </c>
      <c r="E3260" s="10" t="str">
        <f>HYPERLINK("https://twitter.com/mjuntorius/status/723460794298585088","723460794298585088")</f>
        <v>723460794298585088</v>
      </c>
      <c r="F3260" s="11" t="s">
        <v>43</v>
      </c>
      <c r="G3260" s="11">
        <v>22</v>
      </c>
      <c r="H3260" s="11">
        <v>106</v>
      </c>
      <c r="I3260" s="11">
        <v>1</v>
      </c>
      <c r="J3260" s="11">
        <v>0</v>
      </c>
      <c r="K3260" s="11" t="s">
        <v>21</v>
      </c>
      <c r="L3260" s="7">
        <v>39987.073599537034</v>
      </c>
      <c r="M3260" s="12" t="s">
        <v>7948</v>
      </c>
      <c r="N3260" s="12" t="s">
        <v>7949</v>
      </c>
      <c r="O3260" s="10" t="str">
        <f>HYPERLINK("https://pbs.twimg.com/profile_images/555342220551663616/Pm-FgpvF_normal.png","View")</f>
        <v>View</v>
      </c>
      <c r="P3260" s="11"/>
    </row>
    <row r="3261" spans="1:16" ht="12.75" x14ac:dyDescent="0.35">
      <c r="A3261" s="7">
        <v>42482.672395833331</v>
      </c>
      <c r="B3261" s="8" t="str">
        <f>HYPERLINK("https://twitter.com/techhippie","@techhippie")</f>
        <v>@techhippie</v>
      </c>
      <c r="C3261" s="9" t="s">
        <v>246</v>
      </c>
      <c r="D3261" s="9" t="s">
        <v>7950</v>
      </c>
      <c r="E3261" s="10" t="str">
        <f>HYPERLINK("https://twitter.com/techhippie/status/723460903811821570","723460903811821570")</f>
        <v>723460903811821570</v>
      </c>
      <c r="F3261" s="11" t="s">
        <v>68</v>
      </c>
      <c r="G3261" s="11">
        <v>2483</v>
      </c>
      <c r="H3261" s="11">
        <v>3835</v>
      </c>
      <c r="I3261" s="11">
        <v>0</v>
      </c>
      <c r="J3261" s="11">
        <v>0</v>
      </c>
      <c r="K3261" s="11" t="s">
        <v>21</v>
      </c>
      <c r="L3261" s="7">
        <v>42424.852152777778</v>
      </c>
      <c r="M3261" s="12" t="s">
        <v>248</v>
      </c>
      <c r="N3261" s="12" t="s">
        <v>249</v>
      </c>
      <c r="O3261" s="10" t="str">
        <f>HYPERLINK("https://pbs.twimg.com/profile_images/702511217793863680/lty8h9vE_normal.jpg","View")</f>
        <v>View</v>
      </c>
      <c r="P3261" s="11"/>
    </row>
    <row r="3262" spans="1:16" ht="12.75" x14ac:dyDescent="0.35">
      <c r="A3262" s="7">
        <v>42482.672453703708</v>
      </c>
      <c r="B3262" s="8" t="str">
        <f>HYPERLINK("https://twitter.com/w_todts","@w_todts")</f>
        <v>@w_todts</v>
      </c>
      <c r="C3262" s="9" t="s">
        <v>7951</v>
      </c>
      <c r="D3262" s="9" t="s">
        <v>7952</v>
      </c>
      <c r="E3262" s="10" t="str">
        <f>HYPERLINK("https://twitter.com/w_todts/status/723460923625713664","723460923625713664")</f>
        <v>723460923625713664</v>
      </c>
      <c r="F3262" s="11" t="s">
        <v>43</v>
      </c>
      <c r="G3262" s="11">
        <v>145</v>
      </c>
      <c r="H3262" s="11">
        <v>185</v>
      </c>
      <c r="I3262" s="11">
        <v>0</v>
      </c>
      <c r="J3262" s="11">
        <v>0</v>
      </c>
      <c r="K3262" s="11" t="s">
        <v>21</v>
      </c>
      <c r="L3262" s="7">
        <v>40884.772465277776</v>
      </c>
      <c r="M3262" s="12"/>
      <c r="N3262" s="12" t="s">
        <v>7953</v>
      </c>
      <c r="O3262" s="10" t="str">
        <f>HYPERLINK("https://pbs.twimg.com/profile_images/556038240734441472/Y3DFwmUK_normal.jpeg","View")</f>
        <v>View</v>
      </c>
      <c r="P3262" s="11"/>
    </row>
    <row r="3263" spans="1:16" ht="12.75" x14ac:dyDescent="0.35">
      <c r="A3263" s="7">
        <v>42482.672905092593</v>
      </c>
      <c r="B3263" s="8" t="str">
        <f>HYPERLINK("https://twitter.com/boerseonline","@boerseonline")</f>
        <v>@boerseonline</v>
      </c>
      <c r="C3263" s="9" t="s">
        <v>3253</v>
      </c>
      <c r="D3263" s="9" t="s">
        <v>7954</v>
      </c>
      <c r="E3263" s="10" t="str">
        <f>HYPERLINK("https://twitter.com/boerseonline/status/723461088164077568","723461088164077568")</f>
        <v>723461088164077568</v>
      </c>
      <c r="F3263" s="11" t="s">
        <v>43</v>
      </c>
      <c r="G3263" s="11">
        <v>5966</v>
      </c>
      <c r="H3263" s="11">
        <v>19</v>
      </c>
      <c r="I3263" s="11">
        <v>0</v>
      </c>
      <c r="J3263" s="11">
        <v>0</v>
      </c>
      <c r="K3263" s="11" t="s">
        <v>21</v>
      </c>
      <c r="L3263" s="7">
        <v>39574.886840277773</v>
      </c>
      <c r="M3263" s="12" t="s">
        <v>1931</v>
      </c>
      <c r="N3263" s="12" t="s">
        <v>3255</v>
      </c>
      <c r="O3263" s="10" t="str">
        <f>HYPERLINK("https://pbs.twimg.com/profile_images/522305770503696384/J6guKsKV_normal.jpeg","View")</f>
        <v>View</v>
      </c>
      <c r="P3263" s="11"/>
    </row>
    <row r="3264" spans="1:16" ht="12.75" x14ac:dyDescent="0.35">
      <c r="A3264" s="7">
        <v>42482.673067129625</v>
      </c>
      <c r="B3264" s="8" t="str">
        <f t="shared" ref="B3264:B3265" si="318">HYPERLINK("https://twitter.com/AFECTADOGRUPOVW","@AFECTADOGRUPOVW")</f>
        <v>@AFECTADOGRUPOVW</v>
      </c>
      <c r="C3264" s="9" t="s">
        <v>1593</v>
      </c>
      <c r="D3264" s="9" t="s">
        <v>7955</v>
      </c>
      <c r="E3264" s="10" t="str">
        <f>HYPERLINK("https://twitter.com/AFECTADOGRUPOVW/status/723461146133585920","723461146133585920")</f>
        <v>723461146133585920</v>
      </c>
      <c r="F3264" s="11" t="s">
        <v>43</v>
      </c>
      <c r="G3264" s="11">
        <v>1769</v>
      </c>
      <c r="H3264" s="11">
        <v>4908</v>
      </c>
      <c r="I3264" s="11">
        <v>0</v>
      </c>
      <c r="J3264" s="11">
        <v>0</v>
      </c>
      <c r="K3264" s="11" t="s">
        <v>21</v>
      </c>
      <c r="L3264" s="7">
        <v>42278.624814814815</v>
      </c>
      <c r="M3264" s="12" t="s">
        <v>1595</v>
      </c>
      <c r="N3264" s="12" t="s">
        <v>1596</v>
      </c>
      <c r="O3264" s="10" t="str">
        <f t="shared" ref="O3264:O3265" si="319">HYPERLINK("https://pbs.twimg.com/profile_images/649519091892531200/gFXmbSPM_normal.jpg","View")</f>
        <v>View</v>
      </c>
      <c r="P3264" s="11"/>
    </row>
    <row r="3265" spans="1:16" ht="12.75" x14ac:dyDescent="0.35">
      <c r="A3265" s="7">
        <v>42482.674351851849</v>
      </c>
      <c r="B3265" s="8" t="str">
        <f t="shared" si="318"/>
        <v>@AFECTADOGRUPOVW</v>
      </c>
      <c r="C3265" s="9" t="s">
        <v>1593</v>
      </c>
      <c r="D3265" s="9" t="s">
        <v>7956</v>
      </c>
      <c r="E3265" s="10" t="str">
        <f>HYPERLINK("https://twitter.com/AFECTADOGRUPOVW/status/723461613521670144","723461613521670144")</f>
        <v>723461613521670144</v>
      </c>
      <c r="F3265" s="11" t="s">
        <v>43</v>
      </c>
      <c r="G3265" s="11">
        <v>1769</v>
      </c>
      <c r="H3265" s="11">
        <v>4908</v>
      </c>
      <c r="I3265" s="11">
        <v>0</v>
      </c>
      <c r="J3265" s="11">
        <v>0</v>
      </c>
      <c r="K3265" s="11" t="s">
        <v>21</v>
      </c>
      <c r="L3265" s="7">
        <v>42278.624814814815</v>
      </c>
      <c r="M3265" s="12" t="s">
        <v>1595</v>
      </c>
      <c r="N3265" s="12" t="s">
        <v>1596</v>
      </c>
      <c r="O3265" s="10" t="str">
        <f t="shared" si="319"/>
        <v>View</v>
      </c>
      <c r="P3265" s="11"/>
    </row>
    <row r="3266" spans="1:16" ht="12.75" x14ac:dyDescent="0.35">
      <c r="A3266" s="7">
        <v>42482.674571759257</v>
      </c>
      <c r="B3266" s="8" t="str">
        <f>HYPERLINK("https://twitter.com/Ch4r32","@Ch4r32")</f>
        <v>@Ch4r32</v>
      </c>
      <c r="C3266" s="9" t="s">
        <v>2126</v>
      </c>
      <c r="D3266" s="9" t="s">
        <v>7957</v>
      </c>
      <c r="E3266" s="10" t="str">
        <f>HYPERLINK("https://twitter.com/Ch4r32/status/723461694089994240","723461694089994240")</f>
        <v>723461694089994240</v>
      </c>
      <c r="F3266" s="11" t="s">
        <v>114</v>
      </c>
      <c r="G3266" s="11">
        <v>396</v>
      </c>
      <c r="H3266" s="11">
        <v>575</v>
      </c>
      <c r="I3266" s="11">
        <v>0</v>
      </c>
      <c r="J3266" s="11">
        <v>0</v>
      </c>
      <c r="K3266" s="11" t="s">
        <v>21</v>
      </c>
      <c r="L3266" s="7">
        <v>39970.396851851852</v>
      </c>
      <c r="M3266" s="12" t="s">
        <v>2128</v>
      </c>
      <c r="N3266" s="12" t="s">
        <v>2129</v>
      </c>
      <c r="O3266" s="10" t="str">
        <f>HYPERLINK("https://pbs.twimg.com/profile_images/661245109216915456/IYc4wvrt_normal.jpg","View")</f>
        <v>View</v>
      </c>
      <c r="P3266" s="10" t="str">
        <f>HYPERLINK("http://ctrlq.org/maps/address/#41.59824645,-70.64859385","Map")</f>
        <v>Map</v>
      </c>
    </row>
    <row r="3267" spans="1:16" ht="12.75" x14ac:dyDescent="0.35">
      <c r="A3267" s="7">
        <v>42482.675243055557</v>
      </c>
      <c r="B3267" s="8" t="str">
        <f>HYPERLINK("https://twitter.com/Gunna14921","@Gunna14921")</f>
        <v>@Gunna14921</v>
      </c>
      <c r="C3267" s="9" t="s">
        <v>7958</v>
      </c>
      <c r="D3267" s="9" t="s">
        <v>7794</v>
      </c>
      <c r="E3267" s="10" t="str">
        <f>HYPERLINK("https://twitter.com/Gunna14921/status/723461936126517248","723461936126517248")</f>
        <v>723461936126517248</v>
      </c>
      <c r="F3267" s="11" t="s">
        <v>20</v>
      </c>
      <c r="G3267" s="11">
        <v>22</v>
      </c>
      <c r="H3267" s="11">
        <v>74</v>
      </c>
      <c r="I3267" s="11">
        <v>5</v>
      </c>
      <c r="J3267" s="11">
        <v>0</v>
      </c>
      <c r="K3267" s="11" t="s">
        <v>21</v>
      </c>
      <c r="L3267" s="7">
        <v>42356.432094907403</v>
      </c>
      <c r="M3267" s="12" t="s">
        <v>7959</v>
      </c>
      <c r="N3267" s="12" t="s">
        <v>7960</v>
      </c>
      <c r="O3267" s="10" t="str">
        <f>HYPERLINK("https://pbs.twimg.com/profile_images/688270319157547009/G2GNsNnu_normal.jpg","View")</f>
        <v>View</v>
      </c>
      <c r="P3267" s="11"/>
    </row>
    <row r="3268" spans="1:16" ht="12.75" x14ac:dyDescent="0.35">
      <c r="A3268" s="7">
        <v>42482.676273148143</v>
      </c>
      <c r="B3268" s="8" t="str">
        <f>HYPERLINK("https://twitter.com/kalininalenina","@kalininalenina")</f>
        <v>@kalininalenina</v>
      </c>
      <c r="C3268" s="9" t="s">
        <v>7961</v>
      </c>
      <c r="D3268" s="9" t="s">
        <v>7962</v>
      </c>
      <c r="E3268" s="10" t="str">
        <f>HYPERLINK("https://twitter.com/kalininalenina/status/723462310778527744","723462310778527744")</f>
        <v>723462310778527744</v>
      </c>
      <c r="F3268" s="11" t="s">
        <v>43</v>
      </c>
      <c r="G3268" s="11">
        <v>300</v>
      </c>
      <c r="H3268" s="11">
        <v>264</v>
      </c>
      <c r="I3268" s="11">
        <v>0</v>
      </c>
      <c r="J3268" s="11">
        <v>0</v>
      </c>
      <c r="K3268" s="11" t="s">
        <v>21</v>
      </c>
      <c r="L3268" s="7">
        <v>42439.795659722222</v>
      </c>
      <c r="M3268" s="12"/>
      <c r="N3268" s="12"/>
      <c r="O3268" s="10" t="str">
        <f>HYPERLINK("https://pbs.twimg.com/profile_images/707923436509601792/ptTU4_Xm_normal.jpg","View")</f>
        <v>View</v>
      </c>
      <c r="P3268" s="11"/>
    </row>
    <row r="3269" spans="1:16" ht="12.75" x14ac:dyDescent="0.35">
      <c r="A3269" s="7">
        <v>42482.67664351852</v>
      </c>
      <c r="B3269" s="8" t="str">
        <f>HYPERLINK("https://twitter.com/supreuss","@supreuss")</f>
        <v>@supreuss</v>
      </c>
      <c r="C3269" s="9" t="s">
        <v>7963</v>
      </c>
      <c r="D3269" s="9" t="s">
        <v>7964</v>
      </c>
      <c r="E3269" s="10" t="str">
        <f>HYPERLINK("https://twitter.com/supreuss/status/723462445495365633","723462445495365633")</f>
        <v>723462445495365633</v>
      </c>
      <c r="F3269" s="11" t="s">
        <v>43</v>
      </c>
      <c r="G3269" s="11">
        <v>1051</v>
      </c>
      <c r="H3269" s="11">
        <v>665</v>
      </c>
      <c r="I3269" s="11">
        <v>0</v>
      </c>
      <c r="J3269" s="11">
        <v>0</v>
      </c>
      <c r="K3269" s="11" t="s">
        <v>21</v>
      </c>
      <c r="L3269" s="7">
        <v>40410.570567129631</v>
      </c>
      <c r="M3269" s="12" t="s">
        <v>7965</v>
      </c>
      <c r="N3269" s="12" t="s">
        <v>7966</v>
      </c>
      <c r="O3269" s="10" t="str">
        <f>HYPERLINK("https://pbs.twimg.com/profile_images/378800000811699856/2d9d28a16a6d19d62c1a42ee438b8b41_normal.jpeg","View")</f>
        <v>View</v>
      </c>
      <c r="P3269" s="11"/>
    </row>
    <row r="3270" spans="1:16" ht="12.75" x14ac:dyDescent="0.35">
      <c r="A3270" s="7">
        <v>42482.677233796298</v>
      </c>
      <c r="B3270" s="8" t="str">
        <f>HYPERLINK("https://twitter.com/stekauf","@stekauf")</f>
        <v>@stekauf</v>
      </c>
      <c r="C3270" s="9" t="s">
        <v>3324</v>
      </c>
      <c r="D3270" s="9" t="s">
        <v>7967</v>
      </c>
      <c r="E3270" s="10" t="str">
        <f>HYPERLINK("https://twitter.com/stekauf/status/723462657093840896","723462657093840896")</f>
        <v>723462657093840896</v>
      </c>
      <c r="F3270" s="11" t="s">
        <v>193</v>
      </c>
      <c r="G3270" s="11">
        <v>943</v>
      </c>
      <c r="H3270" s="11">
        <v>516</v>
      </c>
      <c r="I3270" s="11">
        <v>0</v>
      </c>
      <c r="J3270" s="11">
        <v>0</v>
      </c>
      <c r="K3270" s="11" t="s">
        <v>21</v>
      </c>
      <c r="L3270" s="7">
        <v>40181.064282407409</v>
      </c>
      <c r="M3270" s="12" t="s">
        <v>975</v>
      </c>
      <c r="N3270" s="12" t="s">
        <v>3326</v>
      </c>
      <c r="O3270" s="10" t="str">
        <f>HYPERLINK("https://pbs.twimg.com/profile_images/607750884/Kaufmann_neu_normal.jpg","View")</f>
        <v>View</v>
      </c>
      <c r="P3270" s="11"/>
    </row>
    <row r="3271" spans="1:16" ht="12.75" x14ac:dyDescent="0.35">
      <c r="A3271" s="7">
        <v>42482.677870370375</v>
      </c>
      <c r="B3271" s="8" t="str">
        <f>HYPERLINK("https://twitter.com/SammiLeopold08","@SammiLeopold08")</f>
        <v>@SammiLeopold08</v>
      </c>
      <c r="C3271" s="9" t="s">
        <v>4889</v>
      </c>
      <c r="D3271" s="9" t="s">
        <v>7794</v>
      </c>
      <c r="E3271" s="10" t="str">
        <f>HYPERLINK("https://twitter.com/SammiLeopold08/status/723462887176585216","723462887176585216")</f>
        <v>723462887176585216</v>
      </c>
      <c r="F3271" s="11" t="s">
        <v>48</v>
      </c>
      <c r="G3271" s="11">
        <v>309</v>
      </c>
      <c r="H3271" s="11">
        <v>193</v>
      </c>
      <c r="I3271" s="11">
        <v>6</v>
      </c>
      <c r="J3271" s="11">
        <v>0</v>
      </c>
      <c r="K3271" s="11" t="s">
        <v>21</v>
      </c>
      <c r="L3271" s="7">
        <v>42430.121898148151</v>
      </c>
      <c r="M3271" s="12" t="s">
        <v>4890</v>
      </c>
      <c r="N3271" s="12" t="s">
        <v>4891</v>
      </c>
      <c r="O3271" s="10" t="str">
        <f>HYPERLINK("https://pbs.twimg.com/profile_images/704420155196116992/QCcpm5r8_normal.jpg","View")</f>
        <v>View</v>
      </c>
      <c r="P3271" s="11"/>
    </row>
    <row r="3272" spans="1:16" ht="12.75" x14ac:dyDescent="0.35">
      <c r="A3272" s="7">
        <v>42482.678518518514</v>
      </c>
      <c r="B3272" s="8" t="str">
        <f>HYPERLINK("https://twitter.com/VWBeetleSales","@VWBeetleSales")</f>
        <v>@VWBeetleSales</v>
      </c>
      <c r="C3272" s="9" t="s">
        <v>127</v>
      </c>
      <c r="D3272" s="9" t="s">
        <v>7968</v>
      </c>
      <c r="E3272" s="10" t="str">
        <f>HYPERLINK("https://twitter.com/VWBeetleSales/status/723463123013758977","723463123013758977")</f>
        <v>723463123013758977</v>
      </c>
      <c r="F3272" s="10" t="s">
        <v>124</v>
      </c>
      <c r="G3272" s="11">
        <v>36</v>
      </c>
      <c r="H3272" s="11">
        <v>32</v>
      </c>
      <c r="I3272" s="11">
        <v>0</v>
      </c>
      <c r="J3272" s="11">
        <v>0</v>
      </c>
      <c r="K3272" s="11" t="s">
        <v>21</v>
      </c>
      <c r="L3272" s="7">
        <v>42427.019756944443</v>
      </c>
      <c r="M3272" s="12" t="s">
        <v>129</v>
      </c>
      <c r="N3272" s="12" t="s">
        <v>130</v>
      </c>
      <c r="O3272" s="10" t="str">
        <f>HYPERLINK("https://pbs.twimg.com/profile_images/703294545195307008/qeCvrX86_normal.jpg","View")</f>
        <v>View</v>
      </c>
      <c r="P3272" s="11"/>
    </row>
    <row r="3273" spans="1:16" ht="12.75" x14ac:dyDescent="0.35">
      <c r="A3273" s="7">
        <v>42482.678599537037</v>
      </c>
      <c r="B3273" s="8" t="str">
        <f>HYPERLINK("https://twitter.com/greenandbrown1","@greenandbrown1")</f>
        <v>@greenandbrown1</v>
      </c>
      <c r="C3273" s="9" t="s">
        <v>7969</v>
      </c>
      <c r="D3273" s="9" t="s">
        <v>7970</v>
      </c>
      <c r="E3273" s="10" t="str">
        <f>HYPERLINK("https://twitter.com/greenandbrown1/status/723463153691049985","723463153691049985")</f>
        <v>723463153691049985</v>
      </c>
      <c r="F3273" s="11" t="s">
        <v>367</v>
      </c>
      <c r="G3273" s="11">
        <v>80</v>
      </c>
      <c r="H3273" s="11">
        <v>535</v>
      </c>
      <c r="I3273" s="11">
        <v>0</v>
      </c>
      <c r="J3273" s="11">
        <v>0</v>
      </c>
      <c r="K3273" s="11" t="s">
        <v>21</v>
      </c>
      <c r="L3273" s="7">
        <v>40295.654340277775</v>
      </c>
      <c r="M3273" s="12" t="s">
        <v>7971</v>
      </c>
      <c r="N3273" s="12"/>
      <c r="O3273" s="10" t="str">
        <f>HYPERLINK("https://pbs.twimg.com/profile_images/378800000483266825/04beb03e7b0362b2274289c3a31f23cb_normal.jpeg","View")</f>
        <v>View</v>
      </c>
      <c r="P3273" s="11"/>
    </row>
    <row r="3274" spans="1:16" ht="12.75" x14ac:dyDescent="0.35">
      <c r="A3274" s="7">
        <v>42482.679027777776</v>
      </c>
      <c r="B3274" s="8" t="str">
        <f>HYPERLINK("https://twitter.com/theautowriter","@theautowriter")</f>
        <v>@theautowriter</v>
      </c>
      <c r="C3274" s="9" t="s">
        <v>7972</v>
      </c>
      <c r="D3274" s="9" t="s">
        <v>5208</v>
      </c>
      <c r="E3274" s="10" t="str">
        <f>HYPERLINK("https://twitter.com/theautowriter/status/723463309673017344","723463309673017344")</f>
        <v>723463309673017344</v>
      </c>
      <c r="F3274" s="11" t="s">
        <v>20</v>
      </c>
      <c r="G3274" s="11">
        <v>9076</v>
      </c>
      <c r="H3274" s="11">
        <v>7354</v>
      </c>
      <c r="I3274" s="11">
        <v>7</v>
      </c>
      <c r="J3274" s="11">
        <v>0</v>
      </c>
      <c r="K3274" s="11" t="s">
        <v>21</v>
      </c>
      <c r="L3274" s="7">
        <v>39974.971400462964</v>
      </c>
      <c r="M3274" s="12" t="s">
        <v>7973</v>
      </c>
      <c r="N3274" s="12" t="s">
        <v>7974</v>
      </c>
      <c r="O3274" s="10" t="str">
        <f>HYPERLINK("https://pbs.twimg.com/profile_images/667151479518666752/TdpI6AEf_normal.jpg","View")</f>
        <v>View</v>
      </c>
      <c r="P3274" s="11"/>
    </row>
    <row r="3275" spans="1:16" ht="12.75" x14ac:dyDescent="0.35">
      <c r="A3275" s="7">
        <v>42482.679224537038</v>
      </c>
      <c r="B3275" s="8" t="str">
        <f>HYPERLINK("https://twitter.com/oe1journale","@oe1journale")</f>
        <v>@oe1journale</v>
      </c>
      <c r="C3275" s="9" t="s">
        <v>7975</v>
      </c>
      <c r="D3275" s="9" t="s">
        <v>7976</v>
      </c>
      <c r="E3275" s="10" t="str">
        <f>HYPERLINK("https://twitter.com/oe1journale/status/723463379151671297","723463379151671297")</f>
        <v>723463379151671297</v>
      </c>
      <c r="F3275" s="10" t="s">
        <v>7977</v>
      </c>
      <c r="G3275" s="11">
        <v>8973</v>
      </c>
      <c r="H3275" s="11">
        <v>1323</v>
      </c>
      <c r="I3275" s="11">
        <v>0</v>
      </c>
      <c r="J3275" s="11">
        <v>0</v>
      </c>
      <c r="K3275" s="11" t="s">
        <v>21</v>
      </c>
      <c r="L3275" s="7">
        <v>39848.921331018515</v>
      </c>
      <c r="M3275" s="12"/>
      <c r="N3275" s="12" t="s">
        <v>7978</v>
      </c>
      <c r="O3275" s="10" t="str">
        <f>HYPERLINK("https://pbs.twimg.com/profile_images/378800000190598515/0ec3ca5a29efb0275fcedc5ecc178493_normal.png","View")</f>
        <v>View</v>
      </c>
      <c r="P3275" s="11"/>
    </row>
    <row r="3276" spans="1:16" ht="12.75" x14ac:dyDescent="0.35">
      <c r="A3276" s="7">
        <v>42482.679641203707</v>
      </c>
      <c r="B3276" s="8" t="str">
        <f>HYPERLINK("https://twitter.com/AFECTADOGRUPOVW","@AFECTADOGRUPOVW")</f>
        <v>@AFECTADOGRUPOVW</v>
      </c>
      <c r="C3276" s="9" t="s">
        <v>1593</v>
      </c>
      <c r="D3276" s="9" t="s">
        <v>7979</v>
      </c>
      <c r="E3276" s="10" t="str">
        <f>HYPERLINK("https://twitter.com/AFECTADOGRUPOVW/status/723463528871518208","723463528871518208")</f>
        <v>723463528871518208</v>
      </c>
      <c r="F3276" s="11" t="s">
        <v>43</v>
      </c>
      <c r="G3276" s="11">
        <v>1770</v>
      </c>
      <c r="H3276" s="11">
        <v>4908</v>
      </c>
      <c r="I3276" s="11">
        <v>1</v>
      </c>
      <c r="J3276" s="11">
        <v>0</v>
      </c>
      <c r="K3276" s="11" t="s">
        <v>21</v>
      </c>
      <c r="L3276" s="7">
        <v>42278.624814814815</v>
      </c>
      <c r="M3276" s="12" t="s">
        <v>1595</v>
      </c>
      <c r="N3276" s="12" t="s">
        <v>7980</v>
      </c>
      <c r="O3276" s="10" t="str">
        <f>HYPERLINK("https://pbs.twimg.com/profile_images/649519091892531200/gFXmbSPM_normal.jpg","View")</f>
        <v>View</v>
      </c>
      <c r="P3276" s="11"/>
    </row>
    <row r="3277" spans="1:16" ht="12.75" x14ac:dyDescent="0.35">
      <c r="A3277" s="7">
        <v>42482.6796875</v>
      </c>
      <c r="B3277" s="8" t="str">
        <f t="shared" ref="B3277:B3278" si="320">HYPERLINK("https://twitter.com/oe1journale","@oe1journale")</f>
        <v>@oe1journale</v>
      </c>
      <c r="C3277" s="9" t="s">
        <v>7975</v>
      </c>
      <c r="D3277" s="9" t="s">
        <v>7981</v>
      </c>
      <c r="E3277" s="10" t="str">
        <f>HYPERLINK("https://twitter.com/oe1journale/status/723463548639272960","723463548639272960")</f>
        <v>723463548639272960</v>
      </c>
      <c r="F3277" s="10" t="s">
        <v>7977</v>
      </c>
      <c r="G3277" s="11">
        <v>8973</v>
      </c>
      <c r="H3277" s="11">
        <v>1323</v>
      </c>
      <c r="I3277" s="11">
        <v>0</v>
      </c>
      <c r="J3277" s="11">
        <v>0</v>
      </c>
      <c r="K3277" s="11" t="s">
        <v>21</v>
      </c>
      <c r="L3277" s="7">
        <v>39848.921331018515</v>
      </c>
      <c r="M3277" s="12"/>
      <c r="N3277" s="12" t="s">
        <v>7978</v>
      </c>
      <c r="O3277" s="10" t="str">
        <f t="shared" ref="O3277:O3278" si="321">HYPERLINK("https://pbs.twimg.com/profile_images/378800000190598515/0ec3ca5a29efb0275fcedc5ecc178493_normal.png","View")</f>
        <v>View</v>
      </c>
      <c r="P3277" s="11"/>
    </row>
    <row r="3278" spans="1:16" ht="12.75" x14ac:dyDescent="0.35">
      <c r="A3278" s="7">
        <v>42482.680081018523</v>
      </c>
      <c r="B3278" s="8" t="str">
        <f t="shared" si="320"/>
        <v>@oe1journale</v>
      </c>
      <c r="C3278" s="9" t="s">
        <v>7975</v>
      </c>
      <c r="D3278" s="9" t="s">
        <v>7982</v>
      </c>
      <c r="E3278" s="10" t="str">
        <f>HYPERLINK("https://twitter.com/oe1journale/status/723463690247393280","723463690247393280")</f>
        <v>723463690247393280</v>
      </c>
      <c r="F3278" s="10" t="s">
        <v>7977</v>
      </c>
      <c r="G3278" s="11">
        <v>8973</v>
      </c>
      <c r="H3278" s="11">
        <v>1323</v>
      </c>
      <c r="I3278" s="11">
        <v>0</v>
      </c>
      <c r="J3278" s="11">
        <v>0</v>
      </c>
      <c r="K3278" s="11" t="s">
        <v>21</v>
      </c>
      <c r="L3278" s="7">
        <v>39848.921331018515</v>
      </c>
      <c r="M3278" s="12"/>
      <c r="N3278" s="12" t="s">
        <v>7978</v>
      </c>
      <c r="O3278" s="10" t="str">
        <f t="shared" si="321"/>
        <v>View</v>
      </c>
      <c r="P3278" s="11"/>
    </row>
    <row r="3279" spans="1:16" ht="12.75" x14ac:dyDescent="0.35">
      <c r="A3279" s="7">
        <v>42482.680196759262</v>
      </c>
      <c r="B3279" s="8" t="str">
        <f>HYPERLINK("https://twitter.com/handelsblatt","@handelsblatt")</f>
        <v>@handelsblatt</v>
      </c>
      <c r="C3279" s="9" t="s">
        <v>973</v>
      </c>
      <c r="D3279" s="9" t="s">
        <v>7983</v>
      </c>
      <c r="E3279" s="10" t="str">
        <f>HYPERLINK("https://twitter.com/handelsblatt/status/723463732546945024","723463732546945024")</f>
        <v>723463732546945024</v>
      </c>
      <c r="F3279" s="11" t="s">
        <v>288</v>
      </c>
      <c r="G3279" s="11">
        <v>239933</v>
      </c>
      <c r="H3279" s="11">
        <v>535</v>
      </c>
      <c r="I3279" s="11">
        <v>3</v>
      </c>
      <c r="J3279" s="11">
        <v>0</v>
      </c>
      <c r="K3279" s="11" t="s">
        <v>21</v>
      </c>
      <c r="L3279" s="7">
        <v>39207.128182870372</v>
      </c>
      <c r="M3279" s="12" t="s">
        <v>975</v>
      </c>
      <c r="N3279" s="12" t="s">
        <v>976</v>
      </c>
      <c r="O3279" s="10" t="str">
        <f>HYPERLINK("https://pbs.twimg.com/profile_images/562563461171798017/AkHF4keI_normal.png","View")</f>
        <v>View</v>
      </c>
      <c r="P3279" s="11"/>
    </row>
    <row r="3280" spans="1:16" ht="12.75" x14ac:dyDescent="0.35">
      <c r="A3280" s="7">
        <v>42482.680439814816</v>
      </c>
      <c r="B3280" s="8" t="str">
        <f>HYPERLINK("https://twitter.com/Federalnaba","@Federalnaba")</f>
        <v>@Federalnaba</v>
      </c>
      <c r="C3280" s="8" t="s">
        <v>1776</v>
      </c>
      <c r="D3280" s="9" t="s">
        <v>7984</v>
      </c>
      <c r="E3280" s="10" t="str">
        <f>HYPERLINK("https://twitter.com/Federalnaba/status/723463821189361664","723463821189361664")</f>
        <v>723463821189361664</v>
      </c>
      <c r="F3280" s="11" t="s">
        <v>53</v>
      </c>
      <c r="G3280" s="11">
        <v>193</v>
      </c>
      <c r="H3280" s="11">
        <v>41</v>
      </c>
      <c r="I3280" s="11">
        <v>0</v>
      </c>
      <c r="J3280" s="11">
        <v>0</v>
      </c>
      <c r="K3280" s="11" t="s">
        <v>21</v>
      </c>
      <c r="L3280" s="7">
        <v>41206.83079861111</v>
      </c>
      <c r="M3280" s="12" t="s">
        <v>1778</v>
      </c>
      <c r="N3280" s="12" t="s">
        <v>1779</v>
      </c>
      <c r="O3280" s="10" t="str">
        <f>HYPERLINK("https://pbs.twimg.com/profile_images/578163971032674304/5-_WwSf__normal.jpeg","View")</f>
        <v>View</v>
      </c>
      <c r="P3280" s="11"/>
    </row>
    <row r="3281" spans="1:16" ht="12.75" x14ac:dyDescent="0.35">
      <c r="A3281" s="7">
        <v>42482.68074074074</v>
      </c>
      <c r="B3281" s="8" t="str">
        <f>HYPERLINK("https://twitter.com/AFECTADOGRUPOVW","@AFECTADOGRUPOVW")</f>
        <v>@AFECTADOGRUPOVW</v>
      </c>
      <c r="C3281" s="9" t="s">
        <v>1593</v>
      </c>
      <c r="D3281" s="9" t="s">
        <v>7985</v>
      </c>
      <c r="E3281" s="10" t="str">
        <f>HYPERLINK("https://twitter.com/AFECTADOGRUPOVW/status/723463927078748160","723463927078748160")</f>
        <v>723463927078748160</v>
      </c>
      <c r="F3281" s="11" t="s">
        <v>43</v>
      </c>
      <c r="G3281" s="11">
        <v>1770</v>
      </c>
      <c r="H3281" s="11">
        <v>4908</v>
      </c>
      <c r="I3281" s="11">
        <v>1</v>
      </c>
      <c r="J3281" s="11">
        <v>0</v>
      </c>
      <c r="K3281" s="11" t="s">
        <v>21</v>
      </c>
      <c r="L3281" s="7">
        <v>42278.624814814815</v>
      </c>
      <c r="M3281" s="12" t="s">
        <v>1595</v>
      </c>
      <c r="N3281" s="12" t="s">
        <v>7980</v>
      </c>
      <c r="O3281" s="10" t="str">
        <f>HYPERLINK("https://pbs.twimg.com/profile_images/649519091892531200/gFXmbSPM_normal.jpg","View")</f>
        <v>View</v>
      </c>
      <c r="P3281" s="11"/>
    </row>
    <row r="3282" spans="1:16" ht="12.75" x14ac:dyDescent="0.35">
      <c r="A3282" s="7">
        <v>42482.681122685186</v>
      </c>
      <c r="B3282" s="8" t="str">
        <f>HYPERLINK("https://twitter.com/Matt_Barbera2","@Matt_Barbera2")</f>
        <v>@Matt_Barbera2</v>
      </c>
      <c r="C3282" s="9" t="s">
        <v>7986</v>
      </c>
      <c r="D3282" s="9" t="s">
        <v>6352</v>
      </c>
      <c r="E3282" s="10" t="str">
        <f>HYPERLINK("https://twitter.com/Matt_Barbera2/status/723464065713053696","723464065713053696")</f>
        <v>723464065713053696</v>
      </c>
      <c r="F3282" s="11" t="s">
        <v>20</v>
      </c>
      <c r="G3282" s="11">
        <v>193</v>
      </c>
      <c r="H3282" s="11">
        <v>82</v>
      </c>
      <c r="I3282" s="11">
        <v>30</v>
      </c>
      <c r="J3282" s="11">
        <v>0</v>
      </c>
      <c r="K3282" s="11" t="s">
        <v>21</v>
      </c>
      <c r="L3282" s="7">
        <v>41255.377905092595</v>
      </c>
      <c r="M3282" s="12"/>
      <c r="N3282" s="12" t="s">
        <v>7987</v>
      </c>
      <c r="O3282" s="10" t="str">
        <f>HYPERLINK("https://pbs.twimg.com/profile_images/722247394377777152/68jeiqXN_normal.jpg","View")</f>
        <v>View</v>
      </c>
      <c r="P3282" s="11"/>
    </row>
    <row r="3283" spans="1:16" ht="12.75" x14ac:dyDescent="0.35">
      <c r="A3283" s="7">
        <v>42482.681701388894</v>
      </c>
      <c r="B3283" s="8" t="str">
        <f>HYPERLINK("https://twitter.com/MaxNLamping","@MaxNLamping")</f>
        <v>@MaxNLamping</v>
      </c>
      <c r="C3283" s="9" t="s">
        <v>7988</v>
      </c>
      <c r="D3283" s="9" t="s">
        <v>7983</v>
      </c>
      <c r="E3283" s="10" t="str">
        <f>HYPERLINK("https://twitter.com/MaxNLamping/status/723464276736921600","723464276736921600")</f>
        <v>723464276736921600</v>
      </c>
      <c r="F3283" s="11" t="s">
        <v>43</v>
      </c>
      <c r="G3283" s="11">
        <v>0</v>
      </c>
      <c r="H3283" s="11">
        <v>85</v>
      </c>
      <c r="I3283" s="11">
        <v>3</v>
      </c>
      <c r="J3283" s="11">
        <v>0</v>
      </c>
      <c r="K3283" s="11" t="s">
        <v>21</v>
      </c>
      <c r="L3283" s="7">
        <v>42482.659768518519</v>
      </c>
      <c r="M3283" s="12"/>
      <c r="N3283" s="12"/>
      <c r="O3283" s="10" t="str">
        <f>HYPERLINK("https://pbs.twimg.com/profile_images/723457064022990848/1ciWrfEj_normal.jpg","View")</f>
        <v>View</v>
      </c>
      <c r="P3283" s="11"/>
    </row>
    <row r="3284" spans="1:16" ht="12.75" x14ac:dyDescent="0.35">
      <c r="A3284" s="7">
        <v>42482.682395833333</v>
      </c>
      <c r="B3284" s="8" t="str">
        <f>HYPERLINK("https://twitter.com/gruenwolfenergy","@gruenwolfenergy")</f>
        <v>@gruenwolfenergy</v>
      </c>
      <c r="C3284" s="9" t="s">
        <v>7989</v>
      </c>
      <c r="D3284" s="9" t="s">
        <v>7990</v>
      </c>
      <c r="E3284" s="10" t="str">
        <f>HYPERLINK("https://twitter.com/gruenwolfenergy/status/723464527057149952","723464527057149952")</f>
        <v>723464527057149952</v>
      </c>
      <c r="F3284" s="11" t="s">
        <v>43</v>
      </c>
      <c r="G3284" s="11">
        <v>367</v>
      </c>
      <c r="H3284" s="11">
        <v>776</v>
      </c>
      <c r="I3284" s="11">
        <v>0</v>
      </c>
      <c r="J3284" s="11">
        <v>0</v>
      </c>
      <c r="K3284" s="11" t="s">
        <v>21</v>
      </c>
      <c r="L3284" s="7">
        <v>41020.101319444446</v>
      </c>
      <c r="M3284" s="12"/>
      <c r="N3284" s="12" t="s">
        <v>7991</v>
      </c>
      <c r="O3284" s="10" t="str">
        <f>HYPERLINK("https://pbs.twimg.com/profile_images/525999389848776704/m3_9gBg9_normal.jpeg","View")</f>
        <v>View</v>
      </c>
      <c r="P3284" s="11"/>
    </row>
    <row r="3285" spans="1:16" ht="12.75" x14ac:dyDescent="0.35">
      <c r="A3285" s="7">
        <v>42482.68304398148</v>
      </c>
      <c r="B3285" s="8" t="str">
        <f>HYPERLINK("https://twitter.com/FOCUS_MONEY","@FOCUS_MONEY")</f>
        <v>@FOCUS_MONEY</v>
      </c>
      <c r="C3285" s="9" t="s">
        <v>7992</v>
      </c>
      <c r="D3285" s="9" t="s">
        <v>7993</v>
      </c>
      <c r="E3285" s="10" t="str">
        <f>HYPERLINK("https://twitter.com/FOCUS_MONEY/status/723464762181443584","723464762181443584")</f>
        <v>723464762181443584</v>
      </c>
      <c r="F3285" s="11" t="s">
        <v>43</v>
      </c>
      <c r="G3285" s="11">
        <v>994</v>
      </c>
      <c r="H3285" s="11">
        <v>167</v>
      </c>
      <c r="I3285" s="11">
        <v>0</v>
      </c>
      <c r="J3285" s="11">
        <v>0</v>
      </c>
      <c r="K3285" s="11" t="s">
        <v>21</v>
      </c>
      <c r="L3285" s="7">
        <v>40564.840729166666</v>
      </c>
      <c r="M3285" s="12" t="s">
        <v>1931</v>
      </c>
      <c r="N3285" s="12" t="s">
        <v>7994</v>
      </c>
      <c r="O3285" s="10" t="str">
        <f>HYPERLINK("https://pbs.twimg.com/profile_images/1221827704/Focus-MONEY-logo_normal.jpg","View")</f>
        <v>View</v>
      </c>
      <c r="P3285" s="11"/>
    </row>
    <row r="3286" spans="1:16" ht="12.75" x14ac:dyDescent="0.35">
      <c r="A3286" s="7">
        <v>42482.68304398148</v>
      </c>
      <c r="B3286" s="8" t="str">
        <f>HYPERLINK("https://twitter.com/AFECTADOGRUPOVW","@AFECTADOGRUPOVW")</f>
        <v>@AFECTADOGRUPOVW</v>
      </c>
      <c r="C3286" s="9" t="s">
        <v>1593</v>
      </c>
      <c r="D3286" s="9" t="s">
        <v>7995</v>
      </c>
      <c r="E3286" s="10" t="str">
        <f>HYPERLINK("https://twitter.com/AFECTADOGRUPOVW/status/723464765054550016","723464765054550016")</f>
        <v>723464765054550016</v>
      </c>
      <c r="F3286" s="11" t="s">
        <v>43</v>
      </c>
      <c r="G3286" s="11">
        <v>1770</v>
      </c>
      <c r="H3286" s="11">
        <v>4908</v>
      </c>
      <c r="I3286" s="11">
        <v>0</v>
      </c>
      <c r="J3286" s="11">
        <v>0</v>
      </c>
      <c r="K3286" s="11" t="s">
        <v>21</v>
      </c>
      <c r="L3286" s="7">
        <v>42278.624814814815</v>
      </c>
      <c r="M3286" s="12" t="s">
        <v>1595</v>
      </c>
      <c r="N3286" s="12" t="s">
        <v>7980</v>
      </c>
      <c r="O3286" s="10" t="str">
        <f>HYPERLINK("https://pbs.twimg.com/profile_images/649519091892531200/gFXmbSPM_normal.jpg","View")</f>
        <v>View</v>
      </c>
      <c r="P3286" s="11"/>
    </row>
    <row r="3287" spans="1:16" ht="12.75" x14ac:dyDescent="0.35">
      <c r="A3287" s="7">
        <v>42482.683078703703</v>
      </c>
      <c r="B3287" s="8" t="str">
        <f>HYPERLINK("https://twitter.com/cldiosanz","@cldiosanz")</f>
        <v>@cldiosanz</v>
      </c>
      <c r="C3287" s="9" t="s">
        <v>7996</v>
      </c>
      <c r="D3287" s="9" t="s">
        <v>7832</v>
      </c>
      <c r="E3287" s="10" t="str">
        <f>HYPERLINK("https://twitter.com/cldiosanz/status/723464777037701120","723464777037701120")</f>
        <v>723464777037701120</v>
      </c>
      <c r="F3287" s="11" t="s">
        <v>48</v>
      </c>
      <c r="G3287" s="11">
        <v>331</v>
      </c>
      <c r="H3287" s="11">
        <v>146</v>
      </c>
      <c r="I3287" s="11">
        <v>4</v>
      </c>
      <c r="J3287" s="11">
        <v>0</v>
      </c>
      <c r="K3287" s="11" t="s">
        <v>21</v>
      </c>
      <c r="L3287" s="7">
        <v>40747.306979166664</v>
      </c>
      <c r="M3287" s="12" t="s">
        <v>7997</v>
      </c>
      <c r="N3287" s="12" t="s">
        <v>7998</v>
      </c>
      <c r="O3287" s="10" t="str">
        <f>HYPERLINK("https://pbs.twimg.com/profile_images/702139785926877184/8xU3hRg0_normal.jpg","View")</f>
        <v>View</v>
      </c>
      <c r="P3287" s="11"/>
    </row>
    <row r="3288" spans="1:16" ht="12.75" x14ac:dyDescent="0.35">
      <c r="A3288" s="7">
        <v>42482.683576388888</v>
      </c>
      <c r="B3288" s="8" t="str">
        <f>HYPERLINK("https://twitter.com/dubengeldu","@dubengeldu")</f>
        <v>@dubengeldu</v>
      </c>
      <c r="C3288" s="9" t="s">
        <v>7999</v>
      </c>
      <c r="D3288" s="9" t="s">
        <v>8000</v>
      </c>
      <c r="E3288" s="10" t="str">
        <f>HYPERLINK("https://twitter.com/dubengeldu/status/723464957296316420","723464957296316420")</f>
        <v>723464957296316420</v>
      </c>
      <c r="F3288" s="11" t="s">
        <v>2154</v>
      </c>
      <c r="G3288" s="11">
        <v>858</v>
      </c>
      <c r="H3288" s="11">
        <v>2359</v>
      </c>
      <c r="I3288" s="11">
        <v>0</v>
      </c>
      <c r="J3288" s="11">
        <v>0</v>
      </c>
      <c r="K3288" s="11" t="s">
        <v>21</v>
      </c>
      <c r="L3288" s="7">
        <v>41586.205046296294</v>
      </c>
      <c r="M3288" s="12" t="s">
        <v>8001</v>
      </c>
      <c r="N3288" s="12" t="s">
        <v>8002</v>
      </c>
      <c r="O3288" s="10" t="str">
        <f>HYPERLINK("https://pbs.twimg.com/profile_images/680375152236982273/xNdXI6IP_normal.jpg","View")</f>
        <v>View</v>
      </c>
      <c r="P3288" s="11"/>
    </row>
    <row r="3289" spans="1:16" ht="12.75" x14ac:dyDescent="0.35">
      <c r="A3289" s="7">
        <v>42482.68368055555</v>
      </c>
      <c r="B3289" s="8" t="str">
        <f>HYPERLINK("https://twitter.com/dermysh","@dermysh")</f>
        <v>@dermysh</v>
      </c>
      <c r="C3289" s="9" t="s">
        <v>8003</v>
      </c>
      <c r="D3289" s="9" t="s">
        <v>7820</v>
      </c>
      <c r="E3289" s="10" t="str">
        <f>HYPERLINK("https://twitter.com/dermysh/status/723464992251621377","723464992251621377")</f>
        <v>723464992251621377</v>
      </c>
      <c r="F3289" s="11" t="s">
        <v>43</v>
      </c>
      <c r="G3289" s="11">
        <v>118</v>
      </c>
      <c r="H3289" s="11">
        <v>194</v>
      </c>
      <c r="I3289" s="11">
        <v>2</v>
      </c>
      <c r="J3289" s="11">
        <v>0</v>
      </c>
      <c r="K3289" s="11" t="s">
        <v>21</v>
      </c>
      <c r="L3289" s="7">
        <v>39995.651296296295</v>
      </c>
      <c r="M3289" s="12" t="s">
        <v>8004</v>
      </c>
      <c r="N3289" s="12" t="s">
        <v>8005</v>
      </c>
      <c r="O3289" s="10" t="str">
        <f>HYPERLINK("https://pbs.twimg.com/profile_images/2502753148/czh41uwtf2ms0632v818_normal.png","View")</f>
        <v>View</v>
      </c>
      <c r="P3289" s="11"/>
    </row>
    <row r="3290" spans="1:16" ht="12.75" x14ac:dyDescent="0.35">
      <c r="A3290" s="7">
        <v>42482.683981481481</v>
      </c>
      <c r="B3290" s="8" t="str">
        <f>HYPERLINK("https://twitter.com/xziggurat","@xziggurat")</f>
        <v>@xziggurat</v>
      </c>
      <c r="C3290" s="9" t="s">
        <v>8006</v>
      </c>
      <c r="D3290" s="9" t="s">
        <v>8007</v>
      </c>
      <c r="E3290" s="10" t="str">
        <f>HYPERLINK("https://twitter.com/xziggurat/status/723465102050099200","723465102050099200")</f>
        <v>723465102050099200</v>
      </c>
      <c r="F3290" s="11" t="s">
        <v>43</v>
      </c>
      <c r="G3290" s="11">
        <v>0</v>
      </c>
      <c r="H3290" s="11">
        <v>0</v>
      </c>
      <c r="I3290" s="11">
        <v>0</v>
      </c>
      <c r="J3290" s="11">
        <v>0</v>
      </c>
      <c r="K3290" s="11" t="s">
        <v>21</v>
      </c>
      <c r="L3290" s="7">
        <v>42479.064710648148</v>
      </c>
      <c r="M3290" s="12"/>
      <c r="N3290" s="12"/>
      <c r="O3290" s="10" t="str">
        <f>HYPERLINK("https://pbs.twimg.com/profile_images/722154158170746885/41M4G5UL_normal.jpg","View")</f>
        <v>View</v>
      </c>
      <c r="P3290" s="11"/>
    </row>
    <row r="3291" spans="1:16" ht="12.75" x14ac:dyDescent="0.35">
      <c r="A3291" s="7">
        <v>42482.684004629627</v>
      </c>
      <c r="B3291" s="8" t="str">
        <f>HYPERLINK("https://twitter.com/dw_business","@dw_business")</f>
        <v>@dw_business</v>
      </c>
      <c r="C3291" s="9" t="s">
        <v>3512</v>
      </c>
      <c r="D3291" s="9" t="s">
        <v>8008</v>
      </c>
      <c r="E3291" s="10" t="str">
        <f>HYPERLINK("https://twitter.com/dw_business/status/723465111709585408","723465111709585408")</f>
        <v>723465111709585408</v>
      </c>
      <c r="F3291" s="11" t="s">
        <v>63</v>
      </c>
      <c r="G3291" s="11">
        <v>6215</v>
      </c>
      <c r="H3291" s="11">
        <v>250</v>
      </c>
      <c r="I3291" s="11">
        <v>1</v>
      </c>
      <c r="J3291" s="11">
        <v>0</v>
      </c>
      <c r="K3291" s="11" t="s">
        <v>21</v>
      </c>
      <c r="L3291" s="7">
        <v>39919.595196759255</v>
      </c>
      <c r="M3291" s="12" t="s">
        <v>1303</v>
      </c>
      <c r="N3291" s="12" t="s">
        <v>3514</v>
      </c>
      <c r="O3291" s="10" t="str">
        <f>HYPERLINK("https://pbs.twimg.com/profile_images/474178130312044544/-U2TP65D_normal.png","View")</f>
        <v>View</v>
      </c>
      <c r="P3291" s="11"/>
    </row>
    <row r="3292" spans="1:16" ht="12.75" x14ac:dyDescent="0.35">
      <c r="A3292" s="7">
        <v>42482.684131944443</v>
      </c>
      <c r="B3292" s="8" t="str">
        <f>HYPERLINK("https://twitter.com/moellus","@moellus")</f>
        <v>@moellus</v>
      </c>
      <c r="C3292" s="9" t="s">
        <v>8009</v>
      </c>
      <c r="D3292" s="9" t="s">
        <v>8010</v>
      </c>
      <c r="E3292" s="10" t="str">
        <f>HYPERLINK("https://twitter.com/moellus/status/723465158182326272","723465158182326272")</f>
        <v>723465158182326272</v>
      </c>
      <c r="F3292" s="11" t="s">
        <v>63</v>
      </c>
      <c r="G3292" s="11">
        <v>663</v>
      </c>
      <c r="H3292" s="11">
        <v>973</v>
      </c>
      <c r="I3292" s="11">
        <v>0</v>
      </c>
      <c r="J3292" s="11">
        <v>0</v>
      </c>
      <c r="K3292" s="11" t="s">
        <v>21</v>
      </c>
      <c r="L3292" s="7">
        <v>39155.857604166667</v>
      </c>
      <c r="M3292" s="12" t="s">
        <v>1288</v>
      </c>
      <c r="N3292" s="12" t="s">
        <v>8011</v>
      </c>
      <c r="O3292" s="10" t="str">
        <f>HYPERLINK("https://pbs.twimg.com/profile_images/723202891931115520/8IpDI-Uw_normal.jpg","View")</f>
        <v>View</v>
      </c>
      <c r="P3292" s="11"/>
    </row>
    <row r="3293" spans="1:16" ht="12.75" x14ac:dyDescent="0.35">
      <c r="A3293" s="7">
        <v>42482.684155092589</v>
      </c>
      <c r="B3293" s="8" t="str">
        <f>HYPERLINK("https://twitter.com/aktuelle_stunde","@aktuelle_stunde")</f>
        <v>@aktuelle_stunde</v>
      </c>
      <c r="C3293" s="9" t="s">
        <v>3261</v>
      </c>
      <c r="D3293" s="9" t="s">
        <v>8012</v>
      </c>
      <c r="E3293" s="10" t="str">
        <f>HYPERLINK("https://twitter.com/aktuelle_stunde/status/723465164058664960","723465164058664960")</f>
        <v>723465164058664960</v>
      </c>
      <c r="F3293" s="11" t="s">
        <v>43</v>
      </c>
      <c r="G3293" s="11">
        <v>32528</v>
      </c>
      <c r="H3293" s="11">
        <v>261</v>
      </c>
      <c r="I3293" s="11">
        <v>2</v>
      </c>
      <c r="J3293" s="11">
        <v>0</v>
      </c>
      <c r="K3293" s="11" t="s">
        <v>21</v>
      </c>
      <c r="L3293" s="7">
        <v>40914.826516203706</v>
      </c>
      <c r="M3293" s="12" t="s">
        <v>975</v>
      </c>
      <c r="N3293" s="12" t="s">
        <v>3263</v>
      </c>
      <c r="O3293" s="10" t="str">
        <f>HYPERLINK("https://pbs.twimg.com/profile_images/488939589520740353/HVTIWICi_normal.jpeg","View")</f>
        <v>View</v>
      </c>
      <c r="P3293" s="11"/>
    </row>
    <row r="3294" spans="1:16" ht="12.75" x14ac:dyDescent="0.35">
      <c r="A3294" s="7">
        <v>42482.684363425928</v>
      </c>
      <c r="B3294" s="8" t="str">
        <f>HYPERLINK("https://twitter.com/sadiqgajimi","@sadiqgajimi")</f>
        <v>@sadiqgajimi</v>
      </c>
      <c r="C3294" s="9" t="s">
        <v>8013</v>
      </c>
      <c r="D3294" s="9" t="s">
        <v>7646</v>
      </c>
      <c r="E3294" s="10" t="str">
        <f>HYPERLINK("https://twitter.com/sadiqgajimi/status/723465242865459201","723465242865459201")</f>
        <v>723465242865459201</v>
      </c>
      <c r="F3294" s="11" t="s">
        <v>43</v>
      </c>
      <c r="G3294" s="11">
        <v>39</v>
      </c>
      <c r="H3294" s="11">
        <v>116</v>
      </c>
      <c r="I3294" s="11">
        <v>11</v>
      </c>
      <c r="J3294" s="11">
        <v>0</v>
      </c>
      <c r="K3294" s="11" t="s">
        <v>21</v>
      </c>
      <c r="L3294" s="7">
        <v>41852.072581018518</v>
      </c>
      <c r="M3294" s="12" t="s">
        <v>8014</v>
      </c>
      <c r="N3294" s="12" t="s">
        <v>8015</v>
      </c>
      <c r="O3294" s="10" t="str">
        <f>HYPERLINK("https://pbs.twimg.com/profile_images/494941834117124096/NS5KR51W_normal.jpeg","View")</f>
        <v>View</v>
      </c>
      <c r="P3294" s="11"/>
    </row>
    <row r="3295" spans="1:16" ht="12.75" x14ac:dyDescent="0.35">
      <c r="A3295" s="7">
        <v>42482.684374999997</v>
      </c>
      <c r="B3295" s="8" t="str">
        <f>HYPERLINK("https://twitter.com/katemann_jens","@katemann_jens")</f>
        <v>@katemann_jens</v>
      </c>
      <c r="C3295" s="9" t="s">
        <v>8016</v>
      </c>
      <c r="D3295" s="9" t="s">
        <v>8017</v>
      </c>
      <c r="E3295" s="10" t="str">
        <f>HYPERLINK("https://twitter.com/katemann_jens/status/723465245289791488","723465245289791488")</f>
        <v>723465245289791488</v>
      </c>
      <c r="F3295" s="11" t="s">
        <v>20</v>
      </c>
      <c r="G3295" s="11">
        <v>337</v>
      </c>
      <c r="H3295" s="11">
        <v>131</v>
      </c>
      <c r="I3295" s="11">
        <v>1</v>
      </c>
      <c r="J3295" s="11">
        <v>0</v>
      </c>
      <c r="K3295" s="11" t="s">
        <v>21</v>
      </c>
      <c r="L3295" s="7">
        <v>41591.077870370369</v>
      </c>
      <c r="M3295" s="12" t="s">
        <v>8018</v>
      </c>
      <c r="N3295" s="12" t="s">
        <v>8019</v>
      </c>
      <c r="O3295" s="10" t="str">
        <f>HYPERLINK("https://pbs.twimg.com/profile_images/528660139772235776/q1zpS8Xz_normal.jpeg","View")</f>
        <v>View</v>
      </c>
      <c r="P3295" s="11"/>
    </row>
    <row r="3296" spans="1:16" ht="12.75" x14ac:dyDescent="0.35">
      <c r="A3296" s="7">
        <v>42482.684432870374</v>
      </c>
      <c r="B3296" s="8" t="str">
        <f t="shared" ref="B3296:B3298" si="322">HYPERLINK("https://twitter.com/sadiqgajimi","@sadiqgajimi")</f>
        <v>@sadiqgajimi</v>
      </c>
      <c r="C3296" s="9" t="s">
        <v>8013</v>
      </c>
      <c r="D3296" s="9" t="s">
        <v>7426</v>
      </c>
      <c r="E3296" s="10" t="str">
        <f>HYPERLINK("https://twitter.com/sadiqgajimi/status/723465267393781761","723465267393781761")</f>
        <v>723465267393781761</v>
      </c>
      <c r="F3296" s="11" t="s">
        <v>43</v>
      </c>
      <c r="G3296" s="11">
        <v>39</v>
      </c>
      <c r="H3296" s="11">
        <v>116</v>
      </c>
      <c r="I3296" s="11">
        <v>16</v>
      </c>
      <c r="J3296" s="11">
        <v>0</v>
      </c>
      <c r="K3296" s="11" t="s">
        <v>21</v>
      </c>
      <c r="L3296" s="7">
        <v>41852.072581018518</v>
      </c>
      <c r="M3296" s="12" t="s">
        <v>8014</v>
      </c>
      <c r="N3296" s="12" t="s">
        <v>8015</v>
      </c>
      <c r="O3296" s="10" t="str">
        <f t="shared" ref="O3296:O3298" si="323">HYPERLINK("https://pbs.twimg.com/profile_images/494941834117124096/NS5KR51W_normal.jpeg","View")</f>
        <v>View</v>
      </c>
      <c r="P3296" s="11"/>
    </row>
    <row r="3297" spans="1:16" ht="12.75" x14ac:dyDescent="0.35">
      <c r="A3297" s="7">
        <v>42482.684525462959</v>
      </c>
      <c r="B3297" s="8" t="str">
        <f t="shared" si="322"/>
        <v>@sadiqgajimi</v>
      </c>
      <c r="C3297" s="9" t="s">
        <v>8013</v>
      </c>
      <c r="D3297" s="9" t="s">
        <v>158</v>
      </c>
      <c r="E3297" s="10" t="str">
        <f>HYPERLINK("https://twitter.com/sadiqgajimi/status/723465300407140352","723465300407140352")</f>
        <v>723465300407140352</v>
      </c>
      <c r="F3297" s="11" t="s">
        <v>43</v>
      </c>
      <c r="G3297" s="11">
        <v>39</v>
      </c>
      <c r="H3297" s="11">
        <v>116</v>
      </c>
      <c r="I3297" s="11">
        <v>24</v>
      </c>
      <c r="J3297" s="11">
        <v>0</v>
      </c>
      <c r="K3297" s="11" t="s">
        <v>21</v>
      </c>
      <c r="L3297" s="7">
        <v>41852.072581018518</v>
      </c>
      <c r="M3297" s="12" t="s">
        <v>8014</v>
      </c>
      <c r="N3297" s="12" t="s">
        <v>8015</v>
      </c>
      <c r="O3297" s="10" t="str">
        <f t="shared" si="323"/>
        <v>View</v>
      </c>
      <c r="P3297" s="11"/>
    </row>
    <row r="3298" spans="1:16" ht="12.75" x14ac:dyDescent="0.35">
      <c r="A3298" s="7">
        <v>42482.684583333335</v>
      </c>
      <c r="B3298" s="8" t="str">
        <f t="shared" si="322"/>
        <v>@sadiqgajimi</v>
      </c>
      <c r="C3298" s="9" t="s">
        <v>8013</v>
      </c>
      <c r="D3298" s="9" t="s">
        <v>3239</v>
      </c>
      <c r="E3298" s="10" t="str">
        <f>HYPERLINK("https://twitter.com/sadiqgajimi/status/723465320200056833","723465320200056833")</f>
        <v>723465320200056833</v>
      </c>
      <c r="F3298" s="11" t="s">
        <v>43</v>
      </c>
      <c r="G3298" s="11">
        <v>39</v>
      </c>
      <c r="H3298" s="11">
        <v>116</v>
      </c>
      <c r="I3298" s="11">
        <v>17</v>
      </c>
      <c r="J3298" s="11">
        <v>0</v>
      </c>
      <c r="K3298" s="11" t="s">
        <v>21</v>
      </c>
      <c r="L3298" s="7">
        <v>41852.072581018518</v>
      </c>
      <c r="M3298" s="12" t="s">
        <v>8014</v>
      </c>
      <c r="N3298" s="12" t="s">
        <v>8015</v>
      </c>
      <c r="O3298" s="10" t="str">
        <f t="shared" si="323"/>
        <v>View</v>
      </c>
      <c r="P3298" s="11"/>
    </row>
    <row r="3299" spans="1:16" ht="12.75" x14ac:dyDescent="0.35">
      <c r="A3299" s="7">
        <v>42482.68482638889</v>
      </c>
      <c r="B3299" s="8" t="str">
        <f>HYPERLINK("https://twitter.com/TuttOSuLinuX","@TuttOSuLinuX")</f>
        <v>@TuttOSuLinuX</v>
      </c>
      <c r="C3299" s="9" t="s">
        <v>8020</v>
      </c>
      <c r="D3299" s="9" t="s">
        <v>8021</v>
      </c>
      <c r="E3299" s="10" t="str">
        <f>HYPERLINK("https://twitter.com/TuttOSuLinuX/status/723465407030505473","723465407030505473")</f>
        <v>723465407030505473</v>
      </c>
      <c r="F3299" s="11" t="s">
        <v>68</v>
      </c>
      <c r="G3299" s="11">
        <v>427</v>
      </c>
      <c r="H3299" s="11">
        <v>187</v>
      </c>
      <c r="I3299" s="11">
        <v>0</v>
      </c>
      <c r="J3299" s="11">
        <v>0</v>
      </c>
      <c r="K3299" s="11" t="s">
        <v>21</v>
      </c>
      <c r="L3299" s="7">
        <v>41997.799039351856</v>
      </c>
      <c r="M3299" s="12"/>
      <c r="N3299" s="12" t="s">
        <v>8022</v>
      </c>
      <c r="O3299" s="10" t="str">
        <f>HYPERLINK("https://pbs.twimg.com/profile_images/547749809780957184/eji9I1F7_normal.jpeg","View")</f>
        <v>View</v>
      </c>
      <c r="P3299" s="11"/>
    </row>
    <row r="3300" spans="1:16" ht="12.75" x14ac:dyDescent="0.35">
      <c r="A3300" s="7">
        <v>42482.685057870374</v>
      </c>
      <c r="B3300" s="8" t="str">
        <f>HYPERLINK("https://twitter.com/herrenloserHund","@herrenloserHund")</f>
        <v>@herrenloserHund</v>
      </c>
      <c r="C3300" s="9" t="s">
        <v>8023</v>
      </c>
      <c r="D3300" s="9" t="s">
        <v>8024</v>
      </c>
      <c r="E3300" s="10" t="str">
        <f>HYPERLINK("https://twitter.com/herrenloserHund/status/723465491449274368","723465491449274368")</f>
        <v>723465491449274368</v>
      </c>
      <c r="F3300" s="11" t="s">
        <v>43</v>
      </c>
      <c r="G3300" s="11">
        <v>139</v>
      </c>
      <c r="H3300" s="11">
        <v>317</v>
      </c>
      <c r="I3300" s="11">
        <v>0</v>
      </c>
      <c r="J3300" s="11">
        <v>0</v>
      </c>
      <c r="K3300" s="11" t="s">
        <v>21</v>
      </c>
      <c r="L3300" s="7">
        <v>41957.612754629634</v>
      </c>
      <c r="M3300" s="12" t="s">
        <v>8025</v>
      </c>
      <c r="N3300" s="12" t="s">
        <v>8026</v>
      </c>
      <c r="O3300" s="10" t="str">
        <f>HYPERLINK("https://pbs.twimg.com/profile_images/626150732908109824/YxBlJd63_normal.jpg","View")</f>
        <v>View</v>
      </c>
      <c r="P3300" s="11"/>
    </row>
    <row r="3301" spans="1:16" ht="12.75" x14ac:dyDescent="0.35">
      <c r="A3301" s="7">
        <v>42482.685787037037</v>
      </c>
      <c r="B3301" s="8" t="str">
        <f>HYPERLINK("https://twitter.com/Deichgraph_","@Deichgraph_")</f>
        <v>@Deichgraph_</v>
      </c>
      <c r="C3301" s="9" t="s">
        <v>8027</v>
      </c>
      <c r="D3301" s="9" t="s">
        <v>8028</v>
      </c>
      <c r="E3301" s="10" t="str">
        <f>HYPERLINK("https://twitter.com/Deichgraph_/status/723465757544337408","723465757544337408")</f>
        <v>723465757544337408</v>
      </c>
      <c r="F3301" s="11" t="s">
        <v>20</v>
      </c>
      <c r="G3301" s="11">
        <v>125</v>
      </c>
      <c r="H3301" s="11">
        <v>173</v>
      </c>
      <c r="I3301" s="11">
        <v>2</v>
      </c>
      <c r="J3301" s="11">
        <v>0</v>
      </c>
      <c r="K3301" s="11" t="s">
        <v>21</v>
      </c>
      <c r="L3301" s="7">
        <v>40964.110671296294</v>
      </c>
      <c r="M3301" s="12" t="s">
        <v>8029</v>
      </c>
      <c r="N3301" s="12" t="s">
        <v>8030</v>
      </c>
      <c r="O3301" s="10" t="str">
        <f>HYPERLINK("https://pbs.twimg.com/profile_images/571204359779962880/CmmY8h_g_normal.jpeg","View")</f>
        <v>View</v>
      </c>
      <c r="P3301" s="11"/>
    </row>
    <row r="3302" spans="1:16" ht="12.75" x14ac:dyDescent="0.35">
      <c r="A3302" s="7">
        <v>42482.685995370368</v>
      </c>
      <c r="B3302" s="8" t="str">
        <f>HYPERLINK("https://twitter.com/boersenzeitung","@boersenzeitung")</f>
        <v>@boersenzeitung</v>
      </c>
      <c r="C3302" s="9" t="s">
        <v>7804</v>
      </c>
      <c r="D3302" s="9" t="s">
        <v>8031</v>
      </c>
      <c r="E3302" s="10" t="str">
        <f>HYPERLINK("https://twitter.com/boersenzeitung/status/723465833633189888","723465833633189888")</f>
        <v>723465833633189888</v>
      </c>
      <c r="F3302" s="11" t="s">
        <v>43</v>
      </c>
      <c r="G3302" s="11">
        <v>4519</v>
      </c>
      <c r="H3302" s="11">
        <v>2139</v>
      </c>
      <c r="I3302" s="11">
        <v>0</v>
      </c>
      <c r="J3302" s="11">
        <v>0</v>
      </c>
      <c r="K3302" s="11" t="s">
        <v>21</v>
      </c>
      <c r="L3302" s="7">
        <v>39941.513969907406</v>
      </c>
      <c r="M3302" s="12" t="s">
        <v>7806</v>
      </c>
      <c r="N3302" s="12" t="s">
        <v>7807</v>
      </c>
      <c r="O3302" s="10" t="str">
        <f>HYPERLINK("https://pbs.twimg.com/profile_images/574906201290334209/eDNLUdPe_normal.png","View")</f>
        <v>View</v>
      </c>
      <c r="P3302" s="11"/>
    </row>
    <row r="3303" spans="1:16" ht="12.75" x14ac:dyDescent="0.35">
      <c r="A3303" s="7">
        <v>42482.686018518521</v>
      </c>
      <c r="B3303" s="8" t="str">
        <f>HYPERLINK("https://twitter.com/pez_dp","@pez_dp")</f>
        <v>@pez_dp</v>
      </c>
      <c r="C3303" s="9" t="s">
        <v>8032</v>
      </c>
      <c r="D3303" s="9" t="s">
        <v>8033</v>
      </c>
      <c r="E3303" s="10" t="str">
        <f>HYPERLINK("https://twitter.com/pez_dp/status/723465839161282561","723465839161282561")</f>
        <v>723465839161282561</v>
      </c>
      <c r="F3303" s="11" t="s">
        <v>48</v>
      </c>
      <c r="G3303" s="11">
        <v>178</v>
      </c>
      <c r="H3303" s="11">
        <v>508</v>
      </c>
      <c r="I3303" s="11">
        <v>1</v>
      </c>
      <c r="J3303" s="11">
        <v>0</v>
      </c>
      <c r="K3303" s="11" t="s">
        <v>21</v>
      </c>
      <c r="L3303" s="7">
        <v>41742.870092592595</v>
      </c>
      <c r="M3303" s="12"/>
      <c r="N3303" s="12"/>
      <c r="O3303" s="10" t="str">
        <f>HYPERLINK("https://pbs.twimg.com/profile_images/581501350254628864/JkFslCBb_normal.jpg","View")</f>
        <v>View</v>
      </c>
      <c r="P3303" s="11"/>
    </row>
    <row r="3304" spans="1:16" ht="12.75" x14ac:dyDescent="0.35">
      <c r="A3304" s="7">
        <v>42482.686018518521</v>
      </c>
      <c r="B3304" s="8" t="str">
        <f>HYPERLINK("https://twitter.com/KGFClassicCars","@KGFClassicCars")</f>
        <v>@KGFClassicCars</v>
      </c>
      <c r="C3304" s="9" t="s">
        <v>8034</v>
      </c>
      <c r="D3304" s="9" t="s">
        <v>8035</v>
      </c>
      <c r="E3304" s="10" t="str">
        <f>HYPERLINK("https://twitter.com/KGFClassicCars/status/723465840306348032","723465840306348032")</f>
        <v>723465840306348032</v>
      </c>
      <c r="F3304" s="11" t="s">
        <v>43</v>
      </c>
      <c r="G3304" s="11">
        <v>1664</v>
      </c>
      <c r="H3304" s="11">
        <v>428</v>
      </c>
      <c r="I3304" s="11">
        <v>0</v>
      </c>
      <c r="J3304" s="11">
        <v>0</v>
      </c>
      <c r="K3304" s="11" t="s">
        <v>21</v>
      </c>
      <c r="L3304" s="7">
        <v>41005.620196759257</v>
      </c>
      <c r="M3304" s="12" t="s">
        <v>8036</v>
      </c>
      <c r="N3304" s="12" t="s">
        <v>8037</v>
      </c>
      <c r="O3304" s="10" t="str">
        <f>HYPERLINK("https://pbs.twimg.com/profile_images/3006967823/e93d5df72da5ae12f654ea1acb10b46a_normal.jpeg","View")</f>
        <v>View</v>
      </c>
      <c r="P3304" s="11"/>
    </row>
    <row r="3305" spans="1:16" ht="12.75" x14ac:dyDescent="0.35">
      <c r="A3305" s="7">
        <v>42482.686180555553</v>
      </c>
      <c r="B3305" s="8" t="str">
        <f>HYPERLINK("https://twitter.com/aktuelle_stunde","@aktuelle_stunde")</f>
        <v>@aktuelle_stunde</v>
      </c>
      <c r="C3305" s="9" t="s">
        <v>3261</v>
      </c>
      <c r="D3305" s="9" t="s">
        <v>8038</v>
      </c>
      <c r="E3305" s="10" t="str">
        <f>HYPERLINK("https://twitter.com/aktuelle_stunde/status/723465901203402752","723465901203402752")</f>
        <v>723465901203402752</v>
      </c>
      <c r="F3305" s="11" t="s">
        <v>43</v>
      </c>
      <c r="G3305" s="11">
        <v>32528</v>
      </c>
      <c r="H3305" s="11">
        <v>261</v>
      </c>
      <c r="I3305" s="11">
        <v>0</v>
      </c>
      <c r="J3305" s="11">
        <v>0</v>
      </c>
      <c r="K3305" s="11" t="s">
        <v>21</v>
      </c>
      <c r="L3305" s="7">
        <v>40914.826516203706</v>
      </c>
      <c r="M3305" s="12" t="s">
        <v>975</v>
      </c>
      <c r="N3305" s="12" t="s">
        <v>3263</v>
      </c>
      <c r="O3305" s="10" t="str">
        <f>HYPERLINK("https://pbs.twimg.com/profile_images/488939589520740353/HVTIWICi_normal.jpeg","View")</f>
        <v>View</v>
      </c>
      <c r="P3305" s="11"/>
    </row>
    <row r="3306" spans="1:16" ht="12.75" x14ac:dyDescent="0.35">
      <c r="A3306" s="7">
        <v>42482.68677083333</v>
      </c>
      <c r="B3306" s="8" t="str">
        <f>HYPERLINK("https://twitter.com/chri_koe","@chri_koe")</f>
        <v>@chri_koe</v>
      </c>
      <c r="C3306" s="9" t="s">
        <v>8039</v>
      </c>
      <c r="D3306" s="9" t="s">
        <v>3650</v>
      </c>
      <c r="E3306" s="10" t="str">
        <f>HYPERLINK("https://twitter.com/chri_koe/status/723466113095442432","723466113095442432")</f>
        <v>723466113095442432</v>
      </c>
      <c r="F3306" s="11" t="s">
        <v>43</v>
      </c>
      <c r="G3306" s="11">
        <v>175</v>
      </c>
      <c r="H3306" s="11">
        <v>166</v>
      </c>
      <c r="I3306" s="11">
        <v>7</v>
      </c>
      <c r="J3306" s="11">
        <v>0</v>
      </c>
      <c r="K3306" s="11" t="s">
        <v>21</v>
      </c>
      <c r="L3306" s="7">
        <v>40445.084849537037</v>
      </c>
      <c r="M3306" s="12" t="s">
        <v>8040</v>
      </c>
      <c r="N3306" s="12" t="s">
        <v>8041</v>
      </c>
      <c r="O3306" s="10" t="str">
        <f>HYPERLINK("https://pbs.twimg.com/profile_images/1652686091/ck.jpg_normal.jpg","View")</f>
        <v>View</v>
      </c>
      <c r="P3306" s="11"/>
    </row>
    <row r="3307" spans="1:16" ht="12.75" x14ac:dyDescent="0.35">
      <c r="A3307" s="7">
        <v>42482.686886574069</v>
      </c>
      <c r="B3307" s="8" t="str">
        <f>HYPERLINK("https://twitter.com/irenesconcierge","@irenesconcierge")</f>
        <v>@irenesconcierge</v>
      </c>
      <c r="C3307" s="9" t="s">
        <v>8042</v>
      </c>
      <c r="D3307" s="9" t="s">
        <v>8043</v>
      </c>
      <c r="E3307" s="10" t="str">
        <f>HYPERLINK("https://twitter.com/irenesconcierge/status/723466155617341441","723466155617341441")</f>
        <v>723466155617341441</v>
      </c>
      <c r="F3307" s="11" t="s">
        <v>48</v>
      </c>
      <c r="G3307" s="11">
        <v>2502</v>
      </c>
      <c r="H3307" s="11">
        <v>1928</v>
      </c>
      <c r="I3307" s="11">
        <v>1</v>
      </c>
      <c r="J3307" s="11">
        <v>0</v>
      </c>
      <c r="K3307" s="11" t="s">
        <v>21</v>
      </c>
      <c r="L3307" s="7">
        <v>40574.226099537038</v>
      </c>
      <c r="M3307" s="12" t="s">
        <v>2383</v>
      </c>
      <c r="N3307" s="12" t="s">
        <v>8044</v>
      </c>
      <c r="O3307" s="10" t="str">
        <f>HYPERLINK("https://pbs.twimg.com/profile_images/722312123116888064/DwxBRfoE_normal.jpg","View")</f>
        <v>View</v>
      </c>
      <c r="P3307" s="11"/>
    </row>
    <row r="3308" spans="1:16" ht="12.75" x14ac:dyDescent="0.35">
      <c r="A3308" s="7">
        <v>42482.686886574069</v>
      </c>
      <c r="B3308" s="8" t="str">
        <f>HYPERLINK("https://twitter.com/VWCamperSales","@VWCamperSales")</f>
        <v>@VWCamperSales</v>
      </c>
      <c r="C3308" s="9" t="s">
        <v>216</v>
      </c>
      <c r="D3308" s="9" t="s">
        <v>8045</v>
      </c>
      <c r="E3308" s="10" t="str">
        <f>HYPERLINK("https://twitter.com/VWCamperSales/status/723466155902431232","723466155902431232")</f>
        <v>723466155902431232</v>
      </c>
      <c r="F3308" s="10" t="s">
        <v>124</v>
      </c>
      <c r="G3308" s="11">
        <v>615</v>
      </c>
      <c r="H3308" s="11">
        <v>580</v>
      </c>
      <c r="I3308" s="11">
        <v>0</v>
      </c>
      <c r="J3308" s="11">
        <v>0</v>
      </c>
      <c r="K3308" s="11" t="s">
        <v>21</v>
      </c>
      <c r="L3308" s="7">
        <v>42215.98809027778</v>
      </c>
      <c r="M3308" s="12" t="s">
        <v>129</v>
      </c>
      <c r="N3308" s="12" t="s">
        <v>218</v>
      </c>
      <c r="O3308" s="10" t="str">
        <f>HYPERLINK("https://pbs.twimg.com/profile_images/627949001179037696/skEBkS05_normal.jpg","View")</f>
        <v>View</v>
      </c>
      <c r="P3308" s="11"/>
    </row>
    <row r="3309" spans="1:16" ht="12.75" x14ac:dyDescent="0.35">
      <c r="A3309" s="7">
        <v>42482.687152777777</v>
      </c>
      <c r="B3309" s="8" t="str">
        <f>HYPERLINK("https://twitter.com/AFECTADOGRUPOVW","@AFECTADOGRUPOVW")</f>
        <v>@AFECTADOGRUPOVW</v>
      </c>
      <c r="C3309" s="9" t="s">
        <v>1593</v>
      </c>
      <c r="D3309" s="9" t="s">
        <v>8046</v>
      </c>
      <c r="E3309" s="10" t="str">
        <f>HYPERLINK("https://twitter.com/AFECTADOGRUPOVW/status/723466250974826497","723466250974826497")</f>
        <v>723466250974826497</v>
      </c>
      <c r="F3309" s="11" t="s">
        <v>43</v>
      </c>
      <c r="G3309" s="11">
        <v>1770</v>
      </c>
      <c r="H3309" s="11">
        <v>4908</v>
      </c>
      <c r="I3309" s="11">
        <v>0</v>
      </c>
      <c r="J3309" s="11">
        <v>0</v>
      </c>
      <c r="K3309" s="11" t="s">
        <v>21</v>
      </c>
      <c r="L3309" s="7">
        <v>42278.624814814815</v>
      </c>
      <c r="M3309" s="12" t="s">
        <v>1595</v>
      </c>
      <c r="N3309" s="12" t="s">
        <v>7980</v>
      </c>
      <c r="O3309" s="10" t="str">
        <f>HYPERLINK("https://pbs.twimg.com/profile_images/649519091892531200/gFXmbSPM_normal.jpg","View")</f>
        <v>View</v>
      </c>
      <c r="P3309" s="11"/>
    </row>
    <row r="3310" spans="1:16" ht="12.75" x14ac:dyDescent="0.35">
      <c r="A3310" s="7">
        <v>42482.687280092592</v>
      </c>
      <c r="B3310" s="8" t="str">
        <f>HYPERLINK("https://twitter.com/WernerLenhard","@WernerLenhard")</f>
        <v>@WernerLenhard</v>
      </c>
      <c r="C3310" s="9" t="s">
        <v>8047</v>
      </c>
      <c r="D3310" s="9" t="s">
        <v>8048</v>
      </c>
      <c r="E3310" s="10" t="str">
        <f>HYPERLINK("https://twitter.com/WernerLenhard/status/723466298525650944","723466298525650944")</f>
        <v>723466298525650944</v>
      </c>
      <c r="F3310" s="11" t="s">
        <v>63</v>
      </c>
      <c r="G3310" s="11">
        <v>1070</v>
      </c>
      <c r="H3310" s="11">
        <v>1346</v>
      </c>
      <c r="I3310" s="11">
        <v>0</v>
      </c>
      <c r="J3310" s="11">
        <v>0</v>
      </c>
      <c r="K3310" s="11" t="s">
        <v>21</v>
      </c>
      <c r="L3310" s="7">
        <v>40256.692870370374</v>
      </c>
      <c r="M3310" s="12" t="s">
        <v>2453</v>
      </c>
      <c r="N3310" s="12" t="s">
        <v>8049</v>
      </c>
      <c r="O3310" s="10" t="str">
        <f>HYPERLINK("https://pbs.twimg.com/profile_images/700048698718425089/bL51SFne_normal.jpg","View")</f>
        <v>View</v>
      </c>
      <c r="P3310" s="11"/>
    </row>
    <row r="3311" spans="1:16" ht="12.75" x14ac:dyDescent="0.35">
      <c r="A3311" s="7">
        <v>42482.687372685185</v>
      </c>
      <c r="B3311" s="8" t="str">
        <f>HYPERLINK("https://twitter.com/VCD_Nordost","@VCD_Nordost")</f>
        <v>@VCD_Nordost</v>
      </c>
      <c r="C3311" s="9" t="s">
        <v>8050</v>
      </c>
      <c r="D3311" s="9" t="s">
        <v>3650</v>
      </c>
      <c r="E3311" s="10" t="str">
        <f>HYPERLINK("https://twitter.com/VCD_Nordost/status/723466332637900800","723466332637900800")</f>
        <v>723466332637900800</v>
      </c>
      <c r="F3311" s="11" t="s">
        <v>43</v>
      </c>
      <c r="G3311" s="11">
        <v>61</v>
      </c>
      <c r="H3311" s="11">
        <v>1</v>
      </c>
      <c r="I3311" s="11">
        <v>7</v>
      </c>
      <c r="J3311" s="11">
        <v>0</v>
      </c>
      <c r="K3311" s="11" t="s">
        <v>21</v>
      </c>
      <c r="L3311" s="7">
        <v>40604.851122685184</v>
      </c>
      <c r="M3311" s="12" t="s">
        <v>8040</v>
      </c>
      <c r="N3311" s="12" t="s">
        <v>8051</v>
      </c>
      <c r="O3311" s="10" t="str">
        <f>HYPERLINK("https://pbs.twimg.com/profile_images/1829299134/logo_vcd_nordost_normal.jpg","View")</f>
        <v>View</v>
      </c>
      <c r="P3311" s="11"/>
    </row>
    <row r="3312" spans="1:16" ht="12.75" x14ac:dyDescent="0.35">
      <c r="A3312" s="7">
        <v>42482.687557870369</v>
      </c>
      <c r="B3312" s="8" t="str">
        <f>HYPERLINK("https://twitter.com/ZDFhannover","@ZDFhannover")</f>
        <v>@ZDFhannover</v>
      </c>
      <c r="C3312" s="9" t="s">
        <v>8052</v>
      </c>
      <c r="D3312" s="9" t="s">
        <v>8053</v>
      </c>
      <c r="E3312" s="10" t="str">
        <f>HYPERLINK("https://twitter.com/ZDFhannover/status/723466399105060864","723466399105060864")</f>
        <v>723466399105060864</v>
      </c>
      <c r="F3312" s="11" t="s">
        <v>20</v>
      </c>
      <c r="G3312" s="11">
        <v>1182</v>
      </c>
      <c r="H3312" s="11">
        <v>107</v>
      </c>
      <c r="I3312" s="11">
        <v>0</v>
      </c>
      <c r="J3312" s="11">
        <v>0</v>
      </c>
      <c r="K3312" s="11" t="s">
        <v>21</v>
      </c>
      <c r="L3312" s="7">
        <v>41116.613692129627</v>
      </c>
      <c r="M3312" s="12" t="s">
        <v>6661</v>
      </c>
      <c r="N3312" s="12" t="s">
        <v>8054</v>
      </c>
      <c r="O3312" s="10" t="str">
        <f>HYPERLINK("https://pbs.twimg.com/profile_images/606071164478308352/Bpbe55iE_normal.png","View")</f>
        <v>View</v>
      </c>
      <c r="P3312" s="11"/>
    </row>
    <row r="3313" spans="1:16" ht="12.75" x14ac:dyDescent="0.35">
      <c r="A3313" s="7">
        <v>42482.68787037037</v>
      </c>
      <c r="B3313" s="8" t="str">
        <f>HYPERLINK("https://twitter.com/cubasteve57","@cubasteve57")</f>
        <v>@cubasteve57</v>
      </c>
      <c r="C3313" s="9" t="s">
        <v>8055</v>
      </c>
      <c r="D3313" s="9" t="s">
        <v>8056</v>
      </c>
      <c r="E3313" s="10" t="str">
        <f>HYPERLINK("https://twitter.com/cubasteve57/status/723466513974439936","723466513974439936")</f>
        <v>723466513974439936</v>
      </c>
      <c r="F3313" s="11" t="s">
        <v>43</v>
      </c>
      <c r="G3313" s="11">
        <v>15565</v>
      </c>
      <c r="H3313" s="11">
        <v>16619</v>
      </c>
      <c r="I3313" s="11">
        <v>1</v>
      </c>
      <c r="J3313" s="11">
        <v>0</v>
      </c>
      <c r="K3313" s="11" t="s">
        <v>21</v>
      </c>
      <c r="L3313" s="7">
        <v>40546.325243055559</v>
      </c>
      <c r="M3313" s="12" t="s">
        <v>8057</v>
      </c>
      <c r="N3313" s="12" t="s">
        <v>8058</v>
      </c>
      <c r="O3313" s="10" t="str">
        <f>HYPERLINK("https://pbs.twimg.com/profile_images/676702923305431040/GMEgqxrB_normal.jpg","View")</f>
        <v>View</v>
      </c>
      <c r="P3313" s="11"/>
    </row>
    <row r="3314" spans="1:16" ht="12.75" x14ac:dyDescent="0.35">
      <c r="A3314" s="7">
        <v>42482.688842592594</v>
      </c>
      <c r="B3314" s="8" t="str">
        <f>HYPERLINK("https://twitter.com/serversnake","@serversnake")</f>
        <v>@serversnake</v>
      </c>
      <c r="C3314" s="9" t="s">
        <v>8059</v>
      </c>
      <c r="D3314" s="9" t="s">
        <v>8060</v>
      </c>
      <c r="E3314" s="10" t="str">
        <f>HYPERLINK("https://twitter.com/serversnake/status/723466865914327041","723466865914327041")</f>
        <v>723466865914327041</v>
      </c>
      <c r="F3314" s="11" t="s">
        <v>20</v>
      </c>
      <c r="G3314" s="11">
        <v>8</v>
      </c>
      <c r="H3314" s="11">
        <v>19</v>
      </c>
      <c r="I3314" s="11">
        <v>0</v>
      </c>
      <c r="J3314" s="11">
        <v>0</v>
      </c>
      <c r="K3314" s="11" t="s">
        <v>21</v>
      </c>
      <c r="L3314" s="7">
        <v>39992.308495370373</v>
      </c>
      <c r="M3314" s="12" t="s">
        <v>953</v>
      </c>
      <c r="N3314" s="12" t="s">
        <v>8061</v>
      </c>
      <c r="O3314" s="10" t="str">
        <f>HYPERLINK("https://pbs.twimg.com/profile_images/616373784749191170/eVFL0L13_normal.jpg","View")</f>
        <v>View</v>
      </c>
      <c r="P3314" s="11"/>
    </row>
    <row r="3315" spans="1:16" ht="12.75" x14ac:dyDescent="0.35">
      <c r="A3315" s="7">
        <v>42482.688981481479</v>
      </c>
      <c r="B3315" s="8" t="str">
        <f>HYPERLINK("https://twitter.com/Power_Cars","@Power_Cars")</f>
        <v>@Power_Cars</v>
      </c>
      <c r="C3315" s="9" t="s">
        <v>8062</v>
      </c>
      <c r="D3315" s="9" t="s">
        <v>8063</v>
      </c>
      <c r="E3315" s="10" t="str">
        <f>HYPERLINK("https://twitter.com/Power_Cars/status/723466916518617088","723466916518617088")</f>
        <v>723466916518617088</v>
      </c>
      <c r="F3315" s="11" t="s">
        <v>8064</v>
      </c>
      <c r="G3315" s="11">
        <v>68</v>
      </c>
      <c r="H3315" s="11">
        <v>14</v>
      </c>
      <c r="I3315" s="11">
        <v>0</v>
      </c>
      <c r="J3315" s="11">
        <v>0</v>
      </c>
      <c r="K3315" s="11" t="s">
        <v>21</v>
      </c>
      <c r="L3315" s="7">
        <v>41145.748784722222</v>
      </c>
      <c r="M3315" s="12"/>
      <c r="N3315" s="12" t="s">
        <v>8065</v>
      </c>
      <c r="O3315" s="10" t="str">
        <f>HYPERLINK("https://pbs.twimg.com/profile_images/2538190700/POWERCARSlogo_normal.jpg","View")</f>
        <v>View</v>
      </c>
      <c r="P3315" s="11"/>
    </row>
    <row r="3316" spans="1:16" ht="12.75" x14ac:dyDescent="0.35">
      <c r="A3316" s="7">
        <v>42482.689201388886</v>
      </c>
      <c r="B3316" s="8" t="str">
        <f>HYPERLINK("https://twitter.com/AlDavoodi","@AlDavoodi")</f>
        <v>@AlDavoodi</v>
      </c>
      <c r="C3316" s="9" t="s">
        <v>8066</v>
      </c>
      <c r="D3316" s="9" t="s">
        <v>7794</v>
      </c>
      <c r="E3316" s="10" t="str">
        <f>HYPERLINK("https://twitter.com/AlDavoodi/status/723466993224044544","723466993224044544")</f>
        <v>723466993224044544</v>
      </c>
      <c r="F3316" s="11" t="s">
        <v>48</v>
      </c>
      <c r="G3316" s="11">
        <v>433</v>
      </c>
      <c r="H3316" s="11">
        <v>822</v>
      </c>
      <c r="I3316" s="11">
        <v>7</v>
      </c>
      <c r="J3316" s="11">
        <v>0</v>
      </c>
      <c r="K3316" s="11" t="s">
        <v>21</v>
      </c>
      <c r="L3316" s="7">
        <v>41401.959513888891</v>
      </c>
      <c r="M3316" s="12" t="s">
        <v>8067</v>
      </c>
      <c r="N3316" s="12" t="s">
        <v>8068</v>
      </c>
      <c r="O3316" s="10" t="str">
        <f>HYPERLINK("https://pbs.twimg.com/profile_images/604287979302080512/X6Fywnto_normal.jpg","View")</f>
        <v>View</v>
      </c>
      <c r="P3316" s="11"/>
    </row>
    <row r="3317" spans="1:16" ht="12.75" x14ac:dyDescent="0.35">
      <c r="A3317" s="7">
        <v>42482.68959490741</v>
      </c>
      <c r="B3317" s="8" t="str">
        <f>HYPERLINK("https://twitter.com/APA_LEMONAID","@APA_LEMONAID")</f>
        <v>@APA_LEMONAID</v>
      </c>
      <c r="C3317" s="9" t="s">
        <v>8069</v>
      </c>
      <c r="D3317" s="9" t="s">
        <v>8070</v>
      </c>
      <c r="E3317" s="10" t="str">
        <f>HYPERLINK("https://twitter.com/APA_LEMONAID/status/723467135285100544","723467135285100544")</f>
        <v>723467135285100544</v>
      </c>
      <c r="F3317" s="11" t="s">
        <v>43</v>
      </c>
      <c r="G3317" s="11">
        <v>418</v>
      </c>
      <c r="H3317" s="11">
        <v>120</v>
      </c>
      <c r="I3317" s="11">
        <v>0</v>
      </c>
      <c r="J3317" s="11">
        <v>1</v>
      </c>
      <c r="K3317" s="11" t="s">
        <v>21</v>
      </c>
      <c r="L3317" s="7">
        <v>40795.772233796299</v>
      </c>
      <c r="M3317" s="12" t="s">
        <v>715</v>
      </c>
      <c r="N3317" s="12" t="s">
        <v>8071</v>
      </c>
      <c r="O3317" s="10" t="str">
        <f>HYPERLINK("https://pbs.twimg.com/profile_images/1535844911/Logo_normal.png","View")</f>
        <v>View</v>
      </c>
      <c r="P3317" s="11"/>
    </row>
    <row r="3318" spans="1:16" ht="12.75" x14ac:dyDescent="0.35">
      <c r="A3318" s="7">
        <v>42482.689884259264</v>
      </c>
      <c r="B3318" s="8" t="str">
        <f>HYPERLINK("https://twitter.com/lamescolanza","@lamescolanza")</f>
        <v>@lamescolanza</v>
      </c>
      <c r="C3318" s="9" t="s">
        <v>8072</v>
      </c>
      <c r="D3318" s="9" t="s">
        <v>8073</v>
      </c>
      <c r="E3318" s="10" t="str">
        <f>HYPERLINK("https://twitter.com/lamescolanza/status/723467242059489280","723467242059489280")</f>
        <v>723467242059489280</v>
      </c>
      <c r="F3318" s="11" t="s">
        <v>43</v>
      </c>
      <c r="G3318" s="11">
        <v>468</v>
      </c>
      <c r="H3318" s="11">
        <v>307</v>
      </c>
      <c r="I3318" s="11">
        <v>0</v>
      </c>
      <c r="J3318" s="11">
        <v>0</v>
      </c>
      <c r="K3318" s="11" t="s">
        <v>21</v>
      </c>
      <c r="L3318" s="7">
        <v>41004.70590277778</v>
      </c>
      <c r="M3318" s="12"/>
      <c r="N3318" s="12" t="s">
        <v>8074</v>
      </c>
      <c r="O3318" s="10" t="str">
        <f>HYPERLINK("https://pbs.twimg.com/profile_images/2041891215/clessidra_normal.jpg","View")</f>
        <v>View</v>
      </c>
      <c r="P3318" s="11"/>
    </row>
    <row r="3319" spans="1:16" ht="12.75" x14ac:dyDescent="0.35">
      <c r="A3319" s="7">
        <v>42482.690289351856</v>
      </c>
      <c r="B3319" s="8" t="str">
        <f>HYPERLINK("https://twitter.com/Spoekenkiekerei","@Spoekenkiekerei")</f>
        <v>@Spoekenkiekerei</v>
      </c>
      <c r="C3319" s="9" t="s">
        <v>8075</v>
      </c>
      <c r="D3319" s="9" t="s">
        <v>8076</v>
      </c>
      <c r="E3319" s="10" t="str">
        <f>HYPERLINK("https://twitter.com/Spoekenkiekerei/status/723467388486860800","723467388486860800")</f>
        <v>723467388486860800</v>
      </c>
      <c r="F3319" s="11" t="s">
        <v>43</v>
      </c>
      <c r="G3319" s="11">
        <v>52</v>
      </c>
      <c r="H3319" s="11">
        <v>48</v>
      </c>
      <c r="I3319" s="11">
        <v>0</v>
      </c>
      <c r="J3319" s="11">
        <v>0</v>
      </c>
      <c r="K3319" s="11" t="s">
        <v>21</v>
      </c>
      <c r="L3319" s="7">
        <v>42463.90929398148</v>
      </c>
      <c r="M3319" s="12" t="s">
        <v>8077</v>
      </c>
      <c r="N3319" s="12" t="s">
        <v>8078</v>
      </c>
      <c r="O3319" s="10" t="str">
        <f>HYPERLINK("https://pbs.twimg.com/profile_images/717382175071535104/1l_yueaA_normal.jpg","View")</f>
        <v>View</v>
      </c>
      <c r="P3319" s="11"/>
    </row>
    <row r="3320" spans="1:16" ht="12.75" x14ac:dyDescent="0.35">
      <c r="A3320" s="7">
        <v>42482.690451388888</v>
      </c>
      <c r="B3320" s="8" t="str">
        <f t="shared" ref="B3320:B3323" si="324">HYPERLINK("https://twitter.com/beetlebug1938","@beetlebug1938")</f>
        <v>@beetlebug1938</v>
      </c>
      <c r="C3320" s="9" t="s">
        <v>66</v>
      </c>
      <c r="D3320" s="9" t="s">
        <v>8079</v>
      </c>
      <c r="E3320" s="10" t="str">
        <f>HYPERLINK("https://twitter.com/beetlebug1938/status/723467446687019008","723467446687019008")</f>
        <v>723467446687019008</v>
      </c>
      <c r="F3320" s="11" t="s">
        <v>68</v>
      </c>
      <c r="G3320" s="11">
        <v>350</v>
      </c>
      <c r="H3320" s="11">
        <v>2222</v>
      </c>
      <c r="I3320" s="11">
        <v>0</v>
      </c>
      <c r="J3320" s="11">
        <v>0</v>
      </c>
      <c r="K3320" s="11" t="s">
        <v>21</v>
      </c>
      <c r="L3320" s="7">
        <v>42469.863865740743</v>
      </c>
      <c r="M3320" s="12" t="s">
        <v>69</v>
      </c>
      <c r="N3320" s="12"/>
      <c r="O3320" s="10" t="str">
        <f t="shared" ref="O3320:O3323" si="325">HYPERLINK("https://pbs.twimg.com/profile_images/718820712757215233/LXXndPTS_normal.jpg","View")</f>
        <v>View</v>
      </c>
      <c r="P3320" s="11"/>
    </row>
    <row r="3321" spans="1:16" ht="12.75" x14ac:dyDescent="0.35">
      <c r="A3321" s="7">
        <v>42482.690462962964</v>
      </c>
      <c r="B3321" s="8" t="str">
        <f t="shared" si="324"/>
        <v>@beetlebug1938</v>
      </c>
      <c r="C3321" s="9" t="s">
        <v>66</v>
      </c>
      <c r="D3321" s="9" t="s">
        <v>8080</v>
      </c>
      <c r="E3321" s="10" t="str">
        <f>HYPERLINK("https://twitter.com/beetlebug1938/status/723467451887923200","723467451887923200")</f>
        <v>723467451887923200</v>
      </c>
      <c r="F3321" s="11" t="s">
        <v>68</v>
      </c>
      <c r="G3321" s="11">
        <v>350</v>
      </c>
      <c r="H3321" s="11">
        <v>2222</v>
      </c>
      <c r="I3321" s="11">
        <v>0</v>
      </c>
      <c r="J3321" s="11">
        <v>0</v>
      </c>
      <c r="K3321" s="11" t="s">
        <v>21</v>
      </c>
      <c r="L3321" s="7">
        <v>42469.863865740743</v>
      </c>
      <c r="M3321" s="12" t="s">
        <v>69</v>
      </c>
      <c r="N3321" s="12"/>
      <c r="O3321" s="10" t="str">
        <f t="shared" si="325"/>
        <v>View</v>
      </c>
      <c r="P3321" s="11"/>
    </row>
    <row r="3322" spans="1:16" ht="12.75" x14ac:dyDescent="0.35">
      <c r="A3322" s="7">
        <v>42482.690486111111</v>
      </c>
      <c r="B3322" s="8" t="str">
        <f t="shared" si="324"/>
        <v>@beetlebug1938</v>
      </c>
      <c r="C3322" s="9" t="s">
        <v>66</v>
      </c>
      <c r="D3322" s="9" t="s">
        <v>8081</v>
      </c>
      <c r="E3322" s="10" t="str">
        <f>HYPERLINK("https://twitter.com/beetlebug1938/status/723467457936121860","723467457936121860")</f>
        <v>723467457936121860</v>
      </c>
      <c r="F3322" s="11" t="s">
        <v>68</v>
      </c>
      <c r="G3322" s="11">
        <v>350</v>
      </c>
      <c r="H3322" s="11">
        <v>2222</v>
      </c>
      <c r="I3322" s="11">
        <v>0</v>
      </c>
      <c r="J3322" s="11">
        <v>1</v>
      </c>
      <c r="K3322" s="11" t="s">
        <v>21</v>
      </c>
      <c r="L3322" s="7">
        <v>42469.863865740743</v>
      </c>
      <c r="M3322" s="12" t="s">
        <v>69</v>
      </c>
      <c r="N3322" s="12"/>
      <c r="O3322" s="10" t="str">
        <f t="shared" si="325"/>
        <v>View</v>
      </c>
      <c r="P3322" s="11"/>
    </row>
    <row r="3323" spans="1:16" ht="12.75" x14ac:dyDescent="0.35">
      <c r="A3323" s="7">
        <v>42482.69049768518</v>
      </c>
      <c r="B3323" s="8" t="str">
        <f t="shared" si="324"/>
        <v>@beetlebug1938</v>
      </c>
      <c r="C3323" s="9" t="s">
        <v>66</v>
      </c>
      <c r="D3323" s="9" t="s">
        <v>8082</v>
      </c>
      <c r="E3323" s="10" t="str">
        <f>HYPERLINK("https://twitter.com/beetlebug1938/status/723467463510335488","723467463510335488")</f>
        <v>723467463510335488</v>
      </c>
      <c r="F3323" s="11" t="s">
        <v>68</v>
      </c>
      <c r="G3323" s="11">
        <v>350</v>
      </c>
      <c r="H3323" s="11">
        <v>2222</v>
      </c>
      <c r="I3323" s="11">
        <v>1</v>
      </c>
      <c r="J3323" s="11">
        <v>1</v>
      </c>
      <c r="K3323" s="11" t="s">
        <v>21</v>
      </c>
      <c r="L3323" s="7">
        <v>42469.863865740743</v>
      </c>
      <c r="M3323" s="12" t="s">
        <v>69</v>
      </c>
      <c r="N3323" s="12"/>
      <c r="O3323" s="10" t="str">
        <f t="shared" si="325"/>
        <v>View</v>
      </c>
      <c r="P3323" s="11"/>
    </row>
    <row r="3324" spans="1:16" ht="12.75" x14ac:dyDescent="0.35">
      <c r="A3324" s="7">
        <v>42482.690509259264</v>
      </c>
      <c r="B3324" s="8" t="str">
        <f>HYPERLINK("https://twitter.com/rbbinforadio","@rbbinforadio")</f>
        <v>@rbbinforadio</v>
      </c>
      <c r="C3324" s="9" t="s">
        <v>8083</v>
      </c>
      <c r="D3324" s="9" t="s">
        <v>8084</v>
      </c>
      <c r="E3324" s="10" t="str">
        <f>HYPERLINK("https://twitter.com/rbbinforadio/status/723467469223038978","723467469223038978")</f>
        <v>723467469223038978</v>
      </c>
      <c r="F3324" s="11" t="s">
        <v>43</v>
      </c>
      <c r="G3324" s="11">
        <v>6161</v>
      </c>
      <c r="H3324" s="11">
        <v>390</v>
      </c>
      <c r="I3324" s="11">
        <v>0</v>
      </c>
      <c r="J3324" s="11">
        <v>0</v>
      </c>
      <c r="K3324" s="11" t="s">
        <v>21</v>
      </c>
      <c r="L3324" s="7">
        <v>40311.657199074078</v>
      </c>
      <c r="M3324" s="12"/>
      <c r="N3324" s="12" t="s">
        <v>8085</v>
      </c>
      <c r="O3324" s="10" t="str">
        <f>HYPERLINK("https://pbs.twimg.com/profile_images/666962838930485248/ZYF2LkHu_normal.png","View")</f>
        <v>View</v>
      </c>
      <c r="P3324" s="11"/>
    </row>
    <row r="3325" spans="1:16" ht="12.75" x14ac:dyDescent="0.35">
      <c r="A3325" s="7">
        <v>42482.690555555557</v>
      </c>
      <c r="B3325" s="8" t="str">
        <f>HYPERLINK("https://twitter.com/beetlebug1938","@beetlebug1938")</f>
        <v>@beetlebug1938</v>
      </c>
      <c r="C3325" s="9" t="s">
        <v>66</v>
      </c>
      <c r="D3325" s="9" t="s">
        <v>8086</v>
      </c>
      <c r="E3325" s="10" t="str">
        <f>HYPERLINK("https://twitter.com/beetlebug1938/status/723467483403935744","723467483403935744")</f>
        <v>723467483403935744</v>
      </c>
      <c r="F3325" s="11" t="s">
        <v>68</v>
      </c>
      <c r="G3325" s="11">
        <v>350</v>
      </c>
      <c r="H3325" s="11">
        <v>2222</v>
      </c>
      <c r="I3325" s="11">
        <v>1</v>
      </c>
      <c r="J3325" s="11">
        <v>0</v>
      </c>
      <c r="K3325" s="11" t="s">
        <v>21</v>
      </c>
      <c r="L3325" s="7">
        <v>42469.863865740743</v>
      </c>
      <c r="M3325" s="12" t="s">
        <v>69</v>
      </c>
      <c r="N3325" s="12"/>
      <c r="O3325" s="10" t="str">
        <f>HYPERLINK("https://pbs.twimg.com/profile_images/718820712757215233/LXXndPTS_normal.jpg","View")</f>
        <v>View</v>
      </c>
      <c r="P3325" s="11"/>
    </row>
    <row r="3326" spans="1:16" ht="12.75" x14ac:dyDescent="0.35">
      <c r="A3326" s="7">
        <v>42482.690995370373</v>
      </c>
      <c r="B3326" s="8" t="str">
        <f>HYPERLINK("https://twitter.com/serversnake","@serversnake")</f>
        <v>@serversnake</v>
      </c>
      <c r="C3326" s="9" t="s">
        <v>8059</v>
      </c>
      <c r="D3326" s="9" t="s">
        <v>8087</v>
      </c>
      <c r="E3326" s="10" t="str">
        <f>HYPERLINK("https://twitter.com/serversnake/status/723467643097890816","723467643097890816")</f>
        <v>723467643097890816</v>
      </c>
      <c r="F3326" s="11" t="s">
        <v>20</v>
      </c>
      <c r="G3326" s="11">
        <v>8</v>
      </c>
      <c r="H3326" s="11">
        <v>19</v>
      </c>
      <c r="I3326" s="11">
        <v>0</v>
      </c>
      <c r="J3326" s="11">
        <v>0</v>
      </c>
      <c r="K3326" s="11" t="s">
        <v>21</v>
      </c>
      <c r="L3326" s="7">
        <v>39992.308495370373</v>
      </c>
      <c r="M3326" s="12" t="s">
        <v>953</v>
      </c>
      <c r="N3326" s="12" t="s">
        <v>8061</v>
      </c>
      <c r="O3326" s="10" t="str">
        <f>HYPERLINK("https://pbs.twimg.com/profile_images/616373784749191170/eVFL0L13_normal.jpg","View")</f>
        <v>View</v>
      </c>
      <c r="P3326" s="11"/>
    </row>
    <row r="3327" spans="1:16" ht="12.75" x14ac:dyDescent="0.35">
      <c r="A3327" s="7">
        <v>42482.691516203704</v>
      </c>
      <c r="B3327" s="8" t="str">
        <f>HYPERLINK("https://twitter.com/JumpNRun84","@JumpNRun84")</f>
        <v>@JumpNRun84</v>
      </c>
      <c r="C3327" s="9" t="s">
        <v>8088</v>
      </c>
      <c r="D3327" s="9" t="s">
        <v>8089</v>
      </c>
      <c r="E3327" s="10" t="str">
        <f>HYPERLINK("https://twitter.com/JumpNRun84/status/723467833229844480","723467833229844480")</f>
        <v>723467833229844480</v>
      </c>
      <c r="F3327" s="11" t="s">
        <v>43</v>
      </c>
      <c r="G3327" s="11">
        <v>9</v>
      </c>
      <c r="H3327" s="11">
        <v>9</v>
      </c>
      <c r="I3327" s="11">
        <v>1</v>
      </c>
      <c r="J3327" s="11">
        <v>0</v>
      </c>
      <c r="K3327" s="11" t="s">
        <v>21</v>
      </c>
      <c r="L3327" s="7">
        <v>42204.721724537041</v>
      </c>
      <c r="M3327" s="12"/>
      <c r="N3327" s="12"/>
      <c r="O3327" s="10" t="str">
        <f>HYPERLINK("https://abs.twimg.com/sticky/default_profile_images/default_profile_2_normal.png","View")</f>
        <v>View</v>
      </c>
      <c r="P3327" s="11"/>
    </row>
    <row r="3328" spans="1:16" ht="12.75" x14ac:dyDescent="0.35">
      <c r="A3328" s="7">
        <v>42482.691944444443</v>
      </c>
      <c r="B3328" s="8" t="str">
        <f>HYPERLINK("https://twitter.com/hakandeliduman","@hakandeliduman")</f>
        <v>@hakandeliduman</v>
      </c>
      <c r="C3328" s="9" t="s">
        <v>8090</v>
      </c>
      <c r="D3328" s="9" t="s">
        <v>8091</v>
      </c>
      <c r="E3328" s="10" t="str">
        <f>HYPERLINK("https://twitter.com/hakandeliduman/status/723467987479597057","723467987479597057")</f>
        <v>723467987479597057</v>
      </c>
      <c r="F3328" s="11" t="s">
        <v>114</v>
      </c>
      <c r="G3328" s="11">
        <v>893</v>
      </c>
      <c r="H3328" s="11">
        <v>1718</v>
      </c>
      <c r="I3328" s="11">
        <v>0</v>
      </c>
      <c r="J3328" s="11">
        <v>0</v>
      </c>
      <c r="K3328" s="11" t="s">
        <v>21</v>
      </c>
      <c r="L3328" s="7">
        <v>39964.835046296299</v>
      </c>
      <c r="M3328" s="12" t="s">
        <v>8092</v>
      </c>
      <c r="N3328" s="12" t="s">
        <v>8093</v>
      </c>
      <c r="O3328" s="10" t="str">
        <f>HYPERLINK("https://pbs.twimg.com/profile_images/680045211888791552/JyuMRSSW_normal.jpg","View")</f>
        <v>View</v>
      </c>
      <c r="P3328" s="11"/>
    </row>
    <row r="3329" spans="1:16" ht="12.75" x14ac:dyDescent="0.35">
      <c r="A3329" s="7">
        <v>42482.692847222221</v>
      </c>
      <c r="B3329" s="8" t="str">
        <f>HYPERLINK("https://twitter.com/bayl","@bayl")</f>
        <v>@bayl</v>
      </c>
      <c r="C3329" s="9" t="s">
        <v>3167</v>
      </c>
      <c r="D3329" s="9" t="s">
        <v>8094</v>
      </c>
      <c r="E3329" s="10" t="str">
        <f>HYPERLINK("https://twitter.com/bayl/status/723468317445505024","723468317445505024")</f>
        <v>723468317445505024</v>
      </c>
      <c r="F3329" s="11" t="s">
        <v>43</v>
      </c>
      <c r="G3329" s="11">
        <v>577</v>
      </c>
      <c r="H3329" s="11">
        <v>825</v>
      </c>
      <c r="I3329" s="11">
        <v>3</v>
      </c>
      <c r="J3329" s="11">
        <v>0</v>
      </c>
      <c r="K3329" s="11" t="s">
        <v>21</v>
      </c>
      <c r="L3329" s="7">
        <v>39567.463831018518</v>
      </c>
      <c r="M3329" s="12"/>
      <c r="N3329" s="12" t="s">
        <v>3169</v>
      </c>
      <c r="O3329" s="10" t="str">
        <f>HYPERLINK("https://pbs.twimg.com/profile_images/438619338942062592/OBEQvg6R_normal.jpeg","View")</f>
        <v>View</v>
      </c>
      <c r="P3329" s="11"/>
    </row>
    <row r="3330" spans="1:16" ht="12.75" x14ac:dyDescent="0.35">
      <c r="A3330" s="7">
        <v>42482.692928240736</v>
      </c>
      <c r="B3330" s="8" t="str">
        <f>HYPERLINK("https://twitter.com/updayDE","@updayDE")</f>
        <v>@updayDE</v>
      </c>
      <c r="C3330" s="9" t="s">
        <v>3476</v>
      </c>
      <c r="D3330" s="9" t="s">
        <v>8095</v>
      </c>
      <c r="E3330" s="10" t="str">
        <f>HYPERLINK("https://twitter.com/updayDE/status/723468345941594112","723468345941594112")</f>
        <v>723468345941594112</v>
      </c>
      <c r="F3330" s="11" t="s">
        <v>63</v>
      </c>
      <c r="G3330" s="11">
        <v>552</v>
      </c>
      <c r="H3330" s="11">
        <v>63</v>
      </c>
      <c r="I3330" s="11">
        <v>0</v>
      </c>
      <c r="J3330" s="11">
        <v>0</v>
      </c>
      <c r="K3330" s="11" t="s">
        <v>21</v>
      </c>
      <c r="L3330" s="7">
        <v>42243.740763888884</v>
      </c>
      <c r="M3330" s="12" t="s">
        <v>3478</v>
      </c>
      <c r="N3330" s="12" t="s">
        <v>3479</v>
      </c>
      <c r="O3330" s="10" t="str">
        <f>HYPERLINK("https://pbs.twimg.com/profile_images/699880935366488064/uot0hGbb_normal.png","View")</f>
        <v>View</v>
      </c>
      <c r="P3330" s="11"/>
    </row>
    <row r="3331" spans="1:16" ht="12.75" x14ac:dyDescent="0.35">
      <c r="A3331" s="7">
        <v>42482.69368055556</v>
      </c>
      <c r="B3331" s="8" t="str">
        <f t="shared" ref="B3331:B3332" si="326">HYPERLINK("https://twitter.com/VolkswagenPost","@VolkswagenPost")</f>
        <v>@VolkswagenPost</v>
      </c>
      <c r="C3331" s="9" t="s">
        <v>321</v>
      </c>
      <c r="D3331" s="9" t="s">
        <v>8096</v>
      </c>
      <c r="E3331" s="10" t="str">
        <f>HYPERLINK("https://twitter.com/VolkswagenPost/status/723468616360816641","723468616360816641")</f>
        <v>723468616360816641</v>
      </c>
      <c r="F3331" s="11" t="s">
        <v>34</v>
      </c>
      <c r="G3331" s="11">
        <v>570</v>
      </c>
      <c r="H3331" s="11">
        <v>446</v>
      </c>
      <c r="I3331" s="11">
        <v>0</v>
      </c>
      <c r="J3331" s="11">
        <v>0</v>
      </c>
      <c r="K3331" s="11" t="s">
        <v>21</v>
      </c>
      <c r="L3331" s="7">
        <v>41940.618379629632</v>
      </c>
      <c r="M3331" s="12"/>
      <c r="N3331" s="12"/>
      <c r="O3331" s="10" t="str">
        <f t="shared" ref="O3331:O3332" si="327">HYPERLINK("https://pbs.twimg.com/profile_images/530071272881803264/a_jcCmPZ_normal.png","View")</f>
        <v>View</v>
      </c>
      <c r="P3331" s="11"/>
    </row>
    <row r="3332" spans="1:16" ht="12.75" x14ac:dyDescent="0.35">
      <c r="A3332" s="7">
        <v>42482.69368055556</v>
      </c>
      <c r="B3332" s="8" t="str">
        <f t="shared" si="326"/>
        <v>@VolkswagenPost</v>
      </c>
      <c r="C3332" s="9" t="s">
        <v>321</v>
      </c>
      <c r="D3332" s="9" t="s">
        <v>8097</v>
      </c>
      <c r="E3332" s="10" t="str">
        <f>HYPERLINK("https://twitter.com/VolkswagenPost/status/723468617812078593","723468617812078593")</f>
        <v>723468617812078593</v>
      </c>
      <c r="F3332" s="11" t="s">
        <v>34</v>
      </c>
      <c r="G3332" s="11">
        <v>570</v>
      </c>
      <c r="H3332" s="11">
        <v>446</v>
      </c>
      <c r="I3332" s="11">
        <v>0</v>
      </c>
      <c r="J3332" s="11">
        <v>0</v>
      </c>
      <c r="K3332" s="11" t="s">
        <v>21</v>
      </c>
      <c r="L3332" s="7">
        <v>41940.618379629632</v>
      </c>
      <c r="M3332" s="12"/>
      <c r="N3332" s="12"/>
      <c r="O3332" s="10" t="str">
        <f t="shared" si="327"/>
        <v>View</v>
      </c>
      <c r="P3332" s="11"/>
    </row>
    <row r="3333" spans="1:16" ht="12.75" x14ac:dyDescent="0.35">
      <c r="A3333" s="7">
        <v>42482.693692129629</v>
      </c>
      <c r="B3333" s="8" t="str">
        <f>HYPERLINK("https://twitter.com/Bateman_Man","@Bateman_Man")</f>
        <v>@Bateman_Man</v>
      </c>
      <c r="C3333" s="9" t="s">
        <v>8098</v>
      </c>
      <c r="D3333" s="9" t="s">
        <v>8099</v>
      </c>
      <c r="E3333" s="10" t="str">
        <f>HYPERLINK("https://twitter.com/Bateman_Man/status/723468622920818688","723468622920818688")</f>
        <v>723468622920818688</v>
      </c>
      <c r="F3333" s="11" t="s">
        <v>43</v>
      </c>
      <c r="G3333" s="11">
        <v>10666</v>
      </c>
      <c r="H3333" s="11">
        <v>549</v>
      </c>
      <c r="I3333" s="11">
        <v>1</v>
      </c>
      <c r="J3333" s="11">
        <v>0</v>
      </c>
      <c r="K3333" s="11" t="s">
        <v>21</v>
      </c>
      <c r="L3333" s="7">
        <v>40548.047685185185</v>
      </c>
      <c r="M3333" s="12" t="s">
        <v>8100</v>
      </c>
      <c r="N3333" s="12" t="s">
        <v>8101</v>
      </c>
      <c r="O3333" s="10" t="str">
        <f>HYPERLINK("https://pbs.twimg.com/profile_images/716905526735536128/xbi7mpTE_normal.jpg","View")</f>
        <v>View</v>
      </c>
      <c r="P3333" s="11"/>
    </row>
    <row r="3334" spans="1:16" ht="12.75" x14ac:dyDescent="0.35">
      <c r="A3334" s="7">
        <v>42482.693865740745</v>
      </c>
      <c r="B3334" s="8" t="str">
        <f>HYPERLINK("https://twitter.com/Smashy86","@Smashy86")</f>
        <v>@Smashy86</v>
      </c>
      <c r="C3334" s="9" t="s">
        <v>8102</v>
      </c>
      <c r="D3334" s="9" t="s">
        <v>8103</v>
      </c>
      <c r="E3334" s="10" t="str">
        <f>HYPERLINK("https://twitter.com/Smashy86/status/723468685634088960","723468685634088960")</f>
        <v>723468685634088960</v>
      </c>
      <c r="F3334" s="11" t="s">
        <v>48</v>
      </c>
      <c r="G3334" s="11">
        <v>22</v>
      </c>
      <c r="H3334" s="11">
        <v>111</v>
      </c>
      <c r="I3334" s="11">
        <v>0</v>
      </c>
      <c r="J3334" s="11">
        <v>0</v>
      </c>
      <c r="K3334" s="11" t="s">
        <v>21</v>
      </c>
      <c r="L3334" s="7">
        <v>40574.216608796298</v>
      </c>
      <c r="M3334" s="12" t="s">
        <v>8104</v>
      </c>
      <c r="N3334" s="12"/>
      <c r="O3334" s="10" t="str">
        <f>HYPERLINK("https://pbs.twimg.com/profile_images/511848912550776832/8Zp5T2mo_normal.jpeg","View")</f>
        <v>View</v>
      </c>
      <c r="P3334" s="11"/>
    </row>
    <row r="3335" spans="1:16" ht="12.75" x14ac:dyDescent="0.35">
      <c r="A3335" s="7">
        <v>42482.694143518514</v>
      </c>
      <c r="B3335" s="8" t="str">
        <f>HYPERLINK("https://twitter.com/FuscaWorld","@FuscaWorld")</f>
        <v>@FuscaWorld</v>
      </c>
      <c r="C3335" s="9" t="s">
        <v>74</v>
      </c>
      <c r="D3335" s="9" t="s">
        <v>8105</v>
      </c>
      <c r="E3335" s="10" t="str">
        <f>HYPERLINK("https://twitter.com/FuscaWorld/status/723468784720293888","723468784720293888")</f>
        <v>723468784720293888</v>
      </c>
      <c r="F3335" s="11" t="s">
        <v>76</v>
      </c>
      <c r="G3335" s="11">
        <v>48</v>
      </c>
      <c r="H3335" s="11">
        <v>1</v>
      </c>
      <c r="I3335" s="11">
        <v>1</v>
      </c>
      <c r="J3335" s="11">
        <v>0</v>
      </c>
      <c r="K3335" s="11" t="s">
        <v>21</v>
      </c>
      <c r="L3335" s="7">
        <v>42433.880914351852</v>
      </c>
      <c r="M3335" s="12"/>
      <c r="N3335" s="12" t="s">
        <v>77</v>
      </c>
      <c r="O3335" s="10" t="str">
        <f>HYPERLINK("https://pbs.twimg.com/profile_images/705780107844067328/e7O4UBNb_normal.jpg","View")</f>
        <v>View</v>
      </c>
      <c r="P3335" s="11"/>
    </row>
    <row r="3336" spans="1:16" ht="12.75" x14ac:dyDescent="0.35">
      <c r="A3336" s="7">
        <v>42482.694166666668</v>
      </c>
      <c r="B3336" s="8" t="str">
        <f>HYPERLINK("https://twitter.com/dwnews","@dwnews")</f>
        <v>@dwnews</v>
      </c>
      <c r="C3336" s="9" t="s">
        <v>1302</v>
      </c>
      <c r="D3336" s="9" t="s">
        <v>8106</v>
      </c>
      <c r="E3336" s="10" t="str">
        <f>HYPERLINK("https://twitter.com/dwnews/status/723468793637441538","723468793637441538")</f>
        <v>723468793637441538</v>
      </c>
      <c r="F3336" s="11" t="s">
        <v>63</v>
      </c>
      <c r="G3336" s="11">
        <v>91224</v>
      </c>
      <c r="H3336" s="11">
        <v>542</v>
      </c>
      <c r="I3336" s="11">
        <v>5</v>
      </c>
      <c r="J3336" s="11">
        <v>0</v>
      </c>
      <c r="K3336" s="11" t="s">
        <v>21</v>
      </c>
      <c r="L3336" s="7">
        <v>39220.688078703708</v>
      </c>
      <c r="M3336" s="12" t="s">
        <v>1303</v>
      </c>
      <c r="N3336" s="12" t="s">
        <v>1304</v>
      </c>
      <c r="O3336" s="10" t="str">
        <f>HYPERLINK("https://pbs.twimg.com/profile_images/608213167496417280/QSxgcLn__normal.png","View")</f>
        <v>View</v>
      </c>
      <c r="P3336" s="11"/>
    </row>
    <row r="3337" spans="1:16" ht="12.75" x14ac:dyDescent="0.35">
      <c r="A3337" s="7">
        <v>42482.694745370369</v>
      </c>
      <c r="B3337" s="8" t="str">
        <f>HYPERLINK("https://twitter.com/handelsblatt","@handelsblatt")</f>
        <v>@handelsblatt</v>
      </c>
      <c r="C3337" s="9" t="s">
        <v>973</v>
      </c>
      <c r="D3337" s="9" t="s">
        <v>8107</v>
      </c>
      <c r="E3337" s="10" t="str">
        <f>HYPERLINK("https://twitter.com/handelsblatt/status/723469003579076608","723469003579076608")</f>
        <v>723469003579076608</v>
      </c>
      <c r="F3337" s="11" t="s">
        <v>63</v>
      </c>
      <c r="G3337" s="11">
        <v>239936</v>
      </c>
      <c r="H3337" s="11">
        <v>535</v>
      </c>
      <c r="I3337" s="11">
        <v>3</v>
      </c>
      <c r="J3337" s="11">
        <v>0</v>
      </c>
      <c r="K3337" s="11" t="s">
        <v>21</v>
      </c>
      <c r="L3337" s="7">
        <v>39207.128182870372</v>
      </c>
      <c r="M3337" s="12" t="s">
        <v>975</v>
      </c>
      <c r="N3337" s="12" t="s">
        <v>976</v>
      </c>
      <c r="O3337" s="10" t="str">
        <f>HYPERLINK("https://pbs.twimg.com/profile_images/562563461171798017/AkHF4keI_normal.png","View")</f>
        <v>View</v>
      </c>
      <c r="P3337" s="11"/>
    </row>
    <row r="3338" spans="1:16" ht="12.75" x14ac:dyDescent="0.35">
      <c r="A3338" s="7">
        <v>42482.695011574076</v>
      </c>
      <c r="B3338" s="8" t="str">
        <f>HYPERLINK("https://twitter.com/KelvHathSpoken","@KelvHathSpoken")</f>
        <v>@KelvHathSpoken</v>
      </c>
      <c r="C3338" s="9" t="s">
        <v>8108</v>
      </c>
      <c r="D3338" s="9" t="s">
        <v>8109</v>
      </c>
      <c r="E3338" s="10" t="str">
        <f>HYPERLINK("https://twitter.com/KelvHathSpoken/status/723469098336706560","723469098336706560")</f>
        <v>723469098336706560</v>
      </c>
      <c r="F3338" s="11" t="s">
        <v>91</v>
      </c>
      <c r="G3338" s="11">
        <v>90</v>
      </c>
      <c r="H3338" s="11">
        <v>68</v>
      </c>
      <c r="I3338" s="11">
        <v>5</v>
      </c>
      <c r="J3338" s="11">
        <v>0</v>
      </c>
      <c r="K3338" s="11" t="s">
        <v>21</v>
      </c>
      <c r="L3338" s="7">
        <v>40591.007418981484</v>
      </c>
      <c r="M3338" s="12" t="s">
        <v>8110</v>
      </c>
      <c r="N3338" s="12" t="s">
        <v>8111</v>
      </c>
      <c r="O3338" s="10" t="str">
        <f>HYPERLINK("https://pbs.twimg.com/profile_images/447326412865683458/nv9e-YYU_normal.jpeg","View")</f>
        <v>View</v>
      </c>
      <c r="P3338" s="11"/>
    </row>
    <row r="3339" spans="1:16" ht="12.75" x14ac:dyDescent="0.35">
      <c r="A3339" s="7">
        <v>42482.695370370369</v>
      </c>
      <c r="B3339" s="8" t="str">
        <f>HYPERLINK("https://twitter.com/dneuerer","@dneuerer")</f>
        <v>@dneuerer</v>
      </c>
      <c r="C3339" s="9" t="s">
        <v>8112</v>
      </c>
      <c r="D3339" s="9" t="s">
        <v>8107</v>
      </c>
      <c r="E3339" s="10" t="str">
        <f>HYPERLINK("https://twitter.com/dneuerer/status/723469228838412289","723469228838412289")</f>
        <v>723469228838412289</v>
      </c>
      <c r="F3339" s="11" t="s">
        <v>20</v>
      </c>
      <c r="G3339" s="11">
        <v>2823</v>
      </c>
      <c r="H3339" s="11">
        <v>2739</v>
      </c>
      <c r="I3339" s="11">
        <v>3</v>
      </c>
      <c r="J3339" s="11">
        <v>0</v>
      </c>
      <c r="K3339" s="11" t="s">
        <v>21</v>
      </c>
      <c r="L3339" s="7">
        <v>40553.027002314819</v>
      </c>
      <c r="M3339" s="12"/>
      <c r="N3339" s="12" t="s">
        <v>8113</v>
      </c>
      <c r="O3339" s="10" t="str">
        <f>HYPERLINK("https://pbs.twimg.com/profile_images/683583669202731008/gni4rKo-_normal.jpg","View")</f>
        <v>View</v>
      </c>
      <c r="P3339" s="11"/>
    </row>
    <row r="3340" spans="1:16" ht="12.75" x14ac:dyDescent="0.35">
      <c r="A3340" s="7">
        <v>42482.695532407408</v>
      </c>
      <c r="B3340" s="8" t="str">
        <f>HYPERLINK("https://twitter.com/alexvr6","@alexvr6")</f>
        <v>@alexvr6</v>
      </c>
      <c r="C3340" s="9" t="s">
        <v>8114</v>
      </c>
      <c r="D3340" s="9" t="s">
        <v>8109</v>
      </c>
      <c r="E3340" s="10" t="str">
        <f>HYPERLINK("https://twitter.com/alexvr6/status/723469289114624000","723469289114624000")</f>
        <v>723469289114624000</v>
      </c>
      <c r="F3340" s="11" t="s">
        <v>63</v>
      </c>
      <c r="G3340" s="11">
        <v>63</v>
      </c>
      <c r="H3340" s="11">
        <v>384</v>
      </c>
      <c r="I3340" s="11">
        <v>5</v>
      </c>
      <c r="J3340" s="11">
        <v>0</v>
      </c>
      <c r="K3340" s="11" t="s">
        <v>21</v>
      </c>
      <c r="L3340" s="7">
        <v>39983.714363425926</v>
      </c>
      <c r="M3340" s="12"/>
      <c r="N3340" s="12"/>
      <c r="O3340" s="10" t="str">
        <f>HYPERLINK("https://pbs.twimg.com/profile_images/2912658072/1f991d7955047f34a717b2c4ba41e0f7_normal.jpeg","View")</f>
        <v>View</v>
      </c>
      <c r="P3340" s="11"/>
    </row>
    <row r="3341" spans="1:16" ht="12.75" x14ac:dyDescent="0.35">
      <c r="A3341" s="7">
        <v>42482.695694444439</v>
      </c>
      <c r="B3341" s="8" t="str">
        <f>HYPERLINK("https://twitter.com/lars_scho","@lars_scho")</f>
        <v>@lars_scho</v>
      </c>
      <c r="C3341" s="9" t="s">
        <v>7813</v>
      </c>
      <c r="D3341" s="9" t="s">
        <v>8115</v>
      </c>
      <c r="E3341" s="10" t="str">
        <f>HYPERLINK("https://twitter.com/lars_scho/status/723469347495268352","723469347495268352")</f>
        <v>723469347495268352</v>
      </c>
      <c r="F3341" s="11" t="s">
        <v>43</v>
      </c>
      <c r="G3341" s="11">
        <v>287</v>
      </c>
      <c r="H3341" s="11">
        <v>497</v>
      </c>
      <c r="I3341" s="11">
        <v>0</v>
      </c>
      <c r="J3341" s="11">
        <v>0</v>
      </c>
      <c r="K3341" s="11" t="s">
        <v>21</v>
      </c>
      <c r="L3341" s="7">
        <v>41779.134282407409</v>
      </c>
      <c r="M3341" s="12" t="s">
        <v>1495</v>
      </c>
      <c r="N3341" s="12" t="s">
        <v>7815</v>
      </c>
      <c r="O3341" s="10" t="str">
        <f>HYPERLINK("https://pbs.twimg.com/profile_images/721996706657779713/1ngKuolF_normal.jpg","View")</f>
        <v>View</v>
      </c>
      <c r="P3341" s="11"/>
    </row>
    <row r="3342" spans="1:16" ht="12.75" x14ac:dyDescent="0.35">
      <c r="A3342" s="7">
        <v>42482.695694444439</v>
      </c>
      <c r="B3342" s="8" t="str">
        <f>HYPERLINK("https://twitter.com/dneuerer","@dneuerer")</f>
        <v>@dneuerer</v>
      </c>
      <c r="C3342" s="9" t="s">
        <v>8112</v>
      </c>
      <c r="D3342" s="9" t="s">
        <v>8116</v>
      </c>
      <c r="E3342" s="10" t="str">
        <f>HYPERLINK("https://twitter.com/dneuerer/status/723469349378465792","723469349378465792")</f>
        <v>723469349378465792</v>
      </c>
      <c r="F3342" s="11" t="s">
        <v>20</v>
      </c>
      <c r="G3342" s="11">
        <v>2823</v>
      </c>
      <c r="H3342" s="11">
        <v>2739</v>
      </c>
      <c r="I3342" s="11">
        <v>2</v>
      </c>
      <c r="J3342" s="11">
        <v>0</v>
      </c>
      <c r="K3342" s="11" t="s">
        <v>21</v>
      </c>
      <c r="L3342" s="7">
        <v>40553.027002314819</v>
      </c>
      <c r="M3342" s="12"/>
      <c r="N3342" s="12" t="s">
        <v>8113</v>
      </c>
      <c r="O3342" s="10" t="str">
        <f>HYPERLINK("https://pbs.twimg.com/profile_images/683583669202731008/gni4rKo-_normal.jpg","View")</f>
        <v>View</v>
      </c>
      <c r="P3342" s="11"/>
    </row>
    <row r="3343" spans="1:16" ht="12.75" x14ac:dyDescent="0.35">
      <c r="A3343" s="7">
        <v>42482.695706018523</v>
      </c>
      <c r="B3343" s="8" t="str">
        <f>HYPERLINK("https://twitter.com/rbbabendschau","@rbbabendschau")</f>
        <v>@rbbabendschau</v>
      </c>
      <c r="C3343" s="9" t="s">
        <v>8117</v>
      </c>
      <c r="D3343" s="9" t="s">
        <v>8118</v>
      </c>
      <c r="E3343" s="10" t="str">
        <f>HYPERLINK("https://twitter.com/rbbabendschau/status/723469352725536769","723469352725536769")</f>
        <v>723469352725536769</v>
      </c>
      <c r="F3343" s="11" t="s">
        <v>43</v>
      </c>
      <c r="G3343" s="11">
        <v>10378</v>
      </c>
      <c r="H3343" s="11">
        <v>761</v>
      </c>
      <c r="I3343" s="11">
        <v>0</v>
      </c>
      <c r="J3343" s="11">
        <v>1</v>
      </c>
      <c r="K3343" s="11" t="s">
        <v>21</v>
      </c>
      <c r="L3343" s="7">
        <v>39876.831805555557</v>
      </c>
      <c r="M3343" s="12" t="s">
        <v>1359</v>
      </c>
      <c r="N3343" s="12" t="s">
        <v>8119</v>
      </c>
      <c r="O3343" s="10" t="str">
        <f>HYPERLINK("https://pbs.twimg.com/profile_images/704354930820292609/qfy0T3DA_normal.jpg","View")</f>
        <v>View</v>
      </c>
      <c r="P3343" s="11"/>
    </row>
    <row r="3344" spans="1:16" ht="12.75" x14ac:dyDescent="0.35">
      <c r="A3344" s="7">
        <v>42482.69594907407</v>
      </c>
      <c r="B3344" s="8" t="str">
        <f>HYPERLINK("https://twitter.com/MoSchaefer66","@MoSchaefer66")</f>
        <v>@MoSchaefer66</v>
      </c>
      <c r="C3344" s="9" t="s">
        <v>8120</v>
      </c>
      <c r="D3344" s="9" t="s">
        <v>8028</v>
      </c>
      <c r="E3344" s="10" t="str">
        <f>HYPERLINK("https://twitter.com/MoSchaefer66/status/723469438633304064","723469438633304064")</f>
        <v>723469438633304064</v>
      </c>
      <c r="F3344" s="11" t="s">
        <v>91</v>
      </c>
      <c r="G3344" s="11">
        <v>2400</v>
      </c>
      <c r="H3344" s="11">
        <v>2298</v>
      </c>
      <c r="I3344" s="11">
        <v>4</v>
      </c>
      <c r="J3344" s="11">
        <v>0</v>
      </c>
      <c r="K3344" s="11" t="s">
        <v>21</v>
      </c>
      <c r="L3344" s="7">
        <v>41381.829768518517</v>
      </c>
      <c r="M3344" s="12"/>
      <c r="N3344" s="12" t="s">
        <v>8121</v>
      </c>
      <c r="O3344" s="10" t="str">
        <f>HYPERLINK("https://pbs.twimg.com/profile_images/605815181952696320/r0cPYyRx_normal.jpg","View")</f>
        <v>View</v>
      </c>
      <c r="P3344" s="11"/>
    </row>
    <row r="3345" spans="1:16" ht="12.75" x14ac:dyDescent="0.35">
      <c r="A3345" s="7">
        <v>42482.696238425924</v>
      </c>
      <c r="B3345" s="8" t="str">
        <f>HYPERLINK("https://twitter.com/unbequemes","@unbequemes")</f>
        <v>@unbequemes</v>
      </c>
      <c r="C3345" s="9" t="s">
        <v>8122</v>
      </c>
      <c r="D3345" s="9" t="s">
        <v>8028</v>
      </c>
      <c r="E3345" s="10" t="str">
        <f>HYPERLINK("https://twitter.com/unbequemes/status/723469545642532864","723469545642532864")</f>
        <v>723469545642532864</v>
      </c>
      <c r="F3345" s="11" t="s">
        <v>48</v>
      </c>
      <c r="G3345" s="11">
        <v>511</v>
      </c>
      <c r="H3345" s="11">
        <v>370</v>
      </c>
      <c r="I3345" s="11">
        <v>4</v>
      </c>
      <c r="J3345" s="11">
        <v>0</v>
      </c>
      <c r="K3345" s="11" t="s">
        <v>21</v>
      </c>
      <c r="L3345" s="7">
        <v>41905.185740740737</v>
      </c>
      <c r="M3345" s="12" t="s">
        <v>8123</v>
      </c>
      <c r="N3345" s="12" t="s">
        <v>8124</v>
      </c>
      <c r="O3345" s="10" t="str">
        <f>HYPERLINK("https://pbs.twimg.com/profile_images/537398927629492224/-gaJbNL2_normal.jpeg","View")</f>
        <v>View</v>
      </c>
      <c r="P3345" s="11"/>
    </row>
    <row r="3346" spans="1:16" ht="12.75" x14ac:dyDescent="0.35">
      <c r="A3346" s="7">
        <v>42482.696527777778</v>
      </c>
      <c r="B3346" s="8" t="str">
        <f>HYPERLINK("https://twitter.com/AlexanderDuevel","@AlexanderDuevel")</f>
        <v>@AlexanderDuevel</v>
      </c>
      <c r="C3346" s="9" t="s">
        <v>8125</v>
      </c>
      <c r="D3346" s="9" t="s">
        <v>8107</v>
      </c>
      <c r="E3346" s="10" t="str">
        <f>HYPERLINK("https://twitter.com/AlexanderDuevel/status/723469650642776064","723469650642776064")</f>
        <v>723469650642776064</v>
      </c>
      <c r="F3346" s="11" t="s">
        <v>367</v>
      </c>
      <c r="G3346" s="11">
        <v>75</v>
      </c>
      <c r="H3346" s="11">
        <v>194</v>
      </c>
      <c r="I3346" s="11">
        <v>3</v>
      </c>
      <c r="J3346" s="11">
        <v>0</v>
      </c>
      <c r="K3346" s="11" t="s">
        <v>21</v>
      </c>
      <c r="L3346" s="7">
        <v>40785.035578703704</v>
      </c>
      <c r="M3346" s="12"/>
      <c r="N3346" s="12" t="s">
        <v>8126</v>
      </c>
      <c r="O3346" s="10" t="str">
        <f>HYPERLINK("https://pbs.twimg.com/profile_images/420682882730831872/nB7QO20Z_normal.jpeg","View")</f>
        <v>View</v>
      </c>
      <c r="P3346" s="11"/>
    </row>
    <row r="3347" spans="1:16" ht="12.75" x14ac:dyDescent="0.35">
      <c r="A3347" s="7">
        <v>42482.696817129632</v>
      </c>
      <c r="B3347" s="8" t="str">
        <f>HYPERLINK("https://twitter.com/tagesschau","@tagesschau")</f>
        <v>@tagesschau</v>
      </c>
      <c r="C3347" s="9" t="s">
        <v>1880</v>
      </c>
      <c r="D3347" s="9" t="s">
        <v>8127</v>
      </c>
      <c r="E3347" s="10" t="str">
        <f>HYPERLINK("https://twitter.com/tagesschau/status/723469754032332800","723469754032332800")</f>
        <v>723469754032332800</v>
      </c>
      <c r="F3347" s="10" t="s">
        <v>1882</v>
      </c>
      <c r="G3347" s="11">
        <v>1154829</v>
      </c>
      <c r="H3347" s="11">
        <v>286</v>
      </c>
      <c r="I3347" s="11">
        <v>2</v>
      </c>
      <c r="J3347" s="11">
        <v>1</v>
      </c>
      <c r="K3347" s="11" t="s">
        <v>21</v>
      </c>
      <c r="L3347" s="7">
        <v>39205.592152777775</v>
      </c>
      <c r="M3347" s="12" t="s">
        <v>953</v>
      </c>
      <c r="N3347" s="12" t="s">
        <v>1883</v>
      </c>
      <c r="O3347" s="10" t="str">
        <f>HYPERLINK("https://pbs.twimg.com/profile_images/531688614640365568/U84uXoIT_normal.png","View")</f>
        <v>View</v>
      </c>
      <c r="P3347" s="11"/>
    </row>
    <row r="3348" spans="1:16" ht="12.75" x14ac:dyDescent="0.35">
      <c r="A3348" s="7">
        <v>42482.697372685187</v>
      </c>
      <c r="B3348" s="8" t="str">
        <f>HYPERLINK("https://twitter.com/ivan_poskok","@ivan_poskok")</f>
        <v>@ivan_poskok</v>
      </c>
      <c r="C3348" s="9" t="s">
        <v>8128</v>
      </c>
      <c r="D3348" s="9" t="s">
        <v>8109</v>
      </c>
      <c r="E3348" s="10" t="str">
        <f>HYPERLINK("https://twitter.com/ivan_poskok/status/723469954272604160","723469954272604160")</f>
        <v>723469954272604160</v>
      </c>
      <c r="F3348" s="11" t="s">
        <v>48</v>
      </c>
      <c r="G3348" s="11">
        <v>233</v>
      </c>
      <c r="H3348" s="11">
        <v>345</v>
      </c>
      <c r="I3348" s="11">
        <v>5</v>
      </c>
      <c r="J3348" s="11">
        <v>0</v>
      </c>
      <c r="K3348" s="11" t="s">
        <v>21</v>
      </c>
      <c r="L3348" s="7">
        <v>41305.829247685186</v>
      </c>
      <c r="M3348" s="12" t="s">
        <v>8129</v>
      </c>
      <c r="N3348" s="12" t="s">
        <v>8130</v>
      </c>
      <c r="O3348" s="10" t="str">
        <f>HYPERLINK("https://pbs.twimg.com/profile_images/3264069413/013cec4a26e4c1dfbba092ea661a16f8_normal.jpeg","View")</f>
        <v>View</v>
      </c>
      <c r="P3348" s="11"/>
    </row>
    <row r="3349" spans="1:16" ht="12.75" x14ac:dyDescent="0.35">
      <c r="A3349" s="7">
        <v>42482.698124999995</v>
      </c>
      <c r="B3349" s="8" t="str">
        <f>HYPERLINK("https://twitter.com/_Alex_Berlin","@_Alex_Berlin")</f>
        <v>@_Alex_Berlin</v>
      </c>
      <c r="C3349" s="9" t="s">
        <v>8131</v>
      </c>
      <c r="D3349" s="9" t="s">
        <v>8132</v>
      </c>
      <c r="E3349" s="10" t="str">
        <f>HYPERLINK("https://twitter.com/_Alex_Berlin/status/723470228575887362","723470228575887362")</f>
        <v>723470228575887362</v>
      </c>
      <c r="F3349" s="11" t="s">
        <v>48</v>
      </c>
      <c r="G3349" s="11">
        <v>1227</v>
      </c>
      <c r="H3349" s="11">
        <v>1653</v>
      </c>
      <c r="I3349" s="11">
        <v>2</v>
      </c>
      <c r="J3349" s="11">
        <v>0</v>
      </c>
      <c r="K3349" s="11" t="s">
        <v>21</v>
      </c>
      <c r="L3349" s="7">
        <v>40281.135451388887</v>
      </c>
      <c r="M3349" s="12" t="s">
        <v>8133</v>
      </c>
      <c r="N3349" s="12" t="s">
        <v>8134</v>
      </c>
      <c r="O3349" s="10" t="str">
        <f>HYPERLINK("https://pbs.twimg.com/profile_images/1397629173/kaas_elias_3670b_800pxl_web72dpi_normal.jpg","View")</f>
        <v>View</v>
      </c>
      <c r="P3349" s="11"/>
    </row>
    <row r="3350" spans="1:16" ht="12.75" x14ac:dyDescent="0.35">
      <c r="A3350" s="7">
        <v>42482.698287037041</v>
      </c>
      <c r="B3350" s="8" t="str">
        <f>HYPERLINK("https://twitter.com/akihheikkinen","@akihheikkinen")</f>
        <v>@akihheikkinen</v>
      </c>
      <c r="C3350" s="9" t="s">
        <v>8135</v>
      </c>
      <c r="D3350" s="9" t="s">
        <v>8109</v>
      </c>
      <c r="E3350" s="10" t="str">
        <f>HYPERLINK("https://twitter.com/akihheikkinen/status/723470285190651906","723470285190651906")</f>
        <v>723470285190651906</v>
      </c>
      <c r="F3350" s="11" t="s">
        <v>48</v>
      </c>
      <c r="G3350" s="11">
        <v>1132</v>
      </c>
      <c r="H3350" s="11">
        <v>860</v>
      </c>
      <c r="I3350" s="11">
        <v>5</v>
      </c>
      <c r="J3350" s="11">
        <v>0</v>
      </c>
      <c r="K3350" s="11" t="s">
        <v>21</v>
      </c>
      <c r="L3350" s="7">
        <v>41672.04965277778</v>
      </c>
      <c r="M3350" s="12" t="s">
        <v>8136</v>
      </c>
      <c r="N3350" s="12" t="s">
        <v>8137</v>
      </c>
      <c r="O3350" s="10" t="str">
        <f>HYPERLINK("https://pbs.twimg.com/profile_images/666350173677887489/DlIQXJXf_normal.jpg","View")</f>
        <v>View</v>
      </c>
      <c r="P3350" s="11"/>
    </row>
    <row r="3351" spans="1:16" ht="12.75" x14ac:dyDescent="0.35">
      <c r="A3351" s="7">
        <v>42482.69831018518</v>
      </c>
      <c r="B3351" s="8" t="str">
        <f>HYPERLINK("https://twitter.com/katjalosch","@katjalosch")</f>
        <v>@katjalosch</v>
      </c>
      <c r="C3351" s="9" t="s">
        <v>8138</v>
      </c>
      <c r="D3351" s="9" t="s">
        <v>8139</v>
      </c>
      <c r="E3351" s="10" t="str">
        <f>HYPERLINK("https://twitter.com/katjalosch/status/723470296594939904","723470296594939904")</f>
        <v>723470296594939904</v>
      </c>
      <c r="F3351" s="11" t="s">
        <v>43</v>
      </c>
      <c r="G3351" s="11">
        <v>313</v>
      </c>
      <c r="H3351" s="11">
        <v>131</v>
      </c>
      <c r="I3351" s="11">
        <v>1</v>
      </c>
      <c r="J3351" s="11">
        <v>0</v>
      </c>
      <c r="K3351" s="11" t="s">
        <v>21</v>
      </c>
      <c r="L3351" s="7">
        <v>40755.120879629627</v>
      </c>
      <c r="M3351" s="12" t="s">
        <v>1359</v>
      </c>
      <c r="N3351" s="12" t="s">
        <v>8140</v>
      </c>
      <c r="O3351" s="10" t="str">
        <f>HYPERLINK("https://pbs.twimg.com/profile_images/425236817864974336/C2f777A1_normal.jpeg","View")</f>
        <v>View</v>
      </c>
      <c r="P3351" s="11"/>
    </row>
    <row r="3352" spans="1:16" ht="12.75" x14ac:dyDescent="0.35">
      <c r="A3352" s="7">
        <v>42482.698379629626</v>
      </c>
      <c r="B3352" s="8" t="str">
        <f t="shared" ref="B3352:B3353" si="328">HYPERLINK("https://twitter.com/thevolksmusik","@thevolksmusik")</f>
        <v>@thevolksmusik</v>
      </c>
      <c r="C3352" s="9" t="s">
        <v>8141</v>
      </c>
      <c r="D3352" s="9" t="s">
        <v>8142</v>
      </c>
      <c r="E3352" s="10" t="str">
        <f>HYPERLINK("https://twitter.com/thevolksmusik/status/723470320707973122","723470320707973122")</f>
        <v>723470320707973122</v>
      </c>
      <c r="F3352" s="11" t="s">
        <v>114</v>
      </c>
      <c r="G3352" s="11">
        <v>1531</v>
      </c>
      <c r="H3352" s="11">
        <v>1477</v>
      </c>
      <c r="I3352" s="11">
        <v>0</v>
      </c>
      <c r="J3352" s="11">
        <v>0</v>
      </c>
      <c r="K3352" s="11" t="s">
        <v>21</v>
      </c>
      <c r="L3352" s="7">
        <v>40676.864374999997</v>
      </c>
      <c r="M3352" s="12" t="s">
        <v>3553</v>
      </c>
      <c r="N3352" s="12" t="s">
        <v>8143</v>
      </c>
      <c r="O3352" s="10" t="str">
        <f t="shared" ref="O3352:O3353" si="329">HYPERLINK("https://pbs.twimg.com/profile_images/547074269721546752/LHmPz6Ng_normal.jpeg","View")</f>
        <v>View</v>
      </c>
      <c r="P3352" s="11"/>
    </row>
    <row r="3353" spans="1:16" ht="12.75" x14ac:dyDescent="0.35">
      <c r="A3353" s="7">
        <v>42482.698414351849</v>
      </c>
      <c r="B3353" s="8" t="str">
        <f t="shared" si="328"/>
        <v>@thevolksmusik</v>
      </c>
      <c r="C3353" s="9" t="s">
        <v>8141</v>
      </c>
      <c r="D3353" s="9" t="s">
        <v>8144</v>
      </c>
      <c r="E3353" s="10" t="str">
        <f>HYPERLINK("https://twitter.com/thevolksmusik/status/723470333316083712","723470333316083712")</f>
        <v>723470333316083712</v>
      </c>
      <c r="F3353" s="11" t="s">
        <v>53</v>
      </c>
      <c r="G3353" s="11">
        <v>1531</v>
      </c>
      <c r="H3353" s="11">
        <v>1477</v>
      </c>
      <c r="I3353" s="11">
        <v>0</v>
      </c>
      <c r="J3353" s="11">
        <v>0</v>
      </c>
      <c r="K3353" s="11" t="s">
        <v>21</v>
      </c>
      <c r="L3353" s="7">
        <v>40676.864374999997</v>
      </c>
      <c r="M3353" s="12" t="s">
        <v>3553</v>
      </c>
      <c r="N3353" s="12" t="s">
        <v>8143</v>
      </c>
      <c r="O3353" s="10" t="str">
        <f t="shared" si="329"/>
        <v>View</v>
      </c>
      <c r="P3353" s="11"/>
    </row>
    <row r="3354" spans="1:16" ht="12.75" x14ac:dyDescent="0.35">
      <c r="A3354" s="7">
        <v>42482.698622685188</v>
      </c>
      <c r="B3354" s="8" t="str">
        <f>HYPERLINK("https://twitter.com/SYirmi","@SYirmi")</f>
        <v>@SYirmi</v>
      </c>
      <c r="C3354" s="9" t="s">
        <v>5485</v>
      </c>
      <c r="D3354" s="9" t="s">
        <v>8132</v>
      </c>
      <c r="E3354" s="10" t="str">
        <f>HYPERLINK("https://twitter.com/SYirmi/status/723470410122203136","723470410122203136")</f>
        <v>723470410122203136</v>
      </c>
      <c r="F3354" s="11" t="s">
        <v>43</v>
      </c>
      <c r="G3354" s="11">
        <v>489</v>
      </c>
      <c r="H3354" s="11">
        <v>349</v>
      </c>
      <c r="I3354" s="11">
        <v>5</v>
      </c>
      <c r="J3354" s="11">
        <v>0</v>
      </c>
      <c r="K3354" s="11" t="s">
        <v>21</v>
      </c>
      <c r="L3354" s="7">
        <v>41784.074525462966</v>
      </c>
      <c r="M3354" s="12"/>
      <c r="N3354" s="12" t="s">
        <v>5487</v>
      </c>
      <c r="O3354" s="10" t="str">
        <f>HYPERLINK("https://pbs.twimg.com/profile_images/509071000122982400/X7VfGKLE_normal.jpeg","View")</f>
        <v>View</v>
      </c>
      <c r="P3354" s="11"/>
    </row>
    <row r="3355" spans="1:16" ht="12.75" x14ac:dyDescent="0.35">
      <c r="A3355" s="7">
        <v>42482.69866898148</v>
      </c>
      <c r="B3355" s="8" t="str">
        <f>HYPERLINK("https://twitter.com/golfnovels","@golfnovels")</f>
        <v>@golfnovels</v>
      </c>
      <c r="C3355" s="9" t="s">
        <v>8145</v>
      </c>
      <c r="D3355" s="9" t="s">
        <v>8132</v>
      </c>
      <c r="E3355" s="10" t="str">
        <f>HYPERLINK("https://twitter.com/golfnovels/status/723470426689679360","723470426689679360")</f>
        <v>723470426689679360</v>
      </c>
      <c r="F3355" s="11" t="s">
        <v>288</v>
      </c>
      <c r="G3355" s="11">
        <v>21845</v>
      </c>
      <c r="H3355" s="11">
        <v>23831</v>
      </c>
      <c r="I3355" s="11">
        <v>5</v>
      </c>
      <c r="J3355" s="11">
        <v>0</v>
      </c>
      <c r="K3355" s="11" t="s">
        <v>21</v>
      </c>
      <c r="L3355" s="7">
        <v>39823.73572916667</v>
      </c>
      <c r="M3355" s="12" t="s">
        <v>8146</v>
      </c>
      <c r="N3355" s="12" t="s">
        <v>8147</v>
      </c>
      <c r="O3355" s="10" t="str">
        <f>HYPERLINK("https://pbs.twimg.com/profile_images/2723610801/a7323e56a6e9ac643f061847cebb3f2b_normal.png","View")</f>
        <v>View</v>
      </c>
      <c r="P3355" s="11"/>
    </row>
    <row r="3356" spans="1:16" ht="12.75" x14ac:dyDescent="0.35">
      <c r="A3356" s="7">
        <v>42482.698692129634</v>
      </c>
      <c r="B3356" s="8" t="str">
        <f>HYPERLINK("https://twitter.com/PatrickMcGee_","@PatrickMcGee_")</f>
        <v>@PatrickMcGee_</v>
      </c>
      <c r="C3356" s="9" t="s">
        <v>8148</v>
      </c>
      <c r="D3356" s="9" t="s">
        <v>8149</v>
      </c>
      <c r="E3356" s="10" t="str">
        <f>HYPERLINK("https://twitter.com/PatrickMcGee_/status/723470434717540352","723470434717540352")</f>
        <v>723470434717540352</v>
      </c>
      <c r="F3356" s="11" t="s">
        <v>63</v>
      </c>
      <c r="G3356" s="11">
        <v>8585</v>
      </c>
      <c r="H3356" s="11">
        <v>2381</v>
      </c>
      <c r="I3356" s="11">
        <v>1</v>
      </c>
      <c r="J3356" s="11">
        <v>0</v>
      </c>
      <c r="K3356" s="11" t="s">
        <v>21</v>
      </c>
      <c r="L3356" s="7">
        <v>40701.107152777782</v>
      </c>
      <c r="M3356" s="12" t="s">
        <v>8150</v>
      </c>
      <c r="N3356" s="12" t="s">
        <v>8151</v>
      </c>
      <c r="O3356" s="10" t="str">
        <f>HYPERLINK("https://pbs.twimg.com/profile_images/669245387790663680/KLgnSs_3_normal.jpg","View")</f>
        <v>View</v>
      </c>
      <c r="P3356" s="11"/>
    </row>
    <row r="3357" spans="1:16" ht="12.75" x14ac:dyDescent="0.35">
      <c r="A3357" s="7">
        <v>42482.698773148149</v>
      </c>
      <c r="B3357" s="8" t="str">
        <f>HYPERLINK("https://twitter.com/ina_n72","@ina_n72")</f>
        <v>@ina_n72</v>
      </c>
      <c r="C3357" s="9" t="s">
        <v>8152</v>
      </c>
      <c r="D3357" s="9" t="s">
        <v>8109</v>
      </c>
      <c r="E3357" s="10" t="str">
        <f>HYPERLINK("https://twitter.com/ina_n72/status/723470461892452356","723470461892452356")</f>
        <v>723470461892452356</v>
      </c>
      <c r="F3357" s="11" t="s">
        <v>20</v>
      </c>
      <c r="G3357" s="11">
        <v>370</v>
      </c>
      <c r="H3357" s="11">
        <v>1066</v>
      </c>
      <c r="I3357" s="11">
        <v>10</v>
      </c>
      <c r="J3357" s="11">
        <v>0</v>
      </c>
      <c r="K3357" s="11" t="s">
        <v>21</v>
      </c>
      <c r="L3357" s="7">
        <v>42194.788020833337</v>
      </c>
      <c r="M3357" s="12" t="s">
        <v>2378</v>
      </c>
      <c r="N3357" s="12" t="s">
        <v>8153</v>
      </c>
      <c r="O3357" s="10" t="str">
        <f>HYPERLINK("https://pbs.twimg.com/profile_images/717784740649181184/OkgUAsi9_normal.jpg","View")</f>
        <v>View</v>
      </c>
      <c r="P3357" s="11"/>
    </row>
    <row r="3358" spans="1:16" ht="12.75" x14ac:dyDescent="0.35">
      <c r="A3358" s="7">
        <v>42482.698865740742</v>
      </c>
      <c r="B3358" s="8" t="str">
        <f>HYPERLINK("https://twitter.com/trendstodayapp","@trendstodayapp")</f>
        <v>@trendstodayapp</v>
      </c>
      <c r="C3358" s="9" t="s">
        <v>8154</v>
      </c>
      <c r="D3358" s="9" t="s">
        <v>8155</v>
      </c>
      <c r="E3358" s="10" t="str">
        <f>HYPERLINK("https://twitter.com/trendstodayapp/status/723470495652433920","723470495652433920")</f>
        <v>723470495652433920</v>
      </c>
      <c r="F3358" s="11" t="s">
        <v>48</v>
      </c>
      <c r="G3358" s="11">
        <v>4808</v>
      </c>
      <c r="H3358" s="11">
        <v>3914</v>
      </c>
      <c r="I3358" s="11">
        <v>0</v>
      </c>
      <c r="J3358" s="11">
        <v>0</v>
      </c>
      <c r="K3358" s="11" t="s">
        <v>21</v>
      </c>
      <c r="L3358" s="7">
        <v>42144.846053240741</v>
      </c>
      <c r="M3358" s="12" t="s">
        <v>8156</v>
      </c>
      <c r="N3358" s="12" t="s">
        <v>8157</v>
      </c>
      <c r="O3358" s="10" t="str">
        <f>HYPERLINK("https://pbs.twimg.com/profile_images/603882127734677504/MC4dtQ3b_normal.jpg","View")</f>
        <v>View</v>
      </c>
      <c r="P3358" s="11"/>
    </row>
    <row r="3359" spans="1:16" ht="12.75" x14ac:dyDescent="0.35">
      <c r="A3359" s="7">
        <v>42482.699340277773</v>
      </c>
      <c r="B3359" s="8" t="str">
        <f>HYPERLINK("https://twitter.com/Mat_Struwe","@Mat_Struwe")</f>
        <v>@Mat_Struwe</v>
      </c>
      <c r="C3359" s="9" t="s">
        <v>8158</v>
      </c>
      <c r="D3359" s="9" t="s">
        <v>8159</v>
      </c>
      <c r="E3359" s="10" t="str">
        <f>HYPERLINK("https://twitter.com/Mat_Struwe/status/723470668436783113","723470668436783113")</f>
        <v>723470668436783113</v>
      </c>
      <c r="F3359" s="11" t="s">
        <v>63</v>
      </c>
      <c r="G3359" s="11">
        <v>328</v>
      </c>
      <c r="H3359" s="11">
        <v>454</v>
      </c>
      <c r="I3359" s="11">
        <v>0</v>
      </c>
      <c r="J3359" s="11">
        <v>0</v>
      </c>
      <c r="K3359" s="11" t="s">
        <v>21</v>
      </c>
      <c r="L3359" s="7">
        <v>40843.138460648144</v>
      </c>
      <c r="M3359" s="12" t="s">
        <v>8160</v>
      </c>
      <c r="N3359" s="12" t="s">
        <v>8161</v>
      </c>
      <c r="O3359" s="10" t="str">
        <f>HYPERLINK("https://pbs.twimg.com/profile_images/524294614946045952/UDyQTUuk_normal.jpeg","View")</f>
        <v>View</v>
      </c>
      <c r="P3359" s="11"/>
    </row>
    <row r="3360" spans="1:16" ht="12.75" x14ac:dyDescent="0.35">
      <c r="A3360" s="7">
        <v>42482.700208333335</v>
      </c>
      <c r="B3360" s="8" t="str">
        <f>HYPERLINK("https://twitter.com/CordwallisGroup","@CordwallisGroup")</f>
        <v>@CordwallisGroup</v>
      </c>
      <c r="C3360" s="9" t="s">
        <v>2525</v>
      </c>
      <c r="D3360" s="9" t="s">
        <v>8162</v>
      </c>
      <c r="E3360" s="10" t="str">
        <f>HYPERLINK("https://twitter.com/CordwallisGroup/status/723470984473415681","723470984473415681")</f>
        <v>723470984473415681</v>
      </c>
      <c r="F3360" s="11" t="s">
        <v>43</v>
      </c>
      <c r="G3360" s="11">
        <v>980</v>
      </c>
      <c r="H3360" s="11">
        <v>1522</v>
      </c>
      <c r="I3360" s="11">
        <v>0</v>
      </c>
      <c r="J3360" s="11">
        <v>0</v>
      </c>
      <c r="K3360" s="11" t="s">
        <v>21</v>
      </c>
      <c r="L3360" s="7">
        <v>40050.575787037036</v>
      </c>
      <c r="M3360" s="12" t="s">
        <v>2527</v>
      </c>
      <c r="N3360" s="12" t="s">
        <v>2528</v>
      </c>
      <c r="O3360" s="10" t="str">
        <f>HYPERLINK("https://pbs.twimg.com/profile_images/2342275131/7y3aojour1wv5eptfttj_normal.png","View")</f>
        <v>View</v>
      </c>
      <c r="P3360" s="11"/>
    </row>
    <row r="3361" spans="1:16" ht="12.75" x14ac:dyDescent="0.35">
      <c r="A3361" s="7">
        <v>42482.700648148151</v>
      </c>
      <c r="B3361" s="8" t="str">
        <f>HYPERLINK("https://twitter.com/dw_business","@dw_business")</f>
        <v>@dw_business</v>
      </c>
      <c r="C3361" s="9" t="s">
        <v>3512</v>
      </c>
      <c r="D3361" s="9" t="s">
        <v>8163</v>
      </c>
      <c r="E3361" s="10" t="str">
        <f>HYPERLINK("https://twitter.com/dw_business/status/723471141965291520","723471141965291520")</f>
        <v>723471141965291520</v>
      </c>
      <c r="F3361" s="11" t="s">
        <v>63</v>
      </c>
      <c r="G3361" s="11">
        <v>6216</v>
      </c>
      <c r="H3361" s="11">
        <v>250</v>
      </c>
      <c r="I3361" s="11">
        <v>2</v>
      </c>
      <c r="J3361" s="11">
        <v>0</v>
      </c>
      <c r="K3361" s="11" t="s">
        <v>21</v>
      </c>
      <c r="L3361" s="7">
        <v>39919.595196759255</v>
      </c>
      <c r="M3361" s="12" t="s">
        <v>1303</v>
      </c>
      <c r="N3361" s="12" t="s">
        <v>3514</v>
      </c>
      <c r="O3361" s="10" t="str">
        <f>HYPERLINK("https://pbs.twimg.com/profile_images/474178130312044544/-U2TP65D_normal.png","View")</f>
        <v>View</v>
      </c>
      <c r="P3361" s="11"/>
    </row>
    <row r="3362" spans="1:16" ht="12.75" x14ac:dyDescent="0.35">
      <c r="A3362" s="7">
        <v>42482.701319444444</v>
      </c>
      <c r="B3362" s="8" t="str">
        <f>HYPERLINK("https://twitter.com/backroomspin","@backroomspin")</f>
        <v>@backroomspin</v>
      </c>
      <c r="C3362" s="9" t="s">
        <v>8164</v>
      </c>
      <c r="D3362" s="9" t="s">
        <v>8109</v>
      </c>
      <c r="E3362" s="10" t="str">
        <f>HYPERLINK("https://twitter.com/backroomspin/status/723471386447122432","723471386447122432")</f>
        <v>723471386447122432</v>
      </c>
      <c r="F3362" s="11" t="s">
        <v>20</v>
      </c>
      <c r="G3362" s="11">
        <v>1707</v>
      </c>
      <c r="H3362" s="11">
        <v>1697</v>
      </c>
      <c r="I3362" s="11">
        <v>10</v>
      </c>
      <c r="J3362" s="11">
        <v>0</v>
      </c>
      <c r="K3362" s="11" t="s">
        <v>21</v>
      </c>
      <c r="L3362" s="7">
        <v>41781.021307870367</v>
      </c>
      <c r="M3362" s="12"/>
      <c r="N3362" s="12" t="s">
        <v>8165</v>
      </c>
      <c r="O3362" s="10" t="str">
        <f>HYPERLINK("https://pbs.twimg.com/profile_images/581837489461178368/KiSWrhrG_normal.png","View")</f>
        <v>View</v>
      </c>
      <c r="P3362" s="11"/>
    </row>
    <row r="3363" spans="1:16" ht="12.75" x14ac:dyDescent="0.35">
      <c r="A3363" s="7">
        <v>42482.701932870375</v>
      </c>
      <c r="B3363" s="8" t="str">
        <f>HYPERLINK("https://twitter.com/Mat_Struwe","@Mat_Struwe")</f>
        <v>@Mat_Struwe</v>
      </c>
      <c r="C3363" s="9" t="s">
        <v>8158</v>
      </c>
      <c r="D3363" s="9" t="s">
        <v>8166</v>
      </c>
      <c r="E3363" s="10" t="str">
        <f>HYPERLINK("https://twitter.com/Mat_Struwe/status/723471606568374272","723471606568374272")</f>
        <v>723471606568374272</v>
      </c>
      <c r="F3363" s="11" t="s">
        <v>63</v>
      </c>
      <c r="G3363" s="11">
        <v>328</v>
      </c>
      <c r="H3363" s="11">
        <v>454</v>
      </c>
      <c r="I3363" s="11">
        <v>3</v>
      </c>
      <c r="J3363" s="11">
        <v>0</v>
      </c>
      <c r="K3363" s="11" t="s">
        <v>21</v>
      </c>
      <c r="L3363" s="7">
        <v>40843.138460648144</v>
      </c>
      <c r="M3363" s="12" t="s">
        <v>8160</v>
      </c>
      <c r="N3363" s="12" t="s">
        <v>8161</v>
      </c>
      <c r="O3363" s="10" t="str">
        <f>HYPERLINK("https://pbs.twimg.com/profile_images/524294614946045952/UDyQTUuk_normal.jpeg","View")</f>
        <v>View</v>
      </c>
      <c r="P3363" s="11"/>
    </row>
    <row r="3364" spans="1:16" ht="12.75" x14ac:dyDescent="0.35">
      <c r="A3364" s="7">
        <v>42482.702013888891</v>
      </c>
      <c r="B3364" s="8" t="str">
        <f>HYPERLINK("https://twitter.com/HKok74","@HKok74")</f>
        <v>@HKok74</v>
      </c>
      <c r="C3364" s="9" t="s">
        <v>8167</v>
      </c>
      <c r="D3364" s="9" t="s">
        <v>8168</v>
      </c>
      <c r="E3364" s="10" t="str">
        <f>HYPERLINK("https://twitter.com/HKok74/status/723471635551031297","723471635551031297")</f>
        <v>723471635551031297</v>
      </c>
      <c r="F3364" s="11" t="s">
        <v>48</v>
      </c>
      <c r="G3364" s="11">
        <v>581</v>
      </c>
      <c r="H3364" s="11">
        <v>97</v>
      </c>
      <c r="I3364" s="11">
        <v>0</v>
      </c>
      <c r="J3364" s="11">
        <v>0</v>
      </c>
      <c r="K3364" s="11" t="s">
        <v>21</v>
      </c>
      <c r="L3364" s="7">
        <v>40599.730092592596</v>
      </c>
      <c r="M3364" s="12" t="s">
        <v>8169</v>
      </c>
      <c r="N3364" s="12" t="s">
        <v>8170</v>
      </c>
      <c r="O3364" s="10" t="str">
        <f>HYPERLINK("https://pbs.twimg.com/profile_images/3717431502/f9ceea1f4efa3e785505485d49257d54_normal.jpeg","View")</f>
        <v>View</v>
      </c>
      <c r="P3364" s="11"/>
    </row>
    <row r="3365" spans="1:16" ht="12.75" x14ac:dyDescent="0.35">
      <c r="A3365" s="7">
        <v>42482.702083333337</v>
      </c>
      <c r="B3365" s="8" t="str">
        <f>HYPERLINK("https://twitter.com/JTMD121","@JTMD121")</f>
        <v>@JTMD121</v>
      </c>
      <c r="C3365" s="9" t="s">
        <v>8171</v>
      </c>
      <c r="D3365" s="9" t="s">
        <v>8172</v>
      </c>
      <c r="E3365" s="10" t="str">
        <f>HYPERLINK("https://twitter.com/JTMD121/status/723471663405383681","723471663405383681")</f>
        <v>723471663405383681</v>
      </c>
      <c r="F3365" s="11" t="s">
        <v>20</v>
      </c>
      <c r="G3365" s="11">
        <v>4021</v>
      </c>
      <c r="H3365" s="11">
        <v>351</v>
      </c>
      <c r="I3365" s="11">
        <v>1</v>
      </c>
      <c r="J3365" s="11">
        <v>0</v>
      </c>
      <c r="K3365" s="11" t="s">
        <v>21</v>
      </c>
      <c r="L3365" s="7">
        <v>40955.929409722223</v>
      </c>
      <c r="M3365" s="12" t="s">
        <v>8173</v>
      </c>
      <c r="N3365" s="12" t="s">
        <v>8174</v>
      </c>
      <c r="O3365" s="10" t="str">
        <f>HYPERLINK("https://pbs.twimg.com/profile_images/703695315862474752/uIAlAH9e_normal.jpg","View")</f>
        <v>View</v>
      </c>
      <c r="P3365" s="11"/>
    </row>
    <row r="3366" spans="1:16" ht="12.75" x14ac:dyDescent="0.35">
      <c r="A3366" s="7">
        <v>42482.702141203699</v>
      </c>
      <c r="B3366" s="8" t="str">
        <f>HYPERLINK("https://twitter.com/jennu_sahadev","@jennu_sahadev")</f>
        <v>@jennu_sahadev</v>
      </c>
      <c r="C3366" s="9" t="s">
        <v>8175</v>
      </c>
      <c r="D3366" s="9" t="s">
        <v>8176</v>
      </c>
      <c r="E3366" s="10" t="str">
        <f>HYPERLINK("https://twitter.com/jennu_sahadev/status/723471682346733568","723471682346733568")</f>
        <v>723471682346733568</v>
      </c>
      <c r="F3366" s="11" t="s">
        <v>48</v>
      </c>
      <c r="G3366" s="11">
        <v>123</v>
      </c>
      <c r="H3366" s="11">
        <v>350</v>
      </c>
      <c r="I3366" s="11">
        <v>0</v>
      </c>
      <c r="J3366" s="11">
        <v>0</v>
      </c>
      <c r="K3366" s="11" t="s">
        <v>21</v>
      </c>
      <c r="L3366" s="7">
        <v>42299.805462962962</v>
      </c>
      <c r="M3366" s="12"/>
      <c r="N3366" s="12" t="s">
        <v>8177</v>
      </c>
      <c r="O3366" s="10" t="str">
        <f>HYPERLINK("https://pbs.twimg.com/profile_images/657812627737849856/CDKhyPQA_normal.jpg","View")</f>
        <v>View</v>
      </c>
      <c r="P3366" s="11"/>
    </row>
    <row r="3367" spans="1:16" ht="12.75" x14ac:dyDescent="0.35">
      <c r="A3367" s="7">
        <v>42482.702499999999</v>
      </c>
      <c r="B3367" s="8" t="str">
        <f>HYPERLINK("https://twitter.com/serenity22","@serenity22")</f>
        <v>@serenity22</v>
      </c>
      <c r="C3367" s="9" t="s">
        <v>8178</v>
      </c>
      <c r="D3367" s="9" t="s">
        <v>8109</v>
      </c>
      <c r="E3367" s="10" t="str">
        <f>HYPERLINK("https://twitter.com/serenity22/status/723471815436181504","723471815436181504")</f>
        <v>723471815436181504</v>
      </c>
      <c r="F3367" s="11" t="s">
        <v>20</v>
      </c>
      <c r="G3367" s="11">
        <v>2692</v>
      </c>
      <c r="H3367" s="11">
        <v>3005</v>
      </c>
      <c r="I3367" s="11">
        <v>10</v>
      </c>
      <c r="J3367" s="11">
        <v>0</v>
      </c>
      <c r="K3367" s="11" t="s">
        <v>21</v>
      </c>
      <c r="L3367" s="7">
        <v>39468.393263888887</v>
      </c>
      <c r="M3367" s="12" t="s">
        <v>8179</v>
      </c>
      <c r="N3367" s="12" t="s">
        <v>8180</v>
      </c>
      <c r="O3367" s="10" t="str">
        <f>HYPERLINK("https://pbs.twimg.com/profile_images/716708028775473152/riWFTS73_normal.jpg","View")</f>
        <v>View</v>
      </c>
      <c r="P3367" s="11"/>
    </row>
    <row r="3368" spans="1:16" ht="12.75" x14ac:dyDescent="0.35">
      <c r="A3368" s="7">
        <v>42482.702673611115</v>
      </c>
      <c r="B3368" s="8" t="str">
        <f>HYPERLINK("https://twitter.com/ZDFheute","@ZDFheute")</f>
        <v>@ZDFheute</v>
      </c>
      <c r="C3368" s="9" t="s">
        <v>3184</v>
      </c>
      <c r="D3368" s="9" t="s">
        <v>8181</v>
      </c>
      <c r="E3368" s="10" t="str">
        <f>HYPERLINK("https://twitter.com/ZDFheute/status/723471875851038720","723471875851038720")</f>
        <v>723471875851038720</v>
      </c>
      <c r="F3368" s="11" t="s">
        <v>63</v>
      </c>
      <c r="G3368" s="11">
        <v>158298</v>
      </c>
      <c r="H3368" s="11">
        <v>199</v>
      </c>
      <c r="I3368" s="11">
        <v>2</v>
      </c>
      <c r="J3368" s="11">
        <v>3</v>
      </c>
      <c r="K3368" s="11" t="s">
        <v>21</v>
      </c>
      <c r="L3368" s="7">
        <v>41292.901747685188</v>
      </c>
      <c r="M3368" s="12" t="s">
        <v>3186</v>
      </c>
      <c r="N3368" s="12" t="s">
        <v>3187</v>
      </c>
      <c r="O3368" s="10" t="str">
        <f>HYPERLINK("https://pbs.twimg.com/profile_images/465803701647446016/jAlkirAe_normal.jpeg","View")</f>
        <v>View</v>
      </c>
      <c r="P3368" s="11"/>
    </row>
    <row r="3369" spans="1:16" ht="12.75" x14ac:dyDescent="0.35">
      <c r="A3369" s="7">
        <v>42482.702743055561</v>
      </c>
      <c r="B3369" s="8" t="str">
        <f>HYPERLINK("https://twitter.com/martin_krauss","@martin_krauss")</f>
        <v>@martin_krauss</v>
      </c>
      <c r="C3369" s="9" t="s">
        <v>8182</v>
      </c>
      <c r="D3369" s="9" t="s">
        <v>8183</v>
      </c>
      <c r="E3369" s="10" t="str">
        <f>HYPERLINK("https://twitter.com/martin_krauss/status/723471901557940225","723471901557940225")</f>
        <v>723471901557940225</v>
      </c>
      <c r="F3369" s="11" t="s">
        <v>63</v>
      </c>
      <c r="G3369" s="11">
        <v>572</v>
      </c>
      <c r="H3369" s="11">
        <v>857</v>
      </c>
      <c r="I3369" s="11">
        <v>2</v>
      </c>
      <c r="J3369" s="11">
        <v>0</v>
      </c>
      <c r="K3369" s="11" t="s">
        <v>21</v>
      </c>
      <c r="L3369" s="7">
        <v>40480.998703703706</v>
      </c>
      <c r="M3369" s="12" t="s">
        <v>8184</v>
      </c>
      <c r="N3369" s="12" t="s">
        <v>8185</v>
      </c>
      <c r="O3369" s="10" t="str">
        <f>HYPERLINK("https://pbs.twimg.com/profile_images/3170588366/3c75f3bfd718fd64684ee6a8a971769a_normal.jpeg","View")</f>
        <v>View</v>
      </c>
      <c r="P3369" s="11"/>
    </row>
    <row r="3370" spans="1:16" ht="12.75" x14ac:dyDescent="0.35">
      <c r="A3370" s="7">
        <v>42482.702800925923</v>
      </c>
      <c r="B3370" s="8" t="str">
        <f>HYPERLINK("https://twitter.com/WowbaggerXX7","@WowbaggerXX7")</f>
        <v>@WowbaggerXX7</v>
      </c>
      <c r="C3370" s="9" t="s">
        <v>2988</v>
      </c>
      <c r="D3370" s="9" t="s">
        <v>8186</v>
      </c>
      <c r="E3370" s="10" t="str">
        <f>HYPERLINK("https://twitter.com/WowbaggerXX7/status/723471922374295552","723471922374295552")</f>
        <v>723471922374295552</v>
      </c>
      <c r="F3370" s="11" t="s">
        <v>43</v>
      </c>
      <c r="G3370" s="11">
        <v>106</v>
      </c>
      <c r="H3370" s="11">
        <v>200</v>
      </c>
      <c r="I3370" s="11">
        <v>0</v>
      </c>
      <c r="J3370" s="11">
        <v>0</v>
      </c>
      <c r="K3370" s="11" t="s">
        <v>21</v>
      </c>
      <c r="L3370" s="7">
        <v>40878.039513888885</v>
      </c>
      <c r="M3370" s="12"/>
      <c r="N3370" s="12" t="s">
        <v>2990</v>
      </c>
      <c r="O3370" s="10" t="str">
        <f>HYPERLINK("https://pbs.twimg.com/profile_images/543163066599219200/dUy-AYOX_normal.jpeg","View")</f>
        <v>View</v>
      </c>
      <c r="P3370" s="11"/>
    </row>
    <row r="3371" spans="1:16" ht="12.75" x14ac:dyDescent="0.35">
      <c r="A3371" s="7">
        <v>42482.702986111108</v>
      </c>
      <c r="B3371" s="8" t="str">
        <f>HYPERLINK("https://twitter.com/Alte_Quaste","@Alte_Quaste")</f>
        <v>@Alte_Quaste</v>
      </c>
      <c r="C3371" s="9" t="s">
        <v>8187</v>
      </c>
      <c r="D3371" s="9" t="s">
        <v>8183</v>
      </c>
      <c r="E3371" s="10" t="str">
        <f>HYPERLINK("https://twitter.com/Alte_Quaste/status/723471989076295682","723471989076295682")</f>
        <v>723471989076295682</v>
      </c>
      <c r="F3371" s="11" t="s">
        <v>43</v>
      </c>
      <c r="G3371" s="11">
        <v>62</v>
      </c>
      <c r="H3371" s="11">
        <v>877</v>
      </c>
      <c r="I3371" s="11">
        <v>2</v>
      </c>
      <c r="J3371" s="11">
        <v>0</v>
      </c>
      <c r="K3371" s="11" t="s">
        <v>21</v>
      </c>
      <c r="L3371" s="7">
        <v>40859.771134259259</v>
      </c>
      <c r="M3371" s="12" t="s">
        <v>8188</v>
      </c>
      <c r="N3371" s="12" t="s">
        <v>8189</v>
      </c>
      <c r="O3371" s="10" t="str">
        <f>HYPERLINK("https://pbs.twimg.com/profile_images/3475164109/e980593a6dbfb66a7c7e0664cdebc34f_normal.jpeg","View")</f>
        <v>View</v>
      </c>
      <c r="P3371" s="11"/>
    </row>
    <row r="3372" spans="1:16" ht="12.75" x14ac:dyDescent="0.35">
      <c r="A3372" s="7">
        <v>42482.703067129631</v>
      </c>
      <c r="B3372" s="8" t="str">
        <f>HYPERLINK("https://twitter.com/AZur1969","@AZur1969")</f>
        <v>@AZur1969</v>
      </c>
      <c r="C3372" s="9" t="s">
        <v>8190</v>
      </c>
      <c r="D3372" s="9" t="s">
        <v>8028</v>
      </c>
      <c r="E3372" s="10" t="str">
        <f>HYPERLINK("https://twitter.com/AZur1969/status/723472017681440768","723472017681440768")</f>
        <v>723472017681440768</v>
      </c>
      <c r="F3372" s="11" t="s">
        <v>3721</v>
      </c>
      <c r="G3372" s="11">
        <v>199</v>
      </c>
      <c r="H3372" s="11">
        <v>173</v>
      </c>
      <c r="I3372" s="11">
        <v>5</v>
      </c>
      <c r="J3372" s="11">
        <v>0</v>
      </c>
      <c r="K3372" s="11" t="s">
        <v>21</v>
      </c>
      <c r="L3372" s="7">
        <v>41411.044756944444</v>
      </c>
      <c r="M3372" s="12" t="s">
        <v>8191</v>
      </c>
      <c r="N3372" s="12" t="s">
        <v>8192</v>
      </c>
      <c r="O3372" s="10" t="str">
        <f>HYPERLINK("https://pbs.twimg.com/profile_images/723412406060216323/5GQ8djr9_normal.jpg","View")</f>
        <v>View</v>
      </c>
      <c r="P3372" s="11"/>
    </row>
    <row r="3373" spans="1:16" ht="12.75" x14ac:dyDescent="0.35">
      <c r="A3373" s="7">
        <v>42482.703622685185</v>
      </c>
      <c r="B3373" s="8" t="str">
        <f>HYPERLINK("https://twitter.com/insel_design","@insel_design")</f>
        <v>@insel_design</v>
      </c>
      <c r="C3373" s="9" t="s">
        <v>8193</v>
      </c>
      <c r="D3373" s="9" t="s">
        <v>8194</v>
      </c>
      <c r="E3373" s="10" t="str">
        <f>HYPERLINK("https://twitter.com/insel_design/status/723472220358623232","723472220358623232")</f>
        <v>723472220358623232</v>
      </c>
      <c r="F3373" s="11" t="s">
        <v>43</v>
      </c>
      <c r="G3373" s="11">
        <v>193</v>
      </c>
      <c r="H3373" s="11">
        <v>551</v>
      </c>
      <c r="I3373" s="11">
        <v>0</v>
      </c>
      <c r="J3373" s="11">
        <v>0</v>
      </c>
      <c r="K3373" s="11" t="s">
        <v>21</v>
      </c>
      <c r="L3373" s="7">
        <v>42297.438773148147</v>
      </c>
      <c r="M3373" s="12" t="s">
        <v>1116</v>
      </c>
      <c r="N3373" s="12" t="s">
        <v>8195</v>
      </c>
      <c r="O3373" s="10" t="str">
        <f>HYPERLINK("https://pbs.twimg.com/profile_images/694121054906781697/5T5PuAP3_normal.png","View")</f>
        <v>View</v>
      </c>
      <c r="P3373" s="11"/>
    </row>
    <row r="3374" spans="1:16" ht="12.75" x14ac:dyDescent="0.35">
      <c r="A3374" s="7">
        <v>42482.703865740739</v>
      </c>
      <c r="B3374" s="8" t="str">
        <f>HYPERLINK("https://twitter.com/MarkCSchneider","@MarkCSchneider")</f>
        <v>@MarkCSchneider</v>
      </c>
      <c r="C3374" s="9" t="s">
        <v>952</v>
      </c>
      <c r="D3374" s="9" t="s">
        <v>8166</v>
      </c>
      <c r="E3374" s="10" t="str">
        <f>HYPERLINK("https://twitter.com/MarkCSchneider/status/723472310066417664","723472310066417664")</f>
        <v>723472310066417664</v>
      </c>
      <c r="F3374" s="11" t="s">
        <v>20</v>
      </c>
      <c r="G3374" s="11">
        <v>370</v>
      </c>
      <c r="H3374" s="11">
        <v>335</v>
      </c>
      <c r="I3374" s="11">
        <v>3</v>
      </c>
      <c r="J3374" s="11">
        <v>0</v>
      </c>
      <c r="K3374" s="11" t="s">
        <v>21</v>
      </c>
      <c r="L3374" s="7">
        <v>41495.558136574073</v>
      </c>
      <c r="M3374" s="12" t="s">
        <v>953</v>
      </c>
      <c r="N3374" s="12"/>
      <c r="O3374" s="10" t="str">
        <f>HYPERLINK("https://pbs.twimg.com/profile_images/706784695795769345/XGXgdjww_normal.jpg","View")</f>
        <v>View</v>
      </c>
      <c r="P3374" s="11"/>
    </row>
    <row r="3375" spans="1:16" ht="12.75" x14ac:dyDescent="0.35">
      <c r="A3375" s="7">
        <v>42482.703923611116</v>
      </c>
      <c r="B3375" s="8" t="str">
        <f>HYPERLINK("https://twitter.com/bayl","@bayl")</f>
        <v>@bayl</v>
      </c>
      <c r="C3375" s="9" t="s">
        <v>3167</v>
      </c>
      <c r="D3375" s="9" t="s">
        <v>8196</v>
      </c>
      <c r="E3375" s="10" t="str">
        <f>HYPERLINK("https://twitter.com/bayl/status/723472327695020032","723472327695020032")</f>
        <v>723472327695020032</v>
      </c>
      <c r="F3375" s="11" t="s">
        <v>43</v>
      </c>
      <c r="G3375" s="11">
        <v>577</v>
      </c>
      <c r="H3375" s="11">
        <v>825</v>
      </c>
      <c r="I3375" s="11">
        <v>0</v>
      </c>
      <c r="J3375" s="11">
        <v>0</v>
      </c>
      <c r="K3375" s="11" t="s">
        <v>21</v>
      </c>
      <c r="L3375" s="7">
        <v>39567.463831018518</v>
      </c>
      <c r="M3375" s="12"/>
      <c r="N3375" s="12" t="s">
        <v>3169</v>
      </c>
      <c r="O3375" s="10" t="str">
        <f>HYPERLINK("https://pbs.twimg.com/profile_images/438619338942062592/OBEQvg6R_normal.jpeg","View")</f>
        <v>View</v>
      </c>
      <c r="P3375" s="11"/>
    </row>
    <row r="3376" spans="1:16" ht="12.75" x14ac:dyDescent="0.35">
      <c r="A3376" s="7">
        <v>42482.704085648147</v>
      </c>
      <c r="B3376" s="8" t="str">
        <f>HYPERLINK("https://twitter.com/rajauzikhan","@rajauzikhan")</f>
        <v>@rajauzikhan</v>
      </c>
      <c r="C3376" s="9" t="s">
        <v>8197</v>
      </c>
      <c r="D3376" s="9" t="s">
        <v>8198</v>
      </c>
      <c r="E3376" s="10" t="str">
        <f>HYPERLINK("https://twitter.com/rajauzikhan/status/723472389330206720","723472389330206720")</f>
        <v>723472389330206720</v>
      </c>
      <c r="F3376" s="11" t="s">
        <v>114</v>
      </c>
      <c r="G3376" s="11">
        <v>170</v>
      </c>
      <c r="H3376" s="11">
        <v>85</v>
      </c>
      <c r="I3376" s="11">
        <v>0</v>
      </c>
      <c r="J3376" s="11">
        <v>0</v>
      </c>
      <c r="K3376" s="11" t="s">
        <v>21</v>
      </c>
      <c r="L3376" s="7">
        <v>40266.809525462959</v>
      </c>
      <c r="M3376" s="12" t="s">
        <v>129</v>
      </c>
      <c r="N3376" s="12" t="s">
        <v>8199</v>
      </c>
      <c r="O3376" s="10" t="str">
        <f>HYPERLINK("https://pbs.twimg.com/profile_images/3739924155/8794ee3314758538bee296d31035c357_normal.jpeg","View")</f>
        <v>View</v>
      </c>
      <c r="P3376" s="11"/>
    </row>
    <row r="3377" spans="1:16" ht="12.75" x14ac:dyDescent="0.35">
      <c r="A3377" s="7">
        <v>42482.70449074074</v>
      </c>
      <c r="B3377" s="8" t="str">
        <f>HYPERLINK("https://twitter.com/essing_h","@essing_h")</f>
        <v>@essing_h</v>
      </c>
      <c r="C3377" s="9" t="s">
        <v>4878</v>
      </c>
      <c r="D3377" s="9" t="s">
        <v>8166</v>
      </c>
      <c r="E3377" s="10" t="str">
        <f>HYPERLINK("https://twitter.com/essing_h/status/723472535761903616","723472535761903616")</f>
        <v>723472535761903616</v>
      </c>
      <c r="F3377" s="11" t="s">
        <v>20</v>
      </c>
      <c r="G3377" s="11">
        <v>148</v>
      </c>
      <c r="H3377" s="11">
        <v>247</v>
      </c>
      <c r="I3377" s="11">
        <v>3</v>
      </c>
      <c r="J3377" s="11">
        <v>0</v>
      </c>
      <c r="K3377" s="11" t="s">
        <v>21</v>
      </c>
      <c r="L3377" s="7">
        <v>42260.977407407408</v>
      </c>
      <c r="M3377" s="12"/>
      <c r="N3377" s="12" t="s">
        <v>4880</v>
      </c>
      <c r="O3377" s="10" t="str">
        <f>HYPERLINK("https://pbs.twimg.com/profile_images/666959113637732352/gcLEjaSy_normal.jpg","View")</f>
        <v>View</v>
      </c>
      <c r="P3377" s="11"/>
    </row>
    <row r="3378" spans="1:16" ht="12.75" x14ac:dyDescent="0.35">
      <c r="A3378" s="7">
        <v>42482.704722222217</v>
      </c>
      <c r="B3378" s="8" t="str">
        <f>HYPERLINK("https://twitter.com/KramerFerdinand","@KramerFerdinand")</f>
        <v>@KramerFerdinand</v>
      </c>
      <c r="C3378" s="9" t="s">
        <v>8200</v>
      </c>
      <c r="D3378" s="9" t="s">
        <v>8201</v>
      </c>
      <c r="E3378" s="10" t="str">
        <f>HYPERLINK("https://twitter.com/KramerFerdinand/status/723472619370991616","723472619370991616")</f>
        <v>723472619370991616</v>
      </c>
      <c r="F3378" s="11" t="s">
        <v>48</v>
      </c>
      <c r="G3378" s="11">
        <v>1836</v>
      </c>
      <c r="H3378" s="11">
        <v>4731</v>
      </c>
      <c r="I3378" s="11">
        <v>2</v>
      </c>
      <c r="J3378" s="11">
        <v>0</v>
      </c>
      <c r="K3378" s="11" t="s">
        <v>21</v>
      </c>
      <c r="L3378" s="7">
        <v>42391.150613425925</v>
      </c>
      <c r="M3378" s="12"/>
      <c r="N3378" s="12"/>
      <c r="O3378" s="10" t="str">
        <f>HYPERLINK("https://pbs.twimg.com/profile_images/692263572710252545/oFwlaEUn_normal.jpg","View")</f>
        <v>View</v>
      </c>
      <c r="P3378" s="11"/>
    </row>
    <row r="3379" spans="1:16" ht="12.75" x14ac:dyDescent="0.35">
      <c r="A3379" s="7">
        <v>42482.704930555556</v>
      </c>
      <c r="B3379" s="8" t="str">
        <f>HYPERLINK("https://twitter.com/VWBeetleSales","@VWBeetleSales")</f>
        <v>@VWBeetleSales</v>
      </c>
      <c r="C3379" s="9" t="s">
        <v>127</v>
      </c>
      <c r="D3379" s="9" t="s">
        <v>8202</v>
      </c>
      <c r="E3379" s="10" t="str">
        <f>HYPERLINK("https://twitter.com/VWBeetleSales/status/723472693522124800","723472693522124800")</f>
        <v>723472693522124800</v>
      </c>
      <c r="F3379" s="10" t="s">
        <v>124</v>
      </c>
      <c r="G3379" s="11">
        <v>36</v>
      </c>
      <c r="H3379" s="11">
        <v>32</v>
      </c>
      <c r="I3379" s="11">
        <v>0</v>
      </c>
      <c r="J3379" s="11">
        <v>0</v>
      </c>
      <c r="K3379" s="11" t="s">
        <v>21</v>
      </c>
      <c r="L3379" s="7">
        <v>42427.019756944443</v>
      </c>
      <c r="M3379" s="12" t="s">
        <v>129</v>
      </c>
      <c r="N3379" s="12" t="s">
        <v>130</v>
      </c>
      <c r="O3379" s="10" t="str">
        <f>HYPERLINK("https://pbs.twimg.com/profile_images/703294545195307008/qeCvrX86_normal.jpg","View")</f>
        <v>View</v>
      </c>
      <c r="P3379" s="11"/>
    </row>
    <row r="3380" spans="1:16" ht="12.75" x14ac:dyDescent="0.35">
      <c r="A3380" s="7">
        <v>42482.705416666664</v>
      </c>
      <c r="B3380" s="8" t="str">
        <f>HYPERLINK("https://twitter.com/mvdweyer","@mvdweyer")</f>
        <v>@mvdweyer</v>
      </c>
      <c r="C3380" s="9" t="s">
        <v>1319</v>
      </c>
      <c r="D3380" s="9" t="s">
        <v>8203</v>
      </c>
      <c r="E3380" s="10" t="str">
        <f>HYPERLINK("https://twitter.com/mvdweyer/status/723472872530927616","723472872530927616")</f>
        <v>723472872530927616</v>
      </c>
      <c r="F3380" s="11" t="s">
        <v>91</v>
      </c>
      <c r="G3380" s="11">
        <v>478</v>
      </c>
      <c r="H3380" s="11">
        <v>830</v>
      </c>
      <c r="I3380" s="11">
        <v>0</v>
      </c>
      <c r="J3380" s="11">
        <v>0</v>
      </c>
      <c r="K3380" s="11" t="s">
        <v>21</v>
      </c>
      <c r="L3380" s="7">
        <v>41129.776863425926</v>
      </c>
      <c r="M3380" s="12" t="s">
        <v>1229</v>
      </c>
      <c r="N3380" s="12" t="s">
        <v>1321</v>
      </c>
      <c r="O3380" s="10" t="str">
        <f>HYPERLINK("https://pbs.twimg.com/profile_images/489747056584445953/3tvslEko_normal.jpeg","View")</f>
        <v>View</v>
      </c>
      <c r="P3380" s="11"/>
    </row>
    <row r="3381" spans="1:16" ht="12.75" x14ac:dyDescent="0.35">
      <c r="A3381" s="7">
        <v>42482.705451388887</v>
      </c>
      <c r="B3381" s="8" t="str">
        <f>HYPERLINK("https://twitter.com/selmissary","@selmissary")</f>
        <v>@selmissary</v>
      </c>
      <c r="C3381" s="9" t="s">
        <v>3808</v>
      </c>
      <c r="D3381" s="9" t="s">
        <v>8109</v>
      </c>
      <c r="E3381" s="10" t="str">
        <f>HYPERLINK("https://twitter.com/selmissary/status/723472883956219905","723472883956219905")</f>
        <v>723472883956219905</v>
      </c>
      <c r="F3381" s="11" t="s">
        <v>20</v>
      </c>
      <c r="G3381" s="11">
        <v>81</v>
      </c>
      <c r="H3381" s="11">
        <v>299</v>
      </c>
      <c r="I3381" s="11">
        <v>10</v>
      </c>
      <c r="J3381" s="11">
        <v>0</v>
      </c>
      <c r="K3381" s="11" t="s">
        <v>21</v>
      </c>
      <c r="L3381" s="7">
        <v>40817.926944444444</v>
      </c>
      <c r="M3381" s="12" t="s">
        <v>3809</v>
      </c>
      <c r="N3381" s="12"/>
      <c r="O3381" s="10" t="str">
        <f>HYPERLINK("https://pbs.twimg.com/profile_images/3023094301/7299b75257d79082c0ff884278e113cd_normal.png","View")</f>
        <v>View</v>
      </c>
      <c r="P3381" s="11"/>
    </row>
    <row r="3382" spans="1:16" ht="12.75" x14ac:dyDescent="0.35">
      <c r="A3382" s="7">
        <v>42482.705509259264</v>
      </c>
      <c r="B3382" s="8" t="str">
        <f>HYPERLINK("https://twitter.com/snoopy_xxl","@snoopy_xxl")</f>
        <v>@snoopy_xxl</v>
      </c>
      <c r="C3382" s="9" t="s">
        <v>8204</v>
      </c>
      <c r="D3382" s="9" t="s">
        <v>7144</v>
      </c>
      <c r="E3382" s="10" t="str">
        <f>HYPERLINK("https://twitter.com/snoopy_xxl/status/723472902402744320","723472902402744320")</f>
        <v>723472902402744320</v>
      </c>
      <c r="F3382" s="11" t="s">
        <v>20</v>
      </c>
      <c r="G3382" s="11">
        <v>16</v>
      </c>
      <c r="H3382" s="11">
        <v>378</v>
      </c>
      <c r="I3382" s="11">
        <v>3</v>
      </c>
      <c r="J3382" s="11">
        <v>0</v>
      </c>
      <c r="K3382" s="11" t="s">
        <v>21</v>
      </c>
      <c r="L3382" s="7">
        <v>42284.809560185182</v>
      </c>
      <c r="M3382" s="12"/>
      <c r="N3382" s="12"/>
      <c r="O3382" s="10" t="str">
        <f>HYPERLINK("https://pbs.twimg.com/profile_images/676805516358742017/0EDUqhef_normal.jpg","View")</f>
        <v>View</v>
      </c>
      <c r="P3382" s="11"/>
    </row>
    <row r="3383" spans="1:16" ht="12.75" x14ac:dyDescent="0.35">
      <c r="A3383" s="7">
        <v>42482.707037037035</v>
      </c>
      <c r="B3383" s="8" t="str">
        <f>HYPERLINK("https://twitter.com/Ernst1953Do","@Ernst1953Do")</f>
        <v>@Ernst1953Do</v>
      </c>
      <c r="C3383" s="9" t="s">
        <v>8205</v>
      </c>
      <c r="D3383" s="9" t="s">
        <v>8206</v>
      </c>
      <c r="E3383" s="10" t="str">
        <f>HYPERLINK("https://twitter.com/Ernst1953Do/status/723473456654880768","723473456654880768")</f>
        <v>723473456654880768</v>
      </c>
      <c r="F3383" s="11" t="s">
        <v>43</v>
      </c>
      <c r="G3383" s="11">
        <v>875</v>
      </c>
      <c r="H3383" s="11">
        <v>274</v>
      </c>
      <c r="I3383" s="11">
        <v>0</v>
      </c>
      <c r="J3383" s="11">
        <v>0</v>
      </c>
      <c r="K3383" s="11" t="s">
        <v>21</v>
      </c>
      <c r="L3383" s="7">
        <v>41513.152708333335</v>
      </c>
      <c r="M3383" s="12"/>
      <c r="N3383" s="12"/>
      <c r="O3383" s="10" t="str">
        <f>HYPERLINK("https://pbs.twimg.com/profile_images/422397328868122625/tPN-y7Au_normal.jpeg","View")</f>
        <v>View</v>
      </c>
      <c r="P3383" s="11"/>
    </row>
    <row r="3384" spans="1:16" ht="12.75" x14ac:dyDescent="0.35">
      <c r="A3384" s="7">
        <v>42482.707129629634</v>
      </c>
      <c r="B3384" s="8" t="str">
        <f>HYPERLINK("https://twitter.com/doern","@doern")</f>
        <v>@doern</v>
      </c>
      <c r="C3384" s="9" t="s">
        <v>3107</v>
      </c>
      <c r="D3384" s="9" t="s">
        <v>8207</v>
      </c>
      <c r="E3384" s="10" t="str">
        <f>HYPERLINK("https://twitter.com/doern/status/723473489441726464","723473489441726464")</f>
        <v>723473489441726464</v>
      </c>
      <c r="F3384" s="11" t="s">
        <v>20</v>
      </c>
      <c r="G3384" s="11">
        <v>356</v>
      </c>
      <c r="H3384" s="11">
        <v>63</v>
      </c>
      <c r="I3384" s="11">
        <v>0</v>
      </c>
      <c r="J3384" s="11">
        <v>0</v>
      </c>
      <c r="K3384" s="11" t="s">
        <v>21</v>
      </c>
      <c r="L3384" s="7">
        <v>39909.663194444445</v>
      </c>
      <c r="M3384" s="12" t="s">
        <v>262</v>
      </c>
      <c r="N3384" s="12" t="s">
        <v>3109</v>
      </c>
      <c r="O3384" s="10" t="str">
        <f>HYPERLINK("https://pbs.twimg.com/profile_images/657853466384191488/J6vAnfZr_normal.jpg","View")</f>
        <v>View</v>
      </c>
      <c r="P3384" s="11"/>
    </row>
    <row r="3385" spans="1:16" ht="12.75" x14ac:dyDescent="0.35">
      <c r="A3385" s="7">
        <v>42482.707326388889</v>
      </c>
      <c r="B3385" s="8" t="str">
        <f>HYPERLINK("https://twitter.com/rssternberg","@rssternberg")</f>
        <v>@rssternberg</v>
      </c>
      <c r="C3385" s="9" t="s">
        <v>8208</v>
      </c>
      <c r="D3385" s="9" t="s">
        <v>8209</v>
      </c>
      <c r="E3385" s="10" t="str">
        <f>HYPERLINK("https://twitter.com/rssternberg/status/723473561592193024","723473561592193024")</f>
        <v>723473561592193024</v>
      </c>
      <c r="F3385" s="11" t="s">
        <v>43</v>
      </c>
      <c r="G3385" s="11">
        <v>80</v>
      </c>
      <c r="H3385" s="11">
        <v>22</v>
      </c>
      <c r="I3385" s="11">
        <v>0</v>
      </c>
      <c r="J3385" s="11">
        <v>0</v>
      </c>
      <c r="K3385" s="11" t="s">
        <v>21</v>
      </c>
      <c r="L3385" s="7">
        <v>39891.713252314818</v>
      </c>
      <c r="M3385" s="12" t="s">
        <v>8210</v>
      </c>
      <c r="N3385" s="12" t="s">
        <v>8211</v>
      </c>
      <c r="O3385" s="10" t="str">
        <f>HYPERLINK("https://pbs.twimg.com/profile_images/467671095793823744/pZBuDDrt_normal.jpeg","View")</f>
        <v>View</v>
      </c>
      <c r="P3385" s="11"/>
    </row>
    <row r="3386" spans="1:16" ht="12.75" x14ac:dyDescent="0.35">
      <c r="A3386" s="7">
        <v>42482.707326388889</v>
      </c>
      <c r="B3386" s="8" t="str">
        <f>HYPERLINK("https://twitter.com/RA762","@RA762")</f>
        <v>@RA762</v>
      </c>
      <c r="C3386" s="9" t="s">
        <v>8212</v>
      </c>
      <c r="D3386" s="9" t="s">
        <v>8109</v>
      </c>
      <c r="E3386" s="10" t="str">
        <f>HYPERLINK("https://twitter.com/RA762/status/723473564569980929","723473564569980929")</f>
        <v>723473564569980929</v>
      </c>
      <c r="F3386" s="11" t="s">
        <v>48</v>
      </c>
      <c r="G3386" s="11">
        <v>385</v>
      </c>
      <c r="H3386" s="11">
        <v>164</v>
      </c>
      <c r="I3386" s="11">
        <v>10</v>
      </c>
      <c r="J3386" s="11">
        <v>0</v>
      </c>
      <c r="K3386" s="11" t="s">
        <v>21</v>
      </c>
      <c r="L3386" s="7">
        <v>40965.062662037039</v>
      </c>
      <c r="M3386" s="12" t="s">
        <v>8213</v>
      </c>
      <c r="N3386" s="12" t="s">
        <v>8214</v>
      </c>
      <c r="O3386" s="10" t="str">
        <f>HYPERLINK("https://pbs.twimg.com/profile_images/573831072540033025/_s73MpGg_normal.jpeg","View")</f>
        <v>View</v>
      </c>
      <c r="P3386" s="11"/>
    </row>
    <row r="3387" spans="1:16" ht="12.75" x14ac:dyDescent="0.35">
      <c r="A3387" s="7">
        <v>42482.707662037035</v>
      </c>
      <c r="B3387" s="8" t="str">
        <f>HYPERLINK("https://twitter.com/pcbritz","@pcbritz")</f>
        <v>@pcbritz</v>
      </c>
      <c r="C3387" s="9" t="s">
        <v>3091</v>
      </c>
      <c r="D3387" s="9" t="s">
        <v>8201</v>
      </c>
      <c r="E3387" s="10" t="str">
        <f>HYPERLINK("https://twitter.com/pcbritz/status/723473684275572736","723473684275572736")</f>
        <v>723473684275572736</v>
      </c>
      <c r="F3387" s="11" t="s">
        <v>48</v>
      </c>
      <c r="G3387" s="11">
        <v>1035</v>
      </c>
      <c r="H3387" s="11">
        <v>885</v>
      </c>
      <c r="I3387" s="11">
        <v>2</v>
      </c>
      <c r="J3387" s="11">
        <v>0</v>
      </c>
      <c r="K3387" s="11" t="s">
        <v>21</v>
      </c>
      <c r="L3387" s="7">
        <v>39910.072002314817</v>
      </c>
      <c r="M3387" s="12" t="s">
        <v>3093</v>
      </c>
      <c r="N3387" s="12" t="s">
        <v>3094</v>
      </c>
      <c r="O3387" s="10" t="str">
        <f>HYPERLINK("https://pbs.twimg.com/profile_images/722823782017200130/VreCKi-k_normal.jpg","View")</f>
        <v>View</v>
      </c>
      <c r="P3387" s="11"/>
    </row>
    <row r="3388" spans="1:16" ht="12.75" x14ac:dyDescent="0.35">
      <c r="A3388" s="7">
        <v>42482.708541666667</v>
      </c>
      <c r="B3388" s="8" t="str">
        <f>HYPERLINK("https://twitter.com/CasasMoguel","@CasasMoguel")</f>
        <v>@CasasMoguel</v>
      </c>
      <c r="C3388" s="9" t="s">
        <v>8215</v>
      </c>
      <c r="D3388" s="9" t="s">
        <v>7426</v>
      </c>
      <c r="E3388" s="10" t="str">
        <f>HYPERLINK("https://twitter.com/CasasMoguel/status/723474001247395840","723474001247395840")</f>
        <v>723474001247395840</v>
      </c>
      <c r="F3388" s="11" t="s">
        <v>48</v>
      </c>
      <c r="G3388" s="11">
        <v>26</v>
      </c>
      <c r="H3388" s="11">
        <v>283</v>
      </c>
      <c r="I3388" s="11">
        <v>17</v>
      </c>
      <c r="J3388" s="11">
        <v>0</v>
      </c>
      <c r="K3388" s="11" t="s">
        <v>21</v>
      </c>
      <c r="L3388" s="7">
        <v>41988.8909375</v>
      </c>
      <c r="M3388" s="12"/>
      <c r="N3388" s="12"/>
      <c r="O3388" s="10" t="str">
        <f>HYPERLINK("https://pbs.twimg.com/profile_images/544520899828129792/pnWrBeQK_normal.jpeg","View")</f>
        <v>View</v>
      </c>
      <c r="P3388" s="11"/>
    </row>
    <row r="3389" spans="1:16" ht="12.75" x14ac:dyDescent="0.35">
      <c r="A3389" s="7">
        <v>42482.708553240736</v>
      </c>
      <c r="B3389" s="8" t="str">
        <f>HYPERLINK("https://twitter.com/SantaPodRaceway","@SantaPodRaceway")</f>
        <v>@SantaPodRaceway</v>
      </c>
      <c r="C3389" s="9" t="s">
        <v>3995</v>
      </c>
      <c r="D3389" s="9" t="s">
        <v>8216</v>
      </c>
      <c r="E3389" s="10" t="str">
        <f>HYPERLINK("https://twitter.com/SantaPodRaceway/status/723474005919969280","723474005919969280")</f>
        <v>723474005919969280</v>
      </c>
      <c r="F3389" s="11" t="s">
        <v>152</v>
      </c>
      <c r="G3389" s="11">
        <v>12551</v>
      </c>
      <c r="H3389" s="11">
        <v>222</v>
      </c>
      <c r="I3389" s="11">
        <v>0</v>
      </c>
      <c r="J3389" s="11">
        <v>0</v>
      </c>
      <c r="K3389" s="11" t="s">
        <v>21</v>
      </c>
      <c r="L3389" s="7">
        <v>39909.915972222225</v>
      </c>
      <c r="M3389" s="12" t="s">
        <v>3997</v>
      </c>
      <c r="N3389" s="12" t="s">
        <v>3998</v>
      </c>
      <c r="O3389" s="10" t="str">
        <f>HYPERLINK("https://pbs.twimg.com/profile_images/378800000801365829/e9f28f8996ff7f098d9b8a1840e76f50_normal.png","View")</f>
        <v>View</v>
      </c>
      <c r="P3389" s="11"/>
    </row>
    <row r="3390" spans="1:16" ht="12.75" x14ac:dyDescent="0.35">
      <c r="A3390" s="7">
        <v>42482.708587962959</v>
      </c>
      <c r="B3390" s="8" t="str">
        <f>HYPERLINK("https://twitter.com/carzinegr","@carzinegr")</f>
        <v>@carzinegr</v>
      </c>
      <c r="C3390" s="8" t="s">
        <v>8217</v>
      </c>
      <c r="D3390" s="9" t="s">
        <v>8218</v>
      </c>
      <c r="E3390" s="10" t="str">
        <f>HYPERLINK("https://twitter.com/carzinegr/status/723474018905513984","723474018905513984")</f>
        <v>723474018905513984</v>
      </c>
      <c r="F3390" s="11" t="s">
        <v>8219</v>
      </c>
      <c r="G3390" s="11">
        <v>557</v>
      </c>
      <c r="H3390" s="11">
        <v>191</v>
      </c>
      <c r="I3390" s="11">
        <v>0</v>
      </c>
      <c r="J3390" s="11">
        <v>0</v>
      </c>
      <c r="K3390" s="11" t="s">
        <v>21</v>
      </c>
      <c r="L3390" s="7">
        <v>40151.884756944448</v>
      </c>
      <c r="M3390" s="12" t="s">
        <v>8220</v>
      </c>
      <c r="N3390" s="12" t="s">
        <v>8221</v>
      </c>
      <c r="O3390" s="10" t="str">
        <f>HYPERLINK("https://pbs.twimg.com/profile_images/378800000450313296/f85f6bc6a24b110d5677a432857ca2ff_normal.jpeg","View")</f>
        <v>View</v>
      </c>
      <c r="P3390" s="11"/>
    </row>
    <row r="3391" spans="1:16" ht="12.75" x14ac:dyDescent="0.35">
      <c r="A3391" s="7">
        <v>42482.709039351852</v>
      </c>
      <c r="B3391" s="8" t="str">
        <f>HYPERLINK("https://twitter.com/Mat_Struwe","@Mat_Struwe")</f>
        <v>@Mat_Struwe</v>
      </c>
      <c r="C3391" s="9" t="s">
        <v>8158</v>
      </c>
      <c r="D3391" s="9" t="s">
        <v>8222</v>
      </c>
      <c r="E3391" s="10" t="str">
        <f>HYPERLINK("https://twitter.com/Mat_Struwe/status/723474185511657474","723474185511657474")</f>
        <v>723474185511657474</v>
      </c>
      <c r="F3391" s="11" t="s">
        <v>63</v>
      </c>
      <c r="G3391" s="11">
        <v>328</v>
      </c>
      <c r="H3391" s="11">
        <v>454</v>
      </c>
      <c r="I3391" s="11">
        <v>0</v>
      </c>
      <c r="J3391" s="11">
        <v>0</v>
      </c>
      <c r="K3391" s="11" t="s">
        <v>21</v>
      </c>
      <c r="L3391" s="7">
        <v>40843.138460648144</v>
      </c>
      <c r="M3391" s="12" t="s">
        <v>8160</v>
      </c>
      <c r="N3391" s="12" t="s">
        <v>8161</v>
      </c>
      <c r="O3391" s="10" t="str">
        <f>HYPERLINK("https://pbs.twimg.com/profile_images/524294614946045952/UDyQTUuk_normal.jpeg","View")</f>
        <v>View</v>
      </c>
      <c r="P3391" s="11"/>
    </row>
    <row r="3392" spans="1:16" ht="12.75" x14ac:dyDescent="0.35">
      <c r="A3392" s="7">
        <v>42482.709328703699</v>
      </c>
      <c r="B3392" s="8" t="str">
        <f>HYPERLINK("https://twitter.com/lnlMartinl","@lnlMartinl")</f>
        <v>@lnlMartinl</v>
      </c>
      <c r="C3392" s="9" t="s">
        <v>8223</v>
      </c>
      <c r="D3392" s="9" t="s">
        <v>8224</v>
      </c>
      <c r="E3392" s="10" t="str">
        <f>HYPERLINK("https://twitter.com/lnlMartinl/status/723474287009665024","723474287009665024")</f>
        <v>723474287009665024</v>
      </c>
      <c r="F3392" s="11" t="s">
        <v>367</v>
      </c>
      <c r="G3392" s="11">
        <v>220</v>
      </c>
      <c r="H3392" s="11">
        <v>252</v>
      </c>
      <c r="I3392" s="11">
        <v>0</v>
      </c>
      <c r="J3392" s="11">
        <v>0</v>
      </c>
      <c r="K3392" s="11" t="s">
        <v>21</v>
      </c>
      <c r="L3392" s="7">
        <v>42174.568900462968</v>
      </c>
      <c r="M3392" s="12"/>
      <c r="N3392" s="12" t="s">
        <v>8225</v>
      </c>
      <c r="O3392" s="10" t="str">
        <f>HYPERLINK("https://pbs.twimg.com/profile_images/644405793039757312/rmIR0dNO_normal.jpg","View")</f>
        <v>View</v>
      </c>
      <c r="P3392" s="11"/>
    </row>
    <row r="3393" spans="1:16" ht="12.75" x14ac:dyDescent="0.35">
      <c r="A3393" s="7">
        <v>42482.709513888884</v>
      </c>
      <c r="B3393" s="8" t="str">
        <f>HYPERLINK("https://twitter.com/siob_devine","@siob_devine")</f>
        <v>@siob_devine</v>
      </c>
      <c r="C3393" s="9" t="s">
        <v>8226</v>
      </c>
      <c r="D3393" s="9" t="s">
        <v>8227</v>
      </c>
      <c r="E3393" s="10" t="str">
        <f>HYPERLINK("https://twitter.com/siob_devine/status/723474353829097472","723474353829097472")</f>
        <v>723474353829097472</v>
      </c>
      <c r="F3393" s="11" t="s">
        <v>20</v>
      </c>
      <c r="G3393" s="11">
        <v>365</v>
      </c>
      <c r="H3393" s="11">
        <v>546</v>
      </c>
      <c r="I3393" s="11">
        <v>2</v>
      </c>
      <c r="J3393" s="11">
        <v>0</v>
      </c>
      <c r="K3393" s="11" t="s">
        <v>21</v>
      </c>
      <c r="L3393" s="7">
        <v>41207.995011574072</v>
      </c>
      <c r="M3393" s="12"/>
      <c r="N3393" s="12"/>
      <c r="O3393" s="10" t="str">
        <f>HYPERLINK("https://pbs.twimg.com/profile_images/722377477809696769/JcYvDDIc_normal.jpg","View")</f>
        <v>View</v>
      </c>
      <c r="P3393" s="11"/>
    </row>
    <row r="3394" spans="1:16" ht="12.75" x14ac:dyDescent="0.35">
      <c r="A3394" s="7">
        <v>42482.710069444445</v>
      </c>
      <c r="B3394" s="8" t="str">
        <f>HYPERLINK("https://twitter.com/StvnsFrnk","@StvnsFrnk")</f>
        <v>@StvnsFrnk</v>
      </c>
      <c r="C3394" s="9" t="s">
        <v>6549</v>
      </c>
      <c r="D3394" s="9" t="s">
        <v>8228</v>
      </c>
      <c r="E3394" s="10" t="str">
        <f>HYPERLINK("https://twitter.com/StvnsFrnk/status/723474556246093824","723474556246093824")</f>
        <v>723474556246093824</v>
      </c>
      <c r="F3394" s="11" t="s">
        <v>933</v>
      </c>
      <c r="G3394" s="11">
        <v>286</v>
      </c>
      <c r="H3394" s="11">
        <v>243</v>
      </c>
      <c r="I3394" s="11">
        <v>0</v>
      </c>
      <c r="J3394" s="11">
        <v>0</v>
      </c>
      <c r="K3394" s="11" t="s">
        <v>21</v>
      </c>
      <c r="L3394" s="7">
        <v>41720.556006944447</v>
      </c>
      <c r="M3394" s="12" t="s">
        <v>6551</v>
      </c>
      <c r="N3394" s="12" t="s">
        <v>6552</v>
      </c>
      <c r="O3394" s="10" t="str">
        <f>HYPERLINK("https://pbs.twimg.com/profile_images/447281889578323968/hqCNxI9e_normal.jpeg","View")</f>
        <v>View</v>
      </c>
      <c r="P3394" s="11"/>
    </row>
    <row r="3395" spans="1:16" ht="12.75" x14ac:dyDescent="0.35">
      <c r="A3395" s="7">
        <v>42482.710069444445</v>
      </c>
      <c r="B3395" s="8" t="str">
        <f>HYPERLINK("https://twitter.com/Elitet5","@Elitet5")</f>
        <v>@Elitet5</v>
      </c>
      <c r="C3395" s="9" t="s">
        <v>2807</v>
      </c>
      <c r="D3395" s="9" t="s">
        <v>8229</v>
      </c>
      <c r="E3395" s="10" t="str">
        <f>HYPERLINK("https://twitter.com/Elitet5/status/723474558649532416","723474558649532416")</f>
        <v>723474558649532416</v>
      </c>
      <c r="F3395" s="11" t="s">
        <v>20</v>
      </c>
      <c r="G3395" s="11">
        <v>414</v>
      </c>
      <c r="H3395" s="11">
        <v>581</v>
      </c>
      <c r="I3395" s="11">
        <v>1</v>
      </c>
      <c r="J3395" s="11">
        <v>1</v>
      </c>
      <c r="K3395" s="11" t="s">
        <v>21</v>
      </c>
      <c r="L3395" s="7">
        <v>41566.857361111113</v>
      </c>
      <c r="M3395" s="12" t="s">
        <v>2809</v>
      </c>
      <c r="N3395" s="12" t="s">
        <v>2810</v>
      </c>
      <c r="O3395" s="10" t="str">
        <f>HYPERLINK("https://pbs.twimg.com/profile_images/431166006807904256/QQuD9iZE_normal.jpeg","View")</f>
        <v>View</v>
      </c>
      <c r="P3395" s="11"/>
    </row>
    <row r="3396" spans="1:16" ht="12.75" x14ac:dyDescent="0.35">
      <c r="A3396" s="7">
        <v>42482.710104166668</v>
      </c>
      <c r="B3396" s="8" t="str">
        <f>HYPERLINK("https://twitter.com/michaelweiland","@michaelweiland")</f>
        <v>@michaelweiland</v>
      </c>
      <c r="C3396" s="9" t="s">
        <v>8230</v>
      </c>
      <c r="D3396" s="9" t="s">
        <v>8231</v>
      </c>
      <c r="E3396" s="10" t="str">
        <f>HYPERLINK("https://twitter.com/michaelweiland/status/723474570796236801","723474570796236801")</f>
        <v>723474570796236801</v>
      </c>
      <c r="F3396" s="11" t="s">
        <v>20</v>
      </c>
      <c r="G3396" s="11">
        <v>666</v>
      </c>
      <c r="H3396" s="11">
        <v>1949</v>
      </c>
      <c r="I3396" s="11">
        <v>1</v>
      </c>
      <c r="J3396" s="11">
        <v>0</v>
      </c>
      <c r="K3396" s="11" t="s">
        <v>21</v>
      </c>
      <c r="L3396" s="7">
        <v>39837.677453703705</v>
      </c>
      <c r="M3396" s="12" t="s">
        <v>1288</v>
      </c>
      <c r="N3396" s="12" t="s">
        <v>8232</v>
      </c>
      <c r="O3396" s="10" t="str">
        <f>HYPERLINK("https://pbs.twimg.com/profile_images/72891323/IMG_7859_DxO_normal.jpg","View")</f>
        <v>View</v>
      </c>
      <c r="P3396" s="11"/>
    </row>
    <row r="3397" spans="1:16" ht="12.75" x14ac:dyDescent="0.35">
      <c r="A3397" s="7">
        <v>42482.710231481484</v>
      </c>
      <c r="B3397" s="8" t="str">
        <f>HYPERLINK("https://twitter.com/dirkkreuter","@dirkkreuter")</f>
        <v>@dirkkreuter</v>
      </c>
      <c r="C3397" s="9" t="s">
        <v>8233</v>
      </c>
      <c r="D3397" s="9" t="s">
        <v>8234</v>
      </c>
      <c r="E3397" s="10" t="str">
        <f>HYPERLINK("https://twitter.com/dirkkreuter/status/723474616535113728","723474616535113728")</f>
        <v>723474616535113728</v>
      </c>
      <c r="F3397" s="11" t="s">
        <v>20</v>
      </c>
      <c r="G3397" s="11">
        <v>2358</v>
      </c>
      <c r="H3397" s="11">
        <v>39</v>
      </c>
      <c r="I3397" s="11">
        <v>1</v>
      </c>
      <c r="J3397" s="11">
        <v>0</v>
      </c>
      <c r="K3397" s="11" t="s">
        <v>21</v>
      </c>
      <c r="L3397" s="7">
        <v>39923.623784722222</v>
      </c>
      <c r="M3397" s="12" t="s">
        <v>8067</v>
      </c>
      <c r="N3397" s="12" t="s">
        <v>8235</v>
      </c>
      <c r="O3397" s="10" t="str">
        <f>HYPERLINK("https://pbs.twimg.com/profile_images/621273517477265409/8-53PStR_normal.jpg","View")</f>
        <v>View</v>
      </c>
      <c r="P3397" s="11"/>
    </row>
    <row r="3398" spans="1:16" ht="12.75" x14ac:dyDescent="0.35">
      <c r="A3398" s="7">
        <v>42482.710347222222</v>
      </c>
      <c r="B3398" s="8" t="str">
        <f>HYPERLINK("https://twitter.com/PCIResearch","@PCIResearch")</f>
        <v>@PCIResearch</v>
      </c>
      <c r="C3398" s="9" t="s">
        <v>8236</v>
      </c>
      <c r="D3398" s="9" t="s">
        <v>8109</v>
      </c>
      <c r="E3398" s="10" t="str">
        <f>HYPERLINK("https://twitter.com/PCIResearch/status/723474659459497984","723474659459497984")</f>
        <v>723474659459497984</v>
      </c>
      <c r="F3398" s="11" t="s">
        <v>43</v>
      </c>
      <c r="G3398" s="11">
        <v>14669</v>
      </c>
      <c r="H3398" s="11">
        <v>14688</v>
      </c>
      <c r="I3398" s="11">
        <v>13</v>
      </c>
      <c r="J3398" s="11">
        <v>0</v>
      </c>
      <c r="K3398" s="11" t="s">
        <v>21</v>
      </c>
      <c r="L3398" s="7">
        <v>39957.945243055554</v>
      </c>
      <c r="M3398" s="12"/>
      <c r="N3398" s="12" t="s">
        <v>8237</v>
      </c>
      <c r="O3398" s="10" t="str">
        <f>HYPERLINK("https://pbs.twimg.com/profile_images/379953371/tree_normal.jpg","View")</f>
        <v>View</v>
      </c>
      <c r="P3398" s="11"/>
    </row>
    <row r="3399" spans="1:16" ht="12.75" x14ac:dyDescent="0.35">
      <c r="A3399" s="7">
        <v>42482.710509259261</v>
      </c>
      <c r="B3399" s="8" t="str">
        <f>HYPERLINK("https://twitter.com/VWCamperSales","@VWCamperSales")</f>
        <v>@VWCamperSales</v>
      </c>
      <c r="C3399" s="9" t="s">
        <v>216</v>
      </c>
      <c r="D3399" s="9" t="s">
        <v>8238</v>
      </c>
      <c r="E3399" s="10" t="str">
        <f>HYPERLINK("https://twitter.com/VWCamperSales/status/723474717223440384","723474717223440384")</f>
        <v>723474717223440384</v>
      </c>
      <c r="F3399" s="10" t="s">
        <v>124</v>
      </c>
      <c r="G3399" s="11">
        <v>616</v>
      </c>
      <c r="H3399" s="11">
        <v>580</v>
      </c>
      <c r="I3399" s="11">
        <v>0</v>
      </c>
      <c r="J3399" s="11">
        <v>0</v>
      </c>
      <c r="K3399" s="11" t="s">
        <v>21</v>
      </c>
      <c r="L3399" s="7">
        <v>42215.98809027778</v>
      </c>
      <c r="M3399" s="12" t="s">
        <v>129</v>
      </c>
      <c r="N3399" s="12" t="s">
        <v>218</v>
      </c>
      <c r="O3399" s="10" t="str">
        <f>HYPERLINK("https://pbs.twimg.com/profile_images/627949001179037696/skEBkS05_normal.jpg","View")</f>
        <v>View</v>
      </c>
      <c r="P3399" s="11"/>
    </row>
    <row r="3400" spans="1:16" ht="12.75" x14ac:dyDescent="0.35">
      <c r="A3400" s="7">
        <v>42482.710914351846</v>
      </c>
      <c r="B3400" s="8" t="str">
        <f>HYPERLINK("https://twitter.com/MrMozartOficial","@MrMozartOficial")</f>
        <v>@MrMozartOficial</v>
      </c>
      <c r="C3400" s="9" t="s">
        <v>8239</v>
      </c>
      <c r="D3400" s="9" t="s">
        <v>8240</v>
      </c>
      <c r="E3400" s="10" t="str">
        <f>HYPERLINK("https://twitter.com/MrMozartOficial/status/723474862094733312","723474862094733312")</f>
        <v>723474862094733312</v>
      </c>
      <c r="F3400" s="11" t="s">
        <v>114</v>
      </c>
      <c r="G3400" s="11">
        <v>2482</v>
      </c>
      <c r="H3400" s="11">
        <v>171</v>
      </c>
      <c r="I3400" s="11">
        <v>0</v>
      </c>
      <c r="J3400" s="11">
        <v>0</v>
      </c>
      <c r="K3400" s="11" t="s">
        <v>21</v>
      </c>
      <c r="L3400" s="7">
        <v>40208.97284722222</v>
      </c>
      <c r="M3400" s="12" t="s">
        <v>4440</v>
      </c>
      <c r="N3400" s="12" t="s">
        <v>8241</v>
      </c>
      <c r="O3400" s="10" t="str">
        <f>HYPERLINK("https://pbs.twimg.com/profile_images/696519328573816832/XqooVAmy_normal.jpg","View")</f>
        <v>View</v>
      </c>
      <c r="P3400" s="11"/>
    </row>
    <row r="3401" spans="1:16" ht="12.75" x14ac:dyDescent="0.35">
      <c r="A3401" s="7">
        <v>42482.711157407408</v>
      </c>
      <c r="B3401" s="8" t="str">
        <f>HYPERLINK("https://twitter.com/ratemycamper","@ratemycamper")</f>
        <v>@ratemycamper</v>
      </c>
      <c r="C3401" s="9" t="s">
        <v>1529</v>
      </c>
      <c r="D3401" s="9" t="s">
        <v>8242</v>
      </c>
      <c r="E3401" s="10" t="str">
        <f>HYPERLINK("https://twitter.com/ratemycamper/status/723474951651627008","723474951651627008")</f>
        <v>723474951651627008</v>
      </c>
      <c r="F3401" s="11" t="s">
        <v>20</v>
      </c>
      <c r="G3401" s="11">
        <v>168</v>
      </c>
      <c r="H3401" s="11">
        <v>1991</v>
      </c>
      <c r="I3401" s="11">
        <v>0</v>
      </c>
      <c r="J3401" s="11">
        <v>0</v>
      </c>
      <c r="K3401" s="11" t="s">
        <v>21</v>
      </c>
      <c r="L3401" s="7">
        <v>42387.075486111113</v>
      </c>
      <c r="M3401" s="12" t="s">
        <v>1129</v>
      </c>
      <c r="N3401" s="12" t="s">
        <v>1531</v>
      </c>
      <c r="O3401" s="10" t="str">
        <f>HYPERLINK("https://pbs.twimg.com/profile_images/710929065939755009/-Rgs_z20_normal.jpg","View")</f>
        <v>View</v>
      </c>
      <c r="P3401" s="11"/>
    </row>
    <row r="3402" spans="1:16" ht="12.75" x14ac:dyDescent="0.35">
      <c r="A3402" s="7">
        <v>42482.711550925931</v>
      </c>
      <c r="B3402" s="8" t="str">
        <f>HYPERLINK("https://twitter.com/BOSSSIWELL","@BOSSSIWELL")</f>
        <v>@BOSSSIWELL</v>
      </c>
      <c r="C3402" s="9" t="s">
        <v>8243</v>
      </c>
      <c r="D3402" s="9" t="s">
        <v>8244</v>
      </c>
      <c r="E3402" s="10" t="str">
        <f>HYPERLINK("https://twitter.com/BOSSSIWELL/status/723475092332773376","723475092332773376")</f>
        <v>723475092332773376</v>
      </c>
      <c r="F3402" s="11" t="s">
        <v>114</v>
      </c>
      <c r="G3402" s="11">
        <v>21</v>
      </c>
      <c r="H3402" s="11">
        <v>196</v>
      </c>
      <c r="I3402" s="11">
        <v>0</v>
      </c>
      <c r="J3402" s="11">
        <v>0</v>
      </c>
      <c r="K3402" s="11" t="s">
        <v>21</v>
      </c>
      <c r="L3402" s="7">
        <v>40043.565393518518</v>
      </c>
      <c r="M3402" s="12"/>
      <c r="N3402" s="12"/>
      <c r="O3402" s="10" t="str">
        <f>HYPERLINK("https://pbs.twimg.com/profile_images/438395067510697984/O1RO1BuY_normal.jpeg","View")</f>
        <v>View</v>
      </c>
      <c r="P3402" s="10" t="str">
        <f>HYPERLINK("http://ctrlq.org/maps/address/#13.85076803,100.55947065","Map")</f>
        <v>Map</v>
      </c>
    </row>
    <row r="3403" spans="1:16" ht="12.75" x14ac:dyDescent="0.35">
      <c r="A3403" s="7">
        <v>42482.711770833332</v>
      </c>
      <c r="B3403" s="8" t="str">
        <f>HYPERLINK("https://twitter.com/DHZ_Handwerk","@DHZ_Handwerk")</f>
        <v>@DHZ_Handwerk</v>
      </c>
      <c r="C3403" s="9" t="s">
        <v>8245</v>
      </c>
      <c r="D3403" s="9" t="s">
        <v>8246</v>
      </c>
      <c r="E3403" s="10" t="str">
        <f>HYPERLINK("https://twitter.com/DHZ_Handwerk/status/723475174570491904","723475174570491904")</f>
        <v>723475174570491904</v>
      </c>
      <c r="F3403" s="11" t="s">
        <v>43</v>
      </c>
      <c r="G3403" s="11">
        <v>2749</v>
      </c>
      <c r="H3403" s="11">
        <v>1399</v>
      </c>
      <c r="I3403" s="11">
        <v>0</v>
      </c>
      <c r="J3403" s="11">
        <v>0</v>
      </c>
      <c r="K3403" s="11" t="s">
        <v>21</v>
      </c>
      <c r="L3403" s="7">
        <v>40807.725520833337</v>
      </c>
      <c r="M3403" s="12"/>
      <c r="N3403" s="12" t="s">
        <v>8247</v>
      </c>
      <c r="O3403" s="10" t="str">
        <f>HYPERLINK("https://pbs.twimg.com/profile_images/463651158213406720/Extqdo-p_normal.png","View")</f>
        <v>View</v>
      </c>
      <c r="P3403" s="11"/>
    </row>
    <row r="3404" spans="1:16" ht="12.75" x14ac:dyDescent="0.35">
      <c r="A3404" s="7">
        <v>42482.711828703701</v>
      </c>
      <c r="B3404" s="8" t="str">
        <f>HYPERLINK("https://twitter.com/TristanVeith","@TristanVeith")</f>
        <v>@TristanVeith</v>
      </c>
      <c r="C3404" s="9" t="s">
        <v>8248</v>
      </c>
      <c r="D3404" s="9" t="s">
        <v>8249</v>
      </c>
      <c r="E3404" s="10" t="str">
        <f>HYPERLINK("https://twitter.com/TristanVeith/status/723475193486659584","723475193486659584")</f>
        <v>723475193486659584</v>
      </c>
      <c r="F3404" s="11" t="s">
        <v>43</v>
      </c>
      <c r="G3404" s="11">
        <v>160</v>
      </c>
      <c r="H3404" s="11">
        <v>532</v>
      </c>
      <c r="I3404" s="11">
        <v>0</v>
      </c>
      <c r="J3404" s="11">
        <v>0</v>
      </c>
      <c r="K3404" s="11" t="s">
        <v>21</v>
      </c>
      <c r="L3404" s="7">
        <v>41229.926111111112</v>
      </c>
      <c r="M3404" s="12" t="s">
        <v>953</v>
      </c>
      <c r="N3404" s="12" t="s">
        <v>8250</v>
      </c>
      <c r="O3404" s="10" t="str">
        <f>HYPERLINK("https://pbs.twimg.com/profile_images/378800000819824275/68f3c989b2c2a616cffc62b0078aecca_normal.jpeg","View")</f>
        <v>View</v>
      </c>
      <c r="P3404" s="11"/>
    </row>
    <row r="3405" spans="1:16" ht="12.75" x14ac:dyDescent="0.35">
      <c r="A3405" s="7">
        <v>42482.712685185186</v>
      </c>
      <c r="B3405" s="8" t="str">
        <f>HYPERLINK("https://twitter.com/AbbeyLeasing","@AbbeyLeasing")</f>
        <v>@AbbeyLeasing</v>
      </c>
      <c r="C3405" s="9" t="s">
        <v>8251</v>
      </c>
      <c r="D3405" s="9" t="s">
        <v>8252</v>
      </c>
      <c r="E3405" s="10" t="str">
        <f>HYPERLINK("https://twitter.com/AbbeyLeasing/status/723475503601061888","723475503601061888")</f>
        <v>723475503601061888</v>
      </c>
      <c r="F3405" s="11" t="s">
        <v>43</v>
      </c>
      <c r="G3405" s="11">
        <v>757</v>
      </c>
      <c r="H3405" s="11">
        <v>729</v>
      </c>
      <c r="I3405" s="11">
        <v>2</v>
      </c>
      <c r="J3405" s="11">
        <v>5</v>
      </c>
      <c r="K3405" s="11" t="s">
        <v>21</v>
      </c>
      <c r="L3405" s="7">
        <v>42271.823101851856</v>
      </c>
      <c r="M3405" s="12" t="s">
        <v>1144</v>
      </c>
      <c r="N3405" s="12" t="s">
        <v>8253</v>
      </c>
      <c r="O3405" s="10" t="str">
        <f>HYPERLINK("https://pbs.twimg.com/profile_images/647052084446150656/1FTvGXVr_normal.png","View")</f>
        <v>View</v>
      </c>
      <c r="P3405" s="11"/>
    </row>
    <row r="3406" spans="1:16" ht="12.75" x14ac:dyDescent="0.35">
      <c r="A3406" s="7">
        <v>42482.712731481486</v>
      </c>
      <c r="B3406" s="8" t="str">
        <f>HYPERLINK("https://twitter.com/Joseph_Bennell","@Joseph_Bennell")</f>
        <v>@Joseph_Bennell</v>
      </c>
      <c r="C3406" s="9" t="s">
        <v>8254</v>
      </c>
      <c r="D3406" s="9" t="s">
        <v>8255</v>
      </c>
      <c r="E3406" s="10" t="str">
        <f>HYPERLINK("https://twitter.com/Joseph_Bennell/status/723475522785828868","723475522785828868")</f>
        <v>723475522785828868</v>
      </c>
      <c r="F3406" s="11" t="s">
        <v>114</v>
      </c>
      <c r="G3406" s="11">
        <v>72</v>
      </c>
      <c r="H3406" s="11">
        <v>43</v>
      </c>
      <c r="I3406" s="11">
        <v>0</v>
      </c>
      <c r="J3406" s="11">
        <v>0</v>
      </c>
      <c r="K3406" s="11" t="s">
        <v>21</v>
      </c>
      <c r="L3406" s="7">
        <v>39842.983472222222</v>
      </c>
      <c r="M3406" s="12" t="s">
        <v>8256</v>
      </c>
      <c r="N3406" s="12" t="s">
        <v>8257</v>
      </c>
      <c r="O3406" s="10" t="str">
        <f>HYPERLINK("https://pbs.twimg.com/profile_images/597426402607128578/uzKBr6iQ_normal.jpg","View")</f>
        <v>View</v>
      </c>
      <c r="P3406" s="10" t="str">
        <f>HYPERLINK("http://ctrlq.org/maps/address/#52.25397,-2.2505799","Map")</f>
        <v>Map</v>
      </c>
    </row>
    <row r="3407" spans="1:16" ht="12.75" x14ac:dyDescent="0.35">
      <c r="A3407" s="7">
        <v>42482.713391203702</v>
      </c>
      <c r="B3407" s="8" t="str">
        <f>HYPERLINK("https://twitter.com/vwpress_de","@vwpress_de")</f>
        <v>@vwpress_de</v>
      </c>
      <c r="C3407" s="9" t="s">
        <v>1685</v>
      </c>
      <c r="D3407" s="9" t="s">
        <v>8258</v>
      </c>
      <c r="E3407" s="10" t="str">
        <f>HYPERLINK("https://twitter.com/vwpress_de/status/723475761638825984","723475761638825984")</f>
        <v>723475761638825984</v>
      </c>
      <c r="F3407" s="11" t="s">
        <v>152</v>
      </c>
      <c r="G3407" s="11">
        <v>5771</v>
      </c>
      <c r="H3407" s="11">
        <v>610</v>
      </c>
      <c r="I3407" s="11">
        <v>0</v>
      </c>
      <c r="J3407" s="11">
        <v>0</v>
      </c>
      <c r="K3407" s="11" t="s">
        <v>21</v>
      </c>
      <c r="L3407" s="7">
        <v>42041.830381944441</v>
      </c>
      <c r="M3407" s="12" t="s">
        <v>1690</v>
      </c>
      <c r="N3407" s="12" t="s">
        <v>1691</v>
      </c>
      <c r="O3407" s="10" t="str">
        <f>HYPERLINK("https://pbs.twimg.com/profile_images/682117656502222848/Ge7YeAF3_normal.png","View")</f>
        <v>View</v>
      </c>
      <c r="P3407" s="11"/>
    </row>
    <row r="3408" spans="1:16" ht="12.75" x14ac:dyDescent="0.35">
      <c r="A3408" s="7">
        <v>42482.713518518518</v>
      </c>
      <c r="B3408" s="8" t="str">
        <f>HYPERLINK("https://twitter.com/bayl","@bayl")</f>
        <v>@bayl</v>
      </c>
      <c r="C3408" s="9" t="s">
        <v>3167</v>
      </c>
      <c r="D3408" s="9" t="s">
        <v>8259</v>
      </c>
      <c r="E3408" s="10" t="str">
        <f>HYPERLINK("https://twitter.com/bayl/status/723475806786322432","723475806786322432")</f>
        <v>723475806786322432</v>
      </c>
      <c r="F3408" s="11" t="s">
        <v>43</v>
      </c>
      <c r="G3408" s="11">
        <v>577</v>
      </c>
      <c r="H3408" s="11">
        <v>825</v>
      </c>
      <c r="I3408" s="11">
        <v>2</v>
      </c>
      <c r="J3408" s="11">
        <v>2</v>
      </c>
      <c r="K3408" s="11" t="s">
        <v>21</v>
      </c>
      <c r="L3408" s="7">
        <v>39567.463831018518</v>
      </c>
      <c r="M3408" s="12"/>
      <c r="N3408" s="12" t="s">
        <v>3169</v>
      </c>
      <c r="O3408" s="10" t="str">
        <f>HYPERLINK("https://pbs.twimg.com/profile_images/438619338942062592/OBEQvg6R_normal.jpeg","View")</f>
        <v>View</v>
      </c>
      <c r="P3408" s="11"/>
    </row>
    <row r="3409" spans="1:16" ht="12.75" x14ac:dyDescent="0.35">
      <c r="A3409" s="7">
        <v>42482.713622685187</v>
      </c>
      <c r="B3409" s="8" t="str">
        <f>HYPERLINK("https://twitter.com/golfturkiye","@golfturkiye")</f>
        <v>@golfturkiye</v>
      </c>
      <c r="C3409" s="9" t="s">
        <v>4593</v>
      </c>
      <c r="D3409" s="9" t="s">
        <v>8260</v>
      </c>
      <c r="E3409" s="10" t="str">
        <f>HYPERLINK("https://twitter.com/golfturkiye/status/723475846233772034","723475846233772034")</f>
        <v>723475846233772034</v>
      </c>
      <c r="F3409" s="11" t="s">
        <v>4595</v>
      </c>
      <c r="G3409" s="11">
        <v>833</v>
      </c>
      <c r="H3409" s="11">
        <v>1</v>
      </c>
      <c r="I3409" s="11">
        <v>0</v>
      </c>
      <c r="J3409" s="11">
        <v>0</v>
      </c>
      <c r="K3409" s="11" t="s">
        <v>21</v>
      </c>
      <c r="L3409" s="7">
        <v>41097.832256944443</v>
      </c>
      <c r="M3409" s="12"/>
      <c r="N3409" s="12" t="s">
        <v>4596</v>
      </c>
      <c r="O3409" s="10" t="str">
        <f>HYPERLINK("https://pbs.twimg.com/profile_images/2908590566/828967841f09b515ee36e3dfccea4d28_normal.png","View")</f>
        <v>View</v>
      </c>
      <c r="P3409" s="11"/>
    </row>
    <row r="3410" spans="1:16" ht="12.75" x14ac:dyDescent="0.35">
      <c r="A3410" s="7">
        <v>42482.713831018518</v>
      </c>
      <c r="B3410" s="8" t="str">
        <f>HYPERLINK("https://twitter.com/PolakPavel","@PolakPavel")</f>
        <v>@PolakPavel</v>
      </c>
      <c r="C3410" s="9" t="s">
        <v>8261</v>
      </c>
      <c r="D3410" s="9" t="s">
        <v>8262</v>
      </c>
      <c r="E3410" s="10" t="str">
        <f>HYPERLINK("https://twitter.com/PolakPavel/status/723475920242257921","723475920242257921")</f>
        <v>723475920242257921</v>
      </c>
      <c r="F3410" s="11" t="s">
        <v>20</v>
      </c>
      <c r="G3410" s="11">
        <v>1058</v>
      </c>
      <c r="H3410" s="11">
        <v>34</v>
      </c>
      <c r="I3410" s="11">
        <v>0</v>
      </c>
      <c r="J3410" s="11">
        <v>0</v>
      </c>
      <c r="K3410" s="11" t="s">
        <v>21</v>
      </c>
      <c r="L3410" s="7">
        <v>41568.167812500003</v>
      </c>
      <c r="M3410" s="12" t="s">
        <v>1359</v>
      </c>
      <c r="N3410" s="12" t="s">
        <v>8263</v>
      </c>
      <c r="O3410" s="10" t="str">
        <f>HYPERLINK("https://pbs.twimg.com/profile_images/378800000625654479/283342ca756174ac948f248e4edef6ff_normal.jpeg","View")</f>
        <v>View</v>
      </c>
      <c r="P3410" s="11"/>
    </row>
    <row r="3411" spans="1:16" ht="12.75" x14ac:dyDescent="0.35">
      <c r="A3411" s="7">
        <v>42482.714247685188</v>
      </c>
      <c r="B3411" s="8" t="str">
        <f>HYPERLINK("https://twitter.com/theartdeptstoke","@theartdeptstoke")</f>
        <v>@theartdeptstoke</v>
      </c>
      <c r="C3411" s="9" t="s">
        <v>8264</v>
      </c>
      <c r="D3411" s="9" t="s">
        <v>8265</v>
      </c>
      <c r="E3411" s="10" t="str">
        <f>HYPERLINK("https://twitter.com/theartdeptstoke/status/723476072696807424","723476072696807424")</f>
        <v>723476072696807424</v>
      </c>
      <c r="F3411" s="11" t="s">
        <v>20</v>
      </c>
      <c r="G3411" s="11">
        <v>302</v>
      </c>
      <c r="H3411" s="11">
        <v>125</v>
      </c>
      <c r="I3411" s="11">
        <v>1</v>
      </c>
      <c r="J3411" s="11">
        <v>0</v>
      </c>
      <c r="K3411" s="11" t="s">
        <v>21</v>
      </c>
      <c r="L3411" s="7">
        <v>42321.070729166662</v>
      </c>
      <c r="M3411" s="12" t="s">
        <v>8266</v>
      </c>
      <c r="N3411" s="12" t="s">
        <v>8267</v>
      </c>
      <c r="O3411" s="10" t="str">
        <f>HYPERLINK("https://pbs.twimg.com/profile_images/675417445977444353/_MXUy9sP_normal.jpg","View")</f>
        <v>View</v>
      </c>
      <c r="P3411" s="11"/>
    </row>
    <row r="3412" spans="1:16" ht="12.75" x14ac:dyDescent="0.35">
      <c r="A3412" s="7">
        <v>42482.714363425926</v>
      </c>
      <c r="B3412" s="8" t="str">
        <f>HYPERLINK("https://twitter.com/AniQ0624","@AniQ0624")</f>
        <v>@AniQ0624</v>
      </c>
      <c r="C3412" s="9" t="s">
        <v>8268</v>
      </c>
      <c r="D3412" s="9" t="s">
        <v>8269</v>
      </c>
      <c r="E3412" s="10" t="str">
        <f>HYPERLINK("https://twitter.com/AniQ0624/status/723476112895029248","723476112895029248")</f>
        <v>723476112895029248</v>
      </c>
      <c r="F3412" s="11" t="s">
        <v>68</v>
      </c>
      <c r="G3412" s="11">
        <v>93</v>
      </c>
      <c r="H3412" s="11">
        <v>181</v>
      </c>
      <c r="I3412" s="11">
        <v>0</v>
      </c>
      <c r="J3412" s="11">
        <v>0</v>
      </c>
      <c r="K3412" s="11" t="s">
        <v>21</v>
      </c>
      <c r="L3412" s="7">
        <v>40815.981203703705</v>
      </c>
      <c r="M3412" s="12" t="s">
        <v>293</v>
      </c>
      <c r="N3412" s="12"/>
      <c r="O3412" s="10" t="str">
        <f>HYPERLINK("https://pbs.twimg.com/profile_images/1565609204/06.24.08__102__normal.jpg","View")</f>
        <v>View</v>
      </c>
      <c r="P3412" s="11"/>
    </row>
    <row r="3413" spans="1:16" ht="12.75" x14ac:dyDescent="0.35">
      <c r="A3413" s="7">
        <v>42482.71466435185</v>
      </c>
      <c r="B3413" s="8" t="str">
        <f>HYPERLINK("https://twitter.com/VWCamperSales","@VWCamperSales")</f>
        <v>@VWCamperSales</v>
      </c>
      <c r="C3413" s="9" t="s">
        <v>216</v>
      </c>
      <c r="D3413" s="9" t="s">
        <v>8270</v>
      </c>
      <c r="E3413" s="10" t="str">
        <f>HYPERLINK("https://twitter.com/VWCamperSales/status/723476223460962305","723476223460962305")</f>
        <v>723476223460962305</v>
      </c>
      <c r="F3413" s="10" t="s">
        <v>124</v>
      </c>
      <c r="G3413" s="11">
        <v>616</v>
      </c>
      <c r="H3413" s="11">
        <v>580</v>
      </c>
      <c r="I3413" s="11">
        <v>0</v>
      </c>
      <c r="J3413" s="11">
        <v>0</v>
      </c>
      <c r="K3413" s="11" t="s">
        <v>21</v>
      </c>
      <c r="L3413" s="7">
        <v>42215.98809027778</v>
      </c>
      <c r="M3413" s="12" t="s">
        <v>129</v>
      </c>
      <c r="N3413" s="12" t="s">
        <v>218</v>
      </c>
      <c r="O3413" s="10" t="str">
        <f>HYPERLINK("https://pbs.twimg.com/profile_images/627949001179037696/skEBkS05_normal.jpg","View")</f>
        <v>View</v>
      </c>
      <c r="P3413" s="11"/>
    </row>
    <row r="3414" spans="1:16" ht="12.75" x14ac:dyDescent="0.35">
      <c r="A3414" s="7">
        <v>42482.714826388888</v>
      </c>
      <c r="B3414" s="8" t="str">
        <f>HYPERLINK("https://twitter.com/nzrosie1","@nzrosie1")</f>
        <v>@nzrosie1</v>
      </c>
      <c r="C3414" s="9" t="s">
        <v>8271</v>
      </c>
      <c r="D3414" s="9" t="s">
        <v>8109</v>
      </c>
      <c r="E3414" s="10" t="str">
        <f>HYPERLINK("https://twitter.com/nzrosie1/status/723476282327994370","723476282327994370")</f>
        <v>723476282327994370</v>
      </c>
      <c r="F3414" s="11" t="s">
        <v>48</v>
      </c>
      <c r="G3414" s="11">
        <v>979</v>
      </c>
      <c r="H3414" s="11">
        <v>722</v>
      </c>
      <c r="I3414" s="11">
        <v>13</v>
      </c>
      <c r="J3414" s="11">
        <v>0</v>
      </c>
      <c r="K3414" s="11" t="s">
        <v>21</v>
      </c>
      <c r="L3414" s="7">
        <v>40784.108946759261</v>
      </c>
      <c r="M3414" s="12" t="s">
        <v>8110</v>
      </c>
      <c r="N3414" s="12" t="s">
        <v>8272</v>
      </c>
      <c r="O3414" s="10" t="str">
        <f>HYPERLINK("https://pbs.twimg.com/profile_images/716592983580106752/gTYFLolH_normal.jpg","View")</f>
        <v>View</v>
      </c>
      <c r="P3414" s="11"/>
    </row>
    <row r="3415" spans="1:16" ht="12.75" x14ac:dyDescent="0.35">
      <c r="A3415" s="7">
        <v>42482.715451388889</v>
      </c>
      <c r="B3415" s="8" t="str">
        <f>HYPERLINK("https://twitter.com/dneuerer","@dneuerer")</f>
        <v>@dneuerer</v>
      </c>
      <c r="C3415" s="9" t="s">
        <v>8112</v>
      </c>
      <c r="D3415" s="9" t="s">
        <v>8273</v>
      </c>
      <c r="E3415" s="10" t="str">
        <f>HYPERLINK("https://twitter.com/dneuerer/status/723476506513707008","723476506513707008")</f>
        <v>723476506513707008</v>
      </c>
      <c r="F3415" s="11" t="s">
        <v>20</v>
      </c>
      <c r="G3415" s="11">
        <v>2823</v>
      </c>
      <c r="H3415" s="11">
        <v>2739</v>
      </c>
      <c r="I3415" s="11">
        <v>2</v>
      </c>
      <c r="J3415" s="11">
        <v>0</v>
      </c>
      <c r="K3415" s="11" t="s">
        <v>21</v>
      </c>
      <c r="L3415" s="7">
        <v>40553.027002314819</v>
      </c>
      <c r="M3415" s="12"/>
      <c r="N3415" s="12" t="s">
        <v>8113</v>
      </c>
      <c r="O3415" s="10" t="str">
        <f>HYPERLINK("https://pbs.twimg.com/profile_images/683583669202731008/gni4rKo-_normal.jpg","View")</f>
        <v>View</v>
      </c>
      <c r="P3415" s="11"/>
    </row>
    <row r="3416" spans="1:16" ht="12.75" x14ac:dyDescent="0.35">
      <c r="A3416" s="7">
        <v>42482.715787037036</v>
      </c>
      <c r="B3416" s="8" t="str">
        <f>HYPERLINK("https://twitter.com/jenkers_en","@jenkers_en")</f>
        <v>@jenkers_en</v>
      </c>
      <c r="C3416" s="9" t="s">
        <v>2730</v>
      </c>
      <c r="D3416" s="9" t="s">
        <v>8274</v>
      </c>
      <c r="E3416" s="10" t="str">
        <f>HYPERLINK("https://twitter.com/jenkers_en/status/723476628291108864","723476628291108864")</f>
        <v>723476628291108864</v>
      </c>
      <c r="F3416" s="11" t="s">
        <v>2732</v>
      </c>
      <c r="G3416" s="11">
        <v>1179</v>
      </c>
      <c r="H3416" s="11">
        <v>335</v>
      </c>
      <c r="I3416" s="11">
        <v>0</v>
      </c>
      <c r="J3416" s="11">
        <v>0</v>
      </c>
      <c r="K3416" s="11" t="s">
        <v>21</v>
      </c>
      <c r="L3416" s="7">
        <v>42082.76226851852</v>
      </c>
      <c r="M3416" s="12" t="s">
        <v>155</v>
      </c>
      <c r="N3416" s="12" t="s">
        <v>2733</v>
      </c>
      <c r="O3416" s="10" t="str">
        <f>HYPERLINK("https://pbs.twimg.com/profile_images/588324718677254145/-y5BbeY4_normal.png","View")</f>
        <v>View</v>
      </c>
      <c r="P3416" s="11"/>
    </row>
    <row r="3417" spans="1:16" ht="12.75" x14ac:dyDescent="0.35">
      <c r="A3417" s="7">
        <v>42482.716261574074</v>
      </c>
      <c r="B3417" s="8" t="str">
        <f>HYPERLINK("https://twitter.com/mcmlxxii8","@mcmlxxii8")</f>
        <v>@mcmlxxii8</v>
      </c>
      <c r="C3417" s="9" t="s">
        <v>8275</v>
      </c>
      <c r="D3417" s="9" t="s">
        <v>8276</v>
      </c>
      <c r="E3417" s="10" t="str">
        <f>HYPERLINK("https://twitter.com/mcmlxxii8/status/723476800832180225","723476800832180225")</f>
        <v>723476800832180225</v>
      </c>
      <c r="F3417" s="11" t="s">
        <v>20</v>
      </c>
      <c r="G3417" s="11">
        <v>206</v>
      </c>
      <c r="H3417" s="11">
        <v>569</v>
      </c>
      <c r="I3417" s="11">
        <v>2</v>
      </c>
      <c r="J3417" s="11">
        <v>0</v>
      </c>
      <c r="K3417" s="11" t="s">
        <v>21</v>
      </c>
      <c r="L3417" s="7">
        <v>42139.254976851851</v>
      </c>
      <c r="M3417" s="12" t="s">
        <v>1144</v>
      </c>
      <c r="N3417" s="12" t="s">
        <v>8277</v>
      </c>
      <c r="O3417" s="10" t="str">
        <f>HYPERLINK("https://pbs.twimg.com/profile_images/666384398514855939/OtYSgUiF_normal.jpg","View")</f>
        <v>View</v>
      </c>
      <c r="P3417" s="11"/>
    </row>
    <row r="3418" spans="1:16" ht="12.75" x14ac:dyDescent="0.35">
      <c r="A3418" s="7">
        <v>42482.716307870374</v>
      </c>
      <c r="B3418" s="8" t="str">
        <f>HYPERLINK("https://twitter.com/Hilda_VillegasA","@Hilda_VillegasA")</f>
        <v>@Hilda_VillegasA</v>
      </c>
      <c r="C3418" s="9" t="s">
        <v>8278</v>
      </c>
      <c r="D3418" s="9" t="s">
        <v>8279</v>
      </c>
      <c r="E3418" s="10" t="str">
        <f>HYPERLINK("https://twitter.com/Hilda_VillegasA/status/723476818746048512","723476818746048512")</f>
        <v>723476818746048512</v>
      </c>
      <c r="F3418" s="11" t="s">
        <v>68</v>
      </c>
      <c r="G3418" s="11">
        <v>97</v>
      </c>
      <c r="H3418" s="11">
        <v>144</v>
      </c>
      <c r="I3418" s="11">
        <v>1</v>
      </c>
      <c r="J3418" s="11">
        <v>0</v>
      </c>
      <c r="K3418" s="11" t="s">
        <v>21</v>
      </c>
      <c r="L3418" s="7">
        <v>42474.23918981482</v>
      </c>
      <c r="M3418" s="12"/>
      <c r="N3418" s="12"/>
      <c r="O3418" s="10" t="str">
        <f>HYPERLINK("https://abs.twimg.com/sticky/default_profile_images/default_profile_0_normal.png","View")</f>
        <v>View</v>
      </c>
      <c r="P3418" s="11"/>
    </row>
    <row r="3419" spans="1:16" ht="12.75" x14ac:dyDescent="0.35">
      <c r="A3419" s="7">
        <v>42482.716782407406</v>
      </c>
      <c r="B3419" s="8" t="str">
        <f>HYPERLINK("https://twitter.com/ColourCr","@ColourCr")</f>
        <v>@ColourCr</v>
      </c>
      <c r="C3419" s="9" t="s">
        <v>8280</v>
      </c>
      <c r="D3419" s="9" t="s">
        <v>8281</v>
      </c>
      <c r="E3419" s="10" t="str">
        <f>HYPERLINK("https://twitter.com/ColourCr/status/723476991282937856","723476991282937856")</f>
        <v>723476991282937856</v>
      </c>
      <c r="F3419" s="11" t="s">
        <v>43</v>
      </c>
      <c r="G3419" s="11">
        <v>1848</v>
      </c>
      <c r="H3419" s="11">
        <v>1557</v>
      </c>
      <c r="I3419" s="11">
        <v>0</v>
      </c>
      <c r="J3419" s="11">
        <v>0</v>
      </c>
      <c r="K3419" s="11" t="s">
        <v>21</v>
      </c>
      <c r="L3419" s="7">
        <v>40962.88318287037</v>
      </c>
      <c r="M3419" s="12" t="s">
        <v>8282</v>
      </c>
      <c r="N3419" s="12" t="s">
        <v>8283</v>
      </c>
      <c r="O3419" s="10" t="str">
        <f>HYPERLINK("https://pbs.twimg.com/profile_images/1850139320/Colour_Crew_Logo_normal.png","View")</f>
        <v>View</v>
      </c>
      <c r="P3419" s="11"/>
    </row>
    <row r="3420" spans="1:16" ht="12.75" x14ac:dyDescent="0.35">
      <c r="A3420" s="7">
        <v>42482.717048611114</v>
      </c>
      <c r="B3420" s="8" t="str">
        <f>HYPERLINK("https://twitter.com/Scirocco_Tuning","@Scirocco_Tuning")</f>
        <v>@Scirocco_Tuning</v>
      </c>
      <c r="C3420" s="9" t="s">
        <v>51</v>
      </c>
      <c r="D3420" s="9" t="s">
        <v>8284</v>
      </c>
      <c r="E3420" s="10" t="str">
        <f>HYPERLINK("https://twitter.com/Scirocco_Tuning/status/723477086120349696","723477086120349696")</f>
        <v>723477086120349696</v>
      </c>
      <c r="F3420" s="11" t="s">
        <v>53</v>
      </c>
      <c r="G3420" s="11">
        <v>69</v>
      </c>
      <c r="H3420" s="11">
        <v>215</v>
      </c>
      <c r="I3420" s="11">
        <v>0</v>
      </c>
      <c r="J3420" s="11">
        <v>0</v>
      </c>
      <c r="K3420" s="11" t="s">
        <v>21</v>
      </c>
      <c r="L3420" s="7">
        <v>40844.564722222218</v>
      </c>
      <c r="M3420" s="12"/>
      <c r="N3420" s="12"/>
      <c r="O3420" s="10" t="str">
        <f>HYPERLINK("https://pbs.twimg.com/profile_images/1610421423/Image2_normal.jpg","View")</f>
        <v>View</v>
      </c>
      <c r="P3420" s="11"/>
    </row>
    <row r="3421" spans="1:16" ht="12.75" x14ac:dyDescent="0.35">
      <c r="A3421" s="7">
        <v>42482.717222222222</v>
      </c>
      <c r="B3421" s="8" t="str">
        <f>HYPERLINK("https://twitter.com/Volksstimme","@Volksstimme")</f>
        <v>@Volksstimme</v>
      </c>
      <c r="C3421" s="9" t="s">
        <v>8285</v>
      </c>
      <c r="D3421" s="9" t="s">
        <v>8286</v>
      </c>
      <c r="E3421" s="10" t="str">
        <f>HYPERLINK("https://twitter.com/Volksstimme/status/723477149823426560","723477149823426560")</f>
        <v>723477149823426560</v>
      </c>
      <c r="F3421" s="11" t="s">
        <v>63</v>
      </c>
      <c r="G3421" s="11">
        <v>8298</v>
      </c>
      <c r="H3421" s="11">
        <v>129</v>
      </c>
      <c r="I3421" s="11">
        <v>0</v>
      </c>
      <c r="J3421" s="11">
        <v>1</v>
      </c>
      <c r="K3421" s="11" t="s">
        <v>21</v>
      </c>
      <c r="L3421" s="7">
        <v>39843.853298611109</v>
      </c>
      <c r="M3421" s="12" t="s">
        <v>8287</v>
      </c>
      <c r="N3421" s="12" t="s">
        <v>8288</v>
      </c>
      <c r="O3421" s="10" t="str">
        <f>HYPERLINK("https://pbs.twimg.com/profile_images/670250613083611136/YU0_WEii_normal.png","View")</f>
        <v>View</v>
      </c>
      <c r="P3421" s="11"/>
    </row>
    <row r="3422" spans="1:16" ht="12.75" x14ac:dyDescent="0.35">
      <c r="A3422" s="7">
        <v>42482.717326388884</v>
      </c>
      <c r="B3422" s="8" t="str">
        <f>HYPERLINK("https://twitter.com/hydronavitas1","@hydronavitas1")</f>
        <v>@hydronavitas1</v>
      </c>
      <c r="C3422" s="9" t="s">
        <v>8289</v>
      </c>
      <c r="D3422" s="9" t="s">
        <v>8227</v>
      </c>
      <c r="E3422" s="10" t="str">
        <f>HYPERLINK("https://twitter.com/hydronavitas1/status/723477186368397312","723477186368397312")</f>
        <v>723477186368397312</v>
      </c>
      <c r="F3422" s="11" t="s">
        <v>20</v>
      </c>
      <c r="G3422" s="11">
        <v>87</v>
      </c>
      <c r="H3422" s="11">
        <v>456</v>
      </c>
      <c r="I3422" s="11">
        <v>2</v>
      </c>
      <c r="J3422" s="11">
        <v>0</v>
      </c>
      <c r="K3422" s="11" t="s">
        <v>21</v>
      </c>
      <c r="L3422" s="7">
        <v>41816.127488425926</v>
      </c>
      <c r="M3422" s="12" t="s">
        <v>8290</v>
      </c>
      <c r="N3422" s="12" t="s">
        <v>8291</v>
      </c>
      <c r="O3422" s="10" t="str">
        <f>HYPERLINK("https://pbs.twimg.com/profile_images/482299890509578240/8vKC9fS-_normal.jpeg","View")</f>
        <v>View</v>
      </c>
      <c r="P3422" s="11"/>
    </row>
    <row r="3423" spans="1:16" ht="12.75" x14ac:dyDescent="0.35">
      <c r="A3423" s="7">
        <v>42482.717638888891</v>
      </c>
      <c r="B3423" s="8" t="str">
        <f>HYPERLINK("https://twitter.com/JoachimHeck","@JoachimHeck")</f>
        <v>@JoachimHeck</v>
      </c>
      <c r="C3423" s="9" t="s">
        <v>6914</v>
      </c>
      <c r="D3423" s="9" t="s">
        <v>7794</v>
      </c>
      <c r="E3423" s="10" t="str">
        <f>HYPERLINK("https://twitter.com/JoachimHeck/status/723477300159909888","723477300159909888")</f>
        <v>723477300159909888</v>
      </c>
      <c r="F3423" s="11" t="s">
        <v>48</v>
      </c>
      <c r="G3423" s="11">
        <v>131</v>
      </c>
      <c r="H3423" s="11">
        <v>241</v>
      </c>
      <c r="I3423" s="11">
        <v>8</v>
      </c>
      <c r="J3423" s="11">
        <v>0</v>
      </c>
      <c r="K3423" s="11" t="s">
        <v>21</v>
      </c>
      <c r="L3423" s="7">
        <v>41544.596006944441</v>
      </c>
      <c r="M3423" s="12"/>
      <c r="N3423" s="12" t="s">
        <v>6916</v>
      </c>
      <c r="O3423" s="10" t="str">
        <f>HYPERLINK("https://pbs.twimg.com/profile_images/378800000566378572/084cb3103fd97db6ea2fcb90b2ea5dc7_normal.jpeg","View")</f>
        <v>View</v>
      </c>
      <c r="P3423" s="11"/>
    </row>
    <row r="3424" spans="1:16" ht="12.75" x14ac:dyDescent="0.35">
      <c r="A3424" s="7">
        <v>42482.717812499999</v>
      </c>
      <c r="B3424" s="8" t="str">
        <f>HYPERLINK("https://twitter.com/tageblatt_lu","@tageblatt_lu")</f>
        <v>@tageblatt_lu</v>
      </c>
      <c r="C3424" s="9" t="s">
        <v>8292</v>
      </c>
      <c r="D3424" s="9" t="s">
        <v>8293</v>
      </c>
      <c r="E3424" s="10" t="str">
        <f>HYPERLINK("https://twitter.com/tageblatt_lu/status/723477364731207680","723477364731207680")</f>
        <v>723477364731207680</v>
      </c>
      <c r="F3424" s="11" t="s">
        <v>43</v>
      </c>
      <c r="G3424" s="11">
        <v>5797</v>
      </c>
      <c r="H3424" s="11">
        <v>605</v>
      </c>
      <c r="I3424" s="11">
        <v>0</v>
      </c>
      <c r="J3424" s="11">
        <v>0</v>
      </c>
      <c r="K3424" s="11" t="s">
        <v>21</v>
      </c>
      <c r="L3424" s="7">
        <v>40340.073460648149</v>
      </c>
      <c r="M3424" s="12" t="s">
        <v>8294</v>
      </c>
      <c r="N3424" s="12" t="s">
        <v>8295</v>
      </c>
      <c r="O3424" s="10" t="str">
        <f>HYPERLINK("https://pbs.twimg.com/profile_images/525196810566905857/IqsZ5IFD_normal.jpeg","View")</f>
        <v>View</v>
      </c>
      <c r="P3424" s="11"/>
    </row>
    <row r="3425" spans="1:16" ht="12.75" x14ac:dyDescent="0.35">
      <c r="A3425" s="7">
        <v>42482.71811342593</v>
      </c>
      <c r="B3425" s="8" t="str">
        <f>HYPERLINK("https://twitter.com/ThielsChristian","@ThielsChristian")</f>
        <v>@ThielsChristian</v>
      </c>
      <c r="C3425" s="9" t="s">
        <v>8296</v>
      </c>
      <c r="D3425" s="9" t="s">
        <v>8273</v>
      </c>
      <c r="E3425" s="10" t="str">
        <f>HYPERLINK("https://twitter.com/ThielsChristian/status/723477472273149952","723477472273149952")</f>
        <v>723477472273149952</v>
      </c>
      <c r="F3425" s="11" t="s">
        <v>43</v>
      </c>
      <c r="G3425" s="11">
        <v>6929</v>
      </c>
      <c r="H3425" s="11">
        <v>2290</v>
      </c>
      <c r="I3425" s="11">
        <v>2</v>
      </c>
      <c r="J3425" s="11">
        <v>0</v>
      </c>
      <c r="K3425" s="11" t="s">
        <v>21</v>
      </c>
      <c r="L3425" s="7">
        <v>41239.031655092593</v>
      </c>
      <c r="M3425" s="12" t="s">
        <v>8297</v>
      </c>
      <c r="N3425" s="12" t="s">
        <v>8298</v>
      </c>
      <c r="O3425" s="10" t="str">
        <f>HYPERLINK("https://pbs.twimg.com/profile_images/378800000136827482/59b710cdb7e23283a3520e9867359b74_normal.jpeg","View")</f>
        <v>View</v>
      </c>
      <c r="P3425" s="11"/>
    </row>
    <row r="3426" spans="1:16" ht="12.75" x14ac:dyDescent="0.35">
      <c r="A3426" s="7">
        <v>42482.718587962961</v>
      </c>
      <c r="B3426" s="8" t="str">
        <f>HYPERLINK("https://twitter.com/AchillePrick","@AchillePrick")</f>
        <v>@AchillePrick</v>
      </c>
      <c r="C3426" s="9" t="s">
        <v>1213</v>
      </c>
      <c r="D3426" s="9" t="s">
        <v>8299</v>
      </c>
      <c r="E3426" s="10" t="str">
        <f>HYPERLINK("https://twitter.com/AchillePrick/status/723477643400605696","723477643400605696")</f>
        <v>723477643400605696</v>
      </c>
      <c r="F3426" s="11" t="s">
        <v>43</v>
      </c>
      <c r="G3426" s="11">
        <v>230</v>
      </c>
      <c r="H3426" s="11">
        <v>434</v>
      </c>
      <c r="I3426" s="11">
        <v>0</v>
      </c>
      <c r="J3426" s="11">
        <v>0</v>
      </c>
      <c r="K3426" s="11" t="s">
        <v>21</v>
      </c>
      <c r="L3426" s="7">
        <v>40014.013298611113</v>
      </c>
      <c r="M3426" s="12" t="s">
        <v>1215</v>
      </c>
      <c r="N3426" s="12" t="s">
        <v>1216</v>
      </c>
      <c r="O3426" s="10" t="str">
        <f>HYPERLINK("https://pbs.twimg.com/profile_images/630378503/AchilleNos_normal.jpg","View")</f>
        <v>View</v>
      </c>
      <c r="P3426" s="11"/>
    </row>
    <row r="3427" spans="1:16" ht="12.75" x14ac:dyDescent="0.35">
      <c r="A3427" s="7">
        <v>42482.718587962961</v>
      </c>
      <c r="B3427" s="8" t="str">
        <f>HYPERLINK("https://twitter.com/TaylorSolution1","@TaylorSolution1")</f>
        <v>@TaylorSolution1</v>
      </c>
      <c r="C3427" s="9" t="s">
        <v>8300</v>
      </c>
      <c r="D3427" s="9" t="s">
        <v>8301</v>
      </c>
      <c r="E3427" s="10" t="str">
        <f>HYPERLINK("https://twitter.com/TaylorSolution1/status/723477645216890880","723477645216890880")</f>
        <v>723477645216890880</v>
      </c>
      <c r="F3427" s="11" t="s">
        <v>20</v>
      </c>
      <c r="G3427" s="11">
        <v>30</v>
      </c>
      <c r="H3427" s="11">
        <v>155</v>
      </c>
      <c r="I3427" s="11">
        <v>0</v>
      </c>
      <c r="J3427" s="11">
        <v>0</v>
      </c>
      <c r="K3427" s="11" t="s">
        <v>21</v>
      </c>
      <c r="L3427" s="7">
        <v>42282.303935185184</v>
      </c>
      <c r="M3427" s="12"/>
      <c r="N3427" s="12" t="s">
        <v>8302</v>
      </c>
      <c r="O3427" s="10" t="str">
        <f>HYPERLINK("https://pbs.twimg.com/profile_images/651108553697181696/kr0acetE_normal.jpg","View")</f>
        <v>View</v>
      </c>
      <c r="P3427" s="11"/>
    </row>
    <row r="3428" spans="1:16" ht="12.75" x14ac:dyDescent="0.35">
      <c r="A3428" s="7">
        <v>42482.718773148154</v>
      </c>
      <c r="B3428" s="8" t="str">
        <f>HYPERLINK("https://twitter.com/JenniPii","@JenniPii")</f>
        <v>@JenniPii</v>
      </c>
      <c r="C3428" s="9" t="s">
        <v>8303</v>
      </c>
      <c r="D3428" s="9" t="s">
        <v>8304</v>
      </c>
      <c r="E3428" s="10" t="str">
        <f>HYPERLINK("https://twitter.com/JenniPii/status/723477710484439041","723477710484439041")</f>
        <v>723477710484439041</v>
      </c>
      <c r="F3428" s="11" t="s">
        <v>367</v>
      </c>
      <c r="G3428" s="11">
        <v>228</v>
      </c>
      <c r="H3428" s="11">
        <v>365</v>
      </c>
      <c r="I3428" s="11">
        <v>0</v>
      </c>
      <c r="J3428" s="11">
        <v>0</v>
      </c>
      <c r="K3428" s="11" t="s">
        <v>21</v>
      </c>
      <c r="L3428" s="7">
        <v>41527.974120370374</v>
      </c>
      <c r="M3428" s="12" t="s">
        <v>8305</v>
      </c>
      <c r="N3428" s="12" t="s">
        <v>8306</v>
      </c>
      <c r="O3428" s="10" t="str">
        <f>HYPERLINK("https://pbs.twimg.com/profile_images/722101790431260672/0vYDkuAk_normal.jpg","View")</f>
        <v>View</v>
      </c>
      <c r="P3428" s="11"/>
    </row>
    <row r="3429" spans="1:16" ht="12.75" x14ac:dyDescent="0.35">
      <c r="A3429" s="7">
        <v>42482.718935185185</v>
      </c>
      <c r="B3429" s="8" t="str">
        <f>HYPERLINK("https://twitter.com/StephanKrull","@StephanKrull")</f>
        <v>@StephanKrull</v>
      </c>
      <c r="C3429" s="9" t="s">
        <v>8307</v>
      </c>
      <c r="D3429" s="9" t="s">
        <v>8132</v>
      </c>
      <c r="E3429" s="10" t="str">
        <f>HYPERLINK("https://twitter.com/StephanKrull/status/723477769355689984","723477769355689984")</f>
        <v>723477769355689984</v>
      </c>
      <c r="F3429" s="11" t="s">
        <v>48</v>
      </c>
      <c r="G3429" s="11">
        <v>91</v>
      </c>
      <c r="H3429" s="11">
        <v>129</v>
      </c>
      <c r="I3429" s="11">
        <v>6</v>
      </c>
      <c r="J3429" s="11">
        <v>0</v>
      </c>
      <c r="K3429" s="11" t="s">
        <v>21</v>
      </c>
      <c r="L3429" s="7">
        <v>41721.974525462967</v>
      </c>
      <c r="M3429" s="12"/>
      <c r="N3429" s="12" t="s">
        <v>8308</v>
      </c>
      <c r="O3429" s="10" t="str">
        <f>HYPERLINK("https://pbs.twimg.com/profile_images/561650835038298112/jX4E_neH_normal.jpeg","View")</f>
        <v>View</v>
      </c>
      <c r="P3429" s="11"/>
    </row>
    <row r="3430" spans="1:16" ht="12.75" x14ac:dyDescent="0.35">
      <c r="A3430" s="7">
        <v>42482.718969907408</v>
      </c>
      <c r="B3430" s="8" t="str">
        <f>HYPERLINK("https://twitter.com/DubLuvTuning","@DubLuvTuning")</f>
        <v>@DubLuvTuning</v>
      </c>
      <c r="C3430" s="9" t="s">
        <v>299</v>
      </c>
      <c r="D3430" s="9" t="s">
        <v>8309</v>
      </c>
      <c r="E3430" s="10" t="str">
        <f>HYPERLINK("https://twitter.com/DubLuvTuning/status/723477781502406656","723477781502406656")</f>
        <v>723477781502406656</v>
      </c>
      <c r="F3430" s="11" t="s">
        <v>288</v>
      </c>
      <c r="G3430" s="11">
        <v>690</v>
      </c>
      <c r="H3430" s="11">
        <v>431</v>
      </c>
      <c r="I3430" s="11">
        <v>1</v>
      </c>
      <c r="J3430" s="11">
        <v>0</v>
      </c>
      <c r="K3430" s="11" t="s">
        <v>21</v>
      </c>
      <c r="L3430" s="7">
        <v>41549.898287037038</v>
      </c>
      <c r="M3430" s="12" t="s">
        <v>301</v>
      </c>
      <c r="N3430" s="12" t="s">
        <v>302</v>
      </c>
      <c r="O3430" s="10" t="str">
        <f>HYPERLINK("https://pbs.twimg.com/profile_images/378800000572104796/1de43e1cf23efb3f4101c02afad0d3b6_normal.png","View")</f>
        <v>View</v>
      </c>
      <c r="P3430" s="11"/>
    </row>
    <row r="3431" spans="1:16" ht="12.75" x14ac:dyDescent="0.35">
      <c r="A3431" s="7">
        <v>42482.7191087963</v>
      </c>
      <c r="B3431" s="8" t="str">
        <f>HYPERLINK("https://twitter.com/581eGliese","@581eGliese")</f>
        <v>@581eGliese</v>
      </c>
      <c r="C3431" s="9" t="s">
        <v>7793</v>
      </c>
      <c r="D3431" s="9" t="s">
        <v>8183</v>
      </c>
      <c r="E3431" s="10" t="str">
        <f>HYPERLINK("https://twitter.com/581eGliese/status/723477833344012288","723477833344012288")</f>
        <v>723477833344012288</v>
      </c>
      <c r="F3431" s="11" t="s">
        <v>43</v>
      </c>
      <c r="G3431" s="11">
        <v>54</v>
      </c>
      <c r="H3431" s="11">
        <v>279</v>
      </c>
      <c r="I3431" s="11">
        <v>3</v>
      </c>
      <c r="J3431" s="11">
        <v>0</v>
      </c>
      <c r="K3431" s="11" t="s">
        <v>21</v>
      </c>
      <c r="L3431" s="7">
        <v>41077.839166666665</v>
      </c>
      <c r="M3431" s="12" t="s">
        <v>1116</v>
      </c>
      <c r="N3431" s="12" t="s">
        <v>7795</v>
      </c>
      <c r="O3431" s="10" t="str">
        <f>HYPERLINK("https://pbs.twimg.com/profile_images/2316415935/pi_by_strenuus-d39pkb3_normal.jpg","View")</f>
        <v>View</v>
      </c>
      <c r="P3431" s="11"/>
    </row>
    <row r="3432" spans="1:16" ht="12.75" x14ac:dyDescent="0.35">
      <c r="A3432" s="7">
        <v>42482.719189814816</v>
      </c>
      <c r="B3432" s="8" t="str">
        <f>HYPERLINK("https://twitter.com/follow_eiver","@follow_eiver")</f>
        <v>@follow_eiver</v>
      </c>
      <c r="C3432" s="9" t="s">
        <v>8310</v>
      </c>
      <c r="D3432" s="9" t="s">
        <v>8311</v>
      </c>
      <c r="E3432" s="10" t="str">
        <f>HYPERLINK("https://twitter.com/follow_eiver/status/723477859881377792","723477859881377792")</f>
        <v>723477859881377792</v>
      </c>
      <c r="F3432" s="11" t="s">
        <v>8312</v>
      </c>
      <c r="G3432" s="11">
        <v>1609</v>
      </c>
      <c r="H3432" s="11">
        <v>1304</v>
      </c>
      <c r="I3432" s="11">
        <v>0</v>
      </c>
      <c r="J3432" s="11">
        <v>0</v>
      </c>
      <c r="K3432" s="11" t="s">
        <v>21</v>
      </c>
      <c r="L3432" s="7">
        <v>40845.684155092589</v>
      </c>
      <c r="M3432" s="12" t="s">
        <v>2263</v>
      </c>
      <c r="N3432" s="12" t="s">
        <v>8313</v>
      </c>
      <c r="O3432" s="10" t="str">
        <f>HYPERLINK("https://pbs.twimg.com/profile_images/378800000511154163/c20f2fe8ec84a2711f24b92162bbe1ec_normal.png","View")</f>
        <v>View</v>
      </c>
      <c r="P3432" s="11"/>
    </row>
    <row r="3433" spans="1:16" ht="12.75" x14ac:dyDescent="0.35">
      <c r="A3433" s="7">
        <v>42482.719351851847</v>
      </c>
      <c r="B3433" s="8" t="str">
        <f>HYPERLINK("https://twitter.com/BeetleJuiceltd","@BeetleJuiceltd")</f>
        <v>@BeetleJuiceltd</v>
      </c>
      <c r="C3433" s="9" t="s">
        <v>8314</v>
      </c>
      <c r="D3433" s="9" t="s">
        <v>8315</v>
      </c>
      <c r="E3433" s="10" t="str">
        <f>HYPERLINK("https://twitter.com/BeetleJuiceltd/status/723477920753291264","723477920753291264")</f>
        <v>723477920753291264</v>
      </c>
      <c r="F3433" s="11" t="s">
        <v>48</v>
      </c>
      <c r="G3433" s="11">
        <v>2338</v>
      </c>
      <c r="H3433" s="11">
        <v>2061</v>
      </c>
      <c r="I3433" s="11">
        <v>0</v>
      </c>
      <c r="J3433" s="11">
        <v>0</v>
      </c>
      <c r="K3433" s="11" t="s">
        <v>21</v>
      </c>
      <c r="L3433" s="7">
        <v>41045.029317129629</v>
      </c>
      <c r="M3433" s="12" t="s">
        <v>129</v>
      </c>
      <c r="N3433" s="12" t="s">
        <v>8316</v>
      </c>
      <c r="O3433" s="10" t="str">
        <f>HYPERLINK("https://pbs.twimg.com/profile_images/702826334402252800/Id134gom_normal.jpg","View")</f>
        <v>View</v>
      </c>
      <c r="P3433" s="11"/>
    </row>
    <row r="3434" spans="1:16" ht="12.75" x14ac:dyDescent="0.35">
      <c r="A3434" s="7">
        <v>42482.719398148147</v>
      </c>
      <c r="B3434" s="8" t="str">
        <f>HYPERLINK("https://twitter.com/hermibaby","@hermibaby")</f>
        <v>@hermibaby</v>
      </c>
      <c r="C3434" s="9" t="s">
        <v>8317</v>
      </c>
      <c r="D3434" s="9" t="s">
        <v>7428</v>
      </c>
      <c r="E3434" s="10" t="str">
        <f>HYPERLINK("https://twitter.com/hermibaby/status/723477939044663297","723477939044663297")</f>
        <v>723477939044663297</v>
      </c>
      <c r="F3434" s="11" t="s">
        <v>20</v>
      </c>
      <c r="G3434" s="11">
        <v>206</v>
      </c>
      <c r="H3434" s="11">
        <v>318</v>
      </c>
      <c r="I3434" s="11">
        <v>2</v>
      </c>
      <c r="J3434" s="11">
        <v>0</v>
      </c>
      <c r="K3434" s="11" t="s">
        <v>21</v>
      </c>
      <c r="L3434" s="7">
        <v>40602.319803240738</v>
      </c>
      <c r="M3434" s="12"/>
      <c r="N3434" s="12"/>
      <c r="O3434" s="10" t="str">
        <f>HYPERLINK("https://pbs.twimg.com/profile_images/3618259921/48305a260e78bcbdeb278bd35e5b34f6_normal.jpeg","View")</f>
        <v>View</v>
      </c>
      <c r="P3434" s="11"/>
    </row>
    <row r="3435" spans="1:16" ht="12.75" x14ac:dyDescent="0.35">
      <c r="A3435" s="7">
        <v>42482.720081018517</v>
      </c>
      <c r="B3435" s="8" t="str">
        <f>HYPERLINK("https://twitter.com/dw_business","@dw_business")</f>
        <v>@dw_business</v>
      </c>
      <c r="C3435" s="9" t="s">
        <v>3512</v>
      </c>
      <c r="D3435" s="9" t="s">
        <v>8318</v>
      </c>
      <c r="E3435" s="10" t="str">
        <f>HYPERLINK("https://twitter.com/dw_business/status/723478185262895104","723478185262895104")</f>
        <v>723478185262895104</v>
      </c>
      <c r="F3435" s="11" t="s">
        <v>43</v>
      </c>
      <c r="G3435" s="11">
        <v>6218</v>
      </c>
      <c r="H3435" s="11">
        <v>250</v>
      </c>
      <c r="I3435" s="11">
        <v>1</v>
      </c>
      <c r="J3435" s="11">
        <v>0</v>
      </c>
      <c r="K3435" s="11" t="s">
        <v>21</v>
      </c>
      <c r="L3435" s="7">
        <v>39919.595196759255</v>
      </c>
      <c r="M3435" s="12" t="s">
        <v>1303</v>
      </c>
      <c r="N3435" s="12" t="s">
        <v>3514</v>
      </c>
      <c r="O3435" s="10" t="str">
        <f>HYPERLINK("https://pbs.twimg.com/profile_images/474178130312044544/-U2TP65D_normal.png","View")</f>
        <v>View</v>
      </c>
      <c r="P3435" s="11"/>
    </row>
    <row r="3436" spans="1:16" ht="12.75" x14ac:dyDescent="0.35">
      <c r="A3436" s="7">
        <v>42482.720601851848</v>
      </c>
      <c r="B3436" s="8" t="str">
        <f>HYPERLINK("https://twitter.com/MarcelSigner","@MarcelSigner")</f>
        <v>@MarcelSigner</v>
      </c>
      <c r="C3436" s="9" t="s">
        <v>8319</v>
      </c>
      <c r="D3436" s="9" t="s">
        <v>8320</v>
      </c>
      <c r="E3436" s="10" t="str">
        <f>HYPERLINK("https://twitter.com/MarcelSigner/status/723478372597260288","723478372597260288")</f>
        <v>723478372597260288</v>
      </c>
      <c r="F3436" s="11" t="s">
        <v>48</v>
      </c>
      <c r="G3436" s="11">
        <v>819</v>
      </c>
      <c r="H3436" s="11">
        <v>1394</v>
      </c>
      <c r="I3436" s="11">
        <v>0</v>
      </c>
      <c r="J3436" s="11">
        <v>0</v>
      </c>
      <c r="K3436" s="11" t="s">
        <v>21</v>
      </c>
      <c r="L3436" s="7">
        <v>41419.674849537041</v>
      </c>
      <c r="M3436" s="12" t="s">
        <v>8321</v>
      </c>
      <c r="N3436" s="12" t="s">
        <v>8322</v>
      </c>
      <c r="O3436" s="10" t="str">
        <f>HYPERLINK("https://pbs.twimg.com/profile_images/618543469875740672/9UTnmeyy_normal.png","View")</f>
        <v>View</v>
      </c>
      <c r="P3436" s="11"/>
    </row>
    <row r="3437" spans="1:16" ht="12.75" x14ac:dyDescent="0.35">
      <c r="A3437" s="7">
        <v>42482.721863425926</v>
      </c>
      <c r="B3437" s="8" t="str">
        <f>HYPERLINK("https://twitter.com/Marchfelderin","@Marchfelderin")</f>
        <v>@Marchfelderin</v>
      </c>
      <c r="C3437" s="9" t="s">
        <v>8323</v>
      </c>
      <c r="D3437" s="9" t="s">
        <v>8324</v>
      </c>
      <c r="E3437" s="10" t="str">
        <f>HYPERLINK("https://twitter.com/Marchfelderin/status/723478832867643396","723478832867643396")</f>
        <v>723478832867643396</v>
      </c>
      <c r="F3437" s="11" t="s">
        <v>20</v>
      </c>
      <c r="G3437" s="11">
        <v>243</v>
      </c>
      <c r="H3437" s="11">
        <v>387</v>
      </c>
      <c r="I3437" s="11">
        <v>0</v>
      </c>
      <c r="J3437" s="11">
        <v>0</v>
      </c>
      <c r="K3437" s="11" t="s">
        <v>21</v>
      </c>
      <c r="L3437" s="7">
        <v>42180.094490740739</v>
      </c>
      <c r="M3437" s="12" t="s">
        <v>8325</v>
      </c>
      <c r="N3437" s="12" t="s">
        <v>8326</v>
      </c>
      <c r="O3437" s="10" t="str">
        <f>HYPERLINK("https://pbs.twimg.com/profile_images/613817532944920576/HqzDszeo_normal.jpg","View")</f>
        <v>View</v>
      </c>
      <c r="P3437" s="11"/>
    </row>
    <row r="3438" spans="1:16" ht="12.75" x14ac:dyDescent="0.35">
      <c r="A3438" s="7">
        <v>42482.722118055557</v>
      </c>
      <c r="B3438" s="8" t="str">
        <f>HYPERLINK("https://twitter.com/Funny1963","@Funny1963")</f>
        <v>@Funny1963</v>
      </c>
      <c r="C3438" s="9" t="s">
        <v>8327</v>
      </c>
      <c r="D3438" s="9" t="s">
        <v>7189</v>
      </c>
      <c r="E3438" s="10" t="str">
        <f>HYPERLINK("https://twitter.com/Funny1963/status/723478924349583360","723478924349583360")</f>
        <v>723478924349583360</v>
      </c>
      <c r="F3438" s="11" t="s">
        <v>43</v>
      </c>
      <c r="G3438" s="11">
        <v>2408</v>
      </c>
      <c r="H3438" s="11">
        <v>2237</v>
      </c>
      <c r="I3438" s="11">
        <v>11</v>
      </c>
      <c r="J3438" s="11">
        <v>0</v>
      </c>
      <c r="K3438" s="11" t="s">
        <v>21</v>
      </c>
      <c r="L3438" s="7">
        <v>40398.822060185186</v>
      </c>
      <c r="M3438" s="12" t="s">
        <v>1116</v>
      </c>
      <c r="N3438" s="12" t="s">
        <v>8328</v>
      </c>
      <c r="O3438" s="10" t="str">
        <f>HYPERLINK("https://pbs.twimg.com/profile_images/378800000005686243/d22cadfc7d41252b5c97a7350c90153d_normal.jpeg","View")</f>
        <v>View</v>
      </c>
      <c r="P3438" s="11"/>
    </row>
    <row r="3439" spans="1:16" ht="12.75" x14ac:dyDescent="0.35">
      <c r="A3439" s="7">
        <v>42482.722222222219</v>
      </c>
      <c r="B3439" s="8" t="str">
        <f>HYPERLINK("https://twitter.com/NetzwerkggS21","@NetzwerkggS21")</f>
        <v>@NetzwerkggS21</v>
      </c>
      <c r="C3439" s="9" t="s">
        <v>2359</v>
      </c>
      <c r="D3439" s="9" t="s">
        <v>4701</v>
      </c>
      <c r="E3439" s="10" t="str">
        <f>HYPERLINK("https://twitter.com/NetzwerkggS21/status/723478959913054208","723478959913054208")</f>
        <v>723478959913054208</v>
      </c>
      <c r="F3439" s="11" t="s">
        <v>43</v>
      </c>
      <c r="G3439" s="11">
        <v>853</v>
      </c>
      <c r="H3439" s="11">
        <v>2109</v>
      </c>
      <c r="I3439" s="11">
        <v>3</v>
      </c>
      <c r="J3439" s="11">
        <v>0</v>
      </c>
      <c r="K3439" s="11" t="s">
        <v>21</v>
      </c>
      <c r="L3439" s="7">
        <v>41326.709363425922</v>
      </c>
      <c r="M3439" s="13" t="s">
        <v>2361</v>
      </c>
      <c r="N3439" s="12" t="s">
        <v>2362</v>
      </c>
      <c r="O3439" s="10" t="str">
        <f>HYPERLINK("https://pbs.twimg.com/profile_images/378800000528765970/3ab9f2a00010e9cac08d5ca1638926e9_normal.png","View")</f>
        <v>View</v>
      </c>
      <c r="P3439" s="11"/>
    </row>
    <row r="3440" spans="1:16" ht="12.75" x14ac:dyDescent="0.35">
      <c r="A3440" s="7">
        <v>42482.722314814819</v>
      </c>
      <c r="B3440" s="8" t="str">
        <f>HYPERLINK("https://twitter.com/AbbeyLeasing","@AbbeyLeasing")</f>
        <v>@AbbeyLeasing</v>
      </c>
      <c r="C3440" s="9" t="s">
        <v>8251</v>
      </c>
      <c r="D3440" s="9" t="s">
        <v>8329</v>
      </c>
      <c r="E3440" s="10" t="str">
        <f>HYPERLINK("https://twitter.com/AbbeyLeasing/status/723478995891830786","723478995891830786")</f>
        <v>723478995891830786</v>
      </c>
      <c r="F3440" s="11" t="s">
        <v>43</v>
      </c>
      <c r="G3440" s="11">
        <v>757</v>
      </c>
      <c r="H3440" s="11">
        <v>729</v>
      </c>
      <c r="I3440" s="11">
        <v>0</v>
      </c>
      <c r="J3440" s="11">
        <v>0</v>
      </c>
      <c r="K3440" s="11" t="s">
        <v>21</v>
      </c>
      <c r="L3440" s="7">
        <v>42271.823101851856</v>
      </c>
      <c r="M3440" s="12" t="s">
        <v>1144</v>
      </c>
      <c r="N3440" s="12" t="s">
        <v>8253</v>
      </c>
      <c r="O3440" s="10" t="str">
        <f>HYPERLINK("https://pbs.twimg.com/profile_images/647052084446150656/1FTvGXVr_normal.png","View")</f>
        <v>View</v>
      </c>
      <c r="P3440" s="11"/>
    </row>
    <row r="3441" spans="1:16" ht="12.75" x14ac:dyDescent="0.35">
      <c r="A3441" s="7">
        <v>42482.72320601852</v>
      </c>
      <c r="B3441" s="8" t="str">
        <f>HYPERLINK("https://twitter.com/TEXTCOM","@TEXTCOM")</f>
        <v>@TEXTCOM</v>
      </c>
      <c r="C3441" s="9" t="s">
        <v>8330</v>
      </c>
      <c r="D3441" s="9" t="s">
        <v>8331</v>
      </c>
      <c r="E3441" s="10" t="str">
        <f>HYPERLINK("https://twitter.com/TEXTCOM/status/723479316424736768","723479316424736768")</f>
        <v>723479316424736768</v>
      </c>
      <c r="F3441" s="11" t="s">
        <v>43</v>
      </c>
      <c r="G3441" s="11">
        <v>284</v>
      </c>
      <c r="H3441" s="11">
        <v>1250</v>
      </c>
      <c r="I3441" s="11">
        <v>0</v>
      </c>
      <c r="J3441" s="11">
        <v>0</v>
      </c>
      <c r="K3441" s="11" t="s">
        <v>21</v>
      </c>
      <c r="L3441" s="7">
        <v>40585.769097222219</v>
      </c>
      <c r="M3441" s="12" t="s">
        <v>8332</v>
      </c>
      <c r="N3441" s="12" t="s">
        <v>8333</v>
      </c>
      <c r="O3441" s="10" t="str">
        <f>HYPERLINK("https://pbs.twimg.com/profile_images/459302295390273538/5vy-rFJ6_normal.jpeg","View")</f>
        <v>View</v>
      </c>
      <c r="P3441" s="11"/>
    </row>
    <row r="3442" spans="1:16" ht="12.75" x14ac:dyDescent="0.35">
      <c r="A3442" s="7">
        <v>42482.723252314812</v>
      </c>
      <c r="B3442" s="8" t="str">
        <f>HYPERLINK("https://twitter.com/AbbeyLeasing","@AbbeyLeasing")</f>
        <v>@AbbeyLeasing</v>
      </c>
      <c r="C3442" s="9" t="s">
        <v>8251</v>
      </c>
      <c r="D3442" s="9" t="s">
        <v>8334</v>
      </c>
      <c r="E3442" s="10" t="str">
        <f>HYPERLINK("https://twitter.com/AbbeyLeasing/status/723479335978545152","723479335978545152")</f>
        <v>723479335978545152</v>
      </c>
      <c r="F3442" s="11" t="s">
        <v>43</v>
      </c>
      <c r="G3442" s="11">
        <v>757</v>
      </c>
      <c r="H3442" s="11">
        <v>729</v>
      </c>
      <c r="I3442" s="11">
        <v>0</v>
      </c>
      <c r="J3442" s="11">
        <v>1</v>
      </c>
      <c r="K3442" s="11" t="s">
        <v>21</v>
      </c>
      <c r="L3442" s="7">
        <v>42271.823101851856</v>
      </c>
      <c r="M3442" s="12" t="s">
        <v>1144</v>
      </c>
      <c r="N3442" s="12" t="s">
        <v>8253</v>
      </c>
      <c r="O3442" s="10" t="str">
        <f>HYPERLINK("https://pbs.twimg.com/profile_images/647052084446150656/1FTvGXVr_normal.png","View")</f>
        <v>View</v>
      </c>
      <c r="P3442" s="11"/>
    </row>
    <row r="3443" spans="1:16" ht="12.75" x14ac:dyDescent="0.35">
      <c r="A3443" s="7">
        <v>42482.723298611112</v>
      </c>
      <c r="B3443" s="8" t="str">
        <f>HYPERLINK("https://twitter.com/VWCamperSales","@VWCamperSales")</f>
        <v>@VWCamperSales</v>
      </c>
      <c r="C3443" s="9" t="s">
        <v>216</v>
      </c>
      <c r="D3443" s="9" t="s">
        <v>8335</v>
      </c>
      <c r="E3443" s="10" t="str">
        <f>HYPERLINK("https://twitter.com/VWCamperSales/status/723479352730509312","723479352730509312")</f>
        <v>723479352730509312</v>
      </c>
      <c r="F3443" s="10" t="s">
        <v>124</v>
      </c>
      <c r="G3443" s="11">
        <v>616</v>
      </c>
      <c r="H3443" s="11">
        <v>580</v>
      </c>
      <c r="I3443" s="11">
        <v>0</v>
      </c>
      <c r="J3443" s="11">
        <v>0</v>
      </c>
      <c r="K3443" s="11" t="s">
        <v>21</v>
      </c>
      <c r="L3443" s="7">
        <v>42215.98809027778</v>
      </c>
      <c r="M3443" s="12" t="s">
        <v>129</v>
      </c>
      <c r="N3443" s="12" t="s">
        <v>218</v>
      </c>
      <c r="O3443" s="10" t="str">
        <f>HYPERLINK("https://pbs.twimg.com/profile_images/627949001179037696/skEBkS05_normal.jpg","View")</f>
        <v>View</v>
      </c>
      <c r="P3443" s="11"/>
    </row>
    <row r="3444" spans="1:16" ht="12.75" x14ac:dyDescent="0.35">
      <c r="A3444" s="7">
        <v>42482.723807870367</v>
      </c>
      <c r="B3444" s="8" t="str">
        <f t="shared" ref="B3444:B3445" si="330">HYPERLINK("https://twitter.com/irenesconcierge","@irenesconcierge")</f>
        <v>@irenesconcierge</v>
      </c>
      <c r="C3444" s="9" t="s">
        <v>8042</v>
      </c>
      <c r="D3444" s="9" t="s">
        <v>8336</v>
      </c>
      <c r="E3444" s="10" t="str">
        <f>HYPERLINK("https://twitter.com/irenesconcierge/status/723479537363869697","723479537363869697")</f>
        <v>723479537363869697</v>
      </c>
      <c r="F3444" s="11" t="s">
        <v>48</v>
      </c>
      <c r="G3444" s="11">
        <v>2503</v>
      </c>
      <c r="H3444" s="11">
        <v>1927</v>
      </c>
      <c r="I3444" s="11">
        <v>1</v>
      </c>
      <c r="J3444" s="11">
        <v>0</v>
      </c>
      <c r="K3444" s="11" t="s">
        <v>21</v>
      </c>
      <c r="L3444" s="7">
        <v>40574.226099537038</v>
      </c>
      <c r="M3444" s="12" t="s">
        <v>2383</v>
      </c>
      <c r="N3444" s="12" t="s">
        <v>8044</v>
      </c>
      <c r="O3444" s="10" t="str">
        <f t="shared" ref="O3444:O3445" si="331">HYPERLINK("https://pbs.twimg.com/profile_images/722312123116888064/DwxBRfoE_normal.jpg","View")</f>
        <v>View</v>
      </c>
      <c r="P3444" s="11"/>
    </row>
    <row r="3445" spans="1:16" ht="12.75" x14ac:dyDescent="0.35">
      <c r="A3445" s="7">
        <v>42482.72388888889</v>
      </c>
      <c r="B3445" s="8" t="str">
        <f t="shared" si="330"/>
        <v>@irenesconcierge</v>
      </c>
      <c r="C3445" s="9" t="s">
        <v>8042</v>
      </c>
      <c r="D3445" s="9" t="s">
        <v>8337</v>
      </c>
      <c r="E3445" s="10" t="str">
        <f>HYPERLINK("https://twitter.com/irenesconcierge/status/723479562806538240","723479562806538240")</f>
        <v>723479562806538240</v>
      </c>
      <c r="F3445" s="11" t="s">
        <v>48</v>
      </c>
      <c r="G3445" s="11">
        <v>2503</v>
      </c>
      <c r="H3445" s="11">
        <v>1927</v>
      </c>
      <c r="I3445" s="11">
        <v>1</v>
      </c>
      <c r="J3445" s="11">
        <v>0</v>
      </c>
      <c r="K3445" s="11" t="s">
        <v>21</v>
      </c>
      <c r="L3445" s="7">
        <v>40574.226099537038</v>
      </c>
      <c r="M3445" s="12" t="s">
        <v>2383</v>
      </c>
      <c r="N3445" s="12" t="s">
        <v>8044</v>
      </c>
      <c r="O3445" s="10" t="str">
        <f t="shared" si="331"/>
        <v>View</v>
      </c>
      <c r="P3445" s="11"/>
    </row>
    <row r="3446" spans="1:16" ht="12.75" x14ac:dyDescent="0.35">
      <c r="A3446" s="7">
        <v>42482.723993055552</v>
      </c>
      <c r="B3446" s="8" t="str">
        <f>HYPERLINK("https://twitter.com/BasraSatvinder","@BasraSatvinder")</f>
        <v>@BasraSatvinder</v>
      </c>
      <c r="C3446" s="9" t="s">
        <v>8338</v>
      </c>
      <c r="D3446" s="9" t="s">
        <v>8339</v>
      </c>
      <c r="E3446" s="10" t="str">
        <f>HYPERLINK("https://twitter.com/BasraSatvinder/status/723479602778259459","723479602778259459")</f>
        <v>723479602778259459</v>
      </c>
      <c r="F3446" s="11" t="s">
        <v>48</v>
      </c>
      <c r="G3446" s="11">
        <v>24</v>
      </c>
      <c r="H3446" s="11">
        <v>49</v>
      </c>
      <c r="I3446" s="11">
        <v>0</v>
      </c>
      <c r="J3446" s="11">
        <v>0</v>
      </c>
      <c r="K3446" s="11" t="s">
        <v>21</v>
      </c>
      <c r="L3446" s="7">
        <v>41847.085775462961</v>
      </c>
      <c r="M3446" s="12"/>
      <c r="N3446" s="12"/>
      <c r="O3446" s="10" t="str">
        <f>HYPERLINK("https://abs.twimg.com/sticky/default_profile_images/default_profile_1_normal.png","View")</f>
        <v>View</v>
      </c>
      <c r="P3446" s="11"/>
    </row>
    <row r="3447" spans="1:16" ht="12.75" x14ac:dyDescent="0.35">
      <c r="A3447" s="7">
        <v>42482.724537037036</v>
      </c>
      <c r="B3447" s="8" t="str">
        <f>HYPERLINK("https://twitter.com/DjUenal61","@DjUenal61")</f>
        <v>@DjUenal61</v>
      </c>
      <c r="C3447" s="9" t="s">
        <v>8340</v>
      </c>
      <c r="D3447" s="9" t="s">
        <v>8341</v>
      </c>
      <c r="E3447" s="10" t="str">
        <f>HYPERLINK("https://twitter.com/DjUenal61/status/723479799604383745","723479799604383745")</f>
        <v>723479799604383745</v>
      </c>
      <c r="F3447" s="11" t="s">
        <v>114</v>
      </c>
      <c r="G3447" s="11">
        <v>242</v>
      </c>
      <c r="H3447" s="11">
        <v>165</v>
      </c>
      <c r="I3447" s="11">
        <v>0</v>
      </c>
      <c r="J3447" s="11">
        <v>0</v>
      </c>
      <c r="K3447" s="11" t="s">
        <v>21</v>
      </c>
      <c r="L3447" s="7">
        <v>41020.479803240742</v>
      </c>
      <c r="M3447" s="12" t="s">
        <v>8342</v>
      </c>
      <c r="N3447" s="12" t="s">
        <v>8343</v>
      </c>
      <c r="O3447" s="10" t="str">
        <f>HYPERLINK("https://pbs.twimg.com/profile_images/719990440708173824/OLxVFpIZ_normal.jpg","View")</f>
        <v>View</v>
      </c>
      <c r="P3447" s="11"/>
    </row>
    <row r="3448" spans="1:16" ht="12.75" x14ac:dyDescent="0.35">
      <c r="A3448" s="7">
        <v>42482.724722222221</v>
      </c>
      <c r="B3448" s="8" t="str">
        <f>HYPERLINK("https://twitter.com/borsakahini","@borsakahini")</f>
        <v>@borsakahini</v>
      </c>
      <c r="C3448" s="9" t="s">
        <v>4140</v>
      </c>
      <c r="D3448" s="9" t="s">
        <v>8344</v>
      </c>
      <c r="E3448" s="10" t="str">
        <f>HYPERLINK("https://twitter.com/borsakahini/status/723479865870049280","723479865870049280")</f>
        <v>723479865870049280</v>
      </c>
      <c r="F3448" s="11" t="s">
        <v>43</v>
      </c>
      <c r="G3448" s="11">
        <v>11989</v>
      </c>
      <c r="H3448" s="11">
        <v>270</v>
      </c>
      <c r="I3448" s="11">
        <v>0</v>
      </c>
      <c r="J3448" s="11">
        <v>1</v>
      </c>
      <c r="K3448" s="11" t="s">
        <v>21</v>
      </c>
      <c r="L3448" s="7">
        <v>40222.843298611115</v>
      </c>
      <c r="M3448" s="12" t="s">
        <v>4142</v>
      </c>
      <c r="N3448" s="12" t="s">
        <v>4143</v>
      </c>
      <c r="O3448" s="10" t="str">
        <f>HYPERLINK("https://pbs.twimg.com/profile_images/709353547398303744/t3Y8Osnt_normal.jpg","View")</f>
        <v>View</v>
      </c>
      <c r="P3448" s="11"/>
    </row>
    <row r="3449" spans="1:16" ht="12.75" x14ac:dyDescent="0.35">
      <c r="A3449" s="7">
        <v>42482.72483796296</v>
      </c>
      <c r="B3449" s="8" t="str">
        <f>HYPERLINK("https://twitter.com/Ruymi","@Ruymi")</f>
        <v>@Ruymi</v>
      </c>
      <c r="C3449" s="9" t="s">
        <v>8345</v>
      </c>
      <c r="D3449" s="9" t="s">
        <v>8346</v>
      </c>
      <c r="E3449" s="10" t="str">
        <f>HYPERLINK("https://twitter.com/Ruymi/status/723479908073254917","723479908073254917")</f>
        <v>723479908073254917</v>
      </c>
      <c r="F3449" s="11" t="s">
        <v>48</v>
      </c>
      <c r="G3449" s="11">
        <v>54</v>
      </c>
      <c r="H3449" s="11">
        <v>105</v>
      </c>
      <c r="I3449" s="11">
        <v>1</v>
      </c>
      <c r="J3449" s="11">
        <v>0</v>
      </c>
      <c r="K3449" s="11" t="s">
        <v>21</v>
      </c>
      <c r="L3449" s="7">
        <v>40306.77920138889</v>
      </c>
      <c r="M3449" s="12" t="s">
        <v>8347</v>
      </c>
      <c r="N3449" s="12" t="s">
        <v>8348</v>
      </c>
      <c r="O3449" s="10" t="str">
        <f>HYPERLINK("https://pbs.twimg.com/profile_images/1535569331/IMG00632-20100815-1648_normal.jpg","View")</f>
        <v>View</v>
      </c>
      <c r="P3449" s="11"/>
    </row>
    <row r="3450" spans="1:16" ht="12.75" x14ac:dyDescent="0.35">
      <c r="A3450" s="7">
        <v>42482.724953703699</v>
      </c>
      <c r="B3450" s="8" t="str">
        <f>HYPERLINK("https://twitter.com/brummopa","@brummopa")</f>
        <v>@brummopa</v>
      </c>
      <c r="C3450" s="9" t="s">
        <v>8349</v>
      </c>
      <c r="D3450" s="9" t="s">
        <v>8350</v>
      </c>
      <c r="E3450" s="10" t="str">
        <f>HYPERLINK("https://twitter.com/brummopa/status/723479951752724480","723479951752724480")</f>
        <v>723479951752724480</v>
      </c>
      <c r="F3450" s="11" t="s">
        <v>43</v>
      </c>
      <c r="G3450" s="11">
        <v>6</v>
      </c>
      <c r="H3450" s="11">
        <v>7</v>
      </c>
      <c r="I3450" s="11">
        <v>0</v>
      </c>
      <c r="J3450" s="11">
        <v>0</v>
      </c>
      <c r="K3450" s="11" t="s">
        <v>21</v>
      </c>
      <c r="L3450" s="7">
        <v>39976.597395833334</v>
      </c>
      <c r="M3450" s="12"/>
      <c r="N3450" s="12"/>
      <c r="O3450" s="10" t="str">
        <f>HYPERLINK("https://pbs.twimg.com/profile_images/712961439523291136/iwOS41Cs_normal.jpg","View")</f>
        <v>View</v>
      </c>
      <c r="P3450" s="11"/>
    </row>
    <row r="3451" spans="1:16" ht="12.75" x14ac:dyDescent="0.35">
      <c r="A3451" s="7">
        <v>42482.724999999999</v>
      </c>
      <c r="B3451" s="8" t="str">
        <f>HYPERLINK("https://twitter.com/KathrinCalabro","@KathrinCalabro")</f>
        <v>@KathrinCalabro</v>
      </c>
      <c r="C3451" s="9" t="s">
        <v>8351</v>
      </c>
      <c r="D3451" s="9" t="s">
        <v>8352</v>
      </c>
      <c r="E3451" s="10" t="str">
        <f>HYPERLINK("https://twitter.com/KathrinCalabro/status/723479969310097408","723479969310097408")</f>
        <v>723479969310097408</v>
      </c>
      <c r="F3451" s="11" t="s">
        <v>48</v>
      </c>
      <c r="G3451" s="11">
        <v>15</v>
      </c>
      <c r="H3451" s="11">
        <v>22</v>
      </c>
      <c r="I3451" s="11">
        <v>0</v>
      </c>
      <c r="J3451" s="11">
        <v>2</v>
      </c>
      <c r="K3451" s="11" t="s">
        <v>21</v>
      </c>
      <c r="L3451" s="7">
        <v>40329.011145833334</v>
      </c>
      <c r="M3451" s="12" t="s">
        <v>8353</v>
      </c>
      <c r="N3451" s="12" t="s">
        <v>8354</v>
      </c>
      <c r="O3451" s="10" t="str">
        <f>HYPERLINK("https://pbs.twimg.com/profile_images/715932303642509312/C27itbCf_normal.jpg","View")</f>
        <v>View</v>
      </c>
      <c r="P3451" s="11"/>
    </row>
    <row r="3452" spans="1:16" ht="12.75" x14ac:dyDescent="0.35">
      <c r="A3452" s="7">
        <v>42482.725405092591</v>
      </c>
      <c r="B3452" s="8" t="str">
        <f>HYPERLINK("https://twitter.com/Carolaayn212","@Carolaayn212")</f>
        <v>@Carolaayn212</v>
      </c>
      <c r="C3452" s="9" t="s">
        <v>8355</v>
      </c>
      <c r="D3452" s="9" t="s">
        <v>8356</v>
      </c>
      <c r="E3452" s="10" t="str">
        <f>HYPERLINK("https://twitter.com/Carolaayn212/status/723480114915368960","723480114915368960")</f>
        <v>723480114915368960</v>
      </c>
      <c r="F3452" s="11" t="s">
        <v>48</v>
      </c>
      <c r="G3452" s="11">
        <v>528</v>
      </c>
      <c r="H3452" s="11">
        <v>697</v>
      </c>
      <c r="I3452" s="11">
        <v>1</v>
      </c>
      <c r="J3452" s="11">
        <v>0</v>
      </c>
      <c r="K3452" s="11" t="s">
        <v>21</v>
      </c>
      <c r="L3452" s="7">
        <v>40200.114444444444</v>
      </c>
      <c r="M3452" s="12" t="s">
        <v>8357</v>
      </c>
      <c r="N3452" s="12" t="s">
        <v>8358</v>
      </c>
      <c r="O3452" s="10" t="str">
        <f>HYPERLINK("https://pbs.twimg.com/profile_images/714318878332030976/KvGI7HF9_normal.jpg","View")</f>
        <v>View</v>
      </c>
      <c r="P3452" s="11"/>
    </row>
    <row r="3453" spans="1:16" ht="12.75" x14ac:dyDescent="0.35">
      <c r="A3453" s="7">
        <v>42482.726157407407</v>
      </c>
      <c r="B3453" s="8" t="str">
        <f>HYPERLINK("https://twitter.com/Houndsandpeople","@Houndsandpeople")</f>
        <v>@Houndsandpeople</v>
      </c>
      <c r="C3453" s="9" t="s">
        <v>8359</v>
      </c>
      <c r="D3453" s="9" t="s">
        <v>8360</v>
      </c>
      <c r="E3453" s="10" t="str">
        <f>HYPERLINK("https://twitter.com/Houndsandpeople/status/723480388203470848","723480388203470848")</f>
        <v>723480388203470848</v>
      </c>
      <c r="F3453" s="11" t="s">
        <v>53</v>
      </c>
      <c r="G3453" s="11">
        <v>66</v>
      </c>
      <c r="H3453" s="11">
        <v>93</v>
      </c>
      <c r="I3453" s="11">
        <v>0</v>
      </c>
      <c r="J3453" s="11">
        <v>0</v>
      </c>
      <c r="K3453" s="11" t="s">
        <v>21</v>
      </c>
      <c r="L3453" s="7">
        <v>40202.219675925924</v>
      </c>
      <c r="M3453" s="12" t="s">
        <v>1931</v>
      </c>
      <c r="N3453" s="12"/>
      <c r="O3453" s="10" t="str">
        <f>HYPERLINK("https://pbs.twimg.com/profile_images/477119238809743360/lPTKpsdU_normal.jpeg","View")</f>
        <v>View</v>
      </c>
      <c r="P3453" s="11"/>
    </row>
    <row r="3454" spans="1:16" ht="12.75" x14ac:dyDescent="0.35">
      <c r="A3454" s="7">
        <v>42482.726493055554</v>
      </c>
      <c r="B3454" s="8" t="str">
        <f>HYPERLINK("https://twitter.com/heiseautos","@heiseautos")</f>
        <v>@heiseautos</v>
      </c>
      <c r="C3454" s="9" t="s">
        <v>8361</v>
      </c>
      <c r="D3454" s="9" t="s">
        <v>8362</v>
      </c>
      <c r="E3454" s="10" t="str">
        <f>HYPERLINK("https://twitter.com/heiseautos/status/723480508391391233","723480508391391233")</f>
        <v>723480508391391233</v>
      </c>
      <c r="F3454" s="11" t="s">
        <v>8363</v>
      </c>
      <c r="G3454" s="11">
        <v>2827</v>
      </c>
      <c r="H3454" s="11">
        <v>23</v>
      </c>
      <c r="I3454" s="11">
        <v>0</v>
      </c>
      <c r="J3454" s="11">
        <v>0</v>
      </c>
      <c r="K3454" s="11" t="s">
        <v>21</v>
      </c>
      <c r="L3454" s="7">
        <v>41283.797905092593</v>
      </c>
      <c r="M3454" s="12" t="s">
        <v>8364</v>
      </c>
      <c r="N3454" s="12" t="s">
        <v>8365</v>
      </c>
      <c r="O3454" s="10" t="str">
        <f>HYPERLINK("https://pbs.twimg.com/profile_images/3148361918/04646b66061f733189147ae9618719ac_normal.png","View")</f>
        <v>View</v>
      </c>
      <c r="P3454" s="11"/>
    </row>
    <row r="3455" spans="1:16" ht="12.75" x14ac:dyDescent="0.35">
      <c r="A3455" s="7">
        <v>42482.72657407407</v>
      </c>
      <c r="B3455" s="8" t="str">
        <f>HYPERLINK("https://twitter.com/ashmatee","@ashmatee")</f>
        <v>@ashmatee</v>
      </c>
      <c r="C3455" s="9" t="s">
        <v>8366</v>
      </c>
      <c r="D3455" s="9" t="s">
        <v>8227</v>
      </c>
      <c r="E3455" s="10" t="str">
        <f>HYPERLINK("https://twitter.com/ashmatee/status/723480539848683525","723480539848683525")</f>
        <v>723480539848683525</v>
      </c>
      <c r="F3455" s="11" t="s">
        <v>20</v>
      </c>
      <c r="G3455" s="11">
        <v>651</v>
      </c>
      <c r="H3455" s="11">
        <v>844</v>
      </c>
      <c r="I3455" s="11">
        <v>3</v>
      </c>
      <c r="J3455" s="11">
        <v>0</v>
      </c>
      <c r="K3455" s="11" t="s">
        <v>21</v>
      </c>
      <c r="L3455" s="7">
        <v>41003.066990740743</v>
      </c>
      <c r="M3455" s="12"/>
      <c r="N3455" s="12" t="s">
        <v>8367</v>
      </c>
      <c r="O3455" s="10" t="str">
        <f>HYPERLINK("https://pbs.twimg.com/profile_images/718199385910296576/AkHlYPQI_normal.jpg","View")</f>
        <v>View</v>
      </c>
      <c r="P3455" s="11"/>
    </row>
    <row r="3456" spans="1:16" ht="12.75" x14ac:dyDescent="0.35">
      <c r="A3456" s="7">
        <v>42482.726805555554</v>
      </c>
      <c r="B3456" s="8" t="str">
        <f>HYPERLINK("https://twitter.com/aktionaer","@aktionaer")</f>
        <v>@aktionaer</v>
      </c>
      <c r="C3456" s="9" t="s">
        <v>1252</v>
      </c>
      <c r="D3456" s="9" t="s">
        <v>8368</v>
      </c>
      <c r="E3456" s="10" t="str">
        <f>HYPERLINK("https://twitter.com/aktionaer/status/723480619775340544","723480619775340544")</f>
        <v>723480619775340544</v>
      </c>
      <c r="F3456" s="11" t="s">
        <v>43</v>
      </c>
      <c r="G3456" s="11">
        <v>4630</v>
      </c>
      <c r="H3456" s="11">
        <v>1112</v>
      </c>
      <c r="I3456" s="11">
        <v>0</v>
      </c>
      <c r="J3456" s="11">
        <v>0</v>
      </c>
      <c r="K3456" s="11" t="s">
        <v>21</v>
      </c>
      <c r="L3456" s="7">
        <v>39844.695729166662</v>
      </c>
      <c r="M3456" s="12" t="s">
        <v>1254</v>
      </c>
      <c r="N3456" s="12" t="s">
        <v>1255</v>
      </c>
      <c r="O3456" s="10" t="str">
        <f>HYPERLINK("https://pbs.twimg.com/profile_images/679552623641509888/_vPw9IS2_normal.png","View")</f>
        <v>View</v>
      </c>
      <c r="P3456" s="11"/>
    </row>
    <row r="3457" spans="1:16" ht="12.75" x14ac:dyDescent="0.35">
      <c r="A3457" s="7">
        <v>42482.726944444439</v>
      </c>
      <c r="B3457" s="8" t="str">
        <f>HYPERLINK("https://twitter.com/schulze_ute","@schulze_ute")</f>
        <v>@schulze_ute</v>
      </c>
      <c r="C3457" s="9" t="s">
        <v>8369</v>
      </c>
      <c r="D3457" s="9" t="s">
        <v>8370</v>
      </c>
      <c r="E3457" s="10" t="str">
        <f>HYPERLINK("https://twitter.com/schulze_ute/status/723480670174060545","723480670174060545")</f>
        <v>723480670174060545</v>
      </c>
      <c r="F3457" s="11" t="s">
        <v>91</v>
      </c>
      <c r="G3457" s="11">
        <v>1060</v>
      </c>
      <c r="H3457" s="11">
        <v>749</v>
      </c>
      <c r="I3457" s="11">
        <v>0</v>
      </c>
      <c r="J3457" s="11">
        <v>1</v>
      </c>
      <c r="K3457" s="11" t="s">
        <v>21</v>
      </c>
      <c r="L3457" s="7">
        <v>41258.186805555553</v>
      </c>
      <c r="M3457" s="12" t="s">
        <v>2453</v>
      </c>
      <c r="N3457" s="12" t="s">
        <v>8371</v>
      </c>
      <c r="O3457" s="10" t="str">
        <f>HYPERLINK("https://pbs.twimg.com/profile_images/680724023488196609/stQw9ugg_normal.jpg","View")</f>
        <v>View</v>
      </c>
      <c r="P3457" s="11"/>
    </row>
    <row r="3458" spans="1:16" ht="12.75" x14ac:dyDescent="0.35">
      <c r="A3458" s="7">
        <v>42482.727071759262</v>
      </c>
      <c r="B3458" s="8" t="str">
        <f>HYPERLINK("https://twitter.com/fxcalmettes","@fxcalmettes")</f>
        <v>@fxcalmettes</v>
      </c>
      <c r="C3458" s="9" t="s">
        <v>8372</v>
      </c>
      <c r="D3458" s="9" t="s">
        <v>8373</v>
      </c>
      <c r="E3458" s="10" t="str">
        <f>HYPERLINK("https://twitter.com/fxcalmettes/status/723480720170188800","723480720170188800")</f>
        <v>723480720170188800</v>
      </c>
      <c r="F3458" s="11" t="s">
        <v>63</v>
      </c>
      <c r="G3458" s="11">
        <v>720</v>
      </c>
      <c r="H3458" s="11">
        <v>1553</v>
      </c>
      <c r="I3458" s="11">
        <v>0</v>
      </c>
      <c r="J3458" s="11">
        <v>0</v>
      </c>
      <c r="K3458" s="11" t="s">
        <v>21</v>
      </c>
      <c r="L3458" s="7">
        <v>40581.62767361111</v>
      </c>
      <c r="M3458" s="12" t="s">
        <v>2427</v>
      </c>
      <c r="N3458" s="12" t="s">
        <v>8374</v>
      </c>
      <c r="O3458" s="10" t="str">
        <f>HYPERLINK("https://pbs.twimg.com/profile_images/378800000512113269/a3f258ad366041bc344fc73f4d82c86b_normal.jpeg","View")</f>
        <v>View</v>
      </c>
      <c r="P3458" s="11"/>
    </row>
    <row r="3459" spans="1:16" ht="12.75" x14ac:dyDescent="0.35">
      <c r="A3459" s="7">
        <v>42482.727106481485</v>
      </c>
      <c r="B3459" s="8" t="str">
        <f>HYPERLINK("https://twitter.com/thebugbar","@thebugbar")</f>
        <v>@thebugbar</v>
      </c>
      <c r="C3459" s="9" t="s">
        <v>8375</v>
      </c>
      <c r="D3459" s="9" t="s">
        <v>8376</v>
      </c>
      <c r="E3459" s="10" t="str">
        <f>HYPERLINK("https://twitter.com/thebugbar/status/723480731712929792","723480731712929792")</f>
        <v>723480731712929792</v>
      </c>
      <c r="F3459" s="11" t="s">
        <v>53</v>
      </c>
      <c r="G3459" s="11">
        <v>541</v>
      </c>
      <c r="H3459" s="11">
        <v>822</v>
      </c>
      <c r="I3459" s="11">
        <v>0</v>
      </c>
      <c r="J3459" s="11">
        <v>0</v>
      </c>
      <c r="K3459" s="11" t="s">
        <v>21</v>
      </c>
      <c r="L3459" s="7">
        <v>41218.921539351853</v>
      </c>
      <c r="M3459" s="12" t="s">
        <v>8377</v>
      </c>
      <c r="N3459" s="12" t="s">
        <v>8378</v>
      </c>
      <c r="O3459" s="10" t="str">
        <f>HYPERLINK("https://pbs.twimg.com/profile_images/2811019625/854e59145fe44a1333afd6f8facf095d_normal.jpeg","View")</f>
        <v>View</v>
      </c>
      <c r="P3459" s="11"/>
    </row>
    <row r="3460" spans="1:16" ht="12.75" x14ac:dyDescent="0.35">
      <c r="A3460" s="7">
        <v>42482.72729166667</v>
      </c>
      <c r="B3460" s="8" t="str">
        <f>HYPERLINK("https://twitter.com/amakanista","@amakanista")</f>
        <v>@amakanista</v>
      </c>
      <c r="C3460" s="9" t="s">
        <v>8379</v>
      </c>
      <c r="D3460" s="9" t="s">
        <v>8109</v>
      </c>
      <c r="E3460" s="10" t="str">
        <f>HYPERLINK("https://twitter.com/amakanista/status/723480796367970304","723480796367970304")</f>
        <v>723480796367970304</v>
      </c>
      <c r="F3460" s="11" t="s">
        <v>48</v>
      </c>
      <c r="G3460" s="11">
        <v>26</v>
      </c>
      <c r="H3460" s="11">
        <v>75</v>
      </c>
      <c r="I3460" s="11">
        <v>15</v>
      </c>
      <c r="J3460" s="11">
        <v>0</v>
      </c>
      <c r="K3460" s="11" t="s">
        <v>21</v>
      </c>
      <c r="L3460" s="7">
        <v>41654.87226851852</v>
      </c>
      <c r="M3460" s="12" t="s">
        <v>8380</v>
      </c>
      <c r="N3460" s="12"/>
      <c r="O3460" s="10" t="str">
        <f>HYPERLINK("https://pbs.twimg.com/profile_images/671960238531067904/FQnB-T0j_normal.jpg","View")</f>
        <v>View</v>
      </c>
      <c r="P3460" s="11"/>
    </row>
    <row r="3461" spans="1:16" ht="12.75" x14ac:dyDescent="0.35">
      <c r="A3461" s="7">
        <v>42482.72755787037</v>
      </c>
      <c r="B3461" s="8" t="str">
        <f>HYPERLINK("https://twitter.com/NDRreporter","@NDRreporter")</f>
        <v>@NDRreporter</v>
      </c>
      <c r="C3461" s="9" t="s">
        <v>1660</v>
      </c>
      <c r="D3461" s="9" t="s">
        <v>8381</v>
      </c>
      <c r="E3461" s="10" t="str">
        <f>HYPERLINK("https://twitter.com/NDRreporter/status/723480892291833856","723480892291833856")</f>
        <v>723480892291833856</v>
      </c>
      <c r="F3461" s="11" t="s">
        <v>43</v>
      </c>
      <c r="G3461" s="11">
        <v>11486</v>
      </c>
      <c r="H3461" s="11">
        <v>297</v>
      </c>
      <c r="I3461" s="11">
        <v>0</v>
      </c>
      <c r="J3461" s="11">
        <v>0</v>
      </c>
      <c r="K3461" s="11" t="s">
        <v>21</v>
      </c>
      <c r="L3461" s="7">
        <v>41386.591909722221</v>
      </c>
      <c r="M3461" s="12" t="s">
        <v>953</v>
      </c>
      <c r="N3461" s="12" t="s">
        <v>1662</v>
      </c>
      <c r="O3461" s="10" t="str">
        <f>HYPERLINK("https://pbs.twimg.com/profile_images/466908605317279744/I5a712BQ_normal.jpeg","View")</f>
        <v>View</v>
      </c>
      <c r="P3461" s="11"/>
    </row>
    <row r="3462" spans="1:16" ht="12.75" x14ac:dyDescent="0.35">
      <c r="A3462" s="7">
        <v>42482.728356481486</v>
      </c>
      <c r="B3462" s="8" t="str">
        <f>HYPERLINK("https://twitter.com/Echo_Online","@Echo_Online")</f>
        <v>@Echo_Online</v>
      </c>
      <c r="C3462" s="9" t="s">
        <v>8382</v>
      </c>
      <c r="D3462" s="9" t="s">
        <v>8383</v>
      </c>
      <c r="E3462" s="10" t="str">
        <f>HYPERLINK("https://twitter.com/Echo_Online/status/723481184911679488","723481184911679488")</f>
        <v>723481184911679488</v>
      </c>
      <c r="F3462" s="11" t="s">
        <v>63</v>
      </c>
      <c r="G3462" s="11">
        <v>3991</v>
      </c>
      <c r="H3462" s="11">
        <v>190</v>
      </c>
      <c r="I3462" s="11">
        <v>0</v>
      </c>
      <c r="J3462" s="11">
        <v>0</v>
      </c>
      <c r="K3462" s="11" t="s">
        <v>21</v>
      </c>
      <c r="L3462" s="7">
        <v>40709.988738425927</v>
      </c>
      <c r="M3462" s="12" t="s">
        <v>7496</v>
      </c>
      <c r="N3462" s="12" t="s">
        <v>8384</v>
      </c>
      <c r="O3462" s="10" t="str">
        <f>HYPERLINK("https://pbs.twimg.com/profile_images/463708805474160640/5MzYTbEb_normal.png","View")</f>
        <v>View</v>
      </c>
      <c r="P3462" s="11"/>
    </row>
    <row r="3463" spans="1:16" ht="12.75" x14ac:dyDescent="0.35">
      <c r="A3463" s="7">
        <v>42482.728541666671</v>
      </c>
      <c r="B3463" s="8" t="str">
        <f>HYPERLINK("https://twitter.com/GACCColorado","@GACCColorado")</f>
        <v>@GACCColorado</v>
      </c>
      <c r="C3463" s="9" t="s">
        <v>5528</v>
      </c>
      <c r="D3463" s="9" t="s">
        <v>8109</v>
      </c>
      <c r="E3463" s="10" t="str">
        <f>HYPERLINK("https://twitter.com/GACCColorado/status/723481252632866816","723481252632866816")</f>
        <v>723481252632866816</v>
      </c>
      <c r="F3463" s="11" t="s">
        <v>48</v>
      </c>
      <c r="G3463" s="11">
        <v>1278</v>
      </c>
      <c r="H3463" s="11">
        <v>444</v>
      </c>
      <c r="I3463" s="11">
        <v>15</v>
      </c>
      <c r="J3463" s="11">
        <v>0</v>
      </c>
      <c r="K3463" s="11" t="s">
        <v>21</v>
      </c>
      <c r="L3463" s="7">
        <v>40451.455462962964</v>
      </c>
      <c r="M3463" s="12" t="s">
        <v>5529</v>
      </c>
      <c r="N3463" s="12" t="s">
        <v>5530</v>
      </c>
      <c r="O3463" s="10" t="str">
        <f>HYPERLINK("https://pbs.twimg.com/profile_images/434425163216474112/KtOuHIkV_normal.jpeg","View")</f>
        <v>View</v>
      </c>
      <c r="P3463" s="11"/>
    </row>
    <row r="3464" spans="1:16" ht="12.75" x14ac:dyDescent="0.35">
      <c r="A3464" s="7">
        <v>42482.728807870371</v>
      </c>
      <c r="B3464" s="8" t="str">
        <f>HYPERLINK("https://twitter.com/RobertsBlog","@RobertsBlog")</f>
        <v>@RobertsBlog</v>
      </c>
      <c r="C3464" s="9" t="s">
        <v>8385</v>
      </c>
      <c r="D3464" s="9" t="s">
        <v>7794</v>
      </c>
      <c r="E3464" s="10" t="str">
        <f>HYPERLINK("https://twitter.com/RobertsBlog/status/723481346530775044","723481346530775044")</f>
        <v>723481346530775044</v>
      </c>
      <c r="F3464" s="11" t="s">
        <v>91</v>
      </c>
      <c r="G3464" s="11">
        <v>780</v>
      </c>
      <c r="H3464" s="11">
        <v>98</v>
      </c>
      <c r="I3464" s="11">
        <v>9</v>
      </c>
      <c r="J3464" s="11">
        <v>0</v>
      </c>
      <c r="K3464" s="11" t="s">
        <v>21</v>
      </c>
      <c r="L3464" s="7">
        <v>39965.014953703707</v>
      </c>
      <c r="M3464" s="12"/>
      <c r="N3464" s="12" t="s">
        <v>8386</v>
      </c>
      <c r="O3464" s="10" t="str">
        <f>HYPERLINK("https://pbs.twimg.com/profile_images/241933023/cropped-lingenems3_normal.jpg","View")</f>
        <v>View</v>
      </c>
      <c r="P3464" s="11"/>
    </row>
    <row r="3465" spans="1:16" ht="12.75" x14ac:dyDescent="0.35">
      <c r="A3465" s="7">
        <v>42482.729166666672</v>
      </c>
      <c r="B3465" s="8" t="str">
        <f>HYPERLINK("https://twitter.com/Adriacaravans","@Adriacaravans")</f>
        <v>@Adriacaravans</v>
      </c>
      <c r="C3465" s="9" t="s">
        <v>8387</v>
      </c>
      <c r="D3465" s="9" t="s">
        <v>8388</v>
      </c>
      <c r="E3465" s="10" t="str">
        <f>HYPERLINK("https://twitter.com/Adriacaravans/status/723481476071874560","723481476071874560")</f>
        <v>723481476071874560</v>
      </c>
      <c r="F3465" s="11" t="s">
        <v>8389</v>
      </c>
      <c r="G3465" s="11">
        <v>2568</v>
      </c>
      <c r="H3465" s="11">
        <v>707</v>
      </c>
      <c r="I3465" s="11">
        <v>0</v>
      </c>
      <c r="J3465" s="11">
        <v>0</v>
      </c>
      <c r="K3465" s="11" t="s">
        <v>21</v>
      </c>
      <c r="L3465" s="7">
        <v>40152.890520833331</v>
      </c>
      <c r="M3465" s="12" t="s">
        <v>8390</v>
      </c>
      <c r="N3465" s="12" t="s">
        <v>8391</v>
      </c>
      <c r="O3465" s="10" t="str">
        <f>HYPERLINK("https://pbs.twimg.com/profile_images/418719708670468096/tPzJiLw7_normal.png","View")</f>
        <v>View</v>
      </c>
      <c r="P3465" s="11"/>
    </row>
    <row r="3466" spans="1:16" ht="12.75" x14ac:dyDescent="0.35">
      <c r="A3466" s="7">
        <v>42482.729178240741</v>
      </c>
      <c r="B3466" s="8" t="str">
        <f>HYPERLINK("https://twitter.com/GACCColorado","@GACCColorado")</f>
        <v>@GACCColorado</v>
      </c>
      <c r="C3466" s="9" t="s">
        <v>5528</v>
      </c>
      <c r="D3466" s="9" t="s">
        <v>8201</v>
      </c>
      <c r="E3466" s="10" t="str">
        <f>HYPERLINK("https://twitter.com/GACCColorado/status/723481481125965826","723481481125965826")</f>
        <v>723481481125965826</v>
      </c>
      <c r="F3466" s="11" t="s">
        <v>48</v>
      </c>
      <c r="G3466" s="11">
        <v>1278</v>
      </c>
      <c r="H3466" s="11">
        <v>444</v>
      </c>
      <c r="I3466" s="11">
        <v>3</v>
      </c>
      <c r="J3466" s="11">
        <v>0</v>
      </c>
      <c r="K3466" s="11" t="s">
        <v>21</v>
      </c>
      <c r="L3466" s="7">
        <v>40451.455462962964</v>
      </c>
      <c r="M3466" s="12" t="s">
        <v>5529</v>
      </c>
      <c r="N3466" s="12" t="s">
        <v>5530</v>
      </c>
      <c r="O3466" s="10" t="str">
        <f>HYPERLINK("https://pbs.twimg.com/profile_images/434425163216474112/KtOuHIkV_normal.jpeg","View")</f>
        <v>View</v>
      </c>
      <c r="P3466" s="11"/>
    </row>
    <row r="3467" spans="1:16" ht="12.75" x14ac:dyDescent="0.35">
      <c r="A3467" s="7">
        <v>42482.729351851856</v>
      </c>
      <c r="B3467" s="8" t="str">
        <f>HYPERLINK("https://twitter.com/doern","@doern")</f>
        <v>@doern</v>
      </c>
      <c r="C3467" s="9" t="s">
        <v>3107</v>
      </c>
      <c r="D3467" s="9" t="s">
        <v>8392</v>
      </c>
      <c r="E3467" s="10" t="str">
        <f>HYPERLINK("https://twitter.com/doern/status/723481545240137728","723481545240137728")</f>
        <v>723481545240137728</v>
      </c>
      <c r="F3467" s="11" t="s">
        <v>43</v>
      </c>
      <c r="G3467" s="11">
        <v>358</v>
      </c>
      <c r="H3467" s="11">
        <v>63</v>
      </c>
      <c r="I3467" s="11">
        <v>0</v>
      </c>
      <c r="J3467" s="11">
        <v>0</v>
      </c>
      <c r="K3467" s="11" t="s">
        <v>21</v>
      </c>
      <c r="L3467" s="7">
        <v>39909.663194444445</v>
      </c>
      <c r="M3467" s="12" t="s">
        <v>262</v>
      </c>
      <c r="N3467" s="12" t="s">
        <v>3109</v>
      </c>
      <c r="O3467" s="10" t="str">
        <f>HYPERLINK("https://pbs.twimg.com/profile_images/657853466384191488/J6vAnfZr_normal.jpg","View")</f>
        <v>View</v>
      </c>
      <c r="P3467" s="11"/>
    </row>
    <row r="3468" spans="1:16" ht="12.75" x14ac:dyDescent="0.35">
      <c r="A3468" s="7">
        <v>42482.729374999995</v>
      </c>
      <c r="B3468" s="8" t="str">
        <f>HYPERLINK("https://twitter.com/Auto2day_gr","@Auto2day_gr")</f>
        <v>@Auto2day_gr</v>
      </c>
      <c r="C3468" s="9" t="s">
        <v>4704</v>
      </c>
      <c r="D3468" s="9" t="s">
        <v>8393</v>
      </c>
      <c r="E3468" s="10" t="str">
        <f>HYPERLINK("https://twitter.com/Auto2day_gr/status/723481552777154560","723481552777154560")</f>
        <v>723481552777154560</v>
      </c>
      <c r="F3468" s="11" t="s">
        <v>63</v>
      </c>
      <c r="G3468" s="11">
        <v>113</v>
      </c>
      <c r="H3468" s="11">
        <v>457</v>
      </c>
      <c r="I3468" s="11">
        <v>0</v>
      </c>
      <c r="J3468" s="11">
        <v>0</v>
      </c>
      <c r="K3468" s="11" t="s">
        <v>21</v>
      </c>
      <c r="L3468" s="7">
        <v>42374.977708333332</v>
      </c>
      <c r="M3468" s="12"/>
      <c r="N3468" s="12" t="s">
        <v>4706</v>
      </c>
      <c r="O3468" s="10" t="str">
        <f>HYPERLINK("https://pbs.twimg.com/profile_images/684439034580570112/xeZrDF8k_normal.jpg","View")</f>
        <v>View</v>
      </c>
      <c r="P3468" s="11"/>
    </row>
    <row r="3469" spans="1:16" ht="12.75" x14ac:dyDescent="0.35">
      <c r="A3469" s="7">
        <v>42482.729513888888</v>
      </c>
      <c r="B3469" s="8" t="str">
        <f>HYPERLINK("https://twitter.com/sfchronicle","@sfchronicle")</f>
        <v>@sfchronicle</v>
      </c>
      <c r="C3469" s="9" t="s">
        <v>4737</v>
      </c>
      <c r="D3469" s="9" t="s">
        <v>8394</v>
      </c>
      <c r="E3469" s="10" t="str">
        <f>HYPERLINK("https://twitter.com/sfchronicle/status/723481603058495489","723481603058495489")</f>
        <v>723481603058495489</v>
      </c>
      <c r="F3469" s="11" t="s">
        <v>63</v>
      </c>
      <c r="G3469" s="11">
        <v>78294</v>
      </c>
      <c r="H3469" s="11">
        <v>171</v>
      </c>
      <c r="I3469" s="11">
        <v>0</v>
      </c>
      <c r="J3469" s="11">
        <v>0</v>
      </c>
      <c r="K3469" s="11" t="s">
        <v>21</v>
      </c>
      <c r="L3469" s="7">
        <v>40247.25980324074</v>
      </c>
      <c r="M3469" s="12" t="s">
        <v>244</v>
      </c>
      <c r="N3469" s="12" t="s">
        <v>4739</v>
      </c>
      <c r="O3469" s="10" t="str">
        <f>HYPERLINK("https://pbs.twimg.com/profile_images/695773573919543296/Q1mS960c_normal.jpg","View")</f>
        <v>View</v>
      </c>
      <c r="P3469" s="11"/>
    </row>
    <row r="3470" spans="1:16" ht="12.75" x14ac:dyDescent="0.35">
      <c r="A3470" s="7">
        <v>42482.729733796295</v>
      </c>
      <c r="B3470" s="8" t="str">
        <f>HYPERLINK("https://twitter.com/rgoverstreet","@rgoverstreet")</f>
        <v>@rgoverstreet</v>
      </c>
      <c r="C3470" s="9" t="s">
        <v>5862</v>
      </c>
      <c r="D3470" s="9" t="s">
        <v>8395</v>
      </c>
      <c r="E3470" s="10" t="str">
        <f>HYPERLINK("https://twitter.com/rgoverstreet/status/723481681630400514","723481681630400514")</f>
        <v>723481681630400514</v>
      </c>
      <c r="F3470" s="11" t="s">
        <v>20</v>
      </c>
      <c r="G3470" s="11">
        <v>152</v>
      </c>
      <c r="H3470" s="11">
        <v>287</v>
      </c>
      <c r="I3470" s="11">
        <v>0</v>
      </c>
      <c r="J3470" s="11">
        <v>0</v>
      </c>
      <c r="K3470" s="11" t="s">
        <v>21</v>
      </c>
      <c r="L3470" s="7">
        <v>40033.017939814818</v>
      </c>
      <c r="M3470" s="12" t="s">
        <v>5864</v>
      </c>
      <c r="N3470" s="12" t="s">
        <v>5865</v>
      </c>
      <c r="O3470" s="10" t="str">
        <f>HYPERLINK("https://pbs.twimg.com/profile_images/511300315228811264/sT0G3pjp_normal.jpeg","View")</f>
        <v>View</v>
      </c>
      <c r="P3470" s="11"/>
    </row>
    <row r="3471" spans="1:16" ht="12.75" x14ac:dyDescent="0.35">
      <c r="A3471" s="7">
        <v>42482.729884259257</v>
      </c>
      <c r="B3471" s="8" t="str">
        <f>HYPERLINK("https://twitter.com/marktzimopoulos","@marktzimopoulos")</f>
        <v>@marktzimopoulos</v>
      </c>
      <c r="C3471" s="9" t="s">
        <v>8396</v>
      </c>
      <c r="D3471" s="9" t="s">
        <v>8397</v>
      </c>
      <c r="E3471" s="10" t="str">
        <f>HYPERLINK("https://twitter.com/marktzimopoulos/status/723481735544078338","723481735544078338")</f>
        <v>723481735544078338</v>
      </c>
      <c r="F3471" s="11" t="s">
        <v>53</v>
      </c>
      <c r="G3471" s="11">
        <v>133</v>
      </c>
      <c r="H3471" s="11">
        <v>156</v>
      </c>
      <c r="I3471" s="11">
        <v>0</v>
      </c>
      <c r="J3471" s="11">
        <v>0</v>
      </c>
      <c r="K3471" s="11" t="s">
        <v>21</v>
      </c>
      <c r="L3471" s="7">
        <v>40195.229097222225</v>
      </c>
      <c r="M3471" s="12" t="s">
        <v>638</v>
      </c>
      <c r="N3471" s="12"/>
      <c r="O3471" s="10" t="str">
        <f>HYPERLINK("https://pbs.twimg.com/profile_images/519260450966732800/UKt2i1k8_normal.jpeg","View")</f>
        <v>View</v>
      </c>
      <c r="P3471" s="11"/>
    </row>
    <row r="3472" spans="1:16" ht="12.75" x14ac:dyDescent="0.35">
      <c r="A3472" s="7">
        <v>42482.730081018519</v>
      </c>
      <c r="B3472" s="8" t="str">
        <f>HYPERLINK("https://twitter.com/amsonline","@amsonline")</f>
        <v>@amsonline</v>
      </c>
      <c r="C3472" s="9" t="s">
        <v>5268</v>
      </c>
      <c r="D3472" s="9" t="s">
        <v>8398</v>
      </c>
      <c r="E3472" s="10" t="str">
        <f>HYPERLINK("https://twitter.com/amsonline/status/723481809531465731","723481809531465731")</f>
        <v>723481809531465731</v>
      </c>
      <c r="F3472" s="11" t="s">
        <v>63</v>
      </c>
      <c r="G3472" s="11">
        <v>11854</v>
      </c>
      <c r="H3472" s="11">
        <v>239</v>
      </c>
      <c r="I3472" s="11">
        <v>0</v>
      </c>
      <c r="J3472" s="11">
        <v>1</v>
      </c>
      <c r="K3472" s="11" t="s">
        <v>21</v>
      </c>
      <c r="L3472" s="7">
        <v>39842.782326388886</v>
      </c>
      <c r="M3472" s="12" t="s">
        <v>5270</v>
      </c>
      <c r="N3472" s="12" t="s">
        <v>5271</v>
      </c>
      <c r="O3472" s="10" t="str">
        <f>HYPERLINK("https://pbs.twimg.com/profile_images/458901987019333632/7FGKPDVB_normal.png","View")</f>
        <v>View</v>
      </c>
      <c r="P3472" s="11"/>
    </row>
    <row r="3473" spans="1:16" ht="12.75" x14ac:dyDescent="0.35">
      <c r="A3473" s="7">
        <v>42482.730613425927</v>
      </c>
      <c r="B3473" s="8" t="str">
        <f>HYPERLINK("https://twitter.com/AndyGER","@AndyGER")</f>
        <v>@AndyGER</v>
      </c>
      <c r="C3473" s="9" t="s">
        <v>3917</v>
      </c>
      <c r="D3473" s="9" t="s">
        <v>8399</v>
      </c>
      <c r="E3473" s="10" t="str">
        <f>HYPERLINK("https://twitter.com/AndyGER/status/723481999936237569","723481999936237569")</f>
        <v>723481999936237569</v>
      </c>
      <c r="F3473" s="11" t="s">
        <v>53</v>
      </c>
      <c r="G3473" s="11">
        <v>882</v>
      </c>
      <c r="H3473" s="11">
        <v>653</v>
      </c>
      <c r="I3473" s="11">
        <v>0</v>
      </c>
      <c r="J3473" s="11">
        <v>0</v>
      </c>
      <c r="K3473" s="11" t="s">
        <v>21</v>
      </c>
      <c r="L3473" s="7">
        <v>39883.119814814811</v>
      </c>
      <c r="M3473" s="12" t="s">
        <v>3918</v>
      </c>
      <c r="N3473" s="12" t="s">
        <v>3919</v>
      </c>
      <c r="O3473" s="10" t="str">
        <f>HYPERLINK("https://pbs.twimg.com/profile_images/722397159664934912/FokUg6EX_normal.jpg","View")</f>
        <v>View</v>
      </c>
      <c r="P3473" s="11"/>
    </row>
    <row r="3474" spans="1:16" ht="12.75" x14ac:dyDescent="0.35">
      <c r="A3474" s="7">
        <v>42482.731608796297</v>
      </c>
      <c r="B3474" s="8" t="str">
        <f>HYPERLINK("https://twitter.com/CornwallBzForum","@CornwallBzForum")</f>
        <v>@CornwallBzForum</v>
      </c>
      <c r="C3474" s="9" t="s">
        <v>4015</v>
      </c>
      <c r="D3474" s="9" t="s">
        <v>8309</v>
      </c>
      <c r="E3474" s="10" t="str">
        <f>HYPERLINK("https://twitter.com/CornwallBzForum/status/723482360956727296","723482360956727296")</f>
        <v>723482360956727296</v>
      </c>
      <c r="F3474" s="11" t="s">
        <v>43</v>
      </c>
      <c r="G3474" s="11">
        <v>7889</v>
      </c>
      <c r="H3474" s="11">
        <v>6402</v>
      </c>
      <c r="I3474" s="11">
        <v>2</v>
      </c>
      <c r="J3474" s="11">
        <v>0</v>
      </c>
      <c r="K3474" s="11" t="s">
        <v>21</v>
      </c>
      <c r="L3474" s="7">
        <v>40623.805</v>
      </c>
      <c r="M3474" s="12" t="s">
        <v>4017</v>
      </c>
      <c r="N3474" s="12" t="s">
        <v>4018</v>
      </c>
      <c r="O3474" s="10" t="str">
        <f>HYPERLINK("https://pbs.twimg.com/profile_images/3120330421/18166a7606798b1cd07c5596ffc4001f_normal.png","View")</f>
        <v>View</v>
      </c>
      <c r="P3474" s="11"/>
    </row>
    <row r="3475" spans="1:16" ht="12.75" x14ac:dyDescent="0.35">
      <c r="A3475" s="7">
        <v>42482.731631944444</v>
      </c>
      <c r="B3475" s="8" t="str">
        <f>HYPERLINK("https://twitter.com/ThaboRamzy","@ThaboRamzy")</f>
        <v>@ThaboRamzy</v>
      </c>
      <c r="C3475" s="9" t="s">
        <v>8400</v>
      </c>
      <c r="D3475" s="9" t="s">
        <v>8401</v>
      </c>
      <c r="E3475" s="10" t="str">
        <f>HYPERLINK("https://twitter.com/ThaboRamzy/status/723482371815792640","723482371815792640")</f>
        <v>723482371815792640</v>
      </c>
      <c r="F3475" s="11" t="s">
        <v>114</v>
      </c>
      <c r="G3475" s="11">
        <v>151</v>
      </c>
      <c r="H3475" s="11">
        <v>220</v>
      </c>
      <c r="I3475" s="11">
        <v>0</v>
      </c>
      <c r="J3475" s="11">
        <v>0</v>
      </c>
      <c r="K3475" s="11" t="s">
        <v>21</v>
      </c>
      <c r="L3475" s="7">
        <v>40319.917557870373</v>
      </c>
      <c r="M3475" s="12" t="s">
        <v>6547</v>
      </c>
      <c r="N3475" s="12" t="s">
        <v>8402</v>
      </c>
      <c r="O3475" s="10" t="str">
        <f>HYPERLINK("https://pbs.twimg.com/profile_images/684659482425716736/ghsbG3NM_normal.jpg","View")</f>
        <v>View</v>
      </c>
      <c r="P3475" s="11"/>
    </row>
    <row r="3476" spans="1:16" ht="12.75" x14ac:dyDescent="0.35">
      <c r="A3476" s="7">
        <v>42482.731886574074</v>
      </c>
      <c r="B3476" s="8" t="str">
        <f>HYPERLINK("https://twitter.com/RiskContainment","@RiskContainment")</f>
        <v>@RiskContainment</v>
      </c>
      <c r="C3476" s="9" t="s">
        <v>8403</v>
      </c>
      <c r="D3476" s="9" t="s">
        <v>8404</v>
      </c>
      <c r="E3476" s="10" t="str">
        <f>HYPERLINK("https://twitter.com/RiskContainment/status/723482462056226816","723482462056226816")</f>
        <v>723482462056226816</v>
      </c>
      <c r="F3476" s="11" t="s">
        <v>20</v>
      </c>
      <c r="G3476" s="11">
        <v>1408</v>
      </c>
      <c r="H3476" s="11">
        <v>382</v>
      </c>
      <c r="I3476" s="11">
        <v>0</v>
      </c>
      <c r="J3476" s="11">
        <v>0</v>
      </c>
      <c r="K3476" s="11" t="s">
        <v>21</v>
      </c>
      <c r="L3476" s="7">
        <v>40218.944733796292</v>
      </c>
      <c r="M3476" s="12" t="s">
        <v>8405</v>
      </c>
      <c r="N3476" s="12" t="s">
        <v>8406</v>
      </c>
      <c r="O3476" s="10" t="str">
        <f>HYPERLINK("https://pbs.twimg.com/profile_images/875846983/Twitter_normal.JPG","View")</f>
        <v>View</v>
      </c>
      <c r="P3476" s="11"/>
    </row>
    <row r="3477" spans="1:16" ht="12.75" x14ac:dyDescent="0.35">
      <c r="A3477" s="7">
        <v>42482.731898148151</v>
      </c>
      <c r="B3477" s="8" t="str">
        <f>HYPERLINK("https://twitter.com/chronsucks","@chronsucks")</f>
        <v>@chronsucks</v>
      </c>
      <c r="C3477" s="9" t="s">
        <v>4770</v>
      </c>
      <c r="D3477" s="9" t="s">
        <v>8407</v>
      </c>
      <c r="E3477" s="10" t="str">
        <f>HYPERLINK("https://twitter.com/chronsucks/status/723482465193627648","723482465193627648")</f>
        <v>723482465193627648</v>
      </c>
      <c r="F3477" s="11" t="s">
        <v>288</v>
      </c>
      <c r="G3477" s="11">
        <v>30</v>
      </c>
      <c r="H3477" s="11">
        <v>1</v>
      </c>
      <c r="I3477" s="11">
        <v>1</v>
      </c>
      <c r="J3477" s="11">
        <v>0</v>
      </c>
      <c r="K3477" s="11" t="s">
        <v>21</v>
      </c>
      <c r="L3477" s="7">
        <v>42191.8591087963</v>
      </c>
      <c r="M3477" s="12"/>
      <c r="N3477" s="12"/>
      <c r="O3477" s="10" t="str">
        <f>HYPERLINK("https://abs.twimg.com/sticky/default_profile_images/default_profile_0_normal.png","View")</f>
        <v>View</v>
      </c>
      <c r="P3477" s="11"/>
    </row>
    <row r="3478" spans="1:16" ht="12.75" x14ac:dyDescent="0.35">
      <c r="A3478" s="7">
        <v>42482.732442129629</v>
      </c>
      <c r="B3478" s="8" t="str">
        <f t="shared" ref="B3478:B3481" si="332">HYPERLINK("https://twitter.com/beetlebug1938","@beetlebug1938")</f>
        <v>@beetlebug1938</v>
      </c>
      <c r="C3478" s="9" t="s">
        <v>66</v>
      </c>
      <c r="D3478" s="9" t="s">
        <v>8408</v>
      </c>
      <c r="E3478" s="10" t="str">
        <f>HYPERLINK("https://twitter.com/beetlebug1938/status/723482662955040768","723482662955040768")</f>
        <v>723482662955040768</v>
      </c>
      <c r="F3478" s="11" t="s">
        <v>68</v>
      </c>
      <c r="G3478" s="11">
        <v>347</v>
      </c>
      <c r="H3478" s="11">
        <v>2222</v>
      </c>
      <c r="I3478" s="11">
        <v>0</v>
      </c>
      <c r="J3478" s="11">
        <v>1</v>
      </c>
      <c r="K3478" s="11" t="s">
        <v>21</v>
      </c>
      <c r="L3478" s="7">
        <v>42469.863865740743</v>
      </c>
      <c r="M3478" s="12" t="s">
        <v>69</v>
      </c>
      <c r="N3478" s="12"/>
      <c r="O3478" s="10" t="str">
        <f t="shared" ref="O3478:O3481" si="333">HYPERLINK("https://pbs.twimg.com/profile_images/718820712757215233/LXXndPTS_normal.jpg","View")</f>
        <v>View</v>
      </c>
      <c r="P3478" s="11"/>
    </row>
    <row r="3479" spans="1:16" ht="12.75" x14ac:dyDescent="0.35">
      <c r="A3479" s="7">
        <v>42482.732476851852</v>
      </c>
      <c r="B3479" s="8" t="str">
        <f t="shared" si="332"/>
        <v>@beetlebug1938</v>
      </c>
      <c r="C3479" s="9" t="s">
        <v>66</v>
      </c>
      <c r="D3479" s="9" t="s">
        <v>8409</v>
      </c>
      <c r="E3479" s="10" t="str">
        <f>HYPERLINK("https://twitter.com/beetlebug1938/status/723482675760246784","723482675760246784")</f>
        <v>723482675760246784</v>
      </c>
      <c r="F3479" s="11" t="s">
        <v>68</v>
      </c>
      <c r="G3479" s="11">
        <v>347</v>
      </c>
      <c r="H3479" s="11">
        <v>2222</v>
      </c>
      <c r="I3479" s="11">
        <v>0</v>
      </c>
      <c r="J3479" s="11">
        <v>2</v>
      </c>
      <c r="K3479" s="11" t="s">
        <v>21</v>
      </c>
      <c r="L3479" s="7">
        <v>42469.863865740743</v>
      </c>
      <c r="M3479" s="12" t="s">
        <v>69</v>
      </c>
      <c r="N3479" s="12"/>
      <c r="O3479" s="10" t="str">
        <f t="shared" si="333"/>
        <v>View</v>
      </c>
      <c r="P3479" s="11"/>
    </row>
    <row r="3480" spans="1:16" ht="12.75" x14ac:dyDescent="0.35">
      <c r="A3480" s="7">
        <v>42482.732511574075</v>
      </c>
      <c r="B3480" s="8" t="str">
        <f t="shared" si="332"/>
        <v>@beetlebug1938</v>
      </c>
      <c r="C3480" s="9" t="s">
        <v>66</v>
      </c>
      <c r="D3480" s="9" t="s">
        <v>8410</v>
      </c>
      <c r="E3480" s="10" t="str">
        <f>HYPERLINK("https://twitter.com/beetlebug1938/status/723482688036999168","723482688036999168")</f>
        <v>723482688036999168</v>
      </c>
      <c r="F3480" s="11" t="s">
        <v>68</v>
      </c>
      <c r="G3480" s="11">
        <v>347</v>
      </c>
      <c r="H3480" s="11">
        <v>2222</v>
      </c>
      <c r="I3480" s="11">
        <v>0</v>
      </c>
      <c r="J3480" s="11">
        <v>1</v>
      </c>
      <c r="K3480" s="11" t="s">
        <v>21</v>
      </c>
      <c r="L3480" s="7">
        <v>42469.863865740743</v>
      </c>
      <c r="M3480" s="12" t="s">
        <v>69</v>
      </c>
      <c r="N3480" s="12"/>
      <c r="O3480" s="10" t="str">
        <f t="shared" si="333"/>
        <v>View</v>
      </c>
      <c r="P3480" s="11"/>
    </row>
    <row r="3481" spans="1:16" ht="12.75" x14ac:dyDescent="0.35">
      <c r="A3481" s="7">
        <v>42482.73265046296</v>
      </c>
      <c r="B3481" s="8" t="str">
        <f t="shared" si="332"/>
        <v>@beetlebug1938</v>
      </c>
      <c r="C3481" s="9" t="s">
        <v>66</v>
      </c>
      <c r="D3481" s="9" t="s">
        <v>8411</v>
      </c>
      <c r="E3481" s="10" t="str">
        <f>HYPERLINK("https://twitter.com/beetlebug1938/status/723482738377035776","723482738377035776")</f>
        <v>723482738377035776</v>
      </c>
      <c r="F3481" s="11" t="s">
        <v>68</v>
      </c>
      <c r="G3481" s="11">
        <v>347</v>
      </c>
      <c r="H3481" s="11">
        <v>2222</v>
      </c>
      <c r="I3481" s="11">
        <v>0</v>
      </c>
      <c r="J3481" s="11">
        <v>0</v>
      </c>
      <c r="K3481" s="11" t="s">
        <v>21</v>
      </c>
      <c r="L3481" s="7">
        <v>42469.863865740743</v>
      </c>
      <c r="M3481" s="12" t="s">
        <v>69</v>
      </c>
      <c r="N3481" s="12"/>
      <c r="O3481" s="10" t="str">
        <f t="shared" si="333"/>
        <v>View</v>
      </c>
      <c r="P3481" s="11"/>
    </row>
    <row r="3482" spans="1:16" ht="12.75" x14ac:dyDescent="0.35">
      <c r="A3482" s="7">
        <v>42482.733587962968</v>
      </c>
      <c r="B3482" s="8" t="str">
        <f>HYPERLINK("https://twitter.com/srfnews","@srfnews")</f>
        <v>@srfnews</v>
      </c>
      <c r="C3482" s="9" t="s">
        <v>3768</v>
      </c>
      <c r="D3482" s="9" t="s">
        <v>8412</v>
      </c>
      <c r="E3482" s="10" t="str">
        <f>HYPERLINK("https://twitter.com/srfnews/status/723483078593662977","723483078593662977")</f>
        <v>723483078593662977</v>
      </c>
      <c r="F3482" s="11" t="s">
        <v>63</v>
      </c>
      <c r="G3482" s="11">
        <v>141395</v>
      </c>
      <c r="H3482" s="11">
        <v>23</v>
      </c>
      <c r="I3482" s="11">
        <v>0</v>
      </c>
      <c r="J3482" s="11">
        <v>0</v>
      </c>
      <c r="K3482" s="11" t="s">
        <v>21</v>
      </c>
      <c r="L3482" s="7">
        <v>39786.642754629633</v>
      </c>
      <c r="M3482" s="12" t="s">
        <v>3770</v>
      </c>
      <c r="N3482" s="12" t="s">
        <v>3771</v>
      </c>
      <c r="O3482" s="10" t="str">
        <f>HYPERLINK("https://pbs.twimg.com/profile_images/471294691783098369/x9C02baa_normal.png","View")</f>
        <v>View</v>
      </c>
      <c r="P3482" s="11"/>
    </row>
    <row r="3483" spans="1:16" ht="12.75" x14ac:dyDescent="0.35">
      <c r="A3483" s="7">
        <v>42482.734189814815</v>
      </c>
      <c r="B3483" s="8" t="str">
        <f>HYPERLINK("https://twitter.com/JSCarSpares","@JSCarSpares")</f>
        <v>@JSCarSpares</v>
      </c>
      <c r="C3483" s="9" t="s">
        <v>8413</v>
      </c>
      <c r="D3483" s="9" t="s">
        <v>8414</v>
      </c>
      <c r="E3483" s="10" t="str">
        <f>HYPERLINK("https://twitter.com/JSCarSpares/status/723483298819760129","723483298819760129")</f>
        <v>723483298819760129</v>
      </c>
      <c r="F3483" s="11" t="s">
        <v>53</v>
      </c>
      <c r="G3483" s="11">
        <v>136</v>
      </c>
      <c r="H3483" s="11">
        <v>929</v>
      </c>
      <c r="I3483" s="11">
        <v>0</v>
      </c>
      <c r="J3483" s="11">
        <v>0</v>
      </c>
      <c r="K3483" s="11" t="s">
        <v>21</v>
      </c>
      <c r="L3483" s="7">
        <v>42063.98028935185</v>
      </c>
      <c r="M3483" s="12" t="s">
        <v>6192</v>
      </c>
      <c r="N3483" s="12" t="s">
        <v>8415</v>
      </c>
      <c r="O3483" s="10" t="str">
        <f>HYPERLINK("https://pbs.twimg.com/profile_images/572145639056625664/wMUT3DKT_normal.jpeg","View")</f>
        <v>View</v>
      </c>
      <c r="P3483" s="11"/>
    </row>
    <row r="3484" spans="1:16" ht="12.75" x14ac:dyDescent="0.35">
      <c r="A3484" s="7">
        <v>42482.734965277778</v>
      </c>
      <c r="B3484" s="8" t="str">
        <f>HYPERLINK("https://twitter.com/Ikoniclondon","@Ikoniclondon")</f>
        <v>@Ikoniclondon</v>
      </c>
      <c r="C3484" s="9" t="s">
        <v>8416</v>
      </c>
      <c r="D3484" s="9" t="s">
        <v>8417</v>
      </c>
      <c r="E3484" s="10" t="str">
        <f>HYPERLINK("https://twitter.com/Ikoniclondon/status/723483577980182528","723483577980182528")</f>
        <v>723483577980182528</v>
      </c>
      <c r="F3484" s="11" t="s">
        <v>43</v>
      </c>
      <c r="G3484" s="11">
        <v>50692</v>
      </c>
      <c r="H3484" s="11">
        <v>7768</v>
      </c>
      <c r="I3484" s="11">
        <v>0</v>
      </c>
      <c r="J3484" s="11">
        <v>0</v>
      </c>
      <c r="K3484" s="11" t="s">
        <v>21</v>
      </c>
      <c r="L3484" s="7">
        <v>41264.854062500002</v>
      </c>
      <c r="M3484" s="12" t="s">
        <v>638</v>
      </c>
      <c r="N3484" s="12"/>
      <c r="O3484" s="10" t="str">
        <f>HYPERLINK("https://pbs.twimg.com/profile_images/3003211219/5eb0510a3d8f48f25da10db3e595b7a0_normal.png","View")</f>
        <v>View</v>
      </c>
      <c r="P3484" s="11"/>
    </row>
    <row r="3485" spans="1:16" ht="12.75" x14ac:dyDescent="0.35">
      <c r="A3485" s="7">
        <v>42482.735462962963</v>
      </c>
      <c r="B3485" s="8" t="str">
        <f>HYPERLINK("https://twitter.com/firstvehicle","@firstvehicle")</f>
        <v>@firstvehicle</v>
      </c>
      <c r="C3485" s="9" t="s">
        <v>8418</v>
      </c>
      <c r="D3485" s="9" t="s">
        <v>8419</v>
      </c>
      <c r="E3485" s="10" t="str">
        <f>HYPERLINK("https://twitter.com/firstvehicle/status/723483757815185408","723483757815185408")</f>
        <v>723483757815185408</v>
      </c>
      <c r="F3485" s="11" t="s">
        <v>80</v>
      </c>
      <c r="G3485" s="11">
        <v>4469</v>
      </c>
      <c r="H3485" s="11">
        <v>1078</v>
      </c>
      <c r="I3485" s="11">
        <v>0</v>
      </c>
      <c r="J3485" s="11">
        <v>0</v>
      </c>
      <c r="K3485" s="11" t="s">
        <v>21</v>
      </c>
      <c r="L3485" s="7">
        <v>39818.832349537035</v>
      </c>
      <c r="M3485" s="12" t="s">
        <v>35</v>
      </c>
      <c r="N3485" s="12" t="s">
        <v>8420</v>
      </c>
      <c r="O3485" s="10" t="str">
        <f>HYPERLINK("https://pbs.twimg.com/profile_images/2605357482/6lz7whsneokrjw5grpxf_normal.jpeg","View")</f>
        <v>View</v>
      </c>
      <c r="P3485" s="11"/>
    </row>
    <row r="3486" spans="1:16" ht="12.75" x14ac:dyDescent="0.35">
      <c r="A3486" s="7">
        <v>42482.736041666663</v>
      </c>
      <c r="B3486" s="8" t="str">
        <f>HYPERLINK("https://twitter.com/OnlineCarReview","@OnlineCarReview")</f>
        <v>@OnlineCarReview</v>
      </c>
      <c r="C3486" s="9" t="s">
        <v>176</v>
      </c>
      <c r="D3486" s="9" t="s">
        <v>8421</v>
      </c>
      <c r="E3486" s="10" t="str">
        <f>HYPERLINK("https://twitter.com/OnlineCarReview/status/723483967140175872","723483967140175872")</f>
        <v>723483967140175872</v>
      </c>
      <c r="F3486" s="11" t="s">
        <v>34</v>
      </c>
      <c r="G3486" s="11">
        <v>841</v>
      </c>
      <c r="H3486" s="11">
        <v>568</v>
      </c>
      <c r="I3486" s="11">
        <v>0</v>
      </c>
      <c r="J3486" s="11">
        <v>0</v>
      </c>
      <c r="K3486" s="11" t="s">
        <v>21</v>
      </c>
      <c r="L3486" s="7">
        <v>42282.979201388887</v>
      </c>
      <c r="M3486" s="12"/>
      <c r="N3486" s="12" t="s">
        <v>178</v>
      </c>
      <c r="O3486" s="10" t="str">
        <f>HYPERLINK("https://pbs.twimg.com/profile_images/652871584131092480/QA_B6SBO_normal.jpg","View")</f>
        <v>View</v>
      </c>
      <c r="P3486" s="11"/>
    </row>
    <row r="3487" spans="1:16" ht="12.75" x14ac:dyDescent="0.35">
      <c r="A3487" s="7">
        <v>42482.736145833333</v>
      </c>
      <c r="B3487" s="8" t="str">
        <f>HYPERLINK("https://twitter.com/carlesplb","@carlesplb")</f>
        <v>@carlesplb</v>
      </c>
      <c r="C3487" s="9" t="s">
        <v>8422</v>
      </c>
      <c r="D3487" s="9" t="s">
        <v>8423</v>
      </c>
      <c r="E3487" s="10" t="str">
        <f>HYPERLINK("https://twitter.com/carlesplb/status/723484004960317441","723484004960317441")</f>
        <v>723484004960317441</v>
      </c>
      <c r="F3487" s="11" t="s">
        <v>43</v>
      </c>
      <c r="G3487" s="11">
        <v>1098</v>
      </c>
      <c r="H3487" s="11">
        <v>560</v>
      </c>
      <c r="I3487" s="11">
        <v>0</v>
      </c>
      <c r="J3487" s="11">
        <v>0</v>
      </c>
      <c r="K3487" s="11" t="s">
        <v>21</v>
      </c>
      <c r="L3487" s="7">
        <v>40571.858865740738</v>
      </c>
      <c r="M3487" s="12" t="s">
        <v>8424</v>
      </c>
      <c r="N3487" s="12" t="s">
        <v>8425</v>
      </c>
      <c r="O3487" s="10" t="str">
        <f>HYPERLINK("https://pbs.twimg.com/profile_images/722136979505332225/yuEXbKI2_normal.jpg","View")</f>
        <v>View</v>
      </c>
      <c r="P3487" s="11"/>
    </row>
    <row r="3488" spans="1:16" ht="12.75" x14ac:dyDescent="0.35">
      <c r="A3488" s="7">
        <v>42482.736493055556</v>
      </c>
      <c r="B3488" s="8" t="str">
        <f>HYPERLINK("https://twitter.com/CayleThompson","@CayleThompson")</f>
        <v>@CayleThompson</v>
      </c>
      <c r="C3488" s="9" t="s">
        <v>8426</v>
      </c>
      <c r="D3488" s="9" t="s">
        <v>8427</v>
      </c>
      <c r="E3488" s="10" t="str">
        <f>HYPERLINK("https://twitter.com/CayleThompson/status/723484133037481985","723484133037481985")</f>
        <v>723484133037481985</v>
      </c>
      <c r="F3488" s="11" t="s">
        <v>63</v>
      </c>
      <c r="G3488" s="11">
        <v>1803</v>
      </c>
      <c r="H3488" s="11">
        <v>853</v>
      </c>
      <c r="I3488" s="11">
        <v>1</v>
      </c>
      <c r="J3488" s="11">
        <v>0</v>
      </c>
      <c r="K3488" s="11" t="s">
        <v>21</v>
      </c>
      <c r="L3488" s="7">
        <v>39863.169050925928</v>
      </c>
      <c r="M3488" s="12" t="s">
        <v>355</v>
      </c>
      <c r="N3488" s="12" t="s">
        <v>8428</v>
      </c>
      <c r="O3488" s="10" t="str">
        <f>HYPERLINK("https://pbs.twimg.com/profile_images/716995882105712642/kGYcr4G-_normal.jpg","View")</f>
        <v>View</v>
      </c>
      <c r="P3488" s="11"/>
    </row>
    <row r="3489" spans="1:16" ht="12.75" x14ac:dyDescent="0.35">
      <c r="A3489" s="7">
        <v>42482.736747685187</v>
      </c>
      <c r="B3489" s="8" t="str">
        <f>HYPERLINK("https://twitter.com/networkimages","@networkimages")</f>
        <v>@networkimages</v>
      </c>
      <c r="C3489" s="9" t="s">
        <v>7695</v>
      </c>
      <c r="D3489" s="9" t="s">
        <v>8429</v>
      </c>
      <c r="E3489" s="10" t="str">
        <f>HYPERLINK("https://twitter.com/networkimages/status/723484226537041920","723484226537041920")</f>
        <v>723484226537041920</v>
      </c>
      <c r="F3489" s="11" t="s">
        <v>20</v>
      </c>
      <c r="G3489" s="11">
        <v>2038</v>
      </c>
      <c r="H3489" s="11">
        <v>2078</v>
      </c>
      <c r="I3489" s="11">
        <v>1</v>
      </c>
      <c r="J3489" s="11">
        <v>1</v>
      </c>
      <c r="K3489" s="11" t="s">
        <v>21</v>
      </c>
      <c r="L3489" s="7">
        <v>41665.927881944444</v>
      </c>
      <c r="M3489" s="12" t="s">
        <v>1534</v>
      </c>
      <c r="N3489" s="12" t="s">
        <v>7697</v>
      </c>
      <c r="O3489" s="10" t="str">
        <f>HYPERLINK("https://pbs.twimg.com/profile_images/618480038120423424/5KWa6rCE_normal.jpg","View")</f>
        <v>View</v>
      </c>
      <c r="P3489" s="11"/>
    </row>
    <row r="3490" spans="1:16" ht="12.75" x14ac:dyDescent="0.35">
      <c r="A3490" s="7">
        <v>42482.73704861111</v>
      </c>
      <c r="B3490" s="8" t="str">
        <f>HYPERLINK("https://twitter.com/dennis_goodwin","@dennis_goodwin")</f>
        <v>@dennis_goodwin</v>
      </c>
      <c r="C3490" s="9" t="s">
        <v>8430</v>
      </c>
      <c r="D3490" s="9" t="s">
        <v>8431</v>
      </c>
      <c r="E3490" s="10" t="str">
        <f>HYPERLINK("https://twitter.com/dennis_goodwin/status/723484334490025988","723484334490025988")</f>
        <v>723484334490025988</v>
      </c>
      <c r="F3490" s="11" t="s">
        <v>43</v>
      </c>
      <c r="G3490" s="11">
        <v>1731</v>
      </c>
      <c r="H3490" s="11">
        <v>2132</v>
      </c>
      <c r="I3490" s="11">
        <v>1</v>
      </c>
      <c r="J3490" s="11">
        <v>0</v>
      </c>
      <c r="K3490" s="11" t="s">
        <v>21</v>
      </c>
      <c r="L3490" s="7">
        <v>41016.897673611107</v>
      </c>
      <c r="M3490" s="12" t="s">
        <v>8432</v>
      </c>
      <c r="N3490" s="12" t="s">
        <v>8433</v>
      </c>
      <c r="O3490" s="10" t="str">
        <f>HYPERLINK("https://pbs.twimg.com/profile_images/590413270160379905/f7wFIkoK_normal.jpg","View")</f>
        <v>View</v>
      </c>
      <c r="P3490" s="11"/>
    </row>
    <row r="3491" spans="1:16" ht="12.75" x14ac:dyDescent="0.35">
      <c r="A3491" s="7">
        <v>42482.737060185187</v>
      </c>
      <c r="B3491" s="8" t="str">
        <f>HYPERLINK("https://twitter.com/JanruPekozete","@JanruPekozete")</f>
        <v>@JanruPekozete</v>
      </c>
      <c r="C3491" s="9" t="s">
        <v>8434</v>
      </c>
      <c r="D3491" s="9" t="s">
        <v>2825</v>
      </c>
      <c r="E3491" s="10" t="str">
        <f>HYPERLINK("https://twitter.com/JanruPekozete/status/723484339888132102","723484339888132102")</f>
        <v>723484339888132102</v>
      </c>
      <c r="F3491" s="11" t="s">
        <v>48</v>
      </c>
      <c r="G3491" s="11">
        <v>163</v>
      </c>
      <c r="H3491" s="11">
        <v>142</v>
      </c>
      <c r="I3491" s="11">
        <v>54</v>
      </c>
      <c r="J3491" s="11">
        <v>0</v>
      </c>
      <c r="K3491" s="11" t="s">
        <v>21</v>
      </c>
      <c r="L3491" s="7">
        <v>41603.881967592592</v>
      </c>
      <c r="M3491" s="12" t="s">
        <v>8435</v>
      </c>
      <c r="N3491" s="12" t="s">
        <v>8436</v>
      </c>
      <c r="O3491" s="10" t="str">
        <f>HYPERLINK("https://pbs.twimg.com/profile_images/694200752730959872/s5I5Qqus_normal.jpg","View")</f>
        <v>View</v>
      </c>
      <c r="P3491" s="11"/>
    </row>
    <row r="3492" spans="1:16" ht="12.75" x14ac:dyDescent="0.35">
      <c r="A3492" s="7">
        <v>42482.737997685181</v>
      </c>
      <c r="B3492" s="8" t="str">
        <f>HYPERLINK("https://twitter.com/MercedesOffApp","@MercedesOffApp")</f>
        <v>@MercedesOffApp</v>
      </c>
      <c r="C3492" s="9" t="s">
        <v>8437</v>
      </c>
      <c r="D3492" s="9" t="s">
        <v>8438</v>
      </c>
      <c r="E3492" s="10" t="str">
        <f>HYPERLINK("https://twitter.com/MercedesOffApp/status/723484676430536704","723484676430536704")</f>
        <v>723484676430536704</v>
      </c>
      <c r="F3492" s="11" t="s">
        <v>8439</v>
      </c>
      <c r="G3492" s="11">
        <v>393</v>
      </c>
      <c r="H3492" s="11">
        <v>193</v>
      </c>
      <c r="I3492" s="11">
        <v>1</v>
      </c>
      <c r="J3492" s="11">
        <v>0</v>
      </c>
      <c r="K3492" s="11" t="s">
        <v>21</v>
      </c>
      <c r="L3492" s="7">
        <v>42375.219201388885</v>
      </c>
      <c r="M3492" s="12" t="s">
        <v>2646</v>
      </c>
      <c r="N3492" s="12" t="s">
        <v>8440</v>
      </c>
      <c r="O3492" s="10" t="str">
        <f>HYPERLINK("https://pbs.twimg.com/profile_images/685522044365193221/CKuuQACr_normal.png","View")</f>
        <v>View</v>
      </c>
      <c r="P3492" s="11"/>
    </row>
    <row r="3493" spans="1:16" ht="12.75" x14ac:dyDescent="0.35">
      <c r="A3493" s="7">
        <v>42482.738067129627</v>
      </c>
      <c r="B3493" s="8" t="str">
        <f>HYPERLINK("https://twitter.com/helenachumphrey","@helenachumphrey")</f>
        <v>@helenachumphrey</v>
      </c>
      <c r="C3493" s="9" t="s">
        <v>8441</v>
      </c>
      <c r="D3493" s="9" t="s">
        <v>8201</v>
      </c>
      <c r="E3493" s="10" t="str">
        <f>HYPERLINK("https://twitter.com/helenachumphrey/status/723484702145929216","723484702145929216")</f>
        <v>723484702145929216</v>
      </c>
      <c r="F3493" s="11" t="s">
        <v>43</v>
      </c>
      <c r="G3493" s="11">
        <v>705</v>
      </c>
      <c r="H3493" s="11">
        <v>1207</v>
      </c>
      <c r="I3493" s="11">
        <v>4</v>
      </c>
      <c r="J3493" s="11">
        <v>0</v>
      </c>
      <c r="K3493" s="11" t="s">
        <v>21</v>
      </c>
      <c r="L3493" s="7">
        <v>40064.883287037039</v>
      </c>
      <c r="M3493" s="12" t="s">
        <v>1288</v>
      </c>
      <c r="N3493" s="12" t="s">
        <v>8442</v>
      </c>
      <c r="O3493" s="10" t="str">
        <f>HYPERLINK("https://pbs.twimg.com/profile_images/697210669771419648/O7a-8quV_normal.jpg","View")</f>
        <v>View</v>
      </c>
      <c r="P3493" s="11"/>
    </row>
    <row r="3494" spans="1:16" ht="12.75" x14ac:dyDescent="0.35">
      <c r="A3494" s="7">
        <v>42482.738923611112</v>
      </c>
      <c r="B3494" s="8" t="str">
        <f>HYPERLINK("https://twitter.com/beuc","@beuc")</f>
        <v>@beuc</v>
      </c>
      <c r="C3494" s="9" t="s">
        <v>1494</v>
      </c>
      <c r="D3494" s="9" t="s">
        <v>8443</v>
      </c>
      <c r="E3494" s="10" t="str">
        <f>HYPERLINK("https://twitter.com/beuc/status/723485011433811969","723485011433811969")</f>
        <v>723485011433811969</v>
      </c>
      <c r="F3494" s="11" t="s">
        <v>63</v>
      </c>
      <c r="G3494" s="11">
        <v>5774</v>
      </c>
      <c r="H3494" s="11">
        <v>901</v>
      </c>
      <c r="I3494" s="11">
        <v>0</v>
      </c>
      <c r="J3494" s="11">
        <v>1</v>
      </c>
      <c r="K3494" s="11" t="s">
        <v>21</v>
      </c>
      <c r="L3494" s="7">
        <v>40555.678495370368</v>
      </c>
      <c r="M3494" s="12" t="s">
        <v>1495</v>
      </c>
      <c r="N3494" s="12" t="s">
        <v>1496</v>
      </c>
      <c r="O3494" s="10" t="str">
        <f>HYPERLINK("https://pbs.twimg.com/profile_images/1749790667/twitter_normal.jpg","View")</f>
        <v>View</v>
      </c>
      <c r="P3494" s="11"/>
    </row>
    <row r="3495" spans="1:16" ht="12.75" x14ac:dyDescent="0.35">
      <c r="A3495" s="7">
        <v>42482.739062499997</v>
      </c>
      <c r="B3495" s="8" t="str">
        <f>HYPERLINK("https://twitter.com/SwissJacker","@SwissJacker")</f>
        <v>@SwissJacker</v>
      </c>
      <c r="C3495" s="9" t="s">
        <v>8444</v>
      </c>
      <c r="D3495" s="9" t="s">
        <v>8445</v>
      </c>
      <c r="E3495" s="10" t="str">
        <f>HYPERLINK("https://twitter.com/SwissJacker/status/723485063304863746","723485063304863746")</f>
        <v>723485063304863746</v>
      </c>
      <c r="F3495" s="11" t="s">
        <v>48</v>
      </c>
      <c r="G3495" s="11">
        <v>5352</v>
      </c>
      <c r="H3495" s="11">
        <v>643</v>
      </c>
      <c r="I3495" s="11">
        <v>0</v>
      </c>
      <c r="J3495" s="11">
        <v>0</v>
      </c>
      <c r="K3495" s="11" t="s">
        <v>21</v>
      </c>
      <c r="L3495" s="7">
        <v>40800.028090277774</v>
      </c>
      <c r="M3495" s="12"/>
      <c r="N3495" s="12" t="s">
        <v>8446</v>
      </c>
      <c r="O3495" s="10" t="str">
        <f>HYPERLINK("https://pbs.twimg.com/profile_images/668530738350964736/VEdSPpil_normal.jpg","View")</f>
        <v>View</v>
      </c>
      <c r="P3495" s="11"/>
    </row>
    <row r="3496" spans="1:16" ht="12.75" x14ac:dyDescent="0.35">
      <c r="A3496" s="7">
        <v>42482.73945601852</v>
      </c>
      <c r="B3496" s="8" t="str">
        <f>HYPERLINK("https://twitter.com/gerhard_heilig","@gerhard_heilig")</f>
        <v>@gerhard_heilig</v>
      </c>
      <c r="C3496" s="9" t="s">
        <v>8447</v>
      </c>
      <c r="D3496" s="9" t="s">
        <v>8448</v>
      </c>
      <c r="E3496" s="10" t="str">
        <f>HYPERLINK("https://twitter.com/gerhard_heilig/status/723485204942344193","723485204942344193")</f>
        <v>723485204942344193</v>
      </c>
      <c r="F3496" s="11" t="s">
        <v>48</v>
      </c>
      <c r="G3496" s="11">
        <v>118</v>
      </c>
      <c r="H3496" s="11">
        <v>629</v>
      </c>
      <c r="I3496" s="11">
        <v>0</v>
      </c>
      <c r="J3496" s="11">
        <v>0</v>
      </c>
      <c r="K3496" s="11" t="s">
        <v>21</v>
      </c>
      <c r="L3496" s="7">
        <v>42277.867094907408</v>
      </c>
      <c r="M3496" s="12" t="s">
        <v>4755</v>
      </c>
      <c r="N3496" s="12" t="s">
        <v>8449</v>
      </c>
      <c r="O3496" s="10" t="str">
        <f>HYPERLINK("https://pbs.twimg.com/profile_images/701671471966502913/eAUhJtts_normal.jpg","View")</f>
        <v>View</v>
      </c>
      <c r="P3496" s="11"/>
    </row>
    <row r="3497" spans="1:16" ht="12.75" x14ac:dyDescent="0.35">
      <c r="A3497" s="7">
        <v>42482.739895833336</v>
      </c>
      <c r="B3497" s="8" t="str">
        <f>HYPERLINK("https://twitter.com/updatestrends","@updatestrends")</f>
        <v>@updatestrends</v>
      </c>
      <c r="C3497" s="9" t="s">
        <v>8450</v>
      </c>
      <c r="D3497" s="9" t="s">
        <v>8451</v>
      </c>
      <c r="E3497" s="10" t="str">
        <f>HYPERLINK("https://twitter.com/updatestrends/status/723485366158647296","723485366158647296")</f>
        <v>723485366158647296</v>
      </c>
      <c r="F3497" s="11" t="s">
        <v>53</v>
      </c>
      <c r="G3497" s="11">
        <v>143</v>
      </c>
      <c r="H3497" s="11">
        <v>1388</v>
      </c>
      <c r="I3497" s="11">
        <v>0</v>
      </c>
      <c r="J3497" s="11">
        <v>0</v>
      </c>
      <c r="K3497" s="11" t="s">
        <v>21</v>
      </c>
      <c r="L3497" s="7">
        <v>40434.87336805556</v>
      </c>
      <c r="M3497" s="12" t="s">
        <v>8452</v>
      </c>
      <c r="N3497" s="12" t="s">
        <v>8453</v>
      </c>
      <c r="O3497" s="10" t="str">
        <f>HYPERLINK("https://pbs.twimg.com/profile_images/538948772424728576/h1kppaOP_normal.jpeg","View")</f>
        <v>View</v>
      </c>
      <c r="P3497" s="11"/>
    </row>
    <row r="3498" spans="1:16" ht="12.75" x14ac:dyDescent="0.35">
      <c r="A3498" s="7">
        <v>42482.740277777775</v>
      </c>
      <c r="B3498" s="8" t="str">
        <f>HYPERLINK("https://twitter.com/le_quotidien_lu","@le_quotidien_lu")</f>
        <v>@le_quotidien_lu</v>
      </c>
      <c r="C3498" s="9" t="s">
        <v>8454</v>
      </c>
      <c r="D3498" s="9" t="s">
        <v>8455</v>
      </c>
      <c r="E3498" s="10" t="str">
        <f>HYPERLINK("https://twitter.com/le_quotidien_lu/status/723485505204158465","723485505204158465")</f>
        <v>723485505204158465</v>
      </c>
      <c r="F3498" s="11" t="s">
        <v>43</v>
      </c>
      <c r="G3498" s="11">
        <v>2141</v>
      </c>
      <c r="H3498" s="11">
        <v>238</v>
      </c>
      <c r="I3498" s="11">
        <v>0</v>
      </c>
      <c r="J3498" s="11">
        <v>0</v>
      </c>
      <c r="K3498" s="11" t="s">
        <v>21</v>
      </c>
      <c r="L3498" s="7">
        <v>40452.599849537037</v>
      </c>
      <c r="M3498" s="12" t="s">
        <v>7776</v>
      </c>
      <c r="N3498" s="12" t="s">
        <v>8456</v>
      </c>
      <c r="O3498" s="10" t="str">
        <f>HYPERLINK("https://pbs.twimg.com/profile_images/671717924802023425/RXgRF9p-_normal.jpg","View")</f>
        <v>View</v>
      </c>
      <c r="P3498" s="11"/>
    </row>
    <row r="3499" spans="1:16" ht="12.75" x14ac:dyDescent="0.35">
      <c r="A3499" s="7">
        <v>42482.740405092598</v>
      </c>
      <c r="B3499" s="8" t="str">
        <f>HYPERLINK("https://twitter.com/apronline","@apronline")</f>
        <v>@apronline</v>
      </c>
      <c r="C3499" s="9" t="s">
        <v>1146</v>
      </c>
      <c r="D3499" s="9" t="s">
        <v>8457</v>
      </c>
      <c r="E3499" s="10" t="str">
        <f>HYPERLINK("https://twitter.com/apronline/status/723485550800453634","723485550800453634")</f>
        <v>723485550800453634</v>
      </c>
      <c r="F3499" s="11" t="s">
        <v>43</v>
      </c>
      <c r="G3499" s="11">
        <v>1918</v>
      </c>
      <c r="H3499" s="11">
        <v>413</v>
      </c>
      <c r="I3499" s="11">
        <v>0</v>
      </c>
      <c r="J3499" s="11">
        <v>0</v>
      </c>
      <c r="K3499" s="11" t="s">
        <v>21</v>
      </c>
      <c r="L3499" s="7">
        <v>40593.924247685187</v>
      </c>
      <c r="M3499" s="12" t="s">
        <v>1148</v>
      </c>
      <c r="N3499" s="12" t="s">
        <v>1149</v>
      </c>
      <c r="O3499" s="10" t="str">
        <f>HYPERLINK("https://pbs.twimg.com/profile_images/1249555569/apr_twitter_normal.jpg","View")</f>
        <v>View</v>
      </c>
      <c r="P3499" s="11"/>
    </row>
    <row r="3500" spans="1:16" ht="12.75" x14ac:dyDescent="0.35">
      <c r="A3500" s="7">
        <v>42482.740439814814</v>
      </c>
      <c r="B3500" s="8" t="str">
        <f>HYPERLINK("https://twitter.com/MKIVR","@MKIVR")</f>
        <v>@MKIVR</v>
      </c>
      <c r="C3500" s="9" t="s">
        <v>3927</v>
      </c>
      <c r="D3500" s="9" t="s">
        <v>8458</v>
      </c>
      <c r="E3500" s="10" t="str">
        <f>HYPERLINK("https://twitter.com/MKIVR/status/723485561877467141","723485561877467141")</f>
        <v>723485561877467141</v>
      </c>
      <c r="F3500" s="11" t="s">
        <v>114</v>
      </c>
      <c r="G3500" s="11">
        <v>220</v>
      </c>
      <c r="H3500" s="11">
        <v>243</v>
      </c>
      <c r="I3500" s="11">
        <v>0</v>
      </c>
      <c r="J3500" s="11">
        <v>0</v>
      </c>
      <c r="K3500" s="11" t="s">
        <v>21</v>
      </c>
      <c r="L3500" s="7">
        <v>41200.157094907408</v>
      </c>
      <c r="M3500" s="12" t="s">
        <v>8459</v>
      </c>
      <c r="N3500" s="12" t="s">
        <v>8460</v>
      </c>
      <c r="O3500" s="10" t="str">
        <f>HYPERLINK("https://pbs.twimg.com/profile_images/717932064897675264/kdc4V-6b_normal.jpg","View")</f>
        <v>View</v>
      </c>
      <c r="P3500" s="11"/>
    </row>
    <row r="3501" spans="1:16" ht="12.75" x14ac:dyDescent="0.35">
      <c r="A3501" s="7">
        <v>42482.740451388891</v>
      </c>
      <c r="B3501" s="8" t="str">
        <f>HYPERLINK("https://twitter.com/deutch_az","@deutch_az")</f>
        <v>@deutch_az</v>
      </c>
      <c r="C3501" s="9" t="s">
        <v>1188</v>
      </c>
      <c r="D3501" s="9" t="s">
        <v>8461</v>
      </c>
      <c r="E3501" s="10" t="str">
        <f>HYPERLINK("https://twitter.com/deutch_az/status/723485567116259329","723485567116259329")</f>
        <v>723485567116259329</v>
      </c>
      <c r="F3501" s="11" t="s">
        <v>43</v>
      </c>
      <c r="G3501" s="11">
        <v>523</v>
      </c>
      <c r="H3501" s="11">
        <v>1444</v>
      </c>
      <c r="I3501" s="11">
        <v>1</v>
      </c>
      <c r="J3501" s="11">
        <v>0</v>
      </c>
      <c r="K3501" s="11" t="s">
        <v>21</v>
      </c>
      <c r="L3501" s="7">
        <v>42305.594456018516</v>
      </c>
      <c r="M3501" s="12"/>
      <c r="N3501" s="12"/>
      <c r="O3501" s="10" t="str">
        <f>HYPERLINK("https://pbs.twimg.com/profile_images/659295730222280705/W1FqHCVo_normal.jpg","View")</f>
        <v>View</v>
      </c>
      <c r="P3501" s="11"/>
    </row>
    <row r="3502" spans="1:16" ht="12.75" x14ac:dyDescent="0.35">
      <c r="A3502" s="7">
        <v>42482.740682870368</v>
      </c>
      <c r="B3502" s="8" t="str">
        <f>HYPERLINK("https://twitter.com/GecoGordon","@GecoGordon")</f>
        <v>@GecoGordon</v>
      </c>
      <c r="C3502" s="9" t="s">
        <v>8462</v>
      </c>
      <c r="D3502" s="9" t="s">
        <v>8463</v>
      </c>
      <c r="E3502" s="10" t="str">
        <f>HYPERLINK("https://twitter.com/GecoGordon/status/723485649588903941","723485649588903941")</f>
        <v>723485649588903941</v>
      </c>
      <c r="F3502" s="11" t="s">
        <v>48</v>
      </c>
      <c r="G3502" s="11">
        <v>118</v>
      </c>
      <c r="H3502" s="11">
        <v>513</v>
      </c>
      <c r="I3502" s="11">
        <v>0</v>
      </c>
      <c r="J3502" s="11">
        <v>0</v>
      </c>
      <c r="K3502" s="11" t="s">
        <v>21</v>
      </c>
      <c r="L3502" s="7">
        <v>41542.696493055555</v>
      </c>
      <c r="M3502" s="12" t="s">
        <v>8464</v>
      </c>
      <c r="N3502" s="12" t="s">
        <v>8465</v>
      </c>
      <c r="O3502" s="10" t="str">
        <f>HYPERLINK("https://pbs.twimg.com/profile_images/378800000505768436/b3aa9c71fd8ab9d43b6048fa60eeec23_normal.jpeg","View")</f>
        <v>View</v>
      </c>
      <c r="P3502" s="11"/>
    </row>
    <row r="3503" spans="1:16" ht="12.75" x14ac:dyDescent="0.35">
      <c r="A3503" s="7">
        <v>42482.740995370375</v>
      </c>
      <c r="B3503" s="8" t="str">
        <f>HYPERLINK("https://twitter.com/dermaschinist","@dermaschinist")</f>
        <v>@dermaschinist</v>
      </c>
      <c r="C3503" s="9" t="s">
        <v>2483</v>
      </c>
      <c r="D3503" s="9" t="s">
        <v>8466</v>
      </c>
      <c r="E3503" s="10" t="str">
        <f>HYPERLINK("https://twitter.com/dermaschinist/status/723485765490061312","723485765490061312")</f>
        <v>723485765490061312</v>
      </c>
      <c r="F3503" s="11" t="s">
        <v>2485</v>
      </c>
      <c r="G3503" s="11">
        <v>1831</v>
      </c>
      <c r="H3503" s="11">
        <v>1014</v>
      </c>
      <c r="I3503" s="11">
        <v>0</v>
      </c>
      <c r="J3503" s="11">
        <v>0</v>
      </c>
      <c r="K3503" s="11" t="s">
        <v>21</v>
      </c>
      <c r="L3503" s="7">
        <v>40022.197916666664</v>
      </c>
      <c r="M3503" s="12"/>
      <c r="N3503" s="12" t="s">
        <v>2486</v>
      </c>
      <c r="O3503" s="10" t="str">
        <f>HYPERLINK("https://pbs.twimg.com/profile_images/2990215932/3d67f4dbdf71510d4c8e81b422b73de8_normal.jpeg","View")</f>
        <v>View</v>
      </c>
      <c r="P3503" s="11"/>
    </row>
    <row r="3504" spans="1:16" ht="12.75" x14ac:dyDescent="0.35">
      <c r="A3504" s="7">
        <v>42482.741990740746</v>
      </c>
      <c r="B3504" s="8" t="str">
        <f>HYPERLINK("https://twitter.com/christophnebgen","@christophnebgen")</f>
        <v>@christophnebgen</v>
      </c>
      <c r="C3504" s="9" t="s">
        <v>8467</v>
      </c>
      <c r="D3504" s="9" t="s">
        <v>8468</v>
      </c>
      <c r="E3504" s="10" t="str">
        <f>HYPERLINK("https://twitter.com/christophnebgen/status/723486125071982593","723486125071982593")</f>
        <v>723486125071982593</v>
      </c>
      <c r="F3504" s="11" t="s">
        <v>43</v>
      </c>
      <c r="G3504" s="11">
        <v>531</v>
      </c>
      <c r="H3504" s="11">
        <v>516</v>
      </c>
      <c r="I3504" s="11">
        <v>0</v>
      </c>
      <c r="J3504" s="11">
        <v>2</v>
      </c>
      <c r="K3504" s="11" t="s">
        <v>21</v>
      </c>
      <c r="L3504" s="7">
        <v>40296.840497685189</v>
      </c>
      <c r="M3504" s="12" t="s">
        <v>8469</v>
      </c>
      <c r="N3504" s="12" t="s">
        <v>8470</v>
      </c>
      <c r="O3504" s="10" t="str">
        <f>HYPERLINK("https://pbs.twimg.com/profile_images/684732765040979968/9XRwAo0N_normal.jpg","View")</f>
        <v>View</v>
      </c>
      <c r="P3504" s="11"/>
    </row>
    <row r="3505" spans="1:16" ht="12.75" x14ac:dyDescent="0.35">
      <c r="A3505" s="7">
        <v>42482.741990740746</v>
      </c>
      <c r="B3505" s="8" t="str">
        <f>HYPERLINK("https://twitter.com/Mibran_de","@Mibran_de")</f>
        <v>@Mibran_de</v>
      </c>
      <c r="C3505" s="9" t="s">
        <v>8471</v>
      </c>
      <c r="D3505" s="9" t="s">
        <v>8472</v>
      </c>
      <c r="E3505" s="10" t="str">
        <f>HYPERLINK("https://twitter.com/Mibran_de/status/723486125545930752","723486125545930752")</f>
        <v>723486125545930752</v>
      </c>
      <c r="F3505" s="11" t="s">
        <v>43</v>
      </c>
      <c r="G3505" s="11">
        <v>62</v>
      </c>
      <c r="H3505" s="11">
        <v>116</v>
      </c>
      <c r="I3505" s="11">
        <v>0</v>
      </c>
      <c r="J3505" s="11">
        <v>0</v>
      </c>
      <c r="K3505" s="11" t="s">
        <v>21</v>
      </c>
      <c r="L3505" s="7">
        <v>41000.991481481484</v>
      </c>
      <c r="M3505" s="12" t="s">
        <v>8473</v>
      </c>
      <c r="N3505" s="12" t="s">
        <v>8474</v>
      </c>
      <c r="O3505" s="10" t="str">
        <f>HYPERLINK("https://pbs.twimg.com/profile_images/417981422599544833/ZyqPIdAf_normal.png","View")</f>
        <v>View</v>
      </c>
      <c r="P3505" s="11"/>
    </row>
    <row r="3506" spans="1:16" ht="12.75" x14ac:dyDescent="0.35">
      <c r="A3506" s="7">
        <v>42482.742164351846</v>
      </c>
      <c r="B3506" s="8" t="str">
        <f>HYPERLINK("https://twitter.com/FrVision","@FrVision")</f>
        <v>@FrVision</v>
      </c>
      <c r="C3506" s="9" t="s">
        <v>2292</v>
      </c>
      <c r="D3506" s="9" t="s">
        <v>8475</v>
      </c>
      <c r="E3506" s="10" t="str">
        <f>HYPERLINK("https://twitter.com/FrVision/status/723486185893580800","723486185893580800")</f>
        <v>723486185893580800</v>
      </c>
      <c r="F3506" s="11" t="s">
        <v>43</v>
      </c>
      <c r="G3506" s="11">
        <v>353</v>
      </c>
      <c r="H3506" s="11">
        <v>567</v>
      </c>
      <c r="I3506" s="11">
        <v>1</v>
      </c>
      <c r="J3506" s="11">
        <v>0</v>
      </c>
      <c r="K3506" s="11" t="s">
        <v>21</v>
      </c>
      <c r="L3506" s="7">
        <v>42294.64844907407</v>
      </c>
      <c r="M3506" s="12"/>
      <c r="N3506" s="12"/>
      <c r="O3506" s="10" t="str">
        <f>HYPERLINK("https://pbs.twimg.com/profile_images/655324200245272576/n6_8jlJ2_normal.jpg","View")</f>
        <v>View</v>
      </c>
      <c r="P3506" s="11"/>
    </row>
    <row r="3507" spans="1:16" ht="12.75" x14ac:dyDescent="0.35">
      <c r="A3507" s="7">
        <v>42482.7425462963</v>
      </c>
      <c r="B3507" s="8" t="str">
        <f>HYPERLINK("https://twitter.com/avariluna","@avariluna")</f>
        <v>@avariluna</v>
      </c>
      <c r="C3507" s="9" t="s">
        <v>8476</v>
      </c>
      <c r="D3507" s="9" t="s">
        <v>8183</v>
      </c>
      <c r="E3507" s="10" t="str">
        <f>HYPERLINK("https://twitter.com/avariluna/status/723486326859939840","723486326859939840")</f>
        <v>723486326859939840</v>
      </c>
      <c r="F3507" s="11" t="s">
        <v>91</v>
      </c>
      <c r="G3507" s="11">
        <v>519</v>
      </c>
      <c r="H3507" s="11">
        <v>377</v>
      </c>
      <c r="I3507" s="11">
        <v>4</v>
      </c>
      <c r="J3507" s="11">
        <v>0</v>
      </c>
      <c r="K3507" s="11" t="s">
        <v>21</v>
      </c>
      <c r="L3507" s="7">
        <v>41981.824421296296</v>
      </c>
      <c r="M3507" s="12" t="s">
        <v>1359</v>
      </c>
      <c r="N3507" s="12" t="s">
        <v>8477</v>
      </c>
      <c r="O3507" s="10" t="str">
        <f>HYPERLINK("https://pbs.twimg.com/profile_images/711081571940507648/Ly_okc0__normal.jpg","View")</f>
        <v>View</v>
      </c>
      <c r="P3507" s="11"/>
    </row>
    <row r="3508" spans="1:16" ht="12.75" x14ac:dyDescent="0.35">
      <c r="A3508" s="7">
        <v>42482.742662037039</v>
      </c>
      <c r="B3508" s="8" t="str">
        <f>HYPERLINK("https://twitter.com/hansjaaggi","@hansjaaggi")</f>
        <v>@hansjaaggi</v>
      </c>
      <c r="C3508" s="9" t="s">
        <v>8478</v>
      </c>
      <c r="D3508" s="9" t="s">
        <v>8479</v>
      </c>
      <c r="E3508" s="10" t="str">
        <f>HYPERLINK("https://twitter.com/hansjaaggi/status/723486366156382208","723486366156382208")</f>
        <v>723486366156382208</v>
      </c>
      <c r="F3508" s="11" t="s">
        <v>91</v>
      </c>
      <c r="G3508" s="11">
        <v>5006</v>
      </c>
      <c r="H3508" s="11">
        <v>5233</v>
      </c>
      <c r="I3508" s="11">
        <v>1</v>
      </c>
      <c r="J3508" s="11">
        <v>0</v>
      </c>
      <c r="K3508" s="11" t="s">
        <v>21</v>
      </c>
      <c r="L3508" s="7">
        <v>41231.198831018519</v>
      </c>
      <c r="M3508" s="12"/>
      <c r="N3508" s="12" t="s">
        <v>8480</v>
      </c>
      <c r="O3508" s="10" t="str">
        <f>HYPERLINK("https://pbs.twimg.com/profile_images/452789313554907137/h-Q_0Rw0_normal.jpeg","View")</f>
        <v>View</v>
      </c>
      <c r="P3508" s="11"/>
    </row>
    <row r="3509" spans="1:16" ht="12.75" x14ac:dyDescent="0.35">
      <c r="A3509" s="7">
        <v>42482.743148148147</v>
      </c>
      <c r="B3509" s="8" t="str">
        <f>HYPERLINK("https://twitter.com/flottenkenner","@flottenkenner")</f>
        <v>@flottenkenner</v>
      </c>
      <c r="C3509" s="9" t="s">
        <v>8481</v>
      </c>
      <c r="D3509" s="9" t="s">
        <v>8482</v>
      </c>
      <c r="E3509" s="10" t="str">
        <f>HYPERLINK("https://twitter.com/flottenkenner/status/723486544770793472","723486544770793472")</f>
        <v>723486544770793472</v>
      </c>
      <c r="F3509" s="11" t="s">
        <v>80</v>
      </c>
      <c r="G3509" s="11">
        <v>46</v>
      </c>
      <c r="H3509" s="11">
        <v>273</v>
      </c>
      <c r="I3509" s="11">
        <v>0</v>
      </c>
      <c r="J3509" s="11">
        <v>0</v>
      </c>
      <c r="K3509" s="11" t="s">
        <v>21</v>
      </c>
      <c r="L3509" s="7">
        <v>41952.189016203702</v>
      </c>
      <c r="M3509" s="12" t="s">
        <v>1931</v>
      </c>
      <c r="N3509" s="12"/>
      <c r="O3509" s="10" t="str">
        <f>HYPERLINK("https://pbs.twimg.com/profile_images/565209973353771008/JyTl73gv_normal.png","View")</f>
        <v>View</v>
      </c>
      <c r="P3509" s="11"/>
    </row>
    <row r="3510" spans="1:16" ht="12.75" x14ac:dyDescent="0.35">
      <c r="A3510" s="7">
        <v>42482.743287037039</v>
      </c>
      <c r="B3510" s="8" t="str">
        <f>HYPERLINK("https://twitter.com/angulosiete","@angulosiete")</f>
        <v>@angulosiete</v>
      </c>
      <c r="C3510" s="9" t="s">
        <v>3357</v>
      </c>
      <c r="D3510" s="9" t="s">
        <v>8483</v>
      </c>
      <c r="E3510" s="10" t="str">
        <f>HYPERLINK("https://twitter.com/angulosiete/status/723486595714809856","723486595714809856")</f>
        <v>723486595714809856</v>
      </c>
      <c r="F3510" s="11" t="s">
        <v>152</v>
      </c>
      <c r="G3510" s="11">
        <v>4768</v>
      </c>
      <c r="H3510" s="11">
        <v>262</v>
      </c>
      <c r="I3510" s="11">
        <v>0</v>
      </c>
      <c r="J3510" s="11">
        <v>0</v>
      </c>
      <c r="K3510" s="11" t="s">
        <v>21</v>
      </c>
      <c r="L3510" s="7">
        <v>41374.87777777778</v>
      </c>
      <c r="M3510" s="12" t="s">
        <v>3359</v>
      </c>
      <c r="N3510" s="12" t="s">
        <v>3360</v>
      </c>
      <c r="O3510" s="10" t="str">
        <f>HYPERLINK("https://pbs.twimg.com/profile_images/662021761534332932/p5J2iws__normal.jpg","View")</f>
        <v>View</v>
      </c>
      <c r="P3510" s="11"/>
    </row>
    <row r="3511" spans="1:16" ht="12.75" x14ac:dyDescent="0.35">
      <c r="A3511" s="7">
        <v>42482.745150462964</v>
      </c>
      <c r="B3511" s="8" t="str">
        <f>HYPERLINK("https://twitter.com/DrummerBrown","@DrummerBrown")</f>
        <v>@DrummerBrown</v>
      </c>
      <c r="C3511" s="9" t="s">
        <v>8484</v>
      </c>
      <c r="D3511" s="9" t="s">
        <v>8485</v>
      </c>
      <c r="E3511" s="10" t="str">
        <f>HYPERLINK("https://twitter.com/DrummerBrown/status/723487268971810816","723487268971810816")</f>
        <v>723487268971810816</v>
      </c>
      <c r="F3511" s="11" t="s">
        <v>114</v>
      </c>
      <c r="G3511" s="11">
        <v>323</v>
      </c>
      <c r="H3511" s="11">
        <v>267</v>
      </c>
      <c r="I3511" s="11">
        <v>0</v>
      </c>
      <c r="J3511" s="11">
        <v>0</v>
      </c>
      <c r="K3511" s="11" t="s">
        <v>21</v>
      </c>
      <c r="L3511" s="7">
        <v>40195.948113425926</v>
      </c>
      <c r="M3511" s="12" t="s">
        <v>8486</v>
      </c>
      <c r="N3511" s="12" t="s">
        <v>8487</v>
      </c>
      <c r="O3511" s="10" t="str">
        <f>HYPERLINK("https://pbs.twimg.com/profile_images/1258200843/image_normal.jpg","View")</f>
        <v>View</v>
      </c>
      <c r="P3511" s="11"/>
    </row>
    <row r="3512" spans="1:16" ht="12.75" x14ac:dyDescent="0.35">
      <c r="A3512" s="7">
        <v>42482.745925925927</v>
      </c>
      <c r="B3512" s="8" t="str">
        <f>HYPERLINK("https://twitter.com/VWBeetleSales","@VWBeetleSales")</f>
        <v>@VWBeetleSales</v>
      </c>
      <c r="C3512" s="9" t="s">
        <v>127</v>
      </c>
      <c r="D3512" s="9" t="s">
        <v>8488</v>
      </c>
      <c r="E3512" s="10" t="str">
        <f>HYPERLINK("https://twitter.com/VWBeetleSales/status/723487548899622912","723487548899622912")</f>
        <v>723487548899622912</v>
      </c>
      <c r="F3512" s="10" t="s">
        <v>124</v>
      </c>
      <c r="G3512" s="11">
        <v>36</v>
      </c>
      <c r="H3512" s="11">
        <v>32</v>
      </c>
      <c r="I3512" s="11">
        <v>0</v>
      </c>
      <c r="J3512" s="11">
        <v>0</v>
      </c>
      <c r="K3512" s="11" t="s">
        <v>21</v>
      </c>
      <c r="L3512" s="7">
        <v>42427.019756944443</v>
      </c>
      <c r="M3512" s="12" t="s">
        <v>129</v>
      </c>
      <c r="N3512" s="12" t="s">
        <v>130</v>
      </c>
      <c r="O3512" s="10" t="str">
        <f>HYPERLINK("https://pbs.twimg.com/profile_images/703294545195307008/qeCvrX86_normal.jpg","View")</f>
        <v>View</v>
      </c>
      <c r="P3512" s="11"/>
    </row>
    <row r="3513" spans="1:16" ht="12.75" x14ac:dyDescent="0.35">
      <c r="A3513" s="7">
        <v>42482.745937500003</v>
      </c>
      <c r="B3513" s="8" t="str">
        <f>HYPERLINK("https://twitter.com/mobile_gis","@mobile_gis")</f>
        <v>@mobile_gis</v>
      </c>
      <c r="C3513" s="9" t="s">
        <v>8489</v>
      </c>
      <c r="D3513" s="9" t="s">
        <v>8490</v>
      </c>
      <c r="E3513" s="10" t="str">
        <f>HYPERLINK("https://twitter.com/mobile_gis/status/723487554650124288","723487554650124288")</f>
        <v>723487554650124288</v>
      </c>
      <c r="F3513" s="11" t="s">
        <v>91</v>
      </c>
      <c r="G3513" s="11">
        <v>8734</v>
      </c>
      <c r="H3513" s="11">
        <v>9232</v>
      </c>
      <c r="I3513" s="11">
        <v>0</v>
      </c>
      <c r="J3513" s="11">
        <v>1</v>
      </c>
      <c r="K3513" s="11" t="s">
        <v>21</v>
      </c>
      <c r="L3513" s="7">
        <v>41432.631030092591</v>
      </c>
      <c r="M3513" s="12" t="s">
        <v>8491</v>
      </c>
      <c r="N3513" s="12" t="s">
        <v>8492</v>
      </c>
      <c r="O3513" s="10" t="str">
        <f>HYPERLINK("https://pbs.twimg.com/profile_images/709537836119289856/ToSxXNcU_normal.jpg","View")</f>
        <v>View</v>
      </c>
      <c r="P3513" s="11"/>
    </row>
    <row r="3514" spans="1:16" ht="12.75" x14ac:dyDescent="0.35">
      <c r="A3514" s="7">
        <v>42482.746608796297</v>
      </c>
      <c r="B3514" s="8" t="str">
        <f>HYPERLINK("https://twitter.com/thebugbar","@thebugbar")</f>
        <v>@thebugbar</v>
      </c>
      <c r="C3514" s="9" t="s">
        <v>8375</v>
      </c>
      <c r="D3514" s="9" t="s">
        <v>8493</v>
      </c>
      <c r="E3514" s="10" t="str">
        <f>HYPERLINK("https://twitter.com/thebugbar/status/723487798829944832","723487798829944832")</f>
        <v>723487798829944832</v>
      </c>
      <c r="F3514" s="11" t="s">
        <v>43</v>
      </c>
      <c r="G3514" s="11">
        <v>541</v>
      </c>
      <c r="H3514" s="11">
        <v>823</v>
      </c>
      <c r="I3514" s="11">
        <v>0</v>
      </c>
      <c r="J3514" s="11">
        <v>0</v>
      </c>
      <c r="K3514" s="11" t="s">
        <v>21</v>
      </c>
      <c r="L3514" s="7">
        <v>41218.921539351853</v>
      </c>
      <c r="M3514" s="12" t="s">
        <v>8377</v>
      </c>
      <c r="N3514" s="12" t="s">
        <v>8378</v>
      </c>
      <c r="O3514" s="10" t="str">
        <f>HYPERLINK("https://pbs.twimg.com/profile_images/2811019625/854e59145fe44a1333afd6f8facf095d_normal.jpeg","View")</f>
        <v>View</v>
      </c>
      <c r="P3514" s="11"/>
    </row>
    <row r="3515" spans="1:16" ht="12.75" x14ac:dyDescent="0.35">
      <c r="A3515" s="7">
        <v>42482.746990740736</v>
      </c>
      <c r="B3515" s="8" t="str">
        <f>HYPERLINK("https://twitter.com/martin_speer","@martin_speer")</f>
        <v>@martin_speer</v>
      </c>
      <c r="C3515" s="9" t="s">
        <v>8494</v>
      </c>
      <c r="D3515" s="9" t="s">
        <v>8495</v>
      </c>
      <c r="E3515" s="10" t="str">
        <f>HYPERLINK("https://twitter.com/martin_speer/status/723487937229414400","723487937229414400")</f>
        <v>723487937229414400</v>
      </c>
      <c r="F3515" s="11" t="s">
        <v>20</v>
      </c>
      <c r="G3515" s="11">
        <v>663</v>
      </c>
      <c r="H3515" s="11">
        <v>378</v>
      </c>
      <c r="I3515" s="11">
        <v>0</v>
      </c>
      <c r="J3515" s="11">
        <v>0</v>
      </c>
      <c r="K3515" s="11" t="s">
        <v>21</v>
      </c>
      <c r="L3515" s="7">
        <v>41127.612546296295</v>
      </c>
      <c r="M3515" s="12" t="s">
        <v>8040</v>
      </c>
      <c r="N3515" s="12" t="s">
        <v>8496</v>
      </c>
      <c r="O3515" s="10" t="str">
        <f>HYPERLINK("https://pbs.twimg.com/profile_images/499290018368598016/4mR--6E5_normal.jpeg","View")</f>
        <v>View</v>
      </c>
      <c r="P3515" s="11"/>
    </row>
    <row r="3516" spans="1:16" ht="12.75" x14ac:dyDescent="0.35">
      <c r="A3516" s="7">
        <v>42482.74726851852</v>
      </c>
      <c r="B3516" s="8" t="str">
        <f>HYPERLINK("https://twitter.com/richgoodingcom","@richgoodingcom")</f>
        <v>@richgoodingcom</v>
      </c>
      <c r="C3516" s="9" t="s">
        <v>8497</v>
      </c>
      <c r="D3516" s="9" t="s">
        <v>8498</v>
      </c>
      <c r="E3516" s="10" t="str">
        <f>HYPERLINK("https://twitter.com/richgoodingcom/status/723488039268282371","723488039268282371")</f>
        <v>723488039268282371</v>
      </c>
      <c r="F3516" s="11" t="s">
        <v>63</v>
      </c>
      <c r="G3516" s="11">
        <v>609</v>
      </c>
      <c r="H3516" s="11">
        <v>314</v>
      </c>
      <c r="I3516" s="11">
        <v>1</v>
      </c>
      <c r="J3516" s="11">
        <v>2</v>
      </c>
      <c r="K3516" s="11" t="s">
        <v>21</v>
      </c>
      <c r="L3516" s="7">
        <v>40511.873553240745</v>
      </c>
      <c r="M3516" s="12" t="s">
        <v>8499</v>
      </c>
      <c r="N3516" s="12" t="s">
        <v>8500</v>
      </c>
      <c r="O3516" s="10" t="str">
        <f>HYPERLINK("https://pbs.twimg.com/profile_images/626150798590902273/qUbM1D-g_normal.jpg","View")</f>
        <v>View</v>
      </c>
      <c r="P3516" s="11"/>
    </row>
    <row r="3517" spans="1:16" ht="12.75" x14ac:dyDescent="0.35">
      <c r="A3517" s="7">
        <v>42482.747361111113</v>
      </c>
      <c r="B3517" s="8" t="str">
        <f>HYPERLINK("https://twitter.com/rosco1407","@rosco1407")</f>
        <v>@rosco1407</v>
      </c>
      <c r="C3517" s="9" t="s">
        <v>8501</v>
      </c>
      <c r="D3517" s="9" t="s">
        <v>8502</v>
      </c>
      <c r="E3517" s="10" t="str">
        <f>HYPERLINK("https://twitter.com/rosco1407/status/723488071535198208","723488071535198208")</f>
        <v>723488071535198208</v>
      </c>
      <c r="F3517" s="11" t="s">
        <v>114</v>
      </c>
      <c r="G3517" s="11">
        <v>56</v>
      </c>
      <c r="H3517" s="11">
        <v>212</v>
      </c>
      <c r="I3517" s="11">
        <v>0</v>
      </c>
      <c r="J3517" s="11">
        <v>0</v>
      </c>
      <c r="K3517" s="11" t="s">
        <v>21</v>
      </c>
      <c r="L3517" s="7">
        <v>40939.718657407408</v>
      </c>
      <c r="M3517" s="12" t="s">
        <v>8503</v>
      </c>
      <c r="N3517" s="12" t="s">
        <v>8504</v>
      </c>
      <c r="O3517" s="10" t="str">
        <f>HYPERLINK("https://pbs.twimg.com/profile_images/647389023208636417/IRzMwcS4_normal.jpg","View")</f>
        <v>View</v>
      </c>
      <c r="P3517" s="11"/>
    </row>
    <row r="3518" spans="1:16" ht="12.75" x14ac:dyDescent="0.35">
      <c r="A3518" s="7">
        <v>42482.747986111106</v>
      </c>
      <c r="B3518" s="8" t="str">
        <f>HYPERLINK("https://twitter.com/edubtrips","@edubtrips")</f>
        <v>@edubtrips</v>
      </c>
      <c r="C3518" s="9" t="s">
        <v>8505</v>
      </c>
      <c r="D3518" s="9" t="s">
        <v>8506</v>
      </c>
      <c r="E3518" s="10" t="str">
        <f>HYPERLINK("https://twitter.com/edubtrips/status/723488295515246593","723488295515246593")</f>
        <v>723488295515246593</v>
      </c>
      <c r="F3518" s="11" t="s">
        <v>20</v>
      </c>
      <c r="G3518" s="11">
        <v>221</v>
      </c>
      <c r="H3518" s="11">
        <v>520</v>
      </c>
      <c r="I3518" s="11">
        <v>1</v>
      </c>
      <c r="J3518" s="11">
        <v>0</v>
      </c>
      <c r="K3518" s="11" t="s">
        <v>21</v>
      </c>
      <c r="L3518" s="7">
        <v>41759.010821759257</v>
      </c>
      <c r="M3518" s="12" t="s">
        <v>8507</v>
      </c>
      <c r="N3518" s="12" t="s">
        <v>8508</v>
      </c>
      <c r="O3518" s="10" t="str">
        <f>HYPERLINK("https://pbs.twimg.com/profile_images/461217174938726400/XO-I-jNV_normal.jpeg","View")</f>
        <v>View</v>
      </c>
      <c r="P3518" s="11"/>
    </row>
    <row r="3519" spans="1:16" ht="12.75" x14ac:dyDescent="0.35">
      <c r="A3519" s="7">
        <v>42482.748310185183</v>
      </c>
      <c r="B3519" s="8" t="str">
        <f>HYPERLINK("https://twitter.com/saving_grace","@saving_grace")</f>
        <v>@saving_grace</v>
      </c>
      <c r="C3519" s="9" t="s">
        <v>8509</v>
      </c>
      <c r="D3519" s="9" t="s">
        <v>8510</v>
      </c>
      <c r="E3519" s="10" t="str">
        <f>HYPERLINK("https://twitter.com/saving_grace/status/723488414083862528","723488414083862528")</f>
        <v>723488414083862528</v>
      </c>
      <c r="F3519" s="11" t="s">
        <v>20</v>
      </c>
      <c r="G3519" s="11">
        <v>2183</v>
      </c>
      <c r="H3519" s="11">
        <v>2538</v>
      </c>
      <c r="I3519" s="11">
        <v>0</v>
      </c>
      <c r="J3519" s="11">
        <v>1</v>
      </c>
      <c r="K3519" s="11" t="s">
        <v>21</v>
      </c>
      <c r="L3519" s="7">
        <v>39747.036770833336</v>
      </c>
      <c r="M3519" s="12" t="s">
        <v>8511</v>
      </c>
      <c r="N3519" s="12" t="s">
        <v>8512</v>
      </c>
      <c r="O3519" s="10" t="str">
        <f>HYPERLINK("https://pbs.twimg.com/profile_images/711302265798311936/Qd5jRkL4_normal.jpg","View")</f>
        <v>View</v>
      </c>
      <c r="P3519" s="11"/>
    </row>
    <row r="3520" spans="1:16" ht="12.75" x14ac:dyDescent="0.35">
      <c r="A3520" s="7">
        <v>42482.748680555553</v>
      </c>
      <c r="B3520" s="8" t="str">
        <f>HYPERLINK("https://twitter.com/PorscheOfficApp","@PorscheOfficApp")</f>
        <v>@PorscheOfficApp</v>
      </c>
      <c r="C3520" s="9" t="s">
        <v>7375</v>
      </c>
      <c r="D3520" s="9" t="s">
        <v>8438</v>
      </c>
      <c r="E3520" s="10" t="str">
        <f>HYPERLINK("https://twitter.com/PorscheOfficApp/status/723488548557578242","723488548557578242")</f>
        <v>723488548557578242</v>
      </c>
      <c r="F3520" s="11" t="s">
        <v>7375</v>
      </c>
      <c r="G3520" s="11">
        <v>658</v>
      </c>
      <c r="H3520" s="11">
        <v>270</v>
      </c>
      <c r="I3520" s="11">
        <v>2</v>
      </c>
      <c r="J3520" s="11">
        <v>0</v>
      </c>
      <c r="K3520" s="11" t="s">
        <v>21</v>
      </c>
      <c r="L3520" s="7">
        <v>42374.718981481477</v>
      </c>
      <c r="M3520" s="12" t="s">
        <v>2646</v>
      </c>
      <c r="N3520" s="12" t="s">
        <v>7377</v>
      </c>
      <c r="O3520" s="10" t="str">
        <f>HYPERLINK("https://pbs.twimg.com/profile_images/684716541322072065/eXpLts42_normal.jpg","View")</f>
        <v>View</v>
      </c>
      <c r="P3520" s="11"/>
    </row>
    <row r="3521" spans="1:16" ht="12.75" x14ac:dyDescent="0.35">
      <c r="A3521" s="7">
        <v>42482.748680555553</v>
      </c>
      <c r="B3521" s="8" t="str">
        <f>HYPERLINK("https://twitter.com/erikvindedzis","@erikvindedzis")</f>
        <v>@erikvindedzis</v>
      </c>
      <c r="C3521" s="9" t="s">
        <v>8513</v>
      </c>
      <c r="D3521" s="9" t="s">
        <v>8172</v>
      </c>
      <c r="E3521" s="10" t="str">
        <f>HYPERLINK("https://twitter.com/erikvindedzis/status/723488548792344577","723488548792344577")</f>
        <v>723488548792344577</v>
      </c>
      <c r="F3521" s="11" t="s">
        <v>48</v>
      </c>
      <c r="G3521" s="11">
        <v>163</v>
      </c>
      <c r="H3521" s="11">
        <v>234</v>
      </c>
      <c r="I3521" s="11">
        <v>2</v>
      </c>
      <c r="J3521" s="11">
        <v>0</v>
      </c>
      <c r="K3521" s="11" t="s">
        <v>21</v>
      </c>
      <c r="L3521" s="7">
        <v>39822.346550925926</v>
      </c>
      <c r="M3521" s="12" t="s">
        <v>8514</v>
      </c>
      <c r="N3521" s="12" t="s">
        <v>8515</v>
      </c>
      <c r="O3521" s="10" t="str">
        <f>HYPERLINK("https://pbs.twimg.com/profile_images/544893247772839936/xDVB6iNf_normal.jpeg","View")</f>
        <v>View</v>
      </c>
      <c r="P3521" s="11"/>
    </row>
    <row r="3522" spans="1:16" ht="12.75" x14ac:dyDescent="0.35">
      <c r="A3522" s="7">
        <v>42482.748958333337</v>
      </c>
      <c r="B3522" s="8" t="str">
        <f>HYPERLINK("https://twitter.com/thebugbar","@thebugbar")</f>
        <v>@thebugbar</v>
      </c>
      <c r="C3522" s="9" t="s">
        <v>8375</v>
      </c>
      <c r="D3522" s="9" t="s">
        <v>8516</v>
      </c>
      <c r="E3522" s="10" t="str">
        <f>HYPERLINK("https://twitter.com/thebugbar/status/723488648113606656","723488648113606656")</f>
        <v>723488648113606656</v>
      </c>
      <c r="F3522" s="11" t="s">
        <v>43</v>
      </c>
      <c r="G3522" s="11">
        <v>541</v>
      </c>
      <c r="H3522" s="11">
        <v>823</v>
      </c>
      <c r="I3522" s="11">
        <v>0</v>
      </c>
      <c r="J3522" s="11">
        <v>0</v>
      </c>
      <c r="K3522" s="11" t="s">
        <v>21</v>
      </c>
      <c r="L3522" s="7">
        <v>41218.921539351853</v>
      </c>
      <c r="M3522" s="12" t="s">
        <v>8377</v>
      </c>
      <c r="N3522" s="12" t="s">
        <v>8378</v>
      </c>
      <c r="O3522" s="10" t="str">
        <f>HYPERLINK("https://pbs.twimg.com/profile_images/2811019625/854e59145fe44a1333afd6f8facf095d_normal.jpeg","View")</f>
        <v>View</v>
      </c>
      <c r="P3522" s="11"/>
    </row>
    <row r="3523" spans="1:16" ht="12.75" x14ac:dyDescent="0.35">
      <c r="A3523" s="7">
        <v>42482.749120370368</v>
      </c>
      <c r="B3523" s="8" t="str">
        <f>HYPERLINK("https://twitter.com/GecoGordon","@GecoGordon")</f>
        <v>@GecoGordon</v>
      </c>
      <c r="C3523" s="9" t="s">
        <v>8462</v>
      </c>
      <c r="D3523" s="9" t="s">
        <v>8517</v>
      </c>
      <c r="E3523" s="10" t="str">
        <f>HYPERLINK("https://twitter.com/GecoGordon/status/723488709660700673","723488709660700673")</f>
        <v>723488709660700673</v>
      </c>
      <c r="F3523" s="11" t="s">
        <v>48</v>
      </c>
      <c r="G3523" s="11">
        <v>118</v>
      </c>
      <c r="H3523" s="11">
        <v>513</v>
      </c>
      <c r="I3523" s="11">
        <v>0</v>
      </c>
      <c r="J3523" s="11">
        <v>0</v>
      </c>
      <c r="K3523" s="11" t="s">
        <v>21</v>
      </c>
      <c r="L3523" s="7">
        <v>41542.696493055555</v>
      </c>
      <c r="M3523" s="12" t="s">
        <v>8464</v>
      </c>
      <c r="N3523" s="12" t="s">
        <v>8465</v>
      </c>
      <c r="O3523" s="10" t="str">
        <f>HYPERLINK("https://pbs.twimg.com/profile_images/378800000505768436/b3aa9c71fd8ab9d43b6048fa60eeec23_normal.jpeg","View")</f>
        <v>View</v>
      </c>
      <c r="P3523" s="11"/>
    </row>
    <row r="3524" spans="1:16" ht="12.75" x14ac:dyDescent="0.35">
      <c r="A3524" s="7">
        <v>42482.749432870369</v>
      </c>
      <c r="B3524" s="8" t="str">
        <f>HYPERLINK("https://twitter.com/manliomannozzi","@manliomannozzi")</f>
        <v>@manliomannozzi</v>
      </c>
      <c r="C3524" s="9" t="s">
        <v>8518</v>
      </c>
      <c r="D3524" s="9" t="s">
        <v>8519</v>
      </c>
      <c r="E3524" s="10" t="str">
        <f>HYPERLINK("https://twitter.com/manliomannozzi/status/723488823661846528","723488823661846528")</f>
        <v>723488823661846528</v>
      </c>
      <c r="F3524" s="11" t="s">
        <v>114</v>
      </c>
      <c r="G3524" s="11">
        <v>24115</v>
      </c>
      <c r="H3524" s="11">
        <v>14032</v>
      </c>
      <c r="I3524" s="11">
        <v>0</v>
      </c>
      <c r="J3524" s="11">
        <v>0</v>
      </c>
      <c r="K3524" s="11" t="s">
        <v>21</v>
      </c>
      <c r="L3524" s="7">
        <v>40439.578877314816</v>
      </c>
      <c r="M3524" s="12" t="s">
        <v>8520</v>
      </c>
      <c r="N3524" s="12" t="s">
        <v>8521</v>
      </c>
      <c r="O3524" s="10" t="str">
        <f>HYPERLINK("https://pbs.twimg.com/profile_images/454561394457735168/cYRjvFIb_normal.png","View")</f>
        <v>View</v>
      </c>
      <c r="P3524" s="11"/>
    </row>
    <row r="3525" spans="1:16" ht="12.75" x14ac:dyDescent="0.35">
      <c r="A3525" s="7">
        <v>42482.750300925924</v>
      </c>
      <c r="B3525" s="8" t="str">
        <f>HYPERLINK("https://twitter.com/LoCITYUK","@LoCITYUK")</f>
        <v>@LoCITYUK</v>
      </c>
      <c r="C3525" s="9" t="s">
        <v>8522</v>
      </c>
      <c r="D3525" s="9" t="s">
        <v>8523</v>
      </c>
      <c r="E3525" s="10" t="str">
        <f>HYPERLINK("https://twitter.com/LoCITYUK/status/723489137270095872","723489137270095872")</f>
        <v>723489137270095872</v>
      </c>
      <c r="F3525" s="11" t="s">
        <v>152</v>
      </c>
      <c r="G3525" s="11">
        <v>128</v>
      </c>
      <c r="H3525" s="11">
        <v>178</v>
      </c>
      <c r="I3525" s="11">
        <v>0</v>
      </c>
      <c r="J3525" s="11">
        <v>0</v>
      </c>
      <c r="K3525" s="11" t="s">
        <v>21</v>
      </c>
      <c r="L3525" s="7">
        <v>42375.701006944444</v>
      </c>
      <c r="M3525" s="12"/>
      <c r="N3525" s="12"/>
      <c r="O3525" s="10" t="str">
        <f>HYPERLINK("https://pbs.twimg.com/profile_images/684696806031278080/tL9uAMHL_normal.jpg","View")</f>
        <v>View</v>
      </c>
      <c r="P3525" s="11"/>
    </row>
    <row r="3526" spans="1:16" ht="12.75" x14ac:dyDescent="0.35">
      <c r="A3526" s="7">
        <v>42482.750625000001</v>
      </c>
      <c r="B3526" s="8" t="str">
        <f>HYPERLINK("https://twitter.com/nzzwirtschaft","@nzzwirtschaft")</f>
        <v>@nzzwirtschaft</v>
      </c>
      <c r="C3526" s="9" t="s">
        <v>8524</v>
      </c>
      <c r="D3526" s="9" t="s">
        <v>8525</v>
      </c>
      <c r="E3526" s="10" t="str">
        <f>HYPERLINK("https://twitter.com/nzzwirtschaft/status/723489254442164228","723489254442164228")</f>
        <v>723489254442164228</v>
      </c>
      <c r="F3526" s="11" t="s">
        <v>63</v>
      </c>
      <c r="G3526" s="11">
        <v>1344</v>
      </c>
      <c r="H3526" s="11">
        <v>82</v>
      </c>
      <c r="I3526" s="11">
        <v>1</v>
      </c>
      <c r="J3526" s="11">
        <v>0</v>
      </c>
      <c r="K3526" s="11" t="s">
        <v>21</v>
      </c>
      <c r="L3526" s="7">
        <v>40800.659722222219</v>
      </c>
      <c r="M3526" s="12" t="s">
        <v>6853</v>
      </c>
      <c r="N3526" s="12" t="s">
        <v>8526</v>
      </c>
      <c r="O3526" s="10" t="str">
        <f>HYPERLINK("https://pbs.twimg.com/profile_images/378800000442162946/ebfcb0ee4c3c48b161f46ed046b9f28a_normal.jpeg","View")</f>
        <v>View</v>
      </c>
      <c r="P3526" s="11"/>
    </row>
    <row r="3527" spans="1:16" ht="12.75" x14ac:dyDescent="0.35">
      <c r="A3527" s="7">
        <v>42482.750949074078</v>
      </c>
      <c r="B3527" s="8" t="str">
        <f>HYPERLINK("https://twitter.com/Jim_Holder","@Jim_Holder")</f>
        <v>@Jim_Holder</v>
      </c>
      <c r="C3527" s="9" t="s">
        <v>8527</v>
      </c>
      <c r="D3527" s="9" t="s">
        <v>8528</v>
      </c>
      <c r="E3527" s="10" t="str">
        <f>HYPERLINK("https://twitter.com/Jim_Holder/status/723489369244483585","723489369244483585")</f>
        <v>723489369244483585</v>
      </c>
      <c r="F3527" s="11" t="s">
        <v>43</v>
      </c>
      <c r="G3527" s="11">
        <v>8980</v>
      </c>
      <c r="H3527" s="11">
        <v>784</v>
      </c>
      <c r="I3527" s="11">
        <v>0</v>
      </c>
      <c r="J3527" s="11">
        <v>0</v>
      </c>
      <c r="K3527" s="11" t="s">
        <v>21</v>
      </c>
      <c r="L3527" s="7">
        <v>40378.718576388885</v>
      </c>
      <c r="M3527" s="12" t="s">
        <v>638</v>
      </c>
      <c r="N3527" s="12" t="s">
        <v>8529</v>
      </c>
      <c r="O3527" s="10" t="str">
        <f>HYPERLINK("https://pbs.twimg.com/profile_images/524515757250453504/EjT5oPQ8_normal.jpeg","View")</f>
        <v>View</v>
      </c>
      <c r="P3527" s="11"/>
    </row>
    <row r="3528" spans="1:16" ht="12.75" x14ac:dyDescent="0.35">
      <c r="A3528" s="7">
        <v>42482.750983796301</v>
      </c>
      <c r="B3528" s="8" t="str">
        <f>HYPERLINK("https://twitter.com/aurorasentinel","@aurorasentinel")</f>
        <v>@aurorasentinel</v>
      </c>
      <c r="C3528" s="9" t="s">
        <v>8530</v>
      </c>
      <c r="D3528" s="9" t="s">
        <v>8531</v>
      </c>
      <c r="E3528" s="10" t="str">
        <f>HYPERLINK("https://twitter.com/aurorasentinel/status/723489384780189696","723489384780189696")</f>
        <v>723489384780189696</v>
      </c>
      <c r="F3528" s="11" t="s">
        <v>152</v>
      </c>
      <c r="G3528" s="11">
        <v>5728</v>
      </c>
      <c r="H3528" s="11">
        <v>538</v>
      </c>
      <c r="I3528" s="11">
        <v>1</v>
      </c>
      <c r="J3528" s="11">
        <v>1</v>
      </c>
      <c r="K3528" s="11" t="s">
        <v>21</v>
      </c>
      <c r="L3528" s="7">
        <v>39910.115925925929</v>
      </c>
      <c r="M3528" s="12" t="s">
        <v>8532</v>
      </c>
      <c r="N3528" s="12" t="s">
        <v>8533</v>
      </c>
      <c r="O3528" s="10" t="str">
        <f>HYPERLINK("https://pbs.twimg.com/profile_images/632951983209476096/aMWtpptN_normal.jpg","View")</f>
        <v>View</v>
      </c>
      <c r="P3528" s="11"/>
    </row>
    <row r="3529" spans="1:16" ht="12.75" x14ac:dyDescent="0.35">
      <c r="A3529" s="7">
        <v>42482.751134259262</v>
      </c>
      <c r="B3529" s="8" t="str">
        <f>HYPERLINK("https://twitter.com/EditorDavePerry","@EditorDavePerry")</f>
        <v>@EditorDavePerry</v>
      </c>
      <c r="C3529" s="9" t="s">
        <v>8534</v>
      </c>
      <c r="D3529" s="9" t="s">
        <v>8535</v>
      </c>
      <c r="E3529" s="10" t="str">
        <f>HYPERLINK("https://twitter.com/EditorDavePerry/status/723489438316163073","723489438316163073")</f>
        <v>723489438316163073</v>
      </c>
      <c r="F3529" s="11" t="s">
        <v>63</v>
      </c>
      <c r="G3529" s="11">
        <v>718</v>
      </c>
      <c r="H3529" s="11">
        <v>573</v>
      </c>
      <c r="I3529" s="11">
        <v>1</v>
      </c>
      <c r="J3529" s="11">
        <v>0</v>
      </c>
      <c r="K3529" s="11" t="s">
        <v>21</v>
      </c>
      <c r="L3529" s="7">
        <v>39857.153877314813</v>
      </c>
      <c r="M3529" s="12" t="s">
        <v>8536</v>
      </c>
      <c r="N3529" s="12" t="s">
        <v>8537</v>
      </c>
      <c r="O3529" s="10" t="str">
        <f>HYPERLINK("https://pbs.twimg.com/profile_images/565191311045570560/dP-uL0q4_normal.jpeg","View")</f>
        <v>View</v>
      </c>
      <c r="P3529" s="11"/>
    </row>
    <row r="3530" spans="1:16" ht="12.75" x14ac:dyDescent="0.35">
      <c r="A3530" s="7">
        <v>42482.751342592594</v>
      </c>
      <c r="B3530" s="8" t="str">
        <f>HYPERLINK("https://twitter.com/JuveVerlag_RB","@JuveVerlag_RB")</f>
        <v>@JuveVerlag_RB</v>
      </c>
      <c r="C3530" s="9" t="s">
        <v>8538</v>
      </c>
      <c r="D3530" s="9" t="s">
        <v>8539</v>
      </c>
      <c r="E3530" s="10" t="str">
        <f>HYPERLINK("https://twitter.com/JuveVerlag_RB/status/723489514006650884","723489514006650884")</f>
        <v>723489514006650884</v>
      </c>
      <c r="F3530" s="11" t="s">
        <v>43</v>
      </c>
      <c r="G3530" s="11">
        <v>129</v>
      </c>
      <c r="H3530" s="11">
        <v>37</v>
      </c>
      <c r="I3530" s="11">
        <v>1</v>
      </c>
      <c r="J3530" s="11">
        <v>0</v>
      </c>
      <c r="K3530" s="11" t="s">
        <v>21</v>
      </c>
      <c r="L3530" s="7">
        <v>42270.849861111114</v>
      </c>
      <c r="M3530" s="12" t="s">
        <v>1241</v>
      </c>
      <c r="N3530" s="12" t="s">
        <v>8540</v>
      </c>
      <c r="O3530" s="10" t="str">
        <f>HYPERLINK("https://pbs.twimg.com/profile_images/646704845915865088/Gk_JUftC_normal.jpg","View")</f>
        <v>View</v>
      </c>
      <c r="P3530" s="11"/>
    </row>
    <row r="3531" spans="1:16" ht="12.75" x14ac:dyDescent="0.35">
      <c r="A3531" s="7">
        <v>42482.752118055556</v>
      </c>
      <c r="B3531" s="8" t="str">
        <f>HYPERLINK("https://twitter.com/AutoExpress","@AutoExpress")</f>
        <v>@AutoExpress</v>
      </c>
      <c r="C3531" s="9" t="s">
        <v>1973</v>
      </c>
      <c r="D3531" s="9" t="s">
        <v>8541</v>
      </c>
      <c r="E3531" s="10" t="str">
        <f>HYPERLINK("https://twitter.com/AutoExpress/status/723489794131533825","723489794131533825")</f>
        <v>723489794131533825</v>
      </c>
      <c r="F3531" s="11" t="s">
        <v>63</v>
      </c>
      <c r="G3531" s="11">
        <v>93143</v>
      </c>
      <c r="H3531" s="11">
        <v>776</v>
      </c>
      <c r="I3531" s="11">
        <v>0</v>
      </c>
      <c r="J3531" s="11">
        <v>0</v>
      </c>
      <c r="K3531" s="11" t="s">
        <v>21</v>
      </c>
      <c r="L3531" s="7">
        <v>39869.653437499997</v>
      </c>
      <c r="M3531" s="12" t="s">
        <v>638</v>
      </c>
      <c r="N3531" s="12" t="s">
        <v>1975</v>
      </c>
      <c r="O3531" s="10" t="str">
        <f>HYPERLINK("https://pbs.twimg.com/profile_images/378800000673633859/9729e4c280465095c6f835c9f6b36378_normal.jpeg","View")</f>
        <v>View</v>
      </c>
      <c r="P3531" s="11"/>
    </row>
    <row r="3532" spans="1:16" ht="12.75" x14ac:dyDescent="0.35">
      <c r="A3532" s="7">
        <v>42482.752141203702</v>
      </c>
      <c r="B3532" s="8" t="str">
        <f>HYPERLINK("https://twitter.com/DeezaSunglasses","@DeezaSunglasses")</f>
        <v>@DeezaSunglasses</v>
      </c>
      <c r="C3532" s="9" t="s">
        <v>1124</v>
      </c>
      <c r="D3532" s="9" t="s">
        <v>8542</v>
      </c>
      <c r="E3532" s="10" t="str">
        <f>HYPERLINK("https://twitter.com/DeezaSunglasses/status/723489801291350017","723489801291350017")</f>
        <v>723489801291350017</v>
      </c>
      <c r="F3532" s="11" t="s">
        <v>68</v>
      </c>
      <c r="G3532" s="11">
        <v>3239</v>
      </c>
      <c r="H3532" s="11">
        <v>3473</v>
      </c>
      <c r="I3532" s="11">
        <v>0</v>
      </c>
      <c r="J3532" s="11">
        <v>0</v>
      </c>
      <c r="K3532" s="11" t="s">
        <v>21</v>
      </c>
      <c r="L3532" s="7">
        <v>42339.964849537035</v>
      </c>
      <c r="M3532" s="12"/>
      <c r="N3532" s="12" t="s">
        <v>1126</v>
      </c>
      <c r="O3532" s="10" t="str">
        <f>HYPERLINK("https://pbs.twimg.com/profile_images/681930519152619524/O4FX8h-k_normal.jpg","View")</f>
        <v>View</v>
      </c>
      <c r="P3532" s="11"/>
    </row>
    <row r="3533" spans="1:16" ht="12.75" x14ac:dyDescent="0.35">
      <c r="A3533" s="7">
        <v>42482.752905092595</v>
      </c>
      <c r="B3533" s="8" t="str">
        <f>HYPERLINK("https://twitter.com/noz_de","@noz_de")</f>
        <v>@noz_de</v>
      </c>
      <c r="C3533" s="9" t="s">
        <v>2593</v>
      </c>
      <c r="D3533" s="9" t="s">
        <v>8543</v>
      </c>
      <c r="E3533" s="10" t="str">
        <f>HYPERLINK("https://twitter.com/noz_de/status/723490079965061120","723490079965061120")</f>
        <v>723490079965061120</v>
      </c>
      <c r="F3533" s="11" t="s">
        <v>63</v>
      </c>
      <c r="G3533" s="11">
        <v>11051</v>
      </c>
      <c r="H3533" s="11">
        <v>361</v>
      </c>
      <c r="I3533" s="11">
        <v>0</v>
      </c>
      <c r="J3533" s="11">
        <v>1</v>
      </c>
      <c r="K3533" s="11" t="s">
        <v>21</v>
      </c>
      <c r="L3533" s="7">
        <v>39906.609907407408</v>
      </c>
      <c r="M3533" s="12" t="s">
        <v>2595</v>
      </c>
      <c r="N3533" s="12" t="s">
        <v>2596</v>
      </c>
      <c r="O3533" s="10" t="str">
        <f>HYPERLINK("https://pbs.twimg.com/profile_images/632074137289277440/vJykSc8L_normal.png","View")</f>
        <v>View</v>
      </c>
      <c r="P3533" s="11"/>
    </row>
    <row r="3534" spans="1:16" ht="12.75" x14ac:dyDescent="0.35">
      <c r="A3534" s="7">
        <v>42482.752905092595</v>
      </c>
      <c r="B3534" s="8" t="str">
        <f>HYPERLINK("https://twitter.com/noz_el","@noz_el")</f>
        <v>@noz_el</v>
      </c>
      <c r="C3534" s="9" t="s">
        <v>2597</v>
      </c>
      <c r="D3534" s="9" t="s">
        <v>8544</v>
      </c>
      <c r="E3534" s="10" t="str">
        <f>HYPERLINK("https://twitter.com/noz_el/status/723490079990243329","723490079990243329")</f>
        <v>723490079990243329</v>
      </c>
      <c r="F3534" s="11" t="s">
        <v>63</v>
      </c>
      <c r="G3534" s="11">
        <v>1530</v>
      </c>
      <c r="H3534" s="11">
        <v>80</v>
      </c>
      <c r="I3534" s="11">
        <v>0</v>
      </c>
      <c r="J3534" s="11">
        <v>1</v>
      </c>
      <c r="K3534" s="11" t="s">
        <v>21</v>
      </c>
      <c r="L3534" s="7">
        <v>41292.907337962963</v>
      </c>
      <c r="M3534" s="12" t="s">
        <v>2595</v>
      </c>
      <c r="N3534" s="12" t="s">
        <v>2599</v>
      </c>
      <c r="O3534" s="10" t="str">
        <f>HYPERLINK("https://pbs.twimg.com/profile_images/632074492798443520/j3zHKAI2_normal.png","View")</f>
        <v>View</v>
      </c>
      <c r="P3534" s="11"/>
    </row>
    <row r="3535" spans="1:16" ht="12.75" x14ac:dyDescent="0.35">
      <c r="A3535" s="7">
        <v>42482.753495370373</v>
      </c>
      <c r="B3535" s="8" t="str">
        <f>HYPERLINK("https://twitter.com/ErikDurr","@ErikDurr")</f>
        <v>@ErikDurr</v>
      </c>
      <c r="C3535" s="9" t="s">
        <v>8545</v>
      </c>
      <c r="D3535" s="9" t="s">
        <v>8546</v>
      </c>
      <c r="E3535" s="10" t="str">
        <f>HYPERLINK("https://twitter.com/ErikDurr/status/723490293450985472","723490293450985472")</f>
        <v>723490293450985472</v>
      </c>
      <c r="F3535" s="11" t="s">
        <v>114</v>
      </c>
      <c r="G3535" s="11">
        <v>132</v>
      </c>
      <c r="H3535" s="11">
        <v>297</v>
      </c>
      <c r="I3535" s="11">
        <v>0</v>
      </c>
      <c r="J3535" s="11">
        <v>0</v>
      </c>
      <c r="K3535" s="11" t="s">
        <v>21</v>
      </c>
      <c r="L3535" s="7">
        <v>40038.389884259261</v>
      </c>
      <c r="M3535" s="12" t="s">
        <v>8547</v>
      </c>
      <c r="N3535" s="12" t="s">
        <v>8548</v>
      </c>
      <c r="O3535" s="10" t="str">
        <f>HYPERLINK("https://pbs.twimg.com/profile_images/624226571474202624/LucRDb7k_normal.jpg","View")</f>
        <v>View</v>
      </c>
      <c r="P3535" s="11"/>
    </row>
    <row r="3536" spans="1:16" ht="12.75" x14ac:dyDescent="0.35">
      <c r="A3536" s="7">
        <v>42482.753541666665</v>
      </c>
      <c r="B3536" s="8" t="str">
        <f>HYPERLINK("https://twitter.com/believebecca","@believebecca")</f>
        <v>@believebecca</v>
      </c>
      <c r="C3536" s="9" t="s">
        <v>8549</v>
      </c>
      <c r="D3536" s="9" t="s">
        <v>8506</v>
      </c>
      <c r="E3536" s="10" t="str">
        <f>HYPERLINK("https://twitter.com/believebecca/status/723490312149151745","723490312149151745")</f>
        <v>723490312149151745</v>
      </c>
      <c r="F3536" s="11" t="s">
        <v>20</v>
      </c>
      <c r="G3536" s="11">
        <v>1906</v>
      </c>
      <c r="H3536" s="11">
        <v>986</v>
      </c>
      <c r="I3536" s="11">
        <v>2</v>
      </c>
      <c r="J3536" s="11">
        <v>0</v>
      </c>
      <c r="K3536" s="11" t="s">
        <v>21</v>
      </c>
      <c r="L3536" s="7">
        <v>39854.845555555556</v>
      </c>
      <c r="M3536" s="12" t="s">
        <v>8550</v>
      </c>
      <c r="N3536" s="12" t="s">
        <v>8551</v>
      </c>
      <c r="O3536" s="10" t="str">
        <f>HYPERLINK("https://pbs.twimg.com/profile_images/719076366004695040/rp6qAei9_normal.jpg","View")</f>
        <v>View</v>
      </c>
      <c r="P3536" s="11"/>
    </row>
    <row r="3537" spans="1:16" ht="12.75" x14ac:dyDescent="0.35">
      <c r="A3537" s="7">
        <v>42482.754236111112</v>
      </c>
      <c r="B3537" s="8" t="str">
        <f>HYPERLINK("https://twitter.com/xius2","@xius2")</f>
        <v>@xius2</v>
      </c>
      <c r="C3537" s="9" t="s">
        <v>8552</v>
      </c>
      <c r="D3537" s="9" t="s">
        <v>8553</v>
      </c>
      <c r="E3537" s="10" t="str">
        <f>HYPERLINK("https://twitter.com/xius2/status/723490562863706112","723490562863706112")</f>
        <v>723490562863706112</v>
      </c>
      <c r="F3537" s="11" t="s">
        <v>48</v>
      </c>
      <c r="G3537" s="11">
        <v>58</v>
      </c>
      <c r="H3537" s="11">
        <v>214</v>
      </c>
      <c r="I3537" s="11">
        <v>2</v>
      </c>
      <c r="J3537" s="11">
        <v>0</v>
      </c>
      <c r="K3537" s="11" t="s">
        <v>21</v>
      </c>
      <c r="L3537" s="7">
        <v>40324.554675925923</v>
      </c>
      <c r="M3537" s="12" t="s">
        <v>8554</v>
      </c>
      <c r="N3537" s="12" t="s">
        <v>8555</v>
      </c>
      <c r="O3537" s="10" t="str">
        <f>HYPERLINK("https://pbs.twimg.com/profile_images/463363891880550400/efGoRCEZ_normal.jpeg","View")</f>
        <v>View</v>
      </c>
      <c r="P3537" s="11"/>
    </row>
    <row r="3538" spans="1:16" ht="12.75" x14ac:dyDescent="0.35">
      <c r="A3538" s="7">
        <v>42482.754548611112</v>
      </c>
      <c r="B3538" s="8" t="str">
        <f>HYPERLINK("https://twitter.com/wolke76k","@wolke76k")</f>
        <v>@wolke76k</v>
      </c>
      <c r="C3538" s="9" t="s">
        <v>8556</v>
      </c>
      <c r="D3538" s="9" t="s">
        <v>8183</v>
      </c>
      <c r="E3538" s="10" t="str">
        <f>HYPERLINK("https://twitter.com/wolke76k/status/723490675707260928","723490675707260928")</f>
        <v>723490675707260928</v>
      </c>
      <c r="F3538" s="11" t="s">
        <v>20</v>
      </c>
      <c r="G3538" s="11">
        <v>2</v>
      </c>
      <c r="H3538" s="11">
        <v>14</v>
      </c>
      <c r="I3538" s="11">
        <v>5</v>
      </c>
      <c r="J3538" s="11">
        <v>0</v>
      </c>
      <c r="K3538" s="11" t="s">
        <v>21</v>
      </c>
      <c r="L3538" s="7">
        <v>42473.955925925926</v>
      </c>
      <c r="M3538" s="12" t="s">
        <v>8557</v>
      </c>
      <c r="N3538" s="12"/>
      <c r="O3538" s="10" t="str">
        <f>HYPERLINK("https://pbs.twimg.com/profile_images/720952664310341632/IAQabY5W_normal.jpg","View")</f>
        <v>View</v>
      </c>
      <c r="P3538" s="11"/>
    </row>
    <row r="3539" spans="1:16" ht="12.75" x14ac:dyDescent="0.35">
      <c r="A3539" s="7">
        <v>42482.754988425921</v>
      </c>
      <c r="B3539" s="8" t="str">
        <f>HYPERLINK("https://twitter.com/TAOnline","@TAOnline")</f>
        <v>@TAOnline</v>
      </c>
      <c r="C3539" s="9" t="s">
        <v>8558</v>
      </c>
      <c r="D3539" s="9" t="s">
        <v>8559</v>
      </c>
      <c r="E3539" s="10" t="str">
        <f>HYPERLINK("https://twitter.com/TAOnline/status/723490836206497792","723490836206497792")</f>
        <v>723490836206497792</v>
      </c>
      <c r="F3539" s="11" t="s">
        <v>43</v>
      </c>
      <c r="G3539" s="11">
        <v>8519</v>
      </c>
      <c r="H3539" s="11">
        <v>494</v>
      </c>
      <c r="I3539" s="11">
        <v>0</v>
      </c>
      <c r="J3539" s="11">
        <v>0</v>
      </c>
      <c r="K3539" s="11" t="s">
        <v>21</v>
      </c>
      <c r="L3539" s="7">
        <v>39845.925798611112</v>
      </c>
      <c r="M3539" s="12" t="s">
        <v>8560</v>
      </c>
      <c r="N3539" s="12" t="s">
        <v>8561</v>
      </c>
      <c r="O3539" s="10" t="str">
        <f>HYPERLINK("https://pbs.twimg.com/profile_images/630433913790402560/wb-NkAWj_normal.jpg","View")</f>
        <v>View</v>
      </c>
      <c r="P3539" s="11"/>
    </row>
    <row r="3540" spans="1:16" ht="12.75" x14ac:dyDescent="0.35">
      <c r="A3540" s="7">
        <v>42482.755324074074</v>
      </c>
      <c r="B3540" s="8" t="str">
        <f>HYPERLINK("https://twitter.com/panicswitch777","@panicswitch777")</f>
        <v>@panicswitch777</v>
      </c>
      <c r="C3540" s="9" t="s">
        <v>374</v>
      </c>
      <c r="D3540" s="9" t="s">
        <v>8562</v>
      </c>
      <c r="E3540" s="10" t="str">
        <f>HYPERLINK("https://twitter.com/panicswitch777/status/723490956901650437","723490956901650437")</f>
        <v>723490956901650437</v>
      </c>
      <c r="F3540" s="11" t="s">
        <v>114</v>
      </c>
      <c r="G3540" s="11">
        <v>186</v>
      </c>
      <c r="H3540" s="11">
        <v>185</v>
      </c>
      <c r="I3540" s="11">
        <v>0</v>
      </c>
      <c r="J3540" s="11">
        <v>0</v>
      </c>
      <c r="K3540" s="11" t="s">
        <v>21</v>
      </c>
      <c r="L3540" s="7">
        <v>41837.90216435185</v>
      </c>
      <c r="M3540" s="12" t="s">
        <v>376</v>
      </c>
      <c r="N3540" s="12"/>
      <c r="O3540" s="10" t="str">
        <f>HYPERLINK("https://pbs.twimg.com/profile_images/661248829682024449/IlOGOPEg_normal.jpg","View")</f>
        <v>View</v>
      </c>
      <c r="P3540" s="11"/>
    </row>
    <row r="3541" spans="1:16" ht="12.75" x14ac:dyDescent="0.35">
      <c r="A3541" s="7">
        <v>42482.755601851852</v>
      </c>
      <c r="B3541" s="8" t="str">
        <f>HYPERLINK("https://twitter.com/vwpress_de","@vwpress_de")</f>
        <v>@vwpress_de</v>
      </c>
      <c r="C3541" s="9" t="s">
        <v>1685</v>
      </c>
      <c r="D3541" s="9" t="s">
        <v>8563</v>
      </c>
      <c r="E3541" s="10" t="str">
        <f>HYPERLINK("https://twitter.com/vwpress_de/status/723491057812516867","723491057812516867")</f>
        <v>723491057812516867</v>
      </c>
      <c r="F3541" s="11" t="s">
        <v>152</v>
      </c>
      <c r="G3541" s="11">
        <v>5773</v>
      </c>
      <c r="H3541" s="11">
        <v>610</v>
      </c>
      <c r="I3541" s="11">
        <v>0</v>
      </c>
      <c r="J3541" s="11">
        <v>0</v>
      </c>
      <c r="K3541" s="11" t="s">
        <v>21</v>
      </c>
      <c r="L3541" s="7">
        <v>42041.830381944441</v>
      </c>
      <c r="M3541" s="12" t="s">
        <v>1690</v>
      </c>
      <c r="N3541" s="12" t="s">
        <v>1691</v>
      </c>
      <c r="O3541" s="10" t="str">
        <f>HYPERLINK("https://pbs.twimg.com/profile_images/682117656502222848/Ge7YeAF3_normal.png","View")</f>
        <v>View</v>
      </c>
      <c r="P3541" s="11"/>
    </row>
    <row r="3542" spans="1:16" ht="12.75" x14ac:dyDescent="0.35">
      <c r="A3542" s="7">
        <v>42482.755729166667</v>
      </c>
      <c r="B3542" s="8" t="str">
        <f>HYPERLINK("https://twitter.com/Vagowners","@Vagowners")</f>
        <v>@Vagowners</v>
      </c>
      <c r="C3542" s="9" t="s">
        <v>8564</v>
      </c>
      <c r="D3542" s="9" t="s">
        <v>8227</v>
      </c>
      <c r="E3542" s="10" t="str">
        <f>HYPERLINK("https://twitter.com/Vagowners/status/723491103224246272","723491103224246272")</f>
        <v>723491103224246272</v>
      </c>
      <c r="F3542" s="11" t="s">
        <v>43</v>
      </c>
      <c r="G3542" s="11">
        <v>38</v>
      </c>
      <c r="H3542" s="11">
        <v>178</v>
      </c>
      <c r="I3542" s="11">
        <v>5</v>
      </c>
      <c r="J3542" s="11">
        <v>0</v>
      </c>
      <c r="K3542" s="11" t="s">
        <v>21</v>
      </c>
      <c r="L3542" s="7">
        <v>42469.918541666666</v>
      </c>
      <c r="M3542" s="12" t="s">
        <v>129</v>
      </c>
      <c r="N3542" s="12" t="s">
        <v>8565</v>
      </c>
      <c r="O3542" s="10" t="str">
        <f>HYPERLINK("https://pbs.twimg.com/profile_images/718839998531903489/eXyeGppJ_normal.jpg","View")</f>
        <v>View</v>
      </c>
      <c r="P3542" s="11"/>
    </row>
    <row r="3543" spans="1:16" ht="12.75" x14ac:dyDescent="0.35">
      <c r="A3543" s="7">
        <v>42482.75576388889</v>
      </c>
      <c r="B3543" s="8" t="str">
        <f>HYPERLINK("https://twitter.com/techhippie","@techhippie")</f>
        <v>@techhippie</v>
      </c>
      <c r="C3543" s="9" t="s">
        <v>246</v>
      </c>
      <c r="D3543" s="9" t="s">
        <v>8566</v>
      </c>
      <c r="E3543" s="10" t="str">
        <f>HYPERLINK("https://twitter.com/techhippie/status/723491114649571328","723491114649571328")</f>
        <v>723491114649571328</v>
      </c>
      <c r="F3543" s="11" t="s">
        <v>68</v>
      </c>
      <c r="G3543" s="11">
        <v>2494</v>
      </c>
      <c r="H3543" s="11">
        <v>3835</v>
      </c>
      <c r="I3543" s="11">
        <v>0</v>
      </c>
      <c r="J3543" s="11">
        <v>0</v>
      </c>
      <c r="K3543" s="11" t="s">
        <v>21</v>
      </c>
      <c r="L3543" s="7">
        <v>42424.852152777778</v>
      </c>
      <c r="M3543" s="12" t="s">
        <v>248</v>
      </c>
      <c r="N3543" s="12" t="s">
        <v>249</v>
      </c>
      <c r="O3543" s="10" t="str">
        <f>HYPERLINK("https://pbs.twimg.com/profile_images/702511217793863680/lty8h9vE_normal.jpg","View")</f>
        <v>View</v>
      </c>
      <c r="P3543" s="11"/>
    </row>
    <row r="3544" spans="1:16" ht="12.75" x14ac:dyDescent="0.35">
      <c r="A3544" s="7">
        <v>42482.75576388889</v>
      </c>
      <c r="B3544" s="8" t="str">
        <f>HYPERLINK("https://twitter.com/aon_imports","@aon_imports")</f>
        <v>@aon_imports</v>
      </c>
      <c r="C3544" s="9" t="s">
        <v>8567</v>
      </c>
      <c r="D3544" s="9" t="s">
        <v>8568</v>
      </c>
      <c r="E3544" s="10" t="str">
        <f>HYPERLINK("https://twitter.com/aon_imports/status/723491115886850049","723491115886850049")</f>
        <v>723491115886850049</v>
      </c>
      <c r="F3544" s="11" t="s">
        <v>152</v>
      </c>
      <c r="G3544" s="11">
        <v>15</v>
      </c>
      <c r="H3544" s="11">
        <v>7</v>
      </c>
      <c r="I3544" s="11">
        <v>0</v>
      </c>
      <c r="J3544" s="11">
        <v>0</v>
      </c>
      <c r="K3544" s="11" t="s">
        <v>21</v>
      </c>
      <c r="L3544" s="7">
        <v>42403.877546296295</v>
      </c>
      <c r="M3544" s="12" t="s">
        <v>8569</v>
      </c>
      <c r="N3544" s="12" t="s">
        <v>8570</v>
      </c>
      <c r="O3544" s="10" t="str">
        <f>HYPERLINK("https://pbs.twimg.com/profile_images/694910064419823621/88ki-B3e_normal.jpg","View")</f>
        <v>View</v>
      </c>
      <c r="P3544" s="11"/>
    </row>
    <row r="3545" spans="1:16" ht="12.75" x14ac:dyDescent="0.35">
      <c r="A3545" s="7">
        <v>42482.755856481483</v>
      </c>
      <c r="B3545" s="8" t="str">
        <f>HYPERLINK("https://twitter.com/vwpress_en","@vwpress_en")</f>
        <v>@vwpress_en</v>
      </c>
      <c r="C3545" s="9" t="s">
        <v>1685</v>
      </c>
      <c r="D3545" s="9" t="s">
        <v>8571</v>
      </c>
      <c r="E3545" s="10" t="str">
        <f>HYPERLINK("https://twitter.com/vwpress_en/status/723491150707986432","723491150707986432")</f>
        <v>723491150707986432</v>
      </c>
      <c r="F3545" s="11" t="s">
        <v>152</v>
      </c>
      <c r="G3545" s="11">
        <v>54812</v>
      </c>
      <c r="H3545" s="11">
        <v>339</v>
      </c>
      <c r="I3545" s="11">
        <v>2</v>
      </c>
      <c r="J3545" s="11">
        <v>1</v>
      </c>
      <c r="K3545" s="11" t="s">
        <v>21</v>
      </c>
      <c r="L3545" s="7">
        <v>42041.83189814815</v>
      </c>
      <c r="M3545" s="12" t="s">
        <v>1687</v>
      </c>
      <c r="N3545" s="12" t="s">
        <v>1688</v>
      </c>
      <c r="O3545" s="10" t="str">
        <f>HYPERLINK("https://pbs.twimg.com/profile_images/682117963349135360/IUfZQy35_normal.png","View")</f>
        <v>View</v>
      </c>
      <c r="P3545" s="11"/>
    </row>
    <row r="3546" spans="1:16" ht="12.75" x14ac:dyDescent="0.35">
      <c r="A3546" s="7">
        <v>42482.756354166668</v>
      </c>
      <c r="B3546" s="8" t="str">
        <f>HYPERLINK("https://twitter.com/FelixSchneuwly","@FelixSchneuwly")</f>
        <v>@FelixSchneuwly</v>
      </c>
      <c r="C3546" s="9" t="s">
        <v>8572</v>
      </c>
      <c r="D3546" s="9" t="s">
        <v>8573</v>
      </c>
      <c r="E3546" s="10" t="str">
        <f>HYPERLINK("https://twitter.com/FelixSchneuwly/status/723491329972559872","723491329972559872")</f>
        <v>723491329972559872</v>
      </c>
      <c r="F3546" s="11" t="s">
        <v>20</v>
      </c>
      <c r="G3546" s="11">
        <v>1183</v>
      </c>
      <c r="H3546" s="11">
        <v>1122</v>
      </c>
      <c r="I3546" s="11">
        <v>0</v>
      </c>
      <c r="J3546" s="11">
        <v>0</v>
      </c>
      <c r="K3546" s="11" t="s">
        <v>21</v>
      </c>
      <c r="L3546" s="7">
        <v>40949.901377314818</v>
      </c>
      <c r="M3546" s="12" t="s">
        <v>3770</v>
      </c>
      <c r="N3546" s="12" t="s">
        <v>8574</v>
      </c>
      <c r="O3546" s="10" t="str">
        <f>HYPERLINK("https://pbs.twimg.com/profile_images/610799699436683264/-ylDwi2J_normal.jpg","View")</f>
        <v>View</v>
      </c>
      <c r="P3546" s="11"/>
    </row>
    <row r="3547" spans="1:16" ht="12.75" x14ac:dyDescent="0.35">
      <c r="A3547" s="7">
        <v>42482.756504629629</v>
      </c>
      <c r="B3547" s="8" t="str">
        <f>HYPERLINK("https://twitter.com/hansjaaggi","@hansjaaggi")</f>
        <v>@hansjaaggi</v>
      </c>
      <c r="C3547" s="9" t="s">
        <v>8478</v>
      </c>
      <c r="D3547" s="9" t="s">
        <v>8575</v>
      </c>
      <c r="E3547" s="10" t="str">
        <f>HYPERLINK("https://twitter.com/hansjaaggi/status/723491383047258113","723491383047258113")</f>
        <v>723491383047258113</v>
      </c>
      <c r="F3547" s="11" t="s">
        <v>91</v>
      </c>
      <c r="G3547" s="11">
        <v>5006</v>
      </c>
      <c r="H3547" s="11">
        <v>5234</v>
      </c>
      <c r="I3547" s="11">
        <v>0</v>
      </c>
      <c r="J3547" s="11">
        <v>0</v>
      </c>
      <c r="K3547" s="11" t="s">
        <v>21</v>
      </c>
      <c r="L3547" s="7">
        <v>41231.198831018519</v>
      </c>
      <c r="M3547" s="12"/>
      <c r="N3547" s="12" t="s">
        <v>8480</v>
      </c>
      <c r="O3547" s="10" t="str">
        <f>HYPERLINK("https://pbs.twimg.com/profile_images/452789313554907137/h-Q_0Rw0_normal.jpeg","View")</f>
        <v>View</v>
      </c>
      <c r="P3547" s="11"/>
    </row>
    <row r="3548" spans="1:16" ht="12.75" x14ac:dyDescent="0.35">
      <c r="A3548" s="7">
        <v>42482.756585648152</v>
      </c>
      <c r="B3548" s="8" t="str">
        <f>HYPERLINK("https://twitter.com/ophuels","@ophuels")</f>
        <v>@ophuels</v>
      </c>
      <c r="C3548" s="9" t="s">
        <v>8576</v>
      </c>
      <c r="D3548" s="9" t="s">
        <v>8577</v>
      </c>
      <c r="E3548" s="10" t="str">
        <f>HYPERLINK("https://twitter.com/ophuels/status/723491412638097409","723491412638097409")</f>
        <v>723491412638097409</v>
      </c>
      <c r="F3548" s="11" t="s">
        <v>63</v>
      </c>
      <c r="G3548" s="11">
        <v>548</v>
      </c>
      <c r="H3548" s="11">
        <v>666</v>
      </c>
      <c r="I3548" s="11">
        <v>0</v>
      </c>
      <c r="J3548" s="11">
        <v>0</v>
      </c>
      <c r="K3548" s="11" t="s">
        <v>21</v>
      </c>
      <c r="L3548" s="7">
        <v>39996.645949074074</v>
      </c>
      <c r="M3548" s="12" t="s">
        <v>975</v>
      </c>
      <c r="N3548" s="12" t="s">
        <v>8578</v>
      </c>
      <c r="O3548" s="10" t="str">
        <f>HYPERLINK("https://pbs.twimg.com/profile_images/545515043761037312/gp4mWkRD_normal.jpeg","View")</f>
        <v>View</v>
      </c>
      <c r="P3548" s="11"/>
    </row>
    <row r="3549" spans="1:16" ht="12.75" x14ac:dyDescent="0.35">
      <c r="A3549" s="7">
        <v>42482.75708333333</v>
      </c>
      <c r="B3549" s="8" t="str">
        <f>HYPERLINK("https://twitter.com/MansellMotoSPT","@MansellMotoSPT")</f>
        <v>@MansellMotoSPT</v>
      </c>
      <c r="C3549" s="9" t="s">
        <v>4707</v>
      </c>
      <c r="D3549" s="9" t="s">
        <v>8579</v>
      </c>
      <c r="E3549" s="10" t="str">
        <f>HYPERLINK("https://twitter.com/MansellMotoSPT/status/723491595375513600","723491595375513600")</f>
        <v>723491595375513600</v>
      </c>
      <c r="F3549" s="11" t="s">
        <v>152</v>
      </c>
      <c r="G3549" s="11">
        <v>110</v>
      </c>
      <c r="H3549" s="11">
        <v>519</v>
      </c>
      <c r="I3549" s="11">
        <v>0</v>
      </c>
      <c r="J3549" s="11">
        <v>0</v>
      </c>
      <c r="K3549" s="11" t="s">
        <v>21</v>
      </c>
      <c r="L3549" s="7">
        <v>42314.917557870373</v>
      </c>
      <c r="M3549" s="12" t="s">
        <v>4709</v>
      </c>
      <c r="N3549" s="12" t="s">
        <v>4710</v>
      </c>
      <c r="O3549" s="10" t="str">
        <f>HYPERLINK("https://pbs.twimg.com/profile_images/683943927808917505/ufIVpnBm_normal.png","View")</f>
        <v>View</v>
      </c>
      <c r="P3549" s="11"/>
    </row>
    <row r="3550" spans="1:16" ht="12.75" x14ac:dyDescent="0.35">
      <c r="A3550" s="7">
        <v>42482.757384259261</v>
      </c>
      <c r="B3550" s="8" t="str">
        <f>HYPERLINK("https://twitter.com/chrispillennews","@chrispillennews")</f>
        <v>@chrispillennews</v>
      </c>
      <c r="C3550" s="9" t="s">
        <v>259</v>
      </c>
      <c r="D3550" s="9" t="s">
        <v>260</v>
      </c>
      <c r="E3550" s="10" t="str">
        <f>HYPERLINK("https://twitter.com/chrispillennews/status/723491701734682624","723491701734682624")</f>
        <v>723491701734682624</v>
      </c>
      <c r="F3550" s="11" t="s">
        <v>261</v>
      </c>
      <c r="G3550" s="11">
        <v>149</v>
      </c>
      <c r="H3550" s="11">
        <v>35</v>
      </c>
      <c r="I3550" s="11">
        <v>0</v>
      </c>
      <c r="J3550" s="11">
        <v>0</v>
      </c>
      <c r="K3550" s="11" t="s">
        <v>21</v>
      </c>
      <c r="L3550" s="7">
        <v>40945.596898148149</v>
      </c>
      <c r="M3550" s="12" t="s">
        <v>262</v>
      </c>
      <c r="N3550" s="12" t="s">
        <v>263</v>
      </c>
      <c r="O3550" s="10" t="str">
        <f>HYPERLINK("https://pbs.twimg.com/profile_images/589041144027357185/LMeiK-X6_normal.jpg","View")</f>
        <v>View</v>
      </c>
      <c r="P3550" s="11"/>
    </row>
    <row r="3551" spans="1:16" ht="12.75" x14ac:dyDescent="0.35">
      <c r="A3551" s="7">
        <v>42482.757407407407</v>
      </c>
      <c r="B3551" s="8" t="str">
        <f>HYPERLINK("https://twitter.com/GeyersipOficial","@GeyersipOficial")</f>
        <v>@GeyersipOficial</v>
      </c>
      <c r="C3551" s="9" t="s">
        <v>8580</v>
      </c>
      <c r="D3551" s="9" t="s">
        <v>8581</v>
      </c>
      <c r="E3551" s="10" t="str">
        <f>HYPERLINK("https://twitter.com/GeyersipOficial/status/723491713424064512","723491713424064512")</f>
        <v>723491713424064512</v>
      </c>
      <c r="F3551" s="11" t="s">
        <v>48</v>
      </c>
      <c r="G3551" s="11">
        <v>48</v>
      </c>
      <c r="H3551" s="11">
        <v>131</v>
      </c>
      <c r="I3551" s="11">
        <v>2</v>
      </c>
      <c r="J3551" s="11">
        <v>0</v>
      </c>
      <c r="K3551" s="11" t="s">
        <v>21</v>
      </c>
      <c r="L3551" s="7">
        <v>42463.06627314815</v>
      </c>
      <c r="M3551" s="12"/>
      <c r="N3551" s="12" t="s">
        <v>8582</v>
      </c>
      <c r="O3551" s="10" t="str">
        <f>HYPERLINK("https://pbs.twimg.com/profile_images/723218593823891456/LolKqq8k_normal.jpg","View")</f>
        <v>View</v>
      </c>
      <c r="P3551" s="11"/>
    </row>
    <row r="3552" spans="1:16" ht="12.75" x14ac:dyDescent="0.35">
      <c r="A3552" s="7">
        <v>42482.757465277777</v>
      </c>
      <c r="B3552" s="8" t="str">
        <f>HYPERLINK("https://twitter.com/Uhrus","@Uhrus")</f>
        <v>@Uhrus</v>
      </c>
      <c r="C3552" s="9" t="s">
        <v>8583</v>
      </c>
      <c r="D3552" s="9" t="s">
        <v>8584</v>
      </c>
      <c r="E3552" s="10" t="str">
        <f>HYPERLINK("https://twitter.com/Uhrus/status/723491731098996736","723491731098996736")</f>
        <v>723491731098996736</v>
      </c>
      <c r="F3552" s="11" t="s">
        <v>43</v>
      </c>
      <c r="G3552" s="11">
        <v>780</v>
      </c>
      <c r="H3552" s="11">
        <v>1624</v>
      </c>
      <c r="I3552" s="11">
        <v>0</v>
      </c>
      <c r="J3552" s="11">
        <v>0</v>
      </c>
      <c r="K3552" s="11" t="s">
        <v>21</v>
      </c>
      <c r="L3552" s="7">
        <v>39867.827893518523</v>
      </c>
      <c r="M3552" s="12" t="s">
        <v>2460</v>
      </c>
      <c r="N3552" s="12" t="s">
        <v>8585</v>
      </c>
      <c r="O3552" s="10" t="str">
        <f>HYPERLINK("https://pbs.twimg.com/profile_images/579993878238875648/Z0OO22kj_normal.jpg","View")</f>
        <v>View</v>
      </c>
      <c r="P3552" s="11"/>
    </row>
    <row r="3553" spans="1:16" ht="12.75" x14ac:dyDescent="0.35">
      <c r="A3553" s="7">
        <v>42482.757662037038</v>
      </c>
      <c r="B3553" s="8" t="str">
        <f>HYPERLINK("https://twitter.com/ojt_1","@ojt_1")</f>
        <v>@ojt_1</v>
      </c>
      <c r="C3553" s="9" t="s">
        <v>8586</v>
      </c>
      <c r="D3553" s="9" t="s">
        <v>8587</v>
      </c>
      <c r="E3553" s="10" t="str">
        <f>HYPERLINK("https://twitter.com/ojt_1/status/723491805191397377","723491805191397377")</f>
        <v>723491805191397377</v>
      </c>
      <c r="F3553" s="11" t="s">
        <v>20</v>
      </c>
      <c r="G3553" s="11">
        <v>24</v>
      </c>
      <c r="H3553" s="11">
        <v>28</v>
      </c>
      <c r="I3553" s="11">
        <v>0</v>
      </c>
      <c r="J3553" s="11">
        <v>0</v>
      </c>
      <c r="K3553" s="11" t="s">
        <v>21</v>
      </c>
      <c r="L3553" s="7">
        <v>42256.798784722225</v>
      </c>
      <c r="M3553" s="12"/>
      <c r="N3553" s="12"/>
      <c r="O3553" s="10" t="str">
        <f>HYPERLINK("https://pbs.twimg.com/profile_images/676102392140689408/Za3TLRHb_normal.jpg","View")</f>
        <v>View</v>
      </c>
      <c r="P3553" s="11"/>
    </row>
    <row r="3554" spans="1:16" ht="12.75" x14ac:dyDescent="0.35">
      <c r="A3554" s="7">
        <v>42482.758252314816</v>
      </c>
      <c r="B3554" s="8" t="str">
        <f>HYPERLINK("https://twitter.com/Destiny_Man","@Destiny_Man")</f>
        <v>@Destiny_Man</v>
      </c>
      <c r="C3554" s="9" t="s">
        <v>8588</v>
      </c>
      <c r="D3554" s="9" t="s">
        <v>8589</v>
      </c>
      <c r="E3554" s="10" t="str">
        <f>HYPERLINK("https://twitter.com/Destiny_Man/status/723492018849234944","723492018849234944")</f>
        <v>723492018849234944</v>
      </c>
      <c r="F3554" s="11" t="s">
        <v>63</v>
      </c>
      <c r="G3554" s="11">
        <v>15468</v>
      </c>
      <c r="H3554" s="11">
        <v>480</v>
      </c>
      <c r="I3554" s="11">
        <v>0</v>
      </c>
      <c r="J3554" s="11">
        <v>0</v>
      </c>
      <c r="K3554" s="11" t="s">
        <v>21</v>
      </c>
      <c r="L3554" s="7">
        <v>39972.562361111108</v>
      </c>
      <c r="M3554" s="12" t="s">
        <v>2816</v>
      </c>
      <c r="N3554" s="12" t="s">
        <v>8590</v>
      </c>
      <c r="O3554" s="10" t="str">
        <f>HYPERLINK("https://pbs.twimg.com/profile_images/721965207157911552/QGevvR1X_normal.jpg","View")</f>
        <v>View</v>
      </c>
      <c r="P3554" s="11"/>
    </row>
    <row r="3555" spans="1:16" ht="12.75" x14ac:dyDescent="0.35">
      <c r="A3555" s="7">
        <v>42482.758622685185</v>
      </c>
      <c r="B3555" s="8" t="str">
        <f>HYPERLINK("https://twitter.com/UmaSharandon","@UmaSharandon")</f>
        <v>@UmaSharandon</v>
      </c>
      <c r="C3555" s="9" t="s">
        <v>8591</v>
      </c>
      <c r="D3555" s="9" t="s">
        <v>8592</v>
      </c>
      <c r="E3555" s="10" t="str">
        <f>HYPERLINK("https://twitter.com/UmaSharandon/status/723492151590576128","723492151590576128")</f>
        <v>723492151590576128</v>
      </c>
      <c r="F3555" s="11" t="s">
        <v>43</v>
      </c>
      <c r="G3555" s="11">
        <v>7638</v>
      </c>
      <c r="H3555" s="11">
        <v>8402</v>
      </c>
      <c r="I3555" s="11">
        <v>1</v>
      </c>
      <c r="J3555" s="11">
        <v>0</v>
      </c>
      <c r="K3555" s="11" t="s">
        <v>21</v>
      </c>
      <c r="L3555" s="7">
        <v>40220.855775462966</v>
      </c>
      <c r="M3555" s="12" t="s">
        <v>1116</v>
      </c>
      <c r="N3555" s="12" t="s">
        <v>8593</v>
      </c>
      <c r="O3555" s="10" t="str">
        <f>HYPERLINK("https://pbs.twimg.com/profile_images/953096495/ISchnee_web_normal.jpg","View")</f>
        <v>View</v>
      </c>
      <c r="P3555" s="11"/>
    </row>
    <row r="3556" spans="1:16" ht="12.75" x14ac:dyDescent="0.35">
      <c r="A3556" s="7">
        <v>42482.75916666667</v>
      </c>
      <c r="B3556" s="8" t="str">
        <f>HYPERLINK("https://twitter.com/feralf","@feralf")</f>
        <v>@feralf</v>
      </c>
      <c r="C3556" s="9" t="s">
        <v>8594</v>
      </c>
      <c r="D3556" s="9" t="s">
        <v>8595</v>
      </c>
      <c r="E3556" s="10" t="str">
        <f>HYPERLINK("https://twitter.com/feralf/status/723492348487958528","723492348487958528")</f>
        <v>723492348487958528</v>
      </c>
      <c r="F3556" s="11" t="s">
        <v>43</v>
      </c>
      <c r="G3556" s="11">
        <v>1144</v>
      </c>
      <c r="H3556" s="11">
        <v>51</v>
      </c>
      <c r="I3556" s="11">
        <v>0</v>
      </c>
      <c r="J3556" s="11">
        <v>0</v>
      </c>
      <c r="K3556" s="11" t="s">
        <v>21</v>
      </c>
      <c r="L3556" s="7">
        <v>39500.042326388888</v>
      </c>
      <c r="M3556" s="12" t="s">
        <v>8596</v>
      </c>
      <c r="N3556" s="12" t="s">
        <v>8597</v>
      </c>
      <c r="O3556" s="10" t="str">
        <f>HYPERLINK("https://pbs.twimg.com/profile_images/458731293581144064/-4p5an2D_normal.png","View")</f>
        <v>View</v>
      </c>
      <c r="P3556" s="11"/>
    </row>
    <row r="3557" spans="1:16" ht="12.75" x14ac:dyDescent="0.35">
      <c r="A3557" s="7">
        <v>42482.759953703702</v>
      </c>
      <c r="B3557" s="8" t="str">
        <f>HYPERLINK("https://twitter.com/PeninsulaQatar","@PeninsulaQatar")</f>
        <v>@PeninsulaQatar</v>
      </c>
      <c r="C3557" s="9" t="s">
        <v>8598</v>
      </c>
      <c r="D3557" s="9" t="s">
        <v>8599</v>
      </c>
      <c r="E3557" s="10" t="str">
        <f>HYPERLINK("https://twitter.com/PeninsulaQatar/status/723492634942156800","723492634942156800")</f>
        <v>723492634942156800</v>
      </c>
      <c r="F3557" s="11" t="s">
        <v>43</v>
      </c>
      <c r="G3557" s="11">
        <v>13924</v>
      </c>
      <c r="H3557" s="11">
        <v>89</v>
      </c>
      <c r="I3557" s="11">
        <v>0</v>
      </c>
      <c r="J3557" s="11">
        <v>0</v>
      </c>
      <c r="K3557" s="11" t="s">
        <v>21</v>
      </c>
      <c r="L3557" s="7">
        <v>40019.59103009259</v>
      </c>
      <c r="M3557" s="12" t="s">
        <v>8600</v>
      </c>
      <c r="N3557" s="12" t="s">
        <v>8601</v>
      </c>
      <c r="O3557" s="10" t="str">
        <f>HYPERLINK("https://pbs.twimg.com/profile_images/694418345488179200/N_UTQBFl_normal.jpg","View")</f>
        <v>View</v>
      </c>
      <c r="P3557" s="11"/>
    </row>
    <row r="3558" spans="1:16" ht="12.75" x14ac:dyDescent="0.35">
      <c r="A3558" s="7">
        <v>42482.760509259257</v>
      </c>
      <c r="B3558" s="8" t="str">
        <f>HYPERLINK("https://twitter.com/JosefineJanert","@JosefineJanert")</f>
        <v>@JosefineJanert</v>
      </c>
      <c r="C3558" s="9" t="s">
        <v>8602</v>
      </c>
      <c r="D3558" s="9" t="s">
        <v>8603</v>
      </c>
      <c r="E3558" s="10" t="str">
        <f>HYPERLINK("https://twitter.com/JosefineJanert/status/723492835643785217","723492835643785217")</f>
        <v>723492835643785217</v>
      </c>
      <c r="F3558" s="11" t="s">
        <v>367</v>
      </c>
      <c r="G3558" s="11">
        <v>523</v>
      </c>
      <c r="H3558" s="11">
        <v>465</v>
      </c>
      <c r="I3558" s="11">
        <v>0</v>
      </c>
      <c r="J3558" s="11">
        <v>0</v>
      </c>
      <c r="K3558" s="11" t="s">
        <v>21</v>
      </c>
      <c r="L3558" s="7">
        <v>41373.701273148152</v>
      </c>
      <c r="M3558" s="12"/>
      <c r="N3558" s="12" t="s">
        <v>8604</v>
      </c>
      <c r="O3558" s="10" t="str">
        <f>HYPERLINK("https://pbs.twimg.com/profile_images/595486519890210816/oFzeEgOj_normal.jpg","View")</f>
        <v>View</v>
      </c>
      <c r="P3558" s="11"/>
    </row>
    <row r="3559" spans="1:16" ht="12.75" x14ac:dyDescent="0.35">
      <c r="A3559" s="7">
        <v>42482.76081018518</v>
      </c>
      <c r="B3559" s="8" t="str">
        <f>HYPERLINK("https://twitter.com/VWCamperSales","@VWCamperSales")</f>
        <v>@VWCamperSales</v>
      </c>
      <c r="C3559" s="9" t="s">
        <v>216</v>
      </c>
      <c r="D3559" s="9" t="s">
        <v>8605</v>
      </c>
      <c r="E3559" s="10" t="str">
        <f>HYPERLINK("https://twitter.com/VWCamperSales/status/723492944355823618","723492944355823618")</f>
        <v>723492944355823618</v>
      </c>
      <c r="F3559" s="10" t="s">
        <v>124</v>
      </c>
      <c r="G3559" s="11">
        <v>617</v>
      </c>
      <c r="H3559" s="11">
        <v>580</v>
      </c>
      <c r="I3559" s="11">
        <v>0</v>
      </c>
      <c r="J3559" s="11">
        <v>0</v>
      </c>
      <c r="K3559" s="11" t="s">
        <v>21</v>
      </c>
      <c r="L3559" s="7">
        <v>42215.98809027778</v>
      </c>
      <c r="M3559" s="12" t="s">
        <v>129</v>
      </c>
      <c r="N3559" s="12" t="s">
        <v>218</v>
      </c>
      <c r="O3559" s="10" t="str">
        <f>HYPERLINK("https://pbs.twimg.com/profile_images/627949001179037696/skEBkS05_normal.jpg","View")</f>
        <v>View</v>
      </c>
      <c r="P3559" s="11"/>
    </row>
    <row r="3560" spans="1:16" ht="12.75" x14ac:dyDescent="0.35">
      <c r="A3560" s="7">
        <v>42482.760937500003</v>
      </c>
      <c r="B3560" s="8" t="str">
        <f>HYPERLINK("https://twitter.com/saintjallen","@saintjallen")</f>
        <v>@saintjallen</v>
      </c>
      <c r="C3560" s="9" t="s">
        <v>8606</v>
      </c>
      <c r="D3560" s="9" t="s">
        <v>8607</v>
      </c>
      <c r="E3560" s="10" t="str">
        <f>HYPERLINK("https://twitter.com/saintjallen/status/723492988844822533","723492988844822533")</f>
        <v>723492988844822533</v>
      </c>
      <c r="F3560" s="11" t="s">
        <v>48</v>
      </c>
      <c r="G3560" s="11">
        <v>1480</v>
      </c>
      <c r="H3560" s="11">
        <v>2340</v>
      </c>
      <c r="I3560" s="11">
        <v>2</v>
      </c>
      <c r="J3560" s="11">
        <v>0</v>
      </c>
      <c r="K3560" s="11" t="s">
        <v>21</v>
      </c>
      <c r="L3560" s="7">
        <v>41598.808321759258</v>
      </c>
      <c r="M3560" s="12" t="s">
        <v>8608</v>
      </c>
      <c r="N3560" s="12" t="s">
        <v>8609</v>
      </c>
      <c r="O3560" s="10" t="str">
        <f>HYPERLINK("https://pbs.twimg.com/profile_images/484672720420884481/dyX9G6tX_normal.jpeg","View")</f>
        <v>View</v>
      </c>
      <c r="P3560" s="11"/>
    </row>
    <row r="3561" spans="1:16" ht="12.75" x14ac:dyDescent="0.35">
      <c r="A3561" s="7">
        <v>42482.76262731482</v>
      </c>
      <c r="B3561" s="8" t="str">
        <f>HYPERLINK("https://twitter.com/driversside","@driversside")</f>
        <v>@driversside</v>
      </c>
      <c r="C3561" s="9" t="s">
        <v>8610</v>
      </c>
      <c r="D3561" s="9" t="s">
        <v>8611</v>
      </c>
      <c r="E3561" s="10" t="str">
        <f>HYPERLINK("https://twitter.com/driversside/status/723493605164228608","723493605164228608")</f>
        <v>723493605164228608</v>
      </c>
      <c r="F3561" s="11" t="s">
        <v>933</v>
      </c>
      <c r="G3561" s="11">
        <v>2535</v>
      </c>
      <c r="H3561" s="11">
        <v>2276</v>
      </c>
      <c r="I3561" s="11">
        <v>0</v>
      </c>
      <c r="J3561" s="11">
        <v>0</v>
      </c>
      <c r="K3561" s="11" t="s">
        <v>21</v>
      </c>
      <c r="L3561" s="7">
        <v>40166.090428240743</v>
      </c>
      <c r="M3561" s="12" t="s">
        <v>8612</v>
      </c>
      <c r="N3561" s="12" t="s">
        <v>8613</v>
      </c>
      <c r="O3561" s="10" t="str">
        <f>HYPERLINK("https://pbs.twimg.com/profile_images/378800000265891510/1b4788fb7103035d99da255167d40dbd_normal.jpeg","View")</f>
        <v>View</v>
      </c>
      <c r="P3561" s="11"/>
    </row>
    <row r="3562" spans="1:16" ht="12.75" x14ac:dyDescent="0.35">
      <c r="A3562" s="7">
        <v>42482.763333333336</v>
      </c>
      <c r="B3562" s="8" t="str">
        <f>HYPERLINK("https://twitter.com/nomadartdesign","@nomadartdesign")</f>
        <v>@nomadartdesign</v>
      </c>
      <c r="C3562" s="9" t="s">
        <v>8614</v>
      </c>
      <c r="D3562" s="9" t="s">
        <v>8615</v>
      </c>
      <c r="E3562" s="10" t="str">
        <f>HYPERLINK("https://twitter.com/nomadartdesign/status/723493860375183361","723493860375183361")</f>
        <v>723493860375183361</v>
      </c>
      <c r="F3562" s="11" t="s">
        <v>7320</v>
      </c>
      <c r="G3562" s="11">
        <v>10477</v>
      </c>
      <c r="H3562" s="11">
        <v>10021</v>
      </c>
      <c r="I3562" s="11">
        <v>0</v>
      </c>
      <c r="J3562" s="11">
        <v>0</v>
      </c>
      <c r="K3562" s="11" t="s">
        <v>21</v>
      </c>
      <c r="L3562" s="7">
        <v>41221.592974537038</v>
      </c>
      <c r="M3562" s="12" t="s">
        <v>129</v>
      </c>
      <c r="N3562" s="12" t="s">
        <v>8616</v>
      </c>
      <c r="O3562" s="10" t="str">
        <f>HYPERLINK("https://pbs.twimg.com/profile_images/471225993034620928/uvrpaB6T_normal.jpeg","View")</f>
        <v>View</v>
      </c>
      <c r="P3562" s="11"/>
    </row>
    <row r="3563" spans="1:16" ht="12.75" x14ac:dyDescent="0.35">
      <c r="A3563" s="7">
        <v>42482.763877314814</v>
      </c>
      <c r="B3563" s="8" t="str">
        <f>HYPERLINK("https://twitter.com/HpGregory","@HpGregory")</f>
        <v>@HpGregory</v>
      </c>
      <c r="C3563" s="9" t="s">
        <v>8617</v>
      </c>
      <c r="D3563" s="9" t="s">
        <v>8618</v>
      </c>
      <c r="E3563" s="10" t="str">
        <f>HYPERLINK("https://twitter.com/HpGregory/status/723494057750716416","723494057750716416")</f>
        <v>723494057750716416</v>
      </c>
      <c r="F3563" s="11" t="s">
        <v>725</v>
      </c>
      <c r="G3563" s="11">
        <v>106</v>
      </c>
      <c r="H3563" s="11">
        <v>401</v>
      </c>
      <c r="I3563" s="11">
        <v>0</v>
      </c>
      <c r="J3563" s="11">
        <v>0</v>
      </c>
      <c r="K3563" s="11" t="s">
        <v>21</v>
      </c>
      <c r="L3563" s="7">
        <v>41674.010405092595</v>
      </c>
      <c r="M3563" s="12" t="s">
        <v>8619</v>
      </c>
      <c r="N3563" s="12" t="s">
        <v>8620</v>
      </c>
      <c r="O3563" s="10" t="str">
        <f>HYPERLINK("https://pbs.twimg.com/profile_images/518209016426942465/RCiTPLNX_normal.jpeg","View")</f>
        <v>View</v>
      </c>
      <c r="P3563" s="11"/>
    </row>
    <row r="3564" spans="1:16" ht="12.75" x14ac:dyDescent="0.35">
      <c r="A3564" s="7">
        <v>42482.764085648145</v>
      </c>
      <c r="B3564" s="8" t="str">
        <f>HYPERLINK("https://twitter.com/LGT_Group","@LGT_Group")</f>
        <v>@LGT_Group</v>
      </c>
      <c r="C3564" s="9" t="s">
        <v>8621</v>
      </c>
      <c r="D3564" s="9" t="s">
        <v>8622</v>
      </c>
      <c r="E3564" s="10" t="str">
        <f>HYPERLINK("https://twitter.com/LGT_Group/status/723494130438029319","723494130438029319")</f>
        <v>723494130438029319</v>
      </c>
      <c r="F3564" s="11" t="s">
        <v>152</v>
      </c>
      <c r="G3564" s="11">
        <v>1077</v>
      </c>
      <c r="H3564" s="11">
        <v>558</v>
      </c>
      <c r="I3564" s="11">
        <v>0</v>
      </c>
      <c r="J3564" s="11">
        <v>1</v>
      </c>
      <c r="K3564" s="11" t="s">
        <v>21</v>
      </c>
      <c r="L3564" s="7">
        <v>41115.625277777777</v>
      </c>
      <c r="M3564" s="12"/>
      <c r="N3564" s="12" t="s">
        <v>8623</v>
      </c>
      <c r="O3564" s="10" t="str">
        <f>HYPERLINK("https://pbs.twimg.com/profile_images/456005128927981568/fQxjYrLU_normal.jpeg","View")</f>
        <v>View</v>
      </c>
      <c r="P3564" s="11"/>
    </row>
    <row r="3565" spans="1:16" ht="12.75" x14ac:dyDescent="0.35">
      <c r="A3565" s="7">
        <v>42482.764594907407</v>
      </c>
      <c r="B3565" s="8" t="str">
        <f>HYPERLINK("https://twitter.com/SinclairVW","@SinclairVW")</f>
        <v>@SinclairVW</v>
      </c>
      <c r="C3565" s="9" t="s">
        <v>8624</v>
      </c>
      <c r="D3565" s="9" t="s">
        <v>8625</v>
      </c>
      <c r="E3565" s="10" t="str">
        <f>HYPERLINK("https://twitter.com/SinclairVW/status/723494316564353024","723494316564353024")</f>
        <v>723494316564353024</v>
      </c>
      <c r="F3565" s="11" t="s">
        <v>140</v>
      </c>
      <c r="G3565" s="11">
        <v>2672</v>
      </c>
      <c r="H3565" s="11">
        <v>1828</v>
      </c>
      <c r="I3565" s="11">
        <v>1</v>
      </c>
      <c r="J3565" s="11">
        <v>0</v>
      </c>
      <c r="K3565" s="11" t="s">
        <v>21</v>
      </c>
      <c r="L3565" s="7">
        <v>40219.930925925924</v>
      </c>
      <c r="M3565" s="12" t="s">
        <v>1284</v>
      </c>
      <c r="N3565" s="12" t="s">
        <v>8626</v>
      </c>
      <c r="O3565" s="10" t="str">
        <f>HYPERLINK("https://pbs.twimg.com/profile_images/723165877709987840/4fcdi8IF_normal.jpg","View")</f>
        <v>View</v>
      </c>
      <c r="P3565" s="11"/>
    </row>
    <row r="3566" spans="1:16" ht="12.75" x14ac:dyDescent="0.35">
      <c r="A3566" s="7">
        <v>42482.765081018515</v>
      </c>
      <c r="B3566" s="8" t="str">
        <f>HYPERLINK("https://twitter.com/polodrivercom","@polodrivercom")</f>
        <v>@polodrivercom</v>
      </c>
      <c r="C3566" s="9" t="s">
        <v>8627</v>
      </c>
      <c r="D3566" s="9" t="s">
        <v>8628</v>
      </c>
      <c r="E3566" s="10" t="str">
        <f>HYPERLINK("https://twitter.com/polodrivercom/status/723494491085279232","723494491085279232")</f>
        <v>723494491085279232</v>
      </c>
      <c r="F3566" s="11" t="s">
        <v>63</v>
      </c>
      <c r="G3566" s="11">
        <v>1099</v>
      </c>
      <c r="H3566" s="11">
        <v>52</v>
      </c>
      <c r="I3566" s="11">
        <v>0</v>
      </c>
      <c r="J3566" s="11">
        <v>1</v>
      </c>
      <c r="K3566" s="11" t="s">
        <v>21</v>
      </c>
      <c r="L3566" s="7">
        <v>40055.956909722227</v>
      </c>
      <c r="M3566" s="12" t="s">
        <v>5130</v>
      </c>
      <c r="N3566" s="12" t="s">
        <v>8629</v>
      </c>
      <c r="O3566" s="10" t="str">
        <f>HYPERLINK("https://pbs.twimg.com/profile_images/462266691305488384/nZV5thLJ_normal.jpeg","View")</f>
        <v>View</v>
      </c>
      <c r="P3566" s="11"/>
    </row>
    <row r="3567" spans="1:16" ht="12.75" x14ac:dyDescent="0.35">
      <c r="A3567" s="7">
        <v>42482.765902777777</v>
      </c>
      <c r="B3567" s="8" t="str">
        <f t="shared" ref="B3567:B3568" si="334">HYPERLINK("https://twitter.com/LenaHR2","@LenaHR2")</f>
        <v>@LenaHR2</v>
      </c>
      <c r="C3567" s="9" t="s">
        <v>8630</v>
      </c>
      <c r="D3567" s="9" t="s">
        <v>2124</v>
      </c>
      <c r="E3567" s="10" t="str">
        <f>HYPERLINK("https://twitter.com/LenaHR2/status/723494791342895104","723494791342895104")</f>
        <v>723494791342895104</v>
      </c>
      <c r="F3567" s="11" t="s">
        <v>48</v>
      </c>
      <c r="G3567" s="11">
        <v>79</v>
      </c>
      <c r="H3567" s="11">
        <v>145</v>
      </c>
      <c r="I3567" s="11">
        <v>3</v>
      </c>
      <c r="J3567" s="11">
        <v>0</v>
      </c>
      <c r="K3567" s="11" t="s">
        <v>21</v>
      </c>
      <c r="L3567" s="7">
        <v>41082.099710648152</v>
      </c>
      <c r="M3567" s="12"/>
      <c r="N3567" s="12" t="s">
        <v>8631</v>
      </c>
      <c r="O3567" s="10" t="str">
        <f t="shared" ref="O3567:O3568" si="335">HYPERLINK("https://pbs.twimg.com/profile_images/510566795435311104/qsgDiZKO_normal.jpeg","View")</f>
        <v>View</v>
      </c>
      <c r="P3567" s="11"/>
    </row>
    <row r="3568" spans="1:16" ht="12.75" x14ac:dyDescent="0.35">
      <c r="A3568" s="7">
        <v>42482.766053240739</v>
      </c>
      <c r="B3568" s="8" t="str">
        <f t="shared" si="334"/>
        <v>@LenaHR2</v>
      </c>
      <c r="C3568" s="9" t="s">
        <v>8630</v>
      </c>
      <c r="D3568" s="9" t="s">
        <v>1612</v>
      </c>
      <c r="E3568" s="10" t="str">
        <f>HYPERLINK("https://twitter.com/LenaHR2/status/723494846078525440","723494846078525440")</f>
        <v>723494846078525440</v>
      </c>
      <c r="F3568" s="11" t="s">
        <v>48</v>
      </c>
      <c r="G3568" s="11">
        <v>79</v>
      </c>
      <c r="H3568" s="11">
        <v>145</v>
      </c>
      <c r="I3568" s="11">
        <v>3</v>
      </c>
      <c r="J3568" s="11">
        <v>0</v>
      </c>
      <c r="K3568" s="11" t="s">
        <v>21</v>
      </c>
      <c r="L3568" s="7">
        <v>41082.099710648152</v>
      </c>
      <c r="M3568" s="12"/>
      <c r="N3568" s="12" t="s">
        <v>8631</v>
      </c>
      <c r="O3568" s="10" t="str">
        <f t="shared" si="335"/>
        <v>View</v>
      </c>
      <c r="P3568" s="11"/>
    </row>
    <row r="3569" spans="1:16" ht="12.75" x14ac:dyDescent="0.35">
      <c r="A3569" s="7">
        <v>42482.766157407408</v>
      </c>
      <c r="B3569" s="8" t="str">
        <f>HYPERLINK("https://twitter.com/DrSalingerReinh","@DrSalingerReinh")</f>
        <v>@DrSalingerReinh</v>
      </c>
      <c r="C3569" s="9" t="s">
        <v>8632</v>
      </c>
      <c r="D3569" s="9" t="s">
        <v>8633</v>
      </c>
      <c r="E3569" s="10" t="str">
        <f>HYPERLINK("https://twitter.com/DrSalingerReinh/status/723494882095013889","723494882095013889")</f>
        <v>723494882095013889</v>
      </c>
      <c r="F3569" s="11" t="s">
        <v>43</v>
      </c>
      <c r="G3569" s="11">
        <v>8</v>
      </c>
      <c r="H3569" s="11">
        <v>17</v>
      </c>
      <c r="I3569" s="11">
        <v>0</v>
      </c>
      <c r="J3569" s="11">
        <v>0</v>
      </c>
      <c r="K3569" s="11" t="s">
        <v>21</v>
      </c>
      <c r="L3569" s="7">
        <v>41456.766030092593</v>
      </c>
      <c r="M3569" s="12" t="s">
        <v>8634</v>
      </c>
      <c r="N3569" s="12"/>
      <c r="O3569" s="10" t="str">
        <f>HYPERLINK("https://pbs.twimg.com/profile_images/431404039532589056/MZrgq9HX_normal.jpeg","View")</f>
        <v>View</v>
      </c>
      <c r="P3569" s="11"/>
    </row>
    <row r="3570" spans="1:16" ht="12.75" x14ac:dyDescent="0.35">
      <c r="A3570" s="7">
        <v>42482.766273148147</v>
      </c>
      <c r="B3570" s="8" t="str">
        <f>HYPERLINK("https://twitter.com/VWCV_Hatfield","@VWCV_Hatfield")</f>
        <v>@VWCV_Hatfield</v>
      </c>
      <c r="C3570" s="9" t="s">
        <v>8635</v>
      </c>
      <c r="D3570" s="9" t="s">
        <v>8636</v>
      </c>
      <c r="E3570" s="10" t="str">
        <f>HYPERLINK("https://twitter.com/VWCV_Hatfield/status/723494926412034048","723494926412034048")</f>
        <v>723494926412034048</v>
      </c>
      <c r="F3570" s="11" t="s">
        <v>152</v>
      </c>
      <c r="G3570" s="11">
        <v>238</v>
      </c>
      <c r="H3570" s="11">
        <v>138</v>
      </c>
      <c r="I3570" s="11">
        <v>0</v>
      </c>
      <c r="J3570" s="11">
        <v>0</v>
      </c>
      <c r="K3570" s="11" t="s">
        <v>21</v>
      </c>
      <c r="L3570" s="7">
        <v>40820.789351851854</v>
      </c>
      <c r="M3570" s="12" t="s">
        <v>8637</v>
      </c>
      <c r="N3570" s="12" t="s">
        <v>8638</v>
      </c>
      <c r="O3570" s="10" t="str">
        <f>HYPERLINK("https://pbs.twimg.com/profile_images/1572448713/vw_vans_hatfield_normal.jpg","View")</f>
        <v>View</v>
      </c>
      <c r="P3570" s="11"/>
    </row>
    <row r="3571" spans="1:16" ht="12.75" x14ac:dyDescent="0.35">
      <c r="A3571" s="7">
        <v>42482.766400462962</v>
      </c>
      <c r="B3571" s="8" t="str">
        <f>HYPERLINK("https://twitter.com/MSAMBULANCE","@MSAMBULANCE")</f>
        <v>@MSAMBULANCE</v>
      </c>
      <c r="C3571" s="9" t="s">
        <v>8639</v>
      </c>
      <c r="D3571" s="9" t="s">
        <v>8640</v>
      </c>
      <c r="E3571" s="10" t="str">
        <f>HYPERLINK("https://twitter.com/MSAMBULANCE/status/723494971526025216","723494971526025216")</f>
        <v>723494971526025216</v>
      </c>
      <c r="F3571" s="11" t="s">
        <v>43</v>
      </c>
      <c r="G3571" s="11">
        <v>788</v>
      </c>
      <c r="H3571" s="11">
        <v>4960</v>
      </c>
      <c r="I3571" s="11">
        <v>0</v>
      </c>
      <c r="J3571" s="11">
        <v>0</v>
      </c>
      <c r="K3571" s="11" t="s">
        <v>21</v>
      </c>
      <c r="L3571" s="7">
        <v>40821.8278125</v>
      </c>
      <c r="M3571" s="12" t="s">
        <v>35</v>
      </c>
      <c r="N3571" s="12" t="s">
        <v>8641</v>
      </c>
      <c r="O3571" s="10" t="str">
        <f>HYPERLINK("https://pbs.twimg.com/profile_images/702480429513883650/BwllibeH_normal.jpg","View")</f>
        <v>View</v>
      </c>
      <c r="P3571" s="11"/>
    </row>
    <row r="3572" spans="1:16" ht="12.75" x14ac:dyDescent="0.35">
      <c r="A3572" s="7">
        <v>42482.766458333332</v>
      </c>
      <c r="B3572" s="8" t="str">
        <f>HYPERLINK("https://twitter.com/SalihiShejzije","@SalihiShejzije")</f>
        <v>@SalihiShejzije</v>
      </c>
      <c r="C3572" s="9" t="s">
        <v>1829</v>
      </c>
      <c r="D3572" s="9" t="s">
        <v>8479</v>
      </c>
      <c r="E3572" s="10" t="str">
        <f>HYPERLINK("https://twitter.com/SalihiShejzije/status/723494989938962432","723494989938962432")</f>
        <v>723494989938962432</v>
      </c>
      <c r="F3572" s="11" t="s">
        <v>48</v>
      </c>
      <c r="G3572" s="11">
        <v>25</v>
      </c>
      <c r="H3572" s="11">
        <v>13</v>
      </c>
      <c r="I3572" s="11">
        <v>2</v>
      </c>
      <c r="J3572" s="11">
        <v>0</v>
      </c>
      <c r="K3572" s="11" t="s">
        <v>21</v>
      </c>
      <c r="L3572" s="7">
        <v>42421.055231481485</v>
      </c>
      <c r="M3572" s="12" t="s">
        <v>1830</v>
      </c>
      <c r="N3572" s="12"/>
      <c r="O3572" s="10" t="str">
        <f>HYPERLINK("https://pbs.twimg.com/profile_images/704001047216447488/5a1ozl-l_normal.jpg","View")</f>
        <v>View</v>
      </c>
      <c r="P3572" s="11"/>
    </row>
    <row r="3573" spans="1:16" ht="12.75" x14ac:dyDescent="0.35">
      <c r="A3573" s="7">
        <v>42482.766539351855</v>
      </c>
      <c r="B3573" s="8" t="str">
        <f>HYPERLINK("https://twitter.com/3dwheelcustoms","@3dwheelcustoms")</f>
        <v>@3dwheelcustoms</v>
      </c>
      <c r="C3573" s="9" t="s">
        <v>8642</v>
      </c>
      <c r="D3573" s="9" t="s">
        <v>8643</v>
      </c>
      <c r="E3573" s="10" t="str">
        <f>HYPERLINK("https://twitter.com/3dwheelcustoms/status/723495020347707392","723495020347707392")</f>
        <v>723495020347707392</v>
      </c>
      <c r="F3573" s="11" t="s">
        <v>114</v>
      </c>
      <c r="G3573" s="11">
        <v>10</v>
      </c>
      <c r="H3573" s="11">
        <v>40</v>
      </c>
      <c r="I3573" s="11">
        <v>0</v>
      </c>
      <c r="J3573" s="11">
        <v>0</v>
      </c>
      <c r="K3573" s="11" t="s">
        <v>21</v>
      </c>
      <c r="L3573" s="7">
        <v>42430.278912037036</v>
      </c>
      <c r="M3573" s="12" t="s">
        <v>8644</v>
      </c>
      <c r="N3573" s="12"/>
      <c r="O3573" s="10" t="str">
        <f>HYPERLINK("https://pbs.twimg.com/profile_images/704475085868965888/geCqCysj_normal.jpg","View")</f>
        <v>View</v>
      </c>
      <c r="P3573" s="11"/>
    </row>
    <row r="3574" spans="1:16" ht="12.75" x14ac:dyDescent="0.35">
      <c r="A3574" s="7">
        <v>42482.766701388886</v>
      </c>
      <c r="B3574" s="8" t="str">
        <f>HYPERLINK("https://twitter.com/LenaHR2","@LenaHR2")</f>
        <v>@LenaHR2</v>
      </c>
      <c r="C3574" s="9" t="s">
        <v>8630</v>
      </c>
      <c r="D3574" s="9" t="s">
        <v>8645</v>
      </c>
      <c r="E3574" s="10" t="str">
        <f>HYPERLINK("https://twitter.com/LenaHR2/status/723495081571958785","723495081571958785")</f>
        <v>723495081571958785</v>
      </c>
      <c r="F3574" s="11" t="s">
        <v>48</v>
      </c>
      <c r="G3574" s="11">
        <v>79</v>
      </c>
      <c r="H3574" s="11">
        <v>145</v>
      </c>
      <c r="I3574" s="11">
        <v>2</v>
      </c>
      <c r="J3574" s="11">
        <v>0</v>
      </c>
      <c r="K3574" s="11" t="s">
        <v>21</v>
      </c>
      <c r="L3574" s="7">
        <v>41082.099710648152</v>
      </c>
      <c r="M3574" s="12"/>
      <c r="N3574" s="12" t="s">
        <v>8631</v>
      </c>
      <c r="O3574" s="10" t="str">
        <f>HYPERLINK("https://pbs.twimg.com/profile_images/510566795435311104/qsgDiZKO_normal.jpeg","View")</f>
        <v>View</v>
      </c>
      <c r="P3574" s="11"/>
    </row>
    <row r="3575" spans="1:16" ht="12.75" x14ac:dyDescent="0.35">
      <c r="A3575" s="7">
        <v>42482.766736111109</v>
      </c>
      <c r="B3575" s="8" t="str">
        <f>HYPERLINK("https://twitter.com/markhowardracer","@markhowardracer")</f>
        <v>@markhowardracer</v>
      </c>
      <c r="C3575" s="9" t="s">
        <v>8646</v>
      </c>
      <c r="D3575" s="9" t="s">
        <v>8431</v>
      </c>
      <c r="E3575" s="10" t="str">
        <f>HYPERLINK("https://twitter.com/markhowardracer/status/723495093072760832","723495093072760832")</f>
        <v>723495093072760832</v>
      </c>
      <c r="F3575" s="11" t="s">
        <v>20</v>
      </c>
      <c r="G3575" s="11">
        <v>332</v>
      </c>
      <c r="H3575" s="11">
        <v>142</v>
      </c>
      <c r="I3575" s="11">
        <v>2</v>
      </c>
      <c r="J3575" s="11">
        <v>0</v>
      </c>
      <c r="K3575" s="11" t="s">
        <v>21</v>
      </c>
      <c r="L3575" s="7">
        <v>42443.014062499999</v>
      </c>
      <c r="M3575" s="12" t="s">
        <v>8647</v>
      </c>
      <c r="N3575" s="12" t="s">
        <v>8648</v>
      </c>
      <c r="O3575" s="10" t="str">
        <f>HYPERLINK("https://pbs.twimg.com/profile_images/709108461594869760/Hy6ei1K0_normal.jpg","View")</f>
        <v>View</v>
      </c>
      <c r="P3575" s="11"/>
    </row>
    <row r="3576" spans="1:16" ht="12.75" x14ac:dyDescent="0.35">
      <c r="A3576" s="7">
        <v>42482.766805555555</v>
      </c>
      <c r="B3576" s="8" t="str">
        <f>HYPERLINK("https://twitter.com/LenaHR2","@LenaHR2")</f>
        <v>@LenaHR2</v>
      </c>
      <c r="C3576" s="9" t="s">
        <v>8630</v>
      </c>
      <c r="D3576" s="9" t="s">
        <v>8553</v>
      </c>
      <c r="E3576" s="10" t="str">
        <f>HYPERLINK("https://twitter.com/LenaHR2/status/723495115600351234","723495115600351234")</f>
        <v>723495115600351234</v>
      </c>
      <c r="F3576" s="11" t="s">
        <v>48</v>
      </c>
      <c r="G3576" s="11">
        <v>79</v>
      </c>
      <c r="H3576" s="11">
        <v>145</v>
      </c>
      <c r="I3576" s="11">
        <v>3</v>
      </c>
      <c r="J3576" s="11">
        <v>0</v>
      </c>
      <c r="K3576" s="11" t="s">
        <v>21</v>
      </c>
      <c r="L3576" s="7">
        <v>41082.099710648152</v>
      </c>
      <c r="M3576" s="12"/>
      <c r="N3576" s="12" t="s">
        <v>8631</v>
      </c>
      <c r="O3576" s="10" t="str">
        <f>HYPERLINK("https://pbs.twimg.com/profile_images/510566795435311104/qsgDiZKO_normal.jpeg","View")</f>
        <v>View</v>
      </c>
      <c r="P3576" s="11"/>
    </row>
    <row r="3577" spans="1:16" ht="12.75" x14ac:dyDescent="0.35">
      <c r="A3577" s="7">
        <v>42482.76699074074</v>
      </c>
      <c r="B3577" s="8" t="str">
        <f>HYPERLINK("https://twitter.com/Symbol_FR","@Symbol_FR")</f>
        <v>@Symbol_FR</v>
      </c>
      <c r="C3577" s="9" t="s">
        <v>8649</v>
      </c>
      <c r="D3577" s="9" t="s">
        <v>8650</v>
      </c>
      <c r="E3577" s="10" t="str">
        <f>HYPERLINK("https://twitter.com/Symbol_FR/status/723495184386891776","723495184386891776")</f>
        <v>723495184386891776</v>
      </c>
      <c r="F3577" s="11" t="s">
        <v>43</v>
      </c>
      <c r="G3577" s="11">
        <v>319</v>
      </c>
      <c r="H3577" s="11">
        <v>759</v>
      </c>
      <c r="I3577" s="11">
        <v>0</v>
      </c>
      <c r="J3577" s="11">
        <v>0</v>
      </c>
      <c r="K3577" s="11" t="s">
        <v>21</v>
      </c>
      <c r="L3577" s="7">
        <v>42303.491909722223</v>
      </c>
      <c r="M3577" s="12" t="s">
        <v>8651</v>
      </c>
      <c r="N3577" s="12"/>
      <c r="O3577" s="10" t="str">
        <f>HYPERLINK("https://pbs.twimg.com/profile_images/664042740334903296/QuAZGTTR_normal.jpg","View")</f>
        <v>View</v>
      </c>
      <c r="P3577" s="11"/>
    </row>
    <row r="3578" spans="1:16" ht="12.75" x14ac:dyDescent="0.35">
      <c r="A3578" s="7">
        <v>42482.767129629632</v>
      </c>
      <c r="B3578" s="8" t="str">
        <f>HYPERLINK("https://twitter.com/HelloLouKitty","@HelloLouKitty")</f>
        <v>@HelloLouKitty</v>
      </c>
      <c r="C3578" s="9" t="s">
        <v>8652</v>
      </c>
      <c r="D3578" s="9" t="s">
        <v>8653</v>
      </c>
      <c r="E3578" s="10" t="str">
        <f>HYPERLINK("https://twitter.com/HelloLouKitty/status/723495236035465218","723495236035465218")</f>
        <v>723495236035465218</v>
      </c>
      <c r="F3578" s="11" t="s">
        <v>114</v>
      </c>
      <c r="G3578" s="11">
        <v>351</v>
      </c>
      <c r="H3578" s="11">
        <v>551</v>
      </c>
      <c r="I3578" s="11">
        <v>0</v>
      </c>
      <c r="J3578" s="11">
        <v>0</v>
      </c>
      <c r="K3578" s="11" t="s">
        <v>21</v>
      </c>
      <c r="L3578" s="7">
        <v>40304.898460648146</v>
      </c>
      <c r="M3578" s="12" t="s">
        <v>8654</v>
      </c>
      <c r="N3578" s="12" t="s">
        <v>8655</v>
      </c>
      <c r="O3578" s="10" t="str">
        <f>HYPERLINK("https://pbs.twimg.com/profile_images/693403089211105280/sACniTJ__normal.jpg","View")</f>
        <v>View</v>
      </c>
      <c r="P3578" s="11"/>
    </row>
    <row r="3579" spans="1:16" ht="12.75" x14ac:dyDescent="0.35">
      <c r="A3579" s="7">
        <v>42482.767141203702</v>
      </c>
      <c r="B3579" s="8" t="str">
        <f>HYPERLINK("https://twitter.com/FrVision","@FrVision")</f>
        <v>@FrVision</v>
      </c>
      <c r="C3579" s="9" t="s">
        <v>2292</v>
      </c>
      <c r="D3579" s="9" t="s">
        <v>8656</v>
      </c>
      <c r="E3579" s="10" t="str">
        <f>HYPERLINK("https://twitter.com/FrVision/status/723495240045355008","723495240045355008")</f>
        <v>723495240045355008</v>
      </c>
      <c r="F3579" s="11" t="s">
        <v>43</v>
      </c>
      <c r="G3579" s="11">
        <v>352</v>
      </c>
      <c r="H3579" s="11">
        <v>567</v>
      </c>
      <c r="I3579" s="11">
        <v>0</v>
      </c>
      <c r="J3579" s="11">
        <v>0</v>
      </c>
      <c r="K3579" s="11" t="s">
        <v>21</v>
      </c>
      <c r="L3579" s="7">
        <v>42294.64844907407</v>
      </c>
      <c r="M3579" s="12"/>
      <c r="N3579" s="12"/>
      <c r="O3579" s="10" t="str">
        <f>HYPERLINK("https://pbs.twimg.com/profile_images/655324200245272576/n6_8jlJ2_normal.jpg","View")</f>
        <v>View</v>
      </c>
      <c r="P3579" s="11"/>
    </row>
    <row r="3580" spans="1:16" ht="12.75" x14ac:dyDescent="0.35">
      <c r="A3580" s="7">
        <v>42482.767395833333</v>
      </c>
      <c r="B3580" s="8" t="str">
        <f>HYPERLINK("https://twitter.com/ronaldlaessig","@ronaldlaessig")</f>
        <v>@ronaldlaessig</v>
      </c>
      <c r="C3580" s="9" t="s">
        <v>8657</v>
      </c>
      <c r="D3580" s="9" t="s">
        <v>8658</v>
      </c>
      <c r="E3580" s="10" t="str">
        <f>HYPERLINK("https://twitter.com/ronaldlaessig/status/723495330470330368","723495330470330368")</f>
        <v>723495330470330368</v>
      </c>
      <c r="F3580" s="11" t="s">
        <v>48</v>
      </c>
      <c r="G3580" s="11">
        <v>3078</v>
      </c>
      <c r="H3580" s="11">
        <v>3775</v>
      </c>
      <c r="I3580" s="11">
        <v>1</v>
      </c>
      <c r="J3580" s="11">
        <v>2</v>
      </c>
      <c r="K3580" s="11" t="s">
        <v>21</v>
      </c>
      <c r="L3580" s="7">
        <v>41438.692037037035</v>
      </c>
      <c r="M3580" s="12"/>
      <c r="N3580" s="12" t="s">
        <v>8659</v>
      </c>
      <c r="O3580" s="10" t="str">
        <f>HYPERLINK("https://pbs.twimg.com/profile_images/344513261572673615/4e9615558727a5010ea350fd068a1bf9_normal.jpeg","View")</f>
        <v>View</v>
      </c>
      <c r="P3580" s="11"/>
    </row>
    <row r="3581" spans="1:16" ht="12.75" x14ac:dyDescent="0.35">
      <c r="A3581" s="7">
        <v>42482.767800925925</v>
      </c>
      <c r="B3581" s="8" t="str">
        <f>HYPERLINK("https://twitter.com/BundCBerlin","@BundCBerlin")</f>
        <v>@BundCBerlin</v>
      </c>
      <c r="C3581" s="9" t="s">
        <v>8660</v>
      </c>
      <c r="D3581" s="9" t="s">
        <v>8661</v>
      </c>
      <c r="E3581" s="10" t="str">
        <f>HYPERLINK("https://twitter.com/BundCBerlin/status/723495476029476864","723495476029476864")</f>
        <v>723495476029476864</v>
      </c>
      <c r="F3581" s="11" t="s">
        <v>20</v>
      </c>
      <c r="G3581" s="11">
        <v>552</v>
      </c>
      <c r="H3581" s="11">
        <v>1020</v>
      </c>
      <c r="I3581" s="11">
        <v>0</v>
      </c>
      <c r="J3581" s="11">
        <v>0</v>
      </c>
      <c r="K3581" s="11" t="s">
        <v>21</v>
      </c>
      <c r="L3581" s="7">
        <v>41078.677407407406</v>
      </c>
      <c r="M3581" s="12" t="s">
        <v>1359</v>
      </c>
      <c r="N3581" s="12" t="s">
        <v>8662</v>
      </c>
      <c r="O3581" s="10" t="str">
        <f>HYPERLINK("https://pbs.twimg.com/profile_images/3099062565/8d84b865e96ee00b606c7ac2088221bf_normal.jpeg","View")</f>
        <v>View</v>
      </c>
      <c r="P3581" s="11"/>
    </row>
    <row r="3582" spans="1:16" ht="12.75" x14ac:dyDescent="0.35">
      <c r="A3582" s="7">
        <v>42482.768368055556</v>
      </c>
      <c r="B3582" s="8" t="str">
        <f>HYPERLINK("https://twitter.com/LindsayLithgow","@LindsayLithgow")</f>
        <v>@LindsayLithgow</v>
      </c>
      <c r="C3582" s="9" t="s">
        <v>8663</v>
      </c>
      <c r="D3582" s="9" t="s">
        <v>8664</v>
      </c>
      <c r="E3582" s="10" t="str">
        <f>HYPERLINK("https://twitter.com/LindsayLithgow/status/723495684251500544","723495684251500544")</f>
        <v>723495684251500544</v>
      </c>
      <c r="F3582" s="11" t="s">
        <v>152</v>
      </c>
      <c r="G3582" s="11">
        <v>180</v>
      </c>
      <c r="H3582" s="11">
        <v>141</v>
      </c>
      <c r="I3582" s="11">
        <v>0</v>
      </c>
      <c r="J3582" s="11">
        <v>0</v>
      </c>
      <c r="K3582" s="11" t="s">
        <v>21</v>
      </c>
      <c r="L3582" s="7">
        <v>41487.099351851852</v>
      </c>
      <c r="M3582" s="12" t="s">
        <v>2646</v>
      </c>
      <c r="N3582" s="12" t="s">
        <v>8665</v>
      </c>
      <c r="O3582" s="10" t="str">
        <f>HYPERLINK("https://pbs.twimg.com/profile_images/691385268738375680/688s6fg9_normal.jpg","View")</f>
        <v>View</v>
      </c>
      <c r="P3582" s="11"/>
    </row>
    <row r="3583" spans="1:16" ht="12.75" x14ac:dyDescent="0.35">
      <c r="A3583" s="7">
        <v>42482.769131944442</v>
      </c>
      <c r="B3583" s="8" t="str">
        <f>HYPERLINK("https://twitter.com/N0Namen","@N0Namen")</f>
        <v>@N0Namen</v>
      </c>
      <c r="C3583" s="9" t="s">
        <v>8666</v>
      </c>
      <c r="D3583" s="9" t="s">
        <v>8667</v>
      </c>
      <c r="E3583" s="10" t="str">
        <f>HYPERLINK("https://twitter.com/N0Namen/status/723495961029414912","723495961029414912")</f>
        <v>723495961029414912</v>
      </c>
      <c r="F3583" s="11" t="s">
        <v>43</v>
      </c>
      <c r="G3583" s="11">
        <v>39</v>
      </c>
      <c r="H3583" s="11">
        <v>157</v>
      </c>
      <c r="I3583" s="11">
        <v>1</v>
      </c>
      <c r="J3583" s="11">
        <v>0</v>
      </c>
      <c r="K3583" s="11" t="s">
        <v>21</v>
      </c>
      <c r="L3583" s="7">
        <v>40411.649594907409</v>
      </c>
      <c r="M3583" s="12" t="s">
        <v>8668</v>
      </c>
      <c r="N3583" s="12" t="s">
        <v>8669</v>
      </c>
      <c r="O3583" s="10" t="str">
        <f>HYPERLINK("https://pbs.twimg.com/profile_images/1176009351/internetIcon_normal.gif","View")</f>
        <v>View</v>
      </c>
      <c r="P3583" s="11"/>
    </row>
    <row r="3584" spans="1:16" ht="12.75" x14ac:dyDescent="0.35">
      <c r="A3584" s="7">
        <v>42482.769386574073</v>
      </c>
      <c r="B3584" s="8" t="str">
        <f>HYPERLINK("https://twitter.com/LenaHR2","@LenaHR2")</f>
        <v>@LenaHR2</v>
      </c>
      <c r="C3584" s="9" t="s">
        <v>8630</v>
      </c>
      <c r="D3584" s="9" t="s">
        <v>8670</v>
      </c>
      <c r="E3584" s="10" t="str">
        <f>HYPERLINK("https://twitter.com/LenaHR2/status/723496050863005696","723496050863005696")</f>
        <v>723496050863005696</v>
      </c>
      <c r="F3584" s="11" t="s">
        <v>48</v>
      </c>
      <c r="G3584" s="11">
        <v>79</v>
      </c>
      <c r="H3584" s="11">
        <v>145</v>
      </c>
      <c r="I3584" s="11">
        <v>2</v>
      </c>
      <c r="J3584" s="11">
        <v>0</v>
      </c>
      <c r="K3584" s="11" t="s">
        <v>21</v>
      </c>
      <c r="L3584" s="7">
        <v>41082.099710648152</v>
      </c>
      <c r="M3584" s="12"/>
      <c r="N3584" s="12" t="s">
        <v>8631</v>
      </c>
      <c r="O3584" s="10" t="str">
        <f>HYPERLINK("https://pbs.twimg.com/profile_images/510566795435311104/qsgDiZKO_normal.jpeg","View")</f>
        <v>View</v>
      </c>
      <c r="P3584" s="11"/>
    </row>
    <row r="3585" spans="1:16" ht="12.75" x14ac:dyDescent="0.35">
      <c r="A3585" s="7">
        <v>42482.770138888889</v>
      </c>
      <c r="B3585" s="8" t="str">
        <f>HYPERLINK("https://twitter.com/ohneHintergrund","@ohneHintergrund")</f>
        <v>@ohneHintergrund</v>
      </c>
      <c r="C3585" s="9" t="s">
        <v>8671</v>
      </c>
      <c r="D3585" s="9" t="s">
        <v>8672</v>
      </c>
      <c r="E3585" s="10" t="str">
        <f>HYPERLINK("https://twitter.com/ohneHintergrund/status/723496325912907777","723496325912907777")</f>
        <v>723496325912907777</v>
      </c>
      <c r="F3585" s="11" t="s">
        <v>48</v>
      </c>
      <c r="G3585" s="11">
        <v>10</v>
      </c>
      <c r="H3585" s="11">
        <v>25</v>
      </c>
      <c r="I3585" s="11">
        <v>1</v>
      </c>
      <c r="J3585" s="11">
        <v>0</v>
      </c>
      <c r="K3585" s="11" t="s">
        <v>21</v>
      </c>
      <c r="L3585" s="7">
        <v>42465.06287037037</v>
      </c>
      <c r="M3585" s="12"/>
      <c r="N3585" s="12" t="s">
        <v>8673</v>
      </c>
      <c r="O3585" s="10" t="str">
        <f>HYPERLINK("https://pbs.twimg.com/profile_images/717085410514571265/YBeow5nq_normal.jpg","View")</f>
        <v>View</v>
      </c>
      <c r="P3585" s="11"/>
    </row>
    <row r="3586" spans="1:16" ht="12.75" x14ac:dyDescent="0.35">
      <c r="A3586" s="7">
        <v>42482.770358796297</v>
      </c>
      <c r="B3586" s="8" t="str">
        <f>HYPERLINK("https://twitter.com/shamereflect","@shamereflect")</f>
        <v>@shamereflect</v>
      </c>
      <c r="C3586" s="9" t="s">
        <v>2113</v>
      </c>
      <c r="D3586" s="9" t="s">
        <v>8674</v>
      </c>
      <c r="E3586" s="10" t="str">
        <f>HYPERLINK("https://twitter.com/shamereflect/status/723496405780836352","723496405780836352")</f>
        <v>723496405780836352</v>
      </c>
      <c r="F3586" s="11" t="s">
        <v>43</v>
      </c>
      <c r="G3586" s="11">
        <v>8</v>
      </c>
      <c r="H3586" s="11">
        <v>105</v>
      </c>
      <c r="I3586" s="11">
        <v>0</v>
      </c>
      <c r="J3586" s="11">
        <v>0</v>
      </c>
      <c r="K3586" s="11" t="s">
        <v>21</v>
      </c>
      <c r="L3586" s="7">
        <v>42137.803935185184</v>
      </c>
      <c r="M3586" s="12"/>
      <c r="N3586" s="12" t="s">
        <v>2115</v>
      </c>
      <c r="O3586" s="10" t="str">
        <f>HYPERLINK("https://pbs.twimg.com/profile_images/598485163241267200/wFl-W3I2_normal.jpg","View")</f>
        <v>View</v>
      </c>
      <c r="P3586" s="11"/>
    </row>
    <row r="3587" spans="1:16" ht="12.75" x14ac:dyDescent="0.35">
      <c r="A3587" s="7">
        <v>42482.77039351852</v>
      </c>
      <c r="B3587" s="8" t="str">
        <f>HYPERLINK("https://twitter.com/HansTheGerman","@HansTheGerman")</f>
        <v>@HansTheGerman</v>
      </c>
      <c r="C3587" s="9" t="s">
        <v>4330</v>
      </c>
      <c r="D3587" s="9" t="s">
        <v>8675</v>
      </c>
      <c r="E3587" s="10" t="str">
        <f>HYPERLINK("https://twitter.com/HansTheGerman/status/723496418527330304","723496418527330304")</f>
        <v>723496418527330304</v>
      </c>
      <c r="F3587" s="11" t="s">
        <v>43</v>
      </c>
      <c r="G3587" s="11">
        <v>310</v>
      </c>
      <c r="H3587" s="11">
        <v>761</v>
      </c>
      <c r="I3587" s="11">
        <v>1</v>
      </c>
      <c r="J3587" s="11">
        <v>0</v>
      </c>
      <c r="K3587" s="11" t="s">
        <v>21</v>
      </c>
      <c r="L3587" s="7">
        <v>39950.572777777779</v>
      </c>
      <c r="M3587" s="12" t="s">
        <v>1116</v>
      </c>
      <c r="N3587" s="12" t="s">
        <v>4332</v>
      </c>
      <c r="O3587" s="10" t="str">
        <f>HYPERLINK("https://pbs.twimg.com/profile_images/3012106875/596e712c99a38ec69b925b7f7ab71986_normal.jpeg","View")</f>
        <v>View</v>
      </c>
      <c r="P3587" s="11"/>
    </row>
    <row r="3588" spans="1:16" ht="12.75" x14ac:dyDescent="0.35">
      <c r="A3588" s="7">
        <v>42482.770555555559</v>
      </c>
      <c r="B3588" s="8" t="str">
        <f>HYPERLINK("https://twitter.com/hdBerretz","@hdBerretz")</f>
        <v>@hdBerretz</v>
      </c>
      <c r="C3588" s="9" t="s">
        <v>8676</v>
      </c>
      <c r="D3588" s="9" t="s">
        <v>8677</v>
      </c>
      <c r="E3588" s="10" t="str">
        <f>HYPERLINK("https://twitter.com/hdBerretz/status/723496475641151494","723496475641151494")</f>
        <v>723496475641151494</v>
      </c>
      <c r="F3588" s="11" t="s">
        <v>1143</v>
      </c>
      <c r="G3588" s="11">
        <v>3328</v>
      </c>
      <c r="H3588" s="11">
        <v>1223</v>
      </c>
      <c r="I3588" s="11">
        <v>1</v>
      </c>
      <c r="J3588" s="11">
        <v>1</v>
      </c>
      <c r="K3588" s="11" t="s">
        <v>21</v>
      </c>
      <c r="L3588" s="7">
        <v>40018.327939814815</v>
      </c>
      <c r="M3588" s="12" t="s">
        <v>1241</v>
      </c>
      <c r="N3588" s="12" t="s">
        <v>8678</v>
      </c>
      <c r="O3588" s="10" t="str">
        <f>HYPERLINK("https://pbs.twimg.com/profile_images/548874200102879234/jOo5AkMZ_normal.png","View")</f>
        <v>View</v>
      </c>
      <c r="P3588" s="11"/>
    </row>
    <row r="3589" spans="1:16" ht="12.75" x14ac:dyDescent="0.35">
      <c r="A3589" s="7">
        <v>42482.77071759259</v>
      </c>
      <c r="B3589" s="8" t="str">
        <f>HYPERLINK("https://twitter.com/JoeAlvarezUK","@JoeAlvarezUK")</f>
        <v>@JoeAlvarezUK</v>
      </c>
      <c r="C3589" s="9" t="s">
        <v>8679</v>
      </c>
      <c r="D3589" s="9" t="s">
        <v>8680</v>
      </c>
      <c r="E3589" s="10" t="str">
        <f>HYPERLINK("https://twitter.com/JoeAlvarezUK/status/723496534352998400","723496534352998400")</f>
        <v>723496534352998400</v>
      </c>
      <c r="F3589" s="11" t="s">
        <v>43</v>
      </c>
      <c r="G3589" s="11">
        <v>50629</v>
      </c>
      <c r="H3589" s="11">
        <v>12398</v>
      </c>
      <c r="I3589" s="11">
        <v>1</v>
      </c>
      <c r="J3589" s="11">
        <v>0</v>
      </c>
      <c r="K3589" s="11" t="s">
        <v>21</v>
      </c>
      <c r="L3589" s="7">
        <v>39993.137604166666</v>
      </c>
      <c r="M3589" s="12" t="s">
        <v>8681</v>
      </c>
      <c r="N3589" s="12" t="s">
        <v>8682</v>
      </c>
      <c r="O3589" s="10" t="str">
        <f>HYPERLINK("https://pbs.twimg.com/profile_images/607156834680635392/lFKtXFch_normal.jpg","View")</f>
        <v>View</v>
      </c>
      <c r="P3589" s="11"/>
    </row>
    <row r="3590" spans="1:16" ht="12.75" x14ac:dyDescent="0.35">
      <c r="A3590" s="7">
        <v>42482.771203703705</v>
      </c>
      <c r="B3590" s="8" t="str">
        <f>HYPERLINK("https://twitter.com/Scirocco_Tuning","@Scirocco_Tuning")</f>
        <v>@Scirocco_Tuning</v>
      </c>
      <c r="C3590" s="9" t="s">
        <v>51</v>
      </c>
      <c r="D3590" s="9" t="s">
        <v>8683</v>
      </c>
      <c r="E3590" s="10" t="str">
        <f>HYPERLINK("https://twitter.com/Scirocco_Tuning/status/723496712086630401","723496712086630401")</f>
        <v>723496712086630401</v>
      </c>
      <c r="F3590" s="11" t="s">
        <v>53</v>
      </c>
      <c r="G3590" s="11">
        <v>69</v>
      </c>
      <c r="H3590" s="11">
        <v>215</v>
      </c>
      <c r="I3590" s="11">
        <v>0</v>
      </c>
      <c r="J3590" s="11">
        <v>0</v>
      </c>
      <c r="K3590" s="11" t="s">
        <v>21</v>
      </c>
      <c r="L3590" s="7">
        <v>40844.564722222218</v>
      </c>
      <c r="M3590" s="12"/>
      <c r="N3590" s="12"/>
      <c r="O3590" s="10" t="str">
        <f>HYPERLINK("https://pbs.twimg.com/profile_images/1610421423/Image2_normal.jpg","View")</f>
        <v>View</v>
      </c>
      <c r="P3590" s="11"/>
    </row>
    <row r="3591" spans="1:16" ht="12.75" x14ac:dyDescent="0.35">
      <c r="A3591" s="7">
        <v>42482.771261574075</v>
      </c>
      <c r="B3591" s="8" t="str">
        <f>HYPERLINK("https://twitter.com/techislet","@techislet")</f>
        <v>@techislet</v>
      </c>
      <c r="C3591" s="9" t="s">
        <v>2042</v>
      </c>
      <c r="D3591" s="9" t="s">
        <v>8684</v>
      </c>
      <c r="E3591" s="10" t="str">
        <f>HYPERLINK("https://twitter.com/techislet/status/723496731627888641","723496731627888641")</f>
        <v>723496731627888641</v>
      </c>
      <c r="F3591" s="11" t="s">
        <v>2044</v>
      </c>
      <c r="G3591" s="11">
        <v>882</v>
      </c>
      <c r="H3591" s="11">
        <v>48</v>
      </c>
      <c r="I3591" s="11">
        <v>0</v>
      </c>
      <c r="J3591" s="11">
        <v>0</v>
      </c>
      <c r="K3591" s="11" t="s">
        <v>21</v>
      </c>
      <c r="L3591" s="7">
        <v>42230.528009259258</v>
      </c>
      <c r="M3591" s="12" t="s">
        <v>1483</v>
      </c>
      <c r="N3591" s="12" t="s">
        <v>2045</v>
      </c>
      <c r="O3591" s="10" t="str">
        <f>HYPERLINK("https://pbs.twimg.com/profile_images/640893185158352896/TMGmsF0r_normal.png","View")</f>
        <v>View</v>
      </c>
      <c r="P3591" s="11"/>
    </row>
    <row r="3592" spans="1:16" ht="12.75" x14ac:dyDescent="0.35">
      <c r="A3592" s="7">
        <v>42482.771331018521</v>
      </c>
      <c r="B3592" s="8" t="str">
        <f>HYPERLINK("https://twitter.com/buran63","@buran63")</f>
        <v>@buran63</v>
      </c>
      <c r="C3592" s="9" t="s">
        <v>5473</v>
      </c>
      <c r="D3592" s="9" t="s">
        <v>8685</v>
      </c>
      <c r="E3592" s="10" t="str">
        <f>HYPERLINK("https://twitter.com/buran63/status/723496759167692800","723496759167692800")</f>
        <v>723496759167692800</v>
      </c>
      <c r="F3592" s="11" t="s">
        <v>20</v>
      </c>
      <c r="G3592" s="11">
        <v>1191</v>
      </c>
      <c r="H3592" s="11">
        <v>887</v>
      </c>
      <c r="I3592" s="11">
        <v>2</v>
      </c>
      <c r="J3592" s="11">
        <v>0</v>
      </c>
      <c r="K3592" s="11" t="s">
        <v>21</v>
      </c>
      <c r="L3592" s="7">
        <v>40497.488715277781</v>
      </c>
      <c r="M3592" s="12" t="s">
        <v>5475</v>
      </c>
      <c r="N3592" s="12" t="s">
        <v>5476</v>
      </c>
      <c r="O3592" s="10" t="str">
        <f>HYPERLINK("https://pbs.twimg.com/profile_images/645328399834181632/rWu1bHrC_normal.jpg","View")</f>
        <v>View</v>
      </c>
      <c r="P3592" s="11"/>
    </row>
    <row r="3593" spans="1:16" ht="12.75" x14ac:dyDescent="0.35">
      <c r="A3593" s="7">
        <v>42482.771747685183</v>
      </c>
      <c r="B3593" s="8" t="str">
        <f>HYPERLINK("https://twitter.com/urotuning","@urotuning")</f>
        <v>@urotuning</v>
      </c>
      <c r="C3593" s="9" t="s">
        <v>3134</v>
      </c>
      <c r="D3593" s="9" t="s">
        <v>8686</v>
      </c>
      <c r="E3593" s="10" t="str">
        <f>HYPERLINK("https://twitter.com/urotuning/status/723496909097316352","723496909097316352")</f>
        <v>723496909097316352</v>
      </c>
      <c r="F3593" s="11" t="s">
        <v>53</v>
      </c>
      <c r="G3593" s="11">
        <v>1085</v>
      </c>
      <c r="H3593" s="11">
        <v>226</v>
      </c>
      <c r="I3593" s="11">
        <v>0</v>
      </c>
      <c r="J3593" s="11">
        <v>0</v>
      </c>
      <c r="K3593" s="11" t="s">
        <v>21</v>
      </c>
      <c r="L3593" s="7">
        <v>39905.98065972222</v>
      </c>
      <c r="M3593" s="12" t="s">
        <v>3136</v>
      </c>
      <c r="N3593" s="12" t="s">
        <v>3137</v>
      </c>
      <c r="O3593" s="10" t="str">
        <f>HYPERLINK("https://pbs.twimg.com/profile_images/652593086124527616/onf0J8iL_normal.png","View")</f>
        <v>View</v>
      </c>
      <c r="P3593" s="11"/>
    </row>
    <row r="3594" spans="1:16" ht="12.75" x14ac:dyDescent="0.35">
      <c r="A3594" s="7">
        <v>42482.772118055553</v>
      </c>
      <c r="B3594" s="8" t="str">
        <f>HYPERLINK("https://twitter.com/de_deutschland","@de_deutschland")</f>
        <v>@de_deutschland</v>
      </c>
      <c r="C3594" s="8" t="s">
        <v>8687</v>
      </c>
      <c r="D3594" s="9" t="s">
        <v>8688</v>
      </c>
      <c r="E3594" s="10" t="str">
        <f>HYPERLINK("https://twitter.com/de_deutschland/status/723497043474407424","723497043474407424")</f>
        <v>723497043474407424</v>
      </c>
      <c r="F3594" s="11" t="s">
        <v>43</v>
      </c>
      <c r="G3594" s="11">
        <v>12780</v>
      </c>
      <c r="H3594" s="11">
        <v>1575</v>
      </c>
      <c r="I3594" s="11">
        <v>0</v>
      </c>
      <c r="J3594" s="11">
        <v>1</v>
      </c>
      <c r="K3594" s="11" t="s">
        <v>21</v>
      </c>
      <c r="L3594" s="7">
        <v>40144.728032407409</v>
      </c>
      <c r="M3594" s="12" t="s">
        <v>1464</v>
      </c>
      <c r="N3594" s="12" t="s">
        <v>8689</v>
      </c>
      <c r="O3594" s="10" t="str">
        <f>HYPERLINK("https://pbs.twimg.com/profile_images/2552706320/omzk9t23vkp4a2mf4vtd_normal.jpeg","View")</f>
        <v>View</v>
      </c>
      <c r="P3594" s="11"/>
    </row>
    <row r="3595" spans="1:16" ht="12.75" x14ac:dyDescent="0.35">
      <c r="A3595" s="7">
        <v>42482.772476851853</v>
      </c>
      <c r="B3595" s="8" t="str">
        <f>HYPERLINK("https://twitter.com/doern","@doern")</f>
        <v>@doern</v>
      </c>
      <c r="C3595" s="9" t="s">
        <v>3107</v>
      </c>
      <c r="D3595" s="9" t="s">
        <v>8690</v>
      </c>
      <c r="E3595" s="10" t="str">
        <f>HYPERLINK("https://twitter.com/doern/status/723497171241316353","723497171241316353")</f>
        <v>723497171241316353</v>
      </c>
      <c r="F3595" s="11" t="s">
        <v>43</v>
      </c>
      <c r="G3595" s="11">
        <v>361</v>
      </c>
      <c r="H3595" s="11">
        <v>63</v>
      </c>
      <c r="I3595" s="11">
        <v>2</v>
      </c>
      <c r="J3595" s="11">
        <v>0</v>
      </c>
      <c r="K3595" s="11" t="s">
        <v>21</v>
      </c>
      <c r="L3595" s="7">
        <v>39909.663194444445</v>
      </c>
      <c r="M3595" s="12" t="s">
        <v>262</v>
      </c>
      <c r="N3595" s="12" t="s">
        <v>3109</v>
      </c>
      <c r="O3595" s="10" t="str">
        <f>HYPERLINK("https://pbs.twimg.com/profile_images/657853466384191488/J6vAnfZr_normal.jpg","View")</f>
        <v>View</v>
      </c>
      <c r="P3595" s="11"/>
    </row>
    <row r="3596" spans="1:16" ht="12.75" x14ac:dyDescent="0.35">
      <c r="A3596" s="7">
        <v>42482.772777777776</v>
      </c>
      <c r="B3596" s="8" t="str">
        <f>HYPERLINK("https://twitter.com/sven291985","@sven291985")</f>
        <v>@sven291985</v>
      </c>
      <c r="C3596" s="9" t="s">
        <v>8691</v>
      </c>
      <c r="D3596" s="9" t="s">
        <v>8028</v>
      </c>
      <c r="E3596" s="10" t="str">
        <f>HYPERLINK("https://twitter.com/sven291985/status/723497283116011520","723497283116011520")</f>
        <v>723497283116011520</v>
      </c>
      <c r="F3596" s="11" t="s">
        <v>725</v>
      </c>
      <c r="G3596" s="11">
        <v>138</v>
      </c>
      <c r="H3596" s="11">
        <v>638</v>
      </c>
      <c r="I3596" s="11">
        <v>6</v>
      </c>
      <c r="J3596" s="11">
        <v>0</v>
      </c>
      <c r="K3596" s="11" t="s">
        <v>21</v>
      </c>
      <c r="L3596" s="7">
        <v>40015.898287037038</v>
      </c>
      <c r="M3596" s="12"/>
      <c r="N3596" s="12" t="s">
        <v>8692</v>
      </c>
      <c r="O3596" s="10" t="str">
        <f>HYPERLINK("https://pbs.twimg.com/profile_images/420023295/mercedes-benz_normal.gif","View")</f>
        <v>View</v>
      </c>
      <c r="P3596" s="11"/>
    </row>
    <row r="3597" spans="1:16" ht="12.75" x14ac:dyDescent="0.35">
      <c r="A3597" s="7">
        <v>42482.772928240738</v>
      </c>
      <c r="B3597" s="8" t="str">
        <f>HYPERLINK("https://twitter.com/Buntomat","@Buntomat")</f>
        <v>@Buntomat</v>
      </c>
      <c r="C3597" s="9" t="s">
        <v>8693</v>
      </c>
      <c r="D3597" s="9" t="s">
        <v>8685</v>
      </c>
      <c r="E3597" s="10" t="str">
        <f>HYPERLINK("https://twitter.com/Buntomat/status/723497335892905984","723497335892905984")</f>
        <v>723497335892905984</v>
      </c>
      <c r="F3597" s="11" t="s">
        <v>3614</v>
      </c>
      <c r="G3597" s="11">
        <v>1927</v>
      </c>
      <c r="H3597" s="11">
        <v>661</v>
      </c>
      <c r="I3597" s="11">
        <v>2</v>
      </c>
      <c r="J3597" s="11">
        <v>0</v>
      </c>
      <c r="K3597" s="11" t="s">
        <v>21</v>
      </c>
      <c r="L3597" s="7">
        <v>40021.933240740742</v>
      </c>
      <c r="M3597" s="12" t="s">
        <v>8694</v>
      </c>
      <c r="N3597" s="12" t="s">
        <v>8695</v>
      </c>
      <c r="O3597" s="10" t="str">
        <f>HYPERLINK("https://pbs.twimg.com/profile_images/722789848218734592/taNZkEWH_normal.jpg","View")</f>
        <v>View</v>
      </c>
      <c r="P3597" s="11"/>
    </row>
    <row r="3598" spans="1:16" ht="12.75" x14ac:dyDescent="0.35">
      <c r="A3598" s="7">
        <v>42482.773229166662</v>
      </c>
      <c r="B3598" s="8" t="str">
        <f>HYPERLINK("https://twitter.com/boersenzeitung","@boersenzeitung")</f>
        <v>@boersenzeitung</v>
      </c>
      <c r="C3598" s="9" t="s">
        <v>7804</v>
      </c>
      <c r="D3598" s="9" t="s">
        <v>8696</v>
      </c>
      <c r="E3598" s="10" t="str">
        <f>HYPERLINK("https://twitter.com/boersenzeitung/status/723497446253441025","723497446253441025")</f>
        <v>723497446253441025</v>
      </c>
      <c r="F3598" s="11" t="s">
        <v>43</v>
      </c>
      <c r="G3598" s="11">
        <v>4519</v>
      </c>
      <c r="H3598" s="11">
        <v>2139</v>
      </c>
      <c r="I3598" s="11">
        <v>0</v>
      </c>
      <c r="J3598" s="11">
        <v>0</v>
      </c>
      <c r="K3598" s="11" t="s">
        <v>21</v>
      </c>
      <c r="L3598" s="7">
        <v>39941.513969907406</v>
      </c>
      <c r="M3598" s="12" t="s">
        <v>7806</v>
      </c>
      <c r="N3598" s="12" t="s">
        <v>7807</v>
      </c>
      <c r="O3598" s="10" t="str">
        <f>HYPERLINK("https://pbs.twimg.com/profile_images/574906201290334209/eDNLUdPe_normal.png","View")</f>
        <v>View</v>
      </c>
      <c r="P3598" s="11"/>
    </row>
    <row r="3599" spans="1:16" ht="12.75" x14ac:dyDescent="0.35">
      <c r="A3599" s="7">
        <v>42482.773946759262</v>
      </c>
      <c r="B3599" s="8" t="str">
        <f>HYPERLINK("https://twitter.com/ruv24_de","@ruv24_de")</f>
        <v>@ruv24_de</v>
      </c>
      <c r="C3599" s="9" t="s">
        <v>7298</v>
      </c>
      <c r="D3599" s="9" t="s">
        <v>8697</v>
      </c>
      <c r="E3599" s="10" t="str">
        <f>HYPERLINK("https://twitter.com/ruv24_de/status/723497705381736448","723497705381736448")</f>
        <v>723497705381736448</v>
      </c>
      <c r="F3599" s="11" t="s">
        <v>152</v>
      </c>
      <c r="G3599" s="11">
        <v>3528</v>
      </c>
      <c r="H3599" s="11">
        <v>851</v>
      </c>
      <c r="I3599" s="11">
        <v>0</v>
      </c>
      <c r="J3599" s="11">
        <v>0</v>
      </c>
      <c r="K3599" s="11" t="s">
        <v>21</v>
      </c>
      <c r="L3599" s="7">
        <v>39983.833483796298</v>
      </c>
      <c r="M3599" s="12" t="s">
        <v>7300</v>
      </c>
      <c r="N3599" s="12" t="s">
        <v>7301</v>
      </c>
      <c r="O3599" s="10" t="str">
        <f>HYPERLINK("https://pbs.twimg.com/profile_images/461143330147954688/HZO45eNS_normal.jpeg","View")</f>
        <v>View</v>
      </c>
      <c r="P3599" s="11"/>
    </row>
    <row r="3600" spans="1:16" ht="12.75" x14ac:dyDescent="0.35">
      <c r="A3600" s="7">
        <v>42482.774201388893</v>
      </c>
      <c r="B3600" s="8" t="str">
        <f>HYPERLINK("https://twitter.com/Madushanpriyas2","@Madushanpriyas2")</f>
        <v>@Madushanpriyas2</v>
      </c>
      <c r="C3600" s="9" t="s">
        <v>8698</v>
      </c>
      <c r="D3600" s="9" t="s">
        <v>7646</v>
      </c>
      <c r="E3600" s="10" t="str">
        <f>HYPERLINK("https://twitter.com/Madushanpriyas2/status/723497797845032960","723497797845032960")</f>
        <v>723497797845032960</v>
      </c>
      <c r="F3600" s="11" t="s">
        <v>48</v>
      </c>
      <c r="G3600" s="11">
        <v>43</v>
      </c>
      <c r="H3600" s="11">
        <v>195</v>
      </c>
      <c r="I3600" s="11">
        <v>12</v>
      </c>
      <c r="J3600" s="11">
        <v>0</v>
      </c>
      <c r="K3600" s="11" t="s">
        <v>21</v>
      </c>
      <c r="L3600" s="7">
        <v>42464.609606481477</v>
      </c>
      <c r="M3600" s="12"/>
      <c r="N3600" s="12"/>
      <c r="O3600" s="10" t="str">
        <f>HYPERLINK("https://abs.twimg.com/sticky/default_profile_images/default_profile_5_normal.png","View")</f>
        <v>View</v>
      </c>
      <c r="P3600" s="11"/>
    </row>
    <row r="3601" spans="1:16" ht="12.75" x14ac:dyDescent="0.35">
      <c r="A3601" s="7">
        <v>42482.774317129632</v>
      </c>
      <c r="B3601" s="8" t="str">
        <f>HYPERLINK("https://twitter.com/Fourways_SD","@Fourways_SD")</f>
        <v>@Fourways_SD</v>
      </c>
      <c r="C3601" s="9" t="s">
        <v>8699</v>
      </c>
      <c r="D3601" s="9" t="s">
        <v>8700</v>
      </c>
      <c r="E3601" s="10" t="str">
        <f>HYPERLINK("https://twitter.com/Fourways_SD/status/723497841004412928","723497841004412928")</f>
        <v>723497841004412928</v>
      </c>
      <c r="F3601" s="11" t="s">
        <v>140</v>
      </c>
      <c r="G3601" s="11">
        <v>89</v>
      </c>
      <c r="H3601" s="11">
        <v>347</v>
      </c>
      <c r="I3601" s="11">
        <v>0</v>
      </c>
      <c r="J3601" s="11">
        <v>0</v>
      </c>
      <c r="K3601" s="11" t="s">
        <v>21</v>
      </c>
      <c r="L3601" s="7">
        <v>42067.743587962963</v>
      </c>
      <c r="M3601" s="12" t="s">
        <v>8701</v>
      </c>
      <c r="N3601" s="12" t="s">
        <v>8702</v>
      </c>
      <c r="O3601" s="10" t="str">
        <f>HYPERLINK("https://pbs.twimg.com/profile_images/573096506472808448/daICke8C_normal.png","View")</f>
        <v>View</v>
      </c>
      <c r="P3601" s="11"/>
    </row>
    <row r="3602" spans="1:16" ht="12.75" x14ac:dyDescent="0.35">
      <c r="A3602" s="7">
        <v>42482.774421296301</v>
      </c>
      <c r="B3602" s="8" t="str">
        <f>HYPERLINK("https://twitter.com/buran63","@buran63")</f>
        <v>@buran63</v>
      </c>
      <c r="C3602" s="9" t="s">
        <v>5473</v>
      </c>
      <c r="D3602" s="9" t="s">
        <v>8703</v>
      </c>
      <c r="E3602" s="10" t="str">
        <f>HYPERLINK("https://twitter.com/buran63/status/723497876450598913","723497876450598913")</f>
        <v>723497876450598913</v>
      </c>
      <c r="F3602" s="11" t="s">
        <v>20</v>
      </c>
      <c r="G3602" s="11">
        <v>1191</v>
      </c>
      <c r="H3602" s="11">
        <v>887</v>
      </c>
      <c r="I3602" s="11">
        <v>0</v>
      </c>
      <c r="J3602" s="11">
        <v>1</v>
      </c>
      <c r="K3602" s="11" t="s">
        <v>21</v>
      </c>
      <c r="L3602" s="7">
        <v>40497.488715277781</v>
      </c>
      <c r="M3602" s="12" t="s">
        <v>5475</v>
      </c>
      <c r="N3602" s="12" t="s">
        <v>5476</v>
      </c>
      <c r="O3602" s="10" t="str">
        <f>HYPERLINK("https://pbs.twimg.com/profile_images/645328399834181632/rWu1bHrC_normal.jpg","View")</f>
        <v>View</v>
      </c>
      <c r="P3602" s="11"/>
    </row>
    <row r="3603" spans="1:16" ht="12.75" x14ac:dyDescent="0.35">
      <c r="A3603" s="7">
        <v>42482.774421296301</v>
      </c>
      <c r="B3603" s="8" t="str">
        <f>HYPERLINK("https://twitter.com/handelsblatt","@handelsblatt")</f>
        <v>@handelsblatt</v>
      </c>
      <c r="C3603" s="9" t="s">
        <v>973</v>
      </c>
      <c r="D3603" s="9" t="s">
        <v>8704</v>
      </c>
      <c r="E3603" s="10" t="str">
        <f>HYPERLINK("https://twitter.com/handelsblatt/status/723497878417760257","723497878417760257")</f>
        <v>723497878417760257</v>
      </c>
      <c r="F3603" s="11" t="s">
        <v>288</v>
      </c>
      <c r="G3603" s="11">
        <v>239950</v>
      </c>
      <c r="H3603" s="11">
        <v>535</v>
      </c>
      <c r="I3603" s="11">
        <v>2</v>
      </c>
      <c r="J3603" s="11">
        <v>0</v>
      </c>
      <c r="K3603" s="11" t="s">
        <v>21</v>
      </c>
      <c r="L3603" s="7">
        <v>39207.128182870372</v>
      </c>
      <c r="M3603" s="12" t="s">
        <v>975</v>
      </c>
      <c r="N3603" s="12" t="s">
        <v>976</v>
      </c>
      <c r="O3603" s="10" t="str">
        <f>HYPERLINK("https://pbs.twimg.com/profile_images/562563461171798017/AkHF4keI_normal.png","View")</f>
        <v>View</v>
      </c>
      <c r="P3603" s="11"/>
    </row>
    <row r="3604" spans="1:16" ht="12.75" x14ac:dyDescent="0.35">
      <c r="A3604" s="7">
        <v>42482.774571759262</v>
      </c>
      <c r="B3604" s="8" t="str">
        <f>HYPERLINK("https://twitter.com/beetlebug1938","@beetlebug1938")</f>
        <v>@beetlebug1938</v>
      </c>
      <c r="C3604" s="9" t="s">
        <v>66</v>
      </c>
      <c r="D3604" s="9" t="s">
        <v>8705</v>
      </c>
      <c r="E3604" s="10" t="str">
        <f>HYPERLINK("https://twitter.com/beetlebug1938/status/723497930850729986","723497930850729986")</f>
        <v>723497930850729986</v>
      </c>
      <c r="F3604" s="11" t="s">
        <v>68</v>
      </c>
      <c r="G3604" s="11">
        <v>350</v>
      </c>
      <c r="H3604" s="11">
        <v>2223</v>
      </c>
      <c r="I3604" s="11">
        <v>1</v>
      </c>
      <c r="J3604" s="11">
        <v>2</v>
      </c>
      <c r="K3604" s="11" t="s">
        <v>21</v>
      </c>
      <c r="L3604" s="7">
        <v>42469.863865740743</v>
      </c>
      <c r="M3604" s="12" t="s">
        <v>69</v>
      </c>
      <c r="N3604" s="12"/>
      <c r="O3604" s="10" t="str">
        <f>HYPERLINK("https://pbs.twimg.com/profile_images/718820712757215233/LXXndPTS_normal.jpg","View")</f>
        <v>View</v>
      </c>
      <c r="P3604" s="11"/>
    </row>
    <row r="3605" spans="1:16" ht="12.75" x14ac:dyDescent="0.35">
      <c r="A3605" s="7">
        <v>42482.774583333332</v>
      </c>
      <c r="B3605" s="8" t="str">
        <f>HYPERLINK("https://twitter.com/NDRreporter","@NDRreporter")</f>
        <v>@NDRreporter</v>
      </c>
      <c r="C3605" s="9" t="s">
        <v>1660</v>
      </c>
      <c r="D3605" s="9" t="s">
        <v>8706</v>
      </c>
      <c r="E3605" s="10" t="str">
        <f>HYPERLINK("https://twitter.com/NDRreporter/status/723497933941825537","723497933941825537")</f>
        <v>723497933941825537</v>
      </c>
      <c r="F3605" s="11" t="s">
        <v>43</v>
      </c>
      <c r="G3605" s="11">
        <v>11488</v>
      </c>
      <c r="H3605" s="11">
        <v>297</v>
      </c>
      <c r="I3605" s="11">
        <v>1</v>
      </c>
      <c r="J3605" s="11">
        <v>0</v>
      </c>
      <c r="K3605" s="11" t="s">
        <v>21</v>
      </c>
      <c r="L3605" s="7">
        <v>41386.591909722221</v>
      </c>
      <c r="M3605" s="12" t="s">
        <v>953</v>
      </c>
      <c r="N3605" s="12" t="s">
        <v>1662</v>
      </c>
      <c r="O3605" s="10" t="str">
        <f>HYPERLINK("https://pbs.twimg.com/profile_images/466908605317279744/I5a712BQ_normal.jpeg","View")</f>
        <v>View</v>
      </c>
      <c r="P3605" s="11"/>
    </row>
    <row r="3606" spans="1:16" ht="12.75" x14ac:dyDescent="0.35">
      <c r="A3606" s="7">
        <v>42482.774583333332</v>
      </c>
      <c r="B3606" s="8" t="str">
        <f>HYPERLINK("https://twitter.com/msav999","@msav999")</f>
        <v>@msav999</v>
      </c>
      <c r="C3606" s="9" t="s">
        <v>4162</v>
      </c>
      <c r="D3606" s="9" t="s">
        <v>8707</v>
      </c>
      <c r="E3606" s="10" t="str">
        <f>HYPERLINK("https://twitter.com/msav999/status/723497937007845378","723497937007845378")</f>
        <v>723497937007845378</v>
      </c>
      <c r="F3606" s="11" t="s">
        <v>48</v>
      </c>
      <c r="G3606" s="11">
        <v>21</v>
      </c>
      <c r="H3606" s="11">
        <v>128</v>
      </c>
      <c r="I3606" s="11">
        <v>0</v>
      </c>
      <c r="J3606" s="11">
        <v>0</v>
      </c>
      <c r="K3606" s="11" t="s">
        <v>21</v>
      </c>
      <c r="L3606" s="7">
        <v>40825.170624999999</v>
      </c>
      <c r="M3606" s="12" t="s">
        <v>4164</v>
      </c>
      <c r="N3606" s="12" t="s">
        <v>4165</v>
      </c>
      <c r="O3606" s="10" t="str">
        <f>HYPERLINK("https://pbs.twimg.com/profile_images/613550335307612160/IseYDiEM_normal.jpg","View")</f>
        <v>View</v>
      </c>
      <c r="P3606" s="11"/>
    </row>
    <row r="3607" spans="1:16" ht="12.75" x14ac:dyDescent="0.35">
      <c r="A3607" s="7">
        <v>42482.774594907409</v>
      </c>
      <c r="B3607" s="8" t="str">
        <f t="shared" ref="B3607:B3609" si="336">HYPERLINK("https://twitter.com/beetlebug1938","@beetlebug1938")</f>
        <v>@beetlebug1938</v>
      </c>
      <c r="C3607" s="9" t="s">
        <v>66</v>
      </c>
      <c r="D3607" s="9" t="s">
        <v>8708</v>
      </c>
      <c r="E3607" s="10" t="str">
        <f>HYPERLINK("https://twitter.com/beetlebug1938/status/723497938937323520","723497938937323520")</f>
        <v>723497938937323520</v>
      </c>
      <c r="F3607" s="11" t="s">
        <v>68</v>
      </c>
      <c r="G3607" s="11">
        <v>350</v>
      </c>
      <c r="H3607" s="11">
        <v>2223</v>
      </c>
      <c r="I3607" s="11">
        <v>1</v>
      </c>
      <c r="J3607" s="11">
        <v>2</v>
      </c>
      <c r="K3607" s="11" t="s">
        <v>21</v>
      </c>
      <c r="L3607" s="7">
        <v>42469.863865740743</v>
      </c>
      <c r="M3607" s="12" t="s">
        <v>69</v>
      </c>
      <c r="N3607" s="12"/>
      <c r="O3607" s="10" t="str">
        <f t="shared" ref="O3607:O3609" si="337">HYPERLINK("https://pbs.twimg.com/profile_images/718820712757215233/LXXndPTS_normal.jpg","View")</f>
        <v>View</v>
      </c>
      <c r="P3607" s="11"/>
    </row>
    <row r="3608" spans="1:16" ht="12.75" x14ac:dyDescent="0.35">
      <c r="A3608" s="7">
        <v>42482.774606481486</v>
      </c>
      <c r="B3608" s="8" t="str">
        <f t="shared" si="336"/>
        <v>@beetlebug1938</v>
      </c>
      <c r="C3608" s="9" t="s">
        <v>66</v>
      </c>
      <c r="D3608" s="9" t="s">
        <v>8709</v>
      </c>
      <c r="E3608" s="10" t="str">
        <f>HYPERLINK("https://twitter.com/beetlebug1938/status/723497944008278017","723497944008278017")</f>
        <v>723497944008278017</v>
      </c>
      <c r="F3608" s="11" t="s">
        <v>68</v>
      </c>
      <c r="G3608" s="11">
        <v>350</v>
      </c>
      <c r="H3608" s="11">
        <v>2223</v>
      </c>
      <c r="I3608" s="11">
        <v>0</v>
      </c>
      <c r="J3608" s="11">
        <v>1</v>
      </c>
      <c r="K3608" s="11" t="s">
        <v>21</v>
      </c>
      <c r="L3608" s="7">
        <v>42469.863865740743</v>
      </c>
      <c r="M3608" s="12" t="s">
        <v>69</v>
      </c>
      <c r="N3608" s="12"/>
      <c r="O3608" s="10" t="str">
        <f t="shared" si="337"/>
        <v>View</v>
      </c>
      <c r="P3608" s="11"/>
    </row>
    <row r="3609" spans="1:16" ht="12.75" x14ac:dyDescent="0.35">
      <c r="A3609" s="7">
        <v>42482.774745370371</v>
      </c>
      <c r="B3609" s="8" t="str">
        <f t="shared" si="336"/>
        <v>@beetlebug1938</v>
      </c>
      <c r="C3609" s="9" t="s">
        <v>66</v>
      </c>
      <c r="D3609" s="9" t="s">
        <v>8710</v>
      </c>
      <c r="E3609" s="10" t="str">
        <f>HYPERLINK("https://twitter.com/beetlebug1938/status/723497992746078208","723497992746078208")</f>
        <v>723497992746078208</v>
      </c>
      <c r="F3609" s="11" t="s">
        <v>68</v>
      </c>
      <c r="G3609" s="11">
        <v>350</v>
      </c>
      <c r="H3609" s="11">
        <v>2223</v>
      </c>
      <c r="I3609" s="11">
        <v>0</v>
      </c>
      <c r="J3609" s="11">
        <v>1</v>
      </c>
      <c r="K3609" s="11" t="s">
        <v>21</v>
      </c>
      <c r="L3609" s="7">
        <v>42469.863865740743</v>
      </c>
      <c r="M3609" s="12" t="s">
        <v>69</v>
      </c>
      <c r="N3609" s="12"/>
      <c r="O3609" s="10" t="str">
        <f t="shared" si="337"/>
        <v>View</v>
      </c>
      <c r="P3609" s="11"/>
    </row>
    <row r="3610" spans="1:16" ht="12.75" x14ac:dyDescent="0.35">
      <c r="A3610" s="7">
        <v>42482.774849537032</v>
      </c>
      <c r="B3610" s="8" t="str">
        <f>HYPERLINK("https://twitter.com/esdefren_az","@esdefren_az")</f>
        <v>@esdefren_az</v>
      </c>
      <c r="C3610" s="9" t="s">
        <v>2580</v>
      </c>
      <c r="D3610" s="9" t="s">
        <v>8711</v>
      </c>
      <c r="E3610" s="10" t="str">
        <f>HYPERLINK("https://twitter.com/esdefren_az/status/723498033225326593","723498033225326593")</f>
        <v>723498033225326593</v>
      </c>
      <c r="F3610" s="11" t="s">
        <v>43</v>
      </c>
      <c r="G3610" s="11">
        <v>27</v>
      </c>
      <c r="H3610" s="11">
        <v>42</v>
      </c>
      <c r="I3610" s="11">
        <v>2</v>
      </c>
      <c r="J3610" s="11">
        <v>0</v>
      </c>
      <c r="K3610" s="11" t="s">
        <v>21</v>
      </c>
      <c r="L3610" s="7">
        <v>42478.740671296298</v>
      </c>
      <c r="M3610" s="12"/>
      <c r="N3610" s="12"/>
      <c r="O3610" s="10" t="str">
        <f>HYPERLINK("https://pbs.twimg.com/profile_images/722036542416556034/a5ulwDIW_normal.jpg","View")</f>
        <v>View</v>
      </c>
      <c r="P3610" s="11"/>
    </row>
    <row r="3611" spans="1:16" ht="12.75" x14ac:dyDescent="0.35">
      <c r="A3611" s="7">
        <v>42482.774872685186</v>
      </c>
      <c r="B3611" s="8" t="str">
        <f t="shared" ref="B3611:B3612" si="338">HYPERLINK("https://twitter.com/TepelmannMentor","@TepelmannMentor")</f>
        <v>@TepelmannMentor</v>
      </c>
      <c r="C3611" s="9" t="s">
        <v>7755</v>
      </c>
      <c r="D3611" s="9" t="s">
        <v>8704</v>
      </c>
      <c r="E3611" s="10" t="str">
        <f>HYPERLINK("https://twitter.com/TepelmannMentor/status/723498040645017600","723498040645017600")</f>
        <v>723498040645017600</v>
      </c>
      <c r="F3611" s="11" t="s">
        <v>43</v>
      </c>
      <c r="G3611" s="11">
        <v>19</v>
      </c>
      <c r="H3611" s="11">
        <v>77</v>
      </c>
      <c r="I3611" s="11">
        <v>2</v>
      </c>
      <c r="J3611" s="11">
        <v>0</v>
      </c>
      <c r="K3611" s="11" t="s">
        <v>21</v>
      </c>
      <c r="L3611" s="7">
        <v>42428.711562500001</v>
      </c>
      <c r="M3611" s="12" t="s">
        <v>7756</v>
      </c>
      <c r="N3611" s="12" t="s">
        <v>7757</v>
      </c>
      <c r="O3611" s="10" t="str">
        <f t="shared" ref="O3611:O3612" si="339">HYPERLINK("https://pbs.twimg.com/profile_images/703995356049252353/5FP6lekY_normal.jpg","View")</f>
        <v>View</v>
      </c>
      <c r="P3611" s="11"/>
    </row>
    <row r="3612" spans="1:16" ht="12.75" x14ac:dyDescent="0.35">
      <c r="A3612" s="7">
        <v>42482.774907407409</v>
      </c>
      <c r="B3612" s="8" t="str">
        <f t="shared" si="338"/>
        <v>@TepelmannMentor</v>
      </c>
      <c r="C3612" s="9" t="s">
        <v>7755</v>
      </c>
      <c r="D3612" s="9" t="s">
        <v>8712</v>
      </c>
      <c r="E3612" s="10" t="str">
        <f>HYPERLINK("https://twitter.com/TepelmannMentor/status/723498053408284673","723498053408284673")</f>
        <v>723498053408284673</v>
      </c>
      <c r="F3612" s="11" t="s">
        <v>43</v>
      </c>
      <c r="G3612" s="11">
        <v>19</v>
      </c>
      <c r="H3612" s="11">
        <v>77</v>
      </c>
      <c r="I3612" s="11">
        <v>1</v>
      </c>
      <c r="J3612" s="11">
        <v>0</v>
      </c>
      <c r="K3612" s="11" t="s">
        <v>21</v>
      </c>
      <c r="L3612" s="7">
        <v>42428.711562500001</v>
      </c>
      <c r="M3612" s="12" t="s">
        <v>7756</v>
      </c>
      <c r="N3612" s="12" t="s">
        <v>7757</v>
      </c>
      <c r="O3612" s="10" t="str">
        <f t="shared" si="339"/>
        <v>View</v>
      </c>
      <c r="P3612" s="11"/>
    </row>
    <row r="3613" spans="1:16" ht="12.75" x14ac:dyDescent="0.35">
      <c r="A3613" s="7">
        <v>42482.775543981479</v>
      </c>
      <c r="B3613" s="8" t="str">
        <f>HYPERLINK("https://twitter.com/doern","@doern")</f>
        <v>@doern</v>
      </c>
      <c r="C3613" s="9" t="s">
        <v>3107</v>
      </c>
      <c r="D3613" s="9" t="s">
        <v>8713</v>
      </c>
      <c r="E3613" s="10" t="str">
        <f>HYPERLINK("https://twitter.com/doern/status/723498283323297792","723498283323297792")</f>
        <v>723498283323297792</v>
      </c>
      <c r="F3613" s="11" t="s">
        <v>43</v>
      </c>
      <c r="G3613" s="11">
        <v>361</v>
      </c>
      <c r="H3613" s="11">
        <v>63</v>
      </c>
      <c r="I3613" s="11">
        <v>2</v>
      </c>
      <c r="J3613" s="11">
        <v>1</v>
      </c>
      <c r="K3613" s="11" t="s">
        <v>21</v>
      </c>
      <c r="L3613" s="7">
        <v>39909.663194444445</v>
      </c>
      <c r="M3613" s="12" t="s">
        <v>262</v>
      </c>
      <c r="N3613" s="12" t="s">
        <v>3109</v>
      </c>
      <c r="O3613" s="10" t="str">
        <f>HYPERLINK("https://pbs.twimg.com/profile_images/657853466384191488/J6vAnfZr_normal.jpg","View")</f>
        <v>View</v>
      </c>
      <c r="P3613" s="11"/>
    </row>
    <row r="3614" spans="1:16" ht="12.75" x14ac:dyDescent="0.35">
      <c r="A3614" s="7">
        <v>42482.775706018518</v>
      </c>
      <c r="B3614" s="8" t="str">
        <f>HYPERLINK("https://twitter.com/kuerzel_td","@kuerzel_td")</f>
        <v>@kuerzel_td</v>
      </c>
      <c r="C3614" s="9" t="s">
        <v>3473</v>
      </c>
      <c r="D3614" s="9" t="s">
        <v>8714</v>
      </c>
      <c r="E3614" s="10" t="str">
        <f>HYPERLINK("https://twitter.com/kuerzel_td/status/723498343654154240","723498343654154240")</f>
        <v>723498343654154240</v>
      </c>
      <c r="F3614" s="11" t="s">
        <v>43</v>
      </c>
      <c r="G3614" s="11">
        <v>879</v>
      </c>
      <c r="H3614" s="11">
        <v>974</v>
      </c>
      <c r="I3614" s="11">
        <v>2</v>
      </c>
      <c r="J3614" s="11">
        <v>0</v>
      </c>
      <c r="K3614" s="11" t="s">
        <v>21</v>
      </c>
      <c r="L3614" s="7">
        <v>40031.897418981483</v>
      </c>
      <c r="M3614" s="12" t="s">
        <v>3474</v>
      </c>
      <c r="N3614" s="12" t="s">
        <v>3475</v>
      </c>
      <c r="O3614" s="10" t="str">
        <f>HYPERLINK("https://pbs.twimg.com/profile_images/393094957/td_normal.jpg","View")</f>
        <v>View</v>
      </c>
      <c r="P3614" s="11"/>
    </row>
    <row r="3615" spans="1:16" ht="12.75" x14ac:dyDescent="0.35">
      <c r="A3615" s="7">
        <v>42482.775717592594</v>
      </c>
      <c r="B3615" s="8" t="str">
        <f>HYPERLINK("https://twitter.com/franke_media","@franke_media")</f>
        <v>@franke_media</v>
      </c>
      <c r="C3615" s="8" t="s">
        <v>8715</v>
      </c>
      <c r="D3615" s="9" t="s">
        <v>8716</v>
      </c>
      <c r="E3615" s="10" t="str">
        <f>HYPERLINK("https://twitter.com/franke_media/status/723498346623676416","723498346623676416")</f>
        <v>723498346623676416</v>
      </c>
      <c r="F3615" s="11" t="s">
        <v>63</v>
      </c>
      <c r="G3615" s="11">
        <v>8482</v>
      </c>
      <c r="H3615" s="11">
        <v>4332</v>
      </c>
      <c r="I3615" s="11">
        <v>2</v>
      </c>
      <c r="J3615" s="11">
        <v>0</v>
      </c>
      <c r="K3615" s="11" t="s">
        <v>21</v>
      </c>
      <c r="L3615" s="7">
        <v>40109.548993055556</v>
      </c>
      <c r="M3615" s="12" t="s">
        <v>1116</v>
      </c>
      <c r="N3615" s="12" t="s">
        <v>8717</v>
      </c>
      <c r="O3615" s="10" t="str">
        <f>HYPERLINK("https://pbs.twimg.com/profile_images/431047003091398657/VwNnWrzp_normal.jpeg","View")</f>
        <v>View</v>
      </c>
      <c r="P3615" s="11"/>
    </row>
    <row r="3616" spans="1:16" ht="12.75" x14ac:dyDescent="0.35">
      <c r="A3616" s="7">
        <v>42482.776261574079</v>
      </c>
      <c r="B3616" s="8" t="str">
        <f>HYPERLINK("https://twitter.com/franzsch2","@franzsch2")</f>
        <v>@franzsch2</v>
      </c>
      <c r="C3616" s="9" t="s">
        <v>4137</v>
      </c>
      <c r="D3616" s="9" t="s">
        <v>8718</v>
      </c>
      <c r="E3616" s="10" t="str">
        <f>HYPERLINK("https://twitter.com/franzsch2/status/723498542199889920","723498542199889920")</f>
        <v>723498542199889920</v>
      </c>
      <c r="F3616" s="11" t="s">
        <v>43</v>
      </c>
      <c r="G3616" s="11">
        <v>109</v>
      </c>
      <c r="H3616" s="11">
        <v>362</v>
      </c>
      <c r="I3616" s="11">
        <v>0</v>
      </c>
      <c r="J3616" s="11">
        <v>0</v>
      </c>
      <c r="K3616" s="11" t="s">
        <v>21</v>
      </c>
      <c r="L3616" s="7">
        <v>41952.36891203704</v>
      </c>
      <c r="M3616" s="12"/>
      <c r="N3616" s="12" t="s">
        <v>4139</v>
      </c>
      <c r="O3616" s="10" t="str">
        <f>HYPERLINK("https://pbs.twimg.com/profile_images/532009681158295552/ubGun8Mr_normal.jpeg","View")</f>
        <v>View</v>
      </c>
      <c r="P3616" s="11"/>
    </row>
    <row r="3617" spans="1:16" ht="12.75" x14ac:dyDescent="0.35">
      <c r="A3617" s="7">
        <v>42482.776261574079</v>
      </c>
      <c r="B3617" s="8" t="str">
        <f>HYPERLINK("https://twitter.com/Scoopic","@Scoopic")</f>
        <v>@Scoopic</v>
      </c>
      <c r="C3617" s="9" t="s">
        <v>8719</v>
      </c>
      <c r="D3617" s="9" t="s">
        <v>8720</v>
      </c>
      <c r="E3617" s="10" t="str">
        <f>HYPERLINK("https://twitter.com/Scoopic/status/723498543412043780","723498543412043780")</f>
        <v>723498543412043780</v>
      </c>
      <c r="F3617" s="11" t="s">
        <v>48</v>
      </c>
      <c r="G3617" s="11">
        <v>1055</v>
      </c>
      <c r="H3617" s="11">
        <v>988</v>
      </c>
      <c r="I3617" s="11">
        <v>0</v>
      </c>
      <c r="J3617" s="11">
        <v>0</v>
      </c>
      <c r="K3617" s="11" t="s">
        <v>21</v>
      </c>
      <c r="L3617" s="7">
        <v>39833.778379629628</v>
      </c>
      <c r="M3617" s="12" t="s">
        <v>964</v>
      </c>
      <c r="N3617" s="12" t="s">
        <v>8721</v>
      </c>
      <c r="O3617" s="10" t="str">
        <f>HYPERLINK("https://pbs.twimg.com/profile_images/705389200435118080/5zVKUS7f_normal.jpg","View")</f>
        <v>View</v>
      </c>
      <c r="P3617" s="11"/>
    </row>
    <row r="3618" spans="1:16" ht="12.75" x14ac:dyDescent="0.35">
      <c r="A3618" s="7">
        <v>42482.776377314818</v>
      </c>
      <c r="B3618" s="8" t="str">
        <f>HYPERLINK("https://twitter.com/sabinahasanova7","@sabinahasanova7")</f>
        <v>@sabinahasanova7</v>
      </c>
      <c r="C3618" s="9" t="s">
        <v>8722</v>
      </c>
      <c r="D3618" s="9" t="s">
        <v>8711</v>
      </c>
      <c r="E3618" s="10" t="str">
        <f>HYPERLINK("https://twitter.com/sabinahasanova7/status/723498586177191936","723498586177191936")</f>
        <v>723498586177191936</v>
      </c>
      <c r="F3618" s="11" t="s">
        <v>43</v>
      </c>
      <c r="G3618" s="11">
        <v>238</v>
      </c>
      <c r="H3618" s="11">
        <v>554</v>
      </c>
      <c r="I3618" s="11">
        <v>2</v>
      </c>
      <c r="J3618" s="11">
        <v>0</v>
      </c>
      <c r="K3618" s="11" t="s">
        <v>21</v>
      </c>
      <c r="L3618" s="7">
        <v>41421.69390046296</v>
      </c>
      <c r="M3618" s="12" t="s">
        <v>8723</v>
      </c>
      <c r="N3618" s="12" t="s">
        <v>8724</v>
      </c>
      <c r="O3618" s="10" t="str">
        <f>HYPERLINK("https://pbs.twimg.com/profile_images/3739776725/4bdfde88b7163868c75447afc5bd822e_normal.jpeg","View")</f>
        <v>View</v>
      </c>
      <c r="P3618" s="11"/>
    </row>
    <row r="3619" spans="1:16" ht="12.75" x14ac:dyDescent="0.35">
      <c r="A3619" s="7">
        <v>42482.776458333334</v>
      </c>
      <c r="B3619" s="8" t="str">
        <f>HYPERLINK("https://twitter.com/vwpress_de","@vwpress_de")</f>
        <v>@vwpress_de</v>
      </c>
      <c r="C3619" s="9" t="s">
        <v>1685</v>
      </c>
      <c r="D3619" s="9" t="s">
        <v>8725</v>
      </c>
      <c r="E3619" s="10" t="str">
        <f>HYPERLINK("https://twitter.com/vwpress_de/status/723498614048305152","723498614048305152")</f>
        <v>723498614048305152</v>
      </c>
      <c r="F3619" s="11" t="s">
        <v>152</v>
      </c>
      <c r="G3619" s="11">
        <v>5774</v>
      </c>
      <c r="H3619" s="11">
        <v>610</v>
      </c>
      <c r="I3619" s="11">
        <v>0</v>
      </c>
      <c r="J3619" s="11">
        <v>0</v>
      </c>
      <c r="K3619" s="11" t="s">
        <v>21</v>
      </c>
      <c r="L3619" s="7">
        <v>42041.830381944441</v>
      </c>
      <c r="M3619" s="12" t="s">
        <v>1690</v>
      </c>
      <c r="N3619" s="12" t="s">
        <v>1691</v>
      </c>
      <c r="O3619" s="10" t="str">
        <f>HYPERLINK("https://pbs.twimg.com/profile_images/682117656502222848/Ge7YeAF3_normal.png","View")</f>
        <v>View</v>
      </c>
      <c r="P3619" s="11"/>
    </row>
    <row r="3620" spans="1:16" ht="12.75" x14ac:dyDescent="0.35">
      <c r="A3620" s="7">
        <v>42482.776574074072</v>
      </c>
      <c r="B3620" s="8" t="str">
        <f>HYPERLINK("https://twitter.com/boerseonline","@boerseonline")</f>
        <v>@boerseonline</v>
      </c>
      <c r="C3620" s="9" t="s">
        <v>3253</v>
      </c>
      <c r="D3620" s="9" t="s">
        <v>8726</v>
      </c>
      <c r="E3620" s="10" t="str">
        <f>HYPERLINK("https://twitter.com/boerseonline/status/723498656226267136","723498656226267136")</f>
        <v>723498656226267136</v>
      </c>
      <c r="F3620" s="11" t="s">
        <v>43</v>
      </c>
      <c r="G3620" s="11">
        <v>5965</v>
      </c>
      <c r="H3620" s="11">
        <v>19</v>
      </c>
      <c r="I3620" s="11">
        <v>0</v>
      </c>
      <c r="J3620" s="11">
        <v>0</v>
      </c>
      <c r="K3620" s="11" t="s">
        <v>21</v>
      </c>
      <c r="L3620" s="7">
        <v>39574.886840277773</v>
      </c>
      <c r="M3620" s="12" t="s">
        <v>1931</v>
      </c>
      <c r="N3620" s="12" t="s">
        <v>3255</v>
      </c>
      <c r="O3620" s="10" t="str">
        <f>HYPERLINK("https://pbs.twimg.com/profile_images/522305770503696384/J6guKsKV_normal.jpeg","View")</f>
        <v>View</v>
      </c>
      <c r="P3620" s="11"/>
    </row>
    <row r="3621" spans="1:16" ht="12.75" x14ac:dyDescent="0.35">
      <c r="A3621" s="7">
        <v>42482.776712962965</v>
      </c>
      <c r="B3621" s="8" t="str">
        <f>HYPERLINK("https://twitter.com/vwpress_en","@vwpress_en")</f>
        <v>@vwpress_en</v>
      </c>
      <c r="C3621" s="9" t="s">
        <v>1685</v>
      </c>
      <c r="D3621" s="9" t="s">
        <v>8727</v>
      </c>
      <c r="E3621" s="10" t="str">
        <f>HYPERLINK("https://twitter.com/vwpress_en/status/723498709359665152","723498709359665152")</f>
        <v>723498709359665152</v>
      </c>
      <c r="F3621" s="11" t="s">
        <v>152</v>
      </c>
      <c r="G3621" s="11">
        <v>54820</v>
      </c>
      <c r="H3621" s="11">
        <v>339</v>
      </c>
      <c r="I3621" s="11">
        <v>3</v>
      </c>
      <c r="J3621" s="11">
        <v>1</v>
      </c>
      <c r="K3621" s="11" t="s">
        <v>21</v>
      </c>
      <c r="L3621" s="7">
        <v>42041.83189814815</v>
      </c>
      <c r="M3621" s="12" t="s">
        <v>1687</v>
      </c>
      <c r="N3621" s="12" t="s">
        <v>1688</v>
      </c>
      <c r="O3621" s="10" t="str">
        <f>HYPERLINK("https://pbs.twimg.com/profile_images/682117963349135360/IUfZQy35_normal.png","View")</f>
        <v>View</v>
      </c>
      <c r="P3621" s="11"/>
    </row>
    <row r="3622" spans="1:16" ht="12.75" x14ac:dyDescent="0.35">
      <c r="A3622" s="7">
        <v>42482.777129629627</v>
      </c>
      <c r="B3622" s="8" t="str">
        <f>HYPERLINK("https://twitter.com/golfturkiye","@golfturkiye")</f>
        <v>@golfturkiye</v>
      </c>
      <c r="C3622" s="9" t="s">
        <v>4593</v>
      </c>
      <c r="D3622" s="9" t="s">
        <v>8728</v>
      </c>
      <c r="E3622" s="10" t="str">
        <f>HYPERLINK("https://twitter.com/golfturkiye/status/723498856550404096","723498856550404096")</f>
        <v>723498856550404096</v>
      </c>
      <c r="F3622" s="11" t="s">
        <v>4595</v>
      </c>
      <c r="G3622" s="11">
        <v>833</v>
      </c>
      <c r="H3622" s="11">
        <v>1</v>
      </c>
      <c r="I3622" s="11">
        <v>0</v>
      </c>
      <c r="J3622" s="11">
        <v>0</v>
      </c>
      <c r="K3622" s="11" t="s">
        <v>21</v>
      </c>
      <c r="L3622" s="7">
        <v>41097.832256944443</v>
      </c>
      <c r="M3622" s="12"/>
      <c r="N3622" s="12" t="s">
        <v>4596</v>
      </c>
      <c r="O3622" s="10" t="str">
        <f>HYPERLINK("https://pbs.twimg.com/profile_images/2908590566/828967841f09b515ee36e3dfccea4d28_normal.png","View")</f>
        <v>View</v>
      </c>
      <c r="P3622" s="11"/>
    </row>
    <row r="3623" spans="1:16" ht="12.75" x14ac:dyDescent="0.35">
      <c r="A3623" s="7">
        <v>42482.777141203704</v>
      </c>
      <c r="B3623" s="8" t="str">
        <f>HYPERLINK("https://twitter.com/SJ_LOWTEC","@SJ_LOWTEC")</f>
        <v>@SJ_LOWTEC</v>
      </c>
      <c r="C3623" s="9" t="s">
        <v>1938</v>
      </c>
      <c r="D3623" s="9" t="s">
        <v>8729</v>
      </c>
      <c r="E3623" s="10" t="str">
        <f>HYPERLINK("https://twitter.com/SJ_LOWTEC/status/723498861256413187","723498861256413187")</f>
        <v>723498861256413187</v>
      </c>
      <c r="F3623" s="11" t="s">
        <v>53</v>
      </c>
      <c r="G3623" s="11">
        <v>54</v>
      </c>
      <c r="H3623" s="11">
        <v>82</v>
      </c>
      <c r="I3623" s="11">
        <v>0</v>
      </c>
      <c r="J3623" s="11">
        <v>0</v>
      </c>
      <c r="K3623" s="11" t="s">
        <v>21</v>
      </c>
      <c r="L3623" s="7">
        <v>41157.77925925926</v>
      </c>
      <c r="M3623" s="12" t="s">
        <v>1940</v>
      </c>
      <c r="N3623" s="12" t="s">
        <v>1941</v>
      </c>
      <c r="O3623" s="10" t="str">
        <f>HYPERLINK("https://pbs.twimg.com/profile_images/2598553252/qoojuj09m53kdh24r09y_normal.jpeg","View")</f>
        <v>View</v>
      </c>
      <c r="P3623" s="11"/>
    </row>
    <row r="3624" spans="1:16" ht="12.75" x14ac:dyDescent="0.35">
      <c r="A3624" s="7">
        <v>42482.777650462958</v>
      </c>
      <c r="B3624" s="8" t="str">
        <f>HYPERLINK("https://twitter.com/Banane0711","@Banane0711")</f>
        <v>@Banane0711</v>
      </c>
      <c r="C3624" s="9" t="s">
        <v>8730</v>
      </c>
      <c r="D3624" s="9" t="s">
        <v>8731</v>
      </c>
      <c r="E3624" s="10" t="str">
        <f>HYPERLINK("https://twitter.com/Banane0711/status/723499046518792193","723499046518792193")</f>
        <v>723499046518792193</v>
      </c>
      <c r="F3624" s="11" t="s">
        <v>43</v>
      </c>
      <c r="G3624" s="11">
        <v>346</v>
      </c>
      <c r="H3624" s="11">
        <v>33</v>
      </c>
      <c r="I3624" s="11">
        <v>0</v>
      </c>
      <c r="J3624" s="11">
        <v>0</v>
      </c>
      <c r="K3624" s="11" t="s">
        <v>21</v>
      </c>
      <c r="L3624" s="7">
        <v>40766.10491898148</v>
      </c>
      <c r="M3624" s="12"/>
      <c r="N3624" s="12"/>
      <c r="O3624" s="10" t="str">
        <f>HYPERLINK("https://pbs.twimg.com/profile_images/1488674331/schofer4_normal.jpg","View")</f>
        <v>View</v>
      </c>
      <c r="P3624" s="11"/>
    </row>
    <row r="3625" spans="1:16" ht="12.75" x14ac:dyDescent="0.35">
      <c r="A3625" s="7">
        <v>42482.777708333335</v>
      </c>
      <c r="B3625" s="8" t="str">
        <f t="shared" ref="B3625:B3626" si="340">HYPERLINK("https://twitter.com/FuscaWorld","@FuscaWorld")</f>
        <v>@FuscaWorld</v>
      </c>
      <c r="C3625" s="9" t="s">
        <v>74</v>
      </c>
      <c r="D3625" s="9" t="s">
        <v>8732</v>
      </c>
      <c r="E3625" s="10" t="str">
        <f>HYPERLINK("https://twitter.com/FuscaWorld/status/723499066546634752","723499066546634752")</f>
        <v>723499066546634752</v>
      </c>
      <c r="F3625" s="11" t="s">
        <v>76</v>
      </c>
      <c r="G3625" s="11">
        <v>48</v>
      </c>
      <c r="H3625" s="11">
        <v>1</v>
      </c>
      <c r="I3625" s="11">
        <v>1</v>
      </c>
      <c r="J3625" s="11">
        <v>0</v>
      </c>
      <c r="K3625" s="11" t="s">
        <v>21</v>
      </c>
      <c r="L3625" s="7">
        <v>42433.880914351852</v>
      </c>
      <c r="M3625" s="12"/>
      <c r="N3625" s="12" t="s">
        <v>77</v>
      </c>
      <c r="O3625" s="10" t="str">
        <f t="shared" ref="O3625:O3626" si="341">HYPERLINK("https://pbs.twimg.com/profile_images/705780107844067328/e7O4UBNb_normal.jpg","View")</f>
        <v>View</v>
      </c>
      <c r="P3625" s="11"/>
    </row>
    <row r="3626" spans="1:16" ht="12.75" x14ac:dyDescent="0.35">
      <c r="A3626" s="7">
        <v>42482.777708333335</v>
      </c>
      <c r="B3626" s="8" t="str">
        <f t="shared" si="340"/>
        <v>@FuscaWorld</v>
      </c>
      <c r="C3626" s="9" t="s">
        <v>74</v>
      </c>
      <c r="D3626" s="9" t="s">
        <v>8105</v>
      </c>
      <c r="E3626" s="10" t="str">
        <f>HYPERLINK("https://twitter.com/FuscaWorld/status/723499069117763585","723499069117763585")</f>
        <v>723499069117763585</v>
      </c>
      <c r="F3626" s="11" t="s">
        <v>76</v>
      </c>
      <c r="G3626" s="11">
        <v>48</v>
      </c>
      <c r="H3626" s="11">
        <v>1</v>
      </c>
      <c r="I3626" s="11">
        <v>1</v>
      </c>
      <c r="J3626" s="11">
        <v>0</v>
      </c>
      <c r="K3626" s="11" t="s">
        <v>21</v>
      </c>
      <c r="L3626" s="7">
        <v>42433.880914351852</v>
      </c>
      <c r="M3626" s="12"/>
      <c r="N3626" s="12" t="s">
        <v>77</v>
      </c>
      <c r="O3626" s="10" t="str">
        <f t="shared" si="341"/>
        <v>View</v>
      </c>
      <c r="P3626" s="11"/>
    </row>
    <row r="3627" spans="1:16" ht="12.75" x14ac:dyDescent="0.35">
      <c r="A3627" s="7">
        <v>42482.777731481481</v>
      </c>
      <c r="B3627" s="8" t="str">
        <f>HYPERLINK("https://twitter.com/helmi","@helmi")</f>
        <v>@helmi</v>
      </c>
      <c r="C3627" s="9" t="s">
        <v>8733</v>
      </c>
      <c r="D3627" s="9" t="s">
        <v>8734</v>
      </c>
      <c r="E3627" s="10" t="str">
        <f>HYPERLINK("https://twitter.com/helmi/status/723499077296656384","723499077296656384")</f>
        <v>723499077296656384</v>
      </c>
      <c r="F3627" s="11" t="s">
        <v>3614</v>
      </c>
      <c r="G3627" s="11">
        <v>4734</v>
      </c>
      <c r="H3627" s="11">
        <v>2013</v>
      </c>
      <c r="I3627" s="11">
        <v>0</v>
      </c>
      <c r="J3627" s="11">
        <v>1</v>
      </c>
      <c r="K3627" s="11" t="s">
        <v>21</v>
      </c>
      <c r="L3627" s="7">
        <v>39151.715555555558</v>
      </c>
      <c r="M3627" s="12" t="s">
        <v>8735</v>
      </c>
      <c r="N3627" s="12" t="s">
        <v>8736</v>
      </c>
      <c r="O3627" s="10" t="str">
        <f>HYPERLINK("https://pbs.twimg.com/profile_images/666002335663939584/Z692XL2p_normal.jpg","View")</f>
        <v>View</v>
      </c>
      <c r="P3627" s="11"/>
    </row>
    <row r="3628" spans="1:16" ht="12.75" x14ac:dyDescent="0.35">
      <c r="A3628" s="7">
        <v>42482.778090277774</v>
      </c>
      <c r="B3628" s="8" t="str">
        <f>HYPERLINK("https://twitter.com/JensHilgenberg","@JensHilgenberg")</f>
        <v>@JensHilgenberg</v>
      </c>
      <c r="C3628" s="9" t="s">
        <v>8737</v>
      </c>
      <c r="D3628" s="9" t="s">
        <v>8738</v>
      </c>
      <c r="E3628" s="10" t="str">
        <f>HYPERLINK("https://twitter.com/JensHilgenberg/status/723499207861133312","723499207861133312")</f>
        <v>723499207861133312</v>
      </c>
      <c r="F3628" s="11" t="s">
        <v>43</v>
      </c>
      <c r="G3628" s="11">
        <v>316</v>
      </c>
      <c r="H3628" s="11">
        <v>405</v>
      </c>
      <c r="I3628" s="11">
        <v>0</v>
      </c>
      <c r="J3628" s="11">
        <v>0</v>
      </c>
      <c r="K3628" s="11" t="s">
        <v>21</v>
      </c>
      <c r="L3628" s="7">
        <v>41666.822604166664</v>
      </c>
      <c r="M3628" s="12" t="s">
        <v>1359</v>
      </c>
      <c r="N3628" s="12" t="s">
        <v>8739</v>
      </c>
      <c r="O3628" s="10" t="str">
        <f>HYPERLINK("https://pbs.twimg.com/profile_images/618330156940271616/pUMK1tlR_normal.jpg","View")</f>
        <v>View</v>
      </c>
      <c r="P3628" s="11"/>
    </row>
    <row r="3629" spans="1:16" ht="12.75" x14ac:dyDescent="0.35">
      <c r="A3629" s="7">
        <v>42482.778113425928</v>
      </c>
      <c r="B3629" s="8" t="str">
        <f>HYPERLINK("https://twitter.com/MichaelNdri","@MichaelNdri")</f>
        <v>@MichaelNdri</v>
      </c>
      <c r="C3629" s="9" t="s">
        <v>7472</v>
      </c>
      <c r="D3629" s="9" t="s">
        <v>8740</v>
      </c>
      <c r="E3629" s="10" t="str">
        <f>HYPERLINK("https://twitter.com/MichaelNdri/status/723499213066215424","723499213066215424")</f>
        <v>723499213066215424</v>
      </c>
      <c r="F3629" s="11" t="s">
        <v>43</v>
      </c>
      <c r="G3629" s="11">
        <v>68</v>
      </c>
      <c r="H3629" s="11">
        <v>199</v>
      </c>
      <c r="I3629" s="11">
        <v>3</v>
      </c>
      <c r="J3629" s="11">
        <v>0</v>
      </c>
      <c r="K3629" s="11" t="s">
        <v>21</v>
      </c>
      <c r="L3629" s="7">
        <v>41064.097592592589</v>
      </c>
      <c r="M3629" s="12" t="s">
        <v>7473</v>
      </c>
      <c r="N3629" s="12" t="s">
        <v>7474</v>
      </c>
      <c r="O3629" s="10" t="str">
        <f>HYPERLINK("https://pbs.twimg.com/profile_images/2275736241/0wxdwpqqkero82c7tj5z_normal.jpeg","View")</f>
        <v>View</v>
      </c>
      <c r="P3629" s="11"/>
    </row>
    <row r="3630" spans="1:16" ht="12.75" x14ac:dyDescent="0.35">
      <c r="A3630" s="7">
        <v>42482.778182870374</v>
      </c>
      <c r="B3630" s="8" t="str">
        <f>HYPERLINK("https://twitter.com/VWBeetleSales","@VWBeetleSales")</f>
        <v>@VWBeetleSales</v>
      </c>
      <c r="C3630" s="9" t="s">
        <v>127</v>
      </c>
      <c r="D3630" s="9" t="s">
        <v>8741</v>
      </c>
      <c r="E3630" s="10" t="str">
        <f>HYPERLINK("https://twitter.com/VWBeetleSales/status/723499240593326082","723499240593326082")</f>
        <v>723499240593326082</v>
      </c>
      <c r="F3630" s="10" t="s">
        <v>124</v>
      </c>
      <c r="G3630" s="11">
        <v>36</v>
      </c>
      <c r="H3630" s="11">
        <v>32</v>
      </c>
      <c r="I3630" s="11">
        <v>0</v>
      </c>
      <c r="J3630" s="11">
        <v>0</v>
      </c>
      <c r="K3630" s="11" t="s">
        <v>21</v>
      </c>
      <c r="L3630" s="7">
        <v>42427.019756944443</v>
      </c>
      <c r="M3630" s="12" t="s">
        <v>129</v>
      </c>
      <c r="N3630" s="12" t="s">
        <v>130</v>
      </c>
      <c r="O3630" s="10" t="str">
        <f>HYPERLINK("https://pbs.twimg.com/profile_images/703294545195307008/qeCvrX86_normal.jpg","View")</f>
        <v>View</v>
      </c>
      <c r="P3630" s="11"/>
    </row>
    <row r="3631" spans="1:16" ht="12.75" x14ac:dyDescent="0.35">
      <c r="A3631" s="7">
        <v>42482.778298611112</v>
      </c>
      <c r="B3631" s="8" t="str">
        <f>HYPERLINK("https://twitter.com/AutoFacilBrasil","@AutoFacilBrasil")</f>
        <v>@AutoFacilBrasil</v>
      </c>
      <c r="C3631" s="9" t="s">
        <v>8742</v>
      </c>
      <c r="D3631" s="9" t="s">
        <v>8743</v>
      </c>
      <c r="E3631" s="10" t="str">
        <f>HYPERLINK("https://twitter.com/AutoFacilBrasil/status/723499282578415616","723499282578415616")</f>
        <v>723499282578415616</v>
      </c>
      <c r="F3631" s="11" t="s">
        <v>43</v>
      </c>
      <c r="G3631" s="11">
        <v>24</v>
      </c>
      <c r="H3631" s="11">
        <v>43</v>
      </c>
      <c r="I3631" s="11">
        <v>0</v>
      </c>
      <c r="J3631" s="11">
        <v>0</v>
      </c>
      <c r="K3631" s="11" t="s">
        <v>21</v>
      </c>
      <c r="L3631" s="7">
        <v>42451.141724537039</v>
      </c>
      <c r="M3631" s="12"/>
      <c r="N3631" s="12"/>
      <c r="O3631" s="10" t="str">
        <f>HYPERLINK("https://pbs.twimg.com/profile_images/712035589445525504/TKzoWYdS_normal.jpg","View")</f>
        <v>View</v>
      </c>
      <c r="P3631" s="11"/>
    </row>
    <row r="3632" spans="1:16" ht="12.75" x14ac:dyDescent="0.35">
      <c r="A3632" s="7">
        <v>42482.778321759259</v>
      </c>
      <c r="B3632" s="8" t="str">
        <f>HYPERLINK("https://twitter.com/mamooo17","@mamooo17")</f>
        <v>@mamooo17</v>
      </c>
      <c r="C3632" s="9" t="s">
        <v>8744</v>
      </c>
      <c r="D3632" s="9" t="s">
        <v>8745</v>
      </c>
      <c r="E3632" s="10" t="str">
        <f>HYPERLINK("https://twitter.com/mamooo17/status/723499289134116865","723499289134116865")</f>
        <v>723499289134116865</v>
      </c>
      <c r="F3632" s="11" t="s">
        <v>20</v>
      </c>
      <c r="G3632" s="11">
        <v>17</v>
      </c>
      <c r="H3632" s="11">
        <v>239</v>
      </c>
      <c r="I3632" s="11">
        <v>1</v>
      </c>
      <c r="J3632" s="11">
        <v>0</v>
      </c>
      <c r="K3632" s="11" t="s">
        <v>21</v>
      </c>
      <c r="L3632" s="7">
        <v>41508.721782407403</v>
      </c>
      <c r="M3632" s="12"/>
      <c r="N3632" s="12"/>
      <c r="O3632" s="10" t="str">
        <f>HYPERLINK("https://pbs.twimg.com/profile_images/378800000338927530/78ff887ca1487d515fde26c1904b6745_normal.jpeg","View")</f>
        <v>View</v>
      </c>
      <c r="P3632" s="11"/>
    </row>
    <row r="3633" spans="1:16" ht="12.75" x14ac:dyDescent="0.35">
      <c r="A3633" s="7">
        <v>42482.778402777782</v>
      </c>
      <c r="B3633" s="8" t="str">
        <f>HYPERLINK("https://twitter.com/Banane0711","@Banane0711")</f>
        <v>@Banane0711</v>
      </c>
      <c r="C3633" s="9" t="s">
        <v>8730</v>
      </c>
      <c r="D3633" s="9" t="s">
        <v>8746</v>
      </c>
      <c r="E3633" s="10" t="str">
        <f>HYPERLINK("https://twitter.com/Banane0711/status/723499318481694721","723499318481694721")</f>
        <v>723499318481694721</v>
      </c>
      <c r="F3633" s="11" t="s">
        <v>43</v>
      </c>
      <c r="G3633" s="11">
        <v>346</v>
      </c>
      <c r="H3633" s="11">
        <v>33</v>
      </c>
      <c r="I3633" s="11">
        <v>0</v>
      </c>
      <c r="J3633" s="11">
        <v>0</v>
      </c>
      <c r="K3633" s="11" t="s">
        <v>21</v>
      </c>
      <c r="L3633" s="7">
        <v>40766.10491898148</v>
      </c>
      <c r="M3633" s="12"/>
      <c r="N3633" s="12"/>
      <c r="O3633" s="10" t="str">
        <f>HYPERLINK("https://pbs.twimg.com/profile_images/1488674331/schofer4_normal.jpg","View")</f>
        <v>View</v>
      </c>
      <c r="P3633" s="11"/>
    </row>
    <row r="3634" spans="1:16" ht="12.75" x14ac:dyDescent="0.35">
      <c r="A3634" s="7">
        <v>42482.778460648144</v>
      </c>
      <c r="B3634" s="8" t="str">
        <f>HYPERLINK("https://twitter.com/aktionaer","@aktionaer")</f>
        <v>@aktionaer</v>
      </c>
      <c r="C3634" s="9" t="s">
        <v>1252</v>
      </c>
      <c r="D3634" s="9" t="s">
        <v>8747</v>
      </c>
      <c r="E3634" s="10" t="str">
        <f>HYPERLINK("https://twitter.com/aktionaer/status/723499339360940032","723499339360940032")</f>
        <v>723499339360940032</v>
      </c>
      <c r="F3634" s="11" t="s">
        <v>43</v>
      </c>
      <c r="G3634" s="11">
        <v>4630</v>
      </c>
      <c r="H3634" s="11">
        <v>1113</v>
      </c>
      <c r="I3634" s="11">
        <v>0</v>
      </c>
      <c r="J3634" s="11">
        <v>0</v>
      </c>
      <c r="K3634" s="11" t="s">
        <v>21</v>
      </c>
      <c r="L3634" s="7">
        <v>39844.695729166662</v>
      </c>
      <c r="M3634" s="12" t="s">
        <v>1254</v>
      </c>
      <c r="N3634" s="12" t="s">
        <v>1255</v>
      </c>
      <c r="O3634" s="10" t="str">
        <f>HYPERLINK("https://pbs.twimg.com/profile_images/679552623641509888/_vPw9IS2_normal.png","View")</f>
        <v>View</v>
      </c>
      <c r="P3634" s="11"/>
    </row>
    <row r="3635" spans="1:16" ht="12.75" x14ac:dyDescent="0.35">
      <c r="A3635" s="7">
        <v>42482.778726851851</v>
      </c>
      <c r="B3635" s="8" t="str">
        <f>HYPERLINK("https://twitter.com/KeithNaughton","@KeithNaughton")</f>
        <v>@KeithNaughton</v>
      </c>
      <c r="C3635" s="9" t="s">
        <v>8748</v>
      </c>
      <c r="D3635" s="9" t="s">
        <v>8749</v>
      </c>
      <c r="E3635" s="10" t="str">
        <f>HYPERLINK("https://twitter.com/KeithNaughton/status/723499437499252737","723499437499252737")</f>
        <v>723499437499252737</v>
      </c>
      <c r="F3635" s="11" t="s">
        <v>43</v>
      </c>
      <c r="G3635" s="11">
        <v>1644</v>
      </c>
      <c r="H3635" s="11">
        <v>296</v>
      </c>
      <c r="I3635" s="11">
        <v>0</v>
      </c>
      <c r="J3635" s="11">
        <v>0</v>
      </c>
      <c r="K3635" s="11" t="s">
        <v>21</v>
      </c>
      <c r="L3635" s="7">
        <v>39925.147615740745</v>
      </c>
      <c r="M3635" s="12" t="s">
        <v>5203</v>
      </c>
      <c r="N3635" s="12" t="s">
        <v>8750</v>
      </c>
      <c r="O3635" s="10" t="str">
        <f>HYPERLINK("https://pbs.twimg.com/profile_images/2229013879/glenLakePhoto_normal.jpg","View")</f>
        <v>View</v>
      </c>
      <c r="P3635" s="11"/>
    </row>
    <row r="3636" spans="1:16" ht="12.75" x14ac:dyDescent="0.35">
      <c r="A3636" s="7">
        <v>42482.778749999998</v>
      </c>
      <c r="B3636" s="8" t="str">
        <f t="shared" ref="B3636:B3637" si="342">HYPERLINK("https://twitter.com/handelsblatt","@handelsblatt")</f>
        <v>@handelsblatt</v>
      </c>
      <c r="C3636" s="9" t="s">
        <v>973</v>
      </c>
      <c r="D3636" s="9" t="s">
        <v>8716</v>
      </c>
      <c r="E3636" s="10" t="str">
        <f>HYPERLINK("https://twitter.com/handelsblatt/status/723499447422992384","723499447422992384")</f>
        <v>723499447422992384</v>
      </c>
      <c r="F3636" s="11" t="s">
        <v>288</v>
      </c>
      <c r="G3636" s="11">
        <v>239950</v>
      </c>
      <c r="H3636" s="11">
        <v>535</v>
      </c>
      <c r="I3636" s="11">
        <v>2</v>
      </c>
      <c r="J3636" s="11">
        <v>0</v>
      </c>
      <c r="K3636" s="11" t="s">
        <v>21</v>
      </c>
      <c r="L3636" s="7">
        <v>39207.128182870372</v>
      </c>
      <c r="M3636" s="12" t="s">
        <v>975</v>
      </c>
      <c r="N3636" s="12" t="s">
        <v>976</v>
      </c>
      <c r="O3636" s="10" t="str">
        <f t="shared" ref="O3636:O3637" si="343">HYPERLINK("https://pbs.twimg.com/profile_images/562563461171798017/AkHF4keI_normal.png","View")</f>
        <v>View</v>
      </c>
      <c r="P3636" s="11"/>
    </row>
    <row r="3637" spans="1:16" ht="12.75" x14ac:dyDescent="0.35">
      <c r="A3637" s="7">
        <v>42482.778761574074</v>
      </c>
      <c r="B3637" s="8" t="str">
        <f t="shared" si="342"/>
        <v>@handelsblatt</v>
      </c>
      <c r="C3637" s="9" t="s">
        <v>973</v>
      </c>
      <c r="D3637" s="9" t="s">
        <v>8751</v>
      </c>
      <c r="E3637" s="10" t="str">
        <f>HYPERLINK("https://twitter.com/handelsblatt/status/723499448299597825","723499448299597825")</f>
        <v>723499448299597825</v>
      </c>
      <c r="F3637" s="11" t="s">
        <v>288</v>
      </c>
      <c r="G3637" s="11">
        <v>239950</v>
      </c>
      <c r="H3637" s="11">
        <v>535</v>
      </c>
      <c r="I3637" s="11">
        <v>2</v>
      </c>
      <c r="J3637" s="11">
        <v>0</v>
      </c>
      <c r="K3637" s="11" t="s">
        <v>21</v>
      </c>
      <c r="L3637" s="7">
        <v>39207.128182870372</v>
      </c>
      <c r="M3637" s="12" t="s">
        <v>975</v>
      </c>
      <c r="N3637" s="12" t="s">
        <v>976</v>
      </c>
      <c r="O3637" s="10" t="str">
        <f t="shared" si="343"/>
        <v>View</v>
      </c>
      <c r="P3637" s="11"/>
    </row>
    <row r="3638" spans="1:16" ht="12.75" x14ac:dyDescent="0.35">
      <c r="A3638" s="7">
        <v>42482.778773148151</v>
      </c>
      <c r="B3638" s="8" t="str">
        <f>HYPERLINK("https://twitter.com/MotoringPodcast","@MotoringPodcast")</f>
        <v>@MotoringPodcast</v>
      </c>
      <c r="C3638" s="9" t="s">
        <v>8752</v>
      </c>
      <c r="D3638" s="9" t="s">
        <v>8506</v>
      </c>
      <c r="E3638" s="10" t="str">
        <f>HYPERLINK("https://twitter.com/MotoringPodcast/status/723499456243617792","723499456243617792")</f>
        <v>723499456243617792</v>
      </c>
      <c r="F3638" s="11" t="s">
        <v>160</v>
      </c>
      <c r="G3638" s="11">
        <v>134</v>
      </c>
      <c r="H3638" s="11">
        <v>235</v>
      </c>
      <c r="I3638" s="11">
        <v>3</v>
      </c>
      <c r="J3638" s="11">
        <v>0</v>
      </c>
      <c r="K3638" s="11" t="s">
        <v>21</v>
      </c>
      <c r="L3638" s="7">
        <v>42011.100821759261</v>
      </c>
      <c r="M3638" s="12" t="s">
        <v>8753</v>
      </c>
      <c r="N3638" s="12" t="s">
        <v>8754</v>
      </c>
      <c r="O3638" s="10" t="str">
        <f>HYPERLINK("https://pbs.twimg.com/profile_images/718471023616770049/pJARbhRj_normal.jpg","View")</f>
        <v>View</v>
      </c>
      <c r="P3638" s="11"/>
    </row>
    <row r="3639" spans="1:16" ht="12.75" x14ac:dyDescent="0.35">
      <c r="A3639" s="7">
        <v>42482.778854166667</v>
      </c>
      <c r="B3639" s="8" t="str">
        <f>HYPERLINK("https://twitter.com/padmakarvikas","@padmakarvikas")</f>
        <v>@padmakarvikas</v>
      </c>
      <c r="C3639" s="9" t="s">
        <v>8755</v>
      </c>
      <c r="D3639" s="9" t="s">
        <v>8756</v>
      </c>
      <c r="E3639" s="10" t="str">
        <f>HYPERLINK("https://twitter.com/padmakarvikas/status/723499482667732992","723499482667732992")</f>
        <v>723499482667732992</v>
      </c>
      <c r="F3639" s="11" t="s">
        <v>48</v>
      </c>
      <c r="G3639" s="11">
        <v>14</v>
      </c>
      <c r="H3639" s="11">
        <v>19</v>
      </c>
      <c r="I3639" s="11">
        <v>0</v>
      </c>
      <c r="J3639" s="11">
        <v>0</v>
      </c>
      <c r="K3639" s="11" t="s">
        <v>21</v>
      </c>
      <c r="L3639" s="7">
        <v>40687.061805555553</v>
      </c>
      <c r="M3639" s="12" t="s">
        <v>8757</v>
      </c>
      <c r="N3639" s="12"/>
      <c r="O3639" s="10" t="str">
        <f>HYPERLINK("https://pbs.twimg.com/profile_images/660186918299156480/IumQQzna_normal.jpg","View")</f>
        <v>View</v>
      </c>
      <c r="P3639" s="11"/>
    </row>
    <row r="3640" spans="1:16" ht="12.75" x14ac:dyDescent="0.35">
      <c r="A3640" s="7">
        <v>42482.778993055559</v>
      </c>
      <c r="B3640" s="8" t="str">
        <f>HYPERLINK("https://twitter.com/donaukurier","@donaukurier")</f>
        <v>@donaukurier</v>
      </c>
      <c r="C3640" s="8" t="s">
        <v>1201</v>
      </c>
      <c r="D3640" s="9" t="s">
        <v>8758</v>
      </c>
      <c r="E3640" s="10" t="str">
        <f>HYPERLINK("https://twitter.com/donaukurier/status/723499533913731073","723499533913731073")</f>
        <v>723499533913731073</v>
      </c>
      <c r="F3640" s="11" t="s">
        <v>43</v>
      </c>
      <c r="G3640" s="11">
        <v>3562</v>
      </c>
      <c r="H3640" s="11">
        <v>682</v>
      </c>
      <c r="I3640" s="11">
        <v>0</v>
      </c>
      <c r="J3640" s="11">
        <v>0</v>
      </c>
      <c r="K3640" s="11" t="s">
        <v>21</v>
      </c>
      <c r="L3640" s="7">
        <v>39834.624814814815</v>
      </c>
      <c r="M3640" s="12" t="s">
        <v>1203</v>
      </c>
      <c r="N3640" s="12" t="s">
        <v>1204</v>
      </c>
      <c r="O3640" s="10" t="str">
        <f>HYPERLINK("https://pbs.twimg.com/profile_images/453883735738310657/v_R7tMWg_normal.jpeg","View")</f>
        <v>View</v>
      </c>
      <c r="P3640" s="11"/>
    </row>
    <row r="3641" spans="1:16" ht="12.75" x14ac:dyDescent="0.35">
      <c r="A3641" s="7">
        <v>42482.779004629629</v>
      </c>
      <c r="B3641" s="8" t="str">
        <f>HYPERLINK("https://twitter.com/rbbinforadio","@rbbinforadio")</f>
        <v>@rbbinforadio</v>
      </c>
      <c r="C3641" s="9" t="s">
        <v>8083</v>
      </c>
      <c r="D3641" s="9" t="s">
        <v>8759</v>
      </c>
      <c r="E3641" s="10" t="str">
        <f>HYPERLINK("https://twitter.com/rbbinforadio/status/723499537151758337","723499537151758337")</f>
        <v>723499537151758337</v>
      </c>
      <c r="F3641" s="11" t="s">
        <v>43</v>
      </c>
      <c r="G3641" s="11">
        <v>6164</v>
      </c>
      <c r="H3641" s="11">
        <v>390</v>
      </c>
      <c r="I3641" s="11">
        <v>0</v>
      </c>
      <c r="J3641" s="11">
        <v>0</v>
      </c>
      <c r="K3641" s="11" t="s">
        <v>21</v>
      </c>
      <c r="L3641" s="7">
        <v>40311.657199074078</v>
      </c>
      <c r="M3641" s="12"/>
      <c r="N3641" s="12" t="s">
        <v>8085</v>
      </c>
      <c r="O3641" s="10" t="str">
        <f>HYPERLINK("https://pbs.twimg.com/profile_images/666962838930485248/ZYF2LkHu_normal.png","View")</f>
        <v>View</v>
      </c>
      <c r="P3641" s="11"/>
    </row>
    <row r="3642" spans="1:16" ht="12.75" x14ac:dyDescent="0.35">
      <c r="A3642" s="7">
        <v>42482.779108796298</v>
      </c>
      <c r="B3642" s="8" t="str">
        <f>HYPERLINK("https://twitter.com/bvoelkl","@bvoelkl")</f>
        <v>@bvoelkl</v>
      </c>
      <c r="C3642" s="9" t="s">
        <v>8760</v>
      </c>
      <c r="D3642" s="9" t="s">
        <v>8751</v>
      </c>
      <c r="E3642" s="10" t="str">
        <f>HYPERLINK("https://twitter.com/bvoelkl/status/723499574434910208","723499574434910208")</f>
        <v>723499574434910208</v>
      </c>
      <c r="F3642" s="11" t="s">
        <v>48</v>
      </c>
      <c r="G3642" s="11">
        <v>270</v>
      </c>
      <c r="H3642" s="11">
        <v>1116</v>
      </c>
      <c r="I3642" s="11">
        <v>2</v>
      </c>
      <c r="J3642" s="11">
        <v>0</v>
      </c>
      <c r="K3642" s="11" t="s">
        <v>21</v>
      </c>
      <c r="L3642" s="7">
        <v>41203.871041666665</v>
      </c>
      <c r="M3642" s="12" t="s">
        <v>8761</v>
      </c>
      <c r="N3642" s="12" t="s">
        <v>8762</v>
      </c>
      <c r="O3642" s="10" t="str">
        <f>HYPERLINK("https://pbs.twimg.com/profile_images/656496532380852224/tduNQXiq_normal.jpg","View")</f>
        <v>View</v>
      </c>
      <c r="P3642" s="11"/>
    </row>
    <row r="3643" spans="1:16" ht="12.75" x14ac:dyDescent="0.35">
      <c r="A3643" s="7">
        <v>42482.779143518521</v>
      </c>
      <c r="B3643" s="8" t="str">
        <f>HYPERLINK("https://twitter.com/VanagonNews","@VanagonNews")</f>
        <v>@VanagonNews</v>
      </c>
      <c r="C3643" s="9" t="s">
        <v>303</v>
      </c>
      <c r="D3643" s="9" t="s">
        <v>8763</v>
      </c>
      <c r="E3643" s="10" t="str">
        <f>HYPERLINK("https://twitter.com/VanagonNews/status/723499587223212032","723499587223212032")</f>
        <v>723499587223212032</v>
      </c>
      <c r="F3643" s="11" t="s">
        <v>34</v>
      </c>
      <c r="G3643" s="11">
        <v>1264</v>
      </c>
      <c r="H3643" s="11">
        <v>1204</v>
      </c>
      <c r="I3643" s="11">
        <v>0</v>
      </c>
      <c r="J3643" s="11">
        <v>0</v>
      </c>
      <c r="K3643" s="11" t="s">
        <v>21</v>
      </c>
      <c r="L3643" s="7">
        <v>41668.847280092596</v>
      </c>
      <c r="M3643" s="12" t="s">
        <v>305</v>
      </c>
      <c r="N3643" s="12" t="s">
        <v>306</v>
      </c>
      <c r="O3643" s="10" t="str">
        <f>HYPERLINK("https://pbs.twimg.com/profile_images/439107942877376514/dsUl4fwt_normal.jpeg","View")</f>
        <v>View</v>
      </c>
      <c r="P3643" s="11"/>
    </row>
    <row r="3644" spans="1:16" ht="12.75" x14ac:dyDescent="0.35">
      <c r="A3644" s="7">
        <v>42482.77925925926</v>
      </c>
      <c r="B3644" s="8" t="str">
        <f>HYPERLINK("https://twitter.com/DirkHaehnel","@DirkHaehnel")</f>
        <v>@DirkHaehnel</v>
      </c>
      <c r="C3644" s="9" t="s">
        <v>8764</v>
      </c>
      <c r="D3644" s="9" t="s">
        <v>8765</v>
      </c>
      <c r="E3644" s="10" t="str">
        <f>HYPERLINK("https://twitter.com/DirkHaehnel/status/723499631842308096","723499631842308096")</f>
        <v>723499631842308096</v>
      </c>
      <c r="F3644" s="11" t="s">
        <v>43</v>
      </c>
      <c r="G3644" s="11">
        <v>27</v>
      </c>
      <c r="H3644" s="11">
        <v>111</v>
      </c>
      <c r="I3644" s="11">
        <v>0</v>
      </c>
      <c r="J3644" s="11">
        <v>0</v>
      </c>
      <c r="K3644" s="11" t="s">
        <v>21</v>
      </c>
      <c r="L3644" s="7">
        <v>41285.123518518521</v>
      </c>
      <c r="M3644" s="12" t="s">
        <v>8766</v>
      </c>
      <c r="N3644" s="12"/>
      <c r="O3644" s="10" t="str">
        <f>HYPERLINK("https://pbs.twimg.com/profile_images/638234913771290624/QK4MVvJS_normal.jpg","View")</f>
        <v>View</v>
      </c>
      <c r="P3644" s="11"/>
    </row>
    <row r="3645" spans="1:16" ht="12.75" x14ac:dyDescent="0.35">
      <c r="A3645" s="7">
        <v>42482.77957175926</v>
      </c>
      <c r="B3645" s="8" t="str">
        <f>HYPERLINK("https://twitter.com/Theothebald","@Theothebald")</f>
        <v>@Theothebald</v>
      </c>
      <c r="C3645" s="9" t="s">
        <v>3209</v>
      </c>
      <c r="D3645" s="9" t="s">
        <v>8767</v>
      </c>
      <c r="E3645" s="10" t="str">
        <f>HYPERLINK("https://twitter.com/Theothebald/status/723499742525816832","723499742525816832")</f>
        <v>723499742525816832</v>
      </c>
      <c r="F3645" s="11" t="s">
        <v>20</v>
      </c>
      <c r="G3645" s="11">
        <v>1098</v>
      </c>
      <c r="H3645" s="11">
        <v>804</v>
      </c>
      <c r="I3645" s="11">
        <v>0</v>
      </c>
      <c r="J3645" s="11">
        <v>0</v>
      </c>
      <c r="K3645" s="11" t="s">
        <v>21</v>
      </c>
      <c r="L3645" s="7">
        <v>40470.012418981481</v>
      </c>
      <c r="M3645" s="12" t="s">
        <v>638</v>
      </c>
      <c r="N3645" s="12" t="s">
        <v>3211</v>
      </c>
      <c r="O3645" s="10" t="str">
        <f>HYPERLINK("https://pbs.twimg.com/profile_images/2592181176/udsjv0fy0o3b2krnx52h_normal.jpeg","View")</f>
        <v>View</v>
      </c>
      <c r="P3645" s="11"/>
    </row>
    <row r="3646" spans="1:16" ht="12.75" x14ac:dyDescent="0.35">
      <c r="A3646" s="7">
        <v>42482.780081018514</v>
      </c>
      <c r="B3646" s="8" t="str">
        <f>HYPERLINK("https://twitter.com/hrinfo","@hrinfo")</f>
        <v>@hrinfo</v>
      </c>
      <c r="C3646" s="9" t="s">
        <v>3200</v>
      </c>
      <c r="D3646" s="9" t="s">
        <v>8768</v>
      </c>
      <c r="E3646" s="10" t="str">
        <f>HYPERLINK("https://twitter.com/hrinfo/status/723499929239474176","723499929239474176")</f>
        <v>723499929239474176</v>
      </c>
      <c r="F3646" s="11" t="s">
        <v>43</v>
      </c>
      <c r="G3646" s="11">
        <v>7149</v>
      </c>
      <c r="H3646" s="11">
        <v>452</v>
      </c>
      <c r="I3646" s="11">
        <v>0</v>
      </c>
      <c r="J3646" s="11">
        <v>0</v>
      </c>
      <c r="K3646" s="11" t="s">
        <v>21</v>
      </c>
      <c r="L3646" s="7">
        <v>40466.888171296298</v>
      </c>
      <c r="M3646" s="12" t="s">
        <v>1464</v>
      </c>
      <c r="N3646" s="12" t="s">
        <v>3202</v>
      </c>
      <c r="O3646" s="10" t="str">
        <f>HYPERLINK("https://pbs.twimg.com/profile_images/531837173612285952/71rzDAAY_normal.jpeg","View")</f>
        <v>View</v>
      </c>
      <c r="P3646" s="11"/>
    </row>
    <row r="3647" spans="1:16" ht="12.75" x14ac:dyDescent="0.35">
      <c r="A3647" s="7">
        <v>42482.780219907407</v>
      </c>
      <c r="B3647" s="8" t="str">
        <f>HYPERLINK("https://twitter.com/s_janssen","@s_janssen")</f>
        <v>@s_janssen</v>
      </c>
      <c r="C3647" s="9" t="s">
        <v>8769</v>
      </c>
      <c r="D3647" s="9" t="s">
        <v>8770</v>
      </c>
      <c r="E3647" s="10" t="str">
        <f>HYPERLINK("https://twitter.com/s_janssen/status/723499979696906240","723499979696906240")</f>
        <v>723499979696906240</v>
      </c>
      <c r="F3647" s="11" t="s">
        <v>8771</v>
      </c>
      <c r="G3647" s="11">
        <v>753</v>
      </c>
      <c r="H3647" s="11">
        <v>2077</v>
      </c>
      <c r="I3647" s="11">
        <v>0</v>
      </c>
      <c r="J3647" s="11">
        <v>0</v>
      </c>
      <c r="K3647" s="11" t="s">
        <v>21</v>
      </c>
      <c r="L3647" s="7">
        <v>39827.993020833332</v>
      </c>
      <c r="M3647" s="12" t="s">
        <v>953</v>
      </c>
      <c r="N3647" s="12" t="s">
        <v>8772</v>
      </c>
      <c r="O3647" s="10" t="str">
        <f>HYPERLINK("https://pbs.twimg.com/profile_images/495094466777071616/LRAOBOo1_normal.jpeg","View")</f>
        <v>View</v>
      </c>
      <c r="P3647" s="11"/>
    </row>
    <row r="3648" spans="1:16" ht="12.75" x14ac:dyDescent="0.35">
      <c r="A3648" s="7">
        <v>42482.780312499999</v>
      </c>
      <c r="B3648" s="8" t="str">
        <f>HYPERLINK("https://twitter.com/MarkCSchneider","@MarkCSchneider")</f>
        <v>@MarkCSchneider</v>
      </c>
      <c r="C3648" s="9" t="s">
        <v>952</v>
      </c>
      <c r="D3648" s="9" t="s">
        <v>8773</v>
      </c>
      <c r="E3648" s="10" t="str">
        <f>HYPERLINK("https://twitter.com/MarkCSchneider/status/723500013310058496","723500013310058496")</f>
        <v>723500013310058496</v>
      </c>
      <c r="F3648" s="11" t="s">
        <v>43</v>
      </c>
      <c r="G3648" s="11">
        <v>370</v>
      </c>
      <c r="H3648" s="11">
        <v>336</v>
      </c>
      <c r="I3648" s="11">
        <v>1</v>
      </c>
      <c r="J3648" s="11">
        <v>0</v>
      </c>
      <c r="K3648" s="11" t="s">
        <v>21</v>
      </c>
      <c r="L3648" s="7">
        <v>41495.558136574073</v>
      </c>
      <c r="M3648" s="12" t="s">
        <v>953</v>
      </c>
      <c r="N3648" s="12"/>
      <c r="O3648" s="10" t="str">
        <f>HYPERLINK("https://pbs.twimg.com/profile_images/706784695795769345/XGXgdjww_normal.jpg","View")</f>
        <v>View</v>
      </c>
      <c r="P3648" s="11"/>
    </row>
    <row r="3649" spans="1:16" ht="12.75" x14ac:dyDescent="0.35">
      <c r="A3649" s="7">
        <v>42482.780370370368</v>
      </c>
      <c r="B3649" s="8" t="str">
        <f>HYPERLINK("https://twitter.com/ZDFheute","@ZDFheute")</f>
        <v>@ZDFheute</v>
      </c>
      <c r="C3649" s="9" t="s">
        <v>3184</v>
      </c>
      <c r="D3649" s="9" t="s">
        <v>8774</v>
      </c>
      <c r="E3649" s="10" t="str">
        <f>HYPERLINK("https://twitter.com/ZDFheute/status/723500033354661889","723500033354661889")</f>
        <v>723500033354661889</v>
      </c>
      <c r="F3649" s="11" t="s">
        <v>63</v>
      </c>
      <c r="G3649" s="11">
        <v>158343</v>
      </c>
      <c r="H3649" s="11">
        <v>199</v>
      </c>
      <c r="I3649" s="11">
        <v>0</v>
      </c>
      <c r="J3649" s="11">
        <v>0</v>
      </c>
      <c r="K3649" s="11" t="s">
        <v>21</v>
      </c>
      <c r="L3649" s="7">
        <v>41292.901747685188</v>
      </c>
      <c r="M3649" s="12" t="s">
        <v>3186</v>
      </c>
      <c r="N3649" s="12" t="s">
        <v>3187</v>
      </c>
      <c r="O3649" s="10" t="str">
        <f>HYPERLINK("https://pbs.twimg.com/profile_images/465803701647446016/jAlkirAe_normal.jpeg","View")</f>
        <v>View</v>
      </c>
      <c r="P3649" s="11"/>
    </row>
    <row r="3650" spans="1:16" ht="12.75" x14ac:dyDescent="0.35">
      <c r="A3650" s="7">
        <v>42482.780486111107</v>
      </c>
      <c r="B3650" s="8" t="str">
        <f>HYPERLINK("https://twitter.com/GeyersipOficial","@GeyersipOficial")</f>
        <v>@GeyersipOficial</v>
      </c>
      <c r="C3650" s="9" t="s">
        <v>8580</v>
      </c>
      <c r="D3650" s="9" t="s">
        <v>8740</v>
      </c>
      <c r="E3650" s="10" t="str">
        <f>HYPERLINK("https://twitter.com/GeyersipOficial/status/723500074865586177","723500074865586177")</f>
        <v>723500074865586177</v>
      </c>
      <c r="F3650" s="11" t="s">
        <v>48</v>
      </c>
      <c r="G3650" s="11">
        <v>49</v>
      </c>
      <c r="H3650" s="11">
        <v>131</v>
      </c>
      <c r="I3650" s="11">
        <v>3</v>
      </c>
      <c r="J3650" s="11">
        <v>0</v>
      </c>
      <c r="K3650" s="11" t="s">
        <v>21</v>
      </c>
      <c r="L3650" s="7">
        <v>42463.06627314815</v>
      </c>
      <c r="M3650" s="12"/>
      <c r="N3650" s="12" t="s">
        <v>8582</v>
      </c>
      <c r="O3650" s="10" t="str">
        <f>HYPERLINK("https://pbs.twimg.com/profile_images/723218593823891456/LolKqq8k_normal.jpg","View")</f>
        <v>View</v>
      </c>
      <c r="P3650" s="11"/>
    </row>
    <row r="3651" spans="1:16" ht="12.75" x14ac:dyDescent="0.35">
      <c r="A3651" s="7">
        <v>42482.78052083333</v>
      </c>
      <c r="B3651" s="8" t="str">
        <f>HYPERLINK("https://twitter.com/Banane0711","@Banane0711")</f>
        <v>@Banane0711</v>
      </c>
      <c r="C3651" s="9" t="s">
        <v>8730</v>
      </c>
      <c r="D3651" s="9" t="s">
        <v>8775</v>
      </c>
      <c r="E3651" s="10" t="str">
        <f>HYPERLINK("https://twitter.com/Banane0711/status/723500086223843328","723500086223843328")</f>
        <v>723500086223843328</v>
      </c>
      <c r="F3651" s="11" t="s">
        <v>43</v>
      </c>
      <c r="G3651" s="11">
        <v>346</v>
      </c>
      <c r="H3651" s="11">
        <v>33</v>
      </c>
      <c r="I3651" s="11">
        <v>0</v>
      </c>
      <c r="J3651" s="11">
        <v>0</v>
      </c>
      <c r="K3651" s="11" t="s">
        <v>21</v>
      </c>
      <c r="L3651" s="7">
        <v>40766.10491898148</v>
      </c>
      <c r="M3651" s="12"/>
      <c r="N3651" s="12"/>
      <c r="O3651" s="10" t="str">
        <f>HYPERLINK("https://pbs.twimg.com/profile_images/1488674331/schofer4_normal.jpg","View")</f>
        <v>View</v>
      </c>
      <c r="P3651" s="11"/>
    </row>
    <row r="3652" spans="1:16" ht="12.75" x14ac:dyDescent="0.35">
      <c r="A3652" s="7">
        <v>42482.780659722222</v>
      </c>
      <c r="B3652" s="8" t="str">
        <f>HYPERLINK("https://twitter.com/wehrs18","@wehrs18")</f>
        <v>@wehrs18</v>
      </c>
      <c r="C3652" s="9" t="s">
        <v>1964</v>
      </c>
      <c r="D3652" s="9" t="s">
        <v>8132</v>
      </c>
      <c r="E3652" s="10" t="str">
        <f>HYPERLINK("https://twitter.com/wehrs18/status/723500136689729537","723500136689729537")</f>
        <v>723500136689729537</v>
      </c>
      <c r="F3652" s="11" t="s">
        <v>48</v>
      </c>
      <c r="G3652" s="11">
        <v>122</v>
      </c>
      <c r="H3652" s="11">
        <v>241</v>
      </c>
      <c r="I3652" s="11">
        <v>7</v>
      </c>
      <c r="J3652" s="11">
        <v>0</v>
      </c>
      <c r="K3652" s="11" t="s">
        <v>21</v>
      </c>
      <c r="L3652" s="7">
        <v>41836.590428240743</v>
      </c>
      <c r="M3652" s="12" t="s">
        <v>1116</v>
      </c>
      <c r="N3652" s="12" t="s">
        <v>1965</v>
      </c>
      <c r="O3652" s="10" t="str">
        <f>HYPERLINK("https://pbs.twimg.com/profile_images/687314255507513346/a83L5Opq_normal.jpg","View")</f>
        <v>View</v>
      </c>
      <c r="P3652" s="11"/>
    </row>
    <row r="3653" spans="1:16" ht="12.75" x14ac:dyDescent="0.35">
      <c r="A3653" s="7">
        <v>42482.780740740738</v>
      </c>
      <c r="B3653" s="8" t="str">
        <f>HYPERLINK("https://twitter.com/Madushanpriyas2","@Madushanpriyas2")</f>
        <v>@Madushanpriyas2</v>
      </c>
      <c r="C3653" s="9" t="s">
        <v>8698</v>
      </c>
      <c r="D3653" s="9" t="s">
        <v>8740</v>
      </c>
      <c r="E3653" s="10" t="str">
        <f>HYPERLINK("https://twitter.com/Madushanpriyas2/status/723500168184647681","723500168184647681")</f>
        <v>723500168184647681</v>
      </c>
      <c r="F3653" s="11" t="s">
        <v>48</v>
      </c>
      <c r="G3653" s="11">
        <v>43</v>
      </c>
      <c r="H3653" s="11">
        <v>195</v>
      </c>
      <c r="I3653" s="11">
        <v>3</v>
      </c>
      <c r="J3653" s="11">
        <v>0</v>
      </c>
      <c r="K3653" s="11" t="s">
        <v>21</v>
      </c>
      <c r="L3653" s="7">
        <v>42464.609606481477</v>
      </c>
      <c r="M3653" s="12"/>
      <c r="N3653" s="12"/>
      <c r="O3653" s="10" t="str">
        <f>HYPERLINK("https://abs.twimg.com/sticky/default_profile_images/default_profile_5_normal.png","View")</f>
        <v>View</v>
      </c>
      <c r="P3653" s="11"/>
    </row>
    <row r="3654" spans="1:16" ht="12.75" x14ac:dyDescent="0.35">
      <c r="A3654" s="7">
        <v>42482.780740740738</v>
      </c>
      <c r="B3654" s="8" t="str">
        <f>HYPERLINK("https://twitter.com/aktionaer","@aktionaer")</f>
        <v>@aktionaer</v>
      </c>
      <c r="C3654" s="9" t="s">
        <v>1252</v>
      </c>
      <c r="D3654" s="9" t="s">
        <v>8776</v>
      </c>
      <c r="E3654" s="10" t="str">
        <f>HYPERLINK("https://twitter.com/aktionaer/status/723500169212362752","723500169212362752")</f>
        <v>723500169212362752</v>
      </c>
      <c r="F3654" s="11" t="s">
        <v>43</v>
      </c>
      <c r="G3654" s="11">
        <v>4630</v>
      </c>
      <c r="H3654" s="11">
        <v>1113</v>
      </c>
      <c r="I3654" s="11">
        <v>0</v>
      </c>
      <c r="J3654" s="11">
        <v>0</v>
      </c>
      <c r="K3654" s="11" t="s">
        <v>21</v>
      </c>
      <c r="L3654" s="7">
        <v>39844.695729166662</v>
      </c>
      <c r="M3654" s="12" t="s">
        <v>1254</v>
      </c>
      <c r="N3654" s="12" t="s">
        <v>1255</v>
      </c>
      <c r="O3654" s="10" t="str">
        <f>HYPERLINK("https://pbs.twimg.com/profile_images/679552623641509888/_vPw9IS2_normal.png","View")</f>
        <v>View</v>
      </c>
      <c r="P3654" s="11"/>
    </row>
    <row r="3655" spans="1:16" ht="12.75" x14ac:dyDescent="0.35">
      <c r="A3655" s="7">
        <v>42482.780821759261</v>
      </c>
      <c r="B3655" s="8" t="str">
        <f>HYPERLINK("https://twitter.com/Kristina_Hof","@Kristina_Hof")</f>
        <v>@Kristina_Hof</v>
      </c>
      <c r="C3655" s="9" t="s">
        <v>8777</v>
      </c>
      <c r="D3655" s="9" t="s">
        <v>8778</v>
      </c>
      <c r="E3655" s="10" t="str">
        <f>HYPERLINK("https://twitter.com/Kristina_Hof/status/723500194856316928","723500194856316928")</f>
        <v>723500194856316928</v>
      </c>
      <c r="F3655" s="11" t="s">
        <v>43</v>
      </c>
      <c r="G3655" s="11">
        <v>1624</v>
      </c>
      <c r="H3655" s="11">
        <v>1044</v>
      </c>
      <c r="I3655" s="11">
        <v>0</v>
      </c>
      <c r="J3655" s="11">
        <v>0</v>
      </c>
      <c r="K3655" s="11" t="s">
        <v>21</v>
      </c>
      <c r="L3655" s="7">
        <v>40064.879942129628</v>
      </c>
      <c r="M3655" s="12"/>
      <c r="N3655" s="12" t="s">
        <v>8779</v>
      </c>
      <c r="O3655" s="10" t="str">
        <f>HYPERLINK("https://pbs.twimg.com/profile_images/704302570739785729/M4HWJt6p_normal.jpg","View")</f>
        <v>View</v>
      </c>
      <c r="P3655" s="11"/>
    </row>
    <row r="3656" spans="1:16" ht="12.75" x14ac:dyDescent="0.35">
      <c r="A3656" s="7">
        <v>42482.7809375</v>
      </c>
      <c r="B3656" s="8" t="str">
        <f>HYPERLINK("https://twitter.com/doern","@doern")</f>
        <v>@doern</v>
      </c>
      <c r="C3656" s="9" t="s">
        <v>3107</v>
      </c>
      <c r="D3656" s="9" t="s">
        <v>8780</v>
      </c>
      <c r="E3656" s="10" t="str">
        <f>HYPERLINK("https://twitter.com/doern/status/723500240083521536","723500240083521536")</f>
        <v>723500240083521536</v>
      </c>
      <c r="F3656" s="11" t="s">
        <v>43</v>
      </c>
      <c r="G3656" s="11">
        <v>361</v>
      </c>
      <c r="H3656" s="11">
        <v>63</v>
      </c>
      <c r="I3656" s="11">
        <v>0</v>
      </c>
      <c r="J3656" s="11">
        <v>0</v>
      </c>
      <c r="K3656" s="11" t="s">
        <v>21</v>
      </c>
      <c r="L3656" s="7">
        <v>39909.663194444445</v>
      </c>
      <c r="M3656" s="12" t="s">
        <v>262</v>
      </c>
      <c r="N3656" s="12" t="s">
        <v>3109</v>
      </c>
      <c r="O3656" s="10" t="str">
        <f>HYPERLINK("https://pbs.twimg.com/profile_images/657853466384191488/J6vAnfZr_normal.jpg","View")</f>
        <v>View</v>
      </c>
      <c r="P3656" s="11"/>
    </row>
    <row r="3657" spans="1:16" ht="12.75" x14ac:dyDescent="0.35">
      <c r="A3657" s="7">
        <v>42482.781006944446</v>
      </c>
      <c r="B3657" s="8" t="str">
        <f>HYPERLINK("https://twitter.com/c_garrels","@c_garrels")</f>
        <v>@c_garrels</v>
      </c>
      <c r="C3657" s="9" t="s">
        <v>2209</v>
      </c>
      <c r="D3657" s="9" t="s">
        <v>8781</v>
      </c>
      <c r="E3657" s="10" t="str">
        <f>HYPERLINK("https://twitter.com/c_garrels/status/723500262804054016","723500262804054016")</f>
        <v>723500262804054016</v>
      </c>
      <c r="F3657" s="11" t="s">
        <v>91</v>
      </c>
      <c r="G3657" s="11">
        <v>464</v>
      </c>
      <c r="H3657" s="11">
        <v>172</v>
      </c>
      <c r="I3657" s="11">
        <v>0</v>
      </c>
      <c r="J3657" s="11">
        <v>0</v>
      </c>
      <c r="K3657" s="11" t="s">
        <v>21</v>
      </c>
      <c r="L3657" s="7">
        <v>40606.75037037037</v>
      </c>
      <c r="M3657" s="12" t="s">
        <v>2211</v>
      </c>
      <c r="N3657" s="12" t="s">
        <v>2212</v>
      </c>
      <c r="O3657" s="10" t="str">
        <f>HYPERLINK("https://pbs.twimg.com/profile_images/669855217513578496/tHE9dIDO_normal.jpg","View")</f>
        <v>View</v>
      </c>
      <c r="P3657" s="11"/>
    </row>
    <row r="3658" spans="1:16" ht="12.75" x14ac:dyDescent="0.35">
      <c r="A3658" s="7">
        <v>42482.781064814815</v>
      </c>
      <c r="B3658" s="8" t="str">
        <f>HYPERLINK("https://twitter.com/kuerzel_td","@kuerzel_td")</f>
        <v>@kuerzel_td</v>
      </c>
      <c r="C3658" s="9" t="s">
        <v>3473</v>
      </c>
      <c r="D3658" s="9" t="s">
        <v>8782</v>
      </c>
      <c r="E3658" s="10" t="str">
        <f>HYPERLINK("https://twitter.com/kuerzel_td/status/723500284366995457","723500284366995457")</f>
        <v>723500284366995457</v>
      </c>
      <c r="F3658" s="11" t="s">
        <v>43</v>
      </c>
      <c r="G3658" s="11">
        <v>879</v>
      </c>
      <c r="H3658" s="11">
        <v>974</v>
      </c>
      <c r="I3658" s="11">
        <v>0</v>
      </c>
      <c r="J3658" s="11">
        <v>0</v>
      </c>
      <c r="K3658" s="11" t="s">
        <v>21</v>
      </c>
      <c r="L3658" s="7">
        <v>40031.897418981483</v>
      </c>
      <c r="M3658" s="12" t="s">
        <v>3474</v>
      </c>
      <c r="N3658" s="12" t="s">
        <v>3475</v>
      </c>
      <c r="O3658" s="10" t="str">
        <f>HYPERLINK("https://pbs.twimg.com/profile_images/393094957/td_normal.jpg","View")</f>
        <v>View</v>
      </c>
      <c r="P3658" s="11"/>
    </row>
    <row r="3659" spans="1:16" ht="12.75" x14ac:dyDescent="0.35">
      <c r="A3659" s="7">
        <v>42482.781226851846</v>
      </c>
      <c r="B3659" s="8" t="str">
        <f>HYPERLINK("https://twitter.com/Banane0711","@Banane0711")</f>
        <v>@Banane0711</v>
      </c>
      <c r="C3659" s="9" t="s">
        <v>8730</v>
      </c>
      <c r="D3659" s="9" t="s">
        <v>8783</v>
      </c>
      <c r="E3659" s="10" t="str">
        <f>HYPERLINK("https://twitter.com/Banane0711/status/723500341644398592","723500341644398592")</f>
        <v>723500341644398592</v>
      </c>
      <c r="F3659" s="11" t="s">
        <v>43</v>
      </c>
      <c r="G3659" s="11">
        <v>346</v>
      </c>
      <c r="H3659" s="11">
        <v>33</v>
      </c>
      <c r="I3659" s="11">
        <v>0</v>
      </c>
      <c r="J3659" s="11">
        <v>0</v>
      </c>
      <c r="K3659" s="11" t="s">
        <v>21</v>
      </c>
      <c r="L3659" s="7">
        <v>40766.10491898148</v>
      </c>
      <c r="M3659" s="12"/>
      <c r="N3659" s="12"/>
      <c r="O3659" s="10" t="str">
        <f>HYPERLINK("https://pbs.twimg.com/profile_images/1488674331/schofer4_normal.jpg","View")</f>
        <v>View</v>
      </c>
      <c r="P3659" s="11"/>
    </row>
    <row r="3660" spans="1:16" ht="12.75" x14ac:dyDescent="0.35">
      <c r="A3660" s="7">
        <v>42482.781493055554</v>
      </c>
      <c r="B3660" s="8" t="str">
        <f>HYPERLINK("https://twitter.com/ReiseRobby","@ReiseRobby")</f>
        <v>@ReiseRobby</v>
      </c>
      <c r="C3660" s="8" t="s">
        <v>8784</v>
      </c>
      <c r="D3660" s="9" t="s">
        <v>8785</v>
      </c>
      <c r="E3660" s="10" t="str">
        <f>HYPERLINK("https://twitter.com/ReiseRobby/status/723500438381858816","723500438381858816")</f>
        <v>723500438381858816</v>
      </c>
      <c r="F3660" s="11" t="s">
        <v>43</v>
      </c>
      <c r="G3660" s="11">
        <v>1018</v>
      </c>
      <c r="H3660" s="11">
        <v>513</v>
      </c>
      <c r="I3660" s="11">
        <v>0</v>
      </c>
      <c r="J3660" s="11">
        <v>0</v>
      </c>
      <c r="K3660" s="11" t="s">
        <v>21</v>
      </c>
      <c r="L3660" s="7">
        <v>39747.161689814813</v>
      </c>
      <c r="M3660" s="12" t="s">
        <v>8786</v>
      </c>
      <c r="N3660" s="12" t="s">
        <v>8787</v>
      </c>
      <c r="O3660" s="10" t="str">
        <f>HYPERLINK("https://pbs.twimg.com/profile_images/693518966317301761/2cHFP3q4_normal.jpg","View")</f>
        <v>View</v>
      </c>
      <c r="P3660" s="11"/>
    </row>
    <row r="3661" spans="1:16" ht="12.75" x14ac:dyDescent="0.35">
      <c r="A3661" s="7">
        <v>42482.781493055554</v>
      </c>
      <c r="B3661" s="8" t="str">
        <f>HYPERLINK("https://twitter.com/VWofLaurel","@VWofLaurel")</f>
        <v>@VWofLaurel</v>
      </c>
      <c r="C3661" s="9" t="s">
        <v>2780</v>
      </c>
      <c r="D3661" s="9" t="s">
        <v>8788</v>
      </c>
      <c r="E3661" s="10" t="str">
        <f>HYPERLINK("https://twitter.com/VWofLaurel/status/723500440206356480","723500440206356480")</f>
        <v>723500440206356480</v>
      </c>
      <c r="F3661" s="11" t="s">
        <v>2782</v>
      </c>
      <c r="G3661" s="11">
        <v>9</v>
      </c>
      <c r="H3661" s="11">
        <v>12</v>
      </c>
      <c r="I3661" s="11">
        <v>0</v>
      </c>
      <c r="J3661" s="11">
        <v>0</v>
      </c>
      <c r="K3661" s="11" t="s">
        <v>21</v>
      </c>
      <c r="L3661" s="7">
        <v>42438.781643518523</v>
      </c>
      <c r="M3661" s="12" t="s">
        <v>2783</v>
      </c>
      <c r="N3661" s="12"/>
      <c r="O3661" s="10" t="str">
        <f>HYPERLINK("https://pbs.twimg.com/profile_images/707556127202881537/wxyyuNEr_normal.jpg","View")</f>
        <v>View</v>
      </c>
      <c r="P3661" s="11"/>
    </row>
    <row r="3662" spans="1:16" ht="12.75" x14ac:dyDescent="0.35">
      <c r="A3662" s="7">
        <v>42482.781585648147</v>
      </c>
      <c r="B3662" s="8" t="str">
        <f>HYPERLINK("https://twitter.com/sinnsturm","@sinnsturm")</f>
        <v>@sinnsturm</v>
      </c>
      <c r="C3662" s="9" t="s">
        <v>8789</v>
      </c>
      <c r="D3662" s="9" t="s">
        <v>8790</v>
      </c>
      <c r="E3662" s="10" t="str">
        <f>HYPERLINK("https://twitter.com/sinnsturm/status/723500472120782849","723500472120782849")</f>
        <v>723500472120782849</v>
      </c>
      <c r="F3662" s="11" t="s">
        <v>43</v>
      </c>
      <c r="G3662" s="11">
        <v>31</v>
      </c>
      <c r="H3662" s="11">
        <v>89</v>
      </c>
      <c r="I3662" s="11">
        <v>0</v>
      </c>
      <c r="J3662" s="11">
        <v>0</v>
      </c>
      <c r="K3662" s="11" t="s">
        <v>21</v>
      </c>
      <c r="L3662" s="7">
        <v>40907.70758101852</v>
      </c>
      <c r="M3662" s="12" t="s">
        <v>262</v>
      </c>
      <c r="N3662" s="12" t="s">
        <v>8791</v>
      </c>
      <c r="O3662" s="10" t="str">
        <f>HYPERLINK("https://pbs.twimg.com/profile_images/720591880484995072/AvRSABLv_normal.jpg","View")</f>
        <v>View</v>
      </c>
      <c r="P3662" s="11"/>
    </row>
    <row r="3663" spans="1:16" ht="12.75" x14ac:dyDescent="0.35">
      <c r="A3663" s="7">
        <v>42482.781597222223</v>
      </c>
      <c r="B3663" s="8" t="str">
        <f>HYPERLINK("https://twitter.com/c_garrels","@c_garrels")</f>
        <v>@c_garrels</v>
      </c>
      <c r="C3663" s="9" t="s">
        <v>2209</v>
      </c>
      <c r="D3663" s="9" t="s">
        <v>8792</v>
      </c>
      <c r="E3663" s="10" t="str">
        <f>HYPERLINK("https://twitter.com/c_garrels/status/723500477632122880","723500477632122880")</f>
        <v>723500477632122880</v>
      </c>
      <c r="F3663" s="11" t="s">
        <v>91</v>
      </c>
      <c r="G3663" s="11">
        <v>464</v>
      </c>
      <c r="H3663" s="11">
        <v>172</v>
      </c>
      <c r="I3663" s="11">
        <v>1</v>
      </c>
      <c r="J3663" s="11">
        <v>0</v>
      </c>
      <c r="K3663" s="11" t="s">
        <v>21</v>
      </c>
      <c r="L3663" s="7">
        <v>40606.75037037037</v>
      </c>
      <c r="M3663" s="12" t="s">
        <v>2211</v>
      </c>
      <c r="N3663" s="12" t="s">
        <v>2212</v>
      </c>
      <c r="O3663" s="10" t="str">
        <f>HYPERLINK("https://pbs.twimg.com/profile_images/669855217513578496/tHE9dIDO_normal.jpg","View")</f>
        <v>View</v>
      </c>
      <c r="P3663" s="11"/>
    </row>
    <row r="3664" spans="1:16" ht="12.75" x14ac:dyDescent="0.35">
      <c r="A3664" s="7">
        <v>42482.782465277778</v>
      </c>
      <c r="B3664" s="8" t="str">
        <f>HYPERLINK("https://twitter.com/agy_nes","@agy_nes")</f>
        <v>@agy_nes</v>
      </c>
      <c r="C3664" s="9" t="s">
        <v>8793</v>
      </c>
      <c r="D3664" s="9" t="s">
        <v>8794</v>
      </c>
      <c r="E3664" s="10" t="str">
        <f>HYPERLINK("https://twitter.com/agy_nes/status/723500792175534080","723500792175534080")</f>
        <v>723500792175534080</v>
      </c>
      <c r="F3664" s="11" t="s">
        <v>20</v>
      </c>
      <c r="G3664" s="11">
        <v>535</v>
      </c>
      <c r="H3664" s="11">
        <v>1018</v>
      </c>
      <c r="I3664" s="11">
        <v>0</v>
      </c>
      <c r="J3664" s="11">
        <v>0</v>
      </c>
      <c r="K3664" s="11" t="s">
        <v>21</v>
      </c>
      <c r="L3664" s="7">
        <v>39870.776435185187</v>
      </c>
      <c r="M3664" s="12" t="s">
        <v>1931</v>
      </c>
      <c r="N3664" s="12" t="s">
        <v>8795</v>
      </c>
      <c r="O3664" s="10" t="str">
        <f>HYPERLINK("https://pbs.twimg.com/profile_images/721572226600943616/rLXy7VpS_normal.jpg","View")</f>
        <v>View</v>
      </c>
      <c r="P3664" s="11"/>
    </row>
    <row r="3665" spans="1:16" ht="12.75" x14ac:dyDescent="0.35">
      <c r="A3665" s="7">
        <v>42482.782488425924</v>
      </c>
      <c r="B3665" s="8" t="str">
        <f>HYPERLINK("https://twitter.com/punjabimodern1","@punjabimodern1")</f>
        <v>@punjabimodern1</v>
      </c>
      <c r="C3665" s="9" t="s">
        <v>8796</v>
      </c>
      <c r="D3665" s="9" t="s">
        <v>8797</v>
      </c>
      <c r="E3665" s="10" t="str">
        <f>HYPERLINK("https://twitter.com/punjabimodern1/status/723500801424019457","723500801424019457")</f>
        <v>723500801424019457</v>
      </c>
      <c r="F3665" s="11" t="s">
        <v>43</v>
      </c>
      <c r="G3665" s="11">
        <v>651</v>
      </c>
      <c r="H3665" s="11">
        <v>477</v>
      </c>
      <c r="I3665" s="11">
        <v>0</v>
      </c>
      <c r="J3665" s="11">
        <v>0</v>
      </c>
      <c r="K3665" s="11" t="s">
        <v>21</v>
      </c>
      <c r="L3665" s="7">
        <v>41657.092986111107</v>
      </c>
      <c r="M3665" s="12"/>
      <c r="N3665" s="12"/>
      <c r="O3665" s="10" t="str">
        <f>HYPERLINK("https://pbs.twimg.com/profile_images/622908582086987779/PlpMXHEK_normal.jpg","View")</f>
        <v>View</v>
      </c>
      <c r="P3665" s="11"/>
    </row>
    <row r="3666" spans="1:16" ht="12.75" x14ac:dyDescent="0.35">
      <c r="A3666" s="7">
        <v>42482.782638888893</v>
      </c>
      <c r="B3666" s="8" t="str">
        <f>HYPERLINK("https://twitter.com/KatSteward_art","@KatSteward_art")</f>
        <v>@KatSteward_art</v>
      </c>
      <c r="C3666" s="9" t="s">
        <v>8798</v>
      </c>
      <c r="D3666" s="9" t="s">
        <v>8799</v>
      </c>
      <c r="E3666" s="10" t="str">
        <f>HYPERLINK("https://twitter.com/KatSteward_art/status/723500855215960064","723500855215960064")</f>
        <v>723500855215960064</v>
      </c>
      <c r="F3666" s="11" t="s">
        <v>43</v>
      </c>
      <c r="G3666" s="11">
        <v>10</v>
      </c>
      <c r="H3666" s="11">
        <v>31</v>
      </c>
      <c r="I3666" s="11">
        <v>0</v>
      </c>
      <c r="J3666" s="11">
        <v>1</v>
      </c>
      <c r="K3666" s="11" t="s">
        <v>21</v>
      </c>
      <c r="L3666" s="7">
        <v>42442.109814814816</v>
      </c>
      <c r="M3666" s="12" t="s">
        <v>8800</v>
      </c>
      <c r="N3666" s="12" t="s">
        <v>8801</v>
      </c>
      <c r="O3666" s="10" t="str">
        <f>HYPERLINK("https://pbs.twimg.com/profile_images/720722950316507140/klRcd2X9_normal.jpg","View")</f>
        <v>View</v>
      </c>
      <c r="P3666" s="11"/>
    </row>
    <row r="3667" spans="1:16" ht="12.75" x14ac:dyDescent="0.35">
      <c r="A3667" s="7">
        <v>42482.782743055555</v>
      </c>
      <c r="B3667" s="8" t="str">
        <f>HYPERLINK("https://twitter.com/blauer_loewe","@blauer_loewe")</f>
        <v>@blauer_loewe</v>
      </c>
      <c r="C3667" s="9" t="s">
        <v>8802</v>
      </c>
      <c r="D3667" s="9" t="s">
        <v>8803</v>
      </c>
      <c r="E3667" s="10" t="str">
        <f>HYPERLINK("https://twitter.com/blauer_loewe/status/723500893547712512","723500893547712512")</f>
        <v>723500893547712512</v>
      </c>
      <c r="F3667" s="11" t="s">
        <v>48</v>
      </c>
      <c r="G3667" s="11">
        <v>27</v>
      </c>
      <c r="H3667" s="11">
        <v>39</v>
      </c>
      <c r="I3667" s="11">
        <v>2</v>
      </c>
      <c r="J3667" s="11">
        <v>0</v>
      </c>
      <c r="K3667" s="11" t="s">
        <v>21</v>
      </c>
      <c r="L3667" s="7">
        <v>42379.876481481479</v>
      </c>
      <c r="M3667" s="12"/>
      <c r="N3667" s="12" t="s">
        <v>8804</v>
      </c>
      <c r="O3667" s="10" t="str">
        <f>HYPERLINK("https://pbs.twimg.com/profile_images/707292424280928256/v5Ubw9Eg_normal.jpg","View")</f>
        <v>View</v>
      </c>
      <c r="P3667" s="11"/>
    </row>
    <row r="3668" spans="1:16" ht="12.75" x14ac:dyDescent="0.35">
      <c r="A3668" s="7">
        <v>42482.782789351855</v>
      </c>
      <c r="B3668" s="8" t="str">
        <f>HYPERLINK("https://twitter.com/COURAGE_COMM","@COURAGE_COMM")</f>
        <v>@COURAGE_COMM</v>
      </c>
      <c r="C3668" s="9" t="s">
        <v>8805</v>
      </c>
      <c r="D3668" s="9" t="s">
        <v>8806</v>
      </c>
      <c r="E3668" s="10" t="str">
        <f>HYPERLINK("https://twitter.com/COURAGE_COMM/status/723500907984461824","723500907984461824")</f>
        <v>723500907984461824</v>
      </c>
      <c r="F3668" s="11" t="s">
        <v>91</v>
      </c>
      <c r="G3668" s="11">
        <v>805</v>
      </c>
      <c r="H3668" s="11">
        <v>2031</v>
      </c>
      <c r="I3668" s="11">
        <v>5</v>
      </c>
      <c r="J3668" s="11">
        <v>0</v>
      </c>
      <c r="K3668" s="11" t="s">
        <v>21</v>
      </c>
      <c r="L3668" s="7">
        <v>39952.737685185188</v>
      </c>
      <c r="M3668" s="12" t="s">
        <v>1229</v>
      </c>
      <c r="N3668" s="12" t="s">
        <v>8807</v>
      </c>
      <c r="O3668" s="10" t="str">
        <f>HYPERLINK("https://pbs.twimg.com/profile_images/1404247982/_MG_1344_normal.jpg","View")</f>
        <v>View</v>
      </c>
      <c r="P3668" s="11"/>
    </row>
    <row r="3669" spans="1:16" ht="12.75" x14ac:dyDescent="0.35">
      <c r="A3669" s="7">
        <v>42482.782800925925</v>
      </c>
      <c r="B3669" s="8" t="str">
        <f>HYPERLINK("https://twitter.com/FreeAviator","@FreeAviator")</f>
        <v>@FreeAviator</v>
      </c>
      <c r="C3669" s="9" t="s">
        <v>8808</v>
      </c>
      <c r="D3669" s="9" t="s">
        <v>8809</v>
      </c>
      <c r="E3669" s="10" t="str">
        <f>HYPERLINK("https://twitter.com/FreeAviator/status/723500913600663552","723500913600663552")</f>
        <v>723500913600663552</v>
      </c>
      <c r="F3669" s="11" t="s">
        <v>160</v>
      </c>
      <c r="G3669" s="11">
        <v>42</v>
      </c>
      <c r="H3669" s="11">
        <v>33</v>
      </c>
      <c r="I3669" s="11">
        <v>0</v>
      </c>
      <c r="J3669" s="11">
        <v>0</v>
      </c>
      <c r="K3669" s="11" t="s">
        <v>21</v>
      </c>
      <c r="L3669" s="7">
        <v>40724.154328703706</v>
      </c>
      <c r="M3669" s="12" t="s">
        <v>8810</v>
      </c>
      <c r="N3669" s="12" t="s">
        <v>8811</v>
      </c>
      <c r="O3669" s="10" t="str">
        <f>HYPERLINK("https://pbs.twimg.com/profile_images/1419994733/4E0E0FFE-C113-45F7-9CDB-8901DE8B7F4F_normal","View")</f>
        <v>View</v>
      </c>
      <c r="P3669" s="11"/>
    </row>
    <row r="3670" spans="1:16" ht="12.75" x14ac:dyDescent="0.35">
      <c r="A3670" s="7">
        <v>42482.782824074078</v>
      </c>
      <c r="B3670" s="8" t="str">
        <f>HYPERLINK("https://twitter.com/VWCamperSales","@VWCamperSales")</f>
        <v>@VWCamperSales</v>
      </c>
      <c r="C3670" s="9" t="s">
        <v>216</v>
      </c>
      <c r="D3670" s="9" t="s">
        <v>8812</v>
      </c>
      <c r="E3670" s="10" t="str">
        <f>HYPERLINK("https://twitter.com/VWCamperSales/status/723500921980768259","723500921980768259")</f>
        <v>723500921980768259</v>
      </c>
      <c r="F3670" s="10" t="s">
        <v>124</v>
      </c>
      <c r="G3670" s="11">
        <v>617</v>
      </c>
      <c r="H3670" s="11">
        <v>580</v>
      </c>
      <c r="I3670" s="11">
        <v>0</v>
      </c>
      <c r="J3670" s="11">
        <v>0</v>
      </c>
      <c r="K3670" s="11" t="s">
        <v>21</v>
      </c>
      <c r="L3670" s="7">
        <v>42215.98809027778</v>
      </c>
      <c r="M3670" s="12" t="s">
        <v>129</v>
      </c>
      <c r="N3670" s="12" t="s">
        <v>218</v>
      </c>
      <c r="O3670" s="10" t="str">
        <f>HYPERLINK("https://pbs.twimg.com/profile_images/627949001179037696/skEBkS05_normal.jpg","View")</f>
        <v>View</v>
      </c>
      <c r="P3670" s="11"/>
    </row>
    <row r="3671" spans="1:16" ht="12.75" x14ac:dyDescent="0.35">
      <c r="A3671" s="7">
        <v>42482.782858796301</v>
      </c>
      <c r="B3671" s="8" t="str">
        <f>HYPERLINK("https://twitter.com/Banane0711","@Banane0711")</f>
        <v>@Banane0711</v>
      </c>
      <c r="C3671" s="9" t="s">
        <v>8730</v>
      </c>
      <c r="D3671" s="9" t="s">
        <v>8813</v>
      </c>
      <c r="E3671" s="10" t="str">
        <f>HYPERLINK("https://twitter.com/Banane0711/status/723500936287662081","723500936287662081")</f>
        <v>723500936287662081</v>
      </c>
      <c r="F3671" s="11" t="s">
        <v>43</v>
      </c>
      <c r="G3671" s="11">
        <v>346</v>
      </c>
      <c r="H3671" s="11">
        <v>33</v>
      </c>
      <c r="I3671" s="11">
        <v>1</v>
      </c>
      <c r="J3671" s="11">
        <v>0</v>
      </c>
      <c r="K3671" s="11" t="s">
        <v>21</v>
      </c>
      <c r="L3671" s="7">
        <v>40766.10491898148</v>
      </c>
      <c r="M3671" s="12"/>
      <c r="N3671" s="12"/>
      <c r="O3671" s="10" t="str">
        <f>HYPERLINK("https://pbs.twimg.com/profile_images/1488674331/schofer4_normal.jpg","View")</f>
        <v>View</v>
      </c>
      <c r="P3671" s="11"/>
    </row>
    <row r="3672" spans="1:16" ht="12.75" x14ac:dyDescent="0.35">
      <c r="A3672" s="7">
        <v>42482.782951388886</v>
      </c>
      <c r="B3672" s="8" t="str">
        <f>HYPERLINK("https://twitter.com/buran63","@buran63")</f>
        <v>@buran63</v>
      </c>
      <c r="C3672" s="9" t="s">
        <v>5473</v>
      </c>
      <c r="D3672" s="9" t="s">
        <v>8814</v>
      </c>
      <c r="E3672" s="10" t="str">
        <f>HYPERLINK("https://twitter.com/buran63/status/723500966406963201","723500966406963201")</f>
        <v>723500966406963201</v>
      </c>
      <c r="F3672" s="11" t="s">
        <v>20</v>
      </c>
      <c r="G3672" s="11">
        <v>1191</v>
      </c>
      <c r="H3672" s="11">
        <v>887</v>
      </c>
      <c r="I3672" s="11">
        <v>1</v>
      </c>
      <c r="J3672" s="11">
        <v>0</v>
      </c>
      <c r="K3672" s="11" t="s">
        <v>21</v>
      </c>
      <c r="L3672" s="7">
        <v>40497.488715277781</v>
      </c>
      <c r="M3672" s="12" t="s">
        <v>5475</v>
      </c>
      <c r="N3672" s="12" t="s">
        <v>5476</v>
      </c>
      <c r="O3672" s="10" t="str">
        <f>HYPERLINK("https://pbs.twimg.com/profile_images/645328399834181632/rWu1bHrC_normal.jpg","View")</f>
        <v>View</v>
      </c>
      <c r="P3672" s="11"/>
    </row>
    <row r="3673" spans="1:16" ht="12.75" x14ac:dyDescent="0.35">
      <c r="A3673" s="7">
        <v>42482.78297453704</v>
      </c>
      <c r="B3673" s="8" t="str">
        <f>HYPERLINK("https://twitter.com/moinmoinsager","@moinmoinsager")</f>
        <v>@moinmoinsager</v>
      </c>
      <c r="C3673" s="9" t="s">
        <v>6878</v>
      </c>
      <c r="D3673" s="9" t="s">
        <v>8815</v>
      </c>
      <c r="E3673" s="10" t="str">
        <f>HYPERLINK("https://twitter.com/moinmoinsager/status/723500976779452416","723500976779452416")</f>
        <v>723500976779452416</v>
      </c>
      <c r="F3673" s="11" t="s">
        <v>20</v>
      </c>
      <c r="G3673" s="11">
        <v>925</v>
      </c>
      <c r="H3673" s="11">
        <v>561</v>
      </c>
      <c r="I3673" s="11">
        <v>0</v>
      </c>
      <c r="J3673" s="11">
        <v>0</v>
      </c>
      <c r="K3673" s="11" t="s">
        <v>21</v>
      </c>
      <c r="L3673" s="7">
        <v>40540.90861111111</v>
      </c>
      <c r="M3673" s="12" t="s">
        <v>6880</v>
      </c>
      <c r="N3673" s="12" t="s">
        <v>6881</v>
      </c>
      <c r="O3673" s="10" t="str">
        <f>HYPERLINK("https://pbs.twimg.com/profile_images/717944874469863425/i7wKlrn-_normal.jpg","View")</f>
        <v>View</v>
      </c>
      <c r="P3673" s="11"/>
    </row>
    <row r="3674" spans="1:16" ht="12.75" x14ac:dyDescent="0.35">
      <c r="A3674" s="7">
        <v>42482.783090277779</v>
      </c>
      <c r="B3674" s="8" t="str">
        <f>HYPERLINK("https://twitter.com/noz_de","@noz_de")</f>
        <v>@noz_de</v>
      </c>
      <c r="C3674" s="9" t="s">
        <v>2593</v>
      </c>
      <c r="D3674" s="9" t="s">
        <v>8816</v>
      </c>
      <c r="E3674" s="10" t="str">
        <f>HYPERLINK("https://twitter.com/noz_de/status/723501018462490624","723501018462490624")</f>
        <v>723501018462490624</v>
      </c>
      <c r="F3674" s="11" t="s">
        <v>63</v>
      </c>
      <c r="G3674" s="11">
        <v>11051</v>
      </c>
      <c r="H3674" s="11">
        <v>361</v>
      </c>
      <c r="I3674" s="11">
        <v>1</v>
      </c>
      <c r="J3674" s="11">
        <v>0</v>
      </c>
      <c r="K3674" s="11" t="s">
        <v>21</v>
      </c>
      <c r="L3674" s="7">
        <v>39906.609907407408</v>
      </c>
      <c r="M3674" s="12" t="s">
        <v>2595</v>
      </c>
      <c r="N3674" s="12" t="s">
        <v>2596</v>
      </c>
      <c r="O3674" s="10" t="str">
        <f>HYPERLINK("https://pbs.twimg.com/profile_images/632074137289277440/vJykSc8L_normal.png","View")</f>
        <v>View</v>
      </c>
      <c r="P3674" s="11"/>
    </row>
    <row r="3675" spans="1:16" ht="12.75" x14ac:dyDescent="0.35">
      <c r="A3675" s="7">
        <v>42482.78329861111</v>
      </c>
      <c r="B3675" s="8" t="str">
        <f>HYPERLINK("https://twitter.com/noz_el","@noz_el")</f>
        <v>@noz_el</v>
      </c>
      <c r="C3675" s="9" t="s">
        <v>2597</v>
      </c>
      <c r="D3675" s="9" t="s">
        <v>8817</v>
      </c>
      <c r="E3675" s="10" t="str">
        <f>HYPERLINK("https://twitter.com/noz_el/status/723501094538719232","723501094538719232")</f>
        <v>723501094538719232</v>
      </c>
      <c r="F3675" s="11" t="s">
        <v>63</v>
      </c>
      <c r="G3675" s="11">
        <v>1531</v>
      </c>
      <c r="H3675" s="11">
        <v>80</v>
      </c>
      <c r="I3675" s="11">
        <v>1</v>
      </c>
      <c r="J3675" s="11">
        <v>0</v>
      </c>
      <c r="K3675" s="11" t="s">
        <v>21</v>
      </c>
      <c r="L3675" s="7">
        <v>41292.907337962963</v>
      </c>
      <c r="M3675" s="12" t="s">
        <v>2595</v>
      </c>
      <c r="N3675" s="12" t="s">
        <v>2599</v>
      </c>
      <c r="O3675" s="10" t="str">
        <f>HYPERLINK("https://pbs.twimg.com/profile_images/632074492798443520/j3zHKAI2_normal.png","View")</f>
        <v>View</v>
      </c>
      <c r="P3675" s="11"/>
    </row>
    <row r="3676" spans="1:16" ht="12.75" x14ac:dyDescent="0.35">
      <c r="A3676" s="7">
        <v>42482.783391203702</v>
      </c>
      <c r="B3676" s="8" t="str">
        <f>HYPERLINK("https://twitter.com/christiansoeder","@christiansoeder")</f>
        <v>@christiansoeder</v>
      </c>
      <c r="C3676" s="9" t="s">
        <v>8818</v>
      </c>
      <c r="D3676" s="9" t="s">
        <v>8819</v>
      </c>
      <c r="E3676" s="10" t="str">
        <f>HYPERLINK("https://twitter.com/christiansoeder/status/723501128265158656","723501128265158656")</f>
        <v>723501128265158656</v>
      </c>
      <c r="F3676" s="11" t="s">
        <v>160</v>
      </c>
      <c r="G3676" s="11">
        <v>4732</v>
      </c>
      <c r="H3676" s="11">
        <v>2217</v>
      </c>
      <c r="I3676" s="11">
        <v>2</v>
      </c>
      <c r="J3676" s="11">
        <v>0</v>
      </c>
      <c r="K3676" s="11" t="s">
        <v>21</v>
      </c>
      <c r="L3676" s="7">
        <v>39631.000787037039</v>
      </c>
      <c r="M3676" s="12" t="s">
        <v>8820</v>
      </c>
      <c r="N3676" s="12" t="s">
        <v>8821</v>
      </c>
      <c r="O3676" s="10" t="str">
        <f>HYPERLINK("https://pbs.twimg.com/profile_images/721882898731765760/0lCtDwHY_normal.jpg","View")</f>
        <v>View</v>
      </c>
      <c r="P3676" s="11"/>
    </row>
    <row r="3677" spans="1:16" ht="12.75" x14ac:dyDescent="0.35">
      <c r="A3677" s="7">
        <v>42482.783402777779</v>
      </c>
      <c r="B3677" s="8" t="str">
        <f>HYPERLINK("https://twitter.com/agy_nes","@agy_nes")</f>
        <v>@agy_nes</v>
      </c>
      <c r="C3677" s="9" t="s">
        <v>8793</v>
      </c>
      <c r="D3677" s="9" t="s">
        <v>8806</v>
      </c>
      <c r="E3677" s="10" t="str">
        <f>HYPERLINK("https://twitter.com/agy_nes/status/723501133893914625","723501133893914625")</f>
        <v>723501133893914625</v>
      </c>
      <c r="F3677" s="11" t="s">
        <v>20</v>
      </c>
      <c r="G3677" s="11">
        <v>535</v>
      </c>
      <c r="H3677" s="11">
        <v>1018</v>
      </c>
      <c r="I3677" s="11">
        <v>5</v>
      </c>
      <c r="J3677" s="11">
        <v>0</v>
      </c>
      <c r="K3677" s="11" t="s">
        <v>21</v>
      </c>
      <c r="L3677" s="7">
        <v>39870.776435185187</v>
      </c>
      <c r="M3677" s="12" t="s">
        <v>1931</v>
      </c>
      <c r="N3677" s="12" t="s">
        <v>8795</v>
      </c>
      <c r="O3677" s="10" t="str">
        <f>HYPERLINK("https://pbs.twimg.com/profile_images/721572226600943616/rLXy7VpS_normal.jpg","View")</f>
        <v>View</v>
      </c>
      <c r="P3677" s="11"/>
    </row>
    <row r="3678" spans="1:16" ht="12.75" x14ac:dyDescent="0.35">
      <c r="A3678" s="7">
        <v>42482.783495370371</v>
      </c>
      <c r="B3678" s="8" t="str">
        <f>HYPERLINK("https://twitter.com/EpicAutokoulu","@EpicAutokoulu")</f>
        <v>@EpicAutokoulu</v>
      </c>
      <c r="C3678" s="9" t="s">
        <v>8822</v>
      </c>
      <c r="D3678" s="9" t="s">
        <v>8823</v>
      </c>
      <c r="E3678" s="10" t="str">
        <f>HYPERLINK("https://twitter.com/EpicAutokoulu/status/723501164315156480","723501164315156480")</f>
        <v>723501164315156480</v>
      </c>
      <c r="F3678" s="11" t="s">
        <v>114</v>
      </c>
      <c r="G3678" s="11">
        <v>127</v>
      </c>
      <c r="H3678" s="11">
        <v>21</v>
      </c>
      <c r="I3678" s="11">
        <v>0</v>
      </c>
      <c r="J3678" s="11">
        <v>0</v>
      </c>
      <c r="K3678" s="11" t="s">
        <v>21</v>
      </c>
      <c r="L3678" s="7">
        <v>41535.747083333335</v>
      </c>
      <c r="M3678" s="12" t="s">
        <v>8824</v>
      </c>
      <c r="N3678" s="12" t="s">
        <v>8825</v>
      </c>
      <c r="O3678" s="10" t="str">
        <f>HYPERLINK("https://pbs.twimg.com/profile_images/378800000473607074/5483f3ffc9d1f7f60302565a73c4eed6_normal.jpeg","View")</f>
        <v>View</v>
      </c>
      <c r="P3678" s="11"/>
    </row>
    <row r="3679" spans="1:16" ht="12.75" x14ac:dyDescent="0.35">
      <c r="A3679" s="7">
        <v>42482.783796296295</v>
      </c>
      <c r="B3679" s="8" t="str">
        <f>HYPERLINK("https://twitter.com/FPetRarca","@FPetRarca")</f>
        <v>@FPetRarca</v>
      </c>
      <c r="C3679" s="9" t="s">
        <v>8826</v>
      </c>
      <c r="D3679" s="9" t="s">
        <v>8827</v>
      </c>
      <c r="E3679" s="10" t="str">
        <f>HYPERLINK("https://twitter.com/FPetRarca/status/723501275346796544","723501275346796544")</f>
        <v>723501275346796544</v>
      </c>
      <c r="F3679" s="11" t="s">
        <v>91</v>
      </c>
      <c r="G3679" s="11">
        <v>236</v>
      </c>
      <c r="H3679" s="11">
        <v>989</v>
      </c>
      <c r="I3679" s="11">
        <v>0</v>
      </c>
      <c r="J3679" s="11">
        <v>0</v>
      </c>
      <c r="K3679" s="11" t="s">
        <v>21</v>
      </c>
      <c r="L3679" s="7">
        <v>39855.803206018521</v>
      </c>
      <c r="M3679" s="12" t="s">
        <v>8828</v>
      </c>
      <c r="N3679" s="12" t="s">
        <v>8829</v>
      </c>
      <c r="O3679" s="10" t="str">
        <f>HYPERLINK("https://pbs.twimg.com/profile_images/679169821771235328/It0FNaon_normal.jpg","View")</f>
        <v>View</v>
      </c>
      <c r="P3679" s="11"/>
    </row>
    <row r="3680" spans="1:16" ht="12.75" x14ac:dyDescent="0.35">
      <c r="A3680" s="7">
        <v>42482.784062499995</v>
      </c>
      <c r="B3680" s="8" t="str">
        <f>HYPERLINK("https://twitter.com/LarsJehne","@LarsJehne")</f>
        <v>@LarsJehne</v>
      </c>
      <c r="C3680" s="9" t="s">
        <v>8830</v>
      </c>
      <c r="D3680" s="9" t="s">
        <v>8831</v>
      </c>
      <c r="E3680" s="10" t="str">
        <f>HYPERLINK("https://twitter.com/LarsJehne/status/723501373019533312","723501373019533312")</f>
        <v>723501373019533312</v>
      </c>
      <c r="F3680" s="11" t="s">
        <v>20</v>
      </c>
      <c r="G3680" s="11">
        <v>261</v>
      </c>
      <c r="H3680" s="11">
        <v>479</v>
      </c>
      <c r="I3680" s="11">
        <v>0</v>
      </c>
      <c r="J3680" s="11">
        <v>0</v>
      </c>
      <c r="K3680" s="11" t="s">
        <v>21</v>
      </c>
      <c r="L3680" s="7">
        <v>40093.123078703706</v>
      </c>
      <c r="M3680" s="12"/>
      <c r="N3680" s="12" t="s">
        <v>8832</v>
      </c>
      <c r="O3680" s="10" t="str">
        <f>HYPERLINK("https://pbs.twimg.com/profile_images/704704527031730178/Sob6o86X_normal.jpg","View")</f>
        <v>View</v>
      </c>
      <c r="P3680" s="11"/>
    </row>
    <row r="3681" spans="1:16" ht="12.75" x14ac:dyDescent="0.35">
      <c r="A3681" s="7">
        <v>42482.784143518518</v>
      </c>
      <c r="B3681" s="8" t="str">
        <f>HYPERLINK("https://twitter.com/Yozila","@Yozila")</f>
        <v>@Yozila</v>
      </c>
      <c r="C3681" s="9" t="s">
        <v>8833</v>
      </c>
      <c r="D3681" s="9" t="s">
        <v>8834</v>
      </c>
      <c r="E3681" s="10" t="str">
        <f>HYPERLINK("https://twitter.com/Yozila/status/723501398680281089","723501398680281089")</f>
        <v>723501398680281089</v>
      </c>
      <c r="F3681" s="11" t="s">
        <v>20</v>
      </c>
      <c r="G3681" s="11">
        <v>540</v>
      </c>
      <c r="H3681" s="11">
        <v>786</v>
      </c>
      <c r="I3681" s="11">
        <v>0</v>
      </c>
      <c r="J3681" s="11">
        <v>0</v>
      </c>
      <c r="K3681" s="11" t="s">
        <v>21</v>
      </c>
      <c r="L3681" s="7">
        <v>40319.133275462962</v>
      </c>
      <c r="M3681" s="12"/>
      <c r="N3681" s="12" t="s">
        <v>8835</v>
      </c>
      <c r="O3681" s="10" t="str">
        <f>HYPERLINK("https://pbs.twimg.com/profile_images/713362877541978112/dti4Ogrm_normal.jpg","View")</f>
        <v>View</v>
      </c>
      <c r="P3681" s="11"/>
    </row>
    <row r="3682" spans="1:16" ht="12.75" x14ac:dyDescent="0.35">
      <c r="A3682" s="7">
        <v>42482.784328703703</v>
      </c>
      <c r="B3682" s="8" t="str">
        <f>HYPERLINK("https://twitter.com/mendezgaa","@mendezgaa")</f>
        <v>@mendezgaa</v>
      </c>
      <c r="C3682" s="9" t="s">
        <v>8836</v>
      </c>
      <c r="D3682" s="9" t="s">
        <v>8837</v>
      </c>
      <c r="E3682" s="10" t="str">
        <f>HYPERLINK("https://twitter.com/mendezgaa/status/723501466154074112","723501466154074112")</f>
        <v>723501466154074112</v>
      </c>
      <c r="F3682" s="11" t="s">
        <v>43</v>
      </c>
      <c r="G3682" s="11">
        <v>1173</v>
      </c>
      <c r="H3682" s="11">
        <v>274</v>
      </c>
      <c r="I3682" s="11">
        <v>0</v>
      </c>
      <c r="J3682" s="11">
        <v>0</v>
      </c>
      <c r="K3682" s="11" t="s">
        <v>21</v>
      </c>
      <c r="L3682" s="7">
        <v>40764.801574074074</v>
      </c>
      <c r="M3682" s="12" t="s">
        <v>8838</v>
      </c>
      <c r="N3682" s="12" t="s">
        <v>8839</v>
      </c>
      <c r="O3682" s="10" t="str">
        <f>HYPERLINK("https://pbs.twimg.com/profile_images/717727450768269312/zdf51rvM_normal.jpg","View")</f>
        <v>View</v>
      </c>
      <c r="P3682" s="11"/>
    </row>
    <row r="3683" spans="1:16" ht="12.75" x14ac:dyDescent="0.35">
      <c r="A3683" s="7">
        <v>42482.784409722226</v>
      </c>
      <c r="B3683" s="8" t="str">
        <f>HYPERLINK("https://twitter.com/_gnnr","@_gnnr")</f>
        <v>@_gnnr</v>
      </c>
      <c r="C3683" s="9" t="s">
        <v>8840</v>
      </c>
      <c r="D3683" s="9" t="s">
        <v>8716</v>
      </c>
      <c r="E3683" s="10" t="str">
        <f>HYPERLINK("https://twitter.com/_gnnr/status/723501496558604288","723501496558604288")</f>
        <v>723501496558604288</v>
      </c>
      <c r="F3683" s="11" t="s">
        <v>20</v>
      </c>
      <c r="G3683" s="11">
        <v>386</v>
      </c>
      <c r="H3683" s="11">
        <v>145</v>
      </c>
      <c r="I3683" s="11">
        <v>3</v>
      </c>
      <c r="J3683" s="11">
        <v>0</v>
      </c>
      <c r="K3683" s="11" t="s">
        <v>21</v>
      </c>
      <c r="L3683" s="7">
        <v>40068.64329861111</v>
      </c>
      <c r="M3683" s="12" t="s">
        <v>8841</v>
      </c>
      <c r="N3683" s="12" t="s">
        <v>8842</v>
      </c>
      <c r="O3683" s="10" t="str">
        <f>HYPERLINK("https://pbs.twimg.com/profile_images/658615068817530880/xw97hu2y_normal.jpg","View")</f>
        <v>View</v>
      </c>
      <c r="P3683" s="11"/>
    </row>
    <row r="3684" spans="1:16" ht="12.75" x14ac:dyDescent="0.35">
      <c r="A3684" s="7">
        <v>42482.784525462965</v>
      </c>
      <c r="B3684" s="8" t="str">
        <f>HYPERLINK("https://twitter.com/x3m_f","@x3m_f")</f>
        <v>@x3m_f</v>
      </c>
      <c r="C3684" s="9" t="s">
        <v>3559</v>
      </c>
      <c r="D3684" s="9" t="s">
        <v>8843</v>
      </c>
      <c r="E3684" s="10" t="str">
        <f>HYPERLINK("https://twitter.com/x3m_f/status/723501539264991232","723501539264991232")</f>
        <v>723501539264991232</v>
      </c>
      <c r="F3684" s="11" t="s">
        <v>68</v>
      </c>
      <c r="G3684" s="11">
        <v>109</v>
      </c>
      <c r="H3684" s="11">
        <v>92</v>
      </c>
      <c r="I3684" s="11">
        <v>0</v>
      </c>
      <c r="J3684" s="11">
        <v>0</v>
      </c>
      <c r="K3684" s="11" t="s">
        <v>21</v>
      </c>
      <c r="L3684" s="7">
        <v>42363.436157407406</v>
      </c>
      <c r="M3684" s="12" t="s">
        <v>3274</v>
      </c>
      <c r="N3684" s="12" t="s">
        <v>3561</v>
      </c>
      <c r="O3684" s="10" t="str">
        <f>HYPERLINK("https://pbs.twimg.com/profile_images/680251329592344576/lnXUGVBa_normal.jpg","View")</f>
        <v>View</v>
      </c>
      <c r="P3684" s="11"/>
    </row>
    <row r="3685" spans="1:16" ht="12.75" x14ac:dyDescent="0.35">
      <c r="A3685" s="7">
        <v>42482.784641203703</v>
      </c>
      <c r="B3685" s="8" t="str">
        <f>HYPERLINK("https://twitter.com/J_Marksteiner","@J_Marksteiner")</f>
        <v>@J_Marksteiner</v>
      </c>
      <c r="C3685" s="9" t="s">
        <v>8844</v>
      </c>
      <c r="D3685" s="9" t="s">
        <v>8845</v>
      </c>
      <c r="E3685" s="10" t="str">
        <f>HYPERLINK("https://twitter.com/J_Marksteiner/status/723501581988184064","723501581988184064")</f>
        <v>723501581988184064</v>
      </c>
      <c r="F3685" s="11" t="s">
        <v>43</v>
      </c>
      <c r="G3685" s="11">
        <v>394</v>
      </c>
      <c r="H3685" s="11">
        <v>221</v>
      </c>
      <c r="I3685" s="11">
        <v>0</v>
      </c>
      <c r="J3685" s="11">
        <v>0</v>
      </c>
      <c r="K3685" s="11" t="s">
        <v>21</v>
      </c>
      <c r="L3685" s="7">
        <v>41899.647129629629</v>
      </c>
      <c r="M3685" s="12" t="s">
        <v>8846</v>
      </c>
      <c r="N3685" s="12" t="s">
        <v>8847</v>
      </c>
      <c r="O3685" s="10" t="str">
        <f>HYPERLINK("https://pbs.twimg.com/profile_images/512186271926456320/s-MV33B3_normal.jpeg","View")</f>
        <v>View</v>
      </c>
      <c r="P3685" s="11"/>
    </row>
    <row r="3686" spans="1:16" ht="12.75" x14ac:dyDescent="0.35">
      <c r="A3686" s="7">
        <v>42482.784687499996</v>
      </c>
      <c r="B3686" s="8" t="str">
        <f>HYPERLINK("https://twitter.com/vwsurat","@vwsurat")</f>
        <v>@vwsurat</v>
      </c>
      <c r="C3686" s="9" t="s">
        <v>8848</v>
      </c>
      <c r="D3686" s="9" t="s">
        <v>8849</v>
      </c>
      <c r="E3686" s="10" t="str">
        <f>HYPERLINK("https://twitter.com/vwsurat/status/723501597603450886","723501597603450886")</f>
        <v>723501597603450886</v>
      </c>
      <c r="F3686" s="11" t="s">
        <v>43</v>
      </c>
      <c r="G3686" s="11">
        <v>24</v>
      </c>
      <c r="H3686" s="11">
        <v>14</v>
      </c>
      <c r="I3686" s="11">
        <v>8</v>
      </c>
      <c r="J3686" s="11">
        <v>0</v>
      </c>
      <c r="K3686" s="11" t="s">
        <v>21</v>
      </c>
      <c r="L3686" s="7">
        <v>42280.811412037037</v>
      </c>
      <c r="M3686" s="12" t="s">
        <v>8850</v>
      </c>
      <c r="N3686" s="12" t="s">
        <v>8851</v>
      </c>
      <c r="O3686" s="10" t="str">
        <f>HYPERLINK("https://pbs.twimg.com/profile_images/701785142256250881/I0BGOKBz_normal.png","View")</f>
        <v>View</v>
      </c>
      <c r="P3686" s="11"/>
    </row>
    <row r="3687" spans="1:16" ht="12.75" x14ac:dyDescent="0.35">
      <c r="A3687" s="7">
        <v>42482.784814814819</v>
      </c>
      <c r="B3687" s="8" t="str">
        <f>HYPERLINK("https://twitter.com/srfnews","@srfnews")</f>
        <v>@srfnews</v>
      </c>
      <c r="C3687" s="9" t="s">
        <v>3768</v>
      </c>
      <c r="D3687" s="9" t="s">
        <v>8852</v>
      </c>
      <c r="E3687" s="10" t="str">
        <f>HYPERLINK("https://twitter.com/srfnews/status/723501644168597505","723501644168597505")</f>
        <v>723501644168597505</v>
      </c>
      <c r="F3687" s="11" t="s">
        <v>63</v>
      </c>
      <c r="G3687" s="11">
        <v>141396</v>
      </c>
      <c r="H3687" s="11">
        <v>23</v>
      </c>
      <c r="I3687" s="11">
        <v>1</v>
      </c>
      <c r="J3687" s="11">
        <v>0</v>
      </c>
      <c r="K3687" s="11" t="s">
        <v>21</v>
      </c>
      <c r="L3687" s="7">
        <v>39786.642754629633</v>
      </c>
      <c r="M3687" s="12" t="s">
        <v>3770</v>
      </c>
      <c r="N3687" s="12" t="s">
        <v>3771</v>
      </c>
      <c r="O3687" s="10" t="str">
        <f>HYPERLINK("https://pbs.twimg.com/profile_images/471294691783098369/x9C02baa_normal.png","View")</f>
        <v>View</v>
      </c>
      <c r="P3687" s="11"/>
    </row>
    <row r="3688" spans="1:16" ht="12.75" x14ac:dyDescent="0.35">
      <c r="A3688" s="7">
        <v>42482.784826388888</v>
      </c>
      <c r="B3688" s="8" t="str">
        <f>HYPERLINK("https://twitter.com/HaufeCompliance","@HaufeCompliance")</f>
        <v>@HaufeCompliance</v>
      </c>
      <c r="C3688" s="9" t="s">
        <v>8853</v>
      </c>
      <c r="D3688" s="9" t="s">
        <v>8854</v>
      </c>
      <c r="E3688" s="10" t="str">
        <f>HYPERLINK("https://twitter.com/HaufeCompliance/status/723501649017360384","723501649017360384")</f>
        <v>723501649017360384</v>
      </c>
      <c r="F3688" s="11" t="s">
        <v>43</v>
      </c>
      <c r="G3688" s="11">
        <v>378</v>
      </c>
      <c r="H3688" s="11">
        <v>836</v>
      </c>
      <c r="I3688" s="11">
        <v>0</v>
      </c>
      <c r="J3688" s="11">
        <v>0</v>
      </c>
      <c r="K3688" s="11" t="s">
        <v>21</v>
      </c>
      <c r="L3688" s="7">
        <v>42089.584224537037</v>
      </c>
      <c r="M3688" s="12" t="s">
        <v>8160</v>
      </c>
      <c r="N3688" s="12" t="s">
        <v>8855</v>
      </c>
      <c r="O3688" s="10" t="str">
        <f>HYPERLINK("https://pbs.twimg.com/profile_images/581015958581542912/BJRJFgaZ_normal.jpg","View")</f>
        <v>View</v>
      </c>
      <c r="P3688" s="11"/>
    </row>
    <row r="3689" spans="1:16" ht="12.75" x14ac:dyDescent="0.35">
      <c r="A3689" s="7">
        <v>42482.785057870366</v>
      </c>
      <c r="B3689" s="8" t="str">
        <f>HYPERLINK("https://twitter.com/sevendirector","@sevendirector")</f>
        <v>@sevendirector</v>
      </c>
      <c r="C3689" s="9" t="s">
        <v>8856</v>
      </c>
      <c r="D3689" s="9" t="s">
        <v>8806</v>
      </c>
      <c r="E3689" s="10" t="str">
        <f>HYPERLINK("https://twitter.com/sevendirector/status/723501733176066048","723501733176066048")</f>
        <v>723501733176066048</v>
      </c>
      <c r="F3689" s="11" t="s">
        <v>43</v>
      </c>
      <c r="G3689" s="11">
        <v>188</v>
      </c>
      <c r="H3689" s="11">
        <v>441</v>
      </c>
      <c r="I3689" s="11">
        <v>5</v>
      </c>
      <c r="J3689" s="11">
        <v>0</v>
      </c>
      <c r="K3689" s="11" t="s">
        <v>21</v>
      </c>
      <c r="L3689" s="7">
        <v>40618.168981481482</v>
      </c>
      <c r="M3689" s="12" t="s">
        <v>1359</v>
      </c>
      <c r="N3689" s="12" t="s">
        <v>8857</v>
      </c>
      <c r="O3689" s="10" t="str">
        <f>HYPERLINK("https://pbs.twimg.com/profile_images/718450176856363008/EZ8X-_ZG_normal.jpg","View")</f>
        <v>View</v>
      </c>
      <c r="P3689" s="11"/>
    </row>
    <row r="3690" spans="1:16" ht="12.75" x14ac:dyDescent="0.35">
      <c r="A3690" s="7">
        <v>42482.785115740742</v>
      </c>
      <c r="B3690" s="8" t="str">
        <f>HYPERLINK("https://twitter.com/f_zenklusen","@f_zenklusen")</f>
        <v>@f_zenklusen</v>
      </c>
      <c r="C3690" s="9" t="s">
        <v>8858</v>
      </c>
      <c r="D3690" s="9" t="s">
        <v>8859</v>
      </c>
      <c r="E3690" s="10" t="str">
        <f>HYPERLINK("https://twitter.com/f_zenklusen/status/723501752377593856","723501752377593856")</f>
        <v>723501752377593856</v>
      </c>
      <c r="F3690" s="11" t="s">
        <v>20</v>
      </c>
      <c r="G3690" s="11">
        <v>346</v>
      </c>
      <c r="H3690" s="11">
        <v>582</v>
      </c>
      <c r="I3690" s="11">
        <v>1</v>
      </c>
      <c r="J3690" s="11">
        <v>0</v>
      </c>
      <c r="K3690" s="11" t="s">
        <v>21</v>
      </c>
      <c r="L3690" s="7">
        <v>41558.673148148147</v>
      </c>
      <c r="M3690" s="12" t="s">
        <v>8860</v>
      </c>
      <c r="N3690" s="12" t="s">
        <v>8861</v>
      </c>
      <c r="O3690" s="10" t="str">
        <f>HYPERLINK("https://pbs.twimg.com/profile_images/700994582859931648/J516c0KE_normal.jpg","View")</f>
        <v>View</v>
      </c>
      <c r="P3690" s="11"/>
    </row>
    <row r="3691" spans="1:16" ht="12.75" x14ac:dyDescent="0.35">
      <c r="A3691" s="7">
        <v>42482.785196759258</v>
      </c>
      <c r="B3691" s="8" t="str">
        <f>HYPERLINK("https://twitter.com/w_skowronek","@w_skowronek")</f>
        <v>@w_skowronek</v>
      </c>
      <c r="C3691" s="9" t="s">
        <v>8862</v>
      </c>
      <c r="D3691" s="9" t="s">
        <v>8863</v>
      </c>
      <c r="E3691" s="10" t="str">
        <f>HYPERLINK("https://twitter.com/w_skowronek/status/723501783478349824","723501783478349824")</f>
        <v>723501783478349824</v>
      </c>
      <c r="F3691" s="11" t="s">
        <v>20</v>
      </c>
      <c r="G3691" s="11">
        <v>149</v>
      </c>
      <c r="H3691" s="11">
        <v>325</v>
      </c>
      <c r="I3691" s="11">
        <v>0</v>
      </c>
      <c r="J3691" s="11">
        <v>0</v>
      </c>
      <c r="K3691" s="11" t="s">
        <v>21</v>
      </c>
      <c r="L3691" s="7">
        <v>40548.023680555554</v>
      </c>
      <c r="M3691" s="12" t="s">
        <v>8864</v>
      </c>
      <c r="N3691" s="12"/>
      <c r="O3691" s="10" t="str">
        <f>HYPERLINK("https://pbs.twimg.com/profile_images/1250773130/sko_normal.JPG","View")</f>
        <v>View</v>
      </c>
      <c r="P3691" s="11"/>
    </row>
    <row r="3692" spans="1:16" ht="12.75" x14ac:dyDescent="0.35">
      <c r="A3692" s="7">
        <v>42482.785208333335</v>
      </c>
      <c r="B3692" s="8" t="str">
        <f>HYPERLINK("https://twitter.com/doberah","@doberah")</f>
        <v>@doberah</v>
      </c>
      <c r="C3692" s="9" t="s">
        <v>8865</v>
      </c>
      <c r="D3692" s="9" t="s">
        <v>8866</v>
      </c>
      <c r="E3692" s="10" t="str">
        <f>HYPERLINK("https://twitter.com/doberah/status/723501788024938496","723501788024938496")</f>
        <v>723501788024938496</v>
      </c>
      <c r="F3692" s="11" t="s">
        <v>43</v>
      </c>
      <c r="G3692" s="11">
        <v>3989</v>
      </c>
      <c r="H3692" s="11">
        <v>1600</v>
      </c>
      <c r="I3692" s="11">
        <v>0</v>
      </c>
      <c r="J3692" s="11">
        <v>0</v>
      </c>
      <c r="K3692" s="11" t="s">
        <v>21</v>
      </c>
      <c r="L3692" s="7">
        <v>40510.82199074074</v>
      </c>
      <c r="M3692" s="12" t="s">
        <v>1359</v>
      </c>
      <c r="N3692" s="12" t="s">
        <v>8867</v>
      </c>
      <c r="O3692" s="10" t="str">
        <f>HYPERLINK("https://pbs.twimg.com/profile_images/474509889616633857/lbaEbBr8_normal.jpeg","View")</f>
        <v>View</v>
      </c>
      <c r="P3692" s="11"/>
    </row>
    <row r="3693" spans="1:16" ht="12.75" x14ac:dyDescent="0.35">
      <c r="A3693" s="7">
        <v>42482.78524305555</v>
      </c>
      <c r="B3693" s="8" t="str">
        <f>HYPERLINK("https://twitter.com/pgeorgol","@pgeorgol")</f>
        <v>@pgeorgol</v>
      </c>
      <c r="C3693" s="9" t="s">
        <v>5109</v>
      </c>
      <c r="D3693" s="9" t="s">
        <v>8868</v>
      </c>
      <c r="E3693" s="10" t="str">
        <f>HYPERLINK("https://twitter.com/pgeorgol/status/723501799110533121","723501799110533121")</f>
        <v>723501799110533121</v>
      </c>
      <c r="F3693" s="11" t="s">
        <v>5111</v>
      </c>
      <c r="G3693" s="11">
        <v>9858</v>
      </c>
      <c r="H3693" s="11">
        <v>94</v>
      </c>
      <c r="I3693" s="11">
        <v>0</v>
      </c>
      <c r="J3693" s="11">
        <v>0</v>
      </c>
      <c r="K3693" s="11" t="s">
        <v>21</v>
      </c>
      <c r="L3693" s="7">
        <v>40189.694918981484</v>
      </c>
      <c r="M3693" s="12" t="s">
        <v>4352</v>
      </c>
      <c r="N3693" s="12"/>
      <c r="O3693" s="10" t="str">
        <f>HYPERLINK("https://pbs.twimg.com/profile_images/671891352/pgeorgol_normal.jpg","View")</f>
        <v>View</v>
      </c>
      <c r="P3693" s="11"/>
    </row>
    <row r="3694" spans="1:16" ht="12.75" x14ac:dyDescent="0.35">
      <c r="A3694" s="7">
        <v>42482.785277777773</v>
      </c>
      <c r="B3694" s="8" t="str">
        <f>HYPERLINK("https://twitter.com/Boersenradar","@Boersenradar")</f>
        <v>@Boersenradar</v>
      </c>
      <c r="C3694" s="9" t="s">
        <v>4727</v>
      </c>
      <c r="D3694" s="9" t="s">
        <v>8869</v>
      </c>
      <c r="E3694" s="10" t="str">
        <f>HYPERLINK("https://twitter.com/Boersenradar/status/723501811483680768","723501811483680768")</f>
        <v>723501811483680768</v>
      </c>
      <c r="F3694" s="11" t="s">
        <v>43</v>
      </c>
      <c r="G3694" s="11">
        <v>2815</v>
      </c>
      <c r="H3694" s="11">
        <v>523</v>
      </c>
      <c r="I3694" s="11">
        <v>0</v>
      </c>
      <c r="J3694" s="11">
        <v>0</v>
      </c>
      <c r="K3694" s="11" t="s">
        <v>21</v>
      </c>
      <c r="L3694" s="7">
        <v>39919.758796296301</v>
      </c>
      <c r="M3694" s="12" t="s">
        <v>4729</v>
      </c>
      <c r="N3694" s="12" t="s">
        <v>4730</v>
      </c>
      <c r="O3694" s="10" t="str">
        <f>HYPERLINK("https://pbs.twimg.com/profile_images/648862182936047616/p6o1BlmC_normal.jpg","View")</f>
        <v>View</v>
      </c>
      <c r="P3694" s="11"/>
    </row>
    <row r="3695" spans="1:16" ht="12.75" x14ac:dyDescent="0.35">
      <c r="A3695" s="7">
        <v>42482.785312499997</v>
      </c>
      <c r="B3695" s="8" t="str">
        <f>HYPERLINK("https://twitter.com/katjalosch","@katjalosch")</f>
        <v>@katjalosch</v>
      </c>
      <c r="C3695" s="9" t="s">
        <v>8138</v>
      </c>
      <c r="D3695" s="9" t="s">
        <v>8870</v>
      </c>
      <c r="E3695" s="10" t="str">
        <f>HYPERLINK("https://twitter.com/katjalosch/status/723501823261331456","723501823261331456")</f>
        <v>723501823261331456</v>
      </c>
      <c r="F3695" s="11" t="s">
        <v>43</v>
      </c>
      <c r="G3695" s="11">
        <v>314</v>
      </c>
      <c r="H3695" s="11">
        <v>131</v>
      </c>
      <c r="I3695" s="11">
        <v>1</v>
      </c>
      <c r="J3695" s="11">
        <v>0</v>
      </c>
      <c r="K3695" s="11" t="s">
        <v>21</v>
      </c>
      <c r="L3695" s="7">
        <v>40755.120879629627</v>
      </c>
      <c r="M3695" s="12" t="s">
        <v>1359</v>
      </c>
      <c r="N3695" s="12" t="s">
        <v>8140</v>
      </c>
      <c r="O3695" s="10" t="str">
        <f>HYPERLINK("https://pbs.twimg.com/profile_images/425236817864974336/C2f777A1_normal.jpeg","View")</f>
        <v>View</v>
      </c>
      <c r="P3695" s="11"/>
    </row>
    <row r="3696" spans="1:16" ht="12.75" x14ac:dyDescent="0.35">
      <c r="A3696" s="7">
        <v>42482.785405092596</v>
      </c>
      <c r="B3696" s="8" t="str">
        <f>HYPERLINK("https://twitter.com/OXMarkets","@OXMarkets")</f>
        <v>@OXMarkets</v>
      </c>
      <c r="C3696" s="9" t="s">
        <v>8871</v>
      </c>
      <c r="D3696" s="9" t="s">
        <v>8872</v>
      </c>
      <c r="E3696" s="10" t="str">
        <f>HYPERLINK("https://twitter.com/OXMarkets/status/723501857885159425","723501857885159425")</f>
        <v>723501857885159425</v>
      </c>
      <c r="F3696" s="11" t="s">
        <v>43</v>
      </c>
      <c r="G3696" s="11">
        <v>5239</v>
      </c>
      <c r="H3696" s="11">
        <v>890</v>
      </c>
      <c r="I3696" s="11">
        <v>0</v>
      </c>
      <c r="J3696" s="11">
        <v>2</v>
      </c>
      <c r="K3696" s="11" t="s">
        <v>21</v>
      </c>
      <c r="L3696" s="7">
        <v>42138.539675925931</v>
      </c>
      <c r="M3696" s="12" t="s">
        <v>8873</v>
      </c>
      <c r="N3696" s="12" t="s">
        <v>8874</v>
      </c>
      <c r="O3696" s="10" t="str">
        <f>HYPERLINK("https://pbs.twimg.com/profile_images/689411033224478720/kbqGJ8wA_normal.jpg","View")</f>
        <v>View</v>
      </c>
      <c r="P3696" s="11"/>
    </row>
    <row r="3697" spans="1:16" ht="12.75" x14ac:dyDescent="0.35">
      <c r="A3697" s="7">
        <v>42482.785416666666</v>
      </c>
      <c r="B3697" s="8" t="str">
        <f>HYPERLINK("https://twitter.com/DasIgno","@DasIgno")</f>
        <v>@DasIgno</v>
      </c>
      <c r="C3697" s="9" t="s">
        <v>8875</v>
      </c>
      <c r="D3697" s="9" t="s">
        <v>8876</v>
      </c>
      <c r="E3697" s="10" t="str">
        <f>HYPERLINK("https://twitter.com/DasIgno/status/723501861974757377","723501861974757377")</f>
        <v>723501861974757377</v>
      </c>
      <c r="F3697" s="11" t="s">
        <v>8877</v>
      </c>
      <c r="G3697" s="11">
        <v>114</v>
      </c>
      <c r="H3697" s="11">
        <v>92</v>
      </c>
      <c r="I3697" s="11">
        <v>0</v>
      </c>
      <c r="J3697" s="11">
        <v>0</v>
      </c>
      <c r="K3697" s="11" t="s">
        <v>21</v>
      </c>
      <c r="L3697" s="7">
        <v>39518.215983796297</v>
      </c>
      <c r="M3697" s="12" t="s">
        <v>8878</v>
      </c>
      <c r="N3697" s="12" t="s">
        <v>8879</v>
      </c>
      <c r="O3697" s="10" t="str">
        <f>HYPERLINK("https://pbs.twimg.com/profile_images/391507743/avatar-twitter_normal.jpg","View")</f>
        <v>View</v>
      </c>
      <c r="P3697" s="11"/>
    </row>
    <row r="3698" spans="1:16" ht="12.75" x14ac:dyDescent="0.35">
      <c r="A3698" s="7">
        <v>42482.785486111112</v>
      </c>
      <c r="B3698" s="8" t="str">
        <f>HYPERLINK("https://twitter.com/RippedFlower","@RippedFlower")</f>
        <v>@RippedFlower</v>
      </c>
      <c r="C3698" s="9" t="s">
        <v>8880</v>
      </c>
      <c r="D3698" s="9" t="s">
        <v>8881</v>
      </c>
      <c r="E3698" s="10" t="str">
        <f>HYPERLINK("https://twitter.com/RippedFlower/status/723501884863045632","723501884863045632")</f>
        <v>723501884863045632</v>
      </c>
      <c r="F3698" s="11" t="s">
        <v>43</v>
      </c>
      <c r="G3698" s="11">
        <v>1530</v>
      </c>
      <c r="H3698" s="11">
        <v>1842</v>
      </c>
      <c r="I3698" s="11">
        <v>0</v>
      </c>
      <c r="J3698" s="11">
        <v>0</v>
      </c>
      <c r="K3698" s="11" t="s">
        <v>21</v>
      </c>
      <c r="L3698" s="7">
        <v>40480.450509259259</v>
      </c>
      <c r="M3698" s="12" t="s">
        <v>8882</v>
      </c>
      <c r="N3698" s="12" t="s">
        <v>8883</v>
      </c>
      <c r="O3698" s="10" t="str">
        <f>HYPERLINK("https://pbs.twimg.com/profile_images/505852375911780352/2-ZN7ue2_normal.jpeg","View")</f>
        <v>View</v>
      </c>
      <c r="P3698" s="11"/>
    </row>
    <row r="3699" spans="1:16" ht="12.75" x14ac:dyDescent="0.35">
      <c r="A3699" s="7">
        <v>42482.785625000004</v>
      </c>
      <c r="B3699" s="8" t="str">
        <f>HYPERLINK("https://twitter.com/HansTheGerman","@HansTheGerman")</f>
        <v>@HansTheGerman</v>
      </c>
      <c r="C3699" s="9" t="s">
        <v>4330</v>
      </c>
      <c r="D3699" s="9" t="s">
        <v>8884</v>
      </c>
      <c r="E3699" s="10" t="str">
        <f>HYPERLINK("https://twitter.com/HansTheGerman/status/723501936830492672","723501936830492672")</f>
        <v>723501936830492672</v>
      </c>
      <c r="F3699" s="11" t="s">
        <v>43</v>
      </c>
      <c r="G3699" s="11">
        <v>311</v>
      </c>
      <c r="H3699" s="11">
        <v>764</v>
      </c>
      <c r="I3699" s="11">
        <v>0</v>
      </c>
      <c r="J3699" s="11">
        <v>0</v>
      </c>
      <c r="K3699" s="11" t="s">
        <v>21</v>
      </c>
      <c r="L3699" s="7">
        <v>39950.572777777779</v>
      </c>
      <c r="M3699" s="12" t="s">
        <v>1116</v>
      </c>
      <c r="N3699" s="12" t="s">
        <v>4332</v>
      </c>
      <c r="O3699" s="10" t="str">
        <f>HYPERLINK("https://pbs.twimg.com/profile_images/3012106875/596e712c99a38ec69b925b7f7ab71986_normal.jpeg","View")</f>
        <v>View</v>
      </c>
      <c r="P3699" s="11"/>
    </row>
    <row r="3700" spans="1:16" ht="12.75" x14ac:dyDescent="0.35">
      <c r="A3700" s="7">
        <v>42482.785648148143</v>
      </c>
      <c r="B3700" s="8" t="str">
        <f>HYPERLINK("https://twitter.com/GoldenAgerDe","@GoldenAgerDe")</f>
        <v>@GoldenAgerDe</v>
      </c>
      <c r="C3700" s="9" t="s">
        <v>8885</v>
      </c>
      <c r="D3700" s="9" t="s">
        <v>8886</v>
      </c>
      <c r="E3700" s="10" t="str">
        <f>HYPERLINK("https://twitter.com/GoldenAgerDe/status/723501946829713408","723501946829713408")</f>
        <v>723501946829713408</v>
      </c>
      <c r="F3700" s="11" t="s">
        <v>43</v>
      </c>
      <c r="G3700" s="11">
        <v>67</v>
      </c>
      <c r="H3700" s="11">
        <v>1031</v>
      </c>
      <c r="I3700" s="11">
        <v>8</v>
      </c>
      <c r="J3700" s="11">
        <v>0</v>
      </c>
      <c r="K3700" s="11" t="s">
        <v>21</v>
      </c>
      <c r="L3700" s="7">
        <v>42473.097326388888</v>
      </c>
      <c r="M3700" s="12"/>
      <c r="N3700" s="12"/>
      <c r="O3700" s="10" t="str">
        <f>HYPERLINK("https://pbs.twimg.com/profile_images/719999071474335747/GgbjQsJA_normal.jpg","View")</f>
        <v>View</v>
      </c>
      <c r="P3700" s="11"/>
    </row>
    <row r="3701" spans="1:16" ht="12.75" x14ac:dyDescent="0.35">
      <c r="A3701" s="7">
        <v>42482.785694444443</v>
      </c>
      <c r="B3701" s="8" t="str">
        <f>HYPERLINK("https://twitter.com/PeteArmstrong","@PeteArmstrong")</f>
        <v>@PeteArmstrong</v>
      </c>
      <c r="C3701" s="9" t="s">
        <v>8887</v>
      </c>
      <c r="D3701" s="9" t="s">
        <v>8888</v>
      </c>
      <c r="E3701" s="10" t="str">
        <f>HYPERLINK("https://twitter.com/PeteArmstrong/status/723501963665502210","723501963665502210")</f>
        <v>723501963665502210</v>
      </c>
      <c r="F3701" s="11" t="s">
        <v>243</v>
      </c>
      <c r="G3701" s="11">
        <v>215</v>
      </c>
      <c r="H3701" s="11">
        <v>165</v>
      </c>
      <c r="I3701" s="11">
        <v>1</v>
      </c>
      <c r="J3701" s="11">
        <v>0</v>
      </c>
      <c r="K3701" s="11" t="s">
        <v>21</v>
      </c>
      <c r="L3701" s="7">
        <v>42095.556631944448</v>
      </c>
      <c r="M3701" s="12"/>
      <c r="N3701" s="12" t="s">
        <v>8889</v>
      </c>
      <c r="O3701" s="10" t="str">
        <f>HYPERLINK("https://pbs.twimg.com/profile_images/660843741750530049/ycQdQy-N_normal.jpg","View")</f>
        <v>View</v>
      </c>
      <c r="P3701" s="11"/>
    </row>
    <row r="3702" spans="1:16" ht="12.75" x14ac:dyDescent="0.35">
      <c r="A3702" s="7">
        <v>42482.78570601852</v>
      </c>
      <c r="B3702" s="8" t="str">
        <f>HYPERLINK("https://twitter.com/doern","@doern")</f>
        <v>@doern</v>
      </c>
      <c r="C3702" s="9" t="s">
        <v>3107</v>
      </c>
      <c r="D3702" s="9" t="s">
        <v>8890</v>
      </c>
      <c r="E3702" s="10" t="str">
        <f>HYPERLINK("https://twitter.com/doern/status/723501966542909440","723501966542909440")</f>
        <v>723501966542909440</v>
      </c>
      <c r="F3702" s="11" t="s">
        <v>20</v>
      </c>
      <c r="G3702" s="11">
        <v>364</v>
      </c>
      <c r="H3702" s="11">
        <v>63</v>
      </c>
      <c r="I3702" s="11">
        <v>0</v>
      </c>
      <c r="J3702" s="11">
        <v>0</v>
      </c>
      <c r="K3702" s="11" t="s">
        <v>21</v>
      </c>
      <c r="L3702" s="7">
        <v>39909.663194444445</v>
      </c>
      <c r="M3702" s="12" t="s">
        <v>262</v>
      </c>
      <c r="N3702" s="12" t="s">
        <v>3109</v>
      </c>
      <c r="O3702" s="10" t="str">
        <f>HYPERLINK("https://pbs.twimg.com/profile_images/657853466384191488/J6vAnfZr_normal.jpg","View")</f>
        <v>View</v>
      </c>
      <c r="P3702" s="11"/>
    </row>
    <row r="3703" spans="1:16" ht="12.75" x14ac:dyDescent="0.35">
      <c r="A3703" s="7">
        <v>42482.785868055551</v>
      </c>
      <c r="B3703" s="8" t="str">
        <f>HYPERLINK("https://twitter.com/KziaSabino","@KziaSabino")</f>
        <v>@KziaSabino</v>
      </c>
      <c r="C3703" s="9" t="s">
        <v>8891</v>
      </c>
      <c r="D3703" s="9" t="s">
        <v>8892</v>
      </c>
      <c r="E3703" s="10" t="str">
        <f>HYPERLINK("https://twitter.com/KziaSabino/status/723502024780816384","723502024780816384")</f>
        <v>723502024780816384</v>
      </c>
      <c r="F3703" s="11" t="s">
        <v>48</v>
      </c>
      <c r="G3703" s="11">
        <v>28</v>
      </c>
      <c r="H3703" s="11">
        <v>101</v>
      </c>
      <c r="I3703" s="11">
        <v>0</v>
      </c>
      <c r="J3703" s="11">
        <v>0</v>
      </c>
      <c r="K3703" s="11" t="s">
        <v>21</v>
      </c>
      <c r="L3703" s="7">
        <v>41525.955671296295</v>
      </c>
      <c r="M3703" s="12" t="s">
        <v>8893</v>
      </c>
      <c r="N3703" s="12" t="s">
        <v>8894</v>
      </c>
      <c r="O3703" s="10" t="str">
        <f>HYPERLINK("https://pbs.twimg.com/profile_images/723116935605542912/YpMAUGCv_normal.jpg","View")</f>
        <v>View</v>
      </c>
      <c r="P3703" s="11"/>
    </row>
    <row r="3704" spans="1:16" ht="12.75" x14ac:dyDescent="0.35">
      <c r="A3704" s="7">
        <v>42482.785891203705</v>
      </c>
      <c r="B3704" s="8" t="str">
        <f>HYPERLINK("https://twitter.com/LupusLotarius","@LupusLotarius")</f>
        <v>@LupusLotarius</v>
      </c>
      <c r="C3704" s="9" t="s">
        <v>8895</v>
      </c>
      <c r="D3704" s="9" t="s">
        <v>8886</v>
      </c>
      <c r="E3704" s="10" t="str">
        <f>HYPERLINK("https://twitter.com/LupusLotarius/status/723502034746380288","723502034746380288")</f>
        <v>723502034746380288</v>
      </c>
      <c r="F3704" s="10" t="s">
        <v>124</v>
      </c>
      <c r="G3704" s="11">
        <v>4218</v>
      </c>
      <c r="H3704" s="11">
        <v>1390</v>
      </c>
      <c r="I3704" s="11">
        <v>8</v>
      </c>
      <c r="J3704" s="11">
        <v>0</v>
      </c>
      <c r="K3704" s="11" t="s">
        <v>21</v>
      </c>
      <c r="L3704" s="7">
        <v>41651.193784722222</v>
      </c>
      <c r="M3704" s="12"/>
      <c r="N3704" s="12" t="s">
        <v>8896</v>
      </c>
      <c r="O3704" s="10" t="str">
        <f>HYPERLINK("https://pbs.twimg.com/profile_images/713093865125888000/4e7LoTjO_normal.jpg","View")</f>
        <v>View</v>
      </c>
      <c r="P3704" s="11"/>
    </row>
    <row r="3705" spans="1:16" ht="12.75" x14ac:dyDescent="0.35">
      <c r="A3705" s="7">
        <v>42482.785891203705</v>
      </c>
      <c r="B3705" s="8" t="str">
        <f>HYPERLINK("https://twitter.com/BoersenDE","@BoersenDE")</f>
        <v>@BoersenDE</v>
      </c>
      <c r="C3705" s="9" t="s">
        <v>8897</v>
      </c>
      <c r="D3705" s="9" t="s">
        <v>8886</v>
      </c>
      <c r="E3705" s="10" t="str">
        <f>HYPERLINK("https://twitter.com/BoersenDE/status/723502034842841090","723502034842841090")</f>
        <v>723502034842841090</v>
      </c>
      <c r="F3705" s="10" t="s">
        <v>124</v>
      </c>
      <c r="G3705" s="11">
        <v>2116</v>
      </c>
      <c r="H3705" s="11">
        <v>86</v>
      </c>
      <c r="I3705" s="11">
        <v>8</v>
      </c>
      <c r="J3705" s="11">
        <v>0</v>
      </c>
      <c r="K3705" s="11" t="s">
        <v>21</v>
      </c>
      <c r="L3705" s="7">
        <v>40416.933009259257</v>
      </c>
      <c r="M3705" s="12" t="s">
        <v>8898</v>
      </c>
      <c r="N3705" s="12" t="s">
        <v>8899</v>
      </c>
      <c r="O3705" s="10" t="str">
        <f>HYPERLINK("https://pbs.twimg.com/profile_images/2666244260/d6d9049abbaccec91bf56e27e933d7ba_normal.png","View")</f>
        <v>View</v>
      </c>
      <c r="P3705" s="11"/>
    </row>
    <row r="3706" spans="1:16" ht="12.75" x14ac:dyDescent="0.35">
      <c r="A3706" s="7">
        <v>42482.785937499997</v>
      </c>
      <c r="B3706" s="8" t="str">
        <f>HYPERLINK("https://twitter.com/ArmVonSchuften","@ArmVonSchuften")</f>
        <v>@ArmVonSchuften</v>
      </c>
      <c r="C3706" s="9" t="s">
        <v>8900</v>
      </c>
      <c r="D3706" s="9" t="s">
        <v>8901</v>
      </c>
      <c r="E3706" s="10" t="str">
        <f>HYPERLINK("https://twitter.com/ArmVonSchuften/status/723502049619529728","723502049619529728")</f>
        <v>723502049619529728</v>
      </c>
      <c r="F3706" s="11" t="s">
        <v>48</v>
      </c>
      <c r="G3706" s="11">
        <v>21</v>
      </c>
      <c r="H3706" s="11">
        <v>38</v>
      </c>
      <c r="I3706" s="11">
        <v>0</v>
      </c>
      <c r="J3706" s="11">
        <v>1</v>
      </c>
      <c r="K3706" s="11" t="s">
        <v>21</v>
      </c>
      <c r="L3706" s="7">
        <v>42451.690208333333</v>
      </c>
      <c r="M3706" s="12" t="s">
        <v>8902</v>
      </c>
      <c r="N3706" s="12" t="s">
        <v>8903</v>
      </c>
      <c r="O3706" s="10" t="str">
        <f>HYPERLINK("https://pbs.twimg.com/profile_images/712234572554113025/nx7k624i_normal.jpg","View")</f>
        <v>View</v>
      </c>
      <c r="P3706" s="11"/>
    </row>
    <row r="3707" spans="1:16" ht="12.75" x14ac:dyDescent="0.35">
      <c r="A3707" s="7">
        <v>42482.785995370374</v>
      </c>
      <c r="B3707" s="8" t="str">
        <f>HYPERLINK("https://twitter.com/PParzival","@PParzival")</f>
        <v>@PParzival</v>
      </c>
      <c r="C3707" s="9" t="s">
        <v>8904</v>
      </c>
      <c r="D3707" s="9" t="s">
        <v>8905</v>
      </c>
      <c r="E3707" s="10" t="str">
        <f>HYPERLINK("https://twitter.com/PParzival/status/723502069689290753","723502069689290753")</f>
        <v>723502069689290753</v>
      </c>
      <c r="F3707" s="11" t="s">
        <v>48</v>
      </c>
      <c r="G3707" s="11">
        <v>2438</v>
      </c>
      <c r="H3707" s="11">
        <v>2588</v>
      </c>
      <c r="I3707" s="11">
        <v>1</v>
      </c>
      <c r="J3707" s="11">
        <v>0</v>
      </c>
      <c r="K3707" s="11" t="s">
        <v>21</v>
      </c>
      <c r="L3707" s="7">
        <v>40999.112256944441</v>
      </c>
      <c r="M3707" s="12" t="s">
        <v>1359</v>
      </c>
      <c r="N3707" s="12" t="s">
        <v>8906</v>
      </c>
      <c r="O3707" s="10" t="str">
        <f>HYPERLINK("https://pbs.twimg.com/profile_images/714175065244434432/wbro3GNX_normal.jpg","View")</f>
        <v>View</v>
      </c>
      <c r="P3707" s="11"/>
    </row>
    <row r="3708" spans="1:16" ht="12.75" x14ac:dyDescent="0.35">
      <c r="A3708" s="7">
        <v>42482.786122685182</v>
      </c>
      <c r="B3708" s="8" t="str">
        <f>HYPERLINK("https://twitter.com/BestAgerDe","@BestAgerDe")</f>
        <v>@BestAgerDe</v>
      </c>
      <c r="C3708" s="9" t="s">
        <v>8907</v>
      </c>
      <c r="D3708" s="9" t="s">
        <v>8886</v>
      </c>
      <c r="E3708" s="10" t="str">
        <f>HYPERLINK("https://twitter.com/BestAgerDe/status/723502115948249088","723502115948249088")</f>
        <v>723502115948249088</v>
      </c>
      <c r="F3708" s="11" t="s">
        <v>43</v>
      </c>
      <c r="G3708" s="11">
        <v>1498</v>
      </c>
      <c r="H3708" s="11">
        <v>2651</v>
      </c>
      <c r="I3708" s="11">
        <v>8</v>
      </c>
      <c r="J3708" s="11">
        <v>0</v>
      </c>
      <c r="K3708" s="11" t="s">
        <v>21</v>
      </c>
      <c r="L3708" s="7">
        <v>42417.775717592594</v>
      </c>
      <c r="M3708" s="12" t="s">
        <v>262</v>
      </c>
      <c r="N3708" s="12" t="s">
        <v>8908</v>
      </c>
      <c r="O3708" s="10" t="str">
        <f>HYPERLINK("https://pbs.twimg.com/profile_images/699951405545684992/q09s7GrZ_normal.png","View")</f>
        <v>View</v>
      </c>
      <c r="P3708" s="11"/>
    </row>
    <row r="3709" spans="1:16" ht="12.75" x14ac:dyDescent="0.35">
      <c r="A3709" s="7">
        <v>42482.786226851851</v>
      </c>
      <c r="B3709" s="8" t="str">
        <f>HYPERLINK("https://twitter.com/WirtschaftDE","@WirtschaftDE")</f>
        <v>@WirtschaftDE</v>
      </c>
      <c r="C3709" s="9" t="s">
        <v>8909</v>
      </c>
      <c r="D3709" s="9" t="s">
        <v>8886</v>
      </c>
      <c r="E3709" s="10" t="str">
        <f>HYPERLINK("https://twitter.com/WirtschaftDE/status/723502154808315905","723502154808315905")</f>
        <v>723502154808315905</v>
      </c>
      <c r="F3709" s="10" t="s">
        <v>124</v>
      </c>
      <c r="G3709" s="11">
        <v>2611</v>
      </c>
      <c r="H3709" s="11">
        <v>267</v>
      </c>
      <c r="I3709" s="11">
        <v>8</v>
      </c>
      <c r="J3709" s="11">
        <v>0</v>
      </c>
      <c r="K3709" s="11" t="s">
        <v>21</v>
      </c>
      <c r="L3709" s="7">
        <v>40445.708923611113</v>
      </c>
      <c r="M3709" s="12" t="s">
        <v>5307</v>
      </c>
      <c r="N3709" s="12" t="s">
        <v>8910</v>
      </c>
      <c r="O3709" s="10" t="str">
        <f>HYPERLINK("https://pbs.twimg.com/profile_images/2666156173/1dc1dfd9105a77b870914368c039ba9e_normal.png","View")</f>
        <v>View</v>
      </c>
      <c r="P3709" s="11"/>
    </row>
    <row r="3710" spans="1:16" ht="12.75" x14ac:dyDescent="0.35">
      <c r="A3710" s="7">
        <v>42482.786250000005</v>
      </c>
      <c r="B3710" s="8" t="str">
        <f>HYPERLINK("https://twitter.com/SuncoastVW","@SuncoastVW")</f>
        <v>@SuncoastVW</v>
      </c>
      <c r="C3710" s="9" t="s">
        <v>3386</v>
      </c>
      <c r="D3710" s="9" t="s">
        <v>8911</v>
      </c>
      <c r="E3710" s="10" t="str">
        <f>HYPERLINK("https://twitter.com/SuncoastVW/status/723502162743939072","723502162743939072")</f>
        <v>723502162743939072</v>
      </c>
      <c r="F3710" s="11" t="s">
        <v>53</v>
      </c>
      <c r="G3710" s="11">
        <v>1827</v>
      </c>
      <c r="H3710" s="11">
        <v>60</v>
      </c>
      <c r="I3710" s="11">
        <v>0</v>
      </c>
      <c r="J3710" s="11">
        <v>0</v>
      </c>
      <c r="K3710" s="11" t="s">
        <v>21</v>
      </c>
      <c r="L3710" s="7">
        <v>41484.865173611113</v>
      </c>
      <c r="M3710" s="12" t="s">
        <v>3388</v>
      </c>
      <c r="N3710" s="12" t="s">
        <v>3389</v>
      </c>
      <c r="O3710" s="10" t="str">
        <f>HYPERLINK("https://pbs.twimg.com/profile_images/689488184812535809/4owRuclt_normal.png","View")</f>
        <v>View</v>
      </c>
      <c r="P3710" s="11"/>
    </row>
    <row r="3711" spans="1:16" ht="12.75" x14ac:dyDescent="0.35">
      <c r="A3711" s="7">
        <v>42482.786597222221</v>
      </c>
      <c r="B3711" s="8" t="str">
        <f>HYPERLINK("https://twitter.com/connection92","@connection92")</f>
        <v>@connection92</v>
      </c>
      <c r="C3711" s="9" t="s">
        <v>8912</v>
      </c>
      <c r="D3711" s="9" t="s">
        <v>8913</v>
      </c>
      <c r="E3711" s="10" t="str">
        <f>HYPERLINK("https://twitter.com/connection92/status/723502289386876928","723502289386876928")</f>
        <v>723502289386876928</v>
      </c>
      <c r="F3711" s="11" t="s">
        <v>43</v>
      </c>
      <c r="G3711" s="11">
        <v>12</v>
      </c>
      <c r="H3711" s="11">
        <v>49</v>
      </c>
      <c r="I3711" s="11">
        <v>0</v>
      </c>
      <c r="J3711" s="11">
        <v>0</v>
      </c>
      <c r="K3711" s="11" t="s">
        <v>21</v>
      </c>
      <c r="L3711" s="7">
        <v>42155.735613425924</v>
      </c>
      <c r="M3711" s="12"/>
      <c r="N3711" s="12"/>
      <c r="O3711" s="10" t="str">
        <f>HYPERLINK("https://pbs.twimg.com/profile_images/711627159694151680/htVYxq5L_normal.jpg","View")</f>
        <v>View</v>
      </c>
      <c r="P3711" s="11"/>
    </row>
    <row r="3712" spans="1:16" ht="12.75" x14ac:dyDescent="0.35">
      <c r="A3712" s="7">
        <v>42482.786678240736</v>
      </c>
      <c r="B3712" s="8" t="str">
        <f>HYPERLINK("https://twitter.com/StocksTycoon","@StocksTycoon")</f>
        <v>@StocksTycoon</v>
      </c>
      <c r="C3712" s="9" t="s">
        <v>8914</v>
      </c>
      <c r="D3712" s="9" t="s">
        <v>8915</v>
      </c>
      <c r="E3712" s="10" t="str">
        <f>HYPERLINK("https://twitter.com/StocksTycoon/status/723502319787233281","723502319787233281")</f>
        <v>723502319787233281</v>
      </c>
      <c r="F3712" s="11" t="s">
        <v>2060</v>
      </c>
      <c r="G3712" s="11">
        <v>3791</v>
      </c>
      <c r="H3712" s="11">
        <v>426</v>
      </c>
      <c r="I3712" s="11">
        <v>1</v>
      </c>
      <c r="J3712" s="11">
        <v>0</v>
      </c>
      <c r="K3712" s="11" t="s">
        <v>21</v>
      </c>
      <c r="L3712" s="7">
        <v>40930.610925925925</v>
      </c>
      <c r="M3712" s="12" t="s">
        <v>8916</v>
      </c>
      <c r="N3712" s="12" t="s">
        <v>8917</v>
      </c>
      <c r="O3712" s="10" t="str">
        <f>HYPERLINK("https://pbs.twimg.com/profile_images/717261818410962945/f-fudmqm_normal.jpg","View")</f>
        <v>View</v>
      </c>
      <c r="P3712" s="11"/>
    </row>
    <row r="3713" spans="1:16" ht="12.75" x14ac:dyDescent="0.35">
      <c r="A3713" s="7">
        <v>42482.787187499998</v>
      </c>
      <c r="B3713" s="8" t="str">
        <f>HYPERLINK("https://twitter.com/johannesh__","@johannesh__")</f>
        <v>@johannesh__</v>
      </c>
      <c r="C3713" s="9" t="s">
        <v>8918</v>
      </c>
      <c r="D3713" s="9" t="s">
        <v>8806</v>
      </c>
      <c r="E3713" s="10" t="str">
        <f>HYPERLINK("https://twitter.com/johannesh__/status/723502503690678272","723502503690678272")</f>
        <v>723502503690678272</v>
      </c>
      <c r="F3713" s="11" t="s">
        <v>20</v>
      </c>
      <c r="G3713" s="11">
        <v>69</v>
      </c>
      <c r="H3713" s="11">
        <v>410</v>
      </c>
      <c r="I3713" s="11">
        <v>5</v>
      </c>
      <c r="J3713" s="11">
        <v>0</v>
      </c>
      <c r="K3713" s="11" t="s">
        <v>21</v>
      </c>
      <c r="L3713" s="7">
        <v>40915.859293981484</v>
      </c>
      <c r="M3713" s="12" t="s">
        <v>8919</v>
      </c>
      <c r="N3713" s="12" t="s">
        <v>8920</v>
      </c>
      <c r="O3713" s="10" t="str">
        <f>HYPERLINK("https://pbs.twimg.com/profile_images/689810639099924481/K07B5XYd_normal.jpg","View")</f>
        <v>View</v>
      </c>
      <c r="P3713" s="11"/>
    </row>
    <row r="3714" spans="1:16" ht="12.75" x14ac:dyDescent="0.35">
      <c r="A3714" s="7">
        <v>42482.787349537037</v>
      </c>
      <c r="B3714" s="8" t="str">
        <f>HYPERLINK("https://twitter.com/BBCBusiness","@BBCBusiness")</f>
        <v>@BBCBusiness</v>
      </c>
      <c r="C3714" s="9" t="s">
        <v>3278</v>
      </c>
      <c r="D3714" s="9" t="s">
        <v>8921</v>
      </c>
      <c r="E3714" s="10" t="str">
        <f>HYPERLINK("https://twitter.com/BBCBusiness/status/723502561895034880","723502561895034880")</f>
        <v>723502561895034880</v>
      </c>
      <c r="F3714" s="11" t="s">
        <v>63</v>
      </c>
      <c r="G3714" s="11">
        <v>1763091</v>
      </c>
      <c r="H3714" s="11">
        <v>153</v>
      </c>
      <c r="I3714" s="11">
        <v>8</v>
      </c>
      <c r="J3714" s="11">
        <v>0</v>
      </c>
      <c r="K3714" s="11" t="s">
        <v>21</v>
      </c>
      <c r="L3714" s="7">
        <v>39092.751909722225</v>
      </c>
      <c r="M3714" s="12" t="s">
        <v>3280</v>
      </c>
      <c r="N3714" s="12" t="s">
        <v>3281</v>
      </c>
      <c r="O3714" s="10" t="str">
        <f>HYPERLINK("https://pbs.twimg.com/profile_images/631839981611388932/vD22OUWu_normal.png","View")</f>
        <v>View</v>
      </c>
      <c r="P3714" s="11"/>
    </row>
    <row r="3715" spans="1:16" ht="12.75" x14ac:dyDescent="0.35">
      <c r="A3715" s="7">
        <v>42482.787534722222</v>
      </c>
      <c r="B3715" s="8" t="str">
        <f>HYPERLINK("https://twitter.com/PeteArmstrong","@PeteArmstrong")</f>
        <v>@PeteArmstrong</v>
      </c>
      <c r="C3715" s="9" t="s">
        <v>8887</v>
      </c>
      <c r="D3715" s="9" t="s">
        <v>8922</v>
      </c>
      <c r="E3715" s="10" t="str">
        <f>HYPERLINK("https://twitter.com/PeteArmstrong/status/723502628672442368","723502628672442368")</f>
        <v>723502628672442368</v>
      </c>
      <c r="F3715" s="11" t="s">
        <v>243</v>
      </c>
      <c r="G3715" s="11">
        <v>215</v>
      </c>
      <c r="H3715" s="11">
        <v>165</v>
      </c>
      <c r="I3715" s="11">
        <v>0</v>
      </c>
      <c r="J3715" s="11">
        <v>0</v>
      </c>
      <c r="K3715" s="11" t="s">
        <v>21</v>
      </c>
      <c r="L3715" s="7">
        <v>42095.556631944448</v>
      </c>
      <c r="M3715" s="12"/>
      <c r="N3715" s="12" t="s">
        <v>8889</v>
      </c>
      <c r="O3715" s="10" t="str">
        <f>HYPERLINK("https://pbs.twimg.com/profile_images/660843741750530049/ycQdQy-N_normal.jpg","View")</f>
        <v>View</v>
      </c>
      <c r="P3715" s="11"/>
    </row>
    <row r="3716" spans="1:16" ht="12.75" x14ac:dyDescent="0.35">
      <c r="A3716" s="7">
        <v>42482.787627314814</v>
      </c>
      <c r="B3716" s="8" t="str">
        <f>HYPERLINK("https://twitter.com/Minister_Remmel","@Minister_Remmel")</f>
        <v>@Minister_Remmel</v>
      </c>
      <c r="C3716" s="9" t="s">
        <v>8923</v>
      </c>
      <c r="D3716" s="9" t="s">
        <v>8924</v>
      </c>
      <c r="E3716" s="10" t="str">
        <f>HYPERLINK("https://twitter.com/Minister_Remmel/status/723502663661436928","723502663661436928")</f>
        <v>723502663661436928</v>
      </c>
      <c r="F3716" s="11" t="s">
        <v>91</v>
      </c>
      <c r="G3716" s="11">
        <v>3834</v>
      </c>
      <c r="H3716" s="11">
        <v>559</v>
      </c>
      <c r="I3716" s="11">
        <v>1</v>
      </c>
      <c r="J3716" s="11">
        <v>0</v>
      </c>
      <c r="K3716" s="11" t="s">
        <v>21</v>
      </c>
      <c r="L3716" s="7">
        <v>40767.871562500004</v>
      </c>
      <c r="M3716" s="12" t="s">
        <v>1874</v>
      </c>
      <c r="N3716" s="12" t="s">
        <v>8925</v>
      </c>
      <c r="O3716" s="10" t="str">
        <f>HYPERLINK("https://pbs.twimg.com/profile_images/684159552300933120/g_PX7ed9_normal.jpg","View")</f>
        <v>View</v>
      </c>
      <c r="P3716" s="11"/>
    </row>
    <row r="3717" spans="1:16" ht="12.75" x14ac:dyDescent="0.35">
      <c r="A3717" s="7">
        <v>42482.787673611107</v>
      </c>
      <c r="B3717" s="8" t="str">
        <f>HYPERLINK("https://twitter.com/andrew_kane05","@andrew_kane05")</f>
        <v>@andrew_kane05</v>
      </c>
      <c r="C3717" s="9" t="s">
        <v>8926</v>
      </c>
      <c r="D3717" s="9" t="s">
        <v>8921</v>
      </c>
      <c r="E3717" s="10" t="str">
        <f>HYPERLINK("https://twitter.com/andrew_kane05/status/723502679587229700","723502679587229700")</f>
        <v>723502679587229700</v>
      </c>
      <c r="F3717" s="11" t="s">
        <v>20</v>
      </c>
      <c r="G3717" s="11">
        <v>59</v>
      </c>
      <c r="H3717" s="11">
        <v>181</v>
      </c>
      <c r="I3717" s="11">
        <v>8</v>
      </c>
      <c r="J3717" s="11">
        <v>0</v>
      </c>
      <c r="K3717" s="11" t="s">
        <v>21</v>
      </c>
      <c r="L3717" s="7">
        <v>42208.932962962965</v>
      </c>
      <c r="M3717" s="12" t="s">
        <v>8927</v>
      </c>
      <c r="N3717" s="12"/>
      <c r="O3717" s="10" t="str">
        <f>HYPERLINK("https://pbs.twimg.com/profile_images/710115354215890948/Ax7sTo8-_normal.jpg","View")</f>
        <v>View</v>
      </c>
      <c r="P3717" s="11"/>
    </row>
    <row r="3718" spans="1:16" ht="12.75" x14ac:dyDescent="0.35">
      <c r="A3718" s="7">
        <v>42482.787870370375</v>
      </c>
      <c r="B3718" s="8" t="str">
        <f>HYPERLINK("https://twitter.com/Dr_JAH","@Dr_JAH")</f>
        <v>@Dr_JAH</v>
      </c>
      <c r="C3718" s="9" t="s">
        <v>8928</v>
      </c>
      <c r="D3718" s="9" t="s">
        <v>8921</v>
      </c>
      <c r="E3718" s="10" t="str">
        <f>HYPERLINK("https://twitter.com/Dr_JAH/status/723502752354164738","723502752354164738")</f>
        <v>723502752354164738</v>
      </c>
      <c r="F3718" s="11" t="s">
        <v>43</v>
      </c>
      <c r="G3718" s="11">
        <v>400</v>
      </c>
      <c r="H3718" s="11">
        <v>473</v>
      </c>
      <c r="I3718" s="11">
        <v>8</v>
      </c>
      <c r="J3718" s="11">
        <v>0</v>
      </c>
      <c r="K3718" s="11" t="s">
        <v>21</v>
      </c>
      <c r="L3718" s="7">
        <v>40753.644826388889</v>
      </c>
      <c r="M3718" s="12" t="s">
        <v>8929</v>
      </c>
      <c r="N3718" s="12" t="s">
        <v>8930</v>
      </c>
      <c r="O3718" s="10" t="str">
        <f>HYPERLINK("https://pbs.twimg.com/profile_images/723427380052684801/kyiUrlPW_normal.jpg","View")</f>
        <v>View</v>
      </c>
      <c r="P3718" s="11"/>
    </row>
    <row r="3719" spans="1:16" ht="12.75" x14ac:dyDescent="0.35">
      <c r="A3719" s="7">
        <v>42482.787905092591</v>
      </c>
      <c r="B3719" s="8" t="str">
        <f>HYPERLINK("https://twitter.com/robinskaplan","@robinskaplan")</f>
        <v>@robinskaplan</v>
      </c>
      <c r="C3719" s="9" t="s">
        <v>8931</v>
      </c>
      <c r="D3719" s="9" t="s">
        <v>8932</v>
      </c>
      <c r="E3719" s="10" t="str">
        <f>HYPERLINK("https://twitter.com/robinskaplan/status/723502764668510208","723502764668510208")</f>
        <v>723502764668510208</v>
      </c>
      <c r="F3719" s="11" t="s">
        <v>140</v>
      </c>
      <c r="G3719" s="11">
        <v>391</v>
      </c>
      <c r="H3719" s="11">
        <v>410</v>
      </c>
      <c r="I3719" s="11">
        <v>1</v>
      </c>
      <c r="J3719" s="11">
        <v>0</v>
      </c>
      <c r="K3719" s="11" t="s">
        <v>21</v>
      </c>
      <c r="L3719" s="7">
        <v>40015.067824074074</v>
      </c>
      <c r="M3719" s="12"/>
      <c r="N3719" s="12" t="s">
        <v>8933</v>
      </c>
      <c r="O3719" s="10" t="str">
        <f>HYPERLINK("https://pbs.twimg.com/profile_images/647516492741742592/3rWnLbC6_normal.png","View")</f>
        <v>View</v>
      </c>
      <c r="P3719" s="11"/>
    </row>
    <row r="3720" spans="1:16" ht="12.75" x14ac:dyDescent="0.35">
      <c r="A3720" s="7">
        <v>42482.787974537037</v>
      </c>
      <c r="B3720" s="8" t="str">
        <f>HYPERLINK("https://twitter.com/frankmottek","@frankmottek")</f>
        <v>@frankmottek</v>
      </c>
      <c r="C3720" s="9" t="s">
        <v>8934</v>
      </c>
      <c r="D3720" s="9" t="s">
        <v>8935</v>
      </c>
      <c r="E3720" s="10" t="str">
        <f>HYPERLINK("https://twitter.com/frankmottek/status/723502787737186309","723502787737186309")</f>
        <v>723502787737186309</v>
      </c>
      <c r="F3720" s="11" t="s">
        <v>43</v>
      </c>
      <c r="G3720" s="11">
        <v>3340</v>
      </c>
      <c r="H3720" s="11">
        <v>3390</v>
      </c>
      <c r="I3720" s="11">
        <v>0</v>
      </c>
      <c r="J3720" s="11">
        <v>0</v>
      </c>
      <c r="K3720" s="11" t="s">
        <v>21</v>
      </c>
      <c r="L3720" s="7">
        <v>39895.959837962961</v>
      </c>
      <c r="M3720" s="12" t="s">
        <v>209</v>
      </c>
      <c r="N3720" s="12" t="s">
        <v>8936</v>
      </c>
      <c r="O3720" s="10" t="str">
        <f>HYPERLINK("https://pbs.twimg.com/profile_images/3405799394/86d435069a7a58cd7dd0751b0a8c98a5_normal.jpeg","View")</f>
        <v>View</v>
      </c>
      <c r="P3720" s="11"/>
    </row>
    <row r="3721" spans="1:16" ht="12.75" x14ac:dyDescent="0.35">
      <c r="A3721" s="7">
        <v>42482.78800925926</v>
      </c>
      <c r="B3721" s="8" t="str">
        <f>HYPERLINK("https://twitter.com/TumerLider","@TumerLider")</f>
        <v>@TumerLider</v>
      </c>
      <c r="C3721" s="9" t="s">
        <v>8937</v>
      </c>
      <c r="D3721" s="9" t="s">
        <v>8921</v>
      </c>
      <c r="E3721" s="10" t="str">
        <f>HYPERLINK("https://twitter.com/TumerLider/status/723502799158431749","723502799158431749")</f>
        <v>723502799158431749</v>
      </c>
      <c r="F3721" s="11" t="s">
        <v>48</v>
      </c>
      <c r="G3721" s="11">
        <v>585</v>
      </c>
      <c r="H3721" s="11">
        <v>2473</v>
      </c>
      <c r="I3721" s="11">
        <v>8</v>
      </c>
      <c r="J3721" s="11">
        <v>0</v>
      </c>
      <c r="K3721" s="11" t="s">
        <v>21</v>
      </c>
      <c r="L3721" s="7">
        <v>42177.750798611116</v>
      </c>
      <c r="M3721" s="12" t="s">
        <v>8938</v>
      </c>
      <c r="N3721" s="12" t="s">
        <v>8939</v>
      </c>
      <c r="O3721" s="10" t="str">
        <f>HYPERLINK("https://pbs.twimg.com/profile_images/720919629430960128/sDApoxwf_normal.jpg","View")</f>
        <v>View</v>
      </c>
      <c r="P3721" s="11"/>
    </row>
    <row r="3722" spans="1:16" ht="12.75" x14ac:dyDescent="0.35">
      <c r="A3722" s="7">
        <v>42482.788124999999</v>
      </c>
      <c r="B3722" s="8" t="str">
        <f>HYPERLINK("https://twitter.com/jaackgreen","@jaackgreen")</f>
        <v>@jaackgreen</v>
      </c>
      <c r="C3722" s="9" t="s">
        <v>8940</v>
      </c>
      <c r="D3722" s="9" t="s">
        <v>8921</v>
      </c>
      <c r="E3722" s="10" t="str">
        <f>HYPERLINK("https://twitter.com/jaackgreen/status/723502843647254529","723502843647254529")</f>
        <v>723502843647254529</v>
      </c>
      <c r="F3722" s="11" t="s">
        <v>20</v>
      </c>
      <c r="G3722" s="11">
        <v>502</v>
      </c>
      <c r="H3722" s="11">
        <v>266</v>
      </c>
      <c r="I3722" s="11">
        <v>8</v>
      </c>
      <c r="J3722" s="11">
        <v>0</v>
      </c>
      <c r="K3722" s="11" t="s">
        <v>21</v>
      </c>
      <c r="L3722" s="7">
        <v>39991.67150462963</v>
      </c>
      <c r="M3722" s="12" t="s">
        <v>8941</v>
      </c>
      <c r="N3722" s="12" t="s">
        <v>8942</v>
      </c>
      <c r="O3722" s="10" t="str">
        <f>HYPERLINK("https://pbs.twimg.com/profile_images/701883953226113024/thj5ZUwN_normal.jpg","View")</f>
        <v>View</v>
      </c>
      <c r="P3722" s="11"/>
    </row>
    <row r="3723" spans="1:16" ht="12.75" x14ac:dyDescent="0.35">
      <c r="A3723" s="7">
        <v>42482.78833333333</v>
      </c>
      <c r="B3723" s="8" t="str">
        <f>HYPERLINK("https://twitter.com/VolkerVotsmeier","@VolkerVotsmeier")</f>
        <v>@VolkerVotsmeier</v>
      </c>
      <c r="C3723" s="9" t="s">
        <v>1220</v>
      </c>
      <c r="D3723" s="9" t="s">
        <v>8943</v>
      </c>
      <c r="E3723" s="10" t="str">
        <f>HYPERLINK("https://twitter.com/VolkerVotsmeier/status/723502918721232897","723502918721232897")</f>
        <v>723502918721232897</v>
      </c>
      <c r="F3723" s="11" t="s">
        <v>43</v>
      </c>
      <c r="G3723" s="11">
        <v>1735</v>
      </c>
      <c r="H3723" s="11">
        <v>819</v>
      </c>
      <c r="I3723" s="11">
        <v>0</v>
      </c>
      <c r="J3723" s="11">
        <v>0</v>
      </c>
      <c r="K3723" s="11" t="s">
        <v>21</v>
      </c>
      <c r="L3723" s="7">
        <v>41289.594131944446</v>
      </c>
      <c r="M3723" s="12" t="s">
        <v>975</v>
      </c>
      <c r="N3723" s="12" t="s">
        <v>1222</v>
      </c>
      <c r="O3723" s="10" t="str">
        <f>HYPERLINK("https://pbs.twimg.com/profile_images/507897198911053824/7OqYAonJ_normal.jpeg","View")</f>
        <v>View</v>
      </c>
      <c r="P3723" s="11"/>
    </row>
    <row r="3724" spans="1:16" ht="12.75" x14ac:dyDescent="0.35">
      <c r="A3724" s="7">
        <v>42482.788495370369</v>
      </c>
      <c r="B3724" s="8" t="str">
        <f>HYPERLINK("https://twitter.com/reifmd","@reifmd")</f>
        <v>@reifmd</v>
      </c>
      <c r="C3724" s="9" t="s">
        <v>3817</v>
      </c>
      <c r="D3724" s="9" t="s">
        <v>8944</v>
      </c>
      <c r="E3724" s="10" t="str">
        <f>HYPERLINK("https://twitter.com/reifmd/status/723502976279699456","723502976279699456")</f>
        <v>723502976279699456</v>
      </c>
      <c r="F3724" s="11" t="s">
        <v>20</v>
      </c>
      <c r="G3724" s="11">
        <v>71</v>
      </c>
      <c r="H3724" s="11">
        <v>237</v>
      </c>
      <c r="I3724" s="11">
        <v>1</v>
      </c>
      <c r="J3724" s="11">
        <v>0</v>
      </c>
      <c r="K3724" s="11" t="s">
        <v>21</v>
      </c>
      <c r="L3724" s="7">
        <v>40191.871736111112</v>
      </c>
      <c r="M3724" s="12" t="s">
        <v>8945</v>
      </c>
      <c r="N3724" s="12"/>
      <c r="O3724" s="10" t="str">
        <f>HYPERLINK("https://pbs.twimg.com/profile_images/687997987293913088/ZR_CC_n5_normal.jpg","View")</f>
        <v>View</v>
      </c>
      <c r="P3724" s="11"/>
    </row>
    <row r="3725" spans="1:16" ht="12.75" x14ac:dyDescent="0.35">
      <c r="A3725" s="7">
        <v>42482.788553240738</v>
      </c>
      <c r="B3725" s="8" t="str">
        <f>HYPERLINK("https://twitter.com/KNXfrank","@KNXfrank")</f>
        <v>@KNXfrank</v>
      </c>
      <c r="C3725" s="9" t="s">
        <v>8934</v>
      </c>
      <c r="D3725" s="9" t="s">
        <v>8935</v>
      </c>
      <c r="E3725" s="10" t="str">
        <f>HYPERLINK("https://twitter.com/KNXfrank/status/723502996840013824","723502996840013824")</f>
        <v>723502996840013824</v>
      </c>
      <c r="F3725" s="11" t="s">
        <v>43</v>
      </c>
      <c r="G3725" s="11">
        <v>469</v>
      </c>
      <c r="H3725" s="11">
        <v>724</v>
      </c>
      <c r="I3725" s="11">
        <v>0</v>
      </c>
      <c r="J3725" s="11">
        <v>0</v>
      </c>
      <c r="K3725" s="11" t="s">
        <v>21</v>
      </c>
      <c r="L3725" s="7">
        <v>42180.285057870366</v>
      </c>
      <c r="M3725" s="12" t="s">
        <v>209</v>
      </c>
      <c r="N3725" s="12" t="s">
        <v>8946</v>
      </c>
      <c r="O3725" s="10" t="str">
        <f>HYPERLINK("https://pbs.twimg.com/profile_images/613903727175467008/xiBI18z2_normal.jpg","View")</f>
        <v>View</v>
      </c>
      <c r="P3725" s="11"/>
    </row>
    <row r="3726" spans="1:16" ht="12.75" x14ac:dyDescent="0.35">
      <c r="A3726" s="7">
        <v>42482.788587962961</v>
      </c>
      <c r="B3726" s="8" t="str">
        <f>HYPERLINK("https://twitter.com/maryv85","@maryv85")</f>
        <v>@maryv85</v>
      </c>
      <c r="C3726" s="9" t="s">
        <v>8947</v>
      </c>
      <c r="D3726" s="9" t="s">
        <v>8948</v>
      </c>
      <c r="E3726" s="10" t="str">
        <f>HYPERLINK("https://twitter.com/maryv85/status/723503009649577985","723503009649577985")</f>
        <v>723503009649577985</v>
      </c>
      <c r="F3726" s="11" t="s">
        <v>43</v>
      </c>
      <c r="G3726" s="11">
        <v>821</v>
      </c>
      <c r="H3726" s="11">
        <v>1930</v>
      </c>
      <c r="I3726" s="11">
        <v>0</v>
      </c>
      <c r="J3726" s="11">
        <v>0</v>
      </c>
      <c r="K3726" s="11" t="s">
        <v>21</v>
      </c>
      <c r="L3726" s="7">
        <v>40103.091967592591</v>
      </c>
      <c r="M3726" s="12" t="s">
        <v>8949</v>
      </c>
      <c r="N3726" s="12" t="s">
        <v>8950</v>
      </c>
      <c r="O3726" s="10" t="str">
        <f>HYPERLINK("https://pbs.twimg.com/profile_images/684202795281481729/WRS25SOm_normal.jpg","View")</f>
        <v>View</v>
      </c>
      <c r="P3726" s="11"/>
    </row>
    <row r="3727" spans="1:16" ht="12.75" x14ac:dyDescent="0.35">
      <c r="A3727" s="7">
        <v>42482.7887037037</v>
      </c>
      <c r="B3727" s="8" t="str">
        <f>HYPERLINK("https://twitter.com/Colchester1891","@Colchester1891")</f>
        <v>@Colchester1891</v>
      </c>
      <c r="C3727" s="9" t="s">
        <v>8951</v>
      </c>
      <c r="D3727" s="9" t="s">
        <v>8921</v>
      </c>
      <c r="E3727" s="10" t="str">
        <f>HYPERLINK("https://twitter.com/Colchester1891/status/723503054469894145","723503054469894145")</f>
        <v>723503054469894145</v>
      </c>
      <c r="F3727" s="11" t="s">
        <v>43</v>
      </c>
      <c r="G3727" s="11">
        <v>700</v>
      </c>
      <c r="H3727" s="11">
        <v>2002</v>
      </c>
      <c r="I3727" s="11">
        <v>8</v>
      </c>
      <c r="J3727" s="11">
        <v>0</v>
      </c>
      <c r="K3727" s="11" t="s">
        <v>21</v>
      </c>
      <c r="L3727" s="7">
        <v>40578.029548611114</v>
      </c>
      <c r="M3727" s="12" t="s">
        <v>8952</v>
      </c>
      <c r="N3727" s="12" t="s">
        <v>8953</v>
      </c>
      <c r="O3727" s="10" t="str">
        <f>HYPERLINK("https://pbs.twimg.com/profile_images/723486693861560320/2kqIppsP_normal.jpg","View")</f>
        <v>View</v>
      </c>
      <c r="P3727" s="11"/>
    </row>
    <row r="3728" spans="1:16" ht="12.75" x14ac:dyDescent="0.35">
      <c r="A3728" s="7">
        <v>42482.788726851853</v>
      </c>
      <c r="B3728" s="8" t="str">
        <f>HYPERLINK("https://twitter.com/marco2080","@marco2080")</f>
        <v>@marco2080</v>
      </c>
      <c r="C3728" s="9" t="s">
        <v>8954</v>
      </c>
      <c r="D3728" s="9" t="s">
        <v>8592</v>
      </c>
      <c r="E3728" s="10" t="str">
        <f>HYPERLINK("https://twitter.com/marco2080/status/723503061465993216","723503061465993216")</f>
        <v>723503061465993216</v>
      </c>
      <c r="F3728" s="11" t="s">
        <v>48</v>
      </c>
      <c r="G3728" s="11">
        <v>768</v>
      </c>
      <c r="H3728" s="11">
        <v>2482</v>
      </c>
      <c r="I3728" s="11">
        <v>2</v>
      </c>
      <c r="J3728" s="11">
        <v>0</v>
      </c>
      <c r="K3728" s="11" t="s">
        <v>21</v>
      </c>
      <c r="L3728" s="7">
        <v>40022.653483796297</v>
      </c>
      <c r="M3728" s="12"/>
      <c r="N3728" s="12" t="s">
        <v>8955</v>
      </c>
      <c r="O3728" s="10" t="str">
        <f>HYPERLINK("https://pbs.twimg.com/profile_images/1045170209/DSCN0018ccc_normal.jpg","View")</f>
        <v>View</v>
      </c>
      <c r="P3728" s="11"/>
    </row>
    <row r="3729" spans="1:16" ht="12.75" x14ac:dyDescent="0.35">
      <c r="A3729" s="7">
        <v>42482.788773148146</v>
      </c>
      <c r="B3729" s="8" t="str">
        <f>HYPERLINK("https://twitter.com/RoamingTimes","@RoamingTimes")</f>
        <v>@RoamingTimes</v>
      </c>
      <c r="C3729" s="9" t="s">
        <v>8956</v>
      </c>
      <c r="D3729" s="9" t="s">
        <v>8957</v>
      </c>
      <c r="E3729" s="10" t="str">
        <f>HYPERLINK("https://twitter.com/RoamingTimes/status/723503077135773696","723503077135773696")</f>
        <v>723503077135773696</v>
      </c>
      <c r="F3729" s="11" t="s">
        <v>3614</v>
      </c>
      <c r="G3729" s="11">
        <v>7051</v>
      </c>
      <c r="H3729" s="11">
        <v>5388</v>
      </c>
      <c r="I3729" s="11">
        <v>4</v>
      </c>
      <c r="J3729" s="11">
        <v>0</v>
      </c>
      <c r="K3729" s="11" t="s">
        <v>21</v>
      </c>
      <c r="L3729" s="7">
        <v>39919.11881944444</v>
      </c>
      <c r="M3729" s="12" t="s">
        <v>1317</v>
      </c>
      <c r="N3729" s="12" t="s">
        <v>8958</v>
      </c>
      <c r="O3729" s="10" t="str">
        <f>HYPERLINK("https://pbs.twimg.com/profile_images/655485812293787648/MTaRdpRj_normal.png","View")</f>
        <v>View</v>
      </c>
      <c r="P3729" s="11"/>
    </row>
    <row r="3730" spans="1:16" ht="12.75" x14ac:dyDescent="0.35">
      <c r="A3730" s="7">
        <v>42482.788831018523</v>
      </c>
      <c r="B3730" s="8" t="str">
        <f>HYPERLINK("https://twitter.com/RVingTimes","@RVingTimes")</f>
        <v>@RVingTimes</v>
      </c>
      <c r="C3730" s="9" t="s">
        <v>8959</v>
      </c>
      <c r="D3730" s="9" t="s">
        <v>8957</v>
      </c>
      <c r="E3730" s="10" t="str">
        <f>HYPERLINK("https://twitter.com/RVingTimes/status/723503100519010304","723503100519010304")</f>
        <v>723503100519010304</v>
      </c>
      <c r="F3730" s="11" t="s">
        <v>3614</v>
      </c>
      <c r="G3730" s="11">
        <v>5444</v>
      </c>
      <c r="H3730" s="11">
        <v>2001</v>
      </c>
      <c r="I3730" s="11">
        <v>4</v>
      </c>
      <c r="J3730" s="11">
        <v>0</v>
      </c>
      <c r="K3730" s="11" t="s">
        <v>21</v>
      </c>
      <c r="L3730" s="7">
        <v>39983.943796296298</v>
      </c>
      <c r="M3730" s="12" t="s">
        <v>305</v>
      </c>
      <c r="N3730" s="12" t="s">
        <v>8960</v>
      </c>
      <c r="O3730" s="10" t="str">
        <f>HYPERLINK("https://pbs.twimg.com/profile_images/271556884/RVingTimes-0906_normal.gif","View")</f>
        <v>View</v>
      </c>
      <c r="P3730" s="11"/>
    </row>
    <row r="3731" spans="1:16" ht="12.75" x14ac:dyDescent="0.35">
      <c r="A3731" s="7">
        <v>42482.788877314815</v>
      </c>
      <c r="B3731" s="8" t="str">
        <f>HYPERLINK("https://twitter.com/RVingTweets","@RVingTweets")</f>
        <v>@RVingTweets</v>
      </c>
      <c r="C3731" s="9" t="s">
        <v>8961</v>
      </c>
      <c r="D3731" s="9" t="s">
        <v>8957</v>
      </c>
      <c r="E3731" s="10" t="str">
        <f>HYPERLINK("https://twitter.com/RVingTweets/status/723503113756274688","723503113756274688")</f>
        <v>723503113756274688</v>
      </c>
      <c r="F3731" s="11" t="s">
        <v>3614</v>
      </c>
      <c r="G3731" s="11">
        <v>1641</v>
      </c>
      <c r="H3731" s="11">
        <v>622</v>
      </c>
      <c r="I3731" s="11">
        <v>4</v>
      </c>
      <c r="J3731" s="11">
        <v>0</v>
      </c>
      <c r="K3731" s="11" t="s">
        <v>21</v>
      </c>
      <c r="L3731" s="7">
        <v>40606.914629629631</v>
      </c>
      <c r="M3731" s="12" t="s">
        <v>8962</v>
      </c>
      <c r="N3731" s="12" t="s">
        <v>8963</v>
      </c>
      <c r="O3731" s="10" t="str">
        <f>HYPERLINK("https://pbs.twimg.com/profile_images/1261918199/twitter-rvingtweets-3_normal.gif","View")</f>
        <v>View</v>
      </c>
      <c r="P3731" s="11"/>
    </row>
    <row r="3732" spans="1:16" ht="12.75" x14ac:dyDescent="0.35">
      <c r="A3732" s="7">
        <v>42482.788935185185</v>
      </c>
      <c r="B3732" s="8" t="str">
        <f>HYPERLINK("https://twitter.com/whyrvalone","@whyrvalone")</f>
        <v>@whyrvalone</v>
      </c>
      <c r="C3732" s="9" t="s">
        <v>8964</v>
      </c>
      <c r="D3732" s="9" t="s">
        <v>8957</v>
      </c>
      <c r="E3732" s="10" t="str">
        <f>HYPERLINK("https://twitter.com/whyrvalone/status/723503137852518401","723503137852518401")</f>
        <v>723503137852518401</v>
      </c>
      <c r="F3732" s="11" t="s">
        <v>3614</v>
      </c>
      <c r="G3732" s="11">
        <v>2110</v>
      </c>
      <c r="H3732" s="11">
        <v>524</v>
      </c>
      <c r="I3732" s="11">
        <v>4</v>
      </c>
      <c r="J3732" s="11">
        <v>0</v>
      </c>
      <c r="K3732" s="11" t="s">
        <v>21</v>
      </c>
      <c r="L3732" s="7">
        <v>39921.961192129631</v>
      </c>
      <c r="M3732" s="12" t="s">
        <v>8965</v>
      </c>
      <c r="N3732" s="12" t="s">
        <v>8966</v>
      </c>
      <c r="O3732" s="10" t="str">
        <f>HYPERLINK("https://pbs.twimg.com/profile_images/271601887/whyrvalone0906_normal.gif","View")</f>
        <v>View</v>
      </c>
      <c r="P3732" s="11"/>
    </row>
    <row r="3733" spans="1:16" ht="12.75" x14ac:dyDescent="0.35">
      <c r="A3733" s="7">
        <v>42482.788946759261</v>
      </c>
      <c r="B3733" s="8" t="str">
        <f t="shared" ref="B3733:B3734" si="344">HYPERLINK("https://twitter.com/BREAKING_EIL","@BREAKING_EIL")</f>
        <v>@BREAKING_EIL</v>
      </c>
      <c r="C3733" s="9" t="s">
        <v>8967</v>
      </c>
      <c r="D3733" s="9" t="s">
        <v>8968</v>
      </c>
      <c r="E3733" s="10" t="str">
        <f>HYPERLINK("https://twitter.com/BREAKING_EIL/status/723503142701260801","723503142701260801")</f>
        <v>723503142701260801</v>
      </c>
      <c r="F3733" s="11" t="s">
        <v>68</v>
      </c>
      <c r="G3733" s="11">
        <v>14</v>
      </c>
      <c r="H3733" s="11">
        <v>0</v>
      </c>
      <c r="I3733" s="11">
        <v>0</v>
      </c>
      <c r="J3733" s="11">
        <v>0</v>
      </c>
      <c r="K3733" s="11" t="s">
        <v>21</v>
      </c>
      <c r="L3733" s="7">
        <v>42382.842604166668</v>
      </c>
      <c r="M3733" s="12"/>
      <c r="N3733" s="12" t="s">
        <v>8969</v>
      </c>
      <c r="O3733" s="10" t="str">
        <f t="shared" ref="O3733:O3734" si="345">HYPERLINK("https://pbs.twimg.com/profile_images/694544968380211200/WqH7tnjz_normal.png","View")</f>
        <v>View</v>
      </c>
      <c r="P3733" s="11"/>
    </row>
    <row r="3734" spans="1:16" ht="12.75" x14ac:dyDescent="0.35">
      <c r="A3734" s="7">
        <v>42482.788958333331</v>
      </c>
      <c r="B3734" s="8" t="str">
        <f t="shared" si="344"/>
        <v>@BREAKING_EIL</v>
      </c>
      <c r="C3734" s="9" t="s">
        <v>8967</v>
      </c>
      <c r="D3734" s="9" t="s">
        <v>8970</v>
      </c>
      <c r="E3734" s="10" t="str">
        <f>HYPERLINK("https://twitter.com/BREAKING_EIL/status/723503144416751616","723503144416751616")</f>
        <v>723503144416751616</v>
      </c>
      <c r="F3734" s="11" t="s">
        <v>68</v>
      </c>
      <c r="G3734" s="11">
        <v>14</v>
      </c>
      <c r="H3734" s="11">
        <v>0</v>
      </c>
      <c r="I3734" s="11">
        <v>0</v>
      </c>
      <c r="J3734" s="11">
        <v>0</v>
      </c>
      <c r="K3734" s="11" t="s">
        <v>21</v>
      </c>
      <c r="L3734" s="7">
        <v>42382.842604166668</v>
      </c>
      <c r="M3734" s="12"/>
      <c r="N3734" s="12" t="s">
        <v>8969</v>
      </c>
      <c r="O3734" s="10" t="str">
        <f t="shared" si="345"/>
        <v>View</v>
      </c>
      <c r="P3734" s="11"/>
    </row>
    <row r="3735" spans="1:16" ht="12.75" x14ac:dyDescent="0.35">
      <c r="A3735" s="7">
        <v>42482.789016203707</v>
      </c>
      <c r="B3735" s="8" t="str">
        <f>HYPERLINK("https://twitter.com/FocusEconomia","@FocusEconomia")</f>
        <v>@FocusEconomia</v>
      </c>
      <c r="C3735" s="9" t="s">
        <v>8971</v>
      </c>
      <c r="D3735" s="9" t="s">
        <v>8972</v>
      </c>
      <c r="E3735" s="10" t="str">
        <f>HYPERLINK("https://twitter.com/FocusEconomia/status/723503166705274880","723503166705274880")</f>
        <v>723503166705274880</v>
      </c>
      <c r="F3735" s="11" t="s">
        <v>53</v>
      </c>
      <c r="G3735" s="11">
        <v>1399</v>
      </c>
      <c r="H3735" s="11">
        <v>77</v>
      </c>
      <c r="I3735" s="11">
        <v>0</v>
      </c>
      <c r="J3735" s="11">
        <v>0</v>
      </c>
      <c r="K3735" s="11" t="s">
        <v>21</v>
      </c>
      <c r="L3735" s="7">
        <v>42110.900011574078</v>
      </c>
      <c r="M3735" s="12"/>
      <c r="N3735" s="12"/>
      <c r="O3735" s="10" t="str">
        <f>HYPERLINK("https://pbs.twimg.com/profile_images/588735564154806272/d8_8cgTC_normal.jpg","View")</f>
        <v>View</v>
      </c>
      <c r="P3735" s="11"/>
    </row>
    <row r="3736" spans="1:16" ht="12.75" x14ac:dyDescent="0.35">
      <c r="A3736" s="7">
        <v>42482.789120370369</v>
      </c>
      <c r="B3736" s="8" t="str">
        <f>HYPERLINK("https://twitter.com/ozaed","@ozaed")</f>
        <v>@ozaed</v>
      </c>
      <c r="C3736" s="9" t="s">
        <v>8973</v>
      </c>
      <c r="D3736" s="9" t="s">
        <v>8974</v>
      </c>
      <c r="E3736" s="10" t="str">
        <f>HYPERLINK("https://twitter.com/ozaed/status/723503203082473472","723503203082473472")</f>
        <v>723503203082473472</v>
      </c>
      <c r="F3736" s="11" t="s">
        <v>43</v>
      </c>
      <c r="G3736" s="11">
        <v>483</v>
      </c>
      <c r="H3736" s="11">
        <v>2172</v>
      </c>
      <c r="I3736" s="11">
        <v>0</v>
      </c>
      <c r="J3736" s="11">
        <v>1</v>
      </c>
      <c r="K3736" s="11" t="s">
        <v>21</v>
      </c>
      <c r="L3736" s="7">
        <v>39671.615069444444</v>
      </c>
      <c r="M3736" s="12" t="s">
        <v>8975</v>
      </c>
      <c r="N3736" s="12" t="s">
        <v>8976</v>
      </c>
      <c r="O3736" s="10" t="str">
        <f>HYPERLINK("https://pbs.twimg.com/profile_images/1453053624/me_normal.jpg","View")</f>
        <v>View</v>
      </c>
      <c r="P3736" s="11"/>
    </row>
    <row r="3737" spans="1:16" ht="12.75" x14ac:dyDescent="0.35">
      <c r="A3737" s="7">
        <v>42482.789143518516</v>
      </c>
      <c r="B3737" s="8" t="str">
        <f>HYPERLINK("https://twitter.com/Kvwbabel","@Kvwbabel")</f>
        <v>@Kvwbabel</v>
      </c>
      <c r="C3737" s="9" t="s">
        <v>8977</v>
      </c>
      <c r="D3737" s="9" t="s">
        <v>8978</v>
      </c>
      <c r="E3737" s="10" t="str">
        <f>HYPERLINK("https://twitter.com/Kvwbabel/status/723503211533848580","723503211533848580")</f>
        <v>723503211533848580</v>
      </c>
      <c r="F3737" s="11" t="s">
        <v>903</v>
      </c>
      <c r="G3737" s="11">
        <v>5</v>
      </c>
      <c r="H3737" s="11">
        <v>11</v>
      </c>
      <c r="I3737" s="11">
        <v>1</v>
      </c>
      <c r="J3737" s="11">
        <v>0</v>
      </c>
      <c r="K3737" s="11" t="s">
        <v>21</v>
      </c>
      <c r="L3737" s="7">
        <v>42435.777592592596</v>
      </c>
      <c r="M3737" s="12" t="s">
        <v>8979</v>
      </c>
      <c r="N3737" s="12" t="s">
        <v>8980</v>
      </c>
      <c r="O3737" s="10" t="str">
        <f>HYPERLINK("https://pbs.twimg.com/profile_images/709405049550573568/FEBPnD1Q_normal.jpg","View")</f>
        <v>View</v>
      </c>
      <c r="P3737" s="11"/>
    </row>
    <row r="3738" spans="1:16" ht="12.75" x14ac:dyDescent="0.35">
      <c r="A3738" s="7">
        <v>42482.789189814815</v>
      </c>
      <c r="B3738" s="8" t="str">
        <f>HYPERLINK("https://twitter.com/VCT_Tweets","@VCT_Tweets")</f>
        <v>@VCT_Tweets</v>
      </c>
      <c r="C3738" s="9" t="s">
        <v>199</v>
      </c>
      <c r="D3738" s="9" t="s">
        <v>8981</v>
      </c>
      <c r="E3738" s="10" t="str">
        <f>HYPERLINK("https://twitter.com/VCT_Tweets/status/723503229456277504","723503229456277504")</f>
        <v>723503229456277504</v>
      </c>
      <c r="F3738" s="11" t="s">
        <v>68</v>
      </c>
      <c r="G3738" s="11">
        <v>887</v>
      </c>
      <c r="H3738" s="11">
        <v>211</v>
      </c>
      <c r="I3738" s="11">
        <v>0</v>
      </c>
      <c r="J3738" s="11">
        <v>0</v>
      </c>
      <c r="K3738" s="11" t="s">
        <v>21</v>
      </c>
      <c r="L3738" s="7">
        <v>40744.914837962962</v>
      </c>
      <c r="M3738" s="12" t="s">
        <v>201</v>
      </c>
      <c r="N3738" s="12" t="s">
        <v>202</v>
      </c>
      <c r="O3738" s="10" t="str">
        <f>HYPERLINK("https://pbs.twimg.com/profile_images/569800899141177344/nVFLMSdb_normal.png","View")</f>
        <v>View</v>
      </c>
      <c r="P3738" s="11"/>
    </row>
    <row r="3739" spans="1:16" ht="12.75" x14ac:dyDescent="0.35">
      <c r="A3739" s="7">
        <v>42482.789201388892</v>
      </c>
      <c r="B3739" s="8" t="str">
        <f>HYPERLINK("https://twitter.com/zeitonline_wir","@zeitonline_wir")</f>
        <v>@zeitonline_wir</v>
      </c>
      <c r="C3739" s="9" t="s">
        <v>1559</v>
      </c>
      <c r="D3739" s="9" t="s">
        <v>8982</v>
      </c>
      <c r="E3739" s="10" t="str">
        <f>HYPERLINK("https://twitter.com/zeitonline_wir/status/723503232652316672","723503232652316672")</f>
        <v>723503232652316672</v>
      </c>
      <c r="F3739" s="11" t="s">
        <v>1561</v>
      </c>
      <c r="G3739" s="11">
        <v>32137</v>
      </c>
      <c r="H3739" s="11">
        <v>38</v>
      </c>
      <c r="I3739" s="11">
        <v>0</v>
      </c>
      <c r="J3739" s="11">
        <v>0</v>
      </c>
      <c r="K3739" s="11" t="s">
        <v>21</v>
      </c>
      <c r="L3739" s="7">
        <v>40357.655370370368</v>
      </c>
      <c r="M3739" s="12" t="s">
        <v>1562</v>
      </c>
      <c r="N3739" s="12" t="s">
        <v>1563</v>
      </c>
      <c r="O3739" s="10" t="str">
        <f>HYPERLINK("https://pbs.twimg.com/profile_images/587542294913556480/VN9ydDdE_normal.jpg","View")</f>
        <v>View</v>
      </c>
      <c r="P3739" s="11"/>
    </row>
    <row r="3740" spans="1:16" ht="12.75" x14ac:dyDescent="0.35">
      <c r="A3740" s="7">
        <v>42482.789201388892</v>
      </c>
      <c r="B3740" s="8" t="str">
        <f>HYPERLINK("https://twitter.com/C_Heinrich_83","@C_Heinrich_83")</f>
        <v>@C_Heinrich_83</v>
      </c>
      <c r="C3740" s="9" t="s">
        <v>8983</v>
      </c>
      <c r="D3740" s="9" t="s">
        <v>8984</v>
      </c>
      <c r="E3740" s="10" t="str">
        <f>HYPERLINK("https://twitter.com/C_Heinrich_83/status/723503234787225600","723503234787225600")</f>
        <v>723503234787225600</v>
      </c>
      <c r="F3740" s="11" t="s">
        <v>48</v>
      </c>
      <c r="G3740" s="11">
        <v>685</v>
      </c>
      <c r="H3740" s="11">
        <v>2180</v>
      </c>
      <c r="I3740" s="11">
        <v>1</v>
      </c>
      <c r="J3740" s="11">
        <v>0</v>
      </c>
      <c r="K3740" s="11" t="s">
        <v>21</v>
      </c>
      <c r="L3740" s="7">
        <v>41274.12158564815</v>
      </c>
      <c r="M3740" s="12" t="s">
        <v>1116</v>
      </c>
      <c r="N3740" s="12" t="s">
        <v>8985</v>
      </c>
      <c r="O3740" s="10" t="str">
        <f>HYPERLINK("https://pbs.twimg.com/profile_images/683592930918019072/SnHKNKAI_normal.jpg","View")</f>
        <v>View</v>
      </c>
      <c r="P3740" s="11"/>
    </row>
    <row r="3741" spans="1:16" ht="12.75" x14ac:dyDescent="0.35">
      <c r="A3741" s="7">
        <v>42482.789247685185</v>
      </c>
      <c r="B3741" s="8" t="str">
        <f>HYPERLINK("https://twitter.com/doern","@doern")</f>
        <v>@doern</v>
      </c>
      <c r="C3741" s="9" t="s">
        <v>3107</v>
      </c>
      <c r="D3741" s="9" t="s">
        <v>8986</v>
      </c>
      <c r="E3741" s="10" t="str">
        <f>HYPERLINK("https://twitter.com/doern/status/723503248787812352","723503248787812352")</f>
        <v>723503248787812352</v>
      </c>
      <c r="F3741" s="11" t="s">
        <v>43</v>
      </c>
      <c r="G3741" s="11">
        <v>364</v>
      </c>
      <c r="H3741" s="11">
        <v>63</v>
      </c>
      <c r="I3741" s="11">
        <v>0</v>
      </c>
      <c r="J3741" s="11">
        <v>0</v>
      </c>
      <c r="K3741" s="11" t="s">
        <v>21</v>
      </c>
      <c r="L3741" s="7">
        <v>39909.663194444445</v>
      </c>
      <c r="M3741" s="12" t="s">
        <v>262</v>
      </c>
      <c r="N3741" s="12" t="s">
        <v>3109</v>
      </c>
      <c r="O3741" s="10" t="str">
        <f>HYPERLINK("https://pbs.twimg.com/profile_images/657853466384191488/J6vAnfZr_normal.jpg","View")</f>
        <v>View</v>
      </c>
      <c r="P3741" s="11"/>
    </row>
    <row r="3742" spans="1:16" ht="12.75" x14ac:dyDescent="0.35">
      <c r="A3742" s="7">
        <v>42482.789305555554</v>
      </c>
      <c r="B3742" s="8" t="str">
        <f>HYPERLINK("https://twitter.com/ZDFinfo","@ZDFinfo")</f>
        <v>@ZDFinfo</v>
      </c>
      <c r="C3742" s="9" t="s">
        <v>8987</v>
      </c>
      <c r="D3742" s="9" t="s">
        <v>8803</v>
      </c>
      <c r="E3742" s="10" t="str">
        <f>HYPERLINK("https://twitter.com/ZDFinfo/status/723503270401048576","723503270401048576")</f>
        <v>723503270401048576</v>
      </c>
      <c r="F3742" s="11" t="s">
        <v>63</v>
      </c>
      <c r="G3742" s="11">
        <v>15337</v>
      </c>
      <c r="H3742" s="11">
        <v>250</v>
      </c>
      <c r="I3742" s="11">
        <v>2</v>
      </c>
      <c r="J3742" s="11">
        <v>0</v>
      </c>
      <c r="K3742" s="11" t="s">
        <v>21</v>
      </c>
      <c r="L3742" s="7">
        <v>41114.834016203706</v>
      </c>
      <c r="M3742" s="12" t="s">
        <v>3186</v>
      </c>
      <c r="N3742" s="12" t="s">
        <v>8988</v>
      </c>
      <c r="O3742" s="10" t="str">
        <f>HYPERLINK("https://pbs.twimg.com/profile_images/603477029095366657/LuJjvT8-_normal.png","View")</f>
        <v>View</v>
      </c>
      <c r="P3742" s="11"/>
    </row>
    <row r="3743" spans="1:16" ht="12.75" x14ac:dyDescent="0.35">
      <c r="A3743" s="7">
        <v>42482.789467592593</v>
      </c>
      <c r="B3743" s="8" t="str">
        <f>HYPERLINK("https://twitter.com/mvdweyer","@mvdweyer")</f>
        <v>@mvdweyer</v>
      </c>
      <c r="C3743" s="9" t="s">
        <v>1319</v>
      </c>
      <c r="D3743" s="9" t="s">
        <v>8989</v>
      </c>
      <c r="E3743" s="10" t="str">
        <f>HYPERLINK("https://twitter.com/mvdweyer/status/723503328005640192","723503328005640192")</f>
        <v>723503328005640192</v>
      </c>
      <c r="F3743" s="11" t="s">
        <v>43</v>
      </c>
      <c r="G3743" s="11">
        <v>479</v>
      </c>
      <c r="H3743" s="11">
        <v>830</v>
      </c>
      <c r="I3743" s="11">
        <v>0</v>
      </c>
      <c r="J3743" s="11">
        <v>0</v>
      </c>
      <c r="K3743" s="11" t="s">
        <v>21</v>
      </c>
      <c r="L3743" s="7">
        <v>41129.776863425926</v>
      </c>
      <c r="M3743" s="12" t="s">
        <v>1229</v>
      </c>
      <c r="N3743" s="12" t="s">
        <v>1321</v>
      </c>
      <c r="O3743" s="10" t="str">
        <f>HYPERLINK("https://pbs.twimg.com/profile_images/489747056584445953/3tvslEko_normal.jpeg","View")</f>
        <v>View</v>
      </c>
      <c r="P3743" s="11"/>
    </row>
    <row r="3744" spans="1:16" ht="12.75" x14ac:dyDescent="0.35">
      <c r="A3744" s="7">
        <v>42482.789641203708</v>
      </c>
      <c r="B3744" s="8" t="str">
        <f>HYPERLINK("https://twitter.com/IngoHiller","@IngoHiller")</f>
        <v>@IngoHiller</v>
      </c>
      <c r="C3744" s="9" t="s">
        <v>8990</v>
      </c>
      <c r="D3744" s="9" t="s">
        <v>8991</v>
      </c>
      <c r="E3744" s="10" t="str">
        <f>HYPERLINK("https://twitter.com/IngoHiller/status/723503390593015809","723503390593015809")</f>
        <v>723503390593015809</v>
      </c>
      <c r="F3744" s="11" t="s">
        <v>43</v>
      </c>
      <c r="G3744" s="11">
        <v>63</v>
      </c>
      <c r="H3744" s="11">
        <v>70</v>
      </c>
      <c r="I3744" s="11">
        <v>0</v>
      </c>
      <c r="J3744" s="11">
        <v>0</v>
      </c>
      <c r="K3744" s="11" t="s">
        <v>21</v>
      </c>
      <c r="L3744" s="7">
        <v>42319.15724537037</v>
      </c>
      <c r="M3744" s="12" t="s">
        <v>8992</v>
      </c>
      <c r="N3744" s="12" t="s">
        <v>8993</v>
      </c>
      <c r="O3744" s="10" t="str">
        <f>HYPERLINK("https://pbs.twimg.com/profile_images/667438658325204992/5x5_xu7z_normal.jpg","View")</f>
        <v>View</v>
      </c>
      <c r="P3744" s="11"/>
    </row>
    <row r="3745" spans="1:16" ht="12.75" x14ac:dyDescent="0.35">
      <c r="A3745" s="7">
        <v>42482.78974537037</v>
      </c>
      <c r="B3745" s="8" t="str">
        <f>HYPERLINK("https://twitter.com/har155","@har155")</f>
        <v>@har155</v>
      </c>
      <c r="C3745" s="9" t="s">
        <v>8994</v>
      </c>
      <c r="D3745" s="9" t="s">
        <v>8995</v>
      </c>
      <c r="E3745" s="10" t="str">
        <f>HYPERLINK("https://twitter.com/har155/status/723503428803112960","723503428803112960")</f>
        <v>723503428803112960</v>
      </c>
      <c r="F3745" s="11" t="s">
        <v>20</v>
      </c>
      <c r="G3745" s="11">
        <v>794</v>
      </c>
      <c r="H3745" s="11">
        <v>970</v>
      </c>
      <c r="I3745" s="11">
        <v>0</v>
      </c>
      <c r="J3745" s="11">
        <v>1</v>
      </c>
      <c r="K3745" s="11" t="s">
        <v>21</v>
      </c>
      <c r="L3745" s="7">
        <v>40675.073148148149</v>
      </c>
      <c r="M3745" s="12" t="s">
        <v>8996</v>
      </c>
      <c r="N3745" s="12" t="s">
        <v>8997</v>
      </c>
      <c r="O3745" s="10" t="str">
        <f>HYPERLINK("https://pbs.twimg.com/profile_images/598204778066223104/T3e5yqH5_normal.png","View")</f>
        <v>View</v>
      </c>
      <c r="P3745" s="11"/>
    </row>
    <row r="3746" spans="1:16" ht="12.75" x14ac:dyDescent="0.35">
      <c r="A3746" s="7">
        <v>42482.789756944447</v>
      </c>
      <c r="B3746" s="8" t="str">
        <f>HYPERLINK("https://twitter.com/Symbol_FR","@Symbol_FR")</f>
        <v>@Symbol_FR</v>
      </c>
      <c r="C3746" s="9" t="s">
        <v>8649</v>
      </c>
      <c r="D3746" s="9" t="s">
        <v>8711</v>
      </c>
      <c r="E3746" s="10" t="str">
        <f>HYPERLINK("https://twitter.com/Symbol_FR/status/723503433437859841","723503433437859841")</f>
        <v>723503433437859841</v>
      </c>
      <c r="F3746" s="11" t="s">
        <v>43</v>
      </c>
      <c r="G3746" s="11">
        <v>319</v>
      </c>
      <c r="H3746" s="11">
        <v>759</v>
      </c>
      <c r="I3746" s="11">
        <v>3</v>
      </c>
      <c r="J3746" s="11">
        <v>0</v>
      </c>
      <c r="K3746" s="11" t="s">
        <v>21</v>
      </c>
      <c r="L3746" s="7">
        <v>42303.491909722223</v>
      </c>
      <c r="M3746" s="12" t="s">
        <v>8651</v>
      </c>
      <c r="N3746" s="12"/>
      <c r="O3746" s="10" t="str">
        <f>HYPERLINK("https://pbs.twimg.com/profile_images/664042740334903296/QuAZGTTR_normal.jpg","View")</f>
        <v>View</v>
      </c>
      <c r="P3746" s="11"/>
    </row>
    <row r="3747" spans="1:16" ht="12.75" x14ac:dyDescent="0.35">
      <c r="A3747" s="7">
        <v>42482.789907407408</v>
      </c>
      <c r="B3747" s="8" t="str">
        <f>HYPERLINK("https://twitter.com/Adventure_Ost","@Adventure_Ost")</f>
        <v>@Adventure_Ost</v>
      </c>
      <c r="C3747" s="9" t="s">
        <v>8998</v>
      </c>
      <c r="D3747" s="9" t="s">
        <v>8999</v>
      </c>
      <c r="E3747" s="10" t="str">
        <f>HYPERLINK("https://twitter.com/Adventure_Ost/status/723503489658294272","723503489658294272")</f>
        <v>723503489658294272</v>
      </c>
      <c r="F3747" s="11" t="s">
        <v>48</v>
      </c>
      <c r="G3747" s="11">
        <v>186</v>
      </c>
      <c r="H3747" s="11">
        <v>517</v>
      </c>
      <c r="I3747" s="11">
        <v>0</v>
      </c>
      <c r="J3747" s="11">
        <v>0</v>
      </c>
      <c r="K3747" s="11" t="s">
        <v>21</v>
      </c>
      <c r="L3747" s="7">
        <v>41531.522418981483</v>
      </c>
      <c r="M3747" s="12" t="s">
        <v>9000</v>
      </c>
      <c r="N3747" s="12" t="s">
        <v>9001</v>
      </c>
      <c r="O3747" s="10" t="str">
        <f>HYPERLINK("https://pbs.twimg.com/profile_images/532998370718019584/w0EXTdQ2_normal.jpeg","View")</f>
        <v>View</v>
      </c>
      <c r="P3747" s="11"/>
    </row>
    <row r="3748" spans="1:16" ht="12.75" x14ac:dyDescent="0.35">
      <c r="A3748" s="7">
        <v>42482.789942129632</v>
      </c>
      <c r="B3748" s="8" t="str">
        <f>HYPERLINK("https://twitter.com/FrankBauHa","@FrankBauHa")</f>
        <v>@FrankBauHa</v>
      </c>
      <c r="C3748" s="9" t="s">
        <v>9002</v>
      </c>
      <c r="D3748" s="9" t="s">
        <v>9003</v>
      </c>
      <c r="E3748" s="10" t="str">
        <f>HYPERLINK("https://twitter.com/FrankBauHa/status/723503500429283328","723503500429283328")</f>
        <v>723503500429283328</v>
      </c>
      <c r="F3748" s="11" t="s">
        <v>20</v>
      </c>
      <c r="G3748" s="11">
        <v>271</v>
      </c>
      <c r="H3748" s="11">
        <v>137</v>
      </c>
      <c r="I3748" s="11">
        <v>0</v>
      </c>
      <c r="J3748" s="11">
        <v>0</v>
      </c>
      <c r="K3748" s="11" t="s">
        <v>21</v>
      </c>
      <c r="L3748" s="7">
        <v>42017.768171296295</v>
      </c>
      <c r="M3748" s="12" t="s">
        <v>9004</v>
      </c>
      <c r="N3748" s="12" t="s">
        <v>9005</v>
      </c>
      <c r="O3748" s="10" t="str">
        <f>HYPERLINK("https://pbs.twimg.com/profile_images/573395717953224705/aSHONgO9_normal.jpeg","View")</f>
        <v>View</v>
      </c>
      <c r="P3748" s="11"/>
    </row>
    <row r="3749" spans="1:16" ht="12.75" x14ac:dyDescent="0.35">
      <c r="A3749" s="7">
        <v>42482.790300925924</v>
      </c>
      <c r="B3749" s="8" t="str">
        <f>HYPERLINK("https://twitter.com/Hopliten","@Hopliten")</f>
        <v>@Hopliten</v>
      </c>
      <c r="C3749" s="9" t="s">
        <v>9006</v>
      </c>
      <c r="D3749" s="9" t="s">
        <v>9007</v>
      </c>
      <c r="E3749" s="10" t="str">
        <f>HYPERLINK("https://twitter.com/Hopliten/status/723503629819224068","723503629819224068")</f>
        <v>723503629819224068</v>
      </c>
      <c r="F3749" s="11" t="s">
        <v>34</v>
      </c>
      <c r="G3749" s="11">
        <v>947</v>
      </c>
      <c r="H3749" s="11">
        <v>225</v>
      </c>
      <c r="I3749" s="11">
        <v>0</v>
      </c>
      <c r="J3749" s="11">
        <v>0</v>
      </c>
      <c r="K3749" s="11" t="s">
        <v>21</v>
      </c>
      <c r="L3749" s="7">
        <v>41295.833796296298</v>
      </c>
      <c r="M3749" s="12" t="s">
        <v>1359</v>
      </c>
      <c r="N3749" s="12" t="s">
        <v>9008</v>
      </c>
      <c r="O3749" s="10" t="str">
        <f>HYPERLINK("https://pbs.twimg.com/profile_images/674334047712100352/gCp94avW_normal.png","View")</f>
        <v>View</v>
      </c>
      <c r="P3749" s="11"/>
    </row>
    <row r="3750" spans="1:16" ht="12.75" x14ac:dyDescent="0.35">
      <c r="A3750" s="7">
        <v>42482.790439814809</v>
      </c>
      <c r="B3750" s="8" t="str">
        <f>HYPERLINK("https://twitter.com/Test_Achats","@Test_Achats")</f>
        <v>@Test_Achats</v>
      </c>
      <c r="C3750" s="9" t="s">
        <v>1757</v>
      </c>
      <c r="D3750" s="9" t="s">
        <v>7830</v>
      </c>
      <c r="E3750" s="10" t="str">
        <f>HYPERLINK("https://twitter.com/Test_Achats/status/723503683443548160","723503683443548160")</f>
        <v>723503683443548160</v>
      </c>
      <c r="F3750" s="11" t="s">
        <v>43</v>
      </c>
      <c r="G3750" s="11">
        <v>1799</v>
      </c>
      <c r="H3750" s="11">
        <v>112</v>
      </c>
      <c r="I3750" s="11">
        <v>3</v>
      </c>
      <c r="J3750" s="11">
        <v>0</v>
      </c>
      <c r="K3750" s="11" t="s">
        <v>21</v>
      </c>
      <c r="L3750" s="7">
        <v>40106.659560185188</v>
      </c>
      <c r="M3750" s="12" t="s">
        <v>980</v>
      </c>
      <c r="N3750" s="12"/>
      <c r="O3750" s="10" t="str">
        <f>HYPERLINK("https://pbs.twimg.com/profile_images/717651142327607296/1uRZ3jg3_normal.jpg","View")</f>
        <v>View</v>
      </c>
      <c r="P3750" s="11"/>
    </row>
    <row r="3751" spans="1:16" ht="12.75" x14ac:dyDescent="0.35">
      <c r="A3751" s="7">
        <v>42482.790671296301</v>
      </c>
      <c r="B3751" s="8" t="str">
        <f>HYPERLINK("https://twitter.com/Paco_Coyotl","@Paco_Coyotl")</f>
        <v>@Paco_Coyotl</v>
      </c>
      <c r="C3751" s="9" t="s">
        <v>9009</v>
      </c>
      <c r="D3751" s="9" t="s">
        <v>158</v>
      </c>
      <c r="E3751" s="10" t="str">
        <f>HYPERLINK("https://twitter.com/Paco_Coyotl/status/723503767803420672","723503767803420672")</f>
        <v>723503767803420672</v>
      </c>
      <c r="F3751" s="11" t="s">
        <v>48</v>
      </c>
      <c r="G3751" s="11">
        <v>50</v>
      </c>
      <c r="H3751" s="11">
        <v>268</v>
      </c>
      <c r="I3751" s="11">
        <v>25</v>
      </c>
      <c r="J3751" s="11">
        <v>0</v>
      </c>
      <c r="K3751" s="11" t="s">
        <v>21</v>
      </c>
      <c r="L3751" s="7">
        <v>40253.917395833334</v>
      </c>
      <c r="M3751" s="12" t="s">
        <v>9010</v>
      </c>
      <c r="N3751" s="12" t="s">
        <v>9011</v>
      </c>
      <c r="O3751" s="10" t="str">
        <f>HYPERLINK("https://pbs.twimg.com/profile_images/711242536082231297/Znog1p3s_normal.jpg","View")</f>
        <v>View</v>
      </c>
      <c r="P3751" s="11"/>
    </row>
    <row r="3752" spans="1:16" ht="12.75" x14ac:dyDescent="0.35">
      <c r="A3752" s="7">
        <v>42482.790729166663</v>
      </c>
      <c r="B3752" s="8" t="str">
        <f>HYPERLINK("https://twitter.com/Dr_JAH","@Dr_JAH")</f>
        <v>@Dr_JAH</v>
      </c>
      <c r="C3752" s="9" t="s">
        <v>8928</v>
      </c>
      <c r="D3752" s="9" t="s">
        <v>9012</v>
      </c>
      <c r="E3752" s="10" t="str">
        <f>HYPERLINK("https://twitter.com/Dr_JAH/status/723503785159606272","723503785159606272")</f>
        <v>723503785159606272</v>
      </c>
      <c r="F3752" s="11" t="s">
        <v>43</v>
      </c>
      <c r="G3752" s="11">
        <v>400</v>
      </c>
      <c r="H3752" s="11">
        <v>473</v>
      </c>
      <c r="I3752" s="11">
        <v>0</v>
      </c>
      <c r="J3752" s="11">
        <v>0</v>
      </c>
      <c r="K3752" s="11" t="s">
        <v>21</v>
      </c>
      <c r="L3752" s="7">
        <v>40753.644826388889</v>
      </c>
      <c r="M3752" s="12" t="s">
        <v>8929</v>
      </c>
      <c r="N3752" s="12" t="s">
        <v>8930</v>
      </c>
      <c r="O3752" s="10" t="str">
        <f>HYPERLINK("https://pbs.twimg.com/profile_images/723427380052684801/kyiUrlPW_normal.jpg","View")</f>
        <v>View</v>
      </c>
      <c r="P3752" s="11"/>
    </row>
    <row r="3753" spans="1:16" ht="12.75" x14ac:dyDescent="0.35">
      <c r="A3753" s="7">
        <v>42482.790856481486</v>
      </c>
      <c r="B3753" s="8" t="str">
        <f>HYPERLINK("https://twitter.com/dw_business","@dw_business")</f>
        <v>@dw_business</v>
      </c>
      <c r="C3753" s="9" t="s">
        <v>3512</v>
      </c>
      <c r="D3753" s="9" t="s">
        <v>9013</v>
      </c>
      <c r="E3753" s="10" t="str">
        <f>HYPERLINK("https://twitter.com/dw_business/status/723503835096993793","723503835096993793")</f>
        <v>723503835096993793</v>
      </c>
      <c r="F3753" s="11" t="s">
        <v>43</v>
      </c>
      <c r="G3753" s="11">
        <v>6219</v>
      </c>
      <c r="H3753" s="11">
        <v>250</v>
      </c>
      <c r="I3753" s="11">
        <v>1</v>
      </c>
      <c r="J3753" s="11">
        <v>0</v>
      </c>
      <c r="K3753" s="11" t="s">
        <v>21</v>
      </c>
      <c r="L3753" s="7">
        <v>39919.595196759255</v>
      </c>
      <c r="M3753" s="12" t="s">
        <v>1303</v>
      </c>
      <c r="N3753" s="12" t="s">
        <v>3514</v>
      </c>
      <c r="O3753" s="10" t="str">
        <f>HYPERLINK("https://pbs.twimg.com/profile_images/474178130312044544/-U2TP65D_normal.png","View")</f>
        <v>View</v>
      </c>
      <c r="P3753" s="11"/>
    </row>
    <row r="3754" spans="1:16" ht="12.75" x14ac:dyDescent="0.35">
      <c r="A3754" s="7">
        <v>42482.790995370371</v>
      </c>
      <c r="B3754" s="8" t="str">
        <f>HYPERLINK("https://twitter.com/JonathanEley","@JonathanEley")</f>
        <v>@JonathanEley</v>
      </c>
      <c r="C3754" s="9" t="s">
        <v>9014</v>
      </c>
      <c r="D3754" s="9" t="s">
        <v>9015</v>
      </c>
      <c r="E3754" s="10" t="str">
        <f>HYPERLINK("https://twitter.com/JonathanEley/status/723503884942118912","723503884942118912")</f>
        <v>723503884942118912</v>
      </c>
      <c r="F3754" s="11" t="s">
        <v>43</v>
      </c>
      <c r="G3754" s="11">
        <v>4402</v>
      </c>
      <c r="H3754" s="11">
        <v>163</v>
      </c>
      <c r="I3754" s="11">
        <v>0</v>
      </c>
      <c r="J3754" s="11">
        <v>0</v>
      </c>
      <c r="K3754" s="11" t="s">
        <v>21</v>
      </c>
      <c r="L3754" s="7">
        <v>40613.691689814819</v>
      </c>
      <c r="M3754" s="12" t="s">
        <v>9016</v>
      </c>
      <c r="N3754" s="12" t="s">
        <v>9017</v>
      </c>
      <c r="O3754" s="10" t="str">
        <f>HYPERLINK("https://pbs.twimg.com/profile_images/529226389971427328/R4qUNsga_normal.jpeg","View")</f>
        <v>View</v>
      </c>
      <c r="P3754" s="11"/>
    </row>
    <row r="3755" spans="1:16" ht="12.75" x14ac:dyDescent="0.35">
      <c r="A3755" s="7">
        <v>42482.791018518517</v>
      </c>
      <c r="B3755" s="8" t="str">
        <f>HYPERLINK("https://twitter.com/Dreisessel_AM","@Dreisessel_AM")</f>
        <v>@Dreisessel_AM</v>
      </c>
      <c r="C3755" s="9" t="s">
        <v>9018</v>
      </c>
      <c r="D3755" s="9" t="s">
        <v>9019</v>
      </c>
      <c r="E3755" s="10" t="str">
        <f>HYPERLINK("https://twitter.com/Dreisessel_AM/status/723503889698447360","723503889698447360")</f>
        <v>723503889698447360</v>
      </c>
      <c r="F3755" s="11" t="s">
        <v>20</v>
      </c>
      <c r="G3755" s="11">
        <v>31</v>
      </c>
      <c r="H3755" s="11">
        <v>72</v>
      </c>
      <c r="I3755" s="11">
        <v>0</v>
      </c>
      <c r="J3755" s="11">
        <v>0</v>
      </c>
      <c r="K3755" s="11" t="s">
        <v>21</v>
      </c>
      <c r="L3755" s="7">
        <v>42336.900451388894</v>
      </c>
      <c r="M3755" s="12" t="s">
        <v>3918</v>
      </c>
      <c r="N3755" s="12" t="s">
        <v>9020</v>
      </c>
      <c r="O3755" s="10" t="str">
        <f>HYPERLINK("https://pbs.twimg.com/profile_images/686276072120414208/nhKLB-ej_normal.jpg","View")</f>
        <v>View</v>
      </c>
      <c r="P3755" s="11"/>
    </row>
    <row r="3756" spans="1:16" ht="12.75" x14ac:dyDescent="0.35">
      <c r="A3756" s="7">
        <v>42482.791192129633</v>
      </c>
      <c r="B3756" s="8" t="str">
        <f>HYPERLINK("https://twitter.com/Team_BKR_","@Team_BKR_")</f>
        <v>@Team_BKR_</v>
      </c>
      <c r="C3756" s="9" t="s">
        <v>9021</v>
      </c>
      <c r="D3756" s="9" t="s">
        <v>8431</v>
      </c>
      <c r="E3756" s="10" t="str">
        <f>HYPERLINK("https://twitter.com/Team_BKR_/status/723503952977862656","723503952977862656")</f>
        <v>723503952977862656</v>
      </c>
      <c r="F3756" s="11" t="s">
        <v>20</v>
      </c>
      <c r="G3756" s="11">
        <v>770</v>
      </c>
      <c r="H3756" s="11">
        <v>245</v>
      </c>
      <c r="I3756" s="11">
        <v>3</v>
      </c>
      <c r="J3756" s="11">
        <v>0</v>
      </c>
      <c r="K3756" s="11" t="s">
        <v>21</v>
      </c>
      <c r="L3756" s="7">
        <v>40723.172361111108</v>
      </c>
      <c r="M3756" s="12" t="s">
        <v>35</v>
      </c>
      <c r="N3756" s="12" t="s">
        <v>9022</v>
      </c>
      <c r="O3756" s="10" t="str">
        <f>HYPERLINK("https://pbs.twimg.com/profile_images/585726953682051072/vHQ7FYsb_normal.jpg","View")</f>
        <v>View</v>
      </c>
      <c r="P3756" s="11"/>
    </row>
    <row r="3757" spans="1:16" ht="12.75" x14ac:dyDescent="0.35">
      <c r="A3757" s="7">
        <v>42482.791226851856</v>
      </c>
      <c r="B3757" s="8" t="str">
        <f>HYPERLINK("https://twitter.com/BenFajzullin","@BenFajzullin")</f>
        <v>@BenFajzullin</v>
      </c>
      <c r="C3757" s="9" t="s">
        <v>4792</v>
      </c>
      <c r="D3757" s="9" t="s">
        <v>9023</v>
      </c>
      <c r="E3757" s="10" t="str">
        <f>HYPERLINK("https://twitter.com/BenFajzullin/status/723503966743629824","723503966743629824")</f>
        <v>723503966743629824</v>
      </c>
      <c r="F3757" s="11" t="s">
        <v>20</v>
      </c>
      <c r="G3757" s="11">
        <v>411</v>
      </c>
      <c r="H3757" s="11">
        <v>104</v>
      </c>
      <c r="I3757" s="11">
        <v>1</v>
      </c>
      <c r="J3757" s="11">
        <v>0</v>
      </c>
      <c r="K3757" s="11" t="s">
        <v>21</v>
      </c>
      <c r="L3757" s="7">
        <v>42025.160949074074</v>
      </c>
      <c r="M3757" s="12" t="s">
        <v>1359</v>
      </c>
      <c r="N3757" s="12" t="s">
        <v>4793</v>
      </c>
      <c r="O3757" s="10" t="str">
        <f>HYPERLINK("https://pbs.twimg.com/profile_images/712563568638619648/nNwSgK0o_normal.jpg","View")</f>
        <v>View</v>
      </c>
      <c r="P3757" s="11"/>
    </row>
    <row r="3758" spans="1:16" ht="12.75" x14ac:dyDescent="0.35">
      <c r="A3758" s="7">
        <v>42482.791435185187</v>
      </c>
      <c r="B3758" s="8" t="str">
        <f>HYPERLINK("https://twitter.com/JonathanEley","@JonathanEley")</f>
        <v>@JonathanEley</v>
      </c>
      <c r="C3758" s="9" t="s">
        <v>9014</v>
      </c>
      <c r="D3758" s="9" t="s">
        <v>9024</v>
      </c>
      <c r="E3758" s="10" t="str">
        <f>HYPERLINK("https://twitter.com/JonathanEley/status/723504040915640320","723504040915640320")</f>
        <v>723504040915640320</v>
      </c>
      <c r="F3758" s="11" t="s">
        <v>43</v>
      </c>
      <c r="G3758" s="11">
        <v>4402</v>
      </c>
      <c r="H3758" s="11">
        <v>163</v>
      </c>
      <c r="I3758" s="11">
        <v>0</v>
      </c>
      <c r="J3758" s="11">
        <v>0</v>
      </c>
      <c r="K3758" s="11" t="s">
        <v>21</v>
      </c>
      <c r="L3758" s="7">
        <v>40613.691689814819</v>
      </c>
      <c r="M3758" s="12" t="s">
        <v>9016</v>
      </c>
      <c r="N3758" s="12" t="s">
        <v>9017</v>
      </c>
      <c r="O3758" s="10" t="str">
        <f>HYPERLINK("https://pbs.twimg.com/profile_images/529226389971427328/R4qUNsga_normal.jpeg","View")</f>
        <v>View</v>
      </c>
      <c r="P3758" s="11"/>
    </row>
    <row r="3759" spans="1:16" ht="12.75" x14ac:dyDescent="0.35">
      <c r="A3759" s="7">
        <v>42482.791828703703</v>
      </c>
      <c r="B3759" s="8" t="str">
        <f>HYPERLINK("https://twitter.com/Maciel_Ariel","@Maciel_Ariel")</f>
        <v>@Maciel_Ariel</v>
      </c>
      <c r="C3759" s="9" t="s">
        <v>9025</v>
      </c>
      <c r="D3759" s="9" t="s">
        <v>9026</v>
      </c>
      <c r="E3759" s="10" t="str">
        <f>HYPERLINK("https://twitter.com/Maciel_Ariel/status/723504184583032835","723504184583032835")</f>
        <v>723504184583032835</v>
      </c>
      <c r="F3759" s="11" t="s">
        <v>114</v>
      </c>
      <c r="G3759" s="11">
        <v>290</v>
      </c>
      <c r="H3759" s="11">
        <v>380</v>
      </c>
      <c r="I3759" s="11">
        <v>0</v>
      </c>
      <c r="J3759" s="11">
        <v>0</v>
      </c>
      <c r="K3759" s="11" t="s">
        <v>21</v>
      </c>
      <c r="L3759" s="7">
        <v>40765.306458333333</v>
      </c>
      <c r="M3759" s="12" t="s">
        <v>9027</v>
      </c>
      <c r="N3759" s="12" t="s">
        <v>9028</v>
      </c>
      <c r="O3759" s="10" t="str">
        <f>HYPERLINK("https://pbs.twimg.com/profile_images/700006076192788482/wBhtvnfL_normal.jpg","View")</f>
        <v>View</v>
      </c>
      <c r="P3759" s="10" t="str">
        <f>HYPERLINK("http://ctrlq.org/maps/address/#-26.673375,-57.137879","Map")</f>
        <v>Map</v>
      </c>
    </row>
    <row r="3760" spans="1:16" ht="12.75" x14ac:dyDescent="0.35">
      <c r="A3760" s="7">
        <v>42482.791956018518</v>
      </c>
      <c r="B3760" s="8" t="str">
        <f>HYPERLINK("https://twitter.com/APA_LEMONAID","@APA_LEMONAID")</f>
        <v>@APA_LEMONAID</v>
      </c>
      <c r="C3760" s="9" t="s">
        <v>8069</v>
      </c>
      <c r="D3760" s="9" t="s">
        <v>9029</v>
      </c>
      <c r="E3760" s="10" t="str">
        <f>HYPERLINK("https://twitter.com/APA_LEMONAID/status/723504233446805504","723504233446805504")</f>
        <v>723504233446805504</v>
      </c>
      <c r="F3760" s="11" t="s">
        <v>152</v>
      </c>
      <c r="G3760" s="11">
        <v>418</v>
      </c>
      <c r="H3760" s="11">
        <v>120</v>
      </c>
      <c r="I3760" s="11">
        <v>0</v>
      </c>
      <c r="J3760" s="11">
        <v>0</v>
      </c>
      <c r="K3760" s="11" t="s">
        <v>21</v>
      </c>
      <c r="L3760" s="7">
        <v>40795.772233796299</v>
      </c>
      <c r="M3760" s="12" t="s">
        <v>715</v>
      </c>
      <c r="N3760" s="12" t="s">
        <v>8071</v>
      </c>
      <c r="O3760" s="10" t="str">
        <f>HYPERLINK("https://pbs.twimg.com/profile_images/1535844911/Logo_normal.png","View")</f>
        <v>View</v>
      </c>
      <c r="P3760" s="11"/>
    </row>
    <row r="3761" spans="1:16" ht="12.75" x14ac:dyDescent="0.35">
      <c r="A3761" s="7">
        <v>42482.791990740741</v>
      </c>
      <c r="B3761" s="8" t="str">
        <f>HYPERLINK("https://twitter.com/dw_business","@dw_business")</f>
        <v>@dw_business</v>
      </c>
      <c r="C3761" s="9" t="s">
        <v>3512</v>
      </c>
      <c r="D3761" s="9" t="s">
        <v>9030</v>
      </c>
      <c r="E3761" s="10" t="str">
        <f>HYPERLINK("https://twitter.com/dw_business/status/723504242762387457","723504242762387457")</f>
        <v>723504242762387457</v>
      </c>
      <c r="F3761" s="11" t="s">
        <v>63</v>
      </c>
      <c r="G3761" s="11">
        <v>6219</v>
      </c>
      <c r="H3761" s="11">
        <v>250</v>
      </c>
      <c r="I3761" s="11">
        <v>1</v>
      </c>
      <c r="J3761" s="11">
        <v>0</v>
      </c>
      <c r="K3761" s="11" t="s">
        <v>21</v>
      </c>
      <c r="L3761" s="7">
        <v>39919.595196759255</v>
      </c>
      <c r="M3761" s="12" t="s">
        <v>1303</v>
      </c>
      <c r="N3761" s="12" t="s">
        <v>3514</v>
      </c>
      <c r="O3761" s="10" t="str">
        <f>HYPERLINK("https://pbs.twimg.com/profile_images/474178130312044544/-U2TP65D_normal.png","View")</f>
        <v>View</v>
      </c>
      <c r="P3761" s="11"/>
    </row>
    <row r="3762" spans="1:16" ht="12.75" x14ac:dyDescent="0.35">
      <c r="A3762" s="7">
        <v>42482.791990740741</v>
      </c>
      <c r="B3762" s="8" t="str">
        <f>HYPERLINK("https://twitter.com/heldini","@heldini")</f>
        <v>@heldini</v>
      </c>
      <c r="C3762" s="9" t="s">
        <v>9031</v>
      </c>
      <c r="D3762" s="9" t="s">
        <v>9032</v>
      </c>
      <c r="E3762" s="10" t="str">
        <f>HYPERLINK("https://twitter.com/heldini/status/723504242980470784","723504242980470784")</f>
        <v>723504242980470784</v>
      </c>
      <c r="F3762" s="11" t="s">
        <v>20</v>
      </c>
      <c r="G3762" s="11">
        <v>131</v>
      </c>
      <c r="H3762" s="11">
        <v>63</v>
      </c>
      <c r="I3762" s="11">
        <v>0</v>
      </c>
      <c r="J3762" s="11">
        <v>0</v>
      </c>
      <c r="K3762" s="11" t="s">
        <v>21</v>
      </c>
      <c r="L3762" s="7">
        <v>40281.941736111112</v>
      </c>
      <c r="M3762" s="12" t="s">
        <v>3706</v>
      </c>
      <c r="N3762" s="12" t="s">
        <v>9033</v>
      </c>
      <c r="O3762" s="10" t="str">
        <f>HYPERLINK("https://pbs.twimg.com/profile_images/614525396231524352/r7m8MMXA_normal.jpg","View")</f>
        <v>View</v>
      </c>
      <c r="P3762" s="11"/>
    </row>
    <row r="3763" spans="1:16" ht="12.75" x14ac:dyDescent="0.35">
      <c r="A3763" s="7">
        <v>42482.792013888888</v>
      </c>
      <c r="B3763" s="8" t="str">
        <f>HYPERLINK("https://twitter.com/cikuwa1","@cikuwa1")</f>
        <v>@cikuwa1</v>
      </c>
      <c r="C3763" s="9" t="s">
        <v>2181</v>
      </c>
      <c r="D3763" s="9" t="s">
        <v>3840</v>
      </c>
      <c r="E3763" s="10" t="str">
        <f>HYPERLINK("https://twitter.com/cikuwa1/status/723504252073562112","723504252073562112")</f>
        <v>723504252073562112</v>
      </c>
      <c r="F3763" s="11" t="s">
        <v>91</v>
      </c>
      <c r="G3763" s="11">
        <v>249</v>
      </c>
      <c r="H3763" s="11">
        <v>334</v>
      </c>
      <c r="I3763" s="11">
        <v>4</v>
      </c>
      <c r="J3763" s="11">
        <v>0</v>
      </c>
      <c r="K3763" s="11" t="s">
        <v>21</v>
      </c>
      <c r="L3763" s="7">
        <v>40528.764953703707</v>
      </c>
      <c r="M3763" s="12" t="s">
        <v>2182</v>
      </c>
      <c r="N3763" s="12" t="s">
        <v>2183</v>
      </c>
      <c r="O3763" s="10" t="str">
        <f>HYPERLINK("https://pbs.twimg.com/profile_images/719482832477794305/ANIK9yYM_normal.jpg","View")</f>
        <v>View</v>
      </c>
      <c r="P3763" s="11"/>
    </row>
    <row r="3764" spans="1:16" ht="12.75" x14ac:dyDescent="0.35">
      <c r="A3764" s="7">
        <v>42482.792083333334</v>
      </c>
      <c r="B3764" s="8" t="str">
        <f>HYPERLINK("https://twitter.com/Gorm_Bawssz","@Gorm_Bawssz")</f>
        <v>@Gorm_Bawssz</v>
      </c>
      <c r="C3764" s="9" t="s">
        <v>9034</v>
      </c>
      <c r="D3764" s="9" t="s">
        <v>8921</v>
      </c>
      <c r="E3764" s="10" t="str">
        <f>HYPERLINK("https://twitter.com/Gorm_Bawssz/status/723504276325150722","723504276325150722")</f>
        <v>723504276325150722</v>
      </c>
      <c r="F3764" s="11" t="s">
        <v>20</v>
      </c>
      <c r="G3764" s="11">
        <v>332</v>
      </c>
      <c r="H3764" s="11">
        <v>507</v>
      </c>
      <c r="I3764" s="11">
        <v>9</v>
      </c>
      <c r="J3764" s="11">
        <v>0</v>
      </c>
      <c r="K3764" s="11" t="s">
        <v>21</v>
      </c>
      <c r="L3764" s="7">
        <v>40140.087476851855</v>
      </c>
      <c r="M3764" s="12" t="s">
        <v>711</v>
      </c>
      <c r="N3764" s="12" t="s">
        <v>9035</v>
      </c>
      <c r="O3764" s="10" t="str">
        <f>HYPERLINK("https://pbs.twimg.com/profile_images/515258272925097986/JP22YdtR_normal.jpeg","View")</f>
        <v>View</v>
      </c>
      <c r="P3764" s="11"/>
    </row>
    <row r="3765" spans="1:16" ht="12.75" x14ac:dyDescent="0.35">
      <c r="A3765" s="7">
        <v>42482.792175925926</v>
      </c>
      <c r="B3765" s="8" t="str">
        <f>HYPERLINK("https://twitter.com/cotillo1","@cotillo1")</f>
        <v>@cotillo1</v>
      </c>
      <c r="C3765" s="9" t="s">
        <v>9036</v>
      </c>
      <c r="D3765" s="9" t="s">
        <v>9037</v>
      </c>
      <c r="E3765" s="10" t="str">
        <f>HYPERLINK("https://twitter.com/cotillo1/status/723504312773693440","723504312773693440")</f>
        <v>723504312773693440</v>
      </c>
      <c r="F3765" s="11" t="s">
        <v>43</v>
      </c>
      <c r="G3765" s="11">
        <v>366</v>
      </c>
      <c r="H3765" s="11">
        <v>417</v>
      </c>
      <c r="I3765" s="11">
        <v>0</v>
      </c>
      <c r="J3765" s="11">
        <v>0</v>
      </c>
      <c r="K3765" s="11" t="s">
        <v>21</v>
      </c>
      <c r="L3765" s="7">
        <v>41780.007604166669</v>
      </c>
      <c r="M3765" s="12" t="s">
        <v>9038</v>
      </c>
      <c r="N3765" s="12" t="s">
        <v>9039</v>
      </c>
      <c r="O3765" s="10" t="str">
        <f>HYPERLINK("https://pbs.twimg.com/profile_images/471156603769466880/81WpPgNR_normal.jpeg","View")</f>
        <v>View</v>
      </c>
      <c r="P3765" s="11"/>
    </row>
    <row r="3766" spans="1:16" ht="12.75" x14ac:dyDescent="0.35">
      <c r="A3766" s="7">
        <v>42482.792222222226</v>
      </c>
      <c r="B3766" s="8" t="str">
        <f>HYPERLINK("https://twitter.com/HollyBlomberg","@HollyBlomberg")</f>
        <v>@HollyBlomberg</v>
      </c>
      <c r="C3766" s="9" t="s">
        <v>9040</v>
      </c>
      <c r="D3766" s="9" t="s">
        <v>8672</v>
      </c>
      <c r="E3766" s="10" t="str">
        <f>HYPERLINK("https://twitter.com/HollyBlomberg/status/723504329605292032","723504329605292032")</f>
        <v>723504329605292032</v>
      </c>
      <c r="F3766" s="11" t="s">
        <v>91</v>
      </c>
      <c r="G3766" s="11">
        <v>4041</v>
      </c>
      <c r="H3766" s="11">
        <v>4729</v>
      </c>
      <c r="I3766" s="11">
        <v>2</v>
      </c>
      <c r="J3766" s="11">
        <v>0</v>
      </c>
      <c r="K3766" s="11" t="s">
        <v>21</v>
      </c>
      <c r="L3766" s="7">
        <v>40602.971875000003</v>
      </c>
      <c r="M3766" s="12"/>
      <c r="N3766" s="12" t="s">
        <v>9041</v>
      </c>
      <c r="O3766" s="10" t="str">
        <f>HYPERLINK("https://pbs.twimg.com/profile_images/722961163114283008/ASqOyy45_normal.jpg","View")</f>
        <v>View</v>
      </c>
      <c r="P3766" s="11"/>
    </row>
    <row r="3767" spans="1:16" ht="12.75" x14ac:dyDescent="0.35">
      <c r="A3767" s="7">
        <v>42482.792245370365</v>
      </c>
      <c r="B3767" s="8" t="str">
        <f>HYPERLINK("https://twitter.com/cducsubt","@cducsubt")</f>
        <v>@cducsubt</v>
      </c>
      <c r="C3767" s="9" t="s">
        <v>9042</v>
      </c>
      <c r="D3767" s="9" t="s">
        <v>9043</v>
      </c>
      <c r="E3767" s="10" t="str">
        <f>HYPERLINK("https://twitter.com/cducsubt/status/723504336182075393","723504336182075393")</f>
        <v>723504336182075393</v>
      </c>
      <c r="F3767" s="11" t="s">
        <v>63</v>
      </c>
      <c r="G3767" s="11">
        <v>46027</v>
      </c>
      <c r="H3767" s="11">
        <v>709</v>
      </c>
      <c r="I3767" s="11">
        <v>1</v>
      </c>
      <c r="J3767" s="11">
        <v>0</v>
      </c>
      <c r="K3767" s="11" t="s">
        <v>21</v>
      </c>
      <c r="L3767" s="7">
        <v>39974.683888888889</v>
      </c>
      <c r="M3767" s="12" t="s">
        <v>1359</v>
      </c>
      <c r="N3767" s="12" t="s">
        <v>9044</v>
      </c>
      <c r="O3767" s="10" t="str">
        <f>HYPERLINK("https://pbs.twimg.com/profile_images/2527256269/ursvsnoadffhlpb3yaek_normal.png","View")</f>
        <v>View</v>
      </c>
      <c r="P3767" s="11"/>
    </row>
    <row r="3768" spans="1:16" ht="12.75" x14ac:dyDescent="0.35">
      <c r="A3768" s="7">
        <v>42482.792291666672</v>
      </c>
      <c r="B3768" s="8" t="str">
        <f>HYPERLINK("https://twitter.com/ILCtsxv","@ILCtsxv")</f>
        <v>@ILCtsxv</v>
      </c>
      <c r="C3768" s="9" t="s">
        <v>9045</v>
      </c>
      <c r="D3768" s="9" t="s">
        <v>9046</v>
      </c>
      <c r="E3768" s="10" t="str">
        <f>HYPERLINK("https://twitter.com/ILCtsxv/status/723504355031285760","723504355031285760")</f>
        <v>723504355031285760</v>
      </c>
      <c r="F3768" s="11" t="s">
        <v>43</v>
      </c>
      <c r="G3768" s="11">
        <v>1982</v>
      </c>
      <c r="H3768" s="11">
        <v>2486</v>
      </c>
      <c r="I3768" s="11">
        <v>0</v>
      </c>
      <c r="J3768" s="11">
        <v>0</v>
      </c>
      <c r="K3768" s="11" t="s">
        <v>21</v>
      </c>
      <c r="L3768" s="7">
        <v>40914.173680555556</v>
      </c>
      <c r="M3768" s="12" t="s">
        <v>9047</v>
      </c>
      <c r="N3768" s="12" t="s">
        <v>9048</v>
      </c>
      <c r="O3768" s="10" t="str">
        <f>HYPERLINK("https://pbs.twimg.com/profile_images/1738815421/li_normal.JPG","View")</f>
        <v>View</v>
      </c>
      <c r="P3768" s="11"/>
    </row>
    <row r="3769" spans="1:16" ht="12.75" x14ac:dyDescent="0.35">
      <c r="A3769" s="7">
        <v>42482.792453703703</v>
      </c>
      <c r="B3769" s="8" t="str">
        <f>HYPERLINK("https://twitter.com/weserkurier","@weserkurier")</f>
        <v>@weserkurier</v>
      </c>
      <c r="C3769" s="9" t="s">
        <v>9049</v>
      </c>
      <c r="D3769" s="9" t="s">
        <v>9050</v>
      </c>
      <c r="E3769" s="10" t="str">
        <f>HYPERLINK("https://twitter.com/weserkurier/status/723504413051092992","723504413051092992")</f>
        <v>723504413051092992</v>
      </c>
      <c r="F3769" s="11" t="s">
        <v>63</v>
      </c>
      <c r="G3769" s="11">
        <v>29412</v>
      </c>
      <c r="H3769" s="11">
        <v>184</v>
      </c>
      <c r="I3769" s="11">
        <v>0</v>
      </c>
      <c r="J3769" s="11">
        <v>0</v>
      </c>
      <c r="K3769" s="11" t="s">
        <v>21</v>
      </c>
      <c r="L3769" s="7">
        <v>39965.728750000002</v>
      </c>
      <c r="M3769" s="12" t="s">
        <v>5234</v>
      </c>
      <c r="N3769" s="12" t="s">
        <v>9051</v>
      </c>
      <c r="O3769" s="10" t="str">
        <f>HYPERLINK("https://pbs.twimg.com/profile_images/701759474198036480/d3ldpfv0_normal.png","View")</f>
        <v>View</v>
      </c>
      <c r="P3769" s="11"/>
    </row>
    <row r="3770" spans="1:16" ht="12.75" x14ac:dyDescent="0.35">
      <c r="A3770" s="7">
        <v>42482.792499999996</v>
      </c>
      <c r="B3770" s="8" t="str">
        <f>HYPERLINK("https://twitter.com/martincschmalz","@martincschmalz")</f>
        <v>@martincschmalz</v>
      </c>
      <c r="C3770" s="9" t="s">
        <v>9052</v>
      </c>
      <c r="D3770" s="9" t="s">
        <v>9053</v>
      </c>
      <c r="E3770" s="10" t="str">
        <f>HYPERLINK("https://twitter.com/martincschmalz/status/723504430306357249","723504430306357249")</f>
        <v>723504430306357249</v>
      </c>
      <c r="F3770" s="11" t="s">
        <v>48</v>
      </c>
      <c r="G3770" s="11">
        <v>344</v>
      </c>
      <c r="H3770" s="11">
        <v>102</v>
      </c>
      <c r="I3770" s="11">
        <v>0</v>
      </c>
      <c r="J3770" s="11">
        <v>0</v>
      </c>
      <c r="K3770" s="11" t="s">
        <v>21</v>
      </c>
      <c r="L3770" s="7">
        <v>41911.115081018521</v>
      </c>
      <c r="M3770" s="12"/>
      <c r="N3770" s="12" t="s">
        <v>9054</v>
      </c>
      <c r="O3770" s="10" t="str">
        <f>HYPERLINK("https://pbs.twimg.com/profile_images/691291874057854977/IdKcGWtk_normal.jpg","View")</f>
        <v>View</v>
      </c>
      <c r="P3770" s="11"/>
    </row>
    <row r="3771" spans="1:16" ht="12.75" x14ac:dyDescent="0.35">
      <c r="A3771" s="7">
        <v>42482.792523148149</v>
      </c>
      <c r="B3771" s="8" t="str">
        <f>HYPERLINK("https://twitter.com/BBoason","@BBoason")</f>
        <v>@BBoason</v>
      </c>
      <c r="C3771" s="9" t="s">
        <v>1482</v>
      </c>
      <c r="D3771" s="9" t="s">
        <v>9030</v>
      </c>
      <c r="E3771" s="10" t="str">
        <f>HYPERLINK("https://twitter.com/BBoason/status/723504437801680896","723504437801680896")</f>
        <v>723504437801680896</v>
      </c>
      <c r="F3771" s="11" t="s">
        <v>43</v>
      </c>
      <c r="G3771" s="11">
        <v>4537</v>
      </c>
      <c r="H3771" s="11">
        <v>448</v>
      </c>
      <c r="I3771" s="11">
        <v>4</v>
      </c>
      <c r="J3771" s="11">
        <v>0</v>
      </c>
      <c r="K3771" s="11" t="s">
        <v>21</v>
      </c>
      <c r="L3771" s="7">
        <v>40710.527314814812</v>
      </c>
      <c r="M3771" s="12" t="s">
        <v>1483</v>
      </c>
      <c r="N3771" s="12" t="s">
        <v>1484</v>
      </c>
      <c r="O3771" s="10" t="str">
        <f>HYPERLINK("https://pbs.twimg.com/profile_images/690093754351489024/RHFZ8vSn_normal.jpg","View")</f>
        <v>View</v>
      </c>
      <c r="P3771" s="11"/>
    </row>
    <row r="3772" spans="1:16" ht="12.75" x14ac:dyDescent="0.35">
      <c r="A3772" s="7">
        <v>42482.793229166666</v>
      </c>
      <c r="B3772" s="8" t="str">
        <f>HYPERLINK("https://twitter.com/Protonikon","@Protonikon")</f>
        <v>@Protonikon</v>
      </c>
      <c r="C3772" s="9" t="s">
        <v>9055</v>
      </c>
      <c r="D3772" s="9" t="s">
        <v>9056</v>
      </c>
      <c r="E3772" s="10" t="str">
        <f>HYPERLINK("https://twitter.com/Protonikon/status/723504691594813440","723504691594813440")</f>
        <v>723504691594813440</v>
      </c>
      <c r="F3772" s="11" t="s">
        <v>48</v>
      </c>
      <c r="G3772" s="11">
        <v>51</v>
      </c>
      <c r="H3772" s="11">
        <v>179</v>
      </c>
      <c r="I3772" s="11">
        <v>1</v>
      </c>
      <c r="J3772" s="11">
        <v>0</v>
      </c>
      <c r="K3772" s="11" t="s">
        <v>21</v>
      </c>
      <c r="L3772" s="7">
        <v>42417.941053240742</v>
      </c>
      <c r="M3772" s="12"/>
      <c r="N3772" s="12" t="s">
        <v>9057</v>
      </c>
      <c r="O3772" s="10" t="str">
        <f>HYPERLINK("https://abs.twimg.com/sticky/default_profile_images/default_profile_2_normal.png","View")</f>
        <v>View</v>
      </c>
      <c r="P3772" s="11"/>
    </row>
    <row r="3773" spans="1:16" ht="12.75" x14ac:dyDescent="0.35">
      <c r="A3773" s="7">
        <v>42482.793425925927</v>
      </c>
      <c r="B3773" s="8" t="str">
        <f>HYPERLINK("https://twitter.com/har155","@har155")</f>
        <v>@har155</v>
      </c>
      <c r="C3773" s="9" t="s">
        <v>8994</v>
      </c>
      <c r="D3773" s="9" t="s">
        <v>9058</v>
      </c>
      <c r="E3773" s="10" t="str">
        <f>HYPERLINK("https://twitter.com/har155/status/723504763330015233","723504763330015233")</f>
        <v>723504763330015233</v>
      </c>
      <c r="F3773" s="11" t="s">
        <v>20</v>
      </c>
      <c r="G3773" s="11">
        <v>794</v>
      </c>
      <c r="H3773" s="11">
        <v>970</v>
      </c>
      <c r="I3773" s="11">
        <v>0</v>
      </c>
      <c r="J3773" s="11">
        <v>0</v>
      </c>
      <c r="K3773" s="11" t="s">
        <v>21</v>
      </c>
      <c r="L3773" s="7">
        <v>40675.073148148149</v>
      </c>
      <c r="M3773" s="12" t="s">
        <v>8996</v>
      </c>
      <c r="N3773" s="12" t="s">
        <v>8997</v>
      </c>
      <c r="O3773" s="10" t="str">
        <f>HYPERLINK("https://pbs.twimg.com/profile_images/598204778066223104/T3e5yqH5_normal.png","View")</f>
        <v>View</v>
      </c>
      <c r="P3773" s="11"/>
    </row>
    <row r="3774" spans="1:16" ht="12.75" x14ac:dyDescent="0.35">
      <c r="A3774" s="7">
        <v>42482.793506944443</v>
      </c>
      <c r="B3774" s="8" t="str">
        <f>HYPERLINK("https://twitter.com/JAdeJong12","@JAdeJong12")</f>
        <v>@JAdeJong12</v>
      </c>
      <c r="C3774" s="9" t="s">
        <v>9059</v>
      </c>
      <c r="D3774" s="9" t="s">
        <v>9060</v>
      </c>
      <c r="E3774" s="10" t="str">
        <f>HYPERLINK("https://twitter.com/JAdeJong12/status/723504791444422656","723504791444422656")</f>
        <v>723504791444422656</v>
      </c>
      <c r="F3774" s="11" t="s">
        <v>63</v>
      </c>
      <c r="G3774" s="11">
        <v>61</v>
      </c>
      <c r="H3774" s="11">
        <v>117</v>
      </c>
      <c r="I3774" s="11">
        <v>0</v>
      </c>
      <c r="J3774" s="11">
        <v>0</v>
      </c>
      <c r="K3774" s="11" t="s">
        <v>21</v>
      </c>
      <c r="L3774" s="7">
        <v>42157.630671296298</v>
      </c>
      <c r="M3774" s="12"/>
      <c r="N3774" s="12" t="s">
        <v>9061</v>
      </c>
      <c r="O3774" s="10" t="str">
        <f>HYPERLINK("https://pbs.twimg.com/profile_images/670123014529392640/49d_OxDO_normal.jpg","View")</f>
        <v>View</v>
      </c>
      <c r="P3774" s="11"/>
    </row>
    <row r="3775" spans="1:16" ht="12.75" x14ac:dyDescent="0.35">
      <c r="A3775" s="7">
        <v>42482.793541666666</v>
      </c>
      <c r="B3775" s="8" t="str">
        <f>HYPERLINK("https://twitter.com/C_Heinrich_83","@C_Heinrich_83")</f>
        <v>@C_Heinrich_83</v>
      </c>
      <c r="C3775" s="9" t="s">
        <v>8983</v>
      </c>
      <c r="D3775" s="9" t="s">
        <v>9062</v>
      </c>
      <c r="E3775" s="10" t="str">
        <f>HYPERLINK("https://twitter.com/C_Heinrich_83/status/723504804786495489","723504804786495489")</f>
        <v>723504804786495489</v>
      </c>
      <c r="F3775" s="11" t="s">
        <v>48</v>
      </c>
      <c r="G3775" s="11">
        <v>686</v>
      </c>
      <c r="H3775" s="11">
        <v>2180</v>
      </c>
      <c r="I3775" s="11">
        <v>1</v>
      </c>
      <c r="J3775" s="11">
        <v>0</v>
      </c>
      <c r="K3775" s="11" t="s">
        <v>21</v>
      </c>
      <c r="L3775" s="7">
        <v>41274.12158564815</v>
      </c>
      <c r="M3775" s="12" t="s">
        <v>1116</v>
      </c>
      <c r="N3775" s="12" t="s">
        <v>8985</v>
      </c>
      <c r="O3775" s="10" t="str">
        <f>HYPERLINK("https://pbs.twimg.com/profile_images/683592930918019072/SnHKNKAI_normal.jpg","View")</f>
        <v>View</v>
      </c>
      <c r="P3775" s="11"/>
    </row>
    <row r="3776" spans="1:16" ht="12.75" x14ac:dyDescent="0.35">
      <c r="A3776" s="7">
        <v>42482.793865740736</v>
      </c>
      <c r="B3776" s="8" t="str">
        <f>HYPERLINK("https://twitter.com/updayDE","@updayDE")</f>
        <v>@updayDE</v>
      </c>
      <c r="C3776" s="9" t="s">
        <v>3476</v>
      </c>
      <c r="D3776" s="9" t="s">
        <v>9063</v>
      </c>
      <c r="E3776" s="10" t="str">
        <f>HYPERLINK("https://twitter.com/updayDE/status/723504925620232192","723504925620232192")</f>
        <v>723504925620232192</v>
      </c>
      <c r="F3776" s="11" t="s">
        <v>63</v>
      </c>
      <c r="G3776" s="11">
        <v>552</v>
      </c>
      <c r="H3776" s="11">
        <v>63</v>
      </c>
      <c r="I3776" s="11">
        <v>0</v>
      </c>
      <c r="J3776" s="11">
        <v>0</v>
      </c>
      <c r="K3776" s="11" t="s">
        <v>21</v>
      </c>
      <c r="L3776" s="7">
        <v>42243.740763888884</v>
      </c>
      <c r="M3776" s="12" t="s">
        <v>3478</v>
      </c>
      <c r="N3776" s="12" t="s">
        <v>3479</v>
      </c>
      <c r="O3776" s="10" t="str">
        <f>HYPERLINK("https://pbs.twimg.com/profile_images/699880935366488064/uot0hGbb_normal.png","View")</f>
        <v>View</v>
      </c>
      <c r="P3776" s="11"/>
    </row>
    <row r="3777" spans="1:16" ht="12.75" x14ac:dyDescent="0.35">
      <c r="A3777" s="7">
        <v>42482.794004629628</v>
      </c>
      <c r="B3777" s="8" t="str">
        <f>HYPERLINK("https://twitter.com/instock_de","@instock_de")</f>
        <v>@instock_de</v>
      </c>
      <c r="C3777" s="8" t="s">
        <v>1723</v>
      </c>
      <c r="D3777" s="9" t="s">
        <v>9064</v>
      </c>
      <c r="E3777" s="10" t="str">
        <f>HYPERLINK("https://twitter.com/instock_de/status/723504972931960833","723504972931960833")</f>
        <v>723504972931960833</v>
      </c>
      <c r="F3777" s="11" t="s">
        <v>43</v>
      </c>
      <c r="G3777" s="11">
        <v>155</v>
      </c>
      <c r="H3777" s="11">
        <v>82</v>
      </c>
      <c r="I3777" s="11">
        <v>0</v>
      </c>
      <c r="J3777" s="11">
        <v>0</v>
      </c>
      <c r="K3777" s="11" t="s">
        <v>21</v>
      </c>
      <c r="L3777" s="7">
        <v>40441.683877314819</v>
      </c>
      <c r="M3777" s="12" t="s">
        <v>1725</v>
      </c>
      <c r="N3777" s="12" t="s">
        <v>1726</v>
      </c>
      <c r="O3777" s="10" t="str">
        <f>HYPERLINK("https://pbs.twimg.com/profile_images/1200648485/instock_normal.jpg","View")</f>
        <v>View</v>
      </c>
      <c r="P3777" s="11"/>
    </row>
    <row r="3778" spans="1:16" ht="12.75" x14ac:dyDescent="0.35">
      <c r="A3778" s="7">
        <v>42482.794282407413</v>
      </c>
      <c r="B3778" s="8" t="str">
        <f>HYPERLINK("https://twitter.com/MDRINFO","@MDRINFO")</f>
        <v>@MDRINFO</v>
      </c>
      <c r="C3778" s="9" t="s">
        <v>3646</v>
      </c>
      <c r="D3778" s="9" t="s">
        <v>9065</v>
      </c>
      <c r="E3778" s="10" t="str">
        <f>HYPERLINK("https://twitter.com/MDRINFO/status/723505076065677312","723505076065677312")</f>
        <v>723505076065677312</v>
      </c>
      <c r="F3778" s="11" t="s">
        <v>63</v>
      </c>
      <c r="G3778" s="11">
        <v>17535</v>
      </c>
      <c r="H3778" s="11">
        <v>324</v>
      </c>
      <c r="I3778" s="11">
        <v>0</v>
      </c>
      <c r="J3778" s="11">
        <v>0</v>
      </c>
      <c r="K3778" s="11" t="s">
        <v>21</v>
      </c>
      <c r="L3778" s="7">
        <v>39833.671817129631</v>
      </c>
      <c r="M3778" s="12" t="s">
        <v>3648</v>
      </c>
      <c r="N3778" s="12" t="s">
        <v>3649</v>
      </c>
      <c r="O3778" s="10" t="str">
        <f>HYPERLINK("https://pbs.twimg.com/profile_images/2289706087/q66ajanznpfm87cybp5p_normal.jpeg","View")</f>
        <v>View</v>
      </c>
      <c r="P3778" s="11"/>
    </row>
    <row r="3779" spans="1:16" ht="12.75" x14ac:dyDescent="0.35">
      <c r="A3779" s="7">
        <v>42482.794421296298</v>
      </c>
      <c r="B3779" s="8" t="str">
        <f>HYPERLINK("https://twitter.com/JAdeJong12","@JAdeJong12")</f>
        <v>@JAdeJong12</v>
      </c>
      <c r="C3779" s="9" t="s">
        <v>9059</v>
      </c>
      <c r="D3779" s="9" t="s">
        <v>9066</v>
      </c>
      <c r="E3779" s="10" t="str">
        <f>HYPERLINK("https://twitter.com/JAdeJong12/status/723505123897544705","723505123897544705")</f>
        <v>723505123897544705</v>
      </c>
      <c r="F3779" s="11" t="s">
        <v>63</v>
      </c>
      <c r="G3779" s="11">
        <v>61</v>
      </c>
      <c r="H3779" s="11">
        <v>117</v>
      </c>
      <c r="I3779" s="11">
        <v>0</v>
      </c>
      <c r="J3779" s="11">
        <v>0</v>
      </c>
      <c r="K3779" s="11" t="s">
        <v>21</v>
      </c>
      <c r="L3779" s="7">
        <v>42157.630671296298</v>
      </c>
      <c r="M3779" s="12"/>
      <c r="N3779" s="12" t="s">
        <v>9061</v>
      </c>
      <c r="O3779" s="10" t="str">
        <f>HYPERLINK("https://pbs.twimg.com/profile_images/670123014529392640/49d_OxDO_normal.jpg","View")</f>
        <v>View</v>
      </c>
      <c r="P3779" s="11"/>
    </row>
    <row r="3780" spans="1:16" ht="12.75" x14ac:dyDescent="0.35">
      <c r="A3780" s="7">
        <v>42482.794456018513</v>
      </c>
      <c r="B3780" s="8" t="str">
        <f>HYPERLINK("https://twitter.com/larrieregarde","@larrieregarde")</f>
        <v>@larrieregarde</v>
      </c>
      <c r="C3780" s="9" t="s">
        <v>9067</v>
      </c>
      <c r="D3780" s="9" t="s">
        <v>9068</v>
      </c>
      <c r="E3780" s="10" t="str">
        <f>HYPERLINK("https://twitter.com/larrieregarde/status/723505136954388480","723505136954388480")</f>
        <v>723505136954388480</v>
      </c>
      <c r="F3780" s="11" t="s">
        <v>160</v>
      </c>
      <c r="G3780" s="11">
        <v>179</v>
      </c>
      <c r="H3780" s="11">
        <v>855</v>
      </c>
      <c r="I3780" s="11">
        <v>0</v>
      </c>
      <c r="J3780" s="11">
        <v>0</v>
      </c>
      <c r="K3780" s="11" t="s">
        <v>21</v>
      </c>
      <c r="L3780" s="7">
        <v>41769.068402777775</v>
      </c>
      <c r="M3780" s="12"/>
      <c r="N3780" s="12"/>
      <c r="O3780" s="10" t="str">
        <f>HYPERLINK("https://pbs.twimg.com/profile_images/722908346794135552/idQMQBmr_normal.jpg","View")</f>
        <v>View</v>
      </c>
      <c r="P3780" s="11"/>
    </row>
    <row r="3781" spans="1:16" ht="12.75" x14ac:dyDescent="0.35">
      <c r="A3781" s="7">
        <v>42482.794548611113</v>
      </c>
      <c r="B3781" s="8" t="str">
        <f>HYPERLINK("https://twitter.com/Geoffreytsmith","@Geoffreytsmith")</f>
        <v>@Geoffreytsmith</v>
      </c>
      <c r="C3781" s="9" t="s">
        <v>3466</v>
      </c>
      <c r="D3781" s="9" t="s">
        <v>9069</v>
      </c>
      <c r="E3781" s="10" t="str">
        <f>HYPERLINK("https://twitter.com/Geoffreytsmith/status/723505171989446656","723505171989446656")</f>
        <v>723505171989446656</v>
      </c>
      <c r="F3781" s="11" t="s">
        <v>63</v>
      </c>
      <c r="G3781" s="11">
        <v>2343</v>
      </c>
      <c r="H3781" s="11">
        <v>434</v>
      </c>
      <c r="I3781" s="11">
        <v>0</v>
      </c>
      <c r="J3781" s="11">
        <v>0</v>
      </c>
      <c r="K3781" s="11" t="s">
        <v>21</v>
      </c>
      <c r="L3781" s="7">
        <v>40746.008831018517</v>
      </c>
      <c r="M3781" s="12" t="s">
        <v>638</v>
      </c>
      <c r="N3781" s="12" t="s">
        <v>3468</v>
      </c>
      <c r="O3781" s="10" t="str">
        <f>HYPERLINK("https://pbs.twimg.com/profile_images/428946684312170496/JhiJB2NG_normal.jpeg","View")</f>
        <v>View</v>
      </c>
      <c r="P3781" s="11"/>
    </row>
    <row r="3782" spans="1:16" ht="12.75" x14ac:dyDescent="0.35">
      <c r="A3782" s="7">
        <v>42482.794618055559</v>
      </c>
      <c r="B3782" s="8" t="str">
        <f>HYPERLINK("https://twitter.com/kirstein_sandra","@kirstein_sandra")</f>
        <v>@kirstein_sandra</v>
      </c>
      <c r="C3782" s="9" t="s">
        <v>3451</v>
      </c>
      <c r="D3782" s="9" t="s">
        <v>9070</v>
      </c>
      <c r="E3782" s="10" t="str">
        <f>HYPERLINK("https://twitter.com/kirstein_sandra/status/723505196106715136","723505196106715136")</f>
        <v>723505196106715136</v>
      </c>
      <c r="F3782" s="11" t="s">
        <v>43</v>
      </c>
      <c r="G3782" s="11">
        <v>155</v>
      </c>
      <c r="H3782" s="11">
        <v>739</v>
      </c>
      <c r="I3782" s="11">
        <v>0</v>
      </c>
      <c r="J3782" s="11">
        <v>0</v>
      </c>
      <c r="K3782" s="11" t="s">
        <v>21</v>
      </c>
      <c r="L3782" s="7">
        <v>41046.514675925922</v>
      </c>
      <c r="M3782" s="12" t="s">
        <v>3453</v>
      </c>
      <c r="N3782" s="12" t="s">
        <v>3454</v>
      </c>
      <c r="O3782" s="10" t="str">
        <f>HYPERLINK("https://pbs.twimg.com/profile_images/694584728985452544/3zgs0YER_normal.jpg","View")</f>
        <v>View</v>
      </c>
      <c r="P3782" s="11"/>
    </row>
    <row r="3783" spans="1:16" ht="12.75" x14ac:dyDescent="0.35">
      <c r="A3783" s="7">
        <v>42482.79478009259</v>
      </c>
      <c r="B3783" s="8" t="str">
        <f>HYPERLINK("https://twitter.com/MorSvinka_83","@MorSvinka_83")</f>
        <v>@MorSvinka_83</v>
      </c>
      <c r="C3783" s="9" t="s">
        <v>9071</v>
      </c>
      <c r="D3783" s="9" t="s">
        <v>9072</v>
      </c>
      <c r="E3783" s="10" t="str">
        <f>HYPERLINK("https://twitter.com/MorSvinka_83/status/723505253598003201","723505253598003201")</f>
        <v>723505253598003201</v>
      </c>
      <c r="F3783" s="11" t="s">
        <v>63</v>
      </c>
      <c r="G3783" s="11">
        <v>81</v>
      </c>
      <c r="H3783" s="11">
        <v>127</v>
      </c>
      <c r="I3783" s="11">
        <v>0</v>
      </c>
      <c r="J3783" s="11">
        <v>0</v>
      </c>
      <c r="K3783" s="11" t="s">
        <v>21</v>
      </c>
      <c r="L3783" s="7">
        <v>40900.763842592591</v>
      </c>
      <c r="M3783" s="12" t="s">
        <v>9073</v>
      </c>
      <c r="N3783" s="12"/>
      <c r="O3783" s="10" t="str">
        <f>HYPERLINK("https://pbs.twimg.com/profile_images/2208847688/Untitled-2_normal.jpg","View")</f>
        <v>View</v>
      </c>
      <c r="P3783" s="11"/>
    </row>
    <row r="3784" spans="1:16" ht="12.75" x14ac:dyDescent="0.35">
      <c r="A3784" s="7">
        <v>42482.79478009259</v>
      </c>
      <c r="B3784" s="8" t="str">
        <f>HYPERLINK("https://twitter.com/NetzwerkggS21","@NetzwerkggS21")</f>
        <v>@NetzwerkggS21</v>
      </c>
      <c r="C3784" s="9" t="s">
        <v>2359</v>
      </c>
      <c r="D3784" s="9" t="s">
        <v>8132</v>
      </c>
      <c r="E3784" s="10" t="str">
        <f>HYPERLINK("https://twitter.com/NetzwerkggS21/status/723505254747242497","723505254747242497")</f>
        <v>723505254747242497</v>
      </c>
      <c r="F3784" s="11" t="s">
        <v>43</v>
      </c>
      <c r="G3784" s="11">
        <v>854</v>
      </c>
      <c r="H3784" s="11">
        <v>2109</v>
      </c>
      <c r="I3784" s="11">
        <v>8</v>
      </c>
      <c r="J3784" s="11">
        <v>0</v>
      </c>
      <c r="K3784" s="11" t="s">
        <v>21</v>
      </c>
      <c r="L3784" s="7">
        <v>41326.709363425922</v>
      </c>
      <c r="M3784" s="13" t="s">
        <v>2361</v>
      </c>
      <c r="N3784" s="12" t="s">
        <v>2362</v>
      </c>
      <c r="O3784" s="10" t="str">
        <f>HYPERLINK("https://pbs.twimg.com/profile_images/378800000528765970/3ab9f2a00010e9cac08d5ca1638926e9_normal.png","View")</f>
        <v>View</v>
      </c>
      <c r="P3784" s="11"/>
    </row>
    <row r="3785" spans="1:16" ht="12.75" x14ac:dyDescent="0.35">
      <c r="A3785" s="7">
        <v>42482.794907407406</v>
      </c>
      <c r="B3785" s="8" t="str">
        <f>HYPERLINK("https://twitter.com/OnVista_News","@OnVista_News")</f>
        <v>@OnVista_News</v>
      </c>
      <c r="C3785" s="9" t="s">
        <v>9074</v>
      </c>
      <c r="D3785" s="9" t="s">
        <v>9075</v>
      </c>
      <c r="E3785" s="10" t="str">
        <f>HYPERLINK("https://twitter.com/OnVista_News/status/723505300691685376","723505300691685376")</f>
        <v>723505300691685376</v>
      </c>
      <c r="F3785" s="11" t="s">
        <v>63</v>
      </c>
      <c r="G3785" s="11">
        <v>5377</v>
      </c>
      <c r="H3785" s="11">
        <v>683</v>
      </c>
      <c r="I3785" s="11">
        <v>0</v>
      </c>
      <c r="J3785" s="11">
        <v>0</v>
      </c>
      <c r="K3785" s="11" t="s">
        <v>21</v>
      </c>
      <c r="L3785" s="7">
        <v>40081.814537037033</v>
      </c>
      <c r="M3785" s="12" t="s">
        <v>9076</v>
      </c>
      <c r="N3785" s="12" t="s">
        <v>9077</v>
      </c>
      <c r="O3785" s="10" t="str">
        <f>HYPERLINK("https://pbs.twimg.com/profile_images/575251924716421120/7Mh95sYJ_normal.png","View")</f>
        <v>View</v>
      </c>
      <c r="P3785" s="11"/>
    </row>
    <row r="3786" spans="1:16" ht="12.75" x14ac:dyDescent="0.35">
      <c r="A3786" s="7">
        <v>42482.794930555552</v>
      </c>
      <c r="B3786" s="8" t="str">
        <f>HYPERLINK("https://twitter.com/MatthewBray16","@MatthewBray16")</f>
        <v>@MatthewBray16</v>
      </c>
      <c r="C3786" s="9" t="s">
        <v>9078</v>
      </c>
      <c r="D3786" s="9" t="s">
        <v>9079</v>
      </c>
      <c r="E3786" s="10" t="str">
        <f>HYPERLINK("https://twitter.com/MatthewBray16/status/723505308048318464","723505308048318464")</f>
        <v>723505308048318464</v>
      </c>
      <c r="F3786" s="11" t="s">
        <v>48</v>
      </c>
      <c r="G3786" s="11">
        <v>55</v>
      </c>
      <c r="H3786" s="11">
        <v>212</v>
      </c>
      <c r="I3786" s="11">
        <v>0</v>
      </c>
      <c r="J3786" s="11">
        <v>0</v>
      </c>
      <c r="K3786" s="11" t="s">
        <v>21</v>
      </c>
      <c r="L3786" s="7">
        <v>41909.625775462962</v>
      </c>
      <c r="M3786" s="12" t="s">
        <v>9080</v>
      </c>
      <c r="N3786" s="12" t="s">
        <v>9081</v>
      </c>
      <c r="O3786" s="10" t="str">
        <f>HYPERLINK("https://pbs.twimg.com/profile_images/646539064456286208/I7XBjV63_normal.jpg","View")</f>
        <v>View</v>
      </c>
      <c r="P3786" s="11"/>
    </row>
    <row r="3787" spans="1:16" ht="12.75" x14ac:dyDescent="0.35">
      <c r="A3787" s="7">
        <v>42482.795092592598</v>
      </c>
      <c r="B3787" s="8" t="str">
        <f>HYPERLINK("https://twitter.com/doern","@doern")</f>
        <v>@doern</v>
      </c>
      <c r="C3787" s="9" t="s">
        <v>3107</v>
      </c>
      <c r="D3787" s="9" t="s">
        <v>9082</v>
      </c>
      <c r="E3787" s="10" t="str">
        <f>HYPERLINK("https://twitter.com/doern/status/723505366651265026","723505366651265026")</f>
        <v>723505366651265026</v>
      </c>
      <c r="F3787" s="11" t="s">
        <v>20</v>
      </c>
      <c r="G3787" s="11">
        <v>364</v>
      </c>
      <c r="H3787" s="11">
        <v>63</v>
      </c>
      <c r="I3787" s="11">
        <v>1</v>
      </c>
      <c r="J3787" s="11">
        <v>0</v>
      </c>
      <c r="K3787" s="11" t="s">
        <v>21</v>
      </c>
      <c r="L3787" s="7">
        <v>39909.663194444445</v>
      </c>
      <c r="M3787" s="12" t="s">
        <v>262</v>
      </c>
      <c r="N3787" s="12" t="s">
        <v>3109</v>
      </c>
      <c r="O3787" s="10" t="str">
        <f>HYPERLINK("https://pbs.twimg.com/profile_images/657853466384191488/J6vAnfZr_normal.jpg","View")</f>
        <v>View</v>
      </c>
      <c r="P3787" s="11"/>
    </row>
    <row r="3788" spans="1:16" ht="12.75" x14ac:dyDescent="0.35">
      <c r="A3788" s="7">
        <v>42482.795208333337</v>
      </c>
      <c r="B3788" s="8" t="str">
        <f>HYPERLINK("https://twitter.com/ruv24_de","@ruv24_de")</f>
        <v>@ruv24_de</v>
      </c>
      <c r="C3788" s="9" t="s">
        <v>7298</v>
      </c>
      <c r="D3788" s="9" t="s">
        <v>9083</v>
      </c>
      <c r="E3788" s="10" t="str">
        <f>HYPERLINK("https://twitter.com/ruv24_de/status/723505410787938304","723505410787938304")</f>
        <v>723505410787938304</v>
      </c>
      <c r="F3788" s="11" t="s">
        <v>152</v>
      </c>
      <c r="G3788" s="11">
        <v>3528</v>
      </c>
      <c r="H3788" s="11">
        <v>851</v>
      </c>
      <c r="I3788" s="11">
        <v>0</v>
      </c>
      <c r="J3788" s="11">
        <v>0</v>
      </c>
      <c r="K3788" s="11" t="s">
        <v>21</v>
      </c>
      <c r="L3788" s="7">
        <v>39983.833483796298</v>
      </c>
      <c r="M3788" s="12" t="s">
        <v>7300</v>
      </c>
      <c r="N3788" s="12" t="s">
        <v>7301</v>
      </c>
      <c r="O3788" s="10" t="str">
        <f>HYPERLINK("https://pbs.twimg.com/profile_images/461143330147954688/HZO45eNS_normal.jpeg","View")</f>
        <v>View</v>
      </c>
      <c r="P3788" s="11"/>
    </row>
    <row r="3789" spans="1:16" ht="12.75" x14ac:dyDescent="0.35">
      <c r="A3789" s="7">
        <v>42482.795370370368</v>
      </c>
      <c r="B3789" s="8" t="str">
        <f>HYPERLINK("https://twitter.com/OCherokee","@OCherokee")</f>
        <v>@OCherokee</v>
      </c>
      <c r="C3789" s="9" t="s">
        <v>9084</v>
      </c>
      <c r="D3789" s="9" t="s">
        <v>2851</v>
      </c>
      <c r="E3789" s="10" t="str">
        <f>HYPERLINK("https://twitter.com/OCherokee/status/723505467658399744","723505467658399744")</f>
        <v>723505467658399744</v>
      </c>
      <c r="F3789" s="11" t="s">
        <v>48</v>
      </c>
      <c r="G3789" s="11">
        <v>391</v>
      </c>
      <c r="H3789" s="11">
        <v>335</v>
      </c>
      <c r="I3789" s="11">
        <v>5</v>
      </c>
      <c r="J3789" s="11">
        <v>0</v>
      </c>
      <c r="K3789" s="11" t="s">
        <v>21</v>
      </c>
      <c r="L3789" s="7">
        <v>41386.634652777779</v>
      </c>
      <c r="M3789" s="12" t="s">
        <v>9085</v>
      </c>
      <c r="N3789" s="12" t="s">
        <v>9086</v>
      </c>
      <c r="O3789" s="10" t="str">
        <f>HYPERLINK("https://pbs.twimg.com/profile_images/704506168157188097/RiQczRHn_normal.jpg","View")</f>
        <v>View</v>
      </c>
      <c r="P3789" s="11"/>
    </row>
    <row r="3790" spans="1:16" ht="12.75" x14ac:dyDescent="0.35">
      <c r="A3790" s="7">
        <v>42482.795462962968</v>
      </c>
      <c r="B3790" s="8" t="str">
        <f>HYPERLINK("https://twitter.com/DarmaAru","@DarmaAru")</f>
        <v>@DarmaAru</v>
      </c>
      <c r="C3790" s="9" t="s">
        <v>9087</v>
      </c>
      <c r="D3790" s="9" t="s">
        <v>151</v>
      </c>
      <c r="E3790" s="10" t="str">
        <f>HYPERLINK("https://twitter.com/DarmaAru/status/723505504341790720","723505504341790720")</f>
        <v>723505504341790720</v>
      </c>
      <c r="F3790" s="11" t="s">
        <v>48</v>
      </c>
      <c r="G3790" s="11">
        <v>185</v>
      </c>
      <c r="H3790" s="11">
        <v>1579</v>
      </c>
      <c r="I3790" s="11">
        <v>18</v>
      </c>
      <c r="J3790" s="11">
        <v>0</v>
      </c>
      <c r="K3790" s="11" t="s">
        <v>21</v>
      </c>
      <c r="L3790" s="7">
        <v>41882.483275462961</v>
      </c>
      <c r="M3790" s="12"/>
      <c r="N3790" s="12" t="s">
        <v>9088</v>
      </c>
      <c r="O3790" s="10" t="str">
        <f>HYPERLINK("https://pbs.twimg.com/profile_images/506310329505034241/m0PcSD87_normal.jpeg","View")</f>
        <v>View</v>
      </c>
      <c r="P3790" s="11"/>
    </row>
    <row r="3791" spans="1:16" ht="12.75" x14ac:dyDescent="0.35">
      <c r="A3791" s="7">
        <v>42482.795474537037</v>
      </c>
      <c r="B3791" s="8" t="str">
        <f>HYPERLINK("https://twitter.com/pcbritz","@pcbritz")</f>
        <v>@pcbritz</v>
      </c>
      <c r="C3791" s="9" t="s">
        <v>3091</v>
      </c>
      <c r="D3791" s="9" t="s">
        <v>9030</v>
      </c>
      <c r="E3791" s="10" t="str">
        <f>HYPERLINK("https://twitter.com/pcbritz/status/723505505516302336","723505505516302336")</f>
        <v>723505505516302336</v>
      </c>
      <c r="F3791" s="11" t="s">
        <v>48</v>
      </c>
      <c r="G3791" s="11">
        <v>1036</v>
      </c>
      <c r="H3791" s="11">
        <v>885</v>
      </c>
      <c r="I3791" s="11">
        <v>4</v>
      </c>
      <c r="J3791" s="11">
        <v>0</v>
      </c>
      <c r="K3791" s="11" t="s">
        <v>21</v>
      </c>
      <c r="L3791" s="7">
        <v>39910.072002314817</v>
      </c>
      <c r="M3791" s="12" t="s">
        <v>3093</v>
      </c>
      <c r="N3791" s="12" t="s">
        <v>3094</v>
      </c>
      <c r="O3791" s="10" t="str">
        <f>HYPERLINK("https://pbs.twimg.com/profile_images/722823782017200130/VreCKi-k_normal.jpg","View")</f>
        <v>View</v>
      </c>
      <c r="P3791" s="11"/>
    </row>
    <row r="3792" spans="1:16" ht="12.75" x14ac:dyDescent="0.35">
      <c r="A3792" s="7">
        <v>42482.795787037037</v>
      </c>
      <c r="B3792" s="8" t="str">
        <f>HYPERLINK("https://twitter.com/cdu_tweets","@cdu_tweets")</f>
        <v>@cdu_tweets</v>
      </c>
      <c r="C3792" s="9" t="s">
        <v>9089</v>
      </c>
      <c r="D3792" s="9" t="s">
        <v>9090</v>
      </c>
      <c r="E3792" s="10" t="str">
        <f>HYPERLINK("https://twitter.com/cdu_tweets/status/723505619441991680","723505619441991680")</f>
        <v>723505619441991680</v>
      </c>
      <c r="F3792" s="11" t="s">
        <v>9091</v>
      </c>
      <c r="G3792" s="11">
        <v>213</v>
      </c>
      <c r="H3792" s="11">
        <v>5</v>
      </c>
      <c r="I3792" s="11">
        <v>1</v>
      </c>
      <c r="J3792" s="11">
        <v>0</v>
      </c>
      <c r="K3792" s="11" t="s">
        <v>21</v>
      </c>
      <c r="L3792" s="7">
        <v>41248.865127314813</v>
      </c>
      <c r="M3792" s="12"/>
      <c r="N3792" s="12" t="s">
        <v>9092</v>
      </c>
      <c r="O3792" s="10" t="str">
        <f>HYPERLINK("https://pbs.twimg.com/profile_images/3282192073/90016f14272ad33eeaf3a7ec12844cc2_normal.jpeg","View")</f>
        <v>View</v>
      </c>
      <c r="P3792" s="11"/>
    </row>
    <row r="3793" spans="1:16" ht="12.75" x14ac:dyDescent="0.35">
      <c r="A3793" s="7">
        <v>42482.795798611114</v>
      </c>
      <c r="B3793" s="8" t="str">
        <f>HYPERLINK("https://twitter.com/GbemiEreku","@GbemiEreku")</f>
        <v>@GbemiEreku</v>
      </c>
      <c r="C3793" s="9" t="s">
        <v>9093</v>
      </c>
      <c r="D3793" s="9" t="s">
        <v>9030</v>
      </c>
      <c r="E3793" s="10" t="str">
        <f>HYPERLINK("https://twitter.com/GbemiEreku/status/723505621962764289","723505621962764289")</f>
        <v>723505621962764289</v>
      </c>
      <c r="F3793" s="11" t="s">
        <v>2154</v>
      </c>
      <c r="G3793" s="11">
        <v>3647</v>
      </c>
      <c r="H3793" s="11">
        <v>1573</v>
      </c>
      <c r="I3793" s="11">
        <v>4</v>
      </c>
      <c r="J3793" s="11">
        <v>0</v>
      </c>
      <c r="K3793" s="11" t="s">
        <v>21</v>
      </c>
      <c r="L3793" s="7">
        <v>39866.676412037035</v>
      </c>
      <c r="M3793" s="12" t="s">
        <v>9094</v>
      </c>
      <c r="N3793" s="12" t="s">
        <v>9095</v>
      </c>
      <c r="O3793" s="10" t="str">
        <f>HYPERLINK("https://pbs.twimg.com/profile_images/715830673622319104/NMQLAoID_normal.jpg","View")</f>
        <v>View</v>
      </c>
      <c r="P3793" s="11"/>
    </row>
    <row r="3794" spans="1:16" ht="12.75" x14ac:dyDescent="0.35">
      <c r="A3794" s="7">
        <v>42482.796157407407</v>
      </c>
      <c r="B3794" s="8" t="str">
        <f>HYPERLINK("https://twitter.com/dw_wirtschaft","@dw_wirtschaft")</f>
        <v>@dw_wirtschaft</v>
      </c>
      <c r="C3794" s="9" t="s">
        <v>3712</v>
      </c>
      <c r="D3794" s="9" t="s">
        <v>9096</v>
      </c>
      <c r="E3794" s="10" t="str">
        <f>HYPERLINK("https://twitter.com/dw_wirtschaft/status/723505752825057280","723505752825057280")</f>
        <v>723505752825057280</v>
      </c>
      <c r="F3794" s="11" t="s">
        <v>63</v>
      </c>
      <c r="G3794" s="11">
        <v>11262</v>
      </c>
      <c r="H3794" s="11">
        <v>188</v>
      </c>
      <c r="I3794" s="11">
        <v>0</v>
      </c>
      <c r="J3794" s="11">
        <v>1</v>
      </c>
      <c r="K3794" s="11" t="s">
        <v>21</v>
      </c>
      <c r="L3794" s="7">
        <v>39919.591817129629</v>
      </c>
      <c r="M3794" s="12" t="s">
        <v>3714</v>
      </c>
      <c r="N3794" s="12" t="s">
        <v>3715</v>
      </c>
      <c r="O3794" s="10" t="str">
        <f>HYPERLINK("https://pbs.twimg.com/profile_images/474185502388518912/sROk9L0u_normal.png","View")</f>
        <v>View</v>
      </c>
      <c r="P3794" s="11"/>
    </row>
    <row r="3795" spans="1:16" ht="12.75" x14ac:dyDescent="0.35">
      <c r="A3795" s="7">
        <v>42482.796168981484</v>
      </c>
      <c r="B3795" s="8" t="str">
        <f t="shared" ref="B3795:B3796" si="346">HYPERLINK("https://twitter.com/DoMarMac","@DoMarMac")</f>
        <v>@DoMarMac</v>
      </c>
      <c r="C3795" s="9" t="s">
        <v>2116</v>
      </c>
      <c r="D3795" s="9" t="s">
        <v>9097</v>
      </c>
      <c r="E3795" s="10" t="str">
        <f>HYPERLINK("https://twitter.com/DoMarMac/status/723505757342339072","723505757342339072")</f>
        <v>723505757342339072</v>
      </c>
      <c r="F3795" s="11" t="s">
        <v>20</v>
      </c>
      <c r="G3795" s="11">
        <v>83</v>
      </c>
      <c r="H3795" s="11">
        <v>128</v>
      </c>
      <c r="I3795" s="11">
        <v>1</v>
      </c>
      <c r="J3795" s="11">
        <v>0</v>
      </c>
      <c r="K3795" s="11" t="s">
        <v>21</v>
      </c>
      <c r="L3795" s="7">
        <v>40681.883796296301</v>
      </c>
      <c r="M3795" s="12"/>
      <c r="N3795" s="12" t="s">
        <v>2117</v>
      </c>
      <c r="O3795" s="10" t="str">
        <f t="shared" ref="O3795:O3796" si="347">HYPERLINK("https://pbs.twimg.com/profile_images/1833245422/twitter_yo_normal.jpg","View")</f>
        <v>View</v>
      </c>
      <c r="P3795" s="11"/>
    </row>
    <row r="3796" spans="1:16" ht="12.75" x14ac:dyDescent="0.35">
      <c r="A3796" s="7">
        <v>42482.796284722222</v>
      </c>
      <c r="B3796" s="8" t="str">
        <f t="shared" si="346"/>
        <v>@DoMarMac</v>
      </c>
      <c r="C3796" s="9" t="s">
        <v>2116</v>
      </c>
      <c r="D3796" s="9" t="s">
        <v>8346</v>
      </c>
      <c r="E3796" s="10" t="str">
        <f>HYPERLINK("https://twitter.com/DoMarMac/status/723505798429704192","723505798429704192")</f>
        <v>723505798429704192</v>
      </c>
      <c r="F3796" s="11" t="s">
        <v>20</v>
      </c>
      <c r="G3796" s="11">
        <v>83</v>
      </c>
      <c r="H3796" s="11">
        <v>128</v>
      </c>
      <c r="I3796" s="11">
        <v>2</v>
      </c>
      <c r="J3796" s="11">
        <v>0</v>
      </c>
      <c r="K3796" s="11" t="s">
        <v>21</v>
      </c>
      <c r="L3796" s="7">
        <v>40681.883796296301</v>
      </c>
      <c r="M3796" s="12"/>
      <c r="N3796" s="12" t="s">
        <v>2117</v>
      </c>
      <c r="O3796" s="10" t="str">
        <f t="shared" si="347"/>
        <v>View</v>
      </c>
      <c r="P3796" s="11"/>
    </row>
    <row r="3797" spans="1:16" ht="12.75" x14ac:dyDescent="0.35">
      <c r="A3797" s="7">
        <v>42482.796296296292</v>
      </c>
      <c r="B3797" s="8" t="str">
        <f>HYPERLINK("https://twitter.com/ophuels","@ophuels")</f>
        <v>@ophuels</v>
      </c>
      <c r="C3797" s="9" t="s">
        <v>8576</v>
      </c>
      <c r="D3797" s="9" t="s">
        <v>9098</v>
      </c>
      <c r="E3797" s="10" t="str">
        <f>HYPERLINK("https://twitter.com/ophuels/status/723505802271678469","723505802271678469")</f>
        <v>723505802271678469</v>
      </c>
      <c r="F3797" s="11" t="s">
        <v>63</v>
      </c>
      <c r="G3797" s="11">
        <v>548</v>
      </c>
      <c r="H3797" s="11">
        <v>666</v>
      </c>
      <c r="I3797" s="11">
        <v>0</v>
      </c>
      <c r="J3797" s="11">
        <v>0</v>
      </c>
      <c r="K3797" s="11" t="s">
        <v>21</v>
      </c>
      <c r="L3797" s="7">
        <v>39996.645949074074</v>
      </c>
      <c r="M3797" s="12" t="s">
        <v>975</v>
      </c>
      <c r="N3797" s="12" t="s">
        <v>8578</v>
      </c>
      <c r="O3797" s="10" t="str">
        <f>HYPERLINK("https://pbs.twimg.com/profile_images/545515043761037312/gp4mWkRD_normal.jpeg","View")</f>
        <v>View</v>
      </c>
      <c r="P3797" s="11"/>
    </row>
    <row r="3798" spans="1:16" ht="12.75" x14ac:dyDescent="0.35">
      <c r="A3798" s="7">
        <v>42482.796377314815</v>
      </c>
      <c r="B3798" s="8" t="str">
        <f>HYPERLINK("https://twitter.com/DoMarMac","@DoMarMac")</f>
        <v>@DoMarMac</v>
      </c>
      <c r="C3798" s="9" t="s">
        <v>2116</v>
      </c>
      <c r="D3798" s="9" t="s">
        <v>8553</v>
      </c>
      <c r="E3798" s="10" t="str">
        <f>HYPERLINK("https://twitter.com/DoMarMac/status/723505833150164992","723505833150164992")</f>
        <v>723505833150164992</v>
      </c>
      <c r="F3798" s="11" t="s">
        <v>20</v>
      </c>
      <c r="G3798" s="11">
        <v>83</v>
      </c>
      <c r="H3798" s="11">
        <v>128</v>
      </c>
      <c r="I3798" s="11">
        <v>4</v>
      </c>
      <c r="J3798" s="11">
        <v>0</v>
      </c>
      <c r="K3798" s="11" t="s">
        <v>21</v>
      </c>
      <c r="L3798" s="7">
        <v>40681.883796296301</v>
      </c>
      <c r="M3798" s="12"/>
      <c r="N3798" s="12" t="s">
        <v>2117</v>
      </c>
      <c r="O3798" s="10" t="str">
        <f>HYPERLINK("https://pbs.twimg.com/profile_images/1833245422/twitter_yo_normal.jpg","View")</f>
        <v>View</v>
      </c>
      <c r="P3798" s="11"/>
    </row>
    <row r="3799" spans="1:16" ht="12.75" x14ac:dyDescent="0.35">
      <c r="A3799" s="7">
        <v>42482.796435185184</v>
      </c>
      <c r="B3799" s="8" t="str">
        <f>HYPERLINK("https://twitter.com/George_Rey4","@George_Rey4")</f>
        <v>@George_Rey4</v>
      </c>
      <c r="C3799" s="9" t="s">
        <v>9099</v>
      </c>
      <c r="D3799" s="9" t="s">
        <v>8740</v>
      </c>
      <c r="E3799" s="10" t="str">
        <f>HYPERLINK("https://twitter.com/George_Rey4/status/723505853240741889","723505853240741889")</f>
        <v>723505853240741889</v>
      </c>
      <c r="F3799" s="11" t="s">
        <v>20</v>
      </c>
      <c r="G3799" s="11">
        <v>442</v>
      </c>
      <c r="H3799" s="11">
        <v>271</v>
      </c>
      <c r="I3799" s="11">
        <v>4</v>
      </c>
      <c r="J3799" s="11">
        <v>0</v>
      </c>
      <c r="K3799" s="11" t="s">
        <v>21</v>
      </c>
      <c r="L3799" s="7">
        <v>40426.338819444441</v>
      </c>
      <c r="M3799" s="12" t="s">
        <v>9100</v>
      </c>
      <c r="N3799" s="12" t="s">
        <v>9101</v>
      </c>
      <c r="O3799" s="10" t="str">
        <f>HYPERLINK("https://pbs.twimg.com/profile_images/716495110725246976/aZNUJl0F_normal.jpg","View")</f>
        <v>View</v>
      </c>
      <c r="P3799" s="11"/>
    </row>
    <row r="3800" spans="1:16" ht="12.75" x14ac:dyDescent="0.35">
      <c r="A3800" s="7">
        <v>42482.796527777777</v>
      </c>
      <c r="B3800" s="8" t="str">
        <f>HYPERLINK("https://twitter.com/conkers3","@conkers3")</f>
        <v>@conkers3</v>
      </c>
      <c r="C3800" s="9" t="s">
        <v>7103</v>
      </c>
      <c r="D3800" s="9" t="s">
        <v>9102</v>
      </c>
      <c r="E3800" s="10" t="str">
        <f>HYPERLINK("https://twitter.com/conkers3/status/723505888179421184","723505888179421184")</f>
        <v>723505888179421184</v>
      </c>
      <c r="F3800" s="11" t="s">
        <v>43</v>
      </c>
      <c r="G3800" s="11">
        <v>2012</v>
      </c>
      <c r="H3800" s="11">
        <v>1433</v>
      </c>
      <c r="I3800" s="11">
        <v>0</v>
      </c>
      <c r="J3800" s="11">
        <v>0</v>
      </c>
      <c r="K3800" s="11" t="s">
        <v>21</v>
      </c>
      <c r="L3800" s="7">
        <v>41123.576006944444</v>
      </c>
      <c r="M3800" s="12"/>
      <c r="N3800" s="12" t="s">
        <v>7105</v>
      </c>
      <c r="O3800" s="10" t="str">
        <f>HYPERLINK("https://pbs.twimg.com/profile_images/3601856046/89deb5d36c9951092d953fa6050d5fbc_normal.jpeg","View")</f>
        <v>View</v>
      </c>
      <c r="P3800" s="11"/>
    </row>
    <row r="3801" spans="1:16" ht="12.75" x14ac:dyDescent="0.35">
      <c r="A3801" s="7">
        <v>42482.796770833331</v>
      </c>
      <c r="B3801" s="8" t="str">
        <f>HYPERLINK("https://twitter.com/NetzwerkggS21","@NetzwerkggS21")</f>
        <v>@NetzwerkggS21</v>
      </c>
      <c r="C3801" s="9" t="s">
        <v>2359</v>
      </c>
      <c r="D3801" s="9" t="s">
        <v>8479</v>
      </c>
      <c r="E3801" s="10" t="str">
        <f>HYPERLINK("https://twitter.com/NetzwerkggS21/status/723505977098678272","723505977098678272")</f>
        <v>723505977098678272</v>
      </c>
      <c r="F3801" s="11" t="s">
        <v>43</v>
      </c>
      <c r="G3801" s="11">
        <v>854</v>
      </c>
      <c r="H3801" s="11">
        <v>2109</v>
      </c>
      <c r="I3801" s="11">
        <v>3</v>
      </c>
      <c r="J3801" s="11">
        <v>0</v>
      </c>
      <c r="K3801" s="11" t="s">
        <v>21</v>
      </c>
      <c r="L3801" s="7">
        <v>41326.709363425922</v>
      </c>
      <c r="M3801" s="13" t="s">
        <v>2361</v>
      </c>
      <c r="N3801" s="12" t="s">
        <v>2362</v>
      </c>
      <c r="O3801" s="10" t="str">
        <f>HYPERLINK("https://pbs.twimg.com/profile_images/378800000528765970/3ab9f2a00010e9cac08d5ca1638926e9_normal.png","View")</f>
        <v>View</v>
      </c>
      <c r="P3801" s="11"/>
    </row>
    <row r="3802" spans="1:16" ht="12.75" x14ac:dyDescent="0.35">
      <c r="A3802" s="7">
        <v>42482.796956018516</v>
      </c>
      <c r="B3802" s="8" t="str">
        <f>HYPERLINK("https://twitter.com/KURIERat","@KURIERat")</f>
        <v>@KURIERat</v>
      </c>
      <c r="C3802" s="9" t="s">
        <v>3287</v>
      </c>
      <c r="D3802" s="9" t="s">
        <v>9103</v>
      </c>
      <c r="E3802" s="10" t="str">
        <f>HYPERLINK("https://twitter.com/KURIERat/status/723506044912164864","723506044912164864")</f>
        <v>723506044912164864</v>
      </c>
      <c r="F3802" s="11" t="s">
        <v>43</v>
      </c>
      <c r="G3802" s="11">
        <v>49147</v>
      </c>
      <c r="H3802" s="11">
        <v>1441</v>
      </c>
      <c r="I3802" s="11">
        <v>0</v>
      </c>
      <c r="J3802" s="11">
        <v>0</v>
      </c>
      <c r="K3802" s="11" t="s">
        <v>21</v>
      </c>
      <c r="L3802" s="7">
        <v>39983.861678240741</v>
      </c>
      <c r="M3802" s="12" t="s">
        <v>3289</v>
      </c>
      <c r="N3802" s="12" t="s">
        <v>3290</v>
      </c>
      <c r="O3802" s="10" t="str">
        <f>HYPERLINK("https://pbs.twimg.com/profile_images/646648362381516800/cNhozYEx_normal.png","View")</f>
        <v>View</v>
      </c>
      <c r="P3802" s="11"/>
    </row>
    <row r="3803" spans="1:16" ht="12.75" x14ac:dyDescent="0.35">
      <c r="A3803" s="7">
        <v>42482.797662037032</v>
      </c>
      <c r="B3803" s="8" t="str">
        <f>HYPERLINK("https://twitter.com/ProjectCarsUK","@ProjectCarsUK")</f>
        <v>@ProjectCarsUK</v>
      </c>
      <c r="C3803" s="9" t="s">
        <v>2615</v>
      </c>
      <c r="D3803" s="9" t="s">
        <v>9104</v>
      </c>
      <c r="E3803" s="10" t="str">
        <f>HYPERLINK("https://twitter.com/ProjectCarsUK/status/723506297400922112","723506297400922112")</f>
        <v>723506297400922112</v>
      </c>
      <c r="F3803" s="11" t="s">
        <v>152</v>
      </c>
      <c r="G3803" s="11">
        <v>4254</v>
      </c>
      <c r="H3803" s="11">
        <v>3914</v>
      </c>
      <c r="I3803" s="11">
        <v>1</v>
      </c>
      <c r="J3803" s="11">
        <v>2</v>
      </c>
      <c r="K3803" s="11" t="s">
        <v>21</v>
      </c>
      <c r="L3803" s="7">
        <v>41877.782546296294</v>
      </c>
      <c r="M3803" s="12" t="s">
        <v>129</v>
      </c>
      <c r="N3803" s="12" t="s">
        <v>2617</v>
      </c>
      <c r="O3803" s="10" t="str">
        <f>HYPERLINK("https://pbs.twimg.com/profile_images/706833390725681152/IaXMLicB_normal.jpg","View")</f>
        <v>View</v>
      </c>
      <c r="P3803" s="11"/>
    </row>
    <row r="3804" spans="1:16" ht="12.75" x14ac:dyDescent="0.35">
      <c r="A3804" s="7">
        <v>42482.797673611116</v>
      </c>
      <c r="B3804" s="8" t="str">
        <f>HYPERLINK("https://twitter.com/MedAgness","@MedAgness")</f>
        <v>@MedAgness</v>
      </c>
      <c r="C3804" s="9" t="s">
        <v>3635</v>
      </c>
      <c r="D3804" s="9" t="s">
        <v>9105</v>
      </c>
      <c r="E3804" s="10" t="str">
        <f>HYPERLINK("https://twitter.com/MedAgness/status/723506302236938240","723506302236938240")</f>
        <v>723506302236938240</v>
      </c>
      <c r="F3804" s="11" t="s">
        <v>68</v>
      </c>
      <c r="G3804" s="11">
        <v>8137</v>
      </c>
      <c r="H3804" s="11">
        <v>865</v>
      </c>
      <c r="I3804" s="11">
        <v>0</v>
      </c>
      <c r="J3804" s="11">
        <v>0</v>
      </c>
      <c r="K3804" s="11" t="s">
        <v>21</v>
      </c>
      <c r="L3804" s="7">
        <v>40612.342650462961</v>
      </c>
      <c r="M3804" s="12" t="s">
        <v>3637</v>
      </c>
      <c r="N3804" s="12" t="s">
        <v>3638</v>
      </c>
      <c r="O3804" s="10" t="str">
        <f>HYPERLINK("https://pbs.twimg.com/profile_images/631084316802482176/y_wtMQWR_normal.png","View")</f>
        <v>View</v>
      </c>
      <c r="P3804" s="11"/>
    </row>
    <row r="3805" spans="1:16" ht="12.75" x14ac:dyDescent="0.35">
      <c r="A3805" s="7">
        <v>42482.798125000001</v>
      </c>
      <c r="B3805" s="8" t="str">
        <f>HYPERLINK("https://twitter.com/ihoelt","@ihoelt")</f>
        <v>@ihoelt</v>
      </c>
      <c r="C3805" s="9" t="s">
        <v>9106</v>
      </c>
      <c r="D3805" s="9" t="s">
        <v>9107</v>
      </c>
      <c r="E3805" s="10" t="str">
        <f>HYPERLINK("https://twitter.com/ihoelt/status/723506468733988866","723506468733988866")</f>
        <v>723506468733988866</v>
      </c>
      <c r="F3805" s="11" t="s">
        <v>43</v>
      </c>
      <c r="G3805" s="11">
        <v>838</v>
      </c>
      <c r="H3805" s="11">
        <v>468</v>
      </c>
      <c r="I3805" s="11">
        <v>0</v>
      </c>
      <c r="J3805" s="11">
        <v>0</v>
      </c>
      <c r="K3805" s="11" t="s">
        <v>21</v>
      </c>
      <c r="L3805" s="7">
        <v>39884.641296296293</v>
      </c>
      <c r="M3805" s="12" t="s">
        <v>1288</v>
      </c>
      <c r="N3805" s="12" t="s">
        <v>9108</v>
      </c>
      <c r="O3805" s="10" t="str">
        <f>HYPERLINK("https://pbs.twimg.com/profile_images/718763389472911360/SuBCVaEu_normal.jpg","View")</f>
        <v>View</v>
      </c>
      <c r="P3805" s="11"/>
    </row>
    <row r="3806" spans="1:16" ht="12.75" x14ac:dyDescent="0.35">
      <c r="A3806" s="7">
        <v>42482.798518518517</v>
      </c>
      <c r="B3806" s="8" t="str">
        <f>HYPERLINK("https://twitter.com/Boersenradar","@Boersenradar")</f>
        <v>@Boersenradar</v>
      </c>
      <c r="C3806" s="9" t="s">
        <v>4727</v>
      </c>
      <c r="D3806" s="9" t="s">
        <v>9109</v>
      </c>
      <c r="E3806" s="10" t="str">
        <f>HYPERLINK("https://twitter.com/Boersenradar/status/723506608471445506","723506608471445506")</f>
        <v>723506608471445506</v>
      </c>
      <c r="F3806" s="11" t="s">
        <v>43</v>
      </c>
      <c r="G3806" s="11">
        <v>2815</v>
      </c>
      <c r="H3806" s="11">
        <v>523</v>
      </c>
      <c r="I3806" s="11">
        <v>0</v>
      </c>
      <c r="J3806" s="11">
        <v>0</v>
      </c>
      <c r="K3806" s="11" t="s">
        <v>21</v>
      </c>
      <c r="L3806" s="7">
        <v>39919.758796296301</v>
      </c>
      <c r="M3806" s="12" t="s">
        <v>4729</v>
      </c>
      <c r="N3806" s="12" t="s">
        <v>4730</v>
      </c>
      <c r="O3806" s="10" t="str">
        <f>HYPERLINK("https://pbs.twimg.com/profile_images/648862182936047616/p6o1BlmC_normal.jpg","View")</f>
        <v>View</v>
      </c>
      <c r="P3806" s="11"/>
    </row>
    <row r="3807" spans="1:16" ht="12.75" x14ac:dyDescent="0.35">
      <c r="A3807" s="7">
        <v>42482.798773148148</v>
      </c>
      <c r="B3807" s="8" t="str">
        <f>HYPERLINK("https://twitter.com/imifos","@imifos")</f>
        <v>@imifos</v>
      </c>
      <c r="C3807" s="9" t="s">
        <v>9110</v>
      </c>
      <c r="D3807" s="9" t="s">
        <v>9111</v>
      </c>
      <c r="E3807" s="10" t="str">
        <f>HYPERLINK("https://twitter.com/imifos/status/723506700037304322","723506700037304322")</f>
        <v>723506700037304322</v>
      </c>
      <c r="F3807" s="11" t="s">
        <v>43</v>
      </c>
      <c r="G3807" s="11">
        <v>167</v>
      </c>
      <c r="H3807" s="11">
        <v>728</v>
      </c>
      <c r="I3807" s="11">
        <v>0</v>
      </c>
      <c r="J3807" s="11">
        <v>0</v>
      </c>
      <c r="K3807" s="11" t="s">
        <v>21</v>
      </c>
      <c r="L3807" s="7">
        <v>41251.985983796294</v>
      </c>
      <c r="M3807" s="12" t="s">
        <v>9112</v>
      </c>
      <c r="N3807" s="12" t="s">
        <v>9113</v>
      </c>
      <c r="O3807" s="10" t="str">
        <f>HYPERLINK("https://pbs.twimg.com/profile_images/695584457940738048/P2hQLrLL_normal.jpg","View")</f>
        <v>View</v>
      </c>
      <c r="P3807" s="11"/>
    </row>
    <row r="3808" spans="1:16" ht="12.75" x14ac:dyDescent="0.35">
      <c r="A3808" s="7">
        <v>42482.799212962964</v>
      </c>
      <c r="B3808" s="8" t="str">
        <f>HYPERLINK("https://twitter.com/CBSLA","@CBSLA")</f>
        <v>@CBSLA</v>
      </c>
      <c r="C3808" s="9" t="s">
        <v>9114</v>
      </c>
      <c r="D3808" s="9" t="s">
        <v>9115</v>
      </c>
      <c r="E3808" s="10" t="str">
        <f>HYPERLINK("https://twitter.com/CBSLA/status/723506861094277122","723506861094277122")</f>
        <v>723506861094277122</v>
      </c>
      <c r="F3808" s="11" t="s">
        <v>3375</v>
      </c>
      <c r="G3808" s="11">
        <v>114736</v>
      </c>
      <c r="H3808" s="11">
        <v>2280</v>
      </c>
      <c r="I3808" s="11">
        <v>1</v>
      </c>
      <c r="J3808" s="11">
        <v>0</v>
      </c>
      <c r="K3808" s="11" t="s">
        <v>21</v>
      </c>
      <c r="L3808" s="7">
        <v>39890.007141203707</v>
      </c>
      <c r="M3808" s="12" t="s">
        <v>4265</v>
      </c>
      <c r="N3808" s="12" t="s">
        <v>9116</v>
      </c>
      <c r="O3808" s="10" t="str">
        <f>HYPERLINK("https://pbs.twimg.com/profile_images/625722540892143616/9RoFJo3Y_normal.jpg","View")</f>
        <v>View</v>
      </c>
      <c r="P3808" s="11"/>
    </row>
    <row r="3809" spans="1:16" ht="12.75" x14ac:dyDescent="0.35">
      <c r="A3809" s="7">
        <v>42482.799247685187</v>
      </c>
      <c r="B3809" s="8" t="str">
        <f>HYPERLINK("https://twitter.com/wenportuguese","@wenportuguese")</f>
        <v>@wenportuguese</v>
      </c>
      <c r="C3809" s="9" t="s">
        <v>9117</v>
      </c>
      <c r="D3809" s="9" t="s">
        <v>9118</v>
      </c>
      <c r="E3809" s="10" t="str">
        <f>HYPERLINK("https://twitter.com/wenportuguese/status/723506873308205057","723506873308205057")</f>
        <v>723506873308205057</v>
      </c>
      <c r="F3809" s="11" t="s">
        <v>9119</v>
      </c>
      <c r="G3809" s="11">
        <v>5</v>
      </c>
      <c r="H3809" s="11">
        <v>153</v>
      </c>
      <c r="I3809" s="11">
        <v>0</v>
      </c>
      <c r="J3809" s="11">
        <v>0</v>
      </c>
      <c r="K3809" s="11" t="s">
        <v>21</v>
      </c>
      <c r="L3809" s="7">
        <v>42461.708668981482</v>
      </c>
      <c r="M3809" s="12"/>
      <c r="N3809" s="12"/>
      <c r="O3809" s="10" t="str">
        <f>HYPERLINK("https://pbs.twimg.com/profile_images/715864177643024384/UA4KJQai_normal.jpg","View")</f>
        <v>View</v>
      </c>
      <c r="P3809" s="11"/>
    </row>
    <row r="3810" spans="1:16" ht="12.75" x14ac:dyDescent="0.35">
      <c r="A3810" s="7">
        <v>42482.799432870372</v>
      </c>
      <c r="B3810" s="8" t="str">
        <f>HYPERLINK("https://twitter.com/bodo1962","@bodo1962")</f>
        <v>@bodo1962</v>
      </c>
      <c r="C3810" s="9" t="s">
        <v>1834</v>
      </c>
      <c r="D3810" s="9" t="s">
        <v>3496</v>
      </c>
      <c r="E3810" s="10" t="str">
        <f>HYPERLINK("https://twitter.com/bodo1962/status/723506942493233153","723506942493233153")</f>
        <v>723506942493233153</v>
      </c>
      <c r="F3810" s="11" t="s">
        <v>43</v>
      </c>
      <c r="G3810" s="11">
        <v>54</v>
      </c>
      <c r="H3810" s="11">
        <v>73</v>
      </c>
      <c r="I3810" s="11">
        <v>7</v>
      </c>
      <c r="J3810" s="11">
        <v>0</v>
      </c>
      <c r="K3810" s="11" t="s">
        <v>21</v>
      </c>
      <c r="L3810" s="7">
        <v>40828.089305555557</v>
      </c>
      <c r="M3810" s="12"/>
      <c r="N3810" s="12" t="s">
        <v>1836</v>
      </c>
      <c r="O3810" s="10" t="str">
        <f>HYPERLINK("https://pbs.twimg.com/profile_images/439706141728051201/GQgdrA5p_normal.jpeg","View")</f>
        <v>View</v>
      </c>
      <c r="P3810" s="11"/>
    </row>
    <row r="3811" spans="1:16" ht="12.75" x14ac:dyDescent="0.35">
      <c r="A3811" s="7">
        <v>42482.79954861111</v>
      </c>
      <c r="B3811" s="8" t="str">
        <f>HYPERLINK("https://twitter.com/aktionaer","@aktionaer")</f>
        <v>@aktionaer</v>
      </c>
      <c r="C3811" s="9" t="s">
        <v>1252</v>
      </c>
      <c r="D3811" s="9" t="s">
        <v>9120</v>
      </c>
      <c r="E3811" s="10" t="str">
        <f>HYPERLINK("https://twitter.com/aktionaer/status/723506981064052736","723506981064052736")</f>
        <v>723506981064052736</v>
      </c>
      <c r="F3811" s="11" t="s">
        <v>43</v>
      </c>
      <c r="G3811" s="11">
        <v>4630</v>
      </c>
      <c r="H3811" s="11">
        <v>1113</v>
      </c>
      <c r="I3811" s="11">
        <v>0</v>
      </c>
      <c r="J3811" s="11">
        <v>0</v>
      </c>
      <c r="K3811" s="11" t="s">
        <v>21</v>
      </c>
      <c r="L3811" s="7">
        <v>39844.695729166662</v>
      </c>
      <c r="M3811" s="12" t="s">
        <v>1254</v>
      </c>
      <c r="N3811" s="12" t="s">
        <v>1255</v>
      </c>
      <c r="O3811" s="10" t="str">
        <f>HYPERLINK("https://pbs.twimg.com/profile_images/679552623641509888/_vPw9IS2_normal.png","View")</f>
        <v>View</v>
      </c>
      <c r="P3811" s="11"/>
    </row>
    <row r="3812" spans="1:16" ht="12.75" x14ac:dyDescent="0.35">
      <c r="A3812" s="7">
        <v>42482.79965277778</v>
      </c>
      <c r="B3812" s="8" t="str">
        <f>HYPERLINK("https://twitter.com/STEEL5757","@STEEL5757")</f>
        <v>@STEEL5757</v>
      </c>
      <c r="C3812" s="9" t="s">
        <v>9121</v>
      </c>
      <c r="D3812" s="9" t="s">
        <v>5516</v>
      </c>
      <c r="E3812" s="10" t="str">
        <f>HYPERLINK("https://twitter.com/STEEL5757/status/723507020532473860","723507020532473860")</f>
        <v>723507020532473860</v>
      </c>
      <c r="F3812" s="11" t="s">
        <v>43</v>
      </c>
      <c r="G3812" s="11">
        <v>16809</v>
      </c>
      <c r="H3812" s="11">
        <v>11077</v>
      </c>
      <c r="I3812" s="11">
        <v>13</v>
      </c>
      <c r="J3812" s="11">
        <v>0</v>
      </c>
      <c r="K3812" s="11" t="s">
        <v>21</v>
      </c>
      <c r="L3812" s="7">
        <v>40998.157083333332</v>
      </c>
      <c r="M3812" s="12" t="s">
        <v>2408</v>
      </c>
      <c r="N3812" s="12" t="s">
        <v>9122</v>
      </c>
      <c r="O3812" s="10" t="str">
        <f>HYPERLINK("https://pbs.twimg.com/profile_images/536778472937373696/4a_Txa8m_normal.jpeg","View")</f>
        <v>View</v>
      </c>
      <c r="P3812" s="11"/>
    </row>
    <row r="3813" spans="1:16" ht="12.75" x14ac:dyDescent="0.35">
      <c r="A3813" s="7">
        <v>42482.799791666665</v>
      </c>
      <c r="B3813" s="8" t="str">
        <f>HYPERLINK("https://twitter.com/MattFux","@MattFux")</f>
        <v>@MattFux</v>
      </c>
      <c r="C3813" s="9" t="s">
        <v>9123</v>
      </c>
      <c r="D3813" s="9" t="s">
        <v>9124</v>
      </c>
      <c r="E3813" s="10" t="str">
        <f>HYPERLINK("https://twitter.com/MattFux/status/723507069362556930","723507069362556930")</f>
        <v>723507069362556930</v>
      </c>
      <c r="F3813" s="11" t="s">
        <v>48</v>
      </c>
      <c r="G3813" s="11">
        <v>85</v>
      </c>
      <c r="H3813" s="11">
        <v>654</v>
      </c>
      <c r="I3813" s="11">
        <v>0</v>
      </c>
      <c r="J3813" s="11">
        <v>0</v>
      </c>
      <c r="K3813" s="11" t="s">
        <v>21</v>
      </c>
      <c r="L3813" s="7">
        <v>42146.146840277783</v>
      </c>
      <c r="M3813" s="12" t="s">
        <v>1443</v>
      </c>
      <c r="N3813" s="12" t="s">
        <v>9125</v>
      </c>
      <c r="O3813" s="10" t="str">
        <f>HYPERLINK("https://pbs.twimg.com/profile_images/601508662855753728/ZJCskb0O_normal.jpg","View")</f>
        <v>View</v>
      </c>
      <c r="P3813" s="11"/>
    </row>
    <row r="3814" spans="1:16" ht="12.75" x14ac:dyDescent="0.35">
      <c r="A3814" s="7">
        <v>42482.799895833334</v>
      </c>
      <c r="B3814" s="8" t="str">
        <f>HYPERLINK("https://twitter.com/johnvoelcker","@johnvoelcker")</f>
        <v>@johnvoelcker</v>
      </c>
      <c r="C3814" s="9" t="s">
        <v>2626</v>
      </c>
      <c r="D3814" s="9" t="s">
        <v>9126</v>
      </c>
      <c r="E3814" s="10" t="str">
        <f>HYPERLINK("https://twitter.com/johnvoelcker/status/723507108273098752","723507108273098752")</f>
        <v>723507108273098752</v>
      </c>
      <c r="F3814" s="11" t="s">
        <v>43</v>
      </c>
      <c r="G3814" s="11">
        <v>10658</v>
      </c>
      <c r="H3814" s="11">
        <v>7323</v>
      </c>
      <c r="I3814" s="11">
        <v>0</v>
      </c>
      <c r="J3814" s="11">
        <v>0</v>
      </c>
      <c r="K3814" s="11" t="s">
        <v>21</v>
      </c>
      <c r="L3814" s="7">
        <v>39847.678935185184</v>
      </c>
      <c r="M3814" s="12" t="s">
        <v>2628</v>
      </c>
      <c r="N3814" s="12" t="s">
        <v>2629</v>
      </c>
      <c r="O3814" s="10" t="str">
        <f>HYPERLINK("https://pbs.twimg.com/profile_images/2136613539/JV-headshot_normal.jpg","View")</f>
        <v>View</v>
      </c>
      <c r="P3814" s="11"/>
    </row>
    <row r="3815" spans="1:16" ht="12.75" x14ac:dyDescent="0.35">
      <c r="A3815" s="7">
        <v>42482.799930555557</v>
      </c>
      <c r="B3815" s="8" t="str">
        <f>HYPERLINK("https://twitter.com/FocusEconomia","@FocusEconomia")</f>
        <v>@FocusEconomia</v>
      </c>
      <c r="C3815" s="9" t="s">
        <v>8971</v>
      </c>
      <c r="D3815" s="9" t="s">
        <v>9127</v>
      </c>
      <c r="E3815" s="10" t="str">
        <f>HYPERLINK("https://twitter.com/FocusEconomia/status/723507121216733184","723507121216733184")</f>
        <v>723507121216733184</v>
      </c>
      <c r="F3815" s="11" t="s">
        <v>53</v>
      </c>
      <c r="G3815" s="11">
        <v>1399</v>
      </c>
      <c r="H3815" s="11">
        <v>77</v>
      </c>
      <c r="I3815" s="11">
        <v>0</v>
      </c>
      <c r="J3815" s="11">
        <v>0</v>
      </c>
      <c r="K3815" s="11" t="s">
        <v>21</v>
      </c>
      <c r="L3815" s="7">
        <v>42110.900011574078</v>
      </c>
      <c r="M3815" s="12"/>
      <c r="N3815" s="12"/>
      <c r="O3815" s="10" t="str">
        <f>HYPERLINK("https://pbs.twimg.com/profile_images/588735564154806272/d8_8cgTC_normal.jpg","View")</f>
        <v>View</v>
      </c>
      <c r="P3815" s="11"/>
    </row>
    <row r="3816" spans="1:16" ht="12.75" x14ac:dyDescent="0.35">
      <c r="A3816" s="7">
        <v>42482.800046296295</v>
      </c>
      <c r="B3816" s="8" t="str">
        <f>HYPERLINK("https://twitter.com/tom_hille","@tom_hille")</f>
        <v>@tom_hille</v>
      </c>
      <c r="C3816" s="9" t="s">
        <v>9128</v>
      </c>
      <c r="D3816" s="9" t="s">
        <v>9129</v>
      </c>
      <c r="E3816" s="10" t="str">
        <f>HYPERLINK("https://twitter.com/tom_hille/status/723507163994427392","723507163994427392")</f>
        <v>723507163994427392</v>
      </c>
      <c r="F3816" s="11" t="s">
        <v>48</v>
      </c>
      <c r="G3816" s="11">
        <v>3</v>
      </c>
      <c r="H3816" s="11">
        <v>42</v>
      </c>
      <c r="I3816" s="11">
        <v>0</v>
      </c>
      <c r="J3816" s="11">
        <v>0</v>
      </c>
      <c r="K3816" s="11" t="s">
        <v>21</v>
      </c>
      <c r="L3816" s="7">
        <v>42455.93686342593</v>
      </c>
      <c r="M3816" s="12" t="s">
        <v>9130</v>
      </c>
      <c r="N3816" s="12"/>
      <c r="O3816" s="10" t="str">
        <f>HYPERLINK("https://abs.twimg.com/sticky/default_profile_images/default_profile_6_normal.png","View")</f>
        <v>View</v>
      </c>
      <c r="P3816" s="11"/>
    </row>
    <row r="3817" spans="1:16" ht="12.75" x14ac:dyDescent="0.35">
      <c r="A3817" s="7">
        <v>42482.800115740742</v>
      </c>
      <c r="B3817" s="8" t="str">
        <f>HYPERLINK("https://twitter.com/ihoelt","@ihoelt")</f>
        <v>@ihoelt</v>
      </c>
      <c r="C3817" s="9" t="s">
        <v>9106</v>
      </c>
      <c r="D3817" s="9" t="s">
        <v>9131</v>
      </c>
      <c r="E3817" s="10" t="str">
        <f>HYPERLINK("https://twitter.com/ihoelt/status/723507187054710785","723507187054710785")</f>
        <v>723507187054710785</v>
      </c>
      <c r="F3817" s="11" t="s">
        <v>43</v>
      </c>
      <c r="G3817" s="11">
        <v>838</v>
      </c>
      <c r="H3817" s="11">
        <v>468</v>
      </c>
      <c r="I3817" s="11">
        <v>0</v>
      </c>
      <c r="J3817" s="11">
        <v>0</v>
      </c>
      <c r="K3817" s="11" t="s">
        <v>21</v>
      </c>
      <c r="L3817" s="7">
        <v>39884.641296296293</v>
      </c>
      <c r="M3817" s="12" t="s">
        <v>1288</v>
      </c>
      <c r="N3817" s="12" t="s">
        <v>9108</v>
      </c>
      <c r="O3817" s="10" t="str">
        <f>HYPERLINK("https://pbs.twimg.com/profile_images/718763389472911360/SuBCVaEu_normal.jpg","View")</f>
        <v>View</v>
      </c>
      <c r="P3817" s="11"/>
    </row>
    <row r="3818" spans="1:16" ht="12.75" x14ac:dyDescent="0.35">
      <c r="A3818" s="7">
        <v>42482.800416666665</v>
      </c>
      <c r="B3818" s="8" t="str">
        <f>HYPERLINK("https://twitter.com/ZDFhannover","@ZDFhannover")</f>
        <v>@ZDFhannover</v>
      </c>
      <c r="C3818" s="9" t="s">
        <v>8052</v>
      </c>
      <c r="D3818" s="9" t="s">
        <v>9132</v>
      </c>
      <c r="E3818" s="10" t="str">
        <f>HYPERLINK("https://twitter.com/ZDFhannover/status/723507298912579585","723507298912579585")</f>
        <v>723507298912579585</v>
      </c>
      <c r="F3818" s="11" t="s">
        <v>20</v>
      </c>
      <c r="G3818" s="11">
        <v>1183</v>
      </c>
      <c r="H3818" s="11">
        <v>107</v>
      </c>
      <c r="I3818" s="11">
        <v>0</v>
      </c>
      <c r="J3818" s="11">
        <v>0</v>
      </c>
      <c r="K3818" s="11" t="s">
        <v>21</v>
      </c>
      <c r="L3818" s="7">
        <v>41116.613692129627</v>
      </c>
      <c r="M3818" s="12" t="s">
        <v>6661</v>
      </c>
      <c r="N3818" s="12" t="s">
        <v>8054</v>
      </c>
      <c r="O3818" s="10" t="str">
        <f>HYPERLINK("https://pbs.twimg.com/profile_images/606071164478308352/Bpbe55iE_normal.png","View")</f>
        <v>View</v>
      </c>
      <c r="P3818" s="11"/>
    </row>
    <row r="3819" spans="1:16" ht="12.75" x14ac:dyDescent="0.35">
      <c r="A3819" s="7">
        <v>42482.800659722227</v>
      </c>
      <c r="B3819" s="8" t="str">
        <f>HYPERLINK("https://twitter.com/ibikus31","@ibikus31")</f>
        <v>@ibikus31</v>
      </c>
      <c r="C3819" s="9" t="s">
        <v>9133</v>
      </c>
      <c r="D3819" s="9" t="s">
        <v>9134</v>
      </c>
      <c r="E3819" s="10" t="str">
        <f>HYPERLINK("https://twitter.com/ibikus31/status/723507383675289600","723507383675289600")</f>
        <v>723507383675289600</v>
      </c>
      <c r="F3819" s="11" t="s">
        <v>48</v>
      </c>
      <c r="G3819" s="11">
        <v>1363</v>
      </c>
      <c r="H3819" s="11">
        <v>713</v>
      </c>
      <c r="I3819" s="11">
        <v>0</v>
      </c>
      <c r="J3819" s="11">
        <v>0</v>
      </c>
      <c r="K3819" s="11" t="s">
        <v>21</v>
      </c>
      <c r="L3819" s="7">
        <v>41425.11409722222</v>
      </c>
      <c r="M3819" s="12" t="s">
        <v>8694</v>
      </c>
      <c r="N3819" s="12" t="s">
        <v>9135</v>
      </c>
      <c r="O3819" s="10" t="str">
        <f>HYPERLINK("https://pbs.twimg.com/profile_images/702866301568618496/VRpr5_N__normal.jpg","View")</f>
        <v>View</v>
      </c>
      <c r="P3819" s="11"/>
    </row>
    <row r="3820" spans="1:16" ht="12.75" x14ac:dyDescent="0.35">
      <c r="A3820" s="7">
        <v>42482.800682870366</v>
      </c>
      <c r="B3820" s="8" t="str">
        <f>HYPERLINK("https://twitter.com/hcschumacher","@hcschumacher")</f>
        <v>@hcschumacher</v>
      </c>
      <c r="C3820" s="9" t="s">
        <v>9136</v>
      </c>
      <c r="D3820" s="9" t="s">
        <v>8183</v>
      </c>
      <c r="E3820" s="10" t="str">
        <f>HYPERLINK("https://twitter.com/hcschumacher/status/723507393527730176","723507393527730176")</f>
        <v>723507393527730176</v>
      </c>
      <c r="F3820" s="11" t="s">
        <v>43</v>
      </c>
      <c r="G3820" s="11">
        <v>103</v>
      </c>
      <c r="H3820" s="11">
        <v>797</v>
      </c>
      <c r="I3820" s="11">
        <v>6</v>
      </c>
      <c r="J3820" s="11">
        <v>0</v>
      </c>
      <c r="K3820" s="11" t="s">
        <v>21</v>
      </c>
      <c r="L3820" s="7">
        <v>40403.310694444444</v>
      </c>
      <c r="M3820" s="12" t="s">
        <v>9137</v>
      </c>
      <c r="N3820" s="12" t="s">
        <v>9138</v>
      </c>
      <c r="O3820" s="10" t="str">
        <f>HYPERLINK("https://pbs.twimg.com/profile_images/666427553817694209/iqL2bp-M_normal.jpg","View")</f>
        <v>View</v>
      </c>
      <c r="P3820" s="11"/>
    </row>
    <row r="3821" spans="1:16" ht="12.75" x14ac:dyDescent="0.35">
      <c r="A3821" s="7">
        <v>42482.800995370373</v>
      </c>
      <c r="B3821" s="8" t="str">
        <f>HYPERLINK("https://twitter.com/MarkCSchneider","@MarkCSchneider")</f>
        <v>@MarkCSchneider</v>
      </c>
      <c r="C3821" s="9" t="s">
        <v>952</v>
      </c>
      <c r="D3821" s="9" t="s">
        <v>9139</v>
      </c>
      <c r="E3821" s="10" t="str">
        <f>HYPERLINK("https://twitter.com/MarkCSchneider/status/723507506291597312","723507506291597312")</f>
        <v>723507506291597312</v>
      </c>
      <c r="F3821" s="11" t="s">
        <v>43</v>
      </c>
      <c r="G3821" s="11">
        <v>370</v>
      </c>
      <c r="H3821" s="11">
        <v>336</v>
      </c>
      <c r="I3821" s="11">
        <v>0</v>
      </c>
      <c r="J3821" s="11">
        <v>0</v>
      </c>
      <c r="K3821" s="11" t="s">
        <v>21</v>
      </c>
      <c r="L3821" s="7">
        <v>41495.558136574073</v>
      </c>
      <c r="M3821" s="12" t="s">
        <v>953</v>
      </c>
      <c r="N3821" s="12"/>
      <c r="O3821" s="10" t="str">
        <f>HYPERLINK("https://pbs.twimg.com/profile_images/706784695795769345/XGXgdjww_normal.jpg","View")</f>
        <v>View</v>
      </c>
      <c r="P3821" s="11"/>
    </row>
    <row r="3822" spans="1:16" ht="12.75" x14ac:dyDescent="0.35">
      <c r="A3822" s="7">
        <v>42482.801203703704</v>
      </c>
      <c r="B3822" s="8" t="str">
        <f>HYPERLINK("https://twitter.com/holger_sd","@holger_sd")</f>
        <v>@holger_sd</v>
      </c>
      <c r="C3822" s="9" t="s">
        <v>9140</v>
      </c>
      <c r="D3822" s="9" t="s">
        <v>9141</v>
      </c>
      <c r="E3822" s="10" t="str">
        <f>HYPERLINK("https://twitter.com/holger_sd/status/723507581482852353","723507581482852353")</f>
        <v>723507581482852353</v>
      </c>
      <c r="F3822" s="11" t="s">
        <v>20</v>
      </c>
      <c r="G3822" s="11">
        <v>34</v>
      </c>
      <c r="H3822" s="11">
        <v>125</v>
      </c>
      <c r="I3822" s="11">
        <v>0</v>
      </c>
      <c r="J3822" s="11">
        <v>0</v>
      </c>
      <c r="K3822" s="11" t="s">
        <v>21</v>
      </c>
      <c r="L3822" s="7">
        <v>40874.71466435185</v>
      </c>
      <c r="M3822" s="12" t="s">
        <v>1359</v>
      </c>
      <c r="N3822" s="12" t="s">
        <v>9142</v>
      </c>
      <c r="O3822" s="10" t="str">
        <f>HYPERLINK("https://pbs.twimg.com/profile_images/428941374243995648/se9Zh9ed_normal.jpeg","View")</f>
        <v>View</v>
      </c>
      <c r="P3822" s="11"/>
    </row>
    <row r="3823" spans="1:16" ht="12.75" x14ac:dyDescent="0.35">
      <c r="A3823" s="7">
        <v>42482.801400462966</v>
      </c>
      <c r="B3823" s="8" t="str">
        <f>HYPERLINK("https://twitter.com/ophuels","@ophuels")</f>
        <v>@ophuels</v>
      </c>
      <c r="C3823" s="9" t="s">
        <v>8576</v>
      </c>
      <c r="D3823" s="9" t="s">
        <v>9143</v>
      </c>
      <c r="E3823" s="10" t="str">
        <f>HYPERLINK("https://twitter.com/ophuels/status/723507653033467904","723507653033467904")</f>
        <v>723507653033467904</v>
      </c>
      <c r="F3823" s="11" t="s">
        <v>63</v>
      </c>
      <c r="G3823" s="11">
        <v>548</v>
      </c>
      <c r="H3823" s="11">
        <v>666</v>
      </c>
      <c r="I3823" s="11">
        <v>0</v>
      </c>
      <c r="J3823" s="11">
        <v>0</v>
      </c>
      <c r="K3823" s="11" t="s">
        <v>21</v>
      </c>
      <c r="L3823" s="7">
        <v>39996.645949074074</v>
      </c>
      <c r="M3823" s="12" t="s">
        <v>975</v>
      </c>
      <c r="N3823" s="12" t="s">
        <v>8578</v>
      </c>
      <c r="O3823" s="10" t="str">
        <f>HYPERLINK("https://pbs.twimg.com/profile_images/545515043761037312/gp4mWkRD_normal.jpeg","View")</f>
        <v>View</v>
      </c>
      <c r="P3823" s="11"/>
    </row>
    <row r="3824" spans="1:16" ht="12.75" x14ac:dyDescent="0.35">
      <c r="A3824" s="7">
        <v>42482.801469907412</v>
      </c>
      <c r="B3824" s="8" t="str">
        <f>HYPERLINK("https://twitter.com/VWBeetleSales","@VWBeetleSales")</f>
        <v>@VWBeetleSales</v>
      </c>
      <c r="C3824" s="9" t="s">
        <v>127</v>
      </c>
      <c r="D3824" s="9" t="s">
        <v>9144</v>
      </c>
      <c r="E3824" s="10" t="str">
        <f>HYPERLINK("https://twitter.com/VWBeetleSales/status/723507680405397504","723507680405397504")</f>
        <v>723507680405397504</v>
      </c>
      <c r="F3824" s="10" t="s">
        <v>124</v>
      </c>
      <c r="G3824" s="11">
        <v>36</v>
      </c>
      <c r="H3824" s="11">
        <v>32</v>
      </c>
      <c r="I3824" s="11">
        <v>0</v>
      </c>
      <c r="J3824" s="11">
        <v>0</v>
      </c>
      <c r="K3824" s="11" t="s">
        <v>21</v>
      </c>
      <c r="L3824" s="7">
        <v>42427.019756944443</v>
      </c>
      <c r="M3824" s="12" t="s">
        <v>129</v>
      </c>
      <c r="N3824" s="12" t="s">
        <v>130</v>
      </c>
      <c r="O3824" s="10" t="str">
        <f>HYPERLINK("https://pbs.twimg.com/profile_images/703294545195307008/qeCvrX86_normal.jpg","View")</f>
        <v>View</v>
      </c>
      <c r="P3824" s="11"/>
    </row>
    <row r="3825" spans="1:16" ht="12.75" x14ac:dyDescent="0.35">
      <c r="A3825" s="7">
        <v>42482.801550925928</v>
      </c>
      <c r="B3825" s="8" t="str">
        <f>HYPERLINK("https://twitter.com/MangeKrull","@MangeKrull")</f>
        <v>@MangeKrull</v>
      </c>
      <c r="C3825" s="9" t="s">
        <v>9145</v>
      </c>
      <c r="D3825" s="9" t="s">
        <v>8806</v>
      </c>
      <c r="E3825" s="10" t="str">
        <f>HYPERLINK("https://twitter.com/MangeKrull/status/723507706762551296","723507706762551296")</f>
        <v>723507706762551296</v>
      </c>
      <c r="F3825" s="11" t="s">
        <v>48</v>
      </c>
      <c r="G3825" s="11">
        <v>209</v>
      </c>
      <c r="H3825" s="11">
        <v>791</v>
      </c>
      <c r="I3825" s="11">
        <v>6</v>
      </c>
      <c r="J3825" s="11">
        <v>0</v>
      </c>
      <c r="K3825" s="11" t="s">
        <v>21</v>
      </c>
      <c r="L3825" s="7">
        <v>41371.496666666666</v>
      </c>
      <c r="M3825" s="12"/>
      <c r="N3825" s="12" t="s">
        <v>9146</v>
      </c>
      <c r="O3825" s="10" t="str">
        <f>HYPERLINK("https://pbs.twimg.com/profile_images/687267836016852992/3ngK-2o7_normal.jpg","View")</f>
        <v>View</v>
      </c>
      <c r="P3825" s="11"/>
    </row>
    <row r="3826" spans="1:16" ht="12.75" x14ac:dyDescent="0.35">
      <c r="A3826" s="7">
        <v>42482.801631944443</v>
      </c>
      <c r="B3826" s="8" t="str">
        <f>HYPERLINK("https://twitter.com/Elisa1Beth2","@Elisa1Beth2")</f>
        <v>@Elisa1Beth2</v>
      </c>
      <c r="C3826" s="9" t="s">
        <v>9147</v>
      </c>
      <c r="D3826" s="9" t="s">
        <v>9148</v>
      </c>
      <c r="E3826" s="10" t="str">
        <f>HYPERLINK("https://twitter.com/Elisa1Beth2/status/723507738790211585","723507738790211585")</f>
        <v>723507738790211585</v>
      </c>
      <c r="F3826" s="11" t="s">
        <v>91</v>
      </c>
      <c r="G3826" s="11">
        <v>125</v>
      </c>
      <c r="H3826" s="11">
        <v>631</v>
      </c>
      <c r="I3826" s="11">
        <v>0</v>
      </c>
      <c r="J3826" s="11">
        <v>0</v>
      </c>
      <c r="K3826" s="11" t="s">
        <v>21</v>
      </c>
      <c r="L3826" s="7">
        <v>41101.817129629628</v>
      </c>
      <c r="M3826" s="12"/>
      <c r="N3826" s="12"/>
      <c r="O3826" s="10" t="str">
        <f>HYPERLINK("https://pbs.twimg.com/profile_images/612158537448472576/bQPPZ83Y_normal.jpg","View")</f>
        <v>View</v>
      </c>
      <c r="P3826" s="11"/>
    </row>
    <row r="3827" spans="1:16" ht="12.75" x14ac:dyDescent="0.35">
      <c r="A3827" s="7">
        <v>42482.801898148144</v>
      </c>
      <c r="B3827" s="8" t="str">
        <f>HYPERLINK("https://twitter.com/dean_gonsowski","@dean_gonsowski")</f>
        <v>@dean_gonsowski</v>
      </c>
      <c r="C3827" s="9" t="s">
        <v>9149</v>
      </c>
      <c r="D3827" s="9" t="s">
        <v>9150</v>
      </c>
      <c r="E3827" s="10" t="str">
        <f>HYPERLINK("https://twitter.com/dean_gonsowski/status/723507832297910272","723507832297910272")</f>
        <v>723507832297910272</v>
      </c>
      <c r="F3827" s="11" t="s">
        <v>43</v>
      </c>
      <c r="G3827" s="11">
        <v>1213</v>
      </c>
      <c r="H3827" s="11">
        <v>408</v>
      </c>
      <c r="I3827" s="11">
        <v>0</v>
      </c>
      <c r="J3827" s="11">
        <v>0</v>
      </c>
      <c r="K3827" s="11" t="s">
        <v>21</v>
      </c>
      <c r="L3827" s="7">
        <v>39877.228703703702</v>
      </c>
      <c r="M3827" s="12"/>
      <c r="N3827" s="12" t="s">
        <v>9151</v>
      </c>
      <c r="O3827" s="10" t="str">
        <f>HYPERLINK("https://pbs.twimg.com/profile_images/702941751409905664/qKzBhTa8_normal.jpg","View")</f>
        <v>View</v>
      </c>
      <c r="P3827" s="11"/>
    </row>
    <row r="3828" spans="1:16" ht="12.75" x14ac:dyDescent="0.35">
      <c r="A3828" s="7">
        <v>42482.801979166667</v>
      </c>
      <c r="B3828" s="8" t="str">
        <f>HYPERLINK("https://twitter.com/TobyEmanuel","@TobyEmanuel")</f>
        <v>@TobyEmanuel</v>
      </c>
      <c r="C3828" s="9" t="s">
        <v>9152</v>
      </c>
      <c r="D3828" s="9" t="s">
        <v>8921</v>
      </c>
      <c r="E3828" s="10" t="str">
        <f>HYPERLINK("https://twitter.com/TobyEmanuel/status/723507863537246208","723507863537246208")</f>
        <v>723507863537246208</v>
      </c>
      <c r="F3828" s="11" t="s">
        <v>48</v>
      </c>
      <c r="G3828" s="11">
        <v>82</v>
      </c>
      <c r="H3828" s="11">
        <v>51</v>
      </c>
      <c r="I3828" s="11">
        <v>9</v>
      </c>
      <c r="J3828" s="11">
        <v>0</v>
      </c>
      <c r="K3828" s="11" t="s">
        <v>21</v>
      </c>
      <c r="L3828" s="7">
        <v>41385.762719907405</v>
      </c>
      <c r="M3828" s="12" t="s">
        <v>9153</v>
      </c>
      <c r="N3828" s="12" t="s">
        <v>9154</v>
      </c>
      <c r="O3828" s="10" t="str">
        <f>HYPERLINK("https://pbs.twimg.com/profile_images/619581922545639424/P8_L8opU_normal.jpg","View")</f>
        <v>View</v>
      </c>
      <c r="P3828" s="11"/>
    </row>
    <row r="3829" spans="1:16" ht="12.75" x14ac:dyDescent="0.35">
      <c r="A3829" s="7">
        <v>42482.802175925928</v>
      </c>
      <c r="B3829" s="8" t="str">
        <f>HYPERLINK("https://twitter.com/VWCamperSales","@VWCamperSales")</f>
        <v>@VWCamperSales</v>
      </c>
      <c r="C3829" s="9" t="s">
        <v>216</v>
      </c>
      <c r="D3829" s="9" t="s">
        <v>9155</v>
      </c>
      <c r="E3829" s="10" t="str">
        <f>HYPERLINK("https://twitter.com/VWCamperSales/status/723507933267431426","723507933267431426")</f>
        <v>723507933267431426</v>
      </c>
      <c r="F3829" s="10" t="s">
        <v>124</v>
      </c>
      <c r="G3829" s="11">
        <v>617</v>
      </c>
      <c r="H3829" s="11">
        <v>580</v>
      </c>
      <c r="I3829" s="11">
        <v>0</v>
      </c>
      <c r="J3829" s="11">
        <v>0</v>
      </c>
      <c r="K3829" s="11" t="s">
        <v>21</v>
      </c>
      <c r="L3829" s="7">
        <v>42215.98809027778</v>
      </c>
      <c r="M3829" s="12" t="s">
        <v>129</v>
      </c>
      <c r="N3829" s="12" t="s">
        <v>218</v>
      </c>
      <c r="O3829" s="10" t="str">
        <f>HYPERLINK("https://pbs.twimg.com/profile_images/627949001179037696/skEBkS05_normal.jpg","View")</f>
        <v>View</v>
      </c>
      <c r="P3829" s="11"/>
    </row>
    <row r="3830" spans="1:16" ht="12.75" x14ac:dyDescent="0.35">
      <c r="A3830" s="7">
        <v>42482.802256944444</v>
      </c>
      <c r="B3830" s="8" t="str">
        <f>HYPERLINK("https://twitter.com/Minister_Remmel","@Minister_Remmel")</f>
        <v>@Minister_Remmel</v>
      </c>
      <c r="C3830" s="9" t="s">
        <v>8923</v>
      </c>
      <c r="D3830" s="9" t="s">
        <v>9156</v>
      </c>
      <c r="E3830" s="10" t="str">
        <f>HYPERLINK("https://twitter.com/Minister_Remmel/status/723507963281977344","723507963281977344")</f>
        <v>723507963281977344</v>
      </c>
      <c r="F3830" s="11" t="s">
        <v>91</v>
      </c>
      <c r="G3830" s="11">
        <v>3834</v>
      </c>
      <c r="H3830" s="11">
        <v>559</v>
      </c>
      <c r="I3830" s="11">
        <v>0</v>
      </c>
      <c r="J3830" s="11">
        <v>0</v>
      </c>
      <c r="K3830" s="11" t="s">
        <v>21</v>
      </c>
      <c r="L3830" s="7">
        <v>40767.871562500004</v>
      </c>
      <c r="M3830" s="12" t="s">
        <v>1874</v>
      </c>
      <c r="N3830" s="12" t="s">
        <v>8925</v>
      </c>
      <c r="O3830" s="10" t="str">
        <f>HYPERLINK("https://pbs.twimg.com/profile_images/684159552300933120/g_PX7ed9_normal.jpg","View")</f>
        <v>View</v>
      </c>
      <c r="P3830" s="11"/>
    </row>
    <row r="3831" spans="1:16" ht="12.75" x14ac:dyDescent="0.35">
      <c r="A3831" s="7">
        <v>42482.802500000005</v>
      </c>
      <c r="B3831" s="8" t="str">
        <f>HYPERLINK("https://twitter.com/Fotobiene","@Fotobiene")</f>
        <v>@Fotobiene</v>
      </c>
      <c r="C3831" s="9" t="s">
        <v>2977</v>
      </c>
      <c r="D3831" s="9" t="s">
        <v>9157</v>
      </c>
      <c r="E3831" s="10" t="str">
        <f>HYPERLINK("https://twitter.com/Fotobiene/status/723508053891518464","723508053891518464")</f>
        <v>723508053891518464</v>
      </c>
      <c r="F3831" s="11" t="s">
        <v>160</v>
      </c>
      <c r="G3831" s="11">
        <v>372</v>
      </c>
      <c r="H3831" s="11">
        <v>589</v>
      </c>
      <c r="I3831" s="11">
        <v>2</v>
      </c>
      <c r="J3831" s="11">
        <v>0</v>
      </c>
      <c r="K3831" s="11" t="s">
        <v>21</v>
      </c>
      <c r="L3831" s="7">
        <v>40363.94840277778</v>
      </c>
      <c r="M3831" s="12" t="s">
        <v>1116</v>
      </c>
      <c r="N3831" s="12" t="s">
        <v>2978</v>
      </c>
      <c r="O3831" s="10" t="str">
        <f>HYPERLINK("https://pbs.twimg.com/profile_images/476894592051056640/bqGCxWkq_normal.jpeg","View")</f>
        <v>View</v>
      </c>
      <c r="P3831" s="11"/>
    </row>
    <row r="3832" spans="1:16" ht="12.75" x14ac:dyDescent="0.35">
      <c r="A3832" s="7">
        <v>42482.802557870367</v>
      </c>
      <c r="B3832" s="8" t="str">
        <f>HYPERLINK("https://twitter.com/MotoringMedia","@MotoringMedia")</f>
        <v>@MotoringMedia</v>
      </c>
      <c r="C3832" s="9" t="s">
        <v>9158</v>
      </c>
      <c r="D3832" s="9" t="s">
        <v>3440</v>
      </c>
      <c r="E3832" s="10" t="str">
        <f>HYPERLINK("https://twitter.com/MotoringMedia/status/723508075382988800","723508075382988800")</f>
        <v>723508075382988800</v>
      </c>
      <c r="F3832" s="11" t="s">
        <v>63</v>
      </c>
      <c r="G3832" s="11">
        <v>5</v>
      </c>
      <c r="H3832" s="11">
        <v>15</v>
      </c>
      <c r="I3832" s="11">
        <v>12</v>
      </c>
      <c r="J3832" s="11">
        <v>0</v>
      </c>
      <c r="K3832" s="11" t="s">
        <v>21</v>
      </c>
      <c r="L3832" s="7">
        <v>40415.851168981484</v>
      </c>
      <c r="M3832" s="12" t="s">
        <v>9159</v>
      </c>
      <c r="N3832" s="12"/>
      <c r="O3832" s="10" t="str">
        <f>HYPERLINK("https://pbs.twimg.com/profile_images/1110574851/petra-editor_normal.jpg","View")</f>
        <v>View</v>
      </c>
      <c r="P3832" s="11"/>
    </row>
    <row r="3833" spans="1:16" ht="12.75" x14ac:dyDescent="0.35">
      <c r="A3833" s="7">
        <v>42482.803472222222</v>
      </c>
      <c r="B3833" s="8" t="str">
        <f>HYPERLINK("https://twitter.com/dwnews","@dwnews")</f>
        <v>@dwnews</v>
      </c>
      <c r="C3833" s="9" t="s">
        <v>1302</v>
      </c>
      <c r="D3833" s="9" t="s">
        <v>9023</v>
      </c>
      <c r="E3833" s="10" t="str">
        <f>HYPERLINK("https://twitter.com/dwnews/status/723508405743325184","723508405743325184")</f>
        <v>723508405743325184</v>
      </c>
      <c r="F3833" s="11" t="s">
        <v>43</v>
      </c>
      <c r="G3833" s="11">
        <v>91240</v>
      </c>
      <c r="H3833" s="11">
        <v>542</v>
      </c>
      <c r="I3833" s="11">
        <v>10</v>
      </c>
      <c r="J3833" s="11">
        <v>0</v>
      </c>
      <c r="K3833" s="11" t="s">
        <v>21</v>
      </c>
      <c r="L3833" s="7">
        <v>39220.688078703708</v>
      </c>
      <c r="M3833" s="12" t="s">
        <v>1303</v>
      </c>
      <c r="N3833" s="12" t="s">
        <v>1304</v>
      </c>
      <c r="O3833" s="10" t="str">
        <f>HYPERLINK("https://pbs.twimg.com/profile_images/608213167496417280/QSxgcLn__normal.png","View")</f>
        <v>View</v>
      </c>
      <c r="P3833" s="11"/>
    </row>
    <row r="3834" spans="1:16" ht="12.75" x14ac:dyDescent="0.35">
      <c r="A3834" s="7">
        <v>42482.803599537037</v>
      </c>
      <c r="B3834" s="8" t="str">
        <f>HYPERLINK("https://twitter.com/WaqasBukhari15","@WaqasBukhari15")</f>
        <v>@WaqasBukhari15</v>
      </c>
      <c r="C3834" s="9" t="s">
        <v>9160</v>
      </c>
      <c r="D3834" s="9" t="s">
        <v>9023</v>
      </c>
      <c r="E3834" s="10" t="str">
        <f>HYPERLINK("https://twitter.com/WaqasBukhari15/status/723508451167600641","723508451167600641")</f>
        <v>723508451167600641</v>
      </c>
      <c r="F3834" s="11" t="s">
        <v>48</v>
      </c>
      <c r="G3834" s="11">
        <v>435</v>
      </c>
      <c r="H3834" s="11">
        <v>1757</v>
      </c>
      <c r="I3834" s="11">
        <v>10</v>
      </c>
      <c r="J3834" s="11">
        <v>0</v>
      </c>
      <c r="K3834" s="11" t="s">
        <v>21</v>
      </c>
      <c r="L3834" s="7">
        <v>41643.611493055556</v>
      </c>
      <c r="M3834" s="12" t="s">
        <v>9161</v>
      </c>
      <c r="N3834" s="12" t="s">
        <v>9162</v>
      </c>
      <c r="O3834" s="10" t="str">
        <f>HYPERLINK("https://pbs.twimg.com/profile_images/722739492587773952/m_qJ8Fmv_normal.jpg","View")</f>
        <v>View</v>
      </c>
      <c r="P3834" s="11"/>
    </row>
    <row r="3835" spans="1:16" ht="12.75" x14ac:dyDescent="0.35">
      <c r="A3835" s="7">
        <v>42482.803923611107</v>
      </c>
      <c r="B3835" s="8" t="str">
        <f>HYPERLINK("https://twitter.com/bvdvliet","@bvdvliet")</f>
        <v>@bvdvliet</v>
      </c>
      <c r="C3835" s="9" t="s">
        <v>2513</v>
      </c>
      <c r="D3835" s="9" t="s">
        <v>8183</v>
      </c>
      <c r="E3835" s="10" t="str">
        <f>HYPERLINK("https://twitter.com/bvdvliet/status/723508567618248704","723508567618248704")</f>
        <v>723508567618248704</v>
      </c>
      <c r="F3835" s="11" t="s">
        <v>91</v>
      </c>
      <c r="G3835" s="11">
        <v>159</v>
      </c>
      <c r="H3835" s="11">
        <v>267</v>
      </c>
      <c r="I3835" s="11">
        <v>8</v>
      </c>
      <c r="J3835" s="11">
        <v>0</v>
      </c>
      <c r="K3835" s="11" t="s">
        <v>21</v>
      </c>
      <c r="L3835" s="7">
        <v>41594.873657407406</v>
      </c>
      <c r="M3835" s="12"/>
      <c r="N3835" s="12"/>
      <c r="O3835" s="10" t="str">
        <f>HYPERLINK("https://pbs.twimg.com/profile_images/378800000747750946/394d9f0f5e6dde5137683d9c98c5c8a9_normal.jpeg","View")</f>
        <v>View</v>
      </c>
      <c r="P3835" s="11"/>
    </row>
    <row r="3836" spans="1:16" ht="12.75" x14ac:dyDescent="0.35">
      <c r="A3836" s="7">
        <v>42482.80405092593</v>
      </c>
      <c r="B3836" s="8" t="str">
        <f>HYPERLINK("https://twitter.com/ALuizCosta","@ALuizCosta")</f>
        <v>@ALuizCosta</v>
      </c>
      <c r="C3836" s="9" t="s">
        <v>9163</v>
      </c>
      <c r="D3836" s="9" t="s">
        <v>9023</v>
      </c>
      <c r="E3836" s="10" t="str">
        <f>HYPERLINK("https://twitter.com/ALuizCosta/status/723508616540618752","723508616540618752")</f>
        <v>723508616540618752</v>
      </c>
      <c r="F3836" s="11" t="s">
        <v>43</v>
      </c>
      <c r="G3836" s="11">
        <v>19937</v>
      </c>
      <c r="H3836" s="11">
        <v>391</v>
      </c>
      <c r="I3836" s="11">
        <v>10</v>
      </c>
      <c r="J3836" s="11">
        <v>0</v>
      </c>
      <c r="K3836" s="11" t="s">
        <v>21</v>
      </c>
      <c r="L3836" s="7">
        <v>40047.292384259257</v>
      </c>
      <c r="M3836" s="12" t="s">
        <v>9164</v>
      </c>
      <c r="N3836" s="12" t="s">
        <v>9165</v>
      </c>
      <c r="O3836" s="10" t="str">
        <f>HYPERLINK("https://pbs.twimg.com/profile_images/2271606272/xu4wfzxq45452xnceq08_normal.jpeg","View")</f>
        <v>View</v>
      </c>
      <c r="P3836" s="11"/>
    </row>
    <row r="3837" spans="1:16" ht="12.75" x14ac:dyDescent="0.35">
      <c r="A3837" s="7">
        <v>42482.804259259261</v>
      </c>
      <c r="B3837" s="8" t="str">
        <f>HYPERLINK("https://twitter.com/repub9989","@repub9989")</f>
        <v>@repub9989</v>
      </c>
      <c r="C3837" s="9" t="s">
        <v>6608</v>
      </c>
      <c r="D3837" s="9" t="s">
        <v>9023</v>
      </c>
      <c r="E3837" s="10" t="str">
        <f>HYPERLINK("https://twitter.com/repub9989/status/723508691870310400","723508691870310400")</f>
        <v>723508691870310400</v>
      </c>
      <c r="F3837" s="11" t="s">
        <v>63</v>
      </c>
      <c r="G3837" s="11">
        <v>5854</v>
      </c>
      <c r="H3837" s="11">
        <v>6278</v>
      </c>
      <c r="I3837" s="11">
        <v>10</v>
      </c>
      <c r="J3837" s="11">
        <v>0</v>
      </c>
      <c r="K3837" s="11" t="s">
        <v>21</v>
      </c>
      <c r="L3837" s="7">
        <v>39811.864768518521</v>
      </c>
      <c r="M3837" s="12"/>
      <c r="N3837" s="12" t="s">
        <v>9166</v>
      </c>
      <c r="O3837" s="10" t="str">
        <f>HYPERLINK("https://pbs.twimg.com/profile_images/720671504011259904/f2m-klyu_normal.jpg","View")</f>
        <v>View</v>
      </c>
      <c r="P3837" s="11"/>
    </row>
    <row r="3838" spans="1:16" ht="12.75" x14ac:dyDescent="0.35">
      <c r="A3838" s="7">
        <v>42482.804282407407</v>
      </c>
      <c r="B3838" s="8" t="str">
        <f t="shared" ref="B3838:B3839" si="348">HYPERLINK("https://twitter.com/bvdvliet","@bvdvliet")</f>
        <v>@bvdvliet</v>
      </c>
      <c r="C3838" s="9" t="s">
        <v>2513</v>
      </c>
      <c r="D3838" s="9" t="s">
        <v>9167</v>
      </c>
      <c r="E3838" s="10" t="str">
        <f>HYPERLINK("https://twitter.com/bvdvliet/status/723508697763295232","723508697763295232")</f>
        <v>723508697763295232</v>
      </c>
      <c r="F3838" s="11" t="s">
        <v>91</v>
      </c>
      <c r="G3838" s="11">
        <v>159</v>
      </c>
      <c r="H3838" s="11">
        <v>267</v>
      </c>
      <c r="I3838" s="11">
        <v>2</v>
      </c>
      <c r="J3838" s="11">
        <v>0</v>
      </c>
      <c r="K3838" s="11" t="s">
        <v>21</v>
      </c>
      <c r="L3838" s="7">
        <v>41594.873657407406</v>
      </c>
      <c r="M3838" s="12"/>
      <c r="N3838" s="12"/>
      <c r="O3838" s="10" t="str">
        <f t="shared" ref="O3838:O3839" si="349">HYPERLINK("https://pbs.twimg.com/profile_images/378800000747750946/394d9f0f5e6dde5137683d9c98c5c8a9_normal.jpeg","View")</f>
        <v>View</v>
      </c>
      <c r="P3838" s="11"/>
    </row>
    <row r="3839" spans="1:16" ht="12.75" x14ac:dyDescent="0.35">
      <c r="A3839" s="7">
        <v>42482.80431712963</v>
      </c>
      <c r="B3839" s="8" t="str">
        <f t="shared" si="348"/>
        <v>@bvdvliet</v>
      </c>
      <c r="C3839" s="9" t="s">
        <v>2513</v>
      </c>
      <c r="D3839" s="9" t="s">
        <v>8028</v>
      </c>
      <c r="E3839" s="10" t="str">
        <f>HYPERLINK("https://twitter.com/bvdvliet/status/723508708911767552","723508708911767552")</f>
        <v>723508708911767552</v>
      </c>
      <c r="F3839" s="11" t="s">
        <v>91</v>
      </c>
      <c r="G3839" s="11">
        <v>159</v>
      </c>
      <c r="H3839" s="11">
        <v>267</v>
      </c>
      <c r="I3839" s="11">
        <v>7</v>
      </c>
      <c r="J3839" s="11">
        <v>0</v>
      </c>
      <c r="K3839" s="11" t="s">
        <v>21</v>
      </c>
      <c r="L3839" s="7">
        <v>41594.873657407406</v>
      </c>
      <c r="M3839" s="12"/>
      <c r="N3839" s="12"/>
      <c r="O3839" s="10" t="str">
        <f t="shared" si="349"/>
        <v>View</v>
      </c>
      <c r="P3839" s="11"/>
    </row>
    <row r="3840" spans="1:16" ht="12.75" x14ac:dyDescent="0.35">
      <c r="A3840" s="7">
        <v>42482.804375</v>
      </c>
      <c r="B3840" s="8" t="str">
        <f>HYPERLINK("https://twitter.com/KeHaber","@KeHaber")</f>
        <v>@KeHaber</v>
      </c>
      <c r="C3840" s="9" t="s">
        <v>9168</v>
      </c>
      <c r="D3840" s="9" t="s">
        <v>9023</v>
      </c>
      <c r="E3840" s="10" t="str">
        <f>HYPERLINK("https://twitter.com/KeHaber/status/723508732156588034","723508732156588034")</f>
        <v>723508732156588034</v>
      </c>
      <c r="F3840" s="11" t="s">
        <v>725</v>
      </c>
      <c r="G3840" s="11">
        <v>912</v>
      </c>
      <c r="H3840" s="11">
        <v>597</v>
      </c>
      <c r="I3840" s="11">
        <v>10</v>
      </c>
      <c r="J3840" s="11">
        <v>0</v>
      </c>
      <c r="K3840" s="11" t="s">
        <v>21</v>
      </c>
      <c r="L3840" s="7">
        <v>40024.755266203705</v>
      </c>
      <c r="M3840" s="12" t="s">
        <v>9169</v>
      </c>
      <c r="N3840" s="12" t="s">
        <v>9170</v>
      </c>
      <c r="O3840" s="10" t="str">
        <f>HYPERLINK("https://pbs.twimg.com/profile_images/459689326192754688/oud17SKn_normal.png","View")</f>
        <v>View</v>
      </c>
      <c r="P3840" s="11"/>
    </row>
    <row r="3841" spans="1:16" ht="12.75" x14ac:dyDescent="0.35">
      <c r="A3841" s="7">
        <v>42482.804537037038</v>
      </c>
      <c r="B3841" s="8" t="str">
        <f>HYPERLINK("https://twitter.com/repub9989","@repub9989")</f>
        <v>@repub9989</v>
      </c>
      <c r="C3841" s="9" t="s">
        <v>6608</v>
      </c>
      <c r="D3841" s="9" t="s">
        <v>9171</v>
      </c>
      <c r="E3841" s="10" t="str">
        <f>HYPERLINK("https://twitter.com/repub9989/status/723508791455698944","723508791455698944")</f>
        <v>723508791455698944</v>
      </c>
      <c r="F3841" s="11" t="s">
        <v>63</v>
      </c>
      <c r="G3841" s="11">
        <v>5854</v>
      </c>
      <c r="H3841" s="11">
        <v>6278</v>
      </c>
      <c r="I3841" s="11">
        <v>0</v>
      </c>
      <c r="J3841" s="11">
        <v>0</v>
      </c>
      <c r="K3841" s="11" t="s">
        <v>21</v>
      </c>
      <c r="L3841" s="7">
        <v>39811.864768518521</v>
      </c>
      <c r="M3841" s="12"/>
      <c r="N3841" s="12" t="s">
        <v>9166</v>
      </c>
      <c r="O3841" s="10" t="str">
        <f>HYPERLINK("https://pbs.twimg.com/profile_images/720671504011259904/f2m-klyu_normal.jpg","View")</f>
        <v>View</v>
      </c>
      <c r="P3841" s="11"/>
    </row>
    <row r="3842" spans="1:16" ht="12.75" x14ac:dyDescent="0.35">
      <c r="A3842" s="7">
        <v>42482.804814814815</v>
      </c>
      <c r="B3842" s="8" t="str">
        <f>HYPERLINK("https://twitter.com/TCSCOOPERSBURG","@TCSCOOPERSBURG")</f>
        <v>@TCSCOOPERSBURG</v>
      </c>
      <c r="C3842" s="9" t="s">
        <v>9172</v>
      </c>
      <c r="D3842" s="9" t="s">
        <v>9173</v>
      </c>
      <c r="E3842" s="10" t="str">
        <f>HYPERLINK("https://twitter.com/TCSCOOPERSBURG/status/723508890650972161","723508890650972161")</f>
        <v>723508890650972161</v>
      </c>
      <c r="F3842" s="11" t="s">
        <v>114</v>
      </c>
      <c r="G3842" s="11">
        <v>106</v>
      </c>
      <c r="H3842" s="11">
        <v>234</v>
      </c>
      <c r="I3842" s="11">
        <v>0</v>
      </c>
      <c r="J3842" s="11">
        <v>0</v>
      </c>
      <c r="K3842" s="11" t="s">
        <v>21</v>
      </c>
      <c r="L3842" s="7">
        <v>41781.887303240743</v>
      </c>
      <c r="M3842" s="12" t="s">
        <v>9174</v>
      </c>
      <c r="N3842" s="12" t="s">
        <v>9175</v>
      </c>
      <c r="O3842" s="10" t="str">
        <f>HYPERLINK("https://pbs.twimg.com/profile_images/502775891609808896/XwLYz7gX_normal.jpeg","View")</f>
        <v>View</v>
      </c>
      <c r="P3842" s="10" t="str">
        <f>HYPERLINK("http://ctrlq.org/maps/address/#40.5071907,-75.3858719","Map")</f>
        <v>Map</v>
      </c>
    </row>
    <row r="3843" spans="1:16" ht="12.75" x14ac:dyDescent="0.35">
      <c r="A3843" s="7">
        <v>42482.804884259254</v>
      </c>
      <c r="B3843" s="8" t="str">
        <f>HYPERLINK("https://twitter.com/Lebeaucarnews","@Lebeaucarnews")</f>
        <v>@Lebeaucarnews</v>
      </c>
      <c r="C3843" s="9" t="s">
        <v>3435</v>
      </c>
      <c r="D3843" s="9" t="s">
        <v>9176</v>
      </c>
      <c r="E3843" s="10" t="str">
        <f>HYPERLINK("https://twitter.com/Lebeaucarnews/status/723508918496952320","723508918496952320")</f>
        <v>723508918496952320</v>
      </c>
      <c r="F3843" s="11" t="s">
        <v>63</v>
      </c>
      <c r="G3843" s="11">
        <v>22730</v>
      </c>
      <c r="H3843" s="11">
        <v>1499</v>
      </c>
      <c r="I3843" s="11">
        <v>2</v>
      </c>
      <c r="J3843" s="11">
        <v>0</v>
      </c>
      <c r="K3843" s="11" t="s">
        <v>21</v>
      </c>
      <c r="L3843" s="7">
        <v>40058.861111111109</v>
      </c>
      <c r="M3843" s="12" t="s">
        <v>3437</v>
      </c>
      <c r="N3843" s="12" t="s">
        <v>3438</v>
      </c>
      <c r="O3843" s="10" t="str">
        <f>HYPERLINK("https://pbs.twimg.com/profile_images/1795205245/DSC04821_normal.jpg","View")</f>
        <v>View</v>
      </c>
      <c r="P3843" s="11"/>
    </row>
    <row r="3844" spans="1:16" ht="12.75" x14ac:dyDescent="0.35">
      <c r="A3844" s="7">
        <v>42482.80505787037</v>
      </c>
      <c r="B3844" s="8" t="str">
        <f>HYPERLINK("https://twitter.com/therealbiostate","@therealbiostate")</f>
        <v>@therealbiostate</v>
      </c>
      <c r="C3844" s="9" t="s">
        <v>9177</v>
      </c>
      <c r="D3844" s="9" t="s">
        <v>9023</v>
      </c>
      <c r="E3844" s="10" t="str">
        <f>HYPERLINK("https://twitter.com/therealbiostate/status/723508980966809600","723508980966809600")</f>
        <v>723508980966809600</v>
      </c>
      <c r="F3844" s="11" t="s">
        <v>43</v>
      </c>
      <c r="G3844" s="11">
        <v>1067</v>
      </c>
      <c r="H3844" s="11">
        <v>1217</v>
      </c>
      <c r="I3844" s="11">
        <v>10</v>
      </c>
      <c r="J3844" s="11">
        <v>0</v>
      </c>
      <c r="K3844" s="11" t="s">
        <v>21</v>
      </c>
      <c r="L3844" s="7">
        <v>40295.334236111114</v>
      </c>
      <c r="M3844" s="12"/>
      <c r="N3844" s="12" t="s">
        <v>9178</v>
      </c>
      <c r="O3844" s="10" t="str">
        <f>HYPERLINK("https://pbs.twimg.com/profile_images/856920508/freshshoots_deadtree_normal.jpg","View")</f>
        <v>View</v>
      </c>
      <c r="P3844" s="11"/>
    </row>
    <row r="3845" spans="1:16" ht="12.75" x14ac:dyDescent="0.35">
      <c r="A3845" s="7">
        <v>42482.805115740739</v>
      </c>
      <c r="B3845" s="8" t="str">
        <f>HYPERLINK("https://twitter.com/Karlomart","@Karlomart")</f>
        <v>@Karlomart</v>
      </c>
      <c r="C3845" s="9" t="s">
        <v>2726</v>
      </c>
      <c r="D3845" s="9" t="s">
        <v>9179</v>
      </c>
      <c r="E3845" s="10" t="str">
        <f>HYPERLINK("https://twitter.com/Karlomart/status/723508999476359168","723508999476359168")</f>
        <v>723508999476359168</v>
      </c>
      <c r="F3845" s="11" t="s">
        <v>43</v>
      </c>
      <c r="G3845" s="11">
        <v>56</v>
      </c>
      <c r="H3845" s="11">
        <v>34</v>
      </c>
      <c r="I3845" s="11">
        <v>0</v>
      </c>
      <c r="J3845" s="11">
        <v>0</v>
      </c>
      <c r="K3845" s="11" t="s">
        <v>21</v>
      </c>
      <c r="L3845" s="7">
        <v>40860.371331018519</v>
      </c>
      <c r="M3845" s="12" t="s">
        <v>2728</v>
      </c>
      <c r="N3845" s="12"/>
      <c r="O3845" s="10" t="str">
        <f>HYPERLINK("https://pbs.twimg.com/profile_images/441017002224660480/wMS_0yBK_normal.jpeg","View")</f>
        <v>View</v>
      </c>
      <c r="P3845" s="11"/>
    </row>
    <row r="3846" spans="1:16" ht="12.75" x14ac:dyDescent="0.35">
      <c r="A3846" s="7">
        <v>42482.805162037039</v>
      </c>
      <c r="B3846" s="8" t="str">
        <f>HYPERLINK("https://twitter.com/Sufiy","@Sufiy")</f>
        <v>@Sufiy</v>
      </c>
      <c r="C3846" s="9" t="s">
        <v>1556</v>
      </c>
      <c r="D3846" s="9" t="s">
        <v>9180</v>
      </c>
      <c r="E3846" s="10" t="str">
        <f>HYPERLINK("https://twitter.com/Sufiy/status/723509016987611137","723509016987611137")</f>
        <v>723509016987611137</v>
      </c>
      <c r="F3846" s="11" t="s">
        <v>91</v>
      </c>
      <c r="G3846" s="11">
        <v>1723</v>
      </c>
      <c r="H3846" s="11">
        <v>2049</v>
      </c>
      <c r="I3846" s="11">
        <v>1</v>
      </c>
      <c r="J3846" s="11">
        <v>0</v>
      </c>
      <c r="K3846" s="11" t="s">
        <v>21</v>
      </c>
      <c r="L3846" s="7">
        <v>39996.211608796293</v>
      </c>
      <c r="M3846" s="12" t="s">
        <v>1557</v>
      </c>
      <c r="N3846" s="12" t="s">
        <v>1558</v>
      </c>
      <c r="O3846" s="10" t="str">
        <f>HYPERLINK("https://pbs.twimg.com/profile_images/292857657/GreenGrowth_normal.jpg","View")</f>
        <v>View</v>
      </c>
      <c r="P3846" s="11"/>
    </row>
    <row r="3847" spans="1:16" ht="12.75" x14ac:dyDescent="0.35">
      <c r="A3847" s="7">
        <v>42482.805185185185</v>
      </c>
      <c r="B3847" s="8" t="str">
        <f>HYPERLINK("https://twitter.com/bravinhos","@bravinhos")</f>
        <v>@bravinhos</v>
      </c>
      <c r="C3847" s="9" t="s">
        <v>9181</v>
      </c>
      <c r="D3847" s="9" t="s">
        <v>9182</v>
      </c>
      <c r="E3847" s="10" t="str">
        <f>HYPERLINK("https://twitter.com/bravinhos/status/723509025631920128","723509025631920128")</f>
        <v>723509025631920128</v>
      </c>
      <c r="F3847" s="11" t="s">
        <v>114</v>
      </c>
      <c r="G3847" s="11">
        <v>241</v>
      </c>
      <c r="H3847" s="11">
        <v>799</v>
      </c>
      <c r="I3847" s="11">
        <v>0</v>
      </c>
      <c r="J3847" s="11">
        <v>0</v>
      </c>
      <c r="K3847" s="11" t="s">
        <v>21</v>
      </c>
      <c r="L3847" s="7">
        <v>40395.926689814813</v>
      </c>
      <c r="M3847" s="12" t="s">
        <v>9183</v>
      </c>
      <c r="N3847" s="12" t="s">
        <v>9184</v>
      </c>
      <c r="O3847" s="10" t="str">
        <f>HYPERLINK("https://pbs.twimg.com/profile_images/669112672001069056/l7S_rpT9_normal.jpg","View")</f>
        <v>View</v>
      </c>
      <c r="P3847" s="11"/>
    </row>
    <row r="3848" spans="1:16" ht="12.75" x14ac:dyDescent="0.35">
      <c r="A3848" s="7">
        <v>42482.805717592593</v>
      </c>
      <c r="B3848" s="8" t="str">
        <f>HYPERLINK("https://twitter.com/CoolFlo_UK","@CoolFlo_UK")</f>
        <v>@CoolFlo_UK</v>
      </c>
      <c r="C3848" s="9" t="s">
        <v>9185</v>
      </c>
      <c r="D3848" s="9" t="s">
        <v>8227</v>
      </c>
      <c r="E3848" s="10" t="str">
        <f>HYPERLINK("https://twitter.com/CoolFlo_UK/status/723509216833601536","723509216833601536")</f>
        <v>723509216833601536</v>
      </c>
      <c r="F3848" s="11" t="s">
        <v>243</v>
      </c>
      <c r="G3848" s="11">
        <v>743</v>
      </c>
      <c r="H3848" s="11">
        <v>189</v>
      </c>
      <c r="I3848" s="11">
        <v>6</v>
      </c>
      <c r="J3848" s="11">
        <v>0</v>
      </c>
      <c r="K3848" s="11" t="s">
        <v>21</v>
      </c>
      <c r="L3848" s="7">
        <v>40975.542499999996</v>
      </c>
      <c r="M3848" s="12" t="s">
        <v>638</v>
      </c>
      <c r="N3848" s="12" t="s">
        <v>9186</v>
      </c>
      <c r="O3848" s="10" t="str">
        <f>HYPERLINK("https://pbs.twimg.com/profile_images/626638227903021056/37i0c7lq_normal.png","View")</f>
        <v>View</v>
      </c>
      <c r="P3848" s="11"/>
    </row>
    <row r="3849" spans="1:16" ht="12.75" x14ac:dyDescent="0.35">
      <c r="A3849" s="7">
        <v>42482.805972222224</v>
      </c>
      <c r="B3849" s="8" t="str">
        <f>HYPERLINK("https://twitter.com/MarkCSchneider","@MarkCSchneider")</f>
        <v>@MarkCSchneider</v>
      </c>
      <c r="C3849" s="9" t="s">
        <v>952</v>
      </c>
      <c r="D3849" s="9" t="s">
        <v>9187</v>
      </c>
      <c r="E3849" s="10" t="str">
        <f>HYPERLINK("https://twitter.com/MarkCSchneider/status/723509309385113600","723509309385113600")</f>
        <v>723509309385113600</v>
      </c>
      <c r="F3849" s="11" t="s">
        <v>43</v>
      </c>
      <c r="G3849" s="11">
        <v>370</v>
      </c>
      <c r="H3849" s="11">
        <v>336</v>
      </c>
      <c r="I3849" s="11">
        <v>0</v>
      </c>
      <c r="J3849" s="11">
        <v>0</v>
      </c>
      <c r="K3849" s="11" t="s">
        <v>21</v>
      </c>
      <c r="L3849" s="7">
        <v>41495.558136574073</v>
      </c>
      <c r="M3849" s="12" t="s">
        <v>953</v>
      </c>
      <c r="N3849" s="12"/>
      <c r="O3849" s="10" t="str">
        <f>HYPERLINK("https://pbs.twimg.com/profile_images/706784695795769345/XGXgdjww_normal.jpg","View")</f>
        <v>View</v>
      </c>
      <c r="P3849" s="11"/>
    </row>
    <row r="3850" spans="1:16" ht="12.75" x14ac:dyDescent="0.35">
      <c r="A3850" s="7">
        <v>42482.805972222224</v>
      </c>
      <c r="B3850" s="8" t="str">
        <f>HYPERLINK("https://twitter.com/Beukennon","@Beukennon")</f>
        <v>@Beukennon</v>
      </c>
      <c r="C3850" s="9" t="s">
        <v>6918</v>
      </c>
      <c r="D3850" s="9" t="s">
        <v>3197</v>
      </c>
      <c r="E3850" s="10" t="str">
        <f>HYPERLINK("https://twitter.com/Beukennon/status/723509310391767043","723509310391767043")</f>
        <v>723509310391767043</v>
      </c>
      <c r="F3850" s="11" t="s">
        <v>20</v>
      </c>
      <c r="G3850" s="11">
        <v>92</v>
      </c>
      <c r="H3850" s="11">
        <v>315</v>
      </c>
      <c r="I3850" s="11">
        <v>4</v>
      </c>
      <c r="J3850" s="11">
        <v>0</v>
      </c>
      <c r="K3850" s="11" t="s">
        <v>21</v>
      </c>
      <c r="L3850" s="7">
        <v>41337.070648148147</v>
      </c>
      <c r="M3850" s="12"/>
      <c r="N3850" s="12" t="s">
        <v>6920</v>
      </c>
      <c r="O3850" s="10" t="str">
        <f>HYPERLINK("https://pbs.twimg.com/profile_images/3359623860/c18ce51d5c09fb6c80a7cfc89e8df5bb_normal.jpeg","View")</f>
        <v>View</v>
      </c>
      <c r="P3850" s="11"/>
    </row>
    <row r="3851" spans="1:16" ht="12.75" x14ac:dyDescent="0.35">
      <c r="A3851" s="7">
        <v>42482.80631944444</v>
      </c>
      <c r="B3851" s="8" t="str">
        <f>HYPERLINK("https://twitter.com/MikeThePhotog","@MikeThePhotog")</f>
        <v>@MikeThePhotog</v>
      </c>
      <c r="C3851" s="9" t="s">
        <v>4162</v>
      </c>
      <c r="D3851" s="9" t="s">
        <v>9188</v>
      </c>
      <c r="E3851" s="10" t="str">
        <f>HYPERLINK("https://twitter.com/MikeThePhotog/status/723509438343200768","723509438343200768")</f>
        <v>723509438343200768</v>
      </c>
      <c r="F3851" s="11" t="s">
        <v>43</v>
      </c>
      <c r="G3851" s="11">
        <v>584</v>
      </c>
      <c r="H3851" s="11">
        <v>982</v>
      </c>
      <c r="I3851" s="11">
        <v>2</v>
      </c>
      <c r="J3851" s="11">
        <v>0</v>
      </c>
      <c r="K3851" s="11" t="s">
        <v>21</v>
      </c>
      <c r="L3851" s="7">
        <v>39908.417928240742</v>
      </c>
      <c r="M3851" s="12" t="s">
        <v>9189</v>
      </c>
      <c r="N3851" s="12" t="s">
        <v>9190</v>
      </c>
      <c r="O3851" s="10" t="str">
        <f>HYPERLINK("https://pbs.twimg.com/profile_images/666595220910383104/PJlZl0mh_normal.jpg","View")</f>
        <v>View</v>
      </c>
      <c r="P3851" s="11"/>
    </row>
    <row r="3852" spans="1:16" ht="12.75" x14ac:dyDescent="0.35">
      <c r="A3852" s="7">
        <v>42482.806331018517</v>
      </c>
      <c r="B3852" s="8" t="str">
        <f>HYPERLINK("https://twitter.com/Lebeaucarnews","@Lebeaucarnews")</f>
        <v>@Lebeaucarnews</v>
      </c>
      <c r="C3852" s="9" t="s">
        <v>3435</v>
      </c>
      <c r="D3852" s="9" t="s">
        <v>9191</v>
      </c>
      <c r="E3852" s="10" t="str">
        <f>HYPERLINK("https://twitter.com/Lebeaucarnews/status/723509441274982402","723509441274982402")</f>
        <v>723509441274982402</v>
      </c>
      <c r="F3852" s="11" t="s">
        <v>63</v>
      </c>
      <c r="G3852" s="11">
        <v>22730</v>
      </c>
      <c r="H3852" s="11">
        <v>1499</v>
      </c>
      <c r="I3852" s="11">
        <v>1</v>
      </c>
      <c r="J3852" s="11">
        <v>1</v>
      </c>
      <c r="K3852" s="11" t="s">
        <v>21</v>
      </c>
      <c r="L3852" s="7">
        <v>40058.861111111109</v>
      </c>
      <c r="M3852" s="12" t="s">
        <v>3437</v>
      </c>
      <c r="N3852" s="12" t="s">
        <v>3438</v>
      </c>
      <c r="O3852" s="10" t="str">
        <f>HYPERLINK("https://pbs.twimg.com/profile_images/1795205245/DSC04821_normal.jpg","View")</f>
        <v>View</v>
      </c>
      <c r="P3852" s="11"/>
    </row>
    <row r="3853" spans="1:16" ht="12.75" x14ac:dyDescent="0.35">
      <c r="A3853" s="7">
        <v>42482.80636574074</v>
      </c>
      <c r="B3853" s="8" t="str">
        <f>HYPERLINK("https://twitter.com/VWBeetleSales","@VWBeetleSales")</f>
        <v>@VWBeetleSales</v>
      </c>
      <c r="C3853" s="9" t="s">
        <v>127</v>
      </c>
      <c r="D3853" s="9" t="s">
        <v>9192</v>
      </c>
      <c r="E3853" s="10" t="str">
        <f>HYPERLINK("https://twitter.com/VWBeetleSales/status/723509452037455872","723509452037455872")</f>
        <v>723509452037455872</v>
      </c>
      <c r="F3853" s="10" t="s">
        <v>124</v>
      </c>
      <c r="G3853" s="11">
        <v>36</v>
      </c>
      <c r="H3853" s="11">
        <v>32</v>
      </c>
      <c r="I3853" s="11">
        <v>0</v>
      </c>
      <c r="J3853" s="11">
        <v>0</v>
      </c>
      <c r="K3853" s="11" t="s">
        <v>21</v>
      </c>
      <c r="L3853" s="7">
        <v>42427.019756944443</v>
      </c>
      <c r="M3853" s="12" t="s">
        <v>129</v>
      </c>
      <c r="N3853" s="12" t="s">
        <v>130</v>
      </c>
      <c r="O3853" s="10" t="str">
        <f>HYPERLINK("https://pbs.twimg.com/profile_images/703294545195307008/qeCvrX86_normal.jpg","View")</f>
        <v>View</v>
      </c>
      <c r="P3853" s="11"/>
    </row>
    <row r="3854" spans="1:16" ht="12.75" x14ac:dyDescent="0.35">
      <c r="A3854" s="7">
        <v>42482.80641203704</v>
      </c>
      <c r="B3854" s="8" t="str">
        <f>HYPERLINK("https://twitter.com/ChuckDalldorf","@ChuckDalldorf")</f>
        <v>@ChuckDalldorf</v>
      </c>
      <c r="C3854" s="9" t="s">
        <v>9193</v>
      </c>
      <c r="D3854" s="9" t="s">
        <v>9023</v>
      </c>
      <c r="E3854" s="10" t="str">
        <f>HYPERLINK("https://twitter.com/ChuckDalldorf/status/723509468340719620","723509468340719620")</f>
        <v>723509468340719620</v>
      </c>
      <c r="F3854" s="11" t="s">
        <v>43</v>
      </c>
      <c r="G3854" s="11">
        <v>1651</v>
      </c>
      <c r="H3854" s="11">
        <v>2011</v>
      </c>
      <c r="I3854" s="11">
        <v>10</v>
      </c>
      <c r="J3854" s="11">
        <v>0</v>
      </c>
      <c r="K3854" s="11" t="s">
        <v>21</v>
      </c>
      <c r="L3854" s="7">
        <v>39876.913182870368</v>
      </c>
      <c r="M3854" s="12"/>
      <c r="N3854" s="12" t="s">
        <v>9194</v>
      </c>
      <c r="O3854" s="10" t="str">
        <f>HYPERLINK("https://pbs.twimg.com/profile_images/515676694116835329/YVm9HRpJ_normal.jpeg","View")</f>
        <v>View</v>
      </c>
      <c r="P3854" s="11"/>
    </row>
    <row r="3855" spans="1:16" ht="12.75" x14ac:dyDescent="0.35">
      <c r="A3855" s="7">
        <v>42482.806608796294</v>
      </c>
      <c r="B3855" s="8" t="str">
        <f>HYPERLINK("https://twitter.com/RickStrickler","@RickStrickler")</f>
        <v>@RickStrickler</v>
      </c>
      <c r="C3855" s="9" t="s">
        <v>9195</v>
      </c>
      <c r="D3855" s="9" t="s">
        <v>9196</v>
      </c>
      <c r="E3855" s="10" t="str">
        <f>HYPERLINK("https://twitter.com/RickStrickler/status/723509540113793024","723509540113793024")</f>
        <v>723509540113793024</v>
      </c>
      <c r="F3855" s="11" t="s">
        <v>48</v>
      </c>
      <c r="G3855" s="11">
        <v>665</v>
      </c>
      <c r="H3855" s="11">
        <v>2022</v>
      </c>
      <c r="I3855" s="11">
        <v>1</v>
      </c>
      <c r="J3855" s="11">
        <v>0</v>
      </c>
      <c r="K3855" s="11" t="s">
        <v>21</v>
      </c>
      <c r="L3855" s="7">
        <v>40015.897627314815</v>
      </c>
      <c r="M3855" s="12" t="s">
        <v>5419</v>
      </c>
      <c r="N3855" s="12" t="s">
        <v>9197</v>
      </c>
      <c r="O3855" s="10" t="str">
        <f>HYPERLINK("https://pbs.twimg.com/profile_images/324761478/internet_headshot_normal.jpg","View")</f>
        <v>View</v>
      </c>
      <c r="P3855" s="11"/>
    </row>
    <row r="3856" spans="1:16" ht="12.75" x14ac:dyDescent="0.35">
      <c r="A3856" s="7">
        <v>42482.806643518517</v>
      </c>
      <c r="B3856" s="8" t="str">
        <f>HYPERLINK("https://twitter.com/startmakkelijk","@startmakkelijk")</f>
        <v>@startmakkelijk</v>
      </c>
      <c r="C3856" s="9" t="s">
        <v>4648</v>
      </c>
      <c r="D3856" s="9" t="s">
        <v>9198</v>
      </c>
      <c r="E3856" s="10" t="str">
        <f>HYPERLINK("https://twitter.com/startmakkelijk/status/723509555980685313","723509555980685313")</f>
        <v>723509555980685313</v>
      </c>
      <c r="F3856" s="10" t="s">
        <v>124</v>
      </c>
      <c r="G3856" s="11">
        <v>3832</v>
      </c>
      <c r="H3856" s="11">
        <v>4634</v>
      </c>
      <c r="I3856" s="11">
        <v>0</v>
      </c>
      <c r="J3856" s="11">
        <v>0</v>
      </c>
      <c r="K3856" s="11" t="s">
        <v>21</v>
      </c>
      <c r="L3856" s="7">
        <v>41892.722395833334</v>
      </c>
      <c r="M3856" s="12"/>
      <c r="N3856" s="12" t="s">
        <v>4650</v>
      </c>
      <c r="O3856" s="10" t="str">
        <f>HYPERLINK("https://pbs.twimg.com/profile_images/556562408542445568/pKWad79S_normal.png","View")</f>
        <v>View</v>
      </c>
      <c r="P3856" s="11"/>
    </row>
    <row r="3857" spans="1:16" ht="12.75" x14ac:dyDescent="0.35">
      <c r="A3857" s="7">
        <v>42482.806655092594</v>
      </c>
      <c r="B3857" s="8" t="str">
        <f>HYPERLINK("https://twitter.com/JosBosboom_","@JosBosboom_")</f>
        <v>@JosBosboom_</v>
      </c>
      <c r="C3857" s="9" t="s">
        <v>4644</v>
      </c>
      <c r="D3857" s="9" t="s">
        <v>9199</v>
      </c>
      <c r="E3857" s="10" t="str">
        <f>HYPERLINK("https://twitter.com/JosBosboom_/status/723509559860436992","723509559860436992")</f>
        <v>723509559860436992</v>
      </c>
      <c r="F3857" s="10" t="s">
        <v>124</v>
      </c>
      <c r="G3857" s="11">
        <v>11661</v>
      </c>
      <c r="H3857" s="11">
        <v>10996</v>
      </c>
      <c r="I3857" s="11">
        <v>0</v>
      </c>
      <c r="J3857" s="11">
        <v>0</v>
      </c>
      <c r="K3857" s="11" t="s">
        <v>21</v>
      </c>
      <c r="L3857" s="7">
        <v>40331.550509259258</v>
      </c>
      <c r="M3857" s="12" t="s">
        <v>4646</v>
      </c>
      <c r="N3857" s="12" t="s">
        <v>4647</v>
      </c>
      <c r="O3857" s="10" t="str">
        <f>HYPERLINK("https://pbs.twimg.com/profile_images/570893108095639552/IiOlHTmM_normal.jpeg","View")</f>
        <v>View</v>
      </c>
      <c r="P3857" s="11"/>
    </row>
    <row r="3858" spans="1:16" ht="12.75" x14ac:dyDescent="0.35">
      <c r="A3858" s="7">
        <v>42482.806840277779</v>
      </c>
      <c r="B3858" s="8" t="str">
        <f>HYPERLINK("https://twitter.com/youngin_uk","@youngin_uk")</f>
        <v>@youngin_uk</v>
      </c>
      <c r="C3858" s="9" t="s">
        <v>9200</v>
      </c>
      <c r="D3858" s="9" t="s">
        <v>9201</v>
      </c>
      <c r="E3858" s="10" t="str">
        <f>HYPERLINK("https://twitter.com/youngin_uk/status/723509624704516096","723509624704516096")</f>
        <v>723509624704516096</v>
      </c>
      <c r="F3858" s="11" t="s">
        <v>20</v>
      </c>
      <c r="G3858" s="11">
        <v>1529</v>
      </c>
      <c r="H3858" s="11">
        <v>794</v>
      </c>
      <c r="I3858" s="11">
        <v>0</v>
      </c>
      <c r="J3858" s="11">
        <v>0</v>
      </c>
      <c r="K3858" s="11" t="s">
        <v>21</v>
      </c>
      <c r="L3858" s="7">
        <v>39862.220046296294</v>
      </c>
      <c r="M3858" s="12" t="s">
        <v>9202</v>
      </c>
      <c r="N3858" s="12" t="s">
        <v>9203</v>
      </c>
      <c r="O3858" s="10" t="str">
        <f>HYPERLINK("https://pbs.twimg.com/profile_images/720969504659021824/AczABi1M_normal.jpg","View")</f>
        <v>View</v>
      </c>
      <c r="P3858" s="11"/>
    </row>
    <row r="3859" spans="1:16" ht="12.75" x14ac:dyDescent="0.35">
      <c r="A3859" s="7">
        <v>42482.807210648149</v>
      </c>
      <c r="B3859" s="8" t="str">
        <f>HYPERLINK("https://twitter.com/JockBuster","@JockBuster")</f>
        <v>@JockBuster</v>
      </c>
      <c r="C3859" s="9" t="s">
        <v>9204</v>
      </c>
      <c r="D3859" s="9" t="s">
        <v>9115</v>
      </c>
      <c r="E3859" s="10" t="str">
        <f>HYPERLINK("https://twitter.com/JockBuster/status/723509760738238464","723509760738238464")</f>
        <v>723509760738238464</v>
      </c>
      <c r="F3859" s="11" t="s">
        <v>367</v>
      </c>
      <c r="G3859" s="11">
        <v>768</v>
      </c>
      <c r="H3859" s="11">
        <v>1369</v>
      </c>
      <c r="I3859" s="11">
        <v>2</v>
      </c>
      <c r="J3859" s="11">
        <v>0</v>
      </c>
      <c r="K3859" s="11" t="s">
        <v>21</v>
      </c>
      <c r="L3859" s="7">
        <v>40703.057210648149</v>
      </c>
      <c r="M3859" s="12" t="s">
        <v>125</v>
      </c>
      <c r="N3859" s="12" t="s">
        <v>9205</v>
      </c>
      <c r="O3859" s="10" t="str">
        <f>HYPERLINK("https://pbs.twimg.com/profile_images/679523390277877760/pnya6NaZ_normal.png","View")</f>
        <v>View</v>
      </c>
      <c r="P3859" s="11"/>
    </row>
    <row r="3860" spans="1:16" ht="12.75" x14ac:dyDescent="0.35">
      <c r="A3860" s="7">
        <v>42482.807245370372</v>
      </c>
      <c r="B3860" s="8" t="str">
        <f>HYPERLINK("https://twitter.com/NewsStream24","@NewsStream24")</f>
        <v>@NewsStream24</v>
      </c>
      <c r="C3860" s="9" t="s">
        <v>9206</v>
      </c>
      <c r="D3860" s="9" t="s">
        <v>9191</v>
      </c>
      <c r="E3860" s="10" t="str">
        <f>HYPERLINK("https://twitter.com/NewsStream24/status/723509773749129217","723509773749129217")</f>
        <v>723509773749129217</v>
      </c>
      <c r="F3860" s="11" t="s">
        <v>20</v>
      </c>
      <c r="G3860" s="11">
        <v>2070</v>
      </c>
      <c r="H3860" s="11">
        <v>1</v>
      </c>
      <c r="I3860" s="11">
        <v>0</v>
      </c>
      <c r="J3860" s="11">
        <v>1</v>
      </c>
      <c r="K3860" s="11" t="s">
        <v>21</v>
      </c>
      <c r="L3860" s="7">
        <v>42464.063032407408</v>
      </c>
      <c r="M3860" s="12"/>
      <c r="N3860" s="12" t="s">
        <v>9207</v>
      </c>
      <c r="O3860" s="10" t="str">
        <f>HYPERLINK("https://pbs.twimg.com/profile_images/718117927438983169/etNP-8cD_normal.jpg","View")</f>
        <v>View</v>
      </c>
      <c r="P3860" s="11"/>
    </row>
    <row r="3861" spans="1:16" ht="12.75" x14ac:dyDescent="0.35">
      <c r="A3861" s="7">
        <v>42482.807291666672</v>
      </c>
      <c r="B3861" s="8" t="str">
        <f>HYPERLINK("https://twitter.com/lupus12_bb","@lupus12_bb")</f>
        <v>@lupus12_bb</v>
      </c>
      <c r="C3861" s="9" t="s">
        <v>9208</v>
      </c>
      <c r="D3861" s="9" t="s">
        <v>9209</v>
      </c>
      <c r="E3861" s="10" t="str">
        <f>HYPERLINK("https://twitter.com/lupus12_bb/status/723509790996045824","723509790996045824")</f>
        <v>723509790996045824</v>
      </c>
      <c r="F3861" s="11" t="s">
        <v>48</v>
      </c>
      <c r="G3861" s="11">
        <v>116</v>
      </c>
      <c r="H3861" s="11">
        <v>163</v>
      </c>
      <c r="I3861" s="11">
        <v>0</v>
      </c>
      <c r="J3861" s="11">
        <v>0</v>
      </c>
      <c r="K3861" s="11" t="s">
        <v>21</v>
      </c>
      <c r="L3861" s="7">
        <v>41771.95684027778</v>
      </c>
      <c r="M3861" s="12" t="s">
        <v>9210</v>
      </c>
      <c r="N3861" s="12" t="s">
        <v>9211</v>
      </c>
      <c r="O3861" s="10" t="str">
        <f>HYPERLINK("https://pbs.twimg.com/profile_images/720285529049141248/5BpRUnP3_normal.jpg","View")</f>
        <v>View</v>
      </c>
      <c r="P3861" s="11"/>
    </row>
    <row r="3862" spans="1:16" ht="12.75" x14ac:dyDescent="0.35">
      <c r="A3862" s="7">
        <v>42482.807604166665</v>
      </c>
      <c r="B3862" s="8" t="str">
        <f>HYPERLINK("https://twitter.com/zeitonline","@zeitonline")</f>
        <v>@zeitonline</v>
      </c>
      <c r="C3862" s="9" t="s">
        <v>1663</v>
      </c>
      <c r="D3862" s="9" t="s">
        <v>9212</v>
      </c>
      <c r="E3862" s="10" t="str">
        <f>HYPERLINK("https://twitter.com/zeitonline/status/723509900593270784","723509900593270784")</f>
        <v>723509900593270784</v>
      </c>
      <c r="F3862" s="11" t="s">
        <v>1665</v>
      </c>
      <c r="G3862" s="11">
        <v>1171460</v>
      </c>
      <c r="H3862" s="11">
        <v>22</v>
      </c>
      <c r="I3862" s="11">
        <v>1</v>
      </c>
      <c r="J3862" s="11">
        <v>0</v>
      </c>
      <c r="K3862" s="11" t="s">
        <v>21</v>
      </c>
      <c r="L3862" s="7">
        <v>39204.865983796299</v>
      </c>
      <c r="M3862" s="12" t="s">
        <v>1666</v>
      </c>
      <c r="N3862" s="12" t="s">
        <v>1667</v>
      </c>
      <c r="O3862" s="10" t="str">
        <f>HYPERLINK("https://pbs.twimg.com/profile_images/702423578608852994/zVbR9TA1_normal.jpg","View")</f>
        <v>View</v>
      </c>
      <c r="P3862" s="11"/>
    </row>
    <row r="3863" spans="1:16" ht="12.75" x14ac:dyDescent="0.35">
      <c r="A3863" s="7">
        <v>42482.807893518519</v>
      </c>
      <c r="B3863" s="8" t="str">
        <f>HYPERLINK("https://twitter.com/thomasHuskamp","@thomasHuskamp")</f>
        <v>@thomasHuskamp</v>
      </c>
      <c r="C3863" s="9" t="s">
        <v>9213</v>
      </c>
      <c r="D3863" s="9" t="s">
        <v>9214</v>
      </c>
      <c r="E3863" s="10" t="str">
        <f>HYPERLINK("https://twitter.com/thomasHuskamp/status/723510006046461952","723510006046461952")</f>
        <v>723510006046461952</v>
      </c>
      <c r="F3863" s="11" t="s">
        <v>63</v>
      </c>
      <c r="G3863" s="11">
        <v>1423</v>
      </c>
      <c r="H3863" s="11">
        <v>1589</v>
      </c>
      <c r="I3863" s="11">
        <v>1</v>
      </c>
      <c r="J3863" s="11">
        <v>0</v>
      </c>
      <c r="K3863" s="11" t="s">
        <v>21</v>
      </c>
      <c r="L3863" s="7">
        <v>41372.852256944447</v>
      </c>
      <c r="M3863" s="12" t="s">
        <v>9215</v>
      </c>
      <c r="N3863" s="12" t="s">
        <v>9216</v>
      </c>
      <c r="O3863" s="10" t="str">
        <f>HYPERLINK("https://pbs.twimg.com/profile_images/563269725921099776/t6eqAhPT_normal.jpeg","View")</f>
        <v>View</v>
      </c>
      <c r="P3863" s="11"/>
    </row>
    <row r="3864" spans="1:16" ht="12.75" x14ac:dyDescent="0.35">
      <c r="A3864" s="7">
        <v>42482.80804398148</v>
      </c>
      <c r="B3864" s="8" t="str">
        <f>HYPERLINK("https://twitter.com/joaopbicho","@joaopbicho")</f>
        <v>@joaopbicho</v>
      </c>
      <c r="C3864" s="9" t="s">
        <v>9217</v>
      </c>
      <c r="D3864" s="9" t="s">
        <v>9023</v>
      </c>
      <c r="E3864" s="10" t="str">
        <f>HYPERLINK("https://twitter.com/joaopbicho/status/723510060576583680","723510060576583680")</f>
        <v>723510060576583680</v>
      </c>
      <c r="F3864" s="11" t="s">
        <v>43</v>
      </c>
      <c r="G3864" s="11">
        <v>216</v>
      </c>
      <c r="H3864" s="11">
        <v>447</v>
      </c>
      <c r="I3864" s="11">
        <v>10</v>
      </c>
      <c r="J3864" s="11">
        <v>0</v>
      </c>
      <c r="K3864" s="11" t="s">
        <v>21</v>
      </c>
      <c r="L3864" s="7">
        <v>39966.014398148152</v>
      </c>
      <c r="M3864" s="12" t="s">
        <v>9218</v>
      </c>
      <c r="N3864" s="12" t="s">
        <v>9219</v>
      </c>
      <c r="O3864" s="10" t="str">
        <f>HYPERLINK("https://pbs.twimg.com/profile_images/378800000670973939/056dc4c5e94ab826a6e2030e2dae3626_normal.jpeg","View")</f>
        <v>View</v>
      </c>
      <c r="P3864" s="11"/>
    </row>
    <row r="3865" spans="1:16" ht="12.75" x14ac:dyDescent="0.35">
      <c r="A3865" s="7">
        <v>42482.808159722219</v>
      </c>
      <c r="B3865" s="8" t="str">
        <f>HYPERLINK("https://twitter.com/VolkerVotsmeier","@VolkerVotsmeier")</f>
        <v>@VolkerVotsmeier</v>
      </c>
      <c r="C3865" s="9" t="s">
        <v>1220</v>
      </c>
      <c r="D3865" s="9" t="s">
        <v>9157</v>
      </c>
      <c r="E3865" s="10" t="str">
        <f>HYPERLINK("https://twitter.com/VolkerVotsmeier/status/723510103727562752","723510103727562752")</f>
        <v>723510103727562752</v>
      </c>
      <c r="F3865" s="11" t="s">
        <v>63</v>
      </c>
      <c r="G3865" s="11">
        <v>1735</v>
      </c>
      <c r="H3865" s="11">
        <v>819</v>
      </c>
      <c r="I3865" s="11">
        <v>2</v>
      </c>
      <c r="J3865" s="11">
        <v>0</v>
      </c>
      <c r="K3865" s="11" t="s">
        <v>21</v>
      </c>
      <c r="L3865" s="7">
        <v>41289.594131944446</v>
      </c>
      <c r="M3865" s="12" t="s">
        <v>975</v>
      </c>
      <c r="N3865" s="12" t="s">
        <v>1222</v>
      </c>
      <c r="O3865" s="10" t="str">
        <f>HYPERLINK("https://pbs.twimg.com/profile_images/507897198911053824/7OqYAonJ_normal.jpeg","View")</f>
        <v>View</v>
      </c>
      <c r="P3865" s="11"/>
    </row>
    <row r="3866" spans="1:16" ht="12.75" x14ac:dyDescent="0.35">
      <c r="A3866" s="7">
        <v>42482.808206018519</v>
      </c>
      <c r="B3866" s="8" t="str">
        <f>HYPERLINK("https://twitter.com/RickStrickler","@RickStrickler")</f>
        <v>@RickStrickler</v>
      </c>
      <c r="C3866" s="9" t="s">
        <v>9195</v>
      </c>
      <c r="D3866" s="9" t="s">
        <v>9188</v>
      </c>
      <c r="E3866" s="10" t="str">
        <f>HYPERLINK("https://twitter.com/RickStrickler/status/723510120194428928","723510120194428928")</f>
        <v>723510120194428928</v>
      </c>
      <c r="F3866" s="11" t="s">
        <v>48</v>
      </c>
      <c r="G3866" s="11">
        <v>665</v>
      </c>
      <c r="H3866" s="11">
        <v>2022</v>
      </c>
      <c r="I3866" s="11">
        <v>2</v>
      </c>
      <c r="J3866" s="11">
        <v>0</v>
      </c>
      <c r="K3866" s="11" t="s">
        <v>21</v>
      </c>
      <c r="L3866" s="7">
        <v>40015.897627314815</v>
      </c>
      <c r="M3866" s="12" t="s">
        <v>5419</v>
      </c>
      <c r="N3866" s="12" t="s">
        <v>9197</v>
      </c>
      <c r="O3866" s="10" t="str">
        <f>HYPERLINK("https://pbs.twimg.com/profile_images/324761478/internet_headshot_normal.jpg","View")</f>
        <v>View</v>
      </c>
      <c r="P3866" s="11"/>
    </row>
    <row r="3867" spans="1:16" ht="12.75" x14ac:dyDescent="0.35">
      <c r="A3867" s="7">
        <v>42482.808946759258</v>
      </c>
      <c r="B3867" s="8" t="str">
        <f>HYPERLINK("https://twitter.com/elianapeletay1","@elianapeletay1")</f>
        <v>@elianapeletay1</v>
      </c>
      <c r="C3867" s="9" t="s">
        <v>9220</v>
      </c>
      <c r="D3867" s="9" t="s">
        <v>9221</v>
      </c>
      <c r="E3867" s="10" t="str">
        <f>HYPERLINK("https://twitter.com/elianapeletay1/status/723510387874865152","723510387874865152")</f>
        <v>723510387874865152</v>
      </c>
      <c r="F3867" s="11" t="s">
        <v>48</v>
      </c>
      <c r="G3867" s="11">
        <v>184</v>
      </c>
      <c r="H3867" s="11">
        <v>700</v>
      </c>
      <c r="I3867" s="11">
        <v>44</v>
      </c>
      <c r="J3867" s="11">
        <v>0</v>
      </c>
      <c r="K3867" s="11" t="s">
        <v>21</v>
      </c>
      <c r="L3867" s="7">
        <v>42382.82912037037</v>
      </c>
      <c r="M3867" s="12"/>
      <c r="N3867" s="12"/>
      <c r="O3867" s="10" t="str">
        <f>HYPERLINK("https://abs.twimg.com/sticky/default_profile_images/default_profile_2_normal.png","View")</f>
        <v>View</v>
      </c>
      <c r="P3867" s="11"/>
    </row>
    <row r="3868" spans="1:16" ht="12.75" x14ac:dyDescent="0.35">
      <c r="A3868" s="7">
        <v>42482.80914351852</v>
      </c>
      <c r="B3868" s="8" t="str">
        <f>HYPERLINK("https://twitter.com/NewsThisSecond","@NewsThisSecond")</f>
        <v>@NewsThisSecond</v>
      </c>
      <c r="C3868" s="9" t="s">
        <v>9222</v>
      </c>
      <c r="D3868" s="9" t="s">
        <v>9191</v>
      </c>
      <c r="E3868" s="10" t="str">
        <f>HYPERLINK("https://twitter.com/NewsThisSecond/status/723510461824688129","723510461824688129")</f>
        <v>723510461824688129</v>
      </c>
      <c r="F3868" s="11" t="s">
        <v>20</v>
      </c>
      <c r="G3868" s="11">
        <v>5850</v>
      </c>
      <c r="H3868" s="11">
        <v>4178</v>
      </c>
      <c r="I3868" s="11">
        <v>0</v>
      </c>
      <c r="J3868" s="11">
        <v>0</v>
      </c>
      <c r="K3868" s="11" t="s">
        <v>21</v>
      </c>
      <c r="L3868" s="7">
        <v>41270.277615740742</v>
      </c>
      <c r="M3868" s="12" t="s">
        <v>9223</v>
      </c>
      <c r="N3868" s="12" t="s">
        <v>9224</v>
      </c>
      <c r="O3868" s="10" t="str">
        <f>HYPERLINK("https://pbs.twimg.com/profile_images/681312369147023361/lTcrXeou_normal.jpg","View")</f>
        <v>View</v>
      </c>
      <c r="P3868" s="11"/>
    </row>
    <row r="3869" spans="1:16" ht="12.75" x14ac:dyDescent="0.35">
      <c r="A3869" s="7">
        <v>42482.809212962966</v>
      </c>
      <c r="B3869" s="8" t="str">
        <f>HYPERLINK("https://twitter.com/Fotobiene","@Fotobiene")</f>
        <v>@Fotobiene</v>
      </c>
      <c r="C3869" s="9" t="s">
        <v>2977</v>
      </c>
      <c r="D3869" s="9" t="s">
        <v>9225</v>
      </c>
      <c r="E3869" s="10" t="str">
        <f>HYPERLINK("https://twitter.com/Fotobiene/status/723510483546976256","723510483546976256")</f>
        <v>723510483546976256</v>
      </c>
      <c r="F3869" s="11" t="s">
        <v>91</v>
      </c>
      <c r="G3869" s="11">
        <v>372</v>
      </c>
      <c r="H3869" s="11">
        <v>589</v>
      </c>
      <c r="I3869" s="11">
        <v>0</v>
      </c>
      <c r="J3869" s="11">
        <v>0</v>
      </c>
      <c r="K3869" s="11" t="s">
        <v>21</v>
      </c>
      <c r="L3869" s="7">
        <v>40363.94840277778</v>
      </c>
      <c r="M3869" s="12" t="s">
        <v>1116</v>
      </c>
      <c r="N3869" s="12" t="s">
        <v>2978</v>
      </c>
      <c r="O3869" s="10" t="str">
        <f>HYPERLINK("https://pbs.twimg.com/profile_images/476894592051056640/bqGCxWkq_normal.jpeg","View")</f>
        <v>View</v>
      </c>
      <c r="P3869" s="11"/>
    </row>
    <row r="3870" spans="1:16" ht="12.75" x14ac:dyDescent="0.35">
      <c r="A3870" s="7">
        <v>42482.809525462959</v>
      </c>
      <c r="B3870" s="8" t="str">
        <f>HYPERLINK("https://twitter.com/lisapaus","@lisapaus")</f>
        <v>@lisapaus</v>
      </c>
      <c r="C3870" s="9" t="s">
        <v>9226</v>
      </c>
      <c r="D3870" s="9" t="s">
        <v>8183</v>
      </c>
      <c r="E3870" s="10" t="str">
        <f>HYPERLINK("https://twitter.com/lisapaus/status/723510598114394113","723510598114394113")</f>
        <v>723510598114394113</v>
      </c>
      <c r="F3870" s="11" t="s">
        <v>20</v>
      </c>
      <c r="G3870" s="11">
        <v>2843</v>
      </c>
      <c r="H3870" s="11">
        <v>898</v>
      </c>
      <c r="I3870" s="11">
        <v>8</v>
      </c>
      <c r="J3870" s="11">
        <v>0</v>
      </c>
      <c r="K3870" s="11" t="s">
        <v>21</v>
      </c>
      <c r="L3870" s="7">
        <v>41031.768819444442</v>
      </c>
      <c r="M3870" s="12" t="s">
        <v>9227</v>
      </c>
      <c r="N3870" s="12" t="s">
        <v>9228</v>
      </c>
      <c r="O3870" s="10" t="str">
        <f>HYPERLINK("https://pbs.twimg.com/profile_images/378800000594512194/c49b2632fe8ba4894d086f45d81b7bce_normal.jpeg","View")</f>
        <v>View</v>
      </c>
      <c r="P3870" s="11"/>
    </row>
    <row r="3871" spans="1:16" ht="12.75" x14ac:dyDescent="0.35">
      <c r="A3871" s="7">
        <v>42482.809618055559</v>
      </c>
      <c r="B3871" s="8" t="str">
        <f>HYPERLINK("https://twitter.com/MV_AM","@MV_AM")</f>
        <v>@MV_AM</v>
      </c>
      <c r="C3871" s="9" t="s">
        <v>9229</v>
      </c>
      <c r="D3871" s="9" t="s">
        <v>9230</v>
      </c>
      <c r="E3871" s="10" t="str">
        <f>HYPERLINK("https://twitter.com/MV_AM/status/723510633711411200","723510633711411200")</f>
        <v>723510633711411200</v>
      </c>
      <c r="F3871" s="11" t="s">
        <v>20</v>
      </c>
      <c r="G3871" s="11">
        <v>1423</v>
      </c>
      <c r="H3871" s="11">
        <v>539</v>
      </c>
      <c r="I3871" s="11">
        <v>0</v>
      </c>
      <c r="J3871" s="11">
        <v>0</v>
      </c>
      <c r="K3871" s="11" t="s">
        <v>21</v>
      </c>
      <c r="L3871" s="7">
        <v>41246.883784722224</v>
      </c>
      <c r="M3871" s="12"/>
      <c r="N3871" s="12" t="s">
        <v>9231</v>
      </c>
      <c r="O3871" s="10" t="str">
        <f>HYPERLINK("https://pbs.twimg.com/profile_images/719544280218542080/UFuvXgPa_normal.jpg","View")</f>
        <v>View</v>
      </c>
      <c r="P3871" s="11"/>
    </row>
    <row r="3872" spans="1:16" ht="12.75" x14ac:dyDescent="0.35">
      <c r="A3872" s="7">
        <v>42482.809907407413</v>
      </c>
      <c r="B3872" s="8" t="str">
        <f>HYPERLINK("https://twitter.com/Karlomart","@Karlomart")</f>
        <v>@Karlomart</v>
      </c>
      <c r="C3872" s="9" t="s">
        <v>2726</v>
      </c>
      <c r="D3872" s="9" t="s">
        <v>9232</v>
      </c>
      <c r="E3872" s="10" t="str">
        <f>HYPERLINK("https://twitter.com/Karlomart/status/723510735003881472","723510735003881472")</f>
        <v>723510735003881472</v>
      </c>
      <c r="F3872" s="11" t="s">
        <v>43</v>
      </c>
      <c r="G3872" s="11">
        <v>56</v>
      </c>
      <c r="H3872" s="11">
        <v>34</v>
      </c>
      <c r="I3872" s="11">
        <v>0</v>
      </c>
      <c r="J3872" s="11">
        <v>0</v>
      </c>
      <c r="K3872" s="11" t="s">
        <v>21</v>
      </c>
      <c r="L3872" s="7">
        <v>40860.371331018519</v>
      </c>
      <c r="M3872" s="12" t="s">
        <v>2728</v>
      </c>
      <c r="N3872" s="12"/>
      <c r="O3872" s="10" t="str">
        <f>HYPERLINK("https://pbs.twimg.com/profile_images/441017002224660480/wMS_0yBK_normal.jpeg","View")</f>
        <v>View</v>
      </c>
      <c r="P3872" s="11"/>
    </row>
    <row r="3873" spans="1:16" ht="12.75" x14ac:dyDescent="0.35">
      <c r="A3873" s="7">
        <v>42482.810104166667</v>
      </c>
      <c r="B3873" s="8" t="str">
        <f>HYPERLINK("https://twitter.com/nicolasosfantom","@nicolasosfantom")</f>
        <v>@nicolasosfantom</v>
      </c>
      <c r="C3873" s="9" t="s">
        <v>9233</v>
      </c>
      <c r="D3873" s="9" t="s">
        <v>396</v>
      </c>
      <c r="E3873" s="10" t="str">
        <f>HYPERLINK("https://twitter.com/nicolasosfantom/status/723510808639070208","723510808639070208")</f>
        <v>723510808639070208</v>
      </c>
      <c r="F3873" s="11" t="s">
        <v>43</v>
      </c>
      <c r="G3873" s="11">
        <v>165</v>
      </c>
      <c r="H3873" s="11">
        <v>366</v>
      </c>
      <c r="I3873" s="11">
        <v>11</v>
      </c>
      <c r="J3873" s="11">
        <v>0</v>
      </c>
      <c r="K3873" s="11" t="s">
        <v>21</v>
      </c>
      <c r="L3873" s="7">
        <v>42421.104837962965</v>
      </c>
      <c r="M3873" s="12"/>
      <c r="N3873" s="12"/>
      <c r="O3873" s="10" t="str">
        <f>HYPERLINK("https://pbs.twimg.com/profile_images/715156636235599872/dwm4EPy5_normal.jpg","View")</f>
        <v>View</v>
      </c>
      <c r="P3873" s="11"/>
    </row>
    <row r="3874" spans="1:16" ht="12.75" x14ac:dyDescent="0.35">
      <c r="A3874" s="7">
        <v>42482.810416666667</v>
      </c>
      <c r="B3874" s="8" t="str">
        <f>HYPERLINK("https://twitter.com/TLZnews","@TLZnews")</f>
        <v>@TLZnews</v>
      </c>
      <c r="C3874" s="9" t="s">
        <v>9234</v>
      </c>
      <c r="D3874" s="9" t="s">
        <v>9235</v>
      </c>
      <c r="E3874" s="10" t="str">
        <f>HYPERLINK("https://twitter.com/TLZnews/status/723510920064950272","723510920064950272")</f>
        <v>723510920064950272</v>
      </c>
      <c r="F3874" s="11" t="s">
        <v>43</v>
      </c>
      <c r="G3874" s="11">
        <v>3227</v>
      </c>
      <c r="H3874" s="11">
        <v>382</v>
      </c>
      <c r="I3874" s="11">
        <v>0</v>
      </c>
      <c r="J3874" s="11">
        <v>0</v>
      </c>
      <c r="K3874" s="11" t="s">
        <v>21</v>
      </c>
      <c r="L3874" s="7">
        <v>39870.219189814816</v>
      </c>
      <c r="M3874" s="12" t="s">
        <v>9236</v>
      </c>
      <c r="N3874" s="12" t="s">
        <v>9237</v>
      </c>
      <c r="O3874" s="10" t="str">
        <f>HYPERLINK("https://pbs.twimg.com/profile_images/562239128348000256/ROjHz0Gd_normal.jpeg","View")</f>
        <v>View</v>
      </c>
      <c r="P3874" s="11"/>
    </row>
    <row r="3875" spans="1:16" ht="12.75" x14ac:dyDescent="0.35">
      <c r="A3875" s="7">
        <v>42482.81049768519</v>
      </c>
      <c r="B3875" s="8" t="str">
        <f>HYPERLINK("https://twitter.com/VWCamperSales","@VWCamperSales")</f>
        <v>@VWCamperSales</v>
      </c>
      <c r="C3875" s="9" t="s">
        <v>216</v>
      </c>
      <c r="D3875" s="9" t="s">
        <v>9238</v>
      </c>
      <c r="E3875" s="10" t="str">
        <f>HYPERLINK("https://twitter.com/VWCamperSales/status/723510949378809857","723510949378809857")</f>
        <v>723510949378809857</v>
      </c>
      <c r="F3875" s="10" t="s">
        <v>124</v>
      </c>
      <c r="G3875" s="11">
        <v>617</v>
      </c>
      <c r="H3875" s="11">
        <v>580</v>
      </c>
      <c r="I3875" s="11">
        <v>0</v>
      </c>
      <c r="J3875" s="11">
        <v>0</v>
      </c>
      <c r="K3875" s="11" t="s">
        <v>21</v>
      </c>
      <c r="L3875" s="7">
        <v>42215.98809027778</v>
      </c>
      <c r="M3875" s="12" t="s">
        <v>129</v>
      </c>
      <c r="N3875" s="12" t="s">
        <v>218</v>
      </c>
      <c r="O3875" s="10" t="str">
        <f>HYPERLINK("https://pbs.twimg.com/profile_images/627949001179037696/skEBkS05_normal.jpg","View")</f>
        <v>View</v>
      </c>
      <c r="P3875" s="11"/>
    </row>
    <row r="3876" spans="1:16" ht="12.75" x14ac:dyDescent="0.35">
      <c r="A3876" s="7">
        <v>42482.810787037037</v>
      </c>
      <c r="B3876" s="8" t="str">
        <f>HYPERLINK("https://twitter.com/LarsGehrke","@LarsGehrke")</f>
        <v>@LarsGehrke</v>
      </c>
      <c r="C3876" s="9" t="s">
        <v>9239</v>
      </c>
      <c r="D3876" s="9" t="s">
        <v>7444</v>
      </c>
      <c r="E3876" s="10" t="str">
        <f>HYPERLINK("https://twitter.com/LarsGehrke/status/723511057277399040","723511057277399040")</f>
        <v>723511057277399040</v>
      </c>
      <c r="F3876" s="11" t="s">
        <v>20</v>
      </c>
      <c r="G3876" s="11">
        <v>27</v>
      </c>
      <c r="H3876" s="11">
        <v>94</v>
      </c>
      <c r="I3876" s="11">
        <v>3</v>
      </c>
      <c r="J3876" s="11">
        <v>0</v>
      </c>
      <c r="K3876" s="11" t="s">
        <v>21</v>
      </c>
      <c r="L3876" s="7">
        <v>42343.729490740741</v>
      </c>
      <c r="M3876" s="12" t="s">
        <v>9240</v>
      </c>
      <c r="N3876" s="12" t="s">
        <v>9241</v>
      </c>
      <c r="O3876" s="10" t="str">
        <f>HYPERLINK("https://pbs.twimg.com/profile_images/709072734949609474/Nqxw85i4_normal.jpg","View")</f>
        <v>View</v>
      </c>
      <c r="P3876" s="11"/>
    </row>
    <row r="3877" spans="1:16" ht="12.75" x14ac:dyDescent="0.35">
      <c r="A3877" s="7">
        <v>42482.810891203699</v>
      </c>
      <c r="B3877" s="8" t="str">
        <f>HYPERLINK("https://twitter.com/dw_wirtschaft","@dw_wirtschaft")</f>
        <v>@dw_wirtschaft</v>
      </c>
      <c r="C3877" s="9" t="s">
        <v>3712</v>
      </c>
      <c r="D3877" s="9" t="s">
        <v>9242</v>
      </c>
      <c r="E3877" s="10" t="str">
        <f>HYPERLINK("https://twitter.com/dw_wirtschaft/status/723511092698316804","723511092698316804")</f>
        <v>723511092698316804</v>
      </c>
      <c r="F3877" s="11" t="s">
        <v>43</v>
      </c>
      <c r="G3877" s="11">
        <v>11263</v>
      </c>
      <c r="H3877" s="11">
        <v>188</v>
      </c>
      <c r="I3877" s="11">
        <v>1</v>
      </c>
      <c r="J3877" s="11">
        <v>0</v>
      </c>
      <c r="K3877" s="11" t="s">
        <v>21</v>
      </c>
      <c r="L3877" s="7">
        <v>39919.591817129629</v>
      </c>
      <c r="M3877" s="12" t="s">
        <v>3714</v>
      </c>
      <c r="N3877" s="12" t="s">
        <v>3715</v>
      </c>
      <c r="O3877" s="10" t="str">
        <f>HYPERLINK("https://pbs.twimg.com/profile_images/474185502388518912/sROk9L0u_normal.png","View")</f>
        <v>View</v>
      </c>
      <c r="P3877" s="11"/>
    </row>
    <row r="3878" spans="1:16" ht="12.75" x14ac:dyDescent="0.35">
      <c r="A3878" s="7">
        <v>42482.811122685191</v>
      </c>
      <c r="B3878" s="8" t="str">
        <f>HYPERLINK("https://twitter.com/tagesspiegel","@tagesspiegel")</f>
        <v>@tagesspiegel</v>
      </c>
      <c r="C3878" s="9" t="s">
        <v>9243</v>
      </c>
      <c r="D3878" s="9" t="s">
        <v>9244</v>
      </c>
      <c r="E3878" s="10" t="str">
        <f>HYPERLINK("https://twitter.com/tagesspiegel/status/723511178727665664","723511178727665664")</f>
        <v>723511178727665664</v>
      </c>
      <c r="F3878" s="11" t="s">
        <v>43</v>
      </c>
      <c r="G3878" s="11">
        <v>231372</v>
      </c>
      <c r="H3878" s="11">
        <v>1063</v>
      </c>
      <c r="I3878" s="11">
        <v>0</v>
      </c>
      <c r="J3878" s="11">
        <v>0</v>
      </c>
      <c r="K3878" s="11" t="s">
        <v>21</v>
      </c>
      <c r="L3878" s="7">
        <v>39877.845173611109</v>
      </c>
      <c r="M3878" s="12" t="s">
        <v>1359</v>
      </c>
      <c r="N3878" s="12" t="s">
        <v>9245</v>
      </c>
      <c r="O3878" s="10" t="str">
        <f>HYPERLINK("https://pbs.twimg.com/profile_images/455980930293702658/V0W08c8o_normal.png","View")</f>
        <v>View</v>
      </c>
      <c r="P3878" s="11"/>
    </row>
    <row r="3879" spans="1:16" ht="12.75" x14ac:dyDescent="0.35">
      <c r="A3879" s="7">
        <v>42482.811273148152</v>
      </c>
      <c r="B3879" s="8" t="str">
        <f>HYPERLINK("https://twitter.com/lamontto","@lamontto")</f>
        <v>@lamontto</v>
      </c>
      <c r="C3879" s="9" t="s">
        <v>718</v>
      </c>
      <c r="D3879" s="9" t="s">
        <v>9246</v>
      </c>
      <c r="E3879" s="10" t="str">
        <f>HYPERLINK("https://twitter.com/lamontto/status/723511230388920320","723511230388920320")</f>
        <v>723511230388920320</v>
      </c>
      <c r="F3879" s="11" t="s">
        <v>43</v>
      </c>
      <c r="G3879" s="11">
        <v>630</v>
      </c>
      <c r="H3879" s="11">
        <v>607</v>
      </c>
      <c r="I3879" s="11">
        <v>0</v>
      </c>
      <c r="J3879" s="11">
        <v>0</v>
      </c>
      <c r="K3879" s="11" t="s">
        <v>21</v>
      </c>
      <c r="L3879" s="7">
        <v>40642.156342592592</v>
      </c>
      <c r="M3879" s="12" t="s">
        <v>720</v>
      </c>
      <c r="N3879" s="12" t="s">
        <v>721</v>
      </c>
      <c r="O3879" s="10" t="str">
        <f>HYPERLINK("https://pbs.twimg.com/profile_images/653334158484357120/pjDnQtCN_normal.jpg","View")</f>
        <v>View</v>
      </c>
      <c r="P3879" s="11"/>
    </row>
    <row r="3880" spans="1:16" ht="12.75" x14ac:dyDescent="0.35">
      <c r="A3880" s="7">
        <v>42482.811423611114</v>
      </c>
      <c r="B3880" s="8" t="str">
        <f>HYPERLINK("https://twitter.com/finanzmarktwelt","@finanzmarktwelt")</f>
        <v>@finanzmarktwelt</v>
      </c>
      <c r="C3880" s="8" t="s">
        <v>9247</v>
      </c>
      <c r="D3880" s="9" t="s">
        <v>9248</v>
      </c>
      <c r="E3880" s="10" t="str">
        <f>HYPERLINK("https://twitter.com/finanzmarktwelt/status/723511286684876800","723511286684876800")</f>
        <v>723511286684876800</v>
      </c>
      <c r="F3880" s="11" t="s">
        <v>43</v>
      </c>
      <c r="G3880" s="11">
        <v>593</v>
      </c>
      <c r="H3880" s="11">
        <v>339</v>
      </c>
      <c r="I3880" s="11">
        <v>0</v>
      </c>
      <c r="J3880" s="11">
        <v>0</v>
      </c>
      <c r="K3880" s="11" t="s">
        <v>21</v>
      </c>
      <c r="L3880" s="7">
        <v>41456.697222222225</v>
      </c>
      <c r="M3880" s="12" t="s">
        <v>953</v>
      </c>
      <c r="N3880" s="12" t="s">
        <v>9249</v>
      </c>
      <c r="O3880" s="10" t="str">
        <f>HYPERLINK("https://pbs.twimg.com/profile_images/641193251567980545/W_qa0-uu_normal.png","View")</f>
        <v>View</v>
      </c>
      <c r="P3880" s="11"/>
    </row>
    <row r="3881" spans="1:16" ht="12.75" x14ac:dyDescent="0.35">
      <c r="A3881" s="7">
        <v>42482.811469907407</v>
      </c>
      <c r="B3881" s="8" t="str">
        <f>HYPERLINK("https://twitter.com/MarkCSchneider","@MarkCSchneider")</f>
        <v>@MarkCSchneider</v>
      </c>
      <c r="C3881" s="9" t="s">
        <v>952</v>
      </c>
      <c r="D3881" s="9" t="s">
        <v>9250</v>
      </c>
      <c r="E3881" s="10" t="str">
        <f>HYPERLINK("https://twitter.com/MarkCSchneider/status/723511304791711745","723511304791711745")</f>
        <v>723511304791711745</v>
      </c>
      <c r="F3881" s="11" t="s">
        <v>43</v>
      </c>
      <c r="G3881" s="11">
        <v>370</v>
      </c>
      <c r="H3881" s="11">
        <v>336</v>
      </c>
      <c r="I3881" s="11">
        <v>0</v>
      </c>
      <c r="J3881" s="11">
        <v>0</v>
      </c>
      <c r="K3881" s="11" t="s">
        <v>21</v>
      </c>
      <c r="L3881" s="7">
        <v>41495.558136574073</v>
      </c>
      <c r="M3881" s="12" t="s">
        <v>953</v>
      </c>
      <c r="N3881" s="12"/>
      <c r="O3881" s="10" t="str">
        <f>HYPERLINK("https://pbs.twimg.com/profile_images/706784695795769345/XGXgdjww_normal.jpg","View")</f>
        <v>View</v>
      </c>
      <c r="P3881" s="11"/>
    </row>
    <row r="3882" spans="1:16" ht="12.75" x14ac:dyDescent="0.35">
      <c r="A3882" s="7">
        <v>42482.811481481476</v>
      </c>
      <c r="B3882" s="8" t="str">
        <f>HYPERLINK("https://twitter.com/bayl","@bayl")</f>
        <v>@bayl</v>
      </c>
      <c r="C3882" s="9" t="s">
        <v>3167</v>
      </c>
      <c r="D3882" s="9" t="s">
        <v>9251</v>
      </c>
      <c r="E3882" s="10" t="str">
        <f>HYPERLINK("https://twitter.com/bayl/status/723511307106959361","723511307106959361")</f>
        <v>723511307106959361</v>
      </c>
      <c r="F3882" s="11" t="s">
        <v>43</v>
      </c>
      <c r="G3882" s="11">
        <v>577</v>
      </c>
      <c r="H3882" s="11">
        <v>825</v>
      </c>
      <c r="I3882" s="11">
        <v>0</v>
      </c>
      <c r="J3882" s="11">
        <v>0</v>
      </c>
      <c r="K3882" s="11" t="s">
        <v>21</v>
      </c>
      <c r="L3882" s="7">
        <v>39567.463831018518</v>
      </c>
      <c r="M3882" s="12"/>
      <c r="N3882" s="12" t="s">
        <v>3169</v>
      </c>
      <c r="O3882" s="10" t="str">
        <f>HYPERLINK("https://pbs.twimg.com/profile_images/438619338942062592/OBEQvg6R_normal.jpeg","View")</f>
        <v>View</v>
      </c>
      <c r="P3882" s="11"/>
    </row>
    <row r="3883" spans="1:16" ht="12.75" x14ac:dyDescent="0.35">
      <c r="A3883" s="7">
        <v>42482.811562499999</v>
      </c>
      <c r="B3883" s="8" t="str">
        <f>HYPERLINK("https://twitter.com/ohne_Se","@ohne_Se")</f>
        <v>@ohne_Se</v>
      </c>
      <c r="C3883" s="9" t="s">
        <v>9252</v>
      </c>
      <c r="D3883" s="9" t="s">
        <v>9253</v>
      </c>
      <c r="E3883" s="10" t="str">
        <f>HYPERLINK("https://twitter.com/ohne_Se/status/723511335703724032","723511335703724032")</f>
        <v>723511335703724032</v>
      </c>
      <c r="F3883" s="11" t="s">
        <v>43</v>
      </c>
      <c r="G3883" s="11">
        <v>335</v>
      </c>
      <c r="H3883" s="11">
        <v>238</v>
      </c>
      <c r="I3883" s="11">
        <v>0</v>
      </c>
      <c r="J3883" s="11">
        <v>0</v>
      </c>
      <c r="K3883" s="11" t="s">
        <v>21</v>
      </c>
      <c r="L3883" s="7">
        <v>42020.581006944441</v>
      </c>
      <c r="M3883" s="12" t="s">
        <v>4876</v>
      </c>
      <c r="N3883" s="12" t="s">
        <v>9254</v>
      </c>
      <c r="O3883" s="10" t="str">
        <f>HYPERLINK("https://pbs.twimg.com/profile_images/671607384817721344/nY4ofASc_normal.jpg","View")</f>
        <v>View</v>
      </c>
      <c r="P3883" s="11"/>
    </row>
    <row r="3884" spans="1:16" ht="12.75" x14ac:dyDescent="0.35">
      <c r="A3884" s="7">
        <v>42482.811759259261</v>
      </c>
      <c r="B3884" s="8" t="str">
        <f>HYPERLINK("https://twitter.com/jamesbmeigs","@jamesbmeigs")</f>
        <v>@jamesbmeigs</v>
      </c>
      <c r="C3884" s="9" t="s">
        <v>9255</v>
      </c>
      <c r="D3884" s="9" t="s">
        <v>9256</v>
      </c>
      <c r="E3884" s="10" t="str">
        <f>HYPERLINK("https://twitter.com/jamesbmeigs/status/723511408567181312","723511408567181312")</f>
        <v>723511408567181312</v>
      </c>
      <c r="F3884" s="11" t="s">
        <v>43</v>
      </c>
      <c r="G3884" s="11">
        <v>2498</v>
      </c>
      <c r="H3884" s="11">
        <v>1029</v>
      </c>
      <c r="I3884" s="11">
        <v>1</v>
      </c>
      <c r="J3884" s="11">
        <v>0</v>
      </c>
      <c r="K3884" s="11" t="s">
        <v>21</v>
      </c>
      <c r="L3884" s="7">
        <v>40069.210844907408</v>
      </c>
      <c r="M3884" s="12" t="s">
        <v>237</v>
      </c>
      <c r="N3884" s="12" t="s">
        <v>9257</v>
      </c>
      <c r="O3884" s="10" t="str">
        <f>HYPERLINK("https://pbs.twimg.com/profile_images/461317320447500289/1fliRWXl_normal.jpeg","View")</f>
        <v>View</v>
      </c>
      <c r="P3884" s="11"/>
    </row>
    <row r="3885" spans="1:16" ht="12.75" x14ac:dyDescent="0.35">
      <c r="A3885" s="7">
        <v>42482.811851851853</v>
      </c>
      <c r="B3885" s="8" t="str">
        <f>HYPERLINK("https://twitter.com/AgnewVolkswagen","@AgnewVolkswagen")</f>
        <v>@AgnewVolkswagen</v>
      </c>
      <c r="C3885" s="9" t="s">
        <v>9258</v>
      </c>
      <c r="D3885" s="9" t="s">
        <v>9259</v>
      </c>
      <c r="E3885" s="10" t="str">
        <f>HYPERLINK("https://twitter.com/AgnewVolkswagen/status/723511440779317248","723511440779317248")</f>
        <v>723511440779317248</v>
      </c>
      <c r="F3885" s="11" t="s">
        <v>140</v>
      </c>
      <c r="G3885" s="11">
        <v>350</v>
      </c>
      <c r="H3885" s="11">
        <v>302</v>
      </c>
      <c r="I3885" s="11">
        <v>0</v>
      </c>
      <c r="J3885" s="11">
        <v>0</v>
      </c>
      <c r="K3885" s="11" t="s">
        <v>21</v>
      </c>
      <c r="L3885" s="7">
        <v>41677.905358796299</v>
      </c>
      <c r="M3885" s="12" t="s">
        <v>9260</v>
      </c>
      <c r="N3885" s="12" t="s">
        <v>9261</v>
      </c>
      <c r="O3885" s="10" t="str">
        <f>HYPERLINK("https://pbs.twimg.com/profile_images/679619253075611648/u3su4Yxp_normal.jpg","View")</f>
        <v>View</v>
      </c>
      <c r="P3885" s="11"/>
    </row>
    <row r="3886" spans="1:16" ht="12.75" x14ac:dyDescent="0.35">
      <c r="A3886" s="7">
        <v>42482.812002314815</v>
      </c>
      <c r="B3886" s="8" t="str">
        <f>HYPERLINK("https://twitter.com/euro_thread","@euro_thread")</f>
        <v>@euro_thread</v>
      </c>
      <c r="C3886" s="9" t="s">
        <v>9262</v>
      </c>
      <c r="D3886" s="9" t="s">
        <v>9263</v>
      </c>
      <c r="E3886" s="10" t="str">
        <f>HYPERLINK("https://twitter.com/euro_thread/status/723511493929500675","723511493929500675")</f>
        <v>723511493929500675</v>
      </c>
      <c r="F3886" s="11" t="s">
        <v>114</v>
      </c>
      <c r="G3886" s="11">
        <v>39</v>
      </c>
      <c r="H3886" s="11">
        <v>30</v>
      </c>
      <c r="I3886" s="11">
        <v>0</v>
      </c>
      <c r="J3886" s="11">
        <v>0</v>
      </c>
      <c r="K3886" s="11" t="s">
        <v>21</v>
      </c>
      <c r="L3886" s="7">
        <v>41891.443333333329</v>
      </c>
      <c r="M3886" s="12" t="s">
        <v>305</v>
      </c>
      <c r="N3886" s="12" t="s">
        <v>9264</v>
      </c>
      <c r="O3886" s="10" t="str">
        <f>HYPERLINK("https://pbs.twimg.com/profile_images/509218513601691648/X6HttFpy_normal.jpeg","View")</f>
        <v>View</v>
      </c>
      <c r="P3886" s="11"/>
    </row>
    <row r="3887" spans="1:16" ht="12.75" x14ac:dyDescent="0.35">
      <c r="A3887" s="7">
        <v>42482.812060185184</v>
      </c>
      <c r="B3887" s="8" t="str">
        <f>HYPERLINK("https://twitter.com/WowbaggerXX7","@WowbaggerXX7")</f>
        <v>@WowbaggerXX7</v>
      </c>
      <c r="C3887" s="9" t="s">
        <v>2988</v>
      </c>
      <c r="D3887" s="9" t="s">
        <v>9265</v>
      </c>
      <c r="E3887" s="10" t="str">
        <f>HYPERLINK("https://twitter.com/WowbaggerXX7/status/723511516453081089","723511516453081089")</f>
        <v>723511516453081089</v>
      </c>
      <c r="F3887" s="11" t="s">
        <v>43</v>
      </c>
      <c r="G3887" s="11">
        <v>106</v>
      </c>
      <c r="H3887" s="11">
        <v>200</v>
      </c>
      <c r="I3887" s="11">
        <v>0</v>
      </c>
      <c r="J3887" s="11">
        <v>0</v>
      </c>
      <c r="K3887" s="11" t="s">
        <v>21</v>
      </c>
      <c r="L3887" s="7">
        <v>40878.039513888885</v>
      </c>
      <c r="M3887" s="12"/>
      <c r="N3887" s="12" t="s">
        <v>2990</v>
      </c>
      <c r="O3887" s="10" t="str">
        <f>HYPERLINK("https://pbs.twimg.com/profile_images/543163066599219200/dUy-AYOX_normal.jpeg","View")</f>
        <v>View</v>
      </c>
      <c r="P3887" s="11"/>
    </row>
    <row r="3888" spans="1:16" ht="12.75" x14ac:dyDescent="0.35">
      <c r="A3888" s="7">
        <v>42482.812476851846</v>
      </c>
      <c r="B3888" s="8" t="str">
        <f>HYPERLINK("https://twitter.com/lisduarte","@lisduarte")</f>
        <v>@lisduarte</v>
      </c>
      <c r="C3888" s="9" t="s">
        <v>9266</v>
      </c>
      <c r="D3888" s="9" t="s">
        <v>9267</v>
      </c>
      <c r="E3888" s="10" t="str">
        <f>HYPERLINK("https://twitter.com/lisduarte/status/723511668685344768","723511668685344768")</f>
        <v>723511668685344768</v>
      </c>
      <c r="F3888" s="11" t="s">
        <v>91</v>
      </c>
      <c r="G3888" s="11">
        <v>11286</v>
      </c>
      <c r="H3888" s="11">
        <v>10377</v>
      </c>
      <c r="I3888" s="11">
        <v>0</v>
      </c>
      <c r="J3888" s="11">
        <v>0</v>
      </c>
      <c r="K3888" s="11" t="s">
        <v>21</v>
      </c>
      <c r="L3888" s="7">
        <v>39589.379201388889</v>
      </c>
      <c r="M3888" s="12" t="s">
        <v>9268</v>
      </c>
      <c r="N3888" s="12"/>
      <c r="O3888" s="10" t="str">
        <f>HYPERLINK("https://pbs.twimg.com/profile_images/1713182174/P_GIF2_normal.jpg","View")</f>
        <v>View</v>
      </c>
      <c r="P3888" s="11"/>
    </row>
    <row r="3889" spans="1:16" ht="12.75" x14ac:dyDescent="0.35">
      <c r="A3889" s="7">
        <v>42482.8125</v>
      </c>
      <c r="B3889" s="8" t="str">
        <f>HYPERLINK("https://twitter.com/dw_deutsch","@dw_deutsch")</f>
        <v>@dw_deutsch</v>
      </c>
      <c r="C3889" s="9" t="s">
        <v>1476</v>
      </c>
      <c r="D3889" s="9" t="s">
        <v>9269</v>
      </c>
      <c r="E3889" s="10" t="str">
        <f>HYPERLINK("https://twitter.com/dw_deutsch/status/723511677120073728","723511677120073728")</f>
        <v>723511677120073728</v>
      </c>
      <c r="F3889" s="11" t="s">
        <v>63</v>
      </c>
      <c r="G3889" s="11">
        <v>46684</v>
      </c>
      <c r="H3889" s="11">
        <v>279</v>
      </c>
      <c r="I3889" s="11">
        <v>1</v>
      </c>
      <c r="J3889" s="11">
        <v>0</v>
      </c>
      <c r="K3889" s="11" t="s">
        <v>21</v>
      </c>
      <c r="L3889" s="7">
        <v>39216.619826388887</v>
      </c>
      <c r="M3889" s="12" t="s">
        <v>1303</v>
      </c>
      <c r="N3889" s="12" t="s">
        <v>1478</v>
      </c>
      <c r="O3889" s="10" t="str">
        <f>HYPERLINK("https://pbs.twimg.com/profile_images/461118397548212226/84PnzODQ_normal.png","View")</f>
        <v>View</v>
      </c>
      <c r="P3889" s="11"/>
    </row>
    <row r="3890" spans="1:16" ht="12.75" x14ac:dyDescent="0.35">
      <c r="A3890" s="7">
        <v>42482.812789351854</v>
      </c>
      <c r="B3890" s="8" t="str">
        <f>HYPERLINK("https://twitter.com/theblessedhuman","@theblessedhuman")</f>
        <v>@theblessedhuman</v>
      </c>
      <c r="C3890" s="9" t="s">
        <v>9270</v>
      </c>
      <c r="D3890" s="9" t="s">
        <v>5464</v>
      </c>
      <c r="E3890" s="10" t="str">
        <f>HYPERLINK("https://twitter.com/theblessedhuman/status/723511783059660800","723511783059660800")</f>
        <v>723511783059660800</v>
      </c>
      <c r="F3890" s="11" t="s">
        <v>48</v>
      </c>
      <c r="G3890" s="11">
        <v>45</v>
      </c>
      <c r="H3890" s="11">
        <v>179</v>
      </c>
      <c r="I3890" s="11">
        <v>75</v>
      </c>
      <c r="J3890" s="11">
        <v>0</v>
      </c>
      <c r="K3890" s="11" t="s">
        <v>21</v>
      </c>
      <c r="L3890" s="7">
        <v>42442.38380787037</v>
      </c>
      <c r="M3890" s="12"/>
      <c r="N3890" s="12"/>
      <c r="O3890" s="10" t="str">
        <f>HYPERLINK("https://pbs.twimg.com/profile_images/708865673510805504/tGbglBw2_normal.jpg","View")</f>
        <v>View</v>
      </c>
      <c r="P3890" s="11"/>
    </row>
    <row r="3891" spans="1:16" ht="12.75" x14ac:dyDescent="0.35">
      <c r="A3891" s="7">
        <v>42482.812986111108</v>
      </c>
      <c r="B3891" s="8" t="str">
        <f>HYPERLINK("https://twitter.com/kultur360","@kultur360")</f>
        <v>@kultur360</v>
      </c>
      <c r="C3891" s="9" t="s">
        <v>9271</v>
      </c>
      <c r="D3891" s="9" t="s">
        <v>9023</v>
      </c>
      <c r="E3891" s="10" t="str">
        <f>HYPERLINK("https://twitter.com/kultur360/status/723511852647505920","723511852647505920")</f>
        <v>723511852647505920</v>
      </c>
      <c r="F3891" s="11" t="s">
        <v>43</v>
      </c>
      <c r="G3891" s="11">
        <v>74</v>
      </c>
      <c r="H3891" s="11">
        <v>202</v>
      </c>
      <c r="I3891" s="11">
        <v>12</v>
      </c>
      <c r="J3891" s="11">
        <v>0</v>
      </c>
      <c r="K3891" s="11" t="s">
        <v>21</v>
      </c>
      <c r="L3891" s="7">
        <v>42029.924050925925</v>
      </c>
      <c r="M3891" s="12"/>
      <c r="N3891" s="12" t="s">
        <v>9272</v>
      </c>
      <c r="O3891" s="10" t="str">
        <f>HYPERLINK("https://pbs.twimg.com/profile_images/662742453741424640/mBCMTG51_normal.png","View")</f>
        <v>View</v>
      </c>
      <c r="P3891" s="11"/>
    </row>
    <row r="3892" spans="1:16" ht="12.75" x14ac:dyDescent="0.35">
      <c r="A3892" s="7">
        <v>42482.813078703708</v>
      </c>
      <c r="B3892" s="8" t="str">
        <f>HYPERLINK("https://twitter.com/DestinyConnect","@DestinyConnect")</f>
        <v>@DestinyConnect</v>
      </c>
      <c r="C3892" s="9" t="s">
        <v>9273</v>
      </c>
      <c r="D3892" s="9" t="s">
        <v>9274</v>
      </c>
      <c r="E3892" s="10" t="str">
        <f>HYPERLINK("https://twitter.com/DestinyConnect/status/723511885325193216","723511885325193216")</f>
        <v>723511885325193216</v>
      </c>
      <c r="F3892" s="11" t="s">
        <v>63</v>
      </c>
      <c r="G3892" s="11">
        <v>29750</v>
      </c>
      <c r="H3892" s="11">
        <v>919</v>
      </c>
      <c r="I3892" s="11">
        <v>1</v>
      </c>
      <c r="J3892" s="11">
        <v>0</v>
      </c>
      <c r="K3892" s="11" t="s">
        <v>21</v>
      </c>
      <c r="L3892" s="7">
        <v>39756.604594907403</v>
      </c>
      <c r="M3892" s="12"/>
      <c r="N3892" s="12" t="s">
        <v>9275</v>
      </c>
      <c r="O3892" s="10" t="str">
        <f>HYPERLINK("https://pbs.twimg.com/profile_images/721964084569235456/OppvBv8m_normal.jpg","View")</f>
        <v>View</v>
      </c>
      <c r="P3892" s="11"/>
    </row>
    <row r="3893" spans="1:16" ht="12.75" x14ac:dyDescent="0.35">
      <c r="A3893" s="7">
        <v>42482.81313657407</v>
      </c>
      <c r="B3893" s="8" t="str">
        <f>HYPERLINK("https://twitter.com/LISCHIMAN","@LISCHIMAN")</f>
        <v>@LISCHIMAN</v>
      </c>
      <c r="C3893" s="9" t="s">
        <v>9276</v>
      </c>
      <c r="D3893" s="9" t="s">
        <v>9277</v>
      </c>
      <c r="E3893" s="10" t="str">
        <f>HYPERLINK("https://twitter.com/LISCHIMAN/status/723511905869021186","723511905869021186")</f>
        <v>723511905869021186</v>
      </c>
      <c r="F3893" s="11" t="s">
        <v>20</v>
      </c>
      <c r="G3893" s="11">
        <v>387</v>
      </c>
      <c r="H3893" s="11">
        <v>1993</v>
      </c>
      <c r="I3893" s="11">
        <v>0</v>
      </c>
      <c r="J3893" s="11">
        <v>1</v>
      </c>
      <c r="K3893" s="11" t="s">
        <v>21</v>
      </c>
      <c r="L3893" s="7">
        <v>40033.009131944447</v>
      </c>
      <c r="M3893" s="12" t="s">
        <v>1288</v>
      </c>
      <c r="N3893" s="12" t="s">
        <v>9278</v>
      </c>
      <c r="O3893" s="10" t="str">
        <f>HYPERLINK("https://pbs.twimg.com/profile_images/672464523354353664/Uv8Ev2EK_normal.jpg","View")</f>
        <v>View</v>
      </c>
      <c r="P3893" s="11"/>
    </row>
    <row r="3894" spans="1:16" ht="12.75" x14ac:dyDescent="0.35">
      <c r="A3894" s="7">
        <v>42482.813344907408</v>
      </c>
      <c r="B3894" s="8" t="str">
        <f>HYPERLINK("https://twitter.com/DallaCbo","@DallaCbo")</f>
        <v>@DallaCbo</v>
      </c>
      <c r="C3894" s="9" t="s">
        <v>9279</v>
      </c>
      <c r="D3894" s="9" t="s">
        <v>9280</v>
      </c>
      <c r="E3894" s="10" t="str">
        <f>HYPERLINK("https://twitter.com/DallaCbo/status/723511983799193601","723511983799193601")</f>
        <v>723511983799193601</v>
      </c>
      <c r="F3894" s="11" t="s">
        <v>43</v>
      </c>
      <c r="G3894" s="11">
        <v>614</v>
      </c>
      <c r="H3894" s="11">
        <v>643</v>
      </c>
      <c r="I3894" s="11">
        <v>1</v>
      </c>
      <c r="J3894" s="11">
        <v>0</v>
      </c>
      <c r="K3894" s="11" t="s">
        <v>21</v>
      </c>
      <c r="L3894" s="7">
        <v>41666.341261574074</v>
      </c>
      <c r="M3894" s="12" t="s">
        <v>2816</v>
      </c>
      <c r="N3894" s="12" t="s">
        <v>9281</v>
      </c>
      <c r="O3894" s="10" t="str">
        <f>HYPERLINK("https://pbs.twimg.com/profile_images/720500526656438272/Vawanuuu_normal.jpg","View")</f>
        <v>View</v>
      </c>
      <c r="P3894" s="11"/>
    </row>
    <row r="3895" spans="1:16" ht="12.75" x14ac:dyDescent="0.35">
      <c r="A3895" s="7">
        <v>42482.813437500001</v>
      </c>
      <c r="B3895" s="8" t="str">
        <f>HYPERLINK("https://twitter.com/MDRINFO","@MDRINFO")</f>
        <v>@MDRINFO</v>
      </c>
      <c r="C3895" s="9" t="s">
        <v>3646</v>
      </c>
      <c r="D3895" s="9" t="s">
        <v>9282</v>
      </c>
      <c r="E3895" s="10" t="str">
        <f>HYPERLINK("https://twitter.com/MDRINFO/status/723512017886306305","723512017886306305")</f>
        <v>723512017886306305</v>
      </c>
      <c r="F3895" s="11" t="s">
        <v>63</v>
      </c>
      <c r="G3895" s="11">
        <v>17536</v>
      </c>
      <c r="H3895" s="11">
        <v>324</v>
      </c>
      <c r="I3895" s="11">
        <v>0</v>
      </c>
      <c r="J3895" s="11">
        <v>0</v>
      </c>
      <c r="K3895" s="11" t="s">
        <v>21</v>
      </c>
      <c r="L3895" s="7">
        <v>39833.671817129631</v>
      </c>
      <c r="M3895" s="12" t="s">
        <v>3648</v>
      </c>
      <c r="N3895" s="12" t="s">
        <v>3649</v>
      </c>
      <c r="O3895" s="10" t="str">
        <f>HYPERLINK("https://pbs.twimg.com/profile_images/2289706087/q66ajanznpfm87cybp5p_normal.jpeg","View")</f>
        <v>View</v>
      </c>
      <c r="P3895" s="11"/>
    </row>
    <row r="3896" spans="1:16" ht="12.75" x14ac:dyDescent="0.35">
      <c r="A3896" s="7">
        <v>42482.813703703709</v>
      </c>
      <c r="B3896" s="8" t="str">
        <f>HYPERLINK("https://twitter.com/WowbaggerXX7","@WowbaggerXX7")</f>
        <v>@WowbaggerXX7</v>
      </c>
      <c r="C3896" s="9" t="s">
        <v>2988</v>
      </c>
      <c r="D3896" s="9" t="s">
        <v>8479</v>
      </c>
      <c r="E3896" s="10" t="str">
        <f>HYPERLINK("https://twitter.com/WowbaggerXX7/status/723512114128797697","723512114128797697")</f>
        <v>723512114128797697</v>
      </c>
      <c r="F3896" s="11" t="s">
        <v>43</v>
      </c>
      <c r="G3896" s="11">
        <v>106</v>
      </c>
      <c r="H3896" s="11">
        <v>200</v>
      </c>
      <c r="I3896" s="11">
        <v>4</v>
      </c>
      <c r="J3896" s="11">
        <v>0</v>
      </c>
      <c r="K3896" s="11" t="s">
        <v>21</v>
      </c>
      <c r="L3896" s="7">
        <v>40878.039513888885</v>
      </c>
      <c r="M3896" s="12"/>
      <c r="N3896" s="12" t="s">
        <v>2990</v>
      </c>
      <c r="O3896" s="10" t="str">
        <f>HYPERLINK("https://pbs.twimg.com/profile_images/543163066599219200/dUy-AYOX_normal.jpeg","View")</f>
        <v>View</v>
      </c>
      <c r="P3896" s="11"/>
    </row>
    <row r="3897" spans="1:16" ht="12.75" x14ac:dyDescent="0.35">
      <c r="A3897" s="7">
        <v>42482.813935185186</v>
      </c>
      <c r="B3897" s="8" t="str">
        <f>HYPERLINK("https://twitter.com/BrigPeachL4L","@BrigPeachL4L")</f>
        <v>@BrigPeachL4L</v>
      </c>
      <c r="C3897" s="9" t="s">
        <v>9283</v>
      </c>
      <c r="D3897" s="9" t="s">
        <v>9023</v>
      </c>
      <c r="E3897" s="10" t="str">
        <f>HYPERLINK("https://twitter.com/BrigPeachL4L/status/723512195343065092","723512195343065092")</f>
        <v>723512195343065092</v>
      </c>
      <c r="F3897" s="11" t="s">
        <v>48</v>
      </c>
      <c r="G3897" s="11">
        <v>2246</v>
      </c>
      <c r="H3897" s="11">
        <v>2423</v>
      </c>
      <c r="I3897" s="11">
        <v>12</v>
      </c>
      <c r="J3897" s="11">
        <v>0</v>
      </c>
      <c r="K3897" s="11" t="s">
        <v>21</v>
      </c>
      <c r="L3897" s="7">
        <v>40255.802071759259</v>
      </c>
      <c r="M3897" s="12" t="s">
        <v>9284</v>
      </c>
      <c r="N3897" s="12" t="s">
        <v>9285</v>
      </c>
      <c r="O3897" s="10" t="str">
        <f>HYPERLINK("https://pbs.twimg.com/profile_images/2695152833/5a0d2a68ba8025a6beaa160d6dba27cb_normal.jpeg","View")</f>
        <v>View</v>
      </c>
      <c r="P3897" s="11"/>
    </row>
    <row r="3898" spans="1:16" ht="12.75" x14ac:dyDescent="0.35">
      <c r="A3898" s="7">
        <v>42482.814074074078</v>
      </c>
      <c r="B3898" s="8" t="str">
        <f>HYPERLINK("https://twitter.com/gmlj40","@gmlj40")</f>
        <v>@gmlj40</v>
      </c>
      <c r="C3898" s="9" t="s">
        <v>9286</v>
      </c>
      <c r="D3898" s="9" t="s">
        <v>9115</v>
      </c>
      <c r="E3898" s="10" t="str">
        <f>HYPERLINK("https://twitter.com/gmlj40/status/723512248451383296","723512248451383296")</f>
        <v>723512248451383296</v>
      </c>
      <c r="F3898" s="11" t="s">
        <v>20</v>
      </c>
      <c r="G3898" s="11">
        <v>1222</v>
      </c>
      <c r="H3898" s="11">
        <v>744</v>
      </c>
      <c r="I3898" s="11">
        <v>3</v>
      </c>
      <c r="J3898" s="11">
        <v>0</v>
      </c>
      <c r="K3898" s="11" t="s">
        <v>21</v>
      </c>
      <c r="L3898" s="7">
        <v>40967.428124999999</v>
      </c>
      <c r="M3898" s="12" t="s">
        <v>4265</v>
      </c>
      <c r="N3898" s="12"/>
      <c r="O3898" s="10" t="str">
        <f>HYPERLINK("https://pbs.twimg.com/profile_images/1895339818/image_normal.jpg","View")</f>
        <v>View</v>
      </c>
      <c r="P3898" s="11"/>
    </row>
    <row r="3899" spans="1:16" ht="12.75" x14ac:dyDescent="0.35">
      <c r="A3899" s="7">
        <v>42482.814293981486</v>
      </c>
      <c r="B3899" s="8" t="str">
        <f>HYPERLINK("https://twitter.com/kuehn_barbara","@kuehn_barbara")</f>
        <v>@kuehn_barbara</v>
      </c>
      <c r="C3899" s="9" t="s">
        <v>9287</v>
      </c>
      <c r="D3899" s="9" t="s">
        <v>9288</v>
      </c>
      <c r="E3899" s="10" t="str">
        <f>HYPERLINK("https://twitter.com/kuehn_barbara/status/723512325744013314","723512325744013314")</f>
        <v>723512325744013314</v>
      </c>
      <c r="F3899" s="11" t="s">
        <v>43</v>
      </c>
      <c r="G3899" s="11">
        <v>28</v>
      </c>
      <c r="H3899" s="11">
        <v>53</v>
      </c>
      <c r="I3899" s="11">
        <v>0</v>
      </c>
      <c r="J3899" s="11">
        <v>0</v>
      </c>
      <c r="K3899" s="11" t="s">
        <v>21</v>
      </c>
      <c r="L3899" s="7">
        <v>42464.066932870366</v>
      </c>
      <c r="M3899" s="12"/>
      <c r="N3899" s="12" t="s">
        <v>9289</v>
      </c>
      <c r="O3899" s="10" t="str">
        <f>HYPERLINK("https://pbs.twimg.com/profile_images/716724458631872518/P_d-m7o0_normal.jpg","View")</f>
        <v>View</v>
      </c>
      <c r="P3899" s="11"/>
    </row>
    <row r="3900" spans="1:16" ht="12.75" x14ac:dyDescent="0.35">
      <c r="A3900" s="7">
        <v>42482.814398148148</v>
      </c>
      <c r="B3900" s="8" t="str">
        <f>HYPERLINK("https://twitter.com/bvdvliet","@bvdvliet")</f>
        <v>@bvdvliet</v>
      </c>
      <c r="C3900" s="9" t="s">
        <v>2513</v>
      </c>
      <c r="D3900" s="9" t="s">
        <v>8803</v>
      </c>
      <c r="E3900" s="10" t="str">
        <f>HYPERLINK("https://twitter.com/bvdvliet/status/723512364134469632","723512364134469632")</f>
        <v>723512364134469632</v>
      </c>
      <c r="F3900" s="11" t="s">
        <v>91</v>
      </c>
      <c r="G3900" s="11">
        <v>159</v>
      </c>
      <c r="H3900" s="11">
        <v>267</v>
      </c>
      <c r="I3900" s="11">
        <v>3</v>
      </c>
      <c r="J3900" s="11">
        <v>0</v>
      </c>
      <c r="K3900" s="11" t="s">
        <v>21</v>
      </c>
      <c r="L3900" s="7">
        <v>41594.873657407406</v>
      </c>
      <c r="M3900" s="12"/>
      <c r="N3900" s="12"/>
      <c r="O3900" s="10" t="str">
        <f>HYPERLINK("https://pbs.twimg.com/profile_images/378800000747750946/394d9f0f5e6dde5137683d9c98c5c8a9_normal.jpeg","View")</f>
        <v>View</v>
      </c>
      <c r="P3900" s="11"/>
    </row>
    <row r="3901" spans="1:16" ht="12.75" x14ac:dyDescent="0.35">
      <c r="A3901" s="7">
        <v>42482.814479166671</v>
      </c>
      <c r="B3901" s="8" t="str">
        <f>HYPERLINK("https://twitter.com/TNR_Gold","@TNR_Gold")</f>
        <v>@TNR_Gold</v>
      </c>
      <c r="C3901" s="9" t="s">
        <v>9290</v>
      </c>
      <c r="D3901" s="9" t="s">
        <v>9180</v>
      </c>
      <c r="E3901" s="10" t="str">
        <f>HYPERLINK("https://twitter.com/TNR_Gold/status/723512395054854145","723512395054854145")</f>
        <v>723512395054854145</v>
      </c>
      <c r="F3901" s="11" t="s">
        <v>43</v>
      </c>
      <c r="G3901" s="11">
        <v>1508</v>
      </c>
      <c r="H3901" s="11">
        <v>1896</v>
      </c>
      <c r="I3901" s="11">
        <v>2</v>
      </c>
      <c r="J3901" s="11">
        <v>0</v>
      </c>
      <c r="K3901" s="11" t="s">
        <v>21</v>
      </c>
      <c r="L3901" s="7">
        <v>40921.044166666667</v>
      </c>
      <c r="M3901" s="12" t="s">
        <v>9291</v>
      </c>
      <c r="N3901" s="12" t="s">
        <v>9292</v>
      </c>
      <c r="O3901" s="10" t="str">
        <f>HYPERLINK("https://pbs.twimg.com/profile_images/378800000540233318/80e8ae4c675ea770cfdcfc4bdee19598_normal.jpeg","View")</f>
        <v>View</v>
      </c>
      <c r="P3901" s="11"/>
    </row>
    <row r="3902" spans="1:16" ht="12.75" x14ac:dyDescent="0.35">
      <c r="A3902" s="7">
        <v>42482.81459490741</v>
      </c>
      <c r="B3902" s="8" t="str">
        <f>HYPERLINK("https://twitter.com/Rumsucher","@Rumsucher")</f>
        <v>@Rumsucher</v>
      </c>
      <c r="C3902" s="9" t="s">
        <v>9293</v>
      </c>
      <c r="D3902" s="9" t="s">
        <v>9294</v>
      </c>
      <c r="E3902" s="10" t="str">
        <f>HYPERLINK("https://twitter.com/Rumsucher/status/723512433583775744","723512433583775744")</f>
        <v>723512433583775744</v>
      </c>
      <c r="F3902" s="11" t="s">
        <v>20</v>
      </c>
      <c r="G3902" s="11">
        <v>752</v>
      </c>
      <c r="H3902" s="11">
        <v>393</v>
      </c>
      <c r="I3902" s="11">
        <v>0</v>
      </c>
      <c r="J3902" s="11">
        <v>0</v>
      </c>
      <c r="K3902" s="11" t="s">
        <v>21</v>
      </c>
      <c r="L3902" s="7">
        <v>41042.141608796301</v>
      </c>
      <c r="M3902" s="12" t="s">
        <v>9295</v>
      </c>
      <c r="N3902" s="12" t="s">
        <v>9296</v>
      </c>
      <c r="O3902" s="10" t="str">
        <f>HYPERLINK("https://pbs.twimg.com/profile_images/2213177780/Stollberg_bearbeitet-1_normal.jpg","View")</f>
        <v>View</v>
      </c>
      <c r="P3902" s="11"/>
    </row>
    <row r="3903" spans="1:16" ht="12.75" x14ac:dyDescent="0.35">
      <c r="A3903" s="7">
        <v>42482.814791666664</v>
      </c>
      <c r="B3903" s="8" t="str">
        <f>HYPERLINK("https://twitter.com/Svenastheimer","@Svenastheimer")</f>
        <v>@Svenastheimer</v>
      </c>
      <c r="C3903" s="9" t="s">
        <v>9297</v>
      </c>
      <c r="D3903" s="9" t="s">
        <v>9298</v>
      </c>
      <c r="E3903" s="10" t="str">
        <f>HYPERLINK("https://twitter.com/Svenastheimer/status/723512507378356224","723512507378356224")</f>
        <v>723512507378356224</v>
      </c>
      <c r="F3903" s="11" t="s">
        <v>43</v>
      </c>
      <c r="G3903" s="11">
        <v>1400</v>
      </c>
      <c r="H3903" s="11">
        <v>677</v>
      </c>
      <c r="I3903" s="11">
        <v>0</v>
      </c>
      <c r="J3903" s="11">
        <v>0</v>
      </c>
      <c r="K3903" s="11" t="s">
        <v>21</v>
      </c>
      <c r="L3903" s="7">
        <v>40004.816400462965</v>
      </c>
      <c r="M3903" s="12" t="s">
        <v>1229</v>
      </c>
      <c r="N3903" s="12" t="s">
        <v>9299</v>
      </c>
      <c r="O3903" s="10" t="str">
        <f>HYPERLINK("https://pbs.twimg.com/profile_images/378800000739119738/7c3e727f748488617099bdd8a2191320_normal.jpeg","View")</f>
        <v>View</v>
      </c>
      <c r="P3903" s="11"/>
    </row>
    <row r="3904" spans="1:16" ht="12.75" x14ac:dyDescent="0.35">
      <c r="A3904" s="7">
        <v>42482.814849537041</v>
      </c>
      <c r="B3904" s="8" t="str">
        <f>HYPERLINK("https://twitter.com/FAZ_Eil","@FAZ_Eil")</f>
        <v>@FAZ_Eil</v>
      </c>
      <c r="C3904" s="9" t="s">
        <v>9300</v>
      </c>
      <c r="D3904" s="9" t="s">
        <v>9301</v>
      </c>
      <c r="E3904" s="10" t="str">
        <f>HYPERLINK("https://twitter.com/FAZ_Eil/status/723512528563769344","723512528563769344")</f>
        <v>723512528563769344</v>
      </c>
      <c r="F3904" s="10" t="s">
        <v>1590</v>
      </c>
      <c r="G3904" s="11">
        <v>45160</v>
      </c>
      <c r="H3904" s="11">
        <v>20</v>
      </c>
      <c r="I3904" s="11">
        <v>6</v>
      </c>
      <c r="J3904" s="11">
        <v>1</v>
      </c>
      <c r="K3904" s="11" t="s">
        <v>21</v>
      </c>
      <c r="L3904" s="7">
        <v>39886.178136574075</v>
      </c>
      <c r="M3904" s="12" t="s">
        <v>1464</v>
      </c>
      <c r="N3904" s="12" t="s">
        <v>9302</v>
      </c>
      <c r="O3904" s="10" t="str">
        <f>HYPERLINK("https://pbs.twimg.com/profile_images/477439092402053121/H3fD2SIg_normal.jpeg","View")</f>
        <v>View</v>
      </c>
      <c r="P3904" s="11"/>
    </row>
    <row r="3905" spans="1:16" ht="12.75" x14ac:dyDescent="0.35">
      <c r="A3905" s="7">
        <v>42482.81486111111</v>
      </c>
      <c r="B3905" s="8" t="str">
        <f>HYPERLINK("https://twitter.com/FAZ_Finance","@FAZ_Finance")</f>
        <v>@FAZ_Finance</v>
      </c>
      <c r="C3905" s="8" t="s">
        <v>1790</v>
      </c>
      <c r="D3905" s="9" t="s">
        <v>9303</v>
      </c>
      <c r="E3905" s="10" t="str">
        <f>HYPERLINK("https://twitter.com/FAZ_Finance/status/723512529989832704","723512529989832704")</f>
        <v>723512529989832704</v>
      </c>
      <c r="F3905" s="10" t="s">
        <v>1590</v>
      </c>
      <c r="G3905" s="11">
        <v>6203</v>
      </c>
      <c r="H3905" s="11">
        <v>21</v>
      </c>
      <c r="I3905" s="11">
        <v>0</v>
      </c>
      <c r="J3905" s="11">
        <v>0</v>
      </c>
      <c r="K3905" s="11" t="s">
        <v>21</v>
      </c>
      <c r="L3905" s="7">
        <v>39889.70511574074</v>
      </c>
      <c r="M3905" s="12" t="s">
        <v>1464</v>
      </c>
      <c r="N3905" s="12" t="s">
        <v>1792</v>
      </c>
      <c r="O3905" s="10" t="str">
        <f>HYPERLINK("https://pbs.twimg.com/profile_images/477443424241463296/bKWNQp65_normal.jpeg","View")</f>
        <v>View</v>
      </c>
      <c r="P3905" s="11"/>
    </row>
    <row r="3906" spans="1:16" ht="12.75" x14ac:dyDescent="0.35">
      <c r="A3906" s="7">
        <v>42482.81486111111</v>
      </c>
      <c r="B3906" s="8" t="str">
        <f>HYPERLINK("https://twitter.com/FAZ_Top","@FAZ_Top")</f>
        <v>@FAZ_Top</v>
      </c>
      <c r="C3906" s="9" t="s">
        <v>9304</v>
      </c>
      <c r="D3906" s="9" t="s">
        <v>9305</v>
      </c>
      <c r="E3906" s="10" t="str">
        <f>HYPERLINK("https://twitter.com/FAZ_Top/status/723512530904186880","723512530904186880")</f>
        <v>723512530904186880</v>
      </c>
      <c r="F3906" s="10" t="s">
        <v>1590</v>
      </c>
      <c r="G3906" s="11">
        <v>374</v>
      </c>
      <c r="H3906" s="11">
        <v>15</v>
      </c>
      <c r="I3906" s="11">
        <v>1</v>
      </c>
      <c r="J3906" s="11">
        <v>0</v>
      </c>
      <c r="K3906" s="11" t="s">
        <v>21</v>
      </c>
      <c r="L3906" s="7">
        <v>42009.838078703702</v>
      </c>
      <c r="M3906" s="12" t="s">
        <v>1464</v>
      </c>
      <c r="N3906" s="12" t="s">
        <v>9306</v>
      </c>
      <c r="O3906" s="10" t="str">
        <f>HYPERLINK("https://pbs.twimg.com/profile_images/552112194075107328/gS44bo7h_normal.jpeg","View")</f>
        <v>View</v>
      </c>
      <c r="P3906" s="11"/>
    </row>
    <row r="3907" spans="1:16" ht="12.75" x14ac:dyDescent="0.35">
      <c r="A3907" s="7">
        <v>42482.81486111111</v>
      </c>
      <c r="B3907" s="8" t="str">
        <f>HYPERLINK("https://twitter.com/FAZ_Wirtschaft","@FAZ_Wirtschaft")</f>
        <v>@FAZ_Wirtschaft</v>
      </c>
      <c r="C3907" s="9" t="s">
        <v>2797</v>
      </c>
      <c r="D3907" s="9" t="s">
        <v>9307</v>
      </c>
      <c r="E3907" s="10" t="str">
        <f>HYPERLINK("https://twitter.com/FAZ_Wirtschaft/status/723512531671736320","723512531671736320")</f>
        <v>723512531671736320</v>
      </c>
      <c r="F3907" s="10" t="s">
        <v>1590</v>
      </c>
      <c r="G3907" s="11">
        <v>74479</v>
      </c>
      <c r="H3907" s="11">
        <v>53</v>
      </c>
      <c r="I3907" s="11">
        <v>1</v>
      </c>
      <c r="J3907" s="11">
        <v>0</v>
      </c>
      <c r="K3907" s="11" t="s">
        <v>21</v>
      </c>
      <c r="L3907" s="7">
        <v>39889.722812499997</v>
      </c>
      <c r="M3907" s="12" t="s">
        <v>1464</v>
      </c>
      <c r="N3907" s="12" t="s">
        <v>2798</v>
      </c>
      <c r="O3907" s="10" t="str">
        <f>HYPERLINK("https://pbs.twimg.com/profile_images/477440204932796419/Ubdok5z2_normal.jpeg","View")</f>
        <v>View</v>
      </c>
      <c r="P3907" s="11"/>
    </row>
    <row r="3908" spans="1:16" ht="12.75" x14ac:dyDescent="0.35">
      <c r="A3908" s="7">
        <v>42482.81486111111</v>
      </c>
      <c r="B3908" s="8" t="str">
        <f>HYPERLINK("https://twitter.com/FAZ_NET","@FAZ_NET")</f>
        <v>@FAZ_NET</v>
      </c>
      <c r="C3908" s="9" t="s">
        <v>1796</v>
      </c>
      <c r="D3908" s="9" t="s">
        <v>9308</v>
      </c>
      <c r="E3908" s="10" t="str">
        <f>HYPERLINK("https://twitter.com/FAZ_NET/status/723512532602884096","723512532602884096")</f>
        <v>723512532602884096</v>
      </c>
      <c r="F3908" s="10" t="s">
        <v>1590</v>
      </c>
      <c r="G3908" s="11">
        <v>32704</v>
      </c>
      <c r="H3908" s="11">
        <v>126</v>
      </c>
      <c r="I3908" s="11">
        <v>1</v>
      </c>
      <c r="J3908" s="11">
        <v>1</v>
      </c>
      <c r="K3908" s="11" t="s">
        <v>21</v>
      </c>
      <c r="L3908" s="7">
        <v>39792.657951388886</v>
      </c>
      <c r="M3908" s="12" t="s">
        <v>1798</v>
      </c>
      <c r="N3908" s="12" t="s">
        <v>1799</v>
      </c>
      <c r="O3908" s="10" t="str">
        <f>HYPERLINK("https://pbs.twimg.com/profile_images/477439590232358913/xbZaJ1Ms_normal.jpeg","View")</f>
        <v>View</v>
      </c>
      <c r="P3908" s="11"/>
    </row>
    <row r="3909" spans="1:16" ht="12.75" x14ac:dyDescent="0.35">
      <c r="A3909" s="7">
        <v>42482.814918981487</v>
      </c>
      <c r="B3909" s="8" t="str">
        <f>HYPERLINK("https://twitter.com/sinnsturm","@sinnsturm")</f>
        <v>@sinnsturm</v>
      </c>
      <c r="C3909" s="9" t="s">
        <v>8789</v>
      </c>
      <c r="D3909" s="9" t="s">
        <v>9309</v>
      </c>
      <c r="E3909" s="10" t="str">
        <f>HYPERLINK("https://twitter.com/sinnsturm/status/723512553511497728","723512553511497728")</f>
        <v>723512553511497728</v>
      </c>
      <c r="F3909" s="11" t="s">
        <v>43</v>
      </c>
      <c r="G3909" s="11">
        <v>30</v>
      </c>
      <c r="H3909" s="11">
        <v>89</v>
      </c>
      <c r="I3909" s="11">
        <v>0</v>
      </c>
      <c r="J3909" s="11">
        <v>0</v>
      </c>
      <c r="K3909" s="11" t="s">
        <v>21</v>
      </c>
      <c r="L3909" s="7">
        <v>40907.70758101852</v>
      </c>
      <c r="M3909" s="12" t="s">
        <v>262</v>
      </c>
      <c r="N3909" s="12" t="s">
        <v>8791</v>
      </c>
      <c r="O3909" s="10" t="str">
        <f>HYPERLINK("https://pbs.twimg.com/profile_images/720591880484995072/AvRSABLv_normal.jpg","View")</f>
        <v>View</v>
      </c>
      <c r="P3909" s="11"/>
    </row>
    <row r="3910" spans="1:16" ht="12.75" x14ac:dyDescent="0.35">
      <c r="A3910" s="7">
        <v>42482.815185185187</v>
      </c>
      <c r="B3910" s="8" t="str">
        <f>HYPERLINK("https://twitter.com/markuspieperMEP","@markuspieperMEP")</f>
        <v>@markuspieperMEP</v>
      </c>
      <c r="C3910" s="9" t="s">
        <v>9310</v>
      </c>
      <c r="D3910" s="9" t="s">
        <v>9311</v>
      </c>
      <c r="E3910" s="10" t="str">
        <f>HYPERLINK("https://twitter.com/markuspieperMEP/status/723512650940985344","723512650940985344")</f>
        <v>723512650940985344</v>
      </c>
      <c r="F3910" s="11" t="s">
        <v>48</v>
      </c>
      <c r="G3910" s="11">
        <v>181</v>
      </c>
      <c r="H3910" s="11">
        <v>86</v>
      </c>
      <c r="I3910" s="11">
        <v>6</v>
      </c>
      <c r="J3910" s="11">
        <v>0</v>
      </c>
      <c r="K3910" s="11" t="s">
        <v>21</v>
      </c>
      <c r="L3910" s="7">
        <v>42019.712060185186</v>
      </c>
      <c r="M3910" s="12"/>
      <c r="N3910" s="12" t="s">
        <v>9312</v>
      </c>
      <c r="O3910" s="10" t="str">
        <f>HYPERLINK("https://pbs.twimg.com/profile_images/557479172256194561/6F1rsS4X_normal.jpeg","View")</f>
        <v>View</v>
      </c>
      <c r="P3910" s="11"/>
    </row>
    <row r="3911" spans="1:16" ht="12.75" x14ac:dyDescent="0.35">
      <c r="A3911" s="7">
        <v>42482.815300925926</v>
      </c>
      <c r="B3911" s="8" t="str">
        <f>HYPERLINK("https://twitter.com/rbbinforadio","@rbbinforadio")</f>
        <v>@rbbinforadio</v>
      </c>
      <c r="C3911" s="9" t="s">
        <v>8083</v>
      </c>
      <c r="D3911" s="9" t="s">
        <v>9313</v>
      </c>
      <c r="E3911" s="10" t="str">
        <f>HYPERLINK("https://twitter.com/rbbinforadio/status/723512690988208130","723512690988208130")</f>
        <v>723512690988208130</v>
      </c>
      <c r="F3911" s="11" t="s">
        <v>43</v>
      </c>
      <c r="G3911" s="11">
        <v>6164</v>
      </c>
      <c r="H3911" s="11">
        <v>390</v>
      </c>
      <c r="I3911" s="11">
        <v>0</v>
      </c>
      <c r="J3911" s="11">
        <v>0</v>
      </c>
      <c r="K3911" s="11" t="s">
        <v>21</v>
      </c>
      <c r="L3911" s="7">
        <v>40311.657199074078</v>
      </c>
      <c r="M3911" s="12"/>
      <c r="N3911" s="12" t="s">
        <v>8085</v>
      </c>
      <c r="O3911" s="10" t="str">
        <f>HYPERLINK("https://pbs.twimg.com/profile_images/666962838930485248/ZYF2LkHu_normal.png","View")</f>
        <v>View</v>
      </c>
      <c r="P3911" s="11"/>
    </row>
    <row r="3912" spans="1:16" ht="12.75" x14ac:dyDescent="0.35">
      <c r="A3912" s="7">
        <v>42482.815335648149</v>
      </c>
      <c r="B3912" s="8" t="str">
        <f>HYPERLINK("https://twitter.com/slackner81","@slackner81")</f>
        <v>@slackner81</v>
      </c>
      <c r="C3912" s="9" t="s">
        <v>9314</v>
      </c>
      <c r="D3912" s="9" t="s">
        <v>9311</v>
      </c>
      <c r="E3912" s="10" t="str">
        <f>HYPERLINK("https://twitter.com/slackner81/status/723512704078614528","723512704078614528")</f>
        <v>723512704078614528</v>
      </c>
      <c r="F3912" s="11" t="s">
        <v>48</v>
      </c>
      <c r="G3912" s="11">
        <v>190</v>
      </c>
      <c r="H3912" s="11">
        <v>898</v>
      </c>
      <c r="I3912" s="11">
        <v>6</v>
      </c>
      <c r="J3912" s="11">
        <v>0</v>
      </c>
      <c r="K3912" s="11" t="s">
        <v>21</v>
      </c>
      <c r="L3912" s="7">
        <v>40866.118657407409</v>
      </c>
      <c r="M3912" s="12"/>
      <c r="N3912" s="12" t="s">
        <v>9315</v>
      </c>
      <c r="O3912" s="10" t="str">
        <f>HYPERLINK("https://pbs.twimg.com/profile_images/713725682384310274/AzH78DuW_normal.jpg","View")</f>
        <v>View</v>
      </c>
      <c r="P3912" s="11"/>
    </row>
    <row r="3913" spans="1:16" ht="12.75" x14ac:dyDescent="0.35">
      <c r="A3913" s="7">
        <v>42482.815381944441</v>
      </c>
      <c r="B3913" s="8" t="str">
        <f>HYPERLINK("https://twitter.com/LupusLotarius","@LupusLotarius")</f>
        <v>@LupusLotarius</v>
      </c>
      <c r="C3913" s="9" t="s">
        <v>8895</v>
      </c>
      <c r="D3913" s="9" t="s">
        <v>9311</v>
      </c>
      <c r="E3913" s="10" t="str">
        <f>HYPERLINK("https://twitter.com/LupusLotarius/status/723512719727415297","723512719727415297")</f>
        <v>723512719727415297</v>
      </c>
      <c r="F3913" s="10" t="s">
        <v>124</v>
      </c>
      <c r="G3913" s="11">
        <v>4219</v>
      </c>
      <c r="H3913" s="11">
        <v>1391</v>
      </c>
      <c r="I3913" s="11">
        <v>6</v>
      </c>
      <c r="J3913" s="11">
        <v>0</v>
      </c>
      <c r="K3913" s="11" t="s">
        <v>21</v>
      </c>
      <c r="L3913" s="7">
        <v>41651.193784722222</v>
      </c>
      <c r="M3913" s="12"/>
      <c r="N3913" s="12" t="s">
        <v>8896</v>
      </c>
      <c r="O3913" s="10" t="str">
        <f>HYPERLINK("https://pbs.twimg.com/profile_images/713093865125888000/4e7LoTjO_normal.jpg","View")</f>
        <v>View</v>
      </c>
      <c r="P3913" s="11"/>
    </row>
    <row r="3914" spans="1:16" ht="12.75" x14ac:dyDescent="0.35">
      <c r="A3914" s="7">
        <v>42482.815381944441</v>
      </c>
      <c r="B3914" s="8" t="str">
        <f>HYPERLINK("https://twitter.com/BoersenDE","@BoersenDE")</f>
        <v>@BoersenDE</v>
      </c>
      <c r="C3914" s="9" t="s">
        <v>8897</v>
      </c>
      <c r="D3914" s="9" t="s">
        <v>9311</v>
      </c>
      <c r="E3914" s="10" t="str">
        <f>HYPERLINK("https://twitter.com/BoersenDE/status/723512721107382273","723512721107382273")</f>
        <v>723512721107382273</v>
      </c>
      <c r="F3914" s="10" t="s">
        <v>124</v>
      </c>
      <c r="G3914" s="11">
        <v>2116</v>
      </c>
      <c r="H3914" s="11">
        <v>86</v>
      </c>
      <c r="I3914" s="11">
        <v>6</v>
      </c>
      <c r="J3914" s="11">
        <v>0</v>
      </c>
      <c r="K3914" s="11" t="s">
        <v>21</v>
      </c>
      <c r="L3914" s="7">
        <v>40416.933009259257</v>
      </c>
      <c r="M3914" s="12" t="s">
        <v>8898</v>
      </c>
      <c r="N3914" s="12" t="s">
        <v>8899</v>
      </c>
      <c r="O3914" s="10" t="str">
        <f>HYPERLINK("https://pbs.twimg.com/profile_images/2666244260/d6d9049abbaccec91bf56e27e933d7ba_normal.png","View")</f>
        <v>View</v>
      </c>
      <c r="P3914" s="11"/>
    </row>
    <row r="3915" spans="1:16" ht="12.75" x14ac:dyDescent="0.35">
      <c r="A3915" s="7">
        <v>42482.815393518518</v>
      </c>
      <c r="B3915" s="8" t="str">
        <f>HYPERLINK("https://twitter.com/WirtschaftDE","@WirtschaftDE")</f>
        <v>@WirtschaftDE</v>
      </c>
      <c r="C3915" s="9" t="s">
        <v>8909</v>
      </c>
      <c r="D3915" s="9" t="s">
        <v>9311</v>
      </c>
      <c r="E3915" s="10" t="str">
        <f>HYPERLINK("https://twitter.com/WirtschaftDE/status/723512722860572674","723512722860572674")</f>
        <v>723512722860572674</v>
      </c>
      <c r="F3915" s="10" t="s">
        <v>124</v>
      </c>
      <c r="G3915" s="11">
        <v>2611</v>
      </c>
      <c r="H3915" s="11">
        <v>267</v>
      </c>
      <c r="I3915" s="11">
        <v>6</v>
      </c>
      <c r="J3915" s="11">
        <v>0</v>
      </c>
      <c r="K3915" s="11" t="s">
        <v>21</v>
      </c>
      <c r="L3915" s="7">
        <v>40445.708923611113</v>
      </c>
      <c r="M3915" s="12" t="s">
        <v>5307</v>
      </c>
      <c r="N3915" s="12" t="s">
        <v>8910</v>
      </c>
      <c r="O3915" s="10" t="str">
        <f>HYPERLINK("https://pbs.twimg.com/profile_images/2666156173/1dc1dfd9105a77b870914368c039ba9e_normal.png","View")</f>
        <v>View</v>
      </c>
      <c r="P3915" s="11"/>
    </row>
    <row r="3916" spans="1:16" ht="12.75" x14ac:dyDescent="0.35">
      <c r="A3916" s="7">
        <v>42482.815428240741</v>
      </c>
      <c r="B3916" s="8" t="str">
        <f>HYPERLINK("https://twitter.com/DasIgno","@DasIgno")</f>
        <v>@DasIgno</v>
      </c>
      <c r="C3916" s="9" t="s">
        <v>8875</v>
      </c>
      <c r="D3916" s="9" t="s">
        <v>9316</v>
      </c>
      <c r="E3916" s="10" t="str">
        <f>HYPERLINK("https://twitter.com/DasIgno/status/723512736932630529","723512736932630529")</f>
        <v>723512736932630529</v>
      </c>
      <c r="F3916" s="11" t="s">
        <v>8877</v>
      </c>
      <c r="G3916" s="11">
        <v>114</v>
      </c>
      <c r="H3916" s="11">
        <v>92</v>
      </c>
      <c r="I3916" s="11">
        <v>0</v>
      </c>
      <c r="J3916" s="11">
        <v>0</v>
      </c>
      <c r="K3916" s="11" t="s">
        <v>21</v>
      </c>
      <c r="L3916" s="7">
        <v>39518.215983796297</v>
      </c>
      <c r="M3916" s="12" t="s">
        <v>8878</v>
      </c>
      <c r="N3916" s="12" t="s">
        <v>8879</v>
      </c>
      <c r="O3916" s="10" t="str">
        <f>HYPERLINK("https://pbs.twimg.com/profile_images/391507743/avatar-twitter_normal.jpg","View")</f>
        <v>View</v>
      </c>
      <c r="P3916" s="11"/>
    </row>
    <row r="3917" spans="1:16" ht="12.75" x14ac:dyDescent="0.35">
      <c r="A3917" s="7">
        <v>42482.815462962964</v>
      </c>
      <c r="B3917" s="8" t="str">
        <f t="shared" ref="B3917:B3918" si="350">HYPERLINK("https://twitter.com/beetlebug1938","@beetlebug1938")</f>
        <v>@beetlebug1938</v>
      </c>
      <c r="C3917" s="9" t="s">
        <v>66</v>
      </c>
      <c r="D3917" s="9" t="s">
        <v>9317</v>
      </c>
      <c r="E3917" s="10" t="str">
        <f>HYPERLINK("https://twitter.com/beetlebug1938/status/723512748940898306","723512748940898306")</f>
        <v>723512748940898306</v>
      </c>
      <c r="F3917" s="11" t="s">
        <v>68</v>
      </c>
      <c r="G3917" s="11">
        <v>351</v>
      </c>
      <c r="H3917" s="11">
        <v>2223</v>
      </c>
      <c r="I3917" s="11">
        <v>0</v>
      </c>
      <c r="J3917" s="11">
        <v>0</v>
      </c>
      <c r="K3917" s="11" t="s">
        <v>21</v>
      </c>
      <c r="L3917" s="7">
        <v>42469.863865740743</v>
      </c>
      <c r="M3917" s="12" t="s">
        <v>69</v>
      </c>
      <c r="N3917" s="12"/>
      <c r="O3917" s="10" t="str">
        <f t="shared" ref="O3917:O3918" si="351">HYPERLINK("https://pbs.twimg.com/profile_images/718820712757215233/LXXndPTS_normal.jpg","View")</f>
        <v>View</v>
      </c>
      <c r="P3917" s="11"/>
    </row>
    <row r="3918" spans="1:16" ht="12.75" x14ac:dyDescent="0.35">
      <c r="A3918" s="7">
        <v>42482.81549768518</v>
      </c>
      <c r="B3918" s="8" t="str">
        <f t="shared" si="350"/>
        <v>@beetlebug1938</v>
      </c>
      <c r="C3918" s="9" t="s">
        <v>66</v>
      </c>
      <c r="D3918" s="9" t="s">
        <v>9318</v>
      </c>
      <c r="E3918" s="10" t="str">
        <f>HYPERLINK("https://twitter.com/beetlebug1938/status/723512764455591938","723512764455591938")</f>
        <v>723512764455591938</v>
      </c>
      <c r="F3918" s="11" t="s">
        <v>68</v>
      </c>
      <c r="G3918" s="11">
        <v>351</v>
      </c>
      <c r="H3918" s="11">
        <v>2223</v>
      </c>
      <c r="I3918" s="11">
        <v>0</v>
      </c>
      <c r="J3918" s="11">
        <v>0</v>
      </c>
      <c r="K3918" s="11" t="s">
        <v>21</v>
      </c>
      <c r="L3918" s="7">
        <v>42469.863865740743</v>
      </c>
      <c r="M3918" s="12" t="s">
        <v>69</v>
      </c>
      <c r="N3918" s="12"/>
      <c r="O3918" s="10" t="str">
        <f t="shared" si="351"/>
        <v>View</v>
      </c>
      <c r="P3918" s="11"/>
    </row>
    <row r="3919" spans="1:16" ht="12.75" x14ac:dyDescent="0.35">
      <c r="A3919" s="7">
        <v>42482.815613425926</v>
      </c>
      <c r="B3919" s="8" t="str">
        <f>HYPERLINK("https://twitter.com/Jeckyll_Havok","@Jeckyll_Havok")</f>
        <v>@Jeckyll_Havok</v>
      </c>
      <c r="C3919" s="9" t="s">
        <v>9319</v>
      </c>
      <c r="D3919" s="9" t="s">
        <v>9320</v>
      </c>
      <c r="E3919" s="10" t="str">
        <f>HYPERLINK("https://twitter.com/Jeckyll_Havok/status/723512805773705216","723512805773705216")</f>
        <v>723512805773705216</v>
      </c>
      <c r="F3919" s="11" t="s">
        <v>43</v>
      </c>
      <c r="G3919" s="11">
        <v>14</v>
      </c>
      <c r="H3919" s="11">
        <v>57</v>
      </c>
      <c r="I3919" s="11">
        <v>0</v>
      </c>
      <c r="J3919" s="11">
        <v>0</v>
      </c>
      <c r="K3919" s="11" t="s">
        <v>21</v>
      </c>
      <c r="L3919" s="7">
        <v>41586.638287037036</v>
      </c>
      <c r="M3919" s="12"/>
      <c r="N3919" s="12"/>
      <c r="O3919" s="10" t="str">
        <f>HYPERLINK("https://pbs.twimg.com/profile_images/378800000710740517/1000cb6389261c0c59042a37668a6ccf_normal.jpeg","View")</f>
        <v>View</v>
      </c>
      <c r="P3919" s="11"/>
    </row>
    <row r="3920" spans="1:16" ht="12.75" x14ac:dyDescent="0.35">
      <c r="A3920" s="7">
        <v>42482.815972222219</v>
      </c>
      <c r="B3920" s="8" t="str">
        <f>HYPERLINK("https://twitter.com/azystone","@azystone")</f>
        <v>@azystone</v>
      </c>
      <c r="C3920" s="9" t="s">
        <v>9321</v>
      </c>
      <c r="D3920" s="9" t="s">
        <v>9023</v>
      </c>
      <c r="E3920" s="10" t="str">
        <f>HYPERLINK("https://twitter.com/azystone/status/723512935910240256","723512935910240256")</f>
        <v>723512935910240256</v>
      </c>
      <c r="F3920" s="11" t="s">
        <v>48</v>
      </c>
      <c r="G3920" s="11">
        <v>256</v>
      </c>
      <c r="H3920" s="11">
        <v>37</v>
      </c>
      <c r="I3920" s="11">
        <v>12</v>
      </c>
      <c r="J3920" s="11">
        <v>0</v>
      </c>
      <c r="K3920" s="11" t="s">
        <v>21</v>
      </c>
      <c r="L3920" s="7">
        <v>41873.548935185187</v>
      </c>
      <c r="M3920" s="12" t="s">
        <v>934</v>
      </c>
      <c r="N3920" s="12" t="s">
        <v>9322</v>
      </c>
      <c r="O3920" s="10" t="str">
        <f>HYPERLINK("https://pbs.twimg.com/profile_images/719429808501891072/KxQat7so_normal.jpg","View")</f>
        <v>View</v>
      </c>
      <c r="P3920" s="11"/>
    </row>
    <row r="3921" spans="1:16" ht="12.75" x14ac:dyDescent="0.35">
      <c r="A3921" s="7">
        <v>42482.816412037035</v>
      </c>
      <c r="B3921" s="8" t="str">
        <f>HYPERLINK("https://twitter.com/franke_media","@franke_media")</f>
        <v>@franke_media</v>
      </c>
      <c r="C3921" s="8" t="s">
        <v>8715</v>
      </c>
      <c r="D3921" s="9" t="s">
        <v>9323</v>
      </c>
      <c r="E3921" s="10" t="str">
        <f>HYPERLINK("https://twitter.com/franke_media/status/723513095390375936","723513095390375936")</f>
        <v>723513095390375936</v>
      </c>
      <c r="F3921" s="11" t="s">
        <v>63</v>
      </c>
      <c r="G3921" s="11">
        <v>8484</v>
      </c>
      <c r="H3921" s="11">
        <v>4335</v>
      </c>
      <c r="I3921" s="11">
        <v>1</v>
      </c>
      <c r="J3921" s="11">
        <v>1</v>
      </c>
      <c r="K3921" s="11" t="s">
        <v>21</v>
      </c>
      <c r="L3921" s="7">
        <v>40109.548993055556</v>
      </c>
      <c r="M3921" s="12" t="s">
        <v>1116</v>
      </c>
      <c r="N3921" s="12" t="s">
        <v>8717</v>
      </c>
      <c r="O3921" s="10" t="str">
        <f>HYPERLINK("https://pbs.twimg.com/profile_images/431047003091398657/VwNnWrzp_normal.jpeg","View")</f>
        <v>View</v>
      </c>
      <c r="P3921" s="11"/>
    </row>
    <row r="3922" spans="1:16" ht="12.75" x14ac:dyDescent="0.35">
      <c r="A3922" s="7">
        <v>42482.816678240742</v>
      </c>
      <c r="B3922" s="8" t="str">
        <f>HYPERLINK("https://twitter.com/likedeeler3","@likedeeler3")</f>
        <v>@likedeeler3</v>
      </c>
      <c r="C3922" s="9" t="s">
        <v>9324</v>
      </c>
      <c r="D3922" s="9" t="s">
        <v>9325</v>
      </c>
      <c r="E3922" s="10" t="str">
        <f>HYPERLINK("https://twitter.com/likedeeler3/status/723513190383005697","723513190383005697")</f>
        <v>723513190383005697</v>
      </c>
      <c r="F3922" s="11" t="s">
        <v>63</v>
      </c>
      <c r="G3922" s="11">
        <v>380</v>
      </c>
      <c r="H3922" s="11">
        <v>269</v>
      </c>
      <c r="I3922" s="11">
        <v>0</v>
      </c>
      <c r="J3922" s="11">
        <v>1</v>
      </c>
      <c r="K3922" s="11" t="s">
        <v>21</v>
      </c>
      <c r="L3922" s="7">
        <v>41671.763495370367</v>
      </c>
      <c r="M3922" s="12"/>
      <c r="N3922" s="12" t="s">
        <v>9326</v>
      </c>
      <c r="O3922" s="10" t="str">
        <f>HYPERLINK("https://pbs.twimg.com/profile_images/554364381845135360/7BZNC16b_normal.jpeg","View")</f>
        <v>View</v>
      </c>
      <c r="P3922" s="11"/>
    </row>
    <row r="3923" spans="1:16" ht="12.75" x14ac:dyDescent="0.35">
      <c r="A3923" s="7">
        <v>42482.816678240742</v>
      </c>
      <c r="B3923" s="8" t="str">
        <f>HYPERLINK("https://twitter.com/PaulMIllerVW","@PaulMIllerVW")</f>
        <v>@PaulMIllerVW</v>
      </c>
      <c r="C3923" s="9" t="s">
        <v>9327</v>
      </c>
      <c r="D3923" s="9" t="s">
        <v>9328</v>
      </c>
      <c r="E3923" s="10" t="str">
        <f>HYPERLINK("https://twitter.com/PaulMIllerVW/status/723513190647107584","723513190647107584")</f>
        <v>723513190647107584</v>
      </c>
      <c r="F3923" s="11" t="s">
        <v>140</v>
      </c>
      <c r="G3923" s="11">
        <v>1552</v>
      </c>
      <c r="H3923" s="11">
        <v>2994</v>
      </c>
      <c r="I3923" s="11">
        <v>0</v>
      </c>
      <c r="J3923" s="11">
        <v>0</v>
      </c>
      <c r="K3923" s="11" t="s">
        <v>21</v>
      </c>
      <c r="L3923" s="7">
        <v>41395.856944444444</v>
      </c>
      <c r="M3923" s="12" t="s">
        <v>9329</v>
      </c>
      <c r="N3923" s="12" t="s">
        <v>9330</v>
      </c>
      <c r="O3923" s="10" t="str">
        <f>HYPERLINK("https://pbs.twimg.com/profile_images/606538524934807552/brKPBufq_normal.jpg","View")</f>
        <v>View</v>
      </c>
      <c r="P3923" s="11"/>
    </row>
    <row r="3924" spans="1:16" ht="12.75" x14ac:dyDescent="0.35">
      <c r="A3924" s="7">
        <v>42482.816898148143</v>
      </c>
      <c r="B3924" s="8" t="str">
        <f>HYPERLINK("https://twitter.com/ChristophNoack","@ChristophNoack")</f>
        <v>@ChristophNoack</v>
      </c>
      <c r="C3924" s="9" t="s">
        <v>5043</v>
      </c>
      <c r="D3924" s="9" t="s">
        <v>9331</v>
      </c>
      <c r="E3924" s="10" t="str">
        <f>HYPERLINK("https://twitter.com/ChristophNoack/status/723513271542796289","723513271542796289")</f>
        <v>723513271542796289</v>
      </c>
      <c r="F3924" s="11" t="s">
        <v>43</v>
      </c>
      <c r="G3924" s="11">
        <v>392</v>
      </c>
      <c r="H3924" s="11">
        <v>530</v>
      </c>
      <c r="I3924" s="11">
        <v>0</v>
      </c>
      <c r="J3924" s="11">
        <v>2</v>
      </c>
      <c r="K3924" s="11" t="s">
        <v>21</v>
      </c>
      <c r="L3924" s="7">
        <v>41543.323819444442</v>
      </c>
      <c r="M3924" s="12" t="s">
        <v>5045</v>
      </c>
      <c r="N3924" s="12" t="s">
        <v>5046</v>
      </c>
      <c r="O3924" s="10" t="str">
        <f>HYPERLINK("https://pbs.twimg.com/profile_images/614230691044265984/Wocs5ZQz_normal.jpg","View")</f>
        <v>View</v>
      </c>
      <c r="P3924" s="11"/>
    </row>
    <row r="3925" spans="1:16" ht="12.75" x14ac:dyDescent="0.35">
      <c r="A3925" s="7">
        <v>42482.817245370374</v>
      </c>
      <c r="B3925" s="8" t="str">
        <f>HYPERLINK("https://twitter.com/Sk4tz","@Sk4tz")</f>
        <v>@Sk4tz</v>
      </c>
      <c r="C3925" s="9" t="s">
        <v>9332</v>
      </c>
      <c r="D3925" s="9" t="s">
        <v>9333</v>
      </c>
      <c r="E3925" s="10" t="str">
        <f>HYPERLINK("https://twitter.com/Sk4tz/status/723513396642078720","723513396642078720")</f>
        <v>723513396642078720</v>
      </c>
      <c r="F3925" s="11" t="s">
        <v>160</v>
      </c>
      <c r="G3925" s="11">
        <v>836</v>
      </c>
      <c r="H3925" s="11">
        <v>281</v>
      </c>
      <c r="I3925" s="11">
        <v>0</v>
      </c>
      <c r="J3925" s="11">
        <v>0</v>
      </c>
      <c r="K3925" s="11" t="s">
        <v>21</v>
      </c>
      <c r="L3925" s="7">
        <v>39554.916689814811</v>
      </c>
      <c r="M3925" s="12" t="s">
        <v>953</v>
      </c>
      <c r="N3925" s="12" t="s">
        <v>9334</v>
      </c>
      <c r="O3925" s="10" t="str">
        <f>HYPERLINK("https://pbs.twimg.com/profile_images/685389507626156032/BXeh3TNv_normal.png","View")</f>
        <v>View</v>
      </c>
      <c r="P3925" s="11"/>
    </row>
    <row r="3926" spans="1:16" ht="12.75" x14ac:dyDescent="0.35">
      <c r="A3926" s="7">
        <v>42482.817372685182</v>
      </c>
      <c r="B3926" s="8" t="str">
        <f>HYPERLINK("https://twitter.com/TaronPuri","@TaronPuri")</f>
        <v>@TaronPuri</v>
      </c>
      <c r="C3926" s="9" t="s">
        <v>9335</v>
      </c>
      <c r="D3926" s="9" t="s">
        <v>9336</v>
      </c>
      <c r="E3926" s="10" t="str">
        <f>HYPERLINK("https://twitter.com/TaronPuri/status/723513443454738432","723513443454738432")</f>
        <v>723513443454738432</v>
      </c>
      <c r="F3926" s="11" t="s">
        <v>53</v>
      </c>
      <c r="G3926" s="11">
        <v>23</v>
      </c>
      <c r="H3926" s="11">
        <v>28</v>
      </c>
      <c r="I3926" s="11">
        <v>0</v>
      </c>
      <c r="J3926" s="11">
        <v>0</v>
      </c>
      <c r="K3926" s="11" t="s">
        <v>21</v>
      </c>
      <c r="L3926" s="7">
        <v>41625.109074074076</v>
      </c>
      <c r="M3926" s="12" t="s">
        <v>59</v>
      </c>
      <c r="N3926" s="12"/>
      <c r="O3926" s="10" t="str">
        <f>HYPERLINK("https://pbs.twimg.com/profile_images/412695382473183232/8AYqYk5z_normal.jpeg","View")</f>
        <v>View</v>
      </c>
      <c r="P3926" s="11"/>
    </row>
    <row r="3927" spans="1:16" ht="12.75" x14ac:dyDescent="0.35">
      <c r="A3927" s="7">
        <v>42482.817395833335</v>
      </c>
      <c r="B3927" s="8" t="str">
        <f>HYPERLINK("https://twitter.com/gauer99","@gauer99")</f>
        <v>@gauer99</v>
      </c>
      <c r="C3927" s="9" t="s">
        <v>9337</v>
      </c>
      <c r="D3927" s="9" t="s">
        <v>9338</v>
      </c>
      <c r="E3927" s="10" t="str">
        <f>HYPERLINK("https://twitter.com/gauer99/status/723513451977564167","723513451977564167")</f>
        <v>723513451977564167</v>
      </c>
      <c r="F3927" s="11" t="s">
        <v>48</v>
      </c>
      <c r="G3927" s="11">
        <v>117</v>
      </c>
      <c r="H3927" s="11">
        <v>223</v>
      </c>
      <c r="I3927" s="11">
        <v>0</v>
      </c>
      <c r="J3927" s="11">
        <v>0</v>
      </c>
      <c r="K3927" s="11" t="s">
        <v>21</v>
      </c>
      <c r="L3927" s="7">
        <v>42126.545995370368</v>
      </c>
      <c r="M3927" s="12" t="s">
        <v>7806</v>
      </c>
      <c r="N3927" s="12" t="s">
        <v>9339</v>
      </c>
      <c r="O3927" s="10" t="str">
        <f>HYPERLINK("https://pbs.twimg.com/profile_images/684312563727908865/TLV-o3V0_normal.jpg","View")</f>
        <v>View</v>
      </c>
      <c r="P3927" s="11"/>
    </row>
    <row r="3928" spans="1:16" ht="12.75" x14ac:dyDescent="0.35">
      <c r="A3928" s="7">
        <v>42482.817453703705</v>
      </c>
      <c r="B3928" s="8" t="str">
        <f>HYPERLINK("https://twitter.com/instock_de","@instock_de")</f>
        <v>@instock_de</v>
      </c>
      <c r="C3928" s="8" t="s">
        <v>1723</v>
      </c>
      <c r="D3928" s="9" t="s">
        <v>9340</v>
      </c>
      <c r="E3928" s="10" t="str">
        <f>HYPERLINK("https://twitter.com/instock_de/status/723513469543264256","723513469543264256")</f>
        <v>723513469543264256</v>
      </c>
      <c r="F3928" s="11" t="s">
        <v>43</v>
      </c>
      <c r="G3928" s="11">
        <v>155</v>
      </c>
      <c r="H3928" s="11">
        <v>82</v>
      </c>
      <c r="I3928" s="11">
        <v>0</v>
      </c>
      <c r="J3928" s="11">
        <v>0</v>
      </c>
      <c r="K3928" s="11" t="s">
        <v>21</v>
      </c>
      <c r="L3928" s="7">
        <v>40441.683877314819</v>
      </c>
      <c r="M3928" s="12" t="s">
        <v>1725</v>
      </c>
      <c r="N3928" s="12" t="s">
        <v>1726</v>
      </c>
      <c r="O3928" s="10" t="str">
        <f>HYPERLINK("https://pbs.twimg.com/profile_images/1200648485/instock_normal.jpg","View")</f>
        <v>View</v>
      </c>
      <c r="P3928" s="11"/>
    </row>
    <row r="3929" spans="1:16" ht="12.75" x14ac:dyDescent="0.35">
      <c r="A3929" s="7">
        <v>42482.817476851851</v>
      </c>
      <c r="B3929" s="8" t="str">
        <f>HYPERLINK("https://twitter.com/MarkCSchneider","@MarkCSchneider")</f>
        <v>@MarkCSchneider</v>
      </c>
      <c r="C3929" s="9" t="s">
        <v>952</v>
      </c>
      <c r="D3929" s="9" t="s">
        <v>9341</v>
      </c>
      <c r="E3929" s="10" t="str">
        <f>HYPERLINK("https://twitter.com/MarkCSchneider/status/723513481308344320","723513481308344320")</f>
        <v>723513481308344320</v>
      </c>
      <c r="F3929" s="11" t="s">
        <v>20</v>
      </c>
      <c r="G3929" s="11">
        <v>370</v>
      </c>
      <c r="H3929" s="11">
        <v>336</v>
      </c>
      <c r="I3929" s="11">
        <v>0</v>
      </c>
      <c r="J3929" s="11">
        <v>0</v>
      </c>
      <c r="K3929" s="11" t="s">
        <v>21</v>
      </c>
      <c r="L3929" s="7">
        <v>41495.558136574073</v>
      </c>
      <c r="M3929" s="12" t="s">
        <v>953</v>
      </c>
      <c r="N3929" s="12"/>
      <c r="O3929" s="10" t="str">
        <f>HYPERLINK("https://pbs.twimg.com/profile_images/706784695795769345/XGXgdjww_normal.jpg","View")</f>
        <v>View</v>
      </c>
      <c r="P3929" s="11"/>
    </row>
    <row r="3930" spans="1:16" ht="12.75" x14ac:dyDescent="0.35">
      <c r="A3930" s="7">
        <v>42482.817662037036</v>
      </c>
      <c r="B3930" s="8" t="str">
        <f>HYPERLINK("https://twitter.com/NDRreporter","@NDRreporter")</f>
        <v>@NDRreporter</v>
      </c>
      <c r="C3930" s="9" t="s">
        <v>1660</v>
      </c>
      <c r="D3930" s="9" t="s">
        <v>9342</v>
      </c>
      <c r="E3930" s="10" t="str">
        <f>HYPERLINK("https://twitter.com/NDRreporter/status/723513548874362880","723513548874362880")</f>
        <v>723513548874362880</v>
      </c>
      <c r="F3930" s="11" t="s">
        <v>43</v>
      </c>
      <c r="G3930" s="11">
        <v>11489</v>
      </c>
      <c r="H3930" s="11">
        <v>299</v>
      </c>
      <c r="I3930" s="11">
        <v>0</v>
      </c>
      <c r="J3930" s="11">
        <v>0</v>
      </c>
      <c r="K3930" s="11" t="s">
        <v>21</v>
      </c>
      <c r="L3930" s="7">
        <v>41386.591909722221</v>
      </c>
      <c r="M3930" s="12" t="s">
        <v>953</v>
      </c>
      <c r="N3930" s="12" t="s">
        <v>1662</v>
      </c>
      <c r="O3930" s="10" t="str">
        <f>HYPERLINK("https://pbs.twimg.com/profile_images/466908605317279744/I5a712BQ_normal.jpeg","View")</f>
        <v>View</v>
      </c>
      <c r="P3930" s="11"/>
    </row>
    <row r="3931" spans="1:16" ht="12.75" x14ac:dyDescent="0.35">
      <c r="A3931" s="7">
        <v>42482.817719907413</v>
      </c>
      <c r="B3931" s="8" t="str">
        <f>HYPERLINK("https://twitter.com/BostonGlobe","@BostonGlobe")</f>
        <v>@BostonGlobe</v>
      </c>
      <c r="C3931" s="9" t="s">
        <v>9343</v>
      </c>
      <c r="D3931" s="9" t="s">
        <v>9344</v>
      </c>
      <c r="E3931" s="10" t="str">
        <f>HYPERLINK("https://twitter.com/BostonGlobe/status/723513568948281344","723513568948281344")</f>
        <v>723513568948281344</v>
      </c>
      <c r="F3931" s="11" t="s">
        <v>1665</v>
      </c>
      <c r="G3931" s="11">
        <v>466728</v>
      </c>
      <c r="H3931" s="11">
        <v>1222</v>
      </c>
      <c r="I3931" s="11">
        <v>2</v>
      </c>
      <c r="J3931" s="11">
        <v>0</v>
      </c>
      <c r="K3931" s="11" t="s">
        <v>21</v>
      </c>
      <c r="L3931" s="7">
        <v>40155.835856481484</v>
      </c>
      <c r="M3931" s="12" t="s">
        <v>2378</v>
      </c>
      <c r="N3931" s="12" t="s">
        <v>9345</v>
      </c>
      <c r="O3931" s="10" t="str">
        <f>HYPERLINK("https://pbs.twimg.com/profile_images/586570157734019072/Qxz1LIIM_normal.png","View")</f>
        <v>View</v>
      </c>
      <c r="P3931" s="11"/>
    </row>
    <row r="3932" spans="1:16" ht="12.75" x14ac:dyDescent="0.35">
      <c r="A3932" s="7">
        <v>42482.817974537036</v>
      </c>
      <c r="B3932" s="8" t="str">
        <f>HYPERLINK("https://twitter.com/BR24","@BR24")</f>
        <v>@BR24</v>
      </c>
      <c r="C3932" s="9" t="s">
        <v>9346</v>
      </c>
      <c r="D3932" s="9" t="s">
        <v>9347</v>
      </c>
      <c r="E3932" s="10" t="str">
        <f>HYPERLINK("https://twitter.com/BR24/status/723513660166017024","723513660166017024")</f>
        <v>723513660166017024</v>
      </c>
      <c r="F3932" s="11" t="s">
        <v>43</v>
      </c>
      <c r="G3932" s="11">
        <v>13868</v>
      </c>
      <c r="H3932" s="11">
        <v>904</v>
      </c>
      <c r="I3932" s="11">
        <v>0</v>
      </c>
      <c r="J3932" s="11">
        <v>0</v>
      </c>
      <c r="K3932" s="11" t="s">
        <v>21</v>
      </c>
      <c r="L3932" s="7">
        <v>40134.254861111112</v>
      </c>
      <c r="M3932" s="12"/>
      <c r="N3932" s="12" t="s">
        <v>9348</v>
      </c>
      <c r="O3932" s="10" t="str">
        <f>HYPERLINK("https://pbs.twimg.com/profile_images/719417054240108544/teV1mM6A_normal.jpg","View")</f>
        <v>View</v>
      </c>
      <c r="P3932" s="11"/>
    </row>
    <row r="3933" spans="1:16" ht="12.75" x14ac:dyDescent="0.35">
      <c r="A3933" s="7">
        <v>42482.818032407406</v>
      </c>
      <c r="B3933" s="8" t="str">
        <f>HYPERLINK("https://twitter.com/aktuelle_stunde","@aktuelle_stunde")</f>
        <v>@aktuelle_stunde</v>
      </c>
      <c r="C3933" s="9" t="s">
        <v>3261</v>
      </c>
      <c r="D3933" s="9" t="s">
        <v>9349</v>
      </c>
      <c r="E3933" s="10" t="str">
        <f>HYPERLINK("https://twitter.com/aktuelle_stunde/status/723513680709750784","723513680709750784")</f>
        <v>723513680709750784</v>
      </c>
      <c r="F3933" s="11" t="s">
        <v>43</v>
      </c>
      <c r="G3933" s="11">
        <v>32533</v>
      </c>
      <c r="H3933" s="11">
        <v>262</v>
      </c>
      <c r="I3933" s="11">
        <v>0</v>
      </c>
      <c r="J3933" s="11">
        <v>1</v>
      </c>
      <c r="K3933" s="11" t="s">
        <v>21</v>
      </c>
      <c r="L3933" s="7">
        <v>40914.826516203706</v>
      </c>
      <c r="M3933" s="12" t="s">
        <v>975</v>
      </c>
      <c r="N3933" s="12" t="s">
        <v>3263</v>
      </c>
      <c r="O3933" s="10" t="str">
        <f>HYPERLINK("https://pbs.twimg.com/profile_images/488939589520740353/HVTIWICi_normal.jpeg","View")</f>
        <v>View</v>
      </c>
      <c r="P3933" s="11"/>
    </row>
    <row r="3934" spans="1:16" ht="12.75" x14ac:dyDescent="0.35">
      <c r="A3934" s="7">
        <v>42482.818043981482</v>
      </c>
      <c r="B3934" s="8" t="str">
        <f>HYPERLINK("https://twitter.com/Michel63500","@Michel63500")</f>
        <v>@Michel63500</v>
      </c>
      <c r="C3934" s="9" t="s">
        <v>9350</v>
      </c>
      <c r="D3934" s="9" t="s">
        <v>9351</v>
      </c>
      <c r="E3934" s="10" t="str">
        <f>HYPERLINK("https://twitter.com/Michel63500/status/723513686082621441","723513686082621441")</f>
        <v>723513686082621441</v>
      </c>
      <c r="F3934" s="11" t="s">
        <v>91</v>
      </c>
      <c r="G3934" s="11">
        <v>0</v>
      </c>
      <c r="H3934" s="11">
        <v>9</v>
      </c>
      <c r="I3934" s="11">
        <v>0</v>
      </c>
      <c r="J3934" s="11">
        <v>0</v>
      </c>
      <c r="K3934" s="11" t="s">
        <v>21</v>
      </c>
      <c r="L3934" s="7">
        <v>39989.991678240738</v>
      </c>
      <c r="M3934" s="12" t="s">
        <v>9352</v>
      </c>
      <c r="N3934" s="12"/>
      <c r="O3934" s="10" t="str">
        <f>HYPERLINK("https://pbs.twimg.com/profile_images/1633360456/image_normal.jpg","View")</f>
        <v>View</v>
      </c>
      <c r="P3934" s="11"/>
    </row>
    <row r="3935" spans="1:16" ht="12.75" x14ac:dyDescent="0.35">
      <c r="A3935" s="7">
        <v>42482.818055555559</v>
      </c>
      <c r="B3935" s="8" t="str">
        <f>HYPERLINK("https://twitter.com/RGtzl","@RGtzl")</f>
        <v>@RGtzl</v>
      </c>
      <c r="C3935" s="9" t="s">
        <v>9353</v>
      </c>
      <c r="D3935" s="9" t="s">
        <v>9354</v>
      </c>
      <c r="E3935" s="10" t="str">
        <f>HYPERLINK("https://twitter.com/RGtzl/status/723513691522641920","723513691522641920")</f>
        <v>723513691522641920</v>
      </c>
      <c r="F3935" s="11" t="s">
        <v>48</v>
      </c>
      <c r="G3935" s="11">
        <v>76</v>
      </c>
      <c r="H3935" s="11">
        <v>214</v>
      </c>
      <c r="I3935" s="11">
        <v>1</v>
      </c>
      <c r="J3935" s="11">
        <v>0</v>
      </c>
      <c r="K3935" s="11" t="s">
        <v>21</v>
      </c>
      <c r="L3935" s="7">
        <v>41166.916145833333</v>
      </c>
      <c r="M3935" s="12"/>
      <c r="N3935" s="12"/>
      <c r="O3935" s="10" t="str">
        <f>HYPERLINK("https://pbs.twimg.com/profile_images/2610471396/image_normal.jpg","View")</f>
        <v>View</v>
      </c>
      <c r="P3935" s="11"/>
    </row>
    <row r="3936" spans="1:16" ht="12.75" x14ac:dyDescent="0.35">
      <c r="A3936" s="7">
        <v>42482.818460648152</v>
      </c>
      <c r="B3936" s="8" t="str">
        <f>HYPERLINK("https://twitter.com/SteffenSoeffner","@SteffenSoeffner")</f>
        <v>@SteffenSoeffner</v>
      </c>
      <c r="C3936" s="9" t="s">
        <v>9355</v>
      </c>
      <c r="D3936" s="9" t="s">
        <v>9356</v>
      </c>
      <c r="E3936" s="10" t="str">
        <f>HYPERLINK("https://twitter.com/SteffenSoeffner/status/723513835706048513","723513835706048513")</f>
        <v>723513835706048513</v>
      </c>
      <c r="F3936" s="11" t="s">
        <v>160</v>
      </c>
      <c r="G3936" s="11">
        <v>146</v>
      </c>
      <c r="H3936" s="11">
        <v>423</v>
      </c>
      <c r="I3936" s="11">
        <v>0</v>
      </c>
      <c r="J3936" s="11">
        <v>0</v>
      </c>
      <c r="K3936" s="11" t="s">
        <v>21</v>
      </c>
      <c r="L3936" s="7">
        <v>41514.142511574071</v>
      </c>
      <c r="M3936" s="12" t="s">
        <v>9357</v>
      </c>
      <c r="N3936" s="12" t="s">
        <v>9358</v>
      </c>
      <c r="O3936" s="10" t="str">
        <f>HYPERLINK("https://pbs.twimg.com/profile_images/477551916743143424/ahOuxldj_normal.jpeg","View")</f>
        <v>View</v>
      </c>
      <c r="P3936" s="11"/>
    </row>
    <row r="3937" spans="1:16" ht="12.75" x14ac:dyDescent="0.35">
      <c r="A3937" s="7">
        <v>42482.818460648152</v>
      </c>
      <c r="B3937" s="8" t="str">
        <f>HYPERLINK("https://twitter.com/Der_Oberhauser","@Der_Oberhauser")</f>
        <v>@Der_Oberhauser</v>
      </c>
      <c r="C3937" s="9" t="s">
        <v>9359</v>
      </c>
      <c r="D3937" s="9" t="s">
        <v>9360</v>
      </c>
      <c r="E3937" s="10" t="str">
        <f>HYPERLINK("https://twitter.com/Der_Oberhauser/status/723513838016974849","723513838016974849")</f>
        <v>723513838016974849</v>
      </c>
      <c r="F3937" s="11" t="s">
        <v>1838</v>
      </c>
      <c r="G3937" s="11">
        <v>167</v>
      </c>
      <c r="H3937" s="11">
        <v>50</v>
      </c>
      <c r="I3937" s="11">
        <v>0</v>
      </c>
      <c r="J3937" s="11">
        <v>0</v>
      </c>
      <c r="K3937" s="11" t="s">
        <v>21</v>
      </c>
      <c r="L3937" s="7">
        <v>42227.827800925923</v>
      </c>
      <c r="M3937" s="12"/>
      <c r="N3937" s="12" t="s">
        <v>9361</v>
      </c>
      <c r="O3937" s="10" t="str">
        <f>HYPERLINK("https://pbs.twimg.com/profile_images/718484155055652864/AuUDmGKZ_normal.jpg","View")</f>
        <v>View</v>
      </c>
      <c r="P3937" s="11"/>
    </row>
    <row r="3938" spans="1:16" ht="12.75" x14ac:dyDescent="0.35">
      <c r="A3938" s="7">
        <v>42482.818668981483</v>
      </c>
      <c r="B3938" s="8" t="str">
        <f>HYPERLINK("https://twitter.com/studdershock","@studdershock")</f>
        <v>@studdershock</v>
      </c>
      <c r="C3938" s="9" t="s">
        <v>9362</v>
      </c>
      <c r="D3938" s="9" t="s">
        <v>9363</v>
      </c>
      <c r="E3938" s="10" t="str">
        <f>HYPERLINK("https://twitter.com/studdershock/status/723513911165767684","723513911165767684")</f>
        <v>723513911165767684</v>
      </c>
      <c r="F3938" s="11" t="s">
        <v>48</v>
      </c>
      <c r="G3938" s="11">
        <v>4320</v>
      </c>
      <c r="H3938" s="11">
        <v>1336</v>
      </c>
      <c r="I3938" s="11">
        <v>0</v>
      </c>
      <c r="J3938" s="11">
        <v>0</v>
      </c>
      <c r="K3938" s="11" t="s">
        <v>21</v>
      </c>
      <c r="L3938" s="7">
        <v>41085.864016203705</v>
      </c>
      <c r="M3938" s="12"/>
      <c r="N3938" s="12" t="s">
        <v>9364</v>
      </c>
      <c r="O3938" s="10" t="str">
        <f>HYPERLINK("https://pbs.twimg.com/profile_images/713679288302759936/v9XpL7o8_normal.jpg","View")</f>
        <v>View</v>
      </c>
      <c r="P3938" s="11"/>
    </row>
    <row r="3939" spans="1:16" ht="12.75" x14ac:dyDescent="0.35">
      <c r="A3939" s="7">
        <v>42482.818819444445</v>
      </c>
      <c r="B3939" s="8" t="str">
        <f>HYPERLINK("https://twitter.com/VWBeetleSales","@VWBeetleSales")</f>
        <v>@VWBeetleSales</v>
      </c>
      <c r="C3939" s="9" t="s">
        <v>127</v>
      </c>
      <c r="D3939" s="9" t="s">
        <v>9365</v>
      </c>
      <c r="E3939" s="10" t="str">
        <f>HYPERLINK("https://twitter.com/VWBeetleSales/status/723513964492034048","723513964492034048")</f>
        <v>723513964492034048</v>
      </c>
      <c r="F3939" s="10" t="s">
        <v>124</v>
      </c>
      <c r="G3939" s="11">
        <v>36</v>
      </c>
      <c r="H3939" s="11">
        <v>32</v>
      </c>
      <c r="I3939" s="11">
        <v>0</v>
      </c>
      <c r="J3939" s="11">
        <v>0</v>
      </c>
      <c r="K3939" s="11" t="s">
        <v>21</v>
      </c>
      <c r="L3939" s="7">
        <v>42427.019756944443</v>
      </c>
      <c r="M3939" s="12" t="s">
        <v>129</v>
      </c>
      <c r="N3939" s="12" t="s">
        <v>130</v>
      </c>
      <c r="O3939" s="10" t="str">
        <f>HYPERLINK("https://pbs.twimg.com/profile_images/703294545195307008/qeCvrX86_normal.jpg","View")</f>
        <v>View</v>
      </c>
      <c r="P3939" s="11"/>
    </row>
    <row r="3940" spans="1:16" ht="12.75" x14ac:dyDescent="0.35">
      <c r="A3940" s="7">
        <v>42482.819120370375</v>
      </c>
      <c r="B3940" s="8" t="str">
        <f>HYPERLINK("https://twitter.com/Marmeladenheinz","@Marmeladenheinz")</f>
        <v>@Marmeladenheinz</v>
      </c>
      <c r="C3940" s="9" t="s">
        <v>9366</v>
      </c>
      <c r="D3940" s="9" t="s">
        <v>9367</v>
      </c>
      <c r="E3940" s="10" t="str">
        <f>HYPERLINK("https://twitter.com/Marmeladenheinz/status/723514077167890432","723514077167890432")</f>
        <v>723514077167890432</v>
      </c>
      <c r="F3940" s="11" t="s">
        <v>48</v>
      </c>
      <c r="G3940" s="11">
        <v>40</v>
      </c>
      <c r="H3940" s="11">
        <v>517</v>
      </c>
      <c r="I3940" s="11">
        <v>0</v>
      </c>
      <c r="J3940" s="11">
        <v>0</v>
      </c>
      <c r="K3940" s="11" t="s">
        <v>21</v>
      </c>
      <c r="L3940" s="7">
        <v>41950.943622685183</v>
      </c>
      <c r="M3940" s="12" t="s">
        <v>9368</v>
      </c>
      <c r="N3940" s="12" t="s">
        <v>9369</v>
      </c>
      <c r="O3940" s="10" t="str">
        <f>HYPERLINK("https://pbs.twimg.com/profile_images/688077323258753024/f8eMIOHU_normal.jpg","View")</f>
        <v>View</v>
      </c>
      <c r="P3940" s="11"/>
    </row>
    <row r="3941" spans="1:16" ht="12.75" x14ac:dyDescent="0.35">
      <c r="A3941" s="7">
        <v>42482.819456018522</v>
      </c>
      <c r="B3941" s="8" t="str">
        <f>HYPERLINK("https://twitter.com/OhSooSocial","@OhSooSocial")</f>
        <v>@OhSooSocial</v>
      </c>
      <c r="C3941" s="9" t="s">
        <v>9370</v>
      </c>
      <c r="D3941" s="9" t="s">
        <v>9371</v>
      </c>
      <c r="E3941" s="10" t="str">
        <f>HYPERLINK("https://twitter.com/OhSooSocial/status/723514198844706817","723514198844706817")</f>
        <v>723514198844706817</v>
      </c>
      <c r="F3941" s="11" t="s">
        <v>288</v>
      </c>
      <c r="G3941" s="11">
        <v>3780</v>
      </c>
      <c r="H3941" s="11">
        <v>3333</v>
      </c>
      <c r="I3941" s="11">
        <v>2</v>
      </c>
      <c r="J3941" s="11">
        <v>0</v>
      </c>
      <c r="K3941" s="11" t="s">
        <v>21</v>
      </c>
      <c r="L3941" s="7">
        <v>42286.445555555554</v>
      </c>
      <c r="M3941" s="12" t="s">
        <v>2378</v>
      </c>
      <c r="N3941" s="12" t="s">
        <v>9372</v>
      </c>
      <c r="O3941" s="10" t="str">
        <f>HYPERLINK("https://pbs.twimg.com/profile_images/660779745710227456/hexBAmFh_normal.jpg","View")</f>
        <v>View</v>
      </c>
      <c r="P3941" s="11"/>
    </row>
    <row r="3942" spans="1:16" ht="12.75" x14ac:dyDescent="0.35">
      <c r="A3942" s="7">
        <v>42482.819618055553</v>
      </c>
      <c r="B3942" s="8" t="str">
        <f>HYPERLINK("https://twitter.com/SteffenSoeffner","@SteffenSoeffner")</f>
        <v>@SteffenSoeffner</v>
      </c>
      <c r="C3942" s="9" t="s">
        <v>9355</v>
      </c>
      <c r="D3942" s="9" t="s">
        <v>9373</v>
      </c>
      <c r="E3942" s="10" t="str">
        <f>HYPERLINK("https://twitter.com/SteffenSoeffner/status/723514256788983808","723514256788983808")</f>
        <v>723514256788983808</v>
      </c>
      <c r="F3942" s="11" t="s">
        <v>160</v>
      </c>
      <c r="G3942" s="11">
        <v>146</v>
      </c>
      <c r="H3942" s="11">
        <v>423</v>
      </c>
      <c r="I3942" s="11">
        <v>0</v>
      </c>
      <c r="J3942" s="11">
        <v>0</v>
      </c>
      <c r="K3942" s="11" t="s">
        <v>21</v>
      </c>
      <c r="L3942" s="7">
        <v>41514.142511574071</v>
      </c>
      <c r="M3942" s="12" t="s">
        <v>9357</v>
      </c>
      <c r="N3942" s="12" t="s">
        <v>9358</v>
      </c>
      <c r="O3942" s="10" t="str">
        <f>HYPERLINK("https://pbs.twimg.com/profile_images/477551916743143424/ahOuxldj_normal.jpeg","View")</f>
        <v>View</v>
      </c>
      <c r="P3942" s="11"/>
    </row>
    <row r="3943" spans="1:16" ht="12.75" x14ac:dyDescent="0.35">
      <c r="A3943" s="7">
        <v>42482.820092592592</v>
      </c>
      <c r="B3943" s="8" t="str">
        <f>HYPERLINK("https://twitter.com/iMarcuso","@iMarcuso")</f>
        <v>@iMarcuso</v>
      </c>
      <c r="C3943" s="9" t="s">
        <v>9374</v>
      </c>
      <c r="D3943" s="9" t="s">
        <v>9375</v>
      </c>
      <c r="E3943" s="10" t="str">
        <f>HYPERLINK("https://twitter.com/iMarcuso/status/723514428067581952","723514428067581952")</f>
        <v>723514428067581952</v>
      </c>
      <c r="F3943" s="11" t="s">
        <v>20</v>
      </c>
      <c r="G3943" s="11">
        <v>1266</v>
      </c>
      <c r="H3943" s="11">
        <v>376</v>
      </c>
      <c r="I3943" s="11">
        <v>0</v>
      </c>
      <c r="J3943" s="11">
        <v>0</v>
      </c>
      <c r="K3943" s="11" t="s">
        <v>21</v>
      </c>
      <c r="L3943" s="7">
        <v>42398.986354166671</v>
      </c>
      <c r="M3943" s="12" t="s">
        <v>262</v>
      </c>
      <c r="N3943" s="12" t="s">
        <v>9376</v>
      </c>
      <c r="O3943" s="10" t="str">
        <f>HYPERLINK("https://pbs.twimg.com/profile_images/721042128042868737/dxCIslwj_normal.jpg","View")</f>
        <v>View</v>
      </c>
      <c r="P3943" s="11"/>
    </row>
    <row r="3944" spans="1:16" ht="12.75" x14ac:dyDescent="0.35">
      <c r="A3944" s="7">
        <v>42482.820219907408</v>
      </c>
      <c r="B3944" s="8" t="str">
        <f>HYPERLINK("https://twitter.com/Lebeaucarnews","@Lebeaucarnews")</f>
        <v>@Lebeaucarnews</v>
      </c>
      <c r="C3944" s="9" t="s">
        <v>3435</v>
      </c>
      <c r="D3944" s="9" t="s">
        <v>9377</v>
      </c>
      <c r="E3944" s="10" t="str">
        <f>HYPERLINK("https://twitter.com/Lebeaucarnews/status/723514474355916800","723514474355916800")</f>
        <v>723514474355916800</v>
      </c>
      <c r="F3944" s="11" t="s">
        <v>63</v>
      </c>
      <c r="G3944" s="11">
        <v>22730</v>
      </c>
      <c r="H3944" s="11">
        <v>1500</v>
      </c>
      <c r="I3944" s="11">
        <v>0</v>
      </c>
      <c r="J3944" s="11">
        <v>0</v>
      </c>
      <c r="K3944" s="11" t="s">
        <v>21</v>
      </c>
      <c r="L3944" s="7">
        <v>40058.861111111109</v>
      </c>
      <c r="M3944" s="12" t="s">
        <v>3437</v>
      </c>
      <c r="N3944" s="12" t="s">
        <v>3438</v>
      </c>
      <c r="O3944" s="10" t="str">
        <f>HYPERLINK("https://pbs.twimg.com/profile_images/1795205245/DSC04821_normal.jpg","View")</f>
        <v>View</v>
      </c>
      <c r="P3944" s="11"/>
    </row>
    <row r="3945" spans="1:16" ht="12.75" x14ac:dyDescent="0.35">
      <c r="A3945" s="7">
        <v>42482.820266203707</v>
      </c>
      <c r="B3945" s="8" t="str">
        <f>HYPERLINK("https://twitter.com/frau_junge","@frau_junge")</f>
        <v>@frau_junge</v>
      </c>
      <c r="C3945" s="9" t="s">
        <v>9378</v>
      </c>
      <c r="D3945" s="9" t="s">
        <v>9379</v>
      </c>
      <c r="E3945" s="10" t="str">
        <f>HYPERLINK("https://twitter.com/frau_junge/status/723514488754974720","723514488754974720")</f>
        <v>723514488754974720</v>
      </c>
      <c r="F3945" s="11" t="s">
        <v>43</v>
      </c>
      <c r="G3945" s="11">
        <v>83</v>
      </c>
      <c r="H3945" s="11">
        <v>102</v>
      </c>
      <c r="I3945" s="11">
        <v>0</v>
      </c>
      <c r="J3945" s="11">
        <v>0</v>
      </c>
      <c r="K3945" s="11" t="s">
        <v>21</v>
      </c>
      <c r="L3945" s="7">
        <v>41857.909131944441</v>
      </c>
      <c r="M3945" s="12" t="s">
        <v>953</v>
      </c>
      <c r="N3945" s="12" t="s">
        <v>9380</v>
      </c>
      <c r="O3945" s="10" t="str">
        <f>HYPERLINK("https://pbs.twimg.com/profile_images/686473748044754944/NshgOzit_normal.jpg","View")</f>
        <v>View</v>
      </c>
      <c r="P3945" s="11"/>
    </row>
    <row r="3946" spans="1:16" ht="12.75" x14ac:dyDescent="0.35">
      <c r="A3946" s="7">
        <v>42482.820416666669</v>
      </c>
      <c r="B3946" s="8" t="str">
        <f>HYPERLINK("https://twitter.com/_motte_","@_motte_")</f>
        <v>@_motte_</v>
      </c>
      <c r="C3946" s="9" t="s">
        <v>9381</v>
      </c>
      <c r="D3946" s="9" t="s">
        <v>9382</v>
      </c>
      <c r="E3946" s="10" t="str">
        <f>HYPERLINK("https://twitter.com/_motte_/status/723514544031686656","723514544031686656")</f>
        <v>723514544031686656</v>
      </c>
      <c r="F3946" s="11" t="s">
        <v>48</v>
      </c>
      <c r="G3946" s="11">
        <v>39</v>
      </c>
      <c r="H3946" s="11">
        <v>54</v>
      </c>
      <c r="I3946" s="11">
        <v>0</v>
      </c>
      <c r="J3946" s="11">
        <v>0</v>
      </c>
      <c r="K3946" s="11" t="s">
        <v>21</v>
      </c>
      <c r="L3946" s="7">
        <v>40087.006886574076</v>
      </c>
      <c r="M3946" s="12" t="s">
        <v>9383</v>
      </c>
      <c r="N3946" s="12" t="s">
        <v>9384</v>
      </c>
      <c r="O3946" s="10" t="str">
        <f>HYPERLINK("https://pbs.twimg.com/profile_images/697857463048105985/cKsPEyN7_normal.jpg","View")</f>
        <v>View</v>
      </c>
      <c r="P3946" s="11"/>
    </row>
    <row r="3947" spans="1:16" ht="12.75" x14ac:dyDescent="0.35">
      <c r="A3947" s="7">
        <v>42482.820509259254</v>
      </c>
      <c r="B3947" s="8" t="str">
        <f>HYPERLINK("https://twitter.com/notvwcnada","@notvwcnada")</f>
        <v>@notvwcnada</v>
      </c>
      <c r="C3947" s="9" t="s">
        <v>9385</v>
      </c>
      <c r="D3947" s="9" t="s">
        <v>9386</v>
      </c>
      <c r="E3947" s="10" t="str">
        <f>HYPERLINK("https://twitter.com/notvwcnada/status/723514577623752704","723514577623752704")</f>
        <v>723514577623752704</v>
      </c>
      <c r="F3947" s="11" t="s">
        <v>20</v>
      </c>
      <c r="G3947" s="11">
        <v>12</v>
      </c>
      <c r="H3947" s="11">
        <v>95</v>
      </c>
      <c r="I3947" s="11">
        <v>0</v>
      </c>
      <c r="J3947" s="11">
        <v>0</v>
      </c>
      <c r="K3947" s="11" t="s">
        <v>21</v>
      </c>
      <c r="L3947" s="7">
        <v>42347.761018518519</v>
      </c>
      <c r="M3947" s="12" t="s">
        <v>148</v>
      </c>
      <c r="N3947" s="12" t="s">
        <v>9387</v>
      </c>
      <c r="O3947" s="10" t="str">
        <f>HYPERLINK("https://pbs.twimg.com/profile_images/674571656635879424/H_n51PWF_normal.jpg","View")</f>
        <v>View</v>
      </c>
      <c r="P3947" s="11"/>
    </row>
    <row r="3948" spans="1:16" ht="12.75" x14ac:dyDescent="0.35">
      <c r="A3948" s="7">
        <v>42482.820694444439</v>
      </c>
      <c r="B3948" s="8" t="str">
        <f>HYPERLINK("https://twitter.com/Duped","@Duped")</f>
        <v>@Duped</v>
      </c>
      <c r="C3948" s="9" t="s">
        <v>3572</v>
      </c>
      <c r="D3948" s="9" t="s">
        <v>9388</v>
      </c>
      <c r="E3948" s="10" t="str">
        <f>HYPERLINK("https://twitter.com/Duped/status/723514644393000960","723514644393000960")</f>
        <v>723514644393000960</v>
      </c>
      <c r="F3948" s="11" t="s">
        <v>48</v>
      </c>
      <c r="G3948" s="11">
        <v>602</v>
      </c>
      <c r="H3948" s="11">
        <v>1254</v>
      </c>
      <c r="I3948" s="11">
        <v>0</v>
      </c>
      <c r="J3948" s="11">
        <v>0</v>
      </c>
      <c r="K3948" s="11" t="s">
        <v>21</v>
      </c>
      <c r="L3948" s="7">
        <v>39774.288159722222</v>
      </c>
      <c r="M3948" s="12"/>
      <c r="N3948" s="12" t="s">
        <v>3574</v>
      </c>
      <c r="O3948" s="10" t="str">
        <f>HYPERLINK("https://pbs.twimg.com/profile_images/2614527612/qjcdvigyia7ykhqunc2f_normal.jpeg","View")</f>
        <v>View</v>
      </c>
      <c r="P3948" s="11"/>
    </row>
    <row r="3949" spans="1:16" ht="12.75" x14ac:dyDescent="0.35">
      <c r="A3949" s="7">
        <v>42482.820868055554</v>
      </c>
      <c r="B3949" s="8" t="str">
        <f>HYPERLINK("https://twitter.com/MaurySline","@MaurySline")</f>
        <v>@MaurySline</v>
      </c>
      <c r="C3949" s="9" t="s">
        <v>9389</v>
      </c>
      <c r="D3949" s="9" t="s">
        <v>9390</v>
      </c>
      <c r="E3949" s="10" t="str">
        <f>HYPERLINK("https://twitter.com/MaurySline/status/723514709215838209","723514709215838209")</f>
        <v>723514709215838209</v>
      </c>
      <c r="F3949" s="11" t="s">
        <v>48</v>
      </c>
      <c r="G3949" s="11">
        <v>31</v>
      </c>
      <c r="H3949" s="11">
        <v>266</v>
      </c>
      <c r="I3949" s="11">
        <v>0</v>
      </c>
      <c r="J3949" s="11">
        <v>0</v>
      </c>
      <c r="K3949" s="11" t="s">
        <v>21</v>
      </c>
      <c r="L3949" s="7">
        <v>41778.093599537038</v>
      </c>
      <c r="M3949" s="12" t="s">
        <v>3557</v>
      </c>
      <c r="N3949" s="12" t="s">
        <v>9391</v>
      </c>
      <c r="O3949" s="10" t="str">
        <f>HYPERLINK("https://pbs.twimg.com/profile_images/620122497208467456/UfwpHFes_normal.jpg","View")</f>
        <v>View</v>
      </c>
      <c r="P3949" s="11"/>
    </row>
    <row r="3950" spans="1:16" ht="12.75" x14ac:dyDescent="0.35">
      <c r="A3950" s="7">
        <v>42482.820960648147</v>
      </c>
      <c r="B3950" s="8" t="str">
        <f>HYPERLINK("https://twitter.com/BaerbelHoehn","@BaerbelHoehn")</f>
        <v>@BaerbelHoehn</v>
      </c>
      <c r="C3950" s="9" t="s">
        <v>9392</v>
      </c>
      <c r="D3950" s="9" t="s">
        <v>9393</v>
      </c>
      <c r="E3950" s="10" t="str">
        <f>HYPERLINK("https://twitter.com/BaerbelHoehn/status/723514743399563264","723514743399563264")</f>
        <v>723514743399563264</v>
      </c>
      <c r="F3950" s="11" t="s">
        <v>43</v>
      </c>
      <c r="G3950" s="11">
        <v>13203</v>
      </c>
      <c r="H3950" s="11">
        <v>1537</v>
      </c>
      <c r="I3950" s="11">
        <v>1</v>
      </c>
      <c r="J3950" s="11">
        <v>1</v>
      </c>
      <c r="K3950" s="11" t="s">
        <v>21</v>
      </c>
      <c r="L3950" s="7">
        <v>39877.615277777775</v>
      </c>
      <c r="M3950" s="12" t="s">
        <v>9394</v>
      </c>
      <c r="N3950" s="12" t="s">
        <v>9395</v>
      </c>
      <c r="O3950" s="10" t="str">
        <f>HYPERLINK("https://pbs.twimg.com/profile_images/2582093676/ycxtld6qgn0wo14pu94z_normal.png","View")</f>
        <v>View</v>
      </c>
      <c r="P3950" s="11"/>
    </row>
    <row r="3951" spans="1:16" ht="12.75" x14ac:dyDescent="0.35">
      <c r="A3951" s="7">
        <v>42482.82104166667</v>
      </c>
      <c r="B3951" s="8" t="str">
        <f>HYPERLINK("https://twitter.com/ndr2","@ndr2")</f>
        <v>@ndr2</v>
      </c>
      <c r="C3951" s="9" t="s">
        <v>9396</v>
      </c>
      <c r="D3951" s="9" t="s">
        <v>9397</v>
      </c>
      <c r="E3951" s="10" t="str">
        <f>HYPERLINK("https://twitter.com/ndr2/status/723514770603823104","723514770603823104")</f>
        <v>723514770603823104</v>
      </c>
      <c r="F3951" s="11" t="s">
        <v>43</v>
      </c>
      <c r="G3951" s="11">
        <v>3514</v>
      </c>
      <c r="H3951" s="11">
        <v>595</v>
      </c>
      <c r="I3951" s="11">
        <v>0</v>
      </c>
      <c r="J3951" s="11">
        <v>0</v>
      </c>
      <c r="K3951" s="11" t="s">
        <v>21</v>
      </c>
      <c r="L3951" s="7">
        <v>42009.622766203705</v>
      </c>
      <c r="M3951" s="12" t="s">
        <v>7752</v>
      </c>
      <c r="N3951" s="12" t="s">
        <v>9398</v>
      </c>
      <c r="O3951" s="10" t="str">
        <f>HYPERLINK("https://pbs.twimg.com/profile_images/588550162932436992/xhIjB0sA_normal.jpg","View")</f>
        <v>View</v>
      </c>
      <c r="P3951" s="11"/>
    </row>
    <row r="3952" spans="1:16" ht="12.75" x14ac:dyDescent="0.35">
      <c r="A3952" s="7">
        <v>42482.821053240739</v>
      </c>
      <c r="B3952" s="8" t="str">
        <f>HYPERLINK("https://twitter.com/bodo1962","@bodo1962")</f>
        <v>@bodo1962</v>
      </c>
      <c r="C3952" s="9" t="s">
        <v>1834</v>
      </c>
      <c r="D3952" s="9" t="s">
        <v>9399</v>
      </c>
      <c r="E3952" s="10" t="str">
        <f>HYPERLINK("https://twitter.com/bodo1962/status/723514774475120641","723514774475120641")</f>
        <v>723514774475120641</v>
      </c>
      <c r="F3952" s="11" t="s">
        <v>43</v>
      </c>
      <c r="G3952" s="11">
        <v>55</v>
      </c>
      <c r="H3952" s="11">
        <v>73</v>
      </c>
      <c r="I3952" s="11">
        <v>0</v>
      </c>
      <c r="J3952" s="11">
        <v>0</v>
      </c>
      <c r="K3952" s="11" t="s">
        <v>21</v>
      </c>
      <c r="L3952" s="7">
        <v>40828.089305555557</v>
      </c>
      <c r="M3952" s="12"/>
      <c r="N3952" s="12" t="s">
        <v>1836</v>
      </c>
      <c r="O3952" s="10" t="str">
        <f>HYPERLINK("https://pbs.twimg.com/profile_images/439706141728051201/GQgdrA5p_normal.jpeg","View")</f>
        <v>View</v>
      </c>
      <c r="P3952" s="11"/>
    </row>
    <row r="3953" spans="1:16" ht="12.75" x14ac:dyDescent="0.35">
      <c r="A3953" s="7">
        <v>42482.82130787037</v>
      </c>
      <c r="B3953" s="8" t="str">
        <f t="shared" ref="B3953:B3954" si="352">HYPERLINK("https://twitter.com/unioner23","@unioner23")</f>
        <v>@unioner23</v>
      </c>
      <c r="C3953" s="9" t="s">
        <v>9400</v>
      </c>
      <c r="D3953" s="9" t="s">
        <v>9401</v>
      </c>
      <c r="E3953" s="10" t="str">
        <f>HYPERLINK("https://twitter.com/unioner23/status/723514866233913344","723514866233913344")</f>
        <v>723514866233913344</v>
      </c>
      <c r="F3953" s="11" t="s">
        <v>20</v>
      </c>
      <c r="G3953" s="11">
        <v>230</v>
      </c>
      <c r="H3953" s="11">
        <v>426</v>
      </c>
      <c r="I3953" s="11">
        <v>0</v>
      </c>
      <c r="J3953" s="11">
        <v>0</v>
      </c>
      <c r="K3953" s="11" t="s">
        <v>21</v>
      </c>
      <c r="L3953" s="7">
        <v>40447.686608796299</v>
      </c>
      <c r="M3953" s="12" t="s">
        <v>9402</v>
      </c>
      <c r="N3953" s="12" t="s">
        <v>9403</v>
      </c>
      <c r="O3953" s="10" t="str">
        <f t="shared" ref="O3953:O3954" si="353">HYPERLINK("https://pbs.twimg.com/profile_images/615547498736787456/mTnCWWyP_normal.jpg","View")</f>
        <v>View</v>
      </c>
      <c r="P3953" s="11"/>
    </row>
    <row r="3954" spans="1:16" ht="12.75" x14ac:dyDescent="0.35">
      <c r="A3954" s="7">
        <v>42482.821342592593</v>
      </c>
      <c r="B3954" s="8" t="str">
        <f t="shared" si="352"/>
        <v>@unioner23</v>
      </c>
      <c r="C3954" s="9" t="s">
        <v>9400</v>
      </c>
      <c r="D3954" s="9" t="s">
        <v>9404</v>
      </c>
      <c r="E3954" s="10" t="str">
        <f>HYPERLINK("https://twitter.com/unioner23/status/723514881681555457","723514881681555457")</f>
        <v>723514881681555457</v>
      </c>
      <c r="F3954" s="11" t="s">
        <v>20</v>
      </c>
      <c r="G3954" s="11">
        <v>230</v>
      </c>
      <c r="H3954" s="11">
        <v>426</v>
      </c>
      <c r="I3954" s="11">
        <v>1</v>
      </c>
      <c r="J3954" s="11">
        <v>0</v>
      </c>
      <c r="K3954" s="11" t="s">
        <v>21</v>
      </c>
      <c r="L3954" s="7">
        <v>40447.686608796299</v>
      </c>
      <c r="M3954" s="12" t="s">
        <v>9402</v>
      </c>
      <c r="N3954" s="12" t="s">
        <v>9403</v>
      </c>
      <c r="O3954" s="10" t="str">
        <f t="shared" si="353"/>
        <v>View</v>
      </c>
      <c r="P3954" s="11"/>
    </row>
    <row r="3955" spans="1:16" ht="12.75" x14ac:dyDescent="0.35">
      <c r="A3955" s="7">
        <v>42482.821736111116</v>
      </c>
      <c r="B3955" s="8" t="str">
        <f>HYPERLINK("https://twitter.com/woistcoco","@woistcoco")</f>
        <v>@woistcoco</v>
      </c>
      <c r="C3955" s="9" t="s">
        <v>9405</v>
      </c>
      <c r="D3955" s="9" t="s">
        <v>9406</v>
      </c>
      <c r="E3955" s="10" t="str">
        <f>HYPERLINK("https://twitter.com/woistcoco/status/723515025353224194","723515025353224194")</f>
        <v>723515025353224194</v>
      </c>
      <c r="F3955" s="11" t="s">
        <v>48</v>
      </c>
      <c r="G3955" s="11">
        <v>43</v>
      </c>
      <c r="H3955" s="11">
        <v>12</v>
      </c>
      <c r="I3955" s="11">
        <v>0</v>
      </c>
      <c r="J3955" s="11">
        <v>0</v>
      </c>
      <c r="K3955" s="11" t="s">
        <v>21</v>
      </c>
      <c r="L3955" s="7">
        <v>40070.964131944442</v>
      </c>
      <c r="M3955" s="12" t="s">
        <v>9407</v>
      </c>
      <c r="N3955" s="12" t="s">
        <v>9408</v>
      </c>
      <c r="O3955" s="10" t="str">
        <f>HYPERLINK("https://pbs.twimg.com/profile_images/632627323481796608/t6bZcdi6_normal.jpg","View")</f>
        <v>View</v>
      </c>
      <c r="P3955" s="11"/>
    </row>
    <row r="3956" spans="1:16" ht="12.75" x14ac:dyDescent="0.35">
      <c r="A3956" s="7">
        <v>42482.821747685186</v>
      </c>
      <c r="B3956" s="8" t="str">
        <f>HYPERLINK("https://twitter.com/Kons1982","@Kons1982")</f>
        <v>@Kons1982</v>
      </c>
      <c r="C3956" s="9" t="s">
        <v>9409</v>
      </c>
      <c r="D3956" s="9" t="s">
        <v>9410</v>
      </c>
      <c r="E3956" s="10" t="str">
        <f>HYPERLINK("https://twitter.com/Kons1982/status/723515029551755265","723515029551755265")</f>
        <v>723515029551755265</v>
      </c>
      <c r="F3956" s="11" t="s">
        <v>20</v>
      </c>
      <c r="G3956" s="11">
        <v>180</v>
      </c>
      <c r="H3956" s="11">
        <v>790</v>
      </c>
      <c r="I3956" s="11">
        <v>0</v>
      </c>
      <c r="J3956" s="11">
        <v>0</v>
      </c>
      <c r="K3956" s="11" t="s">
        <v>21</v>
      </c>
      <c r="L3956" s="7">
        <v>40184.206886574073</v>
      </c>
      <c r="M3956" s="12"/>
      <c r="N3956" s="12" t="s">
        <v>9411</v>
      </c>
      <c r="O3956" s="10" t="str">
        <f>HYPERLINK("https://pbs.twimg.com/profile_images/494605507291013120/00aXw2t8_normal.jpeg","View")</f>
        <v>View</v>
      </c>
      <c r="P3956" s="11"/>
    </row>
    <row r="3957" spans="1:16" ht="12.75" x14ac:dyDescent="0.35">
      <c r="A3957" s="7">
        <v>42482.821875000001</v>
      </c>
      <c r="B3957" s="8" t="str">
        <f>HYPERLINK("https://twitter.com/Boersenradar","@Boersenradar")</f>
        <v>@Boersenradar</v>
      </c>
      <c r="C3957" s="9" t="s">
        <v>4727</v>
      </c>
      <c r="D3957" s="9" t="s">
        <v>9412</v>
      </c>
      <c r="E3957" s="10" t="str">
        <f>HYPERLINK("https://twitter.com/Boersenradar/status/723515074896367616","723515074896367616")</f>
        <v>723515074896367616</v>
      </c>
      <c r="F3957" s="11" t="s">
        <v>43</v>
      </c>
      <c r="G3957" s="11">
        <v>2816</v>
      </c>
      <c r="H3957" s="11">
        <v>523</v>
      </c>
      <c r="I3957" s="11">
        <v>0</v>
      </c>
      <c r="J3957" s="11">
        <v>0</v>
      </c>
      <c r="K3957" s="11" t="s">
        <v>21</v>
      </c>
      <c r="L3957" s="7">
        <v>39919.758796296301</v>
      </c>
      <c r="M3957" s="12" t="s">
        <v>4729</v>
      </c>
      <c r="N3957" s="12" t="s">
        <v>4730</v>
      </c>
      <c r="O3957" s="10" t="str">
        <f>HYPERLINK("https://pbs.twimg.com/profile_images/648862182936047616/p6o1BlmC_normal.jpg","View")</f>
        <v>View</v>
      </c>
      <c r="P3957" s="11"/>
    </row>
    <row r="3958" spans="1:16" ht="12.75" x14ac:dyDescent="0.35">
      <c r="A3958" s="7">
        <v>42482.821921296301</v>
      </c>
      <c r="B3958" s="8" t="str">
        <f>HYPERLINK("https://twitter.com/WFeulner","@WFeulner")</f>
        <v>@WFeulner</v>
      </c>
      <c r="C3958" s="9" t="s">
        <v>9413</v>
      </c>
      <c r="D3958" s="9" t="s">
        <v>9414</v>
      </c>
      <c r="E3958" s="10" t="str">
        <f>HYPERLINK("https://twitter.com/WFeulner/status/723515088704028672","723515088704028672")</f>
        <v>723515088704028672</v>
      </c>
      <c r="F3958" s="11" t="s">
        <v>43</v>
      </c>
      <c r="G3958" s="11">
        <v>37</v>
      </c>
      <c r="H3958" s="11">
        <v>130</v>
      </c>
      <c r="I3958" s="11">
        <v>0</v>
      </c>
      <c r="J3958" s="11">
        <v>0</v>
      </c>
      <c r="K3958" s="11" t="s">
        <v>21</v>
      </c>
      <c r="L3958" s="7">
        <v>40935.900046296294</v>
      </c>
      <c r="M3958" s="12" t="s">
        <v>7766</v>
      </c>
      <c r="N3958" s="12" t="s">
        <v>9415</v>
      </c>
      <c r="O3958" s="10" t="str">
        <f>HYPERLINK("https://pbs.twimg.com/profile_images/697482063885291520/3hWmRXkL_normal.jpg","View")</f>
        <v>View</v>
      </c>
      <c r="P3958" s="11"/>
    </row>
    <row r="3959" spans="1:16" ht="12.75" x14ac:dyDescent="0.35">
      <c r="A3959" s="7">
        <v>42482.821979166663</v>
      </c>
      <c r="B3959" s="8" t="str">
        <f>HYPERLINK("https://twitter.com/TimoEssner","@TimoEssner")</f>
        <v>@TimoEssner</v>
      </c>
      <c r="C3959" s="9" t="s">
        <v>9416</v>
      </c>
      <c r="D3959" s="9" t="s">
        <v>9417</v>
      </c>
      <c r="E3959" s="10" t="str">
        <f>HYPERLINK("https://twitter.com/TimoEssner/status/723515113433608192","723515113433608192")</f>
        <v>723515113433608192</v>
      </c>
      <c r="F3959" s="11" t="s">
        <v>43</v>
      </c>
      <c r="G3959" s="11">
        <v>361</v>
      </c>
      <c r="H3959" s="11">
        <v>159</v>
      </c>
      <c r="I3959" s="11">
        <v>0</v>
      </c>
      <c r="J3959" s="11">
        <v>0</v>
      </c>
      <c r="K3959" s="11" t="s">
        <v>21</v>
      </c>
      <c r="L3959" s="7">
        <v>40654.357523148152</v>
      </c>
      <c r="M3959" s="12"/>
      <c r="N3959" s="12" t="s">
        <v>9418</v>
      </c>
      <c r="O3959" s="10" t="str">
        <f>HYPERLINK("https://pbs.twimg.com/profile_images/624335607645478912/gUYgViLB_normal.jpg","View")</f>
        <v>View</v>
      </c>
      <c r="P3959" s="11"/>
    </row>
    <row r="3960" spans="1:16" ht="12.75" x14ac:dyDescent="0.35">
      <c r="A3960" s="7">
        <v>42482.822546296295</v>
      </c>
      <c r="B3960" s="8" t="str">
        <f>HYPERLINK("https://twitter.com/E_I_M_I","@E_I_M_I")</f>
        <v>@E_I_M_I</v>
      </c>
      <c r="C3960" s="9" t="s">
        <v>9419</v>
      </c>
      <c r="D3960" s="9" t="s">
        <v>9420</v>
      </c>
      <c r="E3960" s="10" t="str">
        <f>HYPERLINK("https://twitter.com/E_I_M_I/status/723515315418718213","723515315418718213")</f>
        <v>723515315418718213</v>
      </c>
      <c r="F3960" s="11" t="s">
        <v>48</v>
      </c>
      <c r="G3960" s="11">
        <v>486</v>
      </c>
      <c r="H3960" s="11">
        <v>236</v>
      </c>
      <c r="I3960" s="11">
        <v>0</v>
      </c>
      <c r="J3960" s="11">
        <v>0</v>
      </c>
      <c r="K3960" s="11" t="s">
        <v>21</v>
      </c>
      <c r="L3960" s="7">
        <v>41451.748506944445</v>
      </c>
      <c r="M3960" s="12" t="s">
        <v>9421</v>
      </c>
      <c r="N3960" s="12" t="s">
        <v>9422</v>
      </c>
      <c r="O3960" s="10" t="str">
        <f>HYPERLINK("https://pbs.twimg.com/profile_images/378800000062766177/d7e0a152f4d290bcf505d552894fa3ad_normal.jpeg","View")</f>
        <v>View</v>
      </c>
      <c r="P3960" s="11"/>
    </row>
    <row r="3961" spans="1:16" ht="12.75" x14ac:dyDescent="0.35">
      <c r="A3961" s="7">
        <v>42482.822928240741</v>
      </c>
      <c r="B3961" s="8" t="str">
        <f>HYPERLINK("https://twitter.com/arndissler","@arndissler")</f>
        <v>@arndissler</v>
      </c>
      <c r="C3961" s="9" t="s">
        <v>9423</v>
      </c>
      <c r="D3961" s="9" t="s">
        <v>9424</v>
      </c>
      <c r="E3961" s="10" t="str">
        <f>HYPERLINK("https://twitter.com/arndissler/status/723515454308900865","723515454308900865")</f>
        <v>723515454308900865</v>
      </c>
      <c r="F3961" s="11" t="s">
        <v>63</v>
      </c>
      <c r="G3961" s="11">
        <v>205</v>
      </c>
      <c r="H3961" s="11">
        <v>521</v>
      </c>
      <c r="I3961" s="11">
        <v>0</v>
      </c>
      <c r="J3961" s="11">
        <v>0</v>
      </c>
      <c r="K3961" s="11" t="s">
        <v>21</v>
      </c>
      <c r="L3961" s="7">
        <v>40124.711006944446</v>
      </c>
      <c r="M3961" s="12" t="s">
        <v>953</v>
      </c>
      <c r="N3961" s="12" t="s">
        <v>9425</v>
      </c>
      <c r="O3961" s="10" t="str">
        <f>HYPERLINK("https://pbs.twimg.com/profile_images/557489425559482369/aKukb5lm_normal.png","View")</f>
        <v>View</v>
      </c>
      <c r="P3961" s="11"/>
    </row>
    <row r="3962" spans="1:16" ht="12.75" x14ac:dyDescent="0.35">
      <c r="A3962" s="7">
        <v>42482.822962962964</v>
      </c>
      <c r="B3962" s="8" t="str">
        <f>HYPERLINK("https://twitter.com/MorSvinka_83","@MorSvinka_83")</f>
        <v>@MorSvinka_83</v>
      </c>
      <c r="C3962" s="9" t="s">
        <v>9071</v>
      </c>
      <c r="D3962" s="9" t="s">
        <v>9426</v>
      </c>
      <c r="E3962" s="10" t="str">
        <f>HYPERLINK("https://twitter.com/MorSvinka_83/status/723515468259176448","723515468259176448")</f>
        <v>723515468259176448</v>
      </c>
      <c r="F3962" s="11" t="s">
        <v>63</v>
      </c>
      <c r="G3962" s="11">
        <v>81</v>
      </c>
      <c r="H3962" s="11">
        <v>127</v>
      </c>
      <c r="I3962" s="11">
        <v>0</v>
      </c>
      <c r="J3962" s="11">
        <v>0</v>
      </c>
      <c r="K3962" s="11" t="s">
        <v>21</v>
      </c>
      <c r="L3962" s="7">
        <v>40900.763842592591</v>
      </c>
      <c r="M3962" s="12" t="s">
        <v>9073</v>
      </c>
      <c r="N3962" s="12"/>
      <c r="O3962" s="10" t="str">
        <f>HYPERLINK("https://pbs.twimg.com/profile_images/2208847688/Untitled-2_normal.jpg","View")</f>
        <v>View</v>
      </c>
      <c r="P3962" s="11"/>
    </row>
    <row r="3963" spans="1:16" ht="12.75" x14ac:dyDescent="0.35">
      <c r="A3963" s="7">
        <v>42482.823171296295</v>
      </c>
      <c r="B3963" s="8" t="str">
        <f>HYPERLINK("https://twitter.com/yogafitter","@yogafitter")</f>
        <v>@yogafitter</v>
      </c>
      <c r="C3963" s="9" t="s">
        <v>9427</v>
      </c>
      <c r="D3963" s="9" t="s">
        <v>9428</v>
      </c>
      <c r="E3963" s="10" t="str">
        <f>HYPERLINK("https://twitter.com/yogafitter/status/723515545602007042","723515545602007042")</f>
        <v>723515545602007042</v>
      </c>
      <c r="F3963" s="11" t="s">
        <v>114</v>
      </c>
      <c r="G3963" s="11">
        <v>40</v>
      </c>
      <c r="H3963" s="11">
        <v>242</v>
      </c>
      <c r="I3963" s="11">
        <v>0</v>
      </c>
      <c r="J3963" s="11">
        <v>0</v>
      </c>
      <c r="K3963" s="11" t="s">
        <v>21</v>
      </c>
      <c r="L3963" s="7">
        <v>41667.642708333333</v>
      </c>
      <c r="M3963" s="12"/>
      <c r="N3963" s="12"/>
      <c r="O3963" s="10" t="str">
        <f>HYPERLINK("https://pbs.twimg.com/profile_images/722835603255992321/BBAQvavV_normal.jpg","View")</f>
        <v>View</v>
      </c>
      <c r="P3963" s="10" t="str">
        <f>HYPERLINK("http://ctrlq.org/maps/address/#32.0727882,-81.0981369","Map")</f>
        <v>Map</v>
      </c>
    </row>
    <row r="3964" spans="1:16" ht="12.75" x14ac:dyDescent="0.35">
      <c r="A3964" s="7">
        <v>42482.823206018518</v>
      </c>
      <c r="B3964" s="8" t="str">
        <f>HYPERLINK("https://twitter.com/SteveJobs2016","@SteveJobs2016")</f>
        <v>@SteveJobs2016</v>
      </c>
      <c r="C3964" s="9" t="s">
        <v>9429</v>
      </c>
      <c r="D3964" s="9" t="s">
        <v>9430</v>
      </c>
      <c r="E3964" s="10" t="str">
        <f>HYPERLINK("https://twitter.com/SteveJobs2016/status/723515558033924096","723515558033924096")</f>
        <v>723515558033924096</v>
      </c>
      <c r="F3964" s="11" t="s">
        <v>34</v>
      </c>
      <c r="G3964" s="11">
        <v>3383</v>
      </c>
      <c r="H3964" s="11">
        <v>4998</v>
      </c>
      <c r="I3964" s="11">
        <v>0</v>
      </c>
      <c r="J3964" s="11">
        <v>0</v>
      </c>
      <c r="K3964" s="11" t="s">
        <v>21</v>
      </c>
      <c r="L3964" s="7">
        <v>42112.654548611114</v>
      </c>
      <c r="M3964" s="12" t="s">
        <v>9431</v>
      </c>
      <c r="N3964" s="12" t="s">
        <v>9432</v>
      </c>
      <c r="O3964" s="10" t="str">
        <f>HYPERLINK("https://pbs.twimg.com/profile_images/696356157330423808/0jS4qfjA_normal.jpg","View")</f>
        <v>View</v>
      </c>
      <c r="P3964" s="11"/>
    </row>
    <row r="3965" spans="1:16" ht="12.75" x14ac:dyDescent="0.35">
      <c r="A3965" s="7">
        <v>42482.823229166665</v>
      </c>
      <c r="B3965" s="8" t="str">
        <f>HYPERLINK("https://twitter.com/Deacon__Blues","@Deacon__Blues")</f>
        <v>@Deacon__Blues</v>
      </c>
      <c r="C3965" s="9" t="s">
        <v>9433</v>
      </c>
      <c r="D3965" s="9" t="s">
        <v>9434</v>
      </c>
      <c r="E3965" s="10" t="str">
        <f>HYPERLINK("https://twitter.com/Deacon__Blues/status/723515563348267008","723515563348267008")</f>
        <v>723515563348267008</v>
      </c>
      <c r="F3965" s="11" t="s">
        <v>43</v>
      </c>
      <c r="G3965" s="11">
        <v>58</v>
      </c>
      <c r="H3965" s="11">
        <v>229</v>
      </c>
      <c r="I3965" s="11">
        <v>0</v>
      </c>
      <c r="J3965" s="11">
        <v>0</v>
      </c>
      <c r="K3965" s="11" t="s">
        <v>21</v>
      </c>
      <c r="L3965" s="7">
        <v>40396.74827546296</v>
      </c>
      <c r="M3965" s="12"/>
      <c r="N3965" s="12" t="s">
        <v>9435</v>
      </c>
      <c r="O3965" s="10" t="str">
        <f>HYPERLINK("https://pbs.twimg.com/profile_images/699630686404214785/Yv79eCNk_normal.jpg","View")</f>
        <v>View</v>
      </c>
      <c r="P3965" s="11"/>
    </row>
    <row r="3966" spans="1:16" ht="12.75" x14ac:dyDescent="0.35">
      <c r="A3966" s="7">
        <v>42482.82331018518</v>
      </c>
      <c r="B3966" s="8" t="str">
        <f>HYPERLINK("https://twitter.com/weserkurier","@weserkurier")</f>
        <v>@weserkurier</v>
      </c>
      <c r="C3966" s="9" t="s">
        <v>9049</v>
      </c>
      <c r="D3966" s="9" t="s">
        <v>9436</v>
      </c>
      <c r="E3966" s="10" t="str">
        <f>HYPERLINK("https://twitter.com/weserkurier/status/723515592754532352","723515592754532352")</f>
        <v>723515592754532352</v>
      </c>
      <c r="F3966" s="11" t="s">
        <v>63</v>
      </c>
      <c r="G3966" s="11">
        <v>29413</v>
      </c>
      <c r="H3966" s="11">
        <v>184</v>
      </c>
      <c r="I3966" s="11">
        <v>0</v>
      </c>
      <c r="J3966" s="11">
        <v>0</v>
      </c>
      <c r="K3966" s="11" t="s">
        <v>21</v>
      </c>
      <c r="L3966" s="7">
        <v>39965.728750000002</v>
      </c>
      <c r="M3966" s="12" t="s">
        <v>5234</v>
      </c>
      <c r="N3966" s="12" t="s">
        <v>9051</v>
      </c>
      <c r="O3966" s="10" t="str">
        <f>HYPERLINK("https://pbs.twimg.com/profile_images/701759474198036480/d3ldpfv0_normal.png","View")</f>
        <v>View</v>
      </c>
      <c r="P3966" s="11"/>
    </row>
    <row r="3967" spans="1:16" ht="12.75" x14ac:dyDescent="0.35">
      <c r="A3967" s="7">
        <v>42482.824224537035</v>
      </c>
      <c r="B3967" s="8" t="str">
        <f>HYPERLINK("https://twitter.com/badluk07","@badluk07")</f>
        <v>@badluk07</v>
      </c>
      <c r="C3967" s="9" t="s">
        <v>9437</v>
      </c>
      <c r="D3967" s="9" t="s">
        <v>9438</v>
      </c>
      <c r="E3967" s="10" t="str">
        <f>HYPERLINK("https://twitter.com/badluk07/status/723515925799002112","723515925799002112")</f>
        <v>723515925799002112</v>
      </c>
      <c r="F3967" s="11" t="s">
        <v>20</v>
      </c>
      <c r="G3967" s="11">
        <v>22</v>
      </c>
      <c r="H3967" s="11">
        <v>36</v>
      </c>
      <c r="I3967" s="11">
        <v>0</v>
      </c>
      <c r="J3967" s="11">
        <v>0</v>
      </c>
      <c r="K3967" s="11" t="s">
        <v>21</v>
      </c>
      <c r="L3967" s="7">
        <v>42037.926990740743</v>
      </c>
      <c r="M3967" s="12"/>
      <c r="N3967" s="12"/>
      <c r="O3967" s="10" t="str">
        <f>HYPERLINK("https://pbs.twimg.com/profile_images/721456564700389376/YYyoQCjn_normal.jpg","View")</f>
        <v>View</v>
      </c>
      <c r="P3967" s="11"/>
    </row>
    <row r="3968" spans="1:16" ht="12.75" x14ac:dyDescent="0.35">
      <c r="A3968" s="7">
        <v>42482.824317129634</v>
      </c>
      <c r="B3968" s="8" t="str">
        <f>HYPERLINK("https://twitter.com/NetzwerkggS21","@NetzwerkggS21")</f>
        <v>@NetzwerkggS21</v>
      </c>
      <c r="C3968" s="9" t="s">
        <v>2359</v>
      </c>
      <c r="D3968" s="9" t="s">
        <v>9439</v>
      </c>
      <c r="E3968" s="10" t="str">
        <f>HYPERLINK("https://twitter.com/NetzwerkggS21/status/723515957667323905","723515957667323905")</f>
        <v>723515957667323905</v>
      </c>
      <c r="F3968" s="11" t="s">
        <v>43</v>
      </c>
      <c r="G3968" s="11">
        <v>854</v>
      </c>
      <c r="H3968" s="11">
        <v>2110</v>
      </c>
      <c r="I3968" s="11">
        <v>1</v>
      </c>
      <c r="J3968" s="11">
        <v>0</v>
      </c>
      <c r="K3968" s="11" t="s">
        <v>21</v>
      </c>
      <c r="L3968" s="7">
        <v>41326.709363425922</v>
      </c>
      <c r="M3968" s="13" t="s">
        <v>2361</v>
      </c>
      <c r="N3968" s="12" t="s">
        <v>2362</v>
      </c>
      <c r="O3968" s="10" t="str">
        <f>HYPERLINK("https://pbs.twimg.com/profile_images/378800000528765970/3ab9f2a00010e9cac08d5ca1638926e9_normal.png","View")</f>
        <v>View</v>
      </c>
      <c r="P3968" s="11"/>
    </row>
    <row r="3969" spans="1:16" ht="12.75" x14ac:dyDescent="0.35">
      <c r="A3969" s="7">
        <v>42482.824675925927</v>
      </c>
      <c r="B3969" s="8" t="str">
        <f>HYPERLINK("https://twitter.com/IrreRepublik","@IrreRepublik")</f>
        <v>@IrreRepublik</v>
      </c>
      <c r="C3969" s="9" t="s">
        <v>9440</v>
      </c>
      <c r="D3969" s="9" t="s">
        <v>9354</v>
      </c>
      <c r="E3969" s="10" t="str">
        <f>HYPERLINK("https://twitter.com/IrreRepublik/status/723516090295443457","723516090295443457")</f>
        <v>723516090295443457</v>
      </c>
      <c r="F3969" s="11" t="s">
        <v>20</v>
      </c>
      <c r="G3969" s="11">
        <v>51</v>
      </c>
      <c r="H3969" s="11">
        <v>136</v>
      </c>
      <c r="I3969" s="11">
        <v>2</v>
      </c>
      <c r="J3969" s="11">
        <v>0</v>
      </c>
      <c r="K3969" s="11" t="s">
        <v>21</v>
      </c>
      <c r="L3969" s="7">
        <v>42277.766585648147</v>
      </c>
      <c r="M3969" s="12"/>
      <c r="N3969" s="12" t="s">
        <v>9441</v>
      </c>
      <c r="O3969" s="10" t="str">
        <f>HYPERLINK("https://abs.twimg.com/sticky/default_profile_images/default_profile_4_normal.png","View")</f>
        <v>View</v>
      </c>
      <c r="P3969" s="11"/>
    </row>
    <row r="3970" spans="1:16" ht="12.75" x14ac:dyDescent="0.35">
      <c r="A3970" s="7">
        <v>42482.824814814812</v>
      </c>
      <c r="B3970" s="8" t="str">
        <f>HYPERLINK("https://twitter.com/1LIVE","@1LIVE")</f>
        <v>@1LIVE</v>
      </c>
      <c r="C3970" s="9" t="s">
        <v>9442</v>
      </c>
      <c r="D3970" s="9" t="s">
        <v>9443</v>
      </c>
      <c r="E3970" s="10" t="str">
        <f>HYPERLINK("https://twitter.com/1LIVE/status/723516139171647488","723516139171647488")</f>
        <v>723516139171647488</v>
      </c>
      <c r="F3970" s="11" t="s">
        <v>152</v>
      </c>
      <c r="G3970" s="11">
        <v>316840</v>
      </c>
      <c r="H3970" s="11">
        <v>2026</v>
      </c>
      <c r="I3970" s="11">
        <v>4</v>
      </c>
      <c r="J3970" s="11">
        <v>0</v>
      </c>
      <c r="K3970" s="11" t="s">
        <v>21</v>
      </c>
      <c r="L3970" s="7">
        <v>39686.63521990741</v>
      </c>
      <c r="M3970" s="12" t="s">
        <v>1241</v>
      </c>
      <c r="N3970" s="12" t="s">
        <v>9444</v>
      </c>
      <c r="O3970" s="10" t="str">
        <f>HYPERLINK("https://pbs.twimg.com/profile_images/672544452158844929/3FIfxzIE_normal.jpg","View")</f>
        <v>View</v>
      </c>
      <c r="P3970" s="11"/>
    </row>
    <row r="3971" spans="1:16" ht="12.75" x14ac:dyDescent="0.35">
      <c r="A3971" s="7">
        <v>42482.824988425928</v>
      </c>
      <c r="B3971" s="8" t="str">
        <f>HYPERLINK("https://twitter.com/WowbaggerXX7","@WowbaggerXX7")</f>
        <v>@WowbaggerXX7</v>
      </c>
      <c r="C3971" s="9" t="s">
        <v>2988</v>
      </c>
      <c r="D3971" s="9" t="s">
        <v>9445</v>
      </c>
      <c r="E3971" s="10" t="str">
        <f>HYPERLINK("https://twitter.com/WowbaggerXX7/status/723516199980642306","723516199980642306")</f>
        <v>723516199980642306</v>
      </c>
      <c r="F3971" s="11" t="s">
        <v>43</v>
      </c>
      <c r="G3971" s="11">
        <v>106</v>
      </c>
      <c r="H3971" s="11">
        <v>200</v>
      </c>
      <c r="I3971" s="11">
        <v>0</v>
      </c>
      <c r="J3971" s="11">
        <v>0</v>
      </c>
      <c r="K3971" s="11" t="s">
        <v>21</v>
      </c>
      <c r="L3971" s="7">
        <v>40878.039513888885</v>
      </c>
      <c r="M3971" s="12"/>
      <c r="N3971" s="12" t="s">
        <v>2990</v>
      </c>
      <c r="O3971" s="10" t="str">
        <f>HYPERLINK("https://pbs.twimg.com/profile_images/543163066599219200/dUy-AYOX_normal.jpeg","View")</f>
        <v>View</v>
      </c>
      <c r="P3971" s="11"/>
    </row>
    <row r="3972" spans="1:16" ht="12.75" x14ac:dyDescent="0.35">
      <c r="A3972" s="7">
        <v>42482.825219907405</v>
      </c>
      <c r="B3972" s="8" t="str">
        <f>HYPERLINK("https://twitter.com/NetzwerkggS21","@NetzwerkggS21")</f>
        <v>@NetzwerkggS21</v>
      </c>
      <c r="C3972" s="9" t="s">
        <v>2359</v>
      </c>
      <c r="D3972" s="9" t="s">
        <v>9446</v>
      </c>
      <c r="E3972" s="10" t="str">
        <f>HYPERLINK("https://twitter.com/NetzwerkggS21/status/723516287142469632","723516287142469632")</f>
        <v>723516287142469632</v>
      </c>
      <c r="F3972" s="11" t="s">
        <v>43</v>
      </c>
      <c r="G3972" s="11">
        <v>854</v>
      </c>
      <c r="H3972" s="11">
        <v>2110</v>
      </c>
      <c r="I3972" s="11">
        <v>0</v>
      </c>
      <c r="J3972" s="11">
        <v>0</v>
      </c>
      <c r="K3972" s="11" t="s">
        <v>21</v>
      </c>
      <c r="L3972" s="7">
        <v>41326.709363425922</v>
      </c>
      <c r="M3972" s="13" t="s">
        <v>2361</v>
      </c>
      <c r="N3972" s="12" t="s">
        <v>2362</v>
      </c>
      <c r="O3972" s="10" t="str">
        <f>HYPERLINK("https://pbs.twimg.com/profile_images/378800000528765970/3ab9f2a00010e9cac08d5ca1638926e9_normal.png","View")</f>
        <v>View</v>
      </c>
      <c r="P3972" s="11"/>
    </row>
    <row r="3973" spans="1:16" ht="12.75" x14ac:dyDescent="0.35">
      <c r="A3973" s="7">
        <v>42482.82545138889</v>
      </c>
      <c r="B3973" s="8" t="str">
        <f>HYPERLINK("https://twitter.com/WowbaggerXX7","@WowbaggerXX7")</f>
        <v>@WowbaggerXX7</v>
      </c>
      <c r="C3973" s="9" t="s">
        <v>2988</v>
      </c>
      <c r="D3973" s="9" t="s">
        <v>9447</v>
      </c>
      <c r="E3973" s="10" t="str">
        <f>HYPERLINK("https://twitter.com/WowbaggerXX7/status/723516371125067776","723516371125067776")</f>
        <v>723516371125067776</v>
      </c>
      <c r="F3973" s="11" t="s">
        <v>43</v>
      </c>
      <c r="G3973" s="11">
        <v>106</v>
      </c>
      <c r="H3973" s="11">
        <v>200</v>
      </c>
      <c r="I3973" s="11">
        <v>0</v>
      </c>
      <c r="J3973" s="11">
        <v>0</v>
      </c>
      <c r="K3973" s="11" t="s">
        <v>21</v>
      </c>
      <c r="L3973" s="7">
        <v>40878.039513888885</v>
      </c>
      <c r="M3973" s="12"/>
      <c r="N3973" s="12" t="s">
        <v>2990</v>
      </c>
      <c r="O3973" s="10" t="str">
        <f>HYPERLINK("https://pbs.twimg.com/profile_images/543163066599219200/dUy-AYOX_normal.jpeg","View")</f>
        <v>View</v>
      </c>
      <c r="P3973" s="11"/>
    </row>
    <row r="3974" spans="1:16" ht="12.75" x14ac:dyDescent="0.35">
      <c r="A3974" s="7">
        <v>42482.825462962966</v>
      </c>
      <c r="B3974" s="8" t="str">
        <f>HYPERLINK("https://twitter.com/Sternenkind","@Sternenkind")</f>
        <v>@Sternenkind</v>
      </c>
      <c r="C3974" s="9" t="s">
        <v>9448</v>
      </c>
      <c r="D3974" s="9" t="s">
        <v>9443</v>
      </c>
      <c r="E3974" s="10" t="str">
        <f>HYPERLINK("https://twitter.com/Sternenkind/status/723516374224670720","723516374224670720")</f>
        <v>723516374224670720</v>
      </c>
      <c r="F3974" s="11" t="s">
        <v>20</v>
      </c>
      <c r="G3974" s="11">
        <v>298</v>
      </c>
      <c r="H3974" s="11">
        <v>328</v>
      </c>
      <c r="I3974" s="11">
        <v>4</v>
      </c>
      <c r="J3974" s="11">
        <v>0</v>
      </c>
      <c r="K3974" s="11" t="s">
        <v>21</v>
      </c>
      <c r="L3974" s="7">
        <v>39848.183668981481</v>
      </c>
      <c r="M3974" s="12" t="s">
        <v>9449</v>
      </c>
      <c r="N3974" s="12" t="s">
        <v>9450</v>
      </c>
      <c r="O3974" s="10" t="str">
        <f>HYPERLINK("https://pbs.twimg.com/profile_images/718947317412442112/GdF_9l4b_normal.jpg","View")</f>
        <v>View</v>
      </c>
      <c r="P3974" s="11"/>
    </row>
    <row r="3975" spans="1:16" ht="12.75" x14ac:dyDescent="0.35">
      <c r="A3975" s="7">
        <v>42482.825578703705</v>
      </c>
      <c r="B3975" s="8" t="str">
        <f>HYPERLINK("https://twitter.com/Teresa2561Terry","@Teresa2561Terry")</f>
        <v>@Teresa2561Terry</v>
      </c>
      <c r="C3975" s="9" t="s">
        <v>9451</v>
      </c>
      <c r="D3975" s="9" t="s">
        <v>8099</v>
      </c>
      <c r="E3975" s="10" t="str">
        <f>HYPERLINK("https://twitter.com/Teresa2561Terry/status/723516414041137152","723516414041137152")</f>
        <v>723516414041137152</v>
      </c>
      <c r="F3975" s="11" t="s">
        <v>20</v>
      </c>
      <c r="G3975" s="11">
        <v>9</v>
      </c>
      <c r="H3975" s="11">
        <v>48</v>
      </c>
      <c r="I3975" s="11">
        <v>3</v>
      </c>
      <c r="J3975" s="11">
        <v>0</v>
      </c>
      <c r="K3975" s="11" t="s">
        <v>21</v>
      </c>
      <c r="L3975" s="7">
        <v>41345.400138888886</v>
      </c>
      <c r="M3975" s="12"/>
      <c r="N3975" s="12"/>
      <c r="O3975" s="10" t="str">
        <f>HYPERLINK("https://abs.twimg.com/sticky/default_profile_images/default_profile_1_normal.png","View")</f>
        <v>View</v>
      </c>
      <c r="P3975" s="11"/>
    </row>
    <row r="3976" spans="1:16" ht="12.75" x14ac:dyDescent="0.35">
      <c r="A3976" s="7">
        <v>42482.825833333336</v>
      </c>
      <c r="B3976" s="8" t="str">
        <f>HYPERLINK("https://twitter.com/patburd","@patburd")</f>
        <v>@patburd</v>
      </c>
      <c r="C3976" s="9" t="s">
        <v>9452</v>
      </c>
      <c r="D3976" s="9" t="s">
        <v>9453</v>
      </c>
      <c r="E3976" s="10" t="str">
        <f>HYPERLINK("https://twitter.com/patburd/status/723516507007766528","723516507007766528")</f>
        <v>723516507007766528</v>
      </c>
      <c r="F3976" s="11" t="s">
        <v>20</v>
      </c>
      <c r="G3976" s="11">
        <v>1538</v>
      </c>
      <c r="H3976" s="11">
        <v>2160</v>
      </c>
      <c r="I3976" s="11">
        <v>0</v>
      </c>
      <c r="J3976" s="11">
        <v>0</v>
      </c>
      <c r="K3976" s="11" t="s">
        <v>21</v>
      </c>
      <c r="L3976" s="7">
        <v>40120.134305555555</v>
      </c>
      <c r="M3976" s="12" t="s">
        <v>1827</v>
      </c>
      <c r="N3976" s="12" t="s">
        <v>9454</v>
      </c>
      <c r="O3976" s="10" t="str">
        <f>HYPERLINK("https://pbs.twimg.com/profile_images/705043067687063553/6b7Abz4A_normal.jpg","View")</f>
        <v>View</v>
      </c>
      <c r="P3976" s="11"/>
    </row>
    <row r="3977" spans="1:16" ht="12.75" x14ac:dyDescent="0.35">
      <c r="A3977" s="7">
        <v>42482.825914351852</v>
      </c>
      <c r="B3977" s="8" t="str">
        <f>HYPERLINK("https://twitter.com/Taipanos","@Taipanos")</f>
        <v>@Taipanos</v>
      </c>
      <c r="C3977" s="9" t="s">
        <v>9455</v>
      </c>
      <c r="D3977" s="9" t="s">
        <v>9456</v>
      </c>
      <c r="E3977" s="10" t="str">
        <f>HYPERLINK("https://twitter.com/Taipanos/status/723516537865420801","723516537865420801")</f>
        <v>723516537865420801</v>
      </c>
      <c r="F3977" s="11" t="s">
        <v>48</v>
      </c>
      <c r="G3977" s="11">
        <v>213</v>
      </c>
      <c r="H3977" s="11">
        <v>572</v>
      </c>
      <c r="I3977" s="11">
        <v>0</v>
      </c>
      <c r="J3977" s="11">
        <v>0</v>
      </c>
      <c r="K3977" s="11" t="s">
        <v>21</v>
      </c>
      <c r="L3977" s="7">
        <v>41589.553900462961</v>
      </c>
      <c r="M3977" s="12" t="s">
        <v>7037</v>
      </c>
      <c r="N3977" s="12" t="s">
        <v>9457</v>
      </c>
      <c r="O3977" s="10" t="str">
        <f>HYPERLINK("https://pbs.twimg.com/profile_images/697492201492910080/uR3QlSaO_normal.jpg","View")</f>
        <v>View</v>
      </c>
      <c r="P3977" s="11"/>
    </row>
    <row r="3978" spans="1:16" ht="12.75" x14ac:dyDescent="0.35">
      <c r="A3978" s="7">
        <v>42482.826041666667</v>
      </c>
      <c r="B3978" s="8" t="str">
        <f>HYPERLINK("https://twitter.com/Banane0711","@Banane0711")</f>
        <v>@Banane0711</v>
      </c>
      <c r="C3978" s="9" t="s">
        <v>8730</v>
      </c>
      <c r="D3978" s="9" t="s">
        <v>9458</v>
      </c>
      <c r="E3978" s="10" t="str">
        <f>HYPERLINK("https://twitter.com/Banane0711/status/723516583960780804","723516583960780804")</f>
        <v>723516583960780804</v>
      </c>
      <c r="F3978" s="11" t="s">
        <v>43</v>
      </c>
      <c r="G3978" s="11">
        <v>346</v>
      </c>
      <c r="H3978" s="11">
        <v>33</v>
      </c>
      <c r="I3978" s="11">
        <v>0</v>
      </c>
      <c r="J3978" s="11">
        <v>0</v>
      </c>
      <c r="K3978" s="11" t="s">
        <v>21</v>
      </c>
      <c r="L3978" s="7">
        <v>40766.10491898148</v>
      </c>
      <c r="M3978" s="12"/>
      <c r="N3978" s="12"/>
      <c r="O3978" s="10" t="str">
        <f>HYPERLINK("https://pbs.twimg.com/profile_images/1488674331/schofer4_normal.jpg","View")</f>
        <v>View</v>
      </c>
      <c r="P3978" s="11"/>
    </row>
    <row r="3979" spans="1:16" ht="12.75" x14ac:dyDescent="0.35">
      <c r="A3979" s="7">
        <v>42482.82612268519</v>
      </c>
      <c r="B3979" s="8" t="str">
        <f>HYPERLINK("https://twitter.com/DUBusSchool","@DUBusSchool")</f>
        <v>@DUBusSchool</v>
      </c>
      <c r="C3979" s="9" t="s">
        <v>9459</v>
      </c>
      <c r="D3979" s="9" t="s">
        <v>9460</v>
      </c>
      <c r="E3979" s="10" t="str">
        <f>HYPERLINK("https://twitter.com/DUBusSchool/status/723516614038196224","723516614038196224")</f>
        <v>723516614038196224</v>
      </c>
      <c r="F3979" s="11" t="s">
        <v>43</v>
      </c>
      <c r="G3979" s="11">
        <v>2422</v>
      </c>
      <c r="H3979" s="11">
        <v>445</v>
      </c>
      <c r="I3979" s="11">
        <v>0</v>
      </c>
      <c r="J3979" s="11">
        <v>0</v>
      </c>
      <c r="K3979" s="11" t="s">
        <v>21</v>
      </c>
      <c r="L3979" s="7">
        <v>40255.862754629634</v>
      </c>
      <c r="M3979" s="12" t="s">
        <v>9461</v>
      </c>
      <c r="N3979" s="12" t="s">
        <v>9462</v>
      </c>
      <c r="O3979" s="10" t="str">
        <f>HYPERLINK("https://pbs.twimg.com/profile_images/684402258092621824/ctTUwOXj_normal.jpg","View")</f>
        <v>View</v>
      </c>
      <c r="P3979" s="11"/>
    </row>
    <row r="3980" spans="1:16" ht="12.75" x14ac:dyDescent="0.35">
      <c r="A3980" s="7">
        <v>42482.826180555552</v>
      </c>
      <c r="B3980" s="8" t="str">
        <f>HYPERLINK("https://twitter.com/kirillklip","@kirillklip")</f>
        <v>@kirillklip</v>
      </c>
      <c r="C3980" s="9" t="s">
        <v>9463</v>
      </c>
      <c r="D3980" s="9" t="s">
        <v>9180</v>
      </c>
      <c r="E3980" s="10" t="str">
        <f>HYPERLINK("https://twitter.com/kirillklip/status/723516635101990913","723516635101990913")</f>
        <v>723516635101990913</v>
      </c>
      <c r="F3980" s="11" t="s">
        <v>20</v>
      </c>
      <c r="G3980" s="11">
        <v>2293</v>
      </c>
      <c r="H3980" s="11">
        <v>2487</v>
      </c>
      <c r="I3980" s="11">
        <v>3</v>
      </c>
      <c r="J3980" s="11">
        <v>0</v>
      </c>
      <c r="K3980" s="11" t="s">
        <v>21</v>
      </c>
      <c r="L3980" s="7">
        <v>40281.094097222223</v>
      </c>
      <c r="M3980" s="12"/>
      <c r="N3980" s="12" t="s">
        <v>9464</v>
      </c>
      <c r="O3980" s="10" t="str">
        <f>HYPERLINK("https://pbs.twimg.com/profile_images/716972542871908352/YA5lUDGS_normal.jpg","View")</f>
        <v>View</v>
      </c>
      <c r="P3980" s="11"/>
    </row>
    <row r="3981" spans="1:16" ht="12.75" x14ac:dyDescent="0.35">
      <c r="A3981" s="7">
        <v>42482.826319444444</v>
      </c>
      <c r="B3981" s="8" t="str">
        <f>HYPERLINK("https://twitter.com/markuspieperMEP","@markuspieperMEP")</f>
        <v>@markuspieperMEP</v>
      </c>
      <c r="C3981" s="9" t="s">
        <v>9310</v>
      </c>
      <c r="D3981" s="9" t="s">
        <v>9465</v>
      </c>
      <c r="E3981" s="10" t="str">
        <f>HYPERLINK("https://twitter.com/markuspieperMEP/status/723516684598927360","723516684598927360")</f>
        <v>723516684598927360</v>
      </c>
      <c r="F3981" s="11" t="s">
        <v>48</v>
      </c>
      <c r="G3981" s="11">
        <v>181</v>
      </c>
      <c r="H3981" s="11">
        <v>86</v>
      </c>
      <c r="I3981" s="11">
        <v>0</v>
      </c>
      <c r="J3981" s="11">
        <v>0</v>
      </c>
      <c r="K3981" s="11" t="s">
        <v>21</v>
      </c>
      <c r="L3981" s="7">
        <v>42019.712060185186</v>
      </c>
      <c r="M3981" s="12"/>
      <c r="N3981" s="12" t="s">
        <v>9312</v>
      </c>
      <c r="O3981" s="10" t="str">
        <f>HYPERLINK("https://pbs.twimg.com/profile_images/557479172256194561/6F1rsS4X_normal.jpeg","View")</f>
        <v>View</v>
      </c>
      <c r="P3981" s="11"/>
    </row>
    <row r="3982" spans="1:16" ht="12.75" x14ac:dyDescent="0.35">
      <c r="A3982" s="7">
        <v>42482.826377314814</v>
      </c>
      <c r="B3982" s="8" t="str">
        <f>HYPERLINK("https://twitter.com/BR24","@BR24")</f>
        <v>@BR24</v>
      </c>
      <c r="C3982" s="9" t="s">
        <v>9346</v>
      </c>
      <c r="D3982" s="9" t="s">
        <v>9466</v>
      </c>
      <c r="E3982" s="10" t="str">
        <f>HYPERLINK("https://twitter.com/BR24/status/723516704408653824","723516704408653824")</f>
        <v>723516704408653824</v>
      </c>
      <c r="F3982" s="11" t="s">
        <v>63</v>
      </c>
      <c r="G3982" s="11">
        <v>13868</v>
      </c>
      <c r="H3982" s="11">
        <v>905</v>
      </c>
      <c r="I3982" s="11">
        <v>0</v>
      </c>
      <c r="J3982" s="11">
        <v>0</v>
      </c>
      <c r="K3982" s="11" t="s">
        <v>21</v>
      </c>
      <c r="L3982" s="7">
        <v>40134.254861111112</v>
      </c>
      <c r="M3982" s="12"/>
      <c r="N3982" s="12" t="s">
        <v>9348</v>
      </c>
      <c r="O3982" s="10" t="str">
        <f>HYPERLINK("https://pbs.twimg.com/profile_images/719417054240108544/teV1mM6A_normal.jpg","View")</f>
        <v>View</v>
      </c>
      <c r="P3982" s="11"/>
    </row>
    <row r="3983" spans="1:16" ht="12.75" x14ac:dyDescent="0.35">
      <c r="A3983" s="7">
        <v>42482.826527777783</v>
      </c>
      <c r="B3983" s="8" t="str">
        <f>HYPERLINK("https://twitter.com/Koelsch_blood","@Koelsch_blood")</f>
        <v>@Koelsch_blood</v>
      </c>
      <c r="C3983" s="9" t="s">
        <v>9467</v>
      </c>
      <c r="D3983" s="9" t="s">
        <v>9468</v>
      </c>
      <c r="E3983" s="10" t="str">
        <f>HYPERLINK("https://twitter.com/Koelsch_blood/status/723516758666022916","723516758666022916")</f>
        <v>723516758666022916</v>
      </c>
      <c r="F3983" s="11" t="s">
        <v>20</v>
      </c>
      <c r="G3983" s="11">
        <v>633</v>
      </c>
      <c r="H3983" s="11">
        <v>474</v>
      </c>
      <c r="I3983" s="11">
        <v>1</v>
      </c>
      <c r="J3983" s="11">
        <v>0</v>
      </c>
      <c r="K3983" s="11" t="s">
        <v>21</v>
      </c>
      <c r="L3983" s="7">
        <v>41675.719212962962</v>
      </c>
      <c r="M3983" s="12" t="s">
        <v>9469</v>
      </c>
      <c r="N3983" s="12" t="s">
        <v>9470</v>
      </c>
      <c r="O3983" s="10" t="str">
        <f>HYPERLINK("https://pbs.twimg.com/profile_images/696272203411755008/EoixNlfD_normal.jpg","View")</f>
        <v>View</v>
      </c>
      <c r="P3983" s="11"/>
    </row>
    <row r="3984" spans="1:16" ht="12.75" x14ac:dyDescent="0.35">
      <c r="A3984" s="7">
        <v>42482.826585648145</v>
      </c>
      <c r="B3984" s="8" t="str">
        <f>HYPERLINK("https://twitter.com/doern","@doern")</f>
        <v>@doern</v>
      </c>
      <c r="C3984" s="9" t="s">
        <v>3107</v>
      </c>
      <c r="D3984" s="9" t="s">
        <v>9471</v>
      </c>
      <c r="E3984" s="10" t="str">
        <f>HYPERLINK("https://twitter.com/doern/status/723516781097263106","723516781097263106")</f>
        <v>723516781097263106</v>
      </c>
      <c r="F3984" s="11" t="s">
        <v>20</v>
      </c>
      <c r="G3984" s="11">
        <v>365</v>
      </c>
      <c r="H3984" s="11">
        <v>63</v>
      </c>
      <c r="I3984" s="11">
        <v>0</v>
      </c>
      <c r="J3984" s="11">
        <v>0</v>
      </c>
      <c r="K3984" s="11" t="s">
        <v>21</v>
      </c>
      <c r="L3984" s="7">
        <v>39909.663194444445</v>
      </c>
      <c r="M3984" s="12" t="s">
        <v>262</v>
      </c>
      <c r="N3984" s="12" t="s">
        <v>3109</v>
      </c>
      <c r="O3984" s="10" t="str">
        <f>HYPERLINK("https://pbs.twimg.com/profile_images/657853466384191488/J6vAnfZr_normal.jpg","View")</f>
        <v>View</v>
      </c>
      <c r="P3984" s="11"/>
    </row>
    <row r="3985" spans="1:16" ht="12.75" x14ac:dyDescent="0.35">
      <c r="A3985" s="7">
        <v>42482.826631944445</v>
      </c>
      <c r="B3985" s="8" t="str">
        <f>HYPERLINK("https://twitter.com/gehmichwech","@gehmichwech")</f>
        <v>@gehmichwech</v>
      </c>
      <c r="C3985" s="9" t="s">
        <v>9472</v>
      </c>
      <c r="D3985" s="9" t="s">
        <v>9473</v>
      </c>
      <c r="E3985" s="10" t="str">
        <f>HYPERLINK("https://twitter.com/gehmichwech/status/723516798126186496","723516798126186496")</f>
        <v>723516798126186496</v>
      </c>
      <c r="F3985" s="11" t="s">
        <v>20</v>
      </c>
      <c r="G3985" s="11">
        <v>33</v>
      </c>
      <c r="H3985" s="11">
        <v>98</v>
      </c>
      <c r="I3985" s="11">
        <v>0</v>
      </c>
      <c r="J3985" s="11">
        <v>1</v>
      </c>
      <c r="K3985" s="11" t="s">
        <v>21</v>
      </c>
      <c r="L3985" s="7">
        <v>41375.514710648145</v>
      </c>
      <c r="M3985" s="12" t="s">
        <v>9474</v>
      </c>
      <c r="N3985" s="12" t="s">
        <v>9475</v>
      </c>
      <c r="O3985" s="10" t="str">
        <f>HYPERLINK("https://pbs.twimg.com/profile_images/481527330616393728/r0kwCuLo_normal.jpeg","View")</f>
        <v>View</v>
      </c>
      <c r="P3985" s="11"/>
    </row>
    <row r="3986" spans="1:16" ht="12.75" x14ac:dyDescent="0.35">
      <c r="A3986" s="7">
        <v>42482.826840277776</v>
      </c>
      <c r="B3986" s="8" t="str">
        <f>HYPERLINK("https://twitter.com/Patrick_Voss_","@Patrick_Voss_")</f>
        <v>@Patrick_Voss_</v>
      </c>
      <c r="C3986" s="9" t="s">
        <v>9476</v>
      </c>
      <c r="D3986" s="9" t="s">
        <v>9477</v>
      </c>
      <c r="E3986" s="10" t="str">
        <f>HYPERLINK("https://twitter.com/Patrick_Voss_/status/723516874642841600","723516874642841600")</f>
        <v>723516874642841600</v>
      </c>
      <c r="F3986" s="11" t="s">
        <v>160</v>
      </c>
      <c r="G3986" s="11">
        <v>118</v>
      </c>
      <c r="H3986" s="11">
        <v>179</v>
      </c>
      <c r="I3986" s="11">
        <v>2</v>
      </c>
      <c r="J3986" s="11">
        <v>0</v>
      </c>
      <c r="K3986" s="11" t="s">
        <v>21</v>
      </c>
      <c r="L3986" s="7">
        <v>42242.016319444447</v>
      </c>
      <c r="M3986" s="12" t="s">
        <v>9478</v>
      </c>
      <c r="N3986" s="12" t="s">
        <v>9479</v>
      </c>
      <c r="O3986" s="10" t="str">
        <f>HYPERLINK("https://pbs.twimg.com/profile_images/658222913217277952/EQZeSiK5_normal.jpg","View")</f>
        <v>View</v>
      </c>
      <c r="P3986" s="11"/>
    </row>
    <row r="3987" spans="1:16" ht="12.75" x14ac:dyDescent="0.35">
      <c r="A3987" s="7">
        <v>42482.826886574076</v>
      </c>
      <c r="B3987" s="8" t="str">
        <f>HYPERLINK("https://twitter.com/turronzitoo","@turronzitoo")</f>
        <v>@turronzitoo</v>
      </c>
      <c r="C3987" s="9" t="s">
        <v>9480</v>
      </c>
      <c r="D3987" s="9" t="s">
        <v>9481</v>
      </c>
      <c r="E3987" s="10" t="str">
        <f>HYPERLINK("https://twitter.com/turronzitoo/status/723516891764023296","723516891764023296")</f>
        <v>723516891764023296</v>
      </c>
      <c r="F3987" s="11" t="s">
        <v>43</v>
      </c>
      <c r="G3987" s="11">
        <v>1104</v>
      </c>
      <c r="H3987" s="11">
        <v>411</v>
      </c>
      <c r="I3987" s="11">
        <v>0</v>
      </c>
      <c r="J3987" s="11">
        <v>0</v>
      </c>
      <c r="K3987" s="11" t="s">
        <v>21</v>
      </c>
      <c r="L3987" s="7">
        <v>40469.620706018519</v>
      </c>
      <c r="M3987" s="12" t="s">
        <v>8596</v>
      </c>
      <c r="N3987" s="12" t="s">
        <v>9482</v>
      </c>
      <c r="O3987" s="10" t="str">
        <f>HYPERLINK("https://pbs.twimg.com/profile_images/3744919436/47afb1651fe52de7e73cae0d3feb67d1_normal.png","View")</f>
        <v>View</v>
      </c>
      <c r="P3987" s="11"/>
    </row>
    <row r="3988" spans="1:16" ht="12.75" x14ac:dyDescent="0.35">
      <c r="A3988" s="7">
        <v>42482.826932870375</v>
      </c>
      <c r="B3988" s="8" t="str">
        <f>HYPERLINK("https://twitter.com/GrahameLucas","@GrahameLucas")</f>
        <v>@GrahameLucas</v>
      </c>
      <c r="C3988" s="9" t="s">
        <v>4012</v>
      </c>
      <c r="D3988" s="9" t="s">
        <v>9483</v>
      </c>
      <c r="E3988" s="10" t="str">
        <f>HYPERLINK("https://twitter.com/GrahameLucas/status/723516906968363008","723516906968363008")</f>
        <v>723516906968363008</v>
      </c>
      <c r="F3988" s="10" t="s">
        <v>2083</v>
      </c>
      <c r="G3988" s="11">
        <v>10791</v>
      </c>
      <c r="H3988" s="11">
        <v>9746</v>
      </c>
      <c r="I3988" s="11">
        <v>0</v>
      </c>
      <c r="J3988" s="11">
        <v>0</v>
      </c>
      <c r="K3988" s="11" t="s">
        <v>21</v>
      </c>
      <c r="L3988" s="7">
        <v>39940.958749999998</v>
      </c>
      <c r="M3988" s="12" t="s">
        <v>1303</v>
      </c>
      <c r="N3988" s="12" t="s">
        <v>4014</v>
      </c>
      <c r="O3988" s="10" t="str">
        <f>HYPERLINK("https://pbs.twimg.com/profile_images/550005315048333314/YipuE0ON_normal.jpeg","View")</f>
        <v>View</v>
      </c>
      <c r="P3988" s="11"/>
    </row>
    <row r="3989" spans="1:16" ht="12.75" x14ac:dyDescent="0.35">
      <c r="A3989" s="7">
        <v>42482.827025462961</v>
      </c>
      <c r="B3989" s="8" t="str">
        <f>HYPERLINK("https://twitter.com/fzerfass","@fzerfass")</f>
        <v>@fzerfass</v>
      </c>
      <c r="C3989" s="9" t="s">
        <v>9484</v>
      </c>
      <c r="D3989" s="9" t="s">
        <v>9485</v>
      </c>
      <c r="E3989" s="10" t="str">
        <f>HYPERLINK("https://twitter.com/fzerfass/status/723516941206446080","723516941206446080")</f>
        <v>723516941206446080</v>
      </c>
      <c r="F3989" s="11" t="s">
        <v>43</v>
      </c>
      <c r="G3989" s="11">
        <v>367</v>
      </c>
      <c r="H3989" s="11">
        <v>200</v>
      </c>
      <c r="I3989" s="11">
        <v>1</v>
      </c>
      <c r="J3989" s="11">
        <v>0</v>
      </c>
      <c r="K3989" s="11" t="s">
        <v>21</v>
      </c>
      <c r="L3989" s="7">
        <v>40551.897499999999</v>
      </c>
      <c r="M3989" s="12" t="s">
        <v>9486</v>
      </c>
      <c r="N3989" s="12" t="s">
        <v>9487</v>
      </c>
      <c r="O3989" s="10" t="str">
        <f>HYPERLINK("https://pbs.twimg.com/profile_images/3121139630/cf49c4a28b490fc2d785123b06e6ae84_normal.jpeg","View")</f>
        <v>View</v>
      </c>
      <c r="P3989" s="11"/>
    </row>
    <row r="3990" spans="1:16" ht="12.75" x14ac:dyDescent="0.35">
      <c r="A3990" s="7">
        <v>42482.827280092592</v>
      </c>
      <c r="B3990" s="8" t="str">
        <f>HYPERLINK("https://twitter.com/TeeKayWorld","@TeeKayWorld")</f>
        <v>@TeeKayWorld</v>
      </c>
      <c r="C3990" s="9" t="s">
        <v>9488</v>
      </c>
      <c r="D3990" s="9" t="s">
        <v>7036</v>
      </c>
      <c r="E3990" s="10" t="str">
        <f>HYPERLINK("https://twitter.com/TeeKayWorld/status/723517034039021568","723517034039021568")</f>
        <v>723517034039021568</v>
      </c>
      <c r="F3990" s="11" t="s">
        <v>48</v>
      </c>
      <c r="G3990" s="11">
        <v>162</v>
      </c>
      <c r="H3990" s="11">
        <v>310</v>
      </c>
      <c r="I3990" s="11">
        <v>10</v>
      </c>
      <c r="J3990" s="11">
        <v>0</v>
      </c>
      <c r="K3990" s="11" t="s">
        <v>21</v>
      </c>
      <c r="L3990" s="7">
        <v>41401.706990740742</v>
      </c>
      <c r="M3990" s="12"/>
      <c r="N3990" s="12" t="s">
        <v>9489</v>
      </c>
      <c r="O3990" s="10" t="str">
        <f>HYPERLINK("https://pbs.twimg.com/profile_images/712717116500221952/ciEvVo2v_normal.jpg","View")</f>
        <v>View</v>
      </c>
      <c r="P3990" s="11"/>
    </row>
    <row r="3991" spans="1:16" ht="12.75" x14ac:dyDescent="0.35">
      <c r="A3991" s="7">
        <v>42482.827592592592</v>
      </c>
      <c r="B3991" s="8" t="str">
        <f>HYPERLINK("https://twitter.com/Banane0711","@Banane0711")</f>
        <v>@Banane0711</v>
      </c>
      <c r="C3991" s="9" t="s">
        <v>8730</v>
      </c>
      <c r="D3991" s="9" t="s">
        <v>9490</v>
      </c>
      <c r="E3991" s="10" t="str">
        <f>HYPERLINK("https://twitter.com/Banane0711/status/723517147264245760","723517147264245760")</f>
        <v>723517147264245760</v>
      </c>
      <c r="F3991" s="11" t="s">
        <v>43</v>
      </c>
      <c r="G3991" s="11">
        <v>346</v>
      </c>
      <c r="H3991" s="11">
        <v>33</v>
      </c>
      <c r="I3991" s="11">
        <v>0</v>
      </c>
      <c r="J3991" s="11">
        <v>0</v>
      </c>
      <c r="K3991" s="11" t="s">
        <v>21</v>
      </c>
      <c r="L3991" s="7">
        <v>40766.10491898148</v>
      </c>
      <c r="M3991" s="12"/>
      <c r="N3991" s="12"/>
      <c r="O3991" s="10" t="str">
        <f>HYPERLINK("https://pbs.twimg.com/profile_images/1488674331/schofer4_normal.jpg","View")</f>
        <v>View</v>
      </c>
      <c r="P3991" s="11"/>
    </row>
    <row r="3992" spans="1:16" ht="12.75" x14ac:dyDescent="0.35">
      <c r="A3992" s="7">
        <v>42482.827627314815</v>
      </c>
      <c r="B3992" s="8" t="str">
        <f>HYPERLINK("https://twitter.com/hannah_mowat","@hannah_mowat")</f>
        <v>@hannah_mowat</v>
      </c>
      <c r="C3992" s="9" t="s">
        <v>9491</v>
      </c>
      <c r="D3992" s="9" t="s">
        <v>9492</v>
      </c>
      <c r="E3992" s="10" t="str">
        <f>HYPERLINK("https://twitter.com/hannah_mowat/status/723517160283353088","723517160283353088")</f>
        <v>723517160283353088</v>
      </c>
      <c r="F3992" s="11" t="s">
        <v>43</v>
      </c>
      <c r="G3992" s="11">
        <v>677</v>
      </c>
      <c r="H3992" s="11">
        <v>443</v>
      </c>
      <c r="I3992" s="11">
        <v>0</v>
      </c>
      <c r="J3992" s="11">
        <v>0</v>
      </c>
      <c r="K3992" s="11" t="s">
        <v>21</v>
      </c>
      <c r="L3992" s="7">
        <v>40193.134594907409</v>
      </c>
      <c r="M3992" s="12" t="s">
        <v>980</v>
      </c>
      <c r="N3992" s="12" t="s">
        <v>9493</v>
      </c>
      <c r="O3992" s="10" t="str">
        <f>HYPERLINK("https://pbs.twimg.com/profile_images/562598669795344384/2grdOcB7_normal.jpeg","View")</f>
        <v>View</v>
      </c>
      <c r="P3992" s="11"/>
    </row>
    <row r="3993" spans="1:16" ht="12.75" x14ac:dyDescent="0.35">
      <c r="A3993" s="7">
        <v>42482.827743055561</v>
      </c>
      <c r="B3993" s="8" t="str">
        <f>HYPERLINK("https://twitter.com/mikereportero","@mikereportero")</f>
        <v>@mikereportero</v>
      </c>
      <c r="C3993" s="9" t="s">
        <v>9494</v>
      </c>
      <c r="D3993" s="9" t="s">
        <v>9495</v>
      </c>
      <c r="E3993" s="10" t="str">
        <f>HYPERLINK("https://twitter.com/mikereportero/status/723517202045923328","723517202045923328")</f>
        <v>723517202045923328</v>
      </c>
      <c r="F3993" s="11" t="s">
        <v>43</v>
      </c>
      <c r="G3993" s="11">
        <v>513</v>
      </c>
      <c r="H3993" s="11">
        <v>1101</v>
      </c>
      <c r="I3993" s="11">
        <v>1</v>
      </c>
      <c r="J3993" s="11">
        <v>0</v>
      </c>
      <c r="K3993" s="11" t="s">
        <v>21</v>
      </c>
      <c r="L3993" s="7">
        <v>40460.190439814818</v>
      </c>
      <c r="M3993" s="12"/>
      <c r="N3993" s="12" t="s">
        <v>9496</v>
      </c>
      <c r="O3993" s="10" t="str">
        <f>HYPERLINK("https://pbs.twimg.com/profile_images/649200319507755008/yWJYyubW_normal.jpg","View")</f>
        <v>View</v>
      </c>
      <c r="P3993" s="11"/>
    </row>
    <row r="3994" spans="1:16" ht="12.75" x14ac:dyDescent="0.35">
      <c r="A3994" s="7">
        <v>42482.828101851846</v>
      </c>
      <c r="B3994" s="8" t="str">
        <f>HYPERLINK("https://twitter.com/JungeInnenstadt","@JungeInnenstadt")</f>
        <v>@JungeInnenstadt</v>
      </c>
      <c r="C3994" s="9" t="s">
        <v>9497</v>
      </c>
      <c r="D3994" s="9" t="s">
        <v>9498</v>
      </c>
      <c r="E3994" s="10" t="str">
        <f>HYPERLINK("https://twitter.com/JungeInnenstadt/status/723517329330573312","723517329330573312")</f>
        <v>723517329330573312</v>
      </c>
      <c r="F3994" s="11" t="s">
        <v>48</v>
      </c>
      <c r="G3994" s="11">
        <v>54</v>
      </c>
      <c r="H3994" s="11">
        <v>28</v>
      </c>
      <c r="I3994" s="11">
        <v>0</v>
      </c>
      <c r="J3994" s="11">
        <v>0</v>
      </c>
      <c r="K3994" s="11" t="s">
        <v>21</v>
      </c>
      <c r="L3994" s="7">
        <v>40200.819803240738</v>
      </c>
      <c r="M3994" s="12" t="s">
        <v>4890</v>
      </c>
      <c r="N3994" s="12" t="s">
        <v>9499</v>
      </c>
      <c r="O3994" s="10" t="str">
        <f>HYPERLINK("https://pbs.twimg.com/profile_images/648058308/461223_1234460921503l_normal.jpg","View")</f>
        <v>View</v>
      </c>
      <c r="P3994" s="11"/>
    </row>
    <row r="3995" spans="1:16" ht="12.75" x14ac:dyDescent="0.35">
      <c r="A3995" s="7">
        <v>42482.828518518523</v>
      </c>
      <c r="B3995" s="8" t="str">
        <f>HYPERLINK("https://twitter.com/suissepat","@suissepat")</f>
        <v>@suissepat</v>
      </c>
      <c r="C3995" s="9" t="s">
        <v>9500</v>
      </c>
      <c r="D3995" s="9" t="s">
        <v>9501</v>
      </c>
      <c r="E3995" s="10" t="str">
        <f>HYPERLINK("https://twitter.com/suissepat/status/723517480455557120","723517480455557120")</f>
        <v>723517480455557120</v>
      </c>
      <c r="F3995" s="11" t="s">
        <v>20</v>
      </c>
      <c r="G3995" s="11">
        <v>10</v>
      </c>
      <c r="H3995" s="11">
        <v>60</v>
      </c>
      <c r="I3995" s="11">
        <v>0</v>
      </c>
      <c r="J3995" s="11">
        <v>0</v>
      </c>
      <c r="K3995" s="11" t="s">
        <v>21</v>
      </c>
      <c r="L3995" s="7">
        <v>40775.064270833333</v>
      </c>
      <c r="M3995" s="12"/>
      <c r="N3995" s="12"/>
      <c r="O3995" s="10" t="str">
        <f>HYPERLINK("https://pbs.twimg.com/profile_images/649322876340994048/-P2inwQT_normal.jpg","View")</f>
        <v>View</v>
      </c>
      <c r="P3995" s="11"/>
    </row>
    <row r="3996" spans="1:16" ht="12.75" x14ac:dyDescent="0.35">
      <c r="A3996" s="7">
        <v>42482.82876157407</v>
      </c>
      <c r="B3996" s="8" t="str">
        <f>HYPERLINK("https://twitter.com/Insta_VWT","@Insta_VWT")</f>
        <v>@Insta_VWT</v>
      </c>
      <c r="C3996" s="9" t="s">
        <v>181</v>
      </c>
      <c r="D3996" s="9" t="s">
        <v>9502</v>
      </c>
      <c r="E3996" s="10" t="str">
        <f>HYPERLINK("https://twitter.com/Insta_VWT/status/723517568636608517","723517568636608517")</f>
        <v>723517568636608517</v>
      </c>
      <c r="F3996" s="11" t="s">
        <v>68</v>
      </c>
      <c r="G3996" s="11">
        <v>481</v>
      </c>
      <c r="H3996" s="11">
        <v>0</v>
      </c>
      <c r="I3996" s="11">
        <v>0</v>
      </c>
      <c r="J3996" s="11">
        <v>0</v>
      </c>
      <c r="K3996" s="11" t="s">
        <v>21</v>
      </c>
      <c r="L3996" s="7">
        <v>41658.782800925925</v>
      </c>
      <c r="M3996" s="12" t="s">
        <v>183</v>
      </c>
      <c r="N3996" s="12" t="s">
        <v>184</v>
      </c>
      <c r="O3996" s="10" t="str">
        <f>HYPERLINK("https://pbs.twimg.com/profile_images/424893967197433858/iQ86NktX_normal.jpeg","View")</f>
        <v>View</v>
      </c>
      <c r="P3996" s="11"/>
    </row>
    <row r="3997" spans="1:16" ht="12.75" x14ac:dyDescent="0.35">
      <c r="A3997" s="7">
        <v>42482.828796296293</v>
      </c>
      <c r="B3997" s="8" t="str">
        <f>HYPERLINK("https://twitter.com/wehrs18","@wehrs18")</f>
        <v>@wehrs18</v>
      </c>
      <c r="C3997" s="9" t="s">
        <v>1964</v>
      </c>
      <c r="D3997" s="9" t="s">
        <v>9503</v>
      </c>
      <c r="E3997" s="10" t="str">
        <f>HYPERLINK("https://twitter.com/wehrs18/status/723517580997201920","723517580997201920")</f>
        <v>723517580997201920</v>
      </c>
      <c r="F3997" s="11" t="s">
        <v>48</v>
      </c>
      <c r="G3997" s="11">
        <v>122</v>
      </c>
      <c r="H3997" s="11">
        <v>241</v>
      </c>
      <c r="I3997" s="11">
        <v>1</v>
      </c>
      <c r="J3997" s="11">
        <v>0</v>
      </c>
      <c r="K3997" s="11" t="s">
        <v>21</v>
      </c>
      <c r="L3997" s="7">
        <v>41836.590428240743</v>
      </c>
      <c r="M3997" s="12" t="s">
        <v>1116</v>
      </c>
      <c r="N3997" s="12" t="s">
        <v>1965</v>
      </c>
      <c r="O3997" s="10" t="str">
        <f>HYPERLINK("https://pbs.twimg.com/profile_images/687314255507513346/a83L5Opq_normal.jpg","View")</f>
        <v>View</v>
      </c>
      <c r="P3997" s="11"/>
    </row>
    <row r="3998" spans="1:16" ht="12.75" x14ac:dyDescent="0.35">
      <c r="A3998" s="7">
        <v>42482.829050925924</v>
      </c>
      <c r="B3998" s="8" t="str">
        <f>HYPERLINK("https://twitter.com/INCDOTPRINT","@INCDOTPRINT")</f>
        <v>@INCDOTPRINT</v>
      </c>
      <c r="C3998" s="9" t="s">
        <v>9504</v>
      </c>
      <c r="D3998" s="9" t="s">
        <v>9505</v>
      </c>
      <c r="E3998" s="10" t="str">
        <f>HYPERLINK("https://twitter.com/INCDOTPRINT/status/723517672466604032","723517672466604032")</f>
        <v>723517672466604032</v>
      </c>
      <c r="F3998" s="11" t="s">
        <v>43</v>
      </c>
      <c r="G3998" s="11">
        <v>848</v>
      </c>
      <c r="H3998" s="11">
        <v>884</v>
      </c>
      <c r="I3998" s="11">
        <v>0</v>
      </c>
      <c r="J3998" s="11">
        <v>0</v>
      </c>
      <c r="K3998" s="11" t="s">
        <v>21</v>
      </c>
      <c r="L3998" s="7">
        <v>40378.748425925922</v>
      </c>
      <c r="M3998" s="12" t="s">
        <v>9506</v>
      </c>
      <c r="N3998" s="12" t="s">
        <v>9507</v>
      </c>
      <c r="O3998" s="10" t="str">
        <f>HYPERLINK("https://pbs.twimg.com/profile_images/639402958384406528/YUebc_U3_normal.jpg","View")</f>
        <v>View</v>
      </c>
      <c r="P3998" s="11"/>
    </row>
    <row r="3999" spans="1:16" ht="12.75" x14ac:dyDescent="0.35">
      <c r="A3999" s="7">
        <v>42482.829074074078</v>
      </c>
      <c r="B3999" s="8" t="str">
        <f>HYPERLINK("https://twitter.com/mucahitkara85","@mucahitkara85")</f>
        <v>@mucahitkara85</v>
      </c>
      <c r="C3999" s="9" t="s">
        <v>9508</v>
      </c>
      <c r="D3999" s="9" t="s">
        <v>9509</v>
      </c>
      <c r="E3999" s="10" t="str">
        <f>HYPERLINK("https://twitter.com/mucahitkara85/status/723517682692308992","723517682692308992")</f>
        <v>723517682692308992</v>
      </c>
      <c r="F3999" s="11" t="s">
        <v>53</v>
      </c>
      <c r="G3999" s="11">
        <v>95</v>
      </c>
      <c r="H3999" s="11">
        <v>38</v>
      </c>
      <c r="I3999" s="11">
        <v>0</v>
      </c>
      <c r="J3999" s="11">
        <v>0</v>
      </c>
      <c r="K3999" s="11" t="s">
        <v>21</v>
      </c>
      <c r="L3999" s="7">
        <v>41301.760983796295</v>
      </c>
      <c r="M3999" s="12" t="s">
        <v>9510</v>
      </c>
      <c r="N3999" s="12"/>
      <c r="O3999" s="10" t="str">
        <f>HYPERLINK("https://pbs.twimg.com/profile_images/581483594796933120/2NMk7cPY_normal.jpg","View")</f>
        <v>View</v>
      </c>
      <c r="P3999" s="11"/>
    </row>
    <row r="4000" spans="1:16" ht="12.75" x14ac:dyDescent="0.35">
      <c r="A4000" s="7">
        <v>42482.829108796301</v>
      </c>
      <c r="B4000" s="8" t="str">
        <f>HYPERLINK("https://twitter.com/DubLuvTuning","@DubLuvTuning")</f>
        <v>@DubLuvTuning</v>
      </c>
      <c r="C4000" s="9" t="s">
        <v>299</v>
      </c>
      <c r="D4000" s="9" t="s">
        <v>9511</v>
      </c>
      <c r="E4000" s="10" t="str">
        <f>HYPERLINK("https://twitter.com/DubLuvTuning/status/723517695849799682","723517695849799682")</f>
        <v>723517695849799682</v>
      </c>
      <c r="F4000" s="11" t="s">
        <v>288</v>
      </c>
      <c r="G4000" s="11">
        <v>690</v>
      </c>
      <c r="H4000" s="11">
        <v>431</v>
      </c>
      <c r="I4000" s="11">
        <v>1</v>
      </c>
      <c r="J4000" s="11">
        <v>0</v>
      </c>
      <c r="K4000" s="11" t="s">
        <v>21</v>
      </c>
      <c r="L4000" s="7">
        <v>41549.898287037038</v>
      </c>
      <c r="M4000" s="12" t="s">
        <v>301</v>
      </c>
      <c r="N4000" s="12" t="s">
        <v>302</v>
      </c>
      <c r="O4000" s="10" t="str">
        <f>HYPERLINK("https://pbs.twimg.com/profile_images/378800000572104796/1de43e1cf23efb3f4101c02afad0d3b6_normal.png","View")</f>
        <v>View</v>
      </c>
      <c r="P4000" s="11"/>
    </row>
    <row r="4001" spans="1:16" ht="12.75" x14ac:dyDescent="0.35">
      <c r="A4001" s="7">
        <v>42482.829247685186</v>
      </c>
      <c r="B4001" s="8" t="str">
        <f>HYPERLINK("https://twitter.com/louisa_faux","@louisa_faux")</f>
        <v>@louisa_faux</v>
      </c>
      <c r="C4001" s="9" t="s">
        <v>9512</v>
      </c>
      <c r="D4001" s="9" t="s">
        <v>9371</v>
      </c>
      <c r="E4001" s="10" t="str">
        <f>HYPERLINK("https://twitter.com/louisa_faux/status/723517745682214912","723517745682214912")</f>
        <v>723517745682214912</v>
      </c>
      <c r="F4001" s="11" t="s">
        <v>48</v>
      </c>
      <c r="G4001" s="11">
        <v>741</v>
      </c>
      <c r="H4001" s="11">
        <v>781</v>
      </c>
      <c r="I4001" s="11">
        <v>3</v>
      </c>
      <c r="J4001" s="11">
        <v>0</v>
      </c>
      <c r="K4001" s="11" t="s">
        <v>21</v>
      </c>
      <c r="L4001" s="7">
        <v>40096.464456018519</v>
      </c>
      <c r="M4001" s="12" t="s">
        <v>9513</v>
      </c>
      <c r="N4001" s="12" t="s">
        <v>9514</v>
      </c>
      <c r="O4001" s="10" t="str">
        <f>HYPERLINK("https://pbs.twimg.com/profile_images/719243773163622401/mD9s6Uh-_normal.jpg","View")</f>
        <v>View</v>
      </c>
      <c r="P4001" s="11"/>
    </row>
    <row r="4002" spans="1:16" ht="12.75" x14ac:dyDescent="0.35">
      <c r="A4002" s="7">
        <v>42482.829710648148</v>
      </c>
      <c r="B4002" s="8" t="str">
        <f>HYPERLINK("https://twitter.com/doern","@doern")</f>
        <v>@doern</v>
      </c>
      <c r="C4002" s="9" t="s">
        <v>3107</v>
      </c>
      <c r="D4002" s="9" t="s">
        <v>9515</v>
      </c>
      <c r="E4002" s="10" t="str">
        <f>HYPERLINK("https://twitter.com/doern/status/723517915308429313","723517915308429313")</f>
        <v>723517915308429313</v>
      </c>
      <c r="F4002" s="11" t="s">
        <v>43</v>
      </c>
      <c r="G4002" s="11">
        <v>365</v>
      </c>
      <c r="H4002" s="11">
        <v>63</v>
      </c>
      <c r="I4002" s="11">
        <v>1</v>
      </c>
      <c r="J4002" s="11">
        <v>1</v>
      </c>
      <c r="K4002" s="11" t="s">
        <v>21</v>
      </c>
      <c r="L4002" s="7">
        <v>39909.663194444445</v>
      </c>
      <c r="M4002" s="12" t="s">
        <v>262</v>
      </c>
      <c r="N4002" s="12" t="s">
        <v>3109</v>
      </c>
      <c r="O4002" s="10" t="str">
        <f>HYPERLINK("https://pbs.twimg.com/profile_images/657853466384191488/J6vAnfZr_normal.jpg","View")</f>
        <v>View</v>
      </c>
      <c r="P4002" s="11"/>
    </row>
    <row r="4003" spans="1:16" ht="12.75" x14ac:dyDescent="0.35">
      <c r="A4003" s="7">
        <v>42482.829826388886</v>
      </c>
      <c r="B4003" s="8" t="str">
        <f>HYPERLINK("https://twitter.com/Cougs2001","@Cougs2001")</f>
        <v>@Cougs2001</v>
      </c>
      <c r="C4003" s="9" t="s">
        <v>9516</v>
      </c>
      <c r="D4003" s="9" t="s">
        <v>9517</v>
      </c>
      <c r="E4003" s="10" t="str">
        <f>HYPERLINK("https://twitter.com/Cougs2001/status/723517953472401409","723517953472401409")</f>
        <v>723517953472401409</v>
      </c>
      <c r="F4003" s="11" t="s">
        <v>20</v>
      </c>
      <c r="G4003" s="11">
        <v>12</v>
      </c>
      <c r="H4003" s="11">
        <v>13</v>
      </c>
      <c r="I4003" s="11">
        <v>0</v>
      </c>
      <c r="J4003" s="11">
        <v>0</v>
      </c>
      <c r="K4003" s="11" t="s">
        <v>21</v>
      </c>
      <c r="L4003" s="7">
        <v>40441.417337962965</v>
      </c>
      <c r="M4003" s="12" t="s">
        <v>9518</v>
      </c>
      <c r="N4003" s="12" t="s">
        <v>9519</v>
      </c>
      <c r="O4003" s="10" t="str">
        <f>HYPERLINK("https://abs.twimg.com/sticky/default_profile_images/default_profile_2_normal.png","View")</f>
        <v>View</v>
      </c>
      <c r="P4003" s="11"/>
    </row>
    <row r="4004" spans="1:16" ht="12.75" x14ac:dyDescent="0.35">
      <c r="A4004" s="7">
        <v>42482.83021990741</v>
      </c>
      <c r="B4004" s="8" t="str">
        <f>HYPERLINK("https://twitter.com/MarkCSchneider","@MarkCSchneider")</f>
        <v>@MarkCSchneider</v>
      </c>
      <c r="C4004" s="9" t="s">
        <v>952</v>
      </c>
      <c r="D4004" s="9" t="s">
        <v>9520</v>
      </c>
      <c r="E4004" s="10" t="str">
        <f>HYPERLINK("https://twitter.com/MarkCSchneider/status/723518099220238336","723518099220238336")</f>
        <v>723518099220238336</v>
      </c>
      <c r="F4004" s="11" t="s">
        <v>43</v>
      </c>
      <c r="G4004" s="11">
        <v>370</v>
      </c>
      <c r="H4004" s="11">
        <v>336</v>
      </c>
      <c r="I4004" s="11">
        <v>1</v>
      </c>
      <c r="J4004" s="11">
        <v>0</v>
      </c>
      <c r="K4004" s="11" t="s">
        <v>21</v>
      </c>
      <c r="L4004" s="7">
        <v>41495.558136574073</v>
      </c>
      <c r="M4004" s="12" t="s">
        <v>953</v>
      </c>
      <c r="N4004" s="12"/>
      <c r="O4004" s="10" t="str">
        <f>HYPERLINK("https://pbs.twimg.com/profile_images/706784695795769345/XGXgdjww_normal.jpg","View")</f>
        <v>View</v>
      </c>
      <c r="P4004" s="11"/>
    </row>
    <row r="4005" spans="1:16" ht="12.75" x14ac:dyDescent="0.35">
      <c r="A4005" s="7">
        <v>42482.830613425926</v>
      </c>
      <c r="B4005" s="8" t="str">
        <f>HYPERLINK("https://twitter.com/BREAKING_EIL","@BREAKING_EIL")</f>
        <v>@BREAKING_EIL</v>
      </c>
      <c r="C4005" s="9" t="s">
        <v>8967</v>
      </c>
      <c r="D4005" s="9" t="s">
        <v>9521</v>
      </c>
      <c r="E4005" s="10" t="str">
        <f>HYPERLINK("https://twitter.com/BREAKING_EIL/status/723518241868517376","723518241868517376")</f>
        <v>723518241868517376</v>
      </c>
      <c r="F4005" s="11" t="s">
        <v>68</v>
      </c>
      <c r="G4005" s="11">
        <v>14</v>
      </c>
      <c r="H4005" s="11">
        <v>0</v>
      </c>
      <c r="I4005" s="11">
        <v>0</v>
      </c>
      <c r="J4005" s="11">
        <v>0</v>
      </c>
      <c r="K4005" s="11" t="s">
        <v>21</v>
      </c>
      <c r="L4005" s="7">
        <v>42382.842604166668</v>
      </c>
      <c r="M4005" s="12"/>
      <c r="N4005" s="12" t="s">
        <v>8969</v>
      </c>
      <c r="O4005" s="10" t="str">
        <f>HYPERLINK("https://pbs.twimg.com/profile_images/694544968380211200/WqH7tnjz_normal.png","View")</f>
        <v>View</v>
      </c>
      <c r="P4005" s="11"/>
    </row>
    <row r="4006" spans="1:16" ht="12.75" x14ac:dyDescent="0.35">
      <c r="A4006" s="7">
        <v>42482.830706018518</v>
      </c>
      <c r="B4006" s="8" t="str">
        <f>HYPERLINK("https://twitter.com/_Alex_Berlin","@_Alex_Berlin")</f>
        <v>@_Alex_Berlin</v>
      </c>
      <c r="C4006" s="9" t="s">
        <v>8131</v>
      </c>
      <c r="D4006" s="9" t="s">
        <v>9522</v>
      </c>
      <c r="E4006" s="10" t="str">
        <f>HYPERLINK("https://twitter.com/_Alex_Berlin/status/723518272738570241","723518272738570241")</f>
        <v>723518272738570241</v>
      </c>
      <c r="F4006" s="11" t="s">
        <v>48</v>
      </c>
      <c r="G4006" s="11">
        <v>1229</v>
      </c>
      <c r="H4006" s="11">
        <v>1654</v>
      </c>
      <c r="I4006" s="11">
        <v>0</v>
      </c>
      <c r="J4006" s="11">
        <v>0</v>
      </c>
      <c r="K4006" s="11" t="s">
        <v>21</v>
      </c>
      <c r="L4006" s="7">
        <v>40281.135451388887</v>
      </c>
      <c r="M4006" s="12" t="s">
        <v>8133</v>
      </c>
      <c r="N4006" s="12" t="s">
        <v>8134</v>
      </c>
      <c r="O4006" s="10" t="str">
        <f>HYPERLINK("https://pbs.twimg.com/profile_images/1397629173/kaas_elias_3670b_800pxl_web72dpi_normal.jpg","View")</f>
        <v>View</v>
      </c>
      <c r="P4006" s="11"/>
    </row>
    <row r="4007" spans="1:16" ht="12.75" x14ac:dyDescent="0.35">
      <c r="A4007" s="7">
        <v>42482.830717592587</v>
      </c>
      <c r="B4007" s="8" t="str">
        <f>HYPERLINK("https://twitter.com/handelsblatt","@handelsblatt")</f>
        <v>@handelsblatt</v>
      </c>
      <c r="C4007" s="9" t="s">
        <v>973</v>
      </c>
      <c r="D4007" s="9" t="s">
        <v>9523</v>
      </c>
      <c r="E4007" s="10" t="str">
        <f>HYPERLINK("https://twitter.com/handelsblatt/status/723518279155896320","723518279155896320")</f>
        <v>723518279155896320</v>
      </c>
      <c r="F4007" s="11" t="s">
        <v>63</v>
      </c>
      <c r="G4007" s="11">
        <v>239936</v>
      </c>
      <c r="H4007" s="11">
        <v>535</v>
      </c>
      <c r="I4007" s="11">
        <v>1</v>
      </c>
      <c r="J4007" s="11">
        <v>0</v>
      </c>
      <c r="K4007" s="11" t="s">
        <v>21</v>
      </c>
      <c r="L4007" s="7">
        <v>39207.128182870372</v>
      </c>
      <c r="M4007" s="12" t="s">
        <v>975</v>
      </c>
      <c r="N4007" s="12" t="s">
        <v>976</v>
      </c>
      <c r="O4007" s="10" t="str">
        <f>HYPERLINK("https://pbs.twimg.com/profile_images/562563461171798017/AkHF4keI_normal.png","View")</f>
        <v>View</v>
      </c>
      <c r="P4007" s="11"/>
    </row>
    <row r="4008" spans="1:16" ht="12.75" x14ac:dyDescent="0.35">
      <c r="A4008" s="7">
        <v>42482.830787037034</v>
      </c>
      <c r="B4008" s="8" t="str">
        <f>HYPERLINK("https://twitter.com/agy_nes","@agy_nes")</f>
        <v>@agy_nes</v>
      </c>
      <c r="C4008" s="9" t="s">
        <v>8793</v>
      </c>
      <c r="D4008" s="9" t="s">
        <v>9524</v>
      </c>
      <c r="E4008" s="10" t="str">
        <f>HYPERLINK("https://twitter.com/agy_nes/status/723518303000518656","723518303000518656")</f>
        <v>723518303000518656</v>
      </c>
      <c r="F4008" s="11" t="s">
        <v>43</v>
      </c>
      <c r="G4008" s="11">
        <v>535</v>
      </c>
      <c r="H4008" s="11">
        <v>1018</v>
      </c>
      <c r="I4008" s="11">
        <v>1</v>
      </c>
      <c r="J4008" s="11">
        <v>0</v>
      </c>
      <c r="K4008" s="11" t="s">
        <v>21</v>
      </c>
      <c r="L4008" s="7">
        <v>39870.776435185187</v>
      </c>
      <c r="M4008" s="12" t="s">
        <v>1931</v>
      </c>
      <c r="N4008" s="12" t="s">
        <v>8795</v>
      </c>
      <c r="O4008" s="10" t="str">
        <f>HYPERLINK("https://pbs.twimg.com/profile_images/721572226600943616/rLXy7VpS_normal.jpg","View")</f>
        <v>View</v>
      </c>
      <c r="P4008" s="11"/>
    </row>
    <row r="4009" spans="1:16" ht="12.75" x14ac:dyDescent="0.35">
      <c r="A4009" s="7">
        <v>42482.830949074079</v>
      </c>
      <c r="B4009" s="8" t="str">
        <f>HYPERLINK("https://twitter.com/aNyWaytwit","@aNyWaytwit")</f>
        <v>@aNyWaytwit</v>
      </c>
      <c r="C4009" s="9" t="s">
        <v>9525</v>
      </c>
      <c r="D4009" s="9" t="s">
        <v>9526</v>
      </c>
      <c r="E4009" s="10" t="str">
        <f>HYPERLINK("https://twitter.com/aNyWaytwit/status/723518360386940928","723518360386940928")</f>
        <v>723518360386940928</v>
      </c>
      <c r="F4009" s="11" t="s">
        <v>20</v>
      </c>
      <c r="G4009" s="11">
        <v>136</v>
      </c>
      <c r="H4009" s="11">
        <v>84</v>
      </c>
      <c r="I4009" s="11">
        <v>0</v>
      </c>
      <c r="J4009" s="11">
        <v>0</v>
      </c>
      <c r="K4009" s="11" t="s">
        <v>21</v>
      </c>
      <c r="L4009" s="7">
        <v>40520.971064814818</v>
      </c>
      <c r="M4009" s="12" t="s">
        <v>9527</v>
      </c>
      <c r="N4009" s="12" t="s">
        <v>9528</v>
      </c>
      <c r="O4009" s="10" t="str">
        <f>HYPERLINK("https://pbs.twimg.com/profile_images/661205328676155393/kBCgriiB_normal.jpg","View")</f>
        <v>View</v>
      </c>
      <c r="P4009" s="11"/>
    </row>
    <row r="4010" spans="1:16" ht="12.75" x14ac:dyDescent="0.35">
      <c r="A4010" s="7">
        <v>42482.830949074079</v>
      </c>
      <c r="B4010" s="8" t="str">
        <f>HYPERLINK("https://twitter.com/NetzwerkggS21","@NetzwerkggS21")</f>
        <v>@NetzwerkggS21</v>
      </c>
      <c r="C4010" s="9" t="s">
        <v>2359</v>
      </c>
      <c r="D4010" s="9" t="s">
        <v>9443</v>
      </c>
      <c r="E4010" s="10" t="str">
        <f>HYPERLINK("https://twitter.com/NetzwerkggS21/status/723518361594937344","723518361594937344")</f>
        <v>723518361594937344</v>
      </c>
      <c r="F4010" s="11" t="s">
        <v>43</v>
      </c>
      <c r="G4010" s="11">
        <v>854</v>
      </c>
      <c r="H4010" s="11">
        <v>2110</v>
      </c>
      <c r="I4010" s="11">
        <v>4</v>
      </c>
      <c r="J4010" s="11">
        <v>0</v>
      </c>
      <c r="K4010" s="11" t="s">
        <v>21</v>
      </c>
      <c r="L4010" s="7">
        <v>41326.709363425922</v>
      </c>
      <c r="M4010" s="13" t="s">
        <v>2361</v>
      </c>
      <c r="N4010" s="12" t="s">
        <v>2362</v>
      </c>
      <c r="O4010" s="10" t="str">
        <f>HYPERLINK("https://pbs.twimg.com/profile_images/378800000528765970/3ab9f2a00010e9cac08d5ca1638926e9_normal.png","View")</f>
        <v>View</v>
      </c>
      <c r="P4010" s="11"/>
    </row>
    <row r="4011" spans="1:16" ht="12.75" x14ac:dyDescent="0.35">
      <c r="A4011" s="7">
        <v>42482.831030092595</v>
      </c>
      <c r="B4011" s="8" t="str">
        <f>HYPERLINK("https://twitter.com/MKreutzfeldt","@MKreutzfeldt")</f>
        <v>@MKreutzfeldt</v>
      </c>
      <c r="C4011" s="9" t="s">
        <v>9529</v>
      </c>
      <c r="D4011" s="9" t="s">
        <v>9530</v>
      </c>
      <c r="E4011" s="10" t="str">
        <f>HYPERLINK("https://twitter.com/MKreutzfeldt/status/723518393219948544","723518393219948544")</f>
        <v>723518393219948544</v>
      </c>
      <c r="F4011" s="11" t="s">
        <v>20</v>
      </c>
      <c r="G4011" s="11">
        <v>3245</v>
      </c>
      <c r="H4011" s="11">
        <v>508</v>
      </c>
      <c r="I4011" s="11">
        <v>1</v>
      </c>
      <c r="J4011" s="11">
        <v>0</v>
      </c>
      <c r="K4011" s="11" t="s">
        <v>21</v>
      </c>
      <c r="L4011" s="7">
        <v>41045.920370370368</v>
      </c>
      <c r="M4011" s="12" t="s">
        <v>1359</v>
      </c>
      <c r="N4011" s="12" t="s">
        <v>9531</v>
      </c>
      <c r="O4011" s="10" t="str">
        <f>HYPERLINK("https://pbs.twimg.com/profile_images/2223831714/Malte_Kreutzfeldt1_normal.JPG","View")</f>
        <v>View</v>
      </c>
      <c r="P4011" s="11"/>
    </row>
    <row r="4012" spans="1:16" ht="12.75" x14ac:dyDescent="0.35">
      <c r="A4012" s="7">
        <v>42482.831504629634</v>
      </c>
      <c r="B4012" s="8" t="str">
        <f>HYPERLINK("https://twitter.com/Banxcartoons","@Banxcartoons")</f>
        <v>@Banxcartoons</v>
      </c>
      <c r="C4012" s="9" t="s">
        <v>9532</v>
      </c>
      <c r="D4012" s="9" t="s">
        <v>9533</v>
      </c>
      <c r="E4012" s="10" t="str">
        <f>HYPERLINK("https://twitter.com/Banxcartoons/status/723518561503875073","723518561503875073")</f>
        <v>723518561503875073</v>
      </c>
      <c r="F4012" s="11" t="s">
        <v>43</v>
      </c>
      <c r="G4012" s="11">
        <v>2413</v>
      </c>
      <c r="H4012" s="11">
        <v>547</v>
      </c>
      <c r="I4012" s="11">
        <v>1</v>
      </c>
      <c r="J4012" s="11">
        <v>0</v>
      </c>
      <c r="K4012" s="11" t="s">
        <v>21</v>
      </c>
      <c r="L4012" s="7">
        <v>40279.639814814815</v>
      </c>
      <c r="M4012" s="12" t="s">
        <v>638</v>
      </c>
      <c r="N4012" s="12" t="s">
        <v>9534</v>
      </c>
      <c r="O4012" s="10" t="str">
        <f>HYPERLINK("https://pbs.twimg.com/profile_images/3109038181/915f6081a62df61f489500d2548bd918_normal.jpeg","View")</f>
        <v>View</v>
      </c>
      <c r="P4012" s="11"/>
    </row>
    <row r="4013" spans="1:16" ht="12.75" x14ac:dyDescent="0.35">
      <c r="A4013" s="7">
        <v>42482.831759259258</v>
      </c>
      <c r="B4013" s="8" t="str">
        <f>HYPERLINK("https://twitter.com/Emil_Blume","@Emil_Blume")</f>
        <v>@Emil_Blume</v>
      </c>
      <c r="C4013" s="9" t="s">
        <v>9535</v>
      </c>
      <c r="D4013" s="9" t="s">
        <v>9443</v>
      </c>
      <c r="E4013" s="10" t="str">
        <f>HYPERLINK("https://twitter.com/Emil_Blume/status/723518655322034177","723518655322034177")</f>
        <v>723518655322034177</v>
      </c>
      <c r="F4013" s="11" t="s">
        <v>48</v>
      </c>
      <c r="G4013" s="11">
        <v>748</v>
      </c>
      <c r="H4013" s="11">
        <v>1275</v>
      </c>
      <c r="I4013" s="11">
        <v>4</v>
      </c>
      <c r="J4013" s="11">
        <v>0</v>
      </c>
      <c r="K4013" s="11" t="s">
        <v>21</v>
      </c>
      <c r="L4013" s="7">
        <v>39870.959328703706</v>
      </c>
      <c r="M4013" s="12" t="s">
        <v>9536</v>
      </c>
      <c r="N4013" s="12" t="s">
        <v>9537</v>
      </c>
      <c r="O4013" s="10" t="str">
        <f>HYPERLINK("https://pbs.twimg.com/profile_images/512821568980803584/Q94LVvjN_normal.jpeg","View")</f>
        <v>View</v>
      </c>
      <c r="P4013" s="11"/>
    </row>
    <row r="4014" spans="1:16" ht="12.75" x14ac:dyDescent="0.35">
      <c r="A4014" s="7">
        <v>42482.831782407404</v>
      </c>
      <c r="B4014" s="8" t="str">
        <f>HYPERLINK("https://twitter.com/089stadt","@089stadt")</f>
        <v>@089stadt</v>
      </c>
      <c r="C4014" s="9" t="s">
        <v>3231</v>
      </c>
      <c r="D4014" s="9" t="s">
        <v>9538</v>
      </c>
      <c r="E4014" s="10" t="str">
        <f>HYPERLINK("https://twitter.com/089stadt/status/723518663651930113","723518663651930113")</f>
        <v>723518663651930113</v>
      </c>
      <c r="F4014" s="11" t="s">
        <v>2206</v>
      </c>
      <c r="G4014" s="11">
        <v>229</v>
      </c>
      <c r="H4014" s="11">
        <v>5</v>
      </c>
      <c r="I4014" s="11">
        <v>0</v>
      </c>
      <c r="J4014" s="11">
        <v>0</v>
      </c>
      <c r="K4014" s="11" t="s">
        <v>21</v>
      </c>
      <c r="L4014" s="7">
        <v>40873.942430555559</v>
      </c>
      <c r="M4014" s="12" t="s">
        <v>3233</v>
      </c>
      <c r="N4014" s="12" t="s">
        <v>3234</v>
      </c>
      <c r="O4014" s="10" t="str">
        <f>HYPERLINK("https://pbs.twimg.com/profile_images/1785128505/munich_normal.png","View")</f>
        <v>View</v>
      </c>
      <c r="P4014" s="11"/>
    </row>
    <row r="4015" spans="1:16" ht="12.75" x14ac:dyDescent="0.35">
      <c r="A4015" s="7">
        <v>42482.831956018519</v>
      </c>
      <c r="B4015" s="8" t="str">
        <f>HYPERLINK("https://twitter.com/MarkCSchneider","@MarkCSchneider")</f>
        <v>@MarkCSchneider</v>
      </c>
      <c r="C4015" s="9" t="s">
        <v>952</v>
      </c>
      <c r="D4015" s="9" t="s">
        <v>9539</v>
      </c>
      <c r="E4015" s="10" t="str">
        <f>HYPERLINK("https://twitter.com/MarkCSchneider/status/723518726172205056","723518726172205056")</f>
        <v>723518726172205056</v>
      </c>
      <c r="F4015" s="11" t="s">
        <v>43</v>
      </c>
      <c r="G4015" s="11">
        <v>370</v>
      </c>
      <c r="H4015" s="11">
        <v>336</v>
      </c>
      <c r="I4015" s="11">
        <v>0</v>
      </c>
      <c r="J4015" s="11">
        <v>0</v>
      </c>
      <c r="K4015" s="11" t="s">
        <v>21</v>
      </c>
      <c r="L4015" s="7">
        <v>41495.558136574073</v>
      </c>
      <c r="M4015" s="12" t="s">
        <v>953</v>
      </c>
      <c r="N4015" s="12"/>
      <c r="O4015" s="10" t="str">
        <f>HYPERLINK("https://pbs.twimg.com/profile_images/706784695795769345/XGXgdjww_normal.jpg","View")</f>
        <v>View</v>
      </c>
      <c r="P4015" s="11"/>
    </row>
    <row r="4016" spans="1:16" ht="12.75" x14ac:dyDescent="0.35">
      <c r="A4016" s="7">
        <v>42482.832291666666</v>
      </c>
      <c r="B4016" s="8" t="str">
        <f>HYPERLINK("https://twitter.com/Mike_LaJoice","@Mike_LaJoice")</f>
        <v>@Mike_LaJoice</v>
      </c>
      <c r="C4016" s="9" t="s">
        <v>9540</v>
      </c>
      <c r="D4016" s="9" t="s">
        <v>9541</v>
      </c>
      <c r="E4016" s="10" t="str">
        <f>HYPERLINK("https://twitter.com/Mike_LaJoice/status/723518848457052161","723518848457052161")</f>
        <v>723518848457052161</v>
      </c>
      <c r="F4016" s="11" t="s">
        <v>43</v>
      </c>
      <c r="G4016" s="11">
        <v>65</v>
      </c>
      <c r="H4016" s="11">
        <v>192</v>
      </c>
      <c r="I4016" s="11">
        <v>0</v>
      </c>
      <c r="J4016" s="11">
        <v>0</v>
      </c>
      <c r="K4016" s="11" t="s">
        <v>21</v>
      </c>
      <c r="L4016" s="7">
        <v>39743.08189814815</v>
      </c>
      <c r="M4016" s="12" t="s">
        <v>9542</v>
      </c>
      <c r="N4016" s="12" t="s">
        <v>9543</v>
      </c>
      <c r="O4016" s="10" t="str">
        <f>HYPERLINK("https://pbs.twimg.com/profile_images/633276567108489216/1e2exrfA_normal.jpg","View")</f>
        <v>View</v>
      </c>
      <c r="P4016" s="11"/>
    </row>
    <row r="4017" spans="1:16" ht="12.75" x14ac:dyDescent="0.35">
      <c r="A4017" s="7">
        <v>42482.832708333328</v>
      </c>
      <c r="B4017" s="8" t="str">
        <f>HYPERLINK("https://twitter.com/VWBeetleSales","@VWBeetleSales")</f>
        <v>@VWBeetleSales</v>
      </c>
      <c r="C4017" s="9" t="s">
        <v>127</v>
      </c>
      <c r="D4017" s="9" t="s">
        <v>9544</v>
      </c>
      <c r="E4017" s="10" t="str">
        <f>HYPERLINK("https://twitter.com/VWBeetleSales/status/723518998642450432","723518998642450432")</f>
        <v>723518998642450432</v>
      </c>
      <c r="F4017" s="10" t="s">
        <v>124</v>
      </c>
      <c r="G4017" s="11">
        <v>36</v>
      </c>
      <c r="H4017" s="11">
        <v>32</v>
      </c>
      <c r="I4017" s="11">
        <v>0</v>
      </c>
      <c r="J4017" s="11">
        <v>0</v>
      </c>
      <c r="K4017" s="11" t="s">
        <v>21</v>
      </c>
      <c r="L4017" s="7">
        <v>42427.019756944443</v>
      </c>
      <c r="M4017" s="12" t="s">
        <v>129</v>
      </c>
      <c r="N4017" s="12" t="s">
        <v>130</v>
      </c>
      <c r="O4017" s="10" t="str">
        <f>HYPERLINK("https://pbs.twimg.com/profile_images/703294545195307008/qeCvrX86_normal.jpg","View")</f>
        <v>View</v>
      </c>
      <c r="P4017" s="11"/>
    </row>
    <row r="4018" spans="1:16" ht="12.75" x14ac:dyDescent="0.35">
      <c r="A4018" s="7">
        <v>42482.832835648151</v>
      </c>
      <c r="B4018" s="8" t="str">
        <f>HYPERLINK("https://twitter.com/MarkCSchneider","@MarkCSchneider")</f>
        <v>@MarkCSchneider</v>
      </c>
      <c r="C4018" s="9" t="s">
        <v>952</v>
      </c>
      <c r="D4018" s="9" t="s">
        <v>9545</v>
      </c>
      <c r="E4018" s="10" t="str">
        <f>HYPERLINK("https://twitter.com/MarkCSchneider/status/723519045723643904","723519045723643904")</f>
        <v>723519045723643904</v>
      </c>
      <c r="F4018" s="11" t="s">
        <v>43</v>
      </c>
      <c r="G4018" s="11">
        <v>370</v>
      </c>
      <c r="H4018" s="11">
        <v>336</v>
      </c>
      <c r="I4018" s="11">
        <v>0</v>
      </c>
      <c r="J4018" s="11">
        <v>0</v>
      </c>
      <c r="K4018" s="11" t="s">
        <v>21</v>
      </c>
      <c r="L4018" s="7">
        <v>41495.558136574073</v>
      </c>
      <c r="M4018" s="12" t="s">
        <v>953</v>
      </c>
      <c r="N4018" s="12"/>
      <c r="O4018" s="10" t="str">
        <f>HYPERLINK("https://pbs.twimg.com/profile_images/706784695795769345/XGXgdjww_normal.jpg","View")</f>
        <v>View</v>
      </c>
      <c r="P4018" s="11"/>
    </row>
    <row r="4019" spans="1:16" ht="12.75" x14ac:dyDescent="0.35">
      <c r="A4019" s="7">
        <v>42482.832951388889</v>
      </c>
      <c r="B4019" s="8" t="str">
        <f>HYPERLINK("https://twitter.com/mu_giwara","@mu_giwara")</f>
        <v>@mu_giwara</v>
      </c>
      <c r="C4019" s="9" t="s">
        <v>9546</v>
      </c>
      <c r="D4019" s="9" t="s">
        <v>9547</v>
      </c>
      <c r="E4019" s="10" t="str">
        <f>HYPERLINK("https://twitter.com/mu_giwara/status/723519088023105537","723519088023105537")</f>
        <v>723519088023105537</v>
      </c>
      <c r="F4019" s="11" t="s">
        <v>48</v>
      </c>
      <c r="G4019" s="11">
        <v>378</v>
      </c>
      <c r="H4019" s="11">
        <v>2916</v>
      </c>
      <c r="I4019" s="11">
        <v>1</v>
      </c>
      <c r="J4019" s="11">
        <v>0</v>
      </c>
      <c r="K4019" s="11" t="s">
        <v>21</v>
      </c>
      <c r="L4019" s="7">
        <v>40386.432256944448</v>
      </c>
      <c r="M4019" s="12" t="s">
        <v>9548</v>
      </c>
      <c r="N4019" s="12" t="s">
        <v>9549</v>
      </c>
      <c r="O4019" s="10" t="str">
        <f>HYPERLINK("https://pbs.twimg.com/profile_images/715422219283763200/IW3j7Y1J_normal.jpg","View")</f>
        <v>View</v>
      </c>
      <c r="P4019" s="11"/>
    </row>
    <row r="4020" spans="1:16" ht="12.75" x14ac:dyDescent="0.35">
      <c r="A4020" s="7">
        <v>42482.833240740743</v>
      </c>
      <c r="B4020" s="8" t="str">
        <f>HYPERLINK("https://twitter.com/Desert_Eagle_HG","@Desert_Eagle_HG")</f>
        <v>@Desert_Eagle_HG</v>
      </c>
      <c r="C4020" s="9" t="s">
        <v>9550</v>
      </c>
      <c r="D4020" s="9" t="s">
        <v>9551</v>
      </c>
      <c r="E4020" s="10" t="str">
        <f>HYPERLINK("https://twitter.com/Desert_Eagle_HG/status/723519194126532608","723519194126532608")</f>
        <v>723519194126532608</v>
      </c>
      <c r="F4020" s="11" t="s">
        <v>43</v>
      </c>
      <c r="G4020" s="11">
        <v>176</v>
      </c>
      <c r="H4020" s="11">
        <v>487</v>
      </c>
      <c r="I4020" s="11">
        <v>0</v>
      </c>
      <c r="J4020" s="11">
        <v>0</v>
      </c>
      <c r="K4020" s="11" t="s">
        <v>21</v>
      </c>
      <c r="L4020" s="7">
        <v>42298.151469907403</v>
      </c>
      <c r="M4020" s="12" t="s">
        <v>9552</v>
      </c>
      <c r="N4020" s="12" t="s">
        <v>9553</v>
      </c>
      <c r="O4020" s="10" t="str">
        <f>HYPERLINK("https://pbs.twimg.com/profile_images/656603059733319680/7--uR5Pv_normal.jpg","View")</f>
        <v>View</v>
      </c>
      <c r="P4020" s="11"/>
    </row>
    <row r="4021" spans="1:16" ht="12.75" x14ac:dyDescent="0.35">
      <c r="A4021" s="7">
        <v>42482.833634259259</v>
      </c>
      <c r="B4021" s="8" t="str">
        <f>HYPERLINK("https://twitter.com/fr","@fr")</f>
        <v>@fr</v>
      </c>
      <c r="C4021" s="9" t="s">
        <v>3272</v>
      </c>
      <c r="D4021" s="9" t="s">
        <v>9554</v>
      </c>
      <c r="E4021" s="10" t="str">
        <f>HYPERLINK("https://twitter.com/fr/status/723519334077833216","723519334077833216")</f>
        <v>723519334077833216</v>
      </c>
      <c r="F4021" s="11" t="s">
        <v>63</v>
      </c>
      <c r="G4021" s="11">
        <v>91709</v>
      </c>
      <c r="H4021" s="11">
        <v>315</v>
      </c>
      <c r="I4021" s="11">
        <v>1</v>
      </c>
      <c r="J4021" s="11">
        <v>0</v>
      </c>
      <c r="K4021" s="11" t="s">
        <v>21</v>
      </c>
      <c r="L4021" s="7">
        <v>39785.789351851854</v>
      </c>
      <c r="M4021" s="12" t="s">
        <v>3274</v>
      </c>
      <c r="N4021" s="12" t="s">
        <v>3275</v>
      </c>
      <c r="O4021" s="10" t="str">
        <f>HYPERLINK("https://pbs.twimg.com/profile_images/378800000730199993/4cc42b7be5291c568b05b651a903d3d3_normal.jpeg","View")</f>
        <v>View</v>
      </c>
      <c r="P4021" s="11"/>
    </row>
    <row r="4022" spans="1:16" ht="12.75" x14ac:dyDescent="0.35">
      <c r="A4022" s="7">
        <v>42482.833715277782</v>
      </c>
      <c r="B4022" s="8" t="str">
        <f>HYPERLINK("https://twitter.com/MarkCSchneider","@MarkCSchneider")</f>
        <v>@MarkCSchneider</v>
      </c>
      <c r="C4022" s="9" t="s">
        <v>952</v>
      </c>
      <c r="D4022" s="9" t="s">
        <v>9555</v>
      </c>
      <c r="E4022" s="10" t="str">
        <f>HYPERLINK("https://twitter.com/MarkCSchneider/status/723519364541100032","723519364541100032")</f>
        <v>723519364541100032</v>
      </c>
      <c r="F4022" s="11" t="s">
        <v>43</v>
      </c>
      <c r="G4022" s="11">
        <v>370</v>
      </c>
      <c r="H4022" s="11">
        <v>336</v>
      </c>
      <c r="I4022" s="11">
        <v>0</v>
      </c>
      <c r="J4022" s="11">
        <v>0</v>
      </c>
      <c r="K4022" s="11" t="s">
        <v>21</v>
      </c>
      <c r="L4022" s="7">
        <v>41495.558136574073</v>
      </c>
      <c r="M4022" s="12" t="s">
        <v>953</v>
      </c>
      <c r="N4022" s="12"/>
      <c r="O4022" s="10" t="str">
        <f>HYPERLINK("https://pbs.twimg.com/profile_images/706784695795769345/XGXgdjww_normal.jpg","View")</f>
        <v>View</v>
      </c>
      <c r="P4022" s="11"/>
    </row>
    <row r="4023" spans="1:16" ht="12.75" x14ac:dyDescent="0.35">
      <c r="A4023" s="7">
        <v>42482.833726851852</v>
      </c>
      <c r="B4023" s="8" t="str">
        <f>HYPERLINK("https://twitter.com/dgauche","@dgauche")</f>
        <v>@dgauche</v>
      </c>
      <c r="C4023" s="9" t="s">
        <v>9556</v>
      </c>
      <c r="D4023" s="9" t="s">
        <v>9557</v>
      </c>
      <c r="E4023" s="10" t="str">
        <f>HYPERLINK("https://twitter.com/dgauche/status/723519370077605889","723519370077605889")</f>
        <v>723519370077605889</v>
      </c>
      <c r="F4023" s="11" t="s">
        <v>20</v>
      </c>
      <c r="G4023" s="11">
        <v>137</v>
      </c>
      <c r="H4023" s="11">
        <v>218</v>
      </c>
      <c r="I4023" s="11">
        <v>0</v>
      </c>
      <c r="J4023" s="11">
        <v>0</v>
      </c>
      <c r="K4023" s="11" t="s">
        <v>21</v>
      </c>
      <c r="L4023" s="7">
        <v>39422.446817129632</v>
      </c>
      <c r="M4023" s="12" t="s">
        <v>2816</v>
      </c>
      <c r="N4023" s="12" t="s">
        <v>9558</v>
      </c>
      <c r="O4023" s="10" t="str">
        <f>HYPERLINK("https://pbs.twimg.com/profile_images/53014642/t543458272_7574_1__normal.jpg","View")</f>
        <v>View</v>
      </c>
      <c r="P4023" s="11"/>
    </row>
    <row r="4024" spans="1:16" ht="12.75" x14ac:dyDescent="0.35">
      <c r="A4024" s="7">
        <v>42482.833784722221</v>
      </c>
      <c r="B4024" s="8" t="str">
        <f>HYPERLINK("https://twitter.com/Automobilwoche","@Automobilwoche")</f>
        <v>@Automobilwoche</v>
      </c>
      <c r="C4024" s="9" t="s">
        <v>9559</v>
      </c>
      <c r="D4024" s="9" t="s">
        <v>9560</v>
      </c>
      <c r="E4024" s="10" t="str">
        <f>HYPERLINK("https://twitter.com/Automobilwoche/status/723519390390599681","723519390390599681")</f>
        <v>723519390390599681</v>
      </c>
      <c r="F4024" s="11" t="s">
        <v>20</v>
      </c>
      <c r="G4024" s="11">
        <v>2324</v>
      </c>
      <c r="H4024" s="11">
        <v>67</v>
      </c>
      <c r="I4024" s="11">
        <v>1</v>
      </c>
      <c r="J4024" s="11">
        <v>0</v>
      </c>
      <c r="K4024" s="11" t="s">
        <v>21</v>
      </c>
      <c r="L4024" s="7">
        <v>40121.795868055553</v>
      </c>
      <c r="M4024" s="12" t="s">
        <v>9561</v>
      </c>
      <c r="N4024" s="12" t="s">
        <v>9562</v>
      </c>
      <c r="O4024" s="10" t="str">
        <f>HYPERLINK("https://pbs.twimg.com/profile_images/507806117125038081/vOVRGVfm_normal.png","View")</f>
        <v>View</v>
      </c>
      <c r="P4024" s="11"/>
    </row>
    <row r="4025" spans="1:16" ht="12.75" x14ac:dyDescent="0.35">
      <c r="A4025" s="7">
        <v>42482.833854166667</v>
      </c>
      <c r="B4025" s="8" t="str">
        <f>HYPERLINK("https://twitter.com/New_Media_TN","@New_Media_TN")</f>
        <v>@New_Media_TN</v>
      </c>
      <c r="C4025" s="9" t="s">
        <v>9563</v>
      </c>
      <c r="D4025" s="9" t="s">
        <v>9564</v>
      </c>
      <c r="E4025" s="10" t="str">
        <f>HYPERLINK("https://twitter.com/New_Media_TN/status/723519412981116928","723519412981116928")</f>
        <v>723519412981116928</v>
      </c>
      <c r="F4025" s="11" t="s">
        <v>725</v>
      </c>
      <c r="G4025" s="11">
        <v>78676</v>
      </c>
      <c r="H4025" s="11">
        <v>1880</v>
      </c>
      <c r="I4025" s="11">
        <v>2</v>
      </c>
      <c r="J4025" s="11">
        <v>0</v>
      </c>
      <c r="K4025" s="11" t="s">
        <v>21</v>
      </c>
      <c r="L4025" s="7">
        <v>39884.018530092595</v>
      </c>
      <c r="M4025" s="12" t="s">
        <v>9565</v>
      </c>
      <c r="N4025" s="12" t="s">
        <v>9566</v>
      </c>
      <c r="O4025" s="10" t="str">
        <f>HYPERLINK("https://pbs.twimg.com/profile_images/2861532780/f29ae99069f14ff439b16922da9337a2_normal.jpeg","View")</f>
        <v>View</v>
      </c>
      <c r="P4025" s="11"/>
    </row>
    <row r="4026" spans="1:16" ht="12.75" x14ac:dyDescent="0.35">
      <c r="A4026" s="7">
        <v>42482.833900462967</v>
      </c>
      <c r="B4026" s="8" t="str">
        <f>HYPERLINK("https://twitter.com/RippedFlower","@RippedFlower")</f>
        <v>@RippedFlower</v>
      </c>
      <c r="C4026" s="9" t="s">
        <v>8880</v>
      </c>
      <c r="D4026" s="9" t="s">
        <v>9567</v>
      </c>
      <c r="E4026" s="10" t="str">
        <f>HYPERLINK("https://twitter.com/RippedFlower/status/723519429552668672","723519429552668672")</f>
        <v>723519429552668672</v>
      </c>
      <c r="F4026" s="11" t="s">
        <v>43</v>
      </c>
      <c r="G4026" s="11">
        <v>1530</v>
      </c>
      <c r="H4026" s="11">
        <v>1842</v>
      </c>
      <c r="I4026" s="11">
        <v>2</v>
      </c>
      <c r="J4026" s="11">
        <v>1</v>
      </c>
      <c r="K4026" s="11" t="s">
        <v>21</v>
      </c>
      <c r="L4026" s="7">
        <v>40480.450509259259</v>
      </c>
      <c r="M4026" s="12" t="s">
        <v>8882</v>
      </c>
      <c r="N4026" s="12" t="s">
        <v>8883</v>
      </c>
      <c r="O4026" s="10" t="str">
        <f>HYPERLINK("https://pbs.twimg.com/profile_images/505852375911780352/2-ZN7ue2_normal.jpeg","View")</f>
        <v>View</v>
      </c>
      <c r="P4026" s="11"/>
    </row>
    <row r="4027" spans="1:16" ht="12.75" x14ac:dyDescent="0.35">
      <c r="A4027" s="7">
        <v>42482.833981481483</v>
      </c>
      <c r="B4027" s="8" t="str">
        <f>HYPERLINK("https://twitter.com/ozaed","@ozaed")</f>
        <v>@ozaed</v>
      </c>
      <c r="C4027" s="9" t="s">
        <v>8973</v>
      </c>
      <c r="D4027" s="9" t="s">
        <v>9568</v>
      </c>
      <c r="E4027" s="10" t="str">
        <f>HYPERLINK("https://twitter.com/ozaed/status/723519461815377920","723519461815377920")</f>
        <v>723519461815377920</v>
      </c>
      <c r="F4027" s="11" t="s">
        <v>43</v>
      </c>
      <c r="G4027" s="11">
        <v>483</v>
      </c>
      <c r="H4027" s="11">
        <v>2171</v>
      </c>
      <c r="I4027" s="11">
        <v>0</v>
      </c>
      <c r="J4027" s="11">
        <v>0</v>
      </c>
      <c r="K4027" s="11" t="s">
        <v>21</v>
      </c>
      <c r="L4027" s="7">
        <v>39671.615069444444</v>
      </c>
      <c r="M4027" s="12" t="s">
        <v>8975</v>
      </c>
      <c r="N4027" s="12" t="s">
        <v>8976</v>
      </c>
      <c r="O4027" s="10" t="str">
        <f>HYPERLINK("https://pbs.twimg.com/profile_images/1453053624/me_normal.jpg","View")</f>
        <v>View</v>
      </c>
      <c r="P4027" s="11"/>
    </row>
    <row r="4028" spans="1:16" ht="12.75" x14ac:dyDescent="0.35">
      <c r="A4028" s="7">
        <v>42482.834108796298</v>
      </c>
      <c r="B4028" s="8" t="str">
        <f>HYPERLINK("https://twitter.com/ElderSpook","@ElderSpook")</f>
        <v>@ElderSpook</v>
      </c>
      <c r="C4028" s="9" t="s">
        <v>9569</v>
      </c>
      <c r="D4028" s="9" t="s">
        <v>9570</v>
      </c>
      <c r="E4028" s="10" t="str">
        <f>HYPERLINK("https://twitter.com/ElderSpook/status/723519508888064002","723519508888064002")</f>
        <v>723519508888064002</v>
      </c>
      <c r="F4028" s="11" t="s">
        <v>114</v>
      </c>
      <c r="G4028" s="11">
        <v>3059</v>
      </c>
      <c r="H4028" s="11">
        <v>1078</v>
      </c>
      <c r="I4028" s="11">
        <v>0</v>
      </c>
      <c r="J4028" s="11">
        <v>0</v>
      </c>
      <c r="K4028" s="11" t="s">
        <v>21</v>
      </c>
      <c r="L4028" s="7">
        <v>39914.774652777778</v>
      </c>
      <c r="M4028" s="12" t="s">
        <v>9571</v>
      </c>
      <c r="N4028" s="12" t="s">
        <v>9572</v>
      </c>
      <c r="O4028" s="10" t="str">
        <f>HYPERLINK("https://pbs.twimg.com/profile_images/2634940473/7d8ea12c1c843f4e963e4553fbf7d1d8_normal.jpeg","View")</f>
        <v>View</v>
      </c>
      <c r="P4028" s="11"/>
    </row>
    <row r="4029" spans="1:16" ht="12.75" x14ac:dyDescent="0.35">
      <c r="A4029" s="7">
        <v>42482.834224537037</v>
      </c>
      <c r="B4029" s="8" t="str">
        <f>HYPERLINK("https://twitter.com/selmissary","@selmissary")</f>
        <v>@selmissary</v>
      </c>
      <c r="C4029" s="9" t="s">
        <v>3808</v>
      </c>
      <c r="D4029" s="9" t="s">
        <v>9023</v>
      </c>
      <c r="E4029" s="10" t="str">
        <f>HYPERLINK("https://twitter.com/selmissary/status/723519547828015106","723519547828015106")</f>
        <v>723519547828015106</v>
      </c>
      <c r="F4029" s="11" t="s">
        <v>20</v>
      </c>
      <c r="G4029" s="11">
        <v>81</v>
      </c>
      <c r="H4029" s="11">
        <v>299</v>
      </c>
      <c r="I4029" s="11">
        <v>13</v>
      </c>
      <c r="J4029" s="11">
        <v>0</v>
      </c>
      <c r="K4029" s="11" t="s">
        <v>21</v>
      </c>
      <c r="L4029" s="7">
        <v>40817.926944444444</v>
      </c>
      <c r="M4029" s="12" t="s">
        <v>3809</v>
      </c>
      <c r="N4029" s="12"/>
      <c r="O4029" s="10" t="str">
        <f>HYPERLINK("https://pbs.twimg.com/profile_images/3023094301/7299b75257d79082c0ff884278e113cd_normal.png","View")</f>
        <v>View</v>
      </c>
      <c r="P4029" s="11"/>
    </row>
    <row r="4030" spans="1:16" ht="12.75" x14ac:dyDescent="0.35">
      <c r="A4030" s="7">
        <v>42482.834513888884</v>
      </c>
      <c r="B4030" s="8" t="str">
        <f>HYPERLINK("https://twitter.com/mokomokai","@mokomokai")</f>
        <v>@mokomokai</v>
      </c>
      <c r="C4030" s="9" t="s">
        <v>9573</v>
      </c>
      <c r="D4030" s="9" t="s">
        <v>9574</v>
      </c>
      <c r="E4030" s="10" t="str">
        <f>HYPERLINK("https://twitter.com/mokomokai/status/723519652924530688","723519652924530688")</f>
        <v>723519652924530688</v>
      </c>
      <c r="F4030" s="11" t="s">
        <v>1838</v>
      </c>
      <c r="G4030" s="11">
        <v>3724</v>
      </c>
      <c r="H4030" s="11">
        <v>3715</v>
      </c>
      <c r="I4030" s="11">
        <v>2</v>
      </c>
      <c r="J4030" s="11">
        <v>0</v>
      </c>
      <c r="K4030" s="11" t="s">
        <v>21</v>
      </c>
      <c r="L4030" s="7">
        <v>40147.247025462959</v>
      </c>
      <c r="M4030" s="12" t="s">
        <v>9575</v>
      </c>
      <c r="N4030" s="12" t="s">
        <v>9576</v>
      </c>
      <c r="O4030" s="10" t="str">
        <f>HYPERLINK("https://pbs.twimg.com/profile_images/1289359150/Xenon07.2_normal.jpg","View")</f>
        <v>View</v>
      </c>
      <c r="P4030" s="11"/>
    </row>
    <row r="4031" spans="1:16" ht="12.75" x14ac:dyDescent="0.35">
      <c r="A4031" s="7">
        <v>42482.834594907406</v>
      </c>
      <c r="B4031" s="8" t="str">
        <f>HYPERLINK("https://twitter.com/Stony_BS","@Stony_BS")</f>
        <v>@Stony_BS</v>
      </c>
      <c r="C4031" s="9" t="s">
        <v>2680</v>
      </c>
      <c r="D4031" s="9" t="s">
        <v>9574</v>
      </c>
      <c r="E4031" s="10" t="str">
        <f>HYPERLINK("https://twitter.com/Stony_BS/status/723519682557427712","723519682557427712")</f>
        <v>723519682557427712</v>
      </c>
      <c r="F4031" s="11" t="s">
        <v>43</v>
      </c>
      <c r="G4031" s="11">
        <v>36</v>
      </c>
      <c r="H4031" s="11">
        <v>51</v>
      </c>
      <c r="I4031" s="11">
        <v>2</v>
      </c>
      <c r="J4031" s="11">
        <v>0</v>
      </c>
      <c r="K4031" s="11" t="s">
        <v>21</v>
      </c>
      <c r="L4031" s="7">
        <v>41928.806030092594</v>
      </c>
      <c r="M4031" s="12" t="s">
        <v>2682</v>
      </c>
      <c r="N4031" s="12" t="s">
        <v>2683</v>
      </c>
      <c r="O4031" s="10" t="str">
        <f>HYPERLINK("https://pbs.twimg.com/profile_images/668091779313500160/ZepxnJcI_normal.jpg","View")</f>
        <v>View</v>
      </c>
      <c r="P4031" s="11"/>
    </row>
    <row r="4032" spans="1:16" ht="12.75" x14ac:dyDescent="0.35">
      <c r="A4032" s="7">
        <v>42482.834606481483</v>
      </c>
      <c r="B4032" s="8" t="str">
        <f>HYPERLINK("https://twitter.com/mokomokai","@mokomokai")</f>
        <v>@mokomokai</v>
      </c>
      <c r="C4032" s="9" t="s">
        <v>9573</v>
      </c>
      <c r="D4032" s="9" t="s">
        <v>9564</v>
      </c>
      <c r="E4032" s="10" t="str">
        <f>HYPERLINK("https://twitter.com/mokomokai/status/723519687330402306","723519687330402306")</f>
        <v>723519687330402306</v>
      </c>
      <c r="F4032" s="11" t="s">
        <v>1838</v>
      </c>
      <c r="G4032" s="11">
        <v>3724</v>
      </c>
      <c r="H4032" s="11">
        <v>3715</v>
      </c>
      <c r="I4032" s="11">
        <v>2</v>
      </c>
      <c r="J4032" s="11">
        <v>0</v>
      </c>
      <c r="K4032" s="11" t="s">
        <v>21</v>
      </c>
      <c r="L4032" s="7">
        <v>40147.247025462959</v>
      </c>
      <c r="M4032" s="12" t="s">
        <v>9575</v>
      </c>
      <c r="N4032" s="12" t="s">
        <v>9576</v>
      </c>
      <c r="O4032" s="10" t="str">
        <f>HYPERLINK("https://pbs.twimg.com/profile_images/1289359150/Xenon07.2_normal.jpg","View")</f>
        <v>View</v>
      </c>
      <c r="P4032" s="11"/>
    </row>
    <row r="4033" spans="1:16" ht="12.75" x14ac:dyDescent="0.35">
      <c r="A4033" s="7">
        <v>42482.834664351853</v>
      </c>
      <c r="B4033" s="8" t="str">
        <f>HYPERLINK("https://twitter.com/Murgpirat","@Murgpirat")</f>
        <v>@Murgpirat</v>
      </c>
      <c r="C4033" s="9" t="s">
        <v>9577</v>
      </c>
      <c r="D4033" s="9" t="s">
        <v>9578</v>
      </c>
      <c r="E4033" s="10" t="str">
        <f>HYPERLINK("https://twitter.com/Murgpirat/status/723519710034321408","723519710034321408")</f>
        <v>723519710034321408</v>
      </c>
      <c r="F4033" s="11" t="s">
        <v>367</v>
      </c>
      <c r="G4033" s="11">
        <v>308</v>
      </c>
      <c r="H4033" s="11">
        <v>583</v>
      </c>
      <c r="I4033" s="11">
        <v>0</v>
      </c>
      <c r="J4033" s="11">
        <v>0</v>
      </c>
      <c r="K4033" s="11" t="s">
        <v>21</v>
      </c>
      <c r="L4033" s="7">
        <v>40144.851180555554</v>
      </c>
      <c r="M4033" s="12"/>
      <c r="N4033" s="12" t="s">
        <v>9579</v>
      </c>
      <c r="O4033" s="10" t="str">
        <f>HYPERLINK("https://pbs.twimg.com/profile_images/633404179340464128/r2aQ_hAU_normal.jpg","View")</f>
        <v>View</v>
      </c>
      <c r="P4033" s="11"/>
    </row>
    <row r="4034" spans="1:16" ht="12.75" x14ac:dyDescent="0.35">
      <c r="A4034" s="7">
        <v>42482.834780092591</v>
      </c>
      <c r="B4034" s="8" t="str">
        <f t="shared" ref="B4034:B4037" si="354">HYPERLINK("https://twitter.com/mokomokai","@mokomokai")</f>
        <v>@mokomokai</v>
      </c>
      <c r="C4034" s="9" t="s">
        <v>9573</v>
      </c>
      <c r="D4034" s="9" t="s">
        <v>8685</v>
      </c>
      <c r="E4034" s="10" t="str">
        <f>HYPERLINK("https://twitter.com/mokomokai/status/723519751717154816","723519751717154816")</f>
        <v>723519751717154816</v>
      </c>
      <c r="F4034" s="11" t="s">
        <v>1838</v>
      </c>
      <c r="G4034" s="11">
        <v>3724</v>
      </c>
      <c r="H4034" s="11">
        <v>3715</v>
      </c>
      <c r="I4034" s="11">
        <v>5</v>
      </c>
      <c r="J4034" s="11">
        <v>0</v>
      </c>
      <c r="K4034" s="11" t="s">
        <v>21</v>
      </c>
      <c r="L4034" s="7">
        <v>40147.247025462959</v>
      </c>
      <c r="M4034" s="12" t="s">
        <v>9575</v>
      </c>
      <c r="N4034" s="12" t="s">
        <v>9576</v>
      </c>
      <c r="O4034" s="10" t="str">
        <f t="shared" ref="O4034:O4037" si="355">HYPERLINK("https://pbs.twimg.com/profile_images/1289359150/Xenon07.2_normal.jpg","View")</f>
        <v>View</v>
      </c>
      <c r="P4034" s="11"/>
    </row>
    <row r="4035" spans="1:16" ht="12.75" x14ac:dyDescent="0.35">
      <c r="A4035" s="7">
        <v>42482.834872685184</v>
      </c>
      <c r="B4035" s="8" t="str">
        <f t="shared" si="354"/>
        <v>@mokomokai</v>
      </c>
      <c r="C4035" s="9" t="s">
        <v>9573</v>
      </c>
      <c r="D4035" s="9" t="s">
        <v>8592</v>
      </c>
      <c r="E4035" s="10" t="str">
        <f>HYPERLINK("https://twitter.com/mokomokai/status/723519785900761089","723519785900761089")</f>
        <v>723519785900761089</v>
      </c>
      <c r="F4035" s="11" t="s">
        <v>1838</v>
      </c>
      <c r="G4035" s="11">
        <v>3724</v>
      </c>
      <c r="H4035" s="11">
        <v>3715</v>
      </c>
      <c r="I4035" s="11">
        <v>3</v>
      </c>
      <c r="J4035" s="11">
        <v>0</v>
      </c>
      <c r="K4035" s="11" t="s">
        <v>21</v>
      </c>
      <c r="L4035" s="7">
        <v>40147.247025462959</v>
      </c>
      <c r="M4035" s="12" t="s">
        <v>9575</v>
      </c>
      <c r="N4035" s="12" t="s">
        <v>9576</v>
      </c>
      <c r="O4035" s="10" t="str">
        <f t="shared" si="355"/>
        <v>View</v>
      </c>
      <c r="P4035" s="11"/>
    </row>
    <row r="4036" spans="1:16" ht="12.75" x14ac:dyDescent="0.35">
      <c r="A4036" s="7">
        <v>42482.834976851853</v>
      </c>
      <c r="B4036" s="8" t="str">
        <f t="shared" si="354"/>
        <v>@mokomokai</v>
      </c>
      <c r="C4036" s="9" t="s">
        <v>9573</v>
      </c>
      <c r="D4036" s="9" t="s">
        <v>8183</v>
      </c>
      <c r="E4036" s="10" t="str">
        <f>HYPERLINK("https://twitter.com/mokomokai/status/723519820436627457","723519820436627457")</f>
        <v>723519820436627457</v>
      </c>
      <c r="F4036" s="11" t="s">
        <v>1838</v>
      </c>
      <c r="G4036" s="11">
        <v>3724</v>
      </c>
      <c r="H4036" s="11">
        <v>3715</v>
      </c>
      <c r="I4036" s="11">
        <v>9</v>
      </c>
      <c r="J4036" s="11">
        <v>0</v>
      </c>
      <c r="K4036" s="11" t="s">
        <v>21</v>
      </c>
      <c r="L4036" s="7">
        <v>40147.247025462959</v>
      </c>
      <c r="M4036" s="12" t="s">
        <v>9575</v>
      </c>
      <c r="N4036" s="12" t="s">
        <v>9576</v>
      </c>
      <c r="O4036" s="10" t="str">
        <f t="shared" si="355"/>
        <v>View</v>
      </c>
      <c r="P4036" s="11"/>
    </row>
    <row r="4037" spans="1:16" ht="12.75" x14ac:dyDescent="0.35">
      <c r="A4037" s="7">
        <v>42482.835115740745</v>
      </c>
      <c r="B4037" s="8" t="str">
        <f t="shared" si="354"/>
        <v>@mokomokai</v>
      </c>
      <c r="C4037" s="9" t="s">
        <v>9573</v>
      </c>
      <c r="D4037" s="9" t="s">
        <v>7870</v>
      </c>
      <c r="E4037" s="10" t="str">
        <f>HYPERLINK("https://twitter.com/mokomokai/status/723519873381339138","723519873381339138")</f>
        <v>723519873381339138</v>
      </c>
      <c r="F4037" s="11" t="s">
        <v>1838</v>
      </c>
      <c r="G4037" s="11">
        <v>3724</v>
      </c>
      <c r="H4037" s="11">
        <v>3715</v>
      </c>
      <c r="I4037" s="11">
        <v>3</v>
      </c>
      <c r="J4037" s="11">
        <v>0</v>
      </c>
      <c r="K4037" s="11" t="s">
        <v>21</v>
      </c>
      <c r="L4037" s="7">
        <v>40147.247025462959</v>
      </c>
      <c r="M4037" s="12" t="s">
        <v>9575</v>
      </c>
      <c r="N4037" s="12" t="s">
        <v>9576</v>
      </c>
      <c r="O4037" s="10" t="str">
        <f t="shared" si="355"/>
        <v>View</v>
      </c>
      <c r="P4037" s="11"/>
    </row>
    <row r="4038" spans="1:16" ht="12.75" x14ac:dyDescent="0.35">
      <c r="A4038" s="7">
        <v>42482.835127314815</v>
      </c>
      <c r="B4038" s="8" t="str">
        <f>HYPERLINK("https://twitter.com/Petercampbell1","@Petercampbell1")</f>
        <v>@Petercampbell1</v>
      </c>
      <c r="C4038" s="9" t="s">
        <v>9580</v>
      </c>
      <c r="D4038" s="9" t="s">
        <v>9547</v>
      </c>
      <c r="E4038" s="10" t="str">
        <f>HYPERLINK("https://twitter.com/Petercampbell1/status/723519877890367488","723519877890367488")</f>
        <v>723519877890367488</v>
      </c>
      <c r="F4038" s="11" t="s">
        <v>43</v>
      </c>
      <c r="G4038" s="11">
        <v>3707</v>
      </c>
      <c r="H4038" s="11">
        <v>1551</v>
      </c>
      <c r="I4038" s="11">
        <v>2</v>
      </c>
      <c r="J4038" s="11">
        <v>0</v>
      </c>
      <c r="K4038" s="11" t="s">
        <v>21</v>
      </c>
      <c r="L4038" s="7">
        <v>39848.296388888892</v>
      </c>
      <c r="M4038" s="12" t="s">
        <v>638</v>
      </c>
      <c r="N4038" s="12" t="s">
        <v>9581</v>
      </c>
      <c r="O4038" s="10" t="str">
        <f>HYPERLINK("https://pbs.twimg.com/profile_images/704718766937149441/7ol1plMg_normal.jpg","View")</f>
        <v>View</v>
      </c>
      <c r="P4038" s="11"/>
    </row>
    <row r="4039" spans="1:16" ht="12.75" x14ac:dyDescent="0.35">
      <c r="A4039" s="7">
        <v>42482.835196759261</v>
      </c>
      <c r="B4039" s="8" t="str">
        <f>HYPERLINK("https://twitter.com/RippedFlower","@RippedFlower")</f>
        <v>@RippedFlower</v>
      </c>
      <c r="C4039" s="9" t="s">
        <v>8880</v>
      </c>
      <c r="D4039" s="9" t="s">
        <v>9582</v>
      </c>
      <c r="E4039" s="10" t="str">
        <f>HYPERLINK("https://twitter.com/RippedFlower/status/723519903332884480","723519903332884480")</f>
        <v>723519903332884480</v>
      </c>
      <c r="F4039" s="11" t="s">
        <v>43</v>
      </c>
      <c r="G4039" s="11">
        <v>1530</v>
      </c>
      <c r="H4039" s="11">
        <v>1842</v>
      </c>
      <c r="I4039" s="11">
        <v>0</v>
      </c>
      <c r="J4039" s="11">
        <v>0</v>
      </c>
      <c r="K4039" s="11" t="s">
        <v>21</v>
      </c>
      <c r="L4039" s="7">
        <v>40480.450509259259</v>
      </c>
      <c r="M4039" s="12" t="s">
        <v>8882</v>
      </c>
      <c r="N4039" s="12" t="s">
        <v>8883</v>
      </c>
      <c r="O4039" s="10" t="str">
        <f>HYPERLINK("https://pbs.twimg.com/profile_images/505852375911780352/2-ZN7ue2_normal.jpeg","View")</f>
        <v>View</v>
      </c>
      <c r="P4039" s="11"/>
    </row>
    <row r="4040" spans="1:16" ht="12.75" x14ac:dyDescent="0.35">
      <c r="A4040" s="7">
        <v>42482.835231481484</v>
      </c>
      <c r="B4040" s="8" t="str">
        <f>HYPERLINK("https://twitter.com/mokomokai","@mokomokai")</f>
        <v>@mokomokai</v>
      </c>
      <c r="C4040" s="9" t="s">
        <v>9573</v>
      </c>
      <c r="D4040" s="9" t="s">
        <v>7189</v>
      </c>
      <c r="E4040" s="10" t="str">
        <f>HYPERLINK("https://twitter.com/mokomokai/status/723519912975552512","723519912975552512")</f>
        <v>723519912975552512</v>
      </c>
      <c r="F4040" s="11" t="s">
        <v>1838</v>
      </c>
      <c r="G4040" s="11">
        <v>3724</v>
      </c>
      <c r="H4040" s="11">
        <v>3715</v>
      </c>
      <c r="I4040" s="11">
        <v>12</v>
      </c>
      <c r="J4040" s="11">
        <v>0</v>
      </c>
      <c r="K4040" s="11" t="s">
        <v>21</v>
      </c>
      <c r="L4040" s="7">
        <v>40147.247025462959</v>
      </c>
      <c r="M4040" s="12" t="s">
        <v>9575</v>
      </c>
      <c r="N4040" s="12" t="s">
        <v>9576</v>
      </c>
      <c r="O4040" s="10" t="str">
        <f>HYPERLINK("https://pbs.twimg.com/profile_images/1289359150/Xenon07.2_normal.jpg","View")</f>
        <v>View</v>
      </c>
      <c r="P4040" s="11"/>
    </row>
    <row r="4041" spans="1:16" ht="12.75" x14ac:dyDescent="0.35">
      <c r="A4041" s="7">
        <v>42482.83525462963</v>
      </c>
      <c r="B4041" s="8" t="str">
        <f>HYPERLINK("https://twitter.com/vdub_mike","@vdub_mike")</f>
        <v>@vdub_mike</v>
      </c>
      <c r="C4041" s="9" t="s">
        <v>9583</v>
      </c>
      <c r="D4041" s="9" t="s">
        <v>9584</v>
      </c>
      <c r="E4041" s="10" t="str">
        <f>HYPERLINK("https://twitter.com/vdub_mike/status/723519921909538818","723519921909538818")</f>
        <v>723519921909538818</v>
      </c>
      <c r="F4041" s="11" t="s">
        <v>114</v>
      </c>
      <c r="G4041" s="11">
        <v>104</v>
      </c>
      <c r="H4041" s="11">
        <v>141</v>
      </c>
      <c r="I4041" s="11">
        <v>0</v>
      </c>
      <c r="J4041" s="11">
        <v>0</v>
      </c>
      <c r="K4041" s="11" t="s">
        <v>21</v>
      </c>
      <c r="L4041" s="7">
        <v>40927.069247685184</v>
      </c>
      <c r="M4041" s="12" t="s">
        <v>9585</v>
      </c>
      <c r="N4041" s="12" t="s">
        <v>9586</v>
      </c>
      <c r="O4041" s="10" t="str">
        <f>HYPERLINK("https://pbs.twimg.com/profile_images/523830605642235904/liOKs1KD_normal.jpeg","View")</f>
        <v>View</v>
      </c>
      <c r="P4041" s="11"/>
    </row>
    <row r="4042" spans="1:16" ht="12.75" x14ac:dyDescent="0.35">
      <c r="A4042" s="7">
        <v>42482.835289351853</v>
      </c>
      <c r="B4042" s="8" t="str">
        <f>HYPERLINK("https://twitter.com/TwittingThom","@TwittingThom")</f>
        <v>@TwittingThom</v>
      </c>
      <c r="C4042" s="9" t="s">
        <v>9587</v>
      </c>
      <c r="D4042" s="9" t="s">
        <v>9588</v>
      </c>
      <c r="E4042" s="10" t="str">
        <f>HYPERLINK("https://twitter.com/TwittingThom/status/723519935289405440","723519935289405440")</f>
        <v>723519935289405440</v>
      </c>
      <c r="F4042" s="11" t="s">
        <v>160</v>
      </c>
      <c r="G4042" s="11">
        <v>1666</v>
      </c>
      <c r="H4042" s="11">
        <v>980</v>
      </c>
      <c r="I4042" s="11">
        <v>1</v>
      </c>
      <c r="J4042" s="11">
        <v>0</v>
      </c>
      <c r="K4042" s="11" t="s">
        <v>21</v>
      </c>
      <c r="L4042" s="7">
        <v>40454.635277777779</v>
      </c>
      <c r="M4042" s="12" t="s">
        <v>9589</v>
      </c>
      <c r="N4042" s="12" t="s">
        <v>9590</v>
      </c>
      <c r="O4042" s="10" t="str">
        <f>HYPERLINK("https://pbs.twimg.com/profile_images/378800000609525841/bf683b759226dba86e05743861714a83_normal.jpeg","View")</f>
        <v>View</v>
      </c>
      <c r="P4042" s="11"/>
    </row>
    <row r="4043" spans="1:16" ht="12.75" x14ac:dyDescent="0.35">
      <c r="A4043" s="7">
        <v>42482.835381944446</v>
      </c>
      <c r="B4043" s="8" t="str">
        <f>HYPERLINK("https://twitter.com/mokomokai","@mokomokai")</f>
        <v>@mokomokai</v>
      </c>
      <c r="C4043" s="9" t="s">
        <v>9573</v>
      </c>
      <c r="D4043" s="9" t="s">
        <v>4290</v>
      </c>
      <c r="E4043" s="10" t="str">
        <f>HYPERLINK("https://twitter.com/mokomokai/status/723519967501512704","723519967501512704")</f>
        <v>723519967501512704</v>
      </c>
      <c r="F4043" s="11" t="s">
        <v>1838</v>
      </c>
      <c r="G4043" s="11">
        <v>3724</v>
      </c>
      <c r="H4043" s="11">
        <v>3715</v>
      </c>
      <c r="I4043" s="11">
        <v>4</v>
      </c>
      <c r="J4043" s="11">
        <v>0</v>
      </c>
      <c r="K4043" s="11" t="s">
        <v>21</v>
      </c>
      <c r="L4043" s="7">
        <v>40147.247025462959</v>
      </c>
      <c r="M4043" s="12" t="s">
        <v>9575</v>
      </c>
      <c r="N4043" s="12" t="s">
        <v>9576</v>
      </c>
      <c r="O4043" s="10" t="str">
        <f>HYPERLINK("https://pbs.twimg.com/profile_images/1289359150/Xenon07.2_normal.jpg","View")</f>
        <v>View</v>
      </c>
      <c r="P4043" s="11"/>
    </row>
    <row r="4044" spans="1:16" ht="12.75" x14ac:dyDescent="0.35">
      <c r="A4044" s="7">
        <v>42482.836099537039</v>
      </c>
      <c r="B4044" s="8" t="str">
        <f>HYPERLINK("https://twitter.com/wehrs18","@wehrs18")</f>
        <v>@wehrs18</v>
      </c>
      <c r="C4044" s="9" t="s">
        <v>1964</v>
      </c>
      <c r="D4044" s="9" t="s">
        <v>9591</v>
      </c>
      <c r="E4044" s="10" t="str">
        <f>HYPERLINK("https://twitter.com/wehrs18/status/723520230476124161","723520230476124161")</f>
        <v>723520230476124161</v>
      </c>
      <c r="F4044" s="11" t="s">
        <v>48</v>
      </c>
      <c r="G4044" s="11">
        <v>122</v>
      </c>
      <c r="H4044" s="11">
        <v>241</v>
      </c>
      <c r="I4044" s="11">
        <v>1</v>
      </c>
      <c r="J4044" s="11">
        <v>0</v>
      </c>
      <c r="K4044" s="11" t="s">
        <v>21</v>
      </c>
      <c r="L4044" s="7">
        <v>41836.590428240743</v>
      </c>
      <c r="M4044" s="12" t="s">
        <v>1116</v>
      </c>
      <c r="N4044" s="12" t="s">
        <v>1965</v>
      </c>
      <c r="O4044" s="10" t="str">
        <f>HYPERLINK("https://pbs.twimg.com/profile_images/687314255507513346/a83L5Opq_normal.jpg","View")</f>
        <v>View</v>
      </c>
      <c r="P4044" s="11"/>
    </row>
    <row r="4045" spans="1:16" ht="12.75" x14ac:dyDescent="0.35">
      <c r="A4045" s="7">
        <v>42482.836909722224</v>
      </c>
      <c r="B4045" s="8" t="str">
        <f>HYPERLINK("https://twitter.com/xox0291","@xox0291")</f>
        <v>@xox0291</v>
      </c>
      <c r="C4045" s="9" t="s">
        <v>9592</v>
      </c>
      <c r="D4045" s="9" t="s">
        <v>9371</v>
      </c>
      <c r="E4045" s="10" t="str">
        <f>HYPERLINK("https://twitter.com/xox0291/status/723520524190507009","723520524190507009")</f>
        <v>723520524190507009</v>
      </c>
      <c r="F4045" s="11" t="s">
        <v>48</v>
      </c>
      <c r="G4045" s="11">
        <v>318</v>
      </c>
      <c r="H4045" s="11">
        <v>543</v>
      </c>
      <c r="I4045" s="11">
        <v>4</v>
      </c>
      <c r="J4045" s="11">
        <v>0</v>
      </c>
      <c r="K4045" s="11" t="s">
        <v>21</v>
      </c>
      <c r="L4045" s="7">
        <v>40086.535081018519</v>
      </c>
      <c r="M4045" s="12" t="s">
        <v>9593</v>
      </c>
      <c r="N4045" s="12" t="s">
        <v>9594</v>
      </c>
      <c r="O4045" s="10" t="str">
        <f>HYPERLINK("https://pbs.twimg.com/profile_images/714020995170967556/qughNF6c_normal.jpg","View")</f>
        <v>View</v>
      </c>
      <c r="P4045" s="11"/>
    </row>
    <row r="4046" spans="1:16" ht="12.75" x14ac:dyDescent="0.35">
      <c r="A4046" s="7">
        <v>42482.837013888886</v>
      </c>
      <c r="B4046" s="8" t="str">
        <f>HYPERLINK("https://twitter.com/juliocnunez11","@juliocnunez11")</f>
        <v>@juliocnunez11</v>
      </c>
      <c r="C4046" s="9" t="s">
        <v>9595</v>
      </c>
      <c r="D4046" s="9" t="s">
        <v>9596</v>
      </c>
      <c r="E4046" s="10" t="str">
        <f>HYPERLINK("https://twitter.com/juliocnunez11/status/723520558995001344","723520558995001344")</f>
        <v>723520558995001344</v>
      </c>
      <c r="F4046" s="11" t="s">
        <v>114</v>
      </c>
      <c r="G4046" s="11">
        <v>365</v>
      </c>
      <c r="H4046" s="11">
        <v>307</v>
      </c>
      <c r="I4046" s="11">
        <v>0</v>
      </c>
      <c r="J4046" s="11">
        <v>0</v>
      </c>
      <c r="K4046" s="11" t="s">
        <v>21</v>
      </c>
      <c r="L4046" s="7">
        <v>41183.287835648152</v>
      </c>
      <c r="M4046" s="12"/>
      <c r="N4046" s="12" t="s">
        <v>9597</v>
      </c>
      <c r="O4046" s="10" t="str">
        <f>HYPERLINK("https://pbs.twimg.com/profile_images/721550249739681792/eXb08SZE_normal.jpg","View")</f>
        <v>View</v>
      </c>
      <c r="P4046" s="11"/>
    </row>
    <row r="4047" spans="1:16" ht="12.75" x14ac:dyDescent="0.35">
      <c r="A4047" s="7">
        <v>42482.837083333332</v>
      </c>
      <c r="B4047" s="8" t="str">
        <f>HYPERLINK("https://twitter.com/Stony_BS","@Stony_BS")</f>
        <v>@Stony_BS</v>
      </c>
      <c r="C4047" s="9" t="s">
        <v>2680</v>
      </c>
      <c r="D4047" s="9" t="s">
        <v>9598</v>
      </c>
      <c r="E4047" s="10" t="str">
        <f>HYPERLINK("https://twitter.com/Stony_BS/status/723520585532362753","723520585532362753")</f>
        <v>723520585532362753</v>
      </c>
      <c r="F4047" s="11" t="s">
        <v>43</v>
      </c>
      <c r="G4047" s="11">
        <v>36</v>
      </c>
      <c r="H4047" s="11">
        <v>51</v>
      </c>
      <c r="I4047" s="11">
        <v>0</v>
      </c>
      <c r="J4047" s="11">
        <v>0</v>
      </c>
      <c r="K4047" s="11" t="s">
        <v>21</v>
      </c>
      <c r="L4047" s="7">
        <v>41928.806030092594</v>
      </c>
      <c r="M4047" s="12" t="s">
        <v>2682</v>
      </c>
      <c r="N4047" s="12" t="s">
        <v>2683</v>
      </c>
      <c r="O4047" s="10" t="str">
        <f>HYPERLINK("https://pbs.twimg.com/profile_images/668091779313500160/ZepxnJcI_normal.jpg","View")</f>
        <v>View</v>
      </c>
      <c r="P4047" s="11"/>
    </row>
    <row r="4048" spans="1:16" ht="12.75" x14ac:dyDescent="0.35">
      <c r="A4048" s="7">
        <v>42482.837349537032</v>
      </c>
      <c r="B4048" s="8" t="str">
        <f>HYPERLINK("https://twitter.com/Lindsay_VW","@Lindsay_VW")</f>
        <v>@Lindsay_VW</v>
      </c>
      <c r="C4048" s="9" t="s">
        <v>211</v>
      </c>
      <c r="D4048" s="9" t="s">
        <v>9599</v>
      </c>
      <c r="E4048" s="10" t="str">
        <f>HYPERLINK("https://twitter.com/Lindsay_VW/status/723520681351237634","723520681351237634")</f>
        <v>723520681351237634</v>
      </c>
      <c r="F4048" s="11" t="s">
        <v>213</v>
      </c>
      <c r="G4048" s="11">
        <v>4667</v>
      </c>
      <c r="H4048" s="11">
        <v>4338</v>
      </c>
      <c r="I4048" s="11">
        <v>0</v>
      </c>
      <c r="J4048" s="11">
        <v>0</v>
      </c>
      <c r="K4048" s="11" t="s">
        <v>21</v>
      </c>
      <c r="L4048" s="7">
        <v>39872.963599537034</v>
      </c>
      <c r="M4048" s="12" t="s">
        <v>214</v>
      </c>
      <c r="N4048" s="12" t="s">
        <v>215</v>
      </c>
      <c r="O4048" s="10" t="str">
        <f>HYPERLINK("https://pbs.twimg.com/profile_images/716020780899807232/fnaRfVpE_normal.jpg","View")</f>
        <v>View</v>
      </c>
      <c r="P4048" s="11"/>
    </row>
    <row r="4049" spans="1:16" ht="12.75" x14ac:dyDescent="0.35">
      <c r="A4049" s="7">
        <v>42482.837557870371</v>
      </c>
      <c r="B4049" s="8" t="str">
        <f>HYPERLINK("https://twitter.com/wehrs18","@wehrs18")</f>
        <v>@wehrs18</v>
      </c>
      <c r="C4049" s="9" t="s">
        <v>1964</v>
      </c>
      <c r="D4049" s="9" t="s">
        <v>9600</v>
      </c>
      <c r="E4049" s="10" t="str">
        <f>HYPERLINK("https://twitter.com/wehrs18/status/723520757150715904","723520757150715904")</f>
        <v>723520757150715904</v>
      </c>
      <c r="F4049" s="11" t="s">
        <v>48</v>
      </c>
      <c r="G4049" s="11">
        <v>122</v>
      </c>
      <c r="H4049" s="11">
        <v>241</v>
      </c>
      <c r="I4049" s="11">
        <v>2</v>
      </c>
      <c r="J4049" s="11">
        <v>0</v>
      </c>
      <c r="K4049" s="11" t="s">
        <v>21</v>
      </c>
      <c r="L4049" s="7">
        <v>41836.590428240743</v>
      </c>
      <c r="M4049" s="12" t="s">
        <v>1116</v>
      </c>
      <c r="N4049" s="12" t="s">
        <v>1965</v>
      </c>
      <c r="O4049" s="10" t="str">
        <f>HYPERLINK("https://pbs.twimg.com/profile_images/687314255507513346/a83L5Opq_normal.jpg","View")</f>
        <v>View</v>
      </c>
      <c r="P4049" s="11"/>
    </row>
    <row r="4050" spans="1:16" ht="12.75" x14ac:dyDescent="0.35">
      <c r="A4050" s="7">
        <v>42482.837650462963</v>
      </c>
      <c r="B4050" s="8" t="str">
        <f>HYPERLINK("https://twitter.com/ant2014ant","@ant2014ant")</f>
        <v>@ant2014ant</v>
      </c>
      <c r="C4050" s="9" t="s">
        <v>9601</v>
      </c>
      <c r="D4050" s="9" t="s">
        <v>9602</v>
      </c>
      <c r="E4050" s="10" t="str">
        <f>HYPERLINK("https://twitter.com/ant2014ant/status/723520789388120064","723520789388120064")</f>
        <v>723520789388120064</v>
      </c>
      <c r="F4050" s="11" t="s">
        <v>20</v>
      </c>
      <c r="G4050" s="11">
        <v>475</v>
      </c>
      <c r="H4050" s="11">
        <v>833</v>
      </c>
      <c r="I4050" s="11">
        <v>0</v>
      </c>
      <c r="J4050" s="11">
        <v>0</v>
      </c>
      <c r="K4050" s="11" t="s">
        <v>21</v>
      </c>
      <c r="L4050" s="7">
        <v>40653.867743055554</v>
      </c>
      <c r="M4050" s="12" t="s">
        <v>9603</v>
      </c>
      <c r="N4050" s="12" t="s">
        <v>9604</v>
      </c>
      <c r="O4050" s="10" t="str">
        <f>HYPERLINK("https://pbs.twimg.com/profile_images/590874983687188481/yxUz-_MP_normal.jpg","View")</f>
        <v>View</v>
      </c>
      <c r="P4050" s="11"/>
    </row>
    <row r="4051" spans="1:16" ht="12.75" x14ac:dyDescent="0.35">
      <c r="A4051" s="7">
        <v>42482.837870370371</v>
      </c>
      <c r="B4051" s="8" t="str">
        <f>HYPERLINK("https://twitter.com/Kurtzer90","@Kurtzer90")</f>
        <v>@Kurtzer90</v>
      </c>
      <c r="C4051" s="9" t="s">
        <v>1676</v>
      </c>
      <c r="D4051" s="9" t="s">
        <v>8751</v>
      </c>
      <c r="E4051" s="10" t="str">
        <f>HYPERLINK("https://twitter.com/Kurtzer90/status/723520870455599105","723520870455599105")</f>
        <v>723520870455599105</v>
      </c>
      <c r="F4051" s="11" t="s">
        <v>20</v>
      </c>
      <c r="G4051" s="11">
        <v>26</v>
      </c>
      <c r="H4051" s="11">
        <v>45</v>
      </c>
      <c r="I4051" s="11">
        <v>3</v>
      </c>
      <c r="J4051" s="11">
        <v>0</v>
      </c>
      <c r="K4051" s="11" t="s">
        <v>21</v>
      </c>
      <c r="L4051" s="7">
        <v>40801.69630787037</v>
      </c>
      <c r="M4051" s="12"/>
      <c r="N4051" s="12"/>
      <c r="O4051" s="10" t="str">
        <f>HYPERLINK("https://pbs.twimg.com/profile_images/463700870073286657/N6mCbx-y_normal.png","View")</f>
        <v>View</v>
      </c>
      <c r="P4051" s="11"/>
    </row>
    <row r="4052" spans="1:16" ht="12.75" x14ac:dyDescent="0.35">
      <c r="A4052" s="7">
        <v>42482.838472222225</v>
      </c>
      <c r="B4052" s="8" t="str">
        <f>HYPERLINK("https://twitter.com/dapper013","@dapper013")</f>
        <v>@dapper013</v>
      </c>
      <c r="C4052" s="9" t="s">
        <v>1567</v>
      </c>
      <c r="D4052" s="9" t="s">
        <v>9605</v>
      </c>
      <c r="E4052" s="10" t="str">
        <f>HYPERLINK("https://twitter.com/dapper013/status/723521087812841473","723521087812841473")</f>
        <v>723521087812841473</v>
      </c>
      <c r="F4052" s="11" t="s">
        <v>48</v>
      </c>
      <c r="G4052" s="11">
        <v>291</v>
      </c>
      <c r="H4052" s="11">
        <v>304</v>
      </c>
      <c r="I4052" s="11">
        <v>0</v>
      </c>
      <c r="J4052" s="11">
        <v>0</v>
      </c>
      <c r="K4052" s="11" t="s">
        <v>21</v>
      </c>
      <c r="L4052" s="7">
        <v>40871.767500000002</v>
      </c>
      <c r="M4052" s="12" t="s">
        <v>1569</v>
      </c>
      <c r="N4052" s="12" t="s">
        <v>1570</v>
      </c>
      <c r="O4052" s="10" t="str">
        <f>HYPERLINK("https://pbs.twimg.com/profile_images/704424786777280513/YQVkJF57_normal.jpg","View")</f>
        <v>View</v>
      </c>
      <c r="P4052" s="11"/>
    </row>
    <row r="4053" spans="1:16" ht="12.75" x14ac:dyDescent="0.35">
      <c r="A4053" s="7">
        <v>42482.83866898148</v>
      </c>
      <c r="B4053" s="8" t="str">
        <f t="shared" ref="B4053:B4054" si="356">HYPERLINK("https://twitter.com/Frauimspiegel","@Frauimspiegel")</f>
        <v>@Frauimspiegel</v>
      </c>
      <c r="C4053" s="9" t="s">
        <v>9606</v>
      </c>
      <c r="D4053" s="9" t="s">
        <v>9600</v>
      </c>
      <c r="E4053" s="10" t="str">
        <f>HYPERLINK("https://twitter.com/Frauimspiegel/status/723521161515139072","723521161515139072")</f>
        <v>723521161515139072</v>
      </c>
      <c r="F4053" s="11" t="s">
        <v>20</v>
      </c>
      <c r="G4053" s="11">
        <v>176</v>
      </c>
      <c r="H4053" s="11">
        <v>401</v>
      </c>
      <c r="I4053" s="11">
        <v>2</v>
      </c>
      <c r="J4053" s="11">
        <v>0</v>
      </c>
      <c r="K4053" s="11" t="s">
        <v>21</v>
      </c>
      <c r="L4053" s="7">
        <v>41080.791828703703</v>
      </c>
      <c r="M4053" s="12"/>
      <c r="N4053" s="12" t="s">
        <v>9607</v>
      </c>
      <c r="O4053" s="10" t="str">
        <f t="shared" ref="O4053:O4054" si="357">HYPERLINK("https://pbs.twimg.com/profile_images/430452839006367744/g4pz6WaE_normal.jpeg","View")</f>
        <v>View</v>
      </c>
      <c r="P4053" s="11"/>
    </row>
    <row r="4054" spans="1:16" ht="12.75" x14ac:dyDescent="0.35">
      <c r="A4054" s="7">
        <v>42482.839016203703</v>
      </c>
      <c r="B4054" s="8" t="str">
        <f t="shared" si="356"/>
        <v>@Frauimspiegel</v>
      </c>
      <c r="C4054" s="9" t="s">
        <v>9606</v>
      </c>
      <c r="D4054" s="9" t="s">
        <v>9608</v>
      </c>
      <c r="E4054" s="10" t="str">
        <f>HYPERLINK("https://twitter.com/Frauimspiegel/status/723521286002098176","723521286002098176")</f>
        <v>723521286002098176</v>
      </c>
      <c r="F4054" s="11" t="s">
        <v>20</v>
      </c>
      <c r="G4054" s="11">
        <v>176</v>
      </c>
      <c r="H4054" s="11">
        <v>401</v>
      </c>
      <c r="I4054" s="11">
        <v>1</v>
      </c>
      <c r="J4054" s="11">
        <v>0</v>
      </c>
      <c r="K4054" s="11" t="s">
        <v>21</v>
      </c>
      <c r="L4054" s="7">
        <v>41080.791828703703</v>
      </c>
      <c r="M4054" s="12"/>
      <c r="N4054" s="12" t="s">
        <v>9607</v>
      </c>
      <c r="O4054" s="10" t="str">
        <f t="shared" si="357"/>
        <v>View</v>
      </c>
      <c r="P4054" s="11"/>
    </row>
    <row r="4055" spans="1:16" ht="12.75" x14ac:dyDescent="0.35">
      <c r="A4055" s="7">
        <v>42482.839814814812</v>
      </c>
      <c r="B4055" s="8" t="str">
        <f>HYPERLINK("https://twitter.com/Umwelthilfe","@Umwelthilfe")</f>
        <v>@Umwelthilfe</v>
      </c>
      <c r="C4055" s="9" t="s">
        <v>9609</v>
      </c>
      <c r="D4055" s="9" t="s">
        <v>7947</v>
      </c>
      <c r="E4055" s="10" t="str">
        <f>HYPERLINK("https://twitter.com/Umwelthilfe/status/723521573597138944","723521573597138944")</f>
        <v>723521573597138944</v>
      </c>
      <c r="F4055" s="11" t="s">
        <v>48</v>
      </c>
      <c r="G4055" s="11">
        <v>12156</v>
      </c>
      <c r="H4055" s="11">
        <v>645</v>
      </c>
      <c r="I4055" s="11">
        <v>2</v>
      </c>
      <c r="J4055" s="11">
        <v>0</v>
      </c>
      <c r="K4055" s="11" t="s">
        <v>21</v>
      </c>
      <c r="L4055" s="7">
        <v>39857.755532407406</v>
      </c>
      <c r="M4055" s="12" t="s">
        <v>9610</v>
      </c>
      <c r="N4055" s="12" t="s">
        <v>9611</v>
      </c>
      <c r="O4055" s="10" t="str">
        <f>HYPERLINK("https://pbs.twimg.com/profile_images/77910862/DUHLOG_nurKugel_3_normal.png","View")</f>
        <v>View</v>
      </c>
      <c r="P4055" s="11"/>
    </row>
    <row r="4056" spans="1:16" ht="12.75" x14ac:dyDescent="0.35">
      <c r="A4056" s="7">
        <v>42482.83997685185</v>
      </c>
      <c r="B4056" s="8" t="str">
        <f>HYPERLINK("https://twitter.com/doern","@doern")</f>
        <v>@doern</v>
      </c>
      <c r="C4056" s="9" t="s">
        <v>3107</v>
      </c>
      <c r="D4056" s="9" t="s">
        <v>9612</v>
      </c>
      <c r="E4056" s="10" t="str">
        <f>HYPERLINK("https://twitter.com/doern/status/723521632892030976","723521632892030976")</f>
        <v>723521632892030976</v>
      </c>
      <c r="F4056" s="11" t="s">
        <v>20</v>
      </c>
      <c r="G4056" s="11">
        <v>365</v>
      </c>
      <c r="H4056" s="11">
        <v>63</v>
      </c>
      <c r="I4056" s="11">
        <v>2</v>
      </c>
      <c r="J4056" s="11">
        <v>1</v>
      </c>
      <c r="K4056" s="11" t="s">
        <v>21</v>
      </c>
      <c r="L4056" s="7">
        <v>39909.663194444445</v>
      </c>
      <c r="M4056" s="12" t="s">
        <v>262</v>
      </c>
      <c r="N4056" s="12" t="s">
        <v>3109</v>
      </c>
      <c r="O4056" s="10" t="str">
        <f>HYPERLINK("https://pbs.twimg.com/profile_images/657853466384191488/J6vAnfZr_normal.jpg","View")</f>
        <v>View</v>
      </c>
      <c r="P4056" s="11"/>
    </row>
    <row r="4057" spans="1:16" ht="12.75" x14ac:dyDescent="0.35">
      <c r="A4057" s="7">
        <v>42482.84002314815</v>
      </c>
      <c r="B4057" s="8" t="str">
        <f>HYPERLINK("https://twitter.com/mdrde","@mdrde")</f>
        <v>@mdrde</v>
      </c>
      <c r="C4057" s="9" t="s">
        <v>3817</v>
      </c>
      <c r="D4057" s="9" t="s">
        <v>9613</v>
      </c>
      <c r="E4057" s="10" t="str">
        <f>HYPERLINK("https://twitter.com/mdrde/status/723521652315828224","723521652315828224")</f>
        <v>723521652315828224</v>
      </c>
      <c r="F4057" s="11" t="s">
        <v>43</v>
      </c>
      <c r="G4057" s="11">
        <v>3751</v>
      </c>
      <c r="H4057" s="11">
        <v>73</v>
      </c>
      <c r="I4057" s="11">
        <v>0</v>
      </c>
      <c r="J4057" s="11">
        <v>0</v>
      </c>
      <c r="K4057" s="11" t="s">
        <v>21</v>
      </c>
      <c r="L4057" s="7">
        <v>40795.743645833332</v>
      </c>
      <c r="M4057" s="12"/>
      <c r="N4057" s="12" t="s">
        <v>3818</v>
      </c>
      <c r="O4057" s="10" t="str">
        <f>HYPERLINK("https://pbs.twimg.com/profile_images/1815194206/twitter-icon-mdr-180_normal.png","View")</f>
        <v>View</v>
      </c>
      <c r="P4057" s="11"/>
    </row>
    <row r="4058" spans="1:16" ht="12.75" x14ac:dyDescent="0.35">
      <c r="A4058" s="7">
        <v>42482.840057870373</v>
      </c>
      <c r="B4058" s="8" t="str">
        <f>HYPERLINK("https://twitter.com/RacingPuma","@RacingPuma")</f>
        <v>@RacingPuma</v>
      </c>
      <c r="C4058" s="9" t="s">
        <v>9614</v>
      </c>
      <c r="D4058" s="9" t="s">
        <v>9615</v>
      </c>
      <c r="E4058" s="10" t="str">
        <f>HYPERLINK("https://twitter.com/RacingPuma/status/723521664252796928","723521664252796928")</f>
        <v>723521664252796928</v>
      </c>
      <c r="F4058" s="11" t="s">
        <v>48</v>
      </c>
      <c r="G4058" s="11">
        <v>1406</v>
      </c>
      <c r="H4058" s="11">
        <v>411</v>
      </c>
      <c r="I4058" s="11">
        <v>0</v>
      </c>
      <c r="J4058" s="11">
        <v>0</v>
      </c>
      <c r="K4058" s="11" t="s">
        <v>21</v>
      </c>
      <c r="L4058" s="7">
        <v>39874.638078703705</v>
      </c>
      <c r="M4058" s="12" t="s">
        <v>9616</v>
      </c>
      <c r="N4058" s="12" t="s">
        <v>9617</v>
      </c>
      <c r="O4058" s="10" t="str">
        <f>HYPERLINK("https://pbs.twimg.com/profile_images/378800000418575802/4990a46bd29dcada9f2cccf9e58c242d_normal.jpeg","View")</f>
        <v>View</v>
      </c>
      <c r="P4058" s="11"/>
    </row>
    <row r="4059" spans="1:16" ht="12.75" x14ac:dyDescent="0.35">
      <c r="A4059" s="7">
        <v>42482.840127314819</v>
      </c>
      <c r="B4059" s="8" t="str">
        <f>HYPERLINK("https://twitter.com/Renesource","@Renesource")</f>
        <v>@Renesource</v>
      </c>
      <c r="C4059" s="9" t="s">
        <v>9618</v>
      </c>
      <c r="D4059" s="9" t="s">
        <v>9619</v>
      </c>
      <c r="E4059" s="10" t="str">
        <f>HYPERLINK("https://twitter.com/Renesource/status/723521686864289796","723521686864289796")</f>
        <v>723521686864289796</v>
      </c>
      <c r="F4059" s="11" t="s">
        <v>43</v>
      </c>
      <c r="G4059" s="11">
        <v>327</v>
      </c>
      <c r="H4059" s="11">
        <v>652</v>
      </c>
      <c r="I4059" s="11">
        <v>0</v>
      </c>
      <c r="J4059" s="11">
        <v>0</v>
      </c>
      <c r="K4059" s="11" t="s">
        <v>21</v>
      </c>
      <c r="L4059" s="7">
        <v>40724.514814814815</v>
      </c>
      <c r="M4059" s="12" t="s">
        <v>9620</v>
      </c>
      <c r="N4059" s="12" t="s">
        <v>9621</v>
      </c>
      <c r="O4059" s="10" t="str">
        <f>HYPERLINK("https://pbs.twimg.com/profile_images/438637572571402240/qxEeY-G4_normal.png","View")</f>
        <v>View</v>
      </c>
      <c r="P4059" s="11"/>
    </row>
    <row r="4060" spans="1:16" ht="12.75" x14ac:dyDescent="0.35">
      <c r="A4060" s="7">
        <v>42482.840509259258</v>
      </c>
      <c r="B4060" s="8" t="str">
        <f>HYPERLINK("https://twitter.com/hameles","@hameles")</f>
        <v>@hameles</v>
      </c>
      <c r="C4060" s="9" t="s">
        <v>2600</v>
      </c>
      <c r="D4060" s="9" t="s">
        <v>9622</v>
      </c>
      <c r="E4060" s="10" t="str">
        <f>HYPERLINK("https://twitter.com/hameles/status/723521825939034112","723521825939034112")</f>
        <v>723521825939034112</v>
      </c>
      <c r="F4060" s="11" t="s">
        <v>367</v>
      </c>
      <c r="G4060" s="11">
        <v>257</v>
      </c>
      <c r="H4060" s="11">
        <v>164</v>
      </c>
      <c r="I4060" s="11">
        <v>0</v>
      </c>
      <c r="J4060" s="11">
        <v>0</v>
      </c>
      <c r="K4060" s="11" t="s">
        <v>21</v>
      </c>
      <c r="L4060" s="7">
        <v>41789.724826388891</v>
      </c>
      <c r="M4060" s="12"/>
      <c r="N4060" s="12"/>
      <c r="O4060" s="10" t="str">
        <f>HYPERLINK("https://pbs.twimg.com/profile_images/720884007152394240/OWYVobwN_normal.jpg","View")</f>
        <v>View</v>
      </c>
      <c r="P4060" s="11"/>
    </row>
    <row r="4061" spans="1:16" ht="12.75" x14ac:dyDescent="0.35">
      <c r="A4061" s="7">
        <v>42482.840671296297</v>
      </c>
      <c r="B4061" s="8" t="str">
        <f>HYPERLINK("https://twitter.com/patriarchator","@patriarchator")</f>
        <v>@patriarchator</v>
      </c>
      <c r="C4061" s="9" t="s">
        <v>9623</v>
      </c>
      <c r="D4061" s="9" t="s">
        <v>9624</v>
      </c>
      <c r="E4061" s="10" t="str">
        <f>HYPERLINK("https://twitter.com/patriarchator/status/723521885313572864","723521885313572864")</f>
        <v>723521885313572864</v>
      </c>
      <c r="F4061" s="11" t="s">
        <v>43</v>
      </c>
      <c r="G4061" s="11">
        <v>735</v>
      </c>
      <c r="H4061" s="11">
        <v>154</v>
      </c>
      <c r="I4061" s="11">
        <v>0</v>
      </c>
      <c r="J4061" s="11">
        <v>1</v>
      </c>
      <c r="K4061" s="11" t="s">
        <v>21</v>
      </c>
      <c r="L4061" s="7">
        <v>42297.814988425926</v>
      </c>
      <c r="M4061" s="12" t="s">
        <v>9625</v>
      </c>
      <c r="N4061" s="12" t="s">
        <v>9626</v>
      </c>
      <c r="O4061" s="10" t="str">
        <f>HYPERLINK("https://pbs.twimg.com/profile_images/702919440787230720/9VN-nh33_normal.jpg","View")</f>
        <v>View</v>
      </c>
      <c r="P4061" s="11"/>
    </row>
    <row r="4062" spans="1:16" ht="12.75" x14ac:dyDescent="0.35">
      <c r="A4062" s="7">
        <v>42482.841053240743</v>
      </c>
      <c r="B4062" s="8" t="str">
        <f>HYPERLINK("https://twitter.com/VWBeetleSales","@VWBeetleSales")</f>
        <v>@VWBeetleSales</v>
      </c>
      <c r="C4062" s="9" t="s">
        <v>127</v>
      </c>
      <c r="D4062" s="9" t="s">
        <v>9627</v>
      </c>
      <c r="E4062" s="10" t="str">
        <f>HYPERLINK("https://twitter.com/VWBeetleSales/status/723522021963927555","723522021963927555")</f>
        <v>723522021963927555</v>
      </c>
      <c r="F4062" s="10" t="s">
        <v>124</v>
      </c>
      <c r="G4062" s="11">
        <v>36</v>
      </c>
      <c r="H4062" s="11">
        <v>32</v>
      </c>
      <c r="I4062" s="11">
        <v>0</v>
      </c>
      <c r="J4062" s="11">
        <v>0</v>
      </c>
      <c r="K4062" s="11" t="s">
        <v>21</v>
      </c>
      <c r="L4062" s="7">
        <v>42427.019756944443</v>
      </c>
      <c r="M4062" s="12" t="s">
        <v>129</v>
      </c>
      <c r="N4062" s="12" t="s">
        <v>130</v>
      </c>
      <c r="O4062" s="10" t="str">
        <f>HYPERLINK("https://pbs.twimg.com/profile_images/703294545195307008/qeCvrX86_normal.jpg","View")</f>
        <v>View</v>
      </c>
      <c r="P4062" s="11"/>
    </row>
    <row r="4063" spans="1:16" ht="12.75" x14ac:dyDescent="0.35">
      <c r="A4063" s="7">
        <v>42482.841620370367</v>
      </c>
      <c r="B4063" s="8" t="str">
        <f>HYPERLINK("https://twitter.com/ollitsch09","@ollitsch09")</f>
        <v>@ollitsch09</v>
      </c>
      <c r="C4063" s="9" t="s">
        <v>9628</v>
      </c>
      <c r="D4063" s="9" t="s">
        <v>9629</v>
      </c>
      <c r="E4063" s="10" t="str">
        <f>HYPERLINK("https://twitter.com/ollitsch09/status/723522231163297792","723522231163297792")</f>
        <v>723522231163297792</v>
      </c>
      <c r="F4063" s="11" t="s">
        <v>20</v>
      </c>
      <c r="G4063" s="11">
        <v>111</v>
      </c>
      <c r="H4063" s="11">
        <v>402</v>
      </c>
      <c r="I4063" s="11">
        <v>0</v>
      </c>
      <c r="J4063" s="11">
        <v>0</v>
      </c>
      <c r="K4063" s="11" t="s">
        <v>21</v>
      </c>
      <c r="L4063" s="7">
        <v>41583.986631944441</v>
      </c>
      <c r="M4063" s="12" t="s">
        <v>1359</v>
      </c>
      <c r="N4063" s="12" t="s">
        <v>9630</v>
      </c>
      <c r="O4063" s="10" t="str">
        <f>HYPERLINK("https://pbs.twimg.com/profile_images/655026824540528642/89ysiAGi_normal.jpg","View")</f>
        <v>View</v>
      </c>
      <c r="P4063" s="11"/>
    </row>
    <row r="4064" spans="1:16" ht="12.75" x14ac:dyDescent="0.35">
      <c r="A4064" s="7">
        <v>42482.84165509259</v>
      </c>
      <c r="B4064" s="8" t="str">
        <f>HYPERLINK("https://twitter.com/handelsblatt","@handelsblatt")</f>
        <v>@handelsblatt</v>
      </c>
      <c r="C4064" s="9" t="s">
        <v>973</v>
      </c>
      <c r="D4064" s="9" t="s">
        <v>9631</v>
      </c>
      <c r="E4064" s="10" t="str">
        <f>HYPERLINK("https://twitter.com/handelsblatt/status/723522241527427072","723522241527427072")</f>
        <v>723522241527427072</v>
      </c>
      <c r="F4064" s="11" t="s">
        <v>288</v>
      </c>
      <c r="G4064" s="11">
        <v>239940</v>
      </c>
      <c r="H4064" s="11">
        <v>535</v>
      </c>
      <c r="I4064" s="11">
        <v>2</v>
      </c>
      <c r="J4064" s="11">
        <v>0</v>
      </c>
      <c r="K4064" s="11" t="s">
        <v>21</v>
      </c>
      <c r="L4064" s="7">
        <v>39207.128182870372</v>
      </c>
      <c r="M4064" s="12" t="s">
        <v>975</v>
      </c>
      <c r="N4064" s="12" t="s">
        <v>976</v>
      </c>
      <c r="O4064" s="10" t="str">
        <f>HYPERLINK("https://pbs.twimg.com/profile_images/562563461171798017/AkHF4keI_normal.png","View")</f>
        <v>View</v>
      </c>
      <c r="P4064" s="11"/>
    </row>
    <row r="4065" spans="1:16" ht="12.75" x14ac:dyDescent="0.35">
      <c r="A4065" s="7">
        <v>42482.841828703706</v>
      </c>
      <c r="B4065" s="8" t="str">
        <f>HYPERLINK("https://twitter.com/margotoge","@margotoge")</f>
        <v>@margotoge</v>
      </c>
      <c r="C4065" s="9" t="s">
        <v>9632</v>
      </c>
      <c r="D4065" s="9" t="s">
        <v>9633</v>
      </c>
      <c r="E4065" s="10" t="str">
        <f>HYPERLINK("https://twitter.com/margotoge/status/723522305826131968","723522305826131968")</f>
        <v>723522305826131968</v>
      </c>
      <c r="F4065" s="11" t="s">
        <v>91</v>
      </c>
      <c r="G4065" s="11">
        <v>140</v>
      </c>
      <c r="H4065" s="11">
        <v>77</v>
      </c>
      <c r="I4065" s="11">
        <v>0</v>
      </c>
      <c r="J4065" s="11">
        <v>0</v>
      </c>
      <c r="K4065" s="11" t="s">
        <v>21</v>
      </c>
      <c r="L4065" s="7">
        <v>42222.964537037042</v>
      </c>
      <c r="M4065" s="12"/>
      <c r="N4065" s="12" t="s">
        <v>9634</v>
      </c>
      <c r="O4065" s="10" t="str">
        <f>HYPERLINK("https://pbs.twimg.com/profile_images/629348818593705986/WKGmcgtV_normal.jpg","View")</f>
        <v>View</v>
      </c>
      <c r="P4065" s="11"/>
    </row>
    <row r="4066" spans="1:16" ht="12.75" x14ac:dyDescent="0.35">
      <c r="A4066" s="7">
        <v>42482.841898148152</v>
      </c>
      <c r="B4066" s="8" t="str">
        <f>HYPERLINK("https://twitter.com/ManuelaKC","@ManuelaKC")</f>
        <v>@ManuelaKC</v>
      </c>
      <c r="C4066" s="9" t="s">
        <v>1286</v>
      </c>
      <c r="D4066" s="9" t="s">
        <v>9635</v>
      </c>
      <c r="E4066" s="10" t="str">
        <f>HYPERLINK("https://twitter.com/ManuelaKC/status/723522330908102656","723522330908102656")</f>
        <v>723522330908102656</v>
      </c>
      <c r="F4066" s="11" t="s">
        <v>20</v>
      </c>
      <c r="G4066" s="11">
        <v>2746</v>
      </c>
      <c r="H4066" s="11">
        <v>2342</v>
      </c>
      <c r="I4066" s="11">
        <v>0</v>
      </c>
      <c r="J4066" s="11">
        <v>0</v>
      </c>
      <c r="K4066" s="11" t="s">
        <v>21</v>
      </c>
      <c r="L4066" s="7">
        <v>41323.781956018516</v>
      </c>
      <c r="M4066" s="12" t="s">
        <v>1288</v>
      </c>
      <c r="N4066" s="12" t="s">
        <v>1289</v>
      </c>
      <c r="O4066" s="10" t="str">
        <f>HYPERLINK("https://pbs.twimg.com/profile_images/3272805912/cc8e643d4da4f63d27bc817e690d7d74_normal.jpeg","View")</f>
        <v>View</v>
      </c>
      <c r="P4066" s="11"/>
    </row>
    <row r="4067" spans="1:16" ht="12.75" x14ac:dyDescent="0.35">
      <c r="A4067" s="7">
        <v>42482.84211805556</v>
      </c>
      <c r="B4067" s="8" t="str">
        <f>HYPERLINK("https://twitter.com/HansTheGerman","@HansTheGerman")</f>
        <v>@HansTheGerman</v>
      </c>
      <c r="C4067" s="9" t="s">
        <v>4330</v>
      </c>
      <c r="D4067" s="9" t="s">
        <v>8685</v>
      </c>
      <c r="E4067" s="10" t="str">
        <f>HYPERLINK("https://twitter.com/HansTheGerman/status/723522408133566464","723522408133566464")</f>
        <v>723522408133566464</v>
      </c>
      <c r="F4067" s="11" t="s">
        <v>43</v>
      </c>
      <c r="G4067" s="11">
        <v>311</v>
      </c>
      <c r="H4067" s="11">
        <v>764</v>
      </c>
      <c r="I4067" s="11">
        <v>5</v>
      </c>
      <c r="J4067" s="11">
        <v>0</v>
      </c>
      <c r="K4067" s="11" t="s">
        <v>21</v>
      </c>
      <c r="L4067" s="7">
        <v>39950.572777777779</v>
      </c>
      <c r="M4067" s="12" t="s">
        <v>1116</v>
      </c>
      <c r="N4067" s="12" t="s">
        <v>4332</v>
      </c>
      <c r="O4067" s="10" t="str">
        <f>HYPERLINK("https://pbs.twimg.com/profile_images/3012106875/596e712c99a38ec69b925b7f7ab71986_normal.jpeg","View")</f>
        <v>View</v>
      </c>
      <c r="P4067" s="11"/>
    </row>
    <row r="4068" spans="1:16" ht="12.75" x14ac:dyDescent="0.35">
      <c r="A4068" s="7">
        <v>42482.842233796298</v>
      </c>
      <c r="B4068" s="8" t="str">
        <f>HYPERLINK("https://twitter.com/BayrleU","@BayrleU")</f>
        <v>@BayrleU</v>
      </c>
      <c r="C4068" s="9" t="s">
        <v>9636</v>
      </c>
      <c r="D4068" s="9" t="s">
        <v>9631</v>
      </c>
      <c r="E4068" s="10" t="str">
        <f>HYPERLINK("https://twitter.com/BayrleU/status/723522452563890177","723522452563890177")</f>
        <v>723522452563890177</v>
      </c>
      <c r="F4068" s="11" t="s">
        <v>48</v>
      </c>
      <c r="G4068" s="11">
        <v>2839</v>
      </c>
      <c r="H4068" s="11">
        <v>5001</v>
      </c>
      <c r="I4068" s="11">
        <v>2</v>
      </c>
      <c r="J4068" s="11">
        <v>0</v>
      </c>
      <c r="K4068" s="11" t="s">
        <v>21</v>
      </c>
      <c r="L4068" s="7">
        <v>42039.96130787037</v>
      </c>
      <c r="M4068" s="12" t="s">
        <v>9637</v>
      </c>
      <c r="N4068" s="12" t="s">
        <v>9638</v>
      </c>
      <c r="O4068" s="10" t="str">
        <f>HYPERLINK("https://pbs.twimg.com/profile_images/563085898670411776/v47_gzDm_normal.jpeg","View")</f>
        <v>View</v>
      </c>
      <c r="P4068" s="11"/>
    </row>
    <row r="4069" spans="1:16" ht="12.75" x14ac:dyDescent="0.35">
      <c r="A4069" s="7">
        <v>42482.842361111107</v>
      </c>
      <c r="B4069" s="8" t="str">
        <f>HYPERLINK("https://twitter.com/actuauto","@actuauto")</f>
        <v>@actuauto</v>
      </c>
      <c r="C4069" s="9" t="s">
        <v>9639</v>
      </c>
      <c r="D4069" s="9" t="s">
        <v>9640</v>
      </c>
      <c r="E4069" s="10" t="str">
        <f>HYPERLINK("https://twitter.com/actuauto/status/723522499514892288","723522499514892288")</f>
        <v>723522499514892288</v>
      </c>
      <c r="F4069" s="11" t="s">
        <v>160</v>
      </c>
      <c r="G4069" s="11">
        <v>5873</v>
      </c>
      <c r="H4069" s="11">
        <v>427</v>
      </c>
      <c r="I4069" s="11">
        <v>0</v>
      </c>
      <c r="J4069" s="11">
        <v>0</v>
      </c>
      <c r="K4069" s="11" t="s">
        <v>21</v>
      </c>
      <c r="L4069" s="7">
        <v>40220.998888888891</v>
      </c>
      <c r="M4069" s="12"/>
      <c r="N4069" s="12" t="s">
        <v>9641</v>
      </c>
      <c r="O4069" s="10" t="str">
        <f>HYPERLINK("https://pbs.twimg.com/profile_images/691178485/ActuautoS_normal.jpg","View")</f>
        <v>View</v>
      </c>
      <c r="P4069" s="11"/>
    </row>
    <row r="4070" spans="1:16" ht="12.75" x14ac:dyDescent="0.35">
      <c r="A4070" s="7">
        <v>42482.842430555553</v>
      </c>
      <c r="B4070" s="8" t="str">
        <f>HYPERLINK("https://twitter.com/1590KLIV","@1590KLIV")</f>
        <v>@1590KLIV</v>
      </c>
      <c r="C4070" s="9" t="s">
        <v>9642</v>
      </c>
      <c r="D4070" s="9" t="s">
        <v>9643</v>
      </c>
      <c r="E4070" s="10" t="str">
        <f>HYPERLINK("https://twitter.com/1590KLIV/status/723522524856889344","723522524856889344")</f>
        <v>723522524856889344</v>
      </c>
      <c r="F4070" s="11" t="s">
        <v>43</v>
      </c>
      <c r="G4070" s="11">
        <v>2945</v>
      </c>
      <c r="H4070" s="11">
        <v>405</v>
      </c>
      <c r="I4070" s="11">
        <v>0</v>
      </c>
      <c r="J4070" s="11">
        <v>0</v>
      </c>
      <c r="K4070" s="11" t="s">
        <v>21</v>
      </c>
      <c r="L4070" s="7">
        <v>39864.979618055557</v>
      </c>
      <c r="M4070" s="12" t="s">
        <v>2899</v>
      </c>
      <c r="N4070" s="12" t="s">
        <v>9644</v>
      </c>
      <c r="O4070" s="10" t="str">
        <f>HYPERLINK("https://pbs.twimg.com/profile_images/719591616244101121/Qa95u8rF_normal.jpg","View")</f>
        <v>View</v>
      </c>
      <c r="P4070" s="11"/>
    </row>
    <row r="4071" spans="1:16" ht="12.75" x14ac:dyDescent="0.35">
      <c r="A4071" s="7">
        <v>42482.842534722222</v>
      </c>
      <c r="B4071" s="8" t="str">
        <f>HYPERLINK("https://twitter.com/dw_wirtschaft","@dw_wirtschaft")</f>
        <v>@dw_wirtschaft</v>
      </c>
      <c r="C4071" s="9" t="s">
        <v>3712</v>
      </c>
      <c r="D4071" s="9" t="s">
        <v>9645</v>
      </c>
      <c r="E4071" s="10" t="str">
        <f>HYPERLINK("https://twitter.com/dw_wirtschaft/status/723522558864330752","723522558864330752")</f>
        <v>723522558864330752</v>
      </c>
      <c r="F4071" s="11" t="s">
        <v>43</v>
      </c>
      <c r="G4071" s="11">
        <v>11264</v>
      </c>
      <c r="H4071" s="11">
        <v>188</v>
      </c>
      <c r="I4071" s="11">
        <v>0</v>
      </c>
      <c r="J4071" s="11">
        <v>0</v>
      </c>
      <c r="K4071" s="11" t="s">
        <v>21</v>
      </c>
      <c r="L4071" s="7">
        <v>39919.591817129629</v>
      </c>
      <c r="M4071" s="12" t="s">
        <v>3714</v>
      </c>
      <c r="N4071" s="12" t="s">
        <v>3715</v>
      </c>
      <c r="O4071" s="10" t="str">
        <f>HYPERLINK("https://pbs.twimg.com/profile_images/474185502388518912/sROk9L0u_normal.png","View")</f>
        <v>View</v>
      </c>
      <c r="P4071" s="11"/>
    </row>
    <row r="4072" spans="1:16" ht="12.75" x14ac:dyDescent="0.35">
      <c r="A4072" s="7">
        <v>42482.842627314814</v>
      </c>
      <c r="B4072" s="8" t="str">
        <f>HYPERLINK("https://twitter.com/HuebschenH","@HuebschenH")</f>
        <v>@HuebschenH</v>
      </c>
      <c r="C4072" s="9" t="s">
        <v>9646</v>
      </c>
      <c r="D4072" s="9" t="s">
        <v>9647</v>
      </c>
      <c r="E4072" s="10" t="str">
        <f>HYPERLINK("https://twitter.com/HuebschenH/status/723522594914349056","723522594914349056")</f>
        <v>723522594914349056</v>
      </c>
      <c r="F4072" s="11" t="s">
        <v>43</v>
      </c>
      <c r="G4072" s="11">
        <v>444</v>
      </c>
      <c r="H4072" s="11">
        <v>573</v>
      </c>
      <c r="I4072" s="11">
        <v>0</v>
      </c>
      <c r="J4072" s="11">
        <v>0</v>
      </c>
      <c r="K4072" s="11" t="s">
        <v>21</v>
      </c>
      <c r="L4072" s="7">
        <v>41234.668356481481</v>
      </c>
      <c r="M4072" s="12"/>
      <c r="N4072" s="12" t="s">
        <v>9648</v>
      </c>
      <c r="O4072" s="10" t="str">
        <f>HYPERLINK("https://pbs.twimg.com/profile_images/691969719759405057/pgVDkYmL_normal.jpg","View")</f>
        <v>View</v>
      </c>
      <c r="P4072" s="11"/>
    </row>
    <row r="4073" spans="1:16" ht="12.75" x14ac:dyDescent="0.35">
      <c r="A4073" s="7">
        <v>42482.842824074076</v>
      </c>
      <c r="B4073" s="8" t="str">
        <f>HYPERLINK("https://twitter.com/ErnstvAll","@ErnstvAll")</f>
        <v>@ErnstvAll</v>
      </c>
      <c r="C4073" s="9" t="s">
        <v>4347</v>
      </c>
      <c r="D4073" s="9" t="s">
        <v>8685</v>
      </c>
      <c r="E4073" s="10" t="str">
        <f>HYPERLINK("https://twitter.com/ErnstvAll/status/723522667253518336","723522667253518336")</f>
        <v>723522667253518336</v>
      </c>
      <c r="F4073" s="11" t="s">
        <v>43</v>
      </c>
      <c r="G4073" s="11">
        <v>3341</v>
      </c>
      <c r="H4073" s="11">
        <v>749</v>
      </c>
      <c r="I4073" s="11">
        <v>5</v>
      </c>
      <c r="J4073" s="11">
        <v>0</v>
      </c>
      <c r="K4073" s="11" t="s">
        <v>21</v>
      </c>
      <c r="L4073" s="7">
        <v>41214.480219907404</v>
      </c>
      <c r="M4073" s="12" t="s">
        <v>4348</v>
      </c>
      <c r="N4073" s="12" t="s">
        <v>4349</v>
      </c>
      <c r="O4073" s="10" t="str">
        <f>HYPERLINK("https://pbs.twimg.com/profile_images/722924621301956608/WYrNe6po_normal.jpg","View")</f>
        <v>View</v>
      </c>
      <c r="P4073" s="11"/>
    </row>
    <row r="4074" spans="1:16" ht="12.75" x14ac:dyDescent="0.35">
      <c r="A4074" s="7">
        <v>42482.842858796299</v>
      </c>
      <c r="B4074" s="8" t="str">
        <f>HYPERLINK("https://twitter.com/VWCamperSales","@VWCamperSales")</f>
        <v>@VWCamperSales</v>
      </c>
      <c r="C4074" s="9" t="s">
        <v>216</v>
      </c>
      <c r="D4074" s="9" t="s">
        <v>9649</v>
      </c>
      <c r="E4074" s="10" t="str">
        <f>HYPERLINK("https://twitter.com/VWCamperSales/status/723522677512663041","723522677512663041")</f>
        <v>723522677512663041</v>
      </c>
      <c r="F4074" s="10" t="s">
        <v>124</v>
      </c>
      <c r="G4074" s="11">
        <v>617</v>
      </c>
      <c r="H4074" s="11">
        <v>580</v>
      </c>
      <c r="I4074" s="11">
        <v>0</v>
      </c>
      <c r="J4074" s="11">
        <v>0</v>
      </c>
      <c r="K4074" s="11" t="s">
        <v>21</v>
      </c>
      <c r="L4074" s="7">
        <v>42215.98809027778</v>
      </c>
      <c r="M4074" s="12" t="s">
        <v>129</v>
      </c>
      <c r="N4074" s="12" t="s">
        <v>218</v>
      </c>
      <c r="O4074" s="10" t="str">
        <f>HYPERLINK("https://pbs.twimg.com/profile_images/627949001179037696/skEBkS05_normal.jpg","View")</f>
        <v>View</v>
      </c>
      <c r="P4074" s="11"/>
    </row>
    <row r="4075" spans="1:16" ht="12.75" x14ac:dyDescent="0.35">
      <c r="A4075" s="7">
        <v>42482.84302083333</v>
      </c>
      <c r="B4075" s="8" t="str">
        <f>HYPERLINK("https://twitter.com/AIADA_News","@AIADA_News")</f>
        <v>@AIADA_News</v>
      </c>
      <c r="C4075" s="9" t="s">
        <v>9650</v>
      </c>
      <c r="D4075" s="9" t="s">
        <v>9651</v>
      </c>
      <c r="E4075" s="10" t="str">
        <f>HYPERLINK("https://twitter.com/AIADA_News/status/723522734689423360","723522734689423360")</f>
        <v>723522734689423360</v>
      </c>
      <c r="F4075" s="11" t="s">
        <v>140</v>
      </c>
      <c r="G4075" s="11">
        <v>2143</v>
      </c>
      <c r="H4075" s="11">
        <v>1007</v>
      </c>
      <c r="I4075" s="11">
        <v>0</v>
      </c>
      <c r="J4075" s="11">
        <v>0</v>
      </c>
      <c r="K4075" s="11" t="s">
        <v>21</v>
      </c>
      <c r="L4075" s="7">
        <v>40211.1090162037</v>
      </c>
      <c r="M4075" s="12" t="s">
        <v>9652</v>
      </c>
      <c r="N4075" s="12" t="s">
        <v>9653</v>
      </c>
      <c r="O4075" s="10" t="str">
        <f>HYPERLINK("https://pbs.twimg.com/profile_images/742950248/iStock_000010348636Medium_normal.jpg","View")</f>
        <v>View</v>
      </c>
      <c r="P4075" s="11"/>
    </row>
    <row r="4076" spans="1:16" ht="12.75" x14ac:dyDescent="0.35">
      <c r="A4076" s="7">
        <v>42482.843171296292</v>
      </c>
      <c r="B4076" s="8" t="str">
        <f>HYPERLINK("https://twitter.com/Scirocco_Tuning","@Scirocco_Tuning")</f>
        <v>@Scirocco_Tuning</v>
      </c>
      <c r="C4076" s="9" t="s">
        <v>51</v>
      </c>
      <c r="D4076" s="9" t="s">
        <v>9654</v>
      </c>
      <c r="E4076" s="10" t="str">
        <f>HYPERLINK("https://twitter.com/Scirocco_Tuning/status/723522789521666048","723522789521666048")</f>
        <v>723522789521666048</v>
      </c>
      <c r="F4076" s="11" t="s">
        <v>53</v>
      </c>
      <c r="G4076" s="11">
        <v>69</v>
      </c>
      <c r="H4076" s="11">
        <v>215</v>
      </c>
      <c r="I4076" s="11">
        <v>0</v>
      </c>
      <c r="J4076" s="11">
        <v>0</v>
      </c>
      <c r="K4076" s="11" t="s">
        <v>21</v>
      </c>
      <c r="L4076" s="7">
        <v>40844.564722222218</v>
      </c>
      <c r="M4076" s="12"/>
      <c r="N4076" s="12"/>
      <c r="O4076" s="10" t="str">
        <f>HYPERLINK("https://pbs.twimg.com/profile_images/1610421423/Image2_normal.jpg","View")</f>
        <v>View</v>
      </c>
      <c r="P4076" s="11"/>
    </row>
    <row r="4077" spans="1:16" ht="12.75" x14ac:dyDescent="0.35">
      <c r="A4077" s="7">
        <v>42482.843229166669</v>
      </c>
      <c r="B4077" s="8" t="str">
        <f>HYPERLINK("https://twitter.com/CryptoMinerUK","@CryptoMinerUK")</f>
        <v>@CryptoMinerUK</v>
      </c>
      <c r="C4077" s="9" t="s">
        <v>9655</v>
      </c>
      <c r="D4077" s="9" t="s">
        <v>9656</v>
      </c>
      <c r="E4077" s="10" t="str">
        <f>HYPERLINK("https://twitter.com/CryptoMinerUK/status/723522811814391808","723522811814391808")</f>
        <v>723522811814391808</v>
      </c>
      <c r="F4077" s="11" t="s">
        <v>20</v>
      </c>
      <c r="G4077" s="11">
        <v>44546</v>
      </c>
      <c r="H4077" s="11">
        <v>36811</v>
      </c>
      <c r="I4077" s="11">
        <v>0</v>
      </c>
      <c r="J4077" s="11">
        <v>0</v>
      </c>
      <c r="K4077" s="11" t="s">
        <v>21</v>
      </c>
      <c r="L4077" s="7">
        <v>41715.287835648152</v>
      </c>
      <c r="M4077" s="12" t="s">
        <v>9657</v>
      </c>
      <c r="N4077" s="12" t="s">
        <v>9658</v>
      </c>
      <c r="O4077" s="10" t="str">
        <f>HYPERLINK("https://pbs.twimg.com/profile_images/446800255221116929/9hC1kwn1_normal.jpeg","View")</f>
        <v>View</v>
      </c>
      <c r="P4077" s="11"/>
    </row>
    <row r="4078" spans="1:16" ht="12.75" x14ac:dyDescent="0.35">
      <c r="A4078" s="7">
        <v>42482.843726851846</v>
      </c>
      <c r="B4078" s="8" t="str">
        <f>HYPERLINK("https://twitter.com/nhenz","@nhenz")</f>
        <v>@nhenz</v>
      </c>
      <c r="C4078" s="9" t="s">
        <v>9659</v>
      </c>
      <c r="D4078" s="9" t="s">
        <v>9660</v>
      </c>
      <c r="E4078" s="10" t="str">
        <f>HYPERLINK("https://twitter.com/nhenz/status/723522991032774656","723522991032774656")</f>
        <v>723522991032774656</v>
      </c>
      <c r="F4078" s="11" t="s">
        <v>152</v>
      </c>
      <c r="G4078" s="11">
        <v>142</v>
      </c>
      <c r="H4078" s="11">
        <v>271</v>
      </c>
      <c r="I4078" s="11">
        <v>0</v>
      </c>
      <c r="J4078" s="11">
        <v>0</v>
      </c>
      <c r="K4078" s="11" t="s">
        <v>21</v>
      </c>
      <c r="L4078" s="7">
        <v>39845.131979166668</v>
      </c>
      <c r="M4078" s="12" t="s">
        <v>953</v>
      </c>
      <c r="N4078" s="12" t="s">
        <v>9661</v>
      </c>
      <c r="O4078" s="10" t="str">
        <f>HYPERLINK("https://pbs.twimg.com/profile_images/2248440235/IMAG0006_normal.jpg","View")</f>
        <v>View</v>
      </c>
      <c r="P4078" s="11"/>
    </row>
    <row r="4079" spans="1:16" ht="12.75" x14ac:dyDescent="0.35">
      <c r="A4079" s="7">
        <v>42482.843819444446</v>
      </c>
      <c r="B4079" s="8" t="str">
        <f>HYPERLINK("https://twitter.com/MargaretFranci","@MargaretFranci")</f>
        <v>@MargaretFranci</v>
      </c>
      <c r="C4079" s="9" t="s">
        <v>9662</v>
      </c>
      <c r="D4079" s="9" t="s">
        <v>9663</v>
      </c>
      <c r="E4079" s="10" t="str">
        <f>HYPERLINK("https://twitter.com/MargaretFranci/status/723523024520015872","723523024520015872")</f>
        <v>723523024520015872</v>
      </c>
      <c r="F4079" s="10" t="s">
        <v>124</v>
      </c>
      <c r="G4079" s="11">
        <v>282</v>
      </c>
      <c r="H4079" s="11">
        <v>357</v>
      </c>
      <c r="I4079" s="11">
        <v>0</v>
      </c>
      <c r="J4079" s="11">
        <v>0</v>
      </c>
      <c r="K4079" s="11" t="s">
        <v>21</v>
      </c>
      <c r="L4079" s="7">
        <v>40297.257245370369</v>
      </c>
      <c r="M4079" s="12" t="s">
        <v>9664</v>
      </c>
      <c r="N4079" s="12" t="s">
        <v>9665</v>
      </c>
      <c r="O4079" s="10" t="str">
        <f>HYPERLINK("https://pbs.twimg.com/profile_images/859575922/12023668553935076_normal.jpg","View")</f>
        <v>View</v>
      </c>
      <c r="P4079" s="11"/>
    </row>
    <row r="4080" spans="1:16" ht="12.75" x14ac:dyDescent="0.35">
      <c r="A4080" s="7">
        <v>42482.843842592592</v>
      </c>
      <c r="B4080" s="8" t="str">
        <f>HYPERLINK("https://twitter.com/cartalk","@cartalk")</f>
        <v>@cartalk</v>
      </c>
      <c r="C4080" s="9" t="s">
        <v>9666</v>
      </c>
      <c r="D4080" s="9" t="s">
        <v>9667</v>
      </c>
      <c r="E4080" s="10" t="str">
        <f>HYPERLINK("https://twitter.com/cartalk/status/723523036079513600","723523036079513600")</f>
        <v>723523036079513600</v>
      </c>
      <c r="F4080" s="11" t="s">
        <v>43</v>
      </c>
      <c r="G4080" s="11">
        <v>45626</v>
      </c>
      <c r="H4080" s="11">
        <v>1108</v>
      </c>
      <c r="I4080" s="11">
        <v>0</v>
      </c>
      <c r="J4080" s="11">
        <v>0</v>
      </c>
      <c r="K4080" s="11" t="s">
        <v>21</v>
      </c>
      <c r="L4080" s="7">
        <v>40359.339872685188</v>
      </c>
      <c r="M4080" s="12" t="s">
        <v>9668</v>
      </c>
      <c r="N4080" s="12" t="s">
        <v>9669</v>
      </c>
      <c r="O4080" s="10" t="str">
        <f>HYPERLINK("https://pbs.twimg.com/profile_images/494221201976225792/yigdTLC1_normal.jpeg","View")</f>
        <v>View</v>
      </c>
      <c r="P4080" s="11"/>
    </row>
    <row r="4081" spans="1:16" ht="12.75" x14ac:dyDescent="0.35">
      <c r="A4081" s="7">
        <v>42482.843854166669</v>
      </c>
      <c r="B4081" s="8" t="str">
        <f>HYPERLINK("https://twitter.com/jpeMEDIA","@jpeMEDIA")</f>
        <v>@jpeMEDIA</v>
      </c>
      <c r="C4081" s="9" t="s">
        <v>9670</v>
      </c>
      <c r="D4081" s="9" t="s">
        <v>9671</v>
      </c>
      <c r="E4081" s="10" t="str">
        <f>HYPERLINK("https://twitter.com/jpeMEDIA/status/723523040202477569","723523040202477569")</f>
        <v>723523040202477569</v>
      </c>
      <c r="F4081" s="10" t="s">
        <v>124</v>
      </c>
      <c r="G4081" s="11">
        <v>4666</v>
      </c>
      <c r="H4081" s="11">
        <v>1788</v>
      </c>
      <c r="I4081" s="11">
        <v>0</v>
      </c>
      <c r="J4081" s="11">
        <v>0</v>
      </c>
      <c r="K4081" s="11" t="s">
        <v>21</v>
      </c>
      <c r="L4081" s="7">
        <v>40364.914907407408</v>
      </c>
      <c r="M4081" s="12" t="s">
        <v>129</v>
      </c>
      <c r="N4081" s="12" t="s">
        <v>9672</v>
      </c>
      <c r="O4081" s="10" t="str">
        <f>HYPERLINK("https://pbs.twimg.com/profile_images/2370342850/wv88i2wso7ef6mvj1ym5_normal.jpeg","View")</f>
        <v>View</v>
      </c>
      <c r="P4081" s="11"/>
    </row>
    <row r="4082" spans="1:16" ht="12.75" x14ac:dyDescent="0.35">
      <c r="A4082" s="7">
        <v>42482.843877314815</v>
      </c>
      <c r="B4082" s="8" t="str">
        <f>HYPERLINK("https://twitter.com/NDRreporter","@NDRreporter")</f>
        <v>@NDRreporter</v>
      </c>
      <c r="C4082" s="9" t="s">
        <v>1660</v>
      </c>
      <c r="D4082" s="9" t="s">
        <v>9673</v>
      </c>
      <c r="E4082" s="10" t="str">
        <f>HYPERLINK("https://twitter.com/NDRreporter/status/723523047228096512","723523047228096512")</f>
        <v>723523047228096512</v>
      </c>
      <c r="F4082" s="11" t="s">
        <v>43</v>
      </c>
      <c r="G4082" s="11">
        <v>11488</v>
      </c>
      <c r="H4082" s="11">
        <v>299</v>
      </c>
      <c r="I4082" s="11">
        <v>0</v>
      </c>
      <c r="J4082" s="11">
        <v>0</v>
      </c>
      <c r="K4082" s="11" t="s">
        <v>21</v>
      </c>
      <c r="L4082" s="7">
        <v>41386.591909722221</v>
      </c>
      <c r="M4082" s="12" t="s">
        <v>953</v>
      </c>
      <c r="N4082" s="12" t="s">
        <v>1662</v>
      </c>
      <c r="O4082" s="10" t="str">
        <f>HYPERLINK("https://pbs.twimg.com/profile_images/466908605317279744/I5a712BQ_normal.jpeg","View")</f>
        <v>View</v>
      </c>
      <c r="P4082" s="11"/>
    </row>
    <row r="4083" spans="1:16" ht="12.75" x14ac:dyDescent="0.35">
      <c r="A4083" s="7">
        <v>42482.844050925924</v>
      </c>
      <c r="B4083" s="8" t="str">
        <f>HYPERLINK("https://twitter.com/frank_volk","@frank_volk")</f>
        <v>@frank_volk</v>
      </c>
      <c r="C4083" s="9" t="s">
        <v>9674</v>
      </c>
      <c r="D4083" s="9" t="s">
        <v>9675</v>
      </c>
      <c r="E4083" s="10" t="str">
        <f>HYPERLINK("https://twitter.com/frank_volk/status/723523109018570753","723523109018570753")</f>
        <v>723523109018570753</v>
      </c>
      <c r="F4083" s="11" t="s">
        <v>43</v>
      </c>
      <c r="G4083" s="11">
        <v>320</v>
      </c>
      <c r="H4083" s="11">
        <v>458</v>
      </c>
      <c r="I4083" s="11">
        <v>0</v>
      </c>
      <c r="J4083" s="11">
        <v>0</v>
      </c>
      <c r="K4083" s="11" t="s">
        <v>21</v>
      </c>
      <c r="L4083" s="7">
        <v>42060.684340277774</v>
      </c>
      <c r="M4083" s="12"/>
      <c r="N4083" s="12"/>
      <c r="O4083" s="10" t="str">
        <f>HYPERLINK("https://pbs.twimg.com/profile_images/667782416749240324/YPeXdS-L_normal.jpg","View")</f>
        <v>View</v>
      </c>
      <c r="P4083" s="11"/>
    </row>
    <row r="4084" spans="1:16" ht="12.75" x14ac:dyDescent="0.35">
      <c r="A4084" s="7">
        <v>42482.844942129625</v>
      </c>
      <c r="B4084" s="8" t="str">
        <f>HYPERLINK("https://twitter.com/w_todts","@w_todts")</f>
        <v>@w_todts</v>
      </c>
      <c r="C4084" s="9" t="s">
        <v>7951</v>
      </c>
      <c r="D4084" s="9" t="s">
        <v>9676</v>
      </c>
      <c r="E4084" s="10" t="str">
        <f>HYPERLINK("https://twitter.com/w_todts/status/723523432189706240","723523432189706240")</f>
        <v>723523432189706240</v>
      </c>
      <c r="F4084" s="11" t="s">
        <v>48</v>
      </c>
      <c r="G4084" s="11">
        <v>146</v>
      </c>
      <c r="H4084" s="11">
        <v>185</v>
      </c>
      <c r="I4084" s="11">
        <v>1</v>
      </c>
      <c r="J4084" s="11">
        <v>0</v>
      </c>
      <c r="K4084" s="11" t="s">
        <v>21</v>
      </c>
      <c r="L4084" s="7">
        <v>40884.772465277776</v>
      </c>
      <c r="M4084" s="12"/>
      <c r="N4084" s="12" t="s">
        <v>7953</v>
      </c>
      <c r="O4084" s="10" t="str">
        <f>HYPERLINK("https://pbs.twimg.com/profile_images/556038240734441472/Y3DFwmUK_normal.jpeg","View")</f>
        <v>View</v>
      </c>
      <c r="P4084" s="11"/>
    </row>
    <row r="4085" spans="1:16" ht="12.75" x14ac:dyDescent="0.35">
      <c r="A4085" s="7">
        <v>42482.845034722224</v>
      </c>
      <c r="B4085" s="8" t="str">
        <f>HYPERLINK("https://twitter.com/HansTheGerman","@HansTheGerman")</f>
        <v>@HansTheGerman</v>
      </c>
      <c r="C4085" s="9" t="s">
        <v>4330</v>
      </c>
      <c r="D4085" s="9" t="s">
        <v>9677</v>
      </c>
      <c r="E4085" s="10" t="str">
        <f>HYPERLINK("https://twitter.com/HansTheGerman/status/723523465463103488","723523465463103488")</f>
        <v>723523465463103488</v>
      </c>
      <c r="F4085" s="11" t="s">
        <v>43</v>
      </c>
      <c r="G4085" s="11">
        <v>311</v>
      </c>
      <c r="H4085" s="11">
        <v>764</v>
      </c>
      <c r="I4085" s="11">
        <v>0</v>
      </c>
      <c r="J4085" s="11">
        <v>0</v>
      </c>
      <c r="K4085" s="11" t="s">
        <v>21</v>
      </c>
      <c r="L4085" s="7">
        <v>39950.572777777779</v>
      </c>
      <c r="M4085" s="12" t="s">
        <v>1116</v>
      </c>
      <c r="N4085" s="12" t="s">
        <v>4332</v>
      </c>
      <c r="O4085" s="10" t="str">
        <f>HYPERLINK("https://pbs.twimg.com/profile_images/3012106875/596e712c99a38ec69b925b7f7ab71986_normal.jpeg","View")</f>
        <v>View</v>
      </c>
      <c r="P4085" s="11"/>
    </row>
    <row r="4086" spans="1:16" ht="12.75" x14ac:dyDescent="0.35">
      <c r="A4086" s="7">
        <v>42482.845370370371</v>
      </c>
      <c r="B4086" s="8" t="str">
        <f>HYPERLINK("https://twitter.com/DaveTrowel","@DaveTrowel")</f>
        <v>@DaveTrowel</v>
      </c>
      <c r="C4086" s="9" t="s">
        <v>9678</v>
      </c>
      <c r="D4086" s="9" t="s">
        <v>9679</v>
      </c>
      <c r="E4086" s="10" t="str">
        <f>HYPERLINK("https://twitter.com/DaveTrowel/status/723523588473626624","723523588473626624")</f>
        <v>723523588473626624</v>
      </c>
      <c r="F4086" s="11" t="s">
        <v>20</v>
      </c>
      <c r="G4086" s="11">
        <v>455</v>
      </c>
      <c r="H4086" s="11">
        <v>1088</v>
      </c>
      <c r="I4086" s="11">
        <v>2</v>
      </c>
      <c r="J4086" s="11">
        <v>0</v>
      </c>
      <c r="K4086" s="11" t="s">
        <v>21</v>
      </c>
      <c r="L4086" s="7">
        <v>41420.098738425928</v>
      </c>
      <c r="M4086" s="12" t="s">
        <v>9680</v>
      </c>
      <c r="N4086" s="12"/>
      <c r="O4086" s="10" t="str">
        <f>HYPERLINK("https://pbs.twimg.com/profile_images/639676736498745344/4aW2pDT8_normal.jpg","View")</f>
        <v>View</v>
      </c>
      <c r="P4086" s="11"/>
    </row>
    <row r="4087" spans="1:16" ht="12.75" x14ac:dyDescent="0.35">
      <c r="A4087" s="7">
        <v>42482.84611111111</v>
      </c>
      <c r="B4087" s="8" t="str">
        <f>HYPERLINK("https://twitter.com/TeroHakola","@TeroHakola")</f>
        <v>@TeroHakola</v>
      </c>
      <c r="C4087" s="9" t="s">
        <v>9681</v>
      </c>
      <c r="D4087" s="9" t="s">
        <v>9682</v>
      </c>
      <c r="E4087" s="10" t="str">
        <f>HYPERLINK("https://twitter.com/TeroHakola/status/723523856208535553","723523856208535553")</f>
        <v>723523856208535553</v>
      </c>
      <c r="F4087" s="11" t="s">
        <v>367</v>
      </c>
      <c r="G4087" s="11">
        <v>985</v>
      </c>
      <c r="H4087" s="11">
        <v>536</v>
      </c>
      <c r="I4087" s="11">
        <v>0</v>
      </c>
      <c r="J4087" s="11">
        <v>1</v>
      </c>
      <c r="K4087" s="11" t="s">
        <v>21</v>
      </c>
      <c r="L4087" s="7">
        <v>41190.06313657407</v>
      </c>
      <c r="M4087" s="12"/>
      <c r="N4087" s="12" t="s">
        <v>9683</v>
      </c>
      <c r="O4087" s="10" t="str">
        <f>HYPERLINK("https://pbs.twimg.com/profile_images/2907571831/3e7faf922d5d13b5b2aeb2b46b7b83d0_normal.jpeg","View")</f>
        <v>View</v>
      </c>
      <c r="P4087" s="11"/>
    </row>
    <row r="4088" spans="1:16" ht="12.75" x14ac:dyDescent="0.35">
      <c r="A4088" s="7">
        <v>42482.846319444448</v>
      </c>
      <c r="B4088" s="8" t="str">
        <f>HYPERLINK("https://twitter.com/mjhirschland","@mjhirschland")</f>
        <v>@mjhirschland</v>
      </c>
      <c r="C4088" s="9" t="s">
        <v>9684</v>
      </c>
      <c r="D4088" s="9" t="s">
        <v>9685</v>
      </c>
      <c r="E4088" s="10" t="str">
        <f>HYPERLINK("https://twitter.com/mjhirschland/status/723523934054801409","723523934054801409")</f>
        <v>723523934054801409</v>
      </c>
      <c r="F4088" s="11" t="s">
        <v>20</v>
      </c>
      <c r="G4088" s="11">
        <v>36</v>
      </c>
      <c r="H4088" s="11">
        <v>140</v>
      </c>
      <c r="I4088" s="11">
        <v>0</v>
      </c>
      <c r="J4088" s="11">
        <v>0</v>
      </c>
      <c r="K4088" s="11" t="s">
        <v>21</v>
      </c>
      <c r="L4088" s="7">
        <v>41152.387025462966</v>
      </c>
      <c r="M4088" s="12"/>
      <c r="N4088" s="12" t="s">
        <v>9686</v>
      </c>
      <c r="O4088" s="10" t="str">
        <f>HYPERLINK("https://pbs.twimg.com/profile_images/378800000763070214/a2567f72f328f657d35cb24c52138e11_normal.jpeg","View")</f>
        <v>View</v>
      </c>
      <c r="P4088" s="11"/>
    </row>
    <row r="4089" spans="1:16" ht="12.75" x14ac:dyDescent="0.35">
      <c r="A4089" s="7">
        <v>42482.846435185187</v>
      </c>
      <c r="B4089" s="8" t="str">
        <f>HYPERLINK("https://twitter.com/kreisnagel","@kreisnagel")</f>
        <v>@kreisnagel</v>
      </c>
      <c r="C4089" s="9" t="s">
        <v>9687</v>
      </c>
      <c r="D4089" s="9" t="s">
        <v>9688</v>
      </c>
      <c r="E4089" s="10" t="str">
        <f>HYPERLINK("https://twitter.com/kreisnagel/status/723523975188459524","723523975188459524")</f>
        <v>723523975188459524</v>
      </c>
      <c r="F4089" s="11" t="s">
        <v>43</v>
      </c>
      <c r="G4089" s="11">
        <v>538</v>
      </c>
      <c r="H4089" s="11">
        <v>188</v>
      </c>
      <c r="I4089" s="11">
        <v>1</v>
      </c>
      <c r="J4089" s="11">
        <v>0</v>
      </c>
      <c r="K4089" s="11" t="s">
        <v>21</v>
      </c>
      <c r="L4089" s="7">
        <v>40094.932500000003</v>
      </c>
      <c r="M4089" s="12"/>
      <c r="N4089" s="12" t="s">
        <v>9689</v>
      </c>
      <c r="O4089" s="10" t="str">
        <f>HYPERLINK("https://pbs.twimg.com/profile_images/555790567519432704/kJr7YaAm_normal.jpeg","View")</f>
        <v>View</v>
      </c>
      <c r="P4089" s="11"/>
    </row>
    <row r="4090" spans="1:16" ht="12.75" x14ac:dyDescent="0.35">
      <c r="A4090" s="7">
        <v>42482.846493055556</v>
      </c>
      <c r="B4090" s="8" t="str">
        <f>HYPERLINK("https://twitter.com/mondedelauto","@mondedelauto")</f>
        <v>@mondedelauto</v>
      </c>
      <c r="C4090" s="9" t="s">
        <v>9690</v>
      </c>
      <c r="D4090" s="9" t="s">
        <v>9691</v>
      </c>
      <c r="E4090" s="10" t="str">
        <f>HYPERLINK("https://twitter.com/mondedelauto/status/723523994704568320","723523994704568320")</f>
        <v>723523994704568320</v>
      </c>
      <c r="F4090" s="11" t="s">
        <v>288</v>
      </c>
      <c r="G4090" s="11">
        <v>433</v>
      </c>
      <c r="H4090" s="11">
        <v>879</v>
      </c>
      <c r="I4090" s="11">
        <v>2</v>
      </c>
      <c r="J4090" s="11">
        <v>0</v>
      </c>
      <c r="K4090" s="11" t="s">
        <v>21</v>
      </c>
      <c r="L4090" s="7">
        <v>42404.953946759255</v>
      </c>
      <c r="M4090" s="12" t="s">
        <v>6569</v>
      </c>
      <c r="N4090" s="12" t="s">
        <v>9692</v>
      </c>
      <c r="O4090" s="10" t="str">
        <f>HYPERLINK("https://pbs.twimg.com/profile_images/695355061635932160/5oTfZ6Ac_normal.jpg","View")</f>
        <v>View</v>
      </c>
      <c r="P4090" s="11"/>
    </row>
    <row r="4091" spans="1:16" ht="12.75" x14ac:dyDescent="0.35">
      <c r="A4091" s="7">
        <v>42482.846562499995</v>
      </c>
      <c r="B4091" s="8" t="str">
        <f>HYPERLINK("https://twitter.com/RecorderTweets","@RecorderTweets")</f>
        <v>@RecorderTweets</v>
      </c>
      <c r="C4091" s="9" t="s">
        <v>4361</v>
      </c>
      <c r="D4091" s="9" t="s">
        <v>9693</v>
      </c>
      <c r="E4091" s="10" t="str">
        <f>HYPERLINK("https://twitter.com/RecorderTweets/status/723524020721881088","723524020721881088")</f>
        <v>723524020721881088</v>
      </c>
      <c r="F4091" s="11" t="s">
        <v>152</v>
      </c>
      <c r="G4091" s="11">
        <v>4902</v>
      </c>
      <c r="H4091" s="11">
        <v>435</v>
      </c>
      <c r="I4091" s="11">
        <v>0</v>
      </c>
      <c r="J4091" s="11">
        <v>0</v>
      </c>
      <c r="K4091" s="11" t="s">
        <v>21</v>
      </c>
      <c r="L4091" s="7">
        <v>39837.240289351852</v>
      </c>
      <c r="M4091" s="12" t="s">
        <v>3270</v>
      </c>
      <c r="N4091" s="12" t="s">
        <v>4363</v>
      </c>
      <c r="O4091" s="10" t="str">
        <f>HYPERLINK("https://pbs.twimg.com/profile_images/572482317193474048/RjdWJzV5_normal.png","View")</f>
        <v>View</v>
      </c>
      <c r="P4091" s="11"/>
    </row>
    <row r="4092" spans="1:16" ht="12.75" x14ac:dyDescent="0.35">
      <c r="A4092" s="7">
        <v>42482.846712962964</v>
      </c>
      <c r="B4092" s="8" t="str">
        <f>HYPERLINK("https://twitter.com/tagesschau","@tagesschau")</f>
        <v>@tagesschau</v>
      </c>
      <c r="C4092" s="9" t="s">
        <v>1880</v>
      </c>
      <c r="D4092" s="9" t="s">
        <v>9694</v>
      </c>
      <c r="E4092" s="10" t="str">
        <f>HYPERLINK("https://twitter.com/tagesschau/status/723524075474300928","723524075474300928")</f>
        <v>723524075474300928</v>
      </c>
      <c r="F4092" s="11" t="s">
        <v>63</v>
      </c>
      <c r="G4092" s="11">
        <v>1155195</v>
      </c>
      <c r="H4092" s="11">
        <v>286</v>
      </c>
      <c r="I4092" s="11">
        <v>4</v>
      </c>
      <c r="J4092" s="11">
        <v>0</v>
      </c>
      <c r="K4092" s="11" t="s">
        <v>21</v>
      </c>
      <c r="L4092" s="7">
        <v>39205.592152777775</v>
      </c>
      <c r="M4092" s="12" t="s">
        <v>953</v>
      </c>
      <c r="N4092" s="12" t="s">
        <v>1883</v>
      </c>
      <c r="O4092" s="10" t="str">
        <f>HYPERLINK("https://pbs.twimg.com/profile_images/531688614640365568/U84uXoIT_normal.png","View")</f>
        <v>View</v>
      </c>
      <c r="P4092" s="11"/>
    </row>
    <row r="4093" spans="1:16" ht="12.75" x14ac:dyDescent="0.35">
      <c r="A4093" s="7">
        <v>42482.846828703703</v>
      </c>
      <c r="B4093" s="8" t="str">
        <f>HYPERLINK("https://twitter.com/hotchkis","@hotchkis")</f>
        <v>@hotchkis</v>
      </c>
      <c r="C4093" s="9" t="s">
        <v>9695</v>
      </c>
      <c r="D4093" s="9" t="s">
        <v>9696</v>
      </c>
      <c r="E4093" s="10" t="str">
        <f>HYPERLINK("https://twitter.com/hotchkis/status/723524117174050817","723524117174050817")</f>
        <v>723524117174050817</v>
      </c>
      <c r="F4093" s="11" t="s">
        <v>114</v>
      </c>
      <c r="G4093" s="11">
        <v>9864</v>
      </c>
      <c r="H4093" s="11">
        <v>1275</v>
      </c>
      <c r="I4093" s="11">
        <v>0</v>
      </c>
      <c r="J4093" s="11">
        <v>0</v>
      </c>
      <c r="K4093" s="11" t="s">
        <v>21</v>
      </c>
      <c r="L4093" s="7">
        <v>39843.298020833332</v>
      </c>
      <c r="M4093" s="12" t="s">
        <v>9697</v>
      </c>
      <c r="N4093" s="12" t="s">
        <v>9698</v>
      </c>
      <c r="O4093" s="10" t="str">
        <f>HYPERLINK("https://pbs.twimg.com/profile_images/74132592/Hotch-Square_normal.jpg","View")</f>
        <v>View</v>
      </c>
      <c r="P4093" s="11"/>
    </row>
    <row r="4094" spans="1:16" ht="12.75" x14ac:dyDescent="0.35">
      <c r="A4094" s="7">
        <v>42482.846967592588</v>
      </c>
      <c r="B4094" s="8" t="str">
        <f>HYPERLINK("https://twitter.com/SieverdingHans","@SieverdingHans")</f>
        <v>@SieverdingHans</v>
      </c>
      <c r="C4094" s="9" t="s">
        <v>9699</v>
      </c>
      <c r="D4094" s="9" t="s">
        <v>9700</v>
      </c>
      <c r="E4094" s="10" t="str">
        <f>HYPERLINK("https://twitter.com/SieverdingHans/status/723524166788501504","723524166788501504")</f>
        <v>723524166788501504</v>
      </c>
      <c r="F4094" s="11" t="s">
        <v>43</v>
      </c>
      <c r="G4094" s="11">
        <v>95</v>
      </c>
      <c r="H4094" s="11">
        <v>365</v>
      </c>
      <c r="I4094" s="11">
        <v>0</v>
      </c>
      <c r="J4094" s="11">
        <v>0</v>
      </c>
      <c r="K4094" s="11" t="s">
        <v>21</v>
      </c>
      <c r="L4094" s="7">
        <v>41153.098437499997</v>
      </c>
      <c r="M4094" s="12" t="s">
        <v>9701</v>
      </c>
      <c r="N4094" s="12" t="s">
        <v>9702</v>
      </c>
      <c r="O4094" s="10" t="str">
        <f>HYPERLINK("https://pbs.twimg.com/profile_images/3758867067/49a4437fcabe0ae7ffe37145ac7aa56f_normal.jpeg","View")</f>
        <v>View</v>
      </c>
      <c r="P4094" s="11"/>
    </row>
    <row r="4095" spans="1:16" ht="12.75" x14ac:dyDescent="0.35">
      <c r="A4095" s="7">
        <v>42482.847094907411</v>
      </c>
      <c r="B4095" s="8" t="str">
        <f>HYPERLINK("https://twitter.com/GDhring","@GDhring")</f>
        <v>@GDhring</v>
      </c>
      <c r="C4095" s="9" t="s">
        <v>9703</v>
      </c>
      <c r="D4095" s="9" t="s">
        <v>9704</v>
      </c>
      <c r="E4095" s="10" t="str">
        <f>HYPERLINK("https://twitter.com/GDhring/status/723524212237979650","723524212237979650")</f>
        <v>723524212237979650</v>
      </c>
      <c r="F4095" s="11" t="s">
        <v>20</v>
      </c>
      <c r="G4095" s="11">
        <v>704</v>
      </c>
      <c r="H4095" s="11">
        <v>644</v>
      </c>
      <c r="I4095" s="11">
        <v>2</v>
      </c>
      <c r="J4095" s="11">
        <v>2</v>
      </c>
      <c r="K4095" s="11" t="s">
        <v>21</v>
      </c>
      <c r="L4095" s="7">
        <v>41390.147962962961</v>
      </c>
      <c r="M4095" s="12"/>
      <c r="N4095" s="12" t="s">
        <v>9705</v>
      </c>
      <c r="O4095" s="10" t="str">
        <f>HYPERLINK("https://pbs.twimg.com/profile_images/378800000531647842/65cc463b8f48e5e61eaaf225aaaf706c_normal.jpeg","View")</f>
        <v>View</v>
      </c>
      <c r="P4095" s="11"/>
    </row>
    <row r="4096" spans="1:16" ht="12.75" x14ac:dyDescent="0.35">
      <c r="A4096" s="7">
        <v>42482.847118055557</v>
      </c>
      <c r="B4096" s="8" t="str">
        <f>HYPERLINK("https://twitter.com/monasterium","@monasterium")</f>
        <v>@monasterium</v>
      </c>
      <c r="C4096" s="9" t="s">
        <v>9706</v>
      </c>
      <c r="D4096" s="9" t="s">
        <v>9707</v>
      </c>
      <c r="E4096" s="10" t="str">
        <f>HYPERLINK("https://twitter.com/monasterium/status/723524221717098496","723524221717098496")</f>
        <v>723524221717098496</v>
      </c>
      <c r="F4096" s="11" t="s">
        <v>160</v>
      </c>
      <c r="G4096" s="11">
        <v>1157</v>
      </c>
      <c r="H4096" s="11">
        <v>372</v>
      </c>
      <c r="I4096" s="11">
        <v>0</v>
      </c>
      <c r="J4096" s="11">
        <v>0</v>
      </c>
      <c r="K4096" s="11" t="s">
        <v>21</v>
      </c>
      <c r="L4096" s="7">
        <v>39614.965173611112</v>
      </c>
      <c r="M4096" s="12" t="s">
        <v>1116</v>
      </c>
      <c r="N4096" s="12" t="s">
        <v>9708</v>
      </c>
      <c r="O4096" s="10" t="str">
        <f>HYPERLINK("https://pbs.twimg.com/profile_images/723256543500750848/z3umc0Bz_normal.jpg","View")</f>
        <v>View</v>
      </c>
      <c r="P4096" s="11"/>
    </row>
    <row r="4097" spans="1:16" ht="12.75" x14ac:dyDescent="0.35">
      <c r="A4097" s="7">
        <v>42482.847233796296</v>
      </c>
      <c r="B4097" s="8" t="str">
        <f>HYPERLINK("https://twitter.com/AchillePrick","@AchillePrick")</f>
        <v>@AchillePrick</v>
      </c>
      <c r="C4097" s="9" t="s">
        <v>1213</v>
      </c>
      <c r="D4097" s="9" t="s">
        <v>9709</v>
      </c>
      <c r="E4097" s="10" t="str">
        <f>HYPERLINK("https://twitter.com/AchillePrick/status/723524263118954497","723524263118954497")</f>
        <v>723524263118954497</v>
      </c>
      <c r="F4097" s="11" t="s">
        <v>43</v>
      </c>
      <c r="G4097" s="11">
        <v>230</v>
      </c>
      <c r="H4097" s="11">
        <v>434</v>
      </c>
      <c r="I4097" s="11">
        <v>0</v>
      </c>
      <c r="J4097" s="11">
        <v>0</v>
      </c>
      <c r="K4097" s="11" t="s">
        <v>21</v>
      </c>
      <c r="L4097" s="7">
        <v>40014.013298611113</v>
      </c>
      <c r="M4097" s="12" t="s">
        <v>1215</v>
      </c>
      <c r="N4097" s="12" t="s">
        <v>1216</v>
      </c>
      <c r="O4097" s="10" t="str">
        <f>HYPERLINK("https://pbs.twimg.com/profile_images/630378503/AchilleNos_normal.jpg","View")</f>
        <v>View</v>
      </c>
      <c r="P4097" s="11"/>
    </row>
    <row r="4098" spans="1:16" ht="12.75" x14ac:dyDescent="0.35">
      <c r="A4098" s="7">
        <v>42482.847326388888</v>
      </c>
      <c r="B4098" s="8" t="str">
        <f>HYPERLINK("https://twitter.com/habo11","@habo11")</f>
        <v>@habo11</v>
      </c>
      <c r="C4098" s="9" t="s">
        <v>6708</v>
      </c>
      <c r="D4098" s="9" t="s">
        <v>9694</v>
      </c>
      <c r="E4098" s="10" t="str">
        <f>HYPERLINK("https://twitter.com/habo11/status/723524295402655744","723524295402655744")</f>
        <v>723524295402655744</v>
      </c>
      <c r="F4098" s="11" t="s">
        <v>48</v>
      </c>
      <c r="G4098" s="11">
        <v>868</v>
      </c>
      <c r="H4098" s="11">
        <v>777</v>
      </c>
      <c r="I4098" s="11">
        <v>4</v>
      </c>
      <c r="J4098" s="11">
        <v>0</v>
      </c>
      <c r="K4098" s="11" t="s">
        <v>21</v>
      </c>
      <c r="L4098" s="7">
        <v>40297.724756944444</v>
      </c>
      <c r="M4098" s="12" t="s">
        <v>6709</v>
      </c>
      <c r="N4098" s="12" t="s">
        <v>6710</v>
      </c>
      <c r="O4098" s="10" t="str">
        <f>HYPERLINK("https://pbs.twimg.com/profile_images/420917107438915584/gJTup5FM_normal.jpeg","View")</f>
        <v>View</v>
      </c>
      <c r="P4098" s="11"/>
    </row>
    <row r="4099" spans="1:16" ht="12.75" x14ac:dyDescent="0.35">
      <c r="A4099" s="7">
        <v>42482.847407407404</v>
      </c>
      <c r="B4099" s="8" t="str">
        <f>HYPERLINK("https://twitter.com/Rob_Vela","@Rob_Vela")</f>
        <v>@Rob_Vela</v>
      </c>
      <c r="C4099" s="9" t="s">
        <v>9710</v>
      </c>
      <c r="D4099" s="9" t="s">
        <v>9711</v>
      </c>
      <c r="E4099" s="10" t="str">
        <f>HYPERLINK("https://twitter.com/Rob_Vela/status/723524326725697536","723524326725697536")</f>
        <v>723524326725697536</v>
      </c>
      <c r="F4099" s="11" t="s">
        <v>152</v>
      </c>
      <c r="G4099" s="11">
        <v>4208</v>
      </c>
      <c r="H4099" s="11">
        <v>3520</v>
      </c>
      <c r="I4099" s="11">
        <v>0</v>
      </c>
      <c r="J4099" s="11">
        <v>0</v>
      </c>
      <c r="K4099" s="11" t="s">
        <v>21</v>
      </c>
      <c r="L4099" s="7">
        <v>40861.514432870368</v>
      </c>
      <c r="M4099" s="12" t="s">
        <v>9712</v>
      </c>
      <c r="N4099" s="12" t="s">
        <v>9713</v>
      </c>
      <c r="O4099" s="10" t="str">
        <f>HYPERLINK("https://pbs.twimg.com/profile_images/715610629428625408/kmrVb60G_normal.jpg","View")</f>
        <v>View</v>
      </c>
      <c r="P4099" s="11"/>
    </row>
    <row r="4100" spans="1:16" ht="12.75" x14ac:dyDescent="0.35">
      <c r="A4100" s="7">
        <v>42482.847939814819</v>
      </c>
      <c r="B4100" s="8" t="str">
        <f>HYPERLINK("https://twitter.com/fontain_eric","@fontain_eric")</f>
        <v>@fontain_eric</v>
      </c>
      <c r="C4100" s="9" t="s">
        <v>9714</v>
      </c>
      <c r="D4100" s="9" t="s">
        <v>9691</v>
      </c>
      <c r="E4100" s="10" t="str">
        <f>HYPERLINK("https://twitter.com/fontain_eric/status/723524518938025984","723524518938025984")</f>
        <v>723524518938025984</v>
      </c>
      <c r="F4100" s="11" t="s">
        <v>20</v>
      </c>
      <c r="G4100" s="11">
        <v>4</v>
      </c>
      <c r="H4100" s="11">
        <v>12</v>
      </c>
      <c r="I4100" s="11">
        <v>2</v>
      </c>
      <c r="J4100" s="11">
        <v>0</v>
      </c>
      <c r="K4100" s="11" t="s">
        <v>21</v>
      </c>
      <c r="L4100" s="7">
        <v>42447.766423611116</v>
      </c>
      <c r="M4100" s="12" t="s">
        <v>9715</v>
      </c>
      <c r="N4100" s="12" t="s">
        <v>9716</v>
      </c>
      <c r="O4100" s="10" t="str">
        <f>HYPERLINK("https://abs.twimg.com/sticky/default_profile_images/default_profile_4_normal.png","View")</f>
        <v>View</v>
      </c>
      <c r="P4100" s="11"/>
    </row>
    <row r="4101" spans="1:16" ht="12.75" x14ac:dyDescent="0.35">
      <c r="A4101" s="7">
        <v>42482.847951388889</v>
      </c>
      <c r="B4101" s="8" t="str">
        <f>HYPERLINK("https://twitter.com/phoenix_kom","@phoenix_kom")</f>
        <v>@phoenix_kom</v>
      </c>
      <c r="C4101" s="9" t="s">
        <v>2451</v>
      </c>
      <c r="D4101" s="9" t="s">
        <v>9717</v>
      </c>
      <c r="E4101" s="10" t="str">
        <f>HYPERLINK("https://twitter.com/phoenix_kom/status/723524523849469952","723524523849469952")</f>
        <v>723524523849469952</v>
      </c>
      <c r="F4101" s="11" t="s">
        <v>63</v>
      </c>
      <c r="G4101" s="11">
        <v>2199</v>
      </c>
      <c r="H4101" s="11">
        <v>1262</v>
      </c>
      <c r="I4101" s="11">
        <v>0</v>
      </c>
      <c r="J4101" s="11">
        <v>0</v>
      </c>
      <c r="K4101" s="11" t="s">
        <v>21</v>
      </c>
      <c r="L4101" s="7">
        <v>41681.80332175926</v>
      </c>
      <c r="M4101" s="12" t="s">
        <v>2453</v>
      </c>
      <c r="N4101" s="12" t="s">
        <v>2454</v>
      </c>
      <c r="O4101" s="10" t="str">
        <f>HYPERLINK("https://pbs.twimg.com/profile_images/433240550620147713/gn7IHF5i_normal.jpeg","View")</f>
        <v>View</v>
      </c>
      <c r="P4101" s="11"/>
    </row>
    <row r="4102" spans="1:16" ht="12.75" x14ac:dyDescent="0.35">
      <c r="A4102" s="7">
        <v>42482.848541666666</v>
      </c>
      <c r="B4102" s="8" t="str">
        <f>HYPERLINK("https://twitter.com/juergen_p","@juergen_p")</f>
        <v>@juergen_p</v>
      </c>
      <c r="C4102" s="9" t="s">
        <v>9718</v>
      </c>
      <c r="D4102" s="9" t="s">
        <v>9719</v>
      </c>
      <c r="E4102" s="10" t="str">
        <f>HYPERLINK("https://twitter.com/juergen_p/status/723524735640997889","723524735640997889")</f>
        <v>723524735640997889</v>
      </c>
      <c r="F4102" s="11" t="s">
        <v>43</v>
      </c>
      <c r="G4102" s="11">
        <v>5474</v>
      </c>
      <c r="H4102" s="11">
        <v>5146</v>
      </c>
      <c r="I4102" s="11">
        <v>1</v>
      </c>
      <c r="J4102" s="11">
        <v>0</v>
      </c>
      <c r="K4102" s="11" t="s">
        <v>21</v>
      </c>
      <c r="L4102" s="7">
        <v>40041.876979166671</v>
      </c>
      <c r="M4102" s="12" t="s">
        <v>9720</v>
      </c>
      <c r="N4102" s="12" t="s">
        <v>9721</v>
      </c>
      <c r="O4102" s="10" t="str">
        <f>HYPERLINK("https://pbs.twimg.com/profile_images/617071435937353728/o2OhSPML_normal.jpg","View")</f>
        <v>View</v>
      </c>
      <c r="P4102" s="11"/>
    </row>
    <row r="4103" spans="1:16" ht="12.75" x14ac:dyDescent="0.35">
      <c r="A4103" s="7">
        <v>42482.848576388889</v>
      </c>
      <c r="B4103" s="8" t="str">
        <f>HYPERLINK("https://twitter.com/shortymatic","@shortymatic")</f>
        <v>@shortymatic</v>
      </c>
      <c r="C4103" s="9" t="s">
        <v>9722</v>
      </c>
      <c r="D4103" s="9" t="s">
        <v>9723</v>
      </c>
      <c r="E4103" s="10" t="str">
        <f>HYPERLINK("https://twitter.com/shortymatic/status/723524748186116096","723524748186116096")</f>
        <v>723524748186116096</v>
      </c>
      <c r="F4103" s="11" t="s">
        <v>3614</v>
      </c>
      <c r="G4103" s="11">
        <v>324</v>
      </c>
      <c r="H4103" s="11">
        <v>169</v>
      </c>
      <c r="I4103" s="11">
        <v>2</v>
      </c>
      <c r="J4103" s="11">
        <v>0</v>
      </c>
      <c r="K4103" s="11" t="s">
        <v>21</v>
      </c>
      <c r="L4103" s="7">
        <v>41170.762916666667</v>
      </c>
      <c r="M4103" s="12"/>
      <c r="N4103" s="12" t="s">
        <v>9724</v>
      </c>
      <c r="O4103" s="10" t="str">
        <f>HYPERLINK("https://pbs.twimg.com/profile_images/648638699165642756/OSCQkuR4_normal.jpg","View")</f>
        <v>View</v>
      </c>
      <c r="P4103" s="11"/>
    </row>
    <row r="4104" spans="1:16" ht="12.75" x14ac:dyDescent="0.35">
      <c r="A4104" s="7">
        <v>42482.84878472222</v>
      </c>
      <c r="B4104" s="8" t="str">
        <f>HYPERLINK("https://twitter.com/dewunmigabriel","@dewunmigabriel")</f>
        <v>@dewunmigabriel</v>
      </c>
      <c r="C4104" s="9" t="s">
        <v>9725</v>
      </c>
      <c r="D4104" s="9" t="s">
        <v>9726</v>
      </c>
      <c r="E4104" s="10" t="str">
        <f>HYPERLINK("https://twitter.com/dewunmigabriel/status/723524827324227584","723524827324227584")</f>
        <v>723524827324227584</v>
      </c>
      <c r="F4104" s="11" t="s">
        <v>903</v>
      </c>
      <c r="G4104" s="11">
        <v>1227</v>
      </c>
      <c r="H4104" s="11">
        <v>2093</v>
      </c>
      <c r="I4104" s="11">
        <v>1</v>
      </c>
      <c r="J4104" s="11">
        <v>0</v>
      </c>
      <c r="K4104" s="11" t="s">
        <v>21</v>
      </c>
      <c r="L4104" s="7">
        <v>41989.800254629634</v>
      </c>
      <c r="M4104" s="12" t="s">
        <v>9727</v>
      </c>
      <c r="N4104" s="12" t="s">
        <v>9728</v>
      </c>
      <c r="O4104" s="10" t="str">
        <f>HYPERLINK("https://pbs.twimg.com/profile_images/698608824723316738/_2TJheMu_normal.jpg","View")</f>
        <v>View</v>
      </c>
      <c r="P4104" s="11"/>
    </row>
    <row r="4105" spans="1:16" ht="12.75" x14ac:dyDescent="0.35">
      <c r="A4105" s="7">
        <v>42482.848807870367</v>
      </c>
      <c r="B4105" s="8" t="str">
        <f>HYPERLINK("https://twitter.com/bonzoboy","@bonzoboy")</f>
        <v>@bonzoboy</v>
      </c>
      <c r="C4105" s="9" t="s">
        <v>9729</v>
      </c>
      <c r="D4105" s="9" t="s">
        <v>9730</v>
      </c>
      <c r="E4105" s="10" t="str">
        <f>HYPERLINK("https://twitter.com/bonzoboy/status/723524833380851716","723524833380851716")</f>
        <v>723524833380851716</v>
      </c>
      <c r="F4105" s="11" t="s">
        <v>20</v>
      </c>
      <c r="G4105" s="11">
        <v>60</v>
      </c>
      <c r="H4105" s="11">
        <v>91</v>
      </c>
      <c r="I4105" s="11">
        <v>0</v>
      </c>
      <c r="J4105" s="11">
        <v>0</v>
      </c>
      <c r="K4105" s="11" t="s">
        <v>21</v>
      </c>
      <c r="L4105" s="7">
        <v>39739.921793981484</v>
      </c>
      <c r="M4105" s="12" t="s">
        <v>293</v>
      </c>
      <c r="N4105" s="12" t="s">
        <v>9731</v>
      </c>
      <c r="O4105" s="10" t="str">
        <f>HYPERLINK("https://pbs.twimg.com/profile_images/376745218/100-0061_Rising_normal.jpg","View")</f>
        <v>View</v>
      </c>
      <c r="P4105" s="11"/>
    </row>
    <row r="4106" spans="1:16" ht="12.75" x14ac:dyDescent="0.35">
      <c r="A4106" s="7">
        <v>42482.84884259259</v>
      </c>
      <c r="B4106" s="8" t="str">
        <f>HYPERLINK("https://twitter.com/ClicksandTips","@ClicksandTips")</f>
        <v>@ClicksandTips</v>
      </c>
      <c r="C4106" s="9" t="s">
        <v>9732</v>
      </c>
      <c r="D4106" s="9" t="s">
        <v>9733</v>
      </c>
      <c r="E4106" s="10" t="str">
        <f>HYPERLINK("https://twitter.com/ClicksandTips/status/723524848572588032","723524848572588032")</f>
        <v>723524848572588032</v>
      </c>
      <c r="F4106" s="11" t="s">
        <v>80</v>
      </c>
      <c r="G4106" s="11">
        <v>1628</v>
      </c>
      <c r="H4106" s="11">
        <v>1420</v>
      </c>
      <c r="I4106" s="11">
        <v>0</v>
      </c>
      <c r="J4106" s="11">
        <v>0</v>
      </c>
      <c r="K4106" s="11" t="s">
        <v>21</v>
      </c>
      <c r="L4106" s="7">
        <v>41203.162881944445</v>
      </c>
      <c r="M4106" s="12" t="s">
        <v>715</v>
      </c>
      <c r="N4106" s="12" t="s">
        <v>9734</v>
      </c>
      <c r="O4106" s="10" t="str">
        <f>HYPERLINK("https://pbs.twimg.com/profile_images/533025138682236928/VN3qzJr8_normal.png","View")</f>
        <v>View</v>
      </c>
      <c r="P4106" s="11"/>
    </row>
    <row r="4107" spans="1:16" ht="12.75" x14ac:dyDescent="0.35">
      <c r="A4107" s="7">
        <v>42482.848900462966</v>
      </c>
      <c r="B4107" s="8" t="str">
        <f>HYPERLINK("https://twitter.com/auxua","@auxua")</f>
        <v>@auxua</v>
      </c>
      <c r="C4107" s="9" t="s">
        <v>9735</v>
      </c>
      <c r="D4107" s="9" t="s">
        <v>9736</v>
      </c>
      <c r="E4107" s="10" t="str">
        <f>HYPERLINK("https://twitter.com/auxua/status/723524865735688192","723524865735688192")</f>
        <v>723524865735688192</v>
      </c>
      <c r="F4107" s="11" t="s">
        <v>43</v>
      </c>
      <c r="G4107" s="11">
        <v>63</v>
      </c>
      <c r="H4107" s="11">
        <v>52</v>
      </c>
      <c r="I4107" s="11">
        <v>0</v>
      </c>
      <c r="J4107" s="11">
        <v>0</v>
      </c>
      <c r="K4107" s="11" t="s">
        <v>21</v>
      </c>
      <c r="L4107" s="7">
        <v>40178.073275462964</v>
      </c>
      <c r="M4107" s="12"/>
      <c r="N4107" s="12" t="s">
        <v>9737</v>
      </c>
      <c r="O4107" s="10" t="str">
        <f>HYPERLINK("https://pbs.twimg.com/profile_images/378800000774936351/14379b24a7c1998879eb9cc017fdf15c_normal.png","View")</f>
        <v>View</v>
      </c>
      <c r="P4107" s="11"/>
    </row>
    <row r="4108" spans="1:16" ht="12.75" x14ac:dyDescent="0.35">
      <c r="A4108" s="7">
        <v>42482.848900462966</v>
      </c>
      <c r="B4108" s="8" t="str">
        <f>HYPERLINK("https://twitter.com/vzbv","@vzbv")</f>
        <v>@vzbv</v>
      </c>
      <c r="C4108" s="9" t="s">
        <v>2306</v>
      </c>
      <c r="D4108" s="9" t="s">
        <v>9738</v>
      </c>
      <c r="E4108" s="10" t="str">
        <f>HYPERLINK("https://twitter.com/vzbv/status/723524866721366017","723524866721366017")</f>
        <v>723524866721366017</v>
      </c>
      <c r="F4108" s="11" t="s">
        <v>43</v>
      </c>
      <c r="G4108" s="11">
        <v>9421</v>
      </c>
      <c r="H4108" s="11">
        <v>471</v>
      </c>
      <c r="I4108" s="11">
        <v>1</v>
      </c>
      <c r="J4108" s="11">
        <v>0</v>
      </c>
      <c r="K4108" s="11" t="s">
        <v>21</v>
      </c>
      <c r="L4108" s="7">
        <v>39985.132523148146</v>
      </c>
      <c r="M4108" s="12" t="s">
        <v>1116</v>
      </c>
      <c r="N4108" s="12" t="s">
        <v>2308</v>
      </c>
      <c r="O4108" s="10" t="str">
        <f>HYPERLINK("https://pbs.twimg.com/profile_images/617979796744568832/YHw6Izem_normal.jpg","View")</f>
        <v>View</v>
      </c>
      <c r="P4108" s="11"/>
    </row>
    <row r="4109" spans="1:16" ht="12.75" x14ac:dyDescent="0.35">
      <c r="A4109" s="7">
        <v>42482.848935185189</v>
      </c>
      <c r="B4109" s="8" t="str">
        <f>HYPERLINK("https://twitter.com/NDRreporter","@NDRreporter")</f>
        <v>@NDRreporter</v>
      </c>
      <c r="C4109" s="9" t="s">
        <v>1660</v>
      </c>
      <c r="D4109" s="9" t="s">
        <v>9739</v>
      </c>
      <c r="E4109" s="10" t="str">
        <f>HYPERLINK("https://twitter.com/NDRreporter/status/723524881695014912","723524881695014912")</f>
        <v>723524881695014912</v>
      </c>
      <c r="F4109" s="11" t="s">
        <v>43</v>
      </c>
      <c r="G4109" s="11">
        <v>11490</v>
      </c>
      <c r="H4109" s="11">
        <v>299</v>
      </c>
      <c r="I4109" s="11">
        <v>0</v>
      </c>
      <c r="J4109" s="11">
        <v>0</v>
      </c>
      <c r="K4109" s="11" t="s">
        <v>21</v>
      </c>
      <c r="L4109" s="7">
        <v>41386.591909722221</v>
      </c>
      <c r="M4109" s="12" t="s">
        <v>953</v>
      </c>
      <c r="N4109" s="12" t="s">
        <v>1662</v>
      </c>
      <c r="O4109" s="10" t="str">
        <f>HYPERLINK("https://pbs.twimg.com/profile_images/466908605317279744/I5a712BQ_normal.jpeg","View")</f>
        <v>View</v>
      </c>
      <c r="P4109" s="11"/>
    </row>
    <row r="4110" spans="1:16" ht="12.75" x14ac:dyDescent="0.35">
      <c r="A4110" s="7">
        <v>42482.849456018521</v>
      </c>
      <c r="B4110" s="8" t="str">
        <f>HYPERLINK("https://twitter.com/peter_hagen","@peter_hagen")</f>
        <v>@peter_hagen</v>
      </c>
      <c r="C4110" s="9" t="s">
        <v>9740</v>
      </c>
      <c r="D4110" s="9" t="s">
        <v>9741</v>
      </c>
      <c r="E4110" s="10" t="str">
        <f>HYPERLINK("https://twitter.com/peter_hagen/status/723525067477536768","723525067477536768")</f>
        <v>723525067477536768</v>
      </c>
      <c r="F4110" s="11" t="s">
        <v>48</v>
      </c>
      <c r="G4110" s="11">
        <v>378</v>
      </c>
      <c r="H4110" s="11">
        <v>656</v>
      </c>
      <c r="I4110" s="11">
        <v>1</v>
      </c>
      <c r="J4110" s="11">
        <v>0</v>
      </c>
      <c r="K4110" s="11" t="s">
        <v>21</v>
      </c>
      <c r="L4110" s="7">
        <v>40985.703530092593</v>
      </c>
      <c r="M4110" s="12"/>
      <c r="N4110" s="12"/>
      <c r="O4110" s="10" t="str">
        <f>HYPERLINK("https://pbs.twimg.com/profile_images/720230297288196096/PZ-rMJyA_normal.jpg","View")</f>
        <v>View</v>
      </c>
      <c r="P4110" s="11"/>
    </row>
    <row r="4111" spans="1:16" ht="12.75" x14ac:dyDescent="0.35">
      <c r="A4111" s="7">
        <v>42482.849490740744</v>
      </c>
      <c r="B4111" s="8" t="str">
        <f>HYPERLINK("https://twitter.com/ponquegala","@ponquegala")</f>
        <v>@ponquegala</v>
      </c>
      <c r="C4111" s="9" t="s">
        <v>9742</v>
      </c>
      <c r="D4111" s="9" t="s">
        <v>9743</v>
      </c>
      <c r="E4111" s="10" t="str">
        <f>HYPERLINK("https://twitter.com/ponquegala/status/723525079578058754","723525079578058754")</f>
        <v>723525079578058754</v>
      </c>
      <c r="F4111" s="11" t="s">
        <v>48</v>
      </c>
      <c r="G4111" s="11">
        <v>296</v>
      </c>
      <c r="H4111" s="11">
        <v>270</v>
      </c>
      <c r="I4111" s="11">
        <v>1</v>
      </c>
      <c r="J4111" s="11">
        <v>0</v>
      </c>
      <c r="K4111" s="11" t="s">
        <v>21</v>
      </c>
      <c r="L4111" s="7">
        <v>40858.169629629629</v>
      </c>
      <c r="M4111" s="12"/>
      <c r="N4111" s="12" t="s">
        <v>9744</v>
      </c>
      <c r="O4111" s="10" t="str">
        <f>HYPERLINK("https://pbs.twimg.com/profile_images/378800000335923270/28b93167d820ba328841ae78f0a9c5d4_normal.jpeg","View")</f>
        <v>View</v>
      </c>
      <c r="P4111" s="11"/>
    </row>
    <row r="4112" spans="1:16" ht="12.75" x14ac:dyDescent="0.35">
      <c r="A4112" s="7">
        <v>42482.849699074075</v>
      </c>
      <c r="B4112" s="8" t="str">
        <f>HYPERLINK("https://twitter.com/JenniPii","@JenniPii")</f>
        <v>@JenniPii</v>
      </c>
      <c r="C4112" s="9" t="s">
        <v>8303</v>
      </c>
      <c r="D4112" s="9" t="s">
        <v>9745</v>
      </c>
      <c r="E4112" s="10" t="str">
        <f>HYPERLINK("https://twitter.com/JenniPii/status/723525158821060608","723525158821060608")</f>
        <v>723525158821060608</v>
      </c>
      <c r="F4112" s="11" t="s">
        <v>367</v>
      </c>
      <c r="G4112" s="11">
        <v>228</v>
      </c>
      <c r="H4112" s="11">
        <v>365</v>
      </c>
      <c r="I4112" s="11">
        <v>0</v>
      </c>
      <c r="J4112" s="11">
        <v>1</v>
      </c>
      <c r="K4112" s="11" t="s">
        <v>21</v>
      </c>
      <c r="L4112" s="7">
        <v>41527.974120370374</v>
      </c>
      <c r="M4112" s="12" t="s">
        <v>8305</v>
      </c>
      <c r="N4112" s="12" t="s">
        <v>8306</v>
      </c>
      <c r="O4112" s="10" t="str">
        <f>HYPERLINK("https://pbs.twimg.com/profile_images/722101790431260672/0vYDkuAk_normal.jpg","View")</f>
        <v>View</v>
      </c>
      <c r="P4112" s="11"/>
    </row>
    <row r="4113" spans="1:16" ht="12.75" x14ac:dyDescent="0.35">
      <c r="A4113" s="7">
        <v>42482.850057870368</v>
      </c>
      <c r="B4113" s="8" t="str">
        <f>HYPERLINK("https://twitter.com/Pisepampell","@Pisepampell")</f>
        <v>@Pisepampell</v>
      </c>
      <c r="C4113" s="9" t="s">
        <v>9746</v>
      </c>
      <c r="D4113" s="9" t="s">
        <v>8685</v>
      </c>
      <c r="E4113" s="10" t="str">
        <f>HYPERLINK("https://twitter.com/Pisepampell/status/723525286801887232","723525286801887232")</f>
        <v>723525286801887232</v>
      </c>
      <c r="F4113" s="11" t="s">
        <v>63</v>
      </c>
      <c r="G4113" s="11">
        <v>6301</v>
      </c>
      <c r="H4113" s="11">
        <v>3644</v>
      </c>
      <c r="I4113" s="11">
        <v>6</v>
      </c>
      <c r="J4113" s="11">
        <v>0</v>
      </c>
      <c r="K4113" s="11" t="s">
        <v>21</v>
      </c>
      <c r="L4113" s="7">
        <v>40866.065682870372</v>
      </c>
      <c r="M4113" s="12" t="s">
        <v>9747</v>
      </c>
      <c r="N4113" s="12" t="s">
        <v>9748</v>
      </c>
      <c r="O4113" s="10" t="str">
        <f>HYPERLINK("https://pbs.twimg.com/profile_images/711308346037501952/zocf3Fba_normal.jpg","View")</f>
        <v>View</v>
      </c>
      <c r="P4113" s="11"/>
    </row>
    <row r="4114" spans="1:16" ht="12.75" x14ac:dyDescent="0.35">
      <c r="A4114" s="7">
        <v>42482.850173611107</v>
      </c>
      <c r="B4114" s="8" t="str">
        <f>HYPERLINK("https://twitter.com/carstech42160","@carstech42160")</f>
        <v>@carstech42160</v>
      </c>
      <c r="C4114" s="9" t="s">
        <v>1672</v>
      </c>
      <c r="D4114" s="9" t="s">
        <v>9749</v>
      </c>
      <c r="E4114" s="10" t="str">
        <f>HYPERLINK("https://twitter.com/carstech42160/status/723525330649100288","723525330649100288")</f>
        <v>723525330649100288</v>
      </c>
      <c r="F4114" s="11" t="s">
        <v>43</v>
      </c>
      <c r="G4114" s="11">
        <v>62</v>
      </c>
      <c r="H4114" s="11">
        <v>323</v>
      </c>
      <c r="I4114" s="11">
        <v>0</v>
      </c>
      <c r="J4114" s="11">
        <v>0</v>
      </c>
      <c r="K4114" s="11" t="s">
        <v>21</v>
      </c>
      <c r="L4114" s="7">
        <v>42240.802777777775</v>
      </c>
      <c r="M4114" s="12" t="s">
        <v>1674</v>
      </c>
      <c r="N4114" s="12" t="s">
        <v>1675</v>
      </c>
      <c r="O4114" s="10" t="str">
        <f>HYPERLINK("https://pbs.twimg.com/profile_images/709727688462831616/KG2oHK_4_normal.jpg","View")</f>
        <v>View</v>
      </c>
      <c r="P4114" s="11"/>
    </row>
    <row r="4115" spans="1:16" ht="12.75" x14ac:dyDescent="0.35">
      <c r="A4115" s="7">
        <v>42482.850335648152</v>
      </c>
      <c r="B4115" s="8" t="str">
        <f>HYPERLINK("https://twitter.com/C_Heinrich_83","@C_Heinrich_83")</f>
        <v>@C_Heinrich_83</v>
      </c>
      <c r="C4115" s="9" t="s">
        <v>8983</v>
      </c>
      <c r="D4115" s="9" t="s">
        <v>9694</v>
      </c>
      <c r="E4115" s="10" t="str">
        <f>HYPERLINK("https://twitter.com/C_Heinrich_83/status/723525386571788289","723525386571788289")</f>
        <v>723525386571788289</v>
      </c>
      <c r="F4115" s="11" t="s">
        <v>48</v>
      </c>
      <c r="G4115" s="11">
        <v>687</v>
      </c>
      <c r="H4115" s="11">
        <v>2189</v>
      </c>
      <c r="I4115" s="11">
        <v>4</v>
      </c>
      <c r="J4115" s="11">
        <v>0</v>
      </c>
      <c r="K4115" s="11" t="s">
        <v>21</v>
      </c>
      <c r="L4115" s="7">
        <v>41274.12158564815</v>
      </c>
      <c r="M4115" s="12" t="s">
        <v>1116</v>
      </c>
      <c r="N4115" s="12" t="s">
        <v>8985</v>
      </c>
      <c r="O4115" s="10" t="str">
        <f>HYPERLINK("https://pbs.twimg.com/profile_images/683592930918019072/SnHKNKAI_normal.jpg","View")</f>
        <v>View</v>
      </c>
      <c r="P4115" s="11"/>
    </row>
    <row r="4116" spans="1:16" ht="12.75" x14ac:dyDescent="0.35">
      <c r="A4116" s="7">
        <v>42482.850335648152</v>
      </c>
      <c r="B4116" s="8" t="str">
        <f>HYPERLINK("https://twitter.com/tiffany1961","@tiffany1961")</f>
        <v>@tiffany1961</v>
      </c>
      <c r="C4116" s="9" t="s">
        <v>9750</v>
      </c>
      <c r="D4116" s="9" t="s">
        <v>9694</v>
      </c>
      <c r="E4116" s="10" t="str">
        <f>HYPERLINK("https://twitter.com/tiffany1961/status/723525388731822081","723525388731822081")</f>
        <v>723525388731822081</v>
      </c>
      <c r="F4116" s="11" t="s">
        <v>43</v>
      </c>
      <c r="G4116" s="11">
        <v>263</v>
      </c>
      <c r="H4116" s="11">
        <v>237</v>
      </c>
      <c r="I4116" s="11">
        <v>4</v>
      </c>
      <c r="J4116" s="11">
        <v>0</v>
      </c>
      <c r="K4116" s="11" t="s">
        <v>21</v>
      </c>
      <c r="L4116" s="7">
        <v>40202.00744212963</v>
      </c>
      <c r="M4116" s="12" t="s">
        <v>9751</v>
      </c>
      <c r="N4116" s="12" t="s">
        <v>9752</v>
      </c>
      <c r="O4116" s="10" t="str">
        <f>HYPERLINK("https://pbs.twimg.com/profile_images/707857213466013697/OKsPnLlb_normal.jpg","View")</f>
        <v>View</v>
      </c>
      <c r="P4116" s="11"/>
    </row>
    <row r="4117" spans="1:16" ht="12.75" x14ac:dyDescent="0.35">
      <c r="A4117" s="7">
        <v>42482.850821759261</v>
      </c>
      <c r="B4117" s="8" t="str">
        <f>HYPERLINK("https://twitter.com/Klimaatcombi","@Klimaatcombi")</f>
        <v>@Klimaatcombi</v>
      </c>
      <c r="C4117" s="9" t="s">
        <v>7401</v>
      </c>
      <c r="D4117" s="9" t="s">
        <v>8859</v>
      </c>
      <c r="E4117" s="10" t="str">
        <f>HYPERLINK("https://twitter.com/Klimaatcombi/status/723525565471424512","723525565471424512")</f>
        <v>723525565471424512</v>
      </c>
      <c r="F4117" s="11" t="s">
        <v>48</v>
      </c>
      <c r="G4117" s="11">
        <v>438</v>
      </c>
      <c r="H4117" s="11">
        <v>278</v>
      </c>
      <c r="I4117" s="11">
        <v>2</v>
      </c>
      <c r="J4117" s="11">
        <v>0</v>
      </c>
      <c r="K4117" s="11" t="s">
        <v>21</v>
      </c>
      <c r="L4117" s="7">
        <v>40670.694502314815</v>
      </c>
      <c r="M4117" s="12" t="s">
        <v>7402</v>
      </c>
      <c r="N4117" s="12" t="s">
        <v>7403</v>
      </c>
      <c r="O4117" s="10" t="str">
        <f>HYPERLINK("https://pbs.twimg.com/profile_images/525996707830435840/HCZkBfU9_normal.jpeg","View")</f>
        <v>View</v>
      </c>
      <c r="P4117" s="11"/>
    </row>
    <row r="4118" spans="1:16" ht="12.75" x14ac:dyDescent="0.35">
      <c r="A4118" s="7">
        <v>42482.85092592593</v>
      </c>
      <c r="B4118" s="8" t="str">
        <f>HYPERLINK("https://twitter.com/RaulRadon","@RaulRadon")</f>
        <v>@RaulRadon</v>
      </c>
      <c r="C4118" s="9" t="s">
        <v>9753</v>
      </c>
      <c r="D4118" s="9" t="s">
        <v>9754</v>
      </c>
      <c r="E4118" s="10" t="str">
        <f>HYPERLINK("https://twitter.com/RaulRadon/status/723525601756340224","723525601756340224")</f>
        <v>723525601756340224</v>
      </c>
      <c r="F4118" s="11" t="s">
        <v>48</v>
      </c>
      <c r="G4118" s="11">
        <v>3589</v>
      </c>
      <c r="H4118" s="11">
        <v>3195</v>
      </c>
      <c r="I4118" s="11">
        <v>1</v>
      </c>
      <c r="J4118" s="11">
        <v>0</v>
      </c>
      <c r="K4118" s="11" t="s">
        <v>21</v>
      </c>
      <c r="L4118" s="7">
        <v>41904.904016203705</v>
      </c>
      <c r="M4118" s="12" t="s">
        <v>262</v>
      </c>
      <c r="N4118" s="12" t="s">
        <v>9755</v>
      </c>
      <c r="O4118" s="10" t="str">
        <f>HYPERLINK("https://pbs.twimg.com/profile_images/662140929361518592/fOJv2d0Z_normal.jpg","View")</f>
        <v>View</v>
      </c>
      <c r="P4118" s="11"/>
    </row>
    <row r="4119" spans="1:16" ht="12.75" x14ac:dyDescent="0.35">
      <c r="A4119" s="7">
        <v>42482.851134259261</v>
      </c>
      <c r="B4119" s="8" t="str">
        <f>HYPERLINK("https://twitter.com/VroomInfos","@VroomInfos")</f>
        <v>@VroomInfos</v>
      </c>
      <c r="C4119" s="9" t="s">
        <v>9756</v>
      </c>
      <c r="D4119" s="9" t="s">
        <v>9757</v>
      </c>
      <c r="E4119" s="10" t="str">
        <f>HYPERLINK("https://twitter.com/VroomInfos/status/723525675261501440","723525675261501440")</f>
        <v>723525675261501440</v>
      </c>
      <c r="F4119" s="11" t="s">
        <v>68</v>
      </c>
      <c r="G4119" s="11">
        <v>3202</v>
      </c>
      <c r="H4119" s="11">
        <v>3059</v>
      </c>
      <c r="I4119" s="11">
        <v>0</v>
      </c>
      <c r="J4119" s="11">
        <v>0</v>
      </c>
      <c r="K4119" s="11" t="s">
        <v>21</v>
      </c>
      <c r="L4119" s="7">
        <v>41319.017638888887</v>
      </c>
      <c r="M4119" s="12" t="s">
        <v>9758</v>
      </c>
      <c r="N4119" s="12" t="s">
        <v>9759</v>
      </c>
      <c r="O4119" s="10" t="str">
        <f>HYPERLINK("https://pbs.twimg.com/profile_images/549624289767354370/mc4p-Y4q_normal.jpeg","View")</f>
        <v>View</v>
      </c>
      <c r="P4119" s="11"/>
    </row>
    <row r="4120" spans="1:16" ht="12.75" x14ac:dyDescent="0.35">
      <c r="A4120" s="7">
        <v>42482.851157407407</v>
      </c>
      <c r="B4120" s="8" t="str">
        <f>HYPERLINK("https://twitter.com/auxua","@auxua")</f>
        <v>@auxua</v>
      </c>
      <c r="C4120" s="9" t="s">
        <v>9735</v>
      </c>
      <c r="D4120" s="9" t="s">
        <v>9760</v>
      </c>
      <c r="E4120" s="10" t="str">
        <f>HYPERLINK("https://twitter.com/auxua/status/723525686955261954","723525686955261954")</f>
        <v>723525686955261954</v>
      </c>
      <c r="F4120" s="11" t="s">
        <v>43</v>
      </c>
      <c r="G4120" s="11">
        <v>63</v>
      </c>
      <c r="H4120" s="11">
        <v>52</v>
      </c>
      <c r="I4120" s="11">
        <v>0</v>
      </c>
      <c r="J4120" s="11">
        <v>0</v>
      </c>
      <c r="K4120" s="11" t="s">
        <v>21</v>
      </c>
      <c r="L4120" s="7">
        <v>40178.073275462964</v>
      </c>
      <c r="M4120" s="12"/>
      <c r="N4120" s="12" t="s">
        <v>9737</v>
      </c>
      <c r="O4120" s="10" t="str">
        <f>HYPERLINK("https://pbs.twimg.com/profile_images/378800000774936351/14379b24a7c1998879eb9cc017fdf15c_normal.png","View")</f>
        <v>View</v>
      </c>
      <c r="P4120" s="11"/>
    </row>
    <row r="4121" spans="1:16" ht="12.75" x14ac:dyDescent="0.35">
      <c r="A4121" s="7">
        <v>42482.851168981477</v>
      </c>
      <c r="B4121" s="8" t="str">
        <f>HYPERLINK("https://twitter.com/VWCamperSales","@VWCamperSales")</f>
        <v>@VWCamperSales</v>
      </c>
      <c r="C4121" s="9" t="s">
        <v>216</v>
      </c>
      <c r="D4121" s="9" t="s">
        <v>9761</v>
      </c>
      <c r="E4121" s="10" t="str">
        <f>HYPERLINK("https://twitter.com/VWCamperSales/status/723525689555587072","723525689555587072")</f>
        <v>723525689555587072</v>
      </c>
      <c r="F4121" s="10" t="s">
        <v>124</v>
      </c>
      <c r="G4121" s="11">
        <v>617</v>
      </c>
      <c r="H4121" s="11">
        <v>580</v>
      </c>
      <c r="I4121" s="11">
        <v>0</v>
      </c>
      <c r="J4121" s="11">
        <v>0</v>
      </c>
      <c r="K4121" s="11" t="s">
        <v>21</v>
      </c>
      <c r="L4121" s="7">
        <v>42215.98809027778</v>
      </c>
      <c r="M4121" s="12" t="s">
        <v>129</v>
      </c>
      <c r="N4121" s="12" t="s">
        <v>218</v>
      </c>
      <c r="O4121" s="10" t="str">
        <f>HYPERLINK("https://pbs.twimg.com/profile_images/627949001179037696/skEBkS05_normal.jpg","View")</f>
        <v>View</v>
      </c>
      <c r="P4121" s="11"/>
    </row>
    <row r="4122" spans="1:16" ht="12.75" x14ac:dyDescent="0.35">
      <c r="A4122" s="7">
        <v>42482.851331018523</v>
      </c>
      <c r="B4122" s="8" t="str">
        <f>HYPERLINK("https://twitter.com/LucasCote86","@LucasCote86")</f>
        <v>@LucasCote86</v>
      </c>
      <c r="C4122" s="9" t="s">
        <v>6447</v>
      </c>
      <c r="D4122" s="9" t="s">
        <v>9762</v>
      </c>
      <c r="E4122" s="10" t="str">
        <f>HYPERLINK("https://twitter.com/LucasCote86/status/723525747831386114","723525747831386114")</f>
        <v>723525747831386114</v>
      </c>
      <c r="F4122" s="11" t="s">
        <v>43</v>
      </c>
      <c r="G4122" s="11">
        <v>37</v>
      </c>
      <c r="H4122" s="11">
        <v>99</v>
      </c>
      <c r="I4122" s="11">
        <v>0</v>
      </c>
      <c r="J4122" s="11">
        <v>0</v>
      </c>
      <c r="K4122" s="11" t="s">
        <v>21</v>
      </c>
      <c r="L4122" s="7">
        <v>40790.383263888885</v>
      </c>
      <c r="M4122" s="12"/>
      <c r="N4122" s="12" t="s">
        <v>6449</v>
      </c>
      <c r="O4122" s="10" t="str">
        <f>HYPERLINK("https://pbs.twimg.com/profile_images/723338056477081600/7wDgXb-F_normal.jpg","View")</f>
        <v>View</v>
      </c>
      <c r="P4122" s="11"/>
    </row>
    <row r="4123" spans="1:16" ht="12.75" x14ac:dyDescent="0.35">
      <c r="A4123" s="7">
        <v>42482.851388888885</v>
      </c>
      <c r="B4123" s="8" t="str">
        <f>HYPERLINK("https://twitter.com/OpenMarketingTV","@OpenMarketingTV")</f>
        <v>@OpenMarketingTV</v>
      </c>
      <c r="C4123" s="9" t="s">
        <v>9763</v>
      </c>
      <c r="D4123" s="9" t="s">
        <v>9764</v>
      </c>
      <c r="E4123" s="10" t="str">
        <f>HYPERLINK("https://twitter.com/OpenMarketingTV/status/723525767704002560","723525767704002560")</f>
        <v>723525767704002560</v>
      </c>
      <c r="F4123" s="11" t="s">
        <v>53</v>
      </c>
      <c r="G4123" s="11">
        <v>9556</v>
      </c>
      <c r="H4123" s="11">
        <v>10209</v>
      </c>
      <c r="I4123" s="11">
        <v>0</v>
      </c>
      <c r="J4123" s="11">
        <v>0</v>
      </c>
      <c r="K4123" s="11" t="s">
        <v>21</v>
      </c>
      <c r="L4123" s="7">
        <v>40649.84715277778</v>
      </c>
      <c r="M4123" s="12" t="s">
        <v>1748</v>
      </c>
      <c r="N4123" s="12" t="s">
        <v>9765</v>
      </c>
      <c r="O4123" s="10" t="str">
        <f>HYPERLINK("https://pbs.twimg.com/profile_images/2416217270/6vmtlo7m644v6jwaux83_normal.jpeg","View")</f>
        <v>View</v>
      </c>
      <c r="P4123" s="11"/>
    </row>
    <row r="4124" spans="1:16" ht="12.75" x14ac:dyDescent="0.35">
      <c r="A4124" s="7">
        <v>42482.851851851854</v>
      </c>
      <c r="B4124" s="8" t="str">
        <f>HYPERLINK("https://twitter.com/vwbusman72","@vwbusman72")</f>
        <v>@vwbusman72</v>
      </c>
      <c r="C4124" s="9" t="s">
        <v>9766</v>
      </c>
      <c r="D4124" s="9" t="s">
        <v>9767</v>
      </c>
      <c r="E4124" s="10" t="str">
        <f>HYPERLINK("https://twitter.com/vwbusman72/status/723525937480998913","723525937480998913")</f>
        <v>723525937480998913</v>
      </c>
      <c r="F4124" s="11" t="s">
        <v>114</v>
      </c>
      <c r="G4124" s="11">
        <v>700</v>
      </c>
      <c r="H4124" s="11">
        <v>679</v>
      </c>
      <c r="I4124" s="11">
        <v>0</v>
      </c>
      <c r="J4124" s="11">
        <v>0</v>
      </c>
      <c r="K4124" s="11" t="s">
        <v>21</v>
      </c>
      <c r="L4124" s="7">
        <v>40843.239444444444</v>
      </c>
      <c r="M4124" s="12" t="s">
        <v>9768</v>
      </c>
      <c r="N4124" s="12"/>
      <c r="O4124" s="10" t="str">
        <f>HYPERLINK("https://pbs.twimg.com/profile_images/535972937346863104/azd9tVvN_normal.jpeg","View")</f>
        <v>View</v>
      </c>
      <c r="P4124" s="11"/>
    </row>
    <row r="4125" spans="1:16" ht="12.75" x14ac:dyDescent="0.35">
      <c r="A4125" s="7">
        <v>42482.852337962962</v>
      </c>
      <c r="B4125" s="8" t="str">
        <f>HYPERLINK("https://twitter.com/AllanTschirret","@AllanTschirret")</f>
        <v>@AllanTschirret</v>
      </c>
      <c r="C4125" s="9" t="s">
        <v>9769</v>
      </c>
      <c r="D4125" s="9" t="s">
        <v>9770</v>
      </c>
      <c r="E4125" s="10" t="str">
        <f>HYPERLINK("https://twitter.com/AllanTschirret/status/723526111553007618","723526111553007618")</f>
        <v>723526111553007618</v>
      </c>
      <c r="F4125" s="11" t="s">
        <v>367</v>
      </c>
      <c r="G4125" s="11">
        <v>374</v>
      </c>
      <c r="H4125" s="11">
        <v>1610</v>
      </c>
      <c r="I4125" s="11">
        <v>0</v>
      </c>
      <c r="J4125" s="11">
        <v>0</v>
      </c>
      <c r="K4125" s="11" t="s">
        <v>21</v>
      </c>
      <c r="L4125" s="7">
        <v>41041.819814814815</v>
      </c>
      <c r="M4125" s="12" t="s">
        <v>9771</v>
      </c>
      <c r="N4125" s="12" t="s">
        <v>9772</v>
      </c>
      <c r="O4125" s="10" t="str">
        <f>HYPERLINK("https://pbs.twimg.com/profile_images/663000824222785536/5NaF4ZUY_normal.jpg","View")</f>
        <v>View</v>
      </c>
      <c r="P4125" s="11"/>
    </row>
    <row r="4126" spans="1:16" ht="12.75" x14ac:dyDescent="0.35">
      <c r="A4126" s="7">
        <v>42482.853263888886</v>
      </c>
      <c r="B4126" s="8" t="str">
        <f>HYPERLINK("https://twitter.com/rogerwilc00","@rogerwilc00")</f>
        <v>@rogerwilc00</v>
      </c>
      <c r="C4126" s="9" t="s">
        <v>9773</v>
      </c>
      <c r="D4126" s="9" t="s">
        <v>9723</v>
      </c>
      <c r="E4126" s="10" t="str">
        <f>HYPERLINK("https://twitter.com/rogerwilc00/status/723526448108179456","723526448108179456")</f>
        <v>723526448108179456</v>
      </c>
      <c r="F4126" s="11" t="s">
        <v>43</v>
      </c>
      <c r="G4126" s="11">
        <v>107</v>
      </c>
      <c r="H4126" s="11">
        <v>199</v>
      </c>
      <c r="I4126" s="11">
        <v>2</v>
      </c>
      <c r="J4126" s="11">
        <v>0</v>
      </c>
      <c r="K4126" s="11" t="s">
        <v>21</v>
      </c>
      <c r="L4126" s="7">
        <v>42348.811539351853</v>
      </c>
      <c r="M4126" s="12" t="s">
        <v>2907</v>
      </c>
      <c r="N4126" s="12" t="s">
        <v>9774</v>
      </c>
      <c r="O4126" s="10" t="str">
        <f>HYPERLINK("https://pbs.twimg.com/profile_images/721449536795840512/vY3zlT7W_normal.jpg","View")</f>
        <v>View</v>
      </c>
      <c r="P4126" s="11"/>
    </row>
    <row r="4127" spans="1:16" ht="12.75" x14ac:dyDescent="0.35">
      <c r="A4127" s="7">
        <v>42482.853472222225</v>
      </c>
      <c r="B4127" s="8" t="str">
        <f>HYPERLINK("https://twitter.com/TEbhardt","@TEbhardt")</f>
        <v>@TEbhardt</v>
      </c>
      <c r="C4127" s="9" t="s">
        <v>9775</v>
      </c>
      <c r="D4127" s="9" t="s">
        <v>9776</v>
      </c>
      <c r="E4127" s="10" t="str">
        <f>HYPERLINK("https://twitter.com/TEbhardt/status/723526523077185538","723526523077185538")</f>
        <v>723526523077185538</v>
      </c>
      <c r="F4127" s="11" t="s">
        <v>43</v>
      </c>
      <c r="G4127" s="11">
        <v>784</v>
      </c>
      <c r="H4127" s="11">
        <v>379</v>
      </c>
      <c r="I4127" s="11">
        <v>0</v>
      </c>
      <c r="J4127" s="11">
        <v>0</v>
      </c>
      <c r="K4127" s="11" t="s">
        <v>21</v>
      </c>
      <c r="L4127" s="7">
        <v>41335.81045138889</v>
      </c>
      <c r="M4127" s="12" t="s">
        <v>9777</v>
      </c>
      <c r="N4127" s="12" t="s">
        <v>9778</v>
      </c>
      <c r="O4127" s="10" t="str">
        <f>HYPERLINK("https://pbs.twimg.com/profile_images/441939495328284672/Xue_FDuw_normal.jpeg","View")</f>
        <v>View</v>
      </c>
      <c r="P4127" s="11"/>
    </row>
    <row r="4128" spans="1:16" ht="12.75" x14ac:dyDescent="0.35">
      <c r="A4128" s="7">
        <v>42482.854120370372</v>
      </c>
      <c r="B4128" s="8" t="str">
        <f>HYPERLINK("https://twitter.com/DavidDjward","@DavidDjward")</f>
        <v>@DavidDjward</v>
      </c>
      <c r="C4128" s="9" t="s">
        <v>9779</v>
      </c>
      <c r="D4128" s="9" t="s">
        <v>9547</v>
      </c>
      <c r="E4128" s="10" t="str">
        <f>HYPERLINK("https://twitter.com/DavidDjward/status/723526758864195584","723526758864195584")</f>
        <v>723526758864195584</v>
      </c>
      <c r="F4128" s="11" t="s">
        <v>20</v>
      </c>
      <c r="G4128" s="11">
        <v>744</v>
      </c>
      <c r="H4128" s="11">
        <v>164</v>
      </c>
      <c r="I4128" s="11">
        <v>3</v>
      </c>
      <c r="J4128" s="11">
        <v>0</v>
      </c>
      <c r="K4128" s="11" t="s">
        <v>21</v>
      </c>
      <c r="L4128" s="7">
        <v>41551.954675925925</v>
      </c>
      <c r="M4128" s="12" t="s">
        <v>129</v>
      </c>
      <c r="N4128" s="12" t="s">
        <v>9780</v>
      </c>
      <c r="O4128" s="10" t="str">
        <f>HYPERLINK("https://pbs.twimg.com/profile_images/414827767683764225/QFi6r81n_normal.jpeg","View")</f>
        <v>View</v>
      </c>
      <c r="P4128" s="11"/>
    </row>
    <row r="4129" spans="1:16" ht="12.75" x14ac:dyDescent="0.35">
      <c r="A4129" s="7">
        <v>42482.854270833333</v>
      </c>
      <c r="B4129" s="8" t="str">
        <f>HYPERLINK("https://twitter.com/BerHerg","@BerHerg")</f>
        <v>@BerHerg</v>
      </c>
      <c r="C4129" s="9" t="s">
        <v>2697</v>
      </c>
      <c r="D4129" s="9" t="s">
        <v>9311</v>
      </c>
      <c r="E4129" s="10" t="str">
        <f>HYPERLINK("https://twitter.com/BerHerg/status/723526813486555137","723526813486555137")</f>
        <v>723526813486555137</v>
      </c>
      <c r="F4129" s="11" t="s">
        <v>43</v>
      </c>
      <c r="G4129" s="11">
        <v>244</v>
      </c>
      <c r="H4129" s="11">
        <v>82</v>
      </c>
      <c r="I4129" s="11">
        <v>7</v>
      </c>
      <c r="J4129" s="11">
        <v>0</v>
      </c>
      <c r="K4129" s="11" t="s">
        <v>21</v>
      </c>
      <c r="L4129" s="7">
        <v>40269.782847222225</v>
      </c>
      <c r="M4129" s="12" t="s">
        <v>2698</v>
      </c>
      <c r="N4129" s="12" t="s">
        <v>2699</v>
      </c>
      <c r="O4129" s="10" t="str">
        <f>HYPERLINK("https://pbs.twimg.com/profile_images/1648827386/image_normal.jpg","View")</f>
        <v>View</v>
      </c>
      <c r="P4129" s="11"/>
    </row>
    <row r="4130" spans="1:16" ht="12.75" x14ac:dyDescent="0.35">
      <c r="A4130" s="7">
        <v>42482.854328703703</v>
      </c>
      <c r="B4130" s="8" t="str">
        <f>HYPERLINK("https://twitter.com/stephankuehn","@stephankuehn")</f>
        <v>@stephankuehn</v>
      </c>
      <c r="C4130" s="9" t="s">
        <v>9781</v>
      </c>
      <c r="D4130" s="9" t="s">
        <v>9782</v>
      </c>
      <c r="E4130" s="10" t="str">
        <f>HYPERLINK("https://twitter.com/stephankuehn/status/723526834911100928","723526834911100928")</f>
        <v>723526834911100928</v>
      </c>
      <c r="F4130" s="11" t="s">
        <v>48</v>
      </c>
      <c r="G4130" s="11">
        <v>1801</v>
      </c>
      <c r="H4130" s="11">
        <v>894</v>
      </c>
      <c r="I4130" s="11">
        <v>1</v>
      </c>
      <c r="J4130" s="11">
        <v>0</v>
      </c>
      <c r="K4130" s="11" t="s">
        <v>21</v>
      </c>
      <c r="L4130" s="7">
        <v>40190.549560185187</v>
      </c>
      <c r="M4130" s="12" t="s">
        <v>2958</v>
      </c>
      <c r="N4130" s="12" t="s">
        <v>9783</v>
      </c>
      <c r="O4130" s="10" t="str">
        <f>HYPERLINK("https://pbs.twimg.com/profile_images/644157980531904512/8ABcGAXt_normal.jpg","View")</f>
        <v>View</v>
      </c>
      <c r="P4130" s="11"/>
    </row>
    <row r="4131" spans="1:16" ht="12.75" x14ac:dyDescent="0.35">
      <c r="A4131" s="7">
        <v>42482.85460648148</v>
      </c>
      <c r="B4131" s="8" t="str">
        <f>HYPERLINK("https://twitter.com/BerHerg","@BerHerg")</f>
        <v>@BerHerg</v>
      </c>
      <c r="C4131" s="9" t="s">
        <v>2697</v>
      </c>
      <c r="D4131" s="9" t="s">
        <v>8886</v>
      </c>
      <c r="E4131" s="10" t="str">
        <f>HYPERLINK("https://twitter.com/BerHerg/status/723526934735536128","723526934735536128")</f>
        <v>723526934735536128</v>
      </c>
      <c r="F4131" s="11" t="s">
        <v>43</v>
      </c>
      <c r="G4131" s="11">
        <v>244</v>
      </c>
      <c r="H4131" s="11">
        <v>82</v>
      </c>
      <c r="I4131" s="11">
        <v>9</v>
      </c>
      <c r="J4131" s="11">
        <v>0</v>
      </c>
      <c r="K4131" s="11" t="s">
        <v>21</v>
      </c>
      <c r="L4131" s="7">
        <v>40269.782847222225</v>
      </c>
      <c r="M4131" s="12" t="s">
        <v>2698</v>
      </c>
      <c r="N4131" s="12" t="s">
        <v>2699</v>
      </c>
      <c r="O4131" s="10" t="str">
        <f>HYPERLINK("https://pbs.twimg.com/profile_images/1648827386/image_normal.jpg","View")</f>
        <v>View</v>
      </c>
      <c r="P4131" s="11"/>
    </row>
    <row r="4132" spans="1:16" ht="12.75" x14ac:dyDescent="0.35">
      <c r="A4132" s="7">
        <v>42482.854791666672</v>
      </c>
      <c r="B4132" s="8" t="str">
        <f>HYPERLINK("https://twitter.com/RainerLoveiam","@RainerLoveiam")</f>
        <v>@RainerLoveiam</v>
      </c>
      <c r="C4132" s="9" t="s">
        <v>9784</v>
      </c>
      <c r="D4132" s="9" t="s">
        <v>9785</v>
      </c>
      <c r="E4132" s="10" t="str">
        <f>HYPERLINK("https://twitter.com/RainerLoveiam/status/723527002481930241","723527002481930241")</f>
        <v>723527002481930241</v>
      </c>
      <c r="F4132" s="11" t="s">
        <v>43</v>
      </c>
      <c r="G4132" s="11">
        <v>1092</v>
      </c>
      <c r="H4132" s="11">
        <v>395</v>
      </c>
      <c r="I4132" s="11">
        <v>0</v>
      </c>
      <c r="J4132" s="11">
        <v>0</v>
      </c>
      <c r="K4132" s="11" t="s">
        <v>21</v>
      </c>
      <c r="L4132" s="7">
        <v>40660.339699074073</v>
      </c>
      <c r="M4132" s="12" t="s">
        <v>9786</v>
      </c>
      <c r="N4132" s="12" t="s">
        <v>9787</v>
      </c>
      <c r="O4132" s="10" t="str">
        <f>HYPERLINK("https://pbs.twimg.com/profile_images/663496534898667520/iU7N9Oso_normal.jpg","View")</f>
        <v>View</v>
      </c>
      <c r="P4132" s="11"/>
    </row>
    <row r="4133" spans="1:16" ht="12.75" x14ac:dyDescent="0.35">
      <c r="A4133" s="7">
        <v>42482.854895833334</v>
      </c>
      <c r="B4133" s="8" t="str">
        <f>HYPERLINK("https://twitter.com/VWBeetleSales","@VWBeetleSales")</f>
        <v>@VWBeetleSales</v>
      </c>
      <c r="C4133" s="9" t="s">
        <v>127</v>
      </c>
      <c r="D4133" s="9" t="s">
        <v>9788</v>
      </c>
      <c r="E4133" s="10" t="str">
        <f>HYPERLINK("https://twitter.com/VWBeetleSales/status/723527041174233088","723527041174233088")</f>
        <v>723527041174233088</v>
      </c>
      <c r="F4133" s="10" t="s">
        <v>124</v>
      </c>
      <c r="G4133" s="11">
        <v>36</v>
      </c>
      <c r="H4133" s="11">
        <v>32</v>
      </c>
      <c r="I4133" s="11">
        <v>0</v>
      </c>
      <c r="J4133" s="11">
        <v>0</v>
      </c>
      <c r="K4133" s="11" t="s">
        <v>21</v>
      </c>
      <c r="L4133" s="7">
        <v>42427.019756944443</v>
      </c>
      <c r="M4133" s="12" t="s">
        <v>129</v>
      </c>
      <c r="N4133" s="12" t="s">
        <v>130</v>
      </c>
      <c r="O4133" s="10" t="str">
        <f>HYPERLINK("https://pbs.twimg.com/profile_images/703294545195307008/qeCvrX86_normal.jpg","View")</f>
        <v>View</v>
      </c>
      <c r="P4133" s="11"/>
    </row>
    <row r="4134" spans="1:16" ht="12.75" x14ac:dyDescent="0.35">
      <c r="A4134" s="7">
        <v>42482.855717592596</v>
      </c>
      <c r="B4134" s="8" t="str">
        <f>HYPERLINK("https://twitter.com/Alchemy_weeH","@Alchemy_weeH")</f>
        <v>@Alchemy_weeH</v>
      </c>
      <c r="C4134" s="9" t="s">
        <v>9789</v>
      </c>
      <c r="D4134" s="9" t="s">
        <v>9790</v>
      </c>
      <c r="E4134" s="10" t="str">
        <f>HYPERLINK("https://twitter.com/Alchemy_weeH/status/723527338894336000","723527338894336000")</f>
        <v>723527338894336000</v>
      </c>
      <c r="F4134" s="11" t="s">
        <v>20</v>
      </c>
      <c r="G4134" s="11">
        <v>554</v>
      </c>
      <c r="H4134" s="11">
        <v>722</v>
      </c>
      <c r="I4134" s="11">
        <v>0</v>
      </c>
      <c r="J4134" s="11">
        <v>0</v>
      </c>
      <c r="K4134" s="11" t="s">
        <v>21</v>
      </c>
      <c r="L4134" s="7">
        <v>40471.088738425926</v>
      </c>
      <c r="M4134" s="12" t="s">
        <v>9791</v>
      </c>
      <c r="N4134" s="12" t="s">
        <v>9792</v>
      </c>
      <c r="O4134" s="10" t="str">
        <f>HYPERLINK("https://pbs.twimg.com/profile_images/626062417886183424/m4YZf29c_normal.jpg","View")</f>
        <v>View</v>
      </c>
      <c r="P4134" s="11"/>
    </row>
    <row r="4135" spans="1:16" ht="12.75" x14ac:dyDescent="0.35">
      <c r="A4135" s="7">
        <v>42482.856157407412</v>
      </c>
      <c r="B4135" s="8" t="str">
        <f>HYPERLINK("https://twitter.com/VolkswagenPost","@VolkswagenPost")</f>
        <v>@VolkswagenPost</v>
      </c>
      <c r="C4135" s="9" t="s">
        <v>321</v>
      </c>
      <c r="D4135" s="9" t="s">
        <v>9793</v>
      </c>
      <c r="E4135" s="10" t="str">
        <f>HYPERLINK("https://twitter.com/VolkswagenPost/status/723527496646451200","723527496646451200")</f>
        <v>723527496646451200</v>
      </c>
      <c r="F4135" s="11" t="s">
        <v>288</v>
      </c>
      <c r="G4135" s="11">
        <v>569</v>
      </c>
      <c r="H4135" s="11">
        <v>446</v>
      </c>
      <c r="I4135" s="11">
        <v>1</v>
      </c>
      <c r="J4135" s="11">
        <v>0</v>
      </c>
      <c r="K4135" s="11" t="s">
        <v>21</v>
      </c>
      <c r="L4135" s="7">
        <v>41940.618379629632</v>
      </c>
      <c r="M4135" s="12"/>
      <c r="N4135" s="12"/>
      <c r="O4135" s="10" t="str">
        <f>HYPERLINK("https://pbs.twimg.com/profile_images/530071272881803264/a_jcCmPZ_normal.png","View")</f>
        <v>View</v>
      </c>
      <c r="P4135" s="11"/>
    </row>
    <row r="4136" spans="1:16" ht="12.75" x14ac:dyDescent="0.35">
      <c r="A4136" s="7">
        <v>42482.856365740736</v>
      </c>
      <c r="B4136" s="8" t="str">
        <f>HYPERLINK("https://twitter.com/RauchenderColt","@RauchenderColt")</f>
        <v>@RauchenderColt</v>
      </c>
      <c r="C4136" s="9" t="s">
        <v>9794</v>
      </c>
      <c r="D4136" s="9" t="s">
        <v>9795</v>
      </c>
      <c r="E4136" s="10" t="str">
        <f>HYPERLINK("https://twitter.com/RauchenderColt/status/723527574824095744","723527574824095744")</f>
        <v>723527574824095744</v>
      </c>
      <c r="F4136" s="11" t="s">
        <v>20</v>
      </c>
      <c r="G4136" s="11">
        <v>129</v>
      </c>
      <c r="H4136" s="11">
        <v>167</v>
      </c>
      <c r="I4136" s="11">
        <v>0</v>
      </c>
      <c r="J4136" s="11">
        <v>0</v>
      </c>
      <c r="K4136" s="11" t="s">
        <v>21</v>
      </c>
      <c r="L4136" s="7">
        <v>40471.652233796296</v>
      </c>
      <c r="M4136" s="12" t="s">
        <v>9796</v>
      </c>
      <c r="N4136" s="12" t="s">
        <v>9797</v>
      </c>
      <c r="O4136" s="10" t="str">
        <f>HYPERLINK("https://pbs.twimg.com/profile_images/662757783494926336/g_HgfE7j_normal.jpg","View")</f>
        <v>View</v>
      </c>
      <c r="P4136" s="11"/>
    </row>
    <row r="4137" spans="1:16" ht="12.75" x14ac:dyDescent="0.35">
      <c r="A4137" s="7">
        <v>42482.856412037036</v>
      </c>
      <c r="B4137" s="8" t="str">
        <f t="shared" ref="B4137:B4140" si="358">HYPERLINK("https://twitter.com/myCarbe","@myCarbe")</f>
        <v>@myCarbe</v>
      </c>
      <c r="C4137" s="8" t="s">
        <v>9798</v>
      </c>
      <c r="D4137" s="9" t="s">
        <v>9799</v>
      </c>
      <c r="E4137" s="10" t="str">
        <f>HYPERLINK("https://twitter.com/myCarbe/status/723527589491560449","723527589491560449")</f>
        <v>723527589491560449</v>
      </c>
      <c r="F4137" s="11" t="s">
        <v>9800</v>
      </c>
      <c r="G4137" s="11">
        <v>61</v>
      </c>
      <c r="H4137" s="11">
        <v>520</v>
      </c>
      <c r="I4137" s="11">
        <v>0</v>
      </c>
      <c r="J4137" s="11">
        <v>0</v>
      </c>
      <c r="K4137" s="11" t="s">
        <v>21</v>
      </c>
      <c r="L4137" s="7">
        <v>41205.691620370373</v>
      </c>
      <c r="M4137" s="12" t="s">
        <v>9801</v>
      </c>
      <c r="N4137" s="12" t="s">
        <v>9802</v>
      </c>
      <c r="O4137" s="10" t="str">
        <f t="shared" ref="O4137:O4140" si="359">HYPERLINK("https://pbs.twimg.com/profile_images/2754194923/5cb21cec531f4267a70e38e4d675cb79_normal.png","View")</f>
        <v>View</v>
      </c>
      <c r="P4137" s="10" t="str">
        <f t="shared" ref="P4137:P4140" si="360">HYPERLINK("http://ctrlq.org/maps/address/#51.1905989,3.2113301","Map")</f>
        <v>Map</v>
      </c>
    </row>
    <row r="4138" spans="1:16" ht="12.75" x14ac:dyDescent="0.35">
      <c r="A4138" s="7">
        <v>42482.856423611112</v>
      </c>
      <c r="B4138" s="8" t="str">
        <f t="shared" si="358"/>
        <v>@myCarbe</v>
      </c>
      <c r="C4138" s="8" t="s">
        <v>9798</v>
      </c>
      <c r="D4138" s="9" t="s">
        <v>9803</v>
      </c>
      <c r="E4138" s="10" t="str">
        <f>HYPERLINK("https://twitter.com/myCarbe/status/723527592066854912","723527592066854912")</f>
        <v>723527592066854912</v>
      </c>
      <c r="F4138" s="11" t="s">
        <v>9800</v>
      </c>
      <c r="G4138" s="11">
        <v>61</v>
      </c>
      <c r="H4138" s="11">
        <v>520</v>
      </c>
      <c r="I4138" s="11">
        <v>0</v>
      </c>
      <c r="J4138" s="11">
        <v>0</v>
      </c>
      <c r="K4138" s="11" t="s">
        <v>21</v>
      </c>
      <c r="L4138" s="7">
        <v>41205.691620370373</v>
      </c>
      <c r="M4138" s="12" t="s">
        <v>9801</v>
      </c>
      <c r="N4138" s="12" t="s">
        <v>9802</v>
      </c>
      <c r="O4138" s="10" t="str">
        <f t="shared" si="359"/>
        <v>View</v>
      </c>
      <c r="P4138" s="10" t="str">
        <f t="shared" si="360"/>
        <v>Map</v>
      </c>
    </row>
    <row r="4139" spans="1:16" ht="12.75" x14ac:dyDescent="0.35">
      <c r="A4139" s="7">
        <v>42482.856435185182</v>
      </c>
      <c r="B4139" s="8" t="str">
        <f t="shared" si="358"/>
        <v>@myCarbe</v>
      </c>
      <c r="C4139" s="8" t="s">
        <v>9798</v>
      </c>
      <c r="D4139" s="9" t="s">
        <v>9804</v>
      </c>
      <c r="E4139" s="10" t="str">
        <f>HYPERLINK("https://twitter.com/myCarbe/status/723527596449865729","723527596449865729")</f>
        <v>723527596449865729</v>
      </c>
      <c r="F4139" s="11" t="s">
        <v>9800</v>
      </c>
      <c r="G4139" s="11">
        <v>61</v>
      </c>
      <c r="H4139" s="11">
        <v>520</v>
      </c>
      <c r="I4139" s="11">
        <v>0</v>
      </c>
      <c r="J4139" s="11">
        <v>0</v>
      </c>
      <c r="K4139" s="11" t="s">
        <v>21</v>
      </c>
      <c r="L4139" s="7">
        <v>41205.691620370373</v>
      </c>
      <c r="M4139" s="12" t="s">
        <v>9801</v>
      </c>
      <c r="N4139" s="12" t="s">
        <v>9802</v>
      </c>
      <c r="O4139" s="10" t="str">
        <f t="shared" si="359"/>
        <v>View</v>
      </c>
      <c r="P4139" s="10" t="str">
        <f t="shared" si="360"/>
        <v>Map</v>
      </c>
    </row>
    <row r="4140" spans="1:16" ht="12.75" x14ac:dyDescent="0.35">
      <c r="A4140" s="7">
        <v>42482.856435185182</v>
      </c>
      <c r="B4140" s="8" t="str">
        <f t="shared" si="358"/>
        <v>@myCarbe</v>
      </c>
      <c r="C4140" s="8" t="s">
        <v>9798</v>
      </c>
      <c r="D4140" s="9" t="s">
        <v>9805</v>
      </c>
      <c r="E4140" s="10" t="str">
        <f>HYPERLINK("https://twitter.com/myCarbe/status/723527598639353856","723527598639353856")</f>
        <v>723527598639353856</v>
      </c>
      <c r="F4140" s="11" t="s">
        <v>9800</v>
      </c>
      <c r="G4140" s="11">
        <v>61</v>
      </c>
      <c r="H4140" s="11">
        <v>520</v>
      </c>
      <c r="I4140" s="11">
        <v>0</v>
      </c>
      <c r="J4140" s="11">
        <v>0</v>
      </c>
      <c r="K4140" s="11" t="s">
        <v>21</v>
      </c>
      <c r="L4140" s="7">
        <v>41205.691620370373</v>
      </c>
      <c r="M4140" s="12" t="s">
        <v>9801</v>
      </c>
      <c r="N4140" s="12" t="s">
        <v>9802</v>
      </c>
      <c r="O4140" s="10" t="str">
        <f t="shared" si="359"/>
        <v>View</v>
      </c>
      <c r="P4140" s="10" t="str">
        <f t="shared" si="360"/>
        <v>Map</v>
      </c>
    </row>
    <row r="4141" spans="1:16" ht="12.75" x14ac:dyDescent="0.35">
      <c r="A4141" s="7">
        <v>42482.856481481482</v>
      </c>
      <c r="B4141" s="8" t="str">
        <f>HYPERLINK("https://twitter.com/NetzwerkggS21","@NetzwerkggS21")</f>
        <v>@NetzwerkggS21</v>
      </c>
      <c r="C4141" s="9" t="s">
        <v>2359</v>
      </c>
      <c r="D4141" s="9" t="s">
        <v>9782</v>
      </c>
      <c r="E4141" s="10" t="str">
        <f>HYPERLINK("https://twitter.com/NetzwerkggS21/status/723527613348732928","723527613348732928")</f>
        <v>723527613348732928</v>
      </c>
      <c r="F4141" s="11" t="s">
        <v>43</v>
      </c>
      <c r="G4141" s="11">
        <v>854</v>
      </c>
      <c r="H4141" s="11">
        <v>2111</v>
      </c>
      <c r="I4141" s="11">
        <v>3</v>
      </c>
      <c r="J4141" s="11">
        <v>0</v>
      </c>
      <c r="K4141" s="11" t="s">
        <v>21</v>
      </c>
      <c r="L4141" s="7">
        <v>41326.709363425922</v>
      </c>
      <c r="M4141" s="13" t="s">
        <v>2361</v>
      </c>
      <c r="N4141" s="12" t="s">
        <v>2362</v>
      </c>
      <c r="O4141" s="10" t="str">
        <f>HYPERLINK("https://pbs.twimg.com/profile_images/378800000528765970/3ab9f2a00010e9cac08d5ca1638926e9_normal.png","View")</f>
        <v>View</v>
      </c>
      <c r="P4141" s="11"/>
    </row>
    <row r="4142" spans="1:16" ht="12.75" x14ac:dyDescent="0.35">
      <c r="A4142" s="7">
        <v>42482.856574074074</v>
      </c>
      <c r="B4142" s="8" t="str">
        <f>HYPERLINK("https://twitter.com/Snoopy92","@Snoopy92")</f>
        <v>@Snoopy92</v>
      </c>
      <c r="C4142" s="9" t="s">
        <v>4393</v>
      </c>
      <c r="D4142" s="9" t="s">
        <v>8685</v>
      </c>
      <c r="E4142" s="10" t="str">
        <f>HYPERLINK("https://twitter.com/Snoopy92/status/723527646810914818","723527646810914818")</f>
        <v>723527646810914818</v>
      </c>
      <c r="F4142" s="11" t="s">
        <v>91</v>
      </c>
      <c r="G4142" s="11">
        <v>532</v>
      </c>
      <c r="H4142" s="11">
        <v>2119</v>
      </c>
      <c r="I4142" s="11">
        <v>8</v>
      </c>
      <c r="J4142" s="11">
        <v>0</v>
      </c>
      <c r="K4142" s="11" t="s">
        <v>21</v>
      </c>
      <c r="L4142" s="7">
        <v>39905.079861111109</v>
      </c>
      <c r="M4142" s="12" t="s">
        <v>4394</v>
      </c>
      <c r="N4142" s="12" t="s">
        <v>4395</v>
      </c>
      <c r="O4142" s="10" t="str">
        <f>HYPERLINK("https://pbs.twimg.com/profile_images/552919983752491008/q5ofDizB_normal.jpeg","View")</f>
        <v>View</v>
      </c>
      <c r="P4142" s="11"/>
    </row>
    <row r="4143" spans="1:16" ht="12.75" x14ac:dyDescent="0.35">
      <c r="A4143" s="7">
        <v>42482.856979166667</v>
      </c>
      <c r="B4143" s="8" t="str">
        <f>HYPERLINK("https://twitter.com/parthaabosu","@parthaabosu")</f>
        <v>@parthaabosu</v>
      </c>
      <c r="C4143" s="9" t="s">
        <v>9806</v>
      </c>
      <c r="D4143" s="9" t="s">
        <v>9547</v>
      </c>
      <c r="E4143" s="10" t="str">
        <f>HYPERLINK("https://twitter.com/parthaabosu/status/723527796966842370","723527796966842370")</f>
        <v>723527796966842370</v>
      </c>
      <c r="F4143" s="11" t="s">
        <v>20</v>
      </c>
      <c r="G4143" s="11">
        <v>894</v>
      </c>
      <c r="H4143" s="11">
        <v>1111</v>
      </c>
      <c r="I4143" s="11">
        <v>5</v>
      </c>
      <c r="J4143" s="11">
        <v>0</v>
      </c>
      <c r="K4143" s="11" t="s">
        <v>21</v>
      </c>
      <c r="L4143" s="7">
        <v>40179.692048611112</v>
      </c>
      <c r="M4143" s="12" t="s">
        <v>9807</v>
      </c>
      <c r="N4143" s="12" t="s">
        <v>9808</v>
      </c>
      <c r="O4143" s="10" t="str">
        <f>HYPERLINK("https://pbs.twimg.com/profile_images/692619790171504640/Xewtzk06_normal.jpg","View")</f>
        <v>View</v>
      </c>
      <c r="P4143" s="11"/>
    </row>
    <row r="4144" spans="1:16" ht="12.75" x14ac:dyDescent="0.35">
      <c r="A4144" s="7">
        <v>42482.857407407406</v>
      </c>
      <c r="B4144" s="8" t="str">
        <f>HYPERLINK("https://twitter.com/beetlebug1938","@beetlebug1938")</f>
        <v>@beetlebug1938</v>
      </c>
      <c r="C4144" s="9" t="s">
        <v>66</v>
      </c>
      <c r="D4144" s="9" t="s">
        <v>9809</v>
      </c>
      <c r="E4144" s="10" t="str">
        <f>HYPERLINK("https://twitter.com/beetlebug1938/status/723527949815783424","723527949815783424")</f>
        <v>723527949815783424</v>
      </c>
      <c r="F4144" s="11" t="s">
        <v>68</v>
      </c>
      <c r="G4144" s="11">
        <v>353</v>
      </c>
      <c r="H4144" s="11">
        <v>2223</v>
      </c>
      <c r="I4144" s="11">
        <v>0</v>
      </c>
      <c r="J4144" s="11">
        <v>0</v>
      </c>
      <c r="K4144" s="11" t="s">
        <v>21</v>
      </c>
      <c r="L4144" s="7">
        <v>42469.863865740743</v>
      </c>
      <c r="M4144" s="12" t="s">
        <v>69</v>
      </c>
      <c r="N4144" s="12"/>
      <c r="O4144" s="10" t="str">
        <f>HYPERLINK("https://pbs.twimg.com/profile_images/718820712757215233/LXXndPTS_normal.jpg","View")</f>
        <v>View</v>
      </c>
      <c r="P4144" s="11"/>
    </row>
    <row r="4145" spans="1:16" ht="12.75" x14ac:dyDescent="0.35">
      <c r="A4145" s="7">
        <v>42482.857430555552</v>
      </c>
      <c r="B4145" s="8" t="str">
        <f>HYPERLINK("https://twitter.com/sidpatankar","@sidpatankar")</f>
        <v>@sidpatankar</v>
      </c>
      <c r="C4145" s="9" t="s">
        <v>9810</v>
      </c>
      <c r="D4145" s="9" t="s">
        <v>9547</v>
      </c>
      <c r="E4145" s="10" t="str">
        <f>HYPERLINK("https://twitter.com/sidpatankar/status/723527956719521792","723527956719521792")</f>
        <v>723527956719521792</v>
      </c>
      <c r="F4145" s="11" t="s">
        <v>43</v>
      </c>
      <c r="G4145" s="11">
        <v>35723</v>
      </c>
      <c r="H4145" s="11">
        <v>734</v>
      </c>
      <c r="I4145" s="11">
        <v>5</v>
      </c>
      <c r="J4145" s="11">
        <v>0</v>
      </c>
      <c r="K4145" s="11" t="s">
        <v>21</v>
      </c>
      <c r="L4145" s="7">
        <v>40013.665752314817</v>
      </c>
      <c r="M4145" s="12" t="s">
        <v>8757</v>
      </c>
      <c r="N4145" s="12" t="s">
        <v>9811</v>
      </c>
      <c r="O4145" s="10" t="str">
        <f>HYPERLINK("https://pbs.twimg.com/profile_images/548011411176046593/gmgzzVtU_normal.jpeg","View")</f>
        <v>View</v>
      </c>
      <c r="P4145" s="11"/>
    </row>
    <row r="4146" spans="1:16" ht="12.75" x14ac:dyDescent="0.35">
      <c r="A4146" s="7">
        <v>42482.857430555552</v>
      </c>
      <c r="B4146" s="8" t="str">
        <f t="shared" ref="B4146:B4150" si="361">HYPERLINK("https://twitter.com/beetlebug1938","@beetlebug1938")</f>
        <v>@beetlebug1938</v>
      </c>
      <c r="C4146" s="9" t="s">
        <v>66</v>
      </c>
      <c r="D4146" s="9" t="s">
        <v>9812</v>
      </c>
      <c r="E4146" s="10" t="str">
        <f>HYPERLINK("https://twitter.com/beetlebug1938/status/723527959009714176","723527959009714176")</f>
        <v>723527959009714176</v>
      </c>
      <c r="F4146" s="11" t="s">
        <v>68</v>
      </c>
      <c r="G4146" s="11">
        <v>353</v>
      </c>
      <c r="H4146" s="11">
        <v>2223</v>
      </c>
      <c r="I4146" s="11">
        <v>0</v>
      </c>
      <c r="J4146" s="11">
        <v>0</v>
      </c>
      <c r="K4146" s="11" t="s">
        <v>21</v>
      </c>
      <c r="L4146" s="7">
        <v>42469.863865740743</v>
      </c>
      <c r="M4146" s="12" t="s">
        <v>69</v>
      </c>
      <c r="N4146" s="12"/>
      <c r="O4146" s="10" t="str">
        <f t="shared" ref="O4146:O4150" si="362">HYPERLINK("https://pbs.twimg.com/profile_images/718820712757215233/LXXndPTS_normal.jpg","View")</f>
        <v>View</v>
      </c>
      <c r="P4146" s="11"/>
    </row>
    <row r="4147" spans="1:16" ht="12.75" x14ac:dyDescent="0.35">
      <c r="A4147" s="7">
        <v>42482.857581018514</v>
      </c>
      <c r="B4147" s="8" t="str">
        <f t="shared" si="361"/>
        <v>@beetlebug1938</v>
      </c>
      <c r="C4147" s="9" t="s">
        <v>66</v>
      </c>
      <c r="D4147" s="9" t="s">
        <v>9813</v>
      </c>
      <c r="E4147" s="10" t="str">
        <f>HYPERLINK("https://twitter.com/beetlebug1938/status/723528012902313985","723528012902313985")</f>
        <v>723528012902313985</v>
      </c>
      <c r="F4147" s="11" t="s">
        <v>68</v>
      </c>
      <c r="G4147" s="11">
        <v>353</v>
      </c>
      <c r="H4147" s="11">
        <v>2223</v>
      </c>
      <c r="I4147" s="11">
        <v>0</v>
      </c>
      <c r="J4147" s="11">
        <v>0</v>
      </c>
      <c r="K4147" s="11" t="s">
        <v>21</v>
      </c>
      <c r="L4147" s="7">
        <v>42469.863865740743</v>
      </c>
      <c r="M4147" s="12" t="s">
        <v>69</v>
      </c>
      <c r="N4147" s="12"/>
      <c r="O4147" s="10" t="str">
        <f t="shared" si="362"/>
        <v>View</v>
      </c>
      <c r="P4147" s="11"/>
    </row>
    <row r="4148" spans="1:16" ht="12.75" x14ac:dyDescent="0.35">
      <c r="A4148" s="7">
        <v>42482.857627314814</v>
      </c>
      <c r="B4148" s="8" t="str">
        <f t="shared" si="361"/>
        <v>@beetlebug1938</v>
      </c>
      <c r="C4148" s="9" t="s">
        <v>66</v>
      </c>
      <c r="D4148" s="9" t="s">
        <v>9814</v>
      </c>
      <c r="E4148" s="10" t="str">
        <f>HYPERLINK("https://twitter.com/beetlebug1938/status/723528029834760192","723528029834760192")</f>
        <v>723528029834760192</v>
      </c>
      <c r="F4148" s="11" t="s">
        <v>68</v>
      </c>
      <c r="G4148" s="11">
        <v>353</v>
      </c>
      <c r="H4148" s="11">
        <v>2223</v>
      </c>
      <c r="I4148" s="11">
        <v>0</v>
      </c>
      <c r="J4148" s="11">
        <v>0</v>
      </c>
      <c r="K4148" s="11" t="s">
        <v>21</v>
      </c>
      <c r="L4148" s="7">
        <v>42469.863865740743</v>
      </c>
      <c r="M4148" s="12" t="s">
        <v>69</v>
      </c>
      <c r="N4148" s="12"/>
      <c r="O4148" s="10" t="str">
        <f t="shared" si="362"/>
        <v>View</v>
      </c>
      <c r="P4148" s="11"/>
    </row>
    <row r="4149" spans="1:16" ht="12.75" x14ac:dyDescent="0.35">
      <c r="A4149" s="7">
        <v>42482.857662037037</v>
      </c>
      <c r="B4149" s="8" t="str">
        <f t="shared" si="361"/>
        <v>@beetlebug1938</v>
      </c>
      <c r="C4149" s="9" t="s">
        <v>66</v>
      </c>
      <c r="D4149" s="9" t="s">
        <v>9815</v>
      </c>
      <c r="E4149" s="10" t="str">
        <f>HYPERLINK("https://twitter.com/beetlebug1938/status/723528043264921601","723528043264921601")</f>
        <v>723528043264921601</v>
      </c>
      <c r="F4149" s="11" t="s">
        <v>68</v>
      </c>
      <c r="G4149" s="11">
        <v>353</v>
      </c>
      <c r="H4149" s="11">
        <v>2223</v>
      </c>
      <c r="I4149" s="11">
        <v>0</v>
      </c>
      <c r="J4149" s="11">
        <v>0</v>
      </c>
      <c r="K4149" s="11" t="s">
        <v>21</v>
      </c>
      <c r="L4149" s="7">
        <v>42469.863865740743</v>
      </c>
      <c r="M4149" s="12" t="s">
        <v>69</v>
      </c>
      <c r="N4149" s="12"/>
      <c r="O4149" s="10" t="str">
        <f t="shared" si="362"/>
        <v>View</v>
      </c>
      <c r="P4149" s="11"/>
    </row>
    <row r="4150" spans="1:16" ht="12.75" x14ac:dyDescent="0.35">
      <c r="A4150" s="7">
        <v>42482.857708333337</v>
      </c>
      <c r="B4150" s="8" t="str">
        <f t="shared" si="361"/>
        <v>@beetlebug1938</v>
      </c>
      <c r="C4150" s="9" t="s">
        <v>66</v>
      </c>
      <c r="D4150" s="9" t="s">
        <v>9816</v>
      </c>
      <c r="E4150" s="10" t="str">
        <f>HYPERLINK("https://twitter.com/beetlebug1938/status/723528058800603138","723528058800603138")</f>
        <v>723528058800603138</v>
      </c>
      <c r="F4150" s="11" t="s">
        <v>68</v>
      </c>
      <c r="G4150" s="11">
        <v>353</v>
      </c>
      <c r="H4150" s="11">
        <v>2223</v>
      </c>
      <c r="I4150" s="11">
        <v>0</v>
      </c>
      <c r="J4150" s="11">
        <v>0</v>
      </c>
      <c r="K4150" s="11" t="s">
        <v>21</v>
      </c>
      <c r="L4150" s="7">
        <v>42469.863865740743</v>
      </c>
      <c r="M4150" s="12" t="s">
        <v>69</v>
      </c>
      <c r="N4150" s="12"/>
      <c r="O4150" s="10" t="str">
        <f t="shared" si="362"/>
        <v>View</v>
      </c>
      <c r="P4150" s="11"/>
    </row>
    <row r="4151" spans="1:16" ht="12.75" x14ac:dyDescent="0.35">
      <c r="A4151" s="7">
        <v>42482.858217592591</v>
      </c>
      <c r="B4151" s="8" t="str">
        <f>HYPERLINK("https://twitter.com/vnawrath","@vnawrath")</f>
        <v>@vnawrath</v>
      </c>
      <c r="C4151" s="9" t="s">
        <v>9817</v>
      </c>
      <c r="D4151" s="9" t="s">
        <v>9818</v>
      </c>
      <c r="E4151" s="10" t="str">
        <f>HYPERLINK("https://twitter.com/vnawrath/status/723528244125949952","723528244125949952")</f>
        <v>723528244125949952</v>
      </c>
      <c r="F4151" s="11" t="s">
        <v>91</v>
      </c>
      <c r="G4151" s="11">
        <v>676</v>
      </c>
      <c r="H4151" s="11">
        <v>794</v>
      </c>
      <c r="I4151" s="11">
        <v>0</v>
      </c>
      <c r="J4151" s="11">
        <v>0</v>
      </c>
      <c r="K4151" s="11" t="s">
        <v>21</v>
      </c>
      <c r="L4151" s="7">
        <v>39843.699131944442</v>
      </c>
      <c r="M4151" s="12" t="s">
        <v>9819</v>
      </c>
      <c r="N4151" s="12" t="s">
        <v>9820</v>
      </c>
      <c r="O4151" s="10" t="str">
        <f>HYPERLINK("https://pbs.twimg.com/profile_images/547093512940826624/H_Lo8fkm_normal.png","View")</f>
        <v>View</v>
      </c>
      <c r="P4151" s="11"/>
    </row>
    <row r="4152" spans="1:16" ht="12.75" x14ac:dyDescent="0.35">
      <c r="A4152" s="7">
        <v>42482.858333333337</v>
      </c>
      <c r="B4152" s="8" t="str">
        <f>HYPERLINK("https://twitter.com/_graciosa","@_graciosa")</f>
        <v>@_graciosa</v>
      </c>
      <c r="C4152" s="9" t="s">
        <v>9821</v>
      </c>
      <c r="D4152" s="9" t="s">
        <v>8685</v>
      </c>
      <c r="E4152" s="10" t="str">
        <f>HYPERLINK("https://twitter.com/_graciosa/status/723528287033675776","723528287033675776")</f>
        <v>723528287033675776</v>
      </c>
      <c r="F4152" s="11" t="s">
        <v>367</v>
      </c>
      <c r="G4152" s="11">
        <v>321</v>
      </c>
      <c r="H4152" s="11">
        <v>252</v>
      </c>
      <c r="I4152" s="11">
        <v>8</v>
      </c>
      <c r="J4152" s="11">
        <v>0</v>
      </c>
      <c r="K4152" s="11" t="s">
        <v>21</v>
      </c>
      <c r="L4152" s="7">
        <v>39912.627465277779</v>
      </c>
      <c r="M4152" s="12" t="s">
        <v>9822</v>
      </c>
      <c r="N4152" s="12" t="s">
        <v>9823</v>
      </c>
      <c r="O4152" s="10" t="str">
        <f>HYPERLINK("https://pbs.twimg.com/profile_images/668417481875300352/ijULvjIQ_normal.jpg","View")</f>
        <v>View</v>
      </c>
      <c r="P4152" s="11"/>
    </row>
    <row r="4153" spans="1:16" ht="12.75" x14ac:dyDescent="0.35">
      <c r="A4153" s="7">
        <v>42482.859282407408</v>
      </c>
      <c r="B4153" s="8" t="str">
        <f>HYPERLINK("https://twitter.com/JoshineMeyer","@JoshineMeyer")</f>
        <v>@JoshineMeyer</v>
      </c>
      <c r="C4153" s="9" t="s">
        <v>9824</v>
      </c>
      <c r="D4153" s="9" t="s">
        <v>9825</v>
      </c>
      <c r="E4153" s="10" t="str">
        <f>HYPERLINK("https://twitter.com/JoshineMeyer/status/723528627757977606","723528627757977606")</f>
        <v>723528627757977606</v>
      </c>
      <c r="F4153" s="11" t="s">
        <v>43</v>
      </c>
      <c r="G4153" s="11">
        <v>50</v>
      </c>
      <c r="H4153" s="11">
        <v>190</v>
      </c>
      <c r="I4153" s="11">
        <v>0</v>
      </c>
      <c r="J4153" s="11">
        <v>0</v>
      </c>
      <c r="K4153" s="11" t="s">
        <v>21</v>
      </c>
      <c r="L4153" s="7">
        <v>42462.495520833334</v>
      </c>
      <c r="M4153" s="12" t="s">
        <v>2907</v>
      </c>
      <c r="N4153" s="12" t="s">
        <v>9826</v>
      </c>
      <c r="O4153" s="10" t="str">
        <f>HYPERLINK("https://pbs.twimg.com/profile_images/717029111118635010/PLPuZFM4_normal.jpg","View")</f>
        <v>View</v>
      </c>
      <c r="P4153" s="11"/>
    </row>
    <row r="4154" spans="1:16" ht="12.75" x14ac:dyDescent="0.35">
      <c r="A4154" s="7">
        <v>42482.859293981484</v>
      </c>
      <c r="B4154" s="8" t="str">
        <f>HYPERLINK("https://twitter.com/ErnstvAll","@ErnstvAll")</f>
        <v>@ErnstvAll</v>
      </c>
      <c r="C4154" s="9" t="s">
        <v>4347</v>
      </c>
      <c r="D4154" s="9" t="s">
        <v>9827</v>
      </c>
      <c r="E4154" s="10" t="str">
        <f>HYPERLINK("https://twitter.com/ErnstvAll/status/723528633663524864","723528633663524864")</f>
        <v>723528633663524864</v>
      </c>
      <c r="F4154" s="11" t="s">
        <v>43</v>
      </c>
      <c r="G4154" s="11">
        <v>3342</v>
      </c>
      <c r="H4154" s="11">
        <v>749</v>
      </c>
      <c r="I4154" s="11">
        <v>1</v>
      </c>
      <c r="J4154" s="11">
        <v>0</v>
      </c>
      <c r="K4154" s="11" t="s">
        <v>21</v>
      </c>
      <c r="L4154" s="7">
        <v>41214.480219907404</v>
      </c>
      <c r="M4154" s="12" t="s">
        <v>4348</v>
      </c>
      <c r="N4154" s="12" t="s">
        <v>4349</v>
      </c>
      <c r="O4154" s="10" t="str">
        <f>HYPERLINK("https://pbs.twimg.com/profile_images/722924621301956608/WYrNe6po_normal.jpg","View")</f>
        <v>View</v>
      </c>
      <c r="P4154" s="11"/>
    </row>
    <row r="4155" spans="1:16" ht="12.75" x14ac:dyDescent="0.35">
      <c r="A4155" s="7">
        <v>42482.859328703707</v>
      </c>
      <c r="B4155" s="8" t="str">
        <f>HYPERLINK("https://twitter.com/Stony_BS","@Stony_BS")</f>
        <v>@Stony_BS</v>
      </c>
      <c r="C4155" s="9" t="s">
        <v>2680</v>
      </c>
      <c r="D4155" s="9" t="s">
        <v>9828</v>
      </c>
      <c r="E4155" s="10" t="str">
        <f>HYPERLINK("https://twitter.com/Stony_BS/status/723528644509990912","723528644509990912")</f>
        <v>723528644509990912</v>
      </c>
      <c r="F4155" s="11" t="s">
        <v>43</v>
      </c>
      <c r="G4155" s="11">
        <v>36</v>
      </c>
      <c r="H4155" s="11">
        <v>51</v>
      </c>
      <c r="I4155" s="11">
        <v>1</v>
      </c>
      <c r="J4155" s="11">
        <v>2</v>
      </c>
      <c r="K4155" s="11" t="s">
        <v>21</v>
      </c>
      <c r="L4155" s="7">
        <v>41928.806030092594</v>
      </c>
      <c r="M4155" s="12" t="s">
        <v>2682</v>
      </c>
      <c r="N4155" s="12" t="s">
        <v>2683</v>
      </c>
      <c r="O4155" s="10" t="str">
        <f>HYPERLINK("https://pbs.twimg.com/profile_images/668091779313500160/ZepxnJcI_normal.jpg","View")</f>
        <v>View</v>
      </c>
      <c r="P4155" s="11"/>
    </row>
    <row r="4156" spans="1:16" ht="12.75" x14ac:dyDescent="0.35">
      <c r="A4156" s="7">
        <v>42482.859826388885</v>
      </c>
      <c r="B4156" s="8" t="str">
        <f>HYPERLINK("https://twitter.com/chasNchargeAUS","@chasNchargeAUS")</f>
        <v>@chasNchargeAUS</v>
      </c>
      <c r="C4156" s="9" t="s">
        <v>9829</v>
      </c>
      <c r="D4156" s="9" t="s">
        <v>9830</v>
      </c>
      <c r="E4156" s="10" t="str">
        <f>HYPERLINK("https://twitter.com/chasNchargeAUS/status/723528827742392320","723528827742392320")</f>
        <v>723528827742392320</v>
      </c>
      <c r="F4156" s="11" t="s">
        <v>114</v>
      </c>
      <c r="G4156" s="11">
        <v>581</v>
      </c>
      <c r="H4156" s="11">
        <v>1180</v>
      </c>
      <c r="I4156" s="11">
        <v>0</v>
      </c>
      <c r="J4156" s="11">
        <v>0</v>
      </c>
      <c r="K4156" s="11" t="s">
        <v>21</v>
      </c>
      <c r="L4156" s="7">
        <v>40501.208287037036</v>
      </c>
      <c r="M4156" s="12" t="s">
        <v>9831</v>
      </c>
      <c r="N4156" s="12" t="s">
        <v>9832</v>
      </c>
      <c r="O4156" s="10" t="str">
        <f>HYPERLINK("https://pbs.twimg.com/profile_images/443134498884960256/kUuAk8it_normal.jpeg","View")</f>
        <v>View</v>
      </c>
      <c r="P4156" s="10" t="str">
        <f>HYPERLINK("http://ctrlq.org/maps/address/#30.25514876,-97.76848986","Map")</f>
        <v>Map</v>
      </c>
    </row>
    <row r="4157" spans="1:16" ht="12.75" x14ac:dyDescent="0.35">
      <c r="A4157" s="7">
        <v>42482.860347222224</v>
      </c>
      <c r="B4157" s="8" t="str">
        <f>HYPERLINK("https://twitter.com/GayosoIvann","@GayosoIvann")</f>
        <v>@GayosoIvann</v>
      </c>
      <c r="C4157" s="9" t="s">
        <v>9833</v>
      </c>
      <c r="D4157" s="9" t="s">
        <v>9834</v>
      </c>
      <c r="E4157" s="10" t="str">
        <f>HYPERLINK("https://twitter.com/GayosoIvann/status/723529016133689344","723529016133689344")</f>
        <v>723529016133689344</v>
      </c>
      <c r="F4157" s="11" t="s">
        <v>48</v>
      </c>
      <c r="G4157" s="11">
        <v>14</v>
      </c>
      <c r="H4157" s="11">
        <v>66</v>
      </c>
      <c r="I4157" s="11">
        <v>0</v>
      </c>
      <c r="J4157" s="11">
        <v>0</v>
      </c>
      <c r="K4157" s="11" t="s">
        <v>21</v>
      </c>
      <c r="L4157" s="7">
        <v>42206.427800925929</v>
      </c>
      <c r="M4157" s="12"/>
      <c r="N4157" s="12" t="s">
        <v>9835</v>
      </c>
      <c r="O4157" s="10" t="str">
        <f>HYPERLINK("https://pbs.twimg.com/profile_images/709425905895149568/a5mHZrMz_normal.jpg","View")</f>
        <v>View</v>
      </c>
      <c r="P4157" s="11"/>
    </row>
    <row r="4158" spans="1:16" ht="12.75" x14ac:dyDescent="0.35">
      <c r="A4158" s="7">
        <v>42482.86038194444</v>
      </c>
      <c r="B4158" s="8" t="str">
        <f>HYPERLINK("https://twitter.com/elitaw","@elitaw")</f>
        <v>@elitaw</v>
      </c>
      <c r="C4158" s="9" t="s">
        <v>9836</v>
      </c>
      <c r="D4158" s="9" t="s">
        <v>9477</v>
      </c>
      <c r="E4158" s="10" t="str">
        <f>HYPERLINK("https://twitter.com/elitaw/status/723529026518827009","723529026518827009")</f>
        <v>723529026518827009</v>
      </c>
      <c r="F4158" s="11" t="s">
        <v>91</v>
      </c>
      <c r="G4158" s="11">
        <v>1115</v>
      </c>
      <c r="H4158" s="11">
        <v>961</v>
      </c>
      <c r="I4158" s="11">
        <v>3</v>
      </c>
      <c r="J4158" s="11">
        <v>0</v>
      </c>
      <c r="K4158" s="11" t="s">
        <v>21</v>
      </c>
      <c r="L4158" s="7">
        <v>39802.876307870371</v>
      </c>
      <c r="M4158" s="12" t="s">
        <v>9837</v>
      </c>
      <c r="N4158" s="12" t="s">
        <v>9838</v>
      </c>
      <c r="O4158" s="10" t="str">
        <f>HYPERLINK("https://pbs.twimg.com/profile_images/486974224913801216/Jo4bZX4l_normal.jpeg","View")</f>
        <v>View</v>
      </c>
      <c r="P4158" s="11"/>
    </row>
    <row r="4159" spans="1:16" ht="12.75" x14ac:dyDescent="0.35">
      <c r="A4159" s="7">
        <v>42482.860775462963</v>
      </c>
      <c r="B4159" s="8" t="str">
        <f>HYPERLINK("https://twitter.com/Klaus_Mueller","@Klaus_Mueller")</f>
        <v>@Klaus_Mueller</v>
      </c>
      <c r="C4159" s="9" t="s">
        <v>2329</v>
      </c>
      <c r="D4159" s="9" t="s">
        <v>9782</v>
      </c>
      <c r="E4159" s="10" t="str">
        <f>HYPERLINK("https://twitter.com/Klaus_Mueller/status/723529170534453248","723529170534453248")</f>
        <v>723529170534453248</v>
      </c>
      <c r="F4159" s="11" t="s">
        <v>91</v>
      </c>
      <c r="G4159" s="11">
        <v>2469</v>
      </c>
      <c r="H4159" s="11">
        <v>578</v>
      </c>
      <c r="I4159" s="11">
        <v>3</v>
      </c>
      <c r="J4159" s="11">
        <v>0</v>
      </c>
      <c r="K4159" s="11" t="s">
        <v>21</v>
      </c>
      <c r="L4159" s="7">
        <v>39830.767175925925</v>
      </c>
      <c r="M4159" s="12" t="s">
        <v>1359</v>
      </c>
      <c r="N4159" s="12" t="s">
        <v>2331</v>
      </c>
      <c r="O4159" s="10" t="str">
        <f>HYPERLINK("https://pbs.twimg.com/profile_images/461785939711258624/FzsPRmqR_normal.jpeg","View")</f>
        <v>View</v>
      </c>
      <c r="P4159" s="11"/>
    </row>
    <row r="4160" spans="1:16" ht="12.75" x14ac:dyDescent="0.35">
      <c r="A4160" s="7">
        <v>42482.860821759255</v>
      </c>
      <c r="B4160" s="8" t="str">
        <f>HYPERLINK("https://twitter.com/1zonk1","@1zonk1")</f>
        <v>@1zonk1</v>
      </c>
      <c r="C4160" s="9" t="s">
        <v>9839</v>
      </c>
      <c r="D4160" s="9" t="s">
        <v>9840</v>
      </c>
      <c r="E4160" s="10" t="str">
        <f>HYPERLINK("https://twitter.com/1zonk1/status/723529187781427201","723529187781427201")</f>
        <v>723529187781427201</v>
      </c>
      <c r="F4160" s="11" t="s">
        <v>20</v>
      </c>
      <c r="G4160" s="11">
        <v>0</v>
      </c>
      <c r="H4160" s="11">
        <v>7</v>
      </c>
      <c r="I4160" s="11">
        <v>0</v>
      </c>
      <c r="J4160" s="11">
        <v>0</v>
      </c>
      <c r="K4160" s="11" t="s">
        <v>21</v>
      </c>
      <c r="L4160" s="7">
        <v>42375.637210648143</v>
      </c>
      <c r="M4160" s="12"/>
      <c r="N4160" s="12"/>
      <c r="O4160" s="10" t="str">
        <f>HYPERLINK("https://pbs.twimg.com/profile_images/684687725883207681/BVIdi6X1_normal.jpg","View")</f>
        <v>View</v>
      </c>
      <c r="P4160" s="11"/>
    </row>
    <row r="4161" spans="1:16" ht="12.75" x14ac:dyDescent="0.35">
      <c r="A4161" s="7">
        <v>42482.861111111109</v>
      </c>
      <c r="B4161" s="8" t="str">
        <f>HYPERLINK("https://twitter.com/ChrisJBCarroll","@ChrisJBCarroll")</f>
        <v>@ChrisJBCarroll</v>
      </c>
      <c r="C4161" s="9" t="s">
        <v>1945</v>
      </c>
      <c r="D4161" s="9" t="s">
        <v>9841</v>
      </c>
      <c r="E4161" s="10" t="str">
        <f>HYPERLINK("https://twitter.com/ChrisJBCarroll/status/723529292928442368","723529292928442368")</f>
        <v>723529292928442368</v>
      </c>
      <c r="F4161" s="11" t="s">
        <v>63</v>
      </c>
      <c r="G4161" s="11">
        <v>256</v>
      </c>
      <c r="H4161" s="11">
        <v>676</v>
      </c>
      <c r="I4161" s="11">
        <v>1</v>
      </c>
      <c r="J4161" s="11">
        <v>0</v>
      </c>
      <c r="K4161" s="11" t="s">
        <v>21</v>
      </c>
      <c r="L4161" s="7">
        <v>41362.800671296296</v>
      </c>
      <c r="M4161" s="12"/>
      <c r="N4161" s="12" t="s">
        <v>1946</v>
      </c>
      <c r="O4161" s="10" t="str">
        <f>HYPERLINK("https://pbs.twimg.com/profile_images/378800000461582138/dea3b11d48a7b41fa52ff65a08ce5a0c_normal.jpeg","View")</f>
        <v>View</v>
      </c>
      <c r="P4161" s="11"/>
    </row>
    <row r="4162" spans="1:16" ht="12.75" x14ac:dyDescent="0.35">
      <c r="A4162" s="7">
        <v>42482.861226851848</v>
      </c>
      <c r="B4162" s="8" t="str">
        <f>HYPERLINK("https://twitter.com/sseewolf","@sseewolf")</f>
        <v>@sseewolf</v>
      </c>
      <c r="C4162" s="9" t="s">
        <v>9842</v>
      </c>
      <c r="D4162" s="9" t="s">
        <v>9843</v>
      </c>
      <c r="E4162" s="10" t="str">
        <f>HYPERLINK("https://twitter.com/sseewolf/status/723529336222023681","723529336222023681")</f>
        <v>723529336222023681</v>
      </c>
      <c r="F4162" s="11" t="s">
        <v>43</v>
      </c>
      <c r="G4162" s="11">
        <v>113</v>
      </c>
      <c r="H4162" s="11">
        <v>343</v>
      </c>
      <c r="I4162" s="11">
        <v>0</v>
      </c>
      <c r="J4162" s="11">
        <v>0</v>
      </c>
      <c r="K4162" s="11" t="s">
        <v>21</v>
      </c>
      <c r="L4162" s="7">
        <v>40660.174930555557</v>
      </c>
      <c r="M4162" s="12" t="s">
        <v>9844</v>
      </c>
      <c r="N4162" s="12" t="s">
        <v>9845</v>
      </c>
      <c r="O4162" s="10" t="str">
        <f>HYPERLINK("https://pbs.twimg.com/profile_images/1660488645/icon_seewolf_normal.gif","View")</f>
        <v>View</v>
      </c>
      <c r="P4162" s="11"/>
    </row>
    <row r="4163" spans="1:16" ht="12.75" x14ac:dyDescent="0.35">
      <c r="A4163" s="7">
        <v>42482.861516203702</v>
      </c>
      <c r="B4163" s="8" t="str">
        <f>HYPERLINK("https://twitter.com/LarryRoeschVW","@LarryRoeschVW")</f>
        <v>@LarryRoeschVW</v>
      </c>
      <c r="C4163" s="9" t="s">
        <v>9846</v>
      </c>
      <c r="D4163" s="9" t="s">
        <v>9847</v>
      </c>
      <c r="E4163" s="10" t="str">
        <f>HYPERLINK("https://twitter.com/LarryRoeschVW/status/723529437170536449","723529437170536449")</f>
        <v>723529437170536449</v>
      </c>
      <c r="F4163" s="11" t="s">
        <v>152</v>
      </c>
      <c r="G4163" s="11">
        <v>363</v>
      </c>
      <c r="H4163" s="11">
        <v>229</v>
      </c>
      <c r="I4163" s="11">
        <v>0</v>
      </c>
      <c r="J4163" s="11">
        <v>0</v>
      </c>
      <c r="K4163" s="11" t="s">
        <v>21</v>
      </c>
      <c r="L4163" s="7">
        <v>40555.469953703701</v>
      </c>
      <c r="M4163" s="12" t="s">
        <v>9848</v>
      </c>
      <c r="N4163" s="12" t="s">
        <v>9849</v>
      </c>
      <c r="O4163" s="10" t="str">
        <f>HYPERLINK("https://pbs.twimg.com/profile_images/3130668484/8256e38de6a2fd23e31d002a5338ce8c_normal.png","View")</f>
        <v>View</v>
      </c>
      <c r="P4163" s="11"/>
    </row>
    <row r="4164" spans="1:16" ht="12.75" x14ac:dyDescent="0.35">
      <c r="A4164" s="7">
        <v>42482.86173611111</v>
      </c>
      <c r="B4164" s="8" t="str">
        <f>HYPERLINK("https://twitter.com/Mrmacmax92","@Mrmacmax92")</f>
        <v>@Mrmacmax92</v>
      </c>
      <c r="C4164" s="9" t="s">
        <v>1165</v>
      </c>
      <c r="D4164" s="9" t="s">
        <v>9311</v>
      </c>
      <c r="E4164" s="10" t="str">
        <f>HYPERLINK("https://twitter.com/Mrmacmax92/status/723529517487296512","723529517487296512")</f>
        <v>723529517487296512</v>
      </c>
      <c r="F4164" s="11" t="s">
        <v>20</v>
      </c>
      <c r="G4164" s="11">
        <v>275</v>
      </c>
      <c r="H4164" s="11">
        <v>2356</v>
      </c>
      <c r="I4164" s="11">
        <v>8</v>
      </c>
      <c r="J4164" s="11">
        <v>0</v>
      </c>
      <c r="K4164" s="11" t="s">
        <v>21</v>
      </c>
      <c r="L4164" s="7">
        <v>41843.824999999997</v>
      </c>
      <c r="M4164" s="12"/>
      <c r="N4164" s="12"/>
      <c r="O4164" s="10" t="str">
        <f>HYPERLINK("https://pbs.twimg.com/profile_images/491952742551015426/Jwy076--_normal.jpeg","View")</f>
        <v>View</v>
      </c>
      <c r="P4164" s="11"/>
    </row>
    <row r="4165" spans="1:16" ht="12.75" x14ac:dyDescent="0.35">
      <c r="A4165" s="7">
        <v>42482.86173611111</v>
      </c>
      <c r="B4165" s="8" t="str">
        <f>HYPERLINK("https://twitter.com/ginger_bishquit","@ginger_bishquit")</f>
        <v>@ginger_bishquit</v>
      </c>
      <c r="C4165" s="9" t="s">
        <v>9850</v>
      </c>
      <c r="D4165" s="9" t="s">
        <v>9851</v>
      </c>
      <c r="E4165" s="10" t="str">
        <f>HYPERLINK("https://twitter.com/ginger_bishquit/status/723529519311650816","723529519311650816")</f>
        <v>723529519311650816</v>
      </c>
      <c r="F4165" s="11" t="s">
        <v>114</v>
      </c>
      <c r="G4165" s="11">
        <v>701</v>
      </c>
      <c r="H4165" s="11">
        <v>680</v>
      </c>
      <c r="I4165" s="11">
        <v>0</v>
      </c>
      <c r="J4165" s="11">
        <v>0</v>
      </c>
      <c r="K4165" s="11" t="s">
        <v>21</v>
      </c>
      <c r="L4165" s="7">
        <v>40200.019502314812</v>
      </c>
      <c r="M4165" s="12" t="s">
        <v>9852</v>
      </c>
      <c r="N4165" s="12" t="s">
        <v>9853</v>
      </c>
      <c r="O4165" s="10" t="str">
        <f>HYPERLINK("https://pbs.twimg.com/profile_images/674618866924969984/c2u5Ih96_normal.jpg","View")</f>
        <v>View</v>
      </c>
      <c r="P4165" s="11"/>
    </row>
    <row r="4166" spans="1:16" ht="12.75" x14ac:dyDescent="0.35">
      <c r="A4166" s="7">
        <v>42482.861875000002</v>
      </c>
      <c r="B4166" s="8" t="str">
        <f>HYPERLINK("https://twitter.com/OZlive","@OZlive")</f>
        <v>@OZlive</v>
      </c>
      <c r="C4166" s="9" t="s">
        <v>9854</v>
      </c>
      <c r="D4166" s="9" t="s">
        <v>9855</v>
      </c>
      <c r="E4166" s="10" t="str">
        <f>HYPERLINK("https://twitter.com/OZlive/status/723529570280976384","723529570280976384")</f>
        <v>723529570280976384</v>
      </c>
      <c r="F4166" s="11" t="s">
        <v>43</v>
      </c>
      <c r="G4166" s="11">
        <v>8889</v>
      </c>
      <c r="H4166" s="11">
        <v>315</v>
      </c>
      <c r="I4166" s="11">
        <v>0</v>
      </c>
      <c r="J4166" s="11">
        <v>0</v>
      </c>
      <c r="K4166" s="11" t="s">
        <v>21</v>
      </c>
      <c r="L4166" s="7">
        <v>40106.882858796293</v>
      </c>
      <c r="M4166" s="12" t="s">
        <v>9856</v>
      </c>
      <c r="N4166" s="12" t="s">
        <v>9857</v>
      </c>
      <c r="O4166" s="10" t="str">
        <f>HYPERLINK("https://pbs.twimg.com/profile_images/3653770649/2466e51deddf806fd8fa4222234eb3c0_normal.jpeg","View")</f>
        <v>View</v>
      </c>
      <c r="P4166" s="11"/>
    </row>
    <row r="4167" spans="1:16" ht="12.75" x14ac:dyDescent="0.35">
      <c r="A4167" s="7">
        <v>42482.862245370372</v>
      </c>
      <c r="B4167" s="8" t="str">
        <f>HYPERLINK("https://twitter.com/SammiLeopold08","@SammiLeopold08")</f>
        <v>@SammiLeopold08</v>
      </c>
      <c r="C4167" s="9" t="s">
        <v>4889</v>
      </c>
      <c r="D4167" s="9" t="s">
        <v>9214</v>
      </c>
      <c r="E4167" s="10" t="str">
        <f>HYPERLINK("https://twitter.com/SammiLeopold08/status/723529705492762625","723529705492762625")</f>
        <v>723529705492762625</v>
      </c>
      <c r="F4167" s="11" t="s">
        <v>48</v>
      </c>
      <c r="G4167" s="11">
        <v>310</v>
      </c>
      <c r="H4167" s="11">
        <v>193</v>
      </c>
      <c r="I4167" s="11">
        <v>2</v>
      </c>
      <c r="J4167" s="11">
        <v>0</v>
      </c>
      <c r="K4167" s="11" t="s">
        <v>21</v>
      </c>
      <c r="L4167" s="7">
        <v>42430.121898148151</v>
      </c>
      <c r="M4167" s="12" t="s">
        <v>4890</v>
      </c>
      <c r="N4167" s="12" t="s">
        <v>4891</v>
      </c>
      <c r="O4167" s="10" t="str">
        <f>HYPERLINK("https://pbs.twimg.com/profile_images/704420155196116992/QCcpm5r8_normal.jpg","View")</f>
        <v>View</v>
      </c>
      <c r="P4167" s="11"/>
    </row>
    <row r="4168" spans="1:16" ht="12.75" x14ac:dyDescent="0.35">
      <c r="A4168" s="7">
        <v>42482.862673611111</v>
      </c>
      <c r="B4168" s="8" t="str">
        <f>HYPERLINK("https://twitter.com/goennen","@goennen")</f>
        <v>@goennen</v>
      </c>
      <c r="C4168" s="9" t="s">
        <v>9858</v>
      </c>
      <c r="D4168" s="9" t="s">
        <v>9859</v>
      </c>
      <c r="E4168" s="10" t="str">
        <f>HYPERLINK("https://twitter.com/goennen/status/723529860409339904","723529860409339904")</f>
        <v>723529860409339904</v>
      </c>
      <c r="F4168" s="11" t="s">
        <v>43</v>
      </c>
      <c r="G4168" s="11">
        <v>426</v>
      </c>
      <c r="H4168" s="11">
        <v>227</v>
      </c>
      <c r="I4168" s="11">
        <v>1</v>
      </c>
      <c r="J4168" s="11">
        <v>0</v>
      </c>
      <c r="K4168" s="11" t="s">
        <v>21</v>
      </c>
      <c r="L4168" s="7">
        <v>42142.939745370371</v>
      </c>
      <c r="M4168" s="12"/>
      <c r="N4168" s="12" t="s">
        <v>9860</v>
      </c>
      <c r="O4168" s="10" t="str">
        <f>HYPERLINK("https://pbs.twimg.com/profile_images/706199243351060480/efABpL4I_normal.jpg","View")</f>
        <v>View</v>
      </c>
      <c r="P4168" s="11"/>
    </row>
    <row r="4169" spans="1:16" ht="12.75" x14ac:dyDescent="0.35">
      <c r="A4169" s="7">
        <v>42482.862685185188</v>
      </c>
      <c r="B4169" s="8" t="str">
        <f>HYPERLINK("https://twitter.com/FatihGologluu","@FatihGologluu")</f>
        <v>@FatihGologluu</v>
      </c>
      <c r="C4169" s="9" t="s">
        <v>9861</v>
      </c>
      <c r="D4169" s="9" t="s">
        <v>9862</v>
      </c>
      <c r="E4169" s="10" t="str">
        <f>HYPERLINK("https://twitter.com/FatihGologluu/status/723529860858011648","723529860858011648")</f>
        <v>723529860858011648</v>
      </c>
      <c r="F4169" s="11" t="s">
        <v>114</v>
      </c>
      <c r="G4169" s="11">
        <v>435</v>
      </c>
      <c r="H4169" s="11">
        <v>313</v>
      </c>
      <c r="I4169" s="11">
        <v>0</v>
      </c>
      <c r="J4169" s="11">
        <v>0</v>
      </c>
      <c r="K4169" s="11" t="s">
        <v>21</v>
      </c>
      <c r="L4169" s="7">
        <v>41492.729143518518</v>
      </c>
      <c r="M4169" s="12" t="s">
        <v>3766</v>
      </c>
      <c r="N4169" s="12" t="s">
        <v>9863</v>
      </c>
      <c r="O4169" s="10" t="str">
        <f>HYPERLINK("https://pbs.twimg.com/profile_images/720133292008345600/WOJj9ypM_normal.jpg","View")</f>
        <v>View</v>
      </c>
      <c r="P4169" s="10" t="str">
        <f>HYPERLINK("http://ctrlq.org/maps/address/#39.97708264,32.7235187","Map")</f>
        <v>Map</v>
      </c>
    </row>
    <row r="4170" spans="1:16" ht="12.75" x14ac:dyDescent="0.35">
      <c r="A4170" s="7">
        <v>42482.863113425927</v>
      </c>
      <c r="B4170" s="8" t="str">
        <f>HYPERLINK("https://twitter.com/SalihiShejzije","@SalihiShejzije")</f>
        <v>@SalihiShejzije</v>
      </c>
      <c r="C4170" s="9" t="s">
        <v>1829</v>
      </c>
      <c r="D4170" s="9" t="s">
        <v>8859</v>
      </c>
      <c r="E4170" s="10" t="str">
        <f>HYPERLINK("https://twitter.com/SalihiShejzije/status/723530016932433920","723530016932433920")</f>
        <v>723530016932433920</v>
      </c>
      <c r="F4170" s="11" t="s">
        <v>48</v>
      </c>
      <c r="G4170" s="11">
        <v>26</v>
      </c>
      <c r="H4170" s="11">
        <v>13</v>
      </c>
      <c r="I4170" s="11">
        <v>3</v>
      </c>
      <c r="J4170" s="11">
        <v>0</v>
      </c>
      <c r="K4170" s="11" t="s">
        <v>21</v>
      </c>
      <c r="L4170" s="7">
        <v>42421.055231481485</v>
      </c>
      <c r="M4170" s="12" t="s">
        <v>1830</v>
      </c>
      <c r="N4170" s="12"/>
      <c r="O4170" s="10" t="str">
        <f>HYPERLINK("https://pbs.twimg.com/profile_images/704001047216447488/5a1ozl-l_normal.jpg","View")</f>
        <v>View</v>
      </c>
      <c r="P4170" s="11"/>
    </row>
    <row r="4171" spans="1:16" ht="12.75" x14ac:dyDescent="0.35">
      <c r="A4171" s="7">
        <v>42482.863518518519</v>
      </c>
      <c r="B4171" s="8" t="str">
        <f>HYPERLINK("https://twitter.com/Fotobiene","@Fotobiene")</f>
        <v>@Fotobiene</v>
      </c>
      <c r="C4171" s="9" t="s">
        <v>2977</v>
      </c>
      <c r="D4171" s="9" t="s">
        <v>9864</v>
      </c>
      <c r="E4171" s="10" t="str">
        <f>HYPERLINK("https://twitter.com/Fotobiene/status/723530166849417216","723530166849417216")</f>
        <v>723530166849417216</v>
      </c>
      <c r="F4171" s="11" t="s">
        <v>91</v>
      </c>
      <c r="G4171" s="11">
        <v>372</v>
      </c>
      <c r="H4171" s="11">
        <v>589</v>
      </c>
      <c r="I4171" s="11">
        <v>0</v>
      </c>
      <c r="J4171" s="11">
        <v>0</v>
      </c>
      <c r="K4171" s="11" t="s">
        <v>21</v>
      </c>
      <c r="L4171" s="7">
        <v>40363.94840277778</v>
      </c>
      <c r="M4171" s="12" t="s">
        <v>1116</v>
      </c>
      <c r="N4171" s="12" t="s">
        <v>2978</v>
      </c>
      <c r="O4171" s="10" t="str">
        <f>HYPERLINK("https://pbs.twimg.com/profile_images/476894592051056640/bqGCxWkq_normal.jpeg","View")</f>
        <v>View</v>
      </c>
      <c r="P4171" s="11"/>
    </row>
    <row r="4172" spans="1:16" ht="12.75" x14ac:dyDescent="0.35">
      <c r="A4172" s="7">
        <v>42482.863946759258</v>
      </c>
      <c r="B4172" s="8" t="str">
        <f>HYPERLINK("https://twitter.com/InsigniaGroup","@InsigniaGroup")</f>
        <v>@InsigniaGroup</v>
      </c>
      <c r="C4172" s="9" t="s">
        <v>9865</v>
      </c>
      <c r="D4172" s="9" t="s">
        <v>9866</v>
      </c>
      <c r="E4172" s="10" t="str">
        <f>HYPERLINK("https://twitter.com/InsigniaGroup/status/723530319077343234","723530319077343234")</f>
        <v>723530319077343234</v>
      </c>
      <c r="F4172" s="11" t="s">
        <v>3871</v>
      </c>
      <c r="G4172" s="11">
        <v>339</v>
      </c>
      <c r="H4172" s="11">
        <v>603</v>
      </c>
      <c r="I4172" s="11">
        <v>0</v>
      </c>
      <c r="J4172" s="11">
        <v>0</v>
      </c>
      <c r="K4172" s="11" t="s">
        <v>21</v>
      </c>
      <c r="L4172" s="7">
        <v>40736.962708333333</v>
      </c>
      <c r="M4172" s="12" t="s">
        <v>9867</v>
      </c>
      <c r="N4172" s="12" t="s">
        <v>9868</v>
      </c>
      <c r="O4172" s="10" t="str">
        <f>HYPERLINK("https://pbs.twimg.com/profile_images/581095813046255617/fJpRy9Rx_normal.jpg","View")</f>
        <v>View</v>
      </c>
      <c r="P4172" s="11"/>
    </row>
    <row r="4173" spans="1:16" ht="12.75" x14ac:dyDescent="0.35">
      <c r="A4173" s="7">
        <v>42482.864664351851</v>
      </c>
      <c r="B4173" s="8" t="str">
        <f t="shared" ref="B4173:B4174" si="363">HYPERLINK("https://twitter.com/VWBeetleSales","@VWBeetleSales")</f>
        <v>@VWBeetleSales</v>
      </c>
      <c r="C4173" s="9" t="s">
        <v>127</v>
      </c>
      <c r="D4173" s="9" t="s">
        <v>9869</v>
      </c>
      <c r="E4173" s="10" t="str">
        <f>HYPERLINK("https://twitter.com/VWBeetleSales/status/723530579522674688","723530579522674688")</f>
        <v>723530579522674688</v>
      </c>
      <c r="F4173" s="10" t="s">
        <v>124</v>
      </c>
      <c r="G4173" s="11">
        <v>36</v>
      </c>
      <c r="H4173" s="11">
        <v>32</v>
      </c>
      <c r="I4173" s="11">
        <v>0</v>
      </c>
      <c r="J4173" s="11">
        <v>0</v>
      </c>
      <c r="K4173" s="11" t="s">
        <v>21</v>
      </c>
      <c r="L4173" s="7">
        <v>42427.019756944443</v>
      </c>
      <c r="M4173" s="12" t="s">
        <v>129</v>
      </c>
      <c r="N4173" s="12" t="s">
        <v>130</v>
      </c>
      <c r="O4173" s="10" t="str">
        <f t="shared" ref="O4173:O4174" si="364">HYPERLINK("https://pbs.twimg.com/profile_images/703294545195307008/qeCvrX86_normal.jpg","View")</f>
        <v>View</v>
      </c>
      <c r="P4173" s="11"/>
    </row>
    <row r="4174" spans="1:16" ht="12.75" x14ac:dyDescent="0.35">
      <c r="A4174" s="7">
        <v>42482.864687499998</v>
      </c>
      <c r="B4174" s="8" t="str">
        <f t="shared" si="363"/>
        <v>@VWBeetleSales</v>
      </c>
      <c r="C4174" s="9" t="s">
        <v>127</v>
      </c>
      <c r="D4174" s="9" t="s">
        <v>9870</v>
      </c>
      <c r="E4174" s="10" t="str">
        <f>HYPERLINK("https://twitter.com/VWBeetleSales/status/723530588750123009","723530588750123009")</f>
        <v>723530588750123009</v>
      </c>
      <c r="F4174" s="10" t="s">
        <v>124</v>
      </c>
      <c r="G4174" s="11">
        <v>36</v>
      </c>
      <c r="H4174" s="11">
        <v>32</v>
      </c>
      <c r="I4174" s="11">
        <v>0</v>
      </c>
      <c r="J4174" s="11">
        <v>0</v>
      </c>
      <c r="K4174" s="11" t="s">
        <v>21</v>
      </c>
      <c r="L4174" s="7">
        <v>42427.019756944443</v>
      </c>
      <c r="M4174" s="12" t="s">
        <v>129</v>
      </c>
      <c r="N4174" s="12" t="s">
        <v>130</v>
      </c>
      <c r="O4174" s="10" t="str">
        <f t="shared" si="364"/>
        <v>View</v>
      </c>
      <c r="P4174" s="11"/>
    </row>
    <row r="4175" spans="1:16" ht="12.75" x14ac:dyDescent="0.35">
      <c r="A4175" s="7">
        <v>42482.864745370374</v>
      </c>
      <c r="B4175" s="8" t="str">
        <f>HYPERLINK("https://twitter.com/FoinB","@FoinB")</f>
        <v>@FoinB</v>
      </c>
      <c r="C4175" s="9" t="s">
        <v>9871</v>
      </c>
      <c r="D4175" s="9" t="s">
        <v>9872</v>
      </c>
      <c r="E4175" s="10" t="str">
        <f>HYPERLINK("https://twitter.com/FoinB/status/723530608727740416","723530608727740416")</f>
        <v>723530608727740416</v>
      </c>
      <c r="F4175" s="11" t="s">
        <v>43</v>
      </c>
      <c r="G4175" s="11">
        <v>304</v>
      </c>
      <c r="H4175" s="11">
        <v>180</v>
      </c>
      <c r="I4175" s="11">
        <v>1</v>
      </c>
      <c r="J4175" s="11">
        <v>0</v>
      </c>
      <c r="K4175" s="11" t="s">
        <v>21</v>
      </c>
      <c r="L4175" s="7">
        <v>40340.968171296292</v>
      </c>
      <c r="M4175" s="12" t="s">
        <v>9873</v>
      </c>
      <c r="N4175" s="12" t="s">
        <v>9874</v>
      </c>
      <c r="O4175" s="10" t="str">
        <f>HYPERLINK("https://pbs.twimg.com/profile_images/710217573212618752/KutLThQ9_normal.jpg","View")</f>
        <v>View</v>
      </c>
      <c r="P4175" s="11"/>
    </row>
    <row r="4176" spans="1:16" ht="12.75" x14ac:dyDescent="0.35">
      <c r="A4176" s="7">
        <v>42482.865300925929</v>
      </c>
      <c r="B4176" s="8" t="str">
        <f>HYPERLINK("https://twitter.com/DL1EEC","@DL1EEC")</f>
        <v>@DL1EEC</v>
      </c>
      <c r="C4176" s="9" t="s">
        <v>9875</v>
      </c>
      <c r="D4176" s="9" t="s">
        <v>9876</v>
      </c>
      <c r="E4176" s="10" t="str">
        <f>HYPERLINK("https://twitter.com/DL1EEC/status/723530810410840064","723530810410840064")</f>
        <v>723530810410840064</v>
      </c>
      <c r="F4176" s="11" t="s">
        <v>43</v>
      </c>
      <c r="G4176" s="11">
        <v>11</v>
      </c>
      <c r="H4176" s="11">
        <v>0</v>
      </c>
      <c r="I4176" s="11">
        <v>0</v>
      </c>
      <c r="J4176" s="11">
        <v>0</v>
      </c>
      <c r="K4176" s="11" t="s">
        <v>21</v>
      </c>
      <c r="L4176" s="7">
        <v>40517.618263888886</v>
      </c>
      <c r="M4176" s="12" t="s">
        <v>9877</v>
      </c>
      <c r="N4176" s="12" t="s">
        <v>9878</v>
      </c>
      <c r="O4176" s="10" t="str">
        <f>HYPERLINK("https://pbs.twimg.com/profile_images/3003801226/4d9ec35024d9767aea0cb92a8609ca75_normal.jpeg","View")</f>
        <v>View</v>
      </c>
      <c r="P4176" s="11"/>
    </row>
    <row r="4177" spans="1:16" ht="12.75" x14ac:dyDescent="0.35">
      <c r="A4177" s="7">
        <v>42482.865671296298</v>
      </c>
      <c r="B4177" s="8" t="str">
        <f>HYPERLINK("https://twitter.com/ReadingVW","@ReadingVW")</f>
        <v>@ReadingVW</v>
      </c>
      <c r="C4177" s="9" t="s">
        <v>9879</v>
      </c>
      <c r="D4177" s="9" t="s">
        <v>9880</v>
      </c>
      <c r="E4177" s="10" t="str">
        <f>HYPERLINK("https://twitter.com/ReadingVW/status/723530946260160512","723530946260160512")</f>
        <v>723530946260160512</v>
      </c>
      <c r="F4177" s="11" t="s">
        <v>3871</v>
      </c>
      <c r="G4177" s="11">
        <v>149</v>
      </c>
      <c r="H4177" s="11">
        <v>50</v>
      </c>
      <c r="I4177" s="11">
        <v>0</v>
      </c>
      <c r="J4177" s="11">
        <v>0</v>
      </c>
      <c r="K4177" s="11" t="s">
        <v>21</v>
      </c>
      <c r="L4177" s="7">
        <v>41152.001122685186</v>
      </c>
      <c r="M4177" s="12" t="s">
        <v>9881</v>
      </c>
      <c r="N4177" s="12" t="s">
        <v>9882</v>
      </c>
      <c r="O4177" s="10" t="str">
        <f>HYPERLINK("https://pbs.twimg.com/profile_images/689577747375616000/WOgspudL_normal.png","View")</f>
        <v>View</v>
      </c>
      <c r="P4177" s="11"/>
    </row>
    <row r="4178" spans="1:16" ht="12.75" x14ac:dyDescent="0.35">
      <c r="A4178" s="7">
        <v>42482.865972222222</v>
      </c>
      <c r="B4178" s="8" t="str">
        <f>HYPERLINK("https://twitter.com/nettechnews","@nettechnews")</f>
        <v>@nettechnews</v>
      </c>
      <c r="C4178" s="9" t="s">
        <v>9883</v>
      </c>
      <c r="D4178" s="9" t="s">
        <v>9884</v>
      </c>
      <c r="E4178" s="10" t="str">
        <f>HYPERLINK("https://twitter.com/nettechnews/status/723531055110606848","723531055110606848")</f>
        <v>723531055110606848</v>
      </c>
      <c r="F4178" s="10" t="s">
        <v>124</v>
      </c>
      <c r="G4178" s="11">
        <v>8478</v>
      </c>
      <c r="H4178" s="11">
        <v>2</v>
      </c>
      <c r="I4178" s="11">
        <v>0</v>
      </c>
      <c r="J4178" s="11">
        <v>0</v>
      </c>
      <c r="K4178" s="11" t="s">
        <v>21</v>
      </c>
      <c r="L4178" s="7">
        <v>40331.180810185186</v>
      </c>
      <c r="M4178" s="12" t="s">
        <v>1827</v>
      </c>
      <c r="N4178" s="12" t="s">
        <v>9885</v>
      </c>
      <c r="O4178" s="10" t="str">
        <f>HYPERLINK("https://pbs.twimg.com/profile_images/1121140623/nettechnews_logo_normal.png","View")</f>
        <v>View</v>
      </c>
      <c r="P4178" s="11"/>
    </row>
    <row r="4179" spans="1:16" ht="12.75" x14ac:dyDescent="0.35">
      <c r="A4179" s="7">
        <v>42482.866006944445</v>
      </c>
      <c r="B4179" s="8" t="str">
        <f>HYPERLINK("https://twitter.com/Fat4y","@Fat4y")</f>
        <v>@Fat4y</v>
      </c>
      <c r="C4179" s="9" t="s">
        <v>3221</v>
      </c>
      <c r="D4179" s="9" t="s">
        <v>9886</v>
      </c>
      <c r="E4179" s="10" t="str">
        <f>HYPERLINK("https://twitter.com/Fat4y/status/723531064724062208","723531064724062208")</f>
        <v>723531064724062208</v>
      </c>
      <c r="F4179" s="11" t="s">
        <v>68</v>
      </c>
      <c r="G4179" s="11">
        <v>232</v>
      </c>
      <c r="H4179" s="11">
        <v>233</v>
      </c>
      <c r="I4179" s="11">
        <v>0</v>
      </c>
      <c r="J4179" s="11">
        <v>0</v>
      </c>
      <c r="K4179" s="11" t="s">
        <v>21</v>
      </c>
      <c r="L4179" s="7">
        <v>41092.757604166669</v>
      </c>
      <c r="M4179" s="12" t="s">
        <v>3223</v>
      </c>
      <c r="N4179" s="12" t="s">
        <v>3224</v>
      </c>
      <c r="O4179" s="10" t="str">
        <f>HYPERLINK("https://pbs.twimg.com/profile_images/701348099290218496/iXTmp1jH_normal.jpg","View")</f>
        <v>View</v>
      </c>
      <c r="P4179" s="11"/>
    </row>
    <row r="4180" spans="1:16" ht="12.75" x14ac:dyDescent="0.35">
      <c r="A4180" s="7">
        <v>42482.86613425926</v>
      </c>
      <c r="B4180" s="8" t="str">
        <f>HYPERLINK("https://twitter.com/johnmonkuk","@johnmonkuk")</f>
        <v>@johnmonkuk</v>
      </c>
      <c r="C4180" s="9" t="s">
        <v>9887</v>
      </c>
      <c r="D4180" s="9" t="s">
        <v>9888</v>
      </c>
      <c r="E4180" s="10" t="str">
        <f>HYPERLINK("https://twitter.com/johnmonkuk/status/723531110739750913","723531110739750913")</f>
        <v>723531110739750913</v>
      </c>
      <c r="F4180" s="11" t="s">
        <v>43</v>
      </c>
      <c r="G4180" s="11">
        <v>35</v>
      </c>
      <c r="H4180" s="11">
        <v>127</v>
      </c>
      <c r="I4180" s="11">
        <v>0</v>
      </c>
      <c r="J4180" s="11">
        <v>0</v>
      </c>
      <c r="K4180" s="11" t="s">
        <v>21</v>
      </c>
      <c r="L4180" s="7">
        <v>40834.678726851853</v>
      </c>
      <c r="M4180" s="12" t="s">
        <v>1072</v>
      </c>
      <c r="N4180" s="12" t="s">
        <v>9889</v>
      </c>
      <c r="O4180" s="10" t="str">
        <f>HYPERLINK("https://pbs.twimg.com/profile_images/723247339616518144/JSPwIycM_normal.jpg","View")</f>
        <v>View</v>
      </c>
      <c r="P4180" s="11"/>
    </row>
    <row r="4181" spans="1:16" ht="12.75" x14ac:dyDescent="0.35">
      <c r="A4181" s="7">
        <v>42482.866562499999</v>
      </c>
      <c r="B4181" s="8" t="str">
        <f>HYPERLINK("https://twitter.com/2016XL","@2016XL")</f>
        <v>@2016XL</v>
      </c>
      <c r="C4181" s="9" t="s">
        <v>9890</v>
      </c>
      <c r="D4181" s="9" t="s">
        <v>9694</v>
      </c>
      <c r="E4181" s="10" t="str">
        <f>HYPERLINK("https://twitter.com/2016XL/status/723531268126810113","723531268126810113")</f>
        <v>723531268126810113</v>
      </c>
      <c r="F4181" s="11" t="s">
        <v>63</v>
      </c>
      <c r="G4181" s="11">
        <v>1240</v>
      </c>
      <c r="H4181" s="11">
        <v>2165</v>
      </c>
      <c r="I4181" s="11">
        <v>6</v>
      </c>
      <c r="J4181" s="11">
        <v>0</v>
      </c>
      <c r="K4181" s="11" t="s">
        <v>21</v>
      </c>
      <c r="L4181" s="7">
        <v>40911.125972222224</v>
      </c>
      <c r="M4181" s="12" t="s">
        <v>9891</v>
      </c>
      <c r="N4181" s="12"/>
      <c r="O4181" s="10" t="str">
        <f>HYPERLINK("https://pbs.twimg.com/profile_images/1834065816/2013Fblackline_normal.jpg","View")</f>
        <v>View</v>
      </c>
      <c r="P4181" s="11"/>
    </row>
    <row r="4182" spans="1:16" ht="12.75" x14ac:dyDescent="0.35">
      <c r="A4182" s="7">
        <v>42482.866643518515</v>
      </c>
      <c r="B4182" s="8" t="str">
        <f>HYPERLINK("https://twitter.com/SelwynENT","@SelwynENT")</f>
        <v>@SelwynENT</v>
      </c>
      <c r="C4182" s="9" t="s">
        <v>9892</v>
      </c>
      <c r="D4182" s="9" t="s">
        <v>9893</v>
      </c>
      <c r="E4182" s="10" t="str">
        <f>HYPERLINK("https://twitter.com/SelwynENT/status/723531297805602816","723531297805602816")</f>
        <v>723531297805602816</v>
      </c>
      <c r="F4182" s="11" t="s">
        <v>48</v>
      </c>
      <c r="G4182" s="11">
        <v>838</v>
      </c>
      <c r="H4182" s="11">
        <v>1997</v>
      </c>
      <c r="I4182" s="11">
        <v>0</v>
      </c>
      <c r="J4182" s="11">
        <v>0</v>
      </c>
      <c r="K4182" s="11" t="s">
        <v>21</v>
      </c>
      <c r="L4182" s="7">
        <v>40011.338807870372</v>
      </c>
      <c r="M4182" s="12" t="s">
        <v>3537</v>
      </c>
      <c r="N4182" s="12" t="s">
        <v>9894</v>
      </c>
      <c r="O4182" s="10" t="str">
        <f>HYPERLINK("https://pbs.twimg.com/profile_images/2394044965/16gzbk08pknwhxh8sakl_normal.jpeg","View")</f>
        <v>View</v>
      </c>
      <c r="P4182" s="11"/>
    </row>
    <row r="4183" spans="1:16" ht="12.75" x14ac:dyDescent="0.35">
      <c r="A4183" s="7">
        <v>42482.866956018523</v>
      </c>
      <c r="B4183" s="8" t="str">
        <f>HYPERLINK("https://twitter.com/Theothebald","@Theothebald")</f>
        <v>@Theothebald</v>
      </c>
      <c r="C4183" s="9" t="s">
        <v>3209</v>
      </c>
      <c r="D4183" s="9" t="s">
        <v>9895</v>
      </c>
      <c r="E4183" s="10" t="str">
        <f>HYPERLINK("https://twitter.com/Theothebald/status/723531411853053952","723531411853053952")</f>
        <v>723531411853053952</v>
      </c>
      <c r="F4183" s="11" t="s">
        <v>20</v>
      </c>
      <c r="G4183" s="11">
        <v>1098</v>
      </c>
      <c r="H4183" s="11">
        <v>804</v>
      </c>
      <c r="I4183" s="11">
        <v>0</v>
      </c>
      <c r="J4183" s="11">
        <v>0</v>
      </c>
      <c r="K4183" s="11" t="s">
        <v>21</v>
      </c>
      <c r="L4183" s="7">
        <v>40470.012418981481</v>
      </c>
      <c r="M4183" s="12" t="s">
        <v>638</v>
      </c>
      <c r="N4183" s="12" t="s">
        <v>3211</v>
      </c>
      <c r="O4183" s="10" t="str">
        <f>HYPERLINK("https://pbs.twimg.com/profile_images/2592181176/udsjv0fy0o3b2krnx52h_normal.jpeg","View")</f>
        <v>View</v>
      </c>
      <c r="P4183" s="11"/>
    </row>
    <row r="4184" spans="1:16" ht="12.75" x14ac:dyDescent="0.35">
      <c r="A4184" s="7">
        <v>42482.867013888885</v>
      </c>
      <c r="B4184" s="8" t="str">
        <f>HYPERLINK("https://twitter.com/ameriporean","@ameriporean")</f>
        <v>@ameriporean</v>
      </c>
      <c r="C4184" s="9" t="s">
        <v>9896</v>
      </c>
      <c r="D4184" s="9" t="s">
        <v>9897</v>
      </c>
      <c r="E4184" s="10" t="str">
        <f>HYPERLINK("https://twitter.com/ameriporean/status/723531430807101440","723531430807101440")</f>
        <v>723531430807101440</v>
      </c>
      <c r="F4184" s="11" t="s">
        <v>53</v>
      </c>
      <c r="G4184" s="11">
        <v>1049</v>
      </c>
      <c r="H4184" s="11">
        <v>1918</v>
      </c>
      <c r="I4184" s="11">
        <v>0</v>
      </c>
      <c r="J4184" s="11">
        <v>0</v>
      </c>
      <c r="K4184" s="11" t="s">
        <v>21</v>
      </c>
      <c r="L4184" s="7">
        <v>41283.598020833335</v>
      </c>
      <c r="M4184" s="12" t="s">
        <v>9898</v>
      </c>
      <c r="N4184" s="12" t="s">
        <v>9899</v>
      </c>
      <c r="O4184" s="10" t="str">
        <f>HYPERLINK("https://pbs.twimg.com/profile_images/705587805116833794/e8ULE3CK_normal.jpg","View")</f>
        <v>View</v>
      </c>
      <c r="P4184" s="11"/>
    </row>
    <row r="4185" spans="1:16" ht="12.75" x14ac:dyDescent="0.35">
      <c r="A4185" s="7">
        <v>42482.867048611108</v>
      </c>
      <c r="B4185" s="8" t="str">
        <f>HYPERLINK("https://twitter.com/TractatusArtium","@TractatusArtium")</f>
        <v>@TractatusArtium</v>
      </c>
      <c r="C4185" s="9" t="s">
        <v>6616</v>
      </c>
      <c r="D4185" s="9" t="s">
        <v>9900</v>
      </c>
      <c r="E4185" s="10" t="str">
        <f>HYPERLINK("https://twitter.com/TractatusArtium/status/723531445214535681","723531445214535681")</f>
        <v>723531445214535681</v>
      </c>
      <c r="F4185" s="11" t="s">
        <v>367</v>
      </c>
      <c r="G4185" s="11">
        <v>328</v>
      </c>
      <c r="H4185" s="11">
        <v>741</v>
      </c>
      <c r="I4185" s="11">
        <v>0</v>
      </c>
      <c r="J4185" s="11">
        <v>0</v>
      </c>
      <c r="K4185" s="11" t="s">
        <v>21</v>
      </c>
      <c r="L4185" s="7">
        <v>40738.595393518517</v>
      </c>
      <c r="M4185" s="12" t="s">
        <v>6618</v>
      </c>
      <c r="N4185" s="12" t="s">
        <v>6619</v>
      </c>
      <c r="O4185" s="10" t="str">
        <f>HYPERLINK("https://pbs.twimg.com/profile_images/2133628020/Bild_MH_normal.JPG","View")</f>
        <v>View</v>
      </c>
      <c r="P4185" s="11"/>
    </row>
    <row r="4186" spans="1:16" ht="12.75" x14ac:dyDescent="0.35">
      <c r="A4186" s="7">
        <v>42482.868101851855</v>
      </c>
      <c r="B4186" s="8" t="str">
        <f>HYPERLINK("https://twitter.com/whosaidwhat_bot","@whosaidwhat_bot")</f>
        <v>@whosaidwhat_bot</v>
      </c>
      <c r="C4186" s="9" t="s">
        <v>9901</v>
      </c>
      <c r="D4186" s="9" t="s">
        <v>9902</v>
      </c>
      <c r="E4186" s="10" t="str">
        <f>HYPERLINK("https://twitter.com/whosaidwhat_bot/status/723531824434188289","723531824434188289")</f>
        <v>723531824434188289</v>
      </c>
      <c r="F4186" s="11" t="s">
        <v>9903</v>
      </c>
      <c r="G4186" s="11">
        <v>12</v>
      </c>
      <c r="H4186" s="11">
        <v>12</v>
      </c>
      <c r="I4186" s="11">
        <v>0</v>
      </c>
      <c r="J4186" s="11">
        <v>0</v>
      </c>
      <c r="K4186" s="11" t="s">
        <v>21</v>
      </c>
      <c r="L4186" s="7">
        <v>41956.701944444445</v>
      </c>
      <c r="M4186" s="12"/>
      <c r="N4186" s="12" t="s">
        <v>9904</v>
      </c>
      <c r="O4186" s="10" t="str">
        <f>HYPERLINK("https://pbs.twimg.com/profile_images/533605838867279872/HTQljkIF_normal.png","View")</f>
        <v>View</v>
      </c>
      <c r="P4186" s="11"/>
    </row>
    <row r="4187" spans="1:16" ht="12.75" x14ac:dyDescent="0.35">
      <c r="A4187" s="7">
        <v>42482.868310185186</v>
      </c>
      <c r="B4187" s="8" t="str">
        <f>HYPERLINK("https://twitter.com/acvwpassion","@acvwpassion")</f>
        <v>@acvwpassion</v>
      </c>
      <c r="C4187" s="9" t="s">
        <v>4671</v>
      </c>
      <c r="D4187" s="9" t="s">
        <v>9905</v>
      </c>
      <c r="E4187" s="10" t="str">
        <f>HYPERLINK("https://twitter.com/acvwpassion/status/723531900573351936","723531900573351936")</f>
        <v>723531900573351936</v>
      </c>
      <c r="F4187" s="11" t="s">
        <v>152</v>
      </c>
      <c r="G4187" s="11">
        <v>241</v>
      </c>
      <c r="H4187" s="11">
        <v>409</v>
      </c>
      <c r="I4187" s="11">
        <v>0</v>
      </c>
      <c r="J4187" s="11">
        <v>0</v>
      </c>
      <c r="K4187" s="11" t="s">
        <v>21</v>
      </c>
      <c r="L4187" s="7">
        <v>41989.101851851854</v>
      </c>
      <c r="M4187" s="12" t="s">
        <v>4673</v>
      </c>
      <c r="N4187" s="12" t="s">
        <v>4674</v>
      </c>
      <c r="O4187" s="10" t="str">
        <f>HYPERLINK("https://pbs.twimg.com/profile_images/545688359964651520/SF3sJ7lv_normal.jpeg","View")</f>
        <v>View</v>
      </c>
      <c r="P4187" s="11"/>
    </row>
    <row r="4188" spans="1:16" ht="12.75" x14ac:dyDescent="0.35">
      <c r="A4188" s="7">
        <v>42482.868321759262</v>
      </c>
      <c r="B4188" s="8" t="str">
        <f>HYPERLINK("https://twitter.com/DirkOHeckmann","@DirkOHeckmann")</f>
        <v>@DirkOHeckmann</v>
      </c>
      <c r="C4188" s="9" t="s">
        <v>9906</v>
      </c>
      <c r="D4188" s="9" t="s">
        <v>9907</v>
      </c>
      <c r="E4188" s="10" t="str">
        <f>HYPERLINK("https://twitter.com/DirkOHeckmann/status/723531907015806976","723531907015806976")</f>
        <v>723531907015806976</v>
      </c>
      <c r="F4188" s="11" t="s">
        <v>20</v>
      </c>
      <c r="G4188" s="11">
        <v>600</v>
      </c>
      <c r="H4188" s="11">
        <v>274</v>
      </c>
      <c r="I4188" s="11">
        <v>0</v>
      </c>
      <c r="J4188" s="11">
        <v>0</v>
      </c>
      <c r="K4188" s="11" t="s">
        <v>21</v>
      </c>
      <c r="L4188" s="7">
        <v>40213.680300925924</v>
      </c>
      <c r="M4188" s="12" t="s">
        <v>9908</v>
      </c>
      <c r="N4188" s="12" t="s">
        <v>9909</v>
      </c>
      <c r="O4188" s="10" t="str">
        <f>HYPERLINK("https://pbs.twimg.com/profile_images/705451161550245889/70Usq_cg_normal.jpg","View")</f>
        <v>View</v>
      </c>
      <c r="P4188" s="11"/>
    </row>
    <row r="4189" spans="1:16" ht="12.75" x14ac:dyDescent="0.35">
      <c r="A4189" s="7">
        <v>42482.868391203709</v>
      </c>
      <c r="B4189" s="8" t="str">
        <f>HYPERLINK("https://twitter.com/angulosiete","@angulosiete")</f>
        <v>@angulosiete</v>
      </c>
      <c r="C4189" s="9" t="s">
        <v>3357</v>
      </c>
      <c r="D4189" s="9" t="s">
        <v>9910</v>
      </c>
      <c r="E4189" s="10" t="str">
        <f>HYPERLINK("https://twitter.com/angulosiete/status/723531929224642560","723531929224642560")</f>
        <v>723531929224642560</v>
      </c>
      <c r="F4189" s="11" t="s">
        <v>152</v>
      </c>
      <c r="G4189" s="11">
        <v>4767</v>
      </c>
      <c r="H4189" s="11">
        <v>262</v>
      </c>
      <c r="I4189" s="11">
        <v>1</v>
      </c>
      <c r="J4189" s="11">
        <v>0</v>
      </c>
      <c r="K4189" s="11" t="s">
        <v>21</v>
      </c>
      <c r="L4189" s="7">
        <v>41374.87777777778</v>
      </c>
      <c r="M4189" s="12" t="s">
        <v>3359</v>
      </c>
      <c r="N4189" s="12" t="s">
        <v>3360</v>
      </c>
      <c r="O4189" s="10" t="str">
        <f>HYPERLINK("https://pbs.twimg.com/profile_images/662021761534332932/p5J2iws__normal.jpg","View")</f>
        <v>View</v>
      </c>
      <c r="P4189" s="11"/>
    </row>
    <row r="4190" spans="1:16" ht="12.75" x14ac:dyDescent="0.35">
      <c r="A4190" s="7">
        <v>42482.868472222224</v>
      </c>
      <c r="B4190" s="8" t="str">
        <f>HYPERLINK("https://twitter.com/annabel_oelmann","@annabel_oelmann")</f>
        <v>@annabel_oelmann</v>
      </c>
      <c r="C4190" s="9" t="s">
        <v>9911</v>
      </c>
      <c r="D4190" s="9" t="s">
        <v>9782</v>
      </c>
      <c r="E4190" s="10" t="str">
        <f>HYPERLINK("https://twitter.com/annabel_oelmann/status/723531961910829057","723531961910829057")</f>
        <v>723531961910829057</v>
      </c>
      <c r="F4190" s="11" t="s">
        <v>91</v>
      </c>
      <c r="G4190" s="11">
        <v>72</v>
      </c>
      <c r="H4190" s="11">
        <v>84</v>
      </c>
      <c r="I4190" s="11">
        <v>4</v>
      </c>
      <c r="J4190" s="11">
        <v>0</v>
      </c>
      <c r="K4190" s="11" t="s">
        <v>21</v>
      </c>
      <c r="L4190" s="7">
        <v>42428.030081018514</v>
      </c>
      <c r="M4190" s="12" t="s">
        <v>9912</v>
      </c>
      <c r="N4190" s="12" t="s">
        <v>9913</v>
      </c>
      <c r="O4190" s="10" t="str">
        <f>HYPERLINK("https://pbs.twimg.com/profile_images/703662889006194690/MKt1CtHx_normal.jpg","View")</f>
        <v>View</v>
      </c>
      <c r="P4190" s="11"/>
    </row>
    <row r="4191" spans="1:16" ht="12.75" x14ac:dyDescent="0.35">
      <c r="A4191" s="7">
        <v>42482.86855324074</v>
      </c>
      <c r="B4191" s="8" t="str">
        <f>HYPERLINK("https://twitter.com/DLFNachrichten","@DLFNachrichten")</f>
        <v>@DLFNachrichten</v>
      </c>
      <c r="C4191" s="9" t="s">
        <v>3369</v>
      </c>
      <c r="D4191" s="9" t="s">
        <v>9914</v>
      </c>
      <c r="E4191" s="10" t="str">
        <f>HYPERLINK("https://twitter.com/DLFNachrichten/status/723531989127704576","723531989127704576")</f>
        <v>723531989127704576</v>
      </c>
      <c r="F4191" s="11" t="s">
        <v>63</v>
      </c>
      <c r="G4191" s="11">
        <v>3176</v>
      </c>
      <c r="H4191" s="11">
        <v>27</v>
      </c>
      <c r="I4191" s="11">
        <v>4</v>
      </c>
      <c r="J4191" s="11">
        <v>1</v>
      </c>
      <c r="K4191" s="11" t="s">
        <v>21</v>
      </c>
      <c r="L4191" s="7">
        <v>42324.81086805556</v>
      </c>
      <c r="M4191" s="12" t="s">
        <v>3371</v>
      </c>
      <c r="N4191" s="12" t="s">
        <v>3372</v>
      </c>
      <c r="O4191" s="10" t="str">
        <f>HYPERLINK("https://pbs.twimg.com/profile_images/669541061711261696/eOfP0YD8_normal.png","View")</f>
        <v>View</v>
      </c>
      <c r="P4191" s="11"/>
    </row>
    <row r="4192" spans="1:16" ht="12.75" x14ac:dyDescent="0.35">
      <c r="A4192" s="7">
        <v>42482.868611111116</v>
      </c>
      <c r="B4192" s="8" t="str">
        <f>HYPERLINK("https://twitter.com/DLF","@DLF")</f>
        <v>@DLF</v>
      </c>
      <c r="C4192" s="9" t="s">
        <v>6072</v>
      </c>
      <c r="D4192" s="9" t="s">
        <v>9915</v>
      </c>
      <c r="E4192" s="10" t="str">
        <f>HYPERLINK("https://twitter.com/DLF/status/723532010728394752","723532010728394752")</f>
        <v>723532010728394752</v>
      </c>
      <c r="F4192" s="11" t="s">
        <v>63</v>
      </c>
      <c r="G4192" s="11">
        <v>89384</v>
      </c>
      <c r="H4192" s="11">
        <v>605</v>
      </c>
      <c r="I4192" s="11">
        <v>4</v>
      </c>
      <c r="J4192" s="11">
        <v>0</v>
      </c>
      <c r="K4192" s="11" t="s">
        <v>21</v>
      </c>
      <c r="L4192" s="7">
        <v>40488.244039351848</v>
      </c>
      <c r="M4192" s="12" t="s">
        <v>1241</v>
      </c>
      <c r="N4192" s="12" t="s">
        <v>6074</v>
      </c>
      <c r="O4192" s="10" t="str">
        <f>HYPERLINK("https://pbs.twimg.com/profile_images/667101948429123584/pzpPHONX_normal.jpg","View")</f>
        <v>View</v>
      </c>
      <c r="P4192" s="11"/>
    </row>
    <row r="4193" spans="1:16" ht="12.75" x14ac:dyDescent="0.35">
      <c r="A4193" s="7">
        <v>42482.86891203704</v>
      </c>
      <c r="B4193" s="8" t="str">
        <f>HYPERLINK("https://twitter.com/derfederkiel","@derfederkiel")</f>
        <v>@derfederkiel</v>
      </c>
      <c r="C4193" s="9" t="s">
        <v>9916</v>
      </c>
      <c r="D4193" s="9" t="s">
        <v>9915</v>
      </c>
      <c r="E4193" s="10" t="str">
        <f>HYPERLINK("https://twitter.com/derfederkiel/status/723532119230820352","723532119230820352")</f>
        <v>723532119230820352</v>
      </c>
      <c r="F4193" s="11" t="s">
        <v>43</v>
      </c>
      <c r="G4193" s="11">
        <v>746</v>
      </c>
      <c r="H4193" s="11">
        <v>1040</v>
      </c>
      <c r="I4193" s="11">
        <v>4</v>
      </c>
      <c r="J4193" s="11">
        <v>0</v>
      </c>
      <c r="K4193" s="11" t="s">
        <v>21</v>
      </c>
      <c r="L4193" s="7">
        <v>42414.769166666665</v>
      </c>
      <c r="M4193" s="12" t="s">
        <v>3918</v>
      </c>
      <c r="N4193" s="12" t="s">
        <v>9917</v>
      </c>
      <c r="O4193" s="10" t="str">
        <f>HYPERLINK("https://pbs.twimg.com/profile_images/720897563575062532/rXsESyqi_normal.jpg","View")</f>
        <v>View</v>
      </c>
      <c r="P4193" s="11"/>
    </row>
    <row r="4194" spans="1:16" ht="12.75" x14ac:dyDescent="0.35">
      <c r="A4194" s="7">
        <v>42482.869050925925</v>
      </c>
      <c r="B4194" s="8" t="str">
        <f>HYPERLINK("https://twitter.com/MorSvinka_83","@MorSvinka_83")</f>
        <v>@MorSvinka_83</v>
      </c>
      <c r="C4194" s="9" t="s">
        <v>9071</v>
      </c>
      <c r="D4194" s="9" t="s">
        <v>9918</v>
      </c>
      <c r="E4194" s="10" t="str">
        <f>HYPERLINK("https://twitter.com/MorSvinka_83/status/723532168530649088","723532168530649088")</f>
        <v>723532168530649088</v>
      </c>
      <c r="F4194" s="11" t="s">
        <v>63</v>
      </c>
      <c r="G4194" s="11">
        <v>81</v>
      </c>
      <c r="H4194" s="11">
        <v>127</v>
      </c>
      <c r="I4194" s="11">
        <v>0</v>
      </c>
      <c r="J4194" s="11">
        <v>0</v>
      </c>
      <c r="K4194" s="11" t="s">
        <v>21</v>
      </c>
      <c r="L4194" s="7">
        <v>40900.763842592591</v>
      </c>
      <c r="M4194" s="12" t="s">
        <v>9073</v>
      </c>
      <c r="N4194" s="12"/>
      <c r="O4194" s="10" t="str">
        <f>HYPERLINK("https://pbs.twimg.com/profile_images/2208847688/Untitled-2_normal.jpg","View")</f>
        <v>View</v>
      </c>
      <c r="P4194" s="11"/>
    </row>
    <row r="4195" spans="1:16" ht="12.75" x14ac:dyDescent="0.35">
      <c r="A4195" s="7">
        <v>42482.86917824074</v>
      </c>
      <c r="B4195" s="8" t="str">
        <f>HYPERLINK("https://twitter.com/Awesome_eu_com","@Awesome_eu_com")</f>
        <v>@Awesome_eu_com</v>
      </c>
      <c r="C4195" s="9" t="s">
        <v>9919</v>
      </c>
      <c r="D4195" s="9" t="s">
        <v>9920</v>
      </c>
      <c r="E4195" s="10" t="str">
        <f>HYPERLINK("https://twitter.com/Awesome_eu_com/status/723532216777760768","723532216777760768")</f>
        <v>723532216777760768</v>
      </c>
      <c r="F4195" s="11" t="s">
        <v>48</v>
      </c>
      <c r="G4195" s="11">
        <v>1061</v>
      </c>
      <c r="H4195" s="11">
        <v>1642</v>
      </c>
      <c r="I4195" s="11">
        <v>0</v>
      </c>
      <c r="J4195" s="11">
        <v>0</v>
      </c>
      <c r="K4195" s="11" t="s">
        <v>21</v>
      </c>
      <c r="L4195" s="7">
        <v>40370.990798611107</v>
      </c>
      <c r="M4195" s="12" t="s">
        <v>9921</v>
      </c>
      <c r="N4195" s="12" t="s">
        <v>9922</v>
      </c>
      <c r="O4195" s="10" t="str">
        <f>HYPERLINK("https://pbs.twimg.com/profile_images/682567064658259968/q3TCimOc_normal.jpg","View")</f>
        <v>View</v>
      </c>
      <c r="P4195" s="11"/>
    </row>
    <row r="4196" spans="1:16" ht="12.75" x14ac:dyDescent="0.35">
      <c r="A4196" s="7">
        <v>42482.869305555556</v>
      </c>
      <c r="B4196" s="8" t="str">
        <f t="shared" ref="B4196:B4198" si="365">HYPERLINK("https://twitter.com/OnlineCarReview","@OnlineCarReview")</f>
        <v>@OnlineCarReview</v>
      </c>
      <c r="C4196" s="9" t="s">
        <v>176</v>
      </c>
      <c r="D4196" s="9" t="s">
        <v>9923</v>
      </c>
      <c r="E4196" s="10" t="str">
        <f>HYPERLINK("https://twitter.com/OnlineCarReview/status/723532263565103105","723532263565103105")</f>
        <v>723532263565103105</v>
      </c>
      <c r="F4196" s="11" t="s">
        <v>34</v>
      </c>
      <c r="G4196" s="11">
        <v>839</v>
      </c>
      <c r="H4196" s="11">
        <v>568</v>
      </c>
      <c r="I4196" s="11">
        <v>0</v>
      </c>
      <c r="J4196" s="11">
        <v>0</v>
      </c>
      <c r="K4196" s="11" t="s">
        <v>21</v>
      </c>
      <c r="L4196" s="7">
        <v>42282.979201388887</v>
      </c>
      <c r="M4196" s="12"/>
      <c r="N4196" s="12" t="s">
        <v>178</v>
      </c>
      <c r="O4196" s="10" t="str">
        <f t="shared" ref="O4196:O4198" si="366">HYPERLINK("https://pbs.twimg.com/profile_images/652871584131092480/QA_B6SBO_normal.jpg","View")</f>
        <v>View</v>
      </c>
      <c r="P4196" s="11"/>
    </row>
    <row r="4197" spans="1:16" ht="12.75" x14ac:dyDescent="0.35">
      <c r="A4197" s="7">
        <v>42482.869317129633</v>
      </c>
      <c r="B4197" s="8" t="str">
        <f t="shared" si="365"/>
        <v>@OnlineCarReview</v>
      </c>
      <c r="C4197" s="9" t="s">
        <v>176</v>
      </c>
      <c r="D4197" s="9" t="s">
        <v>9924</v>
      </c>
      <c r="E4197" s="10" t="str">
        <f>HYPERLINK("https://twitter.com/OnlineCarReview/status/723532264357797888","723532264357797888")</f>
        <v>723532264357797888</v>
      </c>
      <c r="F4197" s="11" t="s">
        <v>34</v>
      </c>
      <c r="G4197" s="11">
        <v>839</v>
      </c>
      <c r="H4197" s="11">
        <v>568</v>
      </c>
      <c r="I4197" s="11">
        <v>0</v>
      </c>
      <c r="J4197" s="11">
        <v>0</v>
      </c>
      <c r="K4197" s="11" t="s">
        <v>21</v>
      </c>
      <c r="L4197" s="7">
        <v>42282.979201388887</v>
      </c>
      <c r="M4197" s="12"/>
      <c r="N4197" s="12" t="s">
        <v>178</v>
      </c>
      <c r="O4197" s="10" t="str">
        <f t="shared" si="366"/>
        <v>View</v>
      </c>
      <c r="P4197" s="11"/>
    </row>
    <row r="4198" spans="1:16" ht="12.75" x14ac:dyDescent="0.35">
      <c r="A4198" s="7">
        <v>42482.869317129633</v>
      </c>
      <c r="B4198" s="8" t="str">
        <f t="shared" si="365"/>
        <v>@OnlineCarReview</v>
      </c>
      <c r="C4198" s="9" t="s">
        <v>176</v>
      </c>
      <c r="D4198" s="9" t="s">
        <v>9925</v>
      </c>
      <c r="E4198" s="10" t="str">
        <f>HYPERLINK("https://twitter.com/OnlineCarReview/status/723532265897127936","723532265897127936")</f>
        <v>723532265897127936</v>
      </c>
      <c r="F4198" s="11" t="s">
        <v>34</v>
      </c>
      <c r="G4198" s="11">
        <v>839</v>
      </c>
      <c r="H4198" s="11">
        <v>568</v>
      </c>
      <c r="I4198" s="11">
        <v>0</v>
      </c>
      <c r="J4198" s="11">
        <v>0</v>
      </c>
      <c r="K4198" s="11" t="s">
        <v>21</v>
      </c>
      <c r="L4198" s="7">
        <v>42282.979201388887</v>
      </c>
      <c r="M4198" s="12"/>
      <c r="N4198" s="12" t="s">
        <v>178</v>
      </c>
      <c r="O4198" s="10" t="str">
        <f t="shared" si="366"/>
        <v>View</v>
      </c>
      <c r="P4198" s="11"/>
    </row>
    <row r="4199" spans="1:16" ht="12.75" x14ac:dyDescent="0.35">
      <c r="A4199" s="7">
        <v>42482.869386574079</v>
      </c>
      <c r="B4199" s="8" t="str">
        <f>HYPERLINK("https://twitter.com/AchillePrick","@AchillePrick")</f>
        <v>@AchillePrick</v>
      </c>
      <c r="C4199" s="9" t="s">
        <v>1213</v>
      </c>
      <c r="D4199" s="9" t="s">
        <v>9926</v>
      </c>
      <c r="E4199" s="10" t="str">
        <f>HYPERLINK("https://twitter.com/AchillePrick/status/723532291146809344","723532291146809344")</f>
        <v>723532291146809344</v>
      </c>
      <c r="F4199" s="11" t="s">
        <v>43</v>
      </c>
      <c r="G4199" s="11">
        <v>230</v>
      </c>
      <c r="H4199" s="11">
        <v>434</v>
      </c>
      <c r="I4199" s="11">
        <v>0</v>
      </c>
      <c r="J4199" s="11">
        <v>0</v>
      </c>
      <c r="K4199" s="11" t="s">
        <v>21</v>
      </c>
      <c r="L4199" s="7">
        <v>40014.013298611113</v>
      </c>
      <c r="M4199" s="12" t="s">
        <v>1215</v>
      </c>
      <c r="N4199" s="12" t="s">
        <v>1216</v>
      </c>
      <c r="O4199" s="10" t="str">
        <f>HYPERLINK("https://pbs.twimg.com/profile_images/630378503/AchilleNos_normal.jpg","View")</f>
        <v>View</v>
      </c>
      <c r="P4199" s="11"/>
    </row>
    <row r="4200" spans="1:16" ht="12.75" x14ac:dyDescent="0.35">
      <c r="A4200" s="7">
        <v>42482.869895833333</v>
      </c>
      <c r="B4200" s="8" t="str">
        <f>HYPERLINK("https://twitter.com/pueempresarial","@pueempresarial")</f>
        <v>@pueempresarial</v>
      </c>
      <c r="C4200" s="9" t="s">
        <v>9927</v>
      </c>
      <c r="D4200" s="9" t="s">
        <v>9928</v>
      </c>
      <c r="E4200" s="10" t="str">
        <f>HYPERLINK("https://twitter.com/pueempresarial/status/723532475222228995","723532475222228995")</f>
        <v>723532475222228995</v>
      </c>
      <c r="F4200" s="11" t="s">
        <v>43</v>
      </c>
      <c r="G4200" s="11">
        <v>48</v>
      </c>
      <c r="H4200" s="11">
        <v>90</v>
      </c>
      <c r="I4200" s="11">
        <v>1</v>
      </c>
      <c r="J4200" s="11">
        <v>1</v>
      </c>
      <c r="K4200" s="11" t="s">
        <v>21</v>
      </c>
      <c r="L4200" s="7">
        <v>42368.920902777776</v>
      </c>
      <c r="M4200" s="12"/>
      <c r="N4200" s="12"/>
      <c r="O4200" s="10" t="str">
        <f>HYPERLINK("https://pbs.twimg.com/profile_images/682244072648519681/to9TAOYz_normal.png","View")</f>
        <v>View</v>
      </c>
      <c r="P4200" s="11"/>
    </row>
    <row r="4201" spans="1:16" ht="12.75" x14ac:dyDescent="0.35">
      <c r="A4201" s="7">
        <v>42482.870081018518</v>
      </c>
      <c r="B4201" s="8" t="str">
        <f>HYPERLINK("https://twitter.com/doern","@doern")</f>
        <v>@doern</v>
      </c>
      <c r="C4201" s="9" t="s">
        <v>3107</v>
      </c>
      <c r="D4201" s="9" t="s">
        <v>9929</v>
      </c>
      <c r="E4201" s="10" t="str">
        <f>HYPERLINK("https://twitter.com/doern/status/723532543736332289","723532543736332289")</f>
        <v>723532543736332289</v>
      </c>
      <c r="F4201" s="11" t="s">
        <v>20</v>
      </c>
      <c r="G4201" s="11">
        <v>365</v>
      </c>
      <c r="H4201" s="11">
        <v>63</v>
      </c>
      <c r="I4201" s="11">
        <v>0</v>
      </c>
      <c r="J4201" s="11">
        <v>0</v>
      </c>
      <c r="K4201" s="11" t="s">
        <v>21</v>
      </c>
      <c r="L4201" s="7">
        <v>39909.663194444445</v>
      </c>
      <c r="M4201" s="12" t="s">
        <v>262</v>
      </c>
      <c r="N4201" s="12" t="s">
        <v>3109</v>
      </c>
      <c r="O4201" s="10" t="str">
        <f>HYPERLINK("https://pbs.twimg.com/profile_images/657853466384191488/J6vAnfZr_normal.jpg","View")</f>
        <v>View</v>
      </c>
      <c r="P4201" s="11"/>
    </row>
    <row r="4202" spans="1:16" ht="12.75" x14ac:dyDescent="0.35">
      <c r="A4202" s="7">
        <v>42482.870173611111</v>
      </c>
      <c r="B4202" s="8" t="str">
        <f>HYPERLINK("https://twitter.com/Marco_Cerdio","@Marco_Cerdio")</f>
        <v>@Marco_Cerdio</v>
      </c>
      <c r="C4202" s="9" t="s">
        <v>9930</v>
      </c>
      <c r="D4202" s="9" t="s">
        <v>9931</v>
      </c>
      <c r="E4202" s="10" t="str">
        <f>HYPERLINK("https://twitter.com/Marco_Cerdio/status/723532578624401410","723532578624401410")</f>
        <v>723532578624401410</v>
      </c>
      <c r="F4202" s="11" t="s">
        <v>48</v>
      </c>
      <c r="G4202" s="11">
        <v>2725</v>
      </c>
      <c r="H4202" s="11">
        <v>3135</v>
      </c>
      <c r="I4202" s="11">
        <v>1</v>
      </c>
      <c r="J4202" s="11">
        <v>0</v>
      </c>
      <c r="K4202" s="11" t="s">
        <v>21</v>
      </c>
      <c r="L4202" s="7">
        <v>40665.180034722223</v>
      </c>
      <c r="M4202" s="12" t="s">
        <v>462</v>
      </c>
      <c r="N4202" s="12" t="s">
        <v>9932</v>
      </c>
      <c r="O4202" s="10" t="str">
        <f>HYPERLINK("https://pbs.twimg.com/profile_images/608480950586974208/EDoKsKQD_normal.jpg","View")</f>
        <v>View</v>
      </c>
      <c r="P4202" s="11"/>
    </row>
    <row r="4203" spans="1:16" ht="12.75" x14ac:dyDescent="0.35">
      <c r="A4203" s="7">
        <v>42482.870196759264</v>
      </c>
      <c r="B4203" s="8" t="str">
        <f>HYPERLINK("https://twitter.com/Zelig880","@Zelig880")</f>
        <v>@Zelig880</v>
      </c>
      <c r="C4203" s="9" t="s">
        <v>9933</v>
      </c>
      <c r="D4203" s="9" t="s">
        <v>9934</v>
      </c>
      <c r="E4203" s="10" t="str">
        <f>HYPERLINK("https://twitter.com/Zelig880/status/723532584723058688","723532584723058688")</f>
        <v>723532584723058688</v>
      </c>
      <c r="F4203" s="11" t="s">
        <v>80</v>
      </c>
      <c r="G4203" s="11">
        <v>588</v>
      </c>
      <c r="H4203" s="11">
        <v>552</v>
      </c>
      <c r="I4203" s="11">
        <v>0</v>
      </c>
      <c r="J4203" s="11">
        <v>0</v>
      </c>
      <c r="K4203" s="11" t="s">
        <v>21</v>
      </c>
      <c r="L4203" s="7">
        <v>41589.832025462965</v>
      </c>
      <c r="M4203" s="12" t="s">
        <v>9935</v>
      </c>
      <c r="N4203" s="12" t="s">
        <v>9936</v>
      </c>
      <c r="O4203" s="10" t="str">
        <f>HYPERLINK("https://pbs.twimg.com/profile_images/626523209362505732/2WvtemRs_normal.jpg","View")</f>
        <v>View</v>
      </c>
      <c r="P4203" s="11"/>
    </row>
    <row r="4204" spans="1:16" ht="12.75" x14ac:dyDescent="0.35">
      <c r="A4204" s="7">
        <v>42482.870312500003</v>
      </c>
      <c r="B4204" s="8" t="str">
        <f>HYPERLINK("https://twitter.com/Fotobiene","@Fotobiene")</f>
        <v>@Fotobiene</v>
      </c>
      <c r="C4204" s="9" t="s">
        <v>2977</v>
      </c>
      <c r="D4204" s="9" t="s">
        <v>9915</v>
      </c>
      <c r="E4204" s="10" t="str">
        <f>HYPERLINK("https://twitter.com/Fotobiene/status/723532626888409089","723532626888409089")</f>
        <v>723532626888409089</v>
      </c>
      <c r="F4204" s="11" t="s">
        <v>160</v>
      </c>
      <c r="G4204" s="11">
        <v>372</v>
      </c>
      <c r="H4204" s="11">
        <v>589</v>
      </c>
      <c r="I4204" s="11">
        <v>4</v>
      </c>
      <c r="J4204" s="11">
        <v>0</v>
      </c>
      <c r="K4204" s="11" t="s">
        <v>21</v>
      </c>
      <c r="L4204" s="7">
        <v>40363.94840277778</v>
      </c>
      <c r="M4204" s="12" t="s">
        <v>1116</v>
      </c>
      <c r="N4204" s="12" t="s">
        <v>2978</v>
      </c>
      <c r="O4204" s="10" t="str">
        <f>HYPERLINK("https://pbs.twimg.com/profile_images/476894592051056640/bqGCxWkq_normal.jpeg","View")</f>
        <v>View</v>
      </c>
      <c r="P4204" s="11"/>
    </row>
    <row r="4205" spans="1:16" ht="12.75" x14ac:dyDescent="0.35">
      <c r="A4205" s="7">
        <v>42482.870324074072</v>
      </c>
      <c r="B4205" s="8" t="str">
        <f>HYPERLINK("https://twitter.com/amsonline","@amsonline")</f>
        <v>@amsonline</v>
      </c>
      <c r="C4205" s="9" t="s">
        <v>5268</v>
      </c>
      <c r="D4205" s="9" t="s">
        <v>9937</v>
      </c>
      <c r="E4205" s="10" t="str">
        <f>HYPERLINK("https://twitter.com/amsonline/status/723532630617104385","723532630617104385")</f>
        <v>723532630617104385</v>
      </c>
      <c r="F4205" s="11" t="s">
        <v>63</v>
      </c>
      <c r="G4205" s="11">
        <v>11854</v>
      </c>
      <c r="H4205" s="11">
        <v>239</v>
      </c>
      <c r="I4205" s="11">
        <v>0</v>
      </c>
      <c r="J4205" s="11">
        <v>0</v>
      </c>
      <c r="K4205" s="11" t="s">
        <v>21</v>
      </c>
      <c r="L4205" s="7">
        <v>39842.782326388886</v>
      </c>
      <c r="M4205" s="12" t="s">
        <v>5270</v>
      </c>
      <c r="N4205" s="12" t="s">
        <v>5271</v>
      </c>
      <c r="O4205" s="10" t="str">
        <f>HYPERLINK("https://pbs.twimg.com/profile_images/458901987019333632/7FGKPDVB_normal.png","View")</f>
        <v>View</v>
      </c>
      <c r="P4205" s="11"/>
    </row>
    <row r="4206" spans="1:16" ht="12.75" x14ac:dyDescent="0.35">
      <c r="A4206" s="7">
        <v>42482.870416666672</v>
      </c>
      <c r="B4206" s="8" t="str">
        <f>HYPERLINK("https://twitter.com/TwittingThom","@TwittingThom")</f>
        <v>@TwittingThom</v>
      </c>
      <c r="C4206" s="9" t="s">
        <v>9587</v>
      </c>
      <c r="D4206" s="9" t="s">
        <v>4290</v>
      </c>
      <c r="E4206" s="10" t="str">
        <f>HYPERLINK("https://twitter.com/TwittingThom/status/723532665417293825","723532665417293825")</f>
        <v>723532665417293825</v>
      </c>
      <c r="F4206" s="11" t="s">
        <v>160</v>
      </c>
      <c r="G4206" s="11">
        <v>1666</v>
      </c>
      <c r="H4206" s="11">
        <v>980</v>
      </c>
      <c r="I4206" s="11">
        <v>6</v>
      </c>
      <c r="J4206" s="11">
        <v>0</v>
      </c>
      <c r="K4206" s="11" t="s">
        <v>21</v>
      </c>
      <c r="L4206" s="7">
        <v>40454.635277777779</v>
      </c>
      <c r="M4206" s="12" t="s">
        <v>9589</v>
      </c>
      <c r="N4206" s="12" t="s">
        <v>9590</v>
      </c>
      <c r="O4206" s="10" t="str">
        <f>HYPERLINK("https://pbs.twimg.com/profile_images/378800000609525841/bf683b759226dba86e05743861714a83_normal.jpeg","View")</f>
        <v>View</v>
      </c>
      <c r="P4206" s="11"/>
    </row>
    <row r="4207" spans="1:16" ht="12.75" x14ac:dyDescent="0.35">
      <c r="A4207" s="7">
        <v>42482.870532407411</v>
      </c>
      <c r="B4207" s="8" t="str">
        <f>HYPERLINK("https://twitter.com/Patentingenieur","@Patentingenieur")</f>
        <v>@Patentingenieur</v>
      </c>
      <c r="C4207" s="9" t="s">
        <v>6582</v>
      </c>
      <c r="D4207" s="9" t="s">
        <v>9938</v>
      </c>
      <c r="E4207" s="10" t="str">
        <f>HYPERLINK("https://twitter.com/Patentingenieur/status/723532705460289537","723532705460289537")</f>
        <v>723532705460289537</v>
      </c>
      <c r="F4207" s="11" t="s">
        <v>43</v>
      </c>
      <c r="G4207" s="11">
        <v>373</v>
      </c>
      <c r="H4207" s="11">
        <v>190</v>
      </c>
      <c r="I4207" s="11">
        <v>0</v>
      </c>
      <c r="J4207" s="11">
        <v>0</v>
      </c>
      <c r="K4207" s="11" t="s">
        <v>21</v>
      </c>
      <c r="L4207" s="7">
        <v>40749.885555555556</v>
      </c>
      <c r="M4207" s="12" t="s">
        <v>2907</v>
      </c>
      <c r="N4207" s="12" t="s">
        <v>6584</v>
      </c>
      <c r="O4207" s="10" t="str">
        <f>HYPERLINK("https://pbs.twimg.com/profile_images/682872326371848192/lky20bTP_normal.jpg","View")</f>
        <v>View</v>
      </c>
      <c r="P4207" s="11"/>
    </row>
    <row r="4208" spans="1:16" ht="12.75" x14ac:dyDescent="0.35">
      <c r="A4208" s="7">
        <v>42482.870694444442</v>
      </c>
      <c r="B4208" s="8" t="str">
        <f>HYPERLINK("https://twitter.com/VeeDubMk1_","@VeeDubMk1_")</f>
        <v>@VeeDubMk1_</v>
      </c>
      <c r="C4208" s="9" t="s">
        <v>185</v>
      </c>
      <c r="D4208" s="9" t="s">
        <v>9939</v>
      </c>
      <c r="E4208" s="10" t="str">
        <f>HYPERLINK("https://twitter.com/VeeDubMk1_/status/723532766445445120","723532766445445120")</f>
        <v>723532766445445120</v>
      </c>
      <c r="F4208" s="11" t="s">
        <v>68</v>
      </c>
      <c r="G4208" s="11">
        <v>547</v>
      </c>
      <c r="H4208" s="11">
        <v>3527</v>
      </c>
      <c r="I4208" s="11">
        <v>0</v>
      </c>
      <c r="J4208" s="11">
        <v>0</v>
      </c>
      <c r="K4208" s="11" t="s">
        <v>21</v>
      </c>
      <c r="L4208" s="7">
        <v>42343.063356481478</v>
      </c>
      <c r="M4208" s="12"/>
      <c r="N4208" s="12"/>
      <c r="O4208" s="10" t="str">
        <f>HYPERLINK("https://pbs.twimg.com/profile_images/672878354127839232/M7OYc-zx_normal.jpg","View")</f>
        <v>View</v>
      </c>
      <c r="P4208" s="11"/>
    </row>
    <row r="4209" spans="1:16" ht="12.75" x14ac:dyDescent="0.35">
      <c r="A4209" s="7">
        <v>42482.870925925927</v>
      </c>
      <c r="B4209" s="8" t="str">
        <f>HYPERLINK("https://twitter.com/VWCamperSales","@VWCamperSales")</f>
        <v>@VWCamperSales</v>
      </c>
      <c r="C4209" s="9" t="s">
        <v>216</v>
      </c>
      <c r="D4209" s="9" t="s">
        <v>9940</v>
      </c>
      <c r="E4209" s="10" t="str">
        <f>HYPERLINK("https://twitter.com/VWCamperSales/status/723532850759229440","723532850759229440")</f>
        <v>723532850759229440</v>
      </c>
      <c r="F4209" s="10" t="s">
        <v>124</v>
      </c>
      <c r="G4209" s="11">
        <v>617</v>
      </c>
      <c r="H4209" s="11">
        <v>580</v>
      </c>
      <c r="I4209" s="11">
        <v>0</v>
      </c>
      <c r="J4209" s="11">
        <v>0</v>
      </c>
      <c r="K4209" s="11" t="s">
        <v>21</v>
      </c>
      <c r="L4209" s="7">
        <v>42215.98809027778</v>
      </c>
      <c r="M4209" s="12" t="s">
        <v>129</v>
      </c>
      <c r="N4209" s="12" t="s">
        <v>218</v>
      </c>
      <c r="O4209" s="10" t="str">
        <f>HYPERLINK("https://pbs.twimg.com/profile_images/627949001179037696/skEBkS05_normal.jpg","View")</f>
        <v>View</v>
      </c>
      <c r="P4209" s="11"/>
    </row>
    <row r="4210" spans="1:16" ht="12.75" x14ac:dyDescent="0.35">
      <c r="A4210" s="7">
        <v>42482.87128472222</v>
      </c>
      <c r="B4210" s="8" t="str">
        <f>HYPERLINK("https://twitter.com/PEREVERE","@PEREVERE")</f>
        <v>@PEREVERE</v>
      </c>
      <c r="C4210" s="9" t="s">
        <v>9941</v>
      </c>
      <c r="D4210" s="9" t="s">
        <v>9942</v>
      </c>
      <c r="E4210" s="10" t="str">
        <f>HYPERLINK("https://twitter.com/PEREVERE/status/723532980015255554","723532980015255554")</f>
        <v>723532980015255554</v>
      </c>
      <c r="F4210" s="11" t="s">
        <v>114</v>
      </c>
      <c r="G4210" s="11">
        <v>392</v>
      </c>
      <c r="H4210" s="11">
        <v>890</v>
      </c>
      <c r="I4210" s="11">
        <v>0</v>
      </c>
      <c r="J4210" s="11">
        <v>0</v>
      </c>
      <c r="K4210" s="11" t="s">
        <v>21</v>
      </c>
      <c r="L4210" s="7">
        <v>40278.889409722222</v>
      </c>
      <c r="M4210" s="12" t="s">
        <v>9943</v>
      </c>
      <c r="N4210" s="12" t="s">
        <v>9944</v>
      </c>
      <c r="O4210" s="10" t="str">
        <f>HYPERLINK("https://pbs.twimg.com/profile_images/643587696468824064/xYzX8GUg_normal.jpg","View")</f>
        <v>View</v>
      </c>
      <c r="P4210" s="10" t="str">
        <f>HYPERLINK("http://ctrlq.org/maps/address/#41.40272662,2.02740669","Map")</f>
        <v>Map</v>
      </c>
    </row>
    <row r="4211" spans="1:16" ht="12.75" x14ac:dyDescent="0.35">
      <c r="A4211" s="7">
        <v>42482.871377314819</v>
      </c>
      <c r="B4211" s="8" t="str">
        <f>HYPERLINK("https://twitter.com/ChristophNoack","@ChristophNoack")</f>
        <v>@ChristophNoack</v>
      </c>
      <c r="C4211" s="9" t="s">
        <v>5043</v>
      </c>
      <c r="D4211" s="9" t="s">
        <v>9945</v>
      </c>
      <c r="E4211" s="10" t="str">
        <f>HYPERLINK("https://twitter.com/ChristophNoack/status/723533013649334273","723533013649334273")</f>
        <v>723533013649334273</v>
      </c>
      <c r="F4211" s="11" t="s">
        <v>43</v>
      </c>
      <c r="G4211" s="11">
        <v>394</v>
      </c>
      <c r="H4211" s="11">
        <v>531</v>
      </c>
      <c r="I4211" s="11">
        <v>0</v>
      </c>
      <c r="J4211" s="11">
        <v>1</v>
      </c>
      <c r="K4211" s="11" t="s">
        <v>21</v>
      </c>
      <c r="L4211" s="7">
        <v>41543.323819444442</v>
      </c>
      <c r="M4211" s="12" t="s">
        <v>5045</v>
      </c>
      <c r="N4211" s="12" t="s">
        <v>5046</v>
      </c>
      <c r="O4211" s="10" t="str">
        <f>HYPERLINK("https://pbs.twimg.com/profile_images/614230691044265984/Wocs5ZQz_normal.jpg","View")</f>
        <v>View</v>
      </c>
      <c r="P4211" s="11"/>
    </row>
    <row r="4212" spans="1:16" ht="12.75" x14ac:dyDescent="0.35">
      <c r="A4212" s="7">
        <v>42482.871539351851</v>
      </c>
      <c r="B4212" s="8" t="str">
        <f>HYPERLINK("https://twitter.com/_graciosa","@_graciosa")</f>
        <v>@_graciosa</v>
      </c>
      <c r="C4212" s="9" t="s">
        <v>9821</v>
      </c>
      <c r="D4212" s="9" t="s">
        <v>9915</v>
      </c>
      <c r="E4212" s="10" t="str">
        <f>HYPERLINK("https://twitter.com/_graciosa/status/723533073367859201","723533073367859201")</f>
        <v>723533073367859201</v>
      </c>
      <c r="F4212" s="11" t="s">
        <v>367</v>
      </c>
      <c r="G4212" s="11">
        <v>321</v>
      </c>
      <c r="H4212" s="11">
        <v>252</v>
      </c>
      <c r="I4212" s="11">
        <v>4</v>
      </c>
      <c r="J4212" s="11">
        <v>0</v>
      </c>
      <c r="K4212" s="11" t="s">
        <v>21</v>
      </c>
      <c r="L4212" s="7">
        <v>39912.627465277779</v>
      </c>
      <c r="M4212" s="12" t="s">
        <v>9822</v>
      </c>
      <c r="N4212" s="12" t="s">
        <v>9823</v>
      </c>
      <c r="O4212" s="10" t="str">
        <f>HYPERLINK("https://pbs.twimg.com/profile_images/668417481875300352/ijULvjIQ_normal.jpg","View")</f>
        <v>View</v>
      </c>
      <c r="P4212" s="11"/>
    </row>
    <row r="4213" spans="1:16" ht="12.75" x14ac:dyDescent="0.35">
      <c r="A4213" s="7">
        <v>42482.871678240743</v>
      </c>
      <c r="B4213" s="8" t="str">
        <f>HYPERLINK("https://twitter.com/Deprifrei","@Deprifrei")</f>
        <v>@Deprifrei</v>
      </c>
      <c r="C4213" s="9" t="s">
        <v>9946</v>
      </c>
      <c r="D4213" s="9" t="s">
        <v>9947</v>
      </c>
      <c r="E4213" s="10" t="str">
        <f>HYPERLINK("https://twitter.com/Deprifrei/status/723533123057795078","723533123057795078")</f>
        <v>723533123057795078</v>
      </c>
      <c r="F4213" s="11" t="s">
        <v>2060</v>
      </c>
      <c r="G4213" s="11">
        <v>273</v>
      </c>
      <c r="H4213" s="11">
        <v>552</v>
      </c>
      <c r="I4213" s="11">
        <v>1</v>
      </c>
      <c r="J4213" s="11">
        <v>0</v>
      </c>
      <c r="K4213" s="11" t="s">
        <v>21</v>
      </c>
      <c r="L4213" s="7">
        <v>40741.793113425927</v>
      </c>
      <c r="M4213" s="12" t="s">
        <v>1874</v>
      </c>
      <c r="N4213" s="12" t="s">
        <v>9948</v>
      </c>
      <c r="O4213" s="10" t="str">
        <f>HYPERLINK("https://pbs.twimg.com/profile_images/712357077897842688/UTf-Ylce_normal.jpg","View")</f>
        <v>View</v>
      </c>
      <c r="P4213" s="11"/>
    </row>
    <row r="4214" spans="1:16" ht="12.75" x14ac:dyDescent="0.35">
      <c r="A4214" s="7">
        <v>42482.871886574074</v>
      </c>
      <c r="B4214" s="8" t="str">
        <f>HYPERLINK("https://twitter.com/helder13pach","@helder13pach")</f>
        <v>@helder13pach</v>
      </c>
      <c r="C4214" s="9" t="s">
        <v>9949</v>
      </c>
      <c r="D4214" s="9" t="s">
        <v>8172</v>
      </c>
      <c r="E4214" s="10" t="str">
        <f>HYPERLINK("https://twitter.com/helder13pach/status/723533198651756546","723533198651756546")</f>
        <v>723533198651756546</v>
      </c>
      <c r="F4214" s="11" t="s">
        <v>43</v>
      </c>
      <c r="G4214" s="11">
        <v>78</v>
      </c>
      <c r="H4214" s="11">
        <v>111</v>
      </c>
      <c r="I4214" s="11">
        <v>3</v>
      </c>
      <c r="J4214" s="11">
        <v>0</v>
      </c>
      <c r="K4214" s="11" t="s">
        <v>21</v>
      </c>
      <c r="L4214" s="7">
        <v>40618.08320601852</v>
      </c>
      <c r="M4214" s="12" t="s">
        <v>8514</v>
      </c>
      <c r="N4214" s="12" t="s">
        <v>9950</v>
      </c>
      <c r="O4214" s="10" t="str">
        <f>HYPERLINK("https://pbs.twimg.com/profile_images/694670422856564737/F95Ol6fY_normal.jpg","View")</f>
        <v>View</v>
      </c>
      <c r="P4214" s="11"/>
    </row>
    <row r="4215" spans="1:16" ht="12.75" x14ac:dyDescent="0.35">
      <c r="A4215" s="7">
        <v>42482.872118055559</v>
      </c>
      <c r="B4215" s="8" t="str">
        <f>HYPERLINK("https://twitter.com/Marek_Miller","@Marek_Miller")</f>
        <v>@Marek_Miller</v>
      </c>
      <c r="C4215" s="9" t="s">
        <v>9951</v>
      </c>
      <c r="D4215" s="9" t="s">
        <v>9952</v>
      </c>
      <c r="E4215" s="10" t="str">
        <f>HYPERLINK("https://twitter.com/Marek_Miller/status/723533283120812033","723533283120812033")</f>
        <v>723533283120812033</v>
      </c>
      <c r="F4215" s="11" t="s">
        <v>20</v>
      </c>
      <c r="G4215" s="11">
        <v>1346</v>
      </c>
      <c r="H4215" s="11">
        <v>790</v>
      </c>
      <c r="I4215" s="11">
        <v>0</v>
      </c>
      <c r="J4215" s="11">
        <v>0</v>
      </c>
      <c r="K4215" s="11" t="s">
        <v>21</v>
      </c>
      <c r="L4215" s="7">
        <v>39213.670231481483</v>
      </c>
      <c r="M4215" s="12" t="s">
        <v>9953</v>
      </c>
      <c r="N4215" s="12" t="s">
        <v>9954</v>
      </c>
      <c r="O4215" s="10" t="str">
        <f>HYPERLINK("https://pbs.twimg.com/profile_images/693789742807142400/hHn6G0vl_normal.jpg","View")</f>
        <v>View</v>
      </c>
      <c r="P4215" s="11"/>
    </row>
    <row r="4216" spans="1:16" ht="12.75" x14ac:dyDescent="0.35">
      <c r="A4216" s="7">
        <v>42482.87222222222</v>
      </c>
      <c r="B4216" s="8" t="str">
        <f>HYPERLINK("https://twitter.com/u98","@u98")</f>
        <v>@u98</v>
      </c>
      <c r="C4216" s="9" t="s">
        <v>9955</v>
      </c>
      <c r="D4216" s="9" t="s">
        <v>9956</v>
      </c>
      <c r="E4216" s="10" t="str">
        <f>HYPERLINK("https://twitter.com/u98/status/723533318243934208","723533318243934208")</f>
        <v>723533318243934208</v>
      </c>
      <c r="F4216" s="11" t="s">
        <v>48</v>
      </c>
      <c r="G4216" s="11">
        <v>1555</v>
      </c>
      <c r="H4216" s="11">
        <v>582</v>
      </c>
      <c r="I4216" s="11">
        <v>1</v>
      </c>
      <c r="J4216" s="11">
        <v>3</v>
      </c>
      <c r="K4216" s="11" t="s">
        <v>21</v>
      </c>
      <c r="L4216" s="7">
        <v>40057.825671296298</v>
      </c>
      <c r="M4216" s="12" t="s">
        <v>3658</v>
      </c>
      <c r="N4216" s="12" t="s">
        <v>9957</v>
      </c>
      <c r="O4216" s="10" t="str">
        <f>HYPERLINK("https://pbs.twimg.com/profile_images/718346062797369344/yMfeKd4-_normal.jpg","View")</f>
        <v>View</v>
      </c>
      <c r="P4216" s="11"/>
    </row>
    <row r="4217" spans="1:16" ht="12.75" x14ac:dyDescent="0.35">
      <c r="A4217" s="7">
        <v>42482.872731481482</v>
      </c>
      <c r="B4217" s="8" t="str">
        <f>HYPERLINK("https://twitter.com/angulosiete","@angulosiete")</f>
        <v>@angulosiete</v>
      </c>
      <c r="C4217" s="9" t="s">
        <v>3357</v>
      </c>
      <c r="D4217" s="9" t="s">
        <v>9958</v>
      </c>
      <c r="E4217" s="10" t="str">
        <f>HYPERLINK("https://twitter.com/angulosiete/status/723533505087430656","723533505087430656")</f>
        <v>723533505087430656</v>
      </c>
      <c r="F4217" s="11" t="s">
        <v>48</v>
      </c>
      <c r="G4217" s="11">
        <v>4767</v>
      </c>
      <c r="H4217" s="11">
        <v>262</v>
      </c>
      <c r="I4217" s="11">
        <v>1</v>
      </c>
      <c r="J4217" s="11">
        <v>0</v>
      </c>
      <c r="K4217" s="11" t="s">
        <v>21</v>
      </c>
      <c r="L4217" s="7">
        <v>41374.87777777778</v>
      </c>
      <c r="M4217" s="12" t="s">
        <v>3359</v>
      </c>
      <c r="N4217" s="12" t="s">
        <v>3360</v>
      </c>
      <c r="O4217" s="10" t="str">
        <f>HYPERLINK("https://pbs.twimg.com/profile_images/662021761534332932/p5J2iws__normal.jpg","View")</f>
        <v>View</v>
      </c>
      <c r="P4217" s="11"/>
    </row>
    <row r="4218" spans="1:16" ht="12.75" x14ac:dyDescent="0.35">
      <c r="A4218" s="7">
        <v>42482.872986111106</v>
      </c>
      <c r="B4218" s="8" t="str">
        <f>HYPERLINK("https://twitter.com/RickStrickler","@RickStrickler")</f>
        <v>@RickStrickler</v>
      </c>
      <c r="C4218" s="9" t="s">
        <v>9195</v>
      </c>
      <c r="D4218" s="9" t="s">
        <v>9959</v>
      </c>
      <c r="E4218" s="10" t="str">
        <f>HYPERLINK("https://twitter.com/RickStrickler/status/723533597081260034","723533597081260034")</f>
        <v>723533597081260034</v>
      </c>
      <c r="F4218" s="11" t="s">
        <v>48</v>
      </c>
      <c r="G4218" s="11">
        <v>666</v>
      </c>
      <c r="H4218" s="11">
        <v>2022</v>
      </c>
      <c r="I4218" s="11">
        <v>1</v>
      </c>
      <c r="J4218" s="11">
        <v>0</v>
      </c>
      <c r="K4218" s="11" t="s">
        <v>21</v>
      </c>
      <c r="L4218" s="7">
        <v>40015.897627314815</v>
      </c>
      <c r="M4218" s="12" t="s">
        <v>5419</v>
      </c>
      <c r="N4218" s="12" t="s">
        <v>9197</v>
      </c>
      <c r="O4218" s="10" t="str">
        <f>HYPERLINK("https://pbs.twimg.com/profile_images/324761478/internet_headshot_normal.jpg","View")</f>
        <v>View</v>
      </c>
      <c r="P4218" s="11"/>
    </row>
    <row r="4219" spans="1:16" ht="12.75" x14ac:dyDescent="0.35">
      <c r="A4219" s="7">
        <v>42482.873611111107</v>
      </c>
      <c r="B4219" s="8" t="str">
        <f>HYPERLINK("https://twitter.com/ajkaestner","@ajkaestner")</f>
        <v>@ajkaestner</v>
      </c>
      <c r="C4219" s="9" t="s">
        <v>9960</v>
      </c>
      <c r="D4219" s="9" t="s">
        <v>9961</v>
      </c>
      <c r="E4219" s="10" t="str">
        <f>HYPERLINK("https://twitter.com/ajkaestner/status/723533820616683520","723533820616683520")</f>
        <v>723533820616683520</v>
      </c>
      <c r="F4219" s="11" t="s">
        <v>3721</v>
      </c>
      <c r="G4219" s="11">
        <v>915</v>
      </c>
      <c r="H4219" s="11">
        <v>2139</v>
      </c>
      <c r="I4219" s="11">
        <v>0</v>
      </c>
      <c r="J4219" s="11">
        <v>0</v>
      </c>
      <c r="K4219" s="11" t="s">
        <v>21</v>
      </c>
      <c r="L4219" s="7">
        <v>39914.663287037038</v>
      </c>
      <c r="M4219" s="12" t="s">
        <v>9962</v>
      </c>
      <c r="N4219" s="12" t="s">
        <v>9963</v>
      </c>
      <c r="O4219" s="10" t="str">
        <f>HYPERLINK("https://pbs.twimg.com/profile_images/666032959875518465/txxlY-N2_normal.png","View")</f>
        <v>View</v>
      </c>
      <c r="P4219" s="10" t="str">
        <f>HYPERLINK("http://ctrlq.org/maps/address/#50.9432107,6.8774149","Map")</f>
        <v>Map</v>
      </c>
    </row>
    <row r="4220" spans="1:16" ht="12.75" x14ac:dyDescent="0.35">
      <c r="A4220" s="7">
        <v>42482.873657407406</v>
      </c>
      <c r="B4220" s="8" t="str">
        <f>HYPERLINK("https://twitter.com/Nieuwvliet","@Nieuwvliet")</f>
        <v>@Nieuwvliet</v>
      </c>
      <c r="C4220" s="9" t="s">
        <v>9964</v>
      </c>
      <c r="D4220" s="9" t="s">
        <v>9965</v>
      </c>
      <c r="E4220" s="10" t="str">
        <f>HYPERLINK("https://twitter.com/Nieuwvliet/status/723533838077534208","723533838077534208")</f>
        <v>723533838077534208</v>
      </c>
      <c r="F4220" s="11" t="s">
        <v>20</v>
      </c>
      <c r="G4220" s="11">
        <v>1000</v>
      </c>
      <c r="H4220" s="11">
        <v>4999</v>
      </c>
      <c r="I4220" s="11">
        <v>0</v>
      </c>
      <c r="J4220" s="11">
        <v>0</v>
      </c>
      <c r="K4220" s="11" t="s">
        <v>21</v>
      </c>
      <c r="L4220" s="7">
        <v>39816.099976851852</v>
      </c>
      <c r="M4220" s="12" t="s">
        <v>1832</v>
      </c>
      <c r="N4220" s="12" t="s">
        <v>9966</v>
      </c>
      <c r="O4220" s="10" t="str">
        <f>HYPERLINK("https://pbs.twimg.com/profile_images/1161863027/041110_normal.jpg","View")</f>
        <v>View</v>
      </c>
      <c r="P4220" s="11"/>
    </row>
    <row r="4221" spans="1:16" ht="12.75" x14ac:dyDescent="0.35">
      <c r="A4221" s="7">
        <v>42482.873715277776</v>
      </c>
      <c r="B4221" s="8" t="str">
        <f>HYPERLINK("https://twitter.com/VWBeetleSales","@VWBeetleSales")</f>
        <v>@VWBeetleSales</v>
      </c>
      <c r="C4221" s="9" t="s">
        <v>127</v>
      </c>
      <c r="D4221" s="9" t="s">
        <v>9967</v>
      </c>
      <c r="E4221" s="10" t="str">
        <f>HYPERLINK("https://twitter.com/VWBeetleSales/status/723533861385195520","723533861385195520")</f>
        <v>723533861385195520</v>
      </c>
      <c r="F4221" s="10" t="s">
        <v>124</v>
      </c>
      <c r="G4221" s="11">
        <v>36</v>
      </c>
      <c r="H4221" s="11">
        <v>32</v>
      </c>
      <c r="I4221" s="11">
        <v>0</v>
      </c>
      <c r="J4221" s="11">
        <v>0</v>
      </c>
      <c r="K4221" s="11" t="s">
        <v>21</v>
      </c>
      <c r="L4221" s="7">
        <v>42427.019756944443</v>
      </c>
      <c r="M4221" s="12" t="s">
        <v>129</v>
      </c>
      <c r="N4221" s="12" t="s">
        <v>130</v>
      </c>
      <c r="O4221" s="10" t="str">
        <f>HYPERLINK("https://pbs.twimg.com/profile_images/703294545195307008/qeCvrX86_normal.jpg","View")</f>
        <v>View</v>
      </c>
      <c r="P4221" s="11"/>
    </row>
    <row r="4222" spans="1:16" ht="12.75" x14ac:dyDescent="0.35">
      <c r="A4222" s="7">
        <v>42482.874247685184</v>
      </c>
      <c r="B4222" s="8" t="str">
        <f>HYPERLINK("https://twitter.com/Stony_BS","@Stony_BS")</f>
        <v>@Stony_BS</v>
      </c>
      <c r="C4222" s="9" t="s">
        <v>2680</v>
      </c>
      <c r="D4222" s="9" t="s">
        <v>9968</v>
      </c>
      <c r="E4222" s="10" t="str">
        <f>HYPERLINK("https://twitter.com/Stony_BS/status/723534053941608449","723534053941608449")</f>
        <v>723534053941608449</v>
      </c>
      <c r="F4222" s="11" t="s">
        <v>43</v>
      </c>
      <c r="G4222" s="11">
        <v>36</v>
      </c>
      <c r="H4222" s="11">
        <v>51</v>
      </c>
      <c r="I4222" s="11">
        <v>0</v>
      </c>
      <c r="J4222" s="11">
        <v>0</v>
      </c>
      <c r="K4222" s="11" t="s">
        <v>21</v>
      </c>
      <c r="L4222" s="7">
        <v>41928.806030092594</v>
      </c>
      <c r="M4222" s="12" t="s">
        <v>2682</v>
      </c>
      <c r="N4222" s="12" t="s">
        <v>2683</v>
      </c>
      <c r="O4222" s="10" t="str">
        <f>HYPERLINK("https://pbs.twimg.com/profile_images/668091779313500160/ZepxnJcI_normal.jpg","View")</f>
        <v>View</v>
      </c>
      <c r="P4222" s="11"/>
    </row>
    <row r="4223" spans="1:16" ht="12.75" x14ac:dyDescent="0.35">
      <c r="A4223" s="7">
        <v>42482.874606481477</v>
      </c>
      <c r="B4223" s="8" t="str">
        <f>HYPERLINK("https://twitter.com/interest1959","@interest1959")</f>
        <v>@interest1959</v>
      </c>
      <c r="C4223" s="9" t="s">
        <v>9969</v>
      </c>
      <c r="D4223" s="9" t="s">
        <v>9970</v>
      </c>
      <c r="E4223" s="10" t="str">
        <f>HYPERLINK("https://twitter.com/interest1959/status/723534183490969601","723534183490969601")</f>
        <v>723534183490969601</v>
      </c>
      <c r="F4223" s="11" t="s">
        <v>43</v>
      </c>
      <c r="G4223" s="11">
        <v>2308</v>
      </c>
      <c r="H4223" s="11">
        <v>1998</v>
      </c>
      <c r="I4223" s="11">
        <v>1</v>
      </c>
      <c r="J4223" s="11">
        <v>0</v>
      </c>
      <c r="K4223" s="11" t="s">
        <v>21</v>
      </c>
      <c r="L4223" s="7">
        <v>41890.014664351853</v>
      </c>
      <c r="M4223" s="12" t="s">
        <v>244</v>
      </c>
      <c r="N4223" s="12" t="s">
        <v>9971</v>
      </c>
      <c r="O4223" s="10" t="str">
        <f>HYPERLINK("https://pbs.twimg.com/profile_images/546429883010654208/WQlb3cOj_normal.png","View")</f>
        <v>View</v>
      </c>
      <c r="P4223" s="11"/>
    </row>
    <row r="4224" spans="1:16" ht="12.75" x14ac:dyDescent="0.35">
      <c r="A4224" s="7">
        <v>42482.8746875</v>
      </c>
      <c r="B4224" s="8" t="str">
        <f>HYPERLINK("https://twitter.com/neuegrenzen","@neuegrenzen")</f>
        <v>@neuegrenzen</v>
      </c>
      <c r="C4224" s="9" t="s">
        <v>9972</v>
      </c>
      <c r="D4224" s="9" t="s">
        <v>9973</v>
      </c>
      <c r="E4224" s="10" t="str">
        <f>HYPERLINK("https://twitter.com/neuegrenzen/status/723534210510819329","723534210510819329")</f>
        <v>723534210510819329</v>
      </c>
      <c r="F4224" s="11" t="s">
        <v>48</v>
      </c>
      <c r="G4224" s="11">
        <v>59</v>
      </c>
      <c r="H4224" s="11">
        <v>52</v>
      </c>
      <c r="I4224" s="11">
        <v>0</v>
      </c>
      <c r="J4224" s="11">
        <v>0</v>
      </c>
      <c r="K4224" s="11" t="s">
        <v>21</v>
      </c>
      <c r="L4224" s="7">
        <v>42192.782372685186</v>
      </c>
      <c r="M4224" s="12" t="s">
        <v>9974</v>
      </c>
      <c r="N4224" s="12" t="s">
        <v>9975</v>
      </c>
      <c r="O4224" s="10" t="str">
        <f>HYPERLINK("https://pbs.twimg.com/profile_images/693770459733757952/5dw4PK2Q_normal.jpg","View")</f>
        <v>View</v>
      </c>
      <c r="P4224" s="11"/>
    </row>
    <row r="4225" spans="1:16" ht="12.75" x14ac:dyDescent="0.35">
      <c r="A4225" s="7">
        <v>42482.875081018516</v>
      </c>
      <c r="B4225" s="8" t="str">
        <f>HYPERLINK("https://twitter.com/fraschloenj","@fraschloenj")</f>
        <v>@fraschloenj</v>
      </c>
      <c r="C4225" s="9" t="s">
        <v>9976</v>
      </c>
      <c r="D4225" s="9" t="s">
        <v>9977</v>
      </c>
      <c r="E4225" s="10" t="str">
        <f>HYPERLINK("https://twitter.com/fraschloenj/status/723534355923107840","723534355923107840")</f>
        <v>723534355923107840</v>
      </c>
      <c r="F4225" s="11" t="s">
        <v>48</v>
      </c>
      <c r="G4225" s="11">
        <v>735</v>
      </c>
      <c r="H4225" s="11">
        <v>1198</v>
      </c>
      <c r="I4225" s="11">
        <v>1</v>
      </c>
      <c r="J4225" s="11">
        <v>0</v>
      </c>
      <c r="K4225" s="11" t="s">
        <v>21</v>
      </c>
      <c r="L4225" s="7">
        <v>40931.070393518516</v>
      </c>
      <c r="M4225" s="12"/>
      <c r="N4225" s="12" t="s">
        <v>9978</v>
      </c>
      <c r="O4225" s="10" t="str">
        <f>HYPERLINK("https://pbs.twimg.com/profile_images/1787524653/hart3_normal.JPG","View")</f>
        <v>View</v>
      </c>
      <c r="P4225" s="11"/>
    </row>
    <row r="4226" spans="1:16" ht="12.75" x14ac:dyDescent="0.35">
      <c r="A4226" s="7">
        <v>42482.875219907408</v>
      </c>
      <c r="B4226" s="8" t="str">
        <f>HYPERLINK("https://twitter.com/WesHellyar","@WesHellyar")</f>
        <v>@WesHellyar</v>
      </c>
      <c r="C4226" s="9" t="s">
        <v>2814</v>
      </c>
      <c r="D4226" s="9" t="s">
        <v>9979</v>
      </c>
      <c r="E4226" s="10" t="str">
        <f>HYPERLINK("https://twitter.com/WesHellyar/status/723534404027478016","723534404027478016")</f>
        <v>723534404027478016</v>
      </c>
      <c r="F4226" s="11" t="s">
        <v>63</v>
      </c>
      <c r="G4226" s="11">
        <v>2715</v>
      </c>
      <c r="H4226" s="11">
        <v>1894</v>
      </c>
      <c r="I4226" s="11">
        <v>0</v>
      </c>
      <c r="J4226" s="11">
        <v>0</v>
      </c>
      <c r="K4226" s="11" t="s">
        <v>21</v>
      </c>
      <c r="L4226" s="7">
        <v>39943.908148148148</v>
      </c>
      <c r="M4226" s="12" t="s">
        <v>2816</v>
      </c>
      <c r="N4226" s="12" t="s">
        <v>2817</v>
      </c>
      <c r="O4226" s="10" t="str">
        <f>HYPERLINK("https://pbs.twimg.com/profile_images/651826175686348800/Ayt2FVOc_normal.jpg","View")</f>
        <v>View</v>
      </c>
      <c r="P4226" s="11"/>
    </row>
    <row r="4227" spans="1:16" ht="12.75" x14ac:dyDescent="0.35">
      <c r="A4227" s="7">
        <v>42482.875231481477</v>
      </c>
      <c r="B4227" s="8" t="str">
        <f>HYPERLINK("https://twitter.com/DucatiSalesGuy","@DucatiSalesGuy")</f>
        <v>@DucatiSalesGuy</v>
      </c>
      <c r="C4227" s="9" t="s">
        <v>9980</v>
      </c>
      <c r="D4227" s="9" t="s">
        <v>9981</v>
      </c>
      <c r="E4227" s="10" t="str">
        <f>HYPERLINK("https://twitter.com/DucatiSalesGuy/status/723534408527925248","723534408527925248")</f>
        <v>723534408527925248</v>
      </c>
      <c r="F4227" s="11" t="s">
        <v>48</v>
      </c>
      <c r="G4227" s="11">
        <v>644</v>
      </c>
      <c r="H4227" s="11">
        <v>40</v>
      </c>
      <c r="I4227" s="11">
        <v>0</v>
      </c>
      <c r="J4227" s="11">
        <v>0</v>
      </c>
      <c r="K4227" s="11" t="s">
        <v>21</v>
      </c>
      <c r="L4227" s="7">
        <v>41792.492569444446</v>
      </c>
      <c r="M4227" s="12"/>
      <c r="N4227" s="12"/>
      <c r="O4227" s="10" t="str">
        <f>HYPERLINK("https://pbs.twimg.com/profile_images/522496119750676480/vvFPQyfo_normal.jpeg","View")</f>
        <v>View</v>
      </c>
      <c r="P4227" s="11"/>
    </row>
    <row r="4228" spans="1:16" ht="12.75" x14ac:dyDescent="0.35">
      <c r="A4228" s="7">
        <v>42482.875243055554</v>
      </c>
      <c r="B4228" s="8" t="str">
        <f>HYPERLINK("https://twitter.com/DeMotores","@DeMotores")</f>
        <v>@DeMotores</v>
      </c>
      <c r="C4228" s="9" t="s">
        <v>9982</v>
      </c>
      <c r="D4228" s="9" t="s">
        <v>9983</v>
      </c>
      <c r="E4228" s="10" t="str">
        <f>HYPERLINK("https://twitter.com/DeMotores/status/723534411690594305","723534411690594305")</f>
        <v>723534411690594305</v>
      </c>
      <c r="F4228" s="11" t="s">
        <v>152</v>
      </c>
      <c r="G4228" s="11">
        <v>5412</v>
      </c>
      <c r="H4228" s="11">
        <v>375</v>
      </c>
      <c r="I4228" s="11">
        <v>0</v>
      </c>
      <c r="J4228" s="11">
        <v>0</v>
      </c>
      <c r="K4228" s="11" t="s">
        <v>21</v>
      </c>
      <c r="L4228" s="7">
        <v>39833.043912037036</v>
      </c>
      <c r="M4228" s="12"/>
      <c r="N4228" s="12" t="s">
        <v>9984</v>
      </c>
      <c r="O4228" s="10" t="str">
        <f>HYPERLINK("https://pbs.twimg.com/profile_images/641948806075019264/VfeL3ht-_normal.png","View")</f>
        <v>View</v>
      </c>
      <c r="P4228" s="11"/>
    </row>
    <row r="4229" spans="1:16" ht="12.75" x14ac:dyDescent="0.35">
      <c r="A4229" s="7">
        <v>42482.875277777777</v>
      </c>
      <c r="B4229" s="8" t="str">
        <f>HYPERLINK("https://twitter.com/xpeten","@xpeten")</f>
        <v>@xpeten</v>
      </c>
      <c r="C4229" s="9" t="s">
        <v>3931</v>
      </c>
      <c r="D4229" s="9" t="s">
        <v>9694</v>
      </c>
      <c r="E4229" s="10" t="str">
        <f>HYPERLINK("https://twitter.com/xpeten/status/723534424881651712","723534424881651712")</f>
        <v>723534424881651712</v>
      </c>
      <c r="F4229" s="11" t="s">
        <v>20</v>
      </c>
      <c r="G4229" s="11">
        <v>513</v>
      </c>
      <c r="H4229" s="11">
        <v>945</v>
      </c>
      <c r="I4229" s="11">
        <v>6</v>
      </c>
      <c r="J4229" s="11">
        <v>0</v>
      </c>
      <c r="K4229" s="11" t="s">
        <v>21</v>
      </c>
      <c r="L4229" s="7">
        <v>41710.977939814817</v>
      </c>
      <c r="M4229" s="12" t="s">
        <v>1679</v>
      </c>
      <c r="N4229" s="12" t="s">
        <v>3932</v>
      </c>
      <c r="O4229" s="10" t="str">
        <f>HYPERLINK("https://pbs.twimg.com/profile_images/443812586782355456/0KDnCULg_normal.jpeg","View")</f>
        <v>View</v>
      </c>
      <c r="P4229" s="11"/>
    </row>
    <row r="4230" spans="1:16" ht="12.75" x14ac:dyDescent="0.35">
      <c r="A4230" s="7">
        <v>42482.875393518523</v>
      </c>
      <c r="B4230" s="8" t="str">
        <f>HYPERLINK("https://twitter.com/stefanjoens","@stefanjoens")</f>
        <v>@stefanjoens</v>
      </c>
      <c r="C4230" s="9" t="s">
        <v>9985</v>
      </c>
      <c r="D4230" s="9" t="s">
        <v>9986</v>
      </c>
      <c r="E4230" s="10" t="str">
        <f>HYPERLINK("https://twitter.com/stefanjoens/status/723534467206385665","723534467206385665")</f>
        <v>723534467206385665</v>
      </c>
      <c r="F4230" s="11" t="s">
        <v>48</v>
      </c>
      <c r="G4230" s="11">
        <v>535</v>
      </c>
      <c r="H4230" s="11">
        <v>914</v>
      </c>
      <c r="I4230" s="11">
        <v>1</v>
      </c>
      <c r="J4230" s="11">
        <v>0</v>
      </c>
      <c r="K4230" s="11" t="s">
        <v>21</v>
      </c>
      <c r="L4230" s="7">
        <v>41243.565740740742</v>
      </c>
      <c r="M4230" s="12" t="s">
        <v>9987</v>
      </c>
      <c r="N4230" s="12" t="s">
        <v>9988</v>
      </c>
      <c r="O4230" s="10" t="str">
        <f>HYPERLINK("https://pbs.twimg.com/profile_images/2942776182/a7fc38ab76da1facf9569455f0e5cb85_normal.jpeg","View")</f>
        <v>View</v>
      </c>
      <c r="P4230" s="11"/>
    </row>
    <row r="4231" spans="1:16" ht="12.75" x14ac:dyDescent="0.35">
      <c r="A4231" s="7">
        <v>42482.875740740739</v>
      </c>
      <c r="B4231" s="8" t="str">
        <f>HYPERLINK("https://twitter.com/TdtMedia","@TdtMedia")</f>
        <v>@TdtMedia</v>
      </c>
      <c r="C4231" s="9" t="s">
        <v>9989</v>
      </c>
      <c r="D4231" s="9" t="s">
        <v>9990</v>
      </c>
      <c r="E4231" s="10" t="str">
        <f>HYPERLINK("https://twitter.com/TdtMedia/status/723534593589125122","723534593589125122")</f>
        <v>723534593589125122</v>
      </c>
      <c r="F4231" s="11" t="s">
        <v>288</v>
      </c>
      <c r="G4231" s="11">
        <v>1017</v>
      </c>
      <c r="H4231" s="11">
        <v>1571</v>
      </c>
      <c r="I4231" s="11">
        <v>1</v>
      </c>
      <c r="J4231" s="11">
        <v>0</v>
      </c>
      <c r="K4231" s="11" t="s">
        <v>21</v>
      </c>
      <c r="L4231" s="7">
        <v>40801.84474537037</v>
      </c>
      <c r="M4231" s="12" t="s">
        <v>9991</v>
      </c>
      <c r="N4231" s="12" t="s">
        <v>9992</v>
      </c>
      <c r="O4231" s="10" t="str">
        <f>HYPERLINK("https://pbs.twimg.com/profile_images/591878165796093953/R5Zib4o4_normal.png","View")</f>
        <v>View</v>
      </c>
      <c r="P4231" s="11"/>
    </row>
    <row r="4232" spans="1:16" ht="12.75" x14ac:dyDescent="0.35">
      <c r="A4232" s="7">
        <v>42482.875752314816</v>
      </c>
      <c r="B4232" s="8" t="str">
        <f>HYPERLINK("https://twitter.com/VWCamperSales","@VWCamperSales")</f>
        <v>@VWCamperSales</v>
      </c>
      <c r="C4232" s="9" t="s">
        <v>216</v>
      </c>
      <c r="D4232" s="9" t="s">
        <v>9993</v>
      </c>
      <c r="E4232" s="10" t="str">
        <f>HYPERLINK("https://twitter.com/VWCamperSales/status/723534597447802880","723534597447802880")</f>
        <v>723534597447802880</v>
      </c>
      <c r="F4232" s="10" t="s">
        <v>124</v>
      </c>
      <c r="G4232" s="11">
        <v>618</v>
      </c>
      <c r="H4232" s="11">
        <v>580</v>
      </c>
      <c r="I4232" s="11">
        <v>1</v>
      </c>
      <c r="J4232" s="11">
        <v>1</v>
      </c>
      <c r="K4232" s="11" t="s">
        <v>21</v>
      </c>
      <c r="L4232" s="7">
        <v>42215.98809027778</v>
      </c>
      <c r="M4232" s="12" t="s">
        <v>129</v>
      </c>
      <c r="N4232" s="12" t="s">
        <v>218</v>
      </c>
      <c r="O4232" s="10" t="str">
        <f>HYPERLINK("https://pbs.twimg.com/profile_images/627949001179037696/skEBkS05_normal.jpg","View")</f>
        <v>View</v>
      </c>
      <c r="P4232" s="11"/>
    </row>
    <row r="4233" spans="1:16" ht="12.75" x14ac:dyDescent="0.35">
      <c r="A4233" s="7">
        <v>42482.875856481478</v>
      </c>
      <c r="B4233" s="8" t="str">
        <f>HYPERLINK("https://twitter.com/Stony_BS","@Stony_BS")</f>
        <v>@Stony_BS</v>
      </c>
      <c r="C4233" s="9" t="s">
        <v>2680</v>
      </c>
      <c r="D4233" s="9" t="s">
        <v>9994</v>
      </c>
      <c r="E4233" s="10" t="str">
        <f>HYPERLINK("https://twitter.com/Stony_BS/status/723534636903751685","723534636903751685")</f>
        <v>723534636903751685</v>
      </c>
      <c r="F4233" s="11" t="s">
        <v>43</v>
      </c>
      <c r="G4233" s="11">
        <v>36</v>
      </c>
      <c r="H4233" s="11">
        <v>51</v>
      </c>
      <c r="I4233" s="11">
        <v>0</v>
      </c>
      <c r="J4233" s="11">
        <v>0</v>
      </c>
      <c r="K4233" s="11" t="s">
        <v>21</v>
      </c>
      <c r="L4233" s="7">
        <v>41928.806030092594</v>
      </c>
      <c r="M4233" s="12" t="s">
        <v>2682</v>
      </c>
      <c r="N4233" s="12" t="s">
        <v>2683</v>
      </c>
      <c r="O4233" s="10" t="str">
        <f>HYPERLINK("https://pbs.twimg.com/profile_images/668091779313500160/ZepxnJcI_normal.jpg","View")</f>
        <v>View</v>
      </c>
      <c r="P4233" s="11"/>
    </row>
    <row r="4234" spans="1:16" ht="12.75" x14ac:dyDescent="0.35">
      <c r="A4234" s="7">
        <v>42482.87605324074</v>
      </c>
      <c r="B4234" s="8" t="str">
        <f>HYPERLINK("https://twitter.com/dokape","@dokape")</f>
        <v>@dokape</v>
      </c>
      <c r="C4234" s="9" t="s">
        <v>9995</v>
      </c>
      <c r="D4234" s="9" t="s">
        <v>9996</v>
      </c>
      <c r="E4234" s="10" t="str">
        <f>HYPERLINK("https://twitter.com/dokape/status/723534706965381122","723534706965381122")</f>
        <v>723534706965381122</v>
      </c>
      <c r="F4234" s="11" t="s">
        <v>48</v>
      </c>
      <c r="G4234" s="11">
        <v>369</v>
      </c>
      <c r="H4234" s="11">
        <v>248</v>
      </c>
      <c r="I4234" s="11">
        <v>0</v>
      </c>
      <c r="J4234" s="11">
        <v>1</v>
      </c>
      <c r="K4234" s="11" t="s">
        <v>21</v>
      </c>
      <c r="L4234" s="7">
        <v>39980.895474537036</v>
      </c>
      <c r="M4234" s="12" t="s">
        <v>9997</v>
      </c>
      <c r="N4234" s="12" t="s">
        <v>9998</v>
      </c>
      <c r="O4234" s="10" t="str">
        <f>HYPERLINK("https://pbs.twimg.com/profile_images/378800000057531753/89afe9c8c642c4e21a93bf71fa621667_normal.jpeg","View")</f>
        <v>View</v>
      </c>
      <c r="P4234" s="11"/>
    </row>
    <row r="4235" spans="1:16" ht="12.75" x14ac:dyDescent="0.35">
      <c r="A4235" s="7">
        <v>42482.876238425924</v>
      </c>
      <c r="B4235" s="8" t="str">
        <f>HYPERLINK("https://twitter.com/gfiwg","@gfiwg")</f>
        <v>@gfiwg</v>
      </c>
      <c r="C4235" s="9" t="s">
        <v>9999</v>
      </c>
      <c r="D4235" s="9" t="s">
        <v>9547</v>
      </c>
      <c r="E4235" s="10" t="str">
        <f>HYPERLINK("https://twitter.com/gfiwg/status/723534772811636736","723534772811636736")</f>
        <v>723534772811636736</v>
      </c>
      <c r="F4235" s="11" t="s">
        <v>20</v>
      </c>
      <c r="G4235" s="11">
        <v>108</v>
      </c>
      <c r="H4235" s="11">
        <v>248</v>
      </c>
      <c r="I4235" s="11">
        <v>7</v>
      </c>
      <c r="J4235" s="11">
        <v>0</v>
      </c>
      <c r="K4235" s="11" t="s">
        <v>21</v>
      </c>
      <c r="L4235" s="7">
        <v>41970.646145833336</v>
      </c>
      <c r="M4235" s="12" t="s">
        <v>10000</v>
      </c>
      <c r="N4235" s="12" t="s">
        <v>10001</v>
      </c>
      <c r="O4235" s="10" t="str">
        <f>HYPERLINK("https://pbs.twimg.com/profile_images/631762766697623553/3FrSg6t7_normal.jpg","View")</f>
        <v>View</v>
      </c>
      <c r="P4235" s="11"/>
    </row>
    <row r="4236" spans="1:16" ht="12.75" x14ac:dyDescent="0.35">
      <c r="A4236" s="7">
        <v>42482.876782407402</v>
      </c>
      <c r="B4236" s="8" t="str">
        <f>HYPERLINK("https://twitter.com/hesselmann","@hesselmann")</f>
        <v>@hesselmann</v>
      </c>
      <c r="C4236" s="9" t="s">
        <v>10002</v>
      </c>
      <c r="D4236" s="9" t="s">
        <v>9404</v>
      </c>
      <c r="E4236" s="10" t="str">
        <f>HYPERLINK("https://twitter.com/hesselmann/status/723534972854910978","723534972854910978")</f>
        <v>723534972854910978</v>
      </c>
      <c r="F4236" s="11" t="s">
        <v>43</v>
      </c>
      <c r="G4236" s="11">
        <v>5496</v>
      </c>
      <c r="H4236" s="11">
        <v>2972</v>
      </c>
      <c r="I4236" s="11">
        <v>2</v>
      </c>
      <c r="J4236" s="11">
        <v>0</v>
      </c>
      <c r="K4236" s="11" t="s">
        <v>21</v>
      </c>
      <c r="L4236" s="7">
        <v>41302.85597222222</v>
      </c>
      <c r="M4236" s="12" t="s">
        <v>2907</v>
      </c>
      <c r="N4236" s="12" t="s">
        <v>10003</v>
      </c>
      <c r="O4236" s="10" t="str">
        <f>HYPERLINK("https://pbs.twimg.com/profile_images/655459836432392192/Vf-KTnJZ_normal.jpg","View")</f>
        <v>View</v>
      </c>
      <c r="P4236" s="11"/>
    </row>
    <row r="4237" spans="1:16" ht="12.75" x14ac:dyDescent="0.35">
      <c r="A4237" s="7">
        <v>42482.876805555556</v>
      </c>
      <c r="B4237" s="8" t="str">
        <f>HYPERLINK("https://twitter.com/traumspruch","@traumspruch")</f>
        <v>@traumspruch</v>
      </c>
      <c r="C4237" s="9" t="s">
        <v>10004</v>
      </c>
      <c r="D4237" s="9" t="s">
        <v>9977</v>
      </c>
      <c r="E4237" s="10" t="str">
        <f>HYPERLINK("https://twitter.com/traumspruch/status/723534980081692672","723534980081692672")</f>
        <v>723534980081692672</v>
      </c>
      <c r="F4237" s="11" t="s">
        <v>20</v>
      </c>
      <c r="G4237" s="11">
        <v>495</v>
      </c>
      <c r="H4237" s="11">
        <v>252</v>
      </c>
      <c r="I4237" s="11">
        <v>2</v>
      </c>
      <c r="J4237" s="11">
        <v>0</v>
      </c>
      <c r="K4237" s="11" t="s">
        <v>21</v>
      </c>
      <c r="L4237" s="7">
        <v>40726.664178240739</v>
      </c>
      <c r="M4237" s="12" t="s">
        <v>10005</v>
      </c>
      <c r="N4237" s="12" t="s">
        <v>10006</v>
      </c>
      <c r="O4237" s="10" t="str">
        <f>HYPERLINK("https://pbs.twimg.com/profile_images/1550395425/aya_normal.jpg","View")</f>
        <v>View</v>
      </c>
      <c r="P4237" s="11"/>
    </row>
    <row r="4238" spans="1:16" ht="12.75" x14ac:dyDescent="0.35">
      <c r="A4238" s="7">
        <v>42482.87736111111</v>
      </c>
      <c r="B4238" s="8" t="str">
        <f>HYPERLINK("https://twitter.com/PatrickNordhoff","@PatrickNordhoff")</f>
        <v>@PatrickNordhoff</v>
      </c>
      <c r="C4238" s="9" t="s">
        <v>10007</v>
      </c>
      <c r="D4238" s="9" t="s">
        <v>10008</v>
      </c>
      <c r="E4238" s="10" t="str">
        <f>HYPERLINK("https://twitter.com/PatrickNordhoff/status/723535179705401345","723535179705401345")</f>
        <v>723535179705401345</v>
      </c>
      <c r="F4238" s="11" t="s">
        <v>48</v>
      </c>
      <c r="G4238" s="11">
        <v>547</v>
      </c>
      <c r="H4238" s="11">
        <v>1306</v>
      </c>
      <c r="I4238" s="11">
        <v>1</v>
      </c>
      <c r="J4238" s="11">
        <v>1</v>
      </c>
      <c r="K4238" s="11" t="s">
        <v>21</v>
      </c>
      <c r="L4238" s="7">
        <v>41252.670439814814</v>
      </c>
      <c r="M4238" s="12" t="s">
        <v>10009</v>
      </c>
      <c r="N4238" s="12" t="s">
        <v>10010</v>
      </c>
      <c r="O4238" s="10" t="str">
        <f>HYPERLINK("https://pbs.twimg.com/profile_images/702994065034452993/NLSWGLL1_normal.jpg","View")</f>
        <v>View</v>
      </c>
      <c r="P4238" s="11"/>
    </row>
    <row r="4239" spans="1:16" ht="12.75" x14ac:dyDescent="0.35">
      <c r="A4239" s="7">
        <v>42482.877789351856</v>
      </c>
      <c r="B4239" s="8" t="str">
        <f>HYPERLINK("https://twitter.com/swaroopkaimal","@swaroopkaimal")</f>
        <v>@swaroopkaimal</v>
      </c>
      <c r="C4239" s="9" t="s">
        <v>10011</v>
      </c>
      <c r="D4239" s="9" t="s">
        <v>9547</v>
      </c>
      <c r="E4239" s="10" t="str">
        <f>HYPERLINK("https://twitter.com/swaroopkaimal/status/723535335850807296","723535335850807296")</f>
        <v>723535335850807296</v>
      </c>
      <c r="F4239" s="11" t="s">
        <v>20</v>
      </c>
      <c r="G4239" s="11">
        <v>1055</v>
      </c>
      <c r="H4239" s="11">
        <v>333</v>
      </c>
      <c r="I4239" s="11">
        <v>7</v>
      </c>
      <c r="J4239" s="11">
        <v>0</v>
      </c>
      <c r="K4239" s="11" t="s">
        <v>21</v>
      </c>
      <c r="L4239" s="7">
        <v>40402.526817129634</v>
      </c>
      <c r="M4239" s="12" t="s">
        <v>10012</v>
      </c>
      <c r="N4239" s="12" t="s">
        <v>10013</v>
      </c>
      <c r="O4239" s="10" t="str">
        <f>HYPERLINK("https://pbs.twimg.com/profile_images/704564877705158656/0-DY_ktt_normal.jpg","View")</f>
        <v>View</v>
      </c>
      <c r="P4239" s="11"/>
    </row>
    <row r="4240" spans="1:16" ht="12.75" x14ac:dyDescent="0.35">
      <c r="A4240" s="7">
        <v>42482.877847222218</v>
      </c>
      <c r="B4240" s="8" t="str">
        <f>HYPERLINK("https://twitter.com/BBCBusiness","@BBCBusiness")</f>
        <v>@BBCBusiness</v>
      </c>
      <c r="C4240" s="9" t="s">
        <v>3278</v>
      </c>
      <c r="D4240" s="9" t="s">
        <v>10014</v>
      </c>
      <c r="E4240" s="10" t="str">
        <f>HYPERLINK("https://twitter.com/BBCBusiness/status/723535356566601728","723535356566601728")</f>
        <v>723535356566601728</v>
      </c>
      <c r="F4240" s="11" t="s">
        <v>63</v>
      </c>
      <c r="G4240" s="11">
        <v>1763144</v>
      </c>
      <c r="H4240" s="11">
        <v>153</v>
      </c>
      <c r="I4240" s="11">
        <v>3</v>
      </c>
      <c r="J4240" s="11">
        <v>0</v>
      </c>
      <c r="K4240" s="11" t="s">
        <v>21</v>
      </c>
      <c r="L4240" s="7">
        <v>39092.751909722225</v>
      </c>
      <c r="M4240" s="12" t="s">
        <v>3280</v>
      </c>
      <c r="N4240" s="12" t="s">
        <v>3281</v>
      </c>
      <c r="O4240" s="10" t="str">
        <f>HYPERLINK("https://pbs.twimg.com/profile_images/631839981611388932/vD22OUWu_normal.png","View")</f>
        <v>View</v>
      </c>
      <c r="P4240" s="11"/>
    </row>
    <row r="4241" spans="1:16" ht="12.75" x14ac:dyDescent="0.35">
      <c r="A4241" s="7">
        <v>42482.877905092595</v>
      </c>
      <c r="B4241" s="8" t="str">
        <f>HYPERLINK("https://twitter.com/WSJRisk","@WSJRisk")</f>
        <v>@WSJRisk</v>
      </c>
      <c r="C4241" s="9" t="s">
        <v>10015</v>
      </c>
      <c r="D4241" s="9" t="s">
        <v>10014</v>
      </c>
      <c r="E4241" s="10" t="str">
        <f>HYPERLINK("https://twitter.com/WSJRisk/status/723535376627847168","723535376627847168")</f>
        <v>723535376627847168</v>
      </c>
      <c r="F4241" s="11" t="s">
        <v>63</v>
      </c>
      <c r="G4241" s="11">
        <v>12189</v>
      </c>
      <c r="H4241" s="11">
        <v>227</v>
      </c>
      <c r="I4241" s="11">
        <v>3</v>
      </c>
      <c r="J4241" s="11">
        <v>0</v>
      </c>
      <c r="K4241" s="11" t="s">
        <v>21</v>
      </c>
      <c r="L4241" s="7">
        <v>40470.820879629631</v>
      </c>
      <c r="M4241" s="12"/>
      <c r="N4241" s="12" t="s">
        <v>10016</v>
      </c>
      <c r="O4241" s="10" t="str">
        <f>HYPERLINK("https://pbs.twimg.com/profile_images/3439396427/c85352a16618715c3fb7f2941ae9308e_normal.png","View")</f>
        <v>View</v>
      </c>
      <c r="P4241" s="11"/>
    </row>
    <row r="4242" spans="1:16" ht="12.75" x14ac:dyDescent="0.35">
      <c r="A4242" s="7">
        <v>42482.878136574072</v>
      </c>
      <c r="B4242" s="8" t="str">
        <f>HYPERLINK("https://twitter.com/DaveMichiganTEC","@DaveMichiganTEC")</f>
        <v>@DaveMichiganTEC</v>
      </c>
      <c r="C4242" s="9" t="s">
        <v>10017</v>
      </c>
      <c r="D4242" s="9" t="s">
        <v>10018</v>
      </c>
      <c r="E4242" s="10" t="str">
        <f>HYPERLINK("https://twitter.com/DaveMichiganTEC/status/723535464079220736","723535464079220736")</f>
        <v>723535464079220736</v>
      </c>
      <c r="F4242" s="10" t="s">
        <v>2083</v>
      </c>
      <c r="G4242" s="11">
        <v>4660</v>
      </c>
      <c r="H4242" s="11">
        <v>4499</v>
      </c>
      <c r="I4242" s="11">
        <v>0</v>
      </c>
      <c r="J4242" s="11">
        <v>0</v>
      </c>
      <c r="K4242" s="11" t="s">
        <v>21</v>
      </c>
      <c r="L4242" s="7">
        <v>41359.962916666671</v>
      </c>
      <c r="M4242" s="12" t="s">
        <v>10019</v>
      </c>
      <c r="N4242" s="12" t="s">
        <v>10020</v>
      </c>
      <c r="O4242" s="10" t="str">
        <f>HYPERLINK("https://pbs.twimg.com/profile_images/677036395882553344/hTxwna3u_normal.jpg","View")</f>
        <v>View</v>
      </c>
      <c r="P4242" s="11"/>
    </row>
    <row r="4243" spans="1:16" ht="12.75" x14ac:dyDescent="0.35">
      <c r="A4243" s="7">
        <v>42482.878148148149</v>
      </c>
      <c r="B4243" s="8" t="str">
        <f>HYPERLINK("https://twitter.com/Upholsteronline","@Upholsteronline")</f>
        <v>@Upholsteronline</v>
      </c>
      <c r="C4243" s="9" t="s">
        <v>10021</v>
      </c>
      <c r="D4243" s="9" t="s">
        <v>10022</v>
      </c>
      <c r="E4243" s="10" t="str">
        <f>HYPERLINK("https://twitter.com/Upholsteronline/status/723535465115209728","723535465115209728")</f>
        <v>723535465115209728</v>
      </c>
      <c r="F4243" s="11" t="s">
        <v>43</v>
      </c>
      <c r="G4243" s="11">
        <v>689</v>
      </c>
      <c r="H4243" s="11">
        <v>2441</v>
      </c>
      <c r="I4243" s="11">
        <v>1</v>
      </c>
      <c r="J4243" s="11">
        <v>0</v>
      </c>
      <c r="K4243" s="11" t="s">
        <v>21</v>
      </c>
      <c r="L4243" s="7">
        <v>42157.864814814813</v>
      </c>
      <c r="M4243" s="12" t="s">
        <v>10023</v>
      </c>
      <c r="N4243" s="12" t="s">
        <v>10024</v>
      </c>
      <c r="O4243" s="10" t="str">
        <f>HYPERLINK("https://pbs.twimg.com/profile_images/663719521467899904/CkMfp6T-_normal.jpg","View")</f>
        <v>View</v>
      </c>
      <c r="P4243" s="11"/>
    </row>
    <row r="4244" spans="1:16" ht="12.75" x14ac:dyDescent="0.35">
      <c r="A4244" s="7">
        <v>42482.878206018519</v>
      </c>
      <c r="B4244" s="8" t="str">
        <f>HYPERLINK("https://twitter.com/NetzwerkggS21","@NetzwerkggS21")</f>
        <v>@NetzwerkggS21</v>
      </c>
      <c r="C4244" s="9" t="s">
        <v>2359</v>
      </c>
      <c r="D4244" s="9" t="s">
        <v>10025</v>
      </c>
      <c r="E4244" s="10" t="str">
        <f>HYPERLINK("https://twitter.com/NetzwerkggS21/status/723535487890235393","723535487890235393")</f>
        <v>723535487890235393</v>
      </c>
      <c r="F4244" s="11" t="s">
        <v>43</v>
      </c>
      <c r="G4244" s="11">
        <v>854</v>
      </c>
      <c r="H4244" s="11">
        <v>2111</v>
      </c>
      <c r="I4244" s="11">
        <v>0</v>
      </c>
      <c r="J4244" s="11">
        <v>0</v>
      </c>
      <c r="K4244" s="11" t="s">
        <v>21</v>
      </c>
      <c r="L4244" s="7">
        <v>41326.709363425922</v>
      </c>
      <c r="M4244" s="13" t="s">
        <v>2361</v>
      </c>
      <c r="N4244" s="12" t="s">
        <v>2362</v>
      </c>
      <c r="O4244" s="10" t="str">
        <f>HYPERLINK("https://pbs.twimg.com/profile_images/378800000528765970/3ab9f2a00010e9cac08d5ca1638926e9_normal.png","View")</f>
        <v>View</v>
      </c>
      <c r="P4244" s="11"/>
    </row>
    <row r="4245" spans="1:16" ht="12.75" x14ac:dyDescent="0.35">
      <c r="A4245" s="7">
        <v>42482.878252314811</v>
      </c>
      <c r="B4245" s="8" t="str">
        <f>HYPERLINK("https://twitter.com/ElizaRules","@ElizaRules")</f>
        <v>@ElizaRules</v>
      </c>
      <c r="C4245" s="9" t="s">
        <v>10026</v>
      </c>
      <c r="D4245" s="9" t="s">
        <v>10027</v>
      </c>
      <c r="E4245" s="10" t="str">
        <f>HYPERLINK("https://twitter.com/ElizaRules/status/723535504818487296","723535504818487296")</f>
        <v>723535504818487296</v>
      </c>
      <c r="F4245" s="11" t="s">
        <v>43</v>
      </c>
      <c r="G4245" s="11">
        <v>2518</v>
      </c>
      <c r="H4245" s="11">
        <v>1668</v>
      </c>
      <c r="I4245" s="11">
        <v>1</v>
      </c>
      <c r="J4245" s="11">
        <v>0</v>
      </c>
      <c r="K4245" s="11" t="s">
        <v>21</v>
      </c>
      <c r="L4245" s="7">
        <v>39883.824791666666</v>
      </c>
      <c r="M4245" s="12" t="s">
        <v>2646</v>
      </c>
      <c r="N4245" s="12" t="s">
        <v>10028</v>
      </c>
      <c r="O4245" s="10" t="str">
        <f>HYPERLINK("https://pbs.twimg.com/profile_images/3511486706/b87fc84fbd6d82049853bb85559ed70e_normal.jpeg","View")</f>
        <v>View</v>
      </c>
      <c r="P4245" s="11"/>
    </row>
    <row r="4246" spans="1:16" ht="12.75" x14ac:dyDescent="0.35">
      <c r="A4246" s="7">
        <v>42482.878344907411</v>
      </c>
      <c r="B4246" s="8" t="str">
        <f>HYPERLINK("https://twitter.com/M_Wussler","@M_Wussler")</f>
        <v>@M_Wussler</v>
      </c>
      <c r="C4246" s="9" t="s">
        <v>10029</v>
      </c>
      <c r="D4246" s="9" t="s">
        <v>10014</v>
      </c>
      <c r="E4246" s="10" t="str">
        <f>HYPERLINK("https://twitter.com/M_Wussler/status/723535536007294977","723535536007294977")</f>
        <v>723535536007294977</v>
      </c>
      <c r="F4246" s="11" t="s">
        <v>48</v>
      </c>
      <c r="G4246" s="11">
        <v>136</v>
      </c>
      <c r="H4246" s="11">
        <v>705</v>
      </c>
      <c r="I4246" s="11">
        <v>3</v>
      </c>
      <c r="J4246" s="11">
        <v>0</v>
      </c>
      <c r="K4246" s="11" t="s">
        <v>21</v>
      </c>
      <c r="L4246" s="7">
        <v>41461.946875000001</v>
      </c>
      <c r="M4246" s="12" t="s">
        <v>10030</v>
      </c>
      <c r="N4246" s="12" t="s">
        <v>10031</v>
      </c>
      <c r="O4246" s="10" t="str">
        <f>HYPERLINK("https://pbs.twimg.com/profile_images/635896416510935040/bxvGjxIP_normal.jpg","View")</f>
        <v>View</v>
      </c>
      <c r="P4246" s="11"/>
    </row>
    <row r="4247" spans="1:16" ht="12.75" x14ac:dyDescent="0.35">
      <c r="A4247" s="7">
        <v>42482.878483796296</v>
      </c>
      <c r="B4247" s="8" t="str">
        <f>HYPERLINK("https://twitter.com/TaniaDamian","@TaniaDamian")</f>
        <v>@TaniaDamian</v>
      </c>
      <c r="C4247" s="9" t="s">
        <v>10032</v>
      </c>
      <c r="D4247" s="9" t="s">
        <v>9931</v>
      </c>
      <c r="E4247" s="10" t="str">
        <f>HYPERLINK("https://twitter.com/TaniaDamian/status/723535587651657729","723535587651657729")</f>
        <v>723535587651657729</v>
      </c>
      <c r="F4247" s="11" t="s">
        <v>43</v>
      </c>
      <c r="G4247" s="11">
        <v>550</v>
      </c>
      <c r="H4247" s="11">
        <v>340</v>
      </c>
      <c r="I4247" s="11">
        <v>2</v>
      </c>
      <c r="J4247" s="11">
        <v>0</v>
      </c>
      <c r="K4247" s="11" t="s">
        <v>21</v>
      </c>
      <c r="L4247" s="7">
        <v>40353.118634259255</v>
      </c>
      <c r="M4247" s="12" t="s">
        <v>3359</v>
      </c>
      <c r="N4247" s="12" t="s">
        <v>10033</v>
      </c>
      <c r="O4247" s="10" t="str">
        <f>HYPERLINK("https://pbs.twimg.com/profile_images/3651426922/f79a231eb643e1aaedcb85cb07749185_normal.jpeg","View")</f>
        <v>View</v>
      </c>
      <c r="P4247" s="11"/>
    </row>
    <row r="4248" spans="1:16" ht="12.75" x14ac:dyDescent="0.35">
      <c r="A4248" s="7">
        <v>42482.878680555557</v>
      </c>
      <c r="B4248" s="8" t="str">
        <f>HYPERLINK("https://twitter.com/franka_kuehn","@franka_kuehn")</f>
        <v>@franka_kuehn</v>
      </c>
      <c r="C4248" s="9" t="s">
        <v>2386</v>
      </c>
      <c r="D4248" s="9" t="s">
        <v>10034</v>
      </c>
      <c r="E4248" s="10" t="str">
        <f>HYPERLINK("https://twitter.com/franka_kuehn/status/723535659785437184","723535659785437184")</f>
        <v>723535659785437184</v>
      </c>
      <c r="F4248" s="11" t="s">
        <v>43</v>
      </c>
      <c r="G4248" s="11">
        <v>393</v>
      </c>
      <c r="H4248" s="11">
        <v>413</v>
      </c>
      <c r="I4248" s="11">
        <v>0</v>
      </c>
      <c r="J4248" s="11">
        <v>0</v>
      </c>
      <c r="K4248" s="11" t="s">
        <v>21</v>
      </c>
      <c r="L4248" s="7">
        <v>41792.855011574073</v>
      </c>
      <c r="M4248" s="12" t="s">
        <v>1359</v>
      </c>
      <c r="N4248" s="12" t="s">
        <v>2387</v>
      </c>
      <c r="O4248" s="10" t="str">
        <f>HYPERLINK("https://pbs.twimg.com/profile_images/530281935289851905/gYVTeJZK_normal.jpeg","View")</f>
        <v>View</v>
      </c>
      <c r="P4248" s="11"/>
    </row>
    <row r="4249" spans="1:16" ht="12.75" x14ac:dyDescent="0.35">
      <c r="A4249" s="7">
        <v>42482.878981481481</v>
      </c>
      <c r="B4249" s="8" t="str">
        <f>HYPERLINK("https://twitter.com/Sole_bany","@Sole_bany")</f>
        <v>@Sole_bany</v>
      </c>
      <c r="C4249" s="9" t="s">
        <v>10035</v>
      </c>
      <c r="D4249" s="9" t="s">
        <v>10036</v>
      </c>
      <c r="E4249" s="10" t="str">
        <f>HYPERLINK("https://twitter.com/Sole_bany/status/723535766475948033","723535766475948033")</f>
        <v>723535766475948033</v>
      </c>
      <c r="F4249" s="11" t="s">
        <v>20</v>
      </c>
      <c r="G4249" s="11">
        <v>463</v>
      </c>
      <c r="H4249" s="11">
        <v>1008</v>
      </c>
      <c r="I4249" s="11">
        <v>0</v>
      </c>
      <c r="J4249" s="11">
        <v>1</v>
      </c>
      <c r="K4249" s="11" t="s">
        <v>21</v>
      </c>
      <c r="L4249" s="7">
        <v>42305.994594907403</v>
      </c>
      <c r="M4249" s="12" t="s">
        <v>10037</v>
      </c>
      <c r="N4249" s="12" t="s">
        <v>10038</v>
      </c>
      <c r="O4249" s="10" t="str">
        <f>HYPERLINK("https://pbs.twimg.com/profile_images/721089358372200450/OVkiPdxQ_normal.jpg","View")</f>
        <v>View</v>
      </c>
      <c r="P4249" s="11"/>
    </row>
    <row r="4250" spans="1:16" ht="12.75" x14ac:dyDescent="0.35">
      <c r="A4250" s="7">
        <v>42482.878981481481</v>
      </c>
      <c r="B4250" s="8" t="str">
        <f>HYPERLINK("https://twitter.com/BonBruteTruand","@BonBruteTruand")</f>
        <v>@BonBruteTruand</v>
      </c>
      <c r="C4250" s="9" t="s">
        <v>10039</v>
      </c>
      <c r="D4250" s="9" t="s">
        <v>10040</v>
      </c>
      <c r="E4250" s="10" t="str">
        <f>HYPERLINK("https://twitter.com/BonBruteTruand/status/723535768677953537","723535768677953537")</f>
        <v>723535768677953537</v>
      </c>
      <c r="F4250" s="11" t="s">
        <v>20</v>
      </c>
      <c r="G4250" s="11">
        <v>107</v>
      </c>
      <c r="H4250" s="11">
        <v>253</v>
      </c>
      <c r="I4250" s="11">
        <v>0</v>
      </c>
      <c r="J4250" s="11">
        <v>0</v>
      </c>
      <c r="K4250" s="11" t="s">
        <v>21</v>
      </c>
      <c r="L4250" s="7">
        <v>41168.929097222222</v>
      </c>
      <c r="M4250" s="12"/>
      <c r="N4250" s="12" t="s">
        <v>10041</v>
      </c>
      <c r="O4250" s="10" t="str">
        <f>HYPERLINK("https://pbs.twimg.com/profile_images/708329750637449216/uR4EbyqZ_normal.jpg","View")</f>
        <v>View</v>
      </c>
      <c r="P4250" s="11"/>
    </row>
    <row r="4251" spans="1:16" ht="12.75" x14ac:dyDescent="0.35">
      <c r="A4251" s="7">
        <v>42482.879247685181</v>
      </c>
      <c r="B4251" s="8" t="str">
        <f>HYPERLINK("https://twitter.com/VWBeetleSales","@VWBeetleSales")</f>
        <v>@VWBeetleSales</v>
      </c>
      <c r="C4251" s="9" t="s">
        <v>127</v>
      </c>
      <c r="D4251" s="9" t="s">
        <v>10042</v>
      </c>
      <c r="E4251" s="10" t="str">
        <f>HYPERLINK("https://twitter.com/VWBeetleSales/status/723535866237329408","723535866237329408")</f>
        <v>723535866237329408</v>
      </c>
      <c r="F4251" s="10" t="s">
        <v>124</v>
      </c>
      <c r="G4251" s="11">
        <v>36</v>
      </c>
      <c r="H4251" s="11">
        <v>32</v>
      </c>
      <c r="I4251" s="11">
        <v>0</v>
      </c>
      <c r="J4251" s="11">
        <v>0</v>
      </c>
      <c r="K4251" s="11" t="s">
        <v>21</v>
      </c>
      <c r="L4251" s="7">
        <v>42427.019756944443</v>
      </c>
      <c r="M4251" s="12" t="s">
        <v>129</v>
      </c>
      <c r="N4251" s="12" t="s">
        <v>130</v>
      </c>
      <c r="O4251" s="10" t="str">
        <f>HYPERLINK("https://pbs.twimg.com/profile_images/703294545195307008/qeCvrX86_normal.jpg","View")</f>
        <v>View</v>
      </c>
      <c r="P4251" s="11"/>
    </row>
    <row r="4252" spans="1:16" ht="12.75" x14ac:dyDescent="0.35">
      <c r="A4252" s="7">
        <v>42482.879305555558</v>
      </c>
      <c r="B4252" s="8" t="str">
        <f>HYPERLINK("https://twitter.com/FridayNomad","@FridayNomad")</f>
        <v>@FridayNomad</v>
      </c>
      <c r="C4252" s="9" t="s">
        <v>10043</v>
      </c>
      <c r="D4252" s="9" t="s">
        <v>10044</v>
      </c>
      <c r="E4252" s="10" t="str">
        <f>HYPERLINK("https://twitter.com/FridayNomad/status/723535887259295749","723535887259295749")</f>
        <v>723535887259295749</v>
      </c>
      <c r="F4252" s="11" t="s">
        <v>114</v>
      </c>
      <c r="G4252" s="11">
        <v>40</v>
      </c>
      <c r="H4252" s="11">
        <v>122</v>
      </c>
      <c r="I4252" s="11">
        <v>0</v>
      </c>
      <c r="J4252" s="11">
        <v>0</v>
      </c>
      <c r="K4252" s="11" t="s">
        <v>21</v>
      </c>
      <c r="L4252" s="7">
        <v>42476.67659722222</v>
      </c>
      <c r="M4252" s="12" t="s">
        <v>10045</v>
      </c>
      <c r="N4252" s="12" t="s">
        <v>10046</v>
      </c>
      <c r="O4252" s="10" t="str">
        <f>HYPERLINK("https://pbs.twimg.com/profile_images/721290611211575296/-bGGmXpE_normal.jpg","View")</f>
        <v>View</v>
      </c>
      <c r="P4252" s="11"/>
    </row>
    <row r="4253" spans="1:16" ht="12.75" x14ac:dyDescent="0.35">
      <c r="A4253" s="7">
        <v>42482.879386574074</v>
      </c>
      <c r="B4253" s="8" t="str">
        <f>HYPERLINK("https://twitter.com/eckldorna","@eckldorna")</f>
        <v>@eckldorna</v>
      </c>
      <c r="C4253" s="9" t="s">
        <v>10047</v>
      </c>
      <c r="D4253" s="9" t="s">
        <v>10048</v>
      </c>
      <c r="E4253" s="10" t="str">
        <f>HYPERLINK("https://twitter.com/eckldorna/status/723535914786545665","723535914786545665")</f>
        <v>723535914786545665</v>
      </c>
      <c r="F4253" s="11" t="s">
        <v>63</v>
      </c>
      <c r="G4253" s="11">
        <v>511</v>
      </c>
      <c r="H4253" s="11">
        <v>286</v>
      </c>
      <c r="I4253" s="11">
        <v>0</v>
      </c>
      <c r="J4253" s="11">
        <v>0</v>
      </c>
      <c r="K4253" s="11" t="s">
        <v>21</v>
      </c>
      <c r="L4253" s="7">
        <v>39893.577523148146</v>
      </c>
      <c r="M4253" s="12" t="s">
        <v>964</v>
      </c>
      <c r="N4253" s="12" t="s">
        <v>10049</v>
      </c>
      <c r="O4253" s="10" t="str">
        <f>HYPERLINK("https://pbs.twimg.com/profile_images/378800000756898826/c34d2c219e5c4be1cda0491348523b1a_normal.jpeg","View")</f>
        <v>View</v>
      </c>
      <c r="P4253" s="11"/>
    </row>
    <row r="4254" spans="1:16" ht="12.75" x14ac:dyDescent="0.35">
      <c r="A4254" s="7">
        <v>42482.879444444443</v>
      </c>
      <c r="B4254" s="8" t="str">
        <f>HYPERLINK("https://twitter.com/mycomfor","@mycomfor")</f>
        <v>@mycomfor</v>
      </c>
      <c r="C4254" s="9" t="s">
        <v>5331</v>
      </c>
      <c r="D4254" s="9" t="s">
        <v>10050</v>
      </c>
      <c r="E4254" s="10" t="str">
        <f>HYPERLINK("https://twitter.com/mycomfor/status/723535937922293761","723535937922293761")</f>
        <v>723535937922293761</v>
      </c>
      <c r="F4254" s="11" t="s">
        <v>5333</v>
      </c>
      <c r="G4254" s="11">
        <v>497</v>
      </c>
      <c r="H4254" s="11">
        <v>152</v>
      </c>
      <c r="I4254" s="11">
        <v>0</v>
      </c>
      <c r="J4254" s="11">
        <v>0</v>
      </c>
      <c r="K4254" s="11" t="s">
        <v>21</v>
      </c>
      <c r="L4254" s="7">
        <v>40598.987986111111</v>
      </c>
      <c r="M4254" s="12" t="s">
        <v>5334</v>
      </c>
      <c r="N4254" s="12" t="s">
        <v>5335</v>
      </c>
      <c r="O4254" s="10" t="str">
        <f>HYPERLINK("https://pbs.twimg.com/profile_images/1254132835/3com_normal.jpg","View")</f>
        <v>View</v>
      </c>
      <c r="P4254" s="11"/>
    </row>
    <row r="4255" spans="1:16" ht="12.75" x14ac:dyDescent="0.35">
      <c r="A4255" s="7">
        <v>42482.87972222222</v>
      </c>
      <c r="B4255" s="8" t="str">
        <f>HYPERLINK("https://twitter.com/DaveMichiganTEC","@DaveMichiganTEC")</f>
        <v>@DaveMichiganTEC</v>
      </c>
      <c r="C4255" s="9" t="s">
        <v>10017</v>
      </c>
      <c r="D4255" s="9" t="s">
        <v>10051</v>
      </c>
      <c r="E4255" s="10" t="str">
        <f>HYPERLINK("https://twitter.com/DaveMichiganTEC/status/723536037746737153","723536037746737153")</f>
        <v>723536037746737153</v>
      </c>
      <c r="F4255" s="10" t="s">
        <v>2083</v>
      </c>
      <c r="G4255" s="11">
        <v>4660</v>
      </c>
      <c r="H4255" s="11">
        <v>4499</v>
      </c>
      <c r="I4255" s="11">
        <v>0</v>
      </c>
      <c r="J4255" s="11">
        <v>0</v>
      </c>
      <c r="K4255" s="11" t="s">
        <v>21</v>
      </c>
      <c r="L4255" s="7">
        <v>41359.962916666671</v>
      </c>
      <c r="M4255" s="12" t="s">
        <v>10019</v>
      </c>
      <c r="N4255" s="12" t="s">
        <v>10020</v>
      </c>
      <c r="O4255" s="10" t="str">
        <f>HYPERLINK("https://pbs.twimg.com/profile_images/677036395882553344/hTxwna3u_normal.jpg","View")</f>
        <v>View</v>
      </c>
      <c r="P4255" s="11"/>
    </row>
    <row r="4256" spans="1:16" ht="12.75" x14ac:dyDescent="0.35">
      <c r="A4256" s="7">
        <v>42482.879803240736</v>
      </c>
      <c r="B4256" s="8" t="str">
        <f>HYPERLINK("https://twitter.com/generatoren_irr","@generatoren_irr")</f>
        <v>@generatoren_irr</v>
      </c>
      <c r="C4256" s="9" t="s">
        <v>10052</v>
      </c>
      <c r="D4256" s="9" t="s">
        <v>8685</v>
      </c>
      <c r="E4256" s="10" t="str">
        <f>HYPERLINK("https://twitter.com/generatoren_irr/status/723536064560922629","723536064560922629")</f>
        <v>723536064560922629</v>
      </c>
      <c r="F4256" s="11" t="s">
        <v>43</v>
      </c>
      <c r="G4256" s="11">
        <v>446</v>
      </c>
      <c r="H4256" s="11">
        <v>314</v>
      </c>
      <c r="I4256" s="11">
        <v>9</v>
      </c>
      <c r="J4256" s="11">
        <v>0</v>
      </c>
      <c r="K4256" s="11" t="s">
        <v>21</v>
      </c>
      <c r="L4256" s="7">
        <v>41288.090810185182</v>
      </c>
      <c r="M4256" s="12" t="s">
        <v>10053</v>
      </c>
      <c r="N4256" s="12" t="s">
        <v>10054</v>
      </c>
      <c r="O4256" s="10" t="str">
        <f>HYPERLINK("https://pbs.twimg.com/profile_images/3104943850/385acbbfedd6091738459c73132b7193_normal.jpeg","View")</f>
        <v>View</v>
      </c>
      <c r="P4256" s="11"/>
    </row>
    <row r="4257" spans="1:16" ht="12.75" x14ac:dyDescent="0.35">
      <c r="A4257" s="7">
        <v>42482.880497685182</v>
      </c>
      <c r="B4257" s="8" t="str">
        <f>HYPERLINK("https://twitter.com/VolkswagenPost","@VolkswagenPost")</f>
        <v>@VolkswagenPost</v>
      </c>
      <c r="C4257" s="9" t="s">
        <v>321</v>
      </c>
      <c r="D4257" s="9" t="s">
        <v>10055</v>
      </c>
      <c r="E4257" s="10" t="str">
        <f>HYPERLINK("https://twitter.com/VolkswagenPost/status/723536319037607936","723536319037607936")</f>
        <v>723536319037607936</v>
      </c>
      <c r="F4257" s="11" t="s">
        <v>288</v>
      </c>
      <c r="G4257" s="11">
        <v>569</v>
      </c>
      <c r="H4257" s="11">
        <v>446</v>
      </c>
      <c r="I4257" s="11">
        <v>1</v>
      </c>
      <c r="J4257" s="11">
        <v>0</v>
      </c>
      <c r="K4257" s="11" t="s">
        <v>21</v>
      </c>
      <c r="L4257" s="7">
        <v>41940.618379629632</v>
      </c>
      <c r="M4257" s="12"/>
      <c r="N4257" s="12"/>
      <c r="O4257" s="10" t="str">
        <f>HYPERLINK("https://pbs.twimg.com/profile_images/530071272881803264/a_jcCmPZ_normal.png","View")</f>
        <v>View</v>
      </c>
      <c r="P4257" s="11"/>
    </row>
    <row r="4258" spans="1:16" ht="12.75" x14ac:dyDescent="0.35">
      <c r="A4258" s="7">
        <v>42482.880555555559</v>
      </c>
      <c r="B4258" s="8" t="str">
        <f>HYPERLINK("https://twitter.com/vwbusman72","@vwbusman72")</f>
        <v>@vwbusman72</v>
      </c>
      <c r="C4258" s="9" t="s">
        <v>9766</v>
      </c>
      <c r="D4258" s="9" t="s">
        <v>10056</v>
      </c>
      <c r="E4258" s="10" t="str">
        <f>HYPERLINK("https://twitter.com/vwbusman72/status/723536340231557120","723536340231557120")</f>
        <v>723536340231557120</v>
      </c>
      <c r="F4258" s="11" t="s">
        <v>114</v>
      </c>
      <c r="G4258" s="11">
        <v>701</v>
      </c>
      <c r="H4258" s="11">
        <v>679</v>
      </c>
      <c r="I4258" s="11">
        <v>0</v>
      </c>
      <c r="J4258" s="11">
        <v>0</v>
      </c>
      <c r="K4258" s="11" t="s">
        <v>21</v>
      </c>
      <c r="L4258" s="7">
        <v>40843.239444444444</v>
      </c>
      <c r="M4258" s="12" t="s">
        <v>9768</v>
      </c>
      <c r="N4258" s="12"/>
      <c r="O4258" s="10" t="str">
        <f>HYPERLINK("https://pbs.twimg.com/profile_images/535972937346863104/azd9tVvN_normal.jpeg","View")</f>
        <v>View</v>
      </c>
      <c r="P4258" s="11"/>
    </row>
    <row r="4259" spans="1:16" ht="12.75" x14ac:dyDescent="0.35">
      <c r="A4259" s="7">
        <v>42482.88082175926</v>
      </c>
      <c r="B4259" s="8" t="str">
        <f t="shared" ref="B4259:B4261" si="367">HYPERLINK("https://twitter.com/techhippie","@techhippie")</f>
        <v>@techhippie</v>
      </c>
      <c r="C4259" s="9" t="s">
        <v>246</v>
      </c>
      <c r="D4259" s="9" t="s">
        <v>10057</v>
      </c>
      <c r="E4259" s="10" t="str">
        <f>HYPERLINK("https://twitter.com/techhippie/status/723536434934759424","723536434934759424")</f>
        <v>723536434934759424</v>
      </c>
      <c r="F4259" s="11" t="s">
        <v>68</v>
      </c>
      <c r="G4259" s="11">
        <v>2509</v>
      </c>
      <c r="H4259" s="11">
        <v>3835</v>
      </c>
      <c r="I4259" s="11">
        <v>0</v>
      </c>
      <c r="J4259" s="11">
        <v>0</v>
      </c>
      <c r="K4259" s="11" t="s">
        <v>21</v>
      </c>
      <c r="L4259" s="7">
        <v>42424.852152777778</v>
      </c>
      <c r="M4259" s="12" t="s">
        <v>248</v>
      </c>
      <c r="N4259" s="12" t="s">
        <v>249</v>
      </c>
      <c r="O4259" s="10" t="str">
        <f t="shared" ref="O4259:O4261" si="368">HYPERLINK("https://pbs.twimg.com/profile_images/702511217793863680/lty8h9vE_normal.jpg","View")</f>
        <v>View</v>
      </c>
      <c r="P4259" s="11"/>
    </row>
    <row r="4260" spans="1:16" ht="12.75" x14ac:dyDescent="0.35">
      <c r="A4260" s="7">
        <v>42482.880891203706</v>
      </c>
      <c r="B4260" s="8" t="str">
        <f t="shared" si="367"/>
        <v>@techhippie</v>
      </c>
      <c r="C4260" s="9" t="s">
        <v>246</v>
      </c>
      <c r="D4260" s="9" t="s">
        <v>10058</v>
      </c>
      <c r="E4260" s="10" t="str">
        <f>HYPERLINK("https://twitter.com/techhippie/status/723536460209643521","723536460209643521")</f>
        <v>723536460209643521</v>
      </c>
      <c r="F4260" s="11" t="s">
        <v>68</v>
      </c>
      <c r="G4260" s="11">
        <v>2509</v>
      </c>
      <c r="H4260" s="11">
        <v>3835</v>
      </c>
      <c r="I4260" s="11">
        <v>0</v>
      </c>
      <c r="J4260" s="11">
        <v>0</v>
      </c>
      <c r="K4260" s="11" t="s">
        <v>21</v>
      </c>
      <c r="L4260" s="7">
        <v>42424.852152777778</v>
      </c>
      <c r="M4260" s="12" t="s">
        <v>248</v>
      </c>
      <c r="N4260" s="12" t="s">
        <v>249</v>
      </c>
      <c r="O4260" s="10" t="str">
        <f t="shared" si="368"/>
        <v>View</v>
      </c>
      <c r="P4260" s="11"/>
    </row>
    <row r="4261" spans="1:16" ht="12.75" x14ac:dyDescent="0.35">
      <c r="A4261" s="7">
        <v>42482.880914351852</v>
      </c>
      <c r="B4261" s="8" t="str">
        <f t="shared" si="367"/>
        <v>@techhippie</v>
      </c>
      <c r="C4261" s="9" t="s">
        <v>246</v>
      </c>
      <c r="D4261" s="9" t="s">
        <v>10059</v>
      </c>
      <c r="E4261" s="10" t="str">
        <f>HYPERLINK("https://twitter.com/techhippie/status/723536468182970369","723536468182970369")</f>
        <v>723536468182970369</v>
      </c>
      <c r="F4261" s="11" t="s">
        <v>68</v>
      </c>
      <c r="G4261" s="11">
        <v>2509</v>
      </c>
      <c r="H4261" s="11">
        <v>3835</v>
      </c>
      <c r="I4261" s="11">
        <v>0</v>
      </c>
      <c r="J4261" s="11">
        <v>0</v>
      </c>
      <c r="K4261" s="11" t="s">
        <v>21</v>
      </c>
      <c r="L4261" s="7">
        <v>42424.852152777778</v>
      </c>
      <c r="M4261" s="12" t="s">
        <v>248</v>
      </c>
      <c r="N4261" s="12" t="s">
        <v>249</v>
      </c>
      <c r="O4261" s="10" t="str">
        <f t="shared" si="368"/>
        <v>View</v>
      </c>
      <c r="P4261" s="11"/>
    </row>
    <row r="4262" spans="1:16" ht="12.75" x14ac:dyDescent="0.35">
      <c r="A4262" s="7">
        <v>42482.883009259254</v>
      </c>
      <c r="B4262" s="8" t="str">
        <f>HYPERLINK("https://twitter.com/SocialAutos","@SocialAutos")</f>
        <v>@SocialAutos</v>
      </c>
      <c r="C4262" s="9" t="s">
        <v>3504</v>
      </c>
      <c r="D4262" s="9" t="s">
        <v>10060</v>
      </c>
      <c r="E4262" s="10" t="str">
        <f>HYPERLINK("https://twitter.com/SocialAutos/status/723537227343646720","723537227343646720")</f>
        <v>723537227343646720</v>
      </c>
      <c r="F4262" s="10" t="s">
        <v>3506</v>
      </c>
      <c r="G4262" s="11">
        <v>75</v>
      </c>
      <c r="H4262" s="11">
        <v>72</v>
      </c>
      <c r="I4262" s="11">
        <v>0</v>
      </c>
      <c r="J4262" s="11">
        <v>0</v>
      </c>
      <c r="K4262" s="11" t="s">
        <v>21</v>
      </c>
      <c r="L4262" s="7">
        <v>41613.191724537035</v>
      </c>
      <c r="M4262" s="12" t="s">
        <v>3507</v>
      </c>
      <c r="N4262" s="12" t="s">
        <v>3508</v>
      </c>
      <c r="O4262" s="10" t="str">
        <f>HYPERLINK("https://pbs.twimg.com/profile_images/378800000830360955/5fb295e74c438beb9dd7777a56295953_normal.jpeg","View")</f>
        <v>View</v>
      </c>
      <c r="P4262" s="11"/>
    </row>
    <row r="4263" spans="1:16" ht="12.75" x14ac:dyDescent="0.35">
      <c r="A4263" s="7">
        <v>42482.883136574077</v>
      </c>
      <c r="B4263" s="8" t="str">
        <f>HYPERLINK("https://twitter.com/davideghilotti","@davideghilotti")</f>
        <v>@davideghilotti</v>
      </c>
      <c r="C4263" s="9" t="s">
        <v>10061</v>
      </c>
      <c r="D4263" s="9" t="s">
        <v>10062</v>
      </c>
      <c r="E4263" s="10" t="str">
        <f>HYPERLINK("https://twitter.com/davideghilotti/status/723537274894430209","723537274894430209")</f>
        <v>723537274894430209</v>
      </c>
      <c r="F4263" s="11" t="s">
        <v>43</v>
      </c>
      <c r="G4263" s="11">
        <v>149</v>
      </c>
      <c r="H4263" s="11">
        <v>767</v>
      </c>
      <c r="I4263" s="11">
        <v>0</v>
      </c>
      <c r="J4263" s="11">
        <v>1</v>
      </c>
      <c r="K4263" s="11" t="s">
        <v>21</v>
      </c>
      <c r="L4263" s="7">
        <v>40920.892962962964</v>
      </c>
      <c r="M4263" s="12" t="s">
        <v>638</v>
      </c>
      <c r="N4263" s="12" t="s">
        <v>10063</v>
      </c>
      <c r="O4263" s="10" t="str">
        <f>HYPERLINK("https://pbs.twimg.com/profile_images/1752056407/100_5197_resized_normal.jpg","View")</f>
        <v>View</v>
      </c>
      <c r="P4263" s="11"/>
    </row>
    <row r="4264" spans="1:16" ht="12.75" x14ac:dyDescent="0.35">
      <c r="A4264" s="7">
        <v>42482.88344907407</v>
      </c>
      <c r="B4264" s="8" t="str">
        <f>HYPERLINK("https://twitter.com/theprospect","@theprospect")</f>
        <v>@theprospect</v>
      </c>
      <c r="C4264" s="9" t="s">
        <v>10064</v>
      </c>
      <c r="D4264" s="9" t="s">
        <v>10065</v>
      </c>
      <c r="E4264" s="10" t="str">
        <f>HYPERLINK("https://twitter.com/theprospect/status/723537385829588992","723537385829588992")</f>
        <v>723537385829588992</v>
      </c>
      <c r="F4264" s="11" t="s">
        <v>43</v>
      </c>
      <c r="G4264" s="11">
        <v>24461</v>
      </c>
      <c r="H4264" s="11">
        <v>2319</v>
      </c>
      <c r="I4264" s="11">
        <v>1</v>
      </c>
      <c r="J4264" s="11">
        <v>0</v>
      </c>
      <c r="K4264" s="11" t="s">
        <v>21</v>
      </c>
      <c r="L4264" s="7">
        <v>39683.077465277776</v>
      </c>
      <c r="M4264" s="12" t="s">
        <v>3587</v>
      </c>
      <c r="N4264" s="12" t="s">
        <v>10066</v>
      </c>
      <c r="O4264" s="10" t="str">
        <f>HYPERLINK("https://pbs.twimg.com/profile_images/581130479954452480/Bn544jnu_normal.jpg","View")</f>
        <v>View</v>
      </c>
      <c r="P4264" s="11"/>
    </row>
    <row r="4265" spans="1:16" ht="12.75" x14ac:dyDescent="0.35">
      <c r="A4265" s="7">
        <v>42482.883750000001</v>
      </c>
      <c r="B4265" s="8" t="str">
        <f>HYPERLINK("https://twitter.com/lormayna","@lormayna")</f>
        <v>@lormayna</v>
      </c>
      <c r="C4265" s="9" t="s">
        <v>10067</v>
      </c>
      <c r="D4265" s="9" t="s">
        <v>10068</v>
      </c>
      <c r="E4265" s="10" t="str">
        <f>HYPERLINK("https://twitter.com/lormayna/status/723537496223715328","723537496223715328")</f>
        <v>723537496223715328</v>
      </c>
      <c r="F4265" s="11" t="s">
        <v>114</v>
      </c>
      <c r="G4265" s="11">
        <v>1015</v>
      </c>
      <c r="H4265" s="11">
        <v>949</v>
      </c>
      <c r="I4265" s="11">
        <v>0</v>
      </c>
      <c r="J4265" s="11">
        <v>0</v>
      </c>
      <c r="K4265" s="11" t="s">
        <v>21</v>
      </c>
      <c r="L4265" s="7">
        <v>40187.906157407408</v>
      </c>
      <c r="M4265" s="12" t="s">
        <v>10069</v>
      </c>
      <c r="N4265" s="12" t="s">
        <v>10070</v>
      </c>
      <c r="O4265" s="10" t="str">
        <f>HYPERLINK("https://pbs.twimg.com/profile_images/620385716/io_cappello_normal.jpg","View")</f>
        <v>View</v>
      </c>
      <c r="P4265" s="10" t="str">
        <f>HYPERLINK("http://ctrlq.org/maps/address/#43.81382239,11.01986151","Map")</f>
        <v>Map</v>
      </c>
    </row>
    <row r="4266" spans="1:16" ht="12.75" x14ac:dyDescent="0.35">
      <c r="A4266" s="7">
        <v>42482.883900462963</v>
      </c>
      <c r="B4266" s="8" t="str">
        <f>HYPERLINK("https://twitter.com/HansTheGerman","@HansTheGerman")</f>
        <v>@HansTheGerman</v>
      </c>
      <c r="C4266" s="9" t="s">
        <v>4330</v>
      </c>
      <c r="D4266" s="9" t="s">
        <v>10071</v>
      </c>
      <c r="E4266" s="10" t="str">
        <f>HYPERLINK("https://twitter.com/HansTheGerman/status/723537551584301056","723537551584301056")</f>
        <v>723537551584301056</v>
      </c>
      <c r="F4266" s="11" t="s">
        <v>43</v>
      </c>
      <c r="G4266" s="11">
        <v>312</v>
      </c>
      <c r="H4266" s="11">
        <v>764</v>
      </c>
      <c r="I4266" s="11">
        <v>0</v>
      </c>
      <c r="J4266" s="11">
        <v>0</v>
      </c>
      <c r="K4266" s="11" t="s">
        <v>21</v>
      </c>
      <c r="L4266" s="7">
        <v>39950.572777777779</v>
      </c>
      <c r="M4266" s="12" t="s">
        <v>1116</v>
      </c>
      <c r="N4266" s="12" t="s">
        <v>4332</v>
      </c>
      <c r="O4266" s="10" t="str">
        <f>HYPERLINK("https://pbs.twimg.com/profile_images/3012106875/596e712c99a38ec69b925b7f7ab71986_normal.jpeg","View")</f>
        <v>View</v>
      </c>
      <c r="P4266" s="11"/>
    </row>
    <row r="4267" spans="1:16" ht="12.75" x14ac:dyDescent="0.35">
      <c r="A4267" s="7">
        <v>42482.884780092594</v>
      </c>
      <c r="B4267" s="8" t="str">
        <f>HYPERLINK("https://twitter.com/VWBeetleSales","@VWBeetleSales")</f>
        <v>@VWBeetleSales</v>
      </c>
      <c r="C4267" s="9" t="s">
        <v>127</v>
      </c>
      <c r="D4267" s="9" t="s">
        <v>10072</v>
      </c>
      <c r="E4267" s="10" t="str">
        <f>HYPERLINK("https://twitter.com/VWBeetleSales/status/723537868187004928","723537868187004928")</f>
        <v>723537868187004928</v>
      </c>
      <c r="F4267" s="10" t="s">
        <v>124</v>
      </c>
      <c r="G4267" s="11">
        <v>36</v>
      </c>
      <c r="H4267" s="11">
        <v>32</v>
      </c>
      <c r="I4267" s="11">
        <v>0</v>
      </c>
      <c r="J4267" s="11">
        <v>0</v>
      </c>
      <c r="K4267" s="11" t="s">
        <v>21</v>
      </c>
      <c r="L4267" s="7">
        <v>42427.019756944443</v>
      </c>
      <c r="M4267" s="12" t="s">
        <v>129</v>
      </c>
      <c r="N4267" s="12" t="s">
        <v>130</v>
      </c>
      <c r="O4267" s="10" t="str">
        <f>HYPERLINK("https://pbs.twimg.com/profile_images/703294545195307008/qeCvrX86_normal.jpg","View")</f>
        <v>View</v>
      </c>
      <c r="P4267" s="11"/>
    </row>
    <row r="4268" spans="1:16" ht="12.75" x14ac:dyDescent="0.35">
      <c r="A4268" s="7">
        <v>42482.884826388894</v>
      </c>
      <c r="B4268" s="8" t="str">
        <f>HYPERLINK("https://twitter.com/michalakperrine","@michalakperrine")</f>
        <v>@michalakperrine</v>
      </c>
      <c r="C4268" s="9">
        <v>141</v>
      </c>
      <c r="D4268" s="9" t="s">
        <v>9691</v>
      </c>
      <c r="E4268" s="10" t="str">
        <f>HYPERLINK("https://twitter.com/michalakperrine/status/723537888525312000","723537888525312000")</f>
        <v>723537888525312000</v>
      </c>
      <c r="F4268" s="11" t="s">
        <v>20</v>
      </c>
      <c r="G4268" s="11">
        <v>845</v>
      </c>
      <c r="H4268" s="11">
        <v>2304</v>
      </c>
      <c r="I4268" s="11">
        <v>3</v>
      </c>
      <c r="J4268" s="11">
        <v>0</v>
      </c>
      <c r="K4268" s="11" t="s">
        <v>21</v>
      </c>
      <c r="L4268" s="7">
        <v>41569.976145833338</v>
      </c>
      <c r="M4268" s="12"/>
      <c r="N4268" s="12" t="s">
        <v>10073</v>
      </c>
      <c r="O4268" s="10" t="str">
        <f>HYPERLINK("https://pbs.twimg.com/profile_images/721054443802902528/fcHw2mPY_normal.jpg","View")</f>
        <v>View</v>
      </c>
      <c r="P4268" s="11"/>
    </row>
    <row r="4269" spans="1:16" ht="12.75" x14ac:dyDescent="0.35">
      <c r="A4269" s="7">
        <v>42482.886157407411</v>
      </c>
      <c r="B4269" s="8" t="str">
        <f>HYPERLINK("https://twitter.com/HansTheGerman","@HansTheGerman")</f>
        <v>@HansTheGerman</v>
      </c>
      <c r="C4269" s="9" t="s">
        <v>4330</v>
      </c>
      <c r="D4269" s="9" t="s">
        <v>10074</v>
      </c>
      <c r="E4269" s="10" t="str">
        <f>HYPERLINK("https://twitter.com/HansTheGerman/status/723538368966086660","723538368966086660")</f>
        <v>723538368966086660</v>
      </c>
      <c r="F4269" s="11" t="s">
        <v>43</v>
      </c>
      <c r="G4269" s="11">
        <v>313</v>
      </c>
      <c r="H4269" s="11">
        <v>764</v>
      </c>
      <c r="I4269" s="11">
        <v>9</v>
      </c>
      <c r="J4269" s="11">
        <v>0</v>
      </c>
      <c r="K4269" s="11" t="s">
        <v>21</v>
      </c>
      <c r="L4269" s="7">
        <v>39950.572777777779</v>
      </c>
      <c r="M4269" s="12" t="s">
        <v>1116</v>
      </c>
      <c r="N4269" s="12" t="s">
        <v>4332</v>
      </c>
      <c r="O4269" s="10" t="str">
        <f>HYPERLINK("https://pbs.twimg.com/profile_images/3012106875/596e712c99a38ec69b925b7f7ab71986_normal.jpeg","View")</f>
        <v>View</v>
      </c>
      <c r="P4269" s="11"/>
    </row>
    <row r="4270" spans="1:16" ht="12.75" x14ac:dyDescent="0.35">
      <c r="A4270" s="7">
        <v>42482.886180555557</v>
      </c>
      <c r="B4270" s="8" t="str">
        <f>HYPERLINK("https://twitter.com/CyM00n","@CyM00n")</f>
        <v>@CyM00n</v>
      </c>
      <c r="C4270" s="9" t="s">
        <v>10075</v>
      </c>
      <c r="D4270" s="9" t="s">
        <v>10076</v>
      </c>
      <c r="E4270" s="10" t="str">
        <f>HYPERLINK("https://twitter.com/CyM00n/status/723538376507449344","723538376507449344")</f>
        <v>723538376507449344</v>
      </c>
      <c r="F4270" s="11" t="s">
        <v>2206</v>
      </c>
      <c r="G4270" s="11">
        <v>268</v>
      </c>
      <c r="H4270" s="11">
        <v>1</v>
      </c>
      <c r="I4270" s="11">
        <v>0</v>
      </c>
      <c r="J4270" s="11">
        <v>0</v>
      </c>
      <c r="K4270" s="11" t="s">
        <v>21</v>
      </c>
      <c r="L4270" s="7">
        <v>40502.983784722222</v>
      </c>
      <c r="M4270" s="12"/>
      <c r="N4270" s="12"/>
      <c r="O4270" s="10" t="str">
        <f>HYPERLINK("https://abs.twimg.com/sticky/default_profile_images/default_profile_1_normal.png","View")</f>
        <v>View</v>
      </c>
      <c r="P4270" s="11"/>
    </row>
    <row r="4271" spans="1:16" ht="12.75" x14ac:dyDescent="0.35">
      <c r="A4271" s="7">
        <v>42482.886238425926</v>
      </c>
      <c r="B4271" s="8" t="str">
        <f>HYPERLINK("https://twitter.com/RichardRead","@RichardRead")</f>
        <v>@RichardRead</v>
      </c>
      <c r="C4271" s="9" t="s">
        <v>10077</v>
      </c>
      <c r="D4271" s="9" t="s">
        <v>10078</v>
      </c>
      <c r="E4271" s="10" t="str">
        <f>HYPERLINK("https://twitter.com/RichardRead/status/723538398003130368","723538398003130368")</f>
        <v>723538398003130368</v>
      </c>
      <c r="F4271" s="11" t="s">
        <v>43</v>
      </c>
      <c r="G4271" s="11">
        <v>1091</v>
      </c>
      <c r="H4271" s="11">
        <v>168</v>
      </c>
      <c r="I4271" s="11">
        <v>0</v>
      </c>
      <c r="J4271" s="11">
        <v>0</v>
      </c>
      <c r="K4271" s="11" t="s">
        <v>21</v>
      </c>
      <c r="L4271" s="7">
        <v>39922.323449074072</v>
      </c>
      <c r="M4271" s="12" t="s">
        <v>10079</v>
      </c>
      <c r="N4271" s="12" t="s">
        <v>10080</v>
      </c>
      <c r="O4271" s="10" t="str">
        <f>HYPERLINK("https://pbs.twimg.com/profile_images/685214407291351040/WdPIMNTV_normal.jpg","View")</f>
        <v>View</v>
      </c>
      <c r="P4271" s="11"/>
    </row>
    <row r="4272" spans="1:16" ht="12.75" x14ac:dyDescent="0.35">
      <c r="A4272" s="7">
        <v>42482.886331018519</v>
      </c>
      <c r="B4272" s="8" t="str">
        <f>HYPERLINK("https://twitter.com/matthiaspetrat","@matthiaspetrat")</f>
        <v>@matthiaspetrat</v>
      </c>
      <c r="C4272" s="9" t="s">
        <v>10081</v>
      </c>
      <c r="D4272" s="9" t="s">
        <v>10082</v>
      </c>
      <c r="E4272" s="10" t="str">
        <f>HYPERLINK("https://twitter.com/matthiaspetrat/status/723538431809327105","723538431809327105")</f>
        <v>723538431809327105</v>
      </c>
      <c r="F4272" s="11" t="s">
        <v>3614</v>
      </c>
      <c r="G4272" s="11">
        <v>1434</v>
      </c>
      <c r="H4272" s="11">
        <v>83</v>
      </c>
      <c r="I4272" s="11">
        <v>0</v>
      </c>
      <c r="J4272" s="11">
        <v>1</v>
      </c>
      <c r="K4272" s="11" t="s">
        <v>21</v>
      </c>
      <c r="L4272" s="7">
        <v>40963.816747685181</v>
      </c>
      <c r="M4272" s="12" t="s">
        <v>1116</v>
      </c>
      <c r="N4272" s="12" t="s">
        <v>10083</v>
      </c>
      <c r="O4272" s="10" t="str">
        <f>HYPERLINK("https://pbs.twimg.com/profile_images/606944065859555328/-6WW5RVJ_normal.jpg","View")</f>
        <v>View</v>
      </c>
      <c r="P4272" s="11"/>
    </row>
    <row r="4273" spans="1:16" ht="12.75" x14ac:dyDescent="0.35">
      <c r="A4273" s="7">
        <v>42482.887106481481</v>
      </c>
      <c r="B4273" s="8" t="str">
        <f>HYPERLINK("https://twitter.com/Schwartz_Daniel","@Schwartz_Daniel")</f>
        <v>@Schwartz_Daniel</v>
      </c>
      <c r="C4273" s="9" t="s">
        <v>10084</v>
      </c>
      <c r="D4273" s="9" t="s">
        <v>10085</v>
      </c>
      <c r="E4273" s="10" t="str">
        <f>HYPERLINK("https://twitter.com/Schwartz_Daniel/status/723538711439388677","723538711439388677")</f>
        <v>723538711439388677</v>
      </c>
      <c r="F4273" s="11" t="s">
        <v>43</v>
      </c>
      <c r="G4273" s="11">
        <v>364</v>
      </c>
      <c r="H4273" s="11">
        <v>647</v>
      </c>
      <c r="I4273" s="11">
        <v>0</v>
      </c>
      <c r="J4273" s="11">
        <v>0</v>
      </c>
      <c r="K4273" s="11" t="s">
        <v>21</v>
      </c>
      <c r="L4273" s="7">
        <v>40270.769247685181</v>
      </c>
      <c r="M4273" s="12" t="s">
        <v>10086</v>
      </c>
      <c r="N4273" s="12" t="s">
        <v>10087</v>
      </c>
      <c r="O4273" s="10" t="str">
        <f>HYPERLINK("https://pbs.twimg.com/profile_images/594905123916091392/wrn-hZFg_normal.jpg","View")</f>
        <v>View</v>
      </c>
      <c r="P4273" s="11"/>
    </row>
    <row r="4274" spans="1:16" ht="12.75" x14ac:dyDescent="0.35">
      <c r="A4274" s="7">
        <v>42482.887719907405</v>
      </c>
      <c r="B4274" s="8" t="str">
        <f>HYPERLINK("https://twitter.com/NollyPrott","@NollyPrott")</f>
        <v>@NollyPrott</v>
      </c>
      <c r="C4274" s="9" t="s">
        <v>10088</v>
      </c>
      <c r="D4274" s="9" t="s">
        <v>10089</v>
      </c>
      <c r="E4274" s="10" t="str">
        <f>HYPERLINK("https://twitter.com/NollyPrott/status/723538934089834497","723538934089834497")</f>
        <v>723538934089834497</v>
      </c>
      <c r="F4274" s="11" t="s">
        <v>43</v>
      </c>
      <c r="G4274" s="11">
        <v>1256</v>
      </c>
      <c r="H4274" s="11">
        <v>2148</v>
      </c>
      <c r="I4274" s="11">
        <v>0</v>
      </c>
      <c r="J4274" s="11">
        <v>0</v>
      </c>
      <c r="K4274" s="11" t="s">
        <v>21</v>
      </c>
      <c r="L4274" s="7">
        <v>40887.920648148152</v>
      </c>
      <c r="M4274" s="12" t="s">
        <v>10090</v>
      </c>
      <c r="N4274" s="12" t="s">
        <v>10091</v>
      </c>
      <c r="O4274" s="10" t="str">
        <f>HYPERLINK("https://pbs.twimg.com/profile_images/425599818853912576/kKRiBOc1_normal.jpeg","View")</f>
        <v>View</v>
      </c>
      <c r="P4274" s="11"/>
    </row>
    <row r="4275" spans="1:16" ht="12.75" x14ac:dyDescent="0.35">
      <c r="A4275" s="7">
        <v>42482.88790509259</v>
      </c>
      <c r="B4275" s="8" t="str">
        <f>HYPERLINK("https://twitter.com/andrejfnovak","@andrejfnovak")</f>
        <v>@andrejfnovak</v>
      </c>
      <c r="C4275" s="9" t="s">
        <v>10092</v>
      </c>
      <c r="D4275" s="9" t="s">
        <v>10093</v>
      </c>
      <c r="E4275" s="10" t="str">
        <f>HYPERLINK("https://twitter.com/andrejfnovak/status/723539001701982208","723539001701982208")</f>
        <v>723539001701982208</v>
      </c>
      <c r="F4275" s="11" t="s">
        <v>43</v>
      </c>
      <c r="G4275" s="11">
        <v>440</v>
      </c>
      <c r="H4275" s="11">
        <v>633</v>
      </c>
      <c r="I4275" s="11">
        <v>0</v>
      </c>
      <c r="J4275" s="11">
        <v>0</v>
      </c>
      <c r="K4275" s="11" t="s">
        <v>21</v>
      </c>
      <c r="L4275" s="7">
        <v>40923.879108796296</v>
      </c>
      <c r="M4275" s="12" t="s">
        <v>10094</v>
      </c>
      <c r="N4275" s="12" t="s">
        <v>10095</v>
      </c>
      <c r="O4275" s="10" t="str">
        <f>HYPERLINK("https://pbs.twimg.com/profile_images/1756903499/2011_small_normal.jpg","View")</f>
        <v>View</v>
      </c>
      <c r="P4275" s="11"/>
    </row>
    <row r="4276" spans="1:16" ht="12.75" x14ac:dyDescent="0.35">
      <c r="A4276" s="7">
        <v>42482.887939814813</v>
      </c>
      <c r="B4276" s="8" t="str">
        <f>HYPERLINK("https://twitter.com/Monogasse","@Monogasse")</f>
        <v>@Monogasse</v>
      </c>
      <c r="C4276" s="9" t="s">
        <v>10096</v>
      </c>
      <c r="D4276" s="9" t="s">
        <v>854</v>
      </c>
      <c r="E4276" s="10" t="str">
        <f>HYPERLINK("https://twitter.com/Monogasse/status/723539015631310849","723539015631310849")</f>
        <v>723539015631310849</v>
      </c>
      <c r="F4276" s="11" t="s">
        <v>91</v>
      </c>
      <c r="G4276" s="11">
        <v>32</v>
      </c>
      <c r="H4276" s="11">
        <v>29</v>
      </c>
      <c r="I4276" s="11">
        <v>12</v>
      </c>
      <c r="J4276" s="11">
        <v>0</v>
      </c>
      <c r="K4276" s="11" t="s">
        <v>21</v>
      </c>
      <c r="L4276" s="7">
        <v>42273.990497685183</v>
      </c>
      <c r="M4276" s="12" t="s">
        <v>10097</v>
      </c>
      <c r="N4276" s="12" t="s">
        <v>10098</v>
      </c>
      <c r="O4276" s="10" t="str">
        <f>HYPERLINK("https://pbs.twimg.com/profile_images/672942753295294464/GspCtXty_normal.jpg","View")</f>
        <v>View</v>
      </c>
      <c r="P4276" s="11"/>
    </row>
    <row r="4277" spans="1:16" ht="12.75" x14ac:dyDescent="0.35">
      <c r="A4277" s="7">
        <v>42482.888483796298</v>
      </c>
      <c r="B4277" s="8" t="str">
        <f>HYPERLINK("https://twitter.com/ukoepke","@ukoepke")</f>
        <v>@ukoepke</v>
      </c>
      <c r="C4277" s="9" t="s">
        <v>10099</v>
      </c>
      <c r="D4277" s="9" t="s">
        <v>10100</v>
      </c>
      <c r="E4277" s="10" t="str">
        <f>HYPERLINK("https://twitter.com/ukoepke/status/723539210230194177","723539210230194177")</f>
        <v>723539210230194177</v>
      </c>
      <c r="F4277" s="11" t="s">
        <v>43</v>
      </c>
      <c r="G4277" s="11">
        <v>150</v>
      </c>
      <c r="H4277" s="11">
        <v>439</v>
      </c>
      <c r="I4277" s="11">
        <v>0</v>
      </c>
      <c r="J4277" s="11">
        <v>0</v>
      </c>
      <c r="K4277" s="11" t="s">
        <v>21</v>
      </c>
      <c r="L4277" s="7">
        <v>39984.897511574076</v>
      </c>
      <c r="M4277" s="12" t="s">
        <v>1359</v>
      </c>
      <c r="N4277" s="12"/>
      <c r="O4277" s="10" t="str">
        <f>HYPERLINK("https://pbs.twimg.com/profile_images/617758971861037056/Nj6rNKM3_normal.jpg","View")</f>
        <v>View</v>
      </c>
      <c r="P4277" s="11"/>
    </row>
    <row r="4278" spans="1:16" ht="12.75" x14ac:dyDescent="0.35">
      <c r="A4278" s="7">
        <v>42482.888912037037</v>
      </c>
      <c r="B4278" s="8" t="str">
        <f>HYPERLINK("https://twitter.com/FreeAverageJoe","@FreeAverageJoe")</f>
        <v>@FreeAverageJoe</v>
      </c>
      <c r="C4278" s="9" t="s">
        <v>10101</v>
      </c>
      <c r="D4278" s="9" t="s">
        <v>10014</v>
      </c>
      <c r="E4278" s="10" t="str">
        <f>HYPERLINK("https://twitter.com/FreeAverageJoe/status/723539368481296384","723539368481296384")</f>
        <v>723539368481296384</v>
      </c>
      <c r="F4278" s="11" t="s">
        <v>288</v>
      </c>
      <c r="G4278" s="11">
        <v>25997</v>
      </c>
      <c r="H4278" s="11">
        <v>25795</v>
      </c>
      <c r="I4278" s="11">
        <v>4</v>
      </c>
      <c r="J4278" s="11">
        <v>0</v>
      </c>
      <c r="K4278" s="11" t="s">
        <v>21</v>
      </c>
      <c r="L4278" s="7">
        <v>40303.13989583333</v>
      </c>
      <c r="M4278" s="12" t="s">
        <v>532</v>
      </c>
      <c r="N4278" s="12" t="s">
        <v>10102</v>
      </c>
      <c r="O4278" s="10" t="str">
        <f>HYPERLINK("https://pbs.twimg.com/profile_images/454996800881975296/Mjmz9Uju_normal.jpeg","View")</f>
        <v>View</v>
      </c>
      <c r="P4278" s="11"/>
    </row>
    <row r="4279" spans="1:16" ht="12.75" x14ac:dyDescent="0.35">
      <c r="A4279" s="7">
        <v>42482.889108796298</v>
      </c>
      <c r="B4279" s="8" t="str">
        <f>HYPERLINK("https://twitter.com/DarioRickensdor","@DarioRickensdor")</f>
        <v>@DarioRickensdor</v>
      </c>
      <c r="C4279" s="9" t="s">
        <v>10103</v>
      </c>
      <c r="D4279" s="9" t="s">
        <v>10104</v>
      </c>
      <c r="E4279" s="10" t="str">
        <f>HYPERLINK("https://twitter.com/DarioRickensdor/status/723539439209857024","723539439209857024")</f>
        <v>723539439209857024</v>
      </c>
      <c r="F4279" s="11" t="s">
        <v>48</v>
      </c>
      <c r="G4279" s="11">
        <v>13</v>
      </c>
      <c r="H4279" s="11">
        <v>59</v>
      </c>
      <c r="I4279" s="11">
        <v>1</v>
      </c>
      <c r="J4279" s="11">
        <v>0</v>
      </c>
      <c r="K4279" s="11" t="s">
        <v>21</v>
      </c>
      <c r="L4279" s="7">
        <v>42398.094317129631</v>
      </c>
      <c r="M4279" s="12"/>
      <c r="N4279" s="12"/>
      <c r="O4279" s="10" t="str">
        <f>HYPERLINK("https://pbs.twimg.com/profile_images/712400455792521216/vRZrkD5K_normal.jpg","View")</f>
        <v>View</v>
      </c>
      <c r="P4279" s="11"/>
    </row>
    <row r="4280" spans="1:16" ht="12.75" x14ac:dyDescent="0.35">
      <c r="A4280" s="7">
        <v>42482.889444444445</v>
      </c>
      <c r="B4280" s="8" t="str">
        <f>HYPERLINK("https://twitter.com/zupalive","@zupalive")</f>
        <v>@zupalive</v>
      </c>
      <c r="C4280" s="9" t="s">
        <v>10105</v>
      </c>
      <c r="D4280" s="9" t="s">
        <v>10106</v>
      </c>
      <c r="E4280" s="10" t="str">
        <f>HYPERLINK("https://twitter.com/zupalive/status/723539561943433216","723539561943433216")</f>
        <v>723539561943433216</v>
      </c>
      <c r="F4280" s="11" t="s">
        <v>34</v>
      </c>
      <c r="G4280" s="11">
        <v>896</v>
      </c>
      <c r="H4280" s="11">
        <v>1023</v>
      </c>
      <c r="I4280" s="11">
        <v>0</v>
      </c>
      <c r="J4280" s="11">
        <v>0</v>
      </c>
      <c r="K4280" s="11" t="s">
        <v>21</v>
      </c>
      <c r="L4280" s="7">
        <v>41630.266238425924</v>
      </c>
      <c r="M4280" s="12" t="s">
        <v>10107</v>
      </c>
      <c r="N4280" s="12" t="s">
        <v>10108</v>
      </c>
      <c r="O4280" s="10" t="str">
        <f>HYPERLINK("https://pbs.twimg.com/profile_images/704935236069670912/sAr0lhJJ_normal.jpg","View")</f>
        <v>View</v>
      </c>
      <c r="P4280" s="11"/>
    </row>
    <row r="4281" spans="1:16" ht="12.75" x14ac:dyDescent="0.35">
      <c r="A4281" s="7">
        <v>42482.889537037037</v>
      </c>
      <c r="B4281" s="8" t="str">
        <f>HYPERLINK("https://twitter.com/MaryVahey","@MaryVahey")</f>
        <v>@MaryVahey</v>
      </c>
      <c r="C4281" s="9" t="s">
        <v>10109</v>
      </c>
      <c r="D4281" s="9" t="s">
        <v>7522</v>
      </c>
      <c r="E4281" s="10" t="str">
        <f>HYPERLINK("https://twitter.com/MaryVahey/status/723539593853808644","723539593853808644")</f>
        <v>723539593853808644</v>
      </c>
      <c r="F4281" s="11" t="s">
        <v>20</v>
      </c>
      <c r="G4281" s="11">
        <v>74</v>
      </c>
      <c r="H4281" s="11">
        <v>131</v>
      </c>
      <c r="I4281" s="11">
        <v>2</v>
      </c>
      <c r="J4281" s="11">
        <v>0</v>
      </c>
      <c r="K4281" s="11" t="s">
        <v>21</v>
      </c>
      <c r="L4281" s="7">
        <v>41112.339606481481</v>
      </c>
      <c r="M4281" s="12"/>
      <c r="N4281" s="12"/>
      <c r="O4281" s="10" t="str">
        <f>HYPERLINK("https://pbs.twimg.com/profile_images/534482302332858368/gCK4G7au_normal.jpeg","View")</f>
        <v>View</v>
      </c>
      <c r="P4281" s="11"/>
    </row>
    <row r="4282" spans="1:16" ht="12.75" x14ac:dyDescent="0.35">
      <c r="A4282" s="7">
        <v>42482.890104166669</v>
      </c>
      <c r="B4282" s="8" t="str">
        <f>HYPERLINK("https://twitter.com/fxdx","@fxdx")</f>
        <v>@fxdx</v>
      </c>
      <c r="C4282" s="9" t="s">
        <v>10110</v>
      </c>
      <c r="D4282" s="9" t="s">
        <v>10111</v>
      </c>
      <c r="E4282" s="10" t="str">
        <f>HYPERLINK("https://twitter.com/fxdx/status/723539797290131458","723539797290131458")</f>
        <v>723539797290131458</v>
      </c>
      <c r="F4282" s="11" t="s">
        <v>160</v>
      </c>
      <c r="G4282" s="11">
        <v>1050</v>
      </c>
      <c r="H4282" s="11">
        <v>1292</v>
      </c>
      <c r="I4282" s="11">
        <v>1</v>
      </c>
      <c r="J4282" s="11">
        <v>0</v>
      </c>
      <c r="K4282" s="11" t="s">
        <v>21</v>
      </c>
      <c r="L4282" s="7">
        <v>39848.571354166663</v>
      </c>
      <c r="M4282" s="12" t="s">
        <v>6984</v>
      </c>
      <c r="N4282" s="12" t="s">
        <v>10112</v>
      </c>
      <c r="O4282" s="10" t="str">
        <f>HYPERLINK("https://pbs.twimg.com/profile_images/1242530988/Avatar_fxdx_bird_pp3_normal.jpeg","View")</f>
        <v>View</v>
      </c>
      <c r="P4282" s="11"/>
    </row>
    <row r="4283" spans="1:16" ht="12.75" x14ac:dyDescent="0.35">
      <c r="A4283" s="7">
        <v>42482.890856481477</v>
      </c>
      <c r="B4283" s="8" t="str">
        <f>HYPERLINK("https://twitter.com/zdmak","@zdmak")</f>
        <v>@zdmak</v>
      </c>
      <c r="C4283" s="9" t="s">
        <v>2476</v>
      </c>
      <c r="D4283" s="9" t="s">
        <v>10113</v>
      </c>
      <c r="E4283" s="10" t="str">
        <f>HYPERLINK("https://twitter.com/zdmak/status/723540070599397376","723540070599397376")</f>
        <v>723540070599397376</v>
      </c>
      <c r="F4283" s="11" t="s">
        <v>43</v>
      </c>
      <c r="G4283" s="11">
        <v>585</v>
      </c>
      <c r="H4283" s="11">
        <v>1252</v>
      </c>
      <c r="I4283" s="11">
        <v>0</v>
      </c>
      <c r="J4283" s="11">
        <v>0</v>
      </c>
      <c r="K4283" s="11" t="s">
        <v>21</v>
      </c>
      <c r="L4283" s="7">
        <v>40478.984224537038</v>
      </c>
      <c r="M4283" s="12" t="s">
        <v>305</v>
      </c>
      <c r="N4283" s="12" t="s">
        <v>2478</v>
      </c>
      <c r="O4283" s="10" t="str">
        <f>HYPERLINK("https://pbs.twimg.com/profile_images/573248726212325376/60EMO_jJ_normal.jpeg","View")</f>
        <v>View</v>
      </c>
      <c r="P4283" s="11"/>
    </row>
    <row r="4284" spans="1:16" ht="12.75" x14ac:dyDescent="0.35">
      <c r="A4284" s="7">
        <v>42482.891030092593</v>
      </c>
      <c r="B4284" s="8" t="str">
        <f>HYPERLINK("https://twitter.com/Spoekenkiekerei","@Spoekenkiekerei")</f>
        <v>@Spoekenkiekerei</v>
      </c>
      <c r="C4284" s="9" t="s">
        <v>8075</v>
      </c>
      <c r="D4284" s="9" t="s">
        <v>10114</v>
      </c>
      <c r="E4284" s="10" t="str">
        <f>HYPERLINK("https://twitter.com/Spoekenkiekerei/status/723540132889038848","723540132889038848")</f>
        <v>723540132889038848</v>
      </c>
      <c r="F4284" s="11" t="s">
        <v>43</v>
      </c>
      <c r="G4284" s="11">
        <v>52</v>
      </c>
      <c r="H4284" s="11">
        <v>51</v>
      </c>
      <c r="I4284" s="11">
        <v>0</v>
      </c>
      <c r="J4284" s="11">
        <v>0</v>
      </c>
      <c r="K4284" s="11" t="s">
        <v>21</v>
      </c>
      <c r="L4284" s="7">
        <v>42463.90929398148</v>
      </c>
      <c r="M4284" s="12" t="s">
        <v>8077</v>
      </c>
      <c r="N4284" s="12" t="s">
        <v>8078</v>
      </c>
      <c r="O4284" s="10" t="str">
        <f>HYPERLINK("https://pbs.twimg.com/profile_images/717382175071535104/1l_yueaA_normal.jpg","View")</f>
        <v>View</v>
      </c>
      <c r="P4284" s="11"/>
    </row>
    <row r="4285" spans="1:16" ht="12.75" x14ac:dyDescent="0.35">
      <c r="A4285" s="7">
        <v>42482.891087962962</v>
      </c>
      <c r="B4285" s="8" t="str">
        <f>HYPERLINK("https://twitter.com/nordlohner","@nordlohner")</f>
        <v>@nordlohner</v>
      </c>
      <c r="C4285" s="9" t="s">
        <v>3774</v>
      </c>
      <c r="D4285" s="9" t="s">
        <v>10115</v>
      </c>
      <c r="E4285" s="10" t="str">
        <f>HYPERLINK("https://twitter.com/nordlohner/status/723540157048197121","723540157048197121")</f>
        <v>723540157048197121</v>
      </c>
      <c r="F4285" s="11" t="s">
        <v>20</v>
      </c>
      <c r="G4285" s="11">
        <v>291</v>
      </c>
      <c r="H4285" s="11">
        <v>260</v>
      </c>
      <c r="I4285" s="11">
        <v>0</v>
      </c>
      <c r="J4285" s="11">
        <v>0</v>
      </c>
      <c r="K4285" s="11" t="s">
        <v>21</v>
      </c>
      <c r="L4285" s="7">
        <v>40830.607534722221</v>
      </c>
      <c r="M4285" s="12" t="s">
        <v>3776</v>
      </c>
      <c r="N4285" s="12" t="s">
        <v>3777</v>
      </c>
      <c r="O4285" s="10" t="str">
        <f>HYPERLINK("https://pbs.twimg.com/profile_images/689490163639123968/KvB_Hdux_normal.jpg","View")</f>
        <v>View</v>
      </c>
      <c r="P4285" s="11"/>
    </row>
    <row r="4286" spans="1:16" ht="12.75" x14ac:dyDescent="0.35">
      <c r="A4286" s="7">
        <v>42482.891157407408</v>
      </c>
      <c r="B4286" s="8" t="str">
        <f>HYPERLINK("https://twitter.com/imfree81","@imfree81")</f>
        <v>@imfree81</v>
      </c>
      <c r="C4286" s="9" t="s">
        <v>1413</v>
      </c>
      <c r="D4286" s="9" t="s">
        <v>10116</v>
      </c>
      <c r="E4286" s="10" t="str">
        <f>HYPERLINK("https://twitter.com/imfree81/status/723540179970068481","723540179970068481")</f>
        <v>723540179970068481</v>
      </c>
      <c r="F4286" s="11" t="s">
        <v>48</v>
      </c>
      <c r="G4286" s="11">
        <v>6477</v>
      </c>
      <c r="H4286" s="11">
        <v>1985</v>
      </c>
      <c r="I4286" s="11">
        <v>0</v>
      </c>
      <c r="J4286" s="11">
        <v>0</v>
      </c>
      <c r="K4286" s="11" t="s">
        <v>21</v>
      </c>
      <c r="L4286" s="7">
        <v>39992.946261574078</v>
      </c>
      <c r="M4286" s="12" t="s">
        <v>1415</v>
      </c>
      <c r="N4286" s="12" t="s">
        <v>1416</v>
      </c>
      <c r="O4286" s="10" t="str">
        <f>HYPERLINK("https://pbs.twimg.com/profile_images/1859860496/image_normal.jpg","View")</f>
        <v>View</v>
      </c>
      <c r="P4286" s="11"/>
    </row>
    <row r="4287" spans="1:16" ht="12.75" x14ac:dyDescent="0.35">
      <c r="A4287" s="7">
        <v>42482.89135416667</v>
      </c>
      <c r="B4287" s="8" t="str">
        <f>HYPERLINK("https://twitter.com/zdmak","@zdmak")</f>
        <v>@zdmak</v>
      </c>
      <c r="C4287" s="9" t="s">
        <v>2476</v>
      </c>
      <c r="D4287" s="9" t="s">
        <v>10117</v>
      </c>
      <c r="E4287" s="10" t="str">
        <f>HYPERLINK("https://twitter.com/zdmak/status/723540252045004800","723540252045004800")</f>
        <v>723540252045004800</v>
      </c>
      <c r="F4287" s="11" t="s">
        <v>43</v>
      </c>
      <c r="G4287" s="11">
        <v>585</v>
      </c>
      <c r="H4287" s="11">
        <v>1252</v>
      </c>
      <c r="I4287" s="11">
        <v>0</v>
      </c>
      <c r="J4287" s="11">
        <v>0</v>
      </c>
      <c r="K4287" s="11" t="s">
        <v>21</v>
      </c>
      <c r="L4287" s="7">
        <v>40478.984224537038</v>
      </c>
      <c r="M4287" s="12" t="s">
        <v>305</v>
      </c>
      <c r="N4287" s="12" t="s">
        <v>2478</v>
      </c>
      <c r="O4287" s="10" t="str">
        <f>HYPERLINK("https://pbs.twimg.com/profile_images/573248726212325376/60EMO_jJ_normal.jpeg","View")</f>
        <v>View</v>
      </c>
      <c r="P4287" s="11"/>
    </row>
    <row r="4288" spans="1:16" ht="12.75" x14ac:dyDescent="0.35">
      <c r="A4288" s="7">
        <v>42482.891446759255</v>
      </c>
      <c r="B4288" s="8" t="str">
        <f>HYPERLINK("https://twitter.com/NetzwerkggS21","@NetzwerkggS21")</f>
        <v>@NetzwerkggS21</v>
      </c>
      <c r="C4288" s="9" t="s">
        <v>2359</v>
      </c>
      <c r="D4288" s="9" t="s">
        <v>10118</v>
      </c>
      <c r="E4288" s="10" t="str">
        <f>HYPERLINK("https://twitter.com/NetzwerkggS21/status/723540284055891969","723540284055891969")</f>
        <v>723540284055891969</v>
      </c>
      <c r="F4288" s="11" t="s">
        <v>43</v>
      </c>
      <c r="G4288" s="11">
        <v>854</v>
      </c>
      <c r="H4288" s="11">
        <v>2111</v>
      </c>
      <c r="I4288" s="11">
        <v>0</v>
      </c>
      <c r="J4288" s="11">
        <v>0</v>
      </c>
      <c r="K4288" s="11" t="s">
        <v>21</v>
      </c>
      <c r="L4288" s="7">
        <v>41326.709363425922</v>
      </c>
      <c r="M4288" s="13" t="s">
        <v>2361</v>
      </c>
      <c r="N4288" s="12" t="s">
        <v>2362</v>
      </c>
      <c r="O4288" s="10" t="str">
        <f>HYPERLINK("https://pbs.twimg.com/profile_images/378800000528765970/3ab9f2a00010e9cac08d5ca1638926e9_normal.png","View")</f>
        <v>View</v>
      </c>
      <c r="P4288" s="11"/>
    </row>
    <row r="4289" spans="1:16" ht="12.75" x14ac:dyDescent="0.35">
      <c r="A4289" s="7">
        <v>42482.891886574071</v>
      </c>
      <c r="B4289" s="8" t="str">
        <f>HYPERLINK("https://twitter.com/UlrikeLuehe","@UlrikeLuehe")</f>
        <v>@UlrikeLuehe</v>
      </c>
      <c r="C4289" s="9" t="s">
        <v>10119</v>
      </c>
      <c r="D4289" s="9" t="s">
        <v>9782</v>
      </c>
      <c r="E4289" s="10" t="str">
        <f>HYPERLINK("https://twitter.com/UlrikeLuehe/status/723540445268185090","723540445268185090")</f>
        <v>723540445268185090</v>
      </c>
      <c r="F4289" s="11" t="s">
        <v>43</v>
      </c>
      <c r="G4289" s="11">
        <v>101</v>
      </c>
      <c r="H4289" s="11">
        <v>143</v>
      </c>
      <c r="I4289" s="11">
        <v>5</v>
      </c>
      <c r="J4289" s="11">
        <v>0</v>
      </c>
      <c r="K4289" s="11" t="s">
        <v>21</v>
      </c>
      <c r="L4289" s="7">
        <v>41467.660428240742</v>
      </c>
      <c r="M4289" s="12"/>
      <c r="N4289" s="12" t="s">
        <v>10120</v>
      </c>
      <c r="O4289" s="10" t="str">
        <f>HYPERLINK("https://abs.twimg.com/sticky/default_profile_images/default_profile_4_normal.png","View")</f>
        <v>View</v>
      </c>
      <c r="P4289" s="11"/>
    </row>
    <row r="4290" spans="1:16" ht="12.75" x14ac:dyDescent="0.35">
      <c r="A4290" s="7">
        <v>42482.89340277778</v>
      </c>
      <c r="B4290" s="8" t="str">
        <f>HYPERLINK("https://twitter.com/LukasBouwman","@LukasBouwman")</f>
        <v>@LukasBouwman</v>
      </c>
      <c r="C4290" s="9" t="s">
        <v>10121</v>
      </c>
      <c r="D4290" s="9" t="s">
        <v>10122</v>
      </c>
      <c r="E4290" s="10" t="str">
        <f>HYPERLINK("https://twitter.com/LukasBouwman/status/723540994722004992","723540994722004992")</f>
        <v>723540994722004992</v>
      </c>
      <c r="F4290" s="11" t="s">
        <v>48</v>
      </c>
      <c r="G4290" s="11">
        <v>200</v>
      </c>
      <c r="H4290" s="11">
        <v>0</v>
      </c>
      <c r="I4290" s="11">
        <v>0</v>
      </c>
      <c r="J4290" s="11">
        <v>0</v>
      </c>
      <c r="K4290" s="11" t="s">
        <v>21</v>
      </c>
      <c r="L4290" s="7">
        <v>40821.74181712963</v>
      </c>
      <c r="M4290" s="12" t="s">
        <v>10123</v>
      </c>
      <c r="N4290" s="12" t="s">
        <v>10124</v>
      </c>
      <c r="O4290" s="10" t="str">
        <f>HYPERLINK("https://pbs.twimg.com/profile_images/1694897534/LukasBouwman_normal.jpg","View")</f>
        <v>View</v>
      </c>
      <c r="P4290" s="11"/>
    </row>
    <row r="4291" spans="1:16" ht="12.75" x14ac:dyDescent="0.35">
      <c r="A4291" s="7">
        <v>42482.893773148149</v>
      </c>
      <c r="B4291" s="8" t="str">
        <f>HYPERLINK("https://twitter.com/karicio","@karicio")</f>
        <v>@karicio</v>
      </c>
      <c r="C4291" s="9" t="s">
        <v>10125</v>
      </c>
      <c r="D4291" s="9" t="s">
        <v>6352</v>
      </c>
      <c r="E4291" s="10" t="str">
        <f>HYPERLINK("https://twitter.com/karicio/status/723541127475937280","723541127475937280")</f>
        <v>723541127475937280</v>
      </c>
      <c r="F4291" s="11" t="s">
        <v>48</v>
      </c>
      <c r="G4291" s="11">
        <v>394</v>
      </c>
      <c r="H4291" s="11">
        <v>214</v>
      </c>
      <c r="I4291" s="11">
        <v>31</v>
      </c>
      <c r="J4291" s="11">
        <v>0</v>
      </c>
      <c r="K4291" s="11" t="s">
        <v>21</v>
      </c>
      <c r="L4291" s="7">
        <v>40539.072326388887</v>
      </c>
      <c r="M4291" s="12" t="s">
        <v>10126</v>
      </c>
      <c r="N4291" s="12" t="s">
        <v>10127</v>
      </c>
      <c r="O4291" s="10" t="str">
        <f>HYPERLINK("https://pbs.twimg.com/profile_images/685173983575207936/F1JJO_rx_normal.jpg","View")</f>
        <v>View</v>
      </c>
      <c r="P4291" s="11"/>
    </row>
    <row r="4292" spans="1:16" ht="12.75" x14ac:dyDescent="0.35">
      <c r="A4292" s="7">
        <v>42482.893877314811</v>
      </c>
      <c r="B4292" s="8" t="str">
        <f>HYPERLINK("https://twitter.com/TommyMontoya","@TommyMontoya")</f>
        <v>@TommyMontoya</v>
      </c>
      <c r="C4292" s="9" t="s">
        <v>10128</v>
      </c>
      <c r="D4292" s="9" t="s">
        <v>10129</v>
      </c>
      <c r="E4292" s="10" t="str">
        <f>HYPERLINK("https://twitter.com/TommyMontoya/status/723541166830952449","723541166830952449")</f>
        <v>723541166830952449</v>
      </c>
      <c r="F4292" s="11" t="s">
        <v>114</v>
      </c>
      <c r="G4292" s="11">
        <v>68483</v>
      </c>
      <c r="H4292" s="11">
        <v>374</v>
      </c>
      <c r="I4292" s="11">
        <v>0</v>
      </c>
      <c r="J4292" s="11">
        <v>0</v>
      </c>
      <c r="K4292" s="11" t="s">
        <v>21</v>
      </c>
      <c r="L4292" s="7">
        <v>40478.556296296294</v>
      </c>
      <c r="M4292" s="12" t="s">
        <v>10130</v>
      </c>
      <c r="N4292" s="12" t="s">
        <v>10131</v>
      </c>
      <c r="O4292" s="10" t="str">
        <f>HYPERLINK("https://pbs.twimg.com/profile_images/1398995265/IMG-20110616-00680_normal.jpg","View")</f>
        <v>View</v>
      </c>
      <c r="P4292" s="11"/>
    </row>
    <row r="4293" spans="1:16" ht="12.75" x14ac:dyDescent="0.35">
      <c r="A4293" s="7">
        <v>42482.894201388888</v>
      </c>
      <c r="B4293" s="8" t="str">
        <f>HYPERLINK("https://twitter.com/VWwaterloo","@VWwaterloo")</f>
        <v>@VWwaterloo</v>
      </c>
      <c r="C4293" s="9" t="s">
        <v>10132</v>
      </c>
      <c r="D4293" s="9" t="s">
        <v>10133</v>
      </c>
      <c r="E4293" s="10" t="str">
        <f>HYPERLINK("https://twitter.com/VWwaterloo/status/723541282761617408","723541282761617408")</f>
        <v>723541282761617408</v>
      </c>
      <c r="F4293" s="11" t="s">
        <v>43</v>
      </c>
      <c r="G4293" s="11">
        <v>365</v>
      </c>
      <c r="H4293" s="11">
        <v>166</v>
      </c>
      <c r="I4293" s="11">
        <v>0</v>
      </c>
      <c r="J4293" s="11">
        <v>0</v>
      </c>
      <c r="K4293" s="11" t="s">
        <v>21</v>
      </c>
      <c r="L4293" s="7">
        <v>41502.130879629629</v>
      </c>
      <c r="M4293" s="12" t="s">
        <v>10134</v>
      </c>
      <c r="N4293" s="12" t="s">
        <v>10135</v>
      </c>
      <c r="O4293" s="10" t="str">
        <f>HYPERLINK("https://pbs.twimg.com/profile_images/378800000304359644/b4a7ca4814d7f1bf6ad3b81ad5c37f5c_normal.jpeg","View")</f>
        <v>View</v>
      </c>
      <c r="P4293" s="11"/>
    </row>
    <row r="4294" spans="1:16" ht="12.75" x14ac:dyDescent="0.35">
      <c r="A4294" s="7">
        <v>42482.894791666666</v>
      </c>
      <c r="B4294" s="8" t="str">
        <f>HYPERLINK("https://twitter.com/kking67","@kking67")</f>
        <v>@kking67</v>
      </c>
      <c r="C4294" s="9" t="s">
        <v>10136</v>
      </c>
      <c r="D4294" s="9" t="s">
        <v>10137</v>
      </c>
      <c r="E4294" s="10" t="str">
        <f>HYPERLINK("https://twitter.com/kking67/status/723541496708911105","723541496708911105")</f>
        <v>723541496708911105</v>
      </c>
      <c r="F4294" s="11" t="s">
        <v>20</v>
      </c>
      <c r="G4294" s="11">
        <v>264</v>
      </c>
      <c r="H4294" s="11">
        <v>200</v>
      </c>
      <c r="I4294" s="11">
        <v>0</v>
      </c>
      <c r="J4294" s="11">
        <v>0</v>
      </c>
      <c r="K4294" s="11" t="s">
        <v>21</v>
      </c>
      <c r="L4294" s="7">
        <v>41265.309918981482</v>
      </c>
      <c r="M4294" s="12"/>
      <c r="N4294" s="12" t="s">
        <v>10138</v>
      </c>
      <c r="O4294" s="10" t="str">
        <f>HYPERLINK("https://pbs.twimg.com/profile_images/703826596663136256/QIIRK33q_normal.jpg","View")</f>
        <v>View</v>
      </c>
      <c r="P4294" s="11"/>
    </row>
    <row r="4295" spans="1:16" ht="12.75" x14ac:dyDescent="0.35">
      <c r="A4295" s="7">
        <v>42482.896238425921</v>
      </c>
      <c r="B4295" s="8" t="str">
        <f>HYPERLINK("https://twitter.com/RodriContrera01","@RodriContrera01")</f>
        <v>@RodriContrera01</v>
      </c>
      <c r="C4295" s="9" t="s">
        <v>10139</v>
      </c>
      <c r="D4295" s="9" t="s">
        <v>6263</v>
      </c>
      <c r="E4295" s="10" t="str">
        <f>HYPERLINK("https://twitter.com/RodriContrera01/status/723542021869182976","723542021869182976")</f>
        <v>723542021869182976</v>
      </c>
      <c r="F4295" s="11" t="s">
        <v>1838</v>
      </c>
      <c r="G4295" s="11">
        <v>285</v>
      </c>
      <c r="H4295" s="11">
        <v>226</v>
      </c>
      <c r="I4295" s="11">
        <v>25</v>
      </c>
      <c r="J4295" s="11">
        <v>0</v>
      </c>
      <c r="K4295" s="11" t="s">
        <v>21</v>
      </c>
      <c r="L4295" s="7">
        <v>42264.323622685188</v>
      </c>
      <c r="M4295" s="12" t="s">
        <v>10140</v>
      </c>
      <c r="N4295" s="12" t="s">
        <v>10141</v>
      </c>
      <c r="O4295" s="10" t="str">
        <f>HYPERLINK("https://pbs.twimg.com/profile_images/701000443535749121/En8izo6p_normal.jpg","View")</f>
        <v>View</v>
      </c>
      <c r="P4295" s="11"/>
    </row>
    <row r="4296" spans="1:16" ht="12.75" x14ac:dyDescent="0.35">
      <c r="A4296" s="7">
        <v>42482.896319444444</v>
      </c>
      <c r="B4296" s="8" t="str">
        <f>HYPERLINK("https://twitter.com/kngeuro","@kngeuro")</f>
        <v>@kngeuro</v>
      </c>
      <c r="C4296" s="9" t="s">
        <v>833</v>
      </c>
      <c r="D4296" s="9" t="s">
        <v>10142</v>
      </c>
      <c r="E4296" s="10" t="str">
        <f>HYPERLINK("https://twitter.com/kngeuro/status/723542051124445184","723542051124445184")</f>
        <v>723542051124445184</v>
      </c>
      <c r="F4296" s="11" t="s">
        <v>53</v>
      </c>
      <c r="G4296" s="11">
        <v>760</v>
      </c>
      <c r="H4296" s="11">
        <v>451</v>
      </c>
      <c r="I4296" s="11">
        <v>1</v>
      </c>
      <c r="J4296" s="11">
        <v>0</v>
      </c>
      <c r="K4296" s="11" t="s">
        <v>21</v>
      </c>
      <c r="L4296" s="7">
        <v>40319.120925925927</v>
      </c>
      <c r="M4296" s="12" t="s">
        <v>835</v>
      </c>
      <c r="N4296" s="12" t="s">
        <v>836</v>
      </c>
      <c r="O4296" s="10" t="str">
        <f>HYPERLINK("https://pbs.twimg.com/profile_images/570375988065935360/ooT_Nq7x_normal.jpeg","View")</f>
        <v>View</v>
      </c>
      <c r="P4296" s="11"/>
    </row>
    <row r="4297" spans="1:16" ht="12.75" x14ac:dyDescent="0.35">
      <c r="A4297" s="7">
        <v>42482.896782407406</v>
      </c>
      <c r="B4297" s="8" t="str">
        <f>HYPERLINK("https://twitter.com/CeciDiBernardo","@CeciDiBernardo")</f>
        <v>@CeciDiBernardo</v>
      </c>
      <c r="C4297" s="9" t="s">
        <v>10143</v>
      </c>
      <c r="D4297" s="9" t="s">
        <v>6352</v>
      </c>
      <c r="E4297" s="10" t="str">
        <f>HYPERLINK("https://twitter.com/CeciDiBernardo/status/723542220851138560","723542220851138560")</f>
        <v>723542220851138560</v>
      </c>
      <c r="F4297" s="11" t="s">
        <v>48</v>
      </c>
      <c r="G4297" s="11">
        <v>803</v>
      </c>
      <c r="H4297" s="11">
        <v>526</v>
      </c>
      <c r="I4297" s="11">
        <v>33</v>
      </c>
      <c r="J4297" s="11">
        <v>0</v>
      </c>
      <c r="K4297" s="11" t="s">
        <v>21</v>
      </c>
      <c r="L4297" s="7">
        <v>40805.028113425928</v>
      </c>
      <c r="M4297" s="12" t="s">
        <v>10144</v>
      </c>
      <c r="N4297" s="12" t="s">
        <v>10145</v>
      </c>
      <c r="O4297" s="10" t="str">
        <f>HYPERLINK("https://pbs.twimg.com/profile_images/721039232865812484/sR4TERJf_normal.jpg","View")</f>
        <v>View</v>
      </c>
      <c r="P4297" s="11"/>
    </row>
    <row r="4298" spans="1:16" ht="12.75" x14ac:dyDescent="0.35">
      <c r="A4298" s="7">
        <v>42482.896909722222</v>
      </c>
      <c r="B4298" s="8" t="str">
        <f>HYPERLINK("https://twitter.com/Fotobiene","@Fotobiene")</f>
        <v>@Fotobiene</v>
      </c>
      <c r="C4298" s="9" t="s">
        <v>2977</v>
      </c>
      <c r="D4298" s="9" t="s">
        <v>10146</v>
      </c>
      <c r="E4298" s="10" t="str">
        <f>HYPERLINK("https://twitter.com/Fotobiene/status/723542267122843648","723542267122843648")</f>
        <v>723542267122843648</v>
      </c>
      <c r="F4298" s="11" t="s">
        <v>160</v>
      </c>
      <c r="G4298" s="11">
        <v>372</v>
      </c>
      <c r="H4298" s="11">
        <v>589</v>
      </c>
      <c r="I4298" s="11">
        <v>1</v>
      </c>
      <c r="J4298" s="11">
        <v>0</v>
      </c>
      <c r="K4298" s="11" t="s">
        <v>21</v>
      </c>
      <c r="L4298" s="7">
        <v>40363.94840277778</v>
      </c>
      <c r="M4298" s="12" t="s">
        <v>1116</v>
      </c>
      <c r="N4298" s="12" t="s">
        <v>2978</v>
      </c>
      <c r="O4298" s="10" t="str">
        <f>HYPERLINK("https://pbs.twimg.com/profile_images/476894592051056640/bqGCxWkq_normal.jpeg","View")</f>
        <v>View</v>
      </c>
      <c r="P4298" s="11"/>
    </row>
    <row r="4299" spans="1:16" ht="12.75" x14ac:dyDescent="0.35">
      <c r="A4299" s="7">
        <v>42482.897094907406</v>
      </c>
      <c r="B4299" s="8" t="str">
        <f>HYPERLINK("https://twitter.com/dermaschinist","@dermaschinist")</f>
        <v>@dermaschinist</v>
      </c>
      <c r="C4299" s="9" t="s">
        <v>2483</v>
      </c>
      <c r="D4299" s="9" t="s">
        <v>10147</v>
      </c>
      <c r="E4299" s="10" t="str">
        <f>HYPERLINK("https://twitter.com/dermaschinist/status/723542331815788544","723542331815788544")</f>
        <v>723542331815788544</v>
      </c>
      <c r="F4299" s="11" t="s">
        <v>2485</v>
      </c>
      <c r="G4299" s="11">
        <v>1831</v>
      </c>
      <c r="H4299" s="11">
        <v>1014</v>
      </c>
      <c r="I4299" s="11">
        <v>1</v>
      </c>
      <c r="J4299" s="11">
        <v>1</v>
      </c>
      <c r="K4299" s="11" t="s">
        <v>21</v>
      </c>
      <c r="L4299" s="7">
        <v>40022.197916666664</v>
      </c>
      <c r="M4299" s="12"/>
      <c r="N4299" s="12" t="s">
        <v>2486</v>
      </c>
      <c r="O4299" s="10" t="str">
        <f>HYPERLINK("https://pbs.twimg.com/profile_images/2990215932/3d67f4dbdf71510d4c8e81b422b73de8_normal.jpeg","View")</f>
        <v>View</v>
      </c>
      <c r="P4299" s="11"/>
    </row>
    <row r="4300" spans="1:16" ht="12.75" x14ac:dyDescent="0.35">
      <c r="A4300" s="7">
        <v>42482.897314814814</v>
      </c>
      <c r="B4300" s="8" t="str">
        <f>HYPERLINK("https://twitter.com/instock_de","@instock_de")</f>
        <v>@instock_de</v>
      </c>
      <c r="C4300" s="8" t="s">
        <v>1723</v>
      </c>
      <c r="D4300" s="9" t="s">
        <v>10148</v>
      </c>
      <c r="E4300" s="10" t="str">
        <f>HYPERLINK("https://twitter.com/instock_de/status/723542412535173121","723542412535173121")</f>
        <v>723542412535173121</v>
      </c>
      <c r="F4300" s="11" t="s">
        <v>43</v>
      </c>
      <c r="G4300" s="11">
        <v>158</v>
      </c>
      <c r="H4300" s="11">
        <v>82</v>
      </c>
      <c r="I4300" s="11">
        <v>0</v>
      </c>
      <c r="J4300" s="11">
        <v>0</v>
      </c>
      <c r="K4300" s="11" t="s">
        <v>21</v>
      </c>
      <c r="L4300" s="7">
        <v>40441.683877314819</v>
      </c>
      <c r="M4300" s="12" t="s">
        <v>1725</v>
      </c>
      <c r="N4300" s="12" t="s">
        <v>1726</v>
      </c>
      <c r="O4300" s="10" t="str">
        <f>HYPERLINK("https://pbs.twimg.com/profile_images/1200648485/instock_normal.jpg","View")</f>
        <v>View</v>
      </c>
      <c r="P4300" s="11"/>
    </row>
    <row r="4301" spans="1:16" ht="12.75" x14ac:dyDescent="0.35">
      <c r="A4301" s="7">
        <v>42482.897777777776</v>
      </c>
      <c r="B4301" s="8" t="str">
        <f>HYPERLINK("https://twitter.com/089stadt","@089stadt")</f>
        <v>@089stadt</v>
      </c>
      <c r="C4301" s="9" t="s">
        <v>3231</v>
      </c>
      <c r="D4301" s="9" t="s">
        <v>10149</v>
      </c>
      <c r="E4301" s="10" t="str">
        <f>HYPERLINK("https://twitter.com/089stadt/status/723542581750075392","723542581750075392")</f>
        <v>723542581750075392</v>
      </c>
      <c r="F4301" s="11" t="s">
        <v>2206</v>
      </c>
      <c r="G4301" s="11">
        <v>229</v>
      </c>
      <c r="H4301" s="11">
        <v>5</v>
      </c>
      <c r="I4301" s="11">
        <v>0</v>
      </c>
      <c r="J4301" s="11">
        <v>0</v>
      </c>
      <c r="K4301" s="11" t="s">
        <v>21</v>
      </c>
      <c r="L4301" s="7">
        <v>40873.942430555559</v>
      </c>
      <c r="M4301" s="12" t="s">
        <v>3233</v>
      </c>
      <c r="N4301" s="12" t="s">
        <v>3234</v>
      </c>
      <c r="O4301" s="10" t="str">
        <f>HYPERLINK("https://pbs.twimg.com/profile_images/1785128505/munich_normal.png","View")</f>
        <v>View</v>
      </c>
      <c r="P4301" s="11"/>
    </row>
    <row r="4302" spans="1:16" ht="12.75" x14ac:dyDescent="0.35">
      <c r="A4302" s="7">
        <v>42482.897986111115</v>
      </c>
      <c r="B4302" s="8" t="str">
        <f>HYPERLINK("https://twitter.com/chapmanphilly","@chapmanphilly")</f>
        <v>@chapmanphilly</v>
      </c>
      <c r="C4302" s="9" t="s">
        <v>4092</v>
      </c>
      <c r="D4302" s="9" t="s">
        <v>10150</v>
      </c>
      <c r="E4302" s="10" t="str">
        <f>HYPERLINK("https://twitter.com/chapmanphilly/status/723542655137886209","723542655137886209")</f>
        <v>723542655137886209</v>
      </c>
      <c r="F4302" s="11" t="s">
        <v>152</v>
      </c>
      <c r="G4302" s="11">
        <v>156</v>
      </c>
      <c r="H4302" s="11">
        <v>340</v>
      </c>
      <c r="I4302" s="11">
        <v>0</v>
      </c>
      <c r="J4302" s="11">
        <v>0</v>
      </c>
      <c r="K4302" s="11" t="s">
        <v>21</v>
      </c>
      <c r="L4302" s="7">
        <v>40242.920787037037</v>
      </c>
      <c r="M4302" s="12" t="s">
        <v>4094</v>
      </c>
      <c r="N4302" s="12" t="s">
        <v>4095</v>
      </c>
      <c r="O4302" s="10" t="str">
        <f>HYPERLINK("https://pbs.twimg.com/profile_images/378800000600543486/069e6d3a14dfc922c29d7cecf5dd463a_normal.jpeg","View")</f>
        <v>View</v>
      </c>
      <c r="P4302" s="11"/>
    </row>
    <row r="4303" spans="1:16" ht="12.75" x14ac:dyDescent="0.35">
      <c r="A4303" s="7">
        <v>42482.898530092592</v>
      </c>
      <c r="B4303" s="8" t="str">
        <f>HYPERLINK("https://twitter.com/olandero","@olandero")</f>
        <v>@olandero</v>
      </c>
      <c r="C4303" s="9" t="s">
        <v>10151</v>
      </c>
      <c r="D4303" s="9" t="s">
        <v>10152</v>
      </c>
      <c r="E4303" s="10" t="str">
        <f>HYPERLINK("https://twitter.com/olandero/status/723542853905948672","723542853905948672")</f>
        <v>723542853905948672</v>
      </c>
      <c r="F4303" s="11" t="s">
        <v>114</v>
      </c>
      <c r="G4303" s="11">
        <v>80</v>
      </c>
      <c r="H4303" s="11">
        <v>335</v>
      </c>
      <c r="I4303" s="11">
        <v>0</v>
      </c>
      <c r="J4303" s="11">
        <v>0</v>
      </c>
      <c r="K4303" s="11" t="s">
        <v>21</v>
      </c>
      <c r="L4303" s="7">
        <v>40353.324976851851</v>
      </c>
      <c r="M4303" s="12" t="s">
        <v>835</v>
      </c>
      <c r="N4303" s="12"/>
      <c r="O4303" s="10" t="str">
        <f>HYPERLINK("https://pbs.twimg.com/profile_images/3369387691/8dd48ed42f95dd55b227e4add94d0632_normal.jpeg","View")</f>
        <v>View</v>
      </c>
      <c r="P4303" s="11"/>
    </row>
    <row r="4304" spans="1:16" ht="12.75" x14ac:dyDescent="0.35">
      <c r="A4304" s="7">
        <v>42482.898622685185</v>
      </c>
      <c r="B4304" s="8" t="str">
        <f>HYPERLINK("https://twitter.com/rogerwilc00","@rogerwilc00")</f>
        <v>@rogerwilc00</v>
      </c>
      <c r="C4304" s="9" t="s">
        <v>9773</v>
      </c>
      <c r="D4304" s="9" t="s">
        <v>10153</v>
      </c>
      <c r="E4304" s="10" t="str">
        <f>HYPERLINK("https://twitter.com/rogerwilc00/status/723542884293685248","723542884293685248")</f>
        <v>723542884293685248</v>
      </c>
      <c r="F4304" s="11" t="s">
        <v>43</v>
      </c>
      <c r="G4304" s="11">
        <v>107</v>
      </c>
      <c r="H4304" s="11">
        <v>199</v>
      </c>
      <c r="I4304" s="11">
        <v>1</v>
      </c>
      <c r="J4304" s="11">
        <v>0</v>
      </c>
      <c r="K4304" s="11" t="s">
        <v>21</v>
      </c>
      <c r="L4304" s="7">
        <v>42348.811539351853</v>
      </c>
      <c r="M4304" s="12" t="s">
        <v>2907</v>
      </c>
      <c r="N4304" s="12" t="s">
        <v>9774</v>
      </c>
      <c r="O4304" s="10" t="str">
        <f>HYPERLINK("https://pbs.twimg.com/profile_images/721449536795840512/vY3zlT7W_normal.jpg","View")</f>
        <v>View</v>
      </c>
      <c r="P4304" s="11"/>
    </row>
    <row r="4305" spans="1:16" ht="12.75" x14ac:dyDescent="0.35">
      <c r="A4305" s="7">
        <v>42482.898854166662</v>
      </c>
      <c r="B4305" s="8" t="str">
        <f>HYPERLINK("https://twitter.com/zervaspepper","@zervaspepper")</f>
        <v>@zervaspepper</v>
      </c>
      <c r="C4305" s="9" t="s">
        <v>10154</v>
      </c>
      <c r="D4305" s="9" t="s">
        <v>10155</v>
      </c>
      <c r="E4305" s="10" t="str">
        <f>HYPERLINK("https://twitter.com/zervaspepper/status/723542968045465601","723542968045465601")</f>
        <v>723542968045465601</v>
      </c>
      <c r="F4305" s="11" t="s">
        <v>114</v>
      </c>
      <c r="G4305" s="11">
        <v>2072</v>
      </c>
      <c r="H4305" s="11">
        <v>385</v>
      </c>
      <c r="I4305" s="11">
        <v>0</v>
      </c>
      <c r="J4305" s="11">
        <v>0</v>
      </c>
      <c r="K4305" s="11" t="s">
        <v>21</v>
      </c>
      <c r="L4305" s="7">
        <v>40647.958761574075</v>
      </c>
      <c r="M4305" s="12" t="s">
        <v>10156</v>
      </c>
      <c r="N4305" s="12" t="s">
        <v>10157</v>
      </c>
      <c r="O4305" s="10" t="str">
        <f>HYPERLINK("https://pbs.twimg.com/profile_images/666772755593973763/g8cNvIw4_normal.jpg","View")</f>
        <v>View</v>
      </c>
      <c r="P4305" s="11"/>
    </row>
    <row r="4306" spans="1:16" ht="12.75" x14ac:dyDescent="0.35">
      <c r="A4306" s="7">
        <v>42482.899178240739</v>
      </c>
      <c r="B4306" s="8" t="str">
        <f>HYPERLINK("https://twitter.com/beetlebug1938","@beetlebug1938")</f>
        <v>@beetlebug1938</v>
      </c>
      <c r="C4306" s="9" t="s">
        <v>66</v>
      </c>
      <c r="D4306" s="9" t="s">
        <v>10158</v>
      </c>
      <c r="E4306" s="10" t="str">
        <f>HYPERLINK("https://twitter.com/beetlebug1938/status/723543086597582849","723543086597582849")</f>
        <v>723543086597582849</v>
      </c>
      <c r="F4306" s="11" t="s">
        <v>68</v>
      </c>
      <c r="G4306" s="11">
        <v>353</v>
      </c>
      <c r="H4306" s="11">
        <v>2223</v>
      </c>
      <c r="I4306" s="11">
        <v>1</v>
      </c>
      <c r="J4306" s="11">
        <v>0</v>
      </c>
      <c r="K4306" s="11" t="s">
        <v>21</v>
      </c>
      <c r="L4306" s="7">
        <v>42469.863865740743</v>
      </c>
      <c r="M4306" s="12" t="s">
        <v>69</v>
      </c>
      <c r="N4306" s="12"/>
      <c r="O4306" s="10" t="str">
        <f>HYPERLINK("https://pbs.twimg.com/profile_images/718820712757215233/LXXndPTS_normal.jpg","View")</f>
        <v>View</v>
      </c>
      <c r="P4306" s="11"/>
    </row>
    <row r="4307" spans="1:16" ht="12.75" x14ac:dyDescent="0.35">
      <c r="A4307" s="7">
        <v>42482.899212962962</v>
      </c>
      <c r="B4307" s="8" t="str">
        <f>HYPERLINK("https://twitter.com/StaffsVW","@StaffsVW")</f>
        <v>@StaffsVW</v>
      </c>
      <c r="C4307" s="9" t="s">
        <v>6791</v>
      </c>
      <c r="D4307" s="9" t="s">
        <v>10159</v>
      </c>
      <c r="E4307" s="10" t="str">
        <f>HYPERLINK("https://twitter.com/StaffsVW/status/723543100329594880","723543100329594880")</f>
        <v>723543100329594880</v>
      </c>
      <c r="F4307" s="11" t="s">
        <v>53</v>
      </c>
      <c r="G4307" s="11">
        <v>1436</v>
      </c>
      <c r="H4307" s="11">
        <v>1057</v>
      </c>
      <c r="I4307" s="11">
        <v>0</v>
      </c>
      <c r="J4307" s="11">
        <v>0</v>
      </c>
      <c r="K4307" s="11" t="s">
        <v>21</v>
      </c>
      <c r="L4307" s="7">
        <v>40741.625254629631</v>
      </c>
      <c r="M4307" s="12" t="s">
        <v>6793</v>
      </c>
      <c r="N4307" s="12" t="s">
        <v>6794</v>
      </c>
      <c r="O4307" s="10" t="str">
        <f>HYPERLINK("https://pbs.twimg.com/profile_images/689180646653202432/IDgTGC30_normal.jpg","View")</f>
        <v>View</v>
      </c>
      <c r="P4307" s="11"/>
    </row>
    <row r="4308" spans="1:16" ht="12.75" x14ac:dyDescent="0.35">
      <c r="A4308" s="7">
        <v>42482.899259259255</v>
      </c>
      <c r="B4308" s="8" t="str">
        <f t="shared" ref="B4308:B4311" si="369">HYPERLINK("https://twitter.com/beetlebug1938","@beetlebug1938")</f>
        <v>@beetlebug1938</v>
      </c>
      <c r="C4308" s="9" t="s">
        <v>66</v>
      </c>
      <c r="D4308" s="9" t="s">
        <v>10160</v>
      </c>
      <c r="E4308" s="10" t="str">
        <f>HYPERLINK("https://twitter.com/beetlebug1938/status/723543117421547520","723543117421547520")</f>
        <v>723543117421547520</v>
      </c>
      <c r="F4308" s="11" t="s">
        <v>68</v>
      </c>
      <c r="G4308" s="11">
        <v>353</v>
      </c>
      <c r="H4308" s="11">
        <v>2223</v>
      </c>
      <c r="I4308" s="11">
        <v>0</v>
      </c>
      <c r="J4308" s="11">
        <v>0</v>
      </c>
      <c r="K4308" s="11" t="s">
        <v>21</v>
      </c>
      <c r="L4308" s="7">
        <v>42469.863865740743</v>
      </c>
      <c r="M4308" s="12" t="s">
        <v>69</v>
      </c>
      <c r="N4308" s="12"/>
      <c r="O4308" s="10" t="str">
        <f t="shared" ref="O4308:O4311" si="370">HYPERLINK("https://pbs.twimg.com/profile_images/718820712757215233/LXXndPTS_normal.jpg","View")</f>
        <v>View</v>
      </c>
      <c r="P4308" s="11"/>
    </row>
    <row r="4309" spans="1:16" ht="12.75" x14ac:dyDescent="0.35">
      <c r="A4309" s="7">
        <v>42482.899293981478</v>
      </c>
      <c r="B4309" s="8" t="str">
        <f t="shared" si="369"/>
        <v>@beetlebug1938</v>
      </c>
      <c r="C4309" s="9" t="s">
        <v>66</v>
      </c>
      <c r="D4309" s="9" t="s">
        <v>10161</v>
      </c>
      <c r="E4309" s="10" t="str">
        <f>HYPERLINK("https://twitter.com/beetlebug1938/status/723543130579034112","723543130579034112")</f>
        <v>723543130579034112</v>
      </c>
      <c r="F4309" s="11" t="s">
        <v>68</v>
      </c>
      <c r="G4309" s="11">
        <v>353</v>
      </c>
      <c r="H4309" s="11">
        <v>2223</v>
      </c>
      <c r="I4309" s="11">
        <v>0</v>
      </c>
      <c r="J4309" s="11">
        <v>0</v>
      </c>
      <c r="K4309" s="11" t="s">
        <v>21</v>
      </c>
      <c r="L4309" s="7">
        <v>42469.863865740743</v>
      </c>
      <c r="M4309" s="12" t="s">
        <v>69</v>
      </c>
      <c r="N4309" s="12"/>
      <c r="O4309" s="10" t="str">
        <f t="shared" si="370"/>
        <v>View</v>
      </c>
      <c r="P4309" s="11"/>
    </row>
    <row r="4310" spans="1:16" ht="12.75" x14ac:dyDescent="0.35">
      <c r="A4310" s="7">
        <v>42482.899328703701</v>
      </c>
      <c r="B4310" s="8" t="str">
        <f t="shared" si="369"/>
        <v>@beetlebug1938</v>
      </c>
      <c r="C4310" s="9" t="s">
        <v>66</v>
      </c>
      <c r="D4310" s="9" t="s">
        <v>10162</v>
      </c>
      <c r="E4310" s="10" t="str">
        <f>HYPERLINK("https://twitter.com/beetlebug1938/status/723543141631008768","723543141631008768")</f>
        <v>723543141631008768</v>
      </c>
      <c r="F4310" s="11" t="s">
        <v>68</v>
      </c>
      <c r="G4310" s="11">
        <v>353</v>
      </c>
      <c r="H4310" s="11">
        <v>2223</v>
      </c>
      <c r="I4310" s="11">
        <v>0</v>
      </c>
      <c r="J4310" s="11">
        <v>0</v>
      </c>
      <c r="K4310" s="11" t="s">
        <v>21</v>
      </c>
      <c r="L4310" s="7">
        <v>42469.863865740743</v>
      </c>
      <c r="M4310" s="12" t="s">
        <v>69</v>
      </c>
      <c r="N4310" s="12"/>
      <c r="O4310" s="10" t="str">
        <f t="shared" si="370"/>
        <v>View</v>
      </c>
      <c r="P4310" s="11"/>
    </row>
    <row r="4311" spans="1:16" ht="12.75" x14ac:dyDescent="0.35">
      <c r="A4311" s="7">
        <v>42482.899375000001</v>
      </c>
      <c r="B4311" s="8" t="str">
        <f t="shared" si="369"/>
        <v>@beetlebug1938</v>
      </c>
      <c r="C4311" s="9" t="s">
        <v>66</v>
      </c>
      <c r="D4311" s="9" t="s">
        <v>10163</v>
      </c>
      <c r="E4311" s="10" t="str">
        <f>HYPERLINK("https://twitter.com/beetlebug1938/status/723543156772495361","723543156772495361")</f>
        <v>723543156772495361</v>
      </c>
      <c r="F4311" s="11" t="s">
        <v>68</v>
      </c>
      <c r="G4311" s="11">
        <v>353</v>
      </c>
      <c r="H4311" s="11">
        <v>2223</v>
      </c>
      <c r="I4311" s="11">
        <v>0</v>
      </c>
      <c r="J4311" s="11">
        <v>0</v>
      </c>
      <c r="K4311" s="11" t="s">
        <v>21</v>
      </c>
      <c r="L4311" s="7">
        <v>42469.863865740743</v>
      </c>
      <c r="M4311" s="12" t="s">
        <v>69</v>
      </c>
      <c r="N4311" s="12"/>
      <c r="O4311" s="10" t="str">
        <f t="shared" si="370"/>
        <v>View</v>
      </c>
      <c r="P4311" s="11"/>
    </row>
    <row r="4312" spans="1:16" ht="12.75" x14ac:dyDescent="0.35">
      <c r="A4312" s="7">
        <v>42482.899675925924</v>
      </c>
      <c r="B4312" s="8" t="str">
        <f>HYPERLINK("https://twitter.com/campercino_uk","@campercino_uk")</f>
        <v>@campercino_uk</v>
      </c>
      <c r="C4312" s="9" t="s">
        <v>2964</v>
      </c>
      <c r="D4312" s="9" t="s">
        <v>10164</v>
      </c>
      <c r="E4312" s="10" t="str">
        <f>HYPERLINK("https://twitter.com/campercino_uk/status/723543265811652608","723543265811652608")</f>
        <v>723543265811652608</v>
      </c>
      <c r="F4312" s="11" t="s">
        <v>114</v>
      </c>
      <c r="G4312" s="11">
        <v>5</v>
      </c>
      <c r="H4312" s="11">
        <v>22</v>
      </c>
      <c r="I4312" s="11">
        <v>0</v>
      </c>
      <c r="J4312" s="11">
        <v>0</v>
      </c>
      <c r="K4312" s="11" t="s">
        <v>21</v>
      </c>
      <c r="L4312" s="7">
        <v>42397.424166666664</v>
      </c>
      <c r="M4312" s="12"/>
      <c r="N4312" s="12" t="s">
        <v>2966</v>
      </c>
      <c r="O4312" s="10" t="str">
        <f>HYPERLINK("https://pbs.twimg.com/profile_images/695303050580385793/wXS47Pgy_normal.jpg","View")</f>
        <v>View</v>
      </c>
      <c r="P4312" s="11"/>
    </row>
    <row r="4313" spans="1:16" ht="12.75" x14ac:dyDescent="0.35">
      <c r="A4313" s="7">
        <v>42482.899814814809</v>
      </c>
      <c r="B4313" s="8" t="str">
        <f>HYPERLINK("https://twitter.com/soyoffroad","@soyoffroad")</f>
        <v>@soyoffroad</v>
      </c>
      <c r="C4313" s="9" t="s">
        <v>10165</v>
      </c>
      <c r="D4313" s="9" t="s">
        <v>10166</v>
      </c>
      <c r="E4313" s="10" t="str">
        <f>HYPERLINK("https://twitter.com/soyoffroad/status/723543316160110596","723543316160110596")</f>
        <v>723543316160110596</v>
      </c>
      <c r="F4313" s="11" t="s">
        <v>20</v>
      </c>
      <c r="G4313" s="11">
        <v>834</v>
      </c>
      <c r="H4313" s="11">
        <v>876</v>
      </c>
      <c r="I4313" s="11">
        <v>0</v>
      </c>
      <c r="J4313" s="11">
        <v>0</v>
      </c>
      <c r="K4313" s="11" t="s">
        <v>21</v>
      </c>
      <c r="L4313" s="7">
        <v>41628.386921296296</v>
      </c>
      <c r="M4313" s="12"/>
      <c r="N4313" s="12" t="s">
        <v>10167</v>
      </c>
      <c r="O4313" s="10" t="str">
        <f>HYPERLINK("https://pbs.twimg.com/profile_images/669927925823631360/jja0tgDW_normal.jpg","View")</f>
        <v>View</v>
      </c>
      <c r="P4313" s="11"/>
    </row>
    <row r="4314" spans="1:16" ht="12.75" x14ac:dyDescent="0.35">
      <c r="A4314" s="7">
        <v>42482.899814814809</v>
      </c>
      <c r="B4314" s="8" t="str">
        <f>HYPERLINK("https://twitter.com/DJMattDavid","@DJMattDavid")</f>
        <v>@DJMattDavid</v>
      </c>
      <c r="C4314" s="9" t="s">
        <v>2967</v>
      </c>
      <c r="D4314" s="9" t="s">
        <v>10168</v>
      </c>
      <c r="E4314" s="10" t="str">
        <f>HYPERLINK("https://twitter.com/DJMattDavid/status/723543317695356928","723543317695356928")</f>
        <v>723543317695356928</v>
      </c>
      <c r="F4314" s="11" t="s">
        <v>53</v>
      </c>
      <c r="G4314" s="11">
        <v>295</v>
      </c>
      <c r="H4314" s="11">
        <v>152</v>
      </c>
      <c r="I4314" s="11">
        <v>0</v>
      </c>
      <c r="J4314" s="11">
        <v>0</v>
      </c>
      <c r="K4314" s="11" t="s">
        <v>21</v>
      </c>
      <c r="L4314" s="7">
        <v>39852.327372685184</v>
      </c>
      <c r="M4314" s="12" t="s">
        <v>2969</v>
      </c>
      <c r="N4314" s="12" t="s">
        <v>2970</v>
      </c>
      <c r="O4314" s="10" t="str">
        <f>HYPERLINK("https://pbs.twimg.com/profile_images/434295813154816000/Zl69okbD_normal.jpeg","View")</f>
        <v>View</v>
      </c>
      <c r="P4314" s="11"/>
    </row>
    <row r="4315" spans="1:16" ht="12.75" x14ac:dyDescent="0.35">
      <c r="A4315" s="7">
        <v>42482.899837962963</v>
      </c>
      <c r="B4315" s="8" t="str">
        <f>HYPERLINK("https://twitter.com/Stefan_Schwark","@Stefan_Schwark")</f>
        <v>@Stefan_Schwark</v>
      </c>
      <c r="C4315" s="9" t="s">
        <v>10169</v>
      </c>
      <c r="D4315" s="9" t="s">
        <v>10170</v>
      </c>
      <c r="E4315" s="10" t="str">
        <f>HYPERLINK("https://twitter.com/Stefan_Schwark/status/723543325035364352","723543325035364352")</f>
        <v>723543325035364352</v>
      </c>
      <c r="F4315" s="11" t="s">
        <v>48</v>
      </c>
      <c r="G4315" s="11">
        <v>404</v>
      </c>
      <c r="H4315" s="11">
        <v>491</v>
      </c>
      <c r="I4315" s="11">
        <v>0</v>
      </c>
      <c r="J4315" s="11">
        <v>0</v>
      </c>
      <c r="K4315" s="11" t="s">
        <v>21</v>
      </c>
      <c r="L4315" s="7">
        <v>41505.332743055558</v>
      </c>
      <c r="M4315" s="12" t="s">
        <v>10171</v>
      </c>
      <c r="N4315" s="12" t="s">
        <v>10172</v>
      </c>
      <c r="O4315" s="10" t="str">
        <f>HYPERLINK("https://pbs.twimg.com/profile_images/697958231046541312/4NchKa9u_normal.jpg","View")</f>
        <v>View</v>
      </c>
      <c r="P4315" s="11"/>
    </row>
    <row r="4316" spans="1:16" ht="12.75" x14ac:dyDescent="0.35">
      <c r="A4316" s="7">
        <v>42482.899942129632</v>
      </c>
      <c r="B4316" s="8" t="str">
        <f>HYPERLINK("https://twitter.com/OpenMarketingTV","@OpenMarketingTV")</f>
        <v>@OpenMarketingTV</v>
      </c>
      <c r="C4316" s="9" t="s">
        <v>9763</v>
      </c>
      <c r="D4316" s="9" t="s">
        <v>10173</v>
      </c>
      <c r="E4316" s="10" t="str">
        <f>HYPERLINK("https://twitter.com/OpenMarketingTV/status/723543364541390849","723543364541390849")</f>
        <v>723543364541390849</v>
      </c>
      <c r="F4316" s="11" t="s">
        <v>53</v>
      </c>
      <c r="G4316" s="11">
        <v>9555</v>
      </c>
      <c r="H4316" s="11">
        <v>10209</v>
      </c>
      <c r="I4316" s="11">
        <v>0</v>
      </c>
      <c r="J4316" s="11">
        <v>0</v>
      </c>
      <c r="K4316" s="11" t="s">
        <v>21</v>
      </c>
      <c r="L4316" s="7">
        <v>40649.84715277778</v>
      </c>
      <c r="M4316" s="12" t="s">
        <v>1748</v>
      </c>
      <c r="N4316" s="12" t="s">
        <v>9765</v>
      </c>
      <c r="O4316" s="10" t="str">
        <f>HYPERLINK("https://pbs.twimg.com/profile_images/2416217270/6vmtlo7m644v6jwaux83_normal.jpeg","View")</f>
        <v>View</v>
      </c>
      <c r="P4316" s="11"/>
    </row>
    <row r="4317" spans="1:16" ht="12.75" x14ac:dyDescent="0.35">
      <c r="A4317" s="7">
        <v>42482.900243055556</v>
      </c>
      <c r="B4317" s="8" t="str">
        <f>HYPERLINK("https://twitter.com/automotora","@automotora")</f>
        <v>@automotora</v>
      </c>
      <c r="C4317" s="9" t="s">
        <v>10174</v>
      </c>
      <c r="D4317" s="9" t="s">
        <v>10175</v>
      </c>
      <c r="E4317" s="10" t="str">
        <f>HYPERLINK("https://twitter.com/automotora/status/723543473350184960","723543473350184960")</f>
        <v>723543473350184960</v>
      </c>
      <c r="F4317" s="11" t="s">
        <v>43</v>
      </c>
      <c r="G4317" s="11">
        <v>1000</v>
      </c>
      <c r="H4317" s="11">
        <v>188</v>
      </c>
      <c r="I4317" s="11">
        <v>0</v>
      </c>
      <c r="J4317" s="11">
        <v>0</v>
      </c>
      <c r="K4317" s="11" t="s">
        <v>21</v>
      </c>
      <c r="L4317" s="7">
        <v>40131.874953703707</v>
      </c>
      <c r="M4317" s="12" t="s">
        <v>10176</v>
      </c>
      <c r="N4317" s="12" t="s">
        <v>10177</v>
      </c>
      <c r="O4317" s="10" t="str">
        <f>HYPERLINK("https://pbs.twimg.com/profile_images/659027805200621569/pCHRuMxh_normal.jpg","View")</f>
        <v>View</v>
      </c>
      <c r="P4317" s="11"/>
    </row>
    <row r="4318" spans="1:16" ht="12.75" x14ac:dyDescent="0.35">
      <c r="A4318" s="7">
        <v>42482.900844907403</v>
      </c>
      <c r="B4318" s="8" t="str">
        <f>HYPERLINK("https://twitter.com/helichristine","@helichristine")</f>
        <v>@helichristine</v>
      </c>
      <c r="C4318" s="9" t="s">
        <v>10178</v>
      </c>
      <c r="D4318" s="9" t="s">
        <v>10179</v>
      </c>
      <c r="E4318" s="10" t="str">
        <f>HYPERLINK("https://twitter.com/helichristine/status/723543690803875840","723543690803875840")</f>
        <v>723543690803875840</v>
      </c>
      <c r="F4318" s="11" t="s">
        <v>43</v>
      </c>
      <c r="G4318" s="11">
        <v>31</v>
      </c>
      <c r="H4318" s="11">
        <v>59</v>
      </c>
      <c r="I4318" s="11">
        <v>0</v>
      </c>
      <c r="J4318" s="11">
        <v>0</v>
      </c>
      <c r="K4318" s="11" t="s">
        <v>21</v>
      </c>
      <c r="L4318" s="7">
        <v>40029.96675925926</v>
      </c>
      <c r="M4318" s="12" t="s">
        <v>10180</v>
      </c>
      <c r="N4318" s="12" t="s">
        <v>10181</v>
      </c>
      <c r="O4318" s="10" t="str">
        <f>HYPERLINK("https://pbs.twimg.com/profile_images/721447255404900352/DyH74sOm_normal.jpg","View")</f>
        <v>View</v>
      </c>
      <c r="P4318" s="11"/>
    </row>
    <row r="4319" spans="1:16" ht="12.75" x14ac:dyDescent="0.35">
      <c r="A4319" s="7">
        <v>42482.901203703703</v>
      </c>
      <c r="B4319" s="8" t="str">
        <f>HYPERLINK("https://twitter.com/doin384","@doin384")</f>
        <v>@doin384</v>
      </c>
      <c r="C4319" s="9" t="s">
        <v>10182</v>
      </c>
      <c r="D4319" s="9" t="s">
        <v>6352</v>
      </c>
      <c r="E4319" s="10" t="str">
        <f>HYPERLINK("https://twitter.com/doin384/status/723543819866791940","723543819866791940")</f>
        <v>723543819866791940</v>
      </c>
      <c r="F4319" s="11" t="s">
        <v>48</v>
      </c>
      <c r="G4319" s="11">
        <v>753</v>
      </c>
      <c r="H4319" s="11">
        <v>574</v>
      </c>
      <c r="I4319" s="11">
        <v>33</v>
      </c>
      <c r="J4319" s="11">
        <v>0</v>
      </c>
      <c r="K4319" s="11" t="s">
        <v>21</v>
      </c>
      <c r="L4319" s="7">
        <v>42111.237708333334</v>
      </c>
      <c r="M4319" s="12" t="s">
        <v>10183</v>
      </c>
      <c r="N4319" s="12" t="s">
        <v>10184</v>
      </c>
      <c r="O4319" s="10" t="str">
        <f>HYPERLINK("https://pbs.twimg.com/profile_images/722248646604013569/kvvRmbIE_normal.jpg","View")</f>
        <v>View</v>
      </c>
      <c r="P4319" s="11"/>
    </row>
    <row r="4320" spans="1:16" ht="12.75" x14ac:dyDescent="0.35">
      <c r="A4320" s="7">
        <v>42482.901458333334</v>
      </c>
      <c r="B4320" s="8" t="str">
        <f>HYPERLINK("https://twitter.com/TheRealBrauni","@TheRealBrauni")</f>
        <v>@TheRealBrauni</v>
      </c>
      <c r="C4320" s="9" t="s">
        <v>10185</v>
      </c>
      <c r="D4320" s="9" t="s">
        <v>10186</v>
      </c>
      <c r="E4320" s="10" t="str">
        <f>HYPERLINK("https://twitter.com/TheRealBrauni/status/723543912829186049","723543912829186049")</f>
        <v>723543912829186049</v>
      </c>
      <c r="F4320" s="11" t="s">
        <v>114</v>
      </c>
      <c r="G4320" s="11">
        <v>46</v>
      </c>
      <c r="H4320" s="11">
        <v>291</v>
      </c>
      <c r="I4320" s="11">
        <v>0</v>
      </c>
      <c r="J4320" s="11">
        <v>0</v>
      </c>
      <c r="K4320" s="11" t="s">
        <v>21</v>
      </c>
      <c r="L4320" s="7">
        <v>40491.562627314815</v>
      </c>
      <c r="M4320" s="12" t="s">
        <v>1116</v>
      </c>
      <c r="N4320" s="12" t="s">
        <v>10187</v>
      </c>
      <c r="O4320" s="10" t="str">
        <f>HYPERLINK("https://pbs.twimg.com/profile_images/683994900644401153/XiE_zUVV_normal.jpg","View")</f>
        <v>View</v>
      </c>
      <c r="P4320" s="11"/>
    </row>
    <row r="4321" spans="1:16" ht="12.75" x14ac:dyDescent="0.35">
      <c r="A4321" s="7">
        <v>42482.902349537035</v>
      </c>
      <c r="B4321" s="8" t="str">
        <f>HYPERLINK("https://twitter.com/kking67","@kking67")</f>
        <v>@kking67</v>
      </c>
      <c r="C4321" s="9" t="s">
        <v>10136</v>
      </c>
      <c r="D4321" s="9" t="s">
        <v>10188</v>
      </c>
      <c r="E4321" s="10" t="str">
        <f>HYPERLINK("https://twitter.com/kking67/status/723544237971783680","723544237971783680")</f>
        <v>723544237971783680</v>
      </c>
      <c r="F4321" s="11" t="s">
        <v>20</v>
      </c>
      <c r="G4321" s="11">
        <v>264</v>
      </c>
      <c r="H4321" s="11">
        <v>200</v>
      </c>
      <c r="I4321" s="11">
        <v>0</v>
      </c>
      <c r="J4321" s="11">
        <v>0</v>
      </c>
      <c r="K4321" s="11" t="s">
        <v>21</v>
      </c>
      <c r="L4321" s="7">
        <v>41265.309918981482</v>
      </c>
      <c r="M4321" s="12"/>
      <c r="N4321" s="12" t="s">
        <v>10138</v>
      </c>
      <c r="O4321" s="10" t="str">
        <f>HYPERLINK("https://pbs.twimg.com/profile_images/703826596663136256/QIIRK33q_normal.jpg","View")</f>
        <v>View</v>
      </c>
      <c r="P4321" s="11"/>
    </row>
    <row r="4322" spans="1:16" ht="12.75" x14ac:dyDescent="0.35">
      <c r="A4322" s="7">
        <v>42482.902881944443</v>
      </c>
      <c r="B4322" s="8" t="str">
        <f>HYPERLINK("https://twitter.com/oscar_elchara1","@oscar_elchara1")</f>
        <v>@oscar_elchara1</v>
      </c>
      <c r="C4322" s="9" t="s">
        <v>10189</v>
      </c>
      <c r="D4322" s="9" t="s">
        <v>10190</v>
      </c>
      <c r="E4322" s="10" t="str">
        <f>HYPERLINK("https://twitter.com/oscar_elchara1/status/723544428854398976","723544428854398976")</f>
        <v>723544428854398976</v>
      </c>
      <c r="F4322" s="11" t="s">
        <v>48</v>
      </c>
      <c r="G4322" s="11">
        <v>589</v>
      </c>
      <c r="H4322" s="11">
        <v>1462</v>
      </c>
      <c r="I4322" s="11">
        <v>0</v>
      </c>
      <c r="J4322" s="11">
        <v>0</v>
      </c>
      <c r="K4322" s="11" t="s">
        <v>21</v>
      </c>
      <c r="L4322" s="7">
        <v>40921.806168981479</v>
      </c>
      <c r="M4322" s="12" t="s">
        <v>10191</v>
      </c>
      <c r="N4322" s="12" t="s">
        <v>10192</v>
      </c>
      <c r="O4322" s="10" t="str">
        <f>HYPERLINK("https://pbs.twimg.com/profile_images/580763987173732353/vlbyJFgG_normal.jpg","View")</f>
        <v>View</v>
      </c>
      <c r="P4322" s="11"/>
    </row>
    <row r="4323" spans="1:16" ht="12.75" x14ac:dyDescent="0.35">
      <c r="A4323" s="7">
        <v>42482.902974537035</v>
      </c>
      <c r="B4323" s="8" t="str">
        <f>HYPERLINK("https://twitter.com/aktuelle_stunde","@aktuelle_stunde")</f>
        <v>@aktuelle_stunde</v>
      </c>
      <c r="C4323" s="9" t="s">
        <v>3261</v>
      </c>
      <c r="D4323" s="9" t="s">
        <v>10193</v>
      </c>
      <c r="E4323" s="10" t="str">
        <f>HYPERLINK("https://twitter.com/aktuelle_stunde/status/723544464392916992","723544464392916992")</f>
        <v>723544464392916992</v>
      </c>
      <c r="F4323" s="11" t="s">
        <v>43</v>
      </c>
      <c r="G4323" s="11">
        <v>32536</v>
      </c>
      <c r="H4323" s="11">
        <v>262</v>
      </c>
      <c r="I4323" s="11">
        <v>0</v>
      </c>
      <c r="J4323" s="11">
        <v>0</v>
      </c>
      <c r="K4323" s="11" t="s">
        <v>21</v>
      </c>
      <c r="L4323" s="7">
        <v>40914.826516203706</v>
      </c>
      <c r="M4323" s="12" t="s">
        <v>975</v>
      </c>
      <c r="N4323" s="12" t="s">
        <v>3263</v>
      </c>
      <c r="O4323" s="10" t="str">
        <f>HYPERLINK("https://pbs.twimg.com/profile_images/488939589520740353/HVTIWICi_normal.jpeg","View")</f>
        <v>View</v>
      </c>
      <c r="P4323" s="11"/>
    </row>
    <row r="4324" spans="1:16" ht="12.75" x14ac:dyDescent="0.35">
      <c r="A4324" s="7">
        <v>42482.903275462959</v>
      </c>
      <c r="B4324" s="8" t="str">
        <f>HYPERLINK("https://twitter.com/Stuartyoung001","@Stuartyoung001")</f>
        <v>@Stuartyoung001</v>
      </c>
      <c r="C4324" s="9" t="s">
        <v>10194</v>
      </c>
      <c r="D4324" s="9" t="s">
        <v>10195</v>
      </c>
      <c r="E4324" s="10" t="str">
        <f>HYPERLINK("https://twitter.com/Stuartyoung001/status/723544572278792193","723544572278792193")</f>
        <v>723544572278792193</v>
      </c>
      <c r="F4324" s="11" t="s">
        <v>43</v>
      </c>
      <c r="G4324" s="11">
        <v>175</v>
      </c>
      <c r="H4324" s="11">
        <v>38</v>
      </c>
      <c r="I4324" s="11">
        <v>0</v>
      </c>
      <c r="J4324" s="11">
        <v>0</v>
      </c>
      <c r="K4324" s="11" t="s">
        <v>21</v>
      </c>
      <c r="L4324" s="7">
        <v>41210.032766203702</v>
      </c>
      <c r="M4324" s="12"/>
      <c r="N4324" s="12" t="s">
        <v>10196</v>
      </c>
      <c r="O4324" s="10" t="str">
        <f>HYPERLINK("https://pbs.twimg.com/profile_images/703962252156739584/fYGq4kTv_normal.jpg","View")</f>
        <v>View</v>
      </c>
      <c r="P4324" s="11"/>
    </row>
    <row r="4325" spans="1:16" ht="12.75" x14ac:dyDescent="0.35">
      <c r="A4325" s="7">
        <v>42482.903449074074</v>
      </c>
      <c r="B4325" s="8" t="str">
        <f>HYPERLINK("https://twitter.com/luistervink54","@luistervink54")</f>
        <v>@luistervink54</v>
      </c>
      <c r="C4325" s="9" t="s">
        <v>10197</v>
      </c>
      <c r="D4325" s="9" t="s">
        <v>9547</v>
      </c>
      <c r="E4325" s="10" t="str">
        <f>HYPERLINK("https://twitter.com/luistervink54/status/723544634362847237","723544634362847237")</f>
        <v>723544634362847237</v>
      </c>
      <c r="F4325" s="11" t="s">
        <v>91</v>
      </c>
      <c r="G4325" s="11">
        <v>314</v>
      </c>
      <c r="H4325" s="11">
        <v>847</v>
      </c>
      <c r="I4325" s="11">
        <v>8</v>
      </c>
      <c r="J4325" s="11">
        <v>0</v>
      </c>
      <c r="K4325" s="11" t="s">
        <v>21</v>
      </c>
      <c r="L4325" s="7">
        <v>40971.610763888893</v>
      </c>
      <c r="M4325" s="12"/>
      <c r="N4325" s="12" t="s">
        <v>10198</v>
      </c>
      <c r="O4325" s="10" t="str">
        <f>HYPERLINK("https://abs.twimg.com/sticky/default_profile_images/default_profile_4_normal.png","View")</f>
        <v>View</v>
      </c>
      <c r="P4325" s="11"/>
    </row>
    <row r="4326" spans="1:16" ht="12.75" x14ac:dyDescent="0.35">
      <c r="A4326" s="7">
        <v>42482.903831018513</v>
      </c>
      <c r="B4326" s="8" t="str">
        <f>HYPERLINK("https://twitter.com/wildernesse","@wildernesse")</f>
        <v>@wildernesse</v>
      </c>
      <c r="C4326" s="9" t="s">
        <v>10199</v>
      </c>
      <c r="D4326" s="9" t="s">
        <v>10200</v>
      </c>
      <c r="E4326" s="10" t="str">
        <f>HYPERLINK("https://twitter.com/wildernesse/status/723544775161323520","723544775161323520")</f>
        <v>723544775161323520</v>
      </c>
      <c r="F4326" s="11" t="s">
        <v>43</v>
      </c>
      <c r="G4326" s="11">
        <v>61</v>
      </c>
      <c r="H4326" s="11">
        <v>234</v>
      </c>
      <c r="I4326" s="11">
        <v>0</v>
      </c>
      <c r="J4326" s="11">
        <v>0</v>
      </c>
      <c r="K4326" s="11" t="s">
        <v>21</v>
      </c>
      <c r="L4326" s="7">
        <v>39662.367731481485</v>
      </c>
      <c r="M4326" s="12" t="s">
        <v>4590</v>
      </c>
      <c r="N4326" s="12" t="s">
        <v>10201</v>
      </c>
      <c r="O4326" s="10" t="str">
        <f>HYPERLINK("https://pbs.twimg.com/profile_images/623879955429068800/JdyD0xQE_normal.jpg","View")</f>
        <v>View</v>
      </c>
      <c r="P4326" s="11"/>
    </row>
    <row r="4327" spans="1:16" ht="12.75" x14ac:dyDescent="0.35">
      <c r="A4327" s="7">
        <v>42482.903923611113</v>
      </c>
      <c r="B4327" s="8" t="str">
        <f>HYPERLINK("https://twitter.com/dubtoberfest","@dubtoberfest")</f>
        <v>@dubtoberfest</v>
      </c>
      <c r="C4327" s="9" t="s">
        <v>10202</v>
      </c>
      <c r="D4327" s="9" t="s">
        <v>10203</v>
      </c>
      <c r="E4327" s="10" t="str">
        <f>HYPERLINK("https://twitter.com/dubtoberfest/status/723544808963321858","723544808963321858")</f>
        <v>723544808963321858</v>
      </c>
      <c r="F4327" s="11" t="s">
        <v>48</v>
      </c>
      <c r="G4327" s="11">
        <v>705</v>
      </c>
      <c r="H4327" s="11">
        <v>864</v>
      </c>
      <c r="I4327" s="11">
        <v>0</v>
      </c>
      <c r="J4327" s="11">
        <v>0</v>
      </c>
      <c r="K4327" s="11" t="s">
        <v>21</v>
      </c>
      <c r="L4327" s="7">
        <v>42072.945543981477</v>
      </c>
      <c r="M4327" s="12" t="s">
        <v>10204</v>
      </c>
      <c r="N4327" s="12" t="s">
        <v>10205</v>
      </c>
      <c r="O4327" s="10" t="str">
        <f>HYPERLINK("https://pbs.twimg.com/profile_images/582903436158586880/9BOOA3zQ_normal.jpg","View")</f>
        <v>View</v>
      </c>
      <c r="P4327" s="11"/>
    </row>
    <row r="4328" spans="1:16" ht="12.75" x14ac:dyDescent="0.35">
      <c r="A4328" s="7">
        <v>42482.904004629629</v>
      </c>
      <c r="B4328" s="8" t="str">
        <f>HYPERLINK("https://twitter.com/Verinesvelo","@Verinesvelo")</f>
        <v>@Verinesvelo</v>
      </c>
      <c r="C4328" s="9" t="s">
        <v>10206</v>
      </c>
      <c r="D4328" s="9" t="s">
        <v>10207</v>
      </c>
      <c r="E4328" s="10" t="str">
        <f>HYPERLINK("https://twitter.com/Verinesvelo/status/723544835353939968","723544835353939968")</f>
        <v>723544835353939968</v>
      </c>
      <c r="F4328" s="11" t="s">
        <v>114</v>
      </c>
      <c r="G4328" s="11">
        <v>415</v>
      </c>
      <c r="H4328" s="11">
        <v>715</v>
      </c>
      <c r="I4328" s="11">
        <v>0</v>
      </c>
      <c r="J4328" s="11">
        <v>0</v>
      </c>
      <c r="K4328" s="11" t="s">
        <v>21</v>
      </c>
      <c r="L4328" s="7">
        <v>40468.49055555556</v>
      </c>
      <c r="M4328" s="12" t="s">
        <v>10208</v>
      </c>
      <c r="N4328" s="12" t="s">
        <v>10209</v>
      </c>
      <c r="O4328" s="10" t="str">
        <f>HYPERLINK("https://pbs.twimg.com/profile_images/378800000138621583/02e8100f0462d64417fc57fde00e505a_normal.jpeg","View")</f>
        <v>View</v>
      </c>
      <c r="P4328" s="11"/>
    </row>
    <row r="4329" spans="1:16" ht="12.75" x14ac:dyDescent="0.35">
      <c r="A4329" s="7">
        <v>42482.904004629629</v>
      </c>
      <c r="B4329" s="8" t="str">
        <f>HYPERLINK("https://twitter.com/Gatocca","@Gatocca")</f>
        <v>@Gatocca</v>
      </c>
      <c r="C4329" s="9" t="s">
        <v>10210</v>
      </c>
      <c r="D4329" s="9" t="s">
        <v>10211</v>
      </c>
      <c r="E4329" s="10" t="str">
        <f>HYPERLINK("https://twitter.com/Gatocca/status/723544837761449984","723544837761449984")</f>
        <v>723544837761449984</v>
      </c>
      <c r="F4329" s="11" t="s">
        <v>48</v>
      </c>
      <c r="G4329" s="11">
        <v>4</v>
      </c>
      <c r="H4329" s="11">
        <v>44</v>
      </c>
      <c r="I4329" s="11">
        <v>0</v>
      </c>
      <c r="J4329" s="11">
        <v>0</v>
      </c>
      <c r="K4329" s="11" t="s">
        <v>21</v>
      </c>
      <c r="L4329" s="7">
        <v>42311.030335648145</v>
      </c>
      <c r="M4329" s="12"/>
      <c r="N4329" s="12"/>
      <c r="O4329" s="10" t="str">
        <f>HYPERLINK("https://pbs.twimg.com/profile_images/711615928530771969/STOTxXYA_normal.jpg","View")</f>
        <v>View</v>
      </c>
      <c r="P4329" s="11"/>
    </row>
    <row r="4330" spans="1:16" ht="12.75" x14ac:dyDescent="0.35">
      <c r="A4330" s="7">
        <v>42482.904039351852</v>
      </c>
      <c r="B4330" s="8" t="str">
        <f>HYPERLINK("https://twitter.com/ELNORTENEGOCIOS","@ELNORTENEGOCIOS")</f>
        <v>@ELNORTENEGOCIOS</v>
      </c>
      <c r="C4330" s="9" t="s">
        <v>10212</v>
      </c>
      <c r="D4330" s="9" t="s">
        <v>10213</v>
      </c>
      <c r="E4330" s="10" t="str">
        <f>HYPERLINK("https://twitter.com/ELNORTENEGOCIOS/status/723544849186582528","723544849186582528")</f>
        <v>723544849186582528</v>
      </c>
      <c r="F4330" s="11" t="s">
        <v>43</v>
      </c>
      <c r="G4330" s="11">
        <v>3708</v>
      </c>
      <c r="H4330" s="11">
        <v>241</v>
      </c>
      <c r="I4330" s="11">
        <v>0</v>
      </c>
      <c r="J4330" s="11">
        <v>0</v>
      </c>
      <c r="K4330" s="11" t="s">
        <v>21</v>
      </c>
      <c r="L4330" s="7">
        <v>40508.266631944447</v>
      </c>
      <c r="M4330" s="12" t="s">
        <v>10214</v>
      </c>
      <c r="N4330" s="12" t="s">
        <v>10215</v>
      </c>
      <c r="O4330" s="10" t="str">
        <f>HYPERLINK("https://pbs.twimg.com/profile_images/679786351831601152/5bHfWIgx_normal.png","View")</f>
        <v>View</v>
      </c>
      <c r="P4330" s="11"/>
    </row>
    <row r="4331" spans="1:16" ht="12.75" x14ac:dyDescent="0.35">
      <c r="A4331" s="7">
        <v>42482.904178240744</v>
      </c>
      <c r="B4331" s="8" t="str">
        <f>HYPERLINK("https://twitter.com/swanswaygroup","@swanswaygroup")</f>
        <v>@swanswaygroup</v>
      </c>
      <c r="C4331" s="9" t="s">
        <v>2558</v>
      </c>
      <c r="D4331" s="9" t="s">
        <v>10216</v>
      </c>
      <c r="E4331" s="10" t="str">
        <f>HYPERLINK("https://twitter.com/swanswaygroup/status/723544901351137280","723544901351137280")</f>
        <v>723544901351137280</v>
      </c>
      <c r="F4331" s="11" t="s">
        <v>140</v>
      </c>
      <c r="G4331" s="11">
        <v>6200</v>
      </c>
      <c r="H4331" s="11">
        <v>4462</v>
      </c>
      <c r="I4331" s="11">
        <v>0</v>
      </c>
      <c r="J4331" s="11">
        <v>0</v>
      </c>
      <c r="K4331" s="11" t="s">
        <v>21</v>
      </c>
      <c r="L4331" s="7">
        <v>40137.651365740741</v>
      </c>
      <c r="M4331" s="12" t="s">
        <v>2560</v>
      </c>
      <c r="N4331" s="12" t="s">
        <v>2561</v>
      </c>
      <c r="O4331" s="10" t="str">
        <f>HYPERLINK("https://pbs.twimg.com/profile_images/552037189328982016/r65JRGTS_normal.jpeg","View")</f>
        <v>View</v>
      </c>
      <c r="P4331" s="11"/>
    </row>
    <row r="4332" spans="1:16" ht="12.75" x14ac:dyDescent="0.35">
      <c r="A4332" s="7">
        <v>42482.904189814813</v>
      </c>
      <c r="B4332" s="8" t="str">
        <f>HYPERLINK("https://twitter.com/crewevw","@crewevw")</f>
        <v>@crewevw</v>
      </c>
      <c r="C4332" s="9" t="s">
        <v>2562</v>
      </c>
      <c r="D4332" s="9" t="s">
        <v>10217</v>
      </c>
      <c r="E4332" s="10" t="str">
        <f>HYPERLINK("https://twitter.com/crewevw/status/723544902055809024","723544902055809024")</f>
        <v>723544902055809024</v>
      </c>
      <c r="F4332" s="11" t="s">
        <v>140</v>
      </c>
      <c r="G4332" s="11">
        <v>2780</v>
      </c>
      <c r="H4332" s="11">
        <v>2270</v>
      </c>
      <c r="I4332" s="11">
        <v>0</v>
      </c>
      <c r="J4332" s="11">
        <v>0</v>
      </c>
      <c r="K4332" s="11" t="s">
        <v>21</v>
      </c>
      <c r="L4332" s="7">
        <v>40240.83458333333</v>
      </c>
      <c r="M4332" s="12" t="s">
        <v>2564</v>
      </c>
      <c r="N4332" s="12" t="s">
        <v>2565</v>
      </c>
      <c r="O4332" s="10" t="str">
        <f>HYPERLINK("https://pbs.twimg.com/profile_images/488678354338324481/_qtBruR6_normal.jpeg","View")</f>
        <v>View</v>
      </c>
      <c r="P4332" s="11"/>
    </row>
    <row r="4333" spans="1:16" ht="12.75" x14ac:dyDescent="0.35">
      <c r="A4333" s="7">
        <v>42482.904351851852</v>
      </c>
      <c r="B4333" s="8" t="str">
        <f>HYPERLINK("https://twitter.com/milleraef","@milleraef")</f>
        <v>@milleraef</v>
      </c>
      <c r="C4333" s="9" t="s">
        <v>10218</v>
      </c>
      <c r="D4333" s="9" t="s">
        <v>10219</v>
      </c>
      <c r="E4333" s="10" t="str">
        <f>HYPERLINK("https://twitter.com/milleraef/status/723544963145969664","723544963145969664")</f>
        <v>723544963145969664</v>
      </c>
      <c r="F4333" s="11" t="s">
        <v>20</v>
      </c>
      <c r="G4333" s="11">
        <v>1005</v>
      </c>
      <c r="H4333" s="11">
        <v>776</v>
      </c>
      <c r="I4333" s="11">
        <v>1</v>
      </c>
      <c r="J4333" s="11">
        <v>0</v>
      </c>
      <c r="K4333" s="11" t="s">
        <v>21</v>
      </c>
      <c r="L4333" s="7">
        <v>41121.059837962966</v>
      </c>
      <c r="M4333" s="12" t="s">
        <v>10220</v>
      </c>
      <c r="N4333" s="12" t="s">
        <v>10221</v>
      </c>
      <c r="O4333" s="10" t="str">
        <f>HYPERLINK("https://pbs.twimg.com/profile_images/652551275108769794/9UYDcLxp_normal.jpg","View")</f>
        <v>View</v>
      </c>
      <c r="P4333" s="11"/>
    </row>
    <row r="4334" spans="1:16" ht="12.75" x14ac:dyDescent="0.35">
      <c r="A4334" s="7">
        <v>42482.904675925922</v>
      </c>
      <c r="B4334" s="8" t="str">
        <f>HYPERLINK("https://twitter.com/jond4130","@jond4130")</f>
        <v>@jond4130</v>
      </c>
      <c r="C4334" s="9" t="s">
        <v>10222</v>
      </c>
      <c r="D4334" s="9" t="s">
        <v>10223</v>
      </c>
      <c r="E4334" s="10" t="str">
        <f>HYPERLINK("https://twitter.com/jond4130/status/723545078527057920","723545078527057920")</f>
        <v>723545078527057920</v>
      </c>
      <c r="F4334" s="11" t="s">
        <v>114</v>
      </c>
      <c r="G4334" s="11">
        <v>72</v>
      </c>
      <c r="H4334" s="11">
        <v>138</v>
      </c>
      <c r="I4334" s="11">
        <v>0</v>
      </c>
      <c r="J4334" s="11">
        <v>0</v>
      </c>
      <c r="K4334" s="11" t="s">
        <v>21</v>
      </c>
      <c r="L4334" s="7">
        <v>41423.751539351855</v>
      </c>
      <c r="M4334" s="12" t="s">
        <v>10224</v>
      </c>
      <c r="N4334" s="12" t="s">
        <v>10225</v>
      </c>
      <c r="O4334" s="10" t="str">
        <f>HYPERLINK("https://pbs.twimg.com/profile_images/703057562162372610/0wPuYNU9_normal.jpg","View")</f>
        <v>View</v>
      </c>
      <c r="P4334" s="11"/>
    </row>
    <row r="4335" spans="1:16" ht="12.75" x14ac:dyDescent="0.35">
      <c r="A4335" s="7">
        <v>42482.904942129629</v>
      </c>
      <c r="B4335" s="8" t="str">
        <f>HYPERLINK("https://twitter.com/sebschaal","@sebschaal")</f>
        <v>@sebschaal</v>
      </c>
      <c r="C4335" s="9" t="s">
        <v>10226</v>
      </c>
      <c r="D4335" s="9" t="s">
        <v>10227</v>
      </c>
      <c r="E4335" s="10" t="str">
        <f>HYPERLINK("https://twitter.com/sebschaal/status/723545177466540034","723545177466540034")</f>
        <v>723545177466540034</v>
      </c>
      <c r="F4335" s="11" t="s">
        <v>63</v>
      </c>
      <c r="G4335" s="11">
        <v>154</v>
      </c>
      <c r="H4335" s="11">
        <v>280</v>
      </c>
      <c r="I4335" s="11">
        <v>0</v>
      </c>
      <c r="J4335" s="11">
        <v>1</v>
      </c>
      <c r="K4335" s="11" t="s">
        <v>21</v>
      </c>
      <c r="L4335" s="7">
        <v>39975.033599537041</v>
      </c>
      <c r="M4335" s="12" t="s">
        <v>975</v>
      </c>
      <c r="N4335" s="12" t="s">
        <v>10228</v>
      </c>
      <c r="O4335" s="10" t="str">
        <f>HYPERLINK("https://pbs.twimg.com/profile_images/610791118146531328/It8RZAaT_normal.jpg","View")</f>
        <v>View</v>
      </c>
      <c r="P4335" s="11"/>
    </row>
    <row r="4336" spans="1:16" ht="12.75" x14ac:dyDescent="0.35">
      <c r="A4336" s="7">
        <v>42482.905914351853</v>
      </c>
      <c r="B4336" s="8" t="str">
        <f>HYPERLINK("https://twitter.com/iamdoo","@iamdoo")</f>
        <v>@iamdoo</v>
      </c>
      <c r="C4336" s="9" t="s">
        <v>10229</v>
      </c>
      <c r="D4336" s="9" t="s">
        <v>7646</v>
      </c>
      <c r="E4336" s="10" t="str">
        <f>HYPERLINK("https://twitter.com/iamdoo/status/723545529263624192","723545529263624192")</f>
        <v>723545529263624192</v>
      </c>
      <c r="F4336" s="11" t="s">
        <v>20</v>
      </c>
      <c r="G4336" s="11">
        <v>4</v>
      </c>
      <c r="H4336" s="11">
        <v>33</v>
      </c>
      <c r="I4336" s="11">
        <v>14</v>
      </c>
      <c r="J4336" s="11">
        <v>0</v>
      </c>
      <c r="K4336" s="11" t="s">
        <v>21</v>
      </c>
      <c r="L4336" s="7">
        <v>39955.350324074076</v>
      </c>
      <c r="M4336" s="12" t="s">
        <v>10230</v>
      </c>
      <c r="N4336" s="12" t="s">
        <v>10231</v>
      </c>
      <c r="O4336" s="10" t="str">
        <f>HYPERLINK("https://pbs.twimg.com/profile_images/686568020286648320/u_Il9e0m_normal.jpg","View")</f>
        <v>View</v>
      </c>
      <c r="P4336" s="11"/>
    </row>
    <row r="4337" spans="1:16" ht="12.75" x14ac:dyDescent="0.35">
      <c r="A4337" s="7">
        <v>42482.906168981484</v>
      </c>
      <c r="B4337" s="8" t="str">
        <f>HYPERLINK("https://twitter.com/dejbanlaw","@dejbanlaw")</f>
        <v>@dejbanlaw</v>
      </c>
      <c r="C4337" s="9" t="s">
        <v>500</v>
      </c>
      <c r="D4337" s="9" t="s">
        <v>10232</v>
      </c>
      <c r="E4337" s="10" t="str">
        <f>HYPERLINK("https://twitter.com/dejbanlaw/status/723545621878034432","723545621878034432")</f>
        <v>723545621878034432</v>
      </c>
      <c r="F4337" s="11" t="s">
        <v>91</v>
      </c>
      <c r="G4337" s="11">
        <v>21888</v>
      </c>
      <c r="H4337" s="11">
        <v>271</v>
      </c>
      <c r="I4337" s="11">
        <v>0</v>
      </c>
      <c r="J4337" s="11">
        <v>0</v>
      </c>
      <c r="K4337" s="11" t="s">
        <v>21</v>
      </c>
      <c r="L4337" s="7">
        <v>42350.2659837963</v>
      </c>
      <c r="M4337" s="12" t="s">
        <v>502</v>
      </c>
      <c r="N4337" s="12" t="s">
        <v>503</v>
      </c>
      <c r="O4337" s="10" t="str">
        <f>HYPERLINK("https://pbs.twimg.com/profile_images/676465930424082432/zT-RyXf4_normal.jpg","View")</f>
        <v>View</v>
      </c>
      <c r="P4337" s="11"/>
    </row>
    <row r="4338" spans="1:16" ht="12.75" x14ac:dyDescent="0.35">
      <c r="A4338" s="7">
        <v>42482.90625</v>
      </c>
      <c r="B4338" s="8" t="str">
        <f>HYPERLINK("https://twitter.com/DubLuvTuning","@DubLuvTuning")</f>
        <v>@DubLuvTuning</v>
      </c>
      <c r="C4338" s="9" t="s">
        <v>299</v>
      </c>
      <c r="D4338" s="9" t="s">
        <v>10233</v>
      </c>
      <c r="E4338" s="10" t="str">
        <f>HYPERLINK("https://twitter.com/DubLuvTuning/status/723545651309613056","723545651309613056")</f>
        <v>723545651309613056</v>
      </c>
      <c r="F4338" s="11" t="s">
        <v>288</v>
      </c>
      <c r="G4338" s="11">
        <v>690</v>
      </c>
      <c r="H4338" s="11">
        <v>431</v>
      </c>
      <c r="I4338" s="11">
        <v>1</v>
      </c>
      <c r="J4338" s="11">
        <v>0</v>
      </c>
      <c r="K4338" s="11" t="s">
        <v>21</v>
      </c>
      <c r="L4338" s="7">
        <v>41549.898287037038</v>
      </c>
      <c r="M4338" s="12" t="s">
        <v>301</v>
      </c>
      <c r="N4338" s="12" t="s">
        <v>302</v>
      </c>
      <c r="O4338" s="10" t="str">
        <f>HYPERLINK("https://pbs.twimg.com/profile_images/378800000572104796/1de43e1cf23efb3f4101c02afad0d3b6_normal.png","View")</f>
        <v>View</v>
      </c>
      <c r="P4338" s="11"/>
    </row>
    <row r="4339" spans="1:16" ht="12.75" x14ac:dyDescent="0.35">
      <c r="A4339" s="7">
        <v>42482.906284722223</v>
      </c>
      <c r="B4339" s="8" t="str">
        <f>HYPERLINK("https://twitter.com/iamdoo","@iamdoo")</f>
        <v>@iamdoo</v>
      </c>
      <c r="C4339" s="9" t="s">
        <v>10229</v>
      </c>
      <c r="D4339" s="9" t="s">
        <v>7426</v>
      </c>
      <c r="E4339" s="10" t="str">
        <f>HYPERLINK("https://twitter.com/iamdoo/status/723545664408289280","723545664408289280")</f>
        <v>723545664408289280</v>
      </c>
      <c r="F4339" s="11" t="s">
        <v>20</v>
      </c>
      <c r="G4339" s="11">
        <v>4</v>
      </c>
      <c r="H4339" s="11">
        <v>33</v>
      </c>
      <c r="I4339" s="11">
        <v>18</v>
      </c>
      <c r="J4339" s="11">
        <v>0</v>
      </c>
      <c r="K4339" s="11" t="s">
        <v>21</v>
      </c>
      <c r="L4339" s="7">
        <v>39955.350324074076</v>
      </c>
      <c r="M4339" s="12" t="s">
        <v>10230</v>
      </c>
      <c r="N4339" s="12" t="s">
        <v>10231</v>
      </c>
      <c r="O4339" s="10" t="str">
        <f>HYPERLINK("https://pbs.twimg.com/profile_images/686568020286648320/u_Il9e0m_normal.jpg","View")</f>
        <v>View</v>
      </c>
      <c r="P4339" s="11"/>
    </row>
    <row r="4340" spans="1:16" ht="12.75" x14ac:dyDescent="0.35">
      <c r="A4340" s="7">
        <v>42482.906643518523</v>
      </c>
      <c r="B4340" s="8" t="str">
        <f>HYPERLINK("https://twitter.com/VWBeetleSales","@VWBeetleSales")</f>
        <v>@VWBeetleSales</v>
      </c>
      <c r="C4340" s="9" t="s">
        <v>127</v>
      </c>
      <c r="D4340" s="9" t="s">
        <v>10234</v>
      </c>
      <c r="E4340" s="10" t="str">
        <f>HYPERLINK("https://twitter.com/VWBeetleSales/status/723545791248261123","723545791248261123")</f>
        <v>723545791248261123</v>
      </c>
      <c r="F4340" s="10" t="s">
        <v>124</v>
      </c>
      <c r="G4340" s="11">
        <v>36</v>
      </c>
      <c r="H4340" s="11">
        <v>32</v>
      </c>
      <c r="I4340" s="11">
        <v>0</v>
      </c>
      <c r="J4340" s="11">
        <v>0</v>
      </c>
      <c r="K4340" s="11" t="s">
        <v>21</v>
      </c>
      <c r="L4340" s="7">
        <v>42427.019756944443</v>
      </c>
      <c r="M4340" s="12" t="s">
        <v>129</v>
      </c>
      <c r="N4340" s="12" t="s">
        <v>130</v>
      </c>
      <c r="O4340" s="10" t="str">
        <f>HYPERLINK("https://pbs.twimg.com/profile_images/703294545195307008/qeCvrX86_normal.jpg","View")</f>
        <v>View</v>
      </c>
      <c r="P4340" s="11"/>
    </row>
    <row r="4341" spans="1:16" ht="12.75" x14ac:dyDescent="0.35">
      <c r="A4341" s="7">
        <v>42482.906759259262</v>
      </c>
      <c r="B4341" s="8" t="str">
        <f>HYPERLINK("https://twitter.com/anadin325","@anadin325")</f>
        <v>@anadin325</v>
      </c>
      <c r="C4341" s="9" t="s">
        <v>2200</v>
      </c>
      <c r="D4341" s="9" t="s">
        <v>10235</v>
      </c>
      <c r="E4341" s="10" t="str">
        <f>HYPERLINK("https://twitter.com/anadin325/status/723545834541993984","723545834541993984")</f>
        <v>723545834541993984</v>
      </c>
      <c r="F4341" s="11" t="s">
        <v>43</v>
      </c>
      <c r="G4341" s="11">
        <v>650</v>
      </c>
      <c r="H4341" s="11">
        <v>388</v>
      </c>
      <c r="I4341" s="11">
        <v>0</v>
      </c>
      <c r="J4341" s="11">
        <v>1</v>
      </c>
      <c r="K4341" s="11" t="s">
        <v>21</v>
      </c>
      <c r="L4341" s="7">
        <v>41169.164143518516</v>
      </c>
      <c r="M4341" s="12" t="s">
        <v>1288</v>
      </c>
      <c r="N4341" s="12" t="s">
        <v>2201</v>
      </c>
      <c r="O4341" s="10" t="str">
        <f>HYPERLINK("https://pbs.twimg.com/profile_images/710629331001851904/b3UNgZb6_normal.jpg","View")</f>
        <v>View</v>
      </c>
      <c r="P4341" s="11"/>
    </row>
    <row r="4342" spans="1:16" ht="12.75" x14ac:dyDescent="0.35">
      <c r="A4342" s="7">
        <v>42482.907523148147</v>
      </c>
      <c r="B4342" s="8" t="str">
        <f>HYPERLINK("https://twitter.com/supervwfestival","@supervwfestival")</f>
        <v>@supervwfestival</v>
      </c>
      <c r="C4342" s="9" t="s">
        <v>10236</v>
      </c>
      <c r="D4342" s="9" t="s">
        <v>10237</v>
      </c>
      <c r="E4342" s="10" t="str">
        <f>HYPERLINK("https://twitter.com/supervwfestival/status/723546113328992262","723546113328992262")</f>
        <v>723546113328992262</v>
      </c>
      <c r="F4342" s="11" t="s">
        <v>114</v>
      </c>
      <c r="G4342" s="11">
        <v>900</v>
      </c>
      <c r="H4342" s="11">
        <v>1601</v>
      </c>
      <c r="I4342" s="11">
        <v>0</v>
      </c>
      <c r="J4342" s="11">
        <v>0</v>
      </c>
      <c r="K4342" s="11" t="s">
        <v>21</v>
      </c>
      <c r="L4342" s="7">
        <v>41547.822025462963</v>
      </c>
      <c r="M4342" s="12" t="s">
        <v>10238</v>
      </c>
      <c r="N4342" s="12" t="s">
        <v>10239</v>
      </c>
      <c r="O4342" s="10" t="str">
        <f>HYPERLINK("https://pbs.twimg.com/profile_images/673849432094437376/Q6_8GkHW_normal.jpg","View")</f>
        <v>View</v>
      </c>
      <c r="P4342" s="11"/>
    </row>
    <row r="4343" spans="1:16" ht="12.75" x14ac:dyDescent="0.35">
      <c r="A4343" s="7">
        <v>42482.907534722224</v>
      </c>
      <c r="B4343" s="8" t="str">
        <f>HYPERLINK("https://twitter.com/illycaro","@illycaro")</f>
        <v>@illycaro</v>
      </c>
      <c r="C4343" s="9" t="s">
        <v>10240</v>
      </c>
      <c r="D4343" s="9" t="s">
        <v>10241</v>
      </c>
      <c r="E4343" s="10" t="str">
        <f>HYPERLINK("https://twitter.com/illycaro/status/723546113773547520","723546113773547520")</f>
        <v>723546113773547520</v>
      </c>
      <c r="F4343" s="11" t="s">
        <v>48</v>
      </c>
      <c r="G4343" s="11">
        <v>702</v>
      </c>
      <c r="H4343" s="11">
        <v>528</v>
      </c>
      <c r="I4343" s="11">
        <v>1</v>
      </c>
      <c r="J4343" s="11">
        <v>0</v>
      </c>
      <c r="K4343" s="11" t="s">
        <v>21</v>
      </c>
      <c r="L4343" s="7">
        <v>40269.227083333331</v>
      </c>
      <c r="M4343" s="12" t="s">
        <v>10242</v>
      </c>
      <c r="N4343" s="12" t="s">
        <v>10243</v>
      </c>
      <c r="O4343" s="10" t="str">
        <f>HYPERLINK("https://pbs.twimg.com/profile_images/711643745175769088/1Lqijnw5_normal.jpg","View")</f>
        <v>View</v>
      </c>
      <c r="P4343" s="11"/>
    </row>
    <row r="4344" spans="1:16" ht="12.75" x14ac:dyDescent="0.35">
      <c r="A4344" s="7">
        <v>42482.90760416667</v>
      </c>
      <c r="B4344" s="8" t="str">
        <f>HYPERLINK("https://twitter.com/VWnews","@VWnews")</f>
        <v>@VWnews</v>
      </c>
      <c r="C4344" s="9" t="s">
        <v>10244</v>
      </c>
      <c r="D4344" s="9" t="s">
        <v>10245</v>
      </c>
      <c r="E4344" s="10" t="str">
        <f>HYPERLINK("https://twitter.com/VWnews/status/723546142642941952","723546142642941952")</f>
        <v>723546142642941952</v>
      </c>
      <c r="F4344" s="11" t="s">
        <v>43</v>
      </c>
      <c r="G4344" s="11">
        <v>6769</v>
      </c>
      <c r="H4344" s="11">
        <v>958</v>
      </c>
      <c r="I4344" s="11">
        <v>1</v>
      </c>
      <c r="J4344" s="11">
        <v>0</v>
      </c>
      <c r="K4344" s="11" t="s">
        <v>21</v>
      </c>
      <c r="L4344" s="7">
        <v>41383.932291666664</v>
      </c>
      <c r="M4344" s="12" t="s">
        <v>10246</v>
      </c>
      <c r="N4344" s="12" t="s">
        <v>10247</v>
      </c>
      <c r="O4344" s="10" t="str">
        <f>HYPERLINK("https://pbs.twimg.com/profile_images/684785119979241472/s8TbnQiQ_normal.jpg","View")</f>
        <v>View</v>
      </c>
      <c r="P4344" s="11"/>
    </row>
    <row r="4345" spans="1:16" ht="12.75" x14ac:dyDescent="0.35">
      <c r="A4345" s="7">
        <v>42482.907662037032</v>
      </c>
      <c r="B4345" s="8" t="str">
        <f>HYPERLINK("https://twitter.com/CKPapaBoojumzw","@CKPapaBoojumzw")</f>
        <v>@CKPapaBoojumzw</v>
      </c>
      <c r="C4345" s="9" t="s">
        <v>10248</v>
      </c>
      <c r="D4345" s="9" t="s">
        <v>10249</v>
      </c>
      <c r="E4345" s="10" t="str">
        <f>HYPERLINK("https://twitter.com/CKPapaBoojumzw/status/723546164004544512","723546164004544512")</f>
        <v>723546164004544512</v>
      </c>
      <c r="F4345" s="11" t="s">
        <v>43</v>
      </c>
      <c r="G4345" s="11">
        <v>21</v>
      </c>
      <c r="H4345" s="11">
        <v>607</v>
      </c>
      <c r="I4345" s="11">
        <v>1</v>
      </c>
      <c r="J4345" s="11">
        <v>0</v>
      </c>
      <c r="K4345" s="11" t="s">
        <v>21</v>
      </c>
      <c r="L4345" s="7">
        <v>42065.284456018519</v>
      </c>
      <c r="M4345" s="12"/>
      <c r="N4345" s="12" t="s">
        <v>10250</v>
      </c>
      <c r="O4345" s="10" t="str">
        <f>HYPERLINK("https://pbs.twimg.com/profile_images/575807672219361280/Ch-RGehm_normal.jpeg","View")</f>
        <v>View</v>
      </c>
      <c r="P4345" s="11"/>
    </row>
    <row r="4346" spans="1:16" ht="12.75" x14ac:dyDescent="0.35">
      <c r="A4346" s="7">
        <v>42482.907824074078</v>
      </c>
      <c r="B4346" s="8" t="str">
        <f>HYPERLINK("https://twitter.com/Stony_BS","@Stony_BS")</f>
        <v>@Stony_BS</v>
      </c>
      <c r="C4346" s="9" t="s">
        <v>2680</v>
      </c>
      <c r="D4346" s="9" t="s">
        <v>10251</v>
      </c>
      <c r="E4346" s="10" t="str">
        <f>HYPERLINK("https://twitter.com/Stony_BS/status/723546220355043329","723546220355043329")</f>
        <v>723546220355043329</v>
      </c>
      <c r="F4346" s="11" t="s">
        <v>43</v>
      </c>
      <c r="G4346" s="11">
        <v>36</v>
      </c>
      <c r="H4346" s="11">
        <v>51</v>
      </c>
      <c r="I4346" s="11">
        <v>0</v>
      </c>
      <c r="J4346" s="11">
        <v>0</v>
      </c>
      <c r="K4346" s="11" t="s">
        <v>21</v>
      </c>
      <c r="L4346" s="7">
        <v>41928.806030092594</v>
      </c>
      <c r="M4346" s="12" t="s">
        <v>2682</v>
      </c>
      <c r="N4346" s="12" t="s">
        <v>2683</v>
      </c>
      <c r="O4346" s="10" t="str">
        <f>HYPERLINK("https://pbs.twimg.com/profile_images/668091779313500160/ZepxnJcI_normal.jpg","View")</f>
        <v>View</v>
      </c>
      <c r="P4346" s="11"/>
    </row>
    <row r="4347" spans="1:16" ht="12.75" x14ac:dyDescent="0.35">
      <c r="A4347" s="7">
        <v>42482.907870370371</v>
      </c>
      <c r="B4347" s="8" t="str">
        <f>HYPERLINK("https://twitter.com/charlibarca10","@charlibarca10")</f>
        <v>@charlibarca10</v>
      </c>
      <c r="C4347" s="9" t="s">
        <v>10252</v>
      </c>
      <c r="D4347" s="9" t="s">
        <v>10253</v>
      </c>
      <c r="E4347" s="10" t="str">
        <f>HYPERLINK("https://twitter.com/charlibarca10/status/723546239380406272","723546239380406272")</f>
        <v>723546239380406272</v>
      </c>
      <c r="F4347" s="11" t="s">
        <v>748</v>
      </c>
      <c r="G4347" s="11">
        <v>230</v>
      </c>
      <c r="H4347" s="11">
        <v>224</v>
      </c>
      <c r="I4347" s="11">
        <v>0</v>
      </c>
      <c r="J4347" s="11">
        <v>0</v>
      </c>
      <c r="K4347" s="11" t="s">
        <v>21</v>
      </c>
      <c r="L4347" s="7">
        <v>40789.120844907404</v>
      </c>
      <c r="M4347" s="12" t="s">
        <v>10254</v>
      </c>
      <c r="N4347" s="12" t="s">
        <v>10255</v>
      </c>
      <c r="O4347" s="10" t="str">
        <f>HYPERLINK("https://pbs.twimg.com/profile_images/704361995181535233/IKpbXnyi_normal.jpg","View")</f>
        <v>View</v>
      </c>
      <c r="P4347" s="11"/>
    </row>
    <row r="4348" spans="1:16" ht="12.75" x14ac:dyDescent="0.35">
      <c r="A4348" s="7">
        <v>42482.909710648149</v>
      </c>
      <c r="B4348" s="8" t="str">
        <f>HYPERLINK("https://twitter.com/IngmarStreese","@IngmarStreese")</f>
        <v>@IngmarStreese</v>
      </c>
      <c r="C4348" s="9" t="s">
        <v>10256</v>
      </c>
      <c r="D4348" s="9" t="s">
        <v>9782</v>
      </c>
      <c r="E4348" s="10" t="str">
        <f>HYPERLINK("https://twitter.com/IngmarStreese/status/723546905356177409","723546905356177409")</f>
        <v>723546905356177409</v>
      </c>
      <c r="F4348" s="11" t="s">
        <v>20</v>
      </c>
      <c r="G4348" s="11">
        <v>288</v>
      </c>
      <c r="H4348" s="11">
        <v>142</v>
      </c>
      <c r="I4348" s="11">
        <v>8</v>
      </c>
      <c r="J4348" s="11">
        <v>0</v>
      </c>
      <c r="K4348" s="11" t="s">
        <v>21</v>
      </c>
      <c r="L4348" s="7">
        <v>41756.934930555552</v>
      </c>
      <c r="M4348" s="12" t="s">
        <v>1359</v>
      </c>
      <c r="N4348" s="12" t="s">
        <v>10257</v>
      </c>
      <c r="O4348" s="10" t="str">
        <f>HYPERLINK("https://pbs.twimg.com/profile_images/631367343768076288/4X1Foa_B_normal.jpg","View")</f>
        <v>View</v>
      </c>
      <c r="P4348" s="11"/>
    </row>
    <row r="4349" spans="1:16" ht="12.75" x14ac:dyDescent="0.35">
      <c r="A4349" s="7">
        <v>42482.910081018519</v>
      </c>
      <c r="B4349" s="8" t="str">
        <f>HYPERLINK("https://twitter.com/piepser","@piepser")</f>
        <v>@piepser</v>
      </c>
      <c r="C4349" s="9" t="s">
        <v>10258</v>
      </c>
      <c r="D4349" s="9" t="s">
        <v>9477</v>
      </c>
      <c r="E4349" s="10" t="str">
        <f>HYPERLINK("https://twitter.com/piepser/status/723547036788875264","723547036788875264")</f>
        <v>723547036788875264</v>
      </c>
      <c r="F4349" s="11" t="s">
        <v>48</v>
      </c>
      <c r="G4349" s="11">
        <v>81</v>
      </c>
      <c r="H4349" s="11">
        <v>508</v>
      </c>
      <c r="I4349" s="11">
        <v>4</v>
      </c>
      <c r="J4349" s="11">
        <v>0</v>
      </c>
      <c r="K4349" s="11" t="s">
        <v>21</v>
      </c>
      <c r="L4349" s="7">
        <v>39898.630162037036</v>
      </c>
      <c r="M4349" s="12" t="s">
        <v>10259</v>
      </c>
      <c r="N4349" s="12"/>
      <c r="O4349" s="10" t="str">
        <f>HYPERLINK("https://pbs.twimg.com/profile_images/712576497370972160/XgXe6vFi_normal.jpg","View")</f>
        <v>View</v>
      </c>
      <c r="P4349" s="11"/>
    </row>
    <row r="4350" spans="1:16" ht="12.75" x14ac:dyDescent="0.35">
      <c r="A4350" s="7">
        <v>42482.910682870366</v>
      </c>
      <c r="B4350" s="8" t="str">
        <f>HYPERLINK("https://twitter.com/meise_o","@meise_o")</f>
        <v>@meise_o</v>
      </c>
      <c r="C4350" s="9" t="s">
        <v>10260</v>
      </c>
      <c r="D4350" s="9" t="s">
        <v>10261</v>
      </c>
      <c r="E4350" s="10" t="str">
        <f>HYPERLINK("https://twitter.com/meise_o/status/723547255614128129","723547255614128129")</f>
        <v>723547255614128129</v>
      </c>
      <c r="F4350" s="11" t="s">
        <v>114</v>
      </c>
      <c r="G4350" s="11">
        <v>108</v>
      </c>
      <c r="H4350" s="11">
        <v>35</v>
      </c>
      <c r="I4350" s="11">
        <v>0</v>
      </c>
      <c r="J4350" s="11">
        <v>0</v>
      </c>
      <c r="K4350" s="11" t="s">
        <v>21</v>
      </c>
      <c r="L4350" s="7">
        <v>41236.662824074076</v>
      </c>
      <c r="M4350" s="12"/>
      <c r="N4350" s="12" t="s">
        <v>10262</v>
      </c>
      <c r="O4350" s="10" t="str">
        <f>HYPERLINK("https://pbs.twimg.com/profile_images/698829609387888640/gbQhqoCx_normal.jpg","View")</f>
        <v>View</v>
      </c>
      <c r="P4350" s="10" t="str">
        <f>HYPERLINK("http://ctrlq.org/maps/address/#52.27749313,8.04171269","Map")</f>
        <v>Map</v>
      </c>
    </row>
    <row r="4351" spans="1:16" ht="12.75" x14ac:dyDescent="0.35">
      <c r="A4351" s="7">
        <v>42482.911377314813</v>
      </c>
      <c r="B4351" s="8" t="str">
        <f>HYPERLINK("https://twitter.com/UdoSiev","@UdoSiev")</f>
        <v>@UdoSiev</v>
      </c>
      <c r="C4351" s="9" t="s">
        <v>10263</v>
      </c>
      <c r="D4351" s="9" t="s">
        <v>9782</v>
      </c>
      <c r="E4351" s="10" t="str">
        <f>HYPERLINK("https://twitter.com/UdoSiev/status/723547506810970112","723547506810970112")</f>
        <v>723547506810970112</v>
      </c>
      <c r="F4351" s="11" t="s">
        <v>20</v>
      </c>
      <c r="G4351" s="11">
        <v>1986</v>
      </c>
      <c r="H4351" s="11">
        <v>367</v>
      </c>
      <c r="I4351" s="11">
        <v>8</v>
      </c>
      <c r="J4351" s="11">
        <v>0</v>
      </c>
      <c r="K4351" s="11" t="s">
        <v>21</v>
      </c>
      <c r="L4351" s="7">
        <v>39964.673333333332</v>
      </c>
      <c r="M4351" s="12" t="s">
        <v>10264</v>
      </c>
      <c r="N4351" s="12" t="s">
        <v>10265</v>
      </c>
      <c r="O4351" s="10" t="str">
        <f>HYPERLINK("https://pbs.twimg.com/profile_images/2807357036/4f9efa6b869ec08e89b70ba39d2c8e18_normal.jpeg","View")</f>
        <v>View</v>
      </c>
      <c r="P4351" s="11"/>
    </row>
    <row r="4352" spans="1:16" ht="12.75" x14ac:dyDescent="0.35">
      <c r="A4352" s="7">
        <v>42482.91170138889</v>
      </c>
      <c r="B4352" s="8" t="str">
        <f>HYPERLINK("https://twitter.com/Only9built","@Only9built")</f>
        <v>@Only9built</v>
      </c>
      <c r="C4352" s="9" t="s">
        <v>10266</v>
      </c>
      <c r="D4352" s="9" t="s">
        <v>10267</v>
      </c>
      <c r="E4352" s="10" t="str">
        <f>HYPERLINK("https://twitter.com/Only9built/status/723547627682430978","723547627682430978")</f>
        <v>723547627682430978</v>
      </c>
      <c r="F4352" s="11" t="s">
        <v>20</v>
      </c>
      <c r="G4352" s="11">
        <v>4568</v>
      </c>
      <c r="H4352" s="11">
        <v>3257</v>
      </c>
      <c r="I4352" s="11">
        <v>18</v>
      </c>
      <c r="J4352" s="11">
        <v>0</v>
      </c>
      <c r="K4352" s="11" t="s">
        <v>21</v>
      </c>
      <c r="L4352" s="7">
        <v>41956.806944444441</v>
      </c>
      <c r="M4352" s="12"/>
      <c r="N4352" s="12" t="s">
        <v>10268</v>
      </c>
      <c r="O4352" s="10" t="str">
        <f>HYPERLINK("https://pbs.twimg.com/profile_images/706825223539200001/ArpDRZL1_normal.jpg","View")</f>
        <v>View</v>
      </c>
      <c r="P4352" s="11"/>
    </row>
    <row r="4353" spans="1:16" ht="12.75" x14ac:dyDescent="0.35">
      <c r="A4353" s="7">
        <v>42482.912418981483</v>
      </c>
      <c r="B4353" s="8" t="str">
        <f>HYPERLINK("https://twitter.com/oldcar_photo","@oldcar_photo")</f>
        <v>@oldcar_photo</v>
      </c>
      <c r="C4353" s="9" t="s">
        <v>1046</v>
      </c>
      <c r="D4353" s="9" t="s">
        <v>10269</v>
      </c>
      <c r="E4353" s="10" t="str">
        <f>HYPERLINK("https://twitter.com/oldcar_photo/status/723547885778964484","723547885778964484")</f>
        <v>723547885778964484</v>
      </c>
      <c r="F4353" s="11" t="s">
        <v>68</v>
      </c>
      <c r="G4353" s="11">
        <v>1982</v>
      </c>
      <c r="H4353" s="11">
        <v>0</v>
      </c>
      <c r="I4353" s="11">
        <v>1</v>
      </c>
      <c r="J4353" s="11">
        <v>0</v>
      </c>
      <c r="K4353" s="11" t="s">
        <v>21</v>
      </c>
      <c r="L4353" s="7">
        <v>42184.7341087963</v>
      </c>
      <c r="M4353" s="12"/>
      <c r="N4353" s="12"/>
      <c r="O4353" s="10" t="str">
        <f>HYPERLINK("https://pbs.twimg.com/profile_images/615493650785660928/XHUh6HOk_normal.jpg","View")</f>
        <v>View</v>
      </c>
      <c r="P4353" s="11"/>
    </row>
    <row r="4354" spans="1:16" ht="12.75" x14ac:dyDescent="0.35">
      <c r="A4354" s="7">
        <v>42482.912511574075</v>
      </c>
      <c r="B4354" s="8" t="str">
        <f>HYPERLINK("https://twitter.com/Insta_VWT","@Insta_VWT")</f>
        <v>@Insta_VWT</v>
      </c>
      <c r="C4354" s="9" t="s">
        <v>181</v>
      </c>
      <c r="D4354" s="9" t="s">
        <v>10270</v>
      </c>
      <c r="E4354" s="10" t="str">
        <f>HYPERLINK("https://twitter.com/Insta_VWT/status/723547919480164352","723547919480164352")</f>
        <v>723547919480164352</v>
      </c>
      <c r="F4354" s="11" t="s">
        <v>68</v>
      </c>
      <c r="G4354" s="11">
        <v>481</v>
      </c>
      <c r="H4354" s="11">
        <v>0</v>
      </c>
      <c r="I4354" s="11">
        <v>0</v>
      </c>
      <c r="J4354" s="11">
        <v>0</v>
      </c>
      <c r="K4354" s="11" t="s">
        <v>21</v>
      </c>
      <c r="L4354" s="7">
        <v>41658.782800925925</v>
      </c>
      <c r="M4354" s="12" t="s">
        <v>183</v>
      </c>
      <c r="N4354" s="12" t="s">
        <v>184</v>
      </c>
      <c r="O4354" s="10" t="str">
        <f>HYPERLINK("https://pbs.twimg.com/profile_images/424893967197433858/iQ86NktX_normal.jpeg","View")</f>
        <v>View</v>
      </c>
      <c r="P4354" s="11"/>
    </row>
    <row r="4355" spans="1:16" ht="12.75" x14ac:dyDescent="0.35">
      <c r="A4355" s="7">
        <v>42482.912650462968</v>
      </c>
      <c r="B4355" s="8" t="str">
        <f t="shared" ref="B4355:B4357" si="371">HYPERLINK("https://twitter.com/VeeDubMk1_","@VeeDubMk1_")</f>
        <v>@VeeDubMk1_</v>
      </c>
      <c r="C4355" s="9" t="s">
        <v>185</v>
      </c>
      <c r="D4355" s="9" t="s">
        <v>10271</v>
      </c>
      <c r="E4355" s="10" t="str">
        <f>HYPERLINK("https://twitter.com/VeeDubMk1_/status/723547969488838656","723547969488838656")</f>
        <v>723547969488838656</v>
      </c>
      <c r="F4355" s="11" t="s">
        <v>68</v>
      </c>
      <c r="G4355" s="11">
        <v>547</v>
      </c>
      <c r="H4355" s="11">
        <v>3527</v>
      </c>
      <c r="I4355" s="11">
        <v>0</v>
      </c>
      <c r="J4355" s="11">
        <v>0</v>
      </c>
      <c r="K4355" s="11" t="s">
        <v>21</v>
      </c>
      <c r="L4355" s="7">
        <v>42343.063356481478</v>
      </c>
      <c r="M4355" s="12"/>
      <c r="N4355" s="12"/>
      <c r="O4355" s="10" t="str">
        <f t="shared" ref="O4355:O4357" si="372">HYPERLINK("https://pbs.twimg.com/profile_images/672878354127839232/M7OYc-zx_normal.jpg","View")</f>
        <v>View</v>
      </c>
      <c r="P4355" s="11"/>
    </row>
    <row r="4356" spans="1:16" ht="12.75" x14ac:dyDescent="0.35">
      <c r="A4356" s="7">
        <v>42482.912662037037</v>
      </c>
      <c r="B4356" s="8" t="str">
        <f t="shared" si="371"/>
        <v>@VeeDubMk1_</v>
      </c>
      <c r="C4356" s="9" t="s">
        <v>185</v>
      </c>
      <c r="D4356" s="9" t="s">
        <v>10272</v>
      </c>
      <c r="E4356" s="10" t="str">
        <f>HYPERLINK("https://twitter.com/VeeDubMk1_/status/723547975952281602","723547975952281602")</f>
        <v>723547975952281602</v>
      </c>
      <c r="F4356" s="11" t="s">
        <v>68</v>
      </c>
      <c r="G4356" s="11">
        <v>547</v>
      </c>
      <c r="H4356" s="11">
        <v>3527</v>
      </c>
      <c r="I4356" s="11">
        <v>0</v>
      </c>
      <c r="J4356" s="11">
        <v>0</v>
      </c>
      <c r="K4356" s="11" t="s">
        <v>21</v>
      </c>
      <c r="L4356" s="7">
        <v>42343.063356481478</v>
      </c>
      <c r="M4356" s="12"/>
      <c r="N4356" s="12"/>
      <c r="O4356" s="10" t="str">
        <f t="shared" si="372"/>
        <v>View</v>
      </c>
      <c r="P4356" s="11"/>
    </row>
    <row r="4357" spans="1:16" ht="12.75" x14ac:dyDescent="0.35">
      <c r="A4357" s="7">
        <v>42482.912685185191</v>
      </c>
      <c r="B4357" s="8" t="str">
        <f t="shared" si="371"/>
        <v>@VeeDubMk1_</v>
      </c>
      <c r="C4357" s="9" t="s">
        <v>185</v>
      </c>
      <c r="D4357" s="9" t="s">
        <v>10273</v>
      </c>
      <c r="E4357" s="10" t="str">
        <f>HYPERLINK("https://twitter.com/VeeDubMk1_/status/723547983221035008","723547983221035008")</f>
        <v>723547983221035008</v>
      </c>
      <c r="F4357" s="11" t="s">
        <v>68</v>
      </c>
      <c r="G4357" s="11">
        <v>547</v>
      </c>
      <c r="H4357" s="11">
        <v>3527</v>
      </c>
      <c r="I4357" s="11">
        <v>0</v>
      </c>
      <c r="J4357" s="11">
        <v>0</v>
      </c>
      <c r="K4357" s="11" t="s">
        <v>21</v>
      </c>
      <c r="L4357" s="7">
        <v>42343.063356481478</v>
      </c>
      <c r="M4357" s="12"/>
      <c r="N4357" s="12"/>
      <c r="O4357" s="10" t="str">
        <f t="shared" si="372"/>
        <v>View</v>
      </c>
      <c r="P4357" s="11"/>
    </row>
    <row r="4358" spans="1:16" ht="12.75" x14ac:dyDescent="0.35">
      <c r="A4358" s="7">
        <v>42482.912812499999</v>
      </c>
      <c r="B4358" s="8" t="str">
        <f>HYPERLINK("https://twitter.com/PalleHorn","@PalleHorn")</f>
        <v>@PalleHorn</v>
      </c>
      <c r="C4358" s="9" t="s">
        <v>10274</v>
      </c>
      <c r="D4358" s="9" t="s">
        <v>9782</v>
      </c>
      <c r="E4358" s="10" t="str">
        <f>HYPERLINK("https://twitter.com/PalleHorn/status/723548027848409088","723548027848409088")</f>
        <v>723548027848409088</v>
      </c>
      <c r="F4358" s="11" t="s">
        <v>48</v>
      </c>
      <c r="G4358" s="11">
        <v>17</v>
      </c>
      <c r="H4358" s="11">
        <v>135</v>
      </c>
      <c r="I4358" s="11">
        <v>8</v>
      </c>
      <c r="J4358" s="11">
        <v>0</v>
      </c>
      <c r="K4358" s="11" t="s">
        <v>21</v>
      </c>
      <c r="L4358" s="7">
        <v>41003.817175925928</v>
      </c>
      <c r="M4358" s="12"/>
      <c r="N4358" s="12"/>
      <c r="O4358" s="10" t="str">
        <f>HYPERLINK("https://abs.twimg.com/sticky/default_profile_images/default_profile_5_normal.png","View")</f>
        <v>View</v>
      </c>
      <c r="P4358" s="11"/>
    </row>
    <row r="4359" spans="1:16" ht="12.75" x14ac:dyDescent="0.35">
      <c r="A4359" s="7">
        <v>42482.9137962963</v>
      </c>
      <c r="B4359" s="8" t="str">
        <f t="shared" ref="B4359:B4360" si="373">HYPERLINK("https://twitter.com/OnlineCarReview","@OnlineCarReview")</f>
        <v>@OnlineCarReview</v>
      </c>
      <c r="C4359" s="9" t="s">
        <v>176</v>
      </c>
      <c r="D4359" s="9" t="s">
        <v>10275</v>
      </c>
      <c r="E4359" s="10" t="str">
        <f>HYPERLINK("https://twitter.com/OnlineCarReview/status/723548384775147524","723548384775147524")</f>
        <v>723548384775147524</v>
      </c>
      <c r="F4359" s="11" t="s">
        <v>34</v>
      </c>
      <c r="G4359" s="11">
        <v>840</v>
      </c>
      <c r="H4359" s="11">
        <v>568</v>
      </c>
      <c r="I4359" s="11">
        <v>0</v>
      </c>
      <c r="J4359" s="11">
        <v>0</v>
      </c>
      <c r="K4359" s="11" t="s">
        <v>21</v>
      </c>
      <c r="L4359" s="7">
        <v>42282.979201388887</v>
      </c>
      <c r="M4359" s="12"/>
      <c r="N4359" s="12" t="s">
        <v>178</v>
      </c>
      <c r="O4359" s="10" t="str">
        <f t="shared" ref="O4359:O4360" si="374">HYPERLINK("https://pbs.twimg.com/profile_images/652871584131092480/QA_B6SBO_normal.jpg","View")</f>
        <v>View</v>
      </c>
      <c r="P4359" s="11"/>
    </row>
    <row r="4360" spans="1:16" ht="12.75" x14ac:dyDescent="0.35">
      <c r="A4360" s="7">
        <v>42482.9137962963</v>
      </c>
      <c r="B4360" s="8" t="str">
        <f t="shared" si="373"/>
        <v>@OnlineCarReview</v>
      </c>
      <c r="C4360" s="9" t="s">
        <v>176</v>
      </c>
      <c r="D4360" s="9" t="s">
        <v>10276</v>
      </c>
      <c r="E4360" s="10" t="str">
        <f>HYPERLINK("https://twitter.com/OnlineCarReview/status/723548385806946305","723548385806946305")</f>
        <v>723548385806946305</v>
      </c>
      <c r="F4360" s="11" t="s">
        <v>34</v>
      </c>
      <c r="G4360" s="11">
        <v>840</v>
      </c>
      <c r="H4360" s="11">
        <v>568</v>
      </c>
      <c r="I4360" s="11">
        <v>0</v>
      </c>
      <c r="J4360" s="11">
        <v>0</v>
      </c>
      <c r="K4360" s="11" t="s">
        <v>21</v>
      </c>
      <c r="L4360" s="7">
        <v>42282.979201388887</v>
      </c>
      <c r="M4360" s="12"/>
      <c r="N4360" s="12" t="s">
        <v>178</v>
      </c>
      <c r="O4360" s="10" t="str">
        <f t="shared" si="374"/>
        <v>View</v>
      </c>
      <c r="P4360" s="11"/>
    </row>
    <row r="4361" spans="1:16" ht="12.75" x14ac:dyDescent="0.35">
      <c r="A4361" s="7">
        <v>42482.913958333331</v>
      </c>
      <c r="B4361" s="8" t="str">
        <f>HYPERLINK("https://twitter.com/VWCamperSales","@VWCamperSales")</f>
        <v>@VWCamperSales</v>
      </c>
      <c r="C4361" s="9" t="s">
        <v>216</v>
      </c>
      <c r="D4361" s="9" t="s">
        <v>10277</v>
      </c>
      <c r="E4361" s="10" t="str">
        <f>HYPERLINK("https://twitter.com/VWCamperSales/status/723548442962751488","723548442962751488")</f>
        <v>723548442962751488</v>
      </c>
      <c r="F4361" s="10" t="s">
        <v>124</v>
      </c>
      <c r="G4361" s="11">
        <v>618</v>
      </c>
      <c r="H4361" s="11">
        <v>580</v>
      </c>
      <c r="I4361" s="11">
        <v>0</v>
      </c>
      <c r="J4361" s="11">
        <v>0</v>
      </c>
      <c r="K4361" s="11" t="s">
        <v>21</v>
      </c>
      <c r="L4361" s="7">
        <v>42215.98809027778</v>
      </c>
      <c r="M4361" s="12" t="s">
        <v>129</v>
      </c>
      <c r="N4361" s="12" t="s">
        <v>218</v>
      </c>
      <c r="O4361" s="10" t="str">
        <f>HYPERLINK("https://pbs.twimg.com/profile_images/627949001179037696/skEBkS05_normal.jpg","View")</f>
        <v>View</v>
      </c>
      <c r="P4361" s="11"/>
    </row>
    <row r="4362" spans="1:16" ht="12.75" x14ac:dyDescent="0.35">
      <c r="A4362" s="7">
        <v>42482.913958333331</v>
      </c>
      <c r="B4362" s="8" t="str">
        <f>HYPERLINK("https://twitter.com/Sumsi_","@Sumsi_")</f>
        <v>@Sumsi_</v>
      </c>
      <c r="C4362" s="9" t="s">
        <v>3798</v>
      </c>
      <c r="D4362" s="9" t="s">
        <v>4290</v>
      </c>
      <c r="E4362" s="10" t="str">
        <f>HYPERLINK("https://twitter.com/Sumsi_/status/723548445206827008","723548445206827008")</f>
        <v>723548445206827008</v>
      </c>
      <c r="F4362" s="11" t="s">
        <v>3799</v>
      </c>
      <c r="G4362" s="11">
        <v>121</v>
      </c>
      <c r="H4362" s="11">
        <v>422</v>
      </c>
      <c r="I4362" s="11">
        <v>8</v>
      </c>
      <c r="J4362" s="11">
        <v>0</v>
      </c>
      <c r="K4362" s="11" t="s">
        <v>21</v>
      </c>
      <c r="L4362" s="7">
        <v>40616.964432870373</v>
      </c>
      <c r="M4362" s="12"/>
      <c r="N4362" s="12"/>
      <c r="O4362" s="10" t="str">
        <f>HYPERLINK("https://pbs.twimg.com/profile_images/1944127722/image_normal.jpg","View")</f>
        <v>View</v>
      </c>
      <c r="P4362" s="11"/>
    </row>
    <row r="4363" spans="1:16" ht="12.75" x14ac:dyDescent="0.35">
      <c r="A4363" s="7">
        <v>42482.91407407407</v>
      </c>
      <c r="B4363" s="8" t="str">
        <f>HYPERLINK("https://twitter.com/VolkswagenPost","@VolkswagenPost")</f>
        <v>@VolkswagenPost</v>
      </c>
      <c r="C4363" s="9" t="s">
        <v>321</v>
      </c>
      <c r="D4363" s="9" t="s">
        <v>10278</v>
      </c>
      <c r="E4363" s="10" t="str">
        <f>HYPERLINK("https://twitter.com/VolkswagenPost/status/723548486130528256","723548486130528256")</f>
        <v>723548486130528256</v>
      </c>
      <c r="F4363" s="11" t="s">
        <v>34</v>
      </c>
      <c r="G4363" s="11">
        <v>569</v>
      </c>
      <c r="H4363" s="11">
        <v>446</v>
      </c>
      <c r="I4363" s="11">
        <v>0</v>
      </c>
      <c r="J4363" s="11">
        <v>0</v>
      </c>
      <c r="K4363" s="11" t="s">
        <v>21</v>
      </c>
      <c r="L4363" s="7">
        <v>41940.618379629632</v>
      </c>
      <c r="M4363" s="12"/>
      <c r="N4363" s="12"/>
      <c r="O4363" s="10" t="str">
        <f>HYPERLINK("https://pbs.twimg.com/profile_images/530071272881803264/a_jcCmPZ_normal.png","View")</f>
        <v>View</v>
      </c>
      <c r="P4363" s="11"/>
    </row>
    <row r="4364" spans="1:16" ht="12.75" x14ac:dyDescent="0.35">
      <c r="A4364" s="7">
        <v>42482.914085648154</v>
      </c>
      <c r="B4364" s="8" t="str">
        <f>HYPERLINK("https://twitter.com/Snowx2k5","@Snowx2k5")</f>
        <v>@Snowx2k5</v>
      </c>
      <c r="C4364" s="9" t="s">
        <v>10279</v>
      </c>
      <c r="D4364" s="9" t="s">
        <v>10280</v>
      </c>
      <c r="E4364" s="10" t="str">
        <f>HYPERLINK("https://twitter.com/Snowx2k5/status/723548490006188034","723548490006188034")</f>
        <v>723548490006188034</v>
      </c>
      <c r="F4364" s="11" t="s">
        <v>43</v>
      </c>
      <c r="G4364" s="11">
        <v>1938</v>
      </c>
      <c r="H4364" s="11">
        <v>2716</v>
      </c>
      <c r="I4364" s="11">
        <v>0</v>
      </c>
      <c r="J4364" s="11">
        <v>0</v>
      </c>
      <c r="K4364" s="11" t="s">
        <v>21</v>
      </c>
      <c r="L4364" s="7">
        <v>39833.803344907406</v>
      </c>
      <c r="M4364" s="12"/>
      <c r="N4364" s="12" t="s">
        <v>10281</v>
      </c>
      <c r="O4364" s="10" t="str">
        <f>HYPERLINK("https://pbs.twimg.com/profile_images/447431696804098048/cMkH9nly_normal.jpeg","View")</f>
        <v>View</v>
      </c>
      <c r="P4364" s="11"/>
    </row>
    <row r="4365" spans="1:16" ht="12.75" x14ac:dyDescent="0.35">
      <c r="A4365" s="7">
        <v>42482.914375</v>
      </c>
      <c r="B4365" s="8" t="str">
        <f>HYPERLINK("https://twitter.com/VolkerVotsmeier","@VolkerVotsmeier")</f>
        <v>@VolkerVotsmeier</v>
      </c>
      <c r="C4365" s="9" t="s">
        <v>1220</v>
      </c>
      <c r="D4365" s="9" t="s">
        <v>10282</v>
      </c>
      <c r="E4365" s="10" t="str">
        <f>HYPERLINK("https://twitter.com/VolkerVotsmeier/status/723548593806802946","723548593806802946")</f>
        <v>723548593806802946</v>
      </c>
      <c r="F4365" s="11" t="s">
        <v>193</v>
      </c>
      <c r="G4365" s="11">
        <v>1735</v>
      </c>
      <c r="H4365" s="11">
        <v>819</v>
      </c>
      <c r="I4365" s="11">
        <v>0</v>
      </c>
      <c r="J4365" s="11">
        <v>0</v>
      </c>
      <c r="K4365" s="11" t="s">
        <v>21</v>
      </c>
      <c r="L4365" s="7">
        <v>41289.594131944446</v>
      </c>
      <c r="M4365" s="12" t="s">
        <v>975</v>
      </c>
      <c r="N4365" s="12" t="s">
        <v>1222</v>
      </c>
      <c r="O4365" s="10" t="str">
        <f>HYPERLINK("https://pbs.twimg.com/profile_images/507897198911053824/7OqYAonJ_normal.jpeg","View")</f>
        <v>View</v>
      </c>
      <c r="P4365" s="11"/>
    </row>
    <row r="4366" spans="1:16" ht="12.75" x14ac:dyDescent="0.35">
      <c r="A4366" s="7">
        <v>42482.9144212963</v>
      </c>
      <c r="B4366" s="8" t="str">
        <f>HYPERLINK("https://twitter.com/AnhaengerCDU","@AnhaengerCDU")</f>
        <v>@AnhaengerCDU</v>
      </c>
      <c r="C4366" s="9" t="s">
        <v>10283</v>
      </c>
      <c r="D4366" s="9" t="s">
        <v>10284</v>
      </c>
      <c r="E4366" s="10" t="str">
        <f>HYPERLINK("https://twitter.com/AnhaengerCDU/status/723548610252705792","723548610252705792")</f>
        <v>723548610252705792</v>
      </c>
      <c r="F4366" s="11" t="s">
        <v>43</v>
      </c>
      <c r="G4366" s="11">
        <v>65</v>
      </c>
      <c r="H4366" s="11">
        <v>51</v>
      </c>
      <c r="I4366" s="11">
        <v>0</v>
      </c>
      <c r="J4366" s="11">
        <v>0</v>
      </c>
      <c r="K4366" s="11" t="s">
        <v>21</v>
      </c>
      <c r="L4366" s="7">
        <v>40081.666666666664</v>
      </c>
      <c r="M4366" s="12" t="s">
        <v>1931</v>
      </c>
      <c r="N4366" s="12" t="s">
        <v>10285</v>
      </c>
      <c r="O4366" s="10" t="str">
        <f>HYPERLINK("https://pbs.twimg.com/profile_images/555076843791843328/yr8ES_nx_normal.png","View")</f>
        <v>View</v>
      </c>
      <c r="P4366" s="11"/>
    </row>
    <row r="4367" spans="1:16" ht="12.75" x14ac:dyDescent="0.35">
      <c r="A4367" s="7">
        <v>42482.914513888885</v>
      </c>
      <c r="B4367" s="8" t="str">
        <f>HYPERLINK("https://twitter.com/erin412","@erin412")</f>
        <v>@erin412</v>
      </c>
      <c r="C4367" s="9" t="s">
        <v>10286</v>
      </c>
      <c r="D4367" s="9" t="s">
        <v>10287</v>
      </c>
      <c r="E4367" s="10" t="str">
        <f>HYPERLINK("https://twitter.com/erin412/status/723548645187006466","723548645187006466")</f>
        <v>723548645187006466</v>
      </c>
      <c r="F4367" s="11" t="s">
        <v>114</v>
      </c>
      <c r="G4367" s="11">
        <v>116</v>
      </c>
      <c r="H4367" s="11">
        <v>385</v>
      </c>
      <c r="I4367" s="11">
        <v>0</v>
      </c>
      <c r="J4367" s="11">
        <v>0</v>
      </c>
      <c r="K4367" s="11" t="s">
        <v>21</v>
      </c>
      <c r="L4367" s="7">
        <v>40231.407523148147</v>
      </c>
      <c r="M4367" s="12" t="s">
        <v>10288</v>
      </c>
      <c r="N4367" s="12" t="s">
        <v>10289</v>
      </c>
      <c r="O4367" s="10" t="str">
        <f>HYPERLINK("https://pbs.twimg.com/profile_images/638156152006688769/EdWB5H3Z_normal.jpg","View")</f>
        <v>View</v>
      </c>
      <c r="P4367" s="11"/>
    </row>
    <row r="4368" spans="1:16" ht="12.75" x14ac:dyDescent="0.35">
      <c r="A4368" s="7">
        <v>42482.914780092593</v>
      </c>
      <c r="B4368" s="8" t="str">
        <f>HYPERLINK("https://twitter.com/SayitMatt","@SayitMatt")</f>
        <v>@SayitMatt</v>
      </c>
      <c r="C4368" s="9" t="s">
        <v>991</v>
      </c>
      <c r="D4368" s="9" t="s">
        <v>10290</v>
      </c>
      <c r="E4368" s="10" t="str">
        <f>HYPERLINK("https://twitter.com/SayitMatt/status/723548740661989377","723548740661989377")</f>
        <v>723548740661989377</v>
      </c>
      <c r="F4368" s="11" t="s">
        <v>48</v>
      </c>
      <c r="G4368" s="11">
        <v>0</v>
      </c>
      <c r="H4368" s="11">
        <v>6</v>
      </c>
      <c r="I4368" s="11">
        <v>0</v>
      </c>
      <c r="J4368" s="11">
        <v>0</v>
      </c>
      <c r="K4368" s="11" t="s">
        <v>21</v>
      </c>
      <c r="L4368" s="7">
        <v>41712.619259259256</v>
      </c>
      <c r="M4368" s="12" t="s">
        <v>10291</v>
      </c>
      <c r="N4368" s="12"/>
      <c r="O4368" s="10" t="str">
        <f>HYPERLINK("https://pbs.twimg.com/profile_images/721344097773076480/S5lRbqXI_normal.jpg","View")</f>
        <v>View</v>
      </c>
      <c r="P4368" s="11"/>
    </row>
    <row r="4369" spans="1:16" ht="12.75" x14ac:dyDescent="0.35">
      <c r="A4369" s="7">
        <v>42482.914918981478</v>
      </c>
      <c r="B4369" s="8" t="str">
        <f>HYPERLINK("https://twitter.com/MorSvinka_83","@MorSvinka_83")</f>
        <v>@MorSvinka_83</v>
      </c>
      <c r="C4369" s="9" t="s">
        <v>9071</v>
      </c>
      <c r="D4369" s="9" t="s">
        <v>10292</v>
      </c>
      <c r="E4369" s="10" t="str">
        <f>HYPERLINK("https://twitter.com/MorSvinka_83/status/723548791719108608","723548791719108608")</f>
        <v>723548791719108608</v>
      </c>
      <c r="F4369" s="11" t="s">
        <v>43</v>
      </c>
      <c r="G4369" s="11">
        <v>81</v>
      </c>
      <c r="H4369" s="11">
        <v>127</v>
      </c>
      <c r="I4369" s="11">
        <v>0</v>
      </c>
      <c r="J4369" s="11">
        <v>0</v>
      </c>
      <c r="K4369" s="11" t="s">
        <v>21</v>
      </c>
      <c r="L4369" s="7">
        <v>40900.763842592591</v>
      </c>
      <c r="M4369" s="12" t="s">
        <v>9073</v>
      </c>
      <c r="N4369" s="12"/>
      <c r="O4369" s="10" t="str">
        <f>HYPERLINK("https://pbs.twimg.com/profile_images/2208847688/Untitled-2_normal.jpg","View")</f>
        <v>View</v>
      </c>
      <c r="P4369" s="11"/>
    </row>
    <row r="4370" spans="1:16" ht="12.75" x14ac:dyDescent="0.35">
      <c r="A4370" s="7">
        <v>42482.915046296301</v>
      </c>
      <c r="B4370" s="8" t="str">
        <f>HYPERLINK("https://twitter.com/DrevenSeal","@DrevenSeal")</f>
        <v>@DrevenSeal</v>
      </c>
      <c r="C4370" s="9" t="s">
        <v>10293</v>
      </c>
      <c r="D4370" s="9" t="s">
        <v>4290</v>
      </c>
      <c r="E4370" s="10" t="str">
        <f>HYPERLINK("https://twitter.com/DrevenSeal/status/723548836019474432","723548836019474432")</f>
        <v>723548836019474432</v>
      </c>
      <c r="F4370" s="11" t="s">
        <v>20</v>
      </c>
      <c r="G4370" s="11">
        <v>86</v>
      </c>
      <c r="H4370" s="11">
        <v>241</v>
      </c>
      <c r="I4370" s="11">
        <v>8</v>
      </c>
      <c r="J4370" s="11">
        <v>0</v>
      </c>
      <c r="K4370" s="11" t="s">
        <v>21</v>
      </c>
      <c r="L4370" s="7">
        <v>40090.009212962963</v>
      </c>
      <c r="M4370" s="12"/>
      <c r="N4370" s="12" t="s">
        <v>10294</v>
      </c>
      <c r="O4370" s="10" t="str">
        <f>HYPERLINK("https://pbs.twimg.com/profile_images/378800000054545648/93408d3300a292cb429205c81cb9206a_normal.png","View")</f>
        <v>View</v>
      </c>
      <c r="P4370" s="11"/>
    </row>
    <row r="4371" spans="1:16" ht="12.75" x14ac:dyDescent="0.35">
      <c r="A4371" s="7">
        <v>42482.915266203709</v>
      </c>
      <c r="B4371" s="8" t="str">
        <f>HYPERLINK("https://twitter.com/ILCtsxv","@ILCtsxv")</f>
        <v>@ILCtsxv</v>
      </c>
      <c r="C4371" s="9" t="s">
        <v>9045</v>
      </c>
      <c r="D4371" s="9" t="s">
        <v>10295</v>
      </c>
      <c r="E4371" s="10" t="str">
        <f>HYPERLINK("https://twitter.com/ILCtsxv/status/723548915530866688","723548915530866688")</f>
        <v>723548915530866688</v>
      </c>
      <c r="F4371" s="11" t="s">
        <v>43</v>
      </c>
      <c r="G4371" s="11">
        <v>1987</v>
      </c>
      <c r="H4371" s="11">
        <v>2486</v>
      </c>
      <c r="I4371" s="11">
        <v>0</v>
      </c>
      <c r="J4371" s="11">
        <v>0</v>
      </c>
      <c r="K4371" s="11" t="s">
        <v>21</v>
      </c>
      <c r="L4371" s="7">
        <v>40914.173680555556</v>
      </c>
      <c r="M4371" s="12" t="s">
        <v>9047</v>
      </c>
      <c r="N4371" s="12" t="s">
        <v>9048</v>
      </c>
      <c r="O4371" s="10" t="str">
        <f>HYPERLINK("https://pbs.twimg.com/profile_images/1738815421/li_normal.JPG","View")</f>
        <v>View</v>
      </c>
      <c r="P4371" s="11"/>
    </row>
    <row r="4372" spans="1:16" ht="12.75" x14ac:dyDescent="0.35">
      <c r="A4372" s="7">
        <v>42482.915324074071</v>
      </c>
      <c r="B4372" s="8" t="str">
        <f>HYPERLINK("https://twitter.com/joergbode","@joergbode")</f>
        <v>@joergbode</v>
      </c>
      <c r="C4372" s="9" t="s">
        <v>10296</v>
      </c>
      <c r="D4372" s="9" t="s">
        <v>10297</v>
      </c>
      <c r="E4372" s="10" t="str">
        <f>HYPERLINK("https://twitter.com/joergbode/status/723548939283226625","723548939283226625")</f>
        <v>723548939283226625</v>
      </c>
      <c r="F4372" s="11" t="s">
        <v>20</v>
      </c>
      <c r="G4372" s="11">
        <v>892</v>
      </c>
      <c r="H4372" s="11">
        <v>1909</v>
      </c>
      <c r="I4372" s="11">
        <v>0</v>
      </c>
      <c r="J4372" s="11">
        <v>0</v>
      </c>
      <c r="K4372" s="11" t="s">
        <v>21</v>
      </c>
      <c r="L4372" s="7">
        <v>39880.59851851852</v>
      </c>
      <c r="M4372" s="12" t="s">
        <v>6661</v>
      </c>
      <c r="N4372" s="12" t="s">
        <v>10298</v>
      </c>
      <c r="O4372" s="10" t="str">
        <f>HYPERLINK("https://pbs.twimg.com/profile_images/687825654/Portrait_J_rg_Bode_weniger_Pixel_2_normal.jpg","View")</f>
        <v>View</v>
      </c>
      <c r="P4372" s="11"/>
    </row>
    <row r="4373" spans="1:16" ht="12.75" x14ac:dyDescent="0.35">
      <c r="A4373" s="7">
        <v>42482.915335648147</v>
      </c>
      <c r="B4373" s="8" t="str">
        <f>HYPERLINK("https://twitter.com/economia_feed_0","@economia_feed_0")</f>
        <v>@economia_feed_0</v>
      </c>
      <c r="C4373" s="9" t="s">
        <v>10299</v>
      </c>
      <c r="D4373" s="9" t="s">
        <v>10300</v>
      </c>
      <c r="E4373" s="10" t="str">
        <f>HYPERLINK("https://twitter.com/economia_feed_0/status/723548944073166848","723548944073166848")</f>
        <v>723548944073166848</v>
      </c>
      <c r="F4373" s="11" t="s">
        <v>2923</v>
      </c>
      <c r="G4373" s="11">
        <v>742</v>
      </c>
      <c r="H4373" s="11">
        <v>0</v>
      </c>
      <c r="I4373" s="11">
        <v>0</v>
      </c>
      <c r="J4373" s="11">
        <v>0</v>
      </c>
      <c r="K4373" s="11" t="s">
        <v>21</v>
      </c>
      <c r="L4373" s="7">
        <v>40653.654918981483</v>
      </c>
      <c r="M4373" s="12"/>
      <c r="N4373" s="12"/>
      <c r="O4373" s="10" t="str">
        <f>HYPERLINK("https://abs.twimg.com/sticky/default_profile_images/default_profile_3_normal.png","View")</f>
        <v>View</v>
      </c>
      <c r="P4373" s="11"/>
    </row>
    <row r="4374" spans="1:16" ht="12.75" x14ac:dyDescent="0.35">
      <c r="A4374" s="7">
        <v>42482.915347222224</v>
      </c>
      <c r="B4374" s="8" t="str">
        <f>HYPERLINK("https://twitter.com/officialsthill","@officialsthill")</f>
        <v>@officialsthill</v>
      </c>
      <c r="C4374" s="9" t="s">
        <v>10301</v>
      </c>
      <c r="D4374" s="9" t="s">
        <v>10302</v>
      </c>
      <c r="E4374" s="10" t="str">
        <f>HYPERLINK("https://twitter.com/officialsthill/status/723548945222393856","723548945222393856")</f>
        <v>723548945222393856</v>
      </c>
      <c r="F4374" s="11" t="s">
        <v>367</v>
      </c>
      <c r="G4374" s="11">
        <v>183</v>
      </c>
      <c r="H4374" s="11">
        <v>247</v>
      </c>
      <c r="I4374" s="11">
        <v>0</v>
      </c>
      <c r="J4374" s="11">
        <v>0</v>
      </c>
      <c r="K4374" s="11" t="s">
        <v>21</v>
      </c>
      <c r="L4374" s="7">
        <v>39978.810474537036</v>
      </c>
      <c r="M4374" s="12" t="s">
        <v>10303</v>
      </c>
      <c r="N4374" s="12" t="s">
        <v>10304</v>
      </c>
      <c r="O4374" s="10" t="str">
        <f>HYPERLINK("https://pbs.twimg.com/profile_images/710902013379403776/pwT_GfMg_normal.jpg","View")</f>
        <v>View</v>
      </c>
      <c r="P4374" s="11"/>
    </row>
    <row r="4375" spans="1:16" ht="12.75" x14ac:dyDescent="0.35">
      <c r="A4375" s="7">
        <v>42482.915474537032</v>
      </c>
      <c r="B4375" s="8" t="str">
        <f>HYPERLINK("https://twitter.com/JuveVerlag_uba","@JuveVerlag_uba")</f>
        <v>@JuveVerlag_uba</v>
      </c>
      <c r="C4375" s="9" t="s">
        <v>10305</v>
      </c>
      <c r="D4375" s="9" t="s">
        <v>10306</v>
      </c>
      <c r="E4375" s="10" t="str">
        <f>HYPERLINK("https://twitter.com/JuveVerlag_uba/status/723548993184215041","723548993184215041")</f>
        <v>723548993184215041</v>
      </c>
      <c r="F4375" s="11" t="s">
        <v>20</v>
      </c>
      <c r="G4375" s="11">
        <v>1200</v>
      </c>
      <c r="H4375" s="11">
        <v>1700</v>
      </c>
      <c r="I4375" s="11">
        <v>0</v>
      </c>
      <c r="J4375" s="11">
        <v>0</v>
      </c>
      <c r="K4375" s="11" t="s">
        <v>21</v>
      </c>
      <c r="L4375" s="7">
        <v>41186.7419212963</v>
      </c>
      <c r="M4375" s="12" t="s">
        <v>1241</v>
      </c>
      <c r="N4375" s="12" t="s">
        <v>10307</v>
      </c>
      <c r="O4375" s="10" t="str">
        <f>HYPERLINK("https://pbs.twimg.com/profile_images/667072958024843264/7NnQtwt9_normal.jpg","View")</f>
        <v>View</v>
      </c>
      <c r="P4375" s="11"/>
    </row>
    <row r="4376" spans="1:16" ht="12.75" x14ac:dyDescent="0.35">
      <c r="A4376" s="7">
        <v>42482.915937500002</v>
      </c>
      <c r="B4376" s="8" t="str">
        <f>HYPERLINK("https://twitter.com/DrevenSeal","@DrevenSeal")</f>
        <v>@DrevenSeal</v>
      </c>
      <c r="C4376" s="9" t="s">
        <v>10293</v>
      </c>
      <c r="D4376" s="9" t="s">
        <v>10308</v>
      </c>
      <c r="E4376" s="10" t="str">
        <f>HYPERLINK("https://twitter.com/DrevenSeal/status/723549161828700161","723549161828700161")</f>
        <v>723549161828700161</v>
      </c>
      <c r="F4376" s="11" t="s">
        <v>20</v>
      </c>
      <c r="G4376" s="11">
        <v>86</v>
      </c>
      <c r="H4376" s="11">
        <v>241</v>
      </c>
      <c r="I4376" s="11">
        <v>2</v>
      </c>
      <c r="J4376" s="11">
        <v>0</v>
      </c>
      <c r="K4376" s="11" t="s">
        <v>21</v>
      </c>
      <c r="L4376" s="7">
        <v>40090.009212962963</v>
      </c>
      <c r="M4376" s="12"/>
      <c r="N4376" s="12" t="s">
        <v>10294</v>
      </c>
      <c r="O4376" s="10" t="str">
        <f>HYPERLINK("https://pbs.twimg.com/profile_images/378800000054545648/93408d3300a292cb429205c81cb9206a_normal.png","View")</f>
        <v>View</v>
      </c>
      <c r="P4376" s="11"/>
    </row>
    <row r="4377" spans="1:16" ht="12.75" x14ac:dyDescent="0.35">
      <c r="A4377" s="7">
        <v>42482.916412037041</v>
      </c>
      <c r="B4377" s="8" t="str">
        <f>HYPERLINK("https://twitter.com/BS_Verkehr","@BS_Verkehr")</f>
        <v>@BS_Verkehr</v>
      </c>
      <c r="C4377" s="9" t="s">
        <v>3629</v>
      </c>
      <c r="D4377" s="9" t="s">
        <v>10309</v>
      </c>
      <c r="E4377" s="10" t="str">
        <f>HYPERLINK("https://twitter.com/BS_Verkehr/status/723549334277599232","723549334277599232")</f>
        <v>723549334277599232</v>
      </c>
      <c r="F4377" s="11" t="s">
        <v>43</v>
      </c>
      <c r="G4377" s="11">
        <v>81</v>
      </c>
      <c r="H4377" s="11">
        <v>9</v>
      </c>
      <c r="I4377" s="11">
        <v>1</v>
      </c>
      <c r="J4377" s="11">
        <v>0</v>
      </c>
      <c r="K4377" s="11" t="s">
        <v>21</v>
      </c>
      <c r="L4377" s="7">
        <v>41928.833622685182</v>
      </c>
      <c r="M4377" s="12" t="s">
        <v>2682</v>
      </c>
      <c r="N4377" s="12" t="s">
        <v>3631</v>
      </c>
      <c r="O4377" s="10" t="str">
        <f>HYPERLINK("https://pbs.twimg.com/profile_images/522759312028884992/6n24auYw_normal.png","View")</f>
        <v>View</v>
      </c>
      <c r="P4377" s="11"/>
    </row>
    <row r="4378" spans="1:16" ht="12.75" x14ac:dyDescent="0.35">
      <c r="A4378" s="7">
        <v>42482.916562500002</v>
      </c>
      <c r="B4378" s="8" t="str">
        <f>HYPERLINK("https://twitter.com/Scirocco_Tuning","@Scirocco_Tuning")</f>
        <v>@Scirocco_Tuning</v>
      </c>
      <c r="C4378" s="9" t="s">
        <v>51</v>
      </c>
      <c r="D4378" s="9" t="s">
        <v>10310</v>
      </c>
      <c r="E4378" s="10" t="str">
        <f>HYPERLINK("https://twitter.com/Scirocco_Tuning/status/723549388036038656","723549388036038656")</f>
        <v>723549388036038656</v>
      </c>
      <c r="F4378" s="11" t="s">
        <v>53</v>
      </c>
      <c r="G4378" s="11">
        <v>69</v>
      </c>
      <c r="H4378" s="11">
        <v>215</v>
      </c>
      <c r="I4378" s="11">
        <v>0</v>
      </c>
      <c r="J4378" s="11">
        <v>0</v>
      </c>
      <c r="K4378" s="11" t="s">
        <v>21</v>
      </c>
      <c r="L4378" s="7">
        <v>40844.564722222218</v>
      </c>
      <c r="M4378" s="12"/>
      <c r="N4378" s="12"/>
      <c r="O4378" s="10" t="str">
        <f>HYPERLINK("https://pbs.twimg.com/profile_images/1610421423/Image2_normal.jpg","View")</f>
        <v>View</v>
      </c>
      <c r="P4378" s="11"/>
    </row>
    <row r="4379" spans="1:16" ht="12.75" x14ac:dyDescent="0.35">
      <c r="A4379" s="7">
        <v>42482.916712962964</v>
      </c>
      <c r="B4379" s="8" t="str">
        <f>HYPERLINK("https://twitter.com/1Feedom","@1Feedom")</f>
        <v>@1Feedom</v>
      </c>
      <c r="C4379" s="8" t="s">
        <v>10311</v>
      </c>
      <c r="D4379" s="9" t="s">
        <v>10312</v>
      </c>
      <c r="E4379" s="10" t="str">
        <f>HYPERLINK("https://twitter.com/1Feedom/status/723549440246734850","723549440246734850")</f>
        <v>723549440246734850</v>
      </c>
      <c r="F4379" s="11" t="s">
        <v>10313</v>
      </c>
      <c r="G4379" s="11">
        <v>10055</v>
      </c>
      <c r="H4379" s="11">
        <v>3628</v>
      </c>
      <c r="I4379" s="11">
        <v>1</v>
      </c>
      <c r="J4379" s="11">
        <v>0</v>
      </c>
      <c r="K4379" s="11" t="s">
        <v>21</v>
      </c>
      <c r="L4379" s="7">
        <v>41784.664236111115</v>
      </c>
      <c r="M4379" s="12" t="s">
        <v>10314</v>
      </c>
      <c r="N4379" s="12" t="s">
        <v>10315</v>
      </c>
      <c r="O4379" s="10" t="str">
        <f>HYPERLINK("https://pbs.twimg.com/profile_images/603357236874850304/6etULKc2_normal.jpg","View")</f>
        <v>View</v>
      </c>
      <c r="P4379" s="11"/>
    </row>
    <row r="4380" spans="1:16" ht="12.75" x14ac:dyDescent="0.35">
      <c r="A4380" s="7">
        <v>42482.916851851856</v>
      </c>
      <c r="B4380" s="8" t="str">
        <f>HYPERLINK("https://twitter.com/FuscaWorld","@FuscaWorld")</f>
        <v>@FuscaWorld</v>
      </c>
      <c r="C4380" s="9" t="s">
        <v>74</v>
      </c>
      <c r="D4380" s="9" t="s">
        <v>6426</v>
      </c>
      <c r="E4380" s="10" t="str">
        <f>HYPERLINK("https://twitter.com/FuscaWorld/status/723549493170429952","723549493170429952")</f>
        <v>723549493170429952</v>
      </c>
      <c r="F4380" s="11" t="s">
        <v>76</v>
      </c>
      <c r="G4380" s="11">
        <v>49</v>
      </c>
      <c r="H4380" s="11">
        <v>1</v>
      </c>
      <c r="I4380" s="11">
        <v>1</v>
      </c>
      <c r="J4380" s="11">
        <v>0</v>
      </c>
      <c r="K4380" s="11" t="s">
        <v>21</v>
      </c>
      <c r="L4380" s="7">
        <v>42433.880914351852</v>
      </c>
      <c r="M4380" s="12"/>
      <c r="N4380" s="12" t="s">
        <v>77</v>
      </c>
      <c r="O4380" s="10" t="str">
        <f>HYPERLINK("https://pbs.twimg.com/profile_images/705780107844067328/e7O4UBNb_normal.jpg","View")</f>
        <v>View</v>
      </c>
      <c r="P4380" s="11"/>
    </row>
    <row r="4381" spans="1:16" ht="12.75" x14ac:dyDescent="0.35">
      <c r="A4381" s="7">
        <v>42482.916909722218</v>
      </c>
      <c r="B4381" s="8" t="str">
        <f>HYPERLINK("https://twitter.com/tazgezwitscher","@tazgezwitscher")</f>
        <v>@tazgezwitscher</v>
      </c>
      <c r="C4381" s="9" t="s">
        <v>7053</v>
      </c>
      <c r="D4381" s="9" t="s">
        <v>10316</v>
      </c>
      <c r="E4381" s="10" t="str">
        <f>HYPERLINK("https://twitter.com/tazgezwitscher/status/723549512652955649","723549512652955649")</f>
        <v>723549512652955649</v>
      </c>
      <c r="F4381" s="11" t="s">
        <v>152</v>
      </c>
      <c r="G4381" s="11">
        <v>435593</v>
      </c>
      <c r="H4381" s="11">
        <v>995</v>
      </c>
      <c r="I4381" s="11">
        <v>0</v>
      </c>
      <c r="J4381" s="11">
        <v>0</v>
      </c>
      <c r="K4381" s="11" t="s">
        <v>21</v>
      </c>
      <c r="L4381" s="7">
        <v>39625.786516203705</v>
      </c>
      <c r="M4381" s="12" t="s">
        <v>7055</v>
      </c>
      <c r="N4381" s="12" t="s">
        <v>7056</v>
      </c>
      <c r="O4381" s="10" t="str">
        <f>HYPERLINK("https://pbs.twimg.com/profile_images/454280998159532032/Pq43tr1F_normal.png","View")</f>
        <v>View</v>
      </c>
      <c r="P4381" s="11"/>
    </row>
    <row r="4382" spans="1:16" ht="12.75" x14ac:dyDescent="0.35">
      <c r="A4382" s="7">
        <v>42482.917673611111</v>
      </c>
      <c r="B4382" s="8" t="str">
        <f>HYPERLINK("https://twitter.com/hierkommthans","@hierkommthans")</f>
        <v>@hierkommthans</v>
      </c>
      <c r="C4382" s="9" t="s">
        <v>10317</v>
      </c>
      <c r="D4382" s="9" t="s">
        <v>10318</v>
      </c>
      <c r="E4382" s="10" t="str">
        <f>HYPERLINK("https://twitter.com/hierkommthans/status/723549790114578434","723549790114578434")</f>
        <v>723549790114578434</v>
      </c>
      <c r="F4382" s="11" t="s">
        <v>63</v>
      </c>
      <c r="G4382" s="11">
        <v>233</v>
      </c>
      <c r="H4382" s="11">
        <v>334</v>
      </c>
      <c r="I4382" s="11">
        <v>0</v>
      </c>
      <c r="J4382" s="11">
        <v>0</v>
      </c>
      <c r="K4382" s="11" t="s">
        <v>21</v>
      </c>
      <c r="L4382" s="7">
        <v>39873.824293981481</v>
      </c>
      <c r="M4382" s="12" t="s">
        <v>10319</v>
      </c>
      <c r="N4382" s="12" t="s">
        <v>10320</v>
      </c>
      <c r="O4382" s="10" t="str">
        <f>HYPERLINK("https://pbs.twimg.com/profile_images/706940785627951104/ly_FmsdB_normal.jpg","View")</f>
        <v>View</v>
      </c>
      <c r="P4382" s="11"/>
    </row>
    <row r="4383" spans="1:16" ht="12.75" x14ac:dyDescent="0.35">
      <c r="A4383" s="7">
        <v>42482.917685185181</v>
      </c>
      <c r="B4383" s="8" t="str">
        <f>HYPERLINK("https://twitter.com/BS_Verkehr","@BS_Verkehr")</f>
        <v>@BS_Verkehr</v>
      </c>
      <c r="C4383" s="9" t="s">
        <v>3629</v>
      </c>
      <c r="D4383" s="9" t="s">
        <v>10321</v>
      </c>
      <c r="E4383" s="10" t="str">
        <f>HYPERLINK("https://twitter.com/BS_Verkehr/status/723549792752807936","723549792752807936")</f>
        <v>723549792752807936</v>
      </c>
      <c r="F4383" s="11" t="s">
        <v>43</v>
      </c>
      <c r="G4383" s="11">
        <v>81</v>
      </c>
      <c r="H4383" s="11">
        <v>9</v>
      </c>
      <c r="I4383" s="11">
        <v>0</v>
      </c>
      <c r="J4383" s="11">
        <v>0</v>
      </c>
      <c r="K4383" s="11" t="s">
        <v>21</v>
      </c>
      <c r="L4383" s="7">
        <v>41928.833622685182</v>
      </c>
      <c r="M4383" s="12" t="s">
        <v>2682</v>
      </c>
      <c r="N4383" s="12" t="s">
        <v>3631</v>
      </c>
      <c r="O4383" s="10" t="str">
        <f>HYPERLINK("https://pbs.twimg.com/profile_images/522759312028884992/6n24auYw_normal.png","View")</f>
        <v>View</v>
      </c>
      <c r="P4383" s="11"/>
    </row>
    <row r="4384" spans="1:16" ht="12.75" x14ac:dyDescent="0.35">
      <c r="A4384" s="7">
        <v>42482.918009259258</v>
      </c>
      <c r="B4384" s="8" t="str">
        <f>HYPERLINK("https://twitter.com/studyonllneaust","@studyonllneaust")</f>
        <v>@studyonllneaust</v>
      </c>
      <c r="C4384" s="9" t="s">
        <v>10322</v>
      </c>
      <c r="D4384" s="9" t="s">
        <v>10249</v>
      </c>
      <c r="E4384" s="10" t="str">
        <f>HYPERLINK("https://twitter.com/studyonllneaust/status/723549910688239617","723549910688239617")</f>
        <v>723549910688239617</v>
      </c>
      <c r="F4384" s="11" t="s">
        <v>48</v>
      </c>
      <c r="G4384" s="11">
        <v>384</v>
      </c>
      <c r="H4384" s="11">
        <v>106</v>
      </c>
      <c r="I4384" s="11">
        <v>5</v>
      </c>
      <c r="J4384" s="11">
        <v>0</v>
      </c>
      <c r="K4384" s="11" t="s">
        <v>21</v>
      </c>
      <c r="L4384" s="7">
        <v>41567.778333333335</v>
      </c>
      <c r="M4384" s="12" t="s">
        <v>10323</v>
      </c>
      <c r="N4384" s="12" t="s">
        <v>10324</v>
      </c>
      <c r="O4384" s="10" t="str">
        <f>HYPERLINK("https://pbs.twimg.com/profile_images/540350730625114113/cqwCmom8_normal.jpeg","View")</f>
        <v>View</v>
      </c>
      <c r="P4384" s="11"/>
    </row>
    <row r="4385" spans="1:16" ht="12.75" x14ac:dyDescent="0.35">
      <c r="A4385" s="7">
        <v>42482.918067129634</v>
      </c>
      <c r="B4385" s="8" t="str">
        <f>HYPERLINK("https://twitter.com/Fifth_Ave_VW","@Fifth_Ave_VW")</f>
        <v>@Fifth_Ave_VW</v>
      </c>
      <c r="C4385" s="9" t="s">
        <v>10325</v>
      </c>
      <c r="D4385" s="9" t="s">
        <v>10326</v>
      </c>
      <c r="E4385" s="10" t="str">
        <f>HYPERLINK("https://twitter.com/Fifth_Ave_VW/status/723549933626748928","723549933626748928")</f>
        <v>723549933626748928</v>
      </c>
      <c r="F4385" s="11" t="s">
        <v>5449</v>
      </c>
      <c r="G4385" s="11">
        <v>550</v>
      </c>
      <c r="H4385" s="11">
        <v>955</v>
      </c>
      <c r="I4385" s="11">
        <v>0</v>
      </c>
      <c r="J4385" s="11">
        <v>0</v>
      </c>
      <c r="K4385" s="11" t="s">
        <v>21</v>
      </c>
      <c r="L4385" s="7">
        <v>40718.946250000001</v>
      </c>
      <c r="M4385" s="12" t="s">
        <v>59</v>
      </c>
      <c r="N4385" s="12" t="s">
        <v>10327</v>
      </c>
      <c r="O4385" s="10" t="str">
        <f>HYPERLINK("https://pbs.twimg.com/profile_images/2036860818/Logo_idea_normal.png","View")</f>
        <v>View</v>
      </c>
      <c r="P4385" s="11"/>
    </row>
    <row r="4386" spans="1:16" ht="12.75" x14ac:dyDescent="0.35">
      <c r="A4386" s="7">
        <v>42482.918402777781</v>
      </c>
      <c r="B4386" s="8" t="str">
        <f>HYPERLINK("https://twitter.com/alexserrano720","@alexserrano720")</f>
        <v>@alexserrano720</v>
      </c>
      <c r="C4386" s="9" t="s">
        <v>10328</v>
      </c>
      <c r="D4386" s="9" t="s">
        <v>10014</v>
      </c>
      <c r="E4386" s="10" t="str">
        <f>HYPERLINK("https://twitter.com/alexserrano720/status/723550054435414016","723550054435414016")</f>
        <v>723550054435414016</v>
      </c>
      <c r="F4386" s="11" t="s">
        <v>48</v>
      </c>
      <c r="G4386" s="11">
        <v>62</v>
      </c>
      <c r="H4386" s="11">
        <v>80</v>
      </c>
      <c r="I4386" s="11">
        <v>5</v>
      </c>
      <c r="J4386" s="11">
        <v>0</v>
      </c>
      <c r="K4386" s="11" t="s">
        <v>21</v>
      </c>
      <c r="L4386" s="7">
        <v>42027.894236111111</v>
      </c>
      <c r="M4386" s="12"/>
      <c r="N4386" s="12" t="s">
        <v>10329</v>
      </c>
      <c r="O4386" s="10" t="str">
        <f>HYPERLINK("https://pbs.twimg.com/profile_images/723195413587722240/6cW_kMZR_normal.jpg","View")</f>
        <v>View</v>
      </c>
      <c r="P4386" s="11"/>
    </row>
    <row r="4387" spans="1:16" ht="12.75" x14ac:dyDescent="0.35">
      <c r="A4387" s="7">
        <v>42482.91883101852</v>
      </c>
      <c r="B4387" s="8" t="str">
        <f>HYPERLINK("https://twitter.com/countryairport","@countryairport")</f>
        <v>@countryairport</v>
      </c>
      <c r="C4387" s="9" t="s">
        <v>10330</v>
      </c>
      <c r="D4387" s="9" t="s">
        <v>10331</v>
      </c>
      <c r="E4387" s="10" t="str">
        <f>HYPERLINK("https://twitter.com/countryairport/status/723550209914093571","723550209914093571")</f>
        <v>723550209914093571</v>
      </c>
      <c r="F4387" s="11" t="s">
        <v>193</v>
      </c>
      <c r="G4387" s="11">
        <v>624</v>
      </c>
      <c r="H4387" s="11">
        <v>2045</v>
      </c>
      <c r="I4387" s="11">
        <v>0</v>
      </c>
      <c r="J4387" s="11">
        <v>0</v>
      </c>
      <c r="K4387" s="11" t="s">
        <v>21</v>
      </c>
      <c r="L4387" s="7">
        <v>40114.954444444447</v>
      </c>
      <c r="M4387" s="12" t="s">
        <v>4281</v>
      </c>
      <c r="N4387" s="12" t="s">
        <v>10332</v>
      </c>
      <c r="O4387" s="10" t="str">
        <f>HYPERLINK("https://pbs.twimg.com/profile_images/3166499469/49b62af120e92e5d55632f35f47c8480_normal.jpeg","View")</f>
        <v>View</v>
      </c>
      <c r="P4387" s="11"/>
    </row>
    <row r="4388" spans="1:16" ht="12.75" x14ac:dyDescent="0.35">
      <c r="A4388" s="7">
        <v>42482.918854166666</v>
      </c>
      <c r="B4388" s="8" t="str">
        <f>HYPERLINK("https://twitter.com/LStahlecker","@LStahlecker")</f>
        <v>@LStahlecker</v>
      </c>
      <c r="C4388" s="9" t="s">
        <v>10333</v>
      </c>
      <c r="D4388" s="9" t="s">
        <v>10334</v>
      </c>
      <c r="E4388" s="10" t="str">
        <f>HYPERLINK("https://twitter.com/LStahlecker/status/723550218671640576","723550218671640576")</f>
        <v>723550218671640576</v>
      </c>
      <c r="F4388" s="11" t="s">
        <v>20</v>
      </c>
      <c r="G4388" s="11">
        <v>868</v>
      </c>
      <c r="H4388" s="11">
        <v>840</v>
      </c>
      <c r="I4388" s="11">
        <v>0</v>
      </c>
      <c r="J4388" s="11">
        <v>1</v>
      </c>
      <c r="K4388" s="11" t="s">
        <v>21</v>
      </c>
      <c r="L4388" s="7">
        <v>41376.881516203706</v>
      </c>
      <c r="M4388" s="12" t="s">
        <v>10335</v>
      </c>
      <c r="N4388" s="12" t="s">
        <v>10336</v>
      </c>
      <c r="O4388" s="10" t="str">
        <f>HYPERLINK("https://pbs.twimg.com/profile_images/510170113257914368/O9xXZ4lT_normal.jpeg","View")</f>
        <v>View</v>
      </c>
      <c r="P4388" s="11"/>
    </row>
    <row r="4389" spans="1:16" ht="12.75" x14ac:dyDescent="0.35">
      <c r="A4389" s="7">
        <v>42482.918969907405</v>
      </c>
      <c r="B4389" s="8" t="str">
        <f>HYPERLINK("https://twitter.com/gutbranson","@gutbranson")</f>
        <v>@gutbranson</v>
      </c>
      <c r="C4389" s="9" t="s">
        <v>6979</v>
      </c>
      <c r="D4389" s="9" t="s">
        <v>10337</v>
      </c>
      <c r="E4389" s="10" t="str">
        <f>HYPERLINK("https://twitter.com/gutbranson/status/723550260895866881","723550260895866881")</f>
        <v>723550260895866881</v>
      </c>
      <c r="F4389" s="11" t="s">
        <v>48</v>
      </c>
      <c r="G4389" s="11">
        <v>295</v>
      </c>
      <c r="H4389" s="11">
        <v>288</v>
      </c>
      <c r="I4389" s="11">
        <v>0</v>
      </c>
      <c r="J4389" s="11">
        <v>0</v>
      </c>
      <c r="K4389" s="11" t="s">
        <v>21</v>
      </c>
      <c r="L4389" s="7">
        <v>40274.969166666662</v>
      </c>
      <c r="M4389" s="12"/>
      <c r="N4389" s="12"/>
      <c r="O4389" s="10" t="str">
        <f>HYPERLINK("https://pbs.twimg.com/profile_images/378800000064765573/248fcabf29a8f3dd423048707d883cf6_normal.jpeg","View")</f>
        <v>View</v>
      </c>
      <c r="P4389" s="11"/>
    </row>
    <row r="4390" spans="1:16" ht="12.75" x14ac:dyDescent="0.35">
      <c r="A4390" s="7">
        <v>42482.91920138889</v>
      </c>
      <c r="B4390" s="8" t="str">
        <f>HYPERLINK("https://twitter.com/POLITROSO","@POLITROSO")</f>
        <v>@POLITROSO</v>
      </c>
      <c r="C4390" s="9" t="s">
        <v>10338</v>
      </c>
      <c r="D4390" s="9" t="s">
        <v>10339</v>
      </c>
      <c r="E4390" s="10" t="str">
        <f>HYPERLINK("https://twitter.com/POLITROSO/status/723550342177284097","723550342177284097")</f>
        <v>723550342177284097</v>
      </c>
      <c r="F4390" s="11" t="s">
        <v>43</v>
      </c>
      <c r="G4390" s="11">
        <v>641</v>
      </c>
      <c r="H4390" s="11">
        <v>722</v>
      </c>
      <c r="I4390" s="11">
        <v>0</v>
      </c>
      <c r="J4390" s="11">
        <v>0</v>
      </c>
      <c r="K4390" s="11" t="s">
        <v>21</v>
      </c>
      <c r="L4390" s="7">
        <v>41462.536550925928</v>
      </c>
      <c r="M4390" s="12" t="s">
        <v>1658</v>
      </c>
      <c r="N4390" s="12" t="s">
        <v>10340</v>
      </c>
      <c r="O4390" s="10" t="str">
        <f>HYPERLINK("https://pbs.twimg.com/profile_images/709094810204938241/urgAFsxo_normal.jpg","View")</f>
        <v>View</v>
      </c>
      <c r="P4390" s="11"/>
    </row>
    <row r="4391" spans="1:16" ht="12.75" x14ac:dyDescent="0.35">
      <c r="A4391" s="7">
        <v>42482.919317129628</v>
      </c>
      <c r="B4391" s="8" t="str">
        <f>HYPERLINK("https://twitter.com/NathanHillp1","@NathanHillp1")</f>
        <v>@NathanHillp1</v>
      </c>
      <c r="C4391" s="9" t="s">
        <v>10341</v>
      </c>
      <c r="D4391" s="9" t="s">
        <v>10342</v>
      </c>
      <c r="E4391" s="10" t="str">
        <f>HYPERLINK("https://twitter.com/NathanHillp1/status/723550387073105922","723550387073105922")</f>
        <v>723550387073105922</v>
      </c>
      <c r="F4391" s="11" t="s">
        <v>68</v>
      </c>
      <c r="G4391" s="11">
        <v>782</v>
      </c>
      <c r="H4391" s="11">
        <v>802</v>
      </c>
      <c r="I4391" s="11">
        <v>0</v>
      </c>
      <c r="J4391" s="11">
        <v>0</v>
      </c>
      <c r="K4391" s="11" t="s">
        <v>21</v>
      </c>
      <c r="L4391" s="7">
        <v>42336.725937499999</v>
      </c>
      <c r="M4391" s="12" t="s">
        <v>934</v>
      </c>
      <c r="N4391" s="12" t="s">
        <v>10343</v>
      </c>
      <c r="O4391" s="10" t="str">
        <f>HYPERLINK("https://pbs.twimg.com/profile_images/671639134956482560/gDLXHWaw_normal.jpg","View")</f>
        <v>View</v>
      </c>
      <c r="P4391" s="11"/>
    </row>
    <row r="4392" spans="1:16" ht="12.75" x14ac:dyDescent="0.35">
      <c r="A4392" s="7">
        <v>42482.91982638889</v>
      </c>
      <c r="B4392" s="8" t="str">
        <f>HYPERLINK("https://twitter.com/estrout","@estrout")</f>
        <v>@estrout</v>
      </c>
      <c r="C4392" s="9" t="s">
        <v>10344</v>
      </c>
      <c r="D4392" s="9" t="s">
        <v>10345</v>
      </c>
      <c r="E4392" s="10" t="str">
        <f>HYPERLINK("https://twitter.com/estrout/status/723550571853012993","723550571853012993")</f>
        <v>723550571853012993</v>
      </c>
      <c r="F4392" s="11" t="s">
        <v>20</v>
      </c>
      <c r="G4392" s="11">
        <v>172</v>
      </c>
      <c r="H4392" s="11">
        <v>265</v>
      </c>
      <c r="I4392" s="11">
        <v>0</v>
      </c>
      <c r="J4392" s="11">
        <v>0</v>
      </c>
      <c r="K4392" s="11" t="s">
        <v>21</v>
      </c>
      <c r="L4392" s="7">
        <v>39793.946250000001</v>
      </c>
      <c r="M4392" s="12" t="s">
        <v>10346</v>
      </c>
      <c r="N4392" s="12" t="s">
        <v>10347</v>
      </c>
      <c r="O4392" s="10" t="str">
        <f>HYPERLINK("https://pbs.twimg.com/profile_images/378800000638483737/f6e910d6eca0645d47bf50075d240b20_normal.jpeg","View")</f>
        <v>View</v>
      </c>
      <c r="P4392" s="11"/>
    </row>
    <row r="4393" spans="1:16" ht="12.75" x14ac:dyDescent="0.35">
      <c r="A4393" s="7">
        <v>42482.919837962967</v>
      </c>
      <c r="B4393" s="8" t="str">
        <f>HYPERLINK("https://twitter.com/cyberdoc60","@cyberdoc60")</f>
        <v>@cyberdoc60</v>
      </c>
      <c r="C4393" s="9" t="s">
        <v>3483</v>
      </c>
      <c r="D4393" s="9" t="s">
        <v>10348</v>
      </c>
      <c r="E4393" s="10" t="str">
        <f>HYPERLINK("https://twitter.com/cyberdoc60/status/723550572666863616","723550572666863616")</f>
        <v>723550572666863616</v>
      </c>
      <c r="F4393" s="11" t="s">
        <v>48</v>
      </c>
      <c r="G4393" s="11">
        <v>1817</v>
      </c>
      <c r="H4393" s="11">
        <v>2064</v>
      </c>
      <c r="I4393" s="11">
        <v>3</v>
      </c>
      <c r="J4393" s="11">
        <v>4</v>
      </c>
      <c r="K4393" s="11" t="s">
        <v>21</v>
      </c>
      <c r="L4393" s="7">
        <v>40448.646157407406</v>
      </c>
      <c r="M4393" s="12" t="s">
        <v>3485</v>
      </c>
      <c r="N4393" s="12" t="s">
        <v>3486</v>
      </c>
      <c r="O4393" s="10" t="str">
        <f>HYPERLINK("https://pbs.twimg.com/profile_images/720976736691875841/5ITqpDn6_normal.jpg","View")</f>
        <v>View</v>
      </c>
      <c r="P4393" s="11"/>
    </row>
    <row r="4394" spans="1:16" ht="12.75" x14ac:dyDescent="0.35">
      <c r="A4394" s="7">
        <v>42482.92015046296</v>
      </c>
      <c r="B4394" s="8" t="str">
        <f>HYPERLINK("https://twitter.com/BWResearch","@BWResearch")</f>
        <v>@BWResearch</v>
      </c>
      <c r="C4394" s="9" t="s">
        <v>1677</v>
      </c>
      <c r="D4394" s="9" t="s">
        <v>10349</v>
      </c>
      <c r="E4394" s="10" t="str">
        <f>HYPERLINK("https://twitter.com/BWResearch/status/723550689415315456","723550689415315456")</f>
        <v>723550689415315456</v>
      </c>
      <c r="F4394" s="11" t="s">
        <v>43</v>
      </c>
      <c r="G4394" s="11">
        <v>879</v>
      </c>
      <c r="H4394" s="11">
        <v>800</v>
      </c>
      <c r="I4394" s="11">
        <v>0</v>
      </c>
      <c r="J4394" s="11">
        <v>0</v>
      </c>
      <c r="K4394" s="11" t="s">
        <v>21</v>
      </c>
      <c r="L4394" s="7">
        <v>40467.013333333336</v>
      </c>
      <c r="M4394" s="12" t="s">
        <v>1679</v>
      </c>
      <c r="N4394" s="12" t="s">
        <v>1680</v>
      </c>
      <c r="O4394" s="10" t="str">
        <f>HYPERLINK("https://pbs.twimg.com/profile_images/1454103259/logo_normal.gif","View")</f>
        <v>View</v>
      </c>
      <c r="P4394" s="11"/>
    </row>
    <row r="4395" spans="1:16" ht="12.75" x14ac:dyDescent="0.35">
      <c r="A4395" s="7">
        <v>42482.920277777783</v>
      </c>
      <c r="B4395" s="8" t="str">
        <f>HYPERLINK("https://twitter.com/trevorbolton15","@trevorbolton15")</f>
        <v>@trevorbolton15</v>
      </c>
      <c r="C4395" s="9" t="s">
        <v>10350</v>
      </c>
      <c r="D4395" s="9" t="s">
        <v>10351</v>
      </c>
      <c r="E4395" s="10" t="str">
        <f>HYPERLINK("https://twitter.com/trevorbolton15/status/723550732608253952","723550732608253952")</f>
        <v>723550732608253952</v>
      </c>
      <c r="F4395" s="11" t="s">
        <v>367</v>
      </c>
      <c r="G4395" s="11">
        <v>831</v>
      </c>
      <c r="H4395" s="11">
        <v>708</v>
      </c>
      <c r="I4395" s="11">
        <v>0</v>
      </c>
      <c r="J4395" s="11">
        <v>0</v>
      </c>
      <c r="K4395" s="11" t="s">
        <v>21</v>
      </c>
      <c r="L4395" s="7">
        <v>42031.868969907402</v>
      </c>
      <c r="M4395" s="12" t="s">
        <v>10352</v>
      </c>
      <c r="N4395" s="12" t="s">
        <v>10353</v>
      </c>
      <c r="O4395" s="10" t="str">
        <f>HYPERLINK("https://pbs.twimg.com/profile_images/660089641232678912/UzobHOeY_normal.jpg","View")</f>
        <v>View</v>
      </c>
      <c r="P4395" s="11"/>
    </row>
    <row r="4396" spans="1:16" ht="12.75" x14ac:dyDescent="0.35">
      <c r="A4396" s="7">
        <v>42482.920451388884</v>
      </c>
      <c r="B4396" s="8" t="str">
        <f t="shared" ref="B4396:B4397" si="375">HYPERLINK("https://twitter.com/VolkswagenPost","@VolkswagenPost")</f>
        <v>@VolkswagenPost</v>
      </c>
      <c r="C4396" s="9" t="s">
        <v>321</v>
      </c>
      <c r="D4396" s="9" t="s">
        <v>2613</v>
      </c>
      <c r="E4396" s="10" t="str">
        <f>HYPERLINK("https://twitter.com/VolkswagenPost/status/723550796147769344","723550796147769344")</f>
        <v>723550796147769344</v>
      </c>
      <c r="F4396" s="11" t="s">
        <v>288</v>
      </c>
      <c r="G4396" s="11">
        <v>569</v>
      </c>
      <c r="H4396" s="11">
        <v>446</v>
      </c>
      <c r="I4396" s="11">
        <v>1</v>
      </c>
      <c r="J4396" s="11">
        <v>0</v>
      </c>
      <c r="K4396" s="11" t="s">
        <v>21</v>
      </c>
      <c r="L4396" s="7">
        <v>41940.618379629632</v>
      </c>
      <c r="M4396" s="12"/>
      <c r="N4396" s="12"/>
      <c r="O4396" s="10" t="str">
        <f t="shared" ref="O4396:O4397" si="376">HYPERLINK("https://pbs.twimg.com/profile_images/530071272881803264/a_jcCmPZ_normal.png","View")</f>
        <v>View</v>
      </c>
      <c r="P4396" s="11"/>
    </row>
    <row r="4397" spans="1:16" ht="12.75" x14ac:dyDescent="0.35">
      <c r="A4397" s="7">
        <v>42482.920451388884</v>
      </c>
      <c r="B4397" s="8" t="str">
        <f t="shared" si="375"/>
        <v>@VolkswagenPost</v>
      </c>
      <c r="C4397" s="9" t="s">
        <v>321</v>
      </c>
      <c r="D4397" s="9" t="s">
        <v>2614</v>
      </c>
      <c r="E4397" s="10" t="str">
        <f>HYPERLINK("https://twitter.com/VolkswagenPost/status/723550796944670720","723550796944670720")</f>
        <v>723550796944670720</v>
      </c>
      <c r="F4397" s="11" t="s">
        <v>288</v>
      </c>
      <c r="G4397" s="11">
        <v>569</v>
      </c>
      <c r="H4397" s="11">
        <v>446</v>
      </c>
      <c r="I4397" s="11">
        <v>1</v>
      </c>
      <c r="J4397" s="11">
        <v>0</v>
      </c>
      <c r="K4397" s="11" t="s">
        <v>21</v>
      </c>
      <c r="L4397" s="7">
        <v>41940.618379629632</v>
      </c>
      <c r="M4397" s="12"/>
      <c r="N4397" s="12"/>
      <c r="O4397" s="10" t="str">
        <f t="shared" si="376"/>
        <v>View</v>
      </c>
      <c r="P4397" s="11"/>
    </row>
    <row r="4398" spans="1:16" ht="12.75" x14ac:dyDescent="0.35">
      <c r="A4398" s="7">
        <v>42482.920462962968</v>
      </c>
      <c r="B4398" s="8" t="str">
        <f>HYPERLINK("https://twitter.com/JungbluthMarion","@JungbluthMarion")</f>
        <v>@JungbluthMarion</v>
      </c>
      <c r="C4398" s="9" t="s">
        <v>1847</v>
      </c>
      <c r="D4398" s="9" t="s">
        <v>9782</v>
      </c>
      <c r="E4398" s="10" t="str">
        <f>HYPERLINK("https://twitter.com/JungbluthMarion/status/723550800023314432","723550800023314432")</f>
        <v>723550800023314432</v>
      </c>
      <c r="F4398" s="11" t="s">
        <v>20</v>
      </c>
      <c r="G4398" s="11">
        <v>138</v>
      </c>
      <c r="H4398" s="11">
        <v>136</v>
      </c>
      <c r="I4398" s="11">
        <v>9</v>
      </c>
      <c r="J4398" s="11">
        <v>0</v>
      </c>
      <c r="K4398" s="11" t="s">
        <v>21</v>
      </c>
      <c r="L4398" s="7">
        <v>41477.550543981481</v>
      </c>
      <c r="M4398" s="12"/>
      <c r="N4398" s="12" t="s">
        <v>1849</v>
      </c>
      <c r="O4398" s="10" t="str">
        <f>HYPERLINK("https://pbs.twimg.com/profile_images/473415820228304896/eTUQb8dm_normal.jpeg","View")</f>
        <v>View</v>
      </c>
      <c r="P4398" s="11"/>
    </row>
    <row r="4399" spans="1:16" ht="12.75" x14ac:dyDescent="0.35">
      <c r="A4399" s="7">
        <v>42482.92086805556</v>
      </c>
      <c r="B4399" s="8" t="str">
        <f>HYPERLINK("https://twitter.com/SWieschendorf","@SWieschendorf")</f>
        <v>@SWieschendorf</v>
      </c>
      <c r="C4399" s="9" t="s">
        <v>10354</v>
      </c>
      <c r="D4399" s="9" t="s">
        <v>9694</v>
      </c>
      <c r="E4399" s="10" t="str">
        <f>HYPERLINK("https://twitter.com/SWieschendorf/status/723550946341576704","723550946341576704")</f>
        <v>723550946341576704</v>
      </c>
      <c r="F4399" s="11" t="s">
        <v>20</v>
      </c>
      <c r="G4399" s="11">
        <v>38</v>
      </c>
      <c r="H4399" s="11">
        <v>77</v>
      </c>
      <c r="I4399" s="11">
        <v>8</v>
      </c>
      <c r="J4399" s="11">
        <v>0</v>
      </c>
      <c r="K4399" s="11" t="s">
        <v>21</v>
      </c>
      <c r="L4399" s="7">
        <v>41833.665578703702</v>
      </c>
      <c r="M4399" s="12" t="s">
        <v>10355</v>
      </c>
      <c r="N4399" s="12"/>
      <c r="O4399" s="10" t="str">
        <f>HYPERLINK("https://pbs.twimg.com/profile_images/716549773822726144/9Kt0EgoH_normal.jpg","View")</f>
        <v>View</v>
      </c>
      <c r="P4399" s="11"/>
    </row>
    <row r="4400" spans="1:16" ht="12.75" x14ac:dyDescent="0.35">
      <c r="A4400" s="7">
        <v>42482.9216087963</v>
      </c>
      <c r="B4400" s="8" t="str">
        <f>HYPERLINK("https://twitter.com/Klaus_Mueller","@Klaus_Mueller")</f>
        <v>@Klaus_Mueller</v>
      </c>
      <c r="C4400" s="9" t="s">
        <v>2329</v>
      </c>
      <c r="D4400" s="9" t="s">
        <v>10356</v>
      </c>
      <c r="E4400" s="10" t="str">
        <f>HYPERLINK("https://twitter.com/Klaus_Mueller/status/723551214642839552","723551214642839552")</f>
        <v>723551214642839552</v>
      </c>
      <c r="F4400" s="11" t="s">
        <v>91</v>
      </c>
      <c r="G4400" s="11">
        <v>2468</v>
      </c>
      <c r="H4400" s="11">
        <v>578</v>
      </c>
      <c r="I4400" s="11">
        <v>1</v>
      </c>
      <c r="J4400" s="11">
        <v>0</v>
      </c>
      <c r="K4400" s="11" t="s">
        <v>21</v>
      </c>
      <c r="L4400" s="7">
        <v>39830.767175925925</v>
      </c>
      <c r="M4400" s="12" t="s">
        <v>1359</v>
      </c>
      <c r="N4400" s="12" t="s">
        <v>2331</v>
      </c>
      <c r="O4400" s="10" t="str">
        <f>HYPERLINK("https://pbs.twimg.com/profile_images/461785939711258624/FzsPRmqR_normal.jpeg","View")</f>
        <v>View</v>
      </c>
      <c r="P4400" s="11"/>
    </row>
    <row r="4401" spans="1:16" ht="12.75" x14ac:dyDescent="0.35">
      <c r="A4401" s="7">
        <v>42482.922164351854</v>
      </c>
      <c r="B4401" s="8" t="str">
        <f>HYPERLINK("https://twitter.com/erlnwhoaaa","@erlnwhoaaa")</f>
        <v>@erlnwhoaaa</v>
      </c>
      <c r="C4401" s="9" t="s">
        <v>10357</v>
      </c>
      <c r="D4401" s="9" t="s">
        <v>10249</v>
      </c>
      <c r="E4401" s="10" t="str">
        <f>HYPERLINK("https://twitter.com/erlnwhoaaa/status/723551419463249922","723551419463249922")</f>
        <v>723551419463249922</v>
      </c>
      <c r="F4401" s="11" t="s">
        <v>48</v>
      </c>
      <c r="G4401" s="11">
        <v>247</v>
      </c>
      <c r="H4401" s="11">
        <v>88</v>
      </c>
      <c r="I4401" s="11">
        <v>5</v>
      </c>
      <c r="J4401" s="11">
        <v>0</v>
      </c>
      <c r="K4401" s="11" t="s">
        <v>21</v>
      </c>
      <c r="L4401" s="7">
        <v>41568.353275462963</v>
      </c>
      <c r="M4401" s="12"/>
      <c r="N4401" s="12" t="s">
        <v>10358</v>
      </c>
      <c r="O4401" s="10" t="str">
        <f>HYPERLINK("https://pbs.twimg.com/profile_images/541519290160386049/ymS0Xkl7_normal.jpeg","View")</f>
        <v>View</v>
      </c>
      <c r="P4401" s="11"/>
    </row>
    <row r="4402" spans="1:16" ht="12.75" x14ac:dyDescent="0.35">
      <c r="A4402" s="7">
        <v>42482.922569444447</v>
      </c>
      <c r="B4402" s="8" t="str">
        <f>HYPERLINK("https://twitter.com/andreascseh","@andreascseh")</f>
        <v>@andreascseh</v>
      </c>
      <c r="C4402" s="9" t="s">
        <v>10359</v>
      </c>
      <c r="D4402" s="9" t="s">
        <v>10360</v>
      </c>
      <c r="E4402" s="10" t="str">
        <f>HYPERLINK("https://twitter.com/andreascseh/status/723551565101957123","723551565101957123")</f>
        <v>723551565101957123</v>
      </c>
      <c r="F4402" s="11" t="s">
        <v>48</v>
      </c>
      <c r="G4402" s="11">
        <v>1801</v>
      </c>
      <c r="H4402" s="11">
        <v>1906</v>
      </c>
      <c r="I4402" s="11">
        <v>1</v>
      </c>
      <c r="J4402" s="11">
        <v>0</v>
      </c>
      <c r="K4402" s="11" t="s">
        <v>21</v>
      </c>
      <c r="L4402" s="7">
        <v>41600.5549537037</v>
      </c>
      <c r="M4402" s="12" t="s">
        <v>10361</v>
      </c>
      <c r="N4402" s="12" t="s">
        <v>10362</v>
      </c>
      <c r="O4402" s="10" t="str">
        <f>HYPERLINK("https://pbs.twimg.com/profile_images/378800000774067942/b9d3d12e3eaf41d9ded5745b4f419902_normal.jpeg","View")</f>
        <v>View</v>
      </c>
      <c r="P4402" s="11"/>
    </row>
    <row r="4403" spans="1:16" ht="12.75" x14ac:dyDescent="0.35">
      <c r="A4403" s="7">
        <v>42482.922581018516</v>
      </c>
      <c r="B4403" s="8" t="str">
        <f t="shared" ref="B4403:B4407" si="377">HYPERLINK("https://twitter.com/techhippie","@techhippie")</f>
        <v>@techhippie</v>
      </c>
      <c r="C4403" s="9" t="s">
        <v>246</v>
      </c>
      <c r="D4403" s="9" t="s">
        <v>10363</v>
      </c>
      <c r="E4403" s="10" t="str">
        <f>HYPERLINK("https://twitter.com/techhippie/status/723551569023766528","723551569023766528")</f>
        <v>723551569023766528</v>
      </c>
      <c r="F4403" s="11" t="s">
        <v>68</v>
      </c>
      <c r="G4403" s="11">
        <v>2511</v>
      </c>
      <c r="H4403" s="11">
        <v>3835</v>
      </c>
      <c r="I4403" s="11">
        <v>0</v>
      </c>
      <c r="J4403" s="11">
        <v>0</v>
      </c>
      <c r="K4403" s="11" t="s">
        <v>21</v>
      </c>
      <c r="L4403" s="7">
        <v>42424.852152777778</v>
      </c>
      <c r="M4403" s="12" t="s">
        <v>248</v>
      </c>
      <c r="N4403" s="12" t="s">
        <v>249</v>
      </c>
      <c r="O4403" s="10" t="str">
        <f t="shared" ref="O4403:O4407" si="378">HYPERLINK("https://pbs.twimg.com/profile_images/702511217793863680/lty8h9vE_normal.jpg","View")</f>
        <v>View</v>
      </c>
      <c r="P4403" s="11"/>
    </row>
    <row r="4404" spans="1:16" ht="12.75" x14ac:dyDescent="0.35">
      <c r="A4404" s="7">
        <v>42482.922638888893</v>
      </c>
      <c r="B4404" s="8" t="str">
        <f t="shared" si="377"/>
        <v>@techhippie</v>
      </c>
      <c r="C4404" s="9" t="s">
        <v>246</v>
      </c>
      <c r="D4404" s="9" t="s">
        <v>10364</v>
      </c>
      <c r="E4404" s="10" t="str">
        <f>HYPERLINK("https://twitter.com/techhippie/status/723551590158884866","723551590158884866")</f>
        <v>723551590158884866</v>
      </c>
      <c r="F4404" s="11" t="s">
        <v>68</v>
      </c>
      <c r="G4404" s="11">
        <v>2511</v>
      </c>
      <c r="H4404" s="11">
        <v>3835</v>
      </c>
      <c r="I4404" s="11">
        <v>0</v>
      </c>
      <c r="J4404" s="11">
        <v>0</v>
      </c>
      <c r="K4404" s="11" t="s">
        <v>21</v>
      </c>
      <c r="L4404" s="7">
        <v>42424.852152777778</v>
      </c>
      <c r="M4404" s="12" t="s">
        <v>248</v>
      </c>
      <c r="N4404" s="12" t="s">
        <v>249</v>
      </c>
      <c r="O4404" s="10" t="str">
        <f t="shared" si="378"/>
        <v>View</v>
      </c>
      <c r="P4404" s="11"/>
    </row>
    <row r="4405" spans="1:16" ht="12.75" x14ac:dyDescent="0.35">
      <c r="A4405" s="7">
        <v>42482.922662037032</v>
      </c>
      <c r="B4405" s="8" t="str">
        <f t="shared" si="377"/>
        <v>@techhippie</v>
      </c>
      <c r="C4405" s="9" t="s">
        <v>246</v>
      </c>
      <c r="D4405" s="9" t="s">
        <v>10365</v>
      </c>
      <c r="E4405" s="10" t="str">
        <f>HYPERLINK("https://twitter.com/techhippie/status/723551597264003074","723551597264003074")</f>
        <v>723551597264003074</v>
      </c>
      <c r="F4405" s="11" t="s">
        <v>68</v>
      </c>
      <c r="G4405" s="11">
        <v>2511</v>
      </c>
      <c r="H4405" s="11">
        <v>3835</v>
      </c>
      <c r="I4405" s="11">
        <v>0</v>
      </c>
      <c r="J4405" s="11">
        <v>0</v>
      </c>
      <c r="K4405" s="11" t="s">
        <v>21</v>
      </c>
      <c r="L4405" s="7">
        <v>42424.852152777778</v>
      </c>
      <c r="M4405" s="12" t="s">
        <v>248</v>
      </c>
      <c r="N4405" s="12" t="s">
        <v>249</v>
      </c>
      <c r="O4405" s="10" t="str">
        <f t="shared" si="378"/>
        <v>View</v>
      </c>
      <c r="P4405" s="11"/>
    </row>
    <row r="4406" spans="1:16" ht="12.75" x14ac:dyDescent="0.35">
      <c r="A4406" s="7">
        <v>42482.922673611116</v>
      </c>
      <c r="B4406" s="8" t="str">
        <f t="shared" si="377"/>
        <v>@techhippie</v>
      </c>
      <c r="C4406" s="9" t="s">
        <v>246</v>
      </c>
      <c r="D4406" s="9" t="s">
        <v>10366</v>
      </c>
      <c r="E4406" s="10" t="str">
        <f>HYPERLINK("https://twitter.com/techhippie/status/723551603136061440","723551603136061440")</f>
        <v>723551603136061440</v>
      </c>
      <c r="F4406" s="11" t="s">
        <v>68</v>
      </c>
      <c r="G4406" s="11">
        <v>2511</v>
      </c>
      <c r="H4406" s="11">
        <v>3835</v>
      </c>
      <c r="I4406" s="11">
        <v>0</v>
      </c>
      <c r="J4406" s="11">
        <v>0</v>
      </c>
      <c r="K4406" s="11" t="s">
        <v>21</v>
      </c>
      <c r="L4406" s="7">
        <v>42424.852152777778</v>
      </c>
      <c r="M4406" s="12" t="s">
        <v>248</v>
      </c>
      <c r="N4406" s="12" t="s">
        <v>249</v>
      </c>
      <c r="O4406" s="10" t="str">
        <f t="shared" si="378"/>
        <v>View</v>
      </c>
      <c r="P4406" s="11"/>
    </row>
    <row r="4407" spans="1:16" ht="12.75" x14ac:dyDescent="0.35">
      <c r="A4407" s="7">
        <v>42482.922754629632</v>
      </c>
      <c r="B4407" s="8" t="str">
        <f t="shared" si="377"/>
        <v>@techhippie</v>
      </c>
      <c r="C4407" s="9" t="s">
        <v>246</v>
      </c>
      <c r="D4407" s="9" t="s">
        <v>10367</v>
      </c>
      <c r="E4407" s="10" t="str">
        <f>HYPERLINK("https://twitter.com/techhippie/status/723551630067642369","723551630067642369")</f>
        <v>723551630067642369</v>
      </c>
      <c r="F4407" s="11" t="s">
        <v>68</v>
      </c>
      <c r="G4407" s="11">
        <v>2511</v>
      </c>
      <c r="H4407" s="11">
        <v>3835</v>
      </c>
      <c r="I4407" s="11">
        <v>0</v>
      </c>
      <c r="J4407" s="11">
        <v>0</v>
      </c>
      <c r="K4407" s="11" t="s">
        <v>21</v>
      </c>
      <c r="L4407" s="7">
        <v>42424.852152777778</v>
      </c>
      <c r="M4407" s="12" t="s">
        <v>248</v>
      </c>
      <c r="N4407" s="12" t="s">
        <v>249</v>
      </c>
      <c r="O4407" s="10" t="str">
        <f t="shared" si="378"/>
        <v>View</v>
      </c>
      <c r="P4407" s="11"/>
    </row>
    <row r="4408" spans="1:16" ht="12.75" x14ac:dyDescent="0.35">
      <c r="A4408" s="7">
        <v>42482.922905092593</v>
      </c>
      <c r="B4408" s="8" t="str">
        <f>HYPERLINK("https://twitter.com/pukki01","@pukki01")</f>
        <v>@pukki01</v>
      </c>
      <c r="C4408" s="9" t="s">
        <v>10368</v>
      </c>
      <c r="D4408" s="9" t="s">
        <v>10369</v>
      </c>
      <c r="E4408" s="10" t="str">
        <f>HYPERLINK("https://twitter.com/pukki01/status/723551687407996928","723551687407996928")</f>
        <v>723551687407996928</v>
      </c>
      <c r="F4408" s="11" t="s">
        <v>2645</v>
      </c>
      <c r="G4408" s="11">
        <v>1590</v>
      </c>
      <c r="H4408" s="11">
        <v>1243</v>
      </c>
      <c r="I4408" s="11">
        <v>3</v>
      </c>
      <c r="J4408" s="11">
        <v>0</v>
      </c>
      <c r="K4408" s="11" t="s">
        <v>21</v>
      </c>
      <c r="L4408" s="7">
        <v>41084.875347222223</v>
      </c>
      <c r="M4408" s="12" t="s">
        <v>10370</v>
      </c>
      <c r="N4408" s="12" t="s">
        <v>10371</v>
      </c>
      <c r="O4408" s="10" t="str">
        <f>HYPERLINK("https://pbs.twimg.com/profile_images/459701984342200322/w1eWV8Sz_normal.jpeg","View")</f>
        <v>View</v>
      </c>
      <c r="P4408" s="11"/>
    </row>
    <row r="4409" spans="1:16" ht="12.75" x14ac:dyDescent="0.35">
      <c r="A4409" s="7">
        <v>42482.922905092593</v>
      </c>
      <c r="B4409" s="8" t="str">
        <f>HYPERLINK("https://twitter.com/BS_Verkehr","@BS_Verkehr")</f>
        <v>@BS_Verkehr</v>
      </c>
      <c r="C4409" s="9" t="s">
        <v>3629</v>
      </c>
      <c r="D4409" s="9" t="s">
        <v>10372</v>
      </c>
      <c r="E4409" s="10" t="str">
        <f>HYPERLINK("https://twitter.com/BS_Verkehr/status/723551687697403904","723551687697403904")</f>
        <v>723551687697403904</v>
      </c>
      <c r="F4409" s="11" t="s">
        <v>43</v>
      </c>
      <c r="G4409" s="11">
        <v>81</v>
      </c>
      <c r="H4409" s="11">
        <v>9</v>
      </c>
      <c r="I4409" s="11">
        <v>0</v>
      </c>
      <c r="J4409" s="11">
        <v>1</v>
      </c>
      <c r="K4409" s="11" t="s">
        <v>21</v>
      </c>
      <c r="L4409" s="7">
        <v>41928.833622685182</v>
      </c>
      <c r="M4409" s="12" t="s">
        <v>2682</v>
      </c>
      <c r="N4409" s="12" t="s">
        <v>3631</v>
      </c>
      <c r="O4409" s="10" t="str">
        <f>HYPERLINK("https://pbs.twimg.com/profile_images/522759312028884992/6n24auYw_normal.png","View")</f>
        <v>View</v>
      </c>
      <c r="P4409" s="11"/>
    </row>
    <row r="4410" spans="1:16" ht="12.75" x14ac:dyDescent="0.35">
      <c r="A4410" s="7">
        <v>42482.92292824074</v>
      </c>
      <c r="B4410" s="8" t="str">
        <f>HYPERLINK("https://twitter.com/BWResearch","@BWResearch")</f>
        <v>@BWResearch</v>
      </c>
      <c r="C4410" s="9" t="s">
        <v>1677</v>
      </c>
      <c r="D4410" s="9" t="s">
        <v>10373</v>
      </c>
      <c r="E4410" s="10" t="str">
        <f>HYPERLINK("https://twitter.com/BWResearch/status/723551695804993536","723551695804993536")</f>
        <v>723551695804993536</v>
      </c>
      <c r="F4410" s="11" t="s">
        <v>43</v>
      </c>
      <c r="G4410" s="11">
        <v>879</v>
      </c>
      <c r="H4410" s="11">
        <v>800</v>
      </c>
      <c r="I4410" s="11">
        <v>0</v>
      </c>
      <c r="J4410" s="11">
        <v>0</v>
      </c>
      <c r="K4410" s="11" t="s">
        <v>21</v>
      </c>
      <c r="L4410" s="7">
        <v>40467.013333333336</v>
      </c>
      <c r="M4410" s="12" t="s">
        <v>1679</v>
      </c>
      <c r="N4410" s="12" t="s">
        <v>1680</v>
      </c>
      <c r="O4410" s="10" t="str">
        <f>HYPERLINK("https://pbs.twimg.com/profile_images/1454103259/logo_normal.gif","View")</f>
        <v>View</v>
      </c>
      <c r="P4410" s="11"/>
    </row>
    <row r="4411" spans="1:16" ht="12.75" x14ac:dyDescent="0.35">
      <c r="A4411" s="7">
        <v>42482.922997685186</v>
      </c>
      <c r="B4411" s="8" t="str">
        <f>HYPERLINK("https://twitter.com/VWCamperSales","@VWCamperSales")</f>
        <v>@VWCamperSales</v>
      </c>
      <c r="C4411" s="9" t="s">
        <v>216</v>
      </c>
      <c r="D4411" s="9" t="s">
        <v>10374</v>
      </c>
      <c r="E4411" s="10" t="str">
        <f>HYPERLINK("https://twitter.com/VWCamperSales/status/723551718361825281","723551718361825281")</f>
        <v>723551718361825281</v>
      </c>
      <c r="F4411" s="10" t="s">
        <v>124</v>
      </c>
      <c r="G4411" s="11">
        <v>618</v>
      </c>
      <c r="H4411" s="11">
        <v>580</v>
      </c>
      <c r="I4411" s="11">
        <v>0</v>
      </c>
      <c r="J4411" s="11">
        <v>0</v>
      </c>
      <c r="K4411" s="11" t="s">
        <v>21</v>
      </c>
      <c r="L4411" s="7">
        <v>42215.98809027778</v>
      </c>
      <c r="M4411" s="12" t="s">
        <v>129</v>
      </c>
      <c r="N4411" s="12" t="s">
        <v>218</v>
      </c>
      <c r="O4411" s="10" t="str">
        <f>HYPERLINK("https://pbs.twimg.com/profile_images/627949001179037696/skEBkS05_normal.jpg","View")</f>
        <v>View</v>
      </c>
      <c r="P4411" s="11"/>
    </row>
    <row r="4412" spans="1:16" ht="12.75" x14ac:dyDescent="0.35">
      <c r="A4412" s="7">
        <v>42482.923217592594</v>
      </c>
      <c r="B4412" s="8" t="str">
        <f>HYPERLINK("https://twitter.com/ChristophNoack","@ChristophNoack")</f>
        <v>@ChristophNoack</v>
      </c>
      <c r="C4412" s="9" t="s">
        <v>5043</v>
      </c>
      <c r="D4412" s="9" t="s">
        <v>10375</v>
      </c>
      <c r="E4412" s="10" t="str">
        <f>HYPERLINK("https://twitter.com/ChristophNoack/status/723551799236562944","723551799236562944")</f>
        <v>723551799236562944</v>
      </c>
      <c r="F4412" s="11" t="s">
        <v>43</v>
      </c>
      <c r="G4412" s="11">
        <v>395</v>
      </c>
      <c r="H4412" s="11">
        <v>531</v>
      </c>
      <c r="I4412" s="11">
        <v>0</v>
      </c>
      <c r="J4412" s="11">
        <v>1</v>
      </c>
      <c r="K4412" s="11" t="s">
        <v>21</v>
      </c>
      <c r="L4412" s="7">
        <v>41543.323819444442</v>
      </c>
      <c r="M4412" s="12" t="s">
        <v>5045</v>
      </c>
      <c r="N4412" s="12" t="s">
        <v>5046</v>
      </c>
      <c r="O4412" s="10" t="str">
        <f>HYPERLINK("https://pbs.twimg.com/profile_images/614230691044265984/Wocs5ZQz_normal.jpg","View")</f>
        <v>View</v>
      </c>
      <c r="P4412" s="11"/>
    </row>
    <row r="4413" spans="1:16" ht="12.75" x14ac:dyDescent="0.35">
      <c r="A4413" s="7">
        <v>42482.923460648148</v>
      </c>
      <c r="B4413" s="8" t="str">
        <f>HYPERLINK("https://twitter.com/DwAilton","@DwAilton")</f>
        <v>@DwAilton</v>
      </c>
      <c r="C4413" s="9" t="s">
        <v>10376</v>
      </c>
      <c r="D4413" s="9" t="s">
        <v>10377</v>
      </c>
      <c r="E4413" s="10" t="str">
        <f>HYPERLINK("https://twitter.com/DwAilton/status/723551886754893825","723551886754893825")</f>
        <v>723551886754893825</v>
      </c>
      <c r="F4413" s="11" t="s">
        <v>20</v>
      </c>
      <c r="G4413" s="11">
        <v>27</v>
      </c>
      <c r="H4413" s="11">
        <v>255</v>
      </c>
      <c r="I4413" s="11">
        <v>0</v>
      </c>
      <c r="J4413" s="11">
        <v>0</v>
      </c>
      <c r="K4413" s="11" t="s">
        <v>21</v>
      </c>
      <c r="L4413" s="7">
        <v>42255.639340277776</v>
      </c>
      <c r="M4413" s="12" t="s">
        <v>10378</v>
      </c>
      <c r="N4413" s="12"/>
      <c r="O4413" s="10" t="str">
        <f>HYPERLINK("https://pbs.twimg.com/profile_images/657843319926628352/IdG0HPQm_normal.jpg","View")</f>
        <v>View</v>
      </c>
      <c r="P4413" s="11"/>
    </row>
    <row r="4414" spans="1:16" ht="12.75" x14ac:dyDescent="0.35">
      <c r="A4414" s="7">
        <v>42482.923518518517</v>
      </c>
      <c r="B4414" s="8" t="str">
        <f>HYPERLINK("https://twitter.com/Tahsinemres","@Tahsinemres")</f>
        <v>@Tahsinemres</v>
      </c>
      <c r="C4414" s="9" t="s">
        <v>10379</v>
      </c>
      <c r="D4414" s="9" t="s">
        <v>10380</v>
      </c>
      <c r="E4414" s="10" t="str">
        <f>HYPERLINK("https://twitter.com/Tahsinemres/status/723551909546610688","723551909546610688")</f>
        <v>723551909546610688</v>
      </c>
      <c r="F4414" s="11" t="s">
        <v>114</v>
      </c>
      <c r="G4414" s="11">
        <v>31</v>
      </c>
      <c r="H4414" s="11">
        <v>74</v>
      </c>
      <c r="I4414" s="11">
        <v>0</v>
      </c>
      <c r="J4414" s="11">
        <v>0</v>
      </c>
      <c r="K4414" s="11" t="s">
        <v>21</v>
      </c>
      <c r="L4414" s="7">
        <v>40046.136018518519</v>
      </c>
      <c r="M4414" s="12"/>
      <c r="N4414" s="12"/>
      <c r="O4414" s="10" t="str">
        <f>HYPERLINK("https://pbs.twimg.com/profile_images/712639850218962946/ix5EU-Ne_normal.jpg","View")</f>
        <v>View</v>
      </c>
      <c r="P4414" s="11"/>
    </row>
    <row r="4415" spans="1:16" ht="12.75" x14ac:dyDescent="0.35">
      <c r="A4415" s="7">
        <v>42482.923796296294</v>
      </c>
      <c r="B4415" s="8" t="str">
        <f>HYPERLINK("https://twitter.com/3LTalonjay_59","@3LTalonjay_59")</f>
        <v>@3LTalonjay_59</v>
      </c>
      <c r="C4415" s="9" t="s">
        <v>10381</v>
      </c>
      <c r="D4415" s="9" t="s">
        <v>10249</v>
      </c>
      <c r="E4415" s="10" t="str">
        <f>HYPERLINK("https://twitter.com/3LTalonjay_59/status/723552009308262400","723552009308262400")</f>
        <v>723552009308262400</v>
      </c>
      <c r="F4415" s="11" t="s">
        <v>43</v>
      </c>
      <c r="G4415" s="11">
        <v>7</v>
      </c>
      <c r="H4415" s="11">
        <v>488</v>
      </c>
      <c r="I4415" s="11">
        <v>5</v>
      </c>
      <c r="J4415" s="11">
        <v>0</v>
      </c>
      <c r="K4415" s="11" t="s">
        <v>21</v>
      </c>
      <c r="L4415" s="7">
        <v>42064.770520833335</v>
      </c>
      <c r="M4415" s="12"/>
      <c r="N4415" s="12" t="s">
        <v>10382</v>
      </c>
      <c r="O4415" s="10" t="str">
        <f>HYPERLINK("https://pbs.twimg.com/profile_images/575842925646479361/G7GThf7W_normal.jpeg","View")</f>
        <v>View</v>
      </c>
      <c r="P4415" s="11"/>
    </row>
    <row r="4416" spans="1:16" ht="12.75" x14ac:dyDescent="0.35">
      <c r="A4416" s="7">
        <v>42482.92387731481</v>
      </c>
      <c r="B4416" s="8" t="str">
        <f>HYPERLINK("https://twitter.com/RobPeel82","@RobPeel82")</f>
        <v>@RobPeel82</v>
      </c>
      <c r="C4416" s="9" t="s">
        <v>10383</v>
      </c>
      <c r="D4416" s="9" t="s">
        <v>10249</v>
      </c>
      <c r="E4416" s="10" t="str">
        <f>HYPERLINK("https://twitter.com/RobPeel82/status/723552037456195588","723552037456195588")</f>
        <v>723552037456195588</v>
      </c>
      <c r="F4416" s="11" t="s">
        <v>48</v>
      </c>
      <c r="G4416" s="11">
        <v>353</v>
      </c>
      <c r="H4416" s="11">
        <v>103</v>
      </c>
      <c r="I4416" s="11">
        <v>5</v>
      </c>
      <c r="J4416" s="11">
        <v>0</v>
      </c>
      <c r="K4416" s="11" t="s">
        <v>21</v>
      </c>
      <c r="L4416" s="7">
        <v>41567.913923611108</v>
      </c>
      <c r="M4416" s="12" t="s">
        <v>10384</v>
      </c>
      <c r="N4416" s="12" t="s">
        <v>10385</v>
      </c>
      <c r="O4416" s="10" t="str">
        <f>HYPERLINK("https://pbs.twimg.com/profile_images/540337328674578432/qYyufV8k_normal.jpeg","View")</f>
        <v>View</v>
      </c>
      <c r="P4416" s="11"/>
    </row>
    <row r="4417" spans="1:16" ht="12.75" x14ac:dyDescent="0.35">
      <c r="A4417" s="7">
        <v>42482.923888888894</v>
      </c>
      <c r="B4417" s="8" t="str">
        <f>HYPERLINK("https://twitter.com/Neurasthenio","@Neurasthenio")</f>
        <v>@Neurasthenio</v>
      </c>
      <c r="C4417" s="9" t="s">
        <v>10386</v>
      </c>
      <c r="D4417" s="9" t="s">
        <v>10369</v>
      </c>
      <c r="E4417" s="10" t="str">
        <f>HYPERLINK("https://twitter.com/Neurasthenio/status/723552042262880256","723552042262880256")</f>
        <v>723552042262880256</v>
      </c>
      <c r="F4417" s="11" t="s">
        <v>48</v>
      </c>
      <c r="G4417" s="11">
        <v>815</v>
      </c>
      <c r="H4417" s="11">
        <v>1766</v>
      </c>
      <c r="I4417" s="11">
        <v>3</v>
      </c>
      <c r="J4417" s="11">
        <v>0</v>
      </c>
      <c r="K4417" s="11" t="s">
        <v>21</v>
      </c>
      <c r="L4417" s="7">
        <v>40584.667037037041</v>
      </c>
      <c r="M4417" s="12" t="s">
        <v>10387</v>
      </c>
      <c r="N4417" s="12" t="s">
        <v>10388</v>
      </c>
      <c r="O4417" s="10" t="str">
        <f>HYPERLINK("https://pbs.twimg.com/profile_images/1243402782/Dracul2_normal.jpg","View")</f>
        <v>View</v>
      </c>
      <c r="P4417" s="11"/>
    </row>
    <row r="4418" spans="1:16" ht="12.75" x14ac:dyDescent="0.35">
      <c r="A4418" s="7">
        <v>42482.924155092594</v>
      </c>
      <c r="B4418" s="8" t="str">
        <f>HYPERLINK("https://twitter.com/Oppa_mit_Hut","@Oppa_mit_Hut")</f>
        <v>@Oppa_mit_Hut</v>
      </c>
      <c r="C4418" s="9" t="s">
        <v>10389</v>
      </c>
      <c r="D4418" s="9" t="s">
        <v>10369</v>
      </c>
      <c r="E4418" s="10" t="str">
        <f>HYPERLINK("https://twitter.com/Oppa_mit_Hut/status/723552140132814848","723552140132814848")</f>
        <v>723552140132814848</v>
      </c>
      <c r="F4418" s="11" t="s">
        <v>367</v>
      </c>
      <c r="G4418" s="11">
        <v>514</v>
      </c>
      <c r="H4418" s="11">
        <v>817</v>
      </c>
      <c r="I4418" s="11">
        <v>3</v>
      </c>
      <c r="J4418" s="11">
        <v>0</v>
      </c>
      <c r="K4418" s="11" t="s">
        <v>21</v>
      </c>
      <c r="L4418" s="7">
        <v>41261.045370370368</v>
      </c>
      <c r="M4418" s="12" t="s">
        <v>10390</v>
      </c>
      <c r="N4418" s="12" t="s">
        <v>10391</v>
      </c>
      <c r="O4418" s="10" t="str">
        <f>HYPERLINK("https://pbs.twimg.com/profile_images/720273340812914688/kgV10zga_normal.jpg","View")</f>
        <v>View</v>
      </c>
      <c r="P4418" s="11"/>
    </row>
    <row r="4419" spans="1:16" ht="12.75" x14ac:dyDescent="0.35">
      <c r="A4419" s="7">
        <v>42482.924467592587</v>
      </c>
      <c r="B4419" s="8" t="str">
        <f>HYPERLINK("https://twitter.com/BILD_Stuttgart","@BILD_Stuttgart")</f>
        <v>@BILD_Stuttgart</v>
      </c>
      <c r="C4419" s="9" t="s">
        <v>10392</v>
      </c>
      <c r="D4419" s="9" t="s">
        <v>10393</v>
      </c>
      <c r="E4419" s="10" t="str">
        <f>HYPERLINK("https://twitter.com/BILD_Stuttgart/status/723552250111614976","723552250111614976")</f>
        <v>723552250111614976</v>
      </c>
      <c r="F4419" s="11" t="s">
        <v>63</v>
      </c>
      <c r="G4419" s="11">
        <v>4839</v>
      </c>
      <c r="H4419" s="11">
        <v>26</v>
      </c>
      <c r="I4419" s="11">
        <v>0</v>
      </c>
      <c r="J4419" s="11">
        <v>0</v>
      </c>
      <c r="K4419" s="11" t="s">
        <v>21</v>
      </c>
      <c r="L4419" s="7">
        <v>40233.651979166665</v>
      </c>
      <c r="M4419" s="12" t="s">
        <v>1169</v>
      </c>
      <c r="N4419" s="12" t="s">
        <v>10394</v>
      </c>
      <c r="O4419" s="10" t="str">
        <f>HYPERLINK("https://pbs.twimg.com/profile_images/641845648430628864/aixuf0mp_normal.jpg","View")</f>
        <v>View</v>
      </c>
      <c r="P4419" s="11"/>
    </row>
    <row r="4420" spans="1:16" ht="12.75" x14ac:dyDescent="0.35">
      <c r="A4420" s="7">
        <v>42482.924467592587</v>
      </c>
      <c r="B4420" s="8" t="str">
        <f>HYPERLINK("https://twitter.com/BILD_Muenchen","@BILD_Muenchen")</f>
        <v>@BILD_Muenchen</v>
      </c>
      <c r="C4420" s="9" t="s">
        <v>10395</v>
      </c>
      <c r="D4420" s="9" t="s">
        <v>10396</v>
      </c>
      <c r="E4420" s="10" t="str">
        <f>HYPERLINK("https://twitter.com/BILD_Muenchen/status/723552250128392193","723552250128392193")</f>
        <v>723552250128392193</v>
      </c>
      <c r="F4420" s="11" t="s">
        <v>63</v>
      </c>
      <c r="G4420" s="11">
        <v>6755</v>
      </c>
      <c r="H4420" s="11">
        <v>73</v>
      </c>
      <c r="I4420" s="11">
        <v>0</v>
      </c>
      <c r="J4420" s="11">
        <v>0</v>
      </c>
      <c r="K4420" s="11" t="s">
        <v>21</v>
      </c>
      <c r="L4420" s="7">
        <v>40233.655358796299</v>
      </c>
      <c r="M4420" s="12" t="s">
        <v>1931</v>
      </c>
      <c r="N4420" s="12" t="s">
        <v>10397</v>
      </c>
      <c r="O4420" s="10" t="str">
        <f>HYPERLINK("https://pbs.twimg.com/profile_images/641845459527536640/LiA4956L_normal.jpg","View")</f>
        <v>View</v>
      </c>
      <c r="P4420" s="11"/>
    </row>
    <row r="4421" spans="1:16" ht="12.75" x14ac:dyDescent="0.35">
      <c r="A4421" s="7">
        <v>42482.924467592587</v>
      </c>
      <c r="B4421" s="8" t="str">
        <f>HYPERLINK("https://twitter.com/BILD_Nuernberg","@BILD_Nuernberg")</f>
        <v>@BILD_Nuernberg</v>
      </c>
      <c r="C4421" s="9" t="s">
        <v>10398</v>
      </c>
      <c r="D4421" s="9" t="s">
        <v>10399</v>
      </c>
      <c r="E4421" s="10" t="str">
        <f>HYPERLINK("https://twitter.com/BILD_Nuernberg/status/723552250224881665","723552250224881665")</f>
        <v>723552250224881665</v>
      </c>
      <c r="F4421" s="11" t="s">
        <v>63</v>
      </c>
      <c r="G4421" s="11">
        <v>3404</v>
      </c>
      <c r="H4421" s="11">
        <v>23</v>
      </c>
      <c r="I4421" s="11">
        <v>0</v>
      </c>
      <c r="J4421" s="11">
        <v>0</v>
      </c>
      <c r="K4421" s="11" t="s">
        <v>21</v>
      </c>
      <c r="L4421" s="7">
        <v>40063.68105324074</v>
      </c>
      <c r="M4421" s="12" t="s">
        <v>3706</v>
      </c>
      <c r="N4421" s="12" t="s">
        <v>10400</v>
      </c>
      <c r="O4421" s="10" t="str">
        <f>HYPERLINK("https://pbs.twimg.com/profile_images/641845901737226240/kz3Tkfbs_normal.jpg","View")</f>
        <v>View</v>
      </c>
      <c r="P4421" s="11"/>
    </row>
    <row r="4422" spans="1:16" ht="12.75" x14ac:dyDescent="0.35">
      <c r="A4422" s="7">
        <v>42482.924826388888</v>
      </c>
      <c r="B4422" s="8" t="str">
        <f>HYPERLINK("https://twitter.com/RainerRogge","@RainerRogge")</f>
        <v>@RainerRogge</v>
      </c>
      <c r="C4422" s="9" t="s">
        <v>10401</v>
      </c>
      <c r="D4422" s="9" t="s">
        <v>10402</v>
      </c>
      <c r="E4422" s="10" t="str">
        <f>HYPERLINK("https://twitter.com/RainerRogge/status/723552383612104704","723552383612104704")</f>
        <v>723552383612104704</v>
      </c>
      <c r="F4422" s="11" t="s">
        <v>48</v>
      </c>
      <c r="G4422" s="11">
        <v>611</v>
      </c>
      <c r="H4422" s="11">
        <v>485</v>
      </c>
      <c r="I4422" s="11">
        <v>1</v>
      </c>
      <c r="J4422" s="11">
        <v>0</v>
      </c>
      <c r="K4422" s="11" t="s">
        <v>21</v>
      </c>
      <c r="L4422" s="7">
        <v>42028.277465277773</v>
      </c>
      <c r="M4422" s="12" t="s">
        <v>10403</v>
      </c>
      <c r="N4422" s="12" t="s">
        <v>10404</v>
      </c>
      <c r="O4422" s="10" t="str">
        <f>HYPERLINK("https://pbs.twimg.com/profile_images/592417094983102464/xowRMPEE_normal.jpg","View")</f>
        <v>View</v>
      </c>
      <c r="P4422" s="11"/>
    </row>
    <row r="4423" spans="1:16" ht="12.75" x14ac:dyDescent="0.35">
      <c r="A4423" s="7">
        <v>42482.924837962964</v>
      </c>
      <c r="B4423" s="8" t="str">
        <f>HYPERLINK("https://twitter.com/alsopi1","@alsopi1")</f>
        <v>@alsopi1</v>
      </c>
      <c r="C4423" s="9" t="s">
        <v>2824</v>
      </c>
      <c r="D4423" s="9" t="s">
        <v>6352</v>
      </c>
      <c r="E4423" s="10" t="str">
        <f>HYPERLINK("https://twitter.com/alsopi1/status/723552387693195265","723552387693195265")</f>
        <v>723552387693195265</v>
      </c>
      <c r="F4423" s="11" t="s">
        <v>20</v>
      </c>
      <c r="G4423" s="11">
        <v>247</v>
      </c>
      <c r="H4423" s="11">
        <v>1665</v>
      </c>
      <c r="I4423" s="11">
        <v>34</v>
      </c>
      <c r="J4423" s="11">
        <v>0</v>
      </c>
      <c r="K4423" s="11" t="s">
        <v>21</v>
      </c>
      <c r="L4423" s="7">
        <v>42391.349803240737</v>
      </c>
      <c r="M4423" s="12"/>
      <c r="N4423" s="12"/>
      <c r="O4423" s="10" t="str">
        <f>HYPERLINK("https://pbs.twimg.com/profile_images/722939606061158402/0mK_jA0z_normal.jpg","View")</f>
        <v>View</v>
      </c>
      <c r="P4423" s="11"/>
    </row>
    <row r="4424" spans="1:16" ht="12.75" x14ac:dyDescent="0.35">
      <c r="A4424" s="7">
        <v>42482.924884259264</v>
      </c>
      <c r="B4424" s="8" t="str">
        <f>HYPERLINK("https://twitter.com/ENMosaik","@ENMosaik")</f>
        <v>@ENMosaik</v>
      </c>
      <c r="C4424" s="9" t="s">
        <v>10405</v>
      </c>
      <c r="D4424" s="9" t="s">
        <v>9694</v>
      </c>
      <c r="E4424" s="10" t="str">
        <f>HYPERLINK("https://twitter.com/ENMosaik/status/723552402868174849","723552402868174849")</f>
        <v>723552402868174849</v>
      </c>
      <c r="F4424" s="11" t="s">
        <v>48</v>
      </c>
      <c r="G4424" s="11">
        <v>64</v>
      </c>
      <c r="H4424" s="11">
        <v>567</v>
      </c>
      <c r="I4424" s="11">
        <v>8</v>
      </c>
      <c r="J4424" s="11">
        <v>0</v>
      </c>
      <c r="K4424" s="11" t="s">
        <v>21</v>
      </c>
      <c r="L4424" s="7">
        <v>41578.921168981484</v>
      </c>
      <c r="M4424" s="12" t="s">
        <v>10406</v>
      </c>
      <c r="N4424" s="12"/>
      <c r="O4424" s="10" t="str">
        <f>HYPERLINK("https://pbs.twimg.com/profile_images/378800000692356031/09d518072c75b8f4936bb46dc18dc8ef_normal.jpeg","View")</f>
        <v>View</v>
      </c>
      <c r="P4424" s="11"/>
    </row>
    <row r="4425" spans="1:16" ht="12.75" x14ac:dyDescent="0.35">
      <c r="A4425" s="7">
        <v>42482.925046296295</v>
      </c>
      <c r="B4425" s="8" t="str">
        <f t="shared" ref="B4425:B4426" si="379">HYPERLINK("https://twitter.com/HansTheGerman","@HansTheGerman")</f>
        <v>@HansTheGerman</v>
      </c>
      <c r="C4425" s="9" t="s">
        <v>4330</v>
      </c>
      <c r="D4425" s="9" t="s">
        <v>10407</v>
      </c>
      <c r="E4425" s="10" t="str">
        <f>HYPERLINK("https://twitter.com/HansTheGerman/status/723552460401434625","723552460401434625")</f>
        <v>723552460401434625</v>
      </c>
      <c r="F4425" s="11" t="s">
        <v>43</v>
      </c>
      <c r="G4425" s="11">
        <v>313</v>
      </c>
      <c r="H4425" s="11">
        <v>764</v>
      </c>
      <c r="I4425" s="11">
        <v>1</v>
      </c>
      <c r="J4425" s="11">
        <v>0</v>
      </c>
      <c r="K4425" s="11" t="s">
        <v>21</v>
      </c>
      <c r="L4425" s="7">
        <v>39950.572777777779</v>
      </c>
      <c r="M4425" s="12" t="s">
        <v>1116</v>
      </c>
      <c r="N4425" s="12" t="s">
        <v>4332</v>
      </c>
      <c r="O4425" s="10" t="str">
        <f t="shared" ref="O4425:O4426" si="380">HYPERLINK("https://pbs.twimg.com/profile_images/3012106875/596e712c99a38ec69b925b7f7ab71986_normal.jpeg","View")</f>
        <v>View</v>
      </c>
      <c r="P4425" s="11"/>
    </row>
    <row r="4426" spans="1:16" ht="12.75" x14ac:dyDescent="0.35">
      <c r="A4426" s="7">
        <v>42482.925115740742</v>
      </c>
      <c r="B4426" s="8" t="str">
        <f t="shared" si="379"/>
        <v>@HansTheGerman</v>
      </c>
      <c r="C4426" s="9" t="s">
        <v>4330</v>
      </c>
      <c r="D4426" s="9" t="s">
        <v>10408</v>
      </c>
      <c r="E4426" s="10" t="str">
        <f>HYPERLINK("https://twitter.com/HansTheGerman/status/723552486968184832","723552486968184832")</f>
        <v>723552486968184832</v>
      </c>
      <c r="F4426" s="11" t="s">
        <v>43</v>
      </c>
      <c r="G4426" s="11">
        <v>313</v>
      </c>
      <c r="H4426" s="11">
        <v>764</v>
      </c>
      <c r="I4426" s="11">
        <v>1</v>
      </c>
      <c r="J4426" s="11">
        <v>0</v>
      </c>
      <c r="K4426" s="11" t="s">
        <v>21</v>
      </c>
      <c r="L4426" s="7">
        <v>39950.572777777779</v>
      </c>
      <c r="M4426" s="12" t="s">
        <v>1116</v>
      </c>
      <c r="N4426" s="12" t="s">
        <v>4332</v>
      </c>
      <c r="O4426" s="10" t="str">
        <f t="shared" si="380"/>
        <v>View</v>
      </c>
      <c r="P4426" s="11"/>
    </row>
    <row r="4427" spans="1:16" ht="12.75" x14ac:dyDescent="0.35">
      <c r="A4427" s="7">
        <v>42482.925451388888</v>
      </c>
      <c r="B4427" s="8" t="str">
        <f>HYPERLINK("https://twitter.com/gengh60","@gengh60")</f>
        <v>@gengh60</v>
      </c>
      <c r="C4427" s="9" t="s">
        <v>10409</v>
      </c>
      <c r="D4427" s="9" t="s">
        <v>10410</v>
      </c>
      <c r="E4427" s="10" t="str">
        <f>HYPERLINK("https://twitter.com/gengh60/status/723552610314260481","723552610314260481")</f>
        <v>723552610314260481</v>
      </c>
      <c r="F4427" s="11" t="s">
        <v>43</v>
      </c>
      <c r="G4427" s="11">
        <v>378</v>
      </c>
      <c r="H4427" s="11">
        <v>1761</v>
      </c>
      <c r="I4427" s="11">
        <v>1</v>
      </c>
      <c r="J4427" s="11">
        <v>0</v>
      </c>
      <c r="K4427" s="11" t="s">
        <v>21</v>
      </c>
      <c r="L4427" s="7">
        <v>41816.72042824074</v>
      </c>
      <c r="M4427" s="12" t="s">
        <v>10411</v>
      </c>
      <c r="N4427" s="12"/>
      <c r="O4427" s="10" t="str">
        <f>HYPERLINK("https://pbs.twimg.com/profile_images/482674748619362305/g-7jPc3m_normal.jpeg","View")</f>
        <v>View</v>
      </c>
      <c r="P4427" s="11"/>
    </row>
    <row r="4428" spans="1:16" ht="12.75" x14ac:dyDescent="0.35">
      <c r="A4428" s="7">
        <v>42482.926377314812</v>
      </c>
      <c r="B4428" s="8" t="str">
        <f>HYPERLINK("https://twitter.com/panicswitch777","@panicswitch777")</f>
        <v>@panicswitch777</v>
      </c>
      <c r="C4428" s="9" t="s">
        <v>374</v>
      </c>
      <c r="D4428" s="9" t="s">
        <v>10412</v>
      </c>
      <c r="E4428" s="10" t="str">
        <f>HYPERLINK("https://twitter.com/panicswitch777/status/723552942117113856","723552942117113856")</f>
        <v>723552942117113856</v>
      </c>
      <c r="F4428" s="11" t="s">
        <v>114</v>
      </c>
      <c r="G4428" s="11">
        <v>188</v>
      </c>
      <c r="H4428" s="11">
        <v>185</v>
      </c>
      <c r="I4428" s="11">
        <v>0</v>
      </c>
      <c r="J4428" s="11">
        <v>0</v>
      </c>
      <c r="K4428" s="11" t="s">
        <v>21</v>
      </c>
      <c r="L4428" s="7">
        <v>41837.90216435185</v>
      </c>
      <c r="M4428" s="12" t="s">
        <v>376</v>
      </c>
      <c r="N4428" s="12"/>
      <c r="O4428" s="10" t="str">
        <f>HYPERLINK("https://pbs.twimg.com/profile_images/661248829682024449/IlOGOPEg_normal.jpg","View")</f>
        <v>View</v>
      </c>
      <c r="P4428" s="11"/>
    </row>
    <row r="4429" spans="1:16" ht="12.75" x14ac:dyDescent="0.35">
      <c r="A4429" s="7">
        <v>42482.926481481481</v>
      </c>
      <c r="B4429" s="8" t="str">
        <f>HYPERLINK("https://twitter.com/VWBeetleSales","@VWBeetleSales")</f>
        <v>@VWBeetleSales</v>
      </c>
      <c r="C4429" s="9" t="s">
        <v>127</v>
      </c>
      <c r="D4429" s="9" t="s">
        <v>10413</v>
      </c>
      <c r="E4429" s="10" t="str">
        <f>HYPERLINK("https://twitter.com/VWBeetleSales/status/723552979840716801","723552979840716801")</f>
        <v>723552979840716801</v>
      </c>
      <c r="F4429" s="10" t="s">
        <v>124</v>
      </c>
      <c r="G4429" s="11">
        <v>36</v>
      </c>
      <c r="H4429" s="11">
        <v>32</v>
      </c>
      <c r="I4429" s="11">
        <v>0</v>
      </c>
      <c r="J4429" s="11">
        <v>0</v>
      </c>
      <c r="K4429" s="11" t="s">
        <v>21</v>
      </c>
      <c r="L4429" s="7">
        <v>42427.019756944443</v>
      </c>
      <c r="M4429" s="12" t="s">
        <v>129</v>
      </c>
      <c r="N4429" s="12" t="s">
        <v>130</v>
      </c>
      <c r="O4429" s="10" t="str">
        <f>HYPERLINK("https://pbs.twimg.com/profile_images/703294545195307008/qeCvrX86_normal.jpg","View")</f>
        <v>View</v>
      </c>
      <c r="P4429" s="11"/>
    </row>
    <row r="4430" spans="1:16" ht="12.75" x14ac:dyDescent="0.35">
      <c r="A4430" s="7">
        <v>42482.926678240736</v>
      </c>
      <c r="B4430" s="8" t="str">
        <f>HYPERLINK("https://twitter.com/LeftonMain","@LeftonMain")</f>
        <v>@LeftonMain</v>
      </c>
      <c r="C4430" s="9" t="s">
        <v>10414</v>
      </c>
      <c r="D4430" s="9" t="s">
        <v>10065</v>
      </c>
      <c r="E4430" s="10" t="str">
        <f>HYPERLINK("https://twitter.com/LeftonMain/status/723553053102596096","723553053102596096")</f>
        <v>723553053102596096</v>
      </c>
      <c r="F4430" s="11" t="s">
        <v>63</v>
      </c>
      <c r="G4430" s="11">
        <v>4033</v>
      </c>
      <c r="H4430" s="11">
        <v>4837</v>
      </c>
      <c r="I4430" s="11">
        <v>2</v>
      </c>
      <c r="J4430" s="11">
        <v>0</v>
      </c>
      <c r="K4430" s="11" t="s">
        <v>21</v>
      </c>
      <c r="L4430" s="7">
        <v>40846.302476851852</v>
      </c>
      <c r="M4430" s="12" t="s">
        <v>10415</v>
      </c>
      <c r="N4430" s="12" t="s">
        <v>10416</v>
      </c>
      <c r="O4430" s="10" t="str">
        <f>HYPERLINK("https://pbs.twimg.com/profile_images/1880990972/religion-and-politics-no-right-turn_normal.jpg","View")</f>
        <v>View</v>
      </c>
      <c r="P4430" s="11"/>
    </row>
    <row r="4431" spans="1:16" ht="12.75" x14ac:dyDescent="0.35">
      <c r="A4431" s="7">
        <v>42482.926932870367</v>
      </c>
      <c r="B4431" s="8" t="str">
        <f>HYPERLINK("https://twitter.com/seemann34","@seemann34")</f>
        <v>@seemann34</v>
      </c>
      <c r="C4431" s="9" t="s">
        <v>10417</v>
      </c>
      <c r="D4431" s="9" t="s">
        <v>8685</v>
      </c>
      <c r="E4431" s="10" t="str">
        <f>HYPERLINK("https://twitter.com/seemann34/status/723553145801039873","723553145801039873")</f>
        <v>723553145801039873</v>
      </c>
      <c r="F4431" s="11" t="s">
        <v>20</v>
      </c>
      <c r="G4431" s="11">
        <v>557</v>
      </c>
      <c r="H4431" s="11">
        <v>2057</v>
      </c>
      <c r="I4431" s="11">
        <v>10</v>
      </c>
      <c r="J4431" s="11">
        <v>0</v>
      </c>
      <c r="K4431" s="11" t="s">
        <v>21</v>
      </c>
      <c r="L4431" s="7">
        <v>40656.098738425928</v>
      </c>
      <c r="M4431" s="12" t="s">
        <v>10418</v>
      </c>
      <c r="N4431" s="12" t="s">
        <v>10419</v>
      </c>
      <c r="O4431" s="10" t="str">
        <f>HYPERLINK("https://pbs.twimg.com/profile_images/483366819907244032/GJ12JiEa_normal.jpeg","View")</f>
        <v>View</v>
      </c>
      <c r="P4431" s="11"/>
    </row>
    <row r="4432" spans="1:16" ht="12.75" x14ac:dyDescent="0.35">
      <c r="A4432" s="7">
        <v>42482.927164351851</v>
      </c>
      <c r="B4432" s="8" t="str">
        <f t="shared" ref="B4432:B4433" si="381">HYPERLINK("https://twitter.com/VWCamperSales","@VWCamperSales")</f>
        <v>@VWCamperSales</v>
      </c>
      <c r="C4432" s="9" t="s">
        <v>216</v>
      </c>
      <c r="D4432" s="9" t="s">
        <v>10420</v>
      </c>
      <c r="E4432" s="10" t="str">
        <f>HYPERLINK("https://twitter.com/VWCamperSales/status/723553228185456640","723553228185456640")</f>
        <v>723553228185456640</v>
      </c>
      <c r="F4432" s="10" t="s">
        <v>124</v>
      </c>
      <c r="G4432" s="11">
        <v>618</v>
      </c>
      <c r="H4432" s="11">
        <v>580</v>
      </c>
      <c r="I4432" s="11">
        <v>0</v>
      </c>
      <c r="J4432" s="11">
        <v>0</v>
      </c>
      <c r="K4432" s="11" t="s">
        <v>21</v>
      </c>
      <c r="L4432" s="7">
        <v>42215.98809027778</v>
      </c>
      <c r="M4432" s="12" t="s">
        <v>129</v>
      </c>
      <c r="N4432" s="12" t="s">
        <v>218</v>
      </c>
      <c r="O4432" s="10" t="str">
        <f t="shared" ref="O4432:O4433" si="382">HYPERLINK("https://pbs.twimg.com/profile_images/627949001179037696/skEBkS05_normal.jpg","View")</f>
        <v>View</v>
      </c>
      <c r="P4432" s="11"/>
    </row>
    <row r="4433" spans="1:16" ht="12.75" x14ac:dyDescent="0.35">
      <c r="A4433" s="7">
        <v>42482.927175925928</v>
      </c>
      <c r="B4433" s="8" t="str">
        <f t="shared" si="381"/>
        <v>@VWCamperSales</v>
      </c>
      <c r="C4433" s="9" t="s">
        <v>216</v>
      </c>
      <c r="D4433" s="9" t="s">
        <v>10421</v>
      </c>
      <c r="E4433" s="10" t="str">
        <f>HYPERLINK("https://twitter.com/VWCamperSales/status/723553234825027584","723553234825027584")</f>
        <v>723553234825027584</v>
      </c>
      <c r="F4433" s="10" t="s">
        <v>124</v>
      </c>
      <c r="G4433" s="11">
        <v>618</v>
      </c>
      <c r="H4433" s="11">
        <v>580</v>
      </c>
      <c r="I4433" s="11">
        <v>0</v>
      </c>
      <c r="J4433" s="11">
        <v>0</v>
      </c>
      <c r="K4433" s="11" t="s">
        <v>21</v>
      </c>
      <c r="L4433" s="7">
        <v>42215.98809027778</v>
      </c>
      <c r="M4433" s="12" t="s">
        <v>129</v>
      </c>
      <c r="N4433" s="12" t="s">
        <v>218</v>
      </c>
      <c r="O4433" s="10" t="str">
        <f t="shared" si="382"/>
        <v>View</v>
      </c>
      <c r="P4433" s="11"/>
    </row>
    <row r="4434" spans="1:16" ht="12.75" x14ac:dyDescent="0.35">
      <c r="A4434" s="7">
        <v>42482.927349537036</v>
      </c>
      <c r="B4434" s="8" t="str">
        <f>HYPERLINK("https://twitter.com/katharina2401","@katharina2401")</f>
        <v>@katharina2401</v>
      </c>
      <c r="C4434" s="9" t="s">
        <v>10422</v>
      </c>
      <c r="D4434" s="9" t="s">
        <v>10423</v>
      </c>
      <c r="E4434" s="10" t="str">
        <f>HYPERLINK("https://twitter.com/katharina2401/status/723553294866649088","723553294866649088")</f>
        <v>723553294866649088</v>
      </c>
      <c r="F4434" s="11" t="s">
        <v>48</v>
      </c>
      <c r="G4434" s="11">
        <v>909</v>
      </c>
      <c r="H4434" s="11">
        <v>1974</v>
      </c>
      <c r="I4434" s="11">
        <v>1</v>
      </c>
      <c r="J4434" s="11">
        <v>0</v>
      </c>
      <c r="K4434" s="11" t="s">
        <v>21</v>
      </c>
      <c r="L4434" s="7">
        <v>40500.877789351856</v>
      </c>
      <c r="M4434" s="12" t="s">
        <v>10424</v>
      </c>
      <c r="N4434" s="12" t="s">
        <v>10425</v>
      </c>
      <c r="O4434" s="10" t="str">
        <f>HYPERLINK("https://pbs.twimg.com/profile_images/1170124452/ich_tra-1_normal.jpg","View")</f>
        <v>View</v>
      </c>
      <c r="P4434" s="11"/>
    </row>
    <row r="4435" spans="1:16" ht="12.75" x14ac:dyDescent="0.35">
      <c r="A4435" s="7">
        <v>42482.927430555559</v>
      </c>
      <c r="B4435" s="8" t="str">
        <f>HYPERLINK("https://twitter.com/Harremanz","@Harremanz")</f>
        <v>@Harremanz</v>
      </c>
      <c r="C4435" s="9" t="s">
        <v>10426</v>
      </c>
      <c r="D4435" s="9" t="s">
        <v>10427</v>
      </c>
      <c r="E4435" s="10" t="str">
        <f>HYPERLINK("https://twitter.com/Harremanz/status/723553324600033280","723553324600033280")</f>
        <v>723553324600033280</v>
      </c>
      <c r="F4435" s="11" t="s">
        <v>63</v>
      </c>
      <c r="G4435" s="11">
        <v>579</v>
      </c>
      <c r="H4435" s="11">
        <v>278</v>
      </c>
      <c r="I4435" s="11">
        <v>0</v>
      </c>
      <c r="J4435" s="11">
        <v>0</v>
      </c>
      <c r="K4435" s="11" t="s">
        <v>21</v>
      </c>
      <c r="L4435" s="7">
        <v>40408.047349537039</v>
      </c>
      <c r="M4435" s="12" t="s">
        <v>10428</v>
      </c>
      <c r="N4435" s="12" t="s">
        <v>10429</v>
      </c>
      <c r="O4435" s="10" t="str">
        <f>HYPERLINK("https://pbs.twimg.com/profile_images/591703632497790976/NSuH5_02_normal.jpg","View")</f>
        <v>View</v>
      </c>
      <c r="P4435" s="11"/>
    </row>
    <row r="4436" spans="1:16" ht="12.75" x14ac:dyDescent="0.35">
      <c r="A4436" s="7">
        <v>42482.927615740744</v>
      </c>
      <c r="B4436" s="8" t="str">
        <f>HYPERLINK("https://twitter.com/vagmenhq","@vagmenhq")</f>
        <v>@vagmenhq</v>
      </c>
      <c r="C4436" s="9" t="s">
        <v>2492</v>
      </c>
      <c r="D4436" s="9" t="s">
        <v>10430</v>
      </c>
      <c r="E4436" s="10" t="str">
        <f>HYPERLINK("https://twitter.com/vagmenhq/status/723553392061243392","723553392061243392")</f>
        <v>723553392061243392</v>
      </c>
      <c r="F4436" s="11" t="s">
        <v>53</v>
      </c>
      <c r="G4436" s="11">
        <v>157</v>
      </c>
      <c r="H4436" s="11">
        <v>92</v>
      </c>
      <c r="I4436" s="11">
        <v>0</v>
      </c>
      <c r="J4436" s="11">
        <v>0</v>
      </c>
      <c r="K4436" s="11" t="s">
        <v>21</v>
      </c>
      <c r="L4436" s="7">
        <v>41401.814722222218</v>
      </c>
      <c r="M4436" s="12" t="s">
        <v>2494</v>
      </c>
      <c r="N4436" s="12" t="s">
        <v>2495</v>
      </c>
      <c r="O4436" s="10" t="str">
        <f>HYPERLINK("https://pbs.twimg.com/profile_images/446781974452371456/rqBZF-KN_normal.jpeg","View")</f>
        <v>View</v>
      </c>
      <c r="P4436" s="11"/>
    </row>
    <row r="4437" spans="1:16" ht="12.75" x14ac:dyDescent="0.35">
      <c r="A4437" s="7">
        <v>42482.927870370375</v>
      </c>
      <c r="B4437" s="8" t="str">
        <f>HYPERLINK("https://twitter.com/kirillklip","@kirillklip")</f>
        <v>@kirillklip</v>
      </c>
      <c r="C4437" s="9" t="s">
        <v>9463</v>
      </c>
      <c r="D4437" s="9" t="s">
        <v>10431</v>
      </c>
      <c r="E4437" s="10" t="str">
        <f>HYPERLINK("https://twitter.com/kirillklip/status/723553485682282498","723553485682282498")</f>
        <v>723553485682282498</v>
      </c>
      <c r="F4437" s="11" t="s">
        <v>20</v>
      </c>
      <c r="G4437" s="11">
        <v>2290</v>
      </c>
      <c r="H4437" s="11">
        <v>2487</v>
      </c>
      <c r="I4437" s="11">
        <v>1</v>
      </c>
      <c r="J4437" s="11">
        <v>0</v>
      </c>
      <c r="K4437" s="11" t="s">
        <v>21</v>
      </c>
      <c r="L4437" s="7">
        <v>40281.094097222223</v>
      </c>
      <c r="M4437" s="12"/>
      <c r="N4437" s="12" t="s">
        <v>9464</v>
      </c>
      <c r="O4437" s="10" t="str">
        <f>HYPERLINK("https://pbs.twimg.com/profile_images/716972542871908352/YA5lUDGS_normal.jpg","View")</f>
        <v>View</v>
      </c>
      <c r="P4437" s="11"/>
    </row>
    <row r="4438" spans="1:16" ht="12.75" x14ac:dyDescent="0.35">
      <c r="A4438" s="7">
        <v>42482.928263888884</v>
      </c>
      <c r="B4438" s="8" t="str">
        <f>HYPERLINK("https://twitter.com/Michael_Vasanth","@Michael_Vasanth")</f>
        <v>@Michael_Vasanth</v>
      </c>
      <c r="C4438" s="9" t="s">
        <v>772</v>
      </c>
      <c r="D4438" s="9" t="s">
        <v>10432</v>
      </c>
      <c r="E4438" s="10" t="str">
        <f>HYPERLINK("https://twitter.com/Michael_Vasanth/status/723553628984872963","723553628984872963")</f>
        <v>723553628984872963</v>
      </c>
      <c r="F4438" s="11" t="s">
        <v>68</v>
      </c>
      <c r="G4438" s="11">
        <v>1009</v>
      </c>
      <c r="H4438" s="11">
        <v>16</v>
      </c>
      <c r="I4438" s="11">
        <v>0</v>
      </c>
      <c r="J4438" s="11">
        <v>0</v>
      </c>
      <c r="K4438" s="11" t="s">
        <v>21</v>
      </c>
      <c r="L4438" s="7">
        <v>40198.917881944442</v>
      </c>
      <c r="M4438" s="12" t="s">
        <v>774</v>
      </c>
      <c r="N4438" s="12" t="s">
        <v>775</v>
      </c>
      <c r="O4438" s="10" t="str">
        <f>HYPERLINK("https://pbs.twimg.com/profile_images/693447250224087040/au64Cdjo_normal.jpg","View")</f>
        <v>View</v>
      </c>
      <c r="P4438" s="11"/>
    </row>
    <row r="4439" spans="1:16" ht="12.75" x14ac:dyDescent="0.35">
      <c r="A4439" s="7">
        <v>42482.928472222222</v>
      </c>
      <c r="B4439" s="8" t="str">
        <f>HYPERLINK("https://twitter.com/iamsalimali","@iamsalimali")</f>
        <v>@iamsalimali</v>
      </c>
      <c r="C4439" s="9" t="s">
        <v>10433</v>
      </c>
      <c r="D4439" s="9" t="s">
        <v>10434</v>
      </c>
      <c r="E4439" s="10" t="str">
        <f>HYPERLINK("https://twitter.com/iamsalimali/status/723553704662695942","723553704662695942")</f>
        <v>723553704662695942</v>
      </c>
      <c r="F4439" s="11" t="s">
        <v>68</v>
      </c>
      <c r="G4439" s="11">
        <v>2038</v>
      </c>
      <c r="H4439" s="11">
        <v>718</v>
      </c>
      <c r="I4439" s="11">
        <v>0</v>
      </c>
      <c r="J4439" s="11">
        <v>0</v>
      </c>
      <c r="K4439" s="11" t="s">
        <v>21</v>
      </c>
      <c r="L4439" s="7">
        <v>42146.904641203699</v>
      </c>
      <c r="M4439" s="12" t="s">
        <v>10435</v>
      </c>
      <c r="N4439" s="12" t="s">
        <v>10436</v>
      </c>
      <c r="O4439" s="10" t="str">
        <f>HYPERLINK("https://pbs.twimg.com/profile_images/649956232673947649/sXDhUyad_normal.jpg","View")</f>
        <v>View</v>
      </c>
      <c r="P4439" s="11"/>
    </row>
    <row r="4440" spans="1:16" ht="12.75" x14ac:dyDescent="0.35">
      <c r="A4440" s="7">
        <v>42482.929189814815</v>
      </c>
      <c r="B4440" s="8" t="str">
        <f>HYPERLINK("https://twitter.com/__Mllz","@__Mllz")</f>
        <v>@__Mllz</v>
      </c>
      <c r="C4440" s="9" t="s">
        <v>10437</v>
      </c>
      <c r="D4440" s="9" t="s">
        <v>10249</v>
      </c>
      <c r="E4440" s="10" t="str">
        <f>HYPERLINK("https://twitter.com/__Mllz/status/723553964151726081","723553964151726081")</f>
        <v>723553964151726081</v>
      </c>
      <c r="F4440" s="11" t="s">
        <v>48</v>
      </c>
      <c r="G4440" s="11">
        <v>241</v>
      </c>
      <c r="H4440" s="11">
        <v>137</v>
      </c>
      <c r="I4440" s="11">
        <v>7</v>
      </c>
      <c r="J4440" s="11">
        <v>0</v>
      </c>
      <c r="K4440" s="11" t="s">
        <v>21</v>
      </c>
      <c r="L4440" s="7">
        <v>41568.287511574075</v>
      </c>
      <c r="M4440" s="12" t="s">
        <v>305</v>
      </c>
      <c r="N4440" s="12" t="s">
        <v>10438</v>
      </c>
      <c r="O4440" s="10" t="str">
        <f>HYPERLINK("https://pbs.twimg.com/profile_images/541560183722618880/9el1XwNl_normal.jpeg","View")</f>
        <v>View</v>
      </c>
      <c r="P4440" s="11"/>
    </row>
    <row r="4441" spans="1:16" ht="12.75" x14ac:dyDescent="0.35">
      <c r="A4441" s="7">
        <v>42482.929293981477</v>
      </c>
      <c r="B4441" s="8" t="str">
        <f>HYPERLINK("https://twitter.com/FierroosAlPiso","@FierroosAlPiso")</f>
        <v>@FierroosAlPiso</v>
      </c>
      <c r="C4441" s="9" t="s">
        <v>10439</v>
      </c>
      <c r="D4441" s="9" t="s">
        <v>10440</v>
      </c>
      <c r="E4441" s="10" t="str">
        <f>HYPERLINK("https://twitter.com/FierroosAlPiso/status/723554002345050112","723554002345050112")</f>
        <v>723554002345050112</v>
      </c>
      <c r="F4441" s="11" t="s">
        <v>48</v>
      </c>
      <c r="G4441" s="11">
        <v>13168</v>
      </c>
      <c r="H4441" s="11">
        <v>7825</v>
      </c>
      <c r="I4441" s="11">
        <v>14</v>
      </c>
      <c r="J4441" s="11">
        <v>0</v>
      </c>
      <c r="K4441" s="11" t="s">
        <v>21</v>
      </c>
      <c r="L4441" s="7">
        <v>42343.128275462965</v>
      </c>
      <c r="M4441" s="12" t="s">
        <v>10441</v>
      </c>
      <c r="N4441" s="12" t="s">
        <v>10442</v>
      </c>
      <c r="O4441" s="10" t="str">
        <f>HYPERLINK("https://pbs.twimg.com/profile_images/710841392726147072/qbniEB4w_normal.jpg","View")</f>
        <v>View</v>
      </c>
      <c r="P4441" s="11"/>
    </row>
    <row r="4442" spans="1:16" ht="12.75" x14ac:dyDescent="0.35">
      <c r="A4442" s="7">
        <v>42482.929537037038</v>
      </c>
      <c r="B4442" s="8" t="str">
        <f>HYPERLINK("https://twitter.com/KanalNuernberg","@KanalNuernberg")</f>
        <v>@KanalNuernberg</v>
      </c>
      <c r="C4442" s="9" t="s">
        <v>10443</v>
      </c>
      <c r="D4442" s="9" t="s">
        <v>10444</v>
      </c>
      <c r="E4442" s="10" t="str">
        <f>HYPERLINK("https://twitter.com/KanalNuernberg/status/723554089410387968","723554089410387968")</f>
        <v>723554089410387968</v>
      </c>
      <c r="F4442" s="11" t="s">
        <v>68</v>
      </c>
      <c r="G4442" s="11">
        <v>258</v>
      </c>
      <c r="H4442" s="11">
        <v>59</v>
      </c>
      <c r="I4442" s="11">
        <v>0</v>
      </c>
      <c r="J4442" s="11">
        <v>0</v>
      </c>
      <c r="K4442" s="11" t="s">
        <v>21</v>
      </c>
      <c r="L4442" s="7">
        <v>42212.693148148144</v>
      </c>
      <c r="M4442" s="12"/>
      <c r="N4442" s="12"/>
      <c r="O4442" s="10" t="str">
        <f>HYPERLINK("https://pbs.twimg.com/profile_images/625625084015865856/wmMWsXDL_normal.png","View")</f>
        <v>View</v>
      </c>
      <c r="P4442" s="11"/>
    </row>
    <row r="4443" spans="1:16" ht="12.75" x14ac:dyDescent="0.35">
      <c r="A4443" s="7">
        <v>42482.929548611108</v>
      </c>
      <c r="B4443" s="8" t="str">
        <f>HYPERLINK("https://twitter.com/VolkswagenPost","@VolkswagenPost")</f>
        <v>@VolkswagenPost</v>
      </c>
      <c r="C4443" s="9" t="s">
        <v>321</v>
      </c>
      <c r="D4443" s="9" t="s">
        <v>10445</v>
      </c>
      <c r="E4443" s="10" t="str">
        <f>HYPERLINK("https://twitter.com/VolkswagenPost/status/723554094535839748","723554094535839748")</f>
        <v>723554094535839748</v>
      </c>
      <c r="F4443" s="11" t="s">
        <v>288</v>
      </c>
      <c r="G4443" s="11">
        <v>569</v>
      </c>
      <c r="H4443" s="11">
        <v>446</v>
      </c>
      <c r="I4443" s="11">
        <v>1</v>
      </c>
      <c r="J4443" s="11">
        <v>0</v>
      </c>
      <c r="K4443" s="11" t="s">
        <v>21</v>
      </c>
      <c r="L4443" s="7">
        <v>41940.618379629632</v>
      </c>
      <c r="M4443" s="12"/>
      <c r="N4443" s="12"/>
      <c r="O4443" s="10" t="str">
        <f>HYPERLINK("https://pbs.twimg.com/profile_images/530071272881803264/a_jcCmPZ_normal.png","View")</f>
        <v>View</v>
      </c>
      <c r="P4443" s="11"/>
    </row>
    <row r="4444" spans="1:16" ht="12.75" x14ac:dyDescent="0.35">
      <c r="A4444" s="7">
        <v>42482.92969907407</v>
      </c>
      <c r="B4444" s="8" t="str">
        <f>HYPERLINK("https://twitter.com/Carmeniouzan","@Carmeniouzan")</f>
        <v>@Carmeniouzan</v>
      </c>
      <c r="C4444" s="9" t="s">
        <v>10446</v>
      </c>
      <c r="D4444" s="9" t="s">
        <v>10249</v>
      </c>
      <c r="E4444" s="10" t="str">
        <f>HYPERLINK("https://twitter.com/Carmeniouzan/status/723554149921619968","723554149921619968")</f>
        <v>723554149921619968</v>
      </c>
      <c r="F4444" s="11" t="s">
        <v>48</v>
      </c>
      <c r="G4444" s="11">
        <v>397</v>
      </c>
      <c r="H4444" s="11">
        <v>114</v>
      </c>
      <c r="I4444" s="11">
        <v>7</v>
      </c>
      <c r="J4444" s="11">
        <v>0</v>
      </c>
      <c r="K4444" s="11" t="s">
        <v>21</v>
      </c>
      <c r="L4444" s="7">
        <v>41566.548692129625</v>
      </c>
      <c r="M4444" s="12"/>
      <c r="N4444" s="12" t="s">
        <v>10447</v>
      </c>
      <c r="O4444" s="10" t="str">
        <f>HYPERLINK("https://pbs.twimg.com/profile_images/539591992578424832/x7X5mptJ_normal.jpeg","View")</f>
        <v>View</v>
      </c>
      <c r="P4444" s="11"/>
    </row>
    <row r="4445" spans="1:16" ht="12.75" x14ac:dyDescent="0.35">
      <c r="A4445" s="7">
        <v>42482.929826388892</v>
      </c>
      <c r="B4445" s="8" t="str">
        <f>HYPERLINK("https://twitter.com/lautaro_olive","@lautaro_olive")</f>
        <v>@lautaro_olive</v>
      </c>
      <c r="C4445" s="9" t="s">
        <v>6356</v>
      </c>
      <c r="D4445" s="9" t="s">
        <v>10440</v>
      </c>
      <c r="E4445" s="10" t="str">
        <f>HYPERLINK("https://twitter.com/lautaro_olive/status/723554192082788352","723554192082788352")</f>
        <v>723554192082788352</v>
      </c>
      <c r="F4445" s="11" t="s">
        <v>43</v>
      </c>
      <c r="G4445" s="11">
        <v>526</v>
      </c>
      <c r="H4445" s="11">
        <v>440</v>
      </c>
      <c r="I4445" s="11">
        <v>14</v>
      </c>
      <c r="J4445" s="11">
        <v>0</v>
      </c>
      <c r="K4445" s="11" t="s">
        <v>21</v>
      </c>
      <c r="L4445" s="7">
        <v>41411.30505787037</v>
      </c>
      <c r="M4445" s="12"/>
      <c r="N4445" s="12"/>
      <c r="O4445" s="10" t="str">
        <f>HYPERLINK("https://pbs.twimg.com/profile_images/713053834118041600/zWp427YE_normal.jpg","View")</f>
        <v>View</v>
      </c>
      <c r="P4445" s="11"/>
    </row>
    <row r="4446" spans="1:16" ht="12.75" x14ac:dyDescent="0.35">
      <c r="A4446" s="7">
        <v>42482.929965277777</v>
      </c>
      <c r="B4446" s="8" t="str">
        <f>HYPERLINK("https://twitter.com/Mica_Turchi","@Mica_Turchi")</f>
        <v>@Mica_Turchi</v>
      </c>
      <c r="C4446" s="9" t="s">
        <v>10448</v>
      </c>
      <c r="D4446" s="9" t="s">
        <v>10440</v>
      </c>
      <c r="E4446" s="10" t="str">
        <f>HYPERLINK("https://twitter.com/Mica_Turchi/status/723554245589499905","723554245589499905")</f>
        <v>723554245589499905</v>
      </c>
      <c r="F4446" s="11" t="s">
        <v>48</v>
      </c>
      <c r="G4446" s="11">
        <v>978</v>
      </c>
      <c r="H4446" s="11">
        <v>871</v>
      </c>
      <c r="I4446" s="11">
        <v>14</v>
      </c>
      <c r="J4446" s="11">
        <v>0</v>
      </c>
      <c r="K4446" s="11" t="s">
        <v>21</v>
      </c>
      <c r="L4446" s="7">
        <v>41096.91002314815</v>
      </c>
      <c r="M4446" s="12" t="s">
        <v>10449</v>
      </c>
      <c r="N4446" s="12" t="s">
        <v>10450</v>
      </c>
      <c r="O4446" s="10" t="str">
        <f>HYPERLINK("https://pbs.twimg.com/profile_images/721915123863052288/NwGajXYr_normal.jpg","View")</f>
        <v>View</v>
      </c>
      <c r="P4446" s="11"/>
    </row>
    <row r="4447" spans="1:16" ht="12.75" x14ac:dyDescent="0.35">
      <c r="A4447" s="7">
        <v>42482.929988425924</v>
      </c>
      <c r="B4447" s="8" t="str">
        <f>HYPERLINK("https://twitter.com/LucasSampieri","@LucasSampieri")</f>
        <v>@LucasSampieri</v>
      </c>
      <c r="C4447" s="9" t="s">
        <v>10451</v>
      </c>
      <c r="D4447" s="9" t="s">
        <v>10440</v>
      </c>
      <c r="E4447" s="10" t="str">
        <f>HYPERLINK("https://twitter.com/LucasSampieri/status/723554254389186564","723554254389186564")</f>
        <v>723554254389186564</v>
      </c>
      <c r="F4447" s="11" t="s">
        <v>43</v>
      </c>
      <c r="G4447" s="11">
        <v>331</v>
      </c>
      <c r="H4447" s="11">
        <v>232</v>
      </c>
      <c r="I4447" s="11">
        <v>14</v>
      </c>
      <c r="J4447" s="11">
        <v>0</v>
      </c>
      <c r="K4447" s="11" t="s">
        <v>21</v>
      </c>
      <c r="L4447" s="7">
        <v>41867.372037037036</v>
      </c>
      <c r="M4447" s="12"/>
      <c r="N4447" s="12" t="s">
        <v>10452</v>
      </c>
      <c r="O4447" s="10" t="str">
        <f>HYPERLINK("https://pbs.twimg.com/profile_images/709141383588749312/LDsavna9_normal.jpg","View")</f>
        <v>View</v>
      </c>
      <c r="P4447" s="11"/>
    </row>
    <row r="4448" spans="1:16" ht="12.75" x14ac:dyDescent="0.35">
      <c r="A4448" s="7">
        <v>42482.9300462963</v>
      </c>
      <c r="B4448" s="8" t="str">
        <f>HYPERLINK("https://twitter.com/19Dolphin39","@19Dolphin39")</f>
        <v>@19Dolphin39</v>
      </c>
      <c r="C4448" s="9" t="s">
        <v>10453</v>
      </c>
      <c r="D4448" s="9" t="s">
        <v>10065</v>
      </c>
      <c r="E4448" s="10" t="str">
        <f>HYPERLINK("https://twitter.com/19Dolphin39/status/723554273867390977","723554273867390977")</f>
        <v>723554273867390977</v>
      </c>
      <c r="F4448" s="11" t="s">
        <v>43</v>
      </c>
      <c r="G4448" s="11">
        <v>1411</v>
      </c>
      <c r="H4448" s="11">
        <v>1914</v>
      </c>
      <c r="I4448" s="11">
        <v>3</v>
      </c>
      <c r="J4448" s="11">
        <v>0</v>
      </c>
      <c r="K4448" s="11" t="s">
        <v>21</v>
      </c>
      <c r="L4448" s="7">
        <v>40085.375439814816</v>
      </c>
      <c r="M4448" s="12" t="s">
        <v>10454</v>
      </c>
      <c r="N4448" s="12" t="s">
        <v>10455</v>
      </c>
      <c r="O4448" s="10" t="str">
        <f>HYPERLINK("https://pbs.twimg.com/profile_images/564126176168259584/3fOeBaq-_normal.jpeg","View")</f>
        <v>View</v>
      </c>
      <c r="P4448" s="11"/>
    </row>
    <row r="4449" spans="1:16" ht="12.75" x14ac:dyDescent="0.35">
      <c r="A4449" s="7">
        <v>42482.930277777778</v>
      </c>
      <c r="B4449" s="8" t="str">
        <f>HYPERLINK("https://twitter.com/beluluna61","@beluluna61")</f>
        <v>@beluluna61</v>
      </c>
      <c r="C4449" s="9" t="s">
        <v>10456</v>
      </c>
      <c r="D4449" s="9" t="s">
        <v>10440</v>
      </c>
      <c r="E4449" s="10" t="str">
        <f>HYPERLINK("https://twitter.com/beluluna61/status/723554356986019840","723554356986019840")</f>
        <v>723554356986019840</v>
      </c>
      <c r="F4449" s="11" t="s">
        <v>48</v>
      </c>
      <c r="G4449" s="11">
        <v>907</v>
      </c>
      <c r="H4449" s="11">
        <v>617</v>
      </c>
      <c r="I4449" s="11">
        <v>14</v>
      </c>
      <c r="J4449" s="11">
        <v>0</v>
      </c>
      <c r="K4449" s="11" t="s">
        <v>21</v>
      </c>
      <c r="L4449" s="7">
        <v>41564.77648148148</v>
      </c>
      <c r="M4449" s="12"/>
      <c r="N4449" s="12" t="s">
        <v>10457</v>
      </c>
      <c r="O4449" s="10" t="str">
        <f>HYPERLINK("https://pbs.twimg.com/profile_images/603925200019845120/Li9wf9hL_normal.jpg","View")</f>
        <v>View</v>
      </c>
      <c r="P4449" s="11"/>
    </row>
    <row r="4450" spans="1:16" ht="12.75" x14ac:dyDescent="0.35">
      <c r="A4450" s="7">
        <v>42482.930335648147</v>
      </c>
      <c r="B4450" s="8" t="str">
        <f>HYPERLINK("https://twitter.com/margotoge","@margotoge")</f>
        <v>@margotoge</v>
      </c>
      <c r="C4450" s="9" t="s">
        <v>9632</v>
      </c>
      <c r="D4450" s="9" t="s">
        <v>10458</v>
      </c>
      <c r="E4450" s="10" t="str">
        <f>HYPERLINK("https://twitter.com/margotoge/status/723554377198391297","723554377198391297")</f>
        <v>723554377198391297</v>
      </c>
      <c r="F4450" s="11" t="s">
        <v>91</v>
      </c>
      <c r="G4450" s="11">
        <v>140</v>
      </c>
      <c r="H4450" s="11">
        <v>77</v>
      </c>
      <c r="I4450" s="11">
        <v>0</v>
      </c>
      <c r="J4450" s="11">
        <v>0</v>
      </c>
      <c r="K4450" s="11" t="s">
        <v>21</v>
      </c>
      <c r="L4450" s="7">
        <v>42222.964537037042</v>
      </c>
      <c r="M4450" s="12"/>
      <c r="N4450" s="12" t="s">
        <v>9634</v>
      </c>
      <c r="O4450" s="10" t="str">
        <f>HYPERLINK("https://pbs.twimg.com/profile_images/629348818593705986/WKGmcgtV_normal.jpg","View")</f>
        <v>View</v>
      </c>
      <c r="P4450" s="11"/>
    </row>
    <row r="4451" spans="1:16" ht="12.75" x14ac:dyDescent="0.35">
      <c r="A4451" s="7">
        <v>42482.930428240739</v>
      </c>
      <c r="B4451" s="8" t="str">
        <f>HYPERLINK("https://twitter.com/bertyberserker","@bertyberserker")</f>
        <v>@bertyberserker</v>
      </c>
      <c r="C4451" s="9" t="s">
        <v>10459</v>
      </c>
      <c r="D4451" s="9" t="s">
        <v>9547</v>
      </c>
      <c r="E4451" s="10" t="str">
        <f>HYPERLINK("https://twitter.com/bertyberserker/status/723554412153561092","723554412153561092")</f>
        <v>723554412153561092</v>
      </c>
      <c r="F4451" s="11" t="s">
        <v>48</v>
      </c>
      <c r="G4451" s="11">
        <v>21</v>
      </c>
      <c r="H4451" s="11">
        <v>59</v>
      </c>
      <c r="I4451" s="11">
        <v>10</v>
      </c>
      <c r="J4451" s="11">
        <v>0</v>
      </c>
      <c r="K4451" s="11" t="s">
        <v>21</v>
      </c>
      <c r="L4451" s="7">
        <v>42404.121203703704</v>
      </c>
      <c r="M4451" s="12"/>
      <c r="N4451" s="12"/>
      <c r="O4451" s="10" t="str">
        <f>HYPERLINK("https://pbs.twimg.com/profile_images/695289503687188481/_RuLRC_P_normal.jpg","View")</f>
        <v>View</v>
      </c>
      <c r="P4451" s="11"/>
    </row>
    <row r="4452" spans="1:16" ht="12.75" x14ac:dyDescent="0.35">
      <c r="A4452" s="7">
        <v>42482.930451388893</v>
      </c>
      <c r="B4452" s="8" t="str">
        <f>HYPERLINK("https://twitter.com/kevinjamaica111","@kevinjamaica111")</f>
        <v>@kevinjamaica111</v>
      </c>
      <c r="C4452" s="9" t="s">
        <v>10460</v>
      </c>
      <c r="D4452" s="9" t="s">
        <v>10440</v>
      </c>
      <c r="E4452" s="10" t="str">
        <f>HYPERLINK("https://twitter.com/kevinjamaica111/status/723554419997028355","723554419997028355")</f>
        <v>723554419997028355</v>
      </c>
      <c r="F4452" s="11" t="s">
        <v>48</v>
      </c>
      <c r="G4452" s="11">
        <v>108</v>
      </c>
      <c r="H4452" s="11">
        <v>146</v>
      </c>
      <c r="I4452" s="11">
        <v>14</v>
      </c>
      <c r="J4452" s="11">
        <v>0</v>
      </c>
      <c r="K4452" s="11" t="s">
        <v>21</v>
      </c>
      <c r="L4452" s="7">
        <v>42310.357939814814</v>
      </c>
      <c r="M4452" s="12"/>
      <c r="N4452" s="12"/>
      <c r="O4452" s="10" t="str">
        <f>HYPERLINK("https://pbs.twimg.com/profile_images/692954438294700032/btbx0_sR_normal.jpg","View")</f>
        <v>View</v>
      </c>
      <c r="P4452" s="11"/>
    </row>
    <row r="4453" spans="1:16" ht="12.75" x14ac:dyDescent="0.35">
      <c r="A4453" s="7">
        <v>42482.930567129632</v>
      </c>
      <c r="B4453" s="8" t="str">
        <f>HYPERLINK("https://twitter.com/MicaiasUriel","@MicaiasUriel")</f>
        <v>@MicaiasUriel</v>
      </c>
      <c r="C4453" s="9" t="s">
        <v>10461</v>
      </c>
      <c r="D4453" s="9" t="s">
        <v>10440</v>
      </c>
      <c r="E4453" s="10" t="str">
        <f>HYPERLINK("https://twitter.com/MicaiasUriel/status/723554463605264386","723554463605264386")</f>
        <v>723554463605264386</v>
      </c>
      <c r="F4453" s="11" t="s">
        <v>48</v>
      </c>
      <c r="G4453" s="11">
        <v>1983</v>
      </c>
      <c r="H4453" s="11">
        <v>704</v>
      </c>
      <c r="I4453" s="11">
        <v>14</v>
      </c>
      <c r="J4453" s="11">
        <v>0</v>
      </c>
      <c r="K4453" s="11" t="s">
        <v>21</v>
      </c>
      <c r="L4453" s="7">
        <v>41451.395879629628</v>
      </c>
      <c r="M4453" s="12" t="s">
        <v>10462</v>
      </c>
      <c r="N4453" s="12" t="s">
        <v>10463</v>
      </c>
      <c r="O4453" s="10" t="str">
        <f>HYPERLINK("https://pbs.twimg.com/profile_images/716896035671580672/EmIuVgoK_normal.jpg","View")</f>
        <v>View</v>
      </c>
      <c r="P4453" s="11"/>
    </row>
    <row r="4454" spans="1:16" ht="12.75" x14ac:dyDescent="0.35">
      <c r="A4454" s="7">
        <v>42482.930648148147</v>
      </c>
      <c r="B4454" s="8" t="str">
        <f>HYPERLINK("https://twitter.com/gimodefaveri","@gimodefaveri")</f>
        <v>@gimodefaveri</v>
      </c>
      <c r="C4454" s="9" t="s">
        <v>10464</v>
      </c>
      <c r="D4454" s="9" t="s">
        <v>10465</v>
      </c>
      <c r="E4454" s="10" t="str">
        <f>HYPERLINK("https://twitter.com/gimodefaveri/status/723554492692619265","723554492692619265")</f>
        <v>723554492692619265</v>
      </c>
      <c r="F4454" s="11" t="s">
        <v>63</v>
      </c>
      <c r="G4454" s="11">
        <v>346</v>
      </c>
      <c r="H4454" s="11">
        <v>706</v>
      </c>
      <c r="I4454" s="11">
        <v>0</v>
      </c>
      <c r="J4454" s="11">
        <v>0</v>
      </c>
      <c r="K4454" s="11" t="s">
        <v>21</v>
      </c>
      <c r="L4454" s="7">
        <v>40655.171840277777</v>
      </c>
      <c r="M4454" s="12" t="s">
        <v>10466</v>
      </c>
      <c r="N4454" s="12" t="s">
        <v>10467</v>
      </c>
      <c r="O4454" s="10" t="str">
        <f>HYPERLINK("https://pbs.twimg.com/profile_images/1324767277/pict0174bna_normal.jpg","View")</f>
        <v>View</v>
      </c>
      <c r="P4454" s="11"/>
    </row>
    <row r="4455" spans="1:16" ht="12.75" x14ac:dyDescent="0.35">
      <c r="A4455" s="7">
        <v>42482.930763888886</v>
      </c>
      <c r="B4455" s="8" t="str">
        <f>HYPERLINK("https://twitter.com/har155","@har155")</f>
        <v>@har155</v>
      </c>
      <c r="C4455" s="9" t="s">
        <v>8994</v>
      </c>
      <c r="D4455" s="9" t="s">
        <v>10468</v>
      </c>
      <c r="E4455" s="10" t="str">
        <f>HYPERLINK("https://twitter.com/har155/status/723554535592067072","723554535592067072")</f>
        <v>723554535592067072</v>
      </c>
      <c r="F4455" s="11" t="s">
        <v>20</v>
      </c>
      <c r="G4455" s="11">
        <v>794</v>
      </c>
      <c r="H4455" s="11">
        <v>970</v>
      </c>
      <c r="I4455" s="11">
        <v>0</v>
      </c>
      <c r="J4455" s="11">
        <v>0</v>
      </c>
      <c r="K4455" s="11" t="s">
        <v>21</v>
      </c>
      <c r="L4455" s="7">
        <v>40675.073148148149</v>
      </c>
      <c r="M4455" s="12" t="s">
        <v>8996</v>
      </c>
      <c r="N4455" s="12" t="s">
        <v>8997</v>
      </c>
      <c r="O4455" s="10" t="str">
        <f>HYPERLINK("https://pbs.twimg.com/profile_images/598204778066223104/T3e5yqH5_normal.png","View")</f>
        <v>View</v>
      </c>
      <c r="P4455" s="11"/>
    </row>
    <row r="4456" spans="1:16" ht="12.75" x14ac:dyDescent="0.35">
      <c r="A4456" s="7">
        <v>42482.931655092594</v>
      </c>
      <c r="B4456" s="8" t="str">
        <f>HYPERLINK("https://twitter.com/Stony_BS","@Stony_BS")</f>
        <v>@Stony_BS</v>
      </c>
      <c r="C4456" s="9" t="s">
        <v>2680</v>
      </c>
      <c r="D4456" s="9" t="s">
        <v>10469</v>
      </c>
      <c r="E4456" s="10" t="str">
        <f>HYPERLINK("https://twitter.com/Stony_BS/status/723554856594771968","723554856594771968")</f>
        <v>723554856594771968</v>
      </c>
      <c r="F4456" s="11" t="s">
        <v>43</v>
      </c>
      <c r="G4456" s="11">
        <v>37</v>
      </c>
      <c r="H4456" s="11">
        <v>51</v>
      </c>
      <c r="I4456" s="11">
        <v>0</v>
      </c>
      <c r="J4456" s="11">
        <v>0</v>
      </c>
      <c r="K4456" s="11" t="s">
        <v>21</v>
      </c>
      <c r="L4456" s="7">
        <v>41928.806030092594</v>
      </c>
      <c r="M4456" s="12" t="s">
        <v>2682</v>
      </c>
      <c r="N4456" s="12" t="s">
        <v>2683</v>
      </c>
      <c r="O4456" s="10" t="str">
        <f>HYPERLINK("https://pbs.twimg.com/profile_images/668091779313500160/ZepxnJcI_normal.jpg","View")</f>
        <v>View</v>
      </c>
      <c r="P4456" s="11"/>
    </row>
    <row r="4457" spans="1:16" ht="12.75" x14ac:dyDescent="0.35">
      <c r="A4457" s="7">
        <v>42482.931863425925</v>
      </c>
      <c r="B4457" s="8" t="str">
        <f>HYPERLINK("https://twitter.com/UniversityVWM","@UniversityVWM")</f>
        <v>@UniversityVWM</v>
      </c>
      <c r="C4457" s="9" t="s">
        <v>4427</v>
      </c>
      <c r="D4457" s="9" t="s">
        <v>10470</v>
      </c>
      <c r="E4457" s="10" t="str">
        <f>HYPERLINK("https://twitter.com/UniversityVWM/status/723554933048483841","723554933048483841")</f>
        <v>723554933048483841</v>
      </c>
      <c r="F4457" s="11" t="s">
        <v>43</v>
      </c>
      <c r="G4457" s="11">
        <v>414</v>
      </c>
      <c r="H4457" s="11">
        <v>1530</v>
      </c>
      <c r="I4457" s="11">
        <v>0</v>
      </c>
      <c r="J4457" s="11">
        <v>0</v>
      </c>
      <c r="K4457" s="11" t="s">
        <v>21</v>
      </c>
      <c r="L4457" s="7">
        <v>40885.016226851854</v>
      </c>
      <c r="M4457" s="12" t="s">
        <v>4373</v>
      </c>
      <c r="N4457" s="12" t="s">
        <v>4429</v>
      </c>
      <c r="O4457" s="10" t="str">
        <f>HYPERLINK("https://pbs.twimg.com/profile_images/564191903151702016/OXB2zx4u_normal.jpeg","View")</f>
        <v>View</v>
      </c>
      <c r="P4457" s="11"/>
    </row>
    <row r="4458" spans="1:16" ht="12.75" x14ac:dyDescent="0.35">
      <c r="A4458" s="7">
        <v>42482.933437500003</v>
      </c>
      <c r="B4458" s="8" t="str">
        <f>HYPERLINK("https://twitter.com/Ziegengewitter","@Ziegengewitter")</f>
        <v>@Ziegengewitter</v>
      </c>
      <c r="C4458" s="9" t="s">
        <v>4421</v>
      </c>
      <c r="D4458" s="9" t="s">
        <v>10471</v>
      </c>
      <c r="E4458" s="10" t="str">
        <f>HYPERLINK("https://twitter.com/Ziegengewitter/status/723555501481562114","723555501481562114")</f>
        <v>723555501481562114</v>
      </c>
      <c r="F4458" s="11" t="s">
        <v>43</v>
      </c>
      <c r="G4458" s="11">
        <v>29</v>
      </c>
      <c r="H4458" s="11">
        <v>36</v>
      </c>
      <c r="I4458" s="11">
        <v>0</v>
      </c>
      <c r="J4458" s="11">
        <v>0</v>
      </c>
      <c r="K4458" s="11" t="s">
        <v>21</v>
      </c>
      <c r="L4458" s="7">
        <v>41182.025000000001</v>
      </c>
      <c r="M4458" s="12"/>
      <c r="N4458" s="12" t="s">
        <v>4423</v>
      </c>
      <c r="O4458" s="10" t="str">
        <f>HYPERLINK("https://pbs.twimg.com/profile_images/3274120603/5ceab6a279edd12004a09e2dcd5ae5d8_normal.png","View")</f>
        <v>View</v>
      </c>
      <c r="P4458" s="11"/>
    </row>
    <row r="4459" spans="1:16" ht="12.75" x14ac:dyDescent="0.35">
      <c r="A4459" s="7">
        <v>42482.933807870373</v>
      </c>
      <c r="B4459" s="8" t="str">
        <f>HYPERLINK("https://twitter.com/henhman","@henhman")</f>
        <v>@henhman</v>
      </c>
      <c r="C4459" s="9" t="s">
        <v>10472</v>
      </c>
      <c r="D4459" s="9" t="s">
        <v>10473</v>
      </c>
      <c r="E4459" s="10" t="str">
        <f>HYPERLINK("https://twitter.com/henhman/status/723555637637054464","723555637637054464")</f>
        <v>723555637637054464</v>
      </c>
      <c r="F4459" s="11" t="s">
        <v>63</v>
      </c>
      <c r="G4459" s="11">
        <v>245</v>
      </c>
      <c r="H4459" s="11">
        <v>592</v>
      </c>
      <c r="I4459" s="11">
        <v>0</v>
      </c>
      <c r="J4459" s="11">
        <v>0</v>
      </c>
      <c r="K4459" s="11" t="s">
        <v>21</v>
      </c>
      <c r="L4459" s="7">
        <v>39868.811736111107</v>
      </c>
      <c r="M4459" s="12" t="s">
        <v>10474</v>
      </c>
      <c r="N4459" s="12" t="s">
        <v>10475</v>
      </c>
      <c r="O4459" s="10" t="str">
        <f>HYPERLINK("https://pbs.twimg.com/profile_images/627943951555776512/6QzftyKz_normal.jpg","View")</f>
        <v>View</v>
      </c>
      <c r="P4459" s="11"/>
    </row>
    <row r="4460" spans="1:16" ht="12.75" x14ac:dyDescent="0.35">
      <c r="A4460" s="7">
        <v>42482.933923611112</v>
      </c>
      <c r="B4460" s="8" t="str">
        <f>HYPERLINK("https://twitter.com/miguel_jaimes14","@miguel_jaimes14")</f>
        <v>@miguel_jaimes14</v>
      </c>
      <c r="C4460" s="9" t="s">
        <v>10476</v>
      </c>
      <c r="D4460" s="9" t="s">
        <v>10440</v>
      </c>
      <c r="E4460" s="10" t="str">
        <f>HYPERLINK("https://twitter.com/miguel_jaimes14/status/723555680393789441","723555680393789441")</f>
        <v>723555680393789441</v>
      </c>
      <c r="F4460" s="11" t="s">
        <v>367</v>
      </c>
      <c r="G4460" s="11">
        <v>61</v>
      </c>
      <c r="H4460" s="11">
        <v>55</v>
      </c>
      <c r="I4460" s="11">
        <v>14</v>
      </c>
      <c r="J4460" s="11">
        <v>0</v>
      </c>
      <c r="K4460" s="11" t="s">
        <v>21</v>
      </c>
      <c r="L4460" s="7">
        <v>42402.257037037038</v>
      </c>
      <c r="M4460" s="12"/>
      <c r="N4460" s="12"/>
      <c r="O4460" s="10" t="str">
        <f>HYPERLINK("https://pbs.twimg.com/profile_images/694320510541402114/HW0AIl49_normal.jpg","View")</f>
        <v>View</v>
      </c>
      <c r="P4460" s="11"/>
    </row>
    <row r="4461" spans="1:16" ht="12.75" x14ac:dyDescent="0.35">
      <c r="A4461" s="7">
        <v>42482.934282407412</v>
      </c>
      <c r="B4461" s="8" t="str">
        <f>HYPERLINK("https://twitter.com/BghBghxxl","@BghBghxxl")</f>
        <v>@BghBghxxl</v>
      </c>
      <c r="C4461" s="9" t="s">
        <v>10477</v>
      </c>
      <c r="D4461" s="9" t="s">
        <v>10478</v>
      </c>
      <c r="E4461" s="10" t="str">
        <f>HYPERLINK("https://twitter.com/BghBghxxl/status/723555810626920449","723555810626920449")</f>
        <v>723555810626920449</v>
      </c>
      <c r="F4461" s="11" t="s">
        <v>43</v>
      </c>
      <c r="G4461" s="11">
        <v>78</v>
      </c>
      <c r="H4461" s="11">
        <v>159</v>
      </c>
      <c r="I4461" s="11">
        <v>0</v>
      </c>
      <c r="J4461" s="11">
        <v>0</v>
      </c>
      <c r="K4461" s="11" t="s">
        <v>21</v>
      </c>
      <c r="L4461" s="7">
        <v>40874.048148148147</v>
      </c>
      <c r="M4461" s="12" t="s">
        <v>10479</v>
      </c>
      <c r="N4461" s="12"/>
      <c r="O4461" s="10" t="str">
        <f>HYPERLINK("https://pbs.twimg.com/profile_images/2880957535/f900e317c899162afd6750c7073e5058_normal.png","View")</f>
        <v>View</v>
      </c>
      <c r="P4461" s="11"/>
    </row>
    <row r="4462" spans="1:16" ht="12.75" x14ac:dyDescent="0.35">
      <c r="A4462" s="7">
        <v>42482.934317129635</v>
      </c>
      <c r="B4462" s="8" t="str">
        <f>HYPERLINK("https://twitter.com/BaerenGazette","@BaerenGazette")</f>
        <v>@BaerenGazette</v>
      </c>
      <c r="C4462" s="9" t="s">
        <v>10480</v>
      </c>
      <c r="D4462" s="9" t="s">
        <v>10481</v>
      </c>
      <c r="E4462" s="10" t="str">
        <f>HYPERLINK("https://twitter.com/BaerenGazette/status/723555822282915840","723555822282915840")</f>
        <v>723555822282915840</v>
      </c>
      <c r="F4462" s="11" t="s">
        <v>43</v>
      </c>
      <c r="G4462" s="11">
        <v>591</v>
      </c>
      <c r="H4462" s="11">
        <v>2213</v>
      </c>
      <c r="I4462" s="11">
        <v>0</v>
      </c>
      <c r="J4462" s="11">
        <v>0</v>
      </c>
      <c r="K4462" s="11" t="s">
        <v>21</v>
      </c>
      <c r="L4462" s="7">
        <v>40218.948622685188</v>
      </c>
      <c r="M4462" s="12"/>
      <c r="N4462" s="12" t="s">
        <v>10482</v>
      </c>
      <c r="O4462" s="10" t="str">
        <f>HYPERLINK("https://pbs.twimg.com/profile_images/378800000862202585/_gB50a0y_normal.jpeg","View")</f>
        <v>View</v>
      </c>
      <c r="P4462" s="11"/>
    </row>
    <row r="4463" spans="1:16" ht="12.75" x14ac:dyDescent="0.35">
      <c r="A4463" s="7">
        <v>42482.934467592597</v>
      </c>
      <c r="B4463" s="8" t="str">
        <f>HYPERLINK("https://twitter.com/mateo_silva8","@mateo_silva8")</f>
        <v>@mateo_silva8</v>
      </c>
      <c r="C4463" s="9" t="s">
        <v>10483</v>
      </c>
      <c r="D4463" s="9" t="s">
        <v>10440</v>
      </c>
      <c r="E4463" s="10" t="str">
        <f>HYPERLINK("https://twitter.com/mateo_silva8/status/723555876481720320","723555876481720320")</f>
        <v>723555876481720320</v>
      </c>
      <c r="F4463" s="11" t="s">
        <v>20</v>
      </c>
      <c r="G4463" s="11">
        <v>992</v>
      </c>
      <c r="H4463" s="11">
        <v>468</v>
      </c>
      <c r="I4463" s="11">
        <v>14</v>
      </c>
      <c r="J4463" s="11">
        <v>0</v>
      </c>
      <c r="K4463" s="11" t="s">
        <v>21</v>
      </c>
      <c r="L4463" s="7">
        <v>41399.336655092593</v>
      </c>
      <c r="M4463" s="12" t="s">
        <v>10484</v>
      </c>
      <c r="N4463" s="12" t="s">
        <v>10485</v>
      </c>
      <c r="O4463" s="10" t="str">
        <f>HYPERLINK("https://pbs.twimg.com/profile_images/720641151963951104/_4AUpUQP_normal.jpg","View")</f>
        <v>View</v>
      </c>
      <c r="P4463" s="11"/>
    </row>
    <row r="4464" spans="1:16" ht="12.75" x14ac:dyDescent="0.35">
      <c r="A4464" s="7">
        <v>42482.93482638889</v>
      </c>
      <c r="B4464" s="8" t="str">
        <f>HYPERLINK("https://twitter.com/morgenlab","@morgenlab")</f>
        <v>@morgenlab</v>
      </c>
      <c r="C4464" s="9" t="s">
        <v>10486</v>
      </c>
      <c r="D4464" s="9" t="s">
        <v>3650</v>
      </c>
      <c r="E4464" s="10" t="str">
        <f>HYPERLINK("https://twitter.com/morgenlab/status/723556005871771648","723556005871771648")</f>
        <v>723556005871771648</v>
      </c>
      <c r="F4464" s="11" t="s">
        <v>48</v>
      </c>
      <c r="G4464" s="11">
        <v>161</v>
      </c>
      <c r="H4464" s="11">
        <v>530</v>
      </c>
      <c r="I4464" s="11">
        <v>8</v>
      </c>
      <c r="J4464" s="11">
        <v>0</v>
      </c>
      <c r="K4464" s="11" t="s">
        <v>21</v>
      </c>
      <c r="L4464" s="7">
        <v>41541.772615740745</v>
      </c>
      <c r="M4464" s="12"/>
      <c r="N4464" s="12" t="s">
        <v>10487</v>
      </c>
      <c r="O4464" s="10" t="str">
        <f>HYPERLINK("https://pbs.twimg.com/profile_images/661960916595040256/ttNTdvq1_normal.png","View")</f>
        <v>View</v>
      </c>
      <c r="P4464" s="11"/>
    </row>
    <row r="4465" spans="1:16" ht="12.75" x14ac:dyDescent="0.35">
      <c r="A4465" s="7">
        <v>42482.935023148151</v>
      </c>
      <c r="B4465" s="8" t="str">
        <f>HYPERLINK("https://twitter.com/danielcuervo","@danielcuervo")</f>
        <v>@danielcuervo</v>
      </c>
      <c r="C4465" s="9" t="s">
        <v>10488</v>
      </c>
      <c r="D4465" s="9" t="s">
        <v>10489</v>
      </c>
      <c r="E4465" s="10" t="str">
        <f>HYPERLINK("https://twitter.com/danielcuervo/status/723556077028163585","723556077028163585")</f>
        <v>723556077028163585</v>
      </c>
      <c r="F4465" s="11" t="s">
        <v>53</v>
      </c>
      <c r="G4465" s="11">
        <v>168</v>
      </c>
      <c r="H4465" s="11">
        <v>101</v>
      </c>
      <c r="I4465" s="11">
        <v>0</v>
      </c>
      <c r="J4465" s="11">
        <v>0</v>
      </c>
      <c r="K4465" s="11" t="s">
        <v>21</v>
      </c>
      <c r="L4465" s="7">
        <v>41213.472534722227</v>
      </c>
      <c r="M4465" s="12" t="s">
        <v>10490</v>
      </c>
      <c r="N4465" s="12" t="s">
        <v>10491</v>
      </c>
      <c r="O4465" s="10" t="str">
        <f>HYPERLINK("https://pbs.twimg.com/profile_images/577579759665704961/3wgncK_f_normal.jpeg","View")</f>
        <v>View</v>
      </c>
      <c r="P4465" s="11"/>
    </row>
    <row r="4466" spans="1:16" ht="12.75" x14ac:dyDescent="0.35">
      <c r="A4466" s="7">
        <v>42482.935567129629</v>
      </c>
      <c r="B4466" s="8" t="str">
        <f>HYPERLINK("https://twitter.com/Stefan_Birkner","@Stefan_Birkner")</f>
        <v>@Stefan_Birkner</v>
      </c>
      <c r="C4466" s="9" t="s">
        <v>10492</v>
      </c>
      <c r="D4466" s="9" t="s">
        <v>10493</v>
      </c>
      <c r="E4466" s="10" t="str">
        <f>HYPERLINK("https://twitter.com/Stefan_Birkner/status/723556274709905413","723556274709905413")</f>
        <v>723556274709905413</v>
      </c>
      <c r="F4466" s="11" t="s">
        <v>48</v>
      </c>
      <c r="G4466" s="11">
        <v>799</v>
      </c>
      <c r="H4466" s="11">
        <v>436</v>
      </c>
      <c r="I4466" s="11">
        <v>2</v>
      </c>
      <c r="J4466" s="11">
        <v>0</v>
      </c>
      <c r="K4466" s="11" t="s">
        <v>21</v>
      </c>
      <c r="L4466" s="7">
        <v>41044.801585648151</v>
      </c>
      <c r="M4466" s="12" t="s">
        <v>3381</v>
      </c>
      <c r="N4466" s="12" t="s">
        <v>10494</v>
      </c>
      <c r="O4466" s="10" t="str">
        <f>HYPERLINK("https://pbs.twimg.com/profile_images/2220729503/Birkner200-300_normal.jpg","View")</f>
        <v>View</v>
      </c>
      <c r="P4466" s="11"/>
    </row>
    <row r="4467" spans="1:16" ht="12.75" x14ac:dyDescent="0.35">
      <c r="A4467" s="7">
        <v>42482.935810185183</v>
      </c>
      <c r="B4467" s="8" t="str">
        <f t="shared" ref="B4467:B4468" si="383">HYPERLINK("https://twitter.com/VWCamperSales","@VWCamperSales")</f>
        <v>@VWCamperSales</v>
      </c>
      <c r="C4467" s="9" t="s">
        <v>216</v>
      </c>
      <c r="D4467" s="9" t="s">
        <v>10495</v>
      </c>
      <c r="E4467" s="10" t="str">
        <f>HYPERLINK("https://twitter.com/VWCamperSales/status/723556362051964928","723556362051964928")</f>
        <v>723556362051964928</v>
      </c>
      <c r="F4467" s="10" t="s">
        <v>124</v>
      </c>
      <c r="G4467" s="11">
        <v>618</v>
      </c>
      <c r="H4467" s="11">
        <v>580</v>
      </c>
      <c r="I4467" s="11">
        <v>0</v>
      </c>
      <c r="J4467" s="11">
        <v>0</v>
      </c>
      <c r="K4467" s="11" t="s">
        <v>21</v>
      </c>
      <c r="L4467" s="7">
        <v>42215.98809027778</v>
      </c>
      <c r="M4467" s="12" t="s">
        <v>129</v>
      </c>
      <c r="N4467" s="12" t="s">
        <v>218</v>
      </c>
      <c r="O4467" s="10" t="str">
        <f t="shared" ref="O4467:O4468" si="384">HYPERLINK("https://pbs.twimg.com/profile_images/627949001179037696/skEBkS05_normal.jpg","View")</f>
        <v>View</v>
      </c>
      <c r="P4467" s="11"/>
    </row>
    <row r="4468" spans="1:16" ht="12.75" x14ac:dyDescent="0.35">
      <c r="A4468" s="7">
        <v>42482.93582175926</v>
      </c>
      <c r="B4468" s="8" t="str">
        <f t="shared" si="383"/>
        <v>@VWCamperSales</v>
      </c>
      <c r="C4468" s="9" t="s">
        <v>216</v>
      </c>
      <c r="D4468" s="9" t="s">
        <v>10496</v>
      </c>
      <c r="E4468" s="10" t="str">
        <f>HYPERLINK("https://twitter.com/VWCamperSales/status/723556367651344384","723556367651344384")</f>
        <v>723556367651344384</v>
      </c>
      <c r="F4468" s="10" t="s">
        <v>124</v>
      </c>
      <c r="G4468" s="11">
        <v>618</v>
      </c>
      <c r="H4468" s="11">
        <v>580</v>
      </c>
      <c r="I4468" s="11">
        <v>0</v>
      </c>
      <c r="J4468" s="11">
        <v>0</v>
      </c>
      <c r="K4468" s="11" t="s">
        <v>21</v>
      </c>
      <c r="L4468" s="7">
        <v>42215.98809027778</v>
      </c>
      <c r="M4468" s="12" t="s">
        <v>129</v>
      </c>
      <c r="N4468" s="12" t="s">
        <v>218</v>
      </c>
      <c r="O4468" s="10" t="str">
        <f t="shared" si="384"/>
        <v>View</v>
      </c>
      <c r="P4468" s="11"/>
    </row>
    <row r="4469" spans="1:16" ht="12.75" x14ac:dyDescent="0.35">
      <c r="A4469" s="7">
        <v>42482.936076388884</v>
      </c>
      <c r="B4469" s="8" t="str">
        <f>HYPERLINK("https://twitter.com/frank_wrc","@frank_wrc")</f>
        <v>@frank_wrc</v>
      </c>
      <c r="C4469" s="9" t="s">
        <v>10497</v>
      </c>
      <c r="D4469" s="9" t="s">
        <v>10241</v>
      </c>
      <c r="E4469" s="10" t="str">
        <f>HYPERLINK("https://twitter.com/frank_wrc/status/723556457548009472","723556457548009472")</f>
        <v>723556457548009472</v>
      </c>
      <c r="F4469" s="11" t="s">
        <v>48</v>
      </c>
      <c r="G4469" s="11">
        <v>1348</v>
      </c>
      <c r="H4469" s="11">
        <v>552</v>
      </c>
      <c r="I4469" s="11">
        <v>2</v>
      </c>
      <c r="J4469" s="11">
        <v>0</v>
      </c>
      <c r="K4469" s="11" t="s">
        <v>21</v>
      </c>
      <c r="L4469" s="7">
        <v>41369.230868055558</v>
      </c>
      <c r="M4469" s="12" t="s">
        <v>10498</v>
      </c>
      <c r="N4469" s="12" t="s">
        <v>10499</v>
      </c>
      <c r="O4469" s="10" t="str">
        <f>HYPERLINK("https://pbs.twimg.com/profile_images/556669044300853248/dIL6Pm-3_normal.jpeg","View")</f>
        <v>View</v>
      </c>
      <c r="P4469" s="11"/>
    </row>
    <row r="4470" spans="1:16" ht="12.75" x14ac:dyDescent="0.35">
      <c r="A4470" s="7">
        <v>42482.936087962968</v>
      </c>
      <c r="B4470" s="8" t="str">
        <f>HYPERLINK("https://twitter.com/christianduerr","@christianduerr")</f>
        <v>@christianduerr</v>
      </c>
      <c r="C4470" s="9" t="s">
        <v>10500</v>
      </c>
      <c r="D4470" s="9" t="s">
        <v>10493</v>
      </c>
      <c r="E4470" s="10" t="str">
        <f>HYPERLINK("https://twitter.com/christianduerr/status/723556461431918593","723556461431918593")</f>
        <v>723556461431918593</v>
      </c>
      <c r="F4470" s="11" t="s">
        <v>20</v>
      </c>
      <c r="G4470" s="11">
        <v>970</v>
      </c>
      <c r="H4470" s="11">
        <v>266</v>
      </c>
      <c r="I4470" s="11">
        <v>2</v>
      </c>
      <c r="J4470" s="11">
        <v>0</v>
      </c>
      <c r="K4470" s="11" t="s">
        <v>21</v>
      </c>
      <c r="L4470" s="7">
        <v>39773.784988425927</v>
      </c>
      <c r="M4470" s="12" t="s">
        <v>10501</v>
      </c>
      <c r="N4470" s="12" t="s">
        <v>10502</v>
      </c>
      <c r="O4470" s="10" t="str">
        <f>HYPERLINK("https://pbs.twimg.com/profile_images/332725210/n40288936898_1999889_3841923_normal.jpg","View")</f>
        <v>View</v>
      </c>
      <c r="P4470" s="11"/>
    </row>
    <row r="4471" spans="1:16" ht="12.75" x14ac:dyDescent="0.35">
      <c r="A4471" s="7">
        <v>42482.936122685191</v>
      </c>
      <c r="B4471" s="8" t="str">
        <f>HYPERLINK("https://twitter.com/Fefe_crc","@Fefe_crc")</f>
        <v>@Fefe_crc</v>
      </c>
      <c r="C4471" s="9" t="s">
        <v>10503</v>
      </c>
      <c r="D4471" s="9" t="s">
        <v>10440</v>
      </c>
      <c r="E4471" s="10" t="str">
        <f>HYPERLINK("https://twitter.com/Fefe_crc/status/723556474274893824","723556474274893824")</f>
        <v>723556474274893824</v>
      </c>
      <c r="F4471" s="11" t="s">
        <v>48</v>
      </c>
      <c r="G4471" s="11">
        <v>651</v>
      </c>
      <c r="H4471" s="11">
        <v>259</v>
      </c>
      <c r="I4471" s="11">
        <v>14</v>
      </c>
      <c r="J4471" s="11">
        <v>0</v>
      </c>
      <c r="K4471" s="11" t="s">
        <v>21</v>
      </c>
      <c r="L4471" s="7">
        <v>41117.946828703702</v>
      </c>
      <c r="M4471" s="12" t="s">
        <v>10504</v>
      </c>
      <c r="N4471" s="12" t="s">
        <v>10505</v>
      </c>
      <c r="O4471" s="10" t="str">
        <f>HYPERLINK("https://pbs.twimg.com/profile_images/708317385292451840/hvGxvzeX_normal.jpg","View")</f>
        <v>View</v>
      </c>
      <c r="P4471" s="11"/>
    </row>
    <row r="4472" spans="1:16" ht="12.75" x14ac:dyDescent="0.35">
      <c r="A4472" s="7">
        <v>42482.936331018514</v>
      </c>
      <c r="B4472" s="8" t="str">
        <f>HYPERLINK("https://twitter.com/dw_business","@dw_business")</f>
        <v>@dw_business</v>
      </c>
      <c r="C4472" s="9" t="s">
        <v>3512</v>
      </c>
      <c r="D4472" s="9" t="s">
        <v>10506</v>
      </c>
      <c r="E4472" s="10" t="str">
        <f>HYPERLINK("https://twitter.com/dw_business/status/723556549919166465","723556549919166465")</f>
        <v>723556549919166465</v>
      </c>
      <c r="F4472" s="11" t="s">
        <v>43</v>
      </c>
      <c r="G4472" s="11">
        <v>6221</v>
      </c>
      <c r="H4472" s="11">
        <v>250</v>
      </c>
      <c r="I4472" s="11">
        <v>0</v>
      </c>
      <c r="J4472" s="11">
        <v>0</v>
      </c>
      <c r="K4472" s="11" t="s">
        <v>21</v>
      </c>
      <c r="L4472" s="7">
        <v>39919.595196759255</v>
      </c>
      <c r="M4472" s="12" t="s">
        <v>1303</v>
      </c>
      <c r="N4472" s="12" t="s">
        <v>3514</v>
      </c>
      <c r="O4472" s="10" t="str">
        <f>HYPERLINK("https://pbs.twimg.com/profile_images/474178130312044544/-U2TP65D_normal.png","View")</f>
        <v>View</v>
      </c>
      <c r="P4472" s="11"/>
    </row>
    <row r="4473" spans="1:16" ht="12.75" x14ac:dyDescent="0.35">
      <c r="A4473" s="7">
        <v>42482.936527777776</v>
      </c>
      <c r="B4473" s="8" t="str">
        <f>HYPERLINK("https://twitter.com/dorschelvw","@dorschelvw")</f>
        <v>@dorschelvw</v>
      </c>
      <c r="C4473" s="9" t="s">
        <v>10507</v>
      </c>
      <c r="D4473" s="9" t="s">
        <v>10508</v>
      </c>
      <c r="E4473" s="10" t="str">
        <f>HYPERLINK("https://twitter.com/dorschelvw/status/723556621830524928","723556621830524928")</f>
        <v>723556621830524928</v>
      </c>
      <c r="F4473" s="11" t="s">
        <v>43</v>
      </c>
      <c r="G4473" s="11">
        <v>132</v>
      </c>
      <c r="H4473" s="11">
        <v>66</v>
      </c>
      <c r="I4473" s="11">
        <v>1</v>
      </c>
      <c r="J4473" s="11">
        <v>0</v>
      </c>
      <c r="K4473" s="11" t="s">
        <v>21</v>
      </c>
      <c r="L4473" s="7">
        <v>40570.856990740736</v>
      </c>
      <c r="M4473" s="12" t="s">
        <v>1056</v>
      </c>
      <c r="N4473" s="12" t="s">
        <v>10509</v>
      </c>
      <c r="O4473" s="10" t="str">
        <f>HYPERLINK("https://pbs.twimg.com/profile_images/634364105550262272/0s1YujUX_normal.jpg","View")</f>
        <v>View</v>
      </c>
      <c r="P4473" s="11"/>
    </row>
    <row r="4474" spans="1:16" ht="12.75" x14ac:dyDescent="0.35">
      <c r="A4474" s="7">
        <v>42482.937002314815</v>
      </c>
      <c r="B4474" s="8" t="str">
        <f>HYPERLINK("https://twitter.com/MKarpstein","@MKarpstein")</f>
        <v>@MKarpstein</v>
      </c>
      <c r="C4474" s="9" t="s">
        <v>10510</v>
      </c>
      <c r="D4474" s="9" t="s">
        <v>10511</v>
      </c>
      <c r="E4474" s="10" t="str">
        <f>HYPERLINK("https://twitter.com/MKarpstein/status/723556795323695104","723556795323695104")</f>
        <v>723556795323695104</v>
      </c>
      <c r="F4474" s="11" t="s">
        <v>91</v>
      </c>
      <c r="G4474" s="11">
        <v>51</v>
      </c>
      <c r="H4474" s="11">
        <v>200</v>
      </c>
      <c r="I4474" s="11">
        <v>0</v>
      </c>
      <c r="J4474" s="11">
        <v>0</v>
      </c>
      <c r="K4474" s="11" t="s">
        <v>21</v>
      </c>
      <c r="L4474" s="7">
        <v>41243.724953703706</v>
      </c>
      <c r="M4474" s="12" t="s">
        <v>7008</v>
      </c>
      <c r="N4474" s="12" t="s">
        <v>10512</v>
      </c>
      <c r="O4474" s="10" t="str">
        <f>HYPERLINK("https://pbs.twimg.com/profile_images/684707767962177536/jT-s_avc_normal.jpg","View")</f>
        <v>View</v>
      </c>
      <c r="P4474" s="11"/>
    </row>
    <row r="4475" spans="1:16" ht="12.75" x14ac:dyDescent="0.35">
      <c r="A4475" s="7">
        <v>42482.937071759261</v>
      </c>
      <c r="B4475" s="8" t="str">
        <f>HYPERLINK("https://twitter.com/VolkswagenPost","@VolkswagenPost")</f>
        <v>@VolkswagenPost</v>
      </c>
      <c r="C4475" s="9" t="s">
        <v>321</v>
      </c>
      <c r="D4475" s="9" t="s">
        <v>10513</v>
      </c>
      <c r="E4475" s="10" t="str">
        <f>HYPERLINK("https://twitter.com/VolkswagenPost/status/723556819680038912","723556819680038912")</f>
        <v>723556819680038912</v>
      </c>
      <c r="F4475" s="11" t="s">
        <v>288</v>
      </c>
      <c r="G4475" s="11">
        <v>569</v>
      </c>
      <c r="H4475" s="11">
        <v>446</v>
      </c>
      <c r="I4475" s="11">
        <v>1</v>
      </c>
      <c r="J4475" s="11">
        <v>0</v>
      </c>
      <c r="K4475" s="11" t="s">
        <v>21</v>
      </c>
      <c r="L4475" s="7">
        <v>41940.618379629632</v>
      </c>
      <c r="M4475" s="12"/>
      <c r="N4475" s="12"/>
      <c r="O4475" s="10" t="str">
        <f>HYPERLINK("https://pbs.twimg.com/profile_images/530071272881803264/a_jcCmPZ_normal.png","View")</f>
        <v>View</v>
      </c>
      <c r="P4475" s="11"/>
    </row>
    <row r="4476" spans="1:16" ht="12.75" x14ac:dyDescent="0.35">
      <c r="A4476" s="7">
        <v>42482.937245370369</v>
      </c>
      <c r="B4476" s="8" t="str">
        <f>HYPERLINK("https://twitter.com/ListersVWVans","@ListersVWVans")</f>
        <v>@ListersVWVans</v>
      </c>
      <c r="C4476" s="9" t="s">
        <v>10514</v>
      </c>
      <c r="D4476" s="9" t="s">
        <v>10515</v>
      </c>
      <c r="E4476" s="10" t="str">
        <f>HYPERLINK("https://twitter.com/ListersVWVans/status/723556882221293568","723556882221293568")</f>
        <v>723556882221293568</v>
      </c>
      <c r="F4476" s="11" t="s">
        <v>10516</v>
      </c>
      <c r="G4476" s="11">
        <v>713</v>
      </c>
      <c r="H4476" s="11">
        <v>738</v>
      </c>
      <c r="I4476" s="11">
        <v>0</v>
      </c>
      <c r="J4476" s="11">
        <v>0</v>
      </c>
      <c r="K4476" s="11" t="s">
        <v>21</v>
      </c>
      <c r="L4476" s="7">
        <v>40827.902499999997</v>
      </c>
      <c r="M4476" s="12" t="s">
        <v>10517</v>
      </c>
      <c r="N4476" s="12" t="s">
        <v>10518</v>
      </c>
      <c r="O4476" s="10" t="str">
        <f>HYPERLINK("https://pbs.twimg.com/profile_images/3116586215/f622565f955bd627859a80f9c8b39cae_normal.jpeg","View")</f>
        <v>View</v>
      </c>
      <c r="P4476" s="11"/>
    </row>
    <row r="4477" spans="1:16" ht="12.75" x14ac:dyDescent="0.35">
      <c r="A4477" s="7">
        <v>42482.937337962961</v>
      </c>
      <c r="B4477" s="8" t="str">
        <f>HYPERLINK("https://twitter.com/alsopi1","@alsopi1")</f>
        <v>@alsopi1</v>
      </c>
      <c r="C4477" s="9" t="s">
        <v>2824</v>
      </c>
      <c r="D4477" s="9" t="s">
        <v>10440</v>
      </c>
      <c r="E4477" s="10" t="str">
        <f>HYPERLINK("https://twitter.com/alsopi1/status/723556914492223488","723556914492223488")</f>
        <v>723556914492223488</v>
      </c>
      <c r="F4477" s="11" t="s">
        <v>20</v>
      </c>
      <c r="G4477" s="11">
        <v>247</v>
      </c>
      <c r="H4477" s="11">
        <v>1690</v>
      </c>
      <c r="I4477" s="11">
        <v>14</v>
      </c>
      <c r="J4477" s="11">
        <v>0</v>
      </c>
      <c r="K4477" s="11" t="s">
        <v>21</v>
      </c>
      <c r="L4477" s="7">
        <v>42391.349803240737</v>
      </c>
      <c r="M4477" s="12"/>
      <c r="N4477" s="12"/>
      <c r="O4477" s="10" t="str">
        <f>HYPERLINK("https://pbs.twimg.com/profile_images/722939606061158402/0mK_jA0z_normal.jpg","View")</f>
        <v>View</v>
      </c>
      <c r="P4477" s="11"/>
    </row>
    <row r="4478" spans="1:16" ht="12.75" x14ac:dyDescent="0.35">
      <c r="A4478" s="7">
        <v>42482.937569444446</v>
      </c>
      <c r="B4478" s="8" t="str">
        <f>HYPERLINK("https://twitter.com/BillJacobsVW","@BillJacobsVW")</f>
        <v>@BillJacobsVW</v>
      </c>
      <c r="C4478" s="9" t="s">
        <v>10519</v>
      </c>
      <c r="D4478" s="9" t="s">
        <v>10520</v>
      </c>
      <c r="E4478" s="10" t="str">
        <f>HYPERLINK("https://twitter.com/BillJacobsVW/status/723556998311206912","723556998311206912")</f>
        <v>723556998311206912</v>
      </c>
      <c r="F4478" s="11" t="s">
        <v>140</v>
      </c>
      <c r="G4478" s="11">
        <v>99</v>
      </c>
      <c r="H4478" s="11">
        <v>248</v>
      </c>
      <c r="I4478" s="11">
        <v>0</v>
      </c>
      <c r="J4478" s="11">
        <v>0</v>
      </c>
      <c r="K4478" s="11" t="s">
        <v>21</v>
      </c>
      <c r="L4478" s="7">
        <v>40079.866006944445</v>
      </c>
      <c r="M4478" s="12" t="s">
        <v>10521</v>
      </c>
      <c r="N4478" s="12" t="s">
        <v>10522</v>
      </c>
      <c r="O4478" s="10" t="str">
        <f>HYPERLINK("https://pbs.twimg.com/profile_images/709477803851325440/SYpI9NJ7_normal.jpg","View")</f>
        <v>View</v>
      </c>
      <c r="P4478" s="11"/>
    </row>
    <row r="4479" spans="1:16" ht="12.75" x14ac:dyDescent="0.35">
      <c r="A4479" s="7">
        <v>42482.937650462962</v>
      </c>
      <c r="B4479" s="8" t="str">
        <f>HYPERLINK("https://twitter.com/lucaas_pzk","@lucaas_pzk")</f>
        <v>@lucaas_pzk</v>
      </c>
      <c r="C4479" s="9" t="s">
        <v>10523</v>
      </c>
      <c r="D4479" s="9" t="s">
        <v>10440</v>
      </c>
      <c r="E4479" s="10" t="str">
        <f>HYPERLINK("https://twitter.com/lucaas_pzk/status/723557030989049858","723557030989049858")</f>
        <v>723557030989049858</v>
      </c>
      <c r="F4479" s="11" t="s">
        <v>48</v>
      </c>
      <c r="G4479" s="11">
        <v>360</v>
      </c>
      <c r="H4479" s="11">
        <v>65</v>
      </c>
      <c r="I4479" s="11">
        <v>14</v>
      </c>
      <c r="J4479" s="11">
        <v>0</v>
      </c>
      <c r="K4479" s="11" t="s">
        <v>21</v>
      </c>
      <c r="L4479" s="7">
        <v>41929.759305555555</v>
      </c>
      <c r="M4479" s="12" t="s">
        <v>10524</v>
      </c>
      <c r="N4479" s="12" t="s">
        <v>10525</v>
      </c>
      <c r="O4479" s="10" t="str">
        <f>HYPERLINK("https://pbs.twimg.com/profile_images/721122651436134400/xrnUvBmT_normal.jpg","View")</f>
        <v>View</v>
      </c>
      <c r="P4479" s="11"/>
    </row>
    <row r="4480" spans="1:16" ht="12.75" x14ac:dyDescent="0.35">
      <c r="A4480" s="7">
        <v>42482.937962962962</v>
      </c>
      <c r="B4480" s="8" t="str">
        <f>HYPERLINK("https://twitter.com/MBTwebsite","@MBTwebsite")</f>
        <v>@MBTwebsite</v>
      </c>
      <c r="C4480" s="9" t="s">
        <v>10526</v>
      </c>
      <c r="D4480" s="9" t="s">
        <v>10527</v>
      </c>
      <c r="E4480" s="10" t="str">
        <f>HYPERLINK("https://twitter.com/MBTwebsite/status/723557144273018881","723557144273018881")</f>
        <v>723557144273018881</v>
      </c>
      <c r="F4480" s="11" t="s">
        <v>152</v>
      </c>
      <c r="G4480" s="11">
        <v>4970</v>
      </c>
      <c r="H4480" s="11">
        <v>906</v>
      </c>
      <c r="I4480" s="11">
        <v>0</v>
      </c>
      <c r="J4480" s="11">
        <v>0</v>
      </c>
      <c r="K4480" s="11" t="s">
        <v>21</v>
      </c>
      <c r="L4480" s="7">
        <v>40290.098993055552</v>
      </c>
      <c r="M4480" s="12" t="s">
        <v>10528</v>
      </c>
      <c r="N4480" s="12" t="s">
        <v>10529</v>
      </c>
      <c r="O4480" s="10" t="str">
        <f>HYPERLINK("https://pbs.twimg.com/profile_images/555079143658754048/kkWBVbbF_normal.jpeg","View")</f>
        <v>View</v>
      </c>
      <c r="P4480" s="11"/>
    </row>
    <row r="4481" spans="1:16" ht="12.75" x14ac:dyDescent="0.35">
      <c r="A4481" s="7">
        <v>42482.938101851847</v>
      </c>
      <c r="B4481" s="8" t="str">
        <f>HYPERLINK("https://twitter.com/kngeuro","@kngeuro")</f>
        <v>@kngeuro</v>
      </c>
      <c r="C4481" s="9" t="s">
        <v>833</v>
      </c>
      <c r="D4481" s="9" t="s">
        <v>10530</v>
      </c>
      <c r="E4481" s="10" t="str">
        <f>HYPERLINK("https://twitter.com/kngeuro/status/723557193312694272","723557193312694272")</f>
        <v>723557193312694272</v>
      </c>
      <c r="F4481" s="11" t="s">
        <v>53</v>
      </c>
      <c r="G4481" s="11">
        <v>760</v>
      </c>
      <c r="H4481" s="11">
        <v>451</v>
      </c>
      <c r="I4481" s="11">
        <v>0</v>
      </c>
      <c r="J4481" s="11">
        <v>0</v>
      </c>
      <c r="K4481" s="11" t="s">
        <v>21</v>
      </c>
      <c r="L4481" s="7">
        <v>40319.120925925927</v>
      </c>
      <c r="M4481" s="12" t="s">
        <v>835</v>
      </c>
      <c r="N4481" s="12" t="s">
        <v>836</v>
      </c>
      <c r="O4481" s="10" t="str">
        <f>HYPERLINK("https://pbs.twimg.com/profile_images/570375988065935360/ooT_Nq7x_normal.jpeg","View")</f>
        <v>View</v>
      </c>
      <c r="P4481" s="11"/>
    </row>
    <row r="4482" spans="1:16" ht="12.75" x14ac:dyDescent="0.35">
      <c r="A4482" s="7">
        <v>42482.938263888893</v>
      </c>
      <c r="B4482" s="8" t="str">
        <f>HYPERLINK("https://twitter.com/HansTheGerman","@HansTheGerman")</f>
        <v>@HansTheGerman</v>
      </c>
      <c r="C4482" s="9" t="s">
        <v>4330</v>
      </c>
      <c r="D4482" s="9" t="s">
        <v>10531</v>
      </c>
      <c r="E4482" s="10" t="str">
        <f>HYPERLINK("https://twitter.com/HansTheGerman/status/723557253232648193","723557253232648193")</f>
        <v>723557253232648193</v>
      </c>
      <c r="F4482" s="11" t="s">
        <v>43</v>
      </c>
      <c r="G4482" s="11">
        <v>314</v>
      </c>
      <c r="H4482" s="11">
        <v>764</v>
      </c>
      <c r="I4482" s="11">
        <v>0</v>
      </c>
      <c r="J4482" s="11">
        <v>0</v>
      </c>
      <c r="K4482" s="11" t="s">
        <v>21</v>
      </c>
      <c r="L4482" s="7">
        <v>39950.572777777779</v>
      </c>
      <c r="M4482" s="12" t="s">
        <v>1116</v>
      </c>
      <c r="N4482" s="12" t="s">
        <v>4332</v>
      </c>
      <c r="O4482" s="10" t="str">
        <f>HYPERLINK("https://pbs.twimg.com/profile_images/3012106875/596e712c99a38ec69b925b7f7ab71986_normal.jpeg","View")</f>
        <v>View</v>
      </c>
      <c r="P4482" s="11"/>
    </row>
    <row r="4483" spans="1:16" ht="12.75" x14ac:dyDescent="0.35">
      <c r="A4483" s="7">
        <v>42482.938298611116</v>
      </c>
      <c r="B4483" s="8" t="str">
        <f>HYPERLINK("https://twitter.com/panicswitch777","@panicswitch777")</f>
        <v>@panicswitch777</v>
      </c>
      <c r="C4483" s="9" t="s">
        <v>374</v>
      </c>
      <c r="D4483" s="9" t="s">
        <v>10532</v>
      </c>
      <c r="E4483" s="10" t="str">
        <f>HYPERLINK("https://twitter.com/panicswitch777/status/723557262199943168","723557262199943168")</f>
        <v>723557262199943168</v>
      </c>
      <c r="F4483" s="11" t="s">
        <v>114</v>
      </c>
      <c r="G4483" s="11">
        <v>188</v>
      </c>
      <c r="H4483" s="11">
        <v>185</v>
      </c>
      <c r="I4483" s="11">
        <v>0</v>
      </c>
      <c r="J4483" s="11">
        <v>0</v>
      </c>
      <c r="K4483" s="11" t="s">
        <v>21</v>
      </c>
      <c r="L4483" s="7">
        <v>41837.90216435185</v>
      </c>
      <c r="M4483" s="12" t="s">
        <v>376</v>
      </c>
      <c r="N4483" s="12"/>
      <c r="O4483" s="10" t="str">
        <f>HYPERLINK("https://pbs.twimg.com/profile_images/661248829682024449/IlOGOPEg_normal.jpg","View")</f>
        <v>View</v>
      </c>
      <c r="P4483" s="11"/>
    </row>
    <row r="4484" spans="1:16" ht="12.75" x14ac:dyDescent="0.35">
      <c r="A4484" s="7">
        <v>42482.938564814816</v>
      </c>
      <c r="B4484" s="8" t="str">
        <f>HYPERLINK("https://twitter.com/digitalAngst","@digitalAngst")</f>
        <v>@digitalAngst</v>
      </c>
      <c r="C4484" s="9" t="s">
        <v>10533</v>
      </c>
      <c r="D4484" s="9" t="s">
        <v>10534</v>
      </c>
      <c r="E4484" s="10" t="str">
        <f>HYPERLINK("https://twitter.com/digitalAngst/status/723557361709944833","723557361709944833")</f>
        <v>723557361709944833</v>
      </c>
      <c r="F4484" s="11" t="s">
        <v>43</v>
      </c>
      <c r="G4484" s="11">
        <v>115</v>
      </c>
      <c r="H4484" s="11">
        <v>184</v>
      </c>
      <c r="I4484" s="11">
        <v>0</v>
      </c>
      <c r="J4484" s="11">
        <v>1</v>
      </c>
      <c r="K4484" s="11" t="s">
        <v>21</v>
      </c>
      <c r="L4484" s="7">
        <v>40822.71974537037</v>
      </c>
      <c r="M4484" s="12" t="s">
        <v>10535</v>
      </c>
      <c r="N4484" s="12" t="s">
        <v>10536</v>
      </c>
      <c r="O4484" s="10" t="str">
        <f>HYPERLINK("https://pbs.twimg.com/profile_images/1575203828/Kaminekobitingcat_normal.PNG","View")</f>
        <v>View</v>
      </c>
      <c r="P4484" s="11"/>
    </row>
    <row r="4485" spans="1:16" ht="12.75" x14ac:dyDescent="0.35">
      <c r="A4485" s="7">
        <v>42482.938888888893</v>
      </c>
      <c r="B4485" s="8" t="str">
        <f>HYPERLINK("https://twitter.com/panicswitch777","@panicswitch777")</f>
        <v>@panicswitch777</v>
      </c>
      <c r="C4485" s="9" t="s">
        <v>374</v>
      </c>
      <c r="D4485" s="9" t="s">
        <v>10537</v>
      </c>
      <c r="E4485" s="10" t="str">
        <f>HYPERLINK("https://twitter.com/panicswitch777/status/723557479213195264","723557479213195264")</f>
        <v>723557479213195264</v>
      </c>
      <c r="F4485" s="11" t="s">
        <v>114</v>
      </c>
      <c r="G4485" s="11">
        <v>188</v>
      </c>
      <c r="H4485" s="11">
        <v>185</v>
      </c>
      <c r="I4485" s="11">
        <v>0</v>
      </c>
      <c r="J4485" s="11">
        <v>0</v>
      </c>
      <c r="K4485" s="11" t="s">
        <v>21</v>
      </c>
      <c r="L4485" s="7">
        <v>41837.90216435185</v>
      </c>
      <c r="M4485" s="12" t="s">
        <v>376</v>
      </c>
      <c r="N4485" s="12"/>
      <c r="O4485" s="10" t="str">
        <f>HYPERLINK("https://pbs.twimg.com/profile_images/661248829682024449/IlOGOPEg_normal.jpg","View")</f>
        <v>View</v>
      </c>
      <c r="P4485" s="11"/>
    </row>
    <row r="4486" spans="1:16" ht="12.75" x14ac:dyDescent="0.35">
      <c r="A4486" s="7">
        <v>42482.938958333332</v>
      </c>
      <c r="B4486" s="8" t="str">
        <f t="shared" ref="B4486:B4487" si="385">HYPERLINK("https://twitter.com/DePieriSrl","@DePieriSrl")</f>
        <v>@DePieriSrl</v>
      </c>
      <c r="C4486" s="9" t="s">
        <v>10538</v>
      </c>
      <c r="D4486" s="9" t="s">
        <v>10539</v>
      </c>
      <c r="E4486" s="10" t="str">
        <f>HYPERLINK("https://twitter.com/DePieriSrl/status/723557503594823680","723557503594823680")</f>
        <v>723557503594823680</v>
      </c>
      <c r="F4486" s="11" t="s">
        <v>10540</v>
      </c>
      <c r="G4486" s="11">
        <v>280</v>
      </c>
      <c r="H4486" s="11">
        <v>823</v>
      </c>
      <c r="I4486" s="11">
        <v>0</v>
      </c>
      <c r="J4486" s="11">
        <v>0</v>
      </c>
      <c r="K4486" s="11" t="s">
        <v>21</v>
      </c>
      <c r="L4486" s="7">
        <v>41168.002557870372</v>
      </c>
      <c r="M4486" s="12" t="s">
        <v>10541</v>
      </c>
      <c r="N4486" s="12" t="s">
        <v>10542</v>
      </c>
      <c r="O4486" s="10" t="str">
        <f t="shared" ref="O4486:O4487" si="386">HYPERLINK("https://pbs.twimg.com/profile_images/685114290660093952/jpPe-8BQ_normal.jpg","View")</f>
        <v>View</v>
      </c>
      <c r="P4486" s="10" t="str">
        <f t="shared" ref="P4486:P4487" si="387">HYPERLINK("http://ctrlq.org/maps/address/#45.6695068,11.936238","Map")</f>
        <v>Map</v>
      </c>
    </row>
    <row r="4487" spans="1:16" ht="12.75" x14ac:dyDescent="0.35">
      <c r="A4487" s="7">
        <v>42482.938969907409</v>
      </c>
      <c r="B4487" s="8" t="str">
        <f t="shared" si="385"/>
        <v>@DePieriSrl</v>
      </c>
      <c r="C4487" s="9" t="s">
        <v>10538</v>
      </c>
      <c r="D4487" s="9" t="s">
        <v>10543</v>
      </c>
      <c r="E4487" s="10" t="str">
        <f>HYPERLINK("https://twitter.com/DePieriSrl/status/723557507071877120","723557507071877120")</f>
        <v>723557507071877120</v>
      </c>
      <c r="F4487" s="11" t="s">
        <v>10540</v>
      </c>
      <c r="G4487" s="11">
        <v>280</v>
      </c>
      <c r="H4487" s="11">
        <v>823</v>
      </c>
      <c r="I4487" s="11">
        <v>0</v>
      </c>
      <c r="J4487" s="11">
        <v>0</v>
      </c>
      <c r="K4487" s="11" t="s">
        <v>21</v>
      </c>
      <c r="L4487" s="7">
        <v>41168.002557870372</v>
      </c>
      <c r="M4487" s="12" t="s">
        <v>10541</v>
      </c>
      <c r="N4487" s="12" t="s">
        <v>10542</v>
      </c>
      <c r="O4487" s="10" t="str">
        <f t="shared" si="386"/>
        <v>View</v>
      </c>
      <c r="P4487" s="10" t="str">
        <f t="shared" si="387"/>
        <v>Map</v>
      </c>
    </row>
    <row r="4488" spans="1:16" ht="12.75" x14ac:dyDescent="0.35">
      <c r="A4488" s="7">
        <v>42482.938969907409</v>
      </c>
      <c r="B4488" s="8" t="str">
        <f>HYPERLINK("https://twitter.com/reds33385","@reds33385")</f>
        <v>@reds33385</v>
      </c>
      <c r="C4488" s="9" t="s">
        <v>10544</v>
      </c>
      <c r="D4488" s="9" t="s">
        <v>10545</v>
      </c>
      <c r="E4488" s="10" t="str">
        <f>HYPERLINK("https://twitter.com/reds33385/status/723557508044980224","723557508044980224")</f>
        <v>723557508044980224</v>
      </c>
      <c r="F4488" s="11" t="s">
        <v>48</v>
      </c>
      <c r="G4488" s="11">
        <v>10</v>
      </c>
      <c r="H4488" s="11">
        <v>46</v>
      </c>
      <c r="I4488" s="11">
        <v>0</v>
      </c>
      <c r="J4488" s="11">
        <v>0</v>
      </c>
      <c r="K4488" s="11" t="s">
        <v>21</v>
      </c>
      <c r="L4488" s="7">
        <v>41586.939872685187</v>
      </c>
      <c r="M4488" s="12"/>
      <c r="N4488" s="12"/>
      <c r="O4488" s="10" t="str">
        <f>HYPERLINK("https://pbs.twimg.com/profile_images/666708094274174976/lKR_DgZw_normal.jpg","View")</f>
        <v>View</v>
      </c>
      <c r="P4488" s="11"/>
    </row>
    <row r="4489" spans="1:16" ht="12.75" x14ac:dyDescent="0.35">
      <c r="A4489" s="7">
        <v>42482.939050925925</v>
      </c>
      <c r="B4489" s="8" t="str">
        <f>HYPERLINK("https://twitter.com/SFrischmuth","@SFrischmuth")</f>
        <v>@SFrischmuth</v>
      </c>
      <c r="C4489" s="9" t="s">
        <v>10546</v>
      </c>
      <c r="D4489" s="9" t="s">
        <v>10493</v>
      </c>
      <c r="E4489" s="10" t="str">
        <f>HYPERLINK("https://twitter.com/SFrischmuth/status/723557536075489281","723557536075489281")</f>
        <v>723557536075489281</v>
      </c>
      <c r="F4489" s="11" t="s">
        <v>20</v>
      </c>
      <c r="G4489" s="11">
        <v>44</v>
      </c>
      <c r="H4489" s="11">
        <v>291</v>
      </c>
      <c r="I4489" s="11">
        <v>4</v>
      </c>
      <c r="J4489" s="11">
        <v>0</v>
      </c>
      <c r="K4489" s="11" t="s">
        <v>21</v>
      </c>
      <c r="L4489" s="7">
        <v>41191.993321759262</v>
      </c>
      <c r="M4489" s="12" t="s">
        <v>10547</v>
      </c>
      <c r="N4489" s="12" t="s">
        <v>10548</v>
      </c>
      <c r="O4489" s="10" t="str">
        <f>HYPERLINK("https://pbs.twimg.com/profile_images/562352509469982720/SCVczZJm_normal.jpeg","View")</f>
        <v>View</v>
      </c>
      <c r="P4489" s="11"/>
    </row>
    <row r="4490" spans="1:16" ht="12.75" x14ac:dyDescent="0.35">
      <c r="A4490" s="7">
        <v>42482.939537037033</v>
      </c>
      <c r="B4490" s="8" t="str">
        <f>HYPERLINK("https://twitter.com/zarina_baiba","@zarina_baiba")</f>
        <v>@zarina_baiba</v>
      </c>
      <c r="C4490" s="9" t="s">
        <v>10549</v>
      </c>
      <c r="D4490" s="9" t="s">
        <v>10550</v>
      </c>
      <c r="E4490" s="10" t="str">
        <f>HYPERLINK("https://twitter.com/zarina_baiba/status/723557713532301312","723557713532301312")</f>
        <v>723557713532301312</v>
      </c>
      <c r="F4490" s="11" t="s">
        <v>48</v>
      </c>
      <c r="G4490" s="11">
        <v>1077</v>
      </c>
      <c r="H4490" s="11">
        <v>107</v>
      </c>
      <c r="I4490" s="11">
        <v>0</v>
      </c>
      <c r="J4490" s="11">
        <v>0</v>
      </c>
      <c r="K4490" s="11" t="s">
        <v>21</v>
      </c>
      <c r="L4490" s="7">
        <v>41071.528437499997</v>
      </c>
      <c r="M4490" s="12" t="s">
        <v>10551</v>
      </c>
      <c r="N4490" s="12"/>
      <c r="O4490" s="10" t="str">
        <f>HYPERLINK("https://pbs.twimg.com/profile_images/716659837736775681/K6_4A_3q_normal.jpg","View")</f>
        <v>View</v>
      </c>
      <c r="P4490" s="11"/>
    </row>
    <row r="4491" spans="1:16" ht="12.75" x14ac:dyDescent="0.35">
      <c r="A4491" s="7">
        <v>42482.939629629633</v>
      </c>
      <c r="B4491" s="8" t="str">
        <f>HYPERLINK("https://twitter.com/kev_g1","@kev_g1")</f>
        <v>@kev_g1</v>
      </c>
      <c r="C4491" s="9" t="s">
        <v>10552</v>
      </c>
      <c r="D4491" s="9" t="s">
        <v>10553</v>
      </c>
      <c r="E4491" s="10" t="str">
        <f>HYPERLINK("https://twitter.com/kev_g1/status/723557745572630528","723557745572630528")</f>
        <v>723557745572630528</v>
      </c>
      <c r="F4491" s="11" t="s">
        <v>63</v>
      </c>
      <c r="G4491" s="11">
        <v>773</v>
      </c>
      <c r="H4491" s="11">
        <v>514</v>
      </c>
      <c r="I4491" s="11">
        <v>0</v>
      </c>
      <c r="J4491" s="11">
        <v>0</v>
      </c>
      <c r="K4491" s="11" t="s">
        <v>21</v>
      </c>
      <c r="L4491" s="7">
        <v>40549.934999999998</v>
      </c>
      <c r="M4491" s="12" t="s">
        <v>10554</v>
      </c>
      <c r="N4491" s="12" t="s">
        <v>10555</v>
      </c>
      <c r="O4491" s="10" t="str">
        <f>HYPERLINK("https://pbs.twimg.com/profile_images/669065153179164674/xvN4oZmg_normal.jpg","View")</f>
        <v>View</v>
      </c>
      <c r="P4491" s="11"/>
    </row>
    <row r="4492" spans="1:16" ht="12.75" x14ac:dyDescent="0.35">
      <c r="A4492" s="7">
        <v>42482.939629629633</v>
      </c>
      <c r="B4492" s="8" t="str">
        <f>HYPERLINK("https://twitter.com/DavividAuto","@DavividAuto")</f>
        <v>@DavividAuto</v>
      </c>
      <c r="C4492" s="9" t="s">
        <v>10556</v>
      </c>
      <c r="D4492" s="9" t="s">
        <v>10557</v>
      </c>
      <c r="E4492" s="10" t="str">
        <f>HYPERLINK("https://twitter.com/DavividAuto/status/723557746323427329","723557746323427329")</f>
        <v>723557746323427329</v>
      </c>
      <c r="F4492" s="11" t="s">
        <v>10558</v>
      </c>
      <c r="G4492" s="11">
        <v>11</v>
      </c>
      <c r="H4492" s="11">
        <v>0</v>
      </c>
      <c r="I4492" s="11">
        <v>0</v>
      </c>
      <c r="J4492" s="11">
        <v>0</v>
      </c>
      <c r="K4492" s="11" t="s">
        <v>21</v>
      </c>
      <c r="L4492" s="7">
        <v>41335.690798611111</v>
      </c>
      <c r="M4492" s="12" t="s">
        <v>10559</v>
      </c>
      <c r="N4492" s="12" t="s">
        <v>10560</v>
      </c>
      <c r="O4492" s="10" t="str">
        <f>HYPERLINK("https://pbs.twimg.com/profile_images/3327758026/27857cfcaea6b0da08253f667355784c_normal.jpeg","View")</f>
        <v>View</v>
      </c>
      <c r="P4492" s="11"/>
    </row>
    <row r="4493" spans="1:16" ht="12.75" x14ac:dyDescent="0.35">
      <c r="A4493" s="7">
        <v>42482.939641203702</v>
      </c>
      <c r="B4493" s="8" t="str">
        <f>HYPERLINK("https://twitter.com/VWBeetleSales","@VWBeetleSales")</f>
        <v>@VWBeetleSales</v>
      </c>
      <c r="C4493" s="9" t="s">
        <v>127</v>
      </c>
      <c r="D4493" s="9" t="s">
        <v>10561</v>
      </c>
      <c r="E4493" s="10" t="str">
        <f>HYPERLINK("https://twitter.com/VWBeetleSales/status/723557750731481088","723557750731481088")</f>
        <v>723557750731481088</v>
      </c>
      <c r="F4493" s="10" t="s">
        <v>124</v>
      </c>
      <c r="G4493" s="11">
        <v>36</v>
      </c>
      <c r="H4493" s="11">
        <v>32</v>
      </c>
      <c r="I4493" s="11">
        <v>0</v>
      </c>
      <c r="J4493" s="11">
        <v>0</v>
      </c>
      <c r="K4493" s="11" t="s">
        <v>21</v>
      </c>
      <c r="L4493" s="7">
        <v>42427.019756944443</v>
      </c>
      <c r="M4493" s="12" t="s">
        <v>129</v>
      </c>
      <c r="N4493" s="12" t="s">
        <v>130</v>
      </c>
      <c r="O4493" s="10" t="str">
        <f>HYPERLINK("https://pbs.twimg.com/profile_images/703294545195307008/qeCvrX86_normal.jpg","View")</f>
        <v>View</v>
      </c>
      <c r="P4493" s="11"/>
    </row>
    <row r="4494" spans="1:16" ht="12.75" x14ac:dyDescent="0.35">
      <c r="A4494" s="7">
        <v>42482.939791666664</v>
      </c>
      <c r="B4494" s="8" t="str">
        <f>HYPERLINK("https://twitter.com/seelig85","@seelig85")</f>
        <v>@seelig85</v>
      </c>
      <c r="C4494" s="9" t="s">
        <v>10562</v>
      </c>
      <c r="D4494" s="9" t="s">
        <v>10563</v>
      </c>
      <c r="E4494" s="10" t="str">
        <f>HYPERLINK("https://twitter.com/seelig85/status/723557804359950336","723557804359950336")</f>
        <v>723557804359950336</v>
      </c>
      <c r="F4494" s="11" t="s">
        <v>20</v>
      </c>
      <c r="G4494" s="11">
        <v>45</v>
      </c>
      <c r="H4494" s="11">
        <v>164</v>
      </c>
      <c r="I4494" s="11">
        <v>0</v>
      </c>
      <c r="J4494" s="11">
        <v>0</v>
      </c>
      <c r="K4494" s="11" t="s">
        <v>21</v>
      </c>
      <c r="L4494" s="7">
        <v>40663.712870370371</v>
      </c>
      <c r="M4494" s="12"/>
      <c r="N4494" s="12"/>
      <c r="O4494" s="10" t="str">
        <f>HYPERLINK("https://pbs.twimg.com/profile_images/2740336586/4a1556e715d404a87866125fbfd1d016_normal.jpeg","View")</f>
        <v>View</v>
      </c>
      <c r="P4494" s="11"/>
    </row>
    <row r="4495" spans="1:16" ht="12.75" x14ac:dyDescent="0.35">
      <c r="A4495" s="7">
        <v>42482.940138888887</v>
      </c>
      <c r="B4495" s="8" t="str">
        <f>HYPERLINK("https://twitter.com/doern","@doern")</f>
        <v>@doern</v>
      </c>
      <c r="C4495" s="9" t="s">
        <v>3107</v>
      </c>
      <c r="D4495" s="9" t="s">
        <v>10564</v>
      </c>
      <c r="E4495" s="10" t="str">
        <f>HYPERLINK("https://twitter.com/doern/status/723557929648046080","723557929648046080")</f>
        <v>723557929648046080</v>
      </c>
      <c r="F4495" s="11" t="s">
        <v>20</v>
      </c>
      <c r="G4495" s="11">
        <v>365</v>
      </c>
      <c r="H4495" s="11">
        <v>63</v>
      </c>
      <c r="I4495" s="11">
        <v>1</v>
      </c>
      <c r="J4495" s="11">
        <v>0</v>
      </c>
      <c r="K4495" s="11" t="s">
        <v>21</v>
      </c>
      <c r="L4495" s="7">
        <v>39909.663194444445</v>
      </c>
      <c r="M4495" s="12" t="s">
        <v>262</v>
      </c>
      <c r="N4495" s="12" t="s">
        <v>3109</v>
      </c>
      <c r="O4495" s="10" t="str">
        <f>HYPERLINK("https://pbs.twimg.com/profile_images/657853466384191488/J6vAnfZr_normal.jpg","View")</f>
        <v>View</v>
      </c>
      <c r="P4495" s="11"/>
    </row>
    <row r="4496" spans="1:16" ht="12.75" x14ac:dyDescent="0.35">
      <c r="A4496" s="7">
        <v>42482.940185185187</v>
      </c>
      <c r="B4496" s="8" t="str">
        <f>HYPERLINK("https://twitter.com/AxeelCabj10","@AxeelCabj10")</f>
        <v>@AxeelCabj10</v>
      </c>
      <c r="C4496" s="9" t="s">
        <v>10565</v>
      </c>
      <c r="D4496" s="9" t="s">
        <v>10440</v>
      </c>
      <c r="E4496" s="10" t="str">
        <f>HYPERLINK("https://twitter.com/AxeelCabj10/status/723557949575192580","723557949575192580")</f>
        <v>723557949575192580</v>
      </c>
      <c r="F4496" s="11" t="s">
        <v>48</v>
      </c>
      <c r="G4496" s="11">
        <v>355</v>
      </c>
      <c r="H4496" s="11">
        <v>268</v>
      </c>
      <c r="I4496" s="11">
        <v>16</v>
      </c>
      <c r="J4496" s="11">
        <v>0</v>
      </c>
      <c r="K4496" s="11" t="s">
        <v>21</v>
      </c>
      <c r="L4496" s="7">
        <v>42158.182129629626</v>
      </c>
      <c r="M4496" s="12" t="s">
        <v>4520</v>
      </c>
      <c r="N4496" s="12" t="s">
        <v>10566</v>
      </c>
      <c r="O4496" s="10" t="str">
        <f>HYPERLINK("https://pbs.twimg.com/profile_images/723342722367655936/IEfSLbQG_normal.jpg","View")</f>
        <v>View</v>
      </c>
      <c r="P4496" s="11"/>
    </row>
    <row r="4497" spans="1:16" ht="12.75" x14ac:dyDescent="0.35">
      <c r="A4497" s="7">
        <v>42482.940347222218</v>
      </c>
      <c r="B4497" s="8" t="str">
        <f>HYPERLINK("https://twitter.com/wg12307","@wg12307")</f>
        <v>@wg12307</v>
      </c>
      <c r="C4497" s="9" t="s">
        <v>1326</v>
      </c>
      <c r="D4497" s="9" t="s">
        <v>10567</v>
      </c>
      <c r="E4497" s="10" t="str">
        <f>HYPERLINK("https://twitter.com/wg12307/status/723558006420570112","723558006420570112")</f>
        <v>723558006420570112</v>
      </c>
      <c r="F4497" s="11" t="s">
        <v>243</v>
      </c>
      <c r="G4497" s="11">
        <v>692</v>
      </c>
      <c r="H4497" s="11">
        <v>855</v>
      </c>
      <c r="I4497" s="11">
        <v>1</v>
      </c>
      <c r="J4497" s="11">
        <v>0</v>
      </c>
      <c r="K4497" s="11" t="s">
        <v>21</v>
      </c>
      <c r="L4497" s="7">
        <v>41274.20648148148</v>
      </c>
      <c r="M4497" s="12" t="s">
        <v>1327</v>
      </c>
      <c r="N4497" s="12" t="s">
        <v>1328</v>
      </c>
      <c r="O4497" s="10" t="str">
        <f>HYPERLINK("https://pbs.twimg.com/profile_images/378800000210197475/0dc436cb9044eecbb42d45b90630a327_normal.jpeg","View")</f>
        <v>View</v>
      </c>
      <c r="P4497" s="11"/>
    </row>
    <row r="4498" spans="1:16" ht="12.75" x14ac:dyDescent="0.35">
      <c r="A4498" s="7">
        <v>42482.940405092595</v>
      </c>
      <c r="B4498" s="8" t="str">
        <f>HYPERLINK("https://twitter.com/riversidevw","@riversidevw")</f>
        <v>@riversidevw</v>
      </c>
      <c r="C4498" s="9" t="s">
        <v>4405</v>
      </c>
      <c r="D4498" s="9" t="s">
        <v>10568</v>
      </c>
      <c r="E4498" s="10" t="str">
        <f>HYPERLINK("https://twitter.com/riversidevw/status/723558026494488576","723558026494488576")</f>
        <v>723558026494488576</v>
      </c>
      <c r="F4498" s="11" t="s">
        <v>2694</v>
      </c>
      <c r="G4498" s="11">
        <v>250</v>
      </c>
      <c r="H4498" s="11">
        <v>244</v>
      </c>
      <c r="I4498" s="11">
        <v>1</v>
      </c>
      <c r="J4498" s="11">
        <v>0</v>
      </c>
      <c r="K4498" s="11" t="s">
        <v>21</v>
      </c>
      <c r="L4498" s="7">
        <v>40190.994085648148</v>
      </c>
      <c r="M4498" s="12" t="s">
        <v>4407</v>
      </c>
      <c r="N4498" s="12" t="s">
        <v>4408</v>
      </c>
      <c r="O4498" s="10" t="str">
        <f>HYPERLINK("https://pbs.twimg.com/profile_images/672153171607744512/19k3O2VA_normal.png","View")</f>
        <v>View</v>
      </c>
      <c r="P4498" s="11"/>
    </row>
    <row r="4499" spans="1:16" ht="12.75" x14ac:dyDescent="0.35">
      <c r="A4499" s="7">
        <v>42482.940648148149</v>
      </c>
      <c r="B4499" s="8" t="str">
        <f>HYPERLINK("https://twitter.com/29DavidDs","@29DavidDs")</f>
        <v>@29DavidDs</v>
      </c>
      <c r="C4499" s="9" t="s">
        <v>10569</v>
      </c>
      <c r="D4499" s="9" t="s">
        <v>10249</v>
      </c>
      <c r="E4499" s="10" t="str">
        <f>HYPERLINK("https://twitter.com/29DavidDs/status/723558116885946368","723558116885946368")</f>
        <v>723558116885946368</v>
      </c>
      <c r="F4499" s="11" t="s">
        <v>48</v>
      </c>
      <c r="G4499" s="11">
        <v>358</v>
      </c>
      <c r="H4499" s="11">
        <v>1296</v>
      </c>
      <c r="I4499" s="11">
        <v>10</v>
      </c>
      <c r="J4499" s="11">
        <v>0</v>
      </c>
      <c r="K4499" s="11" t="s">
        <v>21</v>
      </c>
      <c r="L4499" s="7">
        <v>41566.569016203706</v>
      </c>
      <c r="M4499" s="12" t="s">
        <v>10570</v>
      </c>
      <c r="N4499" s="12" t="s">
        <v>10571</v>
      </c>
      <c r="O4499" s="10" t="str">
        <f>HYPERLINK("https://pbs.twimg.com/profile_images/539606735418564610/Q8rRGlM-_normal.jpeg","View")</f>
        <v>View</v>
      </c>
      <c r="P4499" s="11"/>
    </row>
    <row r="4500" spans="1:16" ht="12.75" x14ac:dyDescent="0.35">
      <c r="A4500" s="7">
        <v>42482.940983796296</v>
      </c>
      <c r="B4500" s="8" t="str">
        <f t="shared" ref="B4500:B4502" si="388">HYPERLINK("https://twitter.com/beetlebug1938","@beetlebug1938")</f>
        <v>@beetlebug1938</v>
      </c>
      <c r="C4500" s="9" t="s">
        <v>66</v>
      </c>
      <c r="D4500" s="9" t="s">
        <v>10572</v>
      </c>
      <c r="E4500" s="10" t="str">
        <f>HYPERLINK("https://twitter.com/beetlebug1938/status/723558235605753856","723558235605753856")</f>
        <v>723558235605753856</v>
      </c>
      <c r="F4500" s="11" t="s">
        <v>68</v>
      </c>
      <c r="G4500" s="11">
        <v>355</v>
      </c>
      <c r="H4500" s="11">
        <v>2223</v>
      </c>
      <c r="I4500" s="11">
        <v>1</v>
      </c>
      <c r="J4500" s="11">
        <v>0</v>
      </c>
      <c r="K4500" s="11" t="s">
        <v>21</v>
      </c>
      <c r="L4500" s="7">
        <v>42469.863865740743</v>
      </c>
      <c r="M4500" s="12" t="s">
        <v>69</v>
      </c>
      <c r="N4500" s="12"/>
      <c r="O4500" s="10" t="str">
        <f t="shared" ref="O4500:O4502" si="389">HYPERLINK("https://pbs.twimg.com/profile_images/718820712757215233/LXXndPTS_normal.jpg","View")</f>
        <v>View</v>
      </c>
      <c r="P4500" s="11"/>
    </row>
    <row r="4501" spans="1:16" ht="12.75" x14ac:dyDescent="0.35">
      <c r="A4501" s="7">
        <v>42482.941041666665</v>
      </c>
      <c r="B4501" s="8" t="str">
        <f t="shared" si="388"/>
        <v>@beetlebug1938</v>
      </c>
      <c r="C4501" s="9" t="s">
        <v>66</v>
      </c>
      <c r="D4501" s="9" t="s">
        <v>10573</v>
      </c>
      <c r="E4501" s="10" t="str">
        <f>HYPERLINK("https://twitter.com/beetlebug1938/status/723558258129141760","723558258129141760")</f>
        <v>723558258129141760</v>
      </c>
      <c r="F4501" s="11" t="s">
        <v>68</v>
      </c>
      <c r="G4501" s="11">
        <v>355</v>
      </c>
      <c r="H4501" s="11">
        <v>2223</v>
      </c>
      <c r="I4501" s="11">
        <v>0</v>
      </c>
      <c r="J4501" s="11">
        <v>0</v>
      </c>
      <c r="K4501" s="11" t="s">
        <v>21</v>
      </c>
      <c r="L4501" s="7">
        <v>42469.863865740743</v>
      </c>
      <c r="M4501" s="12" t="s">
        <v>69</v>
      </c>
      <c r="N4501" s="12"/>
      <c r="O4501" s="10" t="str">
        <f t="shared" si="389"/>
        <v>View</v>
      </c>
      <c r="P4501" s="11"/>
    </row>
    <row r="4502" spans="1:16" ht="12.75" x14ac:dyDescent="0.35">
      <c r="A4502" s="7">
        <v>42482.941238425927</v>
      </c>
      <c r="B4502" s="8" t="str">
        <f t="shared" si="388"/>
        <v>@beetlebug1938</v>
      </c>
      <c r="C4502" s="9" t="s">
        <v>66</v>
      </c>
      <c r="D4502" s="9" t="s">
        <v>10574</v>
      </c>
      <c r="E4502" s="10" t="str">
        <f>HYPERLINK("https://twitter.com/beetlebug1938/status/723558330178912258","723558330178912258")</f>
        <v>723558330178912258</v>
      </c>
      <c r="F4502" s="11" t="s">
        <v>68</v>
      </c>
      <c r="G4502" s="11">
        <v>355</v>
      </c>
      <c r="H4502" s="11">
        <v>2223</v>
      </c>
      <c r="I4502" s="11">
        <v>0</v>
      </c>
      <c r="J4502" s="11">
        <v>0</v>
      </c>
      <c r="K4502" s="11" t="s">
        <v>21</v>
      </c>
      <c r="L4502" s="7">
        <v>42469.863865740743</v>
      </c>
      <c r="M4502" s="12" t="s">
        <v>69</v>
      </c>
      <c r="N4502" s="12"/>
      <c r="O4502" s="10" t="str">
        <f t="shared" si="389"/>
        <v>View</v>
      </c>
      <c r="P4502" s="11"/>
    </row>
    <row r="4503" spans="1:16" ht="12.75" x14ac:dyDescent="0.35">
      <c r="A4503" s="7">
        <v>42482.941446759258</v>
      </c>
      <c r="B4503" s="8" t="str">
        <f>HYPERLINK("https://twitter.com/Lapse_of_Reason","@Lapse_of_Reason")</f>
        <v>@Lapse_of_Reason</v>
      </c>
      <c r="C4503" s="9" t="s">
        <v>10575</v>
      </c>
      <c r="D4503" s="9" t="s">
        <v>9547</v>
      </c>
      <c r="E4503" s="10" t="str">
        <f>HYPERLINK("https://twitter.com/Lapse_of_Reason/status/723558403398750208","723558403398750208")</f>
        <v>723558403398750208</v>
      </c>
      <c r="F4503" s="11" t="s">
        <v>20</v>
      </c>
      <c r="G4503" s="11">
        <v>68</v>
      </c>
      <c r="H4503" s="11">
        <v>56</v>
      </c>
      <c r="I4503" s="11">
        <v>12</v>
      </c>
      <c r="J4503" s="11">
        <v>0</v>
      </c>
      <c r="K4503" s="11" t="s">
        <v>21</v>
      </c>
      <c r="L4503" s="7">
        <v>40613.4762037037</v>
      </c>
      <c r="M4503" s="12"/>
      <c r="N4503" s="12"/>
      <c r="O4503" s="10" t="str">
        <f>HYPERLINK("https://pbs.twimg.com/profile_images/473868164984365056/f4BwccpT_normal.jpeg","View")</f>
        <v>View</v>
      </c>
      <c r="P4503" s="11"/>
    </row>
    <row r="4504" spans="1:16" ht="12.75" x14ac:dyDescent="0.35">
      <c r="A4504" s="7">
        <v>42482.941527777773</v>
      </c>
      <c r="B4504" s="8" t="str">
        <f>HYPERLINK("https://twitter.com/HansTheGerman","@HansTheGerman")</f>
        <v>@HansTheGerman</v>
      </c>
      <c r="C4504" s="9" t="s">
        <v>4330</v>
      </c>
      <c r="D4504" s="9" t="s">
        <v>10576</v>
      </c>
      <c r="E4504" s="10" t="str">
        <f>HYPERLINK("https://twitter.com/HansTheGerman/status/723558433182629888","723558433182629888")</f>
        <v>723558433182629888</v>
      </c>
      <c r="F4504" s="11" t="s">
        <v>43</v>
      </c>
      <c r="G4504" s="11">
        <v>314</v>
      </c>
      <c r="H4504" s="11">
        <v>764</v>
      </c>
      <c r="I4504" s="11">
        <v>0</v>
      </c>
      <c r="J4504" s="11">
        <v>0</v>
      </c>
      <c r="K4504" s="11" t="s">
        <v>21</v>
      </c>
      <c r="L4504" s="7">
        <v>39950.572777777779</v>
      </c>
      <c r="M4504" s="12" t="s">
        <v>1116</v>
      </c>
      <c r="N4504" s="12" t="s">
        <v>4332</v>
      </c>
      <c r="O4504" s="10" t="str">
        <f>HYPERLINK("https://pbs.twimg.com/profile_images/3012106875/596e712c99a38ec69b925b7f7ab71986_normal.jpeg","View")</f>
        <v>View</v>
      </c>
      <c r="P4504" s="11"/>
    </row>
    <row r="4505" spans="1:16" ht="12.75" x14ac:dyDescent="0.35">
      <c r="A4505" s="7">
        <v>42482.94153935185</v>
      </c>
      <c r="B4505" s="8" t="str">
        <f>HYPERLINK("https://twitter.com/DuisburgAndreas","@DuisburgAndreas")</f>
        <v>@DuisburgAndreas</v>
      </c>
      <c r="C4505" s="9" t="s">
        <v>10577</v>
      </c>
      <c r="D4505" s="9" t="s">
        <v>10369</v>
      </c>
      <c r="E4505" s="10" t="str">
        <f>HYPERLINK("https://twitter.com/DuisburgAndreas/status/723558436840050688","723558436840050688")</f>
        <v>723558436840050688</v>
      </c>
      <c r="F4505" s="11" t="s">
        <v>91</v>
      </c>
      <c r="G4505" s="11">
        <v>29</v>
      </c>
      <c r="H4505" s="11">
        <v>166</v>
      </c>
      <c r="I4505" s="11">
        <v>5</v>
      </c>
      <c r="J4505" s="11">
        <v>0</v>
      </c>
      <c r="K4505" s="11" t="s">
        <v>21</v>
      </c>
      <c r="L4505" s="7">
        <v>42089.877407407403</v>
      </c>
      <c r="M4505" s="12" t="s">
        <v>10578</v>
      </c>
      <c r="N4505" s="12"/>
      <c r="O4505" s="10" t="str">
        <f>HYPERLINK("https://pbs.twimg.com/profile_images/712642815306702849/PCFg2XhV_normal.jpg","View")</f>
        <v>View</v>
      </c>
      <c r="P4505" s="11"/>
    </row>
    <row r="4506" spans="1:16" ht="12.75" x14ac:dyDescent="0.35">
      <c r="A4506" s="7">
        <v>42482.942245370374</v>
      </c>
      <c r="B4506" s="8" t="str">
        <f>HYPERLINK("https://twitter.com/MorrisseyEnda","@MorrisseyEnda")</f>
        <v>@MorrisseyEnda</v>
      </c>
      <c r="C4506" s="9" t="s">
        <v>10579</v>
      </c>
      <c r="D4506" s="9" t="s">
        <v>9547</v>
      </c>
      <c r="E4506" s="10" t="str">
        <f>HYPERLINK("https://twitter.com/MorrisseyEnda/status/723558693372067840","723558693372067840")</f>
        <v>723558693372067840</v>
      </c>
      <c r="F4506" s="11" t="s">
        <v>48</v>
      </c>
      <c r="G4506" s="11">
        <v>411</v>
      </c>
      <c r="H4506" s="11">
        <v>343</v>
      </c>
      <c r="I4506" s="11">
        <v>12</v>
      </c>
      <c r="J4506" s="11">
        <v>0</v>
      </c>
      <c r="K4506" s="11" t="s">
        <v>21</v>
      </c>
      <c r="L4506" s="7">
        <v>42207.241423611107</v>
      </c>
      <c r="M4506" s="12" t="s">
        <v>10580</v>
      </c>
      <c r="N4506" s="12"/>
      <c r="O4506" s="10" t="str">
        <f>HYPERLINK("https://pbs.twimg.com/profile_images/716866813393563648/zbkYA6aS_normal.jpg","View")</f>
        <v>View</v>
      </c>
      <c r="P4506" s="11"/>
    </row>
    <row r="4507" spans="1:16" ht="12.75" x14ac:dyDescent="0.35">
      <c r="A4507" s="7">
        <v>42482.94226851852</v>
      </c>
      <c r="B4507" s="8" t="str">
        <f>HYPERLINK("https://twitter.com/ParkwayVW","@ParkwayVW")</f>
        <v>@ParkwayVW</v>
      </c>
      <c r="C4507" s="9" t="s">
        <v>10581</v>
      </c>
      <c r="D4507" s="9" t="s">
        <v>10582</v>
      </c>
      <c r="E4507" s="10" t="str">
        <f>HYPERLINK("https://twitter.com/ParkwayVW/status/723558702742003713","723558702742003713")</f>
        <v>723558702742003713</v>
      </c>
      <c r="F4507" s="11" t="s">
        <v>53</v>
      </c>
      <c r="G4507" s="11">
        <v>726</v>
      </c>
      <c r="H4507" s="11">
        <v>1453</v>
      </c>
      <c r="I4507" s="11">
        <v>0</v>
      </c>
      <c r="J4507" s="11">
        <v>0</v>
      </c>
      <c r="K4507" s="11" t="s">
        <v>21</v>
      </c>
      <c r="L4507" s="7">
        <v>40399.911608796298</v>
      </c>
      <c r="M4507" s="12" t="s">
        <v>209</v>
      </c>
      <c r="N4507" s="12" t="s">
        <v>10583</v>
      </c>
      <c r="O4507" s="10" t="str">
        <f>HYPERLINK("https://pbs.twimg.com/profile_images/2635317758/7c2c4ad3f1a9ec07740a743a22591d59_normal.png","View")</f>
        <v>View</v>
      </c>
      <c r="P4507" s="11"/>
    </row>
    <row r="4508" spans="1:16" ht="12.75" x14ac:dyDescent="0.35">
      <c r="A4508" s="7">
        <v>42482.942453703705</v>
      </c>
      <c r="B4508" s="8" t="str">
        <f>HYPERLINK("https://twitter.com/handelsblatt","@handelsblatt")</f>
        <v>@handelsblatt</v>
      </c>
      <c r="C4508" s="9" t="s">
        <v>973</v>
      </c>
      <c r="D4508" s="9" t="s">
        <v>10584</v>
      </c>
      <c r="E4508" s="10" t="str">
        <f>HYPERLINK("https://twitter.com/handelsblatt/status/723558768538165248","723558768538165248")</f>
        <v>723558768538165248</v>
      </c>
      <c r="F4508" s="11" t="s">
        <v>288</v>
      </c>
      <c r="G4508" s="11">
        <v>239945</v>
      </c>
      <c r="H4508" s="11">
        <v>535</v>
      </c>
      <c r="I4508" s="11">
        <v>1</v>
      </c>
      <c r="J4508" s="11">
        <v>0</v>
      </c>
      <c r="K4508" s="11" t="s">
        <v>21</v>
      </c>
      <c r="L4508" s="7">
        <v>39207.128182870372</v>
      </c>
      <c r="M4508" s="12" t="s">
        <v>975</v>
      </c>
      <c r="N4508" s="12" t="s">
        <v>976</v>
      </c>
      <c r="O4508" s="10" t="str">
        <f>HYPERLINK("https://pbs.twimg.com/profile_images/562563461171798017/AkHF4keI_normal.png","View")</f>
        <v>View</v>
      </c>
      <c r="P4508" s="11"/>
    </row>
    <row r="4509" spans="1:16" ht="12.75" x14ac:dyDescent="0.35">
      <c r="A4509" s="7">
        <v>42482.942500000005</v>
      </c>
      <c r="B4509" s="8" t="str">
        <f>HYPERLINK("https://twitter.com/uschaefer","@uschaefer")</f>
        <v>@uschaefer</v>
      </c>
      <c r="C4509" s="9" t="s">
        <v>10585</v>
      </c>
      <c r="D4509" s="9" t="s">
        <v>10586</v>
      </c>
      <c r="E4509" s="10" t="str">
        <f>HYPERLINK("https://twitter.com/uschaefer/status/723558787622285312","723558787622285312")</f>
        <v>723558787622285312</v>
      </c>
      <c r="F4509" s="11" t="s">
        <v>985</v>
      </c>
      <c r="G4509" s="11">
        <v>478</v>
      </c>
      <c r="H4509" s="11">
        <v>607</v>
      </c>
      <c r="I4509" s="11">
        <v>0</v>
      </c>
      <c r="J4509" s="11">
        <v>0</v>
      </c>
      <c r="K4509" s="11" t="s">
        <v>21</v>
      </c>
      <c r="L4509" s="7">
        <v>40312.589467592596</v>
      </c>
      <c r="M4509" s="12"/>
      <c r="N4509" s="12" t="s">
        <v>10587</v>
      </c>
      <c r="O4509" s="10" t="str">
        <f>HYPERLINK("https://pbs.twimg.com/profile_images/899191891/2009-verwischt-1_normal.jpg","View")</f>
        <v>View</v>
      </c>
      <c r="P4509" s="11"/>
    </row>
    <row r="4510" spans="1:16" ht="12.75" x14ac:dyDescent="0.35">
      <c r="A4510" s="7">
        <v>42482.94263888889</v>
      </c>
      <c r="B4510" s="8" t="str">
        <f>HYPERLINK("https://twitter.com/KrahMax","@KrahMax")</f>
        <v>@KrahMax</v>
      </c>
      <c r="C4510" s="9" t="s">
        <v>10588</v>
      </c>
      <c r="D4510" s="9" t="s">
        <v>7189</v>
      </c>
      <c r="E4510" s="10" t="str">
        <f>HYPERLINK("https://twitter.com/KrahMax/status/723558838960545792","723558838960545792")</f>
        <v>723558838960545792</v>
      </c>
      <c r="F4510" s="11" t="s">
        <v>20</v>
      </c>
      <c r="G4510" s="11">
        <v>235</v>
      </c>
      <c r="H4510" s="11">
        <v>164</v>
      </c>
      <c r="I4510" s="11">
        <v>13</v>
      </c>
      <c r="J4510" s="11">
        <v>0</v>
      </c>
      <c r="K4510" s="11" t="s">
        <v>21</v>
      </c>
      <c r="L4510" s="7">
        <v>41314.775127314817</v>
      </c>
      <c r="M4510" s="12"/>
      <c r="N4510" s="12" t="s">
        <v>10589</v>
      </c>
      <c r="O4510" s="10" t="str">
        <f>HYPERLINK("https://pbs.twimg.com/profile_images/3612453508/dcbac1b4aa4a09a930c8e6626941b5ec_normal.jpeg","View")</f>
        <v>View</v>
      </c>
      <c r="P4510" s="11"/>
    </row>
    <row r="4511" spans="1:16" ht="12.75" x14ac:dyDescent="0.35">
      <c r="A4511" s="7">
        <v>42482.943148148144</v>
      </c>
      <c r="B4511" s="8" t="str">
        <f>HYPERLINK("https://twitter.com/MonteZuba","@MonteZuba")</f>
        <v>@MonteZuba</v>
      </c>
      <c r="C4511" s="9" t="s">
        <v>10590</v>
      </c>
      <c r="D4511" s="9" t="s">
        <v>10591</v>
      </c>
      <c r="E4511" s="10" t="str">
        <f>HYPERLINK("https://twitter.com/MonteZuba/status/723559020984950784","723559020984950784")</f>
        <v>723559020984950784</v>
      </c>
      <c r="F4511" s="11" t="s">
        <v>152</v>
      </c>
      <c r="G4511" s="11">
        <v>83</v>
      </c>
      <c r="H4511" s="11">
        <v>129</v>
      </c>
      <c r="I4511" s="11">
        <v>0</v>
      </c>
      <c r="J4511" s="11">
        <v>0</v>
      </c>
      <c r="K4511" s="11" t="s">
        <v>21</v>
      </c>
      <c r="L4511" s="7">
        <v>39199.734490740739</v>
      </c>
      <c r="M4511" s="12" t="s">
        <v>964</v>
      </c>
      <c r="N4511" s="12" t="s">
        <v>10592</v>
      </c>
      <c r="O4511" s="10" t="str">
        <f>HYPERLINK("https://pbs.twimg.com/profile_images/713253883363987456/CD5cDmfc_normal.jpg","View")</f>
        <v>View</v>
      </c>
      <c r="P4511" s="11"/>
    </row>
    <row r="4512" spans="1:16" ht="12.75" x14ac:dyDescent="0.35">
      <c r="A4512" s="7">
        <v>42482.943298611106</v>
      </c>
      <c r="B4512" s="8" t="str">
        <f>HYPERLINK("https://twitter.com/beluluna61","@beluluna61")</f>
        <v>@beluluna61</v>
      </c>
      <c r="C4512" s="9" t="s">
        <v>10456</v>
      </c>
      <c r="D4512" s="9" t="s">
        <v>10593</v>
      </c>
      <c r="E4512" s="10" t="str">
        <f>HYPERLINK("https://twitter.com/beluluna61/status/723559077268324352","723559077268324352")</f>
        <v>723559077268324352</v>
      </c>
      <c r="F4512" s="11" t="s">
        <v>48</v>
      </c>
      <c r="G4512" s="11">
        <v>907</v>
      </c>
      <c r="H4512" s="11">
        <v>617</v>
      </c>
      <c r="I4512" s="11">
        <v>0</v>
      </c>
      <c r="J4512" s="11">
        <v>2</v>
      </c>
      <c r="K4512" s="11" t="s">
        <v>21</v>
      </c>
      <c r="L4512" s="7">
        <v>41564.77648148148</v>
      </c>
      <c r="M4512" s="12"/>
      <c r="N4512" s="12" t="s">
        <v>10457</v>
      </c>
      <c r="O4512" s="10" t="str">
        <f>HYPERLINK("https://pbs.twimg.com/profile_images/603925200019845120/Li9wf9hL_normal.jpg","View")</f>
        <v>View</v>
      </c>
      <c r="P4512" s="11"/>
    </row>
    <row r="4513" spans="1:16" ht="12.75" x14ac:dyDescent="0.35">
      <c r="A4513" s="7">
        <v>42482.943449074075</v>
      </c>
      <c r="B4513" s="8" t="str">
        <f>HYPERLINK("https://twitter.com/Sufiy","@Sufiy")</f>
        <v>@Sufiy</v>
      </c>
      <c r="C4513" s="9" t="s">
        <v>1556</v>
      </c>
      <c r="D4513" s="9" t="s">
        <v>9256</v>
      </c>
      <c r="E4513" s="10" t="str">
        <f>HYPERLINK("https://twitter.com/Sufiy/status/723559128715632640","723559128715632640")</f>
        <v>723559128715632640</v>
      </c>
      <c r="F4513" s="11" t="s">
        <v>91</v>
      </c>
      <c r="G4513" s="11">
        <v>1722</v>
      </c>
      <c r="H4513" s="11">
        <v>2049</v>
      </c>
      <c r="I4513" s="11">
        <v>2</v>
      </c>
      <c r="J4513" s="11">
        <v>0</v>
      </c>
      <c r="K4513" s="11" t="s">
        <v>21</v>
      </c>
      <c r="L4513" s="7">
        <v>39996.211608796293</v>
      </c>
      <c r="M4513" s="12" t="s">
        <v>1557</v>
      </c>
      <c r="N4513" s="12" t="s">
        <v>1558</v>
      </c>
      <c r="O4513" s="10" t="str">
        <f>HYPERLINK("https://pbs.twimg.com/profile_images/292857657/GreenGrowth_normal.jpg","View")</f>
        <v>View</v>
      </c>
      <c r="P4513" s="11"/>
    </row>
    <row r="4514" spans="1:16" ht="12.75" x14ac:dyDescent="0.35">
      <c r="A4514" s="7">
        <v>42482.943831018521</v>
      </c>
      <c r="B4514" s="8" t="str">
        <f>HYPERLINK("https://twitter.com/schoenbornmc","@schoenbornmc")</f>
        <v>@schoenbornmc</v>
      </c>
      <c r="C4514" s="9" t="s">
        <v>7243</v>
      </c>
      <c r="D4514" s="9" t="s">
        <v>10594</v>
      </c>
      <c r="E4514" s="10" t="str">
        <f>HYPERLINK("https://twitter.com/schoenbornmc/status/723559268889272320","723559268889272320")</f>
        <v>723559268889272320</v>
      </c>
      <c r="F4514" s="11" t="s">
        <v>48</v>
      </c>
      <c r="G4514" s="11">
        <v>22</v>
      </c>
      <c r="H4514" s="11">
        <v>358</v>
      </c>
      <c r="I4514" s="11">
        <v>0</v>
      </c>
      <c r="J4514" s="11">
        <v>0</v>
      </c>
      <c r="K4514" s="11" t="s">
        <v>21</v>
      </c>
      <c r="L4514" s="7">
        <v>42433.825694444444</v>
      </c>
      <c r="M4514" s="12" t="s">
        <v>7245</v>
      </c>
      <c r="N4514" s="12" t="s">
        <v>7246</v>
      </c>
      <c r="O4514" s="10" t="str">
        <f>HYPERLINK("https://pbs.twimg.com/profile_images/705812199885967360/9ddZJ66P_normal.jpg","View")</f>
        <v>View</v>
      </c>
      <c r="P4514" s="11"/>
    </row>
    <row r="4515" spans="1:16" ht="12.75" x14ac:dyDescent="0.35">
      <c r="A4515" s="7">
        <v>42482.943969907406</v>
      </c>
      <c r="B4515" s="8" t="str">
        <f>HYPERLINK("https://twitter.com/VolkswagenPost","@VolkswagenPost")</f>
        <v>@VolkswagenPost</v>
      </c>
      <c r="C4515" s="9" t="s">
        <v>321</v>
      </c>
      <c r="D4515" s="9" t="s">
        <v>10595</v>
      </c>
      <c r="E4515" s="10" t="str">
        <f>HYPERLINK("https://twitter.com/VolkswagenPost/status/723559319355187200","723559319355187200")</f>
        <v>723559319355187200</v>
      </c>
      <c r="F4515" s="11" t="s">
        <v>288</v>
      </c>
      <c r="G4515" s="11">
        <v>569</v>
      </c>
      <c r="H4515" s="11">
        <v>446</v>
      </c>
      <c r="I4515" s="11">
        <v>1</v>
      </c>
      <c r="J4515" s="11">
        <v>0</v>
      </c>
      <c r="K4515" s="11" t="s">
        <v>21</v>
      </c>
      <c r="L4515" s="7">
        <v>41940.618379629632</v>
      </c>
      <c r="M4515" s="12"/>
      <c r="N4515" s="12"/>
      <c r="O4515" s="10" t="str">
        <f>HYPERLINK("https://pbs.twimg.com/profile_images/530071272881803264/a_jcCmPZ_normal.png","View")</f>
        <v>View</v>
      </c>
      <c r="P4515" s="11"/>
    </row>
    <row r="4516" spans="1:16" ht="12.75" x14ac:dyDescent="0.35">
      <c r="A4516" s="7">
        <v>42482.944293981476</v>
      </c>
      <c r="B4516" s="8" t="str">
        <f>HYPERLINK("https://twitter.com/RainerRogge","@RainerRogge")</f>
        <v>@RainerRogge</v>
      </c>
      <c r="C4516" s="9" t="s">
        <v>10401</v>
      </c>
      <c r="D4516" s="9" t="s">
        <v>10369</v>
      </c>
      <c r="E4516" s="10" t="str">
        <f>HYPERLINK("https://twitter.com/RainerRogge/status/723559438246940672","723559438246940672")</f>
        <v>723559438246940672</v>
      </c>
      <c r="F4516" s="11" t="s">
        <v>48</v>
      </c>
      <c r="G4516" s="11">
        <v>611</v>
      </c>
      <c r="H4516" s="11">
        <v>485</v>
      </c>
      <c r="I4516" s="11">
        <v>5</v>
      </c>
      <c r="J4516" s="11">
        <v>0</v>
      </c>
      <c r="K4516" s="11" t="s">
        <v>21</v>
      </c>
      <c r="L4516" s="7">
        <v>42028.277465277773</v>
      </c>
      <c r="M4516" s="12" t="s">
        <v>10403</v>
      </c>
      <c r="N4516" s="12" t="s">
        <v>10404</v>
      </c>
      <c r="O4516" s="10" t="str">
        <f>HYPERLINK("https://pbs.twimg.com/profile_images/592417094983102464/xowRMPEE_normal.jpg","View")</f>
        <v>View</v>
      </c>
      <c r="P4516" s="11"/>
    </row>
    <row r="4517" spans="1:16" ht="12.75" x14ac:dyDescent="0.35">
      <c r="A4517" s="7">
        <v>42482.94430555556</v>
      </c>
      <c r="B4517" s="8" t="str">
        <f>HYPERLINK("https://twitter.com/zuputu","@zuputu")</f>
        <v>@zuputu</v>
      </c>
      <c r="C4517" s="9" t="s">
        <v>10596</v>
      </c>
      <c r="D4517" s="9" t="s">
        <v>10597</v>
      </c>
      <c r="E4517" s="10" t="str">
        <f>HYPERLINK("https://twitter.com/zuputu/status/723559440461533184","723559440461533184")</f>
        <v>723559440461533184</v>
      </c>
      <c r="F4517" s="11" t="s">
        <v>48</v>
      </c>
      <c r="G4517" s="11">
        <v>540</v>
      </c>
      <c r="H4517" s="11">
        <v>408</v>
      </c>
      <c r="I4517" s="11">
        <v>0</v>
      </c>
      <c r="J4517" s="11">
        <v>0</v>
      </c>
      <c r="K4517" s="11" t="s">
        <v>21</v>
      </c>
      <c r="L4517" s="7">
        <v>40384.842662037037</v>
      </c>
      <c r="M4517" s="12" t="s">
        <v>10598</v>
      </c>
      <c r="N4517" s="12" t="s">
        <v>10599</v>
      </c>
      <c r="O4517" s="10" t="str">
        <f>HYPERLINK("https://pbs.twimg.com/profile_images/648833734649741312/2dpzinZ3_normal.png","View")</f>
        <v>View</v>
      </c>
      <c r="P4517" s="11"/>
    </row>
    <row r="4518" spans="1:16" ht="12.75" x14ac:dyDescent="0.35">
      <c r="A4518" s="7">
        <v>42482.944780092592</v>
      </c>
      <c r="B4518" s="8" t="str">
        <f>HYPERLINK("https://twitter.com/FlexibleFlier","@FlexibleFlier")</f>
        <v>@FlexibleFlier</v>
      </c>
      <c r="C4518" s="9" t="s">
        <v>10600</v>
      </c>
      <c r="D4518" s="9" t="s">
        <v>9743</v>
      </c>
      <c r="E4518" s="10" t="str">
        <f>HYPERLINK("https://twitter.com/FlexibleFlier/status/723559613363306496","723559613363306496")</f>
        <v>723559613363306496</v>
      </c>
      <c r="F4518" s="11" t="s">
        <v>20</v>
      </c>
      <c r="G4518" s="11">
        <v>263</v>
      </c>
      <c r="H4518" s="11">
        <v>79</v>
      </c>
      <c r="I4518" s="11">
        <v>2</v>
      </c>
      <c r="J4518" s="11">
        <v>0</v>
      </c>
      <c r="K4518" s="11" t="s">
        <v>21</v>
      </c>
      <c r="L4518" s="7">
        <v>40192.458009259259</v>
      </c>
      <c r="M4518" s="12" t="s">
        <v>10601</v>
      </c>
      <c r="N4518" s="12" t="s">
        <v>10602</v>
      </c>
      <c r="O4518" s="10" t="str">
        <f>HYPERLINK("https://pbs.twimg.com/profile_images/723228202114650112/t-hIu_b7_normal.jpg","View")</f>
        <v>View</v>
      </c>
      <c r="P4518" s="11"/>
    </row>
    <row r="4519" spans="1:16" ht="12.75" x14ac:dyDescent="0.35">
      <c r="A4519" s="7">
        <v>42482.945173611108</v>
      </c>
      <c r="B4519" s="8" t="str">
        <f>HYPERLINK("https://twitter.com/AJBalkans","@AJBalkans")</f>
        <v>@AJBalkans</v>
      </c>
      <c r="C4519" s="9" t="s">
        <v>10603</v>
      </c>
      <c r="D4519" s="9" t="s">
        <v>10604</v>
      </c>
      <c r="E4519" s="10" t="str">
        <f>HYPERLINK("https://twitter.com/AJBalkans/status/723559757458640896","723559757458640896")</f>
        <v>723559757458640896</v>
      </c>
      <c r="F4519" s="11" t="s">
        <v>1665</v>
      </c>
      <c r="G4519" s="11">
        <v>131283</v>
      </c>
      <c r="H4519" s="11">
        <v>71</v>
      </c>
      <c r="I4519" s="11">
        <v>0</v>
      </c>
      <c r="J4519" s="11">
        <v>0</v>
      </c>
      <c r="K4519" s="11" t="s">
        <v>21</v>
      </c>
      <c r="L4519" s="7">
        <v>40527.829062500001</v>
      </c>
      <c r="M4519" s="12" t="s">
        <v>10605</v>
      </c>
      <c r="N4519" s="12" t="s">
        <v>10606</v>
      </c>
      <c r="O4519" s="10" t="str">
        <f>HYPERLINK("https://pbs.twimg.com/profile_images/3667160779/b989f7160a0a02a82c53acdaefcb707a_normal.png","View")</f>
        <v>View</v>
      </c>
      <c r="P4519" s="11"/>
    </row>
    <row r="4520" spans="1:16" ht="12.75" x14ac:dyDescent="0.35">
      <c r="A4520" s="7">
        <v>42482.945289351846</v>
      </c>
      <c r="B4520" s="8" t="str">
        <f>HYPERLINK("https://twitter.com/buran63","@buran63")</f>
        <v>@buran63</v>
      </c>
      <c r="C4520" s="9" t="s">
        <v>5473</v>
      </c>
      <c r="D4520" s="9" t="s">
        <v>10607</v>
      </c>
      <c r="E4520" s="10" t="str">
        <f>HYPERLINK("https://twitter.com/buran63/status/723559797384204288","723559797384204288")</f>
        <v>723559797384204288</v>
      </c>
      <c r="F4520" s="11" t="s">
        <v>20</v>
      </c>
      <c r="G4520" s="11">
        <v>1191</v>
      </c>
      <c r="H4520" s="11">
        <v>887</v>
      </c>
      <c r="I4520" s="11">
        <v>0</v>
      </c>
      <c r="J4520" s="11">
        <v>0</v>
      </c>
      <c r="K4520" s="11" t="s">
        <v>21</v>
      </c>
      <c r="L4520" s="7">
        <v>40497.488715277781</v>
      </c>
      <c r="M4520" s="12" t="s">
        <v>5475</v>
      </c>
      <c r="N4520" s="12" t="s">
        <v>5476</v>
      </c>
      <c r="O4520" s="10" t="str">
        <f>HYPERLINK("https://pbs.twimg.com/profile_images/645328399834181632/rWu1bHrC_normal.jpg","View")</f>
        <v>View</v>
      </c>
      <c r="P4520" s="11"/>
    </row>
    <row r="4521" spans="1:16" ht="12.75" x14ac:dyDescent="0.35">
      <c r="A4521" s="7">
        <v>42482.94532407407</v>
      </c>
      <c r="B4521" s="8" t="str">
        <f>HYPERLINK("https://twitter.com/beluluna61","@beluluna61")</f>
        <v>@beluluna61</v>
      </c>
      <c r="C4521" s="9" t="s">
        <v>10456</v>
      </c>
      <c r="D4521" s="9" t="s">
        <v>10608</v>
      </c>
      <c r="E4521" s="10" t="str">
        <f>HYPERLINK("https://twitter.com/beluluna61/status/723559809384112128","723559809384112128")</f>
        <v>723559809384112128</v>
      </c>
      <c r="F4521" s="11" t="s">
        <v>48</v>
      </c>
      <c r="G4521" s="11">
        <v>907</v>
      </c>
      <c r="H4521" s="11">
        <v>617</v>
      </c>
      <c r="I4521" s="11">
        <v>0</v>
      </c>
      <c r="J4521" s="11">
        <v>0</v>
      </c>
      <c r="K4521" s="11" t="s">
        <v>21</v>
      </c>
      <c r="L4521" s="7">
        <v>41564.77648148148</v>
      </c>
      <c r="M4521" s="12"/>
      <c r="N4521" s="12" t="s">
        <v>10457</v>
      </c>
      <c r="O4521" s="10" t="str">
        <f>HYPERLINK("https://pbs.twimg.com/profile_images/603925200019845120/Li9wf9hL_normal.jpg","View")</f>
        <v>View</v>
      </c>
      <c r="P4521" s="11"/>
    </row>
    <row r="4522" spans="1:16" ht="12.75" x14ac:dyDescent="0.35">
      <c r="A4522" s="7">
        <v>42482.945439814815</v>
      </c>
      <c r="B4522" s="8" t="str">
        <f>HYPERLINK("https://twitter.com/Automobilwoche","@Automobilwoche")</f>
        <v>@Automobilwoche</v>
      </c>
      <c r="C4522" s="9" t="s">
        <v>9559</v>
      </c>
      <c r="D4522" s="9" t="s">
        <v>10609</v>
      </c>
      <c r="E4522" s="10" t="str">
        <f>HYPERLINK("https://twitter.com/Automobilwoche/status/723559853558513664","723559853558513664")</f>
        <v>723559853558513664</v>
      </c>
      <c r="F4522" s="11" t="s">
        <v>20</v>
      </c>
      <c r="G4522" s="11">
        <v>2324</v>
      </c>
      <c r="H4522" s="11">
        <v>67</v>
      </c>
      <c r="I4522" s="11">
        <v>2</v>
      </c>
      <c r="J4522" s="11">
        <v>0</v>
      </c>
      <c r="K4522" s="11" t="s">
        <v>21</v>
      </c>
      <c r="L4522" s="7">
        <v>40121.795868055553</v>
      </c>
      <c r="M4522" s="12" t="s">
        <v>9561</v>
      </c>
      <c r="N4522" s="12" t="s">
        <v>9562</v>
      </c>
      <c r="O4522" s="10" t="str">
        <f>HYPERLINK("https://pbs.twimg.com/profile_images/507806117125038081/vOVRGVfm_normal.png","View")</f>
        <v>View</v>
      </c>
      <c r="P4522" s="11"/>
    </row>
    <row r="4523" spans="1:16" ht="12.75" x14ac:dyDescent="0.35">
      <c r="A4523" s="7">
        <v>42482.945590277777</v>
      </c>
      <c r="B4523" s="8" t="str">
        <f>HYPERLINK("https://twitter.com/Sufiy","@Sufiy")</f>
        <v>@Sufiy</v>
      </c>
      <c r="C4523" s="9" t="s">
        <v>1556</v>
      </c>
      <c r="D4523" s="9" t="s">
        <v>10431</v>
      </c>
      <c r="E4523" s="10" t="str">
        <f>HYPERLINK("https://twitter.com/Sufiy/status/723559907451133952","723559907451133952")</f>
        <v>723559907451133952</v>
      </c>
      <c r="F4523" s="11" t="s">
        <v>91</v>
      </c>
      <c r="G4523" s="11">
        <v>1722</v>
      </c>
      <c r="H4523" s="11">
        <v>2049</v>
      </c>
      <c r="I4523" s="11">
        <v>2</v>
      </c>
      <c r="J4523" s="11">
        <v>0</v>
      </c>
      <c r="K4523" s="11" t="s">
        <v>21</v>
      </c>
      <c r="L4523" s="7">
        <v>39996.211608796293</v>
      </c>
      <c r="M4523" s="12" t="s">
        <v>1557</v>
      </c>
      <c r="N4523" s="12" t="s">
        <v>1558</v>
      </c>
      <c r="O4523" s="10" t="str">
        <f>HYPERLINK("https://pbs.twimg.com/profile_images/292857657/GreenGrowth_normal.jpg","View")</f>
        <v>View</v>
      </c>
      <c r="P4523" s="11"/>
    </row>
    <row r="4524" spans="1:16" ht="12.75" x14ac:dyDescent="0.35">
      <c r="A4524" s="7">
        <v>42482.945879629631</v>
      </c>
      <c r="B4524" s="8" t="str">
        <f>HYPERLINK("https://twitter.com/agy_nes","@agy_nes")</f>
        <v>@agy_nes</v>
      </c>
      <c r="C4524" s="9" t="s">
        <v>8793</v>
      </c>
      <c r="D4524" s="9" t="s">
        <v>10609</v>
      </c>
      <c r="E4524" s="10" t="str">
        <f>HYPERLINK("https://twitter.com/agy_nes/status/723560009699872768","723560009699872768")</f>
        <v>723560009699872768</v>
      </c>
      <c r="F4524" s="11" t="s">
        <v>20</v>
      </c>
      <c r="G4524" s="11">
        <v>535</v>
      </c>
      <c r="H4524" s="11">
        <v>1020</v>
      </c>
      <c r="I4524" s="11">
        <v>2</v>
      </c>
      <c r="J4524" s="11">
        <v>0</v>
      </c>
      <c r="K4524" s="11" t="s">
        <v>21</v>
      </c>
      <c r="L4524" s="7">
        <v>39870.776435185187</v>
      </c>
      <c r="M4524" s="12" t="s">
        <v>1931</v>
      </c>
      <c r="N4524" s="12" t="s">
        <v>8795</v>
      </c>
      <c r="O4524" s="10" t="str">
        <f>HYPERLINK("https://pbs.twimg.com/profile_images/721572226600943616/rLXy7VpS_normal.jpg","View")</f>
        <v>View</v>
      </c>
      <c r="P4524" s="11"/>
    </row>
    <row r="4525" spans="1:16" ht="12.75" x14ac:dyDescent="0.35">
      <c r="A4525" s="7">
        <v>42482.945879629631</v>
      </c>
      <c r="B4525" s="8" t="str">
        <f>HYPERLINK("https://twitter.com/MELODyINTL","@MELODyINTL")</f>
        <v>@MELODyINTL</v>
      </c>
      <c r="C4525" s="8" t="s">
        <v>10610</v>
      </c>
      <c r="D4525" s="9" t="s">
        <v>10611</v>
      </c>
      <c r="E4525" s="10" t="str">
        <f>HYPERLINK("https://twitter.com/MELODyINTL/status/723560010781958144","723560010781958144")</f>
        <v>723560010781958144</v>
      </c>
      <c r="F4525" s="10" t="s">
        <v>2083</v>
      </c>
      <c r="G4525" s="11">
        <v>1955</v>
      </c>
      <c r="H4525" s="11">
        <v>2655</v>
      </c>
      <c r="I4525" s="11">
        <v>0</v>
      </c>
      <c r="J4525" s="11">
        <v>0</v>
      </c>
      <c r="K4525" s="11" t="s">
        <v>21</v>
      </c>
      <c r="L4525" s="7">
        <v>39521.012986111113</v>
      </c>
      <c r="M4525" s="12" t="s">
        <v>10612</v>
      </c>
      <c r="N4525" s="12" t="s">
        <v>10613</v>
      </c>
      <c r="O4525" s="10" t="str">
        <f>HYPERLINK("https://pbs.twimg.com/profile_images/414433635630972930/Az3NgOcg_normal.jpeg","View")</f>
        <v>View</v>
      </c>
      <c r="P4525" s="11"/>
    </row>
    <row r="4526" spans="1:16" ht="12.75" x14ac:dyDescent="0.35">
      <c r="A4526" s="7">
        <v>42482.946643518517</v>
      </c>
      <c r="B4526" s="8" t="str">
        <f>HYPERLINK("https://twitter.com/benny__flow","@benny__flow")</f>
        <v>@benny__flow</v>
      </c>
      <c r="C4526" s="9" t="s">
        <v>10614</v>
      </c>
      <c r="D4526" s="9" t="s">
        <v>10615</v>
      </c>
      <c r="E4526" s="10" t="str">
        <f>HYPERLINK("https://twitter.com/benny__flow/status/723560289489281024","723560289489281024")</f>
        <v>723560289489281024</v>
      </c>
      <c r="F4526" s="11" t="s">
        <v>367</v>
      </c>
      <c r="G4526" s="11">
        <v>31</v>
      </c>
      <c r="H4526" s="11">
        <v>197</v>
      </c>
      <c r="I4526" s="11">
        <v>1</v>
      </c>
      <c r="J4526" s="11">
        <v>0</v>
      </c>
      <c r="K4526" s="11" t="s">
        <v>21</v>
      </c>
      <c r="L4526" s="7">
        <v>42122.818761574075</v>
      </c>
      <c r="M4526" s="12" t="s">
        <v>1116</v>
      </c>
      <c r="N4526" s="12" t="s">
        <v>10616</v>
      </c>
      <c r="O4526" s="10" t="str">
        <f>HYPERLINK("https://pbs.twimg.com/profile_images/615834327209897984/8GKZrpQd_normal.jpg","View")</f>
        <v>View</v>
      </c>
      <c r="P4526" s="11"/>
    </row>
    <row r="4527" spans="1:16" ht="12.75" x14ac:dyDescent="0.35">
      <c r="A4527" s="7">
        <v>42482.946828703702</v>
      </c>
      <c r="B4527" s="8" t="str">
        <f>HYPERLINK("https://twitter.com/JuergenGust","@JuergenGust")</f>
        <v>@JuergenGust</v>
      </c>
      <c r="C4527" s="9" t="s">
        <v>10617</v>
      </c>
      <c r="D4527" s="9" t="s">
        <v>10618</v>
      </c>
      <c r="E4527" s="10" t="str">
        <f>HYPERLINK("https://twitter.com/JuergenGust/status/723560356988235776","723560356988235776")</f>
        <v>723560356988235776</v>
      </c>
      <c r="F4527" s="11" t="s">
        <v>43</v>
      </c>
      <c r="G4527" s="11">
        <v>8</v>
      </c>
      <c r="H4527" s="11">
        <v>79</v>
      </c>
      <c r="I4527" s="11">
        <v>0</v>
      </c>
      <c r="J4527" s="11">
        <v>0</v>
      </c>
      <c r="K4527" s="11" t="s">
        <v>21</v>
      </c>
      <c r="L4527" s="7">
        <v>40808.974189814813</v>
      </c>
      <c r="M4527" s="12" t="s">
        <v>10619</v>
      </c>
      <c r="N4527" s="12" t="s">
        <v>10620</v>
      </c>
      <c r="O4527" s="10" t="str">
        <f>HYPERLINK("https://pbs.twimg.com/profile_images/378800000398979228/64c134c6a4248309be34587d7728c08e_normal.jpeg","View")</f>
        <v>View</v>
      </c>
      <c r="P4527" s="11"/>
    </row>
    <row r="4528" spans="1:16" ht="12.75" x14ac:dyDescent="0.35">
      <c r="A4528" s="7">
        <v>42482.947384259256</v>
      </c>
      <c r="B4528" s="8" t="str">
        <f>HYPERLINK("https://twitter.com/golfturkiye","@golfturkiye")</f>
        <v>@golfturkiye</v>
      </c>
      <c r="C4528" s="9" t="s">
        <v>4593</v>
      </c>
      <c r="D4528" s="9" t="s">
        <v>10621</v>
      </c>
      <c r="E4528" s="10" t="str">
        <f>HYPERLINK("https://twitter.com/golfturkiye/status/723560555399794688","723560555399794688")</f>
        <v>723560555399794688</v>
      </c>
      <c r="F4528" s="11" t="s">
        <v>4595</v>
      </c>
      <c r="G4528" s="11">
        <v>833</v>
      </c>
      <c r="H4528" s="11">
        <v>1</v>
      </c>
      <c r="I4528" s="11">
        <v>0</v>
      </c>
      <c r="J4528" s="11">
        <v>0</v>
      </c>
      <c r="K4528" s="11" t="s">
        <v>21</v>
      </c>
      <c r="L4528" s="7">
        <v>41097.832256944443</v>
      </c>
      <c r="M4528" s="12"/>
      <c r="N4528" s="12" t="s">
        <v>4596</v>
      </c>
      <c r="O4528" s="10" t="str">
        <f>HYPERLINK("https://pbs.twimg.com/profile_images/2908590566/828967841f09b515ee36e3dfccea4d28_normal.png","View")</f>
        <v>View</v>
      </c>
      <c r="P4528" s="11"/>
    </row>
    <row r="4529" spans="1:16" ht="12.75" x14ac:dyDescent="0.35">
      <c r="A4529" s="7">
        <v>42482.947523148148</v>
      </c>
      <c r="B4529" s="8" t="str">
        <f>HYPERLINK("https://twitter.com/mmmsex3014","@mmmsex3014")</f>
        <v>@mmmsex3014</v>
      </c>
      <c r="C4529" s="9" t="s">
        <v>10622</v>
      </c>
      <c r="D4529" s="9" t="s">
        <v>10249</v>
      </c>
      <c r="E4529" s="10" t="str">
        <f>HYPERLINK("https://twitter.com/mmmsex3014/status/723560605383270401","723560605383270401")</f>
        <v>723560605383270401</v>
      </c>
      <c r="F4529" s="11" t="s">
        <v>48</v>
      </c>
      <c r="G4529" s="11">
        <v>257</v>
      </c>
      <c r="H4529" s="11">
        <v>1478</v>
      </c>
      <c r="I4529" s="11">
        <v>10</v>
      </c>
      <c r="J4529" s="11">
        <v>0</v>
      </c>
      <c r="K4529" s="11" t="s">
        <v>21</v>
      </c>
      <c r="L4529" s="7">
        <v>41566.867233796293</v>
      </c>
      <c r="M4529" s="12"/>
      <c r="N4529" s="12"/>
      <c r="O4529" s="10" t="str">
        <f>HYPERLINK("https://pbs.twimg.com/profile_images/539529863221506048/QpFCnWb0_normal.jpeg","View")</f>
        <v>View</v>
      </c>
      <c r="P4529" s="11"/>
    </row>
    <row r="4530" spans="1:16" ht="12.75" x14ac:dyDescent="0.35">
      <c r="A4530" s="7">
        <v>42482.947708333333</v>
      </c>
      <c r="B4530" s="8" t="str">
        <f>HYPERLINK("https://twitter.com/LeKWiNK","@LeKWiNK")</f>
        <v>@LeKWiNK</v>
      </c>
      <c r="C4530" s="9" t="s">
        <v>10623</v>
      </c>
      <c r="D4530" s="9" t="s">
        <v>10624</v>
      </c>
      <c r="E4530" s="10" t="str">
        <f>HYPERLINK("https://twitter.com/LeKWiNK/status/723560672533958657","723560672533958657")</f>
        <v>723560672533958657</v>
      </c>
      <c r="F4530" s="11" t="s">
        <v>152</v>
      </c>
      <c r="G4530" s="11">
        <v>10004</v>
      </c>
      <c r="H4530" s="11">
        <v>384</v>
      </c>
      <c r="I4530" s="11">
        <v>0</v>
      </c>
      <c r="J4530" s="11">
        <v>3</v>
      </c>
      <c r="K4530" s="11" t="s">
        <v>21</v>
      </c>
      <c r="L4530" s="7">
        <v>39938.714224537034</v>
      </c>
      <c r="M4530" s="12" t="s">
        <v>10625</v>
      </c>
      <c r="N4530" s="12" t="s">
        <v>10626</v>
      </c>
      <c r="O4530" s="10" t="str">
        <f>HYPERLINK("https://pbs.twimg.com/profile_images/477065465605287936/rI61cGTI_normal.jpeg","View")</f>
        <v>View</v>
      </c>
      <c r="P4530" s="11"/>
    </row>
    <row r="4531" spans="1:16" ht="12.75" x14ac:dyDescent="0.35">
      <c r="A4531" s="7">
        <v>42482.947951388887</v>
      </c>
      <c r="B4531" s="8" t="str">
        <f>HYPERLINK("https://twitter.com/FuscaWorld","@FuscaWorld")</f>
        <v>@FuscaWorld</v>
      </c>
      <c r="C4531" s="9" t="s">
        <v>74</v>
      </c>
      <c r="D4531" s="9" t="s">
        <v>10627</v>
      </c>
      <c r="E4531" s="10" t="str">
        <f>HYPERLINK("https://twitter.com/FuscaWorld/status/723560763269480448","723560763269480448")</f>
        <v>723560763269480448</v>
      </c>
      <c r="F4531" s="11" t="s">
        <v>76</v>
      </c>
      <c r="G4531" s="11">
        <v>49</v>
      </c>
      <c r="H4531" s="11">
        <v>1</v>
      </c>
      <c r="I4531" s="11">
        <v>1</v>
      </c>
      <c r="J4531" s="11">
        <v>0</v>
      </c>
      <c r="K4531" s="11" t="s">
        <v>21</v>
      </c>
      <c r="L4531" s="7">
        <v>42433.880914351852</v>
      </c>
      <c r="M4531" s="12"/>
      <c r="N4531" s="12" t="s">
        <v>77</v>
      </c>
      <c r="O4531" s="10" t="str">
        <f>HYPERLINK("https://pbs.twimg.com/profile_images/705780107844067328/e7O4UBNb_normal.jpg","View")</f>
        <v>View</v>
      </c>
      <c r="P4531" s="11"/>
    </row>
    <row r="4532" spans="1:16" ht="12.75" x14ac:dyDescent="0.35">
      <c r="A4532" s="7">
        <v>42482.94803240741</v>
      </c>
      <c r="B4532" s="8" t="str">
        <f>HYPERLINK("https://twitter.com/ltsMnorita","@ltsMnorita")</f>
        <v>@ltsMnorita</v>
      </c>
      <c r="C4532" s="9" t="s">
        <v>10628</v>
      </c>
      <c r="D4532" s="9" t="s">
        <v>10249</v>
      </c>
      <c r="E4532" s="10" t="str">
        <f>HYPERLINK("https://twitter.com/ltsMnorita/status/723560790322741248","723560790322741248")</f>
        <v>723560790322741248</v>
      </c>
      <c r="F4532" s="11" t="s">
        <v>48</v>
      </c>
      <c r="G4532" s="11">
        <v>307</v>
      </c>
      <c r="H4532" s="11">
        <v>113</v>
      </c>
      <c r="I4532" s="11">
        <v>10</v>
      </c>
      <c r="J4532" s="11">
        <v>0</v>
      </c>
      <c r="K4532" s="11" t="s">
        <v>21</v>
      </c>
      <c r="L4532" s="7">
        <v>41566.914525462962</v>
      </c>
      <c r="M4532" s="12" t="s">
        <v>10629</v>
      </c>
      <c r="N4532" s="12"/>
      <c r="O4532" s="10" t="str">
        <f>HYPERLINK("https://pbs.twimg.com/profile_images/539533854718300160/y57f289p_normal.jpeg","View")</f>
        <v>View</v>
      </c>
      <c r="P4532" s="11"/>
    </row>
    <row r="4533" spans="1:16" ht="12.75" x14ac:dyDescent="0.35">
      <c r="A4533" s="7">
        <v>42482.94804398148</v>
      </c>
      <c r="B4533" s="8" t="str">
        <f>HYPERLINK("https://twitter.com/acvwpassion","@acvwpassion")</f>
        <v>@acvwpassion</v>
      </c>
      <c r="C4533" s="9" t="s">
        <v>4671</v>
      </c>
      <c r="D4533" s="9" t="s">
        <v>10630</v>
      </c>
      <c r="E4533" s="10" t="str">
        <f>HYPERLINK("https://twitter.com/acvwpassion/status/723560796391899136","723560796391899136")</f>
        <v>723560796391899136</v>
      </c>
      <c r="F4533" s="11" t="s">
        <v>152</v>
      </c>
      <c r="G4533" s="11">
        <v>241</v>
      </c>
      <c r="H4533" s="11">
        <v>409</v>
      </c>
      <c r="I4533" s="11">
        <v>0</v>
      </c>
      <c r="J4533" s="11">
        <v>0</v>
      </c>
      <c r="K4533" s="11" t="s">
        <v>21</v>
      </c>
      <c r="L4533" s="7">
        <v>41989.101851851854</v>
      </c>
      <c r="M4533" s="12" t="s">
        <v>4673</v>
      </c>
      <c r="N4533" s="12" t="s">
        <v>4674</v>
      </c>
      <c r="O4533" s="10" t="str">
        <f>HYPERLINK("https://pbs.twimg.com/profile_images/545688359964651520/SF3sJ7lv_normal.jpeg","View")</f>
        <v>View</v>
      </c>
      <c r="P4533" s="11"/>
    </row>
    <row r="4534" spans="1:16" ht="12.75" x14ac:dyDescent="0.35">
      <c r="A4534" s="7">
        <v>42482.948506944449</v>
      </c>
      <c r="B4534" s="8" t="str">
        <f>HYPERLINK("https://twitter.com/claudiolegui4","@claudiolegui4")</f>
        <v>@claudiolegui4</v>
      </c>
      <c r="C4534" s="9" t="s">
        <v>10631</v>
      </c>
      <c r="D4534" s="9" t="s">
        <v>10440</v>
      </c>
      <c r="E4534" s="10" t="str">
        <f>HYPERLINK("https://twitter.com/claudiolegui4/status/723560961819422720","723560961819422720")</f>
        <v>723560961819422720</v>
      </c>
      <c r="F4534" s="11" t="s">
        <v>43</v>
      </c>
      <c r="G4534" s="11">
        <v>139</v>
      </c>
      <c r="H4534" s="11">
        <v>183</v>
      </c>
      <c r="I4534" s="11">
        <v>16</v>
      </c>
      <c r="J4534" s="11">
        <v>0</v>
      </c>
      <c r="K4534" s="11" t="s">
        <v>21</v>
      </c>
      <c r="L4534" s="7">
        <v>42304.176990740743</v>
      </c>
      <c r="M4534" s="12"/>
      <c r="N4534" s="12" t="s">
        <v>10632</v>
      </c>
      <c r="O4534" s="10" t="str">
        <f>HYPERLINK("https://pbs.twimg.com/profile_images/693141107933343744/SNTL-n-D_normal.jpg","View")</f>
        <v>View</v>
      </c>
      <c r="P4534" s="11"/>
    </row>
    <row r="4535" spans="1:16" ht="12.75" x14ac:dyDescent="0.35">
      <c r="A4535" s="7">
        <v>42482.948587962965</v>
      </c>
      <c r="B4535" s="8" t="str">
        <f>HYPERLINK("https://twitter.com/AnikoMerten","@AnikoMerten")</f>
        <v>@AnikoMerten</v>
      </c>
      <c r="C4535" s="9" t="s">
        <v>10633</v>
      </c>
      <c r="D4535" s="9" t="s">
        <v>10493</v>
      </c>
      <c r="E4535" s="10" t="str">
        <f>HYPERLINK("https://twitter.com/AnikoMerten/status/723560991821312001","723560991821312001")</f>
        <v>723560991821312001</v>
      </c>
      <c r="F4535" s="11" t="s">
        <v>20</v>
      </c>
      <c r="G4535" s="11">
        <v>223</v>
      </c>
      <c r="H4535" s="11">
        <v>532</v>
      </c>
      <c r="I4535" s="11">
        <v>4</v>
      </c>
      <c r="J4535" s="11">
        <v>0</v>
      </c>
      <c r="K4535" s="11" t="s">
        <v>21</v>
      </c>
      <c r="L4535" s="7">
        <v>41771.060601851852</v>
      </c>
      <c r="M4535" s="12" t="s">
        <v>2682</v>
      </c>
      <c r="N4535" s="12" t="s">
        <v>10634</v>
      </c>
      <c r="O4535" s="10" t="str">
        <f>HYPERLINK("https://pbs.twimg.com/profile_images/717427363286532096/HFZckPZQ_normal.jpg","View")</f>
        <v>View</v>
      </c>
      <c r="P4535" s="11"/>
    </row>
    <row r="4536" spans="1:16" ht="12.75" x14ac:dyDescent="0.35">
      <c r="A4536" s="7">
        <v>42482.948749999996</v>
      </c>
      <c r="B4536" s="8" t="str">
        <f>HYPERLINK("https://twitter.com/ASAPAutoSales23","@ASAPAutoSales23")</f>
        <v>@ASAPAutoSales23</v>
      </c>
      <c r="C4536" s="9" t="s">
        <v>10635</v>
      </c>
      <c r="D4536" s="9" t="s">
        <v>10636</v>
      </c>
      <c r="E4536" s="10" t="str">
        <f>HYPERLINK("https://twitter.com/ASAPAutoSales23/status/723561051074207744","723561051074207744")</f>
        <v>723561051074207744</v>
      </c>
      <c r="F4536" s="11" t="s">
        <v>10637</v>
      </c>
      <c r="G4536" s="11">
        <v>2</v>
      </c>
      <c r="H4536" s="11">
        <v>5</v>
      </c>
      <c r="I4536" s="11">
        <v>0</v>
      </c>
      <c r="J4536" s="11">
        <v>0</v>
      </c>
      <c r="K4536" s="11" t="s">
        <v>21</v>
      </c>
      <c r="L4536" s="7">
        <v>41584.954143518517</v>
      </c>
      <c r="M4536" s="12" t="s">
        <v>10638</v>
      </c>
      <c r="N4536" s="12" t="s">
        <v>10639</v>
      </c>
      <c r="O4536" s="10" t="str">
        <f>HYPERLINK("https://pbs.twimg.com/profile_images/652241792293691392/pNutIKYH_normal.png","View")</f>
        <v>View</v>
      </c>
      <c r="P4536" s="11"/>
    </row>
    <row r="4537" spans="1:16" ht="12.75" x14ac:dyDescent="0.35">
      <c r="A4537" s="7">
        <v>42482.949293981481</v>
      </c>
      <c r="B4537" s="8" t="str">
        <f>HYPERLINK("https://twitter.com/AK75_Andi","@AK75_Andi")</f>
        <v>@AK75_Andi</v>
      </c>
      <c r="C4537" s="9" t="s">
        <v>10640</v>
      </c>
      <c r="D4537" s="9" t="s">
        <v>7288</v>
      </c>
      <c r="E4537" s="10" t="str">
        <f>HYPERLINK("https://twitter.com/AK75_Andi/status/723561247959031808","723561247959031808")</f>
        <v>723561247959031808</v>
      </c>
      <c r="F4537" s="11" t="s">
        <v>43</v>
      </c>
      <c r="G4537" s="11">
        <v>84</v>
      </c>
      <c r="H4537" s="11">
        <v>88</v>
      </c>
      <c r="I4537" s="11">
        <v>2</v>
      </c>
      <c r="J4537" s="11">
        <v>0</v>
      </c>
      <c r="K4537" s="11" t="s">
        <v>21</v>
      </c>
      <c r="L4537" s="7">
        <v>42196.389432870375</v>
      </c>
      <c r="M4537" s="12" t="s">
        <v>4890</v>
      </c>
      <c r="N4537" s="12"/>
      <c r="O4537" s="10" t="str">
        <f>HYPERLINK("https://pbs.twimg.com/profile_images/639226902847336449/weajyr2s_normal.jpg","View")</f>
        <v>View</v>
      </c>
      <c r="P4537" s="11"/>
    </row>
    <row r="4538" spans="1:16" ht="12.75" x14ac:dyDescent="0.35">
      <c r="A4538" s="7">
        <v>42482.949849537035</v>
      </c>
      <c r="B4538" s="8" t="str">
        <f>HYPERLINK("https://twitter.com/dwnews","@dwnews")</f>
        <v>@dwnews</v>
      </c>
      <c r="C4538" s="9" t="s">
        <v>1302</v>
      </c>
      <c r="D4538" s="9" t="s">
        <v>10641</v>
      </c>
      <c r="E4538" s="10" t="str">
        <f>HYPERLINK("https://twitter.com/dwnews/status/723561448966893568","723561448966893568")</f>
        <v>723561448966893568</v>
      </c>
      <c r="F4538" s="11" t="s">
        <v>63</v>
      </c>
      <c r="G4538" s="11">
        <v>91267</v>
      </c>
      <c r="H4538" s="11">
        <v>542</v>
      </c>
      <c r="I4538" s="11">
        <v>3</v>
      </c>
      <c r="J4538" s="11">
        <v>0</v>
      </c>
      <c r="K4538" s="11" t="s">
        <v>21</v>
      </c>
      <c r="L4538" s="7">
        <v>39220.688078703708</v>
      </c>
      <c r="M4538" s="12" t="s">
        <v>1303</v>
      </c>
      <c r="N4538" s="12" t="s">
        <v>1304</v>
      </c>
      <c r="O4538" s="10" t="str">
        <f>HYPERLINK("https://pbs.twimg.com/profile_images/608213167496417280/QSxgcLn__normal.png","View")</f>
        <v>View</v>
      </c>
      <c r="P4538" s="11"/>
    </row>
    <row r="4539" spans="1:16" ht="12.75" x14ac:dyDescent="0.35">
      <c r="A4539" s="7">
        <v>42482.950277777782</v>
      </c>
      <c r="B4539" s="8" t="str">
        <f>HYPERLINK("https://twitter.com/vwdepo","@vwdepo")</f>
        <v>@vwdepo</v>
      </c>
      <c r="C4539" s="9" t="s">
        <v>134</v>
      </c>
      <c r="D4539" s="9" t="s">
        <v>10642</v>
      </c>
      <c r="E4539" s="10" t="str">
        <f>HYPERLINK("https://twitter.com/vwdepo/status/723561607037485056","723561607037485056")</f>
        <v>723561607037485056</v>
      </c>
      <c r="F4539" s="11" t="s">
        <v>53</v>
      </c>
      <c r="G4539" s="11">
        <v>784</v>
      </c>
      <c r="H4539" s="11">
        <v>384</v>
      </c>
      <c r="I4539" s="11">
        <v>0</v>
      </c>
      <c r="J4539" s="11">
        <v>0</v>
      </c>
      <c r="K4539" s="11" t="s">
        <v>21</v>
      </c>
      <c r="L4539" s="7">
        <v>39891.992905092593</v>
      </c>
      <c r="M4539" s="12" t="s">
        <v>136</v>
      </c>
      <c r="N4539" s="12" t="s">
        <v>137</v>
      </c>
      <c r="O4539" s="10" t="str">
        <f>HYPERLINK("https://pbs.twimg.com/profile_images/3378184537/c20ae9a7a410821b4f189c34a63380f7_normal.png","View")</f>
        <v>View</v>
      </c>
      <c r="P4539" s="11"/>
    </row>
    <row r="4540" spans="1:16" ht="12.75" x14ac:dyDescent="0.35">
      <c r="A4540" s="7">
        <v>42482.950370370367</v>
      </c>
      <c r="B4540" s="8" t="str">
        <f>HYPERLINK("https://twitter.com/Eepi9","@Eepi9")</f>
        <v>@Eepi9</v>
      </c>
      <c r="C4540" s="9" t="s">
        <v>10643</v>
      </c>
      <c r="D4540" s="9" t="s">
        <v>10644</v>
      </c>
      <c r="E4540" s="10" t="str">
        <f>HYPERLINK("https://twitter.com/Eepi9/status/723561637848985601","723561637848985601")</f>
        <v>723561637848985601</v>
      </c>
      <c r="F4540" s="11" t="s">
        <v>48</v>
      </c>
      <c r="G4540" s="11">
        <v>133</v>
      </c>
      <c r="H4540" s="11">
        <v>575</v>
      </c>
      <c r="I4540" s="11">
        <v>0</v>
      </c>
      <c r="J4540" s="11">
        <v>0</v>
      </c>
      <c r="K4540" s="11" t="s">
        <v>21</v>
      </c>
      <c r="L4540" s="7">
        <v>41250.792673611111</v>
      </c>
      <c r="M4540" s="12"/>
      <c r="N4540" s="12" t="s">
        <v>10645</v>
      </c>
      <c r="O4540" s="10" t="str">
        <f>HYPERLINK("https://pbs.twimg.com/profile_images/448931484188295169/hYLs47Ot_normal.jpeg","View")</f>
        <v>View</v>
      </c>
      <c r="P4540" s="11"/>
    </row>
    <row r="4541" spans="1:16" ht="12.75" x14ac:dyDescent="0.35">
      <c r="A4541" s="7">
        <v>42482.950578703705</v>
      </c>
      <c r="B4541" s="8" t="str">
        <f>HYPERLINK("https://twitter.com/Motochen","@Motochen")</f>
        <v>@Motochen</v>
      </c>
      <c r="C4541" s="9" t="s">
        <v>10646</v>
      </c>
      <c r="D4541" s="9" t="s">
        <v>8337</v>
      </c>
      <c r="E4541" s="10" t="str">
        <f>HYPERLINK("https://twitter.com/Motochen/status/723561712763428865","723561712763428865")</f>
        <v>723561712763428865</v>
      </c>
      <c r="F4541" s="11" t="s">
        <v>43</v>
      </c>
      <c r="G4541" s="11">
        <v>282</v>
      </c>
      <c r="H4541" s="11">
        <v>823</v>
      </c>
      <c r="I4541" s="11">
        <v>2</v>
      </c>
      <c r="J4541" s="11">
        <v>0</v>
      </c>
      <c r="K4541" s="11" t="s">
        <v>21</v>
      </c>
      <c r="L4541" s="7">
        <v>40155.594085648147</v>
      </c>
      <c r="M4541" s="12" t="s">
        <v>10647</v>
      </c>
      <c r="N4541" s="12" t="s">
        <v>10648</v>
      </c>
      <c r="O4541" s="10" t="str">
        <f>HYPERLINK("https://pbs.twimg.com/profile_images/535814697090437121/TPDCbTEw_normal.jpeg","View")</f>
        <v>View</v>
      </c>
      <c r="P4541" s="11"/>
    </row>
    <row r="4542" spans="1:16" ht="12.75" x14ac:dyDescent="0.35">
      <c r="A4542" s="7">
        <v>42482.950972222221</v>
      </c>
      <c r="B4542" s="8" t="str">
        <f>HYPERLINK("https://twitter.com/Steckelton","@Steckelton")</f>
        <v>@Steckelton</v>
      </c>
      <c r="C4542" s="9" t="s">
        <v>10649</v>
      </c>
      <c r="D4542" s="9" t="s">
        <v>10650</v>
      </c>
      <c r="E4542" s="10" t="str">
        <f>HYPERLINK("https://twitter.com/Steckelton/status/723561858934906881","723561858934906881")</f>
        <v>723561858934906881</v>
      </c>
      <c r="F4542" s="11" t="s">
        <v>3721</v>
      </c>
      <c r="G4542" s="11">
        <v>212</v>
      </c>
      <c r="H4542" s="11">
        <v>124</v>
      </c>
      <c r="I4542" s="11">
        <v>1</v>
      </c>
      <c r="J4542" s="11">
        <v>0</v>
      </c>
      <c r="K4542" s="11" t="s">
        <v>21</v>
      </c>
      <c r="L4542" s="7">
        <v>41194.98364583333</v>
      </c>
      <c r="M4542" s="12"/>
      <c r="N4542" s="12" t="s">
        <v>10651</v>
      </c>
      <c r="O4542" s="10" t="str">
        <f>HYPERLINK("https://pbs.twimg.com/profile_images/717476207235895296/eWZQTtWr_normal.jpg","View")</f>
        <v>View</v>
      </c>
      <c r="P4542" s="11"/>
    </row>
    <row r="4543" spans="1:16" ht="12.75" x14ac:dyDescent="0.35">
      <c r="A4543" s="7">
        <v>42482.951180555552</v>
      </c>
      <c r="B4543" s="8" t="str">
        <f>HYPERLINK("https://twitter.com/dianapop","@dianapop")</f>
        <v>@dianapop</v>
      </c>
      <c r="C4543" s="9" t="s">
        <v>10652</v>
      </c>
      <c r="D4543" s="9" t="s">
        <v>10641</v>
      </c>
      <c r="E4543" s="10" t="str">
        <f>HYPERLINK("https://twitter.com/dianapop/status/723561930561085441","723561930561085441")</f>
        <v>723561930561085441</v>
      </c>
      <c r="F4543" s="11" t="s">
        <v>48</v>
      </c>
      <c r="G4543" s="11">
        <v>3376</v>
      </c>
      <c r="H4543" s="11">
        <v>5001</v>
      </c>
      <c r="I4543" s="11">
        <v>3</v>
      </c>
      <c r="J4543" s="11">
        <v>0</v>
      </c>
      <c r="K4543" s="11" t="s">
        <v>21</v>
      </c>
      <c r="L4543" s="7">
        <v>39850.834293981483</v>
      </c>
      <c r="M4543" s="12" t="s">
        <v>10653</v>
      </c>
      <c r="N4543" s="12" t="s">
        <v>10654</v>
      </c>
      <c r="O4543" s="10" t="str">
        <f>HYPERLINK("https://pbs.twimg.com/profile_images/669246336181628932/MFHJRGCF_normal.jpg","View")</f>
        <v>View</v>
      </c>
      <c r="P4543" s="11"/>
    </row>
    <row r="4544" spans="1:16" ht="12.75" x14ac:dyDescent="0.35">
      <c r="A4544" s="7">
        <v>42482.951215277775</v>
      </c>
      <c r="B4544" s="8" t="str">
        <f>HYPERLINK("https://twitter.com/SonokHakan","@SonokHakan")</f>
        <v>@SonokHakan</v>
      </c>
      <c r="C4544" s="9" t="s">
        <v>10655</v>
      </c>
      <c r="D4544" s="9" t="s">
        <v>10656</v>
      </c>
      <c r="E4544" s="10" t="str">
        <f>HYPERLINK("https://twitter.com/SonokHakan/status/723561945417261056","723561945417261056")</f>
        <v>723561945417261056</v>
      </c>
      <c r="F4544" s="11" t="s">
        <v>43</v>
      </c>
      <c r="G4544" s="11">
        <v>41563</v>
      </c>
      <c r="H4544" s="11">
        <v>44106</v>
      </c>
      <c r="I4544" s="11">
        <v>2</v>
      </c>
      <c r="J4544" s="11">
        <v>0</v>
      </c>
      <c r="K4544" s="11" t="s">
        <v>21</v>
      </c>
      <c r="L4544" s="7">
        <v>41443.802199074074</v>
      </c>
      <c r="M4544" s="12" t="s">
        <v>10657</v>
      </c>
      <c r="N4544" s="12" t="s">
        <v>10658</v>
      </c>
      <c r="O4544" s="10" t="str">
        <f>HYPERLINK("https://pbs.twimg.com/profile_images/627546348963758080/CiC4BmAl_normal.jpg","View")</f>
        <v>View</v>
      </c>
      <c r="P4544" s="11"/>
    </row>
    <row r="4545" spans="1:16" ht="12.75" x14ac:dyDescent="0.35">
      <c r="A4545" s="7">
        <v>42482.95149305556</v>
      </c>
      <c r="B4545" s="8" t="str">
        <f>HYPERLINK("https://twitter.com/ebaycampervans","@ebaycampervans")</f>
        <v>@ebaycampervans</v>
      </c>
      <c r="C4545" s="9" t="s">
        <v>682</v>
      </c>
      <c r="D4545" s="9" t="s">
        <v>10659</v>
      </c>
      <c r="E4545" s="10" t="str">
        <f>HYPERLINK("https://twitter.com/ebaycampervans/status/723562043765182464","723562043765182464")</f>
        <v>723562043765182464</v>
      </c>
      <c r="F4545" s="11" t="s">
        <v>34</v>
      </c>
      <c r="G4545" s="11">
        <v>380</v>
      </c>
      <c r="H4545" s="11">
        <v>1002</v>
      </c>
      <c r="I4545" s="11">
        <v>0</v>
      </c>
      <c r="J4545" s="11">
        <v>0</v>
      </c>
      <c r="K4545" s="11" t="s">
        <v>21</v>
      </c>
      <c r="L4545" s="7">
        <v>42140.207604166666</v>
      </c>
      <c r="M4545" s="12"/>
      <c r="N4545" s="12" t="s">
        <v>684</v>
      </c>
      <c r="O4545" s="10" t="str">
        <f>HYPERLINK("https://pbs.twimg.com/profile_images/599357023407464449/BL9Bpo6T_normal.jpg","View")</f>
        <v>View</v>
      </c>
      <c r="P4545" s="11"/>
    </row>
    <row r="4546" spans="1:16" ht="12.75" x14ac:dyDescent="0.35">
      <c r="A4546" s="7">
        <v>42482.951678240745</v>
      </c>
      <c r="B4546" s="8" t="str">
        <f>HYPERLINK("https://twitter.com/topnews_ru_ru","@topnews_ru_ru")</f>
        <v>@topnews_ru_ru</v>
      </c>
      <c r="C4546" s="9" t="s">
        <v>10660</v>
      </c>
      <c r="D4546" s="9" t="s">
        <v>10661</v>
      </c>
      <c r="E4546" s="10" t="str">
        <f>HYPERLINK("https://twitter.com/topnews_ru_ru/status/723562112908419072","723562112908419072")</f>
        <v>723562112908419072</v>
      </c>
      <c r="F4546" s="11" t="s">
        <v>10662</v>
      </c>
      <c r="G4546" s="11">
        <v>77</v>
      </c>
      <c r="H4546" s="11">
        <v>15</v>
      </c>
      <c r="I4546" s="11">
        <v>0</v>
      </c>
      <c r="J4546" s="11">
        <v>0</v>
      </c>
      <c r="K4546" s="11" t="s">
        <v>21</v>
      </c>
      <c r="L4546" s="7">
        <v>41793.591504629629</v>
      </c>
      <c r="M4546" s="12"/>
      <c r="N4546" s="12"/>
      <c r="O4546" s="10" t="str">
        <f>HYPERLINK("https://pbs.twimg.com/profile_images/484005043100590081/MagYv21D_normal.jpeg","View")</f>
        <v>View</v>
      </c>
      <c r="P4546" s="11"/>
    </row>
    <row r="4547" spans="1:16" ht="12.75" x14ac:dyDescent="0.35">
      <c r="A4547" s="7">
        <v>42482.951874999999</v>
      </c>
      <c r="B4547" s="8" t="str">
        <f>HYPERLINK("https://twitter.com/Soniicgirl","@Soniicgirl")</f>
        <v>@Soniicgirl</v>
      </c>
      <c r="C4547" s="9" t="s">
        <v>10663</v>
      </c>
      <c r="D4547" s="9" t="s">
        <v>10440</v>
      </c>
      <c r="E4547" s="10" t="str">
        <f>HYPERLINK("https://twitter.com/Soniicgirl/status/723562184995946497","723562184995946497")</f>
        <v>723562184995946497</v>
      </c>
      <c r="F4547" s="11" t="s">
        <v>48</v>
      </c>
      <c r="G4547" s="11">
        <v>198</v>
      </c>
      <c r="H4547" s="11">
        <v>92</v>
      </c>
      <c r="I4547" s="11">
        <v>17</v>
      </c>
      <c r="J4547" s="11">
        <v>0</v>
      </c>
      <c r="K4547" s="11" t="s">
        <v>21</v>
      </c>
      <c r="L4547" s="7">
        <v>40986.040173611109</v>
      </c>
      <c r="M4547" s="12" t="s">
        <v>10664</v>
      </c>
      <c r="N4547" s="12" t="s">
        <v>10665</v>
      </c>
      <c r="O4547" s="10" t="str">
        <f>HYPERLINK("https://pbs.twimg.com/profile_images/722201299857575937/dvvu2o89_normal.jpg","View")</f>
        <v>View</v>
      </c>
      <c r="P4547" s="11"/>
    </row>
    <row r="4548" spans="1:16" ht="12.75" x14ac:dyDescent="0.35">
      <c r="A4548" s="7">
        <v>42482.952256944445</v>
      </c>
      <c r="B4548" s="8" t="str">
        <f>HYPERLINK("https://twitter.com/sszonke","@sszonke")</f>
        <v>@sszonke</v>
      </c>
      <c r="C4548" s="9" t="s">
        <v>10666</v>
      </c>
      <c r="D4548" s="9" t="s">
        <v>10641</v>
      </c>
      <c r="E4548" s="10" t="str">
        <f>HYPERLINK("https://twitter.com/sszonke/status/723562321734426624","723562321734426624")</f>
        <v>723562321734426624</v>
      </c>
      <c r="F4548" s="11" t="s">
        <v>48</v>
      </c>
      <c r="G4548" s="11">
        <v>639</v>
      </c>
      <c r="H4548" s="11">
        <v>1350</v>
      </c>
      <c r="I4548" s="11">
        <v>3</v>
      </c>
      <c r="J4548" s="11">
        <v>0</v>
      </c>
      <c r="K4548" s="11" t="s">
        <v>21</v>
      </c>
      <c r="L4548" s="7">
        <v>40810.880520833336</v>
      </c>
      <c r="M4548" s="12" t="s">
        <v>10667</v>
      </c>
      <c r="N4548" s="12" t="s">
        <v>10668</v>
      </c>
      <c r="O4548" s="10" t="str">
        <f>HYPERLINK("https://pbs.twimg.com/profile_images/611618781086003200/lKgEEwjj_normal.jpg","View")</f>
        <v>View</v>
      </c>
      <c r="P4548" s="11"/>
    </row>
    <row r="4549" spans="1:16" ht="12.75" x14ac:dyDescent="0.35">
      <c r="A4549" s="7">
        <v>42482.952280092592</v>
      </c>
      <c r="B4549" s="8" t="str">
        <f>HYPERLINK("https://twitter.com/ConurbaCho","@ConurbaCho")</f>
        <v>@ConurbaCho</v>
      </c>
      <c r="C4549" s="9" t="s">
        <v>10669</v>
      </c>
      <c r="D4549" s="9" t="s">
        <v>10670</v>
      </c>
      <c r="E4549" s="10" t="str">
        <f>HYPERLINK("https://twitter.com/ConurbaCho/status/723562332022923264","723562332022923264")</f>
        <v>723562332022923264</v>
      </c>
      <c r="F4549" s="11" t="s">
        <v>114</v>
      </c>
      <c r="G4549" s="11">
        <v>310</v>
      </c>
      <c r="H4549" s="11">
        <v>288</v>
      </c>
      <c r="I4549" s="11">
        <v>0</v>
      </c>
      <c r="J4549" s="11">
        <v>0</v>
      </c>
      <c r="K4549" s="11" t="s">
        <v>21</v>
      </c>
      <c r="L4549" s="7">
        <v>40366.12060185185</v>
      </c>
      <c r="M4549" s="12" t="s">
        <v>10671</v>
      </c>
      <c r="N4549" s="12" t="s">
        <v>10672</v>
      </c>
      <c r="O4549" s="10" t="str">
        <f>HYPERLINK("https://pbs.twimg.com/profile_images/689518828913582081/8Kc-T5oE_normal.jpg","View")</f>
        <v>View</v>
      </c>
      <c r="P4549" s="10" t="str">
        <f>HYPERLINK("http://ctrlq.org/maps/address/#-34.7,-58.31666667","Map")</f>
        <v>Map</v>
      </c>
    </row>
    <row r="4550" spans="1:16" ht="12.75" x14ac:dyDescent="0.35">
      <c r="A4550" s="7">
        <v>42482.952523148153</v>
      </c>
      <c r="B4550" s="8" t="str">
        <f>HYPERLINK("https://twitter.com/jakefenn42","@jakefenn42")</f>
        <v>@jakefenn42</v>
      </c>
      <c r="C4550" s="9" t="s">
        <v>10673</v>
      </c>
      <c r="D4550" s="9" t="s">
        <v>10249</v>
      </c>
      <c r="E4550" s="10" t="str">
        <f>HYPERLINK("https://twitter.com/jakefenn42/status/723562419155554307","723562419155554307")</f>
        <v>723562419155554307</v>
      </c>
      <c r="F4550" s="11" t="s">
        <v>48</v>
      </c>
      <c r="G4550" s="11">
        <v>247</v>
      </c>
      <c r="H4550" s="11">
        <v>128</v>
      </c>
      <c r="I4550" s="11">
        <v>12</v>
      </c>
      <c r="J4550" s="11">
        <v>0</v>
      </c>
      <c r="K4550" s="11" t="s">
        <v>21</v>
      </c>
      <c r="L4550" s="7">
        <v>41566.210092592592</v>
      </c>
      <c r="M4550" s="12" t="s">
        <v>10674</v>
      </c>
      <c r="N4550" s="12" t="s">
        <v>10675</v>
      </c>
      <c r="O4550" s="10" t="str">
        <f>HYPERLINK("https://pbs.twimg.com/profile_images/534269647982723072/r_RQChtZ_normal.jpeg","View")</f>
        <v>View</v>
      </c>
      <c r="P4550" s="11"/>
    </row>
    <row r="4551" spans="1:16" ht="12.75" x14ac:dyDescent="0.35">
      <c r="A4551" s="7">
        <v>42482.952569444446</v>
      </c>
      <c r="B4551" s="8" t="str">
        <f>HYPERLINK("https://twitter.com/buran63","@buran63")</f>
        <v>@buran63</v>
      </c>
      <c r="C4551" s="9" t="s">
        <v>5473</v>
      </c>
      <c r="D4551" s="9" t="s">
        <v>10676</v>
      </c>
      <c r="E4551" s="10" t="str">
        <f>HYPERLINK("https://twitter.com/buran63/status/723562437824360448","723562437824360448")</f>
        <v>723562437824360448</v>
      </c>
      <c r="F4551" s="11" t="s">
        <v>20</v>
      </c>
      <c r="G4551" s="11">
        <v>1191</v>
      </c>
      <c r="H4551" s="11">
        <v>887</v>
      </c>
      <c r="I4551" s="11">
        <v>0</v>
      </c>
      <c r="J4551" s="11">
        <v>0</v>
      </c>
      <c r="K4551" s="11" t="s">
        <v>21</v>
      </c>
      <c r="L4551" s="7">
        <v>40497.488715277781</v>
      </c>
      <c r="M4551" s="12" t="s">
        <v>5475</v>
      </c>
      <c r="N4551" s="12" t="s">
        <v>5476</v>
      </c>
      <c r="O4551" s="10" t="str">
        <f>HYPERLINK("https://pbs.twimg.com/profile_images/645328399834181632/rWu1bHrC_normal.jpg","View")</f>
        <v>View</v>
      </c>
      <c r="P4551" s="11"/>
    </row>
    <row r="4552" spans="1:16" ht="12.75" x14ac:dyDescent="0.35">
      <c r="A4552" s="7">
        <v>42482.953298611115</v>
      </c>
      <c r="B4552" s="8" t="str">
        <f>HYPERLINK("https://twitter.com/jamesumpherson","@jamesumpherson")</f>
        <v>@jamesumpherson</v>
      </c>
      <c r="C4552" s="9" t="s">
        <v>10677</v>
      </c>
      <c r="D4552" s="9" t="s">
        <v>10678</v>
      </c>
      <c r="E4552" s="10" t="str">
        <f>HYPERLINK("https://twitter.com/jamesumpherson/status/723562700878401536","723562700878401536")</f>
        <v>723562700878401536</v>
      </c>
      <c r="F4552" s="11" t="s">
        <v>20</v>
      </c>
      <c r="G4552" s="11">
        <v>107</v>
      </c>
      <c r="H4552" s="11">
        <v>34</v>
      </c>
      <c r="I4552" s="11">
        <v>0</v>
      </c>
      <c r="J4552" s="11">
        <v>0</v>
      </c>
      <c r="K4552" s="11" t="s">
        <v>21</v>
      </c>
      <c r="L4552" s="7">
        <v>40893.469988425924</v>
      </c>
      <c r="M4552" s="12" t="s">
        <v>715</v>
      </c>
      <c r="N4552" s="12" t="s">
        <v>10679</v>
      </c>
      <c r="O4552" s="10" t="str">
        <f>HYPERLINK("https://pbs.twimg.com/profile_images/722160035036471296/3FpYIDgG_normal.jpg","View")</f>
        <v>View</v>
      </c>
      <c r="P4552" s="11"/>
    </row>
    <row r="4553" spans="1:16" ht="12.75" x14ac:dyDescent="0.35">
      <c r="A4553" s="7">
        <v>42482.953518518523</v>
      </c>
      <c r="B4553" s="8" t="str">
        <f>HYPERLINK("https://twitter.com/paulvkessel","@paulvkessel")</f>
        <v>@paulvkessel</v>
      </c>
      <c r="C4553" s="9" t="s">
        <v>10680</v>
      </c>
      <c r="D4553" s="9" t="s">
        <v>10681</v>
      </c>
      <c r="E4553" s="10" t="str">
        <f>HYPERLINK("https://twitter.com/paulvkessel/status/723562780381614080","723562780381614080")</f>
        <v>723562780381614080</v>
      </c>
      <c r="F4553" s="11" t="s">
        <v>43</v>
      </c>
      <c r="G4553" s="11">
        <v>373</v>
      </c>
      <c r="H4553" s="11">
        <v>332</v>
      </c>
      <c r="I4553" s="11">
        <v>0</v>
      </c>
      <c r="J4553" s="11">
        <v>0</v>
      </c>
      <c r="K4553" s="11" t="s">
        <v>21</v>
      </c>
      <c r="L4553" s="7">
        <v>40664.994780092595</v>
      </c>
      <c r="M4553" s="12" t="s">
        <v>10682</v>
      </c>
      <c r="N4553" s="12" t="s">
        <v>10683</v>
      </c>
      <c r="O4553" s="10" t="str">
        <f>HYPERLINK("https://pbs.twimg.com/profile_images/689778615995752449/44JQE9s-_normal.jpg","View")</f>
        <v>View</v>
      </c>
      <c r="P4553" s="11"/>
    </row>
    <row r="4554" spans="1:16" ht="12.75" x14ac:dyDescent="0.35">
      <c r="A4554" s="7">
        <v>42482.953576388885</v>
      </c>
      <c r="B4554" s="8" t="str">
        <f>HYPERLINK("https://twitter.com/kurtlnd","@kurtlnd")</f>
        <v>@kurtlnd</v>
      </c>
      <c r="C4554" s="9" t="s">
        <v>10684</v>
      </c>
      <c r="D4554" s="9" t="s">
        <v>6426</v>
      </c>
      <c r="E4554" s="10" t="str">
        <f>HYPERLINK("https://twitter.com/kurtlnd/status/723562802200203264","723562802200203264")</f>
        <v>723562802200203264</v>
      </c>
      <c r="F4554" s="11" t="s">
        <v>20</v>
      </c>
      <c r="G4554" s="11">
        <v>1135</v>
      </c>
      <c r="H4554" s="11">
        <v>620</v>
      </c>
      <c r="I4554" s="11">
        <v>2</v>
      </c>
      <c r="J4554" s="11">
        <v>0</v>
      </c>
      <c r="K4554" s="11" t="s">
        <v>21</v>
      </c>
      <c r="L4554" s="7">
        <v>39340.436192129629</v>
      </c>
      <c r="M4554" s="12" t="s">
        <v>10685</v>
      </c>
      <c r="N4554" s="12" t="s">
        <v>10686</v>
      </c>
      <c r="O4554" s="10" t="str">
        <f>HYPERLINK("https://pbs.twimg.com/profile_images/645310556014940160/LzWngd8-_normal.jpg","View")</f>
        <v>View</v>
      </c>
      <c r="P4554" s="11"/>
    </row>
    <row r="4555" spans="1:16" ht="12.75" x14ac:dyDescent="0.35">
      <c r="A4555" s="7">
        <v>42482.954340277778</v>
      </c>
      <c r="B4555" s="8" t="str">
        <f t="shared" ref="B4555:B4556" si="390">HYPERLINK("https://twitter.com/VeeDubMk1_","@VeeDubMk1_")</f>
        <v>@VeeDubMk1_</v>
      </c>
      <c r="C4555" s="9" t="s">
        <v>185</v>
      </c>
      <c r="D4555" s="9" t="s">
        <v>10687</v>
      </c>
      <c r="E4555" s="10" t="str">
        <f>HYPERLINK("https://twitter.com/VeeDubMk1_/status/723563076251951104","723563076251951104")</f>
        <v>723563076251951104</v>
      </c>
      <c r="F4555" s="11" t="s">
        <v>68</v>
      </c>
      <c r="G4555" s="11">
        <v>548</v>
      </c>
      <c r="H4555" s="11">
        <v>3527</v>
      </c>
      <c r="I4555" s="11">
        <v>0</v>
      </c>
      <c r="J4555" s="11">
        <v>0</v>
      </c>
      <c r="K4555" s="11" t="s">
        <v>21</v>
      </c>
      <c r="L4555" s="7">
        <v>42343.063356481478</v>
      </c>
      <c r="M4555" s="12"/>
      <c r="N4555" s="12"/>
      <c r="O4555" s="10" t="str">
        <f t="shared" ref="O4555:O4556" si="391">HYPERLINK("https://pbs.twimg.com/profile_images/672878354127839232/M7OYc-zx_normal.jpg","View")</f>
        <v>View</v>
      </c>
      <c r="P4555" s="11"/>
    </row>
    <row r="4556" spans="1:16" ht="12.75" x14ac:dyDescent="0.35">
      <c r="A4556" s="7">
        <v>42482.954386574071</v>
      </c>
      <c r="B4556" s="8" t="str">
        <f t="shared" si="390"/>
        <v>@VeeDubMk1_</v>
      </c>
      <c r="C4556" s="9" t="s">
        <v>185</v>
      </c>
      <c r="D4556" s="9" t="s">
        <v>10688</v>
      </c>
      <c r="E4556" s="10" t="str">
        <f>HYPERLINK("https://twitter.com/VeeDubMk1_/status/723563094102949888","723563094102949888")</f>
        <v>723563094102949888</v>
      </c>
      <c r="F4556" s="11" t="s">
        <v>68</v>
      </c>
      <c r="G4556" s="11">
        <v>548</v>
      </c>
      <c r="H4556" s="11">
        <v>3527</v>
      </c>
      <c r="I4556" s="11">
        <v>0</v>
      </c>
      <c r="J4556" s="11">
        <v>0</v>
      </c>
      <c r="K4556" s="11" t="s">
        <v>21</v>
      </c>
      <c r="L4556" s="7">
        <v>42343.063356481478</v>
      </c>
      <c r="M4556" s="12"/>
      <c r="N4556" s="12"/>
      <c r="O4556" s="10" t="str">
        <f t="shared" si="391"/>
        <v>View</v>
      </c>
      <c r="P4556" s="11"/>
    </row>
    <row r="4557" spans="1:16" ht="12.75" x14ac:dyDescent="0.35">
      <c r="A4557" s="7">
        <v>42482.954710648148</v>
      </c>
      <c r="B4557" s="8" t="str">
        <f>HYPERLINK("https://twitter.com/VWofStreetsboro","@VWofStreetsboro")</f>
        <v>@VWofStreetsboro</v>
      </c>
      <c r="C4557" s="9" t="s">
        <v>10689</v>
      </c>
      <c r="D4557" s="9" t="s">
        <v>10690</v>
      </c>
      <c r="E4557" s="10" t="str">
        <f>HYPERLINK("https://twitter.com/VWofStreetsboro/status/723563210079649792","723563210079649792")</f>
        <v>723563210079649792</v>
      </c>
      <c r="F4557" s="11" t="s">
        <v>43</v>
      </c>
      <c r="G4557" s="11">
        <v>338</v>
      </c>
      <c r="H4557" s="11">
        <v>476</v>
      </c>
      <c r="I4557" s="11">
        <v>0</v>
      </c>
      <c r="J4557" s="11">
        <v>0</v>
      </c>
      <c r="K4557" s="11" t="s">
        <v>21</v>
      </c>
      <c r="L4557" s="7">
        <v>41377.0621875</v>
      </c>
      <c r="M4557" s="12" t="s">
        <v>10691</v>
      </c>
      <c r="N4557" s="12" t="s">
        <v>10692</v>
      </c>
      <c r="O4557" s="10" t="str">
        <f>HYPERLINK("https://pbs.twimg.com/profile_images/621389519066038272/p38sZqs8_normal.jpg","View")</f>
        <v>View</v>
      </c>
      <c r="P4557" s="11"/>
    </row>
    <row r="4558" spans="1:16" ht="12.75" x14ac:dyDescent="0.35">
      <c r="A4558" s="7">
        <v>42482.954791666663</v>
      </c>
      <c r="B4558" s="8" t="str">
        <f>HYPERLINK("https://twitter.com/JoHammonia","@JoHammonia")</f>
        <v>@JoHammonia</v>
      </c>
      <c r="C4558" s="9" t="s">
        <v>7920</v>
      </c>
      <c r="D4558" s="9" t="s">
        <v>10693</v>
      </c>
      <c r="E4558" s="10" t="str">
        <f>HYPERLINK("https://twitter.com/JoHammonia/status/723563242598064128","723563242598064128")</f>
        <v>723563242598064128</v>
      </c>
      <c r="F4558" s="11" t="s">
        <v>43</v>
      </c>
      <c r="G4558" s="11">
        <v>231</v>
      </c>
      <c r="H4558" s="11">
        <v>512</v>
      </c>
      <c r="I4558" s="11">
        <v>0</v>
      </c>
      <c r="J4558" s="11">
        <v>0</v>
      </c>
      <c r="K4558" s="11" t="s">
        <v>21</v>
      </c>
      <c r="L4558" s="7">
        <v>40301.687546296293</v>
      </c>
      <c r="M4558" s="12" t="s">
        <v>7922</v>
      </c>
      <c r="N4558" s="12" t="s">
        <v>7923</v>
      </c>
      <c r="O4558" s="10" t="str">
        <f>HYPERLINK("https://pbs.twimg.com/profile_images/696813255466029056/c1kb5BWS_normal.jpg","View")</f>
        <v>View</v>
      </c>
      <c r="P4558" s="11"/>
    </row>
    <row r="4559" spans="1:16" ht="12.75" x14ac:dyDescent="0.35">
      <c r="A4559" s="7">
        <v>42482.954988425925</v>
      </c>
      <c r="B4559" s="8" t="str">
        <f>HYPERLINK("https://twitter.com/StohlmanAuto","@StohlmanAuto")</f>
        <v>@StohlmanAuto</v>
      </c>
      <c r="C4559" s="9" t="s">
        <v>5753</v>
      </c>
      <c r="D4559" s="9" t="s">
        <v>10694</v>
      </c>
      <c r="E4559" s="10" t="str">
        <f>HYPERLINK("https://twitter.com/StohlmanAuto/status/723563311804080128","723563311804080128")</f>
        <v>723563311804080128</v>
      </c>
      <c r="F4559" s="11" t="s">
        <v>152</v>
      </c>
      <c r="G4559" s="11">
        <v>191</v>
      </c>
      <c r="H4559" s="11">
        <v>776</v>
      </c>
      <c r="I4559" s="11">
        <v>0</v>
      </c>
      <c r="J4559" s="11">
        <v>0</v>
      </c>
      <c r="K4559" s="11" t="s">
        <v>21</v>
      </c>
      <c r="L4559" s="7">
        <v>41062.100671296299</v>
      </c>
      <c r="M4559" s="12" t="s">
        <v>5755</v>
      </c>
      <c r="N4559" s="12" t="s">
        <v>5756</v>
      </c>
      <c r="O4559" s="10" t="str">
        <f>HYPERLINK("https://pbs.twimg.com/profile_images/2301932893/ofy8sgl94m45zgiq2my3_normal.jpeg","View")</f>
        <v>View</v>
      </c>
      <c r="P4559" s="11"/>
    </row>
    <row r="4560" spans="1:16" ht="12.75" x14ac:dyDescent="0.35">
      <c r="A4560" s="7">
        <v>42482.955092592594</v>
      </c>
      <c r="B4560" s="8" t="str">
        <f>HYPERLINK("https://twitter.com/CherchAuto","@CherchAuto")</f>
        <v>@CherchAuto</v>
      </c>
      <c r="C4560" s="9" t="s">
        <v>10695</v>
      </c>
      <c r="D4560" s="9" t="s">
        <v>9691</v>
      </c>
      <c r="E4560" s="10" t="str">
        <f>HYPERLINK("https://twitter.com/CherchAuto/status/723563348575588352","723563348575588352")</f>
        <v>723563348575588352</v>
      </c>
      <c r="F4560" s="11" t="s">
        <v>43</v>
      </c>
      <c r="G4560" s="11">
        <v>53</v>
      </c>
      <c r="H4560" s="11">
        <v>107</v>
      </c>
      <c r="I4560" s="11">
        <v>4</v>
      </c>
      <c r="J4560" s="11">
        <v>0</v>
      </c>
      <c r="K4560" s="11" t="s">
        <v>21</v>
      </c>
      <c r="L4560" s="7">
        <v>42336.007789351846</v>
      </c>
      <c r="M4560" s="12" t="s">
        <v>2263</v>
      </c>
      <c r="N4560" s="12" t="s">
        <v>10696</v>
      </c>
      <c r="O4560" s="10" t="str">
        <f>HYPERLINK("https://pbs.twimg.com/profile_images/718068920339587073/tkLJaVuy_normal.jpg","View")</f>
        <v>View</v>
      </c>
      <c r="P4560" s="11"/>
    </row>
    <row r="4561" spans="1:16" ht="12.75" x14ac:dyDescent="0.35">
      <c r="A4561" s="7">
        <v>42482.955243055556</v>
      </c>
      <c r="B4561" s="8" t="str">
        <f>HYPERLINK("https://twitter.com/Sevenbey","@Sevenbey")</f>
        <v>@Sevenbey</v>
      </c>
      <c r="C4561" s="9" t="s">
        <v>10697</v>
      </c>
      <c r="D4561" s="9" t="s">
        <v>10698</v>
      </c>
      <c r="E4561" s="10" t="str">
        <f>HYPERLINK("https://twitter.com/Sevenbey/status/723563403520909312","723563403520909312")</f>
        <v>723563403520909312</v>
      </c>
      <c r="F4561" s="11" t="s">
        <v>43</v>
      </c>
      <c r="G4561" s="11">
        <v>178</v>
      </c>
      <c r="H4561" s="11">
        <v>726</v>
      </c>
      <c r="I4561" s="11">
        <v>1</v>
      </c>
      <c r="J4561" s="11">
        <v>0</v>
      </c>
      <c r="K4561" s="11" t="s">
        <v>21</v>
      </c>
      <c r="L4561" s="7">
        <v>39854.822280092594</v>
      </c>
      <c r="M4561" s="12"/>
      <c r="N4561" s="12"/>
      <c r="O4561" s="10" t="str">
        <f>HYPERLINK("https://pbs.twimg.com/profile_images/555368772446351360/eo5CBua5_normal.jpeg","View")</f>
        <v>View</v>
      </c>
      <c r="P4561" s="11"/>
    </row>
    <row r="4562" spans="1:16" ht="12.75" x14ac:dyDescent="0.35">
      <c r="A4562" s="7">
        <v>42482.955277777779</v>
      </c>
      <c r="B4562" s="8" t="str">
        <f>HYPERLINK("https://twitter.com/twogulneapigs","@twogulneapigs")</f>
        <v>@twogulneapigs</v>
      </c>
      <c r="C4562" s="9" t="s">
        <v>10699</v>
      </c>
      <c r="D4562" s="9" t="s">
        <v>10249</v>
      </c>
      <c r="E4562" s="10" t="str">
        <f>HYPERLINK("https://twitter.com/twogulneapigs/status/723563418419077121","723563418419077121")</f>
        <v>723563418419077121</v>
      </c>
      <c r="F4562" s="11" t="s">
        <v>48</v>
      </c>
      <c r="G4562" s="11">
        <v>324</v>
      </c>
      <c r="H4562" s="11">
        <v>475</v>
      </c>
      <c r="I4562" s="11">
        <v>12</v>
      </c>
      <c r="J4562" s="11">
        <v>0</v>
      </c>
      <c r="K4562" s="11" t="s">
        <v>21</v>
      </c>
      <c r="L4562" s="7">
        <v>41567.444849537038</v>
      </c>
      <c r="M4562" s="12" t="s">
        <v>543</v>
      </c>
      <c r="N4562" s="12" t="s">
        <v>10700</v>
      </c>
      <c r="O4562" s="10" t="str">
        <f>HYPERLINK("https://pbs.twimg.com/profile_images/540383861117845505/-0MuqryM_normal.jpeg","View")</f>
        <v>View</v>
      </c>
      <c r="P4562" s="11"/>
    </row>
    <row r="4563" spans="1:16" ht="12.75" x14ac:dyDescent="0.35">
      <c r="A4563" s="7">
        <v>42482.955543981487</v>
      </c>
      <c r="B4563" s="8" t="str">
        <f>HYPERLINK("https://twitter.com/HillerGabriele","@HillerGabriele")</f>
        <v>@HillerGabriele</v>
      </c>
      <c r="C4563" s="9" t="s">
        <v>10701</v>
      </c>
      <c r="D4563" s="9" t="s">
        <v>7144</v>
      </c>
      <c r="E4563" s="10" t="str">
        <f>HYPERLINK("https://twitter.com/HillerGabriele/status/723563511977238529","723563511977238529")</f>
        <v>723563511977238529</v>
      </c>
      <c r="F4563" s="11" t="s">
        <v>48</v>
      </c>
      <c r="G4563" s="11">
        <v>511</v>
      </c>
      <c r="H4563" s="11">
        <v>450</v>
      </c>
      <c r="I4563" s="11">
        <v>5</v>
      </c>
      <c r="J4563" s="11">
        <v>0</v>
      </c>
      <c r="K4563" s="11" t="s">
        <v>21</v>
      </c>
      <c r="L4563" s="7">
        <v>41801.793854166666</v>
      </c>
      <c r="M4563" s="12" t="s">
        <v>1359</v>
      </c>
      <c r="N4563" s="12" t="s">
        <v>10702</v>
      </c>
      <c r="O4563" s="10" t="str">
        <f>HYPERLINK("https://pbs.twimg.com/profile_images/476736464894849024/nkKCplko_normal.jpeg","View")</f>
        <v>View</v>
      </c>
      <c r="P4563" s="11"/>
    </row>
    <row r="4564" spans="1:16" ht="12.75" x14ac:dyDescent="0.35">
      <c r="A4564" s="7">
        <v>42482.955648148149</v>
      </c>
      <c r="B4564" s="8" t="str">
        <f>HYPERLINK("https://twitter.com/coralisalondra3","@coralisalondra3")</f>
        <v>@coralisalondra3</v>
      </c>
      <c r="C4564" s="9" t="s">
        <v>10703</v>
      </c>
      <c r="D4564" s="9" t="s">
        <v>10704</v>
      </c>
      <c r="E4564" s="10" t="str">
        <f>HYPERLINK("https://twitter.com/coralisalondra3/status/723563549935562752","723563549935562752")</f>
        <v>723563549935562752</v>
      </c>
      <c r="F4564" s="11" t="s">
        <v>48</v>
      </c>
      <c r="G4564" s="11">
        <v>43</v>
      </c>
      <c r="H4564" s="11">
        <v>134</v>
      </c>
      <c r="I4564" s="11">
        <v>0</v>
      </c>
      <c r="J4564" s="11">
        <v>0</v>
      </c>
      <c r="K4564" s="11" t="s">
        <v>21</v>
      </c>
      <c r="L4564" s="7">
        <v>41930.139826388891</v>
      </c>
      <c r="M4564" s="12"/>
      <c r="N4564" s="12" t="s">
        <v>10705</v>
      </c>
      <c r="O4564" s="10" t="str">
        <f>HYPERLINK("https://pbs.twimg.com/profile_images/717421889623166976/fWQMwXaW_normal.jpg","View")</f>
        <v>View</v>
      </c>
      <c r="P4564" s="11"/>
    </row>
    <row r="4565" spans="1:16" ht="12.75" x14ac:dyDescent="0.35">
      <c r="A4565" s="7">
        <v>42482.956203703703</v>
      </c>
      <c r="B4565" s="8" t="str">
        <f>HYPERLINK("https://twitter.com/techislet","@techislet")</f>
        <v>@techislet</v>
      </c>
      <c r="C4565" s="9" t="s">
        <v>2042</v>
      </c>
      <c r="D4565" s="9" t="s">
        <v>10706</v>
      </c>
      <c r="E4565" s="10" t="str">
        <f>HYPERLINK("https://twitter.com/techislet/status/723563751664963586","723563751664963586")</f>
        <v>723563751664963586</v>
      </c>
      <c r="F4565" s="11" t="s">
        <v>2044</v>
      </c>
      <c r="G4565" s="11">
        <v>882</v>
      </c>
      <c r="H4565" s="11">
        <v>48</v>
      </c>
      <c r="I4565" s="11">
        <v>0</v>
      </c>
      <c r="J4565" s="11">
        <v>0</v>
      </c>
      <c r="K4565" s="11" t="s">
        <v>21</v>
      </c>
      <c r="L4565" s="7">
        <v>42230.528009259258</v>
      </c>
      <c r="M4565" s="12" t="s">
        <v>1483</v>
      </c>
      <c r="N4565" s="12" t="s">
        <v>2045</v>
      </c>
      <c r="O4565" s="10" t="str">
        <f>HYPERLINK("https://pbs.twimg.com/profile_images/640893185158352896/TMGmsF0r_normal.png","View")</f>
        <v>View</v>
      </c>
      <c r="P4565" s="11"/>
    </row>
    <row r="4566" spans="1:16" ht="12.75" x14ac:dyDescent="0.35">
      <c r="A4566" s="7">
        <v>42482.956550925926</v>
      </c>
      <c r="B4566" s="8" t="str">
        <f>HYPERLINK("https://twitter.com/Sevenbey","@Sevenbey")</f>
        <v>@Sevenbey</v>
      </c>
      <c r="C4566" s="9" t="s">
        <v>10697</v>
      </c>
      <c r="D4566" s="9" t="s">
        <v>10707</v>
      </c>
      <c r="E4566" s="10" t="str">
        <f>HYPERLINK("https://twitter.com/Sevenbey/status/723563878194515969","723563878194515969")</f>
        <v>723563878194515969</v>
      </c>
      <c r="F4566" s="11" t="s">
        <v>43</v>
      </c>
      <c r="G4566" s="11">
        <v>178</v>
      </c>
      <c r="H4566" s="11">
        <v>726</v>
      </c>
      <c r="I4566" s="11">
        <v>3</v>
      </c>
      <c r="J4566" s="11">
        <v>0</v>
      </c>
      <c r="K4566" s="11" t="s">
        <v>21</v>
      </c>
      <c r="L4566" s="7">
        <v>39854.822280092594</v>
      </c>
      <c r="M4566" s="12"/>
      <c r="N4566" s="12"/>
      <c r="O4566" s="10" t="str">
        <f>HYPERLINK("https://pbs.twimg.com/profile_images/555368772446351360/eo5CBua5_normal.jpeg","View")</f>
        <v>View</v>
      </c>
      <c r="P4566" s="11"/>
    </row>
    <row r="4567" spans="1:16" ht="12.75" x14ac:dyDescent="0.35">
      <c r="A4567" s="7">
        <v>42482.957349537042</v>
      </c>
      <c r="B4567" s="8" t="str">
        <f>HYPERLINK("https://twitter.com/rgruhn","@rgruhn")</f>
        <v>@rgruhn</v>
      </c>
      <c r="C4567" s="9" t="s">
        <v>10708</v>
      </c>
      <c r="D4567" s="9" t="s">
        <v>10709</v>
      </c>
      <c r="E4567" s="10" t="str">
        <f>HYPERLINK("https://twitter.com/rgruhn/status/723564169539276800","723564169539276800")</f>
        <v>723564169539276800</v>
      </c>
      <c r="F4567" s="11" t="s">
        <v>43</v>
      </c>
      <c r="G4567" s="11">
        <v>118</v>
      </c>
      <c r="H4567" s="11">
        <v>389</v>
      </c>
      <c r="I4567" s="11">
        <v>0</v>
      </c>
      <c r="J4567" s="11">
        <v>0</v>
      </c>
      <c r="K4567" s="11" t="s">
        <v>21</v>
      </c>
      <c r="L4567" s="7">
        <v>39833.902129629627</v>
      </c>
      <c r="M4567" s="12" t="s">
        <v>10710</v>
      </c>
      <c r="N4567" s="12" t="s">
        <v>10711</v>
      </c>
      <c r="O4567" s="10" t="str">
        <f>HYPERLINK("https://pbs.twimg.com/profile_images/478423735326609408/4rP7zQSO_normal.jpeg","View")</f>
        <v>View</v>
      </c>
      <c r="P4567" s="11"/>
    </row>
    <row r="4568" spans="1:16" ht="12.75" x14ac:dyDescent="0.35">
      <c r="A4568" s="7">
        <v>42482.957511574074</v>
      </c>
      <c r="B4568" s="8" t="str">
        <f>HYPERLINK("https://twitter.com/RTLRally","@RTLRally")</f>
        <v>@RTLRally</v>
      </c>
      <c r="C4568" s="9" t="s">
        <v>10712</v>
      </c>
      <c r="D4568" s="9" t="s">
        <v>10713</v>
      </c>
      <c r="E4568" s="10" t="str">
        <f>HYPERLINK("https://twitter.com/RTLRally/status/723564227718483968","723564227718483968")</f>
        <v>723564227718483968</v>
      </c>
      <c r="F4568" s="11" t="s">
        <v>43</v>
      </c>
      <c r="G4568" s="11">
        <v>2534</v>
      </c>
      <c r="H4568" s="11">
        <v>1</v>
      </c>
      <c r="I4568" s="11">
        <v>0</v>
      </c>
      <c r="J4568" s="11">
        <v>0</v>
      </c>
      <c r="K4568" s="11" t="s">
        <v>21</v>
      </c>
      <c r="L4568" s="7">
        <v>40628.658171296294</v>
      </c>
      <c r="M4568" s="12" t="s">
        <v>10714</v>
      </c>
      <c r="N4568" s="12" t="s">
        <v>10715</v>
      </c>
      <c r="O4568" s="10" t="str">
        <f>HYPERLINK("https://pbs.twimg.com/profile_images/711506516294041600/1fr0IryT_normal.jpg","View")</f>
        <v>View</v>
      </c>
      <c r="P4568" s="11"/>
    </row>
    <row r="4569" spans="1:16" ht="12.75" x14ac:dyDescent="0.35">
      <c r="A4569" s="7">
        <v>42482.957615740743</v>
      </c>
      <c r="B4569" s="8" t="str">
        <f>HYPERLINK("https://twitter.com/RainerRogge","@RainerRogge")</f>
        <v>@RainerRogge</v>
      </c>
      <c r="C4569" s="9" t="s">
        <v>10401</v>
      </c>
      <c r="D4569" s="9" t="s">
        <v>7144</v>
      </c>
      <c r="E4569" s="10" t="str">
        <f>HYPERLINK("https://twitter.com/RainerRogge/status/723564263877541888","723564263877541888")</f>
        <v>723564263877541888</v>
      </c>
      <c r="F4569" s="11" t="s">
        <v>48</v>
      </c>
      <c r="G4569" s="11">
        <v>611</v>
      </c>
      <c r="H4569" s="11">
        <v>485</v>
      </c>
      <c r="I4569" s="11">
        <v>5</v>
      </c>
      <c r="J4569" s="11">
        <v>0</v>
      </c>
      <c r="K4569" s="11" t="s">
        <v>21</v>
      </c>
      <c r="L4569" s="7">
        <v>42028.277465277773</v>
      </c>
      <c r="M4569" s="12" t="s">
        <v>10403</v>
      </c>
      <c r="N4569" s="12" t="s">
        <v>10404</v>
      </c>
      <c r="O4569" s="10" t="str">
        <f>HYPERLINK("https://pbs.twimg.com/profile_images/592417094983102464/xowRMPEE_normal.jpg","View")</f>
        <v>View</v>
      </c>
      <c r="P4569" s="11"/>
    </row>
    <row r="4570" spans="1:16" ht="12.75" x14ac:dyDescent="0.35">
      <c r="A4570" s="7">
        <v>42482.957870370374</v>
      </c>
      <c r="B4570" s="8" t="str">
        <f t="shared" ref="B4570:B4572" si="392">HYPERLINK("https://twitter.com/OnlineCarReview","@OnlineCarReview")</f>
        <v>@OnlineCarReview</v>
      </c>
      <c r="C4570" s="9" t="s">
        <v>176</v>
      </c>
      <c r="D4570" s="9" t="s">
        <v>10716</v>
      </c>
      <c r="E4570" s="10" t="str">
        <f>HYPERLINK("https://twitter.com/OnlineCarReview/status/723564356529590273","723564356529590273")</f>
        <v>723564356529590273</v>
      </c>
      <c r="F4570" s="11" t="s">
        <v>34</v>
      </c>
      <c r="G4570" s="11">
        <v>840</v>
      </c>
      <c r="H4570" s="11">
        <v>568</v>
      </c>
      <c r="I4570" s="11">
        <v>0</v>
      </c>
      <c r="J4570" s="11">
        <v>0</v>
      </c>
      <c r="K4570" s="11" t="s">
        <v>21</v>
      </c>
      <c r="L4570" s="7">
        <v>42282.979201388887</v>
      </c>
      <c r="M4570" s="12"/>
      <c r="N4570" s="12" t="s">
        <v>178</v>
      </c>
      <c r="O4570" s="10" t="str">
        <f t="shared" ref="O4570:O4572" si="393">HYPERLINK("https://pbs.twimg.com/profile_images/652871584131092480/QA_B6SBO_normal.jpg","View")</f>
        <v>View</v>
      </c>
      <c r="P4570" s="11"/>
    </row>
    <row r="4571" spans="1:16" ht="12.75" x14ac:dyDescent="0.35">
      <c r="A4571" s="7">
        <v>42482.957870370374</v>
      </c>
      <c r="B4571" s="8" t="str">
        <f t="shared" si="392"/>
        <v>@OnlineCarReview</v>
      </c>
      <c r="C4571" s="9" t="s">
        <v>176</v>
      </c>
      <c r="D4571" s="9" t="s">
        <v>10717</v>
      </c>
      <c r="E4571" s="10" t="str">
        <f>HYPERLINK("https://twitter.com/OnlineCarReview/status/723564357540450305","723564357540450305")</f>
        <v>723564357540450305</v>
      </c>
      <c r="F4571" s="11" t="s">
        <v>34</v>
      </c>
      <c r="G4571" s="11">
        <v>840</v>
      </c>
      <c r="H4571" s="11">
        <v>568</v>
      </c>
      <c r="I4571" s="11">
        <v>0</v>
      </c>
      <c r="J4571" s="11">
        <v>0</v>
      </c>
      <c r="K4571" s="11" t="s">
        <v>21</v>
      </c>
      <c r="L4571" s="7">
        <v>42282.979201388887</v>
      </c>
      <c r="M4571" s="12"/>
      <c r="N4571" s="12" t="s">
        <v>178</v>
      </c>
      <c r="O4571" s="10" t="str">
        <f t="shared" si="393"/>
        <v>View</v>
      </c>
      <c r="P4571" s="11"/>
    </row>
    <row r="4572" spans="1:16" ht="12.75" x14ac:dyDescent="0.35">
      <c r="A4572" s="7">
        <v>42482.957870370374</v>
      </c>
      <c r="B4572" s="8" t="str">
        <f t="shared" si="392"/>
        <v>@OnlineCarReview</v>
      </c>
      <c r="C4572" s="9" t="s">
        <v>176</v>
      </c>
      <c r="D4572" s="9" t="s">
        <v>10718</v>
      </c>
      <c r="E4572" s="10" t="str">
        <f>HYPERLINK("https://twitter.com/OnlineCarReview/status/723564358303780864","723564358303780864")</f>
        <v>723564358303780864</v>
      </c>
      <c r="F4572" s="11" t="s">
        <v>34</v>
      </c>
      <c r="G4572" s="11">
        <v>840</v>
      </c>
      <c r="H4572" s="11">
        <v>568</v>
      </c>
      <c r="I4572" s="11">
        <v>0</v>
      </c>
      <c r="J4572" s="11">
        <v>0</v>
      </c>
      <c r="K4572" s="11" t="s">
        <v>21</v>
      </c>
      <c r="L4572" s="7">
        <v>42282.979201388887</v>
      </c>
      <c r="M4572" s="12"/>
      <c r="N4572" s="12" t="s">
        <v>178</v>
      </c>
      <c r="O4572" s="10" t="str">
        <f t="shared" si="393"/>
        <v>View</v>
      </c>
      <c r="P4572" s="11"/>
    </row>
    <row r="4573" spans="1:16" ht="12.75" x14ac:dyDescent="0.35">
      <c r="A4573" s="7">
        <v>42482.957928240736</v>
      </c>
      <c r="B4573" s="8" t="str">
        <f>HYPERLINK("https://twitter.com/Fussfall","@Fussfall")</f>
        <v>@Fussfall</v>
      </c>
      <c r="C4573" s="9" t="s">
        <v>10719</v>
      </c>
      <c r="D4573" s="9" t="s">
        <v>10720</v>
      </c>
      <c r="E4573" s="10" t="str">
        <f>HYPERLINK("https://twitter.com/Fussfall/status/723564376427487232","723564376427487232")</f>
        <v>723564376427487232</v>
      </c>
      <c r="F4573" s="11" t="s">
        <v>48</v>
      </c>
      <c r="G4573" s="11">
        <v>516</v>
      </c>
      <c r="H4573" s="11">
        <v>686</v>
      </c>
      <c r="I4573" s="11">
        <v>0</v>
      </c>
      <c r="J4573" s="11">
        <v>0</v>
      </c>
      <c r="K4573" s="11" t="s">
        <v>21</v>
      </c>
      <c r="L4573" s="7">
        <v>39985.525289351848</v>
      </c>
      <c r="M4573" s="12"/>
      <c r="N4573" s="12" t="s">
        <v>10721</v>
      </c>
      <c r="O4573" s="10" t="str">
        <f>HYPERLINK("https://pbs.twimg.com/profile_images/489840212432797696/8B7nUF7a_normal.jpeg","View")</f>
        <v>View</v>
      </c>
      <c r="P4573" s="11"/>
    </row>
    <row r="4574" spans="1:16" ht="12.75" x14ac:dyDescent="0.35">
      <c r="A4574" s="7">
        <v>42482.958298611113</v>
      </c>
      <c r="B4574" s="8" t="str">
        <f t="shared" ref="B4574:B4575" si="394">HYPERLINK("https://twitter.com/VolkswagenPost","@VolkswagenPost")</f>
        <v>@VolkswagenPost</v>
      </c>
      <c r="C4574" s="9" t="s">
        <v>321</v>
      </c>
      <c r="D4574" s="9" t="s">
        <v>10722</v>
      </c>
      <c r="E4574" s="10" t="str">
        <f>HYPERLINK("https://twitter.com/VolkswagenPost/status/723564512159236096","723564512159236096")</f>
        <v>723564512159236096</v>
      </c>
      <c r="F4574" s="11" t="s">
        <v>34</v>
      </c>
      <c r="G4574" s="11">
        <v>569</v>
      </c>
      <c r="H4574" s="11">
        <v>446</v>
      </c>
      <c r="I4574" s="11">
        <v>0</v>
      </c>
      <c r="J4574" s="11">
        <v>0</v>
      </c>
      <c r="K4574" s="11" t="s">
        <v>21</v>
      </c>
      <c r="L4574" s="7">
        <v>41940.618379629632</v>
      </c>
      <c r="M4574" s="12"/>
      <c r="N4574" s="12"/>
      <c r="O4574" s="10" t="str">
        <f t="shared" ref="O4574:O4575" si="395">HYPERLINK("https://pbs.twimg.com/profile_images/530071272881803264/a_jcCmPZ_normal.png","View")</f>
        <v>View</v>
      </c>
      <c r="P4574" s="11"/>
    </row>
    <row r="4575" spans="1:16" ht="12.75" x14ac:dyDescent="0.35">
      <c r="A4575" s="7">
        <v>42482.958298611113</v>
      </c>
      <c r="B4575" s="8" t="str">
        <f t="shared" si="394"/>
        <v>@VolkswagenPost</v>
      </c>
      <c r="C4575" s="9" t="s">
        <v>321</v>
      </c>
      <c r="D4575" s="9" t="s">
        <v>10723</v>
      </c>
      <c r="E4575" s="10" t="str">
        <f>HYPERLINK("https://twitter.com/VolkswagenPost/status/723564513086214146","723564513086214146")</f>
        <v>723564513086214146</v>
      </c>
      <c r="F4575" s="11" t="s">
        <v>34</v>
      </c>
      <c r="G4575" s="11">
        <v>569</v>
      </c>
      <c r="H4575" s="11">
        <v>446</v>
      </c>
      <c r="I4575" s="11">
        <v>0</v>
      </c>
      <c r="J4575" s="11">
        <v>0</v>
      </c>
      <c r="K4575" s="11" t="s">
        <v>21</v>
      </c>
      <c r="L4575" s="7">
        <v>41940.618379629632</v>
      </c>
      <c r="M4575" s="12"/>
      <c r="N4575" s="12"/>
      <c r="O4575" s="10" t="str">
        <f t="shared" si="395"/>
        <v>View</v>
      </c>
      <c r="P4575" s="11"/>
    </row>
    <row r="4576" spans="1:16" ht="12.75" x14ac:dyDescent="0.35">
      <c r="A4576" s="7">
        <v>42482.958368055552</v>
      </c>
      <c r="B4576" s="8" t="str">
        <f>HYPERLINK("https://twitter.com/DubLuvTuning","@DubLuvTuning")</f>
        <v>@DubLuvTuning</v>
      </c>
      <c r="C4576" s="9" t="s">
        <v>299</v>
      </c>
      <c r="D4576" s="9" t="s">
        <v>10724</v>
      </c>
      <c r="E4576" s="10" t="str">
        <f>HYPERLINK("https://twitter.com/DubLuvTuning/status/723564536108847104","723564536108847104")</f>
        <v>723564536108847104</v>
      </c>
      <c r="F4576" s="11" t="s">
        <v>288</v>
      </c>
      <c r="G4576" s="11">
        <v>690</v>
      </c>
      <c r="H4576" s="11">
        <v>431</v>
      </c>
      <c r="I4576" s="11">
        <v>1</v>
      </c>
      <c r="J4576" s="11">
        <v>0</v>
      </c>
      <c r="K4576" s="11" t="s">
        <v>21</v>
      </c>
      <c r="L4576" s="7">
        <v>41549.898287037038</v>
      </c>
      <c r="M4576" s="12" t="s">
        <v>301</v>
      </c>
      <c r="N4576" s="12" t="s">
        <v>302</v>
      </c>
      <c r="O4576" s="10" t="str">
        <f>HYPERLINK("https://pbs.twimg.com/profile_images/378800000572104796/1de43e1cf23efb3f4101c02afad0d3b6_normal.png","View")</f>
        <v>View</v>
      </c>
      <c r="P4576" s="11"/>
    </row>
    <row r="4577" spans="1:16" ht="12.75" x14ac:dyDescent="0.35">
      <c r="A4577" s="7">
        <v>42482.958530092597</v>
      </c>
      <c r="B4577" s="8" t="str">
        <f>HYPERLINK("https://twitter.com/WinfriedFelser","@WinfriedFelser")</f>
        <v>@WinfriedFelser</v>
      </c>
      <c r="C4577" s="9" t="s">
        <v>10725</v>
      </c>
      <c r="D4577" s="9" t="s">
        <v>10726</v>
      </c>
      <c r="E4577" s="10" t="str">
        <f>HYPERLINK("https://twitter.com/WinfriedFelser/status/723564594480951296","723564594480951296")</f>
        <v>723564594480951296</v>
      </c>
      <c r="F4577" s="10" t="s">
        <v>2083</v>
      </c>
      <c r="G4577" s="11">
        <v>1139</v>
      </c>
      <c r="H4577" s="11">
        <v>1206</v>
      </c>
      <c r="I4577" s="11">
        <v>0</v>
      </c>
      <c r="J4577" s="11">
        <v>0</v>
      </c>
      <c r="K4577" s="11" t="s">
        <v>21</v>
      </c>
      <c r="L4577" s="7">
        <v>40263.993356481486</v>
      </c>
      <c r="M4577" s="12" t="s">
        <v>1241</v>
      </c>
      <c r="N4577" s="12" t="s">
        <v>10727</v>
      </c>
      <c r="O4577" s="10" t="str">
        <f>HYPERLINK("https://pbs.twimg.com/profile_images/562193841587896321/nfd18Y4g_normal.jpeg","View")</f>
        <v>View</v>
      </c>
      <c r="P4577" s="11"/>
    </row>
    <row r="4578" spans="1:16" ht="12.75" x14ac:dyDescent="0.35">
      <c r="A4578" s="7">
        <v>42482.959097222221</v>
      </c>
      <c r="B4578" s="8" t="str">
        <f>HYPERLINK("https://twitter.com/queeniashton_","@queeniashton_")</f>
        <v>@queeniashton_</v>
      </c>
      <c r="C4578" s="9" t="s">
        <v>10728</v>
      </c>
      <c r="D4578" s="9" t="s">
        <v>10249</v>
      </c>
      <c r="E4578" s="10" t="str">
        <f>HYPERLINK("https://twitter.com/queeniashton_/status/723564802174509058","723564802174509058")</f>
        <v>723564802174509058</v>
      </c>
      <c r="F4578" s="11" t="s">
        <v>48</v>
      </c>
      <c r="G4578" s="11">
        <v>344</v>
      </c>
      <c r="H4578" s="11">
        <v>108</v>
      </c>
      <c r="I4578" s="11">
        <v>15</v>
      </c>
      <c r="J4578" s="11">
        <v>0</v>
      </c>
      <c r="K4578" s="11" t="s">
        <v>21</v>
      </c>
      <c r="L4578" s="7">
        <v>41567.470439814817</v>
      </c>
      <c r="M4578" s="12" t="s">
        <v>543</v>
      </c>
      <c r="N4578" s="12" t="s">
        <v>10729</v>
      </c>
      <c r="O4578" s="10" t="str">
        <f>HYPERLINK("https://pbs.twimg.com/profile_images/540381573712187392/LtiYdh1Z_normal.jpeg","View")</f>
        <v>View</v>
      </c>
      <c r="P4578" s="11"/>
    </row>
    <row r="4579" spans="1:16" ht="12.75" x14ac:dyDescent="0.35">
      <c r="A4579" s="7">
        <v>42482.959374999999</v>
      </c>
      <c r="B4579" s="8" t="str">
        <f>HYPERLINK("https://twitter.com/EnduroForLife17","@EnduroForLife17")</f>
        <v>@EnduroForLife17</v>
      </c>
      <c r="C4579" s="9" t="s">
        <v>10730</v>
      </c>
      <c r="D4579" s="9" t="s">
        <v>6352</v>
      </c>
      <c r="E4579" s="10" t="str">
        <f>HYPERLINK("https://twitter.com/EnduroForLife17/status/723564904016424960","723564904016424960")</f>
        <v>723564904016424960</v>
      </c>
      <c r="F4579" s="11" t="s">
        <v>43</v>
      </c>
      <c r="G4579" s="11">
        <v>820</v>
      </c>
      <c r="H4579" s="11">
        <v>731</v>
      </c>
      <c r="I4579" s="11">
        <v>35</v>
      </c>
      <c r="J4579" s="11">
        <v>0</v>
      </c>
      <c r="K4579" s="11" t="s">
        <v>21</v>
      </c>
      <c r="L4579" s="7">
        <v>41519.141562500001</v>
      </c>
      <c r="M4579" s="12" t="s">
        <v>10731</v>
      </c>
      <c r="N4579" s="12" t="s">
        <v>10732</v>
      </c>
      <c r="O4579" s="10" t="str">
        <f>HYPERLINK("https://pbs.twimg.com/profile_images/716842555372146688/WSYrZx4f_normal.jpg","View")</f>
        <v>View</v>
      </c>
      <c r="P4579" s="11"/>
    </row>
    <row r="4580" spans="1:16" ht="12.75" x14ac:dyDescent="0.35">
      <c r="A4580" s="7">
        <v>42482.959641203706</v>
      </c>
      <c r="B4580" s="8" t="str">
        <f>HYPERLINK("https://twitter.com/DuisburgAndreas","@DuisburgAndreas")</f>
        <v>@DuisburgAndreas</v>
      </c>
      <c r="C4580" s="9" t="s">
        <v>10577</v>
      </c>
      <c r="D4580" s="9" t="s">
        <v>10733</v>
      </c>
      <c r="E4580" s="10" t="str">
        <f>HYPERLINK("https://twitter.com/DuisburgAndreas/status/723564996576313344","723564996576313344")</f>
        <v>723564996576313344</v>
      </c>
      <c r="F4580" s="11" t="s">
        <v>91</v>
      </c>
      <c r="G4580" s="11">
        <v>29</v>
      </c>
      <c r="H4580" s="11">
        <v>166</v>
      </c>
      <c r="I4580" s="11">
        <v>0</v>
      </c>
      <c r="J4580" s="11">
        <v>0</v>
      </c>
      <c r="K4580" s="11" t="s">
        <v>21</v>
      </c>
      <c r="L4580" s="7">
        <v>42089.877407407403</v>
      </c>
      <c r="M4580" s="12" t="s">
        <v>10578</v>
      </c>
      <c r="N4580" s="12"/>
      <c r="O4580" s="10" t="str">
        <f>HYPERLINK("https://pbs.twimg.com/profile_images/712642815306702849/PCFg2XhV_normal.jpg","View")</f>
        <v>View</v>
      </c>
      <c r="P4580" s="11"/>
    </row>
    <row r="4581" spans="1:16" ht="12.75" x14ac:dyDescent="0.35">
      <c r="A4581" s="7">
        <v>42482.960520833338</v>
      </c>
      <c r="B4581" s="8" t="str">
        <f>HYPERLINK("https://twitter.com/VWCamperSales","@VWCamperSales")</f>
        <v>@VWCamperSales</v>
      </c>
      <c r="C4581" s="9" t="s">
        <v>216</v>
      </c>
      <c r="D4581" s="9" t="s">
        <v>10734</v>
      </c>
      <c r="E4581" s="10" t="str">
        <f>HYPERLINK("https://twitter.com/VWCamperSales/status/723565315255197696","723565315255197696")</f>
        <v>723565315255197696</v>
      </c>
      <c r="F4581" s="10" t="s">
        <v>124</v>
      </c>
      <c r="G4581" s="11">
        <v>618</v>
      </c>
      <c r="H4581" s="11">
        <v>580</v>
      </c>
      <c r="I4581" s="11">
        <v>0</v>
      </c>
      <c r="J4581" s="11">
        <v>0</v>
      </c>
      <c r="K4581" s="11" t="s">
        <v>21</v>
      </c>
      <c r="L4581" s="7">
        <v>42215.98809027778</v>
      </c>
      <c r="M4581" s="12" t="s">
        <v>129</v>
      </c>
      <c r="N4581" s="12" t="s">
        <v>218</v>
      </c>
      <c r="O4581" s="10" t="str">
        <f>HYPERLINK("https://pbs.twimg.com/profile_images/627949001179037696/skEBkS05_normal.jpg","View")</f>
        <v>View</v>
      </c>
      <c r="P4581" s="11"/>
    </row>
    <row r="4582" spans="1:16" ht="12.75" x14ac:dyDescent="0.35">
      <c r="A4582" s="7">
        <v>42482.960613425923</v>
      </c>
      <c r="B4582" s="8" t="str">
        <f>HYPERLINK("https://twitter.com/DailyOli","@DailyOli")</f>
        <v>@DailyOli</v>
      </c>
      <c r="C4582" s="9" t="s">
        <v>10646</v>
      </c>
      <c r="D4582" s="9" t="s">
        <v>10735</v>
      </c>
      <c r="E4582" s="10" t="str">
        <f>HYPERLINK("https://twitter.com/DailyOli/status/723565349061443584","723565349061443584")</f>
        <v>723565349061443584</v>
      </c>
      <c r="F4582" s="11" t="s">
        <v>91</v>
      </c>
      <c r="G4582" s="11">
        <v>15</v>
      </c>
      <c r="H4582" s="11">
        <v>75</v>
      </c>
      <c r="I4582" s="11">
        <v>0</v>
      </c>
      <c r="J4582" s="11">
        <v>0</v>
      </c>
      <c r="K4582" s="11" t="s">
        <v>21</v>
      </c>
      <c r="L4582" s="7">
        <v>42383.136446759258</v>
      </c>
      <c r="M4582" s="12" t="s">
        <v>10736</v>
      </c>
      <c r="N4582" s="12" t="s">
        <v>10737</v>
      </c>
      <c r="O4582" s="10" t="str">
        <f>HYPERLINK("https://pbs.twimg.com/profile_images/714113254826631168/ZH-Q0eEM_normal.jpg","View")</f>
        <v>View</v>
      </c>
      <c r="P4582" s="11"/>
    </row>
    <row r="4583" spans="1:16" ht="12.75" x14ac:dyDescent="0.35">
      <c r="A4583" s="7">
        <v>42482.961122685185</v>
      </c>
      <c r="B4583" s="8" t="str">
        <f>HYPERLINK("https://twitter.com/WinfriedFelser","@WinfriedFelser")</f>
        <v>@WinfriedFelser</v>
      </c>
      <c r="C4583" s="9" t="s">
        <v>10725</v>
      </c>
      <c r="D4583" s="9" t="s">
        <v>10738</v>
      </c>
      <c r="E4583" s="10" t="str">
        <f>HYPERLINK("https://twitter.com/WinfriedFelser/status/723565534239969284","723565534239969284")</f>
        <v>723565534239969284</v>
      </c>
      <c r="F4583" s="10" t="s">
        <v>2083</v>
      </c>
      <c r="G4583" s="11">
        <v>1139</v>
      </c>
      <c r="H4583" s="11">
        <v>1206</v>
      </c>
      <c r="I4583" s="11">
        <v>0</v>
      </c>
      <c r="J4583" s="11">
        <v>0</v>
      </c>
      <c r="K4583" s="11" t="s">
        <v>21</v>
      </c>
      <c r="L4583" s="7">
        <v>40263.993356481486</v>
      </c>
      <c r="M4583" s="12" t="s">
        <v>1241</v>
      </c>
      <c r="N4583" s="12" t="s">
        <v>10727</v>
      </c>
      <c r="O4583" s="10" t="str">
        <f>HYPERLINK("https://pbs.twimg.com/profile_images/562193841587896321/nfd18Y4g_normal.jpeg","View")</f>
        <v>View</v>
      </c>
      <c r="P4583" s="11"/>
    </row>
    <row r="4584" spans="1:16" ht="12.75" x14ac:dyDescent="0.35">
      <c r="A4584" s="7">
        <v>42482.961365740739</v>
      </c>
      <c r="B4584" s="8" t="str">
        <f>HYPERLINK("https://twitter.com/HansTheGerman","@HansTheGerman")</f>
        <v>@HansTheGerman</v>
      </c>
      <c r="C4584" s="9" t="s">
        <v>4330</v>
      </c>
      <c r="D4584" s="9" t="s">
        <v>8592</v>
      </c>
      <c r="E4584" s="10" t="str">
        <f>HYPERLINK("https://twitter.com/HansTheGerman/status/723565624291672064","723565624291672064")</f>
        <v>723565624291672064</v>
      </c>
      <c r="F4584" s="11" t="s">
        <v>43</v>
      </c>
      <c r="G4584" s="11">
        <v>314</v>
      </c>
      <c r="H4584" s="11">
        <v>764</v>
      </c>
      <c r="I4584" s="11">
        <v>4</v>
      </c>
      <c r="J4584" s="11">
        <v>0</v>
      </c>
      <c r="K4584" s="11" t="s">
        <v>21</v>
      </c>
      <c r="L4584" s="7">
        <v>39950.572777777779</v>
      </c>
      <c r="M4584" s="12" t="s">
        <v>1116</v>
      </c>
      <c r="N4584" s="12" t="s">
        <v>4332</v>
      </c>
      <c r="O4584" s="10" t="str">
        <f>HYPERLINK("https://pbs.twimg.com/profile_images/3012106875/596e712c99a38ec69b925b7f7ab71986_normal.jpeg","View")</f>
        <v>View</v>
      </c>
      <c r="P4584" s="11"/>
    </row>
    <row r="4585" spans="1:16" ht="12.75" x14ac:dyDescent="0.35">
      <c r="A4585" s="7">
        <v>42482.961400462962</v>
      </c>
      <c r="B4585" s="8" t="str">
        <f>HYPERLINK("https://twitter.com/J1Lord","@J1Lord")</f>
        <v>@J1Lord</v>
      </c>
      <c r="C4585" s="9" t="s">
        <v>10739</v>
      </c>
      <c r="D4585" s="9" t="s">
        <v>8227</v>
      </c>
      <c r="E4585" s="10" t="str">
        <f>HYPERLINK("https://twitter.com/J1Lord/status/723565636622913538","723565636622913538")</f>
        <v>723565636622913538</v>
      </c>
      <c r="F4585" s="11" t="s">
        <v>20</v>
      </c>
      <c r="G4585" s="11">
        <v>242</v>
      </c>
      <c r="H4585" s="11">
        <v>391</v>
      </c>
      <c r="I4585" s="11">
        <v>7</v>
      </c>
      <c r="J4585" s="11">
        <v>0</v>
      </c>
      <c r="K4585" s="11" t="s">
        <v>21</v>
      </c>
      <c r="L4585" s="7">
        <v>40072.949594907404</v>
      </c>
      <c r="M4585" s="12" t="s">
        <v>10740</v>
      </c>
      <c r="N4585" s="12" t="s">
        <v>10741</v>
      </c>
      <c r="O4585" s="10" t="str">
        <f>HYPERLINK("https://pbs.twimg.com/profile_images/723207945782210560/jAvZjEwh_normal.jpg","View")</f>
        <v>View</v>
      </c>
      <c r="P4585" s="11"/>
    </row>
    <row r="4586" spans="1:16" ht="12.75" x14ac:dyDescent="0.35">
      <c r="A4586" s="7">
        <v>42482.962685185186</v>
      </c>
      <c r="B4586" s="8" t="str">
        <f>HYPERLINK("https://twitter.com/MarleHavelin","@MarleHavelin")</f>
        <v>@MarleHavelin</v>
      </c>
      <c r="C4586" s="9" t="s">
        <v>10742</v>
      </c>
      <c r="D4586" s="9" t="s">
        <v>10249</v>
      </c>
      <c r="E4586" s="10" t="str">
        <f>HYPERLINK("https://twitter.com/MarleHavelin/status/723566102555426816","723566102555426816")</f>
        <v>723566102555426816</v>
      </c>
      <c r="F4586" s="11" t="s">
        <v>48</v>
      </c>
      <c r="G4586" s="11">
        <v>258</v>
      </c>
      <c r="H4586" s="11">
        <v>82</v>
      </c>
      <c r="I4586" s="11">
        <v>15</v>
      </c>
      <c r="J4586" s="11">
        <v>0</v>
      </c>
      <c r="K4586" s="11" t="s">
        <v>21</v>
      </c>
      <c r="L4586" s="7">
        <v>41568.348530092597</v>
      </c>
      <c r="M4586" s="12" t="s">
        <v>10743</v>
      </c>
      <c r="N4586" s="12">
        <v>21</v>
      </c>
      <c r="O4586" s="10" t="str">
        <f>HYPERLINK("https://pbs.twimg.com/profile_images/541564836874682368/zHw_HUdl_normal.jpeg","View")</f>
        <v>View</v>
      </c>
      <c r="P4586" s="11"/>
    </row>
    <row r="4587" spans="1:16" ht="12.75" x14ac:dyDescent="0.35">
      <c r="A4587" s="7">
        <v>42482.963240740741</v>
      </c>
      <c r="B4587" s="8" t="str">
        <f>HYPERLINK("https://twitter.com/abronstadnlj","@abronstadnlj")</f>
        <v>@abronstadnlj</v>
      </c>
      <c r="C4587" s="9" t="s">
        <v>10744</v>
      </c>
      <c r="D4587" s="9" t="s">
        <v>10745</v>
      </c>
      <c r="E4587" s="10" t="str">
        <f>HYPERLINK("https://twitter.com/abronstadnlj/status/723566301613031426","723566301613031426")</f>
        <v>723566301613031426</v>
      </c>
      <c r="F4587" s="11" t="s">
        <v>43</v>
      </c>
      <c r="G4587" s="11">
        <v>1189</v>
      </c>
      <c r="H4587" s="11">
        <v>188</v>
      </c>
      <c r="I4587" s="11">
        <v>0</v>
      </c>
      <c r="J4587" s="11">
        <v>0</v>
      </c>
      <c r="K4587" s="11" t="s">
        <v>21</v>
      </c>
      <c r="L4587" s="7">
        <v>40261.129930555559</v>
      </c>
      <c r="M4587" s="12" t="s">
        <v>10746</v>
      </c>
      <c r="N4587" s="12" t="s">
        <v>10747</v>
      </c>
      <c r="O4587" s="10" t="str">
        <f>HYPERLINK("https://pbs.twimg.com/profile_images/1442028160/IMG00053-20101022-1549_normal.jpg","View")</f>
        <v>View</v>
      </c>
      <c r="P4587" s="11"/>
    </row>
    <row r="4588" spans="1:16" ht="12.75" x14ac:dyDescent="0.35">
      <c r="A4588" s="7">
        <v>42482.963333333333</v>
      </c>
      <c r="B4588" s="8" t="str">
        <f>HYPERLINK("https://twitter.com/CPitas","@CPitas")</f>
        <v>@CPitas</v>
      </c>
      <c r="C4588" s="9" t="s">
        <v>10748</v>
      </c>
      <c r="D4588" s="9" t="s">
        <v>10749</v>
      </c>
      <c r="E4588" s="10" t="str">
        <f>HYPERLINK("https://twitter.com/CPitas/status/723566334450216960","723566334450216960")</f>
        <v>723566334450216960</v>
      </c>
      <c r="F4588" s="11" t="s">
        <v>43</v>
      </c>
      <c r="G4588" s="11">
        <v>1248</v>
      </c>
      <c r="H4588" s="11">
        <v>755</v>
      </c>
      <c r="I4588" s="11">
        <v>0</v>
      </c>
      <c r="J4588" s="11">
        <v>0</v>
      </c>
      <c r="K4588" s="11" t="s">
        <v>21</v>
      </c>
      <c r="L4588" s="7">
        <v>40653.874386574076</v>
      </c>
      <c r="M4588" s="12" t="s">
        <v>638</v>
      </c>
      <c r="N4588" s="12" t="s">
        <v>10750</v>
      </c>
      <c r="O4588" s="10" t="str">
        <f>HYPERLINK("https://pbs.twimg.com/profile_images/2777304953/0bfc9df91366f3f20a8f77c7f43505a4_normal.jpeg","View")</f>
        <v>View</v>
      </c>
      <c r="P4588" s="11"/>
    </row>
    <row r="4589" spans="1:16" ht="12.75" x14ac:dyDescent="0.35">
      <c r="A4589" s="7">
        <v>42482.964895833335</v>
      </c>
      <c r="B4589" s="8" t="str">
        <f>HYPERLINK("https://twitter.com/StephanKrull","@StephanKrull")</f>
        <v>@StephanKrull</v>
      </c>
      <c r="C4589" s="9" t="s">
        <v>8307</v>
      </c>
      <c r="D4589" s="9" t="s">
        <v>10751</v>
      </c>
      <c r="E4589" s="10" t="str">
        <f>HYPERLINK("https://twitter.com/StephanKrull/status/723566903562801152","723566903562801152")</f>
        <v>723566903562801152</v>
      </c>
      <c r="F4589" s="11" t="s">
        <v>43</v>
      </c>
      <c r="G4589" s="11">
        <v>91</v>
      </c>
      <c r="H4589" s="11">
        <v>129</v>
      </c>
      <c r="I4589" s="11">
        <v>0</v>
      </c>
      <c r="J4589" s="11">
        <v>0</v>
      </c>
      <c r="K4589" s="11" t="s">
        <v>21</v>
      </c>
      <c r="L4589" s="7">
        <v>41721.974525462967</v>
      </c>
      <c r="M4589" s="12"/>
      <c r="N4589" s="12" t="s">
        <v>8308</v>
      </c>
      <c r="O4589" s="10" t="str">
        <f>HYPERLINK("https://pbs.twimg.com/profile_images/561650835038298112/jX4E_neH_normal.jpeg","View")</f>
        <v>View</v>
      </c>
      <c r="P4589" s="11"/>
    </row>
    <row r="4590" spans="1:16" ht="12.75" x14ac:dyDescent="0.35">
      <c r="A4590" s="7">
        <v>42482.965127314819</v>
      </c>
      <c r="B4590" s="8" t="str">
        <f>HYPERLINK("https://twitter.com/Scirocco_Tuning","@Scirocco_Tuning")</f>
        <v>@Scirocco_Tuning</v>
      </c>
      <c r="C4590" s="9" t="s">
        <v>51</v>
      </c>
      <c r="D4590" s="9" t="s">
        <v>10752</v>
      </c>
      <c r="E4590" s="10" t="str">
        <f>HYPERLINK("https://twitter.com/Scirocco_Tuning/status/723566987759239168","723566987759239168")</f>
        <v>723566987759239168</v>
      </c>
      <c r="F4590" s="11" t="s">
        <v>53</v>
      </c>
      <c r="G4590" s="11">
        <v>69</v>
      </c>
      <c r="H4590" s="11">
        <v>215</v>
      </c>
      <c r="I4590" s="11">
        <v>0</v>
      </c>
      <c r="J4590" s="11">
        <v>0</v>
      </c>
      <c r="K4590" s="11" t="s">
        <v>21</v>
      </c>
      <c r="L4590" s="7">
        <v>40844.564722222218</v>
      </c>
      <c r="M4590" s="12"/>
      <c r="N4590" s="12"/>
      <c r="O4590" s="10" t="str">
        <f>HYPERLINK("https://pbs.twimg.com/profile_images/1610421423/Image2_normal.jpg","View")</f>
        <v>View</v>
      </c>
      <c r="P4590" s="11"/>
    </row>
    <row r="4591" spans="1:16" ht="12.75" x14ac:dyDescent="0.35">
      <c r="A4591" s="7">
        <v>42482.966273148151</v>
      </c>
      <c r="B4591" s="8" t="str">
        <f>HYPERLINK("https://twitter.com/MotojunkyInfo","@MotojunkyInfo")</f>
        <v>@MotojunkyInfo</v>
      </c>
      <c r="C4591" s="9" t="s">
        <v>10753</v>
      </c>
      <c r="D4591" s="9" t="s">
        <v>10754</v>
      </c>
      <c r="E4591" s="10" t="str">
        <f>HYPERLINK("https://twitter.com/MotojunkyInfo/status/723567401774788610","723567401774788610")</f>
        <v>723567401774788610</v>
      </c>
      <c r="F4591" s="11" t="s">
        <v>114</v>
      </c>
      <c r="G4591" s="11">
        <v>85</v>
      </c>
      <c r="H4591" s="11">
        <v>150</v>
      </c>
      <c r="I4591" s="11">
        <v>0</v>
      </c>
      <c r="J4591" s="11">
        <v>0</v>
      </c>
      <c r="K4591" s="11" t="s">
        <v>21</v>
      </c>
      <c r="L4591" s="7">
        <v>42053.465740740736</v>
      </c>
      <c r="M4591" s="12" t="s">
        <v>10755</v>
      </c>
      <c r="N4591" s="12" t="s">
        <v>10756</v>
      </c>
      <c r="O4591" s="10" t="str">
        <f>HYPERLINK("https://pbs.twimg.com/profile_images/672152270717480960/JZ89oB5C_normal.jpg","View")</f>
        <v>View</v>
      </c>
      <c r="P4591" s="10" t="str">
        <f>HYPERLINK("http://ctrlq.org/maps/address/#-33.97221183,18.51581346","Map")</f>
        <v>Map</v>
      </c>
    </row>
    <row r="4592" spans="1:16" ht="12.75" x14ac:dyDescent="0.35">
      <c r="A4592" s="7">
        <v>42482.966574074075</v>
      </c>
      <c r="B4592" s="8" t="str">
        <f>HYPERLINK("https://twitter.com/maimaman_n","@maimaman_n")</f>
        <v>@maimaman_n</v>
      </c>
      <c r="C4592" s="9" t="s">
        <v>10757</v>
      </c>
      <c r="D4592" s="9" t="s">
        <v>10758</v>
      </c>
      <c r="E4592" s="10" t="str">
        <f>HYPERLINK("https://twitter.com/maimaman_n/status/723567512034656260","723567512034656260")</f>
        <v>723567512034656260</v>
      </c>
      <c r="F4592" s="11" t="s">
        <v>48</v>
      </c>
      <c r="G4592" s="11">
        <v>1211</v>
      </c>
      <c r="H4592" s="11">
        <v>1791</v>
      </c>
      <c r="I4592" s="11">
        <v>0</v>
      </c>
      <c r="J4592" s="11">
        <v>0</v>
      </c>
      <c r="K4592" s="11" t="s">
        <v>21</v>
      </c>
      <c r="L4592" s="7">
        <v>41397.975798611107</v>
      </c>
      <c r="M4592" s="12" t="s">
        <v>6380</v>
      </c>
      <c r="N4592" s="12" t="s">
        <v>10759</v>
      </c>
      <c r="O4592" s="10" t="str">
        <f>HYPERLINK("https://pbs.twimg.com/profile_images/720944147549548545/MzH9ePDo_normal.jpg","View")</f>
        <v>View</v>
      </c>
      <c r="P4592" s="11"/>
    </row>
    <row r="4593" spans="1:16" ht="12.75" x14ac:dyDescent="0.35">
      <c r="A4593" s="7">
        <v>42482.967013888891</v>
      </c>
      <c r="B4593" s="8" t="str">
        <f>HYPERLINK("https://twitter.com/AaronMadar","@AaronMadar")</f>
        <v>@AaronMadar</v>
      </c>
      <c r="C4593" s="9" t="s">
        <v>10760</v>
      </c>
      <c r="D4593" s="9" t="s">
        <v>10761</v>
      </c>
      <c r="E4593" s="10" t="str">
        <f>HYPERLINK("https://twitter.com/AaronMadar/status/723567671996874752","723567671996874752")</f>
        <v>723567671996874752</v>
      </c>
      <c r="F4593" s="11" t="s">
        <v>48</v>
      </c>
      <c r="G4593" s="11">
        <v>1131</v>
      </c>
      <c r="H4593" s="11">
        <v>118</v>
      </c>
      <c r="I4593" s="11">
        <v>0</v>
      </c>
      <c r="J4593" s="11">
        <v>0</v>
      </c>
      <c r="K4593" s="11" t="s">
        <v>21</v>
      </c>
      <c r="L4593" s="7">
        <v>39883.462326388893</v>
      </c>
      <c r="M4593" s="12" t="s">
        <v>10762</v>
      </c>
      <c r="N4593" s="12" t="s">
        <v>10763</v>
      </c>
      <c r="O4593" s="10" t="str">
        <f>HYPERLINK("https://pbs.twimg.com/profile_images/515589621959254017/0u4uISfM_normal.jpeg","View")</f>
        <v>View</v>
      </c>
      <c r="P4593" s="11"/>
    </row>
    <row r="4594" spans="1:16" ht="12.75" x14ac:dyDescent="0.35">
      <c r="A4594" s="7">
        <v>42482.967037037037</v>
      </c>
      <c r="B4594" s="8" t="str">
        <f>HYPERLINK("https://twitter.com/PrlmaDonnaProds","@PrlmaDonnaProds")</f>
        <v>@PrlmaDonnaProds</v>
      </c>
      <c r="C4594" s="9" t="s">
        <v>10764</v>
      </c>
      <c r="D4594" s="9" t="s">
        <v>10249</v>
      </c>
      <c r="E4594" s="10" t="str">
        <f>HYPERLINK("https://twitter.com/PrlmaDonnaProds/status/723567678804385792","723567678804385792")</f>
        <v>723567678804385792</v>
      </c>
      <c r="F4594" s="11" t="s">
        <v>48</v>
      </c>
      <c r="G4594" s="11">
        <v>21</v>
      </c>
      <c r="H4594" s="11">
        <v>91</v>
      </c>
      <c r="I4594" s="11">
        <v>15</v>
      </c>
      <c r="J4594" s="11">
        <v>0</v>
      </c>
      <c r="K4594" s="11" t="s">
        <v>21</v>
      </c>
      <c r="L4594" s="7">
        <v>42058.974432870367</v>
      </c>
      <c r="M4594" s="12" t="s">
        <v>10765</v>
      </c>
      <c r="N4594" s="12" t="s">
        <v>10766</v>
      </c>
      <c r="O4594" s="10" t="str">
        <f>HYPERLINK("https://pbs.twimg.com/profile_images/594567172908830720/PMQghqWb_normal.jpg","View")</f>
        <v>View</v>
      </c>
      <c r="P4594" s="11"/>
    </row>
    <row r="4595" spans="1:16" ht="12.75" x14ac:dyDescent="0.35">
      <c r="A4595" s="7">
        <v>42482.967280092591</v>
      </c>
      <c r="B4595" s="8" t="str">
        <f>HYPERLINK("https://twitter.com/JavierGustavo74","@JavierGustavo74")</f>
        <v>@JavierGustavo74</v>
      </c>
      <c r="C4595" s="9" t="s">
        <v>6403</v>
      </c>
      <c r="D4595" s="9" t="s">
        <v>10767</v>
      </c>
      <c r="E4595" s="10" t="str">
        <f>HYPERLINK("https://twitter.com/JavierGustavo74/status/723567765991350273","723567765991350273")</f>
        <v>723567765991350273</v>
      </c>
      <c r="F4595" s="11" t="s">
        <v>114</v>
      </c>
      <c r="G4595" s="11">
        <v>434</v>
      </c>
      <c r="H4595" s="11">
        <v>324</v>
      </c>
      <c r="I4595" s="11">
        <v>0</v>
      </c>
      <c r="J4595" s="11">
        <v>0</v>
      </c>
      <c r="K4595" s="11" t="s">
        <v>21</v>
      </c>
      <c r="L4595" s="7">
        <v>40387.036979166667</v>
      </c>
      <c r="M4595" s="12" t="s">
        <v>6405</v>
      </c>
      <c r="N4595" s="12" t="s">
        <v>6406</v>
      </c>
      <c r="O4595" s="10" t="str">
        <f>HYPERLINK("https://pbs.twimg.com/profile_images/710287996298371072/gggJOkGI_normal.jpg","View")</f>
        <v>View</v>
      </c>
      <c r="P4595" s="11"/>
    </row>
    <row r="4596" spans="1:16" ht="12.75" x14ac:dyDescent="0.35">
      <c r="A4596" s="7">
        <v>42482.967465277776</v>
      </c>
      <c r="B4596" s="8" t="str">
        <f>HYPERLINK("https://twitter.com/Sesionesdjvip","@Sesionesdjvip")</f>
        <v>@Sesionesdjvip</v>
      </c>
      <c r="C4596" s="8" t="s">
        <v>10768</v>
      </c>
      <c r="D4596" s="9" t="s">
        <v>7426</v>
      </c>
      <c r="E4596" s="10" t="str">
        <f>HYPERLINK("https://twitter.com/Sesionesdjvip/status/723567834501095424","723567834501095424")</f>
        <v>723567834501095424</v>
      </c>
      <c r="F4596" s="11" t="s">
        <v>10769</v>
      </c>
      <c r="G4596" s="11">
        <v>1396</v>
      </c>
      <c r="H4596" s="11">
        <v>2327</v>
      </c>
      <c r="I4596" s="11">
        <v>20</v>
      </c>
      <c r="J4596" s="11">
        <v>0</v>
      </c>
      <c r="K4596" s="11" t="s">
        <v>21</v>
      </c>
      <c r="L4596" s="7">
        <v>41123.886458333334</v>
      </c>
      <c r="M4596" s="12"/>
      <c r="N4596" s="12" t="s">
        <v>10770</v>
      </c>
      <c r="O4596" s="10" t="str">
        <f>HYPERLINK("https://pbs.twimg.com/profile_images/585736425750007808/71ffEwlw_normal.png","View")</f>
        <v>View</v>
      </c>
      <c r="P4596" s="11"/>
    </row>
    <row r="4597" spans="1:16" ht="12.75" x14ac:dyDescent="0.35">
      <c r="A4597" s="7">
        <v>42482.968032407407</v>
      </c>
      <c r="B4597" s="8" t="str">
        <f>HYPERLINK("https://twitter.com/TheI_Investors","@TheI_Investors")</f>
        <v>@TheI_Investors</v>
      </c>
      <c r="C4597" s="9" t="s">
        <v>10771</v>
      </c>
      <c r="D4597" s="9" t="s">
        <v>10772</v>
      </c>
      <c r="E4597" s="10" t="str">
        <f>HYPERLINK("https://twitter.com/TheI_Investors/status/723568038415572993","723568038415572993")</f>
        <v>723568038415572993</v>
      </c>
      <c r="F4597" s="11" t="s">
        <v>20</v>
      </c>
      <c r="G4597" s="11">
        <v>854</v>
      </c>
      <c r="H4597" s="11">
        <v>127</v>
      </c>
      <c r="I4597" s="11">
        <v>0</v>
      </c>
      <c r="J4597" s="11">
        <v>0</v>
      </c>
      <c r="K4597" s="11" t="s">
        <v>21</v>
      </c>
      <c r="L4597" s="7">
        <v>42279.828842592593</v>
      </c>
      <c r="M4597" s="12" t="s">
        <v>1072</v>
      </c>
      <c r="N4597" s="12" t="s">
        <v>10773</v>
      </c>
      <c r="O4597" s="10" t="str">
        <f>HYPERLINK("https://pbs.twimg.com/profile_images/683682913934807040/ZSOWIYBt_normal.jpg","View")</f>
        <v>View</v>
      </c>
      <c r="P4597" s="11"/>
    </row>
    <row r="4598" spans="1:16" ht="12.75" x14ac:dyDescent="0.35">
      <c r="A4598" s="7">
        <v>42482.968287037038</v>
      </c>
      <c r="B4598" s="8" t="str">
        <f>HYPERLINK("https://twitter.com/theautowriter","@theautowriter")</f>
        <v>@theautowriter</v>
      </c>
      <c r="C4598" s="9" t="s">
        <v>7972</v>
      </c>
      <c r="D4598" s="9" t="s">
        <v>10774</v>
      </c>
      <c r="E4598" s="10" t="str">
        <f>HYPERLINK("https://twitter.com/theautowriter/status/723568131709480960","723568131709480960")</f>
        <v>723568131709480960</v>
      </c>
      <c r="F4598" s="11" t="s">
        <v>43</v>
      </c>
      <c r="G4598" s="11">
        <v>9079</v>
      </c>
      <c r="H4598" s="11">
        <v>7357</v>
      </c>
      <c r="I4598" s="11">
        <v>0</v>
      </c>
      <c r="J4598" s="11">
        <v>0</v>
      </c>
      <c r="K4598" s="11" t="s">
        <v>21</v>
      </c>
      <c r="L4598" s="7">
        <v>39974.971400462964</v>
      </c>
      <c r="M4598" s="12" t="s">
        <v>7973</v>
      </c>
      <c r="N4598" s="12" t="s">
        <v>7974</v>
      </c>
      <c r="O4598" s="10" t="str">
        <f>HYPERLINK("https://pbs.twimg.com/profile_images/667151479518666752/TdpI6AEf_normal.jpg","View")</f>
        <v>View</v>
      </c>
      <c r="P4598" s="11"/>
    </row>
    <row r="4599" spans="1:16" ht="12.75" x14ac:dyDescent="0.35">
      <c r="A4599" s="7">
        <v>42482.969050925924</v>
      </c>
      <c r="B4599" s="8" t="str">
        <f>HYPERLINK("https://twitter.com/mtorrescoria","@mtorrescoria")</f>
        <v>@mtorrescoria</v>
      </c>
      <c r="C4599" s="9" t="s">
        <v>10775</v>
      </c>
      <c r="D4599" s="9" t="s">
        <v>10776</v>
      </c>
      <c r="E4599" s="10" t="str">
        <f>HYPERLINK("https://twitter.com/mtorrescoria/status/723568410190176256","723568410190176256")</f>
        <v>723568410190176256</v>
      </c>
      <c r="F4599" s="11" t="s">
        <v>63</v>
      </c>
      <c r="G4599" s="11">
        <v>90</v>
      </c>
      <c r="H4599" s="11">
        <v>310</v>
      </c>
      <c r="I4599" s="11">
        <v>0</v>
      </c>
      <c r="J4599" s="11">
        <v>0</v>
      </c>
      <c r="K4599" s="11" t="s">
        <v>21</v>
      </c>
      <c r="L4599" s="7">
        <v>40103.008854166663</v>
      </c>
      <c r="M4599" s="12" t="s">
        <v>10777</v>
      </c>
      <c r="N4599" s="12" t="s">
        <v>10778</v>
      </c>
      <c r="O4599" s="10" t="str">
        <f>HYPERLINK("https://pbs.twimg.com/profile_images/715323139794685952/4mFMcWMR_normal.jpg","View")</f>
        <v>View</v>
      </c>
      <c r="P4599" s="11"/>
    </row>
    <row r="4600" spans="1:16" ht="12.75" x14ac:dyDescent="0.35">
      <c r="A4600" s="7">
        <v>42482.969872685186</v>
      </c>
      <c r="B4600" s="8" t="str">
        <f>HYPERLINK("https://twitter.com/paullivellano","@paullivellano")</f>
        <v>@paullivellano</v>
      </c>
      <c r="C4600" s="9" t="s">
        <v>10779</v>
      </c>
      <c r="D4600" s="9" t="s">
        <v>10249</v>
      </c>
      <c r="E4600" s="10" t="str">
        <f>HYPERLINK("https://twitter.com/paullivellano/status/723568707520331777","723568707520331777")</f>
        <v>723568707520331777</v>
      </c>
      <c r="F4600" s="11" t="s">
        <v>48</v>
      </c>
      <c r="G4600" s="11">
        <v>317</v>
      </c>
      <c r="H4600" s="11">
        <v>112</v>
      </c>
      <c r="I4600" s="11">
        <v>17</v>
      </c>
      <c r="J4600" s="11">
        <v>0</v>
      </c>
      <c r="K4600" s="11" t="s">
        <v>21</v>
      </c>
      <c r="L4600" s="7">
        <v>41566.709178240737</v>
      </c>
      <c r="M4600" s="12" t="s">
        <v>10780</v>
      </c>
      <c r="N4600" s="12" t="s">
        <v>10781</v>
      </c>
      <c r="O4600" s="10" t="str">
        <f>HYPERLINK("https://pbs.twimg.com/profile_images/539631603660898305/4yJ_9V-u_normal.jpeg","View")</f>
        <v>View</v>
      </c>
      <c r="P4600" s="11"/>
    </row>
    <row r="4601" spans="1:16" ht="12.75" x14ac:dyDescent="0.35">
      <c r="A4601" s="7">
        <v>42482.971006944441</v>
      </c>
      <c r="B4601" s="8" t="str">
        <f>HYPERLINK("https://twitter.com/JNiroJacobs","@JNiroJacobs")</f>
        <v>@JNiroJacobs</v>
      </c>
      <c r="C4601" s="9" t="s">
        <v>10782</v>
      </c>
      <c r="D4601" s="9" t="s">
        <v>10783</v>
      </c>
      <c r="E4601" s="10" t="str">
        <f>HYPERLINK("https://twitter.com/JNiroJacobs/status/723569116364324870","723569116364324870")</f>
        <v>723569116364324870</v>
      </c>
      <c r="F4601" s="11" t="s">
        <v>20</v>
      </c>
      <c r="G4601" s="11">
        <v>686</v>
      </c>
      <c r="H4601" s="11">
        <v>620</v>
      </c>
      <c r="I4601" s="11">
        <v>2</v>
      </c>
      <c r="J4601" s="11">
        <v>0</v>
      </c>
      <c r="K4601" s="11" t="s">
        <v>21</v>
      </c>
      <c r="L4601" s="7">
        <v>42254.428877314815</v>
      </c>
      <c r="M4601" s="12" t="s">
        <v>1072</v>
      </c>
      <c r="N4601" s="12" t="s">
        <v>10784</v>
      </c>
      <c r="O4601" s="10" t="str">
        <f>HYPERLINK("https://pbs.twimg.com/profile_images/704043585453350913/gNxRyi-9_normal.jpg","View")</f>
        <v>View</v>
      </c>
      <c r="P4601" s="11"/>
    </row>
    <row r="4602" spans="1:16" ht="12.75" x14ac:dyDescent="0.35">
      <c r="A4602" s="7">
        <v>42482.971168981487</v>
      </c>
      <c r="B4602" s="8" t="str">
        <f>HYPERLINK("https://twitter.com/TipsParaNinos","@TipsParaNinos")</f>
        <v>@TipsParaNinos</v>
      </c>
      <c r="C4602" s="9" t="s">
        <v>10785</v>
      </c>
      <c r="D4602" s="9" t="s">
        <v>10786</v>
      </c>
      <c r="E4602" s="10" t="str">
        <f>HYPERLINK("https://twitter.com/TipsParaNinos/status/723569176472739840","723569176472739840")</f>
        <v>723569176472739840</v>
      </c>
      <c r="F4602" s="11" t="s">
        <v>10787</v>
      </c>
      <c r="G4602" s="11">
        <v>28656</v>
      </c>
      <c r="H4602" s="11">
        <v>15268</v>
      </c>
      <c r="I4602" s="11">
        <v>53</v>
      </c>
      <c r="J4602" s="11">
        <v>0</v>
      </c>
      <c r="K4602" s="11" t="s">
        <v>21</v>
      </c>
      <c r="L4602" s="7">
        <v>40800.145925925928</v>
      </c>
      <c r="M4602" s="12"/>
      <c r="N4602" s="12" t="s">
        <v>10788</v>
      </c>
      <c r="O4602" s="10" t="str">
        <f>HYPERLINK("https://pbs.twimg.com/profile_images/626906935716024320/ONSQFvUj_normal.png","View")</f>
        <v>View</v>
      </c>
      <c r="P4602" s="11"/>
    </row>
    <row r="4603" spans="1:16" ht="12.75" x14ac:dyDescent="0.35">
      <c r="A4603" s="7">
        <v>42482.971574074079</v>
      </c>
      <c r="B4603" s="8" t="str">
        <f>HYPERLINK("https://twitter.com/I_InvestorJack","@I_InvestorJack")</f>
        <v>@I_InvestorJack</v>
      </c>
      <c r="C4603" s="9" t="s">
        <v>10789</v>
      </c>
      <c r="D4603" s="9" t="s">
        <v>10783</v>
      </c>
      <c r="E4603" s="10" t="str">
        <f>HYPERLINK("https://twitter.com/I_InvestorJack/status/723569322858295297","723569322858295297")</f>
        <v>723569322858295297</v>
      </c>
      <c r="F4603" s="11" t="s">
        <v>20</v>
      </c>
      <c r="G4603" s="11">
        <v>403</v>
      </c>
      <c r="H4603" s="11">
        <v>932</v>
      </c>
      <c r="I4603" s="11">
        <v>2</v>
      </c>
      <c r="J4603" s="11">
        <v>0</v>
      </c>
      <c r="K4603" s="11" t="s">
        <v>21</v>
      </c>
      <c r="L4603" s="7">
        <v>42279.07980324074</v>
      </c>
      <c r="M4603" s="12" t="s">
        <v>1072</v>
      </c>
      <c r="N4603" s="12" t="s">
        <v>10790</v>
      </c>
      <c r="O4603" s="10" t="str">
        <f>HYPERLINK("https://pbs.twimg.com/profile_images/711678681090039808/1BAsJz83_normal.jpg","View")</f>
        <v>View</v>
      </c>
      <c r="P4603" s="11"/>
    </row>
    <row r="4604" spans="1:16" ht="12.75" x14ac:dyDescent="0.35">
      <c r="A4604" s="7">
        <v>42482.971574074079</v>
      </c>
      <c r="B4604" s="8" t="str">
        <f>HYPERLINK("https://twitter.com/GeorgAlbrecht1","@GeorgAlbrecht1")</f>
        <v>@GeorgAlbrecht1</v>
      </c>
      <c r="C4604" s="9" t="s">
        <v>10791</v>
      </c>
      <c r="D4604" s="9" t="s">
        <v>10792</v>
      </c>
      <c r="E4604" s="10" t="str">
        <f>HYPERLINK("https://twitter.com/GeorgAlbrecht1/status/723569324305334272","723569324305334272")</f>
        <v>723569324305334272</v>
      </c>
      <c r="F4604" s="11" t="s">
        <v>91</v>
      </c>
      <c r="G4604" s="11">
        <v>481</v>
      </c>
      <c r="H4604" s="11">
        <v>450</v>
      </c>
      <c r="I4604" s="11">
        <v>0</v>
      </c>
      <c r="J4604" s="11">
        <v>0</v>
      </c>
      <c r="K4604" s="11" t="s">
        <v>21</v>
      </c>
      <c r="L4604" s="7">
        <v>41961.23065972222</v>
      </c>
      <c r="M4604" s="12" t="s">
        <v>10793</v>
      </c>
      <c r="N4604" s="12" t="s">
        <v>10794</v>
      </c>
      <c r="O4604" s="10" t="str">
        <f>HYPERLINK("https://pbs.twimg.com/profile_images/624857513989701632/nGTBvzYR_normal.jpg","View")</f>
        <v>View</v>
      </c>
      <c r="P4604" s="11"/>
    </row>
    <row r="4605" spans="1:16" ht="12.75" x14ac:dyDescent="0.35">
      <c r="A4605" s="7">
        <v>42482.971770833334</v>
      </c>
      <c r="B4605" s="8" t="str">
        <f>HYPERLINK("https://twitter.com/CounterCorp","@CounterCorp")</f>
        <v>@CounterCorp</v>
      </c>
      <c r="C4605" s="9" t="s">
        <v>10795</v>
      </c>
      <c r="D4605" s="9" t="s">
        <v>10796</v>
      </c>
      <c r="E4605" s="10" t="str">
        <f>HYPERLINK("https://twitter.com/CounterCorp/status/723569393372786692","723569393372786692")</f>
        <v>723569393372786692</v>
      </c>
      <c r="F4605" s="11" t="s">
        <v>20</v>
      </c>
      <c r="G4605" s="11">
        <v>189</v>
      </c>
      <c r="H4605" s="11">
        <v>192</v>
      </c>
      <c r="I4605" s="11">
        <v>0</v>
      </c>
      <c r="J4605" s="11">
        <v>0</v>
      </c>
      <c r="K4605" s="11" t="s">
        <v>21</v>
      </c>
      <c r="L4605" s="7">
        <v>40137.351180555554</v>
      </c>
      <c r="M4605" s="12" t="s">
        <v>10797</v>
      </c>
      <c r="N4605" s="12" t="s">
        <v>10798</v>
      </c>
      <c r="O4605" s="10" t="str">
        <f>HYPERLINK("https://pbs.twimg.com/profile_images/3682887849/74962b41d1f818323ea8ef74bf1e834e_normal.png","View")</f>
        <v>View</v>
      </c>
      <c r="P4605" s="11"/>
    </row>
    <row r="4606" spans="1:16" ht="12.75" x14ac:dyDescent="0.35">
      <c r="A4606" s="7">
        <v>42482.973321759258</v>
      </c>
      <c r="B4606" s="8" t="str">
        <f>HYPERLINK("https://twitter.com/sarahmaho49","@sarahmaho49")</f>
        <v>@sarahmaho49</v>
      </c>
      <c r="C4606" s="9" t="s">
        <v>10799</v>
      </c>
      <c r="D4606" s="9" t="s">
        <v>10249</v>
      </c>
      <c r="E4606" s="10" t="str">
        <f>HYPERLINK("https://twitter.com/sarahmaho49/status/723569955736838146","723569955736838146")</f>
        <v>723569955736838146</v>
      </c>
      <c r="F4606" s="11" t="s">
        <v>48</v>
      </c>
      <c r="G4606" s="11">
        <v>317</v>
      </c>
      <c r="H4606" s="11">
        <v>113</v>
      </c>
      <c r="I4606" s="11">
        <v>17</v>
      </c>
      <c r="J4606" s="11">
        <v>0</v>
      </c>
      <c r="K4606" s="11" t="s">
        <v>21</v>
      </c>
      <c r="L4606" s="7">
        <v>41566.114421296297</v>
      </c>
      <c r="M4606" s="12" t="s">
        <v>10800</v>
      </c>
      <c r="N4606" s="12" t="s">
        <v>10801</v>
      </c>
      <c r="O4606" s="10" t="str">
        <f>HYPERLINK("https://pbs.twimg.com/profile_images/534280066231205888/JBDUShsd_normal.png","View")</f>
        <v>View</v>
      </c>
      <c r="P4606" s="11"/>
    </row>
    <row r="4607" spans="1:16" ht="12.75" x14ac:dyDescent="0.35">
      <c r="A4607" s="7">
        <v>42482.973368055551</v>
      </c>
      <c r="B4607" s="8" t="str">
        <f>HYPERLINK("https://twitter.com/CarenLay","@CarenLay")</f>
        <v>@CarenLay</v>
      </c>
      <c r="C4607" s="9" t="s">
        <v>10802</v>
      </c>
      <c r="D4607" s="9" t="s">
        <v>10803</v>
      </c>
      <c r="E4607" s="10" t="str">
        <f>HYPERLINK("https://twitter.com/CarenLay/status/723569972103004160","723569972103004160")</f>
        <v>723569972103004160</v>
      </c>
      <c r="F4607" s="11" t="s">
        <v>20</v>
      </c>
      <c r="G4607" s="11">
        <v>4174</v>
      </c>
      <c r="H4607" s="11">
        <v>302</v>
      </c>
      <c r="I4607" s="11">
        <v>0</v>
      </c>
      <c r="J4607" s="11">
        <v>1</v>
      </c>
      <c r="K4607" s="11" t="s">
        <v>21</v>
      </c>
      <c r="L4607" s="7">
        <v>39864.86881944444</v>
      </c>
      <c r="M4607" s="12"/>
      <c r="N4607" s="12" t="s">
        <v>10804</v>
      </c>
      <c r="O4607" s="10" t="str">
        <f>HYPERLINK("https://pbs.twimg.com/profile_images/707557136646217729/FI2cHfks_normal.jpg","View")</f>
        <v>View</v>
      </c>
      <c r="P4607" s="11"/>
    </row>
    <row r="4608" spans="1:16" ht="12.75" x14ac:dyDescent="0.35">
      <c r="A4608" s="7">
        <v>42482.973680555559</v>
      </c>
      <c r="B4608" s="8" t="str">
        <f>HYPERLINK("https://twitter.com/VWBeetleSales","@VWBeetleSales")</f>
        <v>@VWBeetleSales</v>
      </c>
      <c r="C4608" s="9" t="s">
        <v>127</v>
      </c>
      <c r="D4608" s="9" t="s">
        <v>10805</v>
      </c>
      <c r="E4608" s="10" t="str">
        <f>HYPERLINK("https://twitter.com/VWBeetleSales/status/723570088008241153","723570088008241153")</f>
        <v>723570088008241153</v>
      </c>
      <c r="F4608" s="10" t="s">
        <v>124</v>
      </c>
      <c r="G4608" s="11">
        <v>36</v>
      </c>
      <c r="H4608" s="11">
        <v>32</v>
      </c>
      <c r="I4608" s="11">
        <v>0</v>
      </c>
      <c r="J4608" s="11">
        <v>0</v>
      </c>
      <c r="K4608" s="11" t="s">
        <v>21</v>
      </c>
      <c r="L4608" s="7">
        <v>42427.019756944443</v>
      </c>
      <c r="M4608" s="12" t="s">
        <v>129</v>
      </c>
      <c r="N4608" s="12" t="s">
        <v>130</v>
      </c>
      <c r="O4608" s="10" t="str">
        <f>HYPERLINK("https://pbs.twimg.com/profile_images/703294545195307008/qeCvrX86_normal.jpg","View")</f>
        <v>View</v>
      </c>
      <c r="P4608" s="11"/>
    </row>
    <row r="4609" spans="1:16" ht="12.75" x14ac:dyDescent="0.35">
      <c r="A4609" s="7">
        <v>42482.974050925928</v>
      </c>
      <c r="B4609" s="8" t="str">
        <f>HYPERLINK("https://twitter.com/VWCamperSales","@VWCamperSales")</f>
        <v>@VWCamperSales</v>
      </c>
      <c r="C4609" s="9" t="s">
        <v>216</v>
      </c>
      <c r="D4609" s="9" t="s">
        <v>10806</v>
      </c>
      <c r="E4609" s="10" t="str">
        <f>HYPERLINK("https://twitter.com/VWCamperSales/status/723570222301515776","723570222301515776")</f>
        <v>723570222301515776</v>
      </c>
      <c r="F4609" s="10" t="s">
        <v>124</v>
      </c>
      <c r="G4609" s="11">
        <v>618</v>
      </c>
      <c r="H4609" s="11">
        <v>580</v>
      </c>
      <c r="I4609" s="11">
        <v>0</v>
      </c>
      <c r="J4609" s="11">
        <v>0</v>
      </c>
      <c r="K4609" s="11" t="s">
        <v>21</v>
      </c>
      <c r="L4609" s="7">
        <v>42215.98809027778</v>
      </c>
      <c r="M4609" s="12" t="s">
        <v>129</v>
      </c>
      <c r="N4609" s="12" t="s">
        <v>218</v>
      </c>
      <c r="O4609" s="10" t="str">
        <f>HYPERLINK("https://pbs.twimg.com/profile_images/627949001179037696/skEBkS05_normal.jpg","View")</f>
        <v>View</v>
      </c>
      <c r="P4609" s="11"/>
    </row>
    <row r="4610" spans="1:16" ht="12.75" x14ac:dyDescent="0.35">
      <c r="A4610" s="7">
        <v>42482.975023148145</v>
      </c>
      <c r="B4610" s="8" t="str">
        <f>HYPERLINK("https://twitter.com/CarterVW","@CarterVW")</f>
        <v>@CarterVW</v>
      </c>
      <c r="C4610" s="9" t="s">
        <v>4771</v>
      </c>
      <c r="D4610" s="9" t="s">
        <v>10807</v>
      </c>
      <c r="E4610" s="10" t="str">
        <f>HYPERLINK("https://twitter.com/CarterVW/status/723570571867361281","723570571867361281")</f>
        <v>723570571867361281</v>
      </c>
      <c r="F4610" s="11" t="s">
        <v>140</v>
      </c>
      <c r="G4610" s="11">
        <v>2027</v>
      </c>
      <c r="H4610" s="11">
        <v>1292</v>
      </c>
      <c r="I4610" s="11">
        <v>0</v>
      </c>
      <c r="J4610" s="11">
        <v>0</v>
      </c>
      <c r="K4610" s="11" t="s">
        <v>21</v>
      </c>
      <c r="L4610" s="7">
        <v>40002.494502314818</v>
      </c>
      <c r="M4610" s="12" t="s">
        <v>355</v>
      </c>
      <c r="N4610" s="12" t="s">
        <v>4773</v>
      </c>
      <c r="O4610" s="10" t="str">
        <f>HYPERLINK("https://pbs.twimg.com/profile_images/693260133237809152/JUVeKYdq_normal.jpg","View")</f>
        <v>View</v>
      </c>
      <c r="P4610" s="11"/>
    </row>
    <row r="4611" spans="1:16" ht="12.75" x14ac:dyDescent="0.35">
      <c r="A4611" s="7">
        <v>42482.975254629629</v>
      </c>
      <c r="B4611" s="8" t="str">
        <f>HYPERLINK("https://twitter.com/FierroosAlPiso","@FierroosAlPiso")</f>
        <v>@FierroosAlPiso</v>
      </c>
      <c r="C4611" s="9" t="s">
        <v>10439</v>
      </c>
      <c r="D4611" s="9" t="s">
        <v>10808</v>
      </c>
      <c r="E4611" s="10" t="str">
        <f>HYPERLINK("https://twitter.com/FierroosAlPiso/status/723570658026917888","723570658026917888")</f>
        <v>723570658026917888</v>
      </c>
      <c r="F4611" s="11" t="s">
        <v>48</v>
      </c>
      <c r="G4611" s="11">
        <v>13171</v>
      </c>
      <c r="H4611" s="11">
        <v>7825</v>
      </c>
      <c r="I4611" s="11">
        <v>16</v>
      </c>
      <c r="J4611" s="11">
        <v>0</v>
      </c>
      <c r="K4611" s="11" t="s">
        <v>21</v>
      </c>
      <c r="L4611" s="7">
        <v>42343.128275462965</v>
      </c>
      <c r="M4611" s="12" t="s">
        <v>10441</v>
      </c>
      <c r="N4611" s="12" t="s">
        <v>10442</v>
      </c>
      <c r="O4611" s="10" t="str">
        <f>HYPERLINK("https://pbs.twimg.com/profile_images/710841392726147072/qbniEB4w_normal.jpg","View")</f>
        <v>View</v>
      </c>
      <c r="P4611" s="11"/>
    </row>
    <row r="4612" spans="1:16" ht="12.75" x14ac:dyDescent="0.35">
      <c r="A4612" s="7">
        <v>42482.975416666668</v>
      </c>
      <c r="B4612" s="8" t="str">
        <f>HYPERLINK("https://twitter.com/LuliSilva0","@LuliSilva0")</f>
        <v>@LuliSilva0</v>
      </c>
      <c r="C4612" s="9" t="s">
        <v>10809</v>
      </c>
      <c r="D4612" s="9" t="s">
        <v>10808</v>
      </c>
      <c r="E4612" s="10" t="str">
        <f>HYPERLINK("https://twitter.com/LuliSilva0/status/723570717288194048","723570717288194048")</f>
        <v>723570717288194048</v>
      </c>
      <c r="F4612" s="11" t="s">
        <v>48</v>
      </c>
      <c r="G4612" s="11">
        <v>1171</v>
      </c>
      <c r="H4612" s="11">
        <v>967</v>
      </c>
      <c r="I4612" s="11">
        <v>16</v>
      </c>
      <c r="J4612" s="11">
        <v>0</v>
      </c>
      <c r="K4612" s="11" t="s">
        <v>21</v>
      </c>
      <c r="L4612" s="7">
        <v>41796.216620370367</v>
      </c>
      <c r="M4612" s="12" t="s">
        <v>10810</v>
      </c>
      <c r="N4612" s="12" t="s">
        <v>10811</v>
      </c>
      <c r="O4612" s="10" t="str">
        <f>HYPERLINK("https://pbs.twimg.com/profile_images/722690189647290369/RX421T-r_normal.jpg","View")</f>
        <v>View</v>
      </c>
      <c r="P4612" s="11"/>
    </row>
    <row r="4613" spans="1:16" ht="12.75" x14ac:dyDescent="0.35">
      <c r="A4613" s="7">
        <v>42482.975613425922</v>
      </c>
      <c r="B4613" s="8" t="str">
        <f>HYPERLINK("https://twitter.com/CoopsNeil","@CoopsNeil")</f>
        <v>@CoopsNeil</v>
      </c>
      <c r="C4613" s="9" t="s">
        <v>6837</v>
      </c>
      <c r="D4613" s="9" t="s">
        <v>10812</v>
      </c>
      <c r="E4613" s="10" t="str">
        <f>HYPERLINK("https://twitter.com/CoopsNeil/status/723570784669716480","723570784669716480")</f>
        <v>723570784669716480</v>
      </c>
      <c r="F4613" s="11" t="s">
        <v>20</v>
      </c>
      <c r="G4613" s="11">
        <v>59</v>
      </c>
      <c r="H4613" s="11">
        <v>68</v>
      </c>
      <c r="I4613" s="11">
        <v>0</v>
      </c>
      <c r="J4613" s="11">
        <v>1</v>
      </c>
      <c r="K4613" s="11" t="s">
        <v>21</v>
      </c>
      <c r="L4613" s="7">
        <v>40926.518460648149</v>
      </c>
      <c r="M4613" s="12" t="s">
        <v>1450</v>
      </c>
      <c r="N4613" s="12" t="s">
        <v>6839</v>
      </c>
      <c r="O4613" s="10" t="str">
        <f>HYPERLINK("https://pbs.twimg.com/profile_images/621959268766470144/_NDaByff_normal.jpg","View")</f>
        <v>View</v>
      </c>
      <c r="P4613" s="11"/>
    </row>
    <row r="4614" spans="1:16" ht="12.75" x14ac:dyDescent="0.35">
      <c r="A4614" s="7">
        <v>42482.975763888884</v>
      </c>
      <c r="B4614" s="8" t="str">
        <f>HYPERLINK("https://twitter.com/kevinjamaica111","@kevinjamaica111")</f>
        <v>@kevinjamaica111</v>
      </c>
      <c r="C4614" s="9" t="s">
        <v>10460</v>
      </c>
      <c r="D4614" s="9" t="s">
        <v>10808</v>
      </c>
      <c r="E4614" s="10" t="str">
        <f>HYPERLINK("https://twitter.com/kevinjamaica111/status/723570842555322369","723570842555322369")</f>
        <v>723570842555322369</v>
      </c>
      <c r="F4614" s="11" t="s">
        <v>48</v>
      </c>
      <c r="G4614" s="11">
        <v>108</v>
      </c>
      <c r="H4614" s="11">
        <v>146</v>
      </c>
      <c r="I4614" s="11">
        <v>16</v>
      </c>
      <c r="J4614" s="11">
        <v>0</v>
      </c>
      <c r="K4614" s="11" t="s">
        <v>21</v>
      </c>
      <c r="L4614" s="7">
        <v>42310.357939814814</v>
      </c>
      <c r="M4614" s="12"/>
      <c r="N4614" s="12"/>
      <c r="O4614" s="10" t="str">
        <f>HYPERLINK("https://pbs.twimg.com/profile_images/692954438294700032/btbx0_sR_normal.jpg","View")</f>
        <v>View</v>
      </c>
      <c r="P4614" s="11"/>
    </row>
    <row r="4615" spans="1:16" ht="12.75" x14ac:dyDescent="0.35">
      <c r="A4615" s="7">
        <v>42482.97592592593</v>
      </c>
      <c r="B4615" s="8" t="str">
        <f>HYPERLINK("https://twitter.com/LuuuuuuuuVega","@LuuuuuuuuVega")</f>
        <v>@LuuuuuuuuVega</v>
      </c>
      <c r="C4615" s="9">
        <v>208</v>
      </c>
      <c r="D4615" s="9" t="s">
        <v>10808</v>
      </c>
      <c r="E4615" s="10" t="str">
        <f>HYPERLINK("https://twitter.com/LuuuuuuuuVega/status/723570900512198656","723570900512198656")</f>
        <v>723570900512198656</v>
      </c>
      <c r="F4615" s="11" t="s">
        <v>48</v>
      </c>
      <c r="G4615" s="11">
        <v>878</v>
      </c>
      <c r="H4615" s="11">
        <v>737</v>
      </c>
      <c r="I4615" s="11">
        <v>16</v>
      </c>
      <c r="J4615" s="11">
        <v>0</v>
      </c>
      <c r="K4615" s="11" t="s">
        <v>21</v>
      </c>
      <c r="L4615" s="7">
        <v>41281.319791666669</v>
      </c>
      <c r="M4615" s="12"/>
      <c r="N4615" s="12" t="s">
        <v>10813</v>
      </c>
      <c r="O4615" s="10" t="str">
        <f>HYPERLINK("https://pbs.twimg.com/profile_images/722251999287357441/OII4XCi9_normal.jpg","View")</f>
        <v>View</v>
      </c>
      <c r="P4615" s="11"/>
    </row>
    <row r="4616" spans="1:16" ht="12.75" x14ac:dyDescent="0.35">
      <c r="A4616" s="7">
        <v>42482.975960648153</v>
      </c>
      <c r="B4616" s="8" t="str">
        <f>HYPERLINK("https://twitter.com/JuanMolin4","@JuanMolin4")</f>
        <v>@JuanMolin4</v>
      </c>
      <c r="C4616" s="9" t="s">
        <v>10814</v>
      </c>
      <c r="D4616" s="9" t="s">
        <v>10808</v>
      </c>
      <c r="E4616" s="10" t="str">
        <f>HYPERLINK("https://twitter.com/JuanMolin4/status/723570912507908096","723570912507908096")</f>
        <v>723570912507908096</v>
      </c>
      <c r="F4616" s="11" t="s">
        <v>48</v>
      </c>
      <c r="G4616" s="11">
        <v>995</v>
      </c>
      <c r="H4616" s="11">
        <v>1156</v>
      </c>
      <c r="I4616" s="11">
        <v>16</v>
      </c>
      <c r="J4616" s="11">
        <v>0</v>
      </c>
      <c r="K4616" s="11" t="s">
        <v>21</v>
      </c>
      <c r="L4616" s="7">
        <v>41557.095821759256</v>
      </c>
      <c r="M4616" s="12"/>
      <c r="N4616" s="12" t="s">
        <v>10815</v>
      </c>
      <c r="O4616" s="10" t="str">
        <f>HYPERLINK("https://pbs.twimg.com/profile_images/692136445646114821/4LGECgZK_normal.jpg","View")</f>
        <v>View</v>
      </c>
      <c r="P4616" s="11"/>
    </row>
    <row r="4617" spans="1:16" ht="12.75" x14ac:dyDescent="0.35">
      <c r="A4617" s="7">
        <v>42482.976099537038</v>
      </c>
      <c r="B4617" s="8" t="str">
        <f>HYPERLINK("https://twitter.com/ChochiiGuzman","@ChochiiGuzman")</f>
        <v>@ChochiiGuzman</v>
      </c>
      <c r="C4617" s="9" t="s">
        <v>10816</v>
      </c>
      <c r="D4617" s="9" t="s">
        <v>10808</v>
      </c>
      <c r="E4617" s="10" t="str">
        <f>HYPERLINK("https://twitter.com/ChochiiGuzman/status/723570961258262528","723570961258262528")</f>
        <v>723570961258262528</v>
      </c>
      <c r="F4617" s="11" t="s">
        <v>48</v>
      </c>
      <c r="G4617" s="11">
        <v>598</v>
      </c>
      <c r="H4617" s="11">
        <v>522</v>
      </c>
      <c r="I4617" s="11">
        <v>16</v>
      </c>
      <c r="J4617" s="11">
        <v>0</v>
      </c>
      <c r="K4617" s="11" t="s">
        <v>21</v>
      </c>
      <c r="L4617" s="7">
        <v>41428.899189814816</v>
      </c>
      <c r="M4617" s="12" t="s">
        <v>10817</v>
      </c>
      <c r="N4617" s="12" t="s">
        <v>10818</v>
      </c>
      <c r="O4617" s="10" t="str">
        <f>HYPERLINK("https://pbs.twimg.com/profile_images/711265333731061760/gOpH6ixc_normal.jpg","View")</f>
        <v>View</v>
      </c>
      <c r="P4617" s="11"/>
    </row>
    <row r="4618" spans="1:16" ht="12.75" x14ac:dyDescent="0.35">
      <c r="A4618" s="7">
        <v>42482.976307870369</v>
      </c>
      <c r="B4618" s="8" t="str">
        <f>HYPERLINK("https://twitter.com/DaniiUriarte","@DaniiUriarte")</f>
        <v>@DaniiUriarte</v>
      </c>
      <c r="C4618" s="9" t="s">
        <v>10819</v>
      </c>
      <c r="D4618" s="9" t="s">
        <v>10808</v>
      </c>
      <c r="E4618" s="10" t="str">
        <f>HYPERLINK("https://twitter.com/DaniiUriarte/status/723571036277608449","723571036277608449")</f>
        <v>723571036277608449</v>
      </c>
      <c r="F4618" s="11" t="s">
        <v>43</v>
      </c>
      <c r="G4618" s="11">
        <v>820</v>
      </c>
      <c r="H4618" s="11">
        <v>539</v>
      </c>
      <c r="I4618" s="11">
        <v>16</v>
      </c>
      <c r="J4618" s="11">
        <v>0</v>
      </c>
      <c r="K4618" s="11" t="s">
        <v>21</v>
      </c>
      <c r="L4618" s="7">
        <v>41128.961863425924</v>
      </c>
      <c r="M4618" s="12"/>
      <c r="N4618" s="12" t="s">
        <v>10820</v>
      </c>
      <c r="O4618" s="10" t="str">
        <f>HYPERLINK("https://pbs.twimg.com/profile_images/700422463398813699/45Mt73Ga_normal.jpg","View")</f>
        <v>View</v>
      </c>
      <c r="P4618" s="11"/>
    </row>
    <row r="4619" spans="1:16" ht="12.75" x14ac:dyDescent="0.35">
      <c r="A4619" s="7">
        <v>42482.976331018523</v>
      </c>
      <c r="B4619" s="8" t="str">
        <f>HYPERLINK("https://twitter.com/rosalesfranco01","@rosalesfranco01")</f>
        <v>@rosalesfranco01</v>
      </c>
      <c r="C4619" s="9" t="s">
        <v>10821</v>
      </c>
      <c r="D4619" s="9" t="s">
        <v>10808</v>
      </c>
      <c r="E4619" s="10" t="str">
        <f>HYPERLINK("https://twitter.com/rosalesfranco01/status/723571048130723840","723571048130723840")</f>
        <v>723571048130723840</v>
      </c>
      <c r="F4619" s="11" t="s">
        <v>48</v>
      </c>
      <c r="G4619" s="11">
        <v>369</v>
      </c>
      <c r="H4619" s="11">
        <v>386</v>
      </c>
      <c r="I4619" s="11">
        <v>16</v>
      </c>
      <c r="J4619" s="11">
        <v>0</v>
      </c>
      <c r="K4619" s="11" t="s">
        <v>21</v>
      </c>
      <c r="L4619" s="7">
        <v>41854.119317129633</v>
      </c>
      <c r="M4619" s="12"/>
      <c r="N4619" s="12" t="s">
        <v>10822</v>
      </c>
      <c r="O4619" s="10" t="str">
        <f>HYPERLINK("https://pbs.twimg.com/profile_images/722886566184620032/svO5v1Q3_normal.jpg","View")</f>
        <v>View</v>
      </c>
      <c r="P4619" s="11"/>
    </row>
    <row r="4620" spans="1:16" ht="12.75" x14ac:dyDescent="0.35">
      <c r="A4620" s="7">
        <v>42482.976481481484</v>
      </c>
      <c r="B4620" s="8" t="str">
        <f>HYPERLINK("https://twitter.com/emanuelakerman1","@emanuelakerman1")</f>
        <v>@emanuelakerman1</v>
      </c>
      <c r="C4620" s="9" t="s">
        <v>10823</v>
      </c>
      <c r="D4620" s="9" t="s">
        <v>10808</v>
      </c>
      <c r="E4620" s="10" t="str">
        <f>HYPERLINK("https://twitter.com/emanuelakerman1/status/723571103155785729","723571103155785729")</f>
        <v>723571103155785729</v>
      </c>
      <c r="F4620" s="11" t="s">
        <v>48</v>
      </c>
      <c r="G4620" s="11">
        <v>369</v>
      </c>
      <c r="H4620" s="11">
        <v>316</v>
      </c>
      <c r="I4620" s="11">
        <v>16</v>
      </c>
      <c r="J4620" s="11">
        <v>0</v>
      </c>
      <c r="K4620" s="11" t="s">
        <v>21</v>
      </c>
      <c r="L4620" s="7">
        <v>41785.496863425928</v>
      </c>
      <c r="M4620" s="12" t="s">
        <v>10824</v>
      </c>
      <c r="N4620" s="12" t="s">
        <v>10825</v>
      </c>
      <c r="O4620" s="10" t="str">
        <f>HYPERLINK("https://pbs.twimg.com/profile_images/719930527059484672/UgWs2JMj_normal.jpg","View")</f>
        <v>View</v>
      </c>
      <c r="P4620" s="11"/>
    </row>
    <row r="4621" spans="1:16" ht="12.75" x14ac:dyDescent="0.35">
      <c r="A4621" s="7">
        <v>42482.97657407407</v>
      </c>
      <c r="B4621" s="8" t="str">
        <f>HYPERLINK("https://twitter.com/tomwookieford","@tomwookieford")</f>
        <v>@tomwookieford</v>
      </c>
      <c r="C4621" s="9" t="s">
        <v>10826</v>
      </c>
      <c r="D4621" s="9" t="s">
        <v>10827</v>
      </c>
      <c r="E4621" s="10" t="str">
        <f>HYPERLINK("https://twitter.com/tomwookieford/status/723571135565025281","723571135565025281")</f>
        <v>723571135565025281</v>
      </c>
      <c r="F4621" s="11" t="s">
        <v>20</v>
      </c>
      <c r="G4621" s="11">
        <v>31112</v>
      </c>
      <c r="H4621" s="11">
        <v>511</v>
      </c>
      <c r="I4621" s="11">
        <v>2</v>
      </c>
      <c r="J4621" s="11">
        <v>6</v>
      </c>
      <c r="K4621" s="11" t="s">
        <v>21</v>
      </c>
      <c r="L4621" s="7">
        <v>40002.981076388889</v>
      </c>
      <c r="M4621" s="12" t="s">
        <v>10828</v>
      </c>
      <c r="N4621" s="12" t="s">
        <v>10829</v>
      </c>
      <c r="O4621" s="10" t="str">
        <f>HYPERLINK("https://pbs.twimg.com/profile_images/717405433221222401/qDdd387Z_normal.jpg","View")</f>
        <v>View</v>
      </c>
      <c r="P4621" s="11"/>
    </row>
    <row r="4622" spans="1:16" ht="12.75" x14ac:dyDescent="0.35">
      <c r="A4622" s="7">
        <v>42482.976805555554</v>
      </c>
      <c r="B4622" s="8" t="str">
        <f>HYPERLINK("https://twitter.com/PaaaaaaulaS2","@PaaaaaaulaS2")</f>
        <v>@PaaaaaaulaS2</v>
      </c>
      <c r="C4622" s="9" t="s">
        <v>10830</v>
      </c>
      <c r="D4622" s="9" t="s">
        <v>10808</v>
      </c>
      <c r="E4622" s="10" t="str">
        <f>HYPERLINK("https://twitter.com/PaaaaaaulaS2/status/723571217182154752","723571217182154752")</f>
        <v>723571217182154752</v>
      </c>
      <c r="F4622" s="11" t="s">
        <v>43</v>
      </c>
      <c r="G4622" s="11">
        <v>393</v>
      </c>
      <c r="H4622" s="11">
        <v>432</v>
      </c>
      <c r="I4622" s="11">
        <v>16</v>
      </c>
      <c r="J4622" s="11">
        <v>0</v>
      </c>
      <c r="K4622" s="11" t="s">
        <v>21</v>
      </c>
      <c r="L4622" s="7">
        <v>41858.953784722224</v>
      </c>
      <c r="M4622" s="12" t="s">
        <v>4440</v>
      </c>
      <c r="N4622" s="12" t="s">
        <v>10831</v>
      </c>
      <c r="O4622" s="10" t="str">
        <f>HYPERLINK("https://pbs.twimg.com/profile_images/722481395508056065/7UH5duxY_normal.jpg","View")</f>
        <v>View</v>
      </c>
      <c r="P4622" s="11"/>
    </row>
    <row r="4623" spans="1:16" ht="12.75" x14ac:dyDescent="0.35">
      <c r="A4623" s="7">
        <v>42482.97693287037</v>
      </c>
      <c r="B4623" s="8" t="str">
        <f>HYPERLINK("https://twitter.com/aktionaer","@aktionaer")</f>
        <v>@aktionaer</v>
      </c>
      <c r="C4623" s="9" t="s">
        <v>1252</v>
      </c>
      <c r="D4623" s="9" t="s">
        <v>10832</v>
      </c>
      <c r="E4623" s="10" t="str">
        <f>HYPERLINK("https://twitter.com/aktionaer/status/723571263235608577","723571263235608577")</f>
        <v>723571263235608577</v>
      </c>
      <c r="F4623" s="11" t="s">
        <v>91</v>
      </c>
      <c r="G4623" s="11">
        <v>4627</v>
      </c>
      <c r="H4623" s="11">
        <v>1113</v>
      </c>
      <c r="I4623" s="11">
        <v>0</v>
      </c>
      <c r="J4623" s="11">
        <v>0</v>
      </c>
      <c r="K4623" s="11" t="s">
        <v>21</v>
      </c>
      <c r="L4623" s="7">
        <v>39844.695729166662</v>
      </c>
      <c r="M4623" s="12" t="s">
        <v>1254</v>
      </c>
      <c r="N4623" s="12" t="s">
        <v>1255</v>
      </c>
      <c r="O4623" s="10" t="str">
        <f>HYPERLINK("https://pbs.twimg.com/profile_images/679552623641509888/_vPw9IS2_normal.png","View")</f>
        <v>View</v>
      </c>
      <c r="P4623" s="11"/>
    </row>
    <row r="4624" spans="1:16" ht="12.75" x14ac:dyDescent="0.35">
      <c r="A4624" s="7">
        <v>42482.977002314816</v>
      </c>
      <c r="B4624" s="8" t="str">
        <f>HYPERLINK("https://twitter.com/LucasSampieri","@LucasSampieri")</f>
        <v>@LucasSampieri</v>
      </c>
      <c r="C4624" s="9" t="s">
        <v>10451</v>
      </c>
      <c r="D4624" s="9" t="s">
        <v>10808</v>
      </c>
      <c r="E4624" s="10" t="str">
        <f>HYPERLINK("https://twitter.com/LucasSampieri/status/723571292021133312","723571292021133312")</f>
        <v>723571292021133312</v>
      </c>
      <c r="F4624" s="11" t="s">
        <v>43</v>
      </c>
      <c r="G4624" s="11">
        <v>331</v>
      </c>
      <c r="H4624" s="11">
        <v>232</v>
      </c>
      <c r="I4624" s="11">
        <v>16</v>
      </c>
      <c r="J4624" s="11">
        <v>0</v>
      </c>
      <c r="K4624" s="11" t="s">
        <v>21</v>
      </c>
      <c r="L4624" s="7">
        <v>41867.372037037036</v>
      </c>
      <c r="M4624" s="12"/>
      <c r="N4624" s="12" t="s">
        <v>10452</v>
      </c>
      <c r="O4624" s="10" t="str">
        <f>HYPERLINK("https://pbs.twimg.com/profile_images/709141383588749312/LDsavna9_normal.jpg","View")</f>
        <v>View</v>
      </c>
      <c r="P4624" s="11"/>
    </row>
    <row r="4625" spans="1:16" ht="12.75" x14ac:dyDescent="0.35">
      <c r="A4625" s="7">
        <v>42482.977094907408</v>
      </c>
      <c r="B4625" s="8" t="str">
        <f>HYPERLINK("https://twitter.com/11LucasDiaz","@11LucasDiaz")</f>
        <v>@11LucasDiaz</v>
      </c>
      <c r="C4625" s="9" t="s">
        <v>6203</v>
      </c>
      <c r="D4625" s="9" t="s">
        <v>10808</v>
      </c>
      <c r="E4625" s="10" t="str">
        <f>HYPERLINK("https://twitter.com/11LucasDiaz/status/723571325391003648","723571325391003648")</f>
        <v>723571325391003648</v>
      </c>
      <c r="F4625" s="11" t="s">
        <v>48</v>
      </c>
      <c r="G4625" s="11">
        <v>917</v>
      </c>
      <c r="H4625" s="11">
        <v>306</v>
      </c>
      <c r="I4625" s="11">
        <v>16</v>
      </c>
      <c r="J4625" s="11">
        <v>0</v>
      </c>
      <c r="K4625" s="11" t="s">
        <v>21</v>
      </c>
      <c r="L4625" s="7">
        <v>41569.297048611115</v>
      </c>
      <c r="M4625" s="12" t="s">
        <v>49</v>
      </c>
      <c r="N4625" s="12" t="s">
        <v>6204</v>
      </c>
      <c r="O4625" s="10" t="str">
        <f>HYPERLINK("https://pbs.twimg.com/profile_images/722105874236502017/_UHxBLQ-_normal.jpg","View")</f>
        <v>View</v>
      </c>
      <c r="P4625" s="11"/>
    </row>
    <row r="4626" spans="1:16" ht="12.75" x14ac:dyDescent="0.35">
      <c r="A4626" s="7">
        <v>42482.977407407408</v>
      </c>
      <c r="B4626" s="8" t="str">
        <f t="shared" ref="B4626:B4627" si="396">HYPERLINK("https://twitter.com/VolkswagenPost","@VolkswagenPost")</f>
        <v>@VolkswagenPost</v>
      </c>
      <c r="C4626" s="9" t="s">
        <v>321</v>
      </c>
      <c r="D4626" s="9" t="s">
        <v>10833</v>
      </c>
      <c r="E4626" s="10" t="str">
        <f>HYPERLINK("https://twitter.com/VolkswagenPost/status/723571437622185984","723571437622185984")</f>
        <v>723571437622185984</v>
      </c>
      <c r="F4626" s="11" t="s">
        <v>288</v>
      </c>
      <c r="G4626" s="11">
        <v>569</v>
      </c>
      <c r="H4626" s="11">
        <v>446</v>
      </c>
      <c r="I4626" s="11">
        <v>1</v>
      </c>
      <c r="J4626" s="11">
        <v>0</v>
      </c>
      <c r="K4626" s="11" t="s">
        <v>21</v>
      </c>
      <c r="L4626" s="7">
        <v>41940.618379629632</v>
      </c>
      <c r="M4626" s="12"/>
      <c r="N4626" s="12"/>
      <c r="O4626" s="10" t="str">
        <f t="shared" ref="O4626:O4627" si="397">HYPERLINK("https://pbs.twimg.com/profile_images/530071272881803264/a_jcCmPZ_normal.png","View")</f>
        <v>View</v>
      </c>
      <c r="P4626" s="11"/>
    </row>
    <row r="4627" spans="1:16" ht="12.75" x14ac:dyDescent="0.35">
      <c r="A4627" s="7">
        <v>42482.977407407408</v>
      </c>
      <c r="B4627" s="8" t="str">
        <f t="shared" si="396"/>
        <v>@VolkswagenPost</v>
      </c>
      <c r="C4627" s="9" t="s">
        <v>321</v>
      </c>
      <c r="D4627" s="9" t="s">
        <v>10834</v>
      </c>
      <c r="E4627" s="10" t="str">
        <f>HYPERLINK("https://twitter.com/VolkswagenPost/status/723571438830141440","723571438830141440")</f>
        <v>723571438830141440</v>
      </c>
      <c r="F4627" s="11" t="s">
        <v>288</v>
      </c>
      <c r="G4627" s="11">
        <v>569</v>
      </c>
      <c r="H4627" s="11">
        <v>446</v>
      </c>
      <c r="I4627" s="11">
        <v>1</v>
      </c>
      <c r="J4627" s="11">
        <v>0</v>
      </c>
      <c r="K4627" s="11" t="s">
        <v>21</v>
      </c>
      <c r="L4627" s="7">
        <v>41940.618379629632</v>
      </c>
      <c r="M4627" s="12"/>
      <c r="N4627" s="12"/>
      <c r="O4627" s="10" t="str">
        <f t="shared" si="397"/>
        <v>View</v>
      </c>
      <c r="P4627" s="11"/>
    </row>
    <row r="4628" spans="1:16" ht="12.75" x14ac:dyDescent="0.35">
      <c r="A4628" s="7">
        <v>42482.977870370371</v>
      </c>
      <c r="B4628" s="8" t="str">
        <f>HYPERLINK("https://twitter.com/FlorDeCornuda","@FlorDeCornuda")</f>
        <v>@FlorDeCornuda</v>
      </c>
      <c r="C4628" s="9" t="s">
        <v>10835</v>
      </c>
      <c r="D4628" s="9" t="s">
        <v>10808</v>
      </c>
      <c r="E4628" s="10" t="str">
        <f>HYPERLINK("https://twitter.com/FlorDeCornuda/status/723571603435597825","723571603435597825")</f>
        <v>723571603435597825</v>
      </c>
      <c r="F4628" s="11" t="s">
        <v>48</v>
      </c>
      <c r="G4628" s="11">
        <v>565</v>
      </c>
      <c r="H4628" s="11">
        <v>272</v>
      </c>
      <c r="I4628" s="11">
        <v>16</v>
      </c>
      <c r="J4628" s="11">
        <v>0</v>
      </c>
      <c r="K4628" s="11" t="s">
        <v>21</v>
      </c>
      <c r="L4628" s="7">
        <v>41319.154374999998</v>
      </c>
      <c r="M4628" s="12"/>
      <c r="N4628" s="12"/>
      <c r="O4628" s="10" t="str">
        <f>HYPERLINK("https://pbs.twimg.com/profile_images/716292820194172928/DCB0n-Ae_normal.jpg","View")</f>
        <v>View</v>
      </c>
      <c r="P4628" s="11"/>
    </row>
    <row r="4629" spans="1:16" ht="12.75" x14ac:dyDescent="0.35">
      <c r="A4629" s="7">
        <v>42482.97792824074</v>
      </c>
      <c r="B4629" s="8" t="str">
        <f>HYPERLINK("https://twitter.com/techie_paul","@techie_paul")</f>
        <v>@techie_paul</v>
      </c>
      <c r="C4629" s="9" t="s">
        <v>10836</v>
      </c>
      <c r="D4629" s="9" t="s">
        <v>10837</v>
      </c>
      <c r="E4629" s="10" t="str">
        <f>HYPERLINK("https://twitter.com/techie_paul/status/723571627112452098","723571627112452098")</f>
        <v>723571627112452098</v>
      </c>
      <c r="F4629" s="11" t="s">
        <v>48</v>
      </c>
      <c r="G4629" s="11">
        <v>191</v>
      </c>
      <c r="H4629" s="11">
        <v>363</v>
      </c>
      <c r="I4629" s="11">
        <v>2</v>
      </c>
      <c r="J4629" s="11">
        <v>0</v>
      </c>
      <c r="K4629" s="11" t="s">
        <v>21</v>
      </c>
      <c r="L4629" s="7">
        <v>40821.969965277778</v>
      </c>
      <c r="M4629" s="12" t="s">
        <v>711</v>
      </c>
      <c r="N4629" s="12" t="s">
        <v>10838</v>
      </c>
      <c r="O4629" s="10" t="str">
        <f>HYPERLINK("https://pbs.twimg.com/profile_images/608531162340990976/-d_HSOP1_normal.jpg","View")</f>
        <v>View</v>
      </c>
      <c r="P4629" s="11"/>
    </row>
    <row r="4630" spans="1:16" ht="12.75" x14ac:dyDescent="0.35">
      <c r="A4630" s="7">
        <v>42482.978530092594</v>
      </c>
      <c r="B4630" s="8" t="str">
        <f>HYPERLINK("https://twitter.com/Hector_Beney","@Hector_Beney")</f>
        <v>@Hector_Beney</v>
      </c>
      <c r="C4630" s="9" t="s">
        <v>10839</v>
      </c>
      <c r="D4630" s="9" t="s">
        <v>10808</v>
      </c>
      <c r="E4630" s="10" t="str">
        <f>HYPERLINK("https://twitter.com/Hector_Beney/status/723571844775854081","723571844775854081")</f>
        <v>723571844775854081</v>
      </c>
      <c r="F4630" s="11" t="s">
        <v>48</v>
      </c>
      <c r="G4630" s="11">
        <v>593</v>
      </c>
      <c r="H4630" s="11">
        <v>2174</v>
      </c>
      <c r="I4630" s="11">
        <v>16</v>
      </c>
      <c r="J4630" s="11">
        <v>0</v>
      </c>
      <c r="K4630" s="11" t="s">
        <v>21</v>
      </c>
      <c r="L4630" s="7">
        <v>42464.651817129634</v>
      </c>
      <c r="M4630" s="12"/>
      <c r="N4630" s="12" t="s">
        <v>10840</v>
      </c>
      <c r="O4630" s="10" t="str">
        <f>HYPERLINK("https://pbs.twimg.com/profile_images/716932029871493120/R3aFT7Lx_normal.jpg","View")</f>
        <v>View</v>
      </c>
      <c r="P4630" s="11"/>
    </row>
    <row r="4631" spans="1:16" ht="12.75" x14ac:dyDescent="0.35">
      <c r="A4631" s="7">
        <v>42482.97855324074</v>
      </c>
      <c r="B4631" s="8" t="str">
        <f>HYPERLINK("https://twitter.com/VWBeetleSales","@VWBeetleSales")</f>
        <v>@VWBeetleSales</v>
      </c>
      <c r="C4631" s="9" t="s">
        <v>127</v>
      </c>
      <c r="D4631" s="9" t="s">
        <v>10841</v>
      </c>
      <c r="E4631" s="10" t="str">
        <f>HYPERLINK("https://twitter.com/VWBeetleSales/status/723571852229013504","723571852229013504")</f>
        <v>723571852229013504</v>
      </c>
      <c r="F4631" s="10" t="s">
        <v>124</v>
      </c>
      <c r="G4631" s="11">
        <v>36</v>
      </c>
      <c r="H4631" s="11">
        <v>32</v>
      </c>
      <c r="I4631" s="11">
        <v>0</v>
      </c>
      <c r="J4631" s="11">
        <v>0</v>
      </c>
      <c r="K4631" s="11" t="s">
        <v>21</v>
      </c>
      <c r="L4631" s="7">
        <v>42427.019756944443</v>
      </c>
      <c r="M4631" s="12" t="s">
        <v>129</v>
      </c>
      <c r="N4631" s="12" t="s">
        <v>130</v>
      </c>
      <c r="O4631" s="10" t="str">
        <f>HYPERLINK("https://pbs.twimg.com/profile_images/703294545195307008/qeCvrX86_normal.jpg","View")</f>
        <v>View</v>
      </c>
      <c r="P4631" s="11"/>
    </row>
    <row r="4632" spans="1:16" ht="12.75" x14ac:dyDescent="0.35">
      <c r="A4632" s="7">
        <v>42482.97865740741</v>
      </c>
      <c r="B4632" s="8" t="str">
        <f>HYPERLINK("https://twitter.com/AlfonsoCamila1","@AlfonsoCamila1")</f>
        <v>@AlfonsoCamila1</v>
      </c>
      <c r="C4632" s="9" t="s">
        <v>10842</v>
      </c>
      <c r="D4632" s="9" t="s">
        <v>10808</v>
      </c>
      <c r="E4632" s="10" t="str">
        <f>HYPERLINK("https://twitter.com/AlfonsoCamila1/status/723571891798196224","723571891798196224")</f>
        <v>723571891798196224</v>
      </c>
      <c r="F4632" s="11" t="s">
        <v>20</v>
      </c>
      <c r="G4632" s="11">
        <v>886</v>
      </c>
      <c r="H4632" s="11">
        <v>483</v>
      </c>
      <c r="I4632" s="11">
        <v>16</v>
      </c>
      <c r="J4632" s="11">
        <v>0</v>
      </c>
      <c r="K4632" s="11" t="s">
        <v>21</v>
      </c>
      <c r="L4632" s="7">
        <v>40941.375277777777</v>
      </c>
      <c r="M4632" s="12"/>
      <c r="N4632" s="12" t="s">
        <v>10843</v>
      </c>
      <c r="O4632" s="10" t="str">
        <f>HYPERLINK("https://pbs.twimg.com/profile_images/721395136190685185/7AfvVxmI_normal.jpg","View")</f>
        <v>View</v>
      </c>
      <c r="P4632" s="11"/>
    </row>
    <row r="4633" spans="1:16" ht="12.75" x14ac:dyDescent="0.35">
      <c r="A4633" s="7">
        <v>42482.978703703702</v>
      </c>
      <c r="B4633" s="8" t="str">
        <f>HYPERLINK("https://twitter.com/ra_howl","@ra_howl")</f>
        <v>@ra_howl</v>
      </c>
      <c r="C4633" s="9" t="s">
        <v>10844</v>
      </c>
      <c r="D4633" s="9" t="s">
        <v>9547</v>
      </c>
      <c r="E4633" s="10" t="str">
        <f>HYPERLINK("https://twitter.com/ra_howl/status/723571907732320256","723571907732320256")</f>
        <v>723571907732320256</v>
      </c>
      <c r="F4633" s="11" t="s">
        <v>48</v>
      </c>
      <c r="G4633" s="11">
        <v>167</v>
      </c>
      <c r="H4633" s="11">
        <v>132</v>
      </c>
      <c r="I4633" s="11">
        <v>13</v>
      </c>
      <c r="J4633" s="11">
        <v>0</v>
      </c>
      <c r="K4633" s="11" t="s">
        <v>21</v>
      </c>
      <c r="L4633" s="7">
        <v>40382.507766203707</v>
      </c>
      <c r="M4633" s="12" t="s">
        <v>10845</v>
      </c>
      <c r="N4633" s="12" t="s">
        <v>10846</v>
      </c>
      <c r="O4633" s="10" t="str">
        <f>HYPERLINK("https://pbs.twimg.com/profile_images/615906809816023040/r5wXkKcl_normal.jpg","View")</f>
        <v>View</v>
      </c>
      <c r="P4633" s="11"/>
    </row>
    <row r="4634" spans="1:16" ht="12.75" x14ac:dyDescent="0.35">
      <c r="A4634" s="7">
        <v>42482.978912037041</v>
      </c>
      <c r="B4634" s="8" t="str">
        <f>HYPERLINK("https://twitter.com/AlexWitzleben","@AlexWitzleben")</f>
        <v>@AlexWitzleben</v>
      </c>
      <c r="C4634" s="9" t="s">
        <v>1346</v>
      </c>
      <c r="D4634" s="9" t="s">
        <v>10847</v>
      </c>
      <c r="E4634" s="10" t="str">
        <f>HYPERLINK("https://twitter.com/AlexWitzleben/status/723571981849878529","723571981849878529")</f>
        <v>723571981849878529</v>
      </c>
      <c r="F4634" s="11" t="s">
        <v>193</v>
      </c>
      <c r="G4634" s="11">
        <v>1028</v>
      </c>
      <c r="H4634" s="11">
        <v>999</v>
      </c>
      <c r="I4634" s="11">
        <v>0</v>
      </c>
      <c r="J4634" s="11">
        <v>0</v>
      </c>
      <c r="K4634" s="11" t="s">
        <v>21</v>
      </c>
      <c r="L4634" s="7">
        <v>40591.910462962966</v>
      </c>
      <c r="M4634" s="12" t="s">
        <v>1348</v>
      </c>
      <c r="N4634" s="12" t="s">
        <v>1349</v>
      </c>
      <c r="O4634" s="10" t="str">
        <f>HYPERLINK("https://pbs.twimg.com/profile_images/1913087124/AvW_website_normal.jpg","View")</f>
        <v>View</v>
      </c>
      <c r="P4634" s="11"/>
    </row>
    <row r="4635" spans="1:16" ht="12.75" x14ac:dyDescent="0.35">
      <c r="A4635" s="7">
        <v>42482.979351851856</v>
      </c>
      <c r="B4635" s="8" t="str">
        <f>HYPERLINK("https://twitter.com/TheInsideManLtd","@TheInsideManLtd")</f>
        <v>@TheInsideManLtd</v>
      </c>
      <c r="C4635" s="9" t="s">
        <v>10848</v>
      </c>
      <c r="D4635" s="9" t="s">
        <v>10849</v>
      </c>
      <c r="E4635" s="10" t="str">
        <f>HYPERLINK("https://twitter.com/TheInsideManLtd/status/723572139886944257","723572139886944257")</f>
        <v>723572139886944257</v>
      </c>
      <c r="F4635" s="11" t="s">
        <v>254</v>
      </c>
      <c r="G4635" s="11">
        <v>1249</v>
      </c>
      <c r="H4635" s="11">
        <v>961</v>
      </c>
      <c r="I4635" s="11">
        <v>0</v>
      </c>
      <c r="J4635" s="11">
        <v>0</v>
      </c>
      <c r="K4635" s="11" t="s">
        <v>21</v>
      </c>
      <c r="L4635" s="7">
        <v>40012.70888888889</v>
      </c>
      <c r="M4635" s="12" t="s">
        <v>10850</v>
      </c>
      <c r="N4635" s="12" t="s">
        <v>10851</v>
      </c>
      <c r="O4635" s="10" t="str">
        <f>HYPERLINK("https://pbs.twimg.com/profile_images/699600965545156608/p9HSQiDf_normal.png","View")</f>
        <v>View</v>
      </c>
      <c r="P4635" s="11"/>
    </row>
    <row r="4636" spans="1:16" ht="12.75" x14ac:dyDescent="0.35">
      <c r="A4636" s="7">
        <v>42482.979618055557</v>
      </c>
      <c r="B4636" s="8" t="str">
        <f>HYPERLINK("https://twitter.com/FlorMusante_","@FlorMusante_")</f>
        <v>@FlorMusante_</v>
      </c>
      <c r="C4636" s="9" t="s">
        <v>5978</v>
      </c>
      <c r="D4636" s="9" t="s">
        <v>10808</v>
      </c>
      <c r="E4636" s="10" t="str">
        <f>HYPERLINK("https://twitter.com/FlorMusante_/status/723572236473520128","723572236473520128")</f>
        <v>723572236473520128</v>
      </c>
      <c r="F4636" s="11" t="s">
        <v>48</v>
      </c>
      <c r="G4636" s="11">
        <v>1105</v>
      </c>
      <c r="H4636" s="11">
        <v>961</v>
      </c>
      <c r="I4636" s="11">
        <v>23</v>
      </c>
      <c r="J4636" s="11">
        <v>0</v>
      </c>
      <c r="K4636" s="11" t="s">
        <v>21</v>
      </c>
      <c r="L4636" s="7">
        <v>41274.451620370368</v>
      </c>
      <c r="M4636" s="12" t="s">
        <v>5979</v>
      </c>
      <c r="N4636" s="12" t="s">
        <v>5980</v>
      </c>
      <c r="O4636" s="10" t="str">
        <f>HYPERLINK("https://pbs.twimg.com/profile_images/721724710174601216/B0T6CY6B_normal.jpg","View")</f>
        <v>View</v>
      </c>
      <c r="P4636" s="11"/>
    </row>
    <row r="4637" spans="1:16" ht="12.75" x14ac:dyDescent="0.35">
      <c r="A4637" s="7">
        <v>42482.979872685188</v>
      </c>
      <c r="B4637" s="8" t="str">
        <f>HYPERLINK("https://twitter.com/DurhamRed77","@DurhamRed77")</f>
        <v>@DurhamRed77</v>
      </c>
      <c r="C4637" s="9" t="s">
        <v>10852</v>
      </c>
      <c r="D4637" s="9" t="s">
        <v>7794</v>
      </c>
      <c r="E4637" s="10" t="str">
        <f>HYPERLINK("https://twitter.com/DurhamRed77/status/723572329448652800","723572329448652800")</f>
        <v>723572329448652800</v>
      </c>
      <c r="F4637" s="11" t="s">
        <v>48</v>
      </c>
      <c r="G4637" s="11">
        <v>71</v>
      </c>
      <c r="H4637" s="11">
        <v>309</v>
      </c>
      <c r="I4637" s="11">
        <v>10</v>
      </c>
      <c r="J4637" s="11">
        <v>0</v>
      </c>
      <c r="K4637" s="11" t="s">
        <v>21</v>
      </c>
      <c r="L4637" s="7">
        <v>42356.457870370374</v>
      </c>
      <c r="M4637" s="12" t="s">
        <v>10853</v>
      </c>
      <c r="N4637" s="12" t="s">
        <v>10854</v>
      </c>
      <c r="O4637" s="10" t="str">
        <f>HYPERLINK("https://pbs.twimg.com/profile_images/677727303858823169/jRsrdcqd_normal.jpg","View")</f>
        <v>View</v>
      </c>
      <c r="P4637" s="11"/>
    </row>
    <row r="4638" spans="1:16" ht="12.75" x14ac:dyDescent="0.35">
      <c r="A4638" s="7">
        <v>42482.980115740742</v>
      </c>
      <c r="B4638" s="8" t="str">
        <f>HYPERLINK("https://twitter.com/kpeterlBW","@kpeterlBW")</f>
        <v>@kpeterlBW</v>
      </c>
      <c r="C4638" s="9" t="s">
        <v>10855</v>
      </c>
      <c r="D4638" s="9" t="s">
        <v>10856</v>
      </c>
      <c r="E4638" s="10" t="str">
        <f>HYPERLINK("https://twitter.com/kpeterlBW/status/723572418393022465","723572418393022465")</f>
        <v>723572418393022465</v>
      </c>
      <c r="F4638" s="11" t="s">
        <v>10857</v>
      </c>
      <c r="G4638" s="11">
        <v>1851</v>
      </c>
      <c r="H4638" s="11">
        <v>1145</v>
      </c>
      <c r="I4638" s="11">
        <v>3</v>
      </c>
      <c r="J4638" s="11">
        <v>0</v>
      </c>
      <c r="K4638" s="11" t="s">
        <v>21</v>
      </c>
      <c r="L4638" s="7">
        <v>41033.902187500003</v>
      </c>
      <c r="M4638" s="12" t="s">
        <v>10858</v>
      </c>
      <c r="N4638" s="12" t="s">
        <v>10859</v>
      </c>
      <c r="O4638" s="10" t="str">
        <f>HYPERLINK("https://pbs.twimg.com/profile_images/566236112876609536/C9Mw_KoX_normal.jpeg","View")</f>
        <v>View</v>
      </c>
      <c r="P4638" s="11"/>
    </row>
    <row r="4639" spans="1:16" ht="12.75" x14ac:dyDescent="0.35">
      <c r="A4639" s="7">
        <v>42482.980462962965</v>
      </c>
      <c r="B4639" s="8" t="str">
        <f>HYPERLINK("https://twitter.com/AlexWitzleben","@AlexWitzleben")</f>
        <v>@AlexWitzleben</v>
      </c>
      <c r="C4639" s="9" t="s">
        <v>1346</v>
      </c>
      <c r="D4639" s="9" t="s">
        <v>10860</v>
      </c>
      <c r="E4639" s="10" t="str">
        <f>HYPERLINK("https://twitter.com/AlexWitzleben/status/723572542242480128","723572542242480128")</f>
        <v>723572542242480128</v>
      </c>
      <c r="F4639" s="11" t="s">
        <v>193</v>
      </c>
      <c r="G4639" s="11">
        <v>1027</v>
      </c>
      <c r="H4639" s="11">
        <v>998</v>
      </c>
      <c r="I4639" s="11">
        <v>0</v>
      </c>
      <c r="J4639" s="11">
        <v>0</v>
      </c>
      <c r="K4639" s="11" t="s">
        <v>21</v>
      </c>
      <c r="L4639" s="7">
        <v>40591.910462962966</v>
      </c>
      <c r="M4639" s="12" t="s">
        <v>1348</v>
      </c>
      <c r="N4639" s="12" t="s">
        <v>1349</v>
      </c>
      <c r="O4639" s="10" t="str">
        <f>HYPERLINK("https://pbs.twimg.com/profile_images/1913087124/AvW_website_normal.jpg","View")</f>
        <v>View</v>
      </c>
      <c r="P4639" s="11"/>
    </row>
    <row r="4640" spans="1:16" ht="12.75" x14ac:dyDescent="0.35">
      <c r="A4640" s="7">
        <v>42482.980578703704</v>
      </c>
      <c r="B4640" s="8" t="str">
        <f>HYPERLINK("https://twitter.com/PTSDandYOU","@PTSDandYOU")</f>
        <v>@PTSDandYOU</v>
      </c>
      <c r="C4640" s="9" t="s">
        <v>10861</v>
      </c>
      <c r="D4640" s="9" t="s">
        <v>6409</v>
      </c>
      <c r="E4640" s="10" t="str">
        <f>HYPERLINK("https://twitter.com/PTSDandYOU/status/723572586278445056","723572586278445056")</f>
        <v>723572586278445056</v>
      </c>
      <c r="F4640" s="11" t="s">
        <v>43</v>
      </c>
      <c r="G4640" s="11">
        <v>1993</v>
      </c>
      <c r="H4640" s="11">
        <v>1911</v>
      </c>
      <c r="I4640" s="11">
        <v>5</v>
      </c>
      <c r="J4640" s="11">
        <v>0</v>
      </c>
      <c r="K4640" s="11" t="s">
        <v>21</v>
      </c>
      <c r="L4640" s="7">
        <v>40322.963090277779</v>
      </c>
      <c r="M4640" s="12" t="s">
        <v>237</v>
      </c>
      <c r="N4640" s="12" t="s">
        <v>10862</v>
      </c>
      <c r="O4640" s="10" t="str">
        <f>HYPERLINK("https://pbs.twimg.com/profile_images/3183814069/dc8784a7f11af617105f6632e87f9752_normal.jpeg","View")</f>
        <v>View</v>
      </c>
      <c r="P4640" s="11"/>
    </row>
    <row r="4641" spans="1:16" ht="12.75" x14ac:dyDescent="0.35">
      <c r="A4641" s="7">
        <v>42482.980763888889</v>
      </c>
      <c r="B4641" s="8" t="str">
        <f>HYPERLINK("https://twitter.com/AUTOCONSULTANT2","@AUTOCONSULTANT2")</f>
        <v>@AUTOCONSULTANT2</v>
      </c>
      <c r="C4641" s="9" t="s">
        <v>10863</v>
      </c>
      <c r="D4641" s="9" t="s">
        <v>10864</v>
      </c>
      <c r="E4641" s="10" t="str">
        <f>HYPERLINK("https://twitter.com/AUTOCONSULTANT2/status/723572653869682688","723572653869682688")</f>
        <v>723572653869682688</v>
      </c>
      <c r="F4641" s="11" t="s">
        <v>152</v>
      </c>
      <c r="G4641" s="11">
        <v>367</v>
      </c>
      <c r="H4641" s="11">
        <v>271</v>
      </c>
      <c r="I4641" s="11">
        <v>0</v>
      </c>
      <c r="J4641" s="11">
        <v>0</v>
      </c>
      <c r="K4641" s="11" t="s">
        <v>21</v>
      </c>
      <c r="L4641" s="7">
        <v>41400.735138888893</v>
      </c>
      <c r="M4641" s="12" t="s">
        <v>10865</v>
      </c>
      <c r="N4641" s="12" t="s">
        <v>10866</v>
      </c>
      <c r="O4641" s="10" t="str">
        <f>HYPERLINK("https://pbs.twimg.com/profile_images/531918857976299520/PZ5mIbP3_normal.jpeg","View")</f>
        <v>View</v>
      </c>
      <c r="P4641" s="11"/>
    </row>
    <row r="4642" spans="1:16" ht="12.75" x14ac:dyDescent="0.35">
      <c r="A4642" s="7">
        <v>42482.980798611112</v>
      </c>
      <c r="B4642" s="8" t="str">
        <f>HYPERLINK("https://twitter.com/volcombug","@volcombug")</f>
        <v>@volcombug</v>
      </c>
      <c r="C4642" s="9" t="s">
        <v>3913</v>
      </c>
      <c r="D4642" s="9" t="s">
        <v>10867</v>
      </c>
      <c r="E4642" s="10" t="str">
        <f>HYPERLINK("https://twitter.com/volcombug/status/723572667782025216","723572667782025216")</f>
        <v>723572667782025216</v>
      </c>
      <c r="F4642" s="11" t="s">
        <v>20</v>
      </c>
      <c r="G4642" s="11">
        <v>265</v>
      </c>
      <c r="H4642" s="11">
        <v>500</v>
      </c>
      <c r="I4642" s="11">
        <v>1</v>
      </c>
      <c r="J4642" s="11">
        <v>0</v>
      </c>
      <c r="K4642" s="11" t="s">
        <v>21</v>
      </c>
      <c r="L4642" s="7">
        <v>39800.298009259262</v>
      </c>
      <c r="M4642" s="12" t="s">
        <v>3914</v>
      </c>
      <c r="N4642" s="12" t="s">
        <v>3915</v>
      </c>
      <c r="O4642" s="10" t="str">
        <f>HYPERLINK("https://pbs.twimg.com/profile_images/683168753639489536/ooTROAP5_normal.jpg","View")</f>
        <v>View</v>
      </c>
      <c r="P4642" s="11"/>
    </row>
    <row r="4643" spans="1:16" ht="12.75" x14ac:dyDescent="0.35">
      <c r="A4643" s="7">
        <v>42482.980833333335</v>
      </c>
      <c r="B4643" s="8" t="str">
        <f>HYPERLINK("https://twitter.com/Arianaacoll","@Arianaacoll")</f>
        <v>@Arianaacoll</v>
      </c>
      <c r="C4643" s="9" t="s">
        <v>10868</v>
      </c>
      <c r="D4643" s="9" t="s">
        <v>10808</v>
      </c>
      <c r="E4643" s="10" t="str">
        <f>HYPERLINK("https://twitter.com/Arianaacoll/status/723572679878434816","723572679878434816")</f>
        <v>723572679878434816</v>
      </c>
      <c r="F4643" s="11" t="s">
        <v>1838</v>
      </c>
      <c r="G4643" s="11">
        <v>356</v>
      </c>
      <c r="H4643" s="11">
        <v>400</v>
      </c>
      <c r="I4643" s="11">
        <v>23</v>
      </c>
      <c r="J4643" s="11">
        <v>0</v>
      </c>
      <c r="K4643" s="11" t="s">
        <v>21</v>
      </c>
      <c r="L4643" s="7">
        <v>41391.997673611113</v>
      </c>
      <c r="M4643" s="12"/>
      <c r="N4643" s="12" t="s">
        <v>10869</v>
      </c>
      <c r="O4643" s="10" t="str">
        <f>HYPERLINK("https://pbs.twimg.com/profile_images/702515731230019584/y8s-VOIo_normal.jpg","View")</f>
        <v>View</v>
      </c>
      <c r="P4643" s="11"/>
    </row>
    <row r="4644" spans="1:16" ht="12.75" x14ac:dyDescent="0.35">
      <c r="A4644" s="7">
        <v>42482.980879629627</v>
      </c>
      <c r="B4644" s="8" t="str">
        <f>HYPERLINK("https://twitter.com/DenbyCampervans","@DenbyCampervans")</f>
        <v>@DenbyCampervans</v>
      </c>
      <c r="C4644" s="9" t="s">
        <v>10870</v>
      </c>
      <c r="D4644" s="9" t="s">
        <v>10871</v>
      </c>
      <c r="E4644" s="10" t="str">
        <f>HYPERLINK("https://twitter.com/DenbyCampervans/status/723572696307646465","723572696307646465")</f>
        <v>723572696307646465</v>
      </c>
      <c r="F4644" s="11" t="s">
        <v>152</v>
      </c>
      <c r="G4644" s="11">
        <v>637</v>
      </c>
      <c r="H4644" s="11">
        <v>855</v>
      </c>
      <c r="I4644" s="11">
        <v>0</v>
      </c>
      <c r="J4644" s="11">
        <v>0</v>
      </c>
      <c r="K4644" s="11" t="s">
        <v>21</v>
      </c>
      <c r="L4644" s="7">
        <v>41836.581087962964</v>
      </c>
      <c r="M4644" s="12"/>
      <c r="N4644" s="12"/>
      <c r="O4644" s="10" t="str">
        <f>HYPERLINK("https://pbs.twimg.com/profile_images/489353066819248128/cxv60hiW_normal.png","View")</f>
        <v>View</v>
      </c>
      <c r="P4644" s="11"/>
    </row>
    <row r="4645" spans="1:16" ht="12.75" x14ac:dyDescent="0.35">
      <c r="A4645" s="7">
        <v>42482.980995370366</v>
      </c>
      <c r="B4645" s="8" t="str">
        <f>HYPERLINK("https://twitter.com/steve_schmidt75","@steve_schmidt75")</f>
        <v>@steve_schmidt75</v>
      </c>
      <c r="C4645" s="9" t="s">
        <v>10872</v>
      </c>
      <c r="D4645" s="9" t="s">
        <v>10856</v>
      </c>
      <c r="E4645" s="10" t="str">
        <f>HYPERLINK("https://twitter.com/steve_schmidt75/status/723572739076927488","723572739076927488")</f>
        <v>723572739076927488</v>
      </c>
      <c r="F4645" s="11" t="s">
        <v>48</v>
      </c>
      <c r="G4645" s="11">
        <v>22</v>
      </c>
      <c r="H4645" s="11">
        <v>169</v>
      </c>
      <c r="I4645" s="11">
        <v>3</v>
      </c>
      <c r="J4645" s="11">
        <v>0</v>
      </c>
      <c r="K4645" s="11" t="s">
        <v>21</v>
      </c>
      <c r="L4645" s="7">
        <v>42232.617835648147</v>
      </c>
      <c r="M4645" s="12"/>
      <c r="N4645" s="12" t="s">
        <v>10873</v>
      </c>
      <c r="O4645" s="10" t="str">
        <f>HYPERLINK("https://pbs.twimg.com/profile_images/714926926910107648/EHYhORYP_normal.jpg","View")</f>
        <v>View</v>
      </c>
      <c r="P4645" s="11"/>
    </row>
    <row r="4646" spans="1:16" ht="12.75" x14ac:dyDescent="0.35">
      <c r="A4646" s="7">
        <v>42482.981192129635</v>
      </c>
      <c r="B4646" s="8" t="str">
        <f>HYPERLINK("https://twitter.com/das_Ruhrgebiet","@das_Ruhrgebiet")</f>
        <v>@das_Ruhrgebiet</v>
      </c>
      <c r="C4646" s="9" t="s">
        <v>10874</v>
      </c>
      <c r="D4646" s="9" t="s">
        <v>8685</v>
      </c>
      <c r="E4646" s="10" t="str">
        <f>HYPERLINK("https://twitter.com/das_Ruhrgebiet/status/723572809583222785","723572809583222785")</f>
        <v>723572809583222785</v>
      </c>
      <c r="F4646" s="11" t="s">
        <v>91</v>
      </c>
      <c r="G4646" s="11">
        <v>2709</v>
      </c>
      <c r="H4646" s="11">
        <v>2743</v>
      </c>
      <c r="I4646" s="11">
        <v>11</v>
      </c>
      <c r="J4646" s="11">
        <v>0</v>
      </c>
      <c r="K4646" s="11" t="s">
        <v>21</v>
      </c>
      <c r="L4646" s="7">
        <v>41184.674062500002</v>
      </c>
      <c r="M4646" s="12" t="s">
        <v>10875</v>
      </c>
      <c r="N4646" s="12" t="s">
        <v>10876</v>
      </c>
      <c r="O4646" s="10" t="str">
        <f>HYPERLINK("https://pbs.twimg.com/profile_images/695718830690201600/Qv2sKM9j_normal.jpg","View")</f>
        <v>View</v>
      </c>
      <c r="P4646" s="11"/>
    </row>
    <row r="4647" spans="1:16" ht="12.75" x14ac:dyDescent="0.35">
      <c r="A4647" s="7">
        <v>42482.981249999997</v>
      </c>
      <c r="B4647" s="8" t="str">
        <f>HYPERLINK("https://twitter.com/DaianaPaez4","@DaianaPaez4")</f>
        <v>@DaianaPaez4</v>
      </c>
      <c r="C4647" s="9" t="s">
        <v>10877</v>
      </c>
      <c r="D4647" s="9" t="s">
        <v>10808</v>
      </c>
      <c r="E4647" s="10" t="str">
        <f>HYPERLINK("https://twitter.com/DaianaPaez4/status/723572830122704896","723572830122704896")</f>
        <v>723572830122704896</v>
      </c>
      <c r="F4647" s="11" t="s">
        <v>48</v>
      </c>
      <c r="G4647" s="11">
        <v>1863</v>
      </c>
      <c r="H4647" s="11">
        <v>1299</v>
      </c>
      <c r="I4647" s="11">
        <v>23</v>
      </c>
      <c r="J4647" s="11">
        <v>0</v>
      </c>
      <c r="K4647" s="11" t="s">
        <v>21</v>
      </c>
      <c r="L4647" s="7">
        <v>40978.164444444446</v>
      </c>
      <c r="M4647" s="12">
        <v>18</v>
      </c>
      <c r="N4647" s="12" t="s">
        <v>10878</v>
      </c>
      <c r="O4647" s="10" t="str">
        <f>HYPERLINK("https://pbs.twimg.com/profile_images/722914450739740672/UDev3RR5_normal.jpg","View")</f>
        <v>View</v>
      </c>
      <c r="P4647" s="11"/>
    </row>
    <row r="4648" spans="1:16" ht="12.75" x14ac:dyDescent="0.35">
      <c r="A4648" s="7">
        <v>42482.981516203705</v>
      </c>
      <c r="B4648" s="8" t="str">
        <f>HYPERLINK("https://twitter.com/JamieWestwood12","@JamieWestwood12")</f>
        <v>@JamieWestwood12</v>
      </c>
      <c r="C4648" s="9" t="s">
        <v>10879</v>
      </c>
      <c r="D4648" s="9" t="s">
        <v>10837</v>
      </c>
      <c r="E4648" s="10" t="str">
        <f>HYPERLINK("https://twitter.com/JamieWestwood12/status/723572927577370625","723572927577370625")</f>
        <v>723572927577370625</v>
      </c>
      <c r="F4648" s="11" t="s">
        <v>20</v>
      </c>
      <c r="G4648" s="11">
        <v>24</v>
      </c>
      <c r="H4648" s="11">
        <v>67</v>
      </c>
      <c r="I4648" s="11">
        <v>7</v>
      </c>
      <c r="J4648" s="11">
        <v>0</v>
      </c>
      <c r="K4648" s="11" t="s">
        <v>21</v>
      </c>
      <c r="L4648" s="7">
        <v>42150.602337962962</v>
      </c>
      <c r="M4648" s="12"/>
      <c r="N4648" s="12"/>
      <c r="O4648" s="10" t="str">
        <f>HYPERLINK("https://pbs.twimg.com/profile_images/603130296016478208/SslEbxgT_normal.jpg","View")</f>
        <v>View</v>
      </c>
      <c r="P4648" s="11"/>
    </row>
    <row r="4649" spans="1:16" ht="12.75" x14ac:dyDescent="0.35">
      <c r="A4649" s="7">
        <v>42482.981574074074</v>
      </c>
      <c r="B4649" s="8" t="str">
        <f>HYPERLINK("https://twitter.com/InteressantesIG","@InteressantesIG")</f>
        <v>@InteressantesIG</v>
      </c>
      <c r="C4649" s="9" t="s">
        <v>10880</v>
      </c>
      <c r="D4649" s="9" t="s">
        <v>10881</v>
      </c>
      <c r="E4649" s="10" t="str">
        <f>HYPERLINK("https://twitter.com/InteressantesIG/status/723572948406284288","723572948406284288")</f>
        <v>723572948406284288</v>
      </c>
      <c r="F4649" s="11" t="s">
        <v>48</v>
      </c>
      <c r="G4649" s="11">
        <v>237</v>
      </c>
      <c r="H4649" s="11">
        <v>73</v>
      </c>
      <c r="I4649" s="11">
        <v>4</v>
      </c>
      <c r="J4649" s="11">
        <v>5</v>
      </c>
      <c r="K4649" s="11" t="s">
        <v>21</v>
      </c>
      <c r="L4649" s="7">
        <v>41979.010497685187</v>
      </c>
      <c r="M4649" s="12" t="s">
        <v>10882</v>
      </c>
      <c r="N4649" s="12" t="s">
        <v>10883</v>
      </c>
      <c r="O4649" s="10" t="str">
        <f>HYPERLINK("https://pbs.twimg.com/profile_images/615649526586703873/vMsQrfJ2_normal.jpg","View")</f>
        <v>View</v>
      </c>
      <c r="P4649" s="11"/>
    </row>
    <row r="4650" spans="1:16" ht="12.75" x14ac:dyDescent="0.35">
      <c r="A4650" s="7">
        <v>42482.982002314813</v>
      </c>
      <c r="B4650" s="8" t="str">
        <f>HYPERLINK("https://twitter.com/beetlebug1938","@beetlebug1938")</f>
        <v>@beetlebug1938</v>
      </c>
      <c r="C4650" s="9" t="s">
        <v>66</v>
      </c>
      <c r="D4650" s="9" t="s">
        <v>10884</v>
      </c>
      <c r="E4650" s="10" t="str">
        <f>HYPERLINK("https://twitter.com/beetlebug1938/status/723573102752440320","723573102752440320")</f>
        <v>723573102752440320</v>
      </c>
      <c r="F4650" s="11" t="s">
        <v>68</v>
      </c>
      <c r="G4650" s="11">
        <v>356</v>
      </c>
      <c r="H4650" s="11">
        <v>2223</v>
      </c>
      <c r="I4650" s="11">
        <v>0</v>
      </c>
      <c r="J4650" s="11">
        <v>0</v>
      </c>
      <c r="K4650" s="11" t="s">
        <v>21</v>
      </c>
      <c r="L4650" s="7">
        <v>42469.863865740743</v>
      </c>
      <c r="M4650" s="12" t="s">
        <v>69</v>
      </c>
      <c r="N4650" s="12"/>
      <c r="O4650" s="10" t="str">
        <f>HYPERLINK("https://pbs.twimg.com/profile_images/718820712757215233/LXXndPTS_normal.jpg","View")</f>
        <v>View</v>
      </c>
      <c r="P4650" s="11"/>
    </row>
    <row r="4651" spans="1:16" ht="12.75" x14ac:dyDescent="0.35">
      <c r="A4651" s="7">
        <v>42482.982002314813</v>
      </c>
      <c r="B4651" s="8" t="str">
        <f>HYPERLINK("https://twitter.com/LombardaMotori","@LombardaMotori")</f>
        <v>@LombardaMotori</v>
      </c>
      <c r="C4651" s="9" t="s">
        <v>2256</v>
      </c>
      <c r="D4651" s="9" t="s">
        <v>10885</v>
      </c>
      <c r="E4651" s="10" t="str">
        <f>HYPERLINK("https://twitter.com/LombardaMotori/status/723573103121588224","723573103121588224")</f>
        <v>723573103121588224</v>
      </c>
      <c r="F4651" s="11" t="s">
        <v>2256</v>
      </c>
      <c r="G4651" s="11">
        <v>68</v>
      </c>
      <c r="H4651" s="11">
        <v>113</v>
      </c>
      <c r="I4651" s="11">
        <v>0</v>
      </c>
      <c r="J4651" s="11">
        <v>0</v>
      </c>
      <c r="K4651" s="11" t="s">
        <v>21</v>
      </c>
      <c r="L4651" s="7">
        <v>41359.948877314819</v>
      </c>
      <c r="M4651" s="12" t="s">
        <v>2258</v>
      </c>
      <c r="N4651" s="12" t="s">
        <v>2259</v>
      </c>
      <c r="O4651" s="10" t="str">
        <f>HYPERLINK("https://pbs.twimg.com/profile_images/558298291985608704/57n8APEK_normal.jpeg","View")</f>
        <v>View</v>
      </c>
      <c r="P4651" s="10" t="str">
        <f>HYPERLINK("http://ctrlq.org/maps/address/#45.5801,9.2725","Map")</f>
        <v>Map</v>
      </c>
    </row>
    <row r="4652" spans="1:16" ht="12.75" x14ac:dyDescent="0.35">
      <c r="A4652" s="7">
        <v>42482.982025462959</v>
      </c>
      <c r="B4652" s="8" t="str">
        <f>HYPERLINK("https://twitter.com/beetlebug1938","@beetlebug1938")</f>
        <v>@beetlebug1938</v>
      </c>
      <c r="C4652" s="9" t="s">
        <v>66</v>
      </c>
      <c r="D4652" s="9" t="s">
        <v>10886</v>
      </c>
      <c r="E4652" s="10" t="str">
        <f>HYPERLINK("https://twitter.com/beetlebug1938/status/723573109085876224","723573109085876224")</f>
        <v>723573109085876224</v>
      </c>
      <c r="F4652" s="11" t="s">
        <v>68</v>
      </c>
      <c r="G4652" s="11">
        <v>356</v>
      </c>
      <c r="H4652" s="11">
        <v>2223</v>
      </c>
      <c r="I4652" s="11">
        <v>0</v>
      </c>
      <c r="J4652" s="11">
        <v>0</v>
      </c>
      <c r="K4652" s="11" t="s">
        <v>21</v>
      </c>
      <c r="L4652" s="7">
        <v>42469.863865740743</v>
      </c>
      <c r="M4652" s="12" t="s">
        <v>69</v>
      </c>
      <c r="N4652" s="12"/>
      <c r="O4652" s="10" t="str">
        <f>HYPERLINK("https://pbs.twimg.com/profile_images/718820712757215233/LXXndPTS_normal.jpg","View")</f>
        <v>View</v>
      </c>
      <c r="P4652" s="11"/>
    </row>
    <row r="4653" spans="1:16" ht="12.75" x14ac:dyDescent="0.35">
      <c r="A4653" s="7">
        <v>42482.982025462959</v>
      </c>
      <c r="B4653" s="8" t="str">
        <f t="shared" ref="B4653:B4654" si="398">HYPERLINK("https://twitter.com/LombardaMotori","@LombardaMotori")</f>
        <v>@LombardaMotori</v>
      </c>
      <c r="C4653" s="9" t="s">
        <v>2256</v>
      </c>
      <c r="D4653" s="9" t="s">
        <v>10887</v>
      </c>
      <c r="E4653" s="10" t="str">
        <f>HYPERLINK("https://twitter.com/LombardaMotori/status/723573110352519168","723573110352519168")</f>
        <v>723573110352519168</v>
      </c>
      <c r="F4653" s="11" t="s">
        <v>2256</v>
      </c>
      <c r="G4653" s="11">
        <v>68</v>
      </c>
      <c r="H4653" s="11">
        <v>113</v>
      </c>
      <c r="I4653" s="11">
        <v>0</v>
      </c>
      <c r="J4653" s="11">
        <v>0</v>
      </c>
      <c r="K4653" s="11" t="s">
        <v>21</v>
      </c>
      <c r="L4653" s="7">
        <v>41359.948877314819</v>
      </c>
      <c r="M4653" s="12" t="s">
        <v>2258</v>
      </c>
      <c r="N4653" s="12" t="s">
        <v>2259</v>
      </c>
      <c r="O4653" s="10" t="str">
        <f t="shared" ref="O4653:O4654" si="399">HYPERLINK("https://pbs.twimg.com/profile_images/558298291985608704/57n8APEK_normal.jpeg","View")</f>
        <v>View</v>
      </c>
      <c r="P4653" s="10" t="str">
        <f t="shared" ref="P4653:P4654" si="400">HYPERLINK("http://ctrlq.org/maps/address/#45.5801,9.2725","Map")</f>
        <v>Map</v>
      </c>
    </row>
    <row r="4654" spans="1:16" ht="12.75" x14ac:dyDescent="0.35">
      <c r="A4654" s="7">
        <v>42482.982037037036</v>
      </c>
      <c r="B4654" s="8" t="str">
        <f t="shared" si="398"/>
        <v>@LombardaMotori</v>
      </c>
      <c r="C4654" s="9" t="s">
        <v>2256</v>
      </c>
      <c r="D4654" s="9" t="s">
        <v>10888</v>
      </c>
      <c r="E4654" s="10" t="str">
        <f>HYPERLINK("https://twitter.com/LombardaMotori/status/723573113280188417","723573113280188417")</f>
        <v>723573113280188417</v>
      </c>
      <c r="F4654" s="11" t="s">
        <v>2256</v>
      </c>
      <c r="G4654" s="11">
        <v>68</v>
      </c>
      <c r="H4654" s="11">
        <v>113</v>
      </c>
      <c r="I4654" s="11">
        <v>0</v>
      </c>
      <c r="J4654" s="11">
        <v>0</v>
      </c>
      <c r="K4654" s="11" t="s">
        <v>21</v>
      </c>
      <c r="L4654" s="7">
        <v>41359.948877314819</v>
      </c>
      <c r="M4654" s="12" t="s">
        <v>2258</v>
      </c>
      <c r="N4654" s="12" t="s">
        <v>2259</v>
      </c>
      <c r="O4654" s="10" t="str">
        <f t="shared" si="399"/>
        <v>View</v>
      </c>
      <c r="P4654" s="10" t="str">
        <f t="shared" si="400"/>
        <v>Map</v>
      </c>
    </row>
    <row r="4655" spans="1:16" ht="12.75" x14ac:dyDescent="0.35">
      <c r="A4655" s="7">
        <v>42482.982060185182</v>
      </c>
      <c r="B4655" s="8" t="str">
        <f>HYPERLINK("https://twitter.com/beetlebug1938","@beetlebug1938")</f>
        <v>@beetlebug1938</v>
      </c>
      <c r="C4655" s="9" t="s">
        <v>66</v>
      </c>
      <c r="D4655" s="9" t="s">
        <v>10889</v>
      </c>
      <c r="E4655" s="10" t="str">
        <f>HYPERLINK("https://twitter.com/beetlebug1938/status/723573121433911297","723573121433911297")</f>
        <v>723573121433911297</v>
      </c>
      <c r="F4655" s="11" t="s">
        <v>68</v>
      </c>
      <c r="G4655" s="11">
        <v>356</v>
      </c>
      <c r="H4655" s="11">
        <v>2223</v>
      </c>
      <c r="I4655" s="11">
        <v>0</v>
      </c>
      <c r="J4655" s="11">
        <v>0</v>
      </c>
      <c r="K4655" s="11" t="s">
        <v>21</v>
      </c>
      <c r="L4655" s="7">
        <v>42469.863865740743</v>
      </c>
      <c r="M4655" s="12" t="s">
        <v>69</v>
      </c>
      <c r="N4655" s="12"/>
      <c r="O4655" s="10" t="str">
        <f>HYPERLINK("https://pbs.twimg.com/profile_images/718820712757215233/LXXndPTS_normal.jpg","View")</f>
        <v>View</v>
      </c>
      <c r="P4655" s="11"/>
    </row>
    <row r="4656" spans="1:16" ht="12.75" x14ac:dyDescent="0.35">
      <c r="A4656" s="7">
        <v>42482.982060185182</v>
      </c>
      <c r="B4656" s="8" t="str">
        <f>HYPERLINK("https://twitter.com/LombardaMotori","@LombardaMotori")</f>
        <v>@LombardaMotori</v>
      </c>
      <c r="C4656" s="9" t="s">
        <v>2256</v>
      </c>
      <c r="D4656" s="9" t="s">
        <v>10890</v>
      </c>
      <c r="E4656" s="10" t="str">
        <f>HYPERLINK("https://twitter.com/LombardaMotori/status/723573122662862848","723573122662862848")</f>
        <v>723573122662862848</v>
      </c>
      <c r="F4656" s="11" t="s">
        <v>2256</v>
      </c>
      <c r="G4656" s="11">
        <v>68</v>
      </c>
      <c r="H4656" s="11">
        <v>113</v>
      </c>
      <c r="I4656" s="11">
        <v>0</v>
      </c>
      <c r="J4656" s="11">
        <v>0</v>
      </c>
      <c r="K4656" s="11" t="s">
        <v>21</v>
      </c>
      <c r="L4656" s="7">
        <v>41359.948877314819</v>
      </c>
      <c r="M4656" s="12" t="s">
        <v>2258</v>
      </c>
      <c r="N4656" s="12" t="s">
        <v>2259</v>
      </c>
      <c r="O4656" s="10" t="str">
        <f>HYPERLINK("https://pbs.twimg.com/profile_images/558298291985608704/57n8APEK_normal.jpeg","View")</f>
        <v>View</v>
      </c>
      <c r="P4656" s="10" t="str">
        <f>HYPERLINK("http://ctrlq.org/maps/address/#45.5801,9.2725","Map")</f>
        <v>Map</v>
      </c>
    </row>
    <row r="4657" spans="1:16" ht="12.75" x14ac:dyDescent="0.35">
      <c r="A4657" s="7">
        <v>42482.982071759259</v>
      </c>
      <c r="B4657" s="8" t="str">
        <f t="shared" ref="B4657:B4661" si="401">HYPERLINK("https://twitter.com/beetlebug1938","@beetlebug1938")</f>
        <v>@beetlebug1938</v>
      </c>
      <c r="C4657" s="9" t="s">
        <v>66</v>
      </c>
      <c r="D4657" s="9" t="s">
        <v>10891</v>
      </c>
      <c r="E4657" s="10" t="str">
        <f>HYPERLINK("https://twitter.com/beetlebug1938/status/723573127037464576","723573127037464576")</f>
        <v>723573127037464576</v>
      </c>
      <c r="F4657" s="11" t="s">
        <v>68</v>
      </c>
      <c r="G4657" s="11">
        <v>356</v>
      </c>
      <c r="H4657" s="11">
        <v>2223</v>
      </c>
      <c r="I4657" s="11">
        <v>0</v>
      </c>
      <c r="J4657" s="11">
        <v>0</v>
      </c>
      <c r="K4657" s="11" t="s">
        <v>21</v>
      </c>
      <c r="L4657" s="7">
        <v>42469.863865740743</v>
      </c>
      <c r="M4657" s="12" t="s">
        <v>69</v>
      </c>
      <c r="N4657" s="12"/>
      <c r="O4657" s="10" t="str">
        <f t="shared" ref="O4657:O4661" si="402">HYPERLINK("https://pbs.twimg.com/profile_images/718820712757215233/LXXndPTS_normal.jpg","View")</f>
        <v>View</v>
      </c>
      <c r="P4657" s="11"/>
    </row>
    <row r="4658" spans="1:16" ht="12.75" x14ac:dyDescent="0.35">
      <c r="A4658" s="7">
        <v>42482.982094907406</v>
      </c>
      <c r="B4658" s="8" t="str">
        <f t="shared" si="401"/>
        <v>@beetlebug1938</v>
      </c>
      <c r="C4658" s="9" t="s">
        <v>66</v>
      </c>
      <c r="D4658" s="9" t="s">
        <v>10892</v>
      </c>
      <c r="E4658" s="10" t="str">
        <f>HYPERLINK("https://twitter.com/beetlebug1938/status/723573134427885568","723573134427885568")</f>
        <v>723573134427885568</v>
      </c>
      <c r="F4658" s="11" t="s">
        <v>68</v>
      </c>
      <c r="G4658" s="11">
        <v>356</v>
      </c>
      <c r="H4658" s="11">
        <v>2223</v>
      </c>
      <c r="I4658" s="11">
        <v>0</v>
      </c>
      <c r="J4658" s="11">
        <v>0</v>
      </c>
      <c r="K4658" s="11" t="s">
        <v>21</v>
      </c>
      <c r="L4658" s="7">
        <v>42469.863865740743</v>
      </c>
      <c r="M4658" s="12" t="s">
        <v>69</v>
      </c>
      <c r="N4658" s="12"/>
      <c r="O4658" s="10" t="str">
        <f t="shared" si="402"/>
        <v>View</v>
      </c>
      <c r="P4658" s="11"/>
    </row>
    <row r="4659" spans="1:16" ht="12.75" x14ac:dyDescent="0.35">
      <c r="A4659" s="7">
        <v>42482.982106481482</v>
      </c>
      <c r="B4659" s="8" t="str">
        <f t="shared" si="401"/>
        <v>@beetlebug1938</v>
      </c>
      <c r="C4659" s="9" t="s">
        <v>66</v>
      </c>
      <c r="D4659" s="9" t="s">
        <v>10893</v>
      </c>
      <c r="E4659" s="10" t="str">
        <f>HYPERLINK("https://twitter.com/beetlebug1938/status/723573140664791042","723573140664791042")</f>
        <v>723573140664791042</v>
      </c>
      <c r="F4659" s="11" t="s">
        <v>68</v>
      </c>
      <c r="G4659" s="11">
        <v>356</v>
      </c>
      <c r="H4659" s="11">
        <v>2223</v>
      </c>
      <c r="I4659" s="11">
        <v>1</v>
      </c>
      <c r="J4659" s="11">
        <v>0</v>
      </c>
      <c r="K4659" s="11" t="s">
        <v>21</v>
      </c>
      <c r="L4659" s="7">
        <v>42469.863865740743</v>
      </c>
      <c r="M4659" s="12" t="s">
        <v>69</v>
      </c>
      <c r="N4659" s="12"/>
      <c r="O4659" s="10" t="str">
        <f t="shared" si="402"/>
        <v>View</v>
      </c>
      <c r="P4659" s="11"/>
    </row>
    <row r="4660" spans="1:16" ht="12.75" x14ac:dyDescent="0.35">
      <c r="A4660" s="7">
        <v>42482.982152777782</v>
      </c>
      <c r="B4660" s="8" t="str">
        <f t="shared" si="401"/>
        <v>@beetlebug1938</v>
      </c>
      <c r="C4660" s="9" t="s">
        <v>66</v>
      </c>
      <c r="D4660" s="9" t="s">
        <v>10894</v>
      </c>
      <c r="E4660" s="10" t="str">
        <f>HYPERLINK("https://twitter.com/beetlebug1938/status/723573154791206912","723573154791206912")</f>
        <v>723573154791206912</v>
      </c>
      <c r="F4660" s="11" t="s">
        <v>68</v>
      </c>
      <c r="G4660" s="11">
        <v>356</v>
      </c>
      <c r="H4660" s="11">
        <v>2223</v>
      </c>
      <c r="I4660" s="11">
        <v>0</v>
      </c>
      <c r="J4660" s="11">
        <v>0</v>
      </c>
      <c r="K4660" s="11" t="s">
        <v>21</v>
      </c>
      <c r="L4660" s="7">
        <v>42469.863865740743</v>
      </c>
      <c r="M4660" s="12" t="s">
        <v>69</v>
      </c>
      <c r="N4660" s="12"/>
      <c r="O4660" s="10" t="str">
        <f t="shared" si="402"/>
        <v>View</v>
      </c>
      <c r="P4660" s="11"/>
    </row>
    <row r="4661" spans="1:16" ht="12.75" x14ac:dyDescent="0.35">
      <c r="A4661" s="7">
        <v>42482.982175925921</v>
      </c>
      <c r="B4661" s="8" t="str">
        <f t="shared" si="401"/>
        <v>@beetlebug1938</v>
      </c>
      <c r="C4661" s="9" t="s">
        <v>66</v>
      </c>
      <c r="D4661" s="9" t="s">
        <v>10895</v>
      </c>
      <c r="E4661" s="10" t="str">
        <f>HYPERLINK("https://twitter.com/beetlebug1938/status/723573164807192576","723573164807192576")</f>
        <v>723573164807192576</v>
      </c>
      <c r="F4661" s="11" t="s">
        <v>68</v>
      </c>
      <c r="G4661" s="11">
        <v>356</v>
      </c>
      <c r="H4661" s="11">
        <v>2223</v>
      </c>
      <c r="I4661" s="11">
        <v>1</v>
      </c>
      <c r="J4661" s="11">
        <v>0</v>
      </c>
      <c r="K4661" s="11" t="s">
        <v>21</v>
      </c>
      <c r="L4661" s="7">
        <v>42469.863865740743</v>
      </c>
      <c r="M4661" s="12" t="s">
        <v>69</v>
      </c>
      <c r="N4661" s="12"/>
      <c r="O4661" s="10" t="str">
        <f t="shared" si="402"/>
        <v>View</v>
      </c>
      <c r="P4661" s="11"/>
    </row>
    <row r="4662" spans="1:16" ht="12.75" x14ac:dyDescent="0.35">
      <c r="A4662" s="7">
        <v>42482.982245370367</v>
      </c>
      <c r="B4662" s="8" t="str">
        <f>HYPERLINK("https://twitter.com/KarinaS47327470","@KarinaS47327470")</f>
        <v>@KarinaS47327470</v>
      </c>
      <c r="C4662" s="9" t="s">
        <v>10896</v>
      </c>
      <c r="D4662" s="9" t="s">
        <v>10786</v>
      </c>
      <c r="E4662" s="10" t="str">
        <f>HYPERLINK("https://twitter.com/KarinaS47327470/status/723573189427646464","723573189427646464")</f>
        <v>723573189427646464</v>
      </c>
      <c r="F4662" s="11" t="s">
        <v>367</v>
      </c>
      <c r="G4662" s="11">
        <v>114</v>
      </c>
      <c r="H4662" s="11">
        <v>85</v>
      </c>
      <c r="I4662" s="11">
        <v>53</v>
      </c>
      <c r="J4662" s="11">
        <v>0</v>
      </c>
      <c r="K4662" s="11" t="s">
        <v>21</v>
      </c>
      <c r="L4662" s="7">
        <v>42466.436354166668</v>
      </c>
      <c r="M4662" s="12"/>
      <c r="N4662" s="12"/>
      <c r="O4662" s="10" t="str">
        <f>HYPERLINK("https://pbs.twimg.com/profile_images/722941853394337794/_dhXFLas_normal.jpg","View")</f>
        <v>View</v>
      </c>
      <c r="P4662" s="11"/>
    </row>
    <row r="4663" spans="1:16" ht="12.75" x14ac:dyDescent="0.35">
      <c r="A4663" s="7">
        <v>42482.982442129629</v>
      </c>
      <c r="B4663" s="8" t="str">
        <f>HYPERLINK("https://twitter.com/ktos90","@ktos90")</f>
        <v>@ktos90</v>
      </c>
      <c r="C4663" s="9" t="s">
        <v>10897</v>
      </c>
      <c r="D4663" s="9" t="s">
        <v>10898</v>
      </c>
      <c r="E4663" s="10" t="str">
        <f>HYPERLINK("https://twitter.com/ktos90/status/723573260659621893","723573260659621893")</f>
        <v>723573260659621893</v>
      </c>
      <c r="F4663" s="11" t="s">
        <v>114</v>
      </c>
      <c r="G4663" s="11">
        <v>61</v>
      </c>
      <c r="H4663" s="11">
        <v>301</v>
      </c>
      <c r="I4663" s="11">
        <v>0</v>
      </c>
      <c r="J4663" s="11">
        <v>0</v>
      </c>
      <c r="K4663" s="11" t="s">
        <v>21</v>
      </c>
      <c r="L4663" s="7">
        <v>40441.53188657407</v>
      </c>
      <c r="M4663" s="12" t="s">
        <v>10899</v>
      </c>
      <c r="N4663" s="12" t="s">
        <v>10900</v>
      </c>
      <c r="O4663" s="10" t="str">
        <f>HYPERLINK("https://pbs.twimg.com/profile_images/3326406395/719285154d57ac5eaeeefdce92d3c9c0_normal.jpeg","View")</f>
        <v>View</v>
      </c>
      <c r="P4663" s="10" t="str">
        <f>HYPERLINK("http://ctrlq.org/maps/address/#52.4333,19.4833","Map")</f>
        <v>Map</v>
      </c>
    </row>
    <row r="4664" spans="1:16" ht="12.75" x14ac:dyDescent="0.35">
      <c r="A4664" s="7">
        <v>42482.982615740737</v>
      </c>
      <c r="B4664" s="8" t="str">
        <f>HYPERLINK("https://twitter.com/craigm1001","@craigm1001")</f>
        <v>@craigm1001</v>
      </c>
      <c r="C4664" s="9" t="s">
        <v>10901</v>
      </c>
      <c r="D4664" s="9" t="s">
        <v>10837</v>
      </c>
      <c r="E4664" s="10" t="str">
        <f>HYPERLINK("https://twitter.com/craigm1001/status/723573326162079744","723573326162079744")</f>
        <v>723573326162079744</v>
      </c>
      <c r="F4664" s="11" t="s">
        <v>20</v>
      </c>
      <c r="G4664" s="11">
        <v>191</v>
      </c>
      <c r="H4664" s="11">
        <v>111</v>
      </c>
      <c r="I4664" s="11">
        <v>7</v>
      </c>
      <c r="J4664" s="11">
        <v>0</v>
      </c>
      <c r="K4664" s="11" t="s">
        <v>21</v>
      </c>
      <c r="L4664" s="7">
        <v>41155.014618055553</v>
      </c>
      <c r="M4664" s="12"/>
      <c r="N4664" s="12"/>
      <c r="O4664" s="10" t="str">
        <f>HYPERLINK("https://pbs.twimg.com/profile_images/637536838597672960/lxw69UmJ_normal.jpg","View")</f>
        <v>View</v>
      </c>
      <c r="P4664" s="11"/>
    </row>
    <row r="4665" spans="1:16" ht="12.75" x14ac:dyDescent="0.35">
      <c r="A4665" s="7">
        <v>42482.982789351852</v>
      </c>
      <c r="B4665" s="8" t="str">
        <f>HYPERLINK("https://twitter.com/marcos189sk8","@marcos189sk8")</f>
        <v>@marcos189sk8</v>
      </c>
      <c r="C4665" s="9" t="s">
        <v>10902</v>
      </c>
      <c r="D4665" s="9" t="s">
        <v>10808</v>
      </c>
      <c r="E4665" s="10" t="str">
        <f>HYPERLINK("https://twitter.com/marcos189sk8/status/723573388665589760","723573388665589760")</f>
        <v>723573388665589760</v>
      </c>
      <c r="F4665" s="11" t="s">
        <v>48</v>
      </c>
      <c r="G4665" s="11">
        <v>458</v>
      </c>
      <c r="H4665" s="11">
        <v>661</v>
      </c>
      <c r="I4665" s="11">
        <v>23</v>
      </c>
      <c r="J4665" s="11">
        <v>0</v>
      </c>
      <c r="K4665" s="11" t="s">
        <v>21</v>
      </c>
      <c r="L4665" s="7">
        <v>41147.401817129634</v>
      </c>
      <c r="M4665" s="12"/>
      <c r="N4665" s="12" t="s">
        <v>10903</v>
      </c>
      <c r="O4665" s="10" t="str">
        <f>HYPERLINK("https://pbs.twimg.com/profile_images/720741719206203392/UF7FjEYv_normal.jpg","View")</f>
        <v>View</v>
      </c>
      <c r="P4665" s="11"/>
    </row>
    <row r="4666" spans="1:16" ht="12.75" x14ac:dyDescent="0.35">
      <c r="A4666" s="7">
        <v>42482.982847222222</v>
      </c>
      <c r="B4666" s="8" t="str">
        <f>HYPERLINK("https://twitter.com/sroski","@sroski")</f>
        <v>@sroski</v>
      </c>
      <c r="C4666" s="9" t="s">
        <v>10904</v>
      </c>
      <c r="D4666" s="9" t="s">
        <v>10905</v>
      </c>
      <c r="E4666" s="10" t="str">
        <f>HYPERLINK("https://twitter.com/sroski/status/723573407007313920","723573407007313920")</f>
        <v>723573407007313920</v>
      </c>
      <c r="F4666" s="11" t="s">
        <v>48</v>
      </c>
      <c r="G4666" s="11">
        <v>904</v>
      </c>
      <c r="H4666" s="11">
        <v>3812</v>
      </c>
      <c r="I4666" s="11">
        <v>0</v>
      </c>
      <c r="J4666" s="11">
        <v>0</v>
      </c>
      <c r="K4666" s="11" t="s">
        <v>21</v>
      </c>
      <c r="L4666" s="7">
        <v>40637.398275462961</v>
      </c>
      <c r="M4666" s="12" t="s">
        <v>10906</v>
      </c>
      <c r="N4666" s="13" t="s">
        <v>10907</v>
      </c>
      <c r="O4666" s="10" t="str">
        <f>HYPERLINK("https://pbs.twimg.com/profile_images/623907147819155456/6Cl14LSJ_normal.jpg","View")</f>
        <v>View</v>
      </c>
      <c r="P4666" s="11"/>
    </row>
    <row r="4667" spans="1:16" ht="12.75" x14ac:dyDescent="0.35">
      <c r="A4667" s="7">
        <v>42482.982916666668</v>
      </c>
      <c r="B4667" s="8" t="str">
        <f>HYPERLINK("https://twitter.com/elfransanchez99","@elfransanchez99")</f>
        <v>@elfransanchez99</v>
      </c>
      <c r="C4667" s="9" t="s">
        <v>10908</v>
      </c>
      <c r="D4667" s="9" t="s">
        <v>10808</v>
      </c>
      <c r="E4667" s="10" t="str">
        <f>HYPERLINK("https://twitter.com/elfransanchez99/status/723573431304904706","723573431304904706")</f>
        <v>723573431304904706</v>
      </c>
      <c r="F4667" s="11" t="s">
        <v>91</v>
      </c>
      <c r="G4667" s="11">
        <v>318</v>
      </c>
      <c r="H4667" s="11">
        <v>293</v>
      </c>
      <c r="I4667" s="11">
        <v>23</v>
      </c>
      <c r="J4667" s="11">
        <v>0</v>
      </c>
      <c r="K4667" s="11" t="s">
        <v>21</v>
      </c>
      <c r="L4667" s="7">
        <v>41532.125</v>
      </c>
      <c r="M4667" s="12" t="s">
        <v>10909</v>
      </c>
      <c r="N4667" s="12" t="s">
        <v>10910</v>
      </c>
      <c r="O4667" s="10" t="str">
        <f>HYPERLINK("https://pbs.twimg.com/profile_images/647434205853544453/1g3EBIZ1_normal.jpg","View")</f>
        <v>View</v>
      </c>
      <c r="P4667" s="11"/>
    </row>
    <row r="4668" spans="1:16" ht="12.75" x14ac:dyDescent="0.35">
      <c r="A4668" s="7">
        <v>42482.983333333337</v>
      </c>
      <c r="B4668" s="8" t="str">
        <f>HYPERLINK("https://twitter.com/camiii_zalazar","@camiii_zalazar")</f>
        <v>@camiii_zalazar</v>
      </c>
      <c r="C4668" s="9" t="s">
        <v>3058</v>
      </c>
      <c r="D4668" s="9" t="s">
        <v>10808</v>
      </c>
      <c r="E4668" s="10" t="str">
        <f>HYPERLINK("https://twitter.com/camiii_zalazar/status/723573584237568000","723573584237568000")</f>
        <v>723573584237568000</v>
      </c>
      <c r="F4668" s="11" t="s">
        <v>48</v>
      </c>
      <c r="G4668" s="11">
        <v>204</v>
      </c>
      <c r="H4668" s="11">
        <v>301</v>
      </c>
      <c r="I4668" s="11">
        <v>23</v>
      </c>
      <c r="J4668" s="11">
        <v>0</v>
      </c>
      <c r="K4668" s="11" t="s">
        <v>21</v>
      </c>
      <c r="L4668" s="7">
        <v>41988.187847222223</v>
      </c>
      <c r="M4668" s="12"/>
      <c r="N4668" s="12" t="s">
        <v>3059</v>
      </c>
      <c r="O4668" s="10" t="str">
        <f>HYPERLINK("https://pbs.twimg.com/profile_images/720834831408443392/brx71tjG_normal.jpg","View")</f>
        <v>View</v>
      </c>
      <c r="P4668" s="11"/>
    </row>
    <row r="4669" spans="1:16" ht="12.75" x14ac:dyDescent="0.35">
      <c r="A4669" s="7">
        <v>42482.983414351853</v>
      </c>
      <c r="B4669" s="8" t="str">
        <f>HYPERLINK("https://twitter.com/VWCamperSales","@VWCamperSales")</f>
        <v>@VWCamperSales</v>
      </c>
      <c r="C4669" s="9" t="s">
        <v>216</v>
      </c>
      <c r="D4669" s="9" t="s">
        <v>10911</v>
      </c>
      <c r="E4669" s="10" t="str">
        <f>HYPERLINK("https://twitter.com/VWCamperSales/status/723573612125388800","723573612125388800")</f>
        <v>723573612125388800</v>
      </c>
      <c r="F4669" s="10" t="s">
        <v>124</v>
      </c>
      <c r="G4669" s="11">
        <v>618</v>
      </c>
      <c r="H4669" s="11">
        <v>580</v>
      </c>
      <c r="I4669" s="11">
        <v>0</v>
      </c>
      <c r="J4669" s="11">
        <v>0</v>
      </c>
      <c r="K4669" s="11" t="s">
        <v>21</v>
      </c>
      <c r="L4669" s="7">
        <v>42215.98809027778</v>
      </c>
      <c r="M4669" s="12" t="s">
        <v>129</v>
      </c>
      <c r="N4669" s="12" t="s">
        <v>218</v>
      </c>
      <c r="O4669" s="10" t="str">
        <f>HYPERLINK("https://pbs.twimg.com/profile_images/627949001179037696/skEBkS05_normal.jpg","View")</f>
        <v>View</v>
      </c>
      <c r="P4669" s="11"/>
    </row>
    <row r="4670" spans="1:16" ht="12.75" x14ac:dyDescent="0.35">
      <c r="A4670" s="7">
        <v>42482.983414351853</v>
      </c>
      <c r="B4670" s="8" t="str">
        <f>HYPERLINK("https://twitter.com/dw_business","@dw_business")</f>
        <v>@dw_business</v>
      </c>
      <c r="C4670" s="9" t="s">
        <v>3512</v>
      </c>
      <c r="D4670" s="9" t="s">
        <v>10912</v>
      </c>
      <c r="E4670" s="10" t="str">
        <f>HYPERLINK("https://twitter.com/dw_business/status/723573612796465152","723573612796465152")</f>
        <v>723573612796465152</v>
      </c>
      <c r="F4670" s="11" t="s">
        <v>254</v>
      </c>
      <c r="G4670" s="11">
        <v>6224</v>
      </c>
      <c r="H4670" s="11">
        <v>250</v>
      </c>
      <c r="I4670" s="11">
        <v>0</v>
      </c>
      <c r="J4670" s="11">
        <v>0</v>
      </c>
      <c r="K4670" s="11" t="s">
        <v>21</v>
      </c>
      <c r="L4670" s="7">
        <v>39919.595196759255</v>
      </c>
      <c r="M4670" s="12" t="s">
        <v>1303</v>
      </c>
      <c r="N4670" s="12" t="s">
        <v>3514</v>
      </c>
      <c r="O4670" s="10" t="str">
        <f>HYPERLINK("https://pbs.twimg.com/profile_images/474178130312044544/-U2TP65D_normal.png","View")</f>
        <v>View</v>
      </c>
      <c r="P4670" s="11"/>
    </row>
    <row r="4671" spans="1:16" ht="12.75" x14ac:dyDescent="0.35">
      <c r="A4671" s="7">
        <v>42482.983680555553</v>
      </c>
      <c r="B4671" s="8" t="str">
        <f>HYPERLINK("https://twitter.com/RayGoldbaer","@RayGoldbaer")</f>
        <v>@RayGoldbaer</v>
      </c>
      <c r="C4671" s="9" t="s">
        <v>10913</v>
      </c>
      <c r="D4671" s="9" t="s">
        <v>10914</v>
      </c>
      <c r="E4671" s="10" t="str">
        <f>HYPERLINK("https://twitter.com/RayGoldbaer/status/723573710385459200","723573710385459200")</f>
        <v>723573710385459200</v>
      </c>
      <c r="F4671" s="11" t="s">
        <v>48</v>
      </c>
      <c r="G4671" s="11">
        <v>89</v>
      </c>
      <c r="H4671" s="11">
        <v>97</v>
      </c>
      <c r="I4671" s="11">
        <v>0</v>
      </c>
      <c r="J4671" s="11">
        <v>0</v>
      </c>
      <c r="K4671" s="11" t="s">
        <v>21</v>
      </c>
      <c r="L4671" s="7">
        <v>41583.082002314812</v>
      </c>
      <c r="M4671" s="12" t="s">
        <v>10915</v>
      </c>
      <c r="N4671" s="12" t="s">
        <v>10916</v>
      </c>
      <c r="O4671" s="10" t="str">
        <f>HYPERLINK("https://pbs.twimg.com/profile_images/712920876300238848/JDhJWFQm_normal.jpg","View")</f>
        <v>View</v>
      </c>
      <c r="P4671" s="11"/>
    </row>
    <row r="4672" spans="1:16" ht="12.75" x14ac:dyDescent="0.35">
      <c r="A4672" s="7">
        <v>42482.983796296292</v>
      </c>
      <c r="B4672" s="8" t="str">
        <f>HYPERLINK("https://twitter.com/SvenMFGN","@SvenMFGN")</f>
        <v>@SvenMFGN</v>
      </c>
      <c r="C4672" s="9" t="s">
        <v>10917</v>
      </c>
      <c r="D4672" s="9" t="s">
        <v>10918</v>
      </c>
      <c r="E4672" s="10" t="str">
        <f>HYPERLINK("https://twitter.com/SvenMFGN/status/723573751003099136","723573751003099136")</f>
        <v>723573751003099136</v>
      </c>
      <c r="F4672" s="11" t="s">
        <v>3721</v>
      </c>
      <c r="G4672" s="11">
        <v>942</v>
      </c>
      <c r="H4672" s="11">
        <v>1357</v>
      </c>
      <c r="I4672" s="11">
        <v>0</v>
      </c>
      <c r="J4672" s="11">
        <v>1</v>
      </c>
      <c r="K4672" s="11" t="s">
        <v>21</v>
      </c>
      <c r="L4672" s="7">
        <v>41616.161932870367</v>
      </c>
      <c r="M4672" s="12" t="s">
        <v>10919</v>
      </c>
      <c r="N4672" s="12" t="s">
        <v>10920</v>
      </c>
      <c r="O4672" s="10" t="str">
        <f>HYPERLINK("https://pbs.twimg.com/profile_images/686176747390398464/xWJNnW3D_normal.jpg","View")</f>
        <v>View</v>
      </c>
      <c r="P4672" s="11"/>
    </row>
    <row r="4673" spans="1:16" ht="12.75" x14ac:dyDescent="0.35">
      <c r="A4673" s="7">
        <v>42482.983946759261</v>
      </c>
      <c r="B4673" s="8" t="str">
        <f>HYPERLINK("https://twitter.com/countUP","@countUP")</f>
        <v>@countUP</v>
      </c>
      <c r="C4673" s="9" t="s">
        <v>4424</v>
      </c>
      <c r="D4673" s="9" t="s">
        <v>10921</v>
      </c>
      <c r="E4673" s="10" t="str">
        <f>HYPERLINK("https://twitter.com/countUP/status/723573807529758720","723573807529758720")</f>
        <v>723573807529758720</v>
      </c>
      <c r="F4673" s="11" t="s">
        <v>152</v>
      </c>
      <c r="G4673" s="11">
        <v>7375</v>
      </c>
      <c r="H4673" s="11">
        <v>4955</v>
      </c>
      <c r="I4673" s="11">
        <v>0</v>
      </c>
      <c r="J4673" s="11">
        <v>0</v>
      </c>
      <c r="K4673" s="11" t="s">
        <v>21</v>
      </c>
      <c r="L4673" s="7">
        <v>39833.885127314818</v>
      </c>
      <c r="M4673" s="12" t="s">
        <v>1116</v>
      </c>
      <c r="N4673" s="12" t="s">
        <v>4426</v>
      </c>
      <c r="O4673" s="10" t="str">
        <f>HYPERLINK("https://pbs.twimg.com/profile_images/366739006/bewerbungsbild_detail_flyer_13_normal.png","View")</f>
        <v>View</v>
      </c>
      <c r="P4673" s="11"/>
    </row>
    <row r="4674" spans="1:16" ht="12.75" x14ac:dyDescent="0.35">
      <c r="A4674" s="7">
        <v>42482.983958333338</v>
      </c>
      <c r="B4674" s="8" t="str">
        <f>HYPERLINK("https://twitter.com/AlexWitzleben","@AlexWitzleben")</f>
        <v>@AlexWitzleben</v>
      </c>
      <c r="C4674" s="9" t="s">
        <v>1346</v>
      </c>
      <c r="D4674" s="9" t="s">
        <v>10922</v>
      </c>
      <c r="E4674" s="10" t="str">
        <f>HYPERLINK("https://twitter.com/AlexWitzleben/status/723573810658705409","723573810658705409")</f>
        <v>723573810658705409</v>
      </c>
      <c r="F4674" s="11" t="s">
        <v>193</v>
      </c>
      <c r="G4674" s="11">
        <v>1027</v>
      </c>
      <c r="H4674" s="11">
        <v>998</v>
      </c>
      <c r="I4674" s="11">
        <v>0</v>
      </c>
      <c r="J4674" s="11">
        <v>0</v>
      </c>
      <c r="K4674" s="11" t="s">
        <v>21</v>
      </c>
      <c r="L4674" s="7">
        <v>40591.910462962966</v>
      </c>
      <c r="M4674" s="12" t="s">
        <v>1348</v>
      </c>
      <c r="N4674" s="12" t="s">
        <v>1349</v>
      </c>
      <c r="O4674" s="10" t="str">
        <f>HYPERLINK("https://pbs.twimg.com/profile_images/1913087124/AvW_website_normal.jpg","View")</f>
        <v>View</v>
      </c>
      <c r="P4674" s="11"/>
    </row>
    <row r="4675" spans="1:16" ht="12.75" x14ac:dyDescent="0.35">
      <c r="A4675" s="7">
        <v>42482.9840625</v>
      </c>
      <c r="B4675" s="8" t="str">
        <f>HYPERLINK("https://twitter.com/UmaSharandon","@UmaSharandon")</f>
        <v>@UmaSharandon</v>
      </c>
      <c r="C4675" s="9" t="s">
        <v>8591</v>
      </c>
      <c r="D4675" s="9" t="s">
        <v>10923</v>
      </c>
      <c r="E4675" s="10" t="str">
        <f>HYPERLINK("https://twitter.com/UmaSharandon/status/723573848969515008","723573848969515008")</f>
        <v>723573848969515008</v>
      </c>
      <c r="F4675" s="11" t="s">
        <v>43</v>
      </c>
      <c r="G4675" s="11">
        <v>7635</v>
      </c>
      <c r="H4675" s="11">
        <v>8402</v>
      </c>
      <c r="I4675" s="11">
        <v>1</v>
      </c>
      <c r="J4675" s="11">
        <v>0</v>
      </c>
      <c r="K4675" s="11" t="s">
        <v>21</v>
      </c>
      <c r="L4675" s="7">
        <v>40220.855775462966</v>
      </c>
      <c r="M4675" s="12" t="s">
        <v>1116</v>
      </c>
      <c r="N4675" s="12" t="s">
        <v>8593</v>
      </c>
      <c r="O4675" s="10" t="str">
        <f>HYPERLINK("https://pbs.twimg.com/profile_images/953096495/ISchnee_web_normal.jpg","View")</f>
        <v>View</v>
      </c>
      <c r="P4675" s="11"/>
    </row>
    <row r="4676" spans="1:16" ht="12.75" x14ac:dyDescent="0.35">
      <c r="A4676" s="7">
        <v>42482.984155092592</v>
      </c>
      <c r="B4676" s="8" t="str">
        <f>HYPERLINK("https://twitter.com/kevin_h_1979","@kevin_h_1979")</f>
        <v>@kevin_h_1979</v>
      </c>
      <c r="C4676" s="9" t="s">
        <v>10924</v>
      </c>
      <c r="D4676" s="9" t="s">
        <v>10837</v>
      </c>
      <c r="E4676" s="10" t="str">
        <f>HYPERLINK("https://twitter.com/kevin_h_1979/status/723573881806684160","723573881806684160")</f>
        <v>723573881806684160</v>
      </c>
      <c r="F4676" s="11" t="s">
        <v>48</v>
      </c>
      <c r="G4676" s="11">
        <v>82</v>
      </c>
      <c r="H4676" s="11">
        <v>405</v>
      </c>
      <c r="I4676" s="11">
        <v>7</v>
      </c>
      <c r="J4676" s="11">
        <v>0</v>
      </c>
      <c r="K4676" s="11" t="s">
        <v>21</v>
      </c>
      <c r="L4676" s="7">
        <v>40180.171967592592</v>
      </c>
      <c r="M4676" s="12" t="s">
        <v>10925</v>
      </c>
      <c r="N4676" s="12" t="s">
        <v>10926</v>
      </c>
      <c r="O4676" s="10" t="str">
        <f>HYPERLINK("https://pbs.twimg.com/profile_images/717522214258663426/_jvM6g7j_normal.jpg","View")</f>
        <v>View</v>
      </c>
      <c r="P4676" s="11"/>
    </row>
    <row r="4677" spans="1:16" ht="12.75" x14ac:dyDescent="0.35">
      <c r="A4677" s="7">
        <v>42482.984201388885</v>
      </c>
      <c r="B4677" s="8" t="str">
        <f>HYPERLINK("https://twitter.com/UniversityVW","@UniversityVW")</f>
        <v>@UniversityVW</v>
      </c>
      <c r="C4677" s="9" t="s">
        <v>5779</v>
      </c>
      <c r="D4677" s="9" t="s">
        <v>10927</v>
      </c>
      <c r="E4677" s="10" t="str">
        <f>HYPERLINK("https://twitter.com/UniversityVW/status/723573899124940802","723573899124940802")</f>
        <v>723573899124940802</v>
      </c>
      <c r="F4677" s="11" t="s">
        <v>80</v>
      </c>
      <c r="G4677" s="11">
        <v>4196</v>
      </c>
      <c r="H4677" s="11">
        <v>3730</v>
      </c>
      <c r="I4677" s="11">
        <v>2</v>
      </c>
      <c r="J4677" s="11">
        <v>1</v>
      </c>
      <c r="K4677" s="11" t="s">
        <v>21</v>
      </c>
      <c r="L4677" s="7">
        <v>40102.301874999997</v>
      </c>
      <c r="M4677" s="12" t="s">
        <v>355</v>
      </c>
      <c r="N4677" s="12" t="s">
        <v>5781</v>
      </c>
      <c r="O4677" s="10" t="str">
        <f>HYPERLINK("https://pbs.twimg.com/profile_images/702601670186790912/ZdaqJSKf_normal.jpg","View")</f>
        <v>View</v>
      </c>
      <c r="P4677" s="11"/>
    </row>
    <row r="4678" spans="1:16" ht="12.75" x14ac:dyDescent="0.35">
      <c r="A4678" s="7">
        <v>42482.984305555554</v>
      </c>
      <c r="B4678" s="8" t="str">
        <f>HYPERLINK("https://twitter.com/Mainbube","@Mainbube")</f>
        <v>@Mainbube</v>
      </c>
      <c r="C4678" s="9" t="s">
        <v>10928</v>
      </c>
      <c r="D4678" s="9" t="s">
        <v>10929</v>
      </c>
      <c r="E4678" s="10" t="str">
        <f>HYPERLINK("https://twitter.com/Mainbube/status/723573937960042499","723573937960042499")</f>
        <v>723573937960042499</v>
      </c>
      <c r="F4678" s="11" t="s">
        <v>20</v>
      </c>
      <c r="G4678" s="11">
        <v>727</v>
      </c>
      <c r="H4678" s="11">
        <v>1094</v>
      </c>
      <c r="I4678" s="11">
        <v>0</v>
      </c>
      <c r="J4678" s="11">
        <v>0</v>
      </c>
      <c r="K4678" s="11" t="s">
        <v>21</v>
      </c>
      <c r="L4678" s="7">
        <v>39938.593159722222</v>
      </c>
      <c r="M4678" s="12" t="s">
        <v>10930</v>
      </c>
      <c r="N4678" s="12" t="s">
        <v>10931</v>
      </c>
      <c r="O4678" s="10" t="str">
        <f>HYPERLINK("https://pbs.twimg.com/profile_images/698181468846219264/whz-sLAP_normal.jpg","View")</f>
        <v>View</v>
      </c>
      <c r="P4678" s="11"/>
    </row>
    <row r="4679" spans="1:16" ht="12.75" x14ac:dyDescent="0.35">
      <c r="A4679" s="7">
        <v>42482.984340277777</v>
      </c>
      <c r="B4679" s="8" t="str">
        <f>HYPERLINK("https://twitter.com/UmaSharandon","@UmaSharandon")</f>
        <v>@UmaSharandon</v>
      </c>
      <c r="C4679" s="9" t="s">
        <v>8591</v>
      </c>
      <c r="D4679" s="9" t="s">
        <v>10932</v>
      </c>
      <c r="E4679" s="10" t="str">
        <f>HYPERLINK("https://twitter.com/UmaSharandon/status/723573948697436161","723573948697436161")</f>
        <v>723573948697436161</v>
      </c>
      <c r="F4679" s="11" t="s">
        <v>43</v>
      </c>
      <c r="G4679" s="11">
        <v>7635</v>
      </c>
      <c r="H4679" s="11">
        <v>8402</v>
      </c>
      <c r="I4679" s="11">
        <v>6</v>
      </c>
      <c r="J4679" s="11">
        <v>0</v>
      </c>
      <c r="K4679" s="11" t="s">
        <v>21</v>
      </c>
      <c r="L4679" s="7">
        <v>40220.855775462966</v>
      </c>
      <c r="M4679" s="12" t="s">
        <v>1116</v>
      </c>
      <c r="N4679" s="12" t="s">
        <v>8593</v>
      </c>
      <c r="O4679" s="10" t="str">
        <f>HYPERLINK("https://pbs.twimg.com/profile_images/953096495/ISchnee_web_normal.jpg","View")</f>
        <v>View</v>
      </c>
      <c r="P4679" s="11"/>
    </row>
    <row r="4680" spans="1:16" ht="12.75" x14ac:dyDescent="0.35">
      <c r="A4680" s="7">
        <v>42482.985023148147</v>
      </c>
      <c r="B4680" s="8" t="str">
        <f>HYPERLINK("https://twitter.com/NorthWestDubs","@NorthWestDubs")</f>
        <v>@NorthWestDubs</v>
      </c>
      <c r="C4680" s="9" t="s">
        <v>2537</v>
      </c>
      <c r="D4680" s="9" t="s">
        <v>10933</v>
      </c>
      <c r="E4680" s="10" t="str">
        <f>HYPERLINK("https://twitter.com/NorthWestDubs/status/723574195800674304","723574195800674304")</f>
        <v>723574195800674304</v>
      </c>
      <c r="F4680" s="11" t="s">
        <v>288</v>
      </c>
      <c r="G4680" s="11">
        <v>775</v>
      </c>
      <c r="H4680" s="11">
        <v>543</v>
      </c>
      <c r="I4680" s="11">
        <v>2</v>
      </c>
      <c r="J4680" s="11">
        <v>0</v>
      </c>
      <c r="K4680" s="11" t="s">
        <v>21</v>
      </c>
      <c r="L4680" s="7">
        <v>41052.970451388886</v>
      </c>
      <c r="M4680" s="12" t="s">
        <v>2538</v>
      </c>
      <c r="N4680" s="12" t="s">
        <v>2539</v>
      </c>
      <c r="O4680" s="10" t="str">
        <f>HYPERLINK("https://pbs.twimg.com/profile_images/3325520037/cf2027069deae5dc44e82172d33a6683_normal.jpeg","View")</f>
        <v>View</v>
      </c>
      <c r="P4680" s="11"/>
    </row>
    <row r="4681" spans="1:16" ht="12.75" x14ac:dyDescent="0.35">
      <c r="A4681" s="7">
        <v>42482.985034722224</v>
      </c>
      <c r="B4681" s="8" t="str">
        <f>HYPERLINK("https://twitter.com/Stony_BS","@Stony_BS")</f>
        <v>@Stony_BS</v>
      </c>
      <c r="C4681" s="9" t="s">
        <v>2680</v>
      </c>
      <c r="D4681" s="9" t="s">
        <v>10934</v>
      </c>
      <c r="E4681" s="10" t="str">
        <f>HYPERLINK("https://twitter.com/Stony_BS/status/723574201072902144","723574201072902144")</f>
        <v>723574201072902144</v>
      </c>
      <c r="F4681" s="11" t="s">
        <v>43</v>
      </c>
      <c r="G4681" s="11">
        <v>37</v>
      </c>
      <c r="H4681" s="11">
        <v>51</v>
      </c>
      <c r="I4681" s="11">
        <v>0</v>
      </c>
      <c r="J4681" s="11">
        <v>0</v>
      </c>
      <c r="K4681" s="11" t="s">
        <v>21</v>
      </c>
      <c r="L4681" s="7">
        <v>41928.806030092594</v>
      </c>
      <c r="M4681" s="12" t="s">
        <v>2682</v>
      </c>
      <c r="N4681" s="12" t="s">
        <v>2683</v>
      </c>
      <c r="O4681" s="10" t="str">
        <f>HYPERLINK("https://pbs.twimg.com/profile_images/668091779313500160/ZepxnJcI_normal.jpg","View")</f>
        <v>View</v>
      </c>
      <c r="P4681" s="11"/>
    </row>
    <row r="4682" spans="1:16" ht="12.75" x14ac:dyDescent="0.35">
      <c r="A4682" s="7">
        <v>42482.985046296293</v>
      </c>
      <c r="B4682" s="8" t="str">
        <f>HYPERLINK("https://twitter.com/themoosemind","@themoosemind")</f>
        <v>@themoosemind</v>
      </c>
      <c r="C4682" s="9" t="s">
        <v>10935</v>
      </c>
      <c r="D4682" s="9" t="s">
        <v>10936</v>
      </c>
      <c r="E4682" s="10" t="str">
        <f>HYPERLINK("https://twitter.com/themoosemind/status/723574206101880832","723574206101880832")</f>
        <v>723574206101880832</v>
      </c>
      <c r="F4682" s="11" t="s">
        <v>43</v>
      </c>
      <c r="G4682" s="11">
        <v>111</v>
      </c>
      <c r="H4682" s="11">
        <v>50</v>
      </c>
      <c r="I4682" s="11">
        <v>0</v>
      </c>
      <c r="J4682" s="11">
        <v>0</v>
      </c>
      <c r="K4682" s="11" t="s">
        <v>21</v>
      </c>
      <c r="L4682" s="7">
        <v>40804.810833333337</v>
      </c>
      <c r="M4682" s="12" t="s">
        <v>10937</v>
      </c>
      <c r="N4682" s="12" t="s">
        <v>10938</v>
      </c>
      <c r="O4682" s="10" t="str">
        <f>HYPERLINK("https://pbs.twimg.com/profile_images/1548456046/Martin_Thoma_web_thumb_normal.jpg","View")</f>
        <v>View</v>
      </c>
      <c r="P4682" s="11"/>
    </row>
    <row r="4683" spans="1:16" ht="12.75" x14ac:dyDescent="0.35">
      <c r="A4683" s="7">
        <v>42482.985439814816</v>
      </c>
      <c r="B4683" s="8" t="str">
        <f>HYPERLINK("https://twitter.com/dwnews","@dwnews")</f>
        <v>@dwnews</v>
      </c>
      <c r="C4683" s="9" t="s">
        <v>1302</v>
      </c>
      <c r="D4683" s="9" t="s">
        <v>10939</v>
      </c>
      <c r="E4683" s="10" t="str">
        <f>HYPERLINK("https://twitter.com/dwnews/status/723574349635035139","723574349635035139")</f>
        <v>723574349635035139</v>
      </c>
      <c r="F4683" s="11" t="s">
        <v>63</v>
      </c>
      <c r="G4683" s="11">
        <v>91272</v>
      </c>
      <c r="H4683" s="11">
        <v>542</v>
      </c>
      <c r="I4683" s="11">
        <v>2</v>
      </c>
      <c r="J4683" s="11">
        <v>0</v>
      </c>
      <c r="K4683" s="11" t="s">
        <v>21</v>
      </c>
      <c r="L4683" s="7">
        <v>39220.688078703708</v>
      </c>
      <c r="M4683" s="12" t="s">
        <v>1303</v>
      </c>
      <c r="N4683" s="12" t="s">
        <v>1304</v>
      </c>
      <c r="O4683" s="10" t="str">
        <f>HYPERLINK("https://pbs.twimg.com/profile_images/608213167496417280/QSxgcLn__normal.png","View")</f>
        <v>View</v>
      </c>
      <c r="P4683" s="11"/>
    </row>
    <row r="4684" spans="1:16" ht="12.75" x14ac:dyDescent="0.35">
      <c r="A4684" s="7">
        <v>42482.985520833332</v>
      </c>
      <c r="B4684" s="8" t="str">
        <f>HYPERLINK("https://twitter.com/UmaSharandon","@UmaSharandon")</f>
        <v>@UmaSharandon</v>
      </c>
      <c r="C4684" s="9" t="s">
        <v>8591</v>
      </c>
      <c r="D4684" s="9" t="s">
        <v>10940</v>
      </c>
      <c r="E4684" s="10" t="str">
        <f>HYPERLINK("https://twitter.com/UmaSharandon/status/723574375904083968","723574375904083968")</f>
        <v>723574375904083968</v>
      </c>
      <c r="F4684" s="11" t="s">
        <v>43</v>
      </c>
      <c r="G4684" s="11">
        <v>7635</v>
      </c>
      <c r="H4684" s="11">
        <v>8402</v>
      </c>
      <c r="I4684" s="11">
        <v>1</v>
      </c>
      <c r="J4684" s="11">
        <v>0</v>
      </c>
      <c r="K4684" s="11" t="s">
        <v>21</v>
      </c>
      <c r="L4684" s="7">
        <v>40220.855775462966</v>
      </c>
      <c r="M4684" s="12" t="s">
        <v>1116</v>
      </c>
      <c r="N4684" s="12" t="s">
        <v>8593</v>
      </c>
      <c r="O4684" s="10" t="str">
        <f>HYPERLINK("https://pbs.twimg.com/profile_images/953096495/ISchnee_web_normal.jpg","View")</f>
        <v>View</v>
      </c>
      <c r="P4684" s="11"/>
    </row>
    <row r="4685" spans="1:16" ht="12.75" x14ac:dyDescent="0.35">
      <c r="A4685" s="7">
        <v>42482.985636574071</v>
      </c>
      <c r="B4685" s="8" t="str">
        <f>HYPERLINK("https://twitter.com/MoveRally","@MoveRally")</f>
        <v>@MoveRally</v>
      </c>
      <c r="C4685" s="9" t="s">
        <v>6288</v>
      </c>
      <c r="D4685" s="9" t="s">
        <v>10941</v>
      </c>
      <c r="E4685" s="10" t="str">
        <f>HYPERLINK("https://twitter.com/MoveRally/status/723574418375598081","723574418375598081")</f>
        <v>723574418375598081</v>
      </c>
      <c r="F4685" s="11" t="s">
        <v>53</v>
      </c>
      <c r="G4685" s="11">
        <v>742</v>
      </c>
      <c r="H4685" s="11">
        <v>553</v>
      </c>
      <c r="I4685" s="11">
        <v>0</v>
      </c>
      <c r="J4685" s="11">
        <v>0</v>
      </c>
      <c r="K4685" s="11" t="s">
        <v>21</v>
      </c>
      <c r="L4685" s="7">
        <v>40670.428032407406</v>
      </c>
      <c r="M4685" s="12" t="s">
        <v>6290</v>
      </c>
      <c r="N4685" s="12" t="s">
        <v>6291</v>
      </c>
      <c r="O4685" s="10" t="str">
        <f>HYPERLINK("https://pbs.twimg.com/profile_images/2261219336/portada_normal.jpg","View")</f>
        <v>View</v>
      </c>
      <c r="P4685" s="11"/>
    </row>
    <row r="4686" spans="1:16" ht="12.75" x14ac:dyDescent="0.35">
      <c r="A4686" s="7">
        <v>42482.985717592594</v>
      </c>
      <c r="B4686" s="8" t="str">
        <f>HYPERLINK("https://twitter.com/sperrenohneball","@sperrenohneball")</f>
        <v>@sperrenohneball</v>
      </c>
      <c r="C4686" s="9" t="s">
        <v>10942</v>
      </c>
      <c r="D4686" s="9" t="s">
        <v>10943</v>
      </c>
      <c r="E4686" s="10" t="str">
        <f>HYPERLINK("https://twitter.com/sperrenohneball/status/723574447102373889","723574447102373889")</f>
        <v>723574447102373889</v>
      </c>
      <c r="F4686" s="11" t="s">
        <v>48</v>
      </c>
      <c r="G4686" s="11">
        <v>629</v>
      </c>
      <c r="H4686" s="11">
        <v>941</v>
      </c>
      <c r="I4686" s="11">
        <v>0</v>
      </c>
      <c r="J4686" s="11">
        <v>0</v>
      </c>
      <c r="K4686" s="11" t="s">
        <v>21</v>
      </c>
      <c r="L4686" s="7">
        <v>40371.845289351855</v>
      </c>
      <c r="M4686" s="12" t="s">
        <v>1107</v>
      </c>
      <c r="N4686" s="12" t="s">
        <v>10944</v>
      </c>
      <c r="O4686" s="10" t="str">
        <f>HYPERLINK("https://pbs.twimg.com/profile_images/708994757989638144/1AxOzwPm_normal.jpg","View")</f>
        <v>View</v>
      </c>
      <c r="P4686" s="11"/>
    </row>
    <row r="4687" spans="1:16" ht="12.75" x14ac:dyDescent="0.35">
      <c r="A4687" s="7">
        <v>42482.986319444448</v>
      </c>
      <c r="B4687" s="8" t="str">
        <f>HYPERLINK("https://twitter.com/e13Kiki","@e13Kiki")</f>
        <v>@e13Kiki</v>
      </c>
      <c r="C4687" s="9" t="s">
        <v>10945</v>
      </c>
      <c r="D4687" s="9" t="s">
        <v>10946</v>
      </c>
      <c r="E4687" s="10" t="str">
        <f>HYPERLINK("https://twitter.com/e13Kiki/status/723574666405785600","723574666405785600")</f>
        <v>723574666405785600</v>
      </c>
      <c r="F4687" s="11" t="s">
        <v>43</v>
      </c>
      <c r="G4687" s="11">
        <v>1720</v>
      </c>
      <c r="H4687" s="11">
        <v>500</v>
      </c>
      <c r="I4687" s="11">
        <v>1</v>
      </c>
      <c r="J4687" s="11">
        <v>8</v>
      </c>
      <c r="K4687" s="11" t="s">
        <v>21</v>
      </c>
      <c r="L4687" s="7">
        <v>39205.621469907404</v>
      </c>
      <c r="M4687" s="12" t="s">
        <v>964</v>
      </c>
      <c r="N4687" s="12" t="s">
        <v>10947</v>
      </c>
      <c r="O4687" s="10" t="str">
        <f>HYPERLINK("https://pbs.twimg.com/profile_images/720258066680324096/etKSGBp0_normal.jpg","View")</f>
        <v>View</v>
      </c>
      <c r="P4687" s="11"/>
    </row>
    <row r="4688" spans="1:16" ht="12.75" x14ac:dyDescent="0.35">
      <c r="A4688" s="7">
        <v>42482.98636574074</v>
      </c>
      <c r="B4688" s="8" t="str">
        <f>HYPERLINK("https://twitter.com/copeyphoto","@copeyphoto")</f>
        <v>@copeyphoto</v>
      </c>
      <c r="C4688" s="9" t="s">
        <v>5295</v>
      </c>
      <c r="D4688" s="9" t="s">
        <v>10948</v>
      </c>
      <c r="E4688" s="10" t="str">
        <f>HYPERLINK("https://twitter.com/copeyphoto/status/723574685158375424","723574685158375424")</f>
        <v>723574685158375424</v>
      </c>
      <c r="F4688" s="11" t="s">
        <v>114</v>
      </c>
      <c r="G4688" s="11">
        <v>116</v>
      </c>
      <c r="H4688" s="11">
        <v>209</v>
      </c>
      <c r="I4688" s="11">
        <v>0</v>
      </c>
      <c r="J4688" s="11">
        <v>0</v>
      </c>
      <c r="K4688" s="11" t="s">
        <v>21</v>
      </c>
      <c r="L4688" s="7">
        <v>40091.804143518515</v>
      </c>
      <c r="M4688" s="12" t="s">
        <v>5297</v>
      </c>
      <c r="N4688" s="12" t="s">
        <v>5298</v>
      </c>
      <c r="O4688" s="10" t="str">
        <f>HYPERLINK("https://pbs.twimg.com/profile_images/471360227137163264/w2Gvricp_normal.png","View")</f>
        <v>View</v>
      </c>
      <c r="P4688" s="11"/>
    </row>
    <row r="4689" spans="1:16" ht="12.75" x14ac:dyDescent="0.35">
      <c r="A4689" s="7">
        <v>42482.98637731481</v>
      </c>
      <c r="B4689" s="8" t="str">
        <f>HYPERLINK("https://twitter.com/HelenaFalke1","@HelenaFalke1")</f>
        <v>@HelenaFalke1</v>
      </c>
      <c r="C4689" s="9" t="s">
        <v>10949</v>
      </c>
      <c r="D4689" s="9" t="s">
        <v>10950</v>
      </c>
      <c r="E4689" s="10" t="str">
        <f>HYPERLINK("https://twitter.com/HelenaFalke1/status/723574687909969920","723574687909969920")</f>
        <v>723574687909969920</v>
      </c>
      <c r="F4689" s="11" t="s">
        <v>43</v>
      </c>
      <c r="G4689" s="11">
        <v>8</v>
      </c>
      <c r="H4689" s="11">
        <v>65</v>
      </c>
      <c r="I4689" s="11">
        <v>4</v>
      </c>
      <c r="J4689" s="11">
        <v>0</v>
      </c>
      <c r="K4689" s="11" t="s">
        <v>21</v>
      </c>
      <c r="L4689" s="7">
        <v>40959.618981481479</v>
      </c>
      <c r="M4689" s="12" t="s">
        <v>1116</v>
      </c>
      <c r="N4689" s="12"/>
      <c r="O4689" s="10" t="str">
        <f>HYPERLINK("https://pbs.twimg.com/profile_images/3148486201/8709e99c61b7546219e400c8072dbadb_normal.jpeg","View")</f>
        <v>View</v>
      </c>
      <c r="P4689" s="11"/>
    </row>
    <row r="4690" spans="1:16" ht="12.75" x14ac:dyDescent="0.35">
      <c r="A4690" s="7">
        <v>42482.986388888894</v>
      </c>
      <c r="B4690" s="8" t="str">
        <f>HYPERLINK("https://twitter.com/NickiFinlayson","@NickiFinlayson")</f>
        <v>@NickiFinlayson</v>
      </c>
      <c r="C4690" s="9" t="s">
        <v>10951</v>
      </c>
      <c r="D4690" s="9" t="s">
        <v>10837</v>
      </c>
      <c r="E4690" s="10" t="str">
        <f>HYPERLINK("https://twitter.com/NickiFinlayson/status/723574693639401472","723574693639401472")</f>
        <v>723574693639401472</v>
      </c>
      <c r="F4690" s="11" t="s">
        <v>20</v>
      </c>
      <c r="G4690" s="11">
        <v>266</v>
      </c>
      <c r="H4690" s="11">
        <v>497</v>
      </c>
      <c r="I4690" s="11">
        <v>7</v>
      </c>
      <c r="J4690" s="11">
        <v>0</v>
      </c>
      <c r="K4690" s="11" t="s">
        <v>21</v>
      </c>
      <c r="L4690" s="7">
        <v>40315.931655092594</v>
      </c>
      <c r="M4690" s="12"/>
      <c r="N4690" s="12"/>
      <c r="O4690" s="10" t="str">
        <f>HYPERLINK("https://pbs.twimg.com/profile_images/554314641560846337/PQhLQK44_normal.jpeg","View")</f>
        <v>View</v>
      </c>
      <c r="P4690" s="11"/>
    </row>
    <row r="4691" spans="1:16" ht="12.75" x14ac:dyDescent="0.35">
      <c r="A4691" s="7">
        <v>42482.98646990741</v>
      </c>
      <c r="B4691" s="8" t="str">
        <f>HYPERLINK("https://twitter.com/todaysjobsfinde","@todaysjobsfinde")</f>
        <v>@todaysjobsfinde</v>
      </c>
      <c r="C4691" s="9" t="s">
        <v>10952</v>
      </c>
      <c r="D4691" s="9" t="s">
        <v>10953</v>
      </c>
      <c r="E4691" s="10" t="str">
        <f>HYPERLINK("https://twitter.com/todaysjobsfinde/status/723574720994529285","723574720994529285")</f>
        <v>723574720994529285</v>
      </c>
      <c r="F4691" s="11" t="s">
        <v>34</v>
      </c>
      <c r="G4691" s="11">
        <v>613</v>
      </c>
      <c r="H4691" s="11">
        <v>360</v>
      </c>
      <c r="I4691" s="11">
        <v>0</v>
      </c>
      <c r="J4691" s="11">
        <v>0</v>
      </c>
      <c r="K4691" s="11" t="s">
        <v>21</v>
      </c>
      <c r="L4691" s="7">
        <v>40659.833854166667</v>
      </c>
      <c r="M4691" s="12" t="s">
        <v>10954</v>
      </c>
      <c r="N4691" s="12" t="s">
        <v>10955</v>
      </c>
      <c r="O4691" s="10" t="str">
        <f>HYPERLINK("https://pbs.twimg.com/profile_images/530313438526849024/SiYPqCcU_normal.png","View")</f>
        <v>View</v>
      </c>
      <c r="P4691" s="11"/>
    </row>
    <row r="4692" spans="1:16" ht="12.75" x14ac:dyDescent="0.35">
      <c r="A4692" s="7">
        <v>42482.986504629633</v>
      </c>
      <c r="B4692" s="8" t="str">
        <f>HYPERLINK("https://twitter.com/FuscaWorld","@FuscaWorld")</f>
        <v>@FuscaWorld</v>
      </c>
      <c r="C4692" s="9" t="s">
        <v>74</v>
      </c>
      <c r="D4692" s="9" t="s">
        <v>10956</v>
      </c>
      <c r="E4692" s="10" t="str">
        <f>HYPERLINK("https://twitter.com/FuscaWorld/status/723574734957469697","723574734957469697")</f>
        <v>723574734957469697</v>
      </c>
      <c r="F4692" s="11" t="s">
        <v>76</v>
      </c>
      <c r="G4692" s="11">
        <v>49</v>
      </c>
      <c r="H4692" s="11">
        <v>1</v>
      </c>
      <c r="I4692" s="11">
        <v>1</v>
      </c>
      <c r="J4692" s="11">
        <v>0</v>
      </c>
      <c r="K4692" s="11" t="s">
        <v>21</v>
      </c>
      <c r="L4692" s="7">
        <v>42433.880914351852</v>
      </c>
      <c r="M4692" s="12"/>
      <c r="N4692" s="12" t="s">
        <v>77</v>
      </c>
      <c r="O4692" s="10" t="str">
        <f>HYPERLINK("https://pbs.twimg.com/profile_images/705780107844067328/e7O4UBNb_normal.jpg","View")</f>
        <v>View</v>
      </c>
      <c r="P4692" s="11"/>
    </row>
    <row r="4693" spans="1:16" ht="12.75" x14ac:dyDescent="0.35">
      <c r="A4693" s="7">
        <v>42482.986504629633</v>
      </c>
      <c r="B4693" s="8" t="str">
        <f>HYPERLINK("https://twitter.com/chrzescinski","@chrzescinski")</f>
        <v>@chrzescinski</v>
      </c>
      <c r="C4693" s="9" t="s">
        <v>10957</v>
      </c>
      <c r="D4693" s="9" t="s">
        <v>10958</v>
      </c>
      <c r="E4693" s="10" t="str">
        <f>HYPERLINK("https://twitter.com/chrzescinski/status/723574735385300992","723574735385300992")</f>
        <v>723574735385300992</v>
      </c>
      <c r="F4693" s="11" t="s">
        <v>43</v>
      </c>
      <c r="G4693" s="11">
        <v>286</v>
      </c>
      <c r="H4693" s="11">
        <v>362</v>
      </c>
      <c r="I4693" s="11">
        <v>1</v>
      </c>
      <c r="J4693" s="11">
        <v>0</v>
      </c>
      <c r="K4693" s="11" t="s">
        <v>21</v>
      </c>
      <c r="L4693" s="7">
        <v>39954.010833333334</v>
      </c>
      <c r="M4693" s="12" t="s">
        <v>964</v>
      </c>
      <c r="N4693" s="12" t="s">
        <v>10959</v>
      </c>
      <c r="O4693" s="10" t="str">
        <f>HYPERLINK("https://pbs.twimg.com/profile_images/580687738636247040/fASIEOYs_normal.jpg","View")</f>
        <v>View</v>
      </c>
      <c r="P4693" s="11"/>
    </row>
    <row r="4694" spans="1:16" ht="12.75" x14ac:dyDescent="0.35">
      <c r="A4694" s="7">
        <v>42482.986516203702</v>
      </c>
      <c r="B4694" s="8" t="str">
        <f>HYPERLINK("https://twitter.com/FuscaWorld","@FuscaWorld")</f>
        <v>@FuscaWorld</v>
      </c>
      <c r="C4694" s="9" t="s">
        <v>74</v>
      </c>
      <c r="D4694" s="9" t="s">
        <v>10956</v>
      </c>
      <c r="E4694" s="10" t="str">
        <f>HYPERLINK("https://twitter.com/FuscaWorld/status/723574737788669952","723574737788669952")</f>
        <v>723574737788669952</v>
      </c>
      <c r="F4694" s="11" t="s">
        <v>76</v>
      </c>
      <c r="G4694" s="11">
        <v>49</v>
      </c>
      <c r="H4694" s="11">
        <v>1</v>
      </c>
      <c r="I4694" s="11">
        <v>1</v>
      </c>
      <c r="J4694" s="11">
        <v>0</v>
      </c>
      <c r="K4694" s="11" t="s">
        <v>21</v>
      </c>
      <c r="L4694" s="7">
        <v>42433.880914351852</v>
      </c>
      <c r="M4694" s="12"/>
      <c r="N4694" s="12" t="s">
        <v>77</v>
      </c>
      <c r="O4694" s="10" t="str">
        <f>HYPERLINK("https://pbs.twimg.com/profile_images/705780107844067328/e7O4UBNb_normal.jpg","View")</f>
        <v>View</v>
      </c>
      <c r="P4694" s="11"/>
    </row>
    <row r="4695" spans="1:16" ht="12.75" x14ac:dyDescent="0.35">
      <c r="A4695" s="7">
        <v>42482.987071759257</v>
      </c>
      <c r="B4695" s="8" t="str">
        <f>HYPERLINK("https://twitter.com/DDROffiziell","@DDROffiziell")</f>
        <v>@DDROffiziell</v>
      </c>
      <c r="C4695" s="9" t="s">
        <v>10960</v>
      </c>
      <c r="D4695" s="9" t="s">
        <v>10950</v>
      </c>
      <c r="E4695" s="10" t="str">
        <f>HYPERLINK("https://twitter.com/DDROffiziell/status/723574939274600449","723574939274600449")</f>
        <v>723574939274600449</v>
      </c>
      <c r="F4695" s="11" t="s">
        <v>48</v>
      </c>
      <c r="G4695" s="11">
        <v>790</v>
      </c>
      <c r="H4695" s="11">
        <v>44</v>
      </c>
      <c r="I4695" s="11">
        <v>4</v>
      </c>
      <c r="J4695" s="11">
        <v>0</v>
      </c>
      <c r="K4695" s="11" t="s">
        <v>21</v>
      </c>
      <c r="L4695" s="7">
        <v>42047.104872685188</v>
      </c>
      <c r="M4695" s="12" t="s">
        <v>10961</v>
      </c>
      <c r="N4695" s="12" t="s">
        <v>10962</v>
      </c>
      <c r="O4695" s="10" t="str">
        <f>HYPERLINK("https://pbs.twimg.com/profile_images/637410448153964548/b8p3iGqk_normal.jpg","View")</f>
        <v>View</v>
      </c>
      <c r="P4695" s="11"/>
    </row>
    <row r="4696" spans="1:16" ht="12.75" x14ac:dyDescent="0.35">
      <c r="A4696" s="7">
        <v>42482.987083333333</v>
      </c>
      <c r="B4696" s="8" t="str">
        <f>HYPERLINK("https://twitter.com/GFSchulze","@GFSchulze")</f>
        <v>@GFSchulze</v>
      </c>
      <c r="C4696" s="9" t="s">
        <v>10963</v>
      </c>
      <c r="D4696" s="9" t="s">
        <v>10964</v>
      </c>
      <c r="E4696" s="10" t="str">
        <f>HYPERLINK("https://twitter.com/GFSchulze/status/723574942269333504","723574942269333504")</f>
        <v>723574942269333504</v>
      </c>
      <c r="F4696" s="11" t="s">
        <v>48</v>
      </c>
      <c r="G4696" s="11">
        <v>50</v>
      </c>
      <c r="H4696" s="11">
        <v>94</v>
      </c>
      <c r="I4696" s="11">
        <v>0</v>
      </c>
      <c r="J4696" s="11">
        <v>0</v>
      </c>
      <c r="K4696" s="11" t="s">
        <v>21</v>
      </c>
      <c r="L4696" s="7">
        <v>41678.954571759255</v>
      </c>
      <c r="M4696" s="12" t="s">
        <v>2713</v>
      </c>
      <c r="N4696" s="12"/>
      <c r="O4696" s="10" t="str">
        <f>HYPERLINK("https://pbs.twimg.com/profile_images/541550464311902208/JxUT1EJM_normal.jpeg","View")</f>
        <v>View</v>
      </c>
      <c r="P4696" s="11"/>
    </row>
    <row r="4697" spans="1:16" ht="12.75" x14ac:dyDescent="0.35">
      <c r="A4697" s="7">
        <v>42482.987175925926</v>
      </c>
      <c r="B4697" s="8" t="str">
        <f>HYPERLINK("https://twitter.com/TractatusArtium","@TractatusArtium")</f>
        <v>@TractatusArtium</v>
      </c>
      <c r="C4697" s="9" t="s">
        <v>6616</v>
      </c>
      <c r="D4697" s="9" t="s">
        <v>10965</v>
      </c>
      <c r="E4697" s="10" t="str">
        <f>HYPERLINK("https://twitter.com/TractatusArtium/status/723574975031029760","723574975031029760")</f>
        <v>723574975031029760</v>
      </c>
      <c r="F4697" s="11" t="s">
        <v>367</v>
      </c>
      <c r="G4697" s="11">
        <v>328</v>
      </c>
      <c r="H4697" s="11">
        <v>741</v>
      </c>
      <c r="I4697" s="11">
        <v>0</v>
      </c>
      <c r="J4697" s="11">
        <v>0</v>
      </c>
      <c r="K4697" s="11" t="s">
        <v>21</v>
      </c>
      <c r="L4697" s="7">
        <v>40738.595393518517</v>
      </c>
      <c r="M4697" s="12" t="s">
        <v>6618</v>
      </c>
      <c r="N4697" s="12" t="s">
        <v>6619</v>
      </c>
      <c r="O4697" s="10" t="str">
        <f>HYPERLINK("https://pbs.twimg.com/profile_images/2133628020/Bild_MH_normal.JPG","View")</f>
        <v>View</v>
      </c>
      <c r="P4697" s="11"/>
    </row>
    <row r="4698" spans="1:16" ht="12.75" x14ac:dyDescent="0.35">
      <c r="A4698" s="7">
        <v>42482.987280092595</v>
      </c>
      <c r="B4698" s="8" t="str">
        <f>HYPERLINK("https://twitter.com/TodayBEToday","@TodayBEToday")</f>
        <v>@TodayBEToday</v>
      </c>
      <c r="C4698" s="9" t="s">
        <v>10966</v>
      </c>
      <c r="D4698" s="9" t="s">
        <v>10967</v>
      </c>
      <c r="E4698" s="10" t="str">
        <f>HYPERLINK("https://twitter.com/TodayBEToday/status/723575015522873344","723575015522873344")</f>
        <v>723575015522873344</v>
      </c>
      <c r="F4698" s="11" t="s">
        <v>2060</v>
      </c>
      <c r="G4698" s="11">
        <v>72</v>
      </c>
      <c r="H4698" s="11">
        <v>122</v>
      </c>
      <c r="I4698" s="11">
        <v>2</v>
      </c>
      <c r="J4698" s="11">
        <v>0</v>
      </c>
      <c r="K4698" s="11" t="s">
        <v>21</v>
      </c>
      <c r="L4698" s="7">
        <v>41841.587048611109</v>
      </c>
      <c r="M4698" s="12" t="s">
        <v>10968</v>
      </c>
      <c r="N4698" s="12"/>
      <c r="O4698" s="10" t="str">
        <f>HYPERLINK("https://pbs.twimg.com/profile_images/492723540802932736/jwdWTjbv_normal.jpeg","View")</f>
        <v>View</v>
      </c>
      <c r="P4698" s="11"/>
    </row>
    <row r="4699" spans="1:16" ht="12.75" x14ac:dyDescent="0.35">
      <c r="A4699" s="7">
        <v>42482.987349537041</v>
      </c>
      <c r="B4699" s="8" t="str">
        <f>HYPERLINK("https://twitter.com/vonAckern","@vonAckern")</f>
        <v>@vonAckern</v>
      </c>
      <c r="C4699" s="9" t="s">
        <v>10969</v>
      </c>
      <c r="D4699" s="9" t="s">
        <v>10970</v>
      </c>
      <c r="E4699" s="10" t="str">
        <f>HYPERLINK("https://twitter.com/vonAckern/status/723575038843195393","723575038843195393")</f>
        <v>723575038843195393</v>
      </c>
      <c r="F4699" s="11" t="s">
        <v>43</v>
      </c>
      <c r="G4699" s="11">
        <v>164</v>
      </c>
      <c r="H4699" s="11">
        <v>137</v>
      </c>
      <c r="I4699" s="11">
        <v>0</v>
      </c>
      <c r="J4699" s="11">
        <v>0</v>
      </c>
      <c r="K4699" s="11" t="s">
        <v>21</v>
      </c>
      <c r="L4699" s="7">
        <v>40831.614814814813</v>
      </c>
      <c r="M4699" s="12" t="s">
        <v>10971</v>
      </c>
      <c r="N4699" s="12" t="s">
        <v>10972</v>
      </c>
      <c r="O4699" s="10" t="str">
        <f>HYPERLINK("https://pbs.twimg.com/profile_images/657519862038831104/cRJqTT4t_normal.png","View")</f>
        <v>View</v>
      </c>
      <c r="P4699" s="11"/>
    </row>
    <row r="4700" spans="1:16" ht="12.75" x14ac:dyDescent="0.35">
      <c r="A4700" s="7">
        <v>42482.987395833334</v>
      </c>
      <c r="B4700" s="8" t="str">
        <f>HYPERLINK("https://twitter.com/EHcars","@EHcars")</f>
        <v>@EHcars</v>
      </c>
      <c r="C4700" s="9" t="s">
        <v>10973</v>
      </c>
      <c r="D4700" s="9" t="s">
        <v>10974</v>
      </c>
      <c r="E4700" s="10" t="str">
        <f>HYPERLINK("https://twitter.com/EHcars/status/723575055414906880","723575055414906880")</f>
        <v>723575055414906880</v>
      </c>
      <c r="F4700" s="11" t="s">
        <v>1838</v>
      </c>
      <c r="G4700" s="11">
        <v>1373</v>
      </c>
      <c r="H4700" s="11">
        <v>1518</v>
      </c>
      <c r="I4700" s="11">
        <v>0</v>
      </c>
      <c r="J4700" s="11">
        <v>0</v>
      </c>
      <c r="K4700" s="11" t="s">
        <v>21</v>
      </c>
      <c r="L4700" s="7">
        <v>40658.735462962963</v>
      </c>
      <c r="M4700" s="12" t="s">
        <v>10975</v>
      </c>
      <c r="N4700" s="12" t="s">
        <v>10976</v>
      </c>
      <c r="O4700" s="10" t="str">
        <f>HYPERLINK("https://pbs.twimg.com/profile_images/619590752906149888/gOJBR12k_normal.jpg","View")</f>
        <v>View</v>
      </c>
      <c r="P4700" s="11"/>
    </row>
    <row r="4701" spans="1:16" ht="12.75" x14ac:dyDescent="0.35">
      <c r="A4701" s="7">
        <v>42482.987442129626</v>
      </c>
      <c r="B4701" s="8" t="str">
        <f>HYPERLINK("https://twitter.com/Creeperagent","@Creeperagent")</f>
        <v>@Creeperagent</v>
      </c>
      <c r="C4701" s="9" t="s">
        <v>10977</v>
      </c>
      <c r="D4701" s="9" t="s">
        <v>10950</v>
      </c>
      <c r="E4701" s="10" t="str">
        <f>HYPERLINK("https://twitter.com/Creeperagent/status/723575073475538947","723575073475538947")</f>
        <v>723575073475538947</v>
      </c>
      <c r="F4701" s="11" t="s">
        <v>63</v>
      </c>
      <c r="G4701" s="11">
        <v>34</v>
      </c>
      <c r="H4701" s="11">
        <v>495</v>
      </c>
      <c r="I4701" s="11">
        <v>4</v>
      </c>
      <c r="J4701" s="11">
        <v>0</v>
      </c>
      <c r="K4701" s="11" t="s">
        <v>21</v>
      </c>
      <c r="L4701" s="7">
        <v>41391.634965277779</v>
      </c>
      <c r="M4701" s="12" t="s">
        <v>10978</v>
      </c>
      <c r="N4701" s="12"/>
      <c r="O4701" s="10" t="str">
        <f>HYPERLINK("https://abs.twimg.com/sticky/default_profile_images/default_profile_5_normal.png","View")</f>
        <v>View</v>
      </c>
      <c r="P4701" s="11"/>
    </row>
    <row r="4702" spans="1:16" ht="12.75" x14ac:dyDescent="0.35">
      <c r="A4702" s="7">
        <v>42482.987442129626</v>
      </c>
      <c r="B4702" s="8" t="str">
        <f>HYPERLINK("https://twitter.com/brookeamasters","@brookeamasters")</f>
        <v>@brookeamasters</v>
      </c>
      <c r="C4702" s="9" t="s">
        <v>10979</v>
      </c>
      <c r="D4702" s="9" t="s">
        <v>10980</v>
      </c>
      <c r="E4702" s="10" t="str">
        <f>HYPERLINK("https://twitter.com/brookeamasters/status/723575074004058112","723575074004058112")</f>
        <v>723575074004058112</v>
      </c>
      <c r="F4702" s="11" t="s">
        <v>20</v>
      </c>
      <c r="G4702" s="11">
        <v>3027</v>
      </c>
      <c r="H4702" s="11">
        <v>266</v>
      </c>
      <c r="I4702" s="11">
        <v>1</v>
      </c>
      <c r="J4702" s="11">
        <v>0</v>
      </c>
      <c r="K4702" s="11" t="s">
        <v>21</v>
      </c>
      <c r="L4702" s="7">
        <v>40876.745648148149</v>
      </c>
      <c r="M4702" s="12" t="s">
        <v>638</v>
      </c>
      <c r="N4702" s="12" t="s">
        <v>10981</v>
      </c>
      <c r="O4702" s="10" t="str">
        <f>HYPERLINK("https://pbs.twimg.com/profile_images/690516567252156416/xyEYEy_7_normal.jpg","View")</f>
        <v>View</v>
      </c>
      <c r="P4702" s="11"/>
    </row>
    <row r="4703" spans="1:16" ht="12.75" x14ac:dyDescent="0.35">
      <c r="A4703" s="7">
        <v>42482.987476851849</v>
      </c>
      <c r="B4703" s="8" t="str">
        <f>HYPERLINK("https://twitter.com/iForia","@iForia")</f>
        <v>@iForia</v>
      </c>
      <c r="C4703" s="9" t="s">
        <v>10982</v>
      </c>
      <c r="D4703" s="9" t="s">
        <v>10983</v>
      </c>
      <c r="E4703" s="10" t="str">
        <f>HYPERLINK("https://twitter.com/iForia/status/723575084347215872","723575084347215872")</f>
        <v>723575084347215872</v>
      </c>
      <c r="F4703" s="11" t="s">
        <v>43</v>
      </c>
      <c r="G4703" s="11">
        <v>812</v>
      </c>
      <c r="H4703" s="11">
        <v>493</v>
      </c>
      <c r="I4703" s="11">
        <v>0</v>
      </c>
      <c r="J4703" s="11">
        <v>0</v>
      </c>
      <c r="K4703" s="11" t="s">
        <v>21</v>
      </c>
      <c r="L4703" s="7">
        <v>39740.934606481482</v>
      </c>
      <c r="M4703" s="12" t="s">
        <v>1288</v>
      </c>
      <c r="N4703" s="12" t="s">
        <v>10984</v>
      </c>
      <c r="O4703" s="10" t="str">
        <f>HYPERLINK("https://pbs.twimg.com/profile_images/1662133533/Augen-T_reasonably_small_normal.jpg","View")</f>
        <v>View</v>
      </c>
      <c r="P4703" s="11"/>
    </row>
    <row r="4704" spans="1:16" ht="12.75" x14ac:dyDescent="0.35">
      <c r="A4704" s="7">
        <v>42482.987766203703</v>
      </c>
      <c r="B4704" s="8" t="str">
        <f t="shared" ref="B4704:B4705" si="403">HYPERLINK("https://twitter.com/DubLuvTuning","@DubLuvTuning")</f>
        <v>@DubLuvTuning</v>
      </c>
      <c r="C4704" s="9" t="s">
        <v>299</v>
      </c>
      <c r="D4704" s="9" t="s">
        <v>10985</v>
      </c>
      <c r="E4704" s="10" t="str">
        <f>HYPERLINK("https://twitter.com/DubLuvTuning/status/723575192249896960","723575192249896960")</f>
        <v>723575192249896960</v>
      </c>
      <c r="F4704" s="11" t="s">
        <v>288</v>
      </c>
      <c r="G4704" s="11">
        <v>690</v>
      </c>
      <c r="H4704" s="11">
        <v>431</v>
      </c>
      <c r="I4704" s="11">
        <v>1</v>
      </c>
      <c r="J4704" s="11">
        <v>0</v>
      </c>
      <c r="K4704" s="11" t="s">
        <v>21</v>
      </c>
      <c r="L4704" s="7">
        <v>41549.898287037038</v>
      </c>
      <c r="M4704" s="12" t="s">
        <v>301</v>
      </c>
      <c r="N4704" s="12" t="s">
        <v>302</v>
      </c>
      <c r="O4704" s="10" t="str">
        <f t="shared" ref="O4704:O4705" si="404">HYPERLINK("https://pbs.twimg.com/profile_images/378800000572104796/1de43e1cf23efb3f4101c02afad0d3b6_normal.png","View")</f>
        <v>View</v>
      </c>
      <c r="P4704" s="11"/>
    </row>
    <row r="4705" spans="1:16" ht="12.75" x14ac:dyDescent="0.35">
      <c r="A4705" s="7">
        <v>42482.987777777773</v>
      </c>
      <c r="B4705" s="8" t="str">
        <f t="shared" si="403"/>
        <v>@DubLuvTuning</v>
      </c>
      <c r="C4705" s="9" t="s">
        <v>299</v>
      </c>
      <c r="D4705" s="9" t="s">
        <v>10933</v>
      </c>
      <c r="E4705" s="10" t="str">
        <f>HYPERLINK("https://twitter.com/DubLuvTuning/status/723575193743011840","723575193743011840")</f>
        <v>723575193743011840</v>
      </c>
      <c r="F4705" s="11" t="s">
        <v>288</v>
      </c>
      <c r="G4705" s="11">
        <v>690</v>
      </c>
      <c r="H4705" s="11">
        <v>431</v>
      </c>
      <c r="I4705" s="11">
        <v>2</v>
      </c>
      <c r="J4705" s="11">
        <v>0</v>
      </c>
      <c r="K4705" s="11" t="s">
        <v>21</v>
      </c>
      <c r="L4705" s="7">
        <v>41549.898287037038</v>
      </c>
      <c r="M4705" s="12" t="s">
        <v>301</v>
      </c>
      <c r="N4705" s="12" t="s">
        <v>302</v>
      </c>
      <c r="O4705" s="10" t="str">
        <f t="shared" si="404"/>
        <v>View</v>
      </c>
      <c r="P4705" s="11"/>
    </row>
    <row r="4706" spans="1:16" ht="12.75" x14ac:dyDescent="0.35">
      <c r="A4706" s="7">
        <v>42482.987847222219</v>
      </c>
      <c r="B4706" s="8" t="str">
        <f>HYPERLINK("https://twitter.com/anja_urbschat","@anja_urbschat")</f>
        <v>@anja_urbschat</v>
      </c>
      <c r="C4706" s="9" t="s">
        <v>10986</v>
      </c>
      <c r="D4706" s="9" t="s">
        <v>10987</v>
      </c>
      <c r="E4706" s="10" t="str">
        <f>HYPERLINK("https://twitter.com/anja_urbschat/status/723575218485248000","723575218485248000")</f>
        <v>723575218485248000</v>
      </c>
      <c r="F4706" s="11" t="s">
        <v>48</v>
      </c>
      <c r="G4706" s="11">
        <v>850</v>
      </c>
      <c r="H4706" s="11">
        <v>920</v>
      </c>
      <c r="I4706" s="11">
        <v>0</v>
      </c>
      <c r="J4706" s="11">
        <v>0</v>
      </c>
      <c r="K4706" s="11" t="s">
        <v>21</v>
      </c>
      <c r="L4706" s="7">
        <v>39935.551840277782</v>
      </c>
      <c r="M4706" s="12" t="s">
        <v>1359</v>
      </c>
      <c r="N4706" s="12" t="s">
        <v>10988</v>
      </c>
      <c r="O4706" s="10" t="str">
        <f>HYPERLINK("https://pbs.twimg.com/profile_images/714481016879099904/ePsz83mr_normal.jpg","View")</f>
        <v>View</v>
      </c>
      <c r="P4706" s="11"/>
    </row>
    <row r="4707" spans="1:16" ht="12.75" x14ac:dyDescent="0.35">
      <c r="A4707" s="7">
        <v>42482.987893518519</v>
      </c>
      <c r="B4707" s="8" t="str">
        <f>HYPERLINK("https://twitter.com/VWCamperSales","@VWCamperSales")</f>
        <v>@VWCamperSales</v>
      </c>
      <c r="C4707" s="9" t="s">
        <v>216</v>
      </c>
      <c r="D4707" s="9" t="s">
        <v>10989</v>
      </c>
      <c r="E4707" s="10" t="str">
        <f>HYPERLINK("https://twitter.com/VWCamperSales/status/723575235102953472","723575235102953472")</f>
        <v>723575235102953472</v>
      </c>
      <c r="F4707" s="10" t="s">
        <v>124</v>
      </c>
      <c r="G4707" s="11">
        <v>618</v>
      </c>
      <c r="H4707" s="11">
        <v>580</v>
      </c>
      <c r="I4707" s="11">
        <v>0</v>
      </c>
      <c r="J4707" s="11">
        <v>0</v>
      </c>
      <c r="K4707" s="11" t="s">
        <v>21</v>
      </c>
      <c r="L4707" s="7">
        <v>42215.98809027778</v>
      </c>
      <c r="M4707" s="12" t="s">
        <v>129</v>
      </c>
      <c r="N4707" s="12" t="s">
        <v>218</v>
      </c>
      <c r="O4707" s="10" t="str">
        <f>HYPERLINK("https://pbs.twimg.com/profile_images/627949001179037696/skEBkS05_normal.jpg","View")</f>
        <v>View</v>
      </c>
      <c r="P4707" s="11"/>
    </row>
    <row r="4708" spans="1:16" ht="12.75" x14ac:dyDescent="0.35">
      <c r="A4708" s="7">
        <v>42482.987916666665</v>
      </c>
      <c r="B4708" s="8" t="str">
        <f>HYPERLINK("https://twitter.com/Porscheclubscms","@Porscheclubscms")</f>
        <v>@Porscheclubscms</v>
      </c>
      <c r="C4708" s="9" t="s">
        <v>10990</v>
      </c>
      <c r="D4708" s="9" t="s">
        <v>10991</v>
      </c>
      <c r="E4708" s="10" t="str">
        <f>HYPERLINK("https://twitter.com/Porscheclubscms/status/723575245966348288","723575245966348288")</f>
        <v>723575245966348288</v>
      </c>
      <c r="F4708" s="11" t="s">
        <v>68</v>
      </c>
      <c r="G4708" s="11">
        <v>48</v>
      </c>
      <c r="H4708" s="11">
        <v>0</v>
      </c>
      <c r="I4708" s="11">
        <v>0</v>
      </c>
      <c r="J4708" s="11">
        <v>0</v>
      </c>
      <c r="K4708" s="11" t="s">
        <v>21</v>
      </c>
      <c r="L4708" s="7">
        <v>42457.612696759257</v>
      </c>
      <c r="M4708" s="12" t="s">
        <v>2263</v>
      </c>
      <c r="N4708" s="12" t="s">
        <v>10992</v>
      </c>
      <c r="O4708" s="10" t="str">
        <f>HYPERLINK("https://pbs.twimg.com/profile_images/714388994763669504/Xw-x8bz-_normal.jpg","View")</f>
        <v>View</v>
      </c>
      <c r="P4708" s="11"/>
    </row>
    <row r="4709" spans="1:16" ht="12.75" x14ac:dyDescent="0.35">
      <c r="A4709" s="7">
        <v>42482.987939814819</v>
      </c>
      <c r="B4709" s="8" t="str">
        <f>HYPERLINK("https://twitter.com/weald_tech","@weald_tech")</f>
        <v>@weald_tech</v>
      </c>
      <c r="C4709" s="9" t="s">
        <v>10993</v>
      </c>
      <c r="D4709" s="9" t="s">
        <v>8506</v>
      </c>
      <c r="E4709" s="10" t="str">
        <f>HYPERLINK("https://twitter.com/weald_tech/status/723575253201461248","723575253201461248")</f>
        <v>723575253201461248</v>
      </c>
      <c r="F4709" s="11" t="s">
        <v>48</v>
      </c>
      <c r="G4709" s="11">
        <v>1076</v>
      </c>
      <c r="H4709" s="11">
        <v>218</v>
      </c>
      <c r="I4709" s="11">
        <v>4</v>
      </c>
      <c r="J4709" s="11">
        <v>0</v>
      </c>
      <c r="K4709" s="11" t="s">
        <v>21</v>
      </c>
      <c r="L4709" s="7">
        <v>40398.570763888885</v>
      </c>
      <c r="M4709" s="12" t="s">
        <v>10994</v>
      </c>
      <c r="N4709" s="12" t="s">
        <v>10995</v>
      </c>
      <c r="O4709" s="10" t="str">
        <f>HYPERLINK("https://pbs.twimg.com/profile_images/687855325500846081/QXpQDiXO_normal.jpg","View")</f>
        <v>View</v>
      </c>
      <c r="P4709" s="11"/>
    </row>
    <row r="4710" spans="1:16" ht="12.75" x14ac:dyDescent="0.35">
      <c r="A4710" s="7">
        <v>42482.988020833334</v>
      </c>
      <c r="B4710" s="8" t="str">
        <f>HYPERLINK("https://twitter.com/sempretranquila","@sempretranquila")</f>
        <v>@sempretranquila</v>
      </c>
      <c r="C4710" s="9" t="s">
        <v>10996</v>
      </c>
      <c r="D4710" s="9" t="s">
        <v>5464</v>
      </c>
      <c r="E4710" s="10" t="str">
        <f>HYPERLINK("https://twitter.com/sempretranquila/status/723575283010383872","723575283010383872")</f>
        <v>723575283010383872</v>
      </c>
      <c r="F4710" s="11" t="s">
        <v>20</v>
      </c>
      <c r="G4710" s="11">
        <v>1278</v>
      </c>
      <c r="H4710" s="11">
        <v>525</v>
      </c>
      <c r="I4710" s="11">
        <v>76</v>
      </c>
      <c r="J4710" s="11">
        <v>0</v>
      </c>
      <c r="K4710" s="11" t="s">
        <v>21</v>
      </c>
      <c r="L4710" s="7">
        <v>41693.213240740741</v>
      </c>
      <c r="M4710" s="12" t="s">
        <v>10997</v>
      </c>
      <c r="N4710" s="12" t="s">
        <v>10998</v>
      </c>
      <c r="O4710" s="10" t="str">
        <f>HYPERLINK("https://pbs.twimg.com/profile_images/714254271735336961/PdFBoQ2A_normal.jpg","View")</f>
        <v>View</v>
      </c>
      <c r="P4710" s="11"/>
    </row>
    <row r="4711" spans="1:16" ht="12.75" x14ac:dyDescent="0.35">
      <c r="A4711" s="7">
        <v>42482.988078703704</v>
      </c>
      <c r="B4711" s="8" t="str">
        <f>HYPERLINK("https://twitter.com/Addi_Poes","@Addi_Poes")</f>
        <v>@Addi_Poes</v>
      </c>
      <c r="C4711" s="9" t="s">
        <v>10999</v>
      </c>
      <c r="D4711" s="9" t="s">
        <v>10950</v>
      </c>
      <c r="E4711" s="10" t="str">
        <f>HYPERLINK("https://twitter.com/Addi_Poes/status/723575305634492416","723575305634492416")</f>
        <v>723575305634492416</v>
      </c>
      <c r="F4711" s="11" t="s">
        <v>43</v>
      </c>
      <c r="G4711" s="11">
        <v>34</v>
      </c>
      <c r="H4711" s="11">
        <v>80</v>
      </c>
      <c r="I4711" s="11">
        <v>4</v>
      </c>
      <c r="J4711" s="11">
        <v>0</v>
      </c>
      <c r="K4711" s="11" t="s">
        <v>21</v>
      </c>
      <c r="L4711" s="7">
        <v>42373.894537037035</v>
      </c>
      <c r="M4711" s="12" t="s">
        <v>11000</v>
      </c>
      <c r="N4711" s="12" t="s">
        <v>11001</v>
      </c>
      <c r="O4711" s="10" t="str">
        <f>HYPERLINK("https://pbs.twimg.com/profile_images/684052496524926981/INtnRaxy_normal.jpg","View")</f>
        <v>View</v>
      </c>
      <c r="P4711" s="11"/>
    </row>
    <row r="4712" spans="1:16" ht="12.75" x14ac:dyDescent="0.35">
      <c r="A4712" s="7">
        <v>42482.98809027778</v>
      </c>
      <c r="B4712" s="8" t="str">
        <f>HYPERLINK("https://twitter.com/kinoptika","@kinoptika")</f>
        <v>@kinoptika</v>
      </c>
      <c r="C4712" s="9" t="s">
        <v>11002</v>
      </c>
      <c r="D4712" s="9" t="s">
        <v>11003</v>
      </c>
      <c r="E4712" s="10" t="str">
        <f>HYPERLINK("https://twitter.com/kinoptika/status/723575310101278721","723575310101278721")</f>
        <v>723575310101278721</v>
      </c>
      <c r="F4712" s="11" t="s">
        <v>43</v>
      </c>
      <c r="G4712" s="11">
        <v>2207</v>
      </c>
      <c r="H4712" s="11">
        <v>2480</v>
      </c>
      <c r="I4712" s="11">
        <v>0</v>
      </c>
      <c r="J4712" s="11">
        <v>0</v>
      </c>
      <c r="K4712" s="11" t="s">
        <v>21</v>
      </c>
      <c r="L4712" s="7">
        <v>39916.401342592595</v>
      </c>
      <c r="M4712" s="12" t="s">
        <v>11004</v>
      </c>
      <c r="N4712" s="12" t="s">
        <v>11005</v>
      </c>
      <c r="O4712" s="10" t="str">
        <f>HYPERLINK("https://pbs.twimg.com/profile_images/510673988003966976/6Ggzktuf_normal.png","View")</f>
        <v>View</v>
      </c>
      <c r="P4712" s="11"/>
    </row>
    <row r="4713" spans="1:16" ht="12.75" x14ac:dyDescent="0.35">
      <c r="A4713" s="7">
        <v>42482.98819444445</v>
      </c>
      <c r="B4713" s="8" t="str">
        <f>HYPERLINK("https://twitter.com/Midgedog","@Midgedog")</f>
        <v>@Midgedog</v>
      </c>
      <c r="C4713" s="9" t="s">
        <v>11006</v>
      </c>
      <c r="D4713" s="9" t="s">
        <v>10837</v>
      </c>
      <c r="E4713" s="10" t="str">
        <f>HYPERLINK("https://twitter.com/Midgedog/status/723575347892084737","723575347892084737")</f>
        <v>723575347892084737</v>
      </c>
      <c r="F4713" s="11" t="s">
        <v>43</v>
      </c>
      <c r="G4713" s="11">
        <v>715</v>
      </c>
      <c r="H4713" s="11">
        <v>450</v>
      </c>
      <c r="I4713" s="11">
        <v>7</v>
      </c>
      <c r="J4713" s="11">
        <v>0</v>
      </c>
      <c r="K4713" s="11" t="s">
        <v>21</v>
      </c>
      <c r="L4713" s="7">
        <v>40109.208483796298</v>
      </c>
      <c r="M4713" s="12" t="s">
        <v>11007</v>
      </c>
      <c r="N4713" s="12" t="s">
        <v>11008</v>
      </c>
      <c r="O4713" s="10" t="str">
        <f>HYPERLINK("https://pbs.twimg.com/profile_images/667473720701812736/FIda9hZJ_normal.jpg","View")</f>
        <v>View</v>
      </c>
      <c r="P4713" s="11"/>
    </row>
    <row r="4714" spans="1:16" ht="12.75" x14ac:dyDescent="0.35">
      <c r="A4714" s="7">
        <v>42482.988206018519</v>
      </c>
      <c r="B4714" s="8" t="str">
        <f>HYPERLINK("https://twitter.com/GFSchulze","@GFSchulze")</f>
        <v>@GFSchulze</v>
      </c>
      <c r="C4714" s="9" t="s">
        <v>10963</v>
      </c>
      <c r="D4714" s="9" t="s">
        <v>10856</v>
      </c>
      <c r="E4714" s="10" t="str">
        <f>HYPERLINK("https://twitter.com/GFSchulze/status/723575350911991808","723575350911991808")</f>
        <v>723575350911991808</v>
      </c>
      <c r="F4714" s="11" t="s">
        <v>48</v>
      </c>
      <c r="G4714" s="11">
        <v>50</v>
      </c>
      <c r="H4714" s="11">
        <v>94</v>
      </c>
      <c r="I4714" s="11">
        <v>3</v>
      </c>
      <c r="J4714" s="11">
        <v>0</v>
      </c>
      <c r="K4714" s="11" t="s">
        <v>21</v>
      </c>
      <c r="L4714" s="7">
        <v>41678.954571759255</v>
      </c>
      <c r="M4714" s="12" t="s">
        <v>2713</v>
      </c>
      <c r="N4714" s="12"/>
      <c r="O4714" s="10" t="str">
        <f>HYPERLINK("https://pbs.twimg.com/profile_images/541550464311902208/JxUT1EJM_normal.jpeg","View")</f>
        <v>View</v>
      </c>
      <c r="P4714" s="11"/>
    </row>
    <row r="4715" spans="1:16" ht="12.75" x14ac:dyDescent="0.35">
      <c r="A4715" s="7">
        <v>42482.988298611112</v>
      </c>
      <c r="B4715" s="8" t="str">
        <f>HYPERLINK("https://twitter.com/Michael_Vasanth","@Michael_Vasanth")</f>
        <v>@Michael_Vasanth</v>
      </c>
      <c r="C4715" s="9" t="s">
        <v>772</v>
      </c>
      <c r="D4715" s="9" t="s">
        <v>11009</v>
      </c>
      <c r="E4715" s="10" t="str">
        <f>HYPERLINK("https://twitter.com/Michael_Vasanth/status/723575385506615297","723575385506615297")</f>
        <v>723575385506615297</v>
      </c>
      <c r="F4715" s="11" t="s">
        <v>68</v>
      </c>
      <c r="G4715" s="11">
        <v>1006</v>
      </c>
      <c r="H4715" s="11">
        <v>16</v>
      </c>
      <c r="I4715" s="11">
        <v>0</v>
      </c>
      <c r="J4715" s="11">
        <v>0</v>
      </c>
      <c r="K4715" s="11" t="s">
        <v>21</v>
      </c>
      <c r="L4715" s="7">
        <v>40198.917881944442</v>
      </c>
      <c r="M4715" s="12" t="s">
        <v>774</v>
      </c>
      <c r="N4715" s="12" t="s">
        <v>775</v>
      </c>
      <c r="O4715" s="10" t="str">
        <f>HYPERLINK("https://pbs.twimg.com/profile_images/693447250224087040/au64Cdjo_normal.jpg","View")</f>
        <v>View</v>
      </c>
      <c r="P4715" s="11"/>
    </row>
    <row r="4716" spans="1:16" ht="12.75" x14ac:dyDescent="0.35">
      <c r="A4716" s="7">
        <v>42482.988599537042</v>
      </c>
      <c r="B4716" s="8" t="str">
        <f>HYPERLINK("https://twitter.com/kinoptika","@kinoptika")</f>
        <v>@kinoptika</v>
      </c>
      <c r="C4716" s="9" t="s">
        <v>11002</v>
      </c>
      <c r="D4716" s="9" t="s">
        <v>11010</v>
      </c>
      <c r="E4716" s="10" t="str">
        <f>HYPERLINK("https://twitter.com/kinoptika/status/723575493132349440","723575493132349440")</f>
        <v>723575493132349440</v>
      </c>
      <c r="F4716" s="11" t="s">
        <v>43</v>
      </c>
      <c r="G4716" s="11">
        <v>2207</v>
      </c>
      <c r="H4716" s="11">
        <v>2480</v>
      </c>
      <c r="I4716" s="11">
        <v>1</v>
      </c>
      <c r="J4716" s="11">
        <v>1</v>
      </c>
      <c r="K4716" s="11" t="s">
        <v>21</v>
      </c>
      <c r="L4716" s="7">
        <v>39916.401342592595</v>
      </c>
      <c r="M4716" s="12" t="s">
        <v>11004</v>
      </c>
      <c r="N4716" s="12" t="s">
        <v>11005</v>
      </c>
      <c r="O4716" s="10" t="str">
        <f>HYPERLINK("https://pbs.twimg.com/profile_images/510673988003966976/6Ggzktuf_normal.png","View")</f>
        <v>View</v>
      </c>
      <c r="P4716" s="11"/>
    </row>
    <row r="4717" spans="1:16" ht="12.75" x14ac:dyDescent="0.35">
      <c r="A4717" s="7">
        <v>42482.988611111112</v>
      </c>
      <c r="B4717" s="8" t="str">
        <f>HYPERLINK("https://twitter.com/holminger","@holminger")</f>
        <v>@holminger</v>
      </c>
      <c r="C4717" s="9" t="s">
        <v>11011</v>
      </c>
      <c r="D4717" s="9" t="s">
        <v>11012</v>
      </c>
      <c r="E4717" s="10" t="str">
        <f>HYPERLINK("https://twitter.com/holminger/status/723575495992991747","723575495992991747")</f>
        <v>723575495992991747</v>
      </c>
      <c r="F4717" s="11" t="s">
        <v>160</v>
      </c>
      <c r="G4717" s="11">
        <v>51</v>
      </c>
      <c r="H4717" s="11">
        <v>130</v>
      </c>
      <c r="I4717" s="11">
        <v>0</v>
      </c>
      <c r="J4717" s="11">
        <v>0</v>
      </c>
      <c r="K4717" s="11" t="s">
        <v>21</v>
      </c>
      <c r="L4717" s="7">
        <v>40139.763472222221</v>
      </c>
      <c r="M4717" s="12" t="s">
        <v>11013</v>
      </c>
      <c r="N4717" s="12" t="s">
        <v>11014</v>
      </c>
      <c r="O4717" s="10" t="str">
        <f>HYPERLINK("https://pbs.twimg.com/profile_images/1168508926/holm_manga_avatar_mini_normal.jpg","View")</f>
        <v>View</v>
      </c>
      <c r="P4717" s="11"/>
    </row>
    <row r="4718" spans="1:16" ht="12.75" x14ac:dyDescent="0.35">
      <c r="A4718" s="7">
        <v>42482.988692129627</v>
      </c>
      <c r="B4718" s="8" t="str">
        <f>HYPERLINK("https://twitter.com/bitgit","@bitgit")</f>
        <v>@bitgit</v>
      </c>
      <c r="C4718" s="9" t="s">
        <v>11015</v>
      </c>
      <c r="D4718" s="9" t="s">
        <v>11016</v>
      </c>
      <c r="E4718" s="10" t="str">
        <f>HYPERLINK("https://twitter.com/bitgit/status/723575525063708672","723575525063708672")</f>
        <v>723575525063708672</v>
      </c>
      <c r="F4718" s="11" t="s">
        <v>63</v>
      </c>
      <c r="G4718" s="11">
        <v>3223</v>
      </c>
      <c r="H4718" s="11">
        <v>3455</v>
      </c>
      <c r="I4718" s="11">
        <v>1</v>
      </c>
      <c r="J4718" s="11">
        <v>0</v>
      </c>
      <c r="K4718" s="11" t="s">
        <v>21</v>
      </c>
      <c r="L4718" s="7">
        <v>39883.360937500001</v>
      </c>
      <c r="M4718" s="12" t="s">
        <v>11017</v>
      </c>
      <c r="N4718" s="12" t="s">
        <v>11018</v>
      </c>
      <c r="O4718" s="10" t="str">
        <f>HYPERLINK("https://pbs.twimg.com/profile_images/618550586804449280/8Lx4PJtx_normal.jpg","View")</f>
        <v>View</v>
      </c>
      <c r="P4718" s="11"/>
    </row>
    <row r="4719" spans="1:16" ht="12.75" x14ac:dyDescent="0.35">
      <c r="A4719" s="7">
        <v>42482.989236111112</v>
      </c>
      <c r="B4719" s="8" t="str">
        <f>HYPERLINK("https://twitter.com/Cynfullll","@Cynfullll")</f>
        <v>@Cynfullll</v>
      </c>
      <c r="C4719" s="9" t="s">
        <v>11019</v>
      </c>
      <c r="D4719" s="9" t="s">
        <v>11020</v>
      </c>
      <c r="E4719" s="10" t="str">
        <f>HYPERLINK("https://twitter.com/Cynfullll/status/723575724737699840","723575724737699840")</f>
        <v>723575724737699840</v>
      </c>
      <c r="F4719" s="11" t="s">
        <v>43</v>
      </c>
      <c r="G4719" s="11">
        <v>908</v>
      </c>
      <c r="H4719" s="11">
        <v>1073</v>
      </c>
      <c r="I4719" s="11">
        <v>0</v>
      </c>
      <c r="J4719" s="11">
        <v>0</v>
      </c>
      <c r="K4719" s="11" t="s">
        <v>21</v>
      </c>
      <c r="L4719" s="7">
        <v>39918.974722222221</v>
      </c>
      <c r="M4719" s="12" t="s">
        <v>11021</v>
      </c>
      <c r="N4719" s="12" t="s">
        <v>11022</v>
      </c>
      <c r="O4719" s="10" t="str">
        <f>HYPERLINK("https://pbs.twimg.com/profile_images/547471830659776512/hoBj9PzX_normal.jpeg","View")</f>
        <v>View</v>
      </c>
      <c r="P4719" s="11"/>
    </row>
    <row r="4720" spans="1:16" ht="12.75" x14ac:dyDescent="0.35">
      <c r="A4720" s="7">
        <v>42482.989398148144</v>
      </c>
      <c r="B4720" s="8" t="str">
        <f>HYPERLINK("https://twitter.com/Luishii23","@Luishii23")</f>
        <v>@Luishii23</v>
      </c>
      <c r="C4720" s="9" t="s">
        <v>11023</v>
      </c>
      <c r="D4720" s="9" t="s">
        <v>10808</v>
      </c>
      <c r="E4720" s="10" t="str">
        <f>HYPERLINK("https://twitter.com/Luishii23/status/723575780542976001","723575780542976001")</f>
        <v>723575780542976001</v>
      </c>
      <c r="F4720" s="11" t="s">
        <v>48</v>
      </c>
      <c r="G4720" s="11">
        <v>549</v>
      </c>
      <c r="H4720" s="11">
        <v>256</v>
      </c>
      <c r="I4720" s="11">
        <v>23</v>
      </c>
      <c r="J4720" s="11">
        <v>0</v>
      </c>
      <c r="K4720" s="11" t="s">
        <v>21</v>
      </c>
      <c r="L4720" s="7">
        <v>41050.122708333336</v>
      </c>
      <c r="M4720" s="12" t="s">
        <v>11024</v>
      </c>
      <c r="N4720" s="12" t="s">
        <v>11025</v>
      </c>
      <c r="O4720" s="10" t="str">
        <f>HYPERLINK("https://pbs.twimg.com/profile_images/689594001280929792/BuF5EpDZ_normal.jpg","View")</f>
        <v>View</v>
      </c>
      <c r="P4720" s="11"/>
    </row>
    <row r="4721" spans="1:16" ht="12.75" x14ac:dyDescent="0.35">
      <c r="A4721" s="7">
        <v>42482.989490740743</v>
      </c>
      <c r="B4721" s="8" t="str">
        <f>HYPERLINK("https://twitter.com/tagesschau","@tagesschau")</f>
        <v>@tagesschau</v>
      </c>
      <c r="C4721" s="9" t="s">
        <v>1880</v>
      </c>
      <c r="D4721" s="9" t="s">
        <v>11026</v>
      </c>
      <c r="E4721" s="10" t="str">
        <f>HYPERLINK("https://twitter.com/tagesschau/status/723575816987267074","723575816987267074")</f>
        <v>723575816987267074</v>
      </c>
      <c r="F4721" s="10" t="s">
        <v>1882</v>
      </c>
      <c r="G4721" s="11">
        <v>1155570</v>
      </c>
      <c r="H4721" s="11">
        <v>286</v>
      </c>
      <c r="I4721" s="11">
        <v>0</v>
      </c>
      <c r="J4721" s="11">
        <v>1</v>
      </c>
      <c r="K4721" s="11" t="s">
        <v>21</v>
      </c>
      <c r="L4721" s="7">
        <v>39205.592152777775</v>
      </c>
      <c r="M4721" s="12" t="s">
        <v>953</v>
      </c>
      <c r="N4721" s="12" t="s">
        <v>1883</v>
      </c>
      <c r="O4721" s="10" t="str">
        <f>HYPERLINK("https://pbs.twimg.com/profile_images/531688614640365568/U84uXoIT_normal.png","View")</f>
        <v>View</v>
      </c>
      <c r="P4721" s="11"/>
    </row>
    <row r="4722" spans="1:16" ht="12.75" x14ac:dyDescent="0.35">
      <c r="A4722" s="7">
        <v>42482.989560185189</v>
      </c>
      <c r="B4722" s="8" t="str">
        <f>HYPERLINK("https://twitter.com/photogera","@photogera")</f>
        <v>@photogera</v>
      </c>
      <c r="C4722" s="9" t="s">
        <v>11027</v>
      </c>
      <c r="D4722" s="9" t="s">
        <v>11028</v>
      </c>
      <c r="E4722" s="10" t="str">
        <f>HYPERLINK("https://twitter.com/photogera/status/723575840961867776","723575840961867776")</f>
        <v>723575840961867776</v>
      </c>
      <c r="F4722" s="11" t="s">
        <v>48</v>
      </c>
      <c r="G4722" s="11">
        <v>62</v>
      </c>
      <c r="H4722" s="11">
        <v>93</v>
      </c>
      <c r="I4722" s="11">
        <v>0</v>
      </c>
      <c r="J4722" s="11">
        <v>0</v>
      </c>
      <c r="K4722" s="11" t="s">
        <v>21</v>
      </c>
      <c r="L4722" s="7">
        <v>40346.705138888887</v>
      </c>
      <c r="M4722" s="12" t="s">
        <v>11029</v>
      </c>
      <c r="N4722" s="12"/>
      <c r="O4722" s="10" t="str">
        <f>HYPERLINK("https://pbs.twimg.com/profile_images/999306142/Unbenannt-4_normal.jpg","View")</f>
        <v>View</v>
      </c>
      <c r="P4722" s="11"/>
    </row>
    <row r="4723" spans="1:16" ht="12.75" x14ac:dyDescent="0.35">
      <c r="A4723" s="7">
        <v>42482.989699074074</v>
      </c>
      <c r="B4723" s="8" t="str">
        <f>HYPERLINK("https://twitter.com/Topspeedgr","@Topspeedgr")</f>
        <v>@Topspeedgr</v>
      </c>
      <c r="C4723" s="9" t="s">
        <v>11030</v>
      </c>
      <c r="D4723" s="9" t="s">
        <v>11031</v>
      </c>
      <c r="E4723" s="10" t="str">
        <f>HYPERLINK("https://twitter.com/Topspeedgr/status/723575892350357504","723575892350357504")</f>
        <v>723575892350357504</v>
      </c>
      <c r="F4723" s="10" t="s">
        <v>124</v>
      </c>
      <c r="G4723" s="11">
        <v>501</v>
      </c>
      <c r="H4723" s="11">
        <v>1431</v>
      </c>
      <c r="I4723" s="11">
        <v>0</v>
      </c>
      <c r="J4723" s="11">
        <v>0</v>
      </c>
      <c r="K4723" s="11" t="s">
        <v>21</v>
      </c>
      <c r="L4723" s="7">
        <v>42166.049571759257</v>
      </c>
      <c r="M4723" s="12"/>
      <c r="N4723" s="12"/>
      <c r="O4723" s="10" t="str">
        <f>HYPERLINK("https://pbs.twimg.com/profile_images/608722117648101376/9jVJ4teJ_normal.jpg","View")</f>
        <v>View</v>
      </c>
      <c r="P4723" s="11"/>
    </row>
    <row r="4724" spans="1:16" ht="12.75" x14ac:dyDescent="0.35">
      <c r="A4724" s="7">
        <v>42482.990104166667</v>
      </c>
      <c r="B4724" s="8" t="str">
        <f>HYPERLINK("https://twitter.com/Guadiglesias","@Guadiglesias")</f>
        <v>@Guadiglesias</v>
      </c>
      <c r="C4724" s="9" t="s">
        <v>11032</v>
      </c>
      <c r="D4724" s="9" t="s">
        <v>10808</v>
      </c>
      <c r="E4724" s="10" t="str">
        <f>HYPERLINK("https://twitter.com/Guadiglesias/status/723576038786211841","723576038786211841")</f>
        <v>723576038786211841</v>
      </c>
      <c r="F4724" s="11" t="s">
        <v>48</v>
      </c>
      <c r="G4724" s="11">
        <v>704</v>
      </c>
      <c r="H4724" s="11">
        <v>493</v>
      </c>
      <c r="I4724" s="11">
        <v>28</v>
      </c>
      <c r="J4724" s="11">
        <v>0</v>
      </c>
      <c r="K4724" s="11" t="s">
        <v>21</v>
      </c>
      <c r="L4724" s="7">
        <v>40918.052187499998</v>
      </c>
      <c r="M4724" s="12" t="s">
        <v>11033</v>
      </c>
      <c r="N4724" s="12" t="s">
        <v>11034</v>
      </c>
      <c r="O4724" s="10" t="str">
        <f>HYPERLINK("https://pbs.twimg.com/profile_images/714914680997806082/geggEhGo_normal.jpg","View")</f>
        <v>View</v>
      </c>
      <c r="P4724" s="11"/>
    </row>
    <row r="4725" spans="1:16" ht="12.75" x14ac:dyDescent="0.35">
      <c r="A4725" s="7">
        <v>42482.990300925929</v>
      </c>
      <c r="B4725" s="8" t="str">
        <f>HYPERLINK("https://twitter.com/MiiqaaNu","@MiiqaaNu")</f>
        <v>@MiiqaaNu</v>
      </c>
      <c r="C4725" s="9" t="s">
        <v>11035</v>
      </c>
      <c r="D4725" s="9" t="s">
        <v>10808</v>
      </c>
      <c r="E4725" s="10" t="str">
        <f>HYPERLINK("https://twitter.com/MiiqaaNu/status/723576107971317760","723576107971317760")</f>
        <v>723576107971317760</v>
      </c>
      <c r="F4725" s="11" t="s">
        <v>48</v>
      </c>
      <c r="G4725" s="11">
        <v>307</v>
      </c>
      <c r="H4725" s="11">
        <v>303</v>
      </c>
      <c r="I4725" s="11">
        <v>28</v>
      </c>
      <c r="J4725" s="11">
        <v>0</v>
      </c>
      <c r="K4725" s="11" t="s">
        <v>21</v>
      </c>
      <c r="L4725" s="7">
        <v>41324.328379629631</v>
      </c>
      <c r="M4725" s="12" t="s">
        <v>11036</v>
      </c>
      <c r="N4725" s="12" t="s">
        <v>11037</v>
      </c>
      <c r="O4725" s="10" t="str">
        <f>HYPERLINK("https://pbs.twimg.com/profile_images/721045156959555585/S4XPyxVN_normal.jpg","View")</f>
        <v>View</v>
      </c>
      <c r="P4725" s="11"/>
    </row>
    <row r="4726" spans="1:16" ht="12.75" x14ac:dyDescent="0.35">
      <c r="A4726" s="7">
        <v>42482.990601851852</v>
      </c>
      <c r="B4726" s="8" t="str">
        <f>HYPERLINK("https://twitter.com/fan_burnnotice","@fan_burnnotice")</f>
        <v>@fan_burnnotice</v>
      </c>
      <c r="C4726" s="9" t="s">
        <v>11038</v>
      </c>
      <c r="D4726" s="9" t="s">
        <v>11039</v>
      </c>
      <c r="E4726" s="10" t="str">
        <f>HYPERLINK("https://twitter.com/fan_burnnotice/status/723576218352758784","723576218352758784")</f>
        <v>723576218352758784</v>
      </c>
      <c r="F4726" s="11" t="s">
        <v>43</v>
      </c>
      <c r="G4726" s="11">
        <v>768</v>
      </c>
      <c r="H4726" s="11">
        <v>678</v>
      </c>
      <c r="I4726" s="11">
        <v>3</v>
      </c>
      <c r="J4726" s="11">
        <v>0</v>
      </c>
      <c r="K4726" s="11" t="s">
        <v>21</v>
      </c>
      <c r="L4726" s="7">
        <v>40992.618634259255</v>
      </c>
      <c r="M4726" s="12" t="s">
        <v>1116</v>
      </c>
      <c r="N4726" s="12" t="s">
        <v>11040</v>
      </c>
      <c r="O4726" s="10" t="str">
        <f>HYPERLINK("https://pbs.twimg.com/profile_images/686286262773387264/YnzLLxvO_normal.jpg","View")</f>
        <v>View</v>
      </c>
      <c r="P4726" s="11"/>
    </row>
    <row r="4727" spans="1:16" ht="12.75" x14ac:dyDescent="0.35">
      <c r="A4727" s="7">
        <v>42482.991122685184</v>
      </c>
      <c r="B4727" s="8" t="str">
        <f>HYPERLINK("https://twitter.com/vwdepo","@vwdepo")</f>
        <v>@vwdepo</v>
      </c>
      <c r="C4727" s="9" t="s">
        <v>134</v>
      </c>
      <c r="D4727" s="9" t="s">
        <v>11041</v>
      </c>
      <c r="E4727" s="10" t="str">
        <f>HYPERLINK("https://twitter.com/vwdepo/status/723576405645205504","723576405645205504")</f>
        <v>723576405645205504</v>
      </c>
      <c r="F4727" s="11" t="s">
        <v>53</v>
      </c>
      <c r="G4727" s="11">
        <v>784</v>
      </c>
      <c r="H4727" s="11">
        <v>384</v>
      </c>
      <c r="I4727" s="11">
        <v>0</v>
      </c>
      <c r="J4727" s="11">
        <v>0</v>
      </c>
      <c r="K4727" s="11" t="s">
        <v>21</v>
      </c>
      <c r="L4727" s="7">
        <v>39891.992905092593</v>
      </c>
      <c r="M4727" s="12" t="s">
        <v>136</v>
      </c>
      <c r="N4727" s="12" t="s">
        <v>137</v>
      </c>
      <c r="O4727" s="10" t="str">
        <f>HYPERLINK("https://pbs.twimg.com/profile_images/3378184537/c20ae9a7a410821b4f189c34a63380f7_normal.png","View")</f>
        <v>View</v>
      </c>
      <c r="P4727" s="11"/>
    </row>
    <row r="4728" spans="1:16" ht="12.75" x14ac:dyDescent="0.35">
      <c r="A4728" s="7">
        <v>42482.991261574076</v>
      </c>
      <c r="B4728" s="8" t="str">
        <f>HYPERLINK("https://twitter.com/ratemycamper","@ratemycamper")</f>
        <v>@ratemycamper</v>
      </c>
      <c r="C4728" s="9" t="s">
        <v>1529</v>
      </c>
      <c r="D4728" s="9" t="s">
        <v>11042</v>
      </c>
      <c r="E4728" s="10" t="str">
        <f>HYPERLINK("https://twitter.com/ratemycamper/status/723576457839140864","723576457839140864")</f>
        <v>723576457839140864</v>
      </c>
      <c r="F4728" s="11" t="s">
        <v>20</v>
      </c>
      <c r="G4728" s="11">
        <v>170</v>
      </c>
      <c r="H4728" s="11">
        <v>1991</v>
      </c>
      <c r="I4728" s="11">
        <v>0</v>
      </c>
      <c r="J4728" s="11">
        <v>0</v>
      </c>
      <c r="K4728" s="11" t="s">
        <v>21</v>
      </c>
      <c r="L4728" s="7">
        <v>42387.075486111113</v>
      </c>
      <c r="M4728" s="12" t="s">
        <v>1129</v>
      </c>
      <c r="N4728" s="12" t="s">
        <v>1531</v>
      </c>
      <c r="O4728" s="10" t="str">
        <f>HYPERLINK("https://pbs.twimg.com/profile_images/710929065939755009/-Rgs_z20_normal.jpg","View")</f>
        <v>View</v>
      </c>
      <c r="P4728" s="11"/>
    </row>
    <row r="4729" spans="1:16" ht="12.75" x14ac:dyDescent="0.35">
      <c r="A4729" s="7">
        <v>42482.991620370369</v>
      </c>
      <c r="B4729" s="8" t="str">
        <f>HYPERLINK("https://twitter.com/c6rainer","@c6rainer")</f>
        <v>@c6rainer</v>
      </c>
      <c r="C4729" s="9" t="s">
        <v>11043</v>
      </c>
      <c r="D4729" s="9" t="s">
        <v>11039</v>
      </c>
      <c r="E4729" s="10" t="str">
        <f>HYPERLINK("https://twitter.com/c6rainer/status/723576587392790528","723576587392790528")</f>
        <v>723576587392790528</v>
      </c>
      <c r="F4729" s="11" t="s">
        <v>20</v>
      </c>
      <c r="G4729" s="11">
        <v>1</v>
      </c>
      <c r="H4729" s="11">
        <v>20</v>
      </c>
      <c r="I4729" s="11">
        <v>3</v>
      </c>
      <c r="J4729" s="11">
        <v>0</v>
      </c>
      <c r="K4729" s="11" t="s">
        <v>21</v>
      </c>
      <c r="L4729" s="7">
        <v>42449.698437500003</v>
      </c>
      <c r="M4729" s="12"/>
      <c r="N4729" s="12"/>
      <c r="O4729" s="10" t="str">
        <f>HYPERLINK("https://pbs.twimg.com/profile_images/711512516833185792/d0lfppeu_normal.jpg","View")</f>
        <v>View</v>
      </c>
      <c r="P4729" s="11"/>
    </row>
    <row r="4730" spans="1:16" ht="12.75" x14ac:dyDescent="0.35">
      <c r="A4730" s="7">
        <v>42482.9919212963</v>
      </c>
      <c r="B4730" s="8" t="str">
        <f>HYPERLINK("https://twitter.com/oekomobil","@oekomobil")</f>
        <v>@oekomobil</v>
      </c>
      <c r="C4730" s="9" t="s">
        <v>7200</v>
      </c>
      <c r="D4730" s="9" t="s">
        <v>9477</v>
      </c>
      <c r="E4730" s="10" t="str">
        <f>HYPERLINK("https://twitter.com/oekomobil/status/723576695903670273","723576695903670273")</f>
        <v>723576695903670273</v>
      </c>
      <c r="F4730" s="11" t="s">
        <v>367</v>
      </c>
      <c r="G4730" s="11">
        <v>2326</v>
      </c>
      <c r="H4730" s="11">
        <v>1990</v>
      </c>
      <c r="I4730" s="11">
        <v>5</v>
      </c>
      <c r="J4730" s="11">
        <v>0</v>
      </c>
      <c r="K4730" s="11" t="s">
        <v>21</v>
      </c>
      <c r="L4730" s="7">
        <v>41574.753761574073</v>
      </c>
      <c r="M4730" s="12" t="s">
        <v>7201</v>
      </c>
      <c r="N4730" s="12" t="s">
        <v>7202</v>
      </c>
      <c r="O4730" s="10" t="str">
        <f>HYPERLINK("https://pbs.twimg.com/profile_images/703329620259688448/RfdFkFzI_normal.jpg","View")</f>
        <v>View</v>
      </c>
      <c r="P4730" s="11"/>
    </row>
    <row r="4731" spans="1:16" ht="12.75" x14ac:dyDescent="0.35">
      <c r="A4731" s="7">
        <v>42482.992604166662</v>
      </c>
      <c r="B4731" s="8" t="str">
        <f>HYPERLINK("https://twitter.com/gaffers101","@gaffers101")</f>
        <v>@gaffers101</v>
      </c>
      <c r="C4731" s="9" t="s">
        <v>11044</v>
      </c>
      <c r="D4731" s="9" t="s">
        <v>6954</v>
      </c>
      <c r="E4731" s="10" t="str">
        <f>HYPERLINK("https://twitter.com/gaffers101/status/723576944445521920","723576944445521920")</f>
        <v>723576944445521920</v>
      </c>
      <c r="F4731" s="11" t="s">
        <v>20</v>
      </c>
      <c r="G4731" s="11">
        <v>40</v>
      </c>
      <c r="H4731" s="11">
        <v>90</v>
      </c>
      <c r="I4731" s="11">
        <v>3</v>
      </c>
      <c r="J4731" s="11">
        <v>0</v>
      </c>
      <c r="K4731" s="11" t="s">
        <v>21</v>
      </c>
      <c r="L4731" s="7">
        <v>42421.541516203702</v>
      </c>
      <c r="M4731" s="12" t="s">
        <v>6192</v>
      </c>
      <c r="N4731" s="12" t="s">
        <v>11045</v>
      </c>
      <c r="O4731" s="10" t="str">
        <f>HYPERLINK("https://pbs.twimg.com/profile_images/701308630155579392/9VyAtMQn_normal.jpg","View")</f>
        <v>View</v>
      </c>
      <c r="P4731" s="11"/>
    </row>
    <row r="4732" spans="1:16" ht="12.75" x14ac:dyDescent="0.35">
      <c r="A4732" s="7">
        <v>42482.992650462962</v>
      </c>
      <c r="B4732" s="8" t="str">
        <f>HYPERLINK("https://twitter.com/tinteschreiber","@tinteschreiber")</f>
        <v>@tinteschreiber</v>
      </c>
      <c r="C4732" s="9" t="s">
        <v>11046</v>
      </c>
      <c r="D4732" s="9" t="s">
        <v>11047</v>
      </c>
      <c r="E4732" s="10" t="str">
        <f>HYPERLINK("https://twitter.com/tinteschreiber/status/723576959704375296","723576959704375296")</f>
        <v>723576959704375296</v>
      </c>
      <c r="F4732" s="11" t="s">
        <v>43</v>
      </c>
      <c r="G4732" s="11">
        <v>4</v>
      </c>
      <c r="H4732" s="11">
        <v>37</v>
      </c>
      <c r="I4732" s="11">
        <v>1</v>
      </c>
      <c r="J4732" s="11">
        <v>0</v>
      </c>
      <c r="K4732" s="11" t="s">
        <v>21</v>
      </c>
      <c r="L4732" s="7">
        <v>42060.815960648149</v>
      </c>
      <c r="M4732" s="12" t="s">
        <v>11048</v>
      </c>
      <c r="N4732" s="12" t="s">
        <v>11049</v>
      </c>
      <c r="O4732" s="10" t="str">
        <f>HYPERLINK("https://pbs.twimg.com/profile_images/721631877707272194/339ABugc_normal.jpg","View")</f>
        <v>View</v>
      </c>
      <c r="P4732" s="11"/>
    </row>
    <row r="4733" spans="1:16" ht="12.75" x14ac:dyDescent="0.35">
      <c r="A4733" s="7">
        <v>42482.992662037039</v>
      </c>
      <c r="B4733" s="8" t="str">
        <f>HYPERLINK("https://twitter.com/William24442835","@William24442835")</f>
        <v>@William24442835</v>
      </c>
      <c r="C4733" s="9" t="s">
        <v>11050</v>
      </c>
      <c r="D4733" s="9" t="s">
        <v>10808</v>
      </c>
      <c r="E4733" s="10" t="str">
        <f>HYPERLINK("https://twitter.com/William24442835/status/723576964053868545","723576964053868545")</f>
        <v>723576964053868545</v>
      </c>
      <c r="F4733" s="11" t="s">
        <v>48</v>
      </c>
      <c r="G4733" s="11">
        <v>85</v>
      </c>
      <c r="H4733" s="11">
        <v>83</v>
      </c>
      <c r="I4733" s="11">
        <v>28</v>
      </c>
      <c r="J4733" s="11">
        <v>0</v>
      </c>
      <c r="K4733" s="11" t="s">
        <v>21</v>
      </c>
      <c r="L4733" s="7">
        <v>42360.987824074073</v>
      </c>
      <c r="M4733" s="12"/>
      <c r="N4733" s="12"/>
      <c r="O4733" s="10" t="str">
        <f>HYPERLINK("https://pbs.twimg.com/profile_images/721149184863301632/jpODuwW-_normal.jpg","View")</f>
        <v>View</v>
      </c>
      <c r="P4733" s="11"/>
    </row>
    <row r="4734" spans="1:16" ht="12.75" x14ac:dyDescent="0.35">
      <c r="A4734" s="7">
        <v>42482.993217592593</v>
      </c>
      <c r="B4734" s="8" t="str">
        <f>HYPERLINK("https://twitter.com/yoga_and_more","@yoga_and_more")</f>
        <v>@yoga_and_more</v>
      </c>
      <c r="C4734" s="9" t="s">
        <v>11051</v>
      </c>
      <c r="D4734" s="9" t="s">
        <v>10369</v>
      </c>
      <c r="E4734" s="10" t="str">
        <f>HYPERLINK("https://twitter.com/yoga_and_more/status/723577166630363136","723577166630363136")</f>
        <v>723577166630363136</v>
      </c>
      <c r="F4734" s="11" t="s">
        <v>48</v>
      </c>
      <c r="G4734" s="11">
        <v>3436</v>
      </c>
      <c r="H4734" s="11">
        <v>3354</v>
      </c>
      <c r="I4734" s="11">
        <v>6</v>
      </c>
      <c r="J4734" s="11">
        <v>0</v>
      </c>
      <c r="K4734" s="11" t="s">
        <v>21</v>
      </c>
      <c r="L4734" s="7">
        <v>42206.029432870375</v>
      </c>
      <c r="M4734" s="12"/>
      <c r="N4734" s="12" t="s">
        <v>11052</v>
      </c>
      <c r="O4734" s="10" t="str">
        <f>HYPERLINK("https://pbs.twimg.com/profile_images/671622043377512449/urTZ7prg_normal.jpg","View")</f>
        <v>View</v>
      </c>
      <c r="P4734" s="11"/>
    </row>
    <row r="4735" spans="1:16" ht="12.75" x14ac:dyDescent="0.35">
      <c r="A4735" s="7">
        <v>42482.994456018518</v>
      </c>
      <c r="B4735" s="8" t="str">
        <f>HYPERLINK("https://twitter.com/Stony_BS","@Stony_BS")</f>
        <v>@Stony_BS</v>
      </c>
      <c r="C4735" s="9" t="s">
        <v>2680</v>
      </c>
      <c r="D4735" s="9" t="s">
        <v>11053</v>
      </c>
      <c r="E4735" s="10" t="str">
        <f>HYPERLINK("https://twitter.com/Stony_BS/status/723577616800821248","723577616800821248")</f>
        <v>723577616800821248</v>
      </c>
      <c r="F4735" s="11" t="s">
        <v>43</v>
      </c>
      <c r="G4735" s="11">
        <v>37</v>
      </c>
      <c r="H4735" s="11">
        <v>51</v>
      </c>
      <c r="I4735" s="11">
        <v>0</v>
      </c>
      <c r="J4735" s="11">
        <v>0</v>
      </c>
      <c r="K4735" s="11" t="s">
        <v>21</v>
      </c>
      <c r="L4735" s="7">
        <v>41928.806030092594</v>
      </c>
      <c r="M4735" s="12" t="s">
        <v>2682</v>
      </c>
      <c r="N4735" s="12" t="s">
        <v>2683</v>
      </c>
      <c r="O4735" s="10" t="str">
        <f>HYPERLINK("https://pbs.twimg.com/profile_images/668091779313500160/ZepxnJcI_normal.jpg","View")</f>
        <v>View</v>
      </c>
      <c r="P4735" s="11"/>
    </row>
    <row r="4736" spans="1:16" ht="12.75" x14ac:dyDescent="0.35">
      <c r="A4736" s="7">
        <v>42482.994490740741</v>
      </c>
      <c r="B4736" s="8" t="str">
        <f>HYPERLINK("https://twitter.com/KarenEspindola_","@KarenEspindola_")</f>
        <v>@KarenEspindola_</v>
      </c>
      <c r="C4736" s="9" t="s">
        <v>11054</v>
      </c>
      <c r="D4736" s="9" t="s">
        <v>10808</v>
      </c>
      <c r="E4736" s="10" t="str">
        <f>HYPERLINK("https://twitter.com/KarenEspindola_/status/723577628746231808","723577628746231808")</f>
        <v>723577628746231808</v>
      </c>
      <c r="F4736" s="11" t="s">
        <v>20</v>
      </c>
      <c r="G4736" s="11">
        <v>280</v>
      </c>
      <c r="H4736" s="11">
        <v>264</v>
      </c>
      <c r="I4736" s="11">
        <v>28</v>
      </c>
      <c r="J4736" s="11">
        <v>0</v>
      </c>
      <c r="K4736" s="11" t="s">
        <v>21</v>
      </c>
      <c r="L4736" s="7">
        <v>40754.910833333335</v>
      </c>
      <c r="M4736" s="12" t="s">
        <v>494</v>
      </c>
      <c r="N4736" s="12" t="s">
        <v>11055</v>
      </c>
      <c r="O4736" s="10" t="str">
        <f>HYPERLINK("https://pbs.twimg.com/profile_images/721549707772891136/zcZaPd89_normal.jpg","View")</f>
        <v>View</v>
      </c>
      <c r="P4736" s="11"/>
    </row>
    <row r="4737" spans="1:16" ht="12.75" x14ac:dyDescent="0.35">
      <c r="A4737" s="7">
        <v>42482.994594907403</v>
      </c>
      <c r="B4737" s="8" t="str">
        <f>HYPERLINK("https://twitter.com/agtomlinson_uk","@agtomlinson_uk")</f>
        <v>@agtomlinson_uk</v>
      </c>
      <c r="C4737" s="9" t="s">
        <v>11056</v>
      </c>
      <c r="D4737" s="9" t="s">
        <v>10837</v>
      </c>
      <c r="E4737" s="10" t="str">
        <f>HYPERLINK("https://twitter.com/agtomlinson_uk/status/723577664100028416","723577664100028416")</f>
        <v>723577664100028416</v>
      </c>
      <c r="F4737" s="11" t="s">
        <v>20</v>
      </c>
      <c r="G4737" s="11">
        <v>443</v>
      </c>
      <c r="H4737" s="11">
        <v>1160</v>
      </c>
      <c r="I4737" s="11">
        <v>9</v>
      </c>
      <c r="J4737" s="11">
        <v>0</v>
      </c>
      <c r="K4737" s="11" t="s">
        <v>21</v>
      </c>
      <c r="L4737" s="7">
        <v>40193.047847222224</v>
      </c>
      <c r="M4737" s="12" t="s">
        <v>11057</v>
      </c>
      <c r="N4737" s="12" t="s">
        <v>11058</v>
      </c>
      <c r="O4737" s="10" t="str">
        <f>HYPERLINK("https://pbs.twimg.com/profile_images/553653312067624960/CIAl_X3g_normal.jpeg","View")</f>
        <v>View</v>
      </c>
      <c r="P4737" s="11"/>
    </row>
    <row r="4738" spans="1:16" ht="12.75" x14ac:dyDescent="0.35">
      <c r="A4738" s="7">
        <v>42482.994710648149</v>
      </c>
      <c r="B4738" s="8" t="str">
        <f t="shared" ref="B4738:B4739" si="405">HYPERLINK("https://twitter.com/Insta_VWT","@Insta_VWT")</f>
        <v>@Insta_VWT</v>
      </c>
      <c r="C4738" s="9" t="s">
        <v>181</v>
      </c>
      <c r="D4738" s="9" t="s">
        <v>11059</v>
      </c>
      <c r="E4738" s="10" t="str">
        <f>HYPERLINK("https://twitter.com/Insta_VWT/status/723577707410366465","723577707410366465")</f>
        <v>723577707410366465</v>
      </c>
      <c r="F4738" s="11" t="s">
        <v>68</v>
      </c>
      <c r="G4738" s="11">
        <v>482</v>
      </c>
      <c r="H4738" s="11">
        <v>0</v>
      </c>
      <c r="I4738" s="11">
        <v>0</v>
      </c>
      <c r="J4738" s="11">
        <v>0</v>
      </c>
      <c r="K4738" s="11" t="s">
        <v>21</v>
      </c>
      <c r="L4738" s="7">
        <v>41658.782800925925</v>
      </c>
      <c r="M4738" s="12" t="s">
        <v>183</v>
      </c>
      <c r="N4738" s="12" t="s">
        <v>184</v>
      </c>
      <c r="O4738" s="10" t="str">
        <f t="shared" ref="O4738:O4739" si="406">HYPERLINK("https://pbs.twimg.com/profile_images/424893967197433858/iQ86NktX_normal.jpeg","View")</f>
        <v>View</v>
      </c>
      <c r="P4738" s="11"/>
    </row>
    <row r="4739" spans="1:16" ht="12.75" x14ac:dyDescent="0.35">
      <c r="A4739" s="7">
        <v>42482.994768518518</v>
      </c>
      <c r="B4739" s="8" t="str">
        <f t="shared" si="405"/>
        <v>@Insta_VWT</v>
      </c>
      <c r="C4739" s="9" t="s">
        <v>181</v>
      </c>
      <c r="D4739" s="9" t="s">
        <v>11060</v>
      </c>
      <c r="E4739" s="10" t="str">
        <f>HYPERLINK("https://twitter.com/Insta_VWT/status/723577730084818944","723577730084818944")</f>
        <v>723577730084818944</v>
      </c>
      <c r="F4739" s="11" t="s">
        <v>68</v>
      </c>
      <c r="G4739" s="11">
        <v>482</v>
      </c>
      <c r="H4739" s="11">
        <v>0</v>
      </c>
      <c r="I4739" s="11">
        <v>0</v>
      </c>
      <c r="J4739" s="11">
        <v>1</v>
      </c>
      <c r="K4739" s="11" t="s">
        <v>21</v>
      </c>
      <c r="L4739" s="7">
        <v>41658.782800925925</v>
      </c>
      <c r="M4739" s="12" t="s">
        <v>183</v>
      </c>
      <c r="N4739" s="12" t="s">
        <v>184</v>
      </c>
      <c r="O4739" s="10" t="str">
        <f t="shared" si="406"/>
        <v>View</v>
      </c>
      <c r="P4739" s="11"/>
    </row>
    <row r="4740" spans="1:16" ht="12.75" x14ac:dyDescent="0.35">
      <c r="A4740" s="7">
        <v>42482.994872685187</v>
      </c>
      <c r="B4740" s="8" t="str">
        <f>HYPERLINK("https://twitter.com/schwerlastprofi","@schwerlastprofi")</f>
        <v>@schwerlastprofi</v>
      </c>
      <c r="C4740" s="9" t="s">
        <v>11061</v>
      </c>
      <c r="D4740" s="9" t="s">
        <v>9694</v>
      </c>
      <c r="E4740" s="10" t="str">
        <f>HYPERLINK("https://twitter.com/schwerlastprofi/status/723577764138328065","723577764138328065")</f>
        <v>723577764138328065</v>
      </c>
      <c r="F4740" s="11" t="s">
        <v>48</v>
      </c>
      <c r="G4740" s="11">
        <v>45</v>
      </c>
      <c r="H4740" s="11">
        <v>129</v>
      </c>
      <c r="I4740" s="11">
        <v>11</v>
      </c>
      <c r="J4740" s="11">
        <v>0</v>
      </c>
      <c r="K4740" s="11" t="s">
        <v>21</v>
      </c>
      <c r="L4740" s="7">
        <v>41332.863506944443</v>
      </c>
      <c r="M4740" s="12" t="s">
        <v>11062</v>
      </c>
      <c r="N4740" s="12"/>
      <c r="O4740" s="10" t="str">
        <f>HYPERLINK("https://pbs.twimg.com/profile_images/699312392279351296/xLH7EdkY_normal.jpg","View")</f>
        <v>View</v>
      </c>
      <c r="P4740" s="11"/>
    </row>
    <row r="4741" spans="1:16" ht="12.75" x14ac:dyDescent="0.35">
      <c r="A4741" s="7">
        <v>42482.995150462964</v>
      </c>
      <c r="B4741" s="8" t="str">
        <f>HYPERLINK("https://twitter.com/Sr_Pilluelo","@Sr_Pilluelo")</f>
        <v>@Sr_Pilluelo</v>
      </c>
      <c r="C4741" s="9" t="s">
        <v>11063</v>
      </c>
      <c r="D4741" s="9" t="s">
        <v>10808</v>
      </c>
      <c r="E4741" s="10" t="str">
        <f>HYPERLINK("https://twitter.com/Sr_Pilluelo/status/723577864696827904","723577864696827904")</f>
        <v>723577864696827904</v>
      </c>
      <c r="F4741" s="11" t="s">
        <v>48</v>
      </c>
      <c r="G4741" s="11">
        <v>919</v>
      </c>
      <c r="H4741" s="11">
        <v>1315</v>
      </c>
      <c r="I4741" s="11">
        <v>28</v>
      </c>
      <c r="J4741" s="11">
        <v>0</v>
      </c>
      <c r="K4741" s="11" t="s">
        <v>21</v>
      </c>
      <c r="L4741" s="7">
        <v>42011.983842592592</v>
      </c>
      <c r="M4741" s="12" t="s">
        <v>11064</v>
      </c>
      <c r="N4741" s="12" t="s">
        <v>11065</v>
      </c>
      <c r="O4741" s="10" t="str">
        <f>HYPERLINK("https://pbs.twimg.com/profile_images/723003937532588032/qZmcNWU-_normal.jpg","View")</f>
        <v>View</v>
      </c>
      <c r="P4741" s="11"/>
    </row>
    <row r="4742" spans="1:16" ht="12.75" x14ac:dyDescent="0.35">
      <c r="A4742" s="7">
        <v>42482.99627314815</v>
      </c>
      <c r="B4742" s="8" t="str">
        <f>HYPERLINK("https://twitter.com/ThomasGermany01","@ThomasGermany01")</f>
        <v>@ThomasGermany01</v>
      </c>
      <c r="C4742" s="9" t="s">
        <v>11066</v>
      </c>
      <c r="D4742" s="9" t="s">
        <v>11067</v>
      </c>
      <c r="E4742" s="10" t="str">
        <f>HYPERLINK("https://twitter.com/ThomasGermany01/status/723578272295038982","723578272295038982")</f>
        <v>723578272295038982</v>
      </c>
      <c r="F4742" s="11" t="s">
        <v>43</v>
      </c>
      <c r="G4742" s="11">
        <v>156</v>
      </c>
      <c r="H4742" s="11">
        <v>202</v>
      </c>
      <c r="I4742" s="11">
        <v>0</v>
      </c>
      <c r="J4742" s="11">
        <v>0</v>
      </c>
      <c r="K4742" s="11" t="s">
        <v>21</v>
      </c>
      <c r="L4742" s="7">
        <v>41294.849606481483</v>
      </c>
      <c r="M4742" s="12" t="s">
        <v>11068</v>
      </c>
      <c r="N4742" s="12" t="s">
        <v>11069</v>
      </c>
      <c r="O4742" s="10" t="str">
        <f>HYPERLINK("https://pbs.twimg.com/profile_images/464445915223191552/S56ZJkTB_normal.jpeg","View")</f>
        <v>View</v>
      </c>
      <c r="P4742" s="11"/>
    </row>
    <row r="4743" spans="1:16" ht="12.75" x14ac:dyDescent="0.35">
      <c r="A4743" s="7">
        <v>42482.996516203704</v>
      </c>
      <c r="B4743" s="8" t="str">
        <f>HYPERLINK("https://twitter.com/Legende2015","@Legende2015")</f>
        <v>@Legende2015</v>
      </c>
      <c r="C4743" s="9" t="s">
        <v>11070</v>
      </c>
      <c r="D4743" s="9" t="s">
        <v>10950</v>
      </c>
      <c r="E4743" s="10" t="str">
        <f>HYPERLINK("https://twitter.com/Legende2015/status/723578363626020865","723578363626020865")</f>
        <v>723578363626020865</v>
      </c>
      <c r="F4743" s="11" t="s">
        <v>725</v>
      </c>
      <c r="G4743" s="11">
        <v>66</v>
      </c>
      <c r="H4743" s="11">
        <v>168</v>
      </c>
      <c r="I4743" s="11">
        <v>6</v>
      </c>
      <c r="J4743" s="11">
        <v>0</v>
      </c>
      <c r="K4743" s="11" t="s">
        <v>21</v>
      </c>
      <c r="L4743" s="7">
        <v>41589.968726851854</v>
      </c>
      <c r="M4743" s="12" t="s">
        <v>11071</v>
      </c>
      <c r="N4743" s="12" t="s">
        <v>11072</v>
      </c>
      <c r="O4743" s="10" t="str">
        <f>HYPERLINK("https://pbs.twimg.com/profile_images/652794510754344960/t2PPvsjv_normal.jpg","View")</f>
        <v>View</v>
      </c>
      <c r="P4743" s="11"/>
    </row>
    <row r="4744" spans="1:16" ht="12.75" x14ac:dyDescent="0.35">
      <c r="A4744" s="7">
        <v>42482.997233796297</v>
      </c>
      <c r="B4744" s="8" t="str">
        <f>HYPERLINK("https://twitter.com/heike1502","@heike1502")</f>
        <v>@heike1502</v>
      </c>
      <c r="C4744" s="9" t="s">
        <v>11073</v>
      </c>
      <c r="D4744" s="9" t="s">
        <v>7189</v>
      </c>
      <c r="E4744" s="10" t="str">
        <f>HYPERLINK("https://twitter.com/heike1502/status/723578623547023361","723578623547023361")</f>
        <v>723578623547023361</v>
      </c>
      <c r="F4744" s="11" t="s">
        <v>43</v>
      </c>
      <c r="G4744" s="11">
        <v>298</v>
      </c>
      <c r="H4744" s="11">
        <v>101</v>
      </c>
      <c r="I4744" s="11">
        <v>14</v>
      </c>
      <c r="J4744" s="11">
        <v>0</v>
      </c>
      <c r="K4744" s="11" t="s">
        <v>21</v>
      </c>
      <c r="L4744" s="7">
        <v>42387.853773148148</v>
      </c>
      <c r="M4744" s="12"/>
      <c r="N4744" s="12"/>
      <c r="O4744" s="10" t="str">
        <f>HYPERLINK("https://pbs.twimg.com/profile_images/709393622156836864/mepc1fVn_normal.jpg","View")</f>
        <v>View</v>
      </c>
      <c r="P4744" s="11"/>
    </row>
    <row r="4745" spans="1:16" ht="12.75" x14ac:dyDescent="0.35">
      <c r="A4745" s="7">
        <v>42482.997384259259</v>
      </c>
      <c r="B4745" s="8" t="str">
        <f>HYPERLINK("https://twitter.com/Stony_BS","@Stony_BS")</f>
        <v>@Stony_BS</v>
      </c>
      <c r="C4745" s="9" t="s">
        <v>2680</v>
      </c>
      <c r="D4745" s="9" t="s">
        <v>11074</v>
      </c>
      <c r="E4745" s="10" t="str">
        <f>HYPERLINK("https://twitter.com/Stony_BS/status/723578677573877760","723578677573877760")</f>
        <v>723578677573877760</v>
      </c>
      <c r="F4745" s="11" t="s">
        <v>43</v>
      </c>
      <c r="G4745" s="11">
        <v>37</v>
      </c>
      <c r="H4745" s="11">
        <v>51</v>
      </c>
      <c r="I4745" s="11">
        <v>0</v>
      </c>
      <c r="J4745" s="11">
        <v>0</v>
      </c>
      <c r="K4745" s="11" t="s">
        <v>21</v>
      </c>
      <c r="L4745" s="7">
        <v>41928.806030092594</v>
      </c>
      <c r="M4745" s="12" t="s">
        <v>2682</v>
      </c>
      <c r="N4745" s="12" t="s">
        <v>2683</v>
      </c>
      <c r="O4745" s="10" t="str">
        <f>HYPERLINK("https://pbs.twimg.com/profile_images/668091779313500160/ZepxnJcI_normal.jpg","View")</f>
        <v>View</v>
      </c>
      <c r="P4745" s="11"/>
    </row>
    <row r="4746" spans="1:16" ht="12.75" x14ac:dyDescent="0.35">
      <c r="A4746" s="7">
        <v>42482.997662037036</v>
      </c>
      <c r="B4746" s="8" t="str">
        <f>HYPERLINK("https://twitter.com/suzzie20202020","@suzzie20202020")</f>
        <v>@suzzie20202020</v>
      </c>
      <c r="C4746" s="9" t="s">
        <v>11075</v>
      </c>
      <c r="D4746" s="9" t="s">
        <v>9970</v>
      </c>
      <c r="E4746" s="10" t="str">
        <f>HYPERLINK("https://twitter.com/suzzie20202020/status/723578775464644608","723578775464644608")</f>
        <v>723578775464644608</v>
      </c>
      <c r="F4746" s="11" t="s">
        <v>20</v>
      </c>
      <c r="G4746" s="11">
        <v>12</v>
      </c>
      <c r="H4746" s="11">
        <v>64</v>
      </c>
      <c r="I4746" s="11">
        <v>2</v>
      </c>
      <c r="J4746" s="11">
        <v>0</v>
      </c>
      <c r="K4746" s="11" t="s">
        <v>21</v>
      </c>
      <c r="L4746" s="7">
        <v>42438.983900462961</v>
      </c>
      <c r="M4746" s="12"/>
      <c r="N4746" s="12"/>
      <c r="O4746" s="10" t="str">
        <f>HYPERLINK("https://abs.twimg.com/sticky/default_profile_images/default_profile_0_normal.png","View")</f>
        <v>View</v>
      </c>
      <c r="P4746" s="11"/>
    </row>
    <row r="4747" spans="1:16" ht="12.75" x14ac:dyDescent="0.35">
      <c r="A4747" s="7">
        <v>42482.997719907406</v>
      </c>
      <c r="B4747" s="8" t="str">
        <f>HYPERLINK("https://twitter.com/EulenTweet","@EulenTweet")</f>
        <v>@EulenTweet</v>
      </c>
      <c r="C4747" s="9" t="s">
        <v>11076</v>
      </c>
      <c r="D4747" s="9" t="s">
        <v>11077</v>
      </c>
      <c r="E4747" s="10" t="str">
        <f>HYPERLINK("https://twitter.com/EulenTweet/status/723578795870003200","723578795870003200")</f>
        <v>723578795870003200</v>
      </c>
      <c r="F4747" s="11" t="s">
        <v>43</v>
      </c>
      <c r="G4747" s="11">
        <v>85</v>
      </c>
      <c r="H4747" s="11">
        <v>280</v>
      </c>
      <c r="I4747" s="11">
        <v>0</v>
      </c>
      <c r="J4747" s="11">
        <v>0</v>
      </c>
      <c r="K4747" s="11" t="s">
        <v>21</v>
      </c>
      <c r="L4747" s="7">
        <v>41996.518888888888</v>
      </c>
      <c r="M4747" s="12" t="s">
        <v>11078</v>
      </c>
      <c r="N4747" s="12" t="s">
        <v>11079</v>
      </c>
      <c r="O4747" s="10" t="str">
        <f>HYPERLINK("https://pbs.twimg.com/profile_images/547286236738490368/dnpW5lX0_normal.jpeg","View")</f>
        <v>View</v>
      </c>
      <c r="P4747" s="11"/>
    </row>
    <row r="4748" spans="1:16" ht="12.75" x14ac:dyDescent="0.35">
      <c r="A4748" s="7">
        <v>42482.997974537036</v>
      </c>
      <c r="B4748" s="8" t="str">
        <f>HYPERLINK("https://twitter.com/socialwriter","@socialwriter")</f>
        <v>@socialwriter</v>
      </c>
      <c r="C4748" s="9" t="s">
        <v>11080</v>
      </c>
      <c r="D4748" s="9" t="s">
        <v>10950</v>
      </c>
      <c r="E4748" s="10" t="str">
        <f>HYPERLINK("https://twitter.com/socialwriter/status/723578890854215680","723578890854215680")</f>
        <v>723578890854215680</v>
      </c>
      <c r="F4748" s="11" t="s">
        <v>43</v>
      </c>
      <c r="G4748" s="11">
        <v>84</v>
      </c>
      <c r="H4748" s="11">
        <v>32</v>
      </c>
      <c r="I4748" s="11">
        <v>6</v>
      </c>
      <c r="J4748" s="11">
        <v>0</v>
      </c>
      <c r="K4748" s="11" t="s">
        <v>21</v>
      </c>
      <c r="L4748" s="7">
        <v>39931.919247685189</v>
      </c>
      <c r="M4748" s="12" t="s">
        <v>11081</v>
      </c>
      <c r="N4748" s="12" t="s">
        <v>11082</v>
      </c>
      <c r="O4748" s="10" t="str">
        <f>HYPERLINK("https://pbs.twimg.com/profile_images/1364292067/Mann_mit_Fl_stert_te_normal.JPG","View")</f>
        <v>View</v>
      </c>
      <c r="P4748" s="11"/>
    </row>
    <row r="4749" spans="1:16" ht="12.75" x14ac:dyDescent="0.35">
      <c r="A4749" s="7">
        <v>42482.998819444445</v>
      </c>
      <c r="B4749" s="8" t="str">
        <f>HYPERLINK("https://twitter.com/a911girlie","@a911girlie")</f>
        <v>@a911girlie</v>
      </c>
      <c r="C4749" s="9" t="s">
        <v>11083</v>
      </c>
      <c r="D4749" s="9" t="s">
        <v>11084</v>
      </c>
      <c r="E4749" s="10" t="str">
        <f>HYPERLINK("https://twitter.com/a911girlie/status/723579195847237632","723579195847237632")</f>
        <v>723579195847237632</v>
      </c>
      <c r="F4749" s="11" t="s">
        <v>114</v>
      </c>
      <c r="G4749" s="11">
        <v>253</v>
      </c>
      <c r="H4749" s="11">
        <v>425</v>
      </c>
      <c r="I4749" s="11">
        <v>0</v>
      </c>
      <c r="J4749" s="11">
        <v>0</v>
      </c>
      <c r="K4749" s="11" t="s">
        <v>21</v>
      </c>
      <c r="L4749" s="7">
        <v>39968.916886574072</v>
      </c>
      <c r="M4749" s="12" t="s">
        <v>11085</v>
      </c>
      <c r="N4749" s="12" t="s">
        <v>11086</v>
      </c>
      <c r="O4749" s="10" t="str">
        <f>HYPERLINK("https://pbs.twimg.com/profile_images/447189869744631808/Kf4FEKKq_normal.jpeg","View")</f>
        <v>View</v>
      </c>
      <c r="P4749" s="11"/>
    </row>
    <row r="4750" spans="1:16" ht="12.75" x14ac:dyDescent="0.35">
      <c r="A4750" s="7">
        <v>42482.99927083333</v>
      </c>
      <c r="B4750" s="8" t="str">
        <f>HYPERLINK("https://twitter.com/Burslempottery","@Burslempottery")</f>
        <v>@Burslempottery</v>
      </c>
      <c r="C4750" s="9" t="s">
        <v>11087</v>
      </c>
      <c r="D4750" s="9" t="s">
        <v>11088</v>
      </c>
      <c r="E4750" s="10" t="str">
        <f>HYPERLINK("https://twitter.com/Burslempottery/status/723579358259089408","723579358259089408")</f>
        <v>723579358259089408</v>
      </c>
      <c r="F4750" s="11" t="s">
        <v>43</v>
      </c>
      <c r="G4750" s="11">
        <v>937</v>
      </c>
      <c r="H4750" s="11">
        <v>1410</v>
      </c>
      <c r="I4750" s="11">
        <v>2</v>
      </c>
      <c r="J4750" s="11">
        <v>0</v>
      </c>
      <c r="K4750" s="11" t="s">
        <v>21</v>
      </c>
      <c r="L4750" s="7">
        <v>40095.732106481482</v>
      </c>
      <c r="M4750" s="12" t="s">
        <v>11089</v>
      </c>
      <c r="N4750" s="12" t="s">
        <v>11090</v>
      </c>
      <c r="O4750" s="10" t="str">
        <f>HYPERLINK("https://pbs.twimg.com/profile_images/461151199/owl_photoshop_normal.jpg","View")</f>
        <v>View</v>
      </c>
      <c r="P4750" s="11"/>
    </row>
    <row r="4751" spans="1:16" ht="12.75" x14ac:dyDescent="0.35">
      <c r="A4751" s="7">
        <v>42482.99931712963</v>
      </c>
      <c r="B4751" s="8" t="str">
        <f>HYPERLINK("https://twitter.com/RaZeRiel","@RaZeRiel")</f>
        <v>@RaZeRiel</v>
      </c>
      <c r="C4751" s="9" t="s">
        <v>11091</v>
      </c>
      <c r="D4751" s="9" t="s">
        <v>11092</v>
      </c>
      <c r="E4751" s="10" t="str">
        <f>HYPERLINK("https://twitter.com/RaZeRiel/status/723579375057289217","723579375057289217")</f>
        <v>723579375057289217</v>
      </c>
      <c r="F4751" s="11" t="s">
        <v>43</v>
      </c>
      <c r="G4751" s="11">
        <v>478</v>
      </c>
      <c r="H4751" s="11">
        <v>1016</v>
      </c>
      <c r="I4751" s="11">
        <v>0</v>
      </c>
      <c r="J4751" s="11">
        <v>0</v>
      </c>
      <c r="K4751" s="11" t="s">
        <v>21</v>
      </c>
      <c r="L4751" s="7">
        <v>40695.294768518521</v>
      </c>
      <c r="M4751" s="12" t="s">
        <v>11093</v>
      </c>
      <c r="N4751" s="12" t="s">
        <v>11094</v>
      </c>
      <c r="O4751" s="10" t="str">
        <f>HYPERLINK("https://pbs.twimg.com/profile_images/425756630098001920/k5MIYSRu_normal.jpeg","View")</f>
        <v>View</v>
      </c>
      <c r="P4751" s="11"/>
    </row>
    <row r="4752" spans="1:16" ht="12.75" x14ac:dyDescent="0.35">
      <c r="A4752" s="7">
        <v>42483.000069444446</v>
      </c>
      <c r="B4752" s="8" t="str">
        <f>HYPERLINK("https://twitter.com/Fefe_crc","@Fefe_crc")</f>
        <v>@Fefe_crc</v>
      </c>
      <c r="C4752" s="9" t="s">
        <v>10503</v>
      </c>
      <c r="D4752" s="9" t="s">
        <v>10808</v>
      </c>
      <c r="E4752" s="10" t="str">
        <f>HYPERLINK("https://twitter.com/Fefe_crc/status/723579647775088640","723579647775088640")</f>
        <v>723579647775088640</v>
      </c>
      <c r="F4752" s="11" t="s">
        <v>48</v>
      </c>
      <c r="G4752" s="11">
        <v>651</v>
      </c>
      <c r="H4752" s="11">
        <v>259</v>
      </c>
      <c r="I4752" s="11">
        <v>28</v>
      </c>
      <c r="J4752" s="11">
        <v>0</v>
      </c>
      <c r="K4752" s="11" t="s">
        <v>21</v>
      </c>
      <c r="L4752" s="7">
        <v>41117.946828703702</v>
      </c>
      <c r="M4752" s="12" t="s">
        <v>10504</v>
      </c>
      <c r="N4752" s="12" t="s">
        <v>10505</v>
      </c>
      <c r="O4752" s="10" t="str">
        <f>HYPERLINK("https://pbs.twimg.com/profile_images/708317385292451840/hvGxvzeX_normal.jpg","View")</f>
        <v>View</v>
      </c>
      <c r="P4752" s="11"/>
    </row>
    <row r="4753" spans="1:16" ht="12.75" x14ac:dyDescent="0.35">
      <c r="A4753" s="7">
        <v>42483.0002662037</v>
      </c>
      <c r="B4753" s="8" t="str">
        <f>HYPERLINK("https://twitter.com/Mphilpot1","@Mphilpot1")</f>
        <v>@Mphilpot1</v>
      </c>
      <c r="C4753" s="9" t="s">
        <v>1280</v>
      </c>
      <c r="D4753" s="9" t="s">
        <v>11095</v>
      </c>
      <c r="E4753" s="10" t="str">
        <f>HYPERLINK("https://twitter.com/Mphilpot1/status/723579720005120001","723579720005120001")</f>
        <v>723579720005120001</v>
      </c>
      <c r="F4753" s="11" t="s">
        <v>34</v>
      </c>
      <c r="G4753" s="11">
        <v>113</v>
      </c>
      <c r="H4753" s="11">
        <v>141</v>
      </c>
      <c r="I4753" s="11">
        <v>0</v>
      </c>
      <c r="J4753" s="11">
        <v>0</v>
      </c>
      <c r="K4753" s="11" t="s">
        <v>21</v>
      </c>
      <c r="L4753" s="7">
        <v>41137.855208333334</v>
      </c>
      <c r="M4753" s="12"/>
      <c r="N4753" s="12"/>
      <c r="O4753" s="10" t="str">
        <f>HYPERLINK("https://pbs.twimg.com/profile_images/422164778639839234/LVnS1q1c_normal.jpeg","View")</f>
        <v>View</v>
      </c>
      <c r="P4753" s="11"/>
    </row>
    <row r="4754" spans="1:16" ht="12.75" x14ac:dyDescent="0.35">
      <c r="A4754" s="7">
        <v>42483.000439814816</v>
      </c>
      <c r="B4754" s="8" t="str">
        <f>HYPERLINK("https://twitter.com/theoneliner_","@theoneliner_")</f>
        <v>@theoneliner_</v>
      </c>
      <c r="C4754" s="9" t="s">
        <v>11096</v>
      </c>
      <c r="D4754" s="9" t="s">
        <v>10837</v>
      </c>
      <c r="E4754" s="10" t="str">
        <f>HYPERLINK("https://twitter.com/theoneliner_/status/723579784807211008","723579784807211008")</f>
        <v>723579784807211008</v>
      </c>
      <c r="F4754" s="11" t="s">
        <v>48</v>
      </c>
      <c r="G4754" s="11">
        <v>17</v>
      </c>
      <c r="H4754" s="11">
        <v>150</v>
      </c>
      <c r="I4754" s="11">
        <v>10</v>
      </c>
      <c r="J4754" s="11">
        <v>0</v>
      </c>
      <c r="K4754" s="11" t="s">
        <v>21</v>
      </c>
      <c r="L4754" s="7">
        <v>42213.995937500003</v>
      </c>
      <c r="M4754" s="12"/>
      <c r="N4754" s="12"/>
      <c r="O4754" s="10" t="str">
        <f>HYPERLINK("https://pbs.twimg.com/profile_images/626096492722393088/4PV3tOXU_normal.jpg","View")</f>
        <v>View</v>
      </c>
      <c r="P4754" s="11"/>
    </row>
    <row r="4755" spans="1:16" ht="12.75" x14ac:dyDescent="0.35">
      <c r="A4755" s="7">
        <v>42483.000532407408</v>
      </c>
      <c r="B4755" s="8" t="str">
        <f>HYPERLINK("https://twitter.com/bucknasty1213","@bucknasty1213")</f>
        <v>@bucknasty1213</v>
      </c>
      <c r="C4755" s="9" t="s">
        <v>11097</v>
      </c>
      <c r="D4755" s="9" t="s">
        <v>11098</v>
      </c>
      <c r="E4755" s="10" t="str">
        <f>HYPERLINK("https://twitter.com/bucknasty1213/status/723579818919469056","723579818919469056")</f>
        <v>723579818919469056</v>
      </c>
      <c r="F4755" s="11" t="s">
        <v>114</v>
      </c>
      <c r="G4755" s="11">
        <v>248</v>
      </c>
      <c r="H4755" s="11">
        <v>596</v>
      </c>
      <c r="I4755" s="11">
        <v>0</v>
      </c>
      <c r="J4755" s="11">
        <v>0</v>
      </c>
      <c r="K4755" s="11" t="s">
        <v>21</v>
      </c>
      <c r="L4755" s="7">
        <v>40665.698842592596</v>
      </c>
      <c r="M4755" s="12"/>
      <c r="N4755" s="12"/>
      <c r="O4755" s="10" t="str">
        <f>HYPERLINK("https://pbs.twimg.com/profile_images/1829211721/5f3oj1Vv_normal","View")</f>
        <v>View</v>
      </c>
      <c r="P4755" s="10" t="str">
        <f>HYPERLINK("http://ctrlq.org/maps/address/#41.0327,-72.208","Map")</f>
        <v>Map</v>
      </c>
    </row>
    <row r="4756" spans="1:16" ht="12.75" x14ac:dyDescent="0.35">
      <c r="A4756" s="7">
        <v>42483.000833333332</v>
      </c>
      <c r="B4756" s="8" t="str">
        <f>HYPERLINK("https://twitter.com/authormrmike059","@authormrmike059")</f>
        <v>@authormrmike059</v>
      </c>
      <c r="C4756" s="9" t="s">
        <v>11099</v>
      </c>
      <c r="D4756" s="9" t="s">
        <v>11100</v>
      </c>
      <c r="E4756" s="10" t="str">
        <f>HYPERLINK("https://twitter.com/authormrmike059/status/723579927983980544","723579927983980544")</f>
        <v>723579927983980544</v>
      </c>
      <c r="F4756" s="11" t="s">
        <v>43</v>
      </c>
      <c r="G4756" s="11">
        <v>4564</v>
      </c>
      <c r="H4756" s="11">
        <v>5005</v>
      </c>
      <c r="I4756" s="11">
        <v>6</v>
      </c>
      <c r="J4756" s="11">
        <v>0</v>
      </c>
      <c r="K4756" s="11" t="s">
        <v>21</v>
      </c>
      <c r="L4756" s="7">
        <v>42129.732835648145</v>
      </c>
      <c r="M4756" s="12" t="s">
        <v>11101</v>
      </c>
      <c r="N4756" s="12" t="s">
        <v>11102</v>
      </c>
      <c r="O4756" s="10" t="str">
        <f>HYPERLINK("https://pbs.twimg.com/profile_images/595566449315328000/SA2bNnvl_normal.jpg","View")</f>
        <v>View</v>
      </c>
      <c r="P4756" s="11"/>
    </row>
    <row r="4757" spans="1:16" ht="12.75" x14ac:dyDescent="0.35">
      <c r="A4757" s="7">
        <v>42483.000925925924</v>
      </c>
      <c r="B4757" s="8" t="str">
        <f>HYPERLINK("https://twitter.com/Stony_BS","@Stony_BS")</f>
        <v>@Stony_BS</v>
      </c>
      <c r="C4757" s="9" t="s">
        <v>2680</v>
      </c>
      <c r="D4757" s="9" t="s">
        <v>11103</v>
      </c>
      <c r="E4757" s="10" t="str">
        <f>HYPERLINK("https://twitter.com/Stony_BS/status/723579958749212674","723579958749212674")</f>
        <v>723579958749212674</v>
      </c>
      <c r="F4757" s="11" t="s">
        <v>43</v>
      </c>
      <c r="G4757" s="11">
        <v>37</v>
      </c>
      <c r="H4757" s="11">
        <v>51</v>
      </c>
      <c r="I4757" s="11">
        <v>0</v>
      </c>
      <c r="J4757" s="11">
        <v>0</v>
      </c>
      <c r="K4757" s="11" t="s">
        <v>21</v>
      </c>
      <c r="L4757" s="7">
        <v>41928.806030092594</v>
      </c>
      <c r="M4757" s="12" t="s">
        <v>2682</v>
      </c>
      <c r="N4757" s="12" t="s">
        <v>2683</v>
      </c>
      <c r="O4757" s="10" t="str">
        <f>HYPERLINK("https://pbs.twimg.com/profile_images/668091779313500160/ZepxnJcI_normal.jpg","View")</f>
        <v>View</v>
      </c>
      <c r="P4757" s="11"/>
    </row>
    <row r="4758" spans="1:16" ht="12.75" x14ac:dyDescent="0.35">
      <c r="A4758" s="7">
        <v>42483.001018518524</v>
      </c>
      <c r="B4758" s="8" t="str">
        <f>HYPERLINK("https://twitter.com/karingonzalez2","@karingonzalez2")</f>
        <v>@karingonzalez2</v>
      </c>
      <c r="C4758" s="9" t="s">
        <v>11104</v>
      </c>
      <c r="D4758" s="9" t="s">
        <v>2825</v>
      </c>
      <c r="E4758" s="10" t="str">
        <f>HYPERLINK("https://twitter.com/karingonzalez2/status/723579993935237122","723579993935237122")</f>
        <v>723579993935237122</v>
      </c>
      <c r="F4758" s="11" t="s">
        <v>48</v>
      </c>
      <c r="G4758" s="11">
        <v>3824</v>
      </c>
      <c r="H4758" s="11">
        <v>2934</v>
      </c>
      <c r="I4758" s="11">
        <v>55</v>
      </c>
      <c r="J4758" s="11">
        <v>0</v>
      </c>
      <c r="K4758" s="11" t="s">
        <v>21</v>
      </c>
      <c r="L4758" s="7">
        <v>40735.185358796298</v>
      </c>
      <c r="M4758" s="12" t="s">
        <v>11105</v>
      </c>
      <c r="N4758" s="12" t="s">
        <v>11106</v>
      </c>
      <c r="O4758" s="10" t="str">
        <f>HYPERLINK("https://pbs.twimg.com/profile_images/712479461703335937/fzllmCrI_normal.jpg","View")</f>
        <v>View</v>
      </c>
      <c r="P4758" s="11"/>
    </row>
    <row r="4759" spans="1:16" ht="12.75" x14ac:dyDescent="0.35">
      <c r="A4759" s="7">
        <v>42483.001064814816</v>
      </c>
      <c r="B4759" s="8" t="str">
        <f>HYPERLINK("https://twitter.com/Colson_Hicks","@Colson_Hicks")</f>
        <v>@Colson_Hicks</v>
      </c>
      <c r="C4759" s="9" t="s">
        <v>11107</v>
      </c>
      <c r="D4759" s="9" t="s">
        <v>11108</v>
      </c>
      <c r="E4759" s="10" t="str">
        <f>HYPERLINK("https://twitter.com/Colson_Hicks/status/723580008766144512","723580008766144512")</f>
        <v>723580008766144512</v>
      </c>
      <c r="F4759" s="11" t="s">
        <v>43</v>
      </c>
      <c r="G4759" s="11">
        <v>219</v>
      </c>
      <c r="H4759" s="11">
        <v>139</v>
      </c>
      <c r="I4759" s="11">
        <v>0</v>
      </c>
      <c r="J4759" s="11">
        <v>0</v>
      </c>
      <c r="K4759" s="11" t="s">
        <v>21</v>
      </c>
      <c r="L4759" s="7">
        <v>40611.074525462966</v>
      </c>
      <c r="M4759" s="12" t="s">
        <v>11109</v>
      </c>
      <c r="N4759" s="12" t="s">
        <v>11110</v>
      </c>
      <c r="O4759" s="10" t="str">
        <f>HYPERLINK("https://pbs.twimg.com/profile_images/2460141036/sjyibdigjv1d2c6e1sb0_normal.jpeg","View")</f>
        <v>View</v>
      </c>
      <c r="P4759" s="11"/>
    </row>
    <row r="4760" spans="1:16" ht="12.75" x14ac:dyDescent="0.35">
      <c r="A4760" s="7">
        <v>42483.001064814816</v>
      </c>
      <c r="B4760" s="8" t="str">
        <f>HYPERLINK("https://twitter.com/Nevriye24","@Nevriye24")</f>
        <v>@Nevriye24</v>
      </c>
      <c r="C4760" s="9" t="s">
        <v>11111</v>
      </c>
      <c r="D4760" s="9" t="s">
        <v>10707</v>
      </c>
      <c r="E4760" s="10" t="str">
        <f>HYPERLINK("https://twitter.com/Nevriye24/status/723580009168904192","723580009168904192")</f>
        <v>723580009168904192</v>
      </c>
      <c r="F4760" s="11" t="s">
        <v>48</v>
      </c>
      <c r="G4760" s="11">
        <v>383</v>
      </c>
      <c r="H4760" s="11">
        <v>424</v>
      </c>
      <c r="I4760" s="11">
        <v>4</v>
      </c>
      <c r="J4760" s="11">
        <v>0</v>
      </c>
      <c r="K4760" s="11" t="s">
        <v>21</v>
      </c>
      <c r="L4760" s="7">
        <v>41537.806435185186</v>
      </c>
      <c r="M4760" s="12"/>
      <c r="N4760" s="12"/>
      <c r="O4760" s="10" t="str">
        <f>HYPERLINK("https://pbs.twimg.com/profile_images/378800000482732625/294a30a57cb74ab8221d2c411bd22a55_normal.jpeg","View")</f>
        <v>View</v>
      </c>
      <c r="P4760" s="11"/>
    </row>
    <row r="4761" spans="1:16" ht="12.75" x14ac:dyDescent="0.35">
      <c r="A4761" s="7">
        <v>42483.001342592594</v>
      </c>
      <c r="B4761" s="8" t="str">
        <f>HYPERLINK("https://twitter.com/BalrajGhattaura","@BalrajGhattaura")</f>
        <v>@BalrajGhattaura</v>
      </c>
      <c r="C4761" s="9" t="s">
        <v>11112</v>
      </c>
      <c r="D4761" s="9" t="s">
        <v>10837</v>
      </c>
      <c r="E4761" s="10" t="str">
        <f>HYPERLINK("https://twitter.com/BalrajGhattaura/status/723580111648362496","723580111648362496")</f>
        <v>723580111648362496</v>
      </c>
      <c r="F4761" s="11" t="s">
        <v>20</v>
      </c>
      <c r="G4761" s="11">
        <v>7</v>
      </c>
      <c r="H4761" s="11">
        <v>87</v>
      </c>
      <c r="I4761" s="11">
        <v>10</v>
      </c>
      <c r="J4761" s="11">
        <v>0</v>
      </c>
      <c r="K4761" s="11" t="s">
        <v>21</v>
      </c>
      <c r="L4761" s="7">
        <v>40507.803946759261</v>
      </c>
      <c r="M4761" s="12" t="s">
        <v>638</v>
      </c>
      <c r="N4761" s="12" t="s">
        <v>11113</v>
      </c>
      <c r="O4761" s="10" t="str">
        <f>HYPERLINK("https://pbs.twimg.com/profile_images/378800000743480671/888bf2d3d6d63ffa431b47127494902b_normal.jpeg","View")</f>
        <v>View</v>
      </c>
      <c r="P4761" s="11"/>
    </row>
    <row r="4762" spans="1:16" ht="12.75" x14ac:dyDescent="0.35">
      <c r="A4762" s="7">
        <v>42483.001562500001</v>
      </c>
      <c r="B4762" s="8" t="str">
        <f>HYPERLINK("https://twitter.com/Stony_BS","@Stony_BS")</f>
        <v>@Stony_BS</v>
      </c>
      <c r="C4762" s="9" t="s">
        <v>2680</v>
      </c>
      <c r="D4762" s="9" t="s">
        <v>11114</v>
      </c>
      <c r="E4762" s="10" t="str">
        <f>HYPERLINK("https://twitter.com/Stony_BS/status/723580192036392960","723580192036392960")</f>
        <v>723580192036392960</v>
      </c>
      <c r="F4762" s="11" t="s">
        <v>43</v>
      </c>
      <c r="G4762" s="11">
        <v>37</v>
      </c>
      <c r="H4762" s="11">
        <v>51</v>
      </c>
      <c r="I4762" s="11">
        <v>0</v>
      </c>
      <c r="J4762" s="11">
        <v>1</v>
      </c>
      <c r="K4762" s="11" t="s">
        <v>21</v>
      </c>
      <c r="L4762" s="7">
        <v>41928.806030092594</v>
      </c>
      <c r="M4762" s="12" t="s">
        <v>2682</v>
      </c>
      <c r="N4762" s="12" t="s">
        <v>2683</v>
      </c>
      <c r="O4762" s="10" t="str">
        <f>HYPERLINK("https://pbs.twimg.com/profile_images/668091779313500160/ZepxnJcI_normal.jpg","View")</f>
        <v>View</v>
      </c>
      <c r="P4762" s="11"/>
    </row>
    <row r="4763" spans="1:16" ht="12.75" x14ac:dyDescent="0.35">
      <c r="A4763" s="7">
        <v>42483.002152777779</v>
      </c>
      <c r="B4763" s="8" t="str">
        <f t="shared" ref="B4763:B4765" si="407">HYPERLINK("https://twitter.com/VWBeetleSales","@VWBeetleSales")</f>
        <v>@VWBeetleSales</v>
      </c>
      <c r="C4763" s="9" t="s">
        <v>127</v>
      </c>
      <c r="D4763" s="9" t="s">
        <v>11115</v>
      </c>
      <c r="E4763" s="10" t="str">
        <f>HYPERLINK("https://twitter.com/VWBeetleSales/status/723580405593440256","723580405593440256")</f>
        <v>723580405593440256</v>
      </c>
      <c r="F4763" s="10" t="s">
        <v>124</v>
      </c>
      <c r="G4763" s="11">
        <v>36</v>
      </c>
      <c r="H4763" s="11">
        <v>32</v>
      </c>
      <c r="I4763" s="11">
        <v>0</v>
      </c>
      <c r="J4763" s="11">
        <v>0</v>
      </c>
      <c r="K4763" s="11" t="s">
        <v>21</v>
      </c>
      <c r="L4763" s="7">
        <v>42427.019756944443</v>
      </c>
      <c r="M4763" s="12" t="s">
        <v>129</v>
      </c>
      <c r="N4763" s="12" t="s">
        <v>130</v>
      </c>
      <c r="O4763" s="10" t="str">
        <f t="shared" ref="O4763:O4765" si="408">HYPERLINK("https://pbs.twimg.com/profile_images/703294545195307008/qeCvrX86_normal.jpg","View")</f>
        <v>View</v>
      </c>
      <c r="P4763" s="11"/>
    </row>
    <row r="4764" spans="1:16" ht="12.75" x14ac:dyDescent="0.35">
      <c r="A4764" s="7">
        <v>42483.002175925925</v>
      </c>
      <c r="B4764" s="8" t="str">
        <f t="shared" si="407"/>
        <v>@VWBeetleSales</v>
      </c>
      <c r="C4764" s="9" t="s">
        <v>127</v>
      </c>
      <c r="D4764" s="9" t="s">
        <v>11116</v>
      </c>
      <c r="E4764" s="10" t="str">
        <f>HYPERLINK("https://twitter.com/VWBeetleSales/status/723580413206089728","723580413206089728")</f>
        <v>723580413206089728</v>
      </c>
      <c r="F4764" s="10" t="s">
        <v>124</v>
      </c>
      <c r="G4764" s="11">
        <v>36</v>
      </c>
      <c r="H4764" s="11">
        <v>32</v>
      </c>
      <c r="I4764" s="11">
        <v>0</v>
      </c>
      <c r="J4764" s="11">
        <v>0</v>
      </c>
      <c r="K4764" s="11" t="s">
        <v>21</v>
      </c>
      <c r="L4764" s="7">
        <v>42427.019756944443</v>
      </c>
      <c r="M4764" s="12" t="s">
        <v>129</v>
      </c>
      <c r="N4764" s="12" t="s">
        <v>130</v>
      </c>
      <c r="O4764" s="10" t="str">
        <f t="shared" si="408"/>
        <v>View</v>
      </c>
      <c r="P4764" s="11"/>
    </row>
    <row r="4765" spans="1:16" ht="12.75" x14ac:dyDescent="0.35">
      <c r="A4765" s="7">
        <v>42483.002199074079</v>
      </c>
      <c r="B4765" s="8" t="str">
        <f t="shared" si="407"/>
        <v>@VWBeetleSales</v>
      </c>
      <c r="C4765" s="9" t="s">
        <v>127</v>
      </c>
      <c r="D4765" s="9" t="s">
        <v>11117</v>
      </c>
      <c r="E4765" s="10" t="str">
        <f>HYPERLINK("https://twitter.com/VWBeetleSales/status/723580419992514561","723580419992514561")</f>
        <v>723580419992514561</v>
      </c>
      <c r="F4765" s="10" t="s">
        <v>124</v>
      </c>
      <c r="G4765" s="11">
        <v>36</v>
      </c>
      <c r="H4765" s="11">
        <v>32</v>
      </c>
      <c r="I4765" s="11">
        <v>0</v>
      </c>
      <c r="J4765" s="11">
        <v>0</v>
      </c>
      <c r="K4765" s="11" t="s">
        <v>21</v>
      </c>
      <c r="L4765" s="7">
        <v>42427.019756944443</v>
      </c>
      <c r="M4765" s="12" t="s">
        <v>129</v>
      </c>
      <c r="N4765" s="12" t="s">
        <v>130</v>
      </c>
      <c r="O4765" s="10" t="str">
        <f t="shared" si="408"/>
        <v>View</v>
      </c>
      <c r="P4765" s="11"/>
    </row>
    <row r="4766" spans="1:16" ht="12.75" x14ac:dyDescent="0.35">
      <c r="A4766" s="7">
        <v>42483.002199074079</v>
      </c>
      <c r="B4766" s="8" t="str">
        <f>HYPERLINK("https://twitter.com/GlobalEthicist","@GlobalEthicist")</f>
        <v>@GlobalEthicist</v>
      </c>
      <c r="C4766" s="9" t="s">
        <v>2068</v>
      </c>
      <c r="D4766" s="9" t="s">
        <v>11118</v>
      </c>
      <c r="E4766" s="10" t="str">
        <f>HYPERLINK("https://twitter.com/GlobalEthicist/status/723580420277805057","723580420277805057")</f>
        <v>723580420277805057</v>
      </c>
      <c r="F4766" s="11" t="s">
        <v>43</v>
      </c>
      <c r="G4766" s="11">
        <v>1536</v>
      </c>
      <c r="H4766" s="11">
        <v>1161</v>
      </c>
      <c r="I4766" s="11">
        <v>0</v>
      </c>
      <c r="J4766" s="11">
        <v>0</v>
      </c>
      <c r="K4766" s="11" t="s">
        <v>21</v>
      </c>
      <c r="L4766" s="7">
        <v>40666.278483796297</v>
      </c>
      <c r="M4766" s="12" t="s">
        <v>2070</v>
      </c>
      <c r="N4766" s="12" t="s">
        <v>2071</v>
      </c>
      <c r="O4766" s="10" t="str">
        <f>HYPERLINK("https://pbs.twimg.com/profile_images/521406560179085312/6RyXKIat_normal.jpeg","View")</f>
        <v>View</v>
      </c>
      <c r="P4766" s="11"/>
    </row>
    <row r="4767" spans="1:16" ht="12.75" x14ac:dyDescent="0.35">
      <c r="A4767" s="7">
        <v>42483.00299768518</v>
      </c>
      <c r="B4767" s="8" t="str">
        <f>HYPERLINK("https://twitter.com/lumnon","@lumnon")</f>
        <v>@lumnon</v>
      </c>
      <c r="C4767" s="9" t="s">
        <v>11119</v>
      </c>
      <c r="D4767" s="9" t="s">
        <v>9280</v>
      </c>
      <c r="E4767" s="10" t="str">
        <f>HYPERLINK("https://twitter.com/lumnon/status/723580711257706496","723580711257706496")</f>
        <v>723580711257706496</v>
      </c>
      <c r="F4767" s="11" t="s">
        <v>48</v>
      </c>
      <c r="G4767" s="11">
        <v>41</v>
      </c>
      <c r="H4767" s="11">
        <v>30</v>
      </c>
      <c r="I4767" s="11">
        <v>2</v>
      </c>
      <c r="J4767" s="11">
        <v>0</v>
      </c>
      <c r="K4767" s="11" t="s">
        <v>21</v>
      </c>
      <c r="L4767" s="7">
        <v>40764.142847222218</v>
      </c>
      <c r="M4767" s="12" t="s">
        <v>11120</v>
      </c>
      <c r="N4767" s="12" t="s">
        <v>11121</v>
      </c>
      <c r="O4767" s="10" t="str">
        <f>HYPERLINK("https://pbs.twimg.com/profile_images/1485945406/207925_113294028751758_100002134839482_119781_4289885_n_normal.jpg","View")</f>
        <v>View</v>
      </c>
      <c r="P4767" s="11"/>
    </row>
    <row r="4768" spans="1:16" ht="12.75" x14ac:dyDescent="0.35">
      <c r="A4768" s="7">
        <v>42483.003055555557</v>
      </c>
      <c r="B4768" s="8" t="str">
        <f>HYPERLINK("https://twitter.com/DriveEv","@DriveEv")</f>
        <v>@DriveEv</v>
      </c>
      <c r="C4768" s="9" t="s">
        <v>11122</v>
      </c>
      <c r="D4768" s="9" t="s">
        <v>11123</v>
      </c>
      <c r="E4768" s="10" t="str">
        <f>HYPERLINK("https://twitter.com/DriveEv/status/723580731583270912","723580731583270912")</f>
        <v>723580731583270912</v>
      </c>
      <c r="F4768" s="11" t="s">
        <v>91</v>
      </c>
      <c r="G4768" s="11">
        <v>1041</v>
      </c>
      <c r="H4768" s="11">
        <v>241</v>
      </c>
      <c r="I4768" s="11">
        <v>0</v>
      </c>
      <c r="J4768" s="11">
        <v>0</v>
      </c>
      <c r="K4768" s="11" t="s">
        <v>21</v>
      </c>
      <c r="L4768" s="7">
        <v>42192.137939814813</v>
      </c>
      <c r="M4768" s="12" t="s">
        <v>129</v>
      </c>
      <c r="N4768" s="12" t="s">
        <v>11124</v>
      </c>
      <c r="O4768" s="10" t="str">
        <f>HYPERLINK("https://pbs.twimg.com/profile_images/722409786629885952/DJ7FnCpI_normal.jpg","View")</f>
        <v>View</v>
      </c>
      <c r="P4768" s="11"/>
    </row>
    <row r="4769" spans="1:16" ht="12.75" x14ac:dyDescent="0.35">
      <c r="A4769" s="7">
        <v>42483.003483796296</v>
      </c>
      <c r="B4769" s="8" t="str">
        <f>HYPERLINK("https://twitter.com/birminghamVWCV","@birminghamVWCV")</f>
        <v>@birminghamVWCV</v>
      </c>
      <c r="C4769" s="9" t="s">
        <v>11125</v>
      </c>
      <c r="D4769" s="9" t="s">
        <v>11126</v>
      </c>
      <c r="E4769" s="10" t="str">
        <f>HYPERLINK("https://twitter.com/birminghamVWCV/status/723580887703543808","723580887703543808")</f>
        <v>723580887703543808</v>
      </c>
      <c r="F4769" s="11" t="s">
        <v>140</v>
      </c>
      <c r="G4769" s="11">
        <v>1031</v>
      </c>
      <c r="H4769" s="11">
        <v>858</v>
      </c>
      <c r="I4769" s="11">
        <v>0</v>
      </c>
      <c r="J4769" s="11">
        <v>0</v>
      </c>
      <c r="K4769" s="11" t="s">
        <v>21</v>
      </c>
      <c r="L4769" s="7">
        <v>40249.756030092591</v>
      </c>
      <c r="M4769" s="12" t="s">
        <v>129</v>
      </c>
      <c r="N4769" s="12" t="s">
        <v>11127</v>
      </c>
      <c r="O4769" s="10" t="str">
        <f>HYPERLINK("https://pbs.twimg.com/profile_images/488710473336889344/zkbG6NtN_normal.jpeg","View")</f>
        <v>View</v>
      </c>
      <c r="P4769" s="11"/>
    </row>
    <row r="4770" spans="1:16" ht="12.75" x14ac:dyDescent="0.35">
      <c r="A4770" s="7">
        <v>42483.003483796296</v>
      </c>
      <c r="B4770" s="8" t="str">
        <f>HYPERLINK("https://twitter.com/swanswaygroup","@swanswaygroup")</f>
        <v>@swanswaygroup</v>
      </c>
      <c r="C4770" s="9" t="s">
        <v>2558</v>
      </c>
      <c r="D4770" s="9" t="s">
        <v>11128</v>
      </c>
      <c r="E4770" s="10" t="str">
        <f>HYPERLINK("https://twitter.com/swanswaygroup/status/723580887707705344","723580887707705344")</f>
        <v>723580887707705344</v>
      </c>
      <c r="F4770" s="11" t="s">
        <v>140</v>
      </c>
      <c r="G4770" s="11">
        <v>6202</v>
      </c>
      <c r="H4770" s="11">
        <v>4461</v>
      </c>
      <c r="I4770" s="11">
        <v>0</v>
      </c>
      <c r="J4770" s="11">
        <v>0</v>
      </c>
      <c r="K4770" s="11" t="s">
        <v>21</v>
      </c>
      <c r="L4770" s="7">
        <v>40137.651365740741</v>
      </c>
      <c r="M4770" s="12" t="s">
        <v>2560</v>
      </c>
      <c r="N4770" s="12" t="s">
        <v>2561</v>
      </c>
      <c r="O4770" s="10" t="str">
        <f>HYPERLINK("https://pbs.twimg.com/profile_images/552037189328982016/r65JRGTS_normal.jpeg","View")</f>
        <v>View</v>
      </c>
      <c r="P4770" s="11"/>
    </row>
    <row r="4771" spans="1:16" ht="12.75" x14ac:dyDescent="0.35">
      <c r="A4771" s="7">
        <v>42483.003483796296</v>
      </c>
      <c r="B4771" s="8" t="str">
        <f>HYPERLINK("https://twitter.com/MotoringPodcast","@MotoringPodcast")</f>
        <v>@MotoringPodcast</v>
      </c>
      <c r="C4771" s="9" t="s">
        <v>8752</v>
      </c>
      <c r="D4771" s="9" t="s">
        <v>11129</v>
      </c>
      <c r="E4771" s="10" t="str">
        <f>HYPERLINK("https://twitter.com/MotoringPodcast/status/723580887850463232","723580887850463232")</f>
        <v>723580887850463232</v>
      </c>
      <c r="F4771" s="11" t="s">
        <v>114</v>
      </c>
      <c r="G4771" s="11">
        <v>134</v>
      </c>
      <c r="H4771" s="11">
        <v>235</v>
      </c>
      <c r="I4771" s="11">
        <v>0</v>
      </c>
      <c r="J4771" s="11">
        <v>0</v>
      </c>
      <c r="K4771" s="11" t="s">
        <v>21</v>
      </c>
      <c r="L4771" s="7">
        <v>42011.100821759261</v>
      </c>
      <c r="M4771" s="12" t="s">
        <v>8753</v>
      </c>
      <c r="N4771" s="12" t="s">
        <v>8754</v>
      </c>
      <c r="O4771" s="10" t="str">
        <f>HYPERLINK("https://pbs.twimg.com/profile_images/718471023616770049/pJARbhRj_normal.jpg","View")</f>
        <v>View</v>
      </c>
      <c r="P4771" s="11"/>
    </row>
    <row r="4772" spans="1:16" ht="12.75" x14ac:dyDescent="0.35">
      <c r="A4772" s="7">
        <v>42483.003599537042</v>
      </c>
      <c r="B4772" s="8" t="str">
        <f>HYPERLINK("https://twitter.com/LukasSustala","@LukasSustala")</f>
        <v>@LukasSustala</v>
      </c>
      <c r="C4772" s="9" t="s">
        <v>11130</v>
      </c>
      <c r="D4772" s="9" t="s">
        <v>11131</v>
      </c>
      <c r="E4772" s="10" t="str">
        <f>HYPERLINK("https://twitter.com/LukasSustala/status/723580927658602496","723580927658602496")</f>
        <v>723580927658602496</v>
      </c>
      <c r="F4772" s="11" t="s">
        <v>91</v>
      </c>
      <c r="G4772" s="11">
        <v>2114</v>
      </c>
      <c r="H4772" s="11">
        <v>891</v>
      </c>
      <c r="I4772" s="11">
        <v>0</v>
      </c>
      <c r="J4772" s="11">
        <v>0</v>
      </c>
      <c r="K4772" s="11" t="s">
        <v>21</v>
      </c>
      <c r="L4772" s="7">
        <v>40422.89708333333</v>
      </c>
      <c r="M4772" s="12" t="s">
        <v>3289</v>
      </c>
      <c r="N4772" s="12" t="s">
        <v>11132</v>
      </c>
      <c r="O4772" s="10" t="str">
        <f>HYPERLINK("https://pbs.twimg.com/profile_images/715271545690722305/zk42HaIU_normal.jpg","View")</f>
        <v>View</v>
      </c>
      <c r="P4772" s="11"/>
    </row>
    <row r="4773" spans="1:16" ht="12.75" x14ac:dyDescent="0.35">
      <c r="A4773" s="7">
        <v>42483.004201388889</v>
      </c>
      <c r="B4773" s="8" t="str">
        <f>HYPERLINK("https://twitter.com/VWofGG","@VWofGG")</f>
        <v>@VWofGG</v>
      </c>
      <c r="C4773" s="9" t="s">
        <v>11133</v>
      </c>
      <c r="D4773" s="9" t="s">
        <v>11134</v>
      </c>
      <c r="E4773" s="10" t="str">
        <f>HYPERLINK("https://twitter.com/VWofGG/status/723581146135728129","723581146135728129")</f>
        <v>723581146135728129</v>
      </c>
      <c r="F4773" s="11" t="s">
        <v>53</v>
      </c>
      <c r="G4773" s="11">
        <v>857</v>
      </c>
      <c r="H4773" s="11">
        <v>211</v>
      </c>
      <c r="I4773" s="11">
        <v>0</v>
      </c>
      <c r="J4773" s="11">
        <v>0</v>
      </c>
      <c r="K4773" s="11" t="s">
        <v>21</v>
      </c>
      <c r="L4773" s="7">
        <v>39828.020115740743</v>
      </c>
      <c r="M4773" s="12" t="s">
        <v>11135</v>
      </c>
      <c r="N4773" s="12" t="s">
        <v>11136</v>
      </c>
      <c r="O4773" s="10" t="str">
        <f>HYPERLINK("https://pbs.twimg.com/profile_images/3503160267/b8e1e70e006fa9b9e777b8f236d61c3d_normal.jpeg","View")</f>
        <v>View</v>
      </c>
      <c r="P4773" s="11"/>
    </row>
    <row r="4774" spans="1:16" ht="12.75" x14ac:dyDescent="0.35">
      <c r="A4774" s="7">
        <v>42483.004687499997</v>
      </c>
      <c r="B4774" s="8" t="str">
        <f>HYPERLINK("https://twitter.com/OseaesO","@OseaesO")</f>
        <v>@OseaesO</v>
      </c>
      <c r="C4774" s="9" t="s">
        <v>11137</v>
      </c>
      <c r="D4774" s="9" t="s">
        <v>11138</v>
      </c>
      <c r="E4774" s="10" t="str">
        <f>HYPERLINK("https://twitter.com/OseaesO/status/723581322673958913","723581322673958913")</f>
        <v>723581322673958913</v>
      </c>
      <c r="F4774" s="11" t="s">
        <v>48</v>
      </c>
      <c r="G4774" s="11">
        <v>71</v>
      </c>
      <c r="H4774" s="11">
        <v>98</v>
      </c>
      <c r="I4774" s="11">
        <v>0</v>
      </c>
      <c r="J4774" s="11">
        <v>0</v>
      </c>
      <c r="K4774" s="11" t="s">
        <v>21</v>
      </c>
      <c r="L4774" s="7">
        <v>40640.157766203702</v>
      </c>
      <c r="M4774" s="12"/>
      <c r="N4774" s="12"/>
      <c r="O4774" s="10" t="str">
        <f>HYPERLINK("https://pbs.twimg.com/profile_images/2170953039/Gargola_normal.jpeg","View")</f>
        <v>View</v>
      </c>
      <c r="P4774" s="11"/>
    </row>
    <row r="4775" spans="1:16" ht="12.75" x14ac:dyDescent="0.35">
      <c r="A4775" s="7">
        <v>42483.005208333328</v>
      </c>
      <c r="B4775" s="8" t="str">
        <f>HYPERLINK("https://twitter.com/dft","@dft")</f>
        <v>@dft</v>
      </c>
      <c r="C4775" s="9" t="s">
        <v>11139</v>
      </c>
      <c r="D4775" s="9" t="s">
        <v>11140</v>
      </c>
      <c r="E4775" s="10" t="str">
        <f>HYPERLINK("https://twitter.com/dft/status/723581512797573121","723581512797573121")</f>
        <v>723581512797573121</v>
      </c>
      <c r="F4775" s="11" t="s">
        <v>43</v>
      </c>
      <c r="G4775" s="11">
        <v>17431</v>
      </c>
      <c r="H4775" s="11">
        <v>394</v>
      </c>
      <c r="I4775" s="11">
        <v>0</v>
      </c>
      <c r="J4775" s="11">
        <v>0</v>
      </c>
      <c r="K4775" s="11" t="s">
        <v>21</v>
      </c>
      <c r="L4775" s="7">
        <v>39171.168344907404</v>
      </c>
      <c r="M4775" s="12"/>
      <c r="N4775" s="12" t="s">
        <v>11141</v>
      </c>
      <c r="O4775" s="10" t="str">
        <f>HYPERLINK("https://pbs.twimg.com/profile_images/519785398566785024/PVYaywMF_normal.jpeg","View")</f>
        <v>View</v>
      </c>
      <c r="P4775" s="11"/>
    </row>
    <row r="4776" spans="1:16" ht="12.75" x14ac:dyDescent="0.35">
      <c r="A4776" s="7">
        <v>42483.005231481482</v>
      </c>
      <c r="B4776" s="8" t="str">
        <f>HYPERLINK("https://twitter.com/exequielleguiz1","@exequielleguiz1")</f>
        <v>@exequielleguiz1</v>
      </c>
      <c r="C4776" s="9" t="s">
        <v>11142</v>
      </c>
      <c r="D4776" s="9" t="s">
        <v>10808</v>
      </c>
      <c r="E4776" s="10" t="str">
        <f>HYPERLINK("https://twitter.com/exequielleguiz1/status/723581519068041220","723581519068041220")</f>
        <v>723581519068041220</v>
      </c>
      <c r="F4776" s="11" t="s">
        <v>48</v>
      </c>
      <c r="G4776" s="11">
        <v>1128</v>
      </c>
      <c r="H4776" s="11">
        <v>743</v>
      </c>
      <c r="I4776" s="11">
        <v>32</v>
      </c>
      <c r="J4776" s="11">
        <v>0</v>
      </c>
      <c r="K4776" s="11" t="s">
        <v>21</v>
      </c>
      <c r="L4776" s="7">
        <v>41333.248310185183</v>
      </c>
      <c r="M4776" s="12" t="s">
        <v>11143</v>
      </c>
      <c r="N4776" s="12" t="s">
        <v>11144</v>
      </c>
      <c r="O4776" s="10" t="str">
        <f>HYPERLINK("https://pbs.twimg.com/profile_images/722584639395729409/6xOQLAoP_normal.jpg","View")</f>
        <v>View</v>
      </c>
      <c r="P4776" s="11"/>
    </row>
    <row r="4777" spans="1:16" ht="12.75" x14ac:dyDescent="0.35">
      <c r="A4777" s="7">
        <v>42483.005254629628</v>
      </c>
      <c r="B4777" s="8" t="str">
        <f t="shared" ref="B4777:B4778" si="409">HYPERLINK("https://twitter.com/techhippie","@techhippie")</f>
        <v>@techhippie</v>
      </c>
      <c r="C4777" s="9" t="s">
        <v>246</v>
      </c>
      <c r="D4777" s="9" t="s">
        <v>11145</v>
      </c>
      <c r="E4777" s="10" t="str">
        <f>HYPERLINK("https://twitter.com/techhippie/status/723581526483546112","723581526483546112")</f>
        <v>723581526483546112</v>
      </c>
      <c r="F4777" s="11" t="s">
        <v>68</v>
      </c>
      <c r="G4777" s="11">
        <v>2513</v>
      </c>
      <c r="H4777" s="11">
        <v>3835</v>
      </c>
      <c r="I4777" s="11">
        <v>0</v>
      </c>
      <c r="J4777" s="11">
        <v>0</v>
      </c>
      <c r="K4777" s="11" t="s">
        <v>21</v>
      </c>
      <c r="L4777" s="7">
        <v>42424.852152777778</v>
      </c>
      <c r="M4777" s="12" t="s">
        <v>248</v>
      </c>
      <c r="N4777" s="12" t="s">
        <v>249</v>
      </c>
      <c r="O4777" s="10" t="str">
        <f t="shared" ref="O4777:O4778" si="410">HYPERLINK("https://pbs.twimg.com/profile_images/702511217793863680/lty8h9vE_normal.jpg","View")</f>
        <v>View</v>
      </c>
      <c r="P4777" s="11"/>
    </row>
    <row r="4778" spans="1:16" ht="12.75" x14ac:dyDescent="0.35">
      <c r="A4778" s="7">
        <v>42483.005289351851</v>
      </c>
      <c r="B4778" s="8" t="str">
        <f t="shared" si="409"/>
        <v>@techhippie</v>
      </c>
      <c r="C4778" s="9" t="s">
        <v>246</v>
      </c>
      <c r="D4778" s="9" t="s">
        <v>11146</v>
      </c>
      <c r="E4778" s="10" t="str">
        <f>HYPERLINK("https://twitter.com/techhippie/status/723581538881949696","723581538881949696")</f>
        <v>723581538881949696</v>
      </c>
      <c r="F4778" s="11" t="s">
        <v>68</v>
      </c>
      <c r="G4778" s="11">
        <v>2513</v>
      </c>
      <c r="H4778" s="11">
        <v>3835</v>
      </c>
      <c r="I4778" s="11">
        <v>0</v>
      </c>
      <c r="J4778" s="11">
        <v>0</v>
      </c>
      <c r="K4778" s="11" t="s">
        <v>21</v>
      </c>
      <c r="L4778" s="7">
        <v>42424.852152777778</v>
      </c>
      <c r="M4778" s="12" t="s">
        <v>248</v>
      </c>
      <c r="N4778" s="12" t="s">
        <v>249</v>
      </c>
      <c r="O4778" s="10" t="str">
        <f t="shared" si="410"/>
        <v>View</v>
      </c>
      <c r="P4778" s="11"/>
    </row>
    <row r="4779" spans="1:16" ht="12.75" x14ac:dyDescent="0.35">
      <c r="A4779" s="7">
        <v>42483.005312499998</v>
      </c>
      <c r="B4779" s="8" t="str">
        <f>HYPERLINK("https://twitter.com/GermanIOD","@GermanIOD")</f>
        <v>@GermanIOD</v>
      </c>
      <c r="C4779" s="9" t="s">
        <v>11147</v>
      </c>
      <c r="D4779" s="9" t="s">
        <v>11148</v>
      </c>
      <c r="E4779" s="10" t="str">
        <f>HYPERLINK("https://twitter.com/GermanIOD/status/723581547752894464","723581547752894464")</f>
        <v>723581547752894464</v>
      </c>
      <c r="F4779" s="11" t="s">
        <v>43</v>
      </c>
      <c r="G4779" s="11">
        <v>212</v>
      </c>
      <c r="H4779" s="11">
        <v>324</v>
      </c>
      <c r="I4779" s="11">
        <v>0</v>
      </c>
      <c r="J4779" s="11">
        <v>0</v>
      </c>
      <c r="K4779" s="11" t="s">
        <v>21</v>
      </c>
      <c r="L4779" s="7">
        <v>42245.884421296301</v>
      </c>
      <c r="M4779" s="12" t="s">
        <v>2907</v>
      </c>
      <c r="N4779" s="12" t="s">
        <v>11149</v>
      </c>
      <c r="O4779" s="10" t="str">
        <f>HYPERLINK("https://pbs.twimg.com/profile_images/637652033793851392/sK5pDpLB_normal.png","View")</f>
        <v>View</v>
      </c>
      <c r="P4779" s="11"/>
    </row>
    <row r="4780" spans="1:16" ht="12.75" x14ac:dyDescent="0.35">
      <c r="A4780" s="7">
        <v>42483.005335648151</v>
      </c>
      <c r="B4780" s="8" t="str">
        <f>HYPERLINK("https://twitter.com/Zusehrverkuerzt","@Zusehrverkuerzt")</f>
        <v>@Zusehrverkuerzt</v>
      </c>
      <c r="C4780" s="9" t="s">
        <v>11150</v>
      </c>
      <c r="D4780" s="9" t="s">
        <v>11151</v>
      </c>
      <c r="E4780" s="10" t="str">
        <f>HYPERLINK("https://twitter.com/Zusehrverkuerzt/status/723581555889868802","723581555889868802")</f>
        <v>723581555889868802</v>
      </c>
      <c r="F4780" s="11" t="s">
        <v>48</v>
      </c>
      <c r="G4780" s="11">
        <v>163</v>
      </c>
      <c r="H4780" s="11">
        <v>82</v>
      </c>
      <c r="I4780" s="11">
        <v>0</v>
      </c>
      <c r="J4780" s="11">
        <v>1</v>
      </c>
      <c r="K4780" s="11" t="s">
        <v>21</v>
      </c>
      <c r="L4780" s="7">
        <v>41390.018333333333</v>
      </c>
      <c r="M4780" s="12"/>
      <c r="N4780" s="12" t="s">
        <v>11152</v>
      </c>
      <c r="O4780" s="10" t="str">
        <f>HYPERLINK("https://pbs.twimg.com/profile_images/689764385410191360/zjcXtdHi_normal.jpg","View")</f>
        <v>View</v>
      </c>
      <c r="P4780" s="11"/>
    </row>
    <row r="4781" spans="1:16" ht="12.75" x14ac:dyDescent="0.35">
      <c r="A4781" s="7">
        <v>42483.005509259259</v>
      </c>
      <c r="B4781" s="8" t="str">
        <f>HYPERLINK("https://twitter.com/techhippie","@techhippie")</f>
        <v>@techhippie</v>
      </c>
      <c r="C4781" s="9" t="s">
        <v>246</v>
      </c>
      <c r="D4781" s="9" t="s">
        <v>11153</v>
      </c>
      <c r="E4781" s="10" t="str">
        <f>HYPERLINK("https://twitter.com/techhippie/status/723581619676827648","723581619676827648")</f>
        <v>723581619676827648</v>
      </c>
      <c r="F4781" s="11" t="s">
        <v>68</v>
      </c>
      <c r="G4781" s="11">
        <v>2513</v>
      </c>
      <c r="H4781" s="11">
        <v>3835</v>
      </c>
      <c r="I4781" s="11">
        <v>0</v>
      </c>
      <c r="J4781" s="11">
        <v>0</v>
      </c>
      <c r="K4781" s="11" t="s">
        <v>21</v>
      </c>
      <c r="L4781" s="7">
        <v>42424.852152777778</v>
      </c>
      <c r="M4781" s="12" t="s">
        <v>248</v>
      </c>
      <c r="N4781" s="12" t="s">
        <v>249</v>
      </c>
      <c r="O4781" s="10" t="str">
        <f>HYPERLINK("https://pbs.twimg.com/profile_images/702511217793863680/lty8h9vE_normal.jpg","View")</f>
        <v>View</v>
      </c>
      <c r="P4781" s="11"/>
    </row>
    <row r="4782" spans="1:16" ht="12.75" x14ac:dyDescent="0.35">
      <c r="A4782" s="7">
        <v>42483.00576388889</v>
      </c>
      <c r="B4782" s="8" t="str">
        <f>HYPERLINK("https://twitter.com/xDriversAlertx","@xDriversAlertx")</f>
        <v>@xDriversAlertx</v>
      </c>
      <c r="C4782" s="9" t="s">
        <v>11154</v>
      </c>
      <c r="D4782" s="9" t="s">
        <v>265</v>
      </c>
      <c r="E4782" s="10" t="str">
        <f>HYPERLINK("https://twitter.com/xDriversAlertx/status/723581711108419584","723581711108419584")</f>
        <v>723581711108419584</v>
      </c>
      <c r="F4782" s="11" t="s">
        <v>43</v>
      </c>
      <c r="G4782" s="11">
        <v>11196</v>
      </c>
      <c r="H4782" s="11">
        <v>5652</v>
      </c>
      <c r="I4782" s="11">
        <v>8</v>
      </c>
      <c r="J4782" s="11">
        <v>0</v>
      </c>
      <c r="K4782" s="11" t="s">
        <v>21</v>
      </c>
      <c r="L4782" s="7">
        <v>41677.813194444447</v>
      </c>
      <c r="M4782" s="12" t="s">
        <v>11155</v>
      </c>
      <c r="N4782" s="12" t="s">
        <v>11156</v>
      </c>
      <c r="O4782" s="10" t="str">
        <f>HYPERLINK("https://pbs.twimg.com/profile_images/474199090587107328/U8lZx9ej_normal.png","View")</f>
        <v>View</v>
      </c>
      <c r="P4782" s="11"/>
    </row>
    <row r="4783" spans="1:16" ht="12.75" x14ac:dyDescent="0.35">
      <c r="A4783" s="7">
        <v>42483.006284722222</v>
      </c>
      <c r="B4783" s="8" t="str">
        <f>HYPERLINK("https://twitter.com/aligerb","@aligerb")</f>
        <v>@aligerb</v>
      </c>
      <c r="C4783" s="9" t="s">
        <v>4255</v>
      </c>
      <c r="D4783" s="9" t="s">
        <v>11157</v>
      </c>
      <c r="E4783" s="10" t="str">
        <f>HYPERLINK("https://twitter.com/aligerb/status/723581902804787200","723581902804787200")</f>
        <v>723581902804787200</v>
      </c>
      <c r="F4783" s="11" t="s">
        <v>63</v>
      </c>
      <c r="G4783" s="11">
        <v>698</v>
      </c>
      <c r="H4783" s="11">
        <v>692</v>
      </c>
      <c r="I4783" s="11">
        <v>0</v>
      </c>
      <c r="J4783" s="11">
        <v>0</v>
      </c>
      <c r="K4783" s="11" t="s">
        <v>21</v>
      </c>
      <c r="L4783" s="7">
        <v>39931.289548611108</v>
      </c>
      <c r="M4783" s="12" t="s">
        <v>4257</v>
      </c>
      <c r="N4783" s="12" t="s">
        <v>4258</v>
      </c>
      <c r="O4783" s="10" t="str">
        <f>HYPERLINK("https://pbs.twimg.com/profile_images/717529579779399680/e1OghXlz_normal.jpg","View")</f>
        <v>View</v>
      </c>
      <c r="P4783" s="11"/>
    </row>
    <row r="4784" spans="1:16" ht="12.75" x14ac:dyDescent="0.35">
      <c r="A4784" s="7">
        <v>42483.006296296298</v>
      </c>
      <c r="B4784" s="8" t="str">
        <f>HYPERLINK("https://twitter.com/Zusehrverkuerzt","@Zusehrverkuerzt")</f>
        <v>@Zusehrverkuerzt</v>
      </c>
      <c r="C4784" s="9" t="s">
        <v>11150</v>
      </c>
      <c r="D4784" s="9" t="s">
        <v>11158</v>
      </c>
      <c r="E4784" s="10" t="str">
        <f>HYPERLINK("https://twitter.com/Zusehrverkuerzt/status/723581906101669889","723581906101669889")</f>
        <v>723581906101669889</v>
      </c>
      <c r="F4784" s="11" t="s">
        <v>48</v>
      </c>
      <c r="G4784" s="11">
        <v>163</v>
      </c>
      <c r="H4784" s="11">
        <v>82</v>
      </c>
      <c r="I4784" s="11">
        <v>0</v>
      </c>
      <c r="J4784" s="11">
        <v>0</v>
      </c>
      <c r="K4784" s="11" t="s">
        <v>21</v>
      </c>
      <c r="L4784" s="7">
        <v>41390.018333333333</v>
      </c>
      <c r="M4784" s="12"/>
      <c r="N4784" s="12" t="s">
        <v>11152</v>
      </c>
      <c r="O4784" s="10" t="str">
        <f>HYPERLINK("https://pbs.twimg.com/profile_images/689764385410191360/zjcXtdHi_normal.jpg","View")</f>
        <v>View</v>
      </c>
      <c r="P4784" s="11"/>
    </row>
    <row r="4785" spans="1:16" ht="12.75" x14ac:dyDescent="0.35">
      <c r="A4785" s="7">
        <v>42483.006562499999</v>
      </c>
      <c r="B4785" s="8" t="str">
        <f>HYPERLINK("https://twitter.com/thewonkydonkey","@thewonkydonkey")</f>
        <v>@thewonkydonkey</v>
      </c>
      <c r="C4785" s="9" t="s">
        <v>4031</v>
      </c>
      <c r="D4785" s="9" t="s">
        <v>11159</v>
      </c>
      <c r="E4785" s="10" t="str">
        <f>HYPERLINK("https://twitter.com/thewonkydonkey/status/723582002809700353","723582002809700353")</f>
        <v>723582002809700353</v>
      </c>
      <c r="F4785" s="11" t="s">
        <v>20</v>
      </c>
      <c r="G4785" s="11">
        <v>630</v>
      </c>
      <c r="H4785" s="11">
        <v>1107</v>
      </c>
      <c r="I4785" s="11">
        <v>0</v>
      </c>
      <c r="J4785" s="11">
        <v>0</v>
      </c>
      <c r="K4785" s="11" t="s">
        <v>21</v>
      </c>
      <c r="L4785" s="7">
        <v>40212.884155092594</v>
      </c>
      <c r="M4785" s="12" t="s">
        <v>1072</v>
      </c>
      <c r="N4785" s="12" t="s">
        <v>4033</v>
      </c>
      <c r="O4785" s="10" t="str">
        <f>HYPERLINK("https://pbs.twimg.com/profile_images/673462865/wonky_twitter_normal.jpg","View")</f>
        <v>View</v>
      </c>
      <c r="P4785" s="11"/>
    </row>
    <row r="4786" spans="1:16" ht="12.75" x14ac:dyDescent="0.35">
      <c r="A4786" s="7">
        <v>42483.006956018522</v>
      </c>
      <c r="B4786" s="8" t="str">
        <f>HYPERLINK("https://twitter.com/glenmavis","@glenmavis")</f>
        <v>@glenmavis</v>
      </c>
      <c r="C4786" s="9" t="s">
        <v>4862</v>
      </c>
      <c r="D4786" s="9" t="s">
        <v>11160</v>
      </c>
      <c r="E4786" s="10" t="str">
        <f>HYPERLINK("https://twitter.com/glenmavis/status/723582143956439041","723582143956439041")</f>
        <v>723582143956439041</v>
      </c>
      <c r="F4786" s="11" t="s">
        <v>48</v>
      </c>
      <c r="G4786" s="11">
        <v>53</v>
      </c>
      <c r="H4786" s="11">
        <v>254</v>
      </c>
      <c r="I4786" s="11">
        <v>0</v>
      </c>
      <c r="J4786" s="11">
        <v>0</v>
      </c>
      <c r="K4786" s="11" t="s">
        <v>21</v>
      </c>
      <c r="L4786" s="7">
        <v>41153.014074074075</v>
      </c>
      <c r="M4786" s="12"/>
      <c r="N4786" s="12" t="s">
        <v>4864</v>
      </c>
      <c r="O4786" s="10" t="str">
        <f>HYPERLINK("https://pbs.twimg.com/profile_images/595309304510550019/sGlNhfkh_normal.jpg","View")</f>
        <v>View</v>
      </c>
      <c r="P4786" s="11"/>
    </row>
    <row r="4787" spans="1:16" ht="12.75" x14ac:dyDescent="0.35">
      <c r="A4787" s="7">
        <v>42483.007245370369</v>
      </c>
      <c r="B4787" s="8" t="str">
        <f>HYPERLINK("https://twitter.com/gabiravanelli","@gabiravanelli")</f>
        <v>@gabiravanelli</v>
      </c>
      <c r="C4787" s="9" t="s">
        <v>11161</v>
      </c>
      <c r="D4787" s="9" t="s">
        <v>8685</v>
      </c>
      <c r="E4787" s="10" t="str">
        <f>HYPERLINK("https://twitter.com/gabiravanelli/status/723582248243597316","723582248243597316")</f>
        <v>723582248243597316</v>
      </c>
      <c r="F4787" s="11" t="s">
        <v>91</v>
      </c>
      <c r="G4787" s="11">
        <v>561</v>
      </c>
      <c r="H4787" s="11">
        <v>663</v>
      </c>
      <c r="I4787" s="11">
        <v>12</v>
      </c>
      <c r="J4787" s="11">
        <v>0</v>
      </c>
      <c r="K4787" s="11" t="s">
        <v>21</v>
      </c>
      <c r="L4787" s="7">
        <v>41060.818148148144</v>
      </c>
      <c r="M4787" s="12"/>
      <c r="N4787" s="12"/>
      <c r="O4787" s="10" t="str">
        <f>HYPERLINK("https://abs.twimg.com/sticky/default_profile_images/default_profile_0_normal.png","View")</f>
        <v>View</v>
      </c>
      <c r="P4787" s="11"/>
    </row>
    <row r="4788" spans="1:16" ht="12.75" x14ac:dyDescent="0.35">
      <c r="A4788" s="7">
        <v>42483.007337962961</v>
      </c>
      <c r="B4788" s="8" t="str">
        <f>HYPERLINK("https://twitter.com/VWPuyallup","@VWPuyallup")</f>
        <v>@VWPuyallup</v>
      </c>
      <c r="C4788" s="9" t="s">
        <v>4375</v>
      </c>
      <c r="D4788" s="9" t="s">
        <v>11162</v>
      </c>
      <c r="E4788" s="10" t="str">
        <f>HYPERLINK("https://twitter.com/VWPuyallup/status/723582282993307648","723582282993307648")</f>
        <v>723582282993307648</v>
      </c>
      <c r="F4788" s="11" t="s">
        <v>43</v>
      </c>
      <c r="G4788" s="11">
        <v>150</v>
      </c>
      <c r="H4788" s="11">
        <v>733</v>
      </c>
      <c r="I4788" s="11">
        <v>0</v>
      </c>
      <c r="J4788" s="11">
        <v>0</v>
      </c>
      <c r="K4788" s="11" t="s">
        <v>21</v>
      </c>
      <c r="L4788" s="7">
        <v>41439.22592592593</v>
      </c>
      <c r="M4788" s="12" t="s">
        <v>4377</v>
      </c>
      <c r="N4788" s="12"/>
      <c r="O4788" s="10" t="str">
        <f>HYPERLINK("https://pbs.twimg.com/profile_images/435934668228001792/Jra00BM-_normal.jpeg","View")</f>
        <v>View</v>
      </c>
      <c r="P4788" s="11"/>
    </row>
    <row r="4789" spans="1:16" ht="12.75" x14ac:dyDescent="0.35">
      <c r="A4789" s="7">
        <v>42483.008125</v>
      </c>
      <c r="B4789" s="8" t="str">
        <f>HYPERLINK("https://twitter.com/deanomsport","@deanomsport")</f>
        <v>@deanomsport</v>
      </c>
      <c r="C4789" s="9" t="s">
        <v>1282</v>
      </c>
      <c r="D4789" s="9" t="s">
        <v>8227</v>
      </c>
      <c r="E4789" s="10" t="str">
        <f>HYPERLINK("https://twitter.com/deanomsport/status/723582568516452353","723582568516452353")</f>
        <v>723582568516452353</v>
      </c>
      <c r="F4789" s="11" t="s">
        <v>20</v>
      </c>
      <c r="G4789" s="11">
        <v>216</v>
      </c>
      <c r="H4789" s="11">
        <v>386</v>
      </c>
      <c r="I4789" s="11">
        <v>8</v>
      </c>
      <c r="J4789" s="11">
        <v>0</v>
      </c>
      <c r="K4789" s="11" t="s">
        <v>21</v>
      </c>
      <c r="L4789" s="7">
        <v>40496.158229166671</v>
      </c>
      <c r="M4789" s="12" t="s">
        <v>1284</v>
      </c>
      <c r="N4789" s="12" t="s">
        <v>1285</v>
      </c>
      <c r="O4789" s="10" t="str">
        <f>HYPERLINK("https://pbs.twimg.com/profile_images/653310353653297153/bYVyhn8J_normal.jpg","View")</f>
        <v>View</v>
      </c>
      <c r="P4789" s="11"/>
    </row>
    <row r="4790" spans="1:16" ht="12.75" x14ac:dyDescent="0.35">
      <c r="A4790" s="7">
        <v>42483.00818287037</v>
      </c>
      <c r="B4790" s="8" t="str">
        <f>HYPERLINK("https://twitter.com/FraaanBetancurt","@FraaanBetancurt")</f>
        <v>@FraaanBetancurt</v>
      </c>
      <c r="C4790" s="9" t="s">
        <v>11163</v>
      </c>
      <c r="D4790" s="9" t="s">
        <v>11164</v>
      </c>
      <c r="E4790" s="10" t="str">
        <f>HYPERLINK("https://twitter.com/FraaanBetancurt/status/723582588804280321","723582588804280321")</f>
        <v>723582588804280321</v>
      </c>
      <c r="F4790" s="11" t="s">
        <v>43</v>
      </c>
      <c r="G4790" s="11">
        <v>737</v>
      </c>
      <c r="H4790" s="11">
        <v>580</v>
      </c>
      <c r="I4790" s="11">
        <v>11</v>
      </c>
      <c r="J4790" s="11">
        <v>0</v>
      </c>
      <c r="K4790" s="11" t="s">
        <v>21</v>
      </c>
      <c r="L4790" s="7">
        <v>41900.93340277778</v>
      </c>
      <c r="M4790" s="12"/>
      <c r="N4790" s="12" t="s">
        <v>11165</v>
      </c>
      <c r="O4790" s="10" t="str">
        <f>HYPERLINK("https://pbs.twimg.com/profile_images/721156068357849089/usr8UmjU_normal.jpg","View")</f>
        <v>View</v>
      </c>
      <c r="P4790" s="11"/>
    </row>
    <row r="4791" spans="1:16" ht="12.75" x14ac:dyDescent="0.35">
      <c r="A4791" s="7">
        <v>42483.008726851855</v>
      </c>
      <c r="B4791" s="8" t="str">
        <f>HYPERLINK("https://twitter.com/rajesh877","@rajesh877")</f>
        <v>@rajesh877</v>
      </c>
      <c r="C4791" s="9" t="s">
        <v>11166</v>
      </c>
      <c r="D4791" s="9" t="s">
        <v>11167</v>
      </c>
      <c r="E4791" s="10" t="str">
        <f>HYPERLINK("https://twitter.com/rajesh877/status/723582786272108544","723582786272108544")</f>
        <v>723582786272108544</v>
      </c>
      <c r="F4791" s="11" t="s">
        <v>68</v>
      </c>
      <c r="G4791" s="11">
        <v>125</v>
      </c>
      <c r="H4791" s="11">
        <v>74</v>
      </c>
      <c r="I4791" s="11">
        <v>0</v>
      </c>
      <c r="J4791" s="11">
        <v>0</v>
      </c>
      <c r="K4791" s="11" t="s">
        <v>21</v>
      </c>
      <c r="L4791" s="7">
        <v>40077.821550925924</v>
      </c>
      <c r="M4791" s="12" t="s">
        <v>808</v>
      </c>
      <c r="N4791" s="12"/>
      <c r="O4791" s="10" t="str">
        <f>HYPERLINK("https://pbs.twimg.com/profile_images/690068229562241028/dtAFj2bm_normal.jpg","View")</f>
        <v>View</v>
      </c>
      <c r="P4791" s="11"/>
    </row>
    <row r="4792" spans="1:16" ht="12.75" x14ac:dyDescent="0.35">
      <c r="A4792" s="7">
        <v>42483.010138888887</v>
      </c>
      <c r="B4792" s="8" t="str">
        <f>HYPERLINK("https://twitter.com/Sebitta_caab","@Sebitta_caab")</f>
        <v>@Sebitta_caab</v>
      </c>
      <c r="C4792" s="9" t="s">
        <v>11168</v>
      </c>
      <c r="D4792" s="9" t="s">
        <v>10808</v>
      </c>
      <c r="E4792" s="10" t="str">
        <f>HYPERLINK("https://twitter.com/Sebitta_caab/status/723583299319390208","723583299319390208")</f>
        <v>723583299319390208</v>
      </c>
      <c r="F4792" s="11" t="s">
        <v>48</v>
      </c>
      <c r="G4792" s="11">
        <v>515</v>
      </c>
      <c r="H4792" s="11">
        <v>470</v>
      </c>
      <c r="I4792" s="11">
        <v>32</v>
      </c>
      <c r="J4792" s="11">
        <v>0</v>
      </c>
      <c r="K4792" s="11" t="s">
        <v>21</v>
      </c>
      <c r="L4792" s="7">
        <v>41230.3050462963</v>
      </c>
      <c r="M4792" s="12" t="s">
        <v>11169</v>
      </c>
      <c r="N4792" s="12" t="s">
        <v>11170</v>
      </c>
      <c r="O4792" s="10" t="str">
        <f>HYPERLINK("https://pbs.twimg.com/profile_images/674424734059241473/jtZsoDUQ_normal.jpg","View")</f>
        <v>View</v>
      </c>
      <c r="P4792" s="11"/>
    </row>
    <row r="4793" spans="1:16" ht="12.75" x14ac:dyDescent="0.35">
      <c r="A4793" s="7">
        <v>42483.01059027778</v>
      </c>
      <c r="B4793" s="8" t="str">
        <f>HYPERLINK("https://twitter.com/KatsDekker","@KatsDekker")</f>
        <v>@KatsDekker</v>
      </c>
      <c r="C4793" s="9" t="s">
        <v>11171</v>
      </c>
      <c r="D4793" s="9" t="s">
        <v>10967</v>
      </c>
      <c r="E4793" s="10" t="str">
        <f>HYPERLINK("https://twitter.com/KatsDekker/status/723583462469414912","723583462469414912")</f>
        <v>723583462469414912</v>
      </c>
      <c r="F4793" s="11" t="s">
        <v>63</v>
      </c>
      <c r="G4793" s="11">
        <v>2638</v>
      </c>
      <c r="H4793" s="11">
        <v>499</v>
      </c>
      <c r="I4793" s="11">
        <v>3</v>
      </c>
      <c r="J4793" s="11">
        <v>0</v>
      </c>
      <c r="K4793" s="11" t="s">
        <v>21</v>
      </c>
      <c r="L4793" s="7">
        <v>40313.854409722218</v>
      </c>
      <c r="M4793" s="12" t="s">
        <v>11172</v>
      </c>
      <c r="N4793" s="12" t="s">
        <v>11173</v>
      </c>
      <c r="O4793" s="10" t="str">
        <f>HYPERLINK("https://pbs.twimg.com/profile_images/709009177004384256/vUOvUx74_normal.jpg","View")</f>
        <v>View</v>
      </c>
      <c r="P4793" s="11"/>
    </row>
    <row r="4794" spans="1:16" ht="12.75" x14ac:dyDescent="0.35">
      <c r="A4794" s="7">
        <v>42483.010624999995</v>
      </c>
      <c r="B4794" s="8" t="str">
        <f>HYPERLINK("https://twitter.com/Gian__Lucas","@Gian__Lucas")</f>
        <v>@Gian__Lucas</v>
      </c>
      <c r="C4794" s="9" t="s">
        <v>11174</v>
      </c>
      <c r="D4794" s="9" t="s">
        <v>10808</v>
      </c>
      <c r="E4794" s="10" t="str">
        <f>HYPERLINK("https://twitter.com/Gian__Lucas/status/723583476113518596","723583476113518596")</f>
        <v>723583476113518596</v>
      </c>
      <c r="F4794" s="11" t="s">
        <v>48</v>
      </c>
      <c r="G4794" s="11">
        <v>377</v>
      </c>
      <c r="H4794" s="11">
        <v>317</v>
      </c>
      <c r="I4794" s="11">
        <v>32</v>
      </c>
      <c r="J4794" s="11">
        <v>0</v>
      </c>
      <c r="K4794" s="11" t="s">
        <v>21</v>
      </c>
      <c r="L4794" s="7">
        <v>41605.345937500002</v>
      </c>
      <c r="M4794" s="12" t="s">
        <v>11175</v>
      </c>
      <c r="N4794" s="12" t="s">
        <v>11176</v>
      </c>
      <c r="O4794" s="10" t="str">
        <f>HYPERLINK("https://pbs.twimg.com/profile_images/722894845199691776/EIYEavtK_normal.jpg","View")</f>
        <v>View</v>
      </c>
      <c r="P4794" s="11"/>
    </row>
    <row r="4795" spans="1:16" ht="12.75" x14ac:dyDescent="0.35">
      <c r="A4795" s="7">
        <v>42483.010717592595</v>
      </c>
      <c r="B4795" s="8" t="str">
        <f>HYPERLINK("https://twitter.com/LucasBarra22","@LucasBarra22")</f>
        <v>@LucasBarra22</v>
      </c>
      <c r="C4795" s="9" t="s">
        <v>11177</v>
      </c>
      <c r="D4795" s="9" t="s">
        <v>10808</v>
      </c>
      <c r="E4795" s="10" t="str">
        <f>HYPERLINK("https://twitter.com/LucasBarra22/status/723583509202391040","723583509202391040")</f>
        <v>723583509202391040</v>
      </c>
      <c r="F4795" s="11" t="s">
        <v>20</v>
      </c>
      <c r="G4795" s="11">
        <v>303</v>
      </c>
      <c r="H4795" s="11">
        <v>219</v>
      </c>
      <c r="I4795" s="11">
        <v>32</v>
      </c>
      <c r="J4795" s="11">
        <v>0</v>
      </c>
      <c r="K4795" s="11" t="s">
        <v>21</v>
      </c>
      <c r="L4795" s="7">
        <v>41320.364120370374</v>
      </c>
      <c r="M4795" s="12"/>
      <c r="N4795" s="12"/>
      <c r="O4795" s="10" t="str">
        <f>HYPERLINK("https://pbs.twimg.com/profile_images/649095362045706240/qqU0BpOO_normal.jpg","View")</f>
        <v>View</v>
      </c>
      <c r="P4795" s="11"/>
    </row>
    <row r="4796" spans="1:16" ht="12.75" x14ac:dyDescent="0.35">
      <c r="A4796" s="7">
        <v>42483.01116898148</v>
      </c>
      <c r="B4796" s="8" t="str">
        <f>HYPERLINK("https://twitter.com/VWCamperSales","@VWCamperSales")</f>
        <v>@VWCamperSales</v>
      </c>
      <c r="C4796" s="9" t="s">
        <v>216</v>
      </c>
      <c r="D4796" s="9" t="s">
        <v>11178</v>
      </c>
      <c r="E4796" s="10" t="str">
        <f>HYPERLINK("https://twitter.com/VWCamperSales/status/723583673556066305","723583673556066305")</f>
        <v>723583673556066305</v>
      </c>
      <c r="F4796" s="10" t="s">
        <v>124</v>
      </c>
      <c r="G4796" s="11">
        <v>618</v>
      </c>
      <c r="H4796" s="11">
        <v>580</v>
      </c>
      <c r="I4796" s="11">
        <v>0</v>
      </c>
      <c r="J4796" s="11">
        <v>0</v>
      </c>
      <c r="K4796" s="11" t="s">
        <v>21</v>
      </c>
      <c r="L4796" s="7">
        <v>42215.98809027778</v>
      </c>
      <c r="M4796" s="12" t="s">
        <v>129</v>
      </c>
      <c r="N4796" s="12" t="s">
        <v>218</v>
      </c>
      <c r="O4796" s="10" t="str">
        <f>HYPERLINK("https://pbs.twimg.com/profile_images/627949001179037696/skEBkS05_normal.jpg","View")</f>
        <v>View</v>
      </c>
      <c r="P4796" s="11"/>
    </row>
    <row r="4797" spans="1:16" ht="12.75" x14ac:dyDescent="0.35">
      <c r="A4797" s="7">
        <v>42483.011180555557</v>
      </c>
      <c r="B4797" s="8" t="str">
        <f>HYPERLINK("https://twitter.com/LucasBarra22","@LucasBarra22")</f>
        <v>@LucasBarra22</v>
      </c>
      <c r="C4797" s="9" t="s">
        <v>11177</v>
      </c>
      <c r="D4797" s="9" t="s">
        <v>10440</v>
      </c>
      <c r="E4797" s="10" t="str">
        <f>HYPERLINK("https://twitter.com/LucasBarra22/status/723583677469458438","723583677469458438")</f>
        <v>723583677469458438</v>
      </c>
      <c r="F4797" s="11" t="s">
        <v>20</v>
      </c>
      <c r="G4797" s="11">
        <v>303</v>
      </c>
      <c r="H4797" s="11">
        <v>219</v>
      </c>
      <c r="I4797" s="11">
        <v>19</v>
      </c>
      <c r="J4797" s="11">
        <v>0</v>
      </c>
      <c r="K4797" s="11" t="s">
        <v>21</v>
      </c>
      <c r="L4797" s="7">
        <v>41320.364120370374</v>
      </c>
      <c r="M4797" s="12"/>
      <c r="N4797" s="12"/>
      <c r="O4797" s="10" t="str">
        <f>HYPERLINK("https://pbs.twimg.com/profile_images/649095362045706240/qqU0BpOO_normal.jpg","View")</f>
        <v>View</v>
      </c>
      <c r="P4797" s="11"/>
    </row>
    <row r="4798" spans="1:16" ht="12.75" x14ac:dyDescent="0.35">
      <c r="A4798" s="7">
        <v>42483.011817129634</v>
      </c>
      <c r="B4798" s="8" t="str">
        <f>HYPERLINK("https://twitter.com/DKMRacing","@DKMRacing")</f>
        <v>@DKMRacing</v>
      </c>
      <c r="C4798" s="9" t="s">
        <v>11179</v>
      </c>
      <c r="D4798" s="9" t="s">
        <v>11180</v>
      </c>
      <c r="E4798" s="10" t="str">
        <f>HYPERLINK("https://twitter.com/DKMRacing/status/723583907468210176","723583907468210176")</f>
        <v>723583907468210176</v>
      </c>
      <c r="F4798" s="11" t="s">
        <v>114</v>
      </c>
      <c r="G4798" s="11">
        <v>2488</v>
      </c>
      <c r="H4798" s="11">
        <v>915</v>
      </c>
      <c r="I4798" s="11">
        <v>0</v>
      </c>
      <c r="J4798" s="11">
        <v>1</v>
      </c>
      <c r="K4798" s="11" t="s">
        <v>21</v>
      </c>
      <c r="L4798" s="7">
        <v>41262.853159722225</v>
      </c>
      <c r="M4798" s="12" t="s">
        <v>35</v>
      </c>
      <c r="N4798" s="12" t="s">
        <v>11181</v>
      </c>
      <c r="O4798" s="10" t="str">
        <f>HYPERLINK("https://pbs.twimg.com/profile_images/711174977727422464/IPloOHJg_normal.jpg","View")</f>
        <v>View</v>
      </c>
      <c r="P4798" s="11"/>
    </row>
    <row r="4799" spans="1:16" ht="12.75" x14ac:dyDescent="0.35">
      <c r="A4799" s="7">
        <v>42483.012523148151</v>
      </c>
      <c r="B4799" s="8" t="str">
        <f>HYPERLINK("https://twitter.com/bflwerner","@bflwerner")</f>
        <v>@bflwerner</v>
      </c>
      <c r="C4799" s="9" t="s">
        <v>11182</v>
      </c>
      <c r="D4799" s="9" t="s">
        <v>10837</v>
      </c>
      <c r="E4799" s="10" t="str">
        <f>HYPERLINK("https://twitter.com/bflwerner/status/723584160984641536","723584160984641536")</f>
        <v>723584160984641536</v>
      </c>
      <c r="F4799" s="11" t="s">
        <v>48</v>
      </c>
      <c r="G4799" s="11">
        <v>110</v>
      </c>
      <c r="H4799" s="11">
        <v>159</v>
      </c>
      <c r="I4799" s="11">
        <v>11</v>
      </c>
      <c r="J4799" s="11">
        <v>0</v>
      </c>
      <c r="K4799" s="11" t="s">
        <v>21</v>
      </c>
      <c r="L4799" s="7">
        <v>39885.212881944448</v>
      </c>
      <c r="M4799" s="12" t="s">
        <v>11183</v>
      </c>
      <c r="N4799" s="12" t="s">
        <v>11184</v>
      </c>
      <c r="O4799" s="10" t="str">
        <f>HYPERLINK("https://pbs.twimg.com/profile_images/723039939026378752/UgmKDGmM_normal.jpg","View")</f>
        <v>View</v>
      </c>
      <c r="P4799" s="11"/>
    </row>
    <row r="4800" spans="1:16" ht="12.75" x14ac:dyDescent="0.35">
      <c r="A4800" s="7">
        <v>42483.01253472222</v>
      </c>
      <c r="B4800" s="8" t="str">
        <f>HYPERLINK("https://twitter.com/bessermobil","@bessermobil")</f>
        <v>@bessermobil</v>
      </c>
      <c r="C4800" s="9" t="s">
        <v>11185</v>
      </c>
      <c r="D4800" s="9" t="s">
        <v>9477</v>
      </c>
      <c r="E4800" s="10" t="str">
        <f>HYPERLINK("https://twitter.com/bessermobil/status/723584168404373504","723584168404373504")</f>
        <v>723584168404373504</v>
      </c>
      <c r="F4800" s="11" t="s">
        <v>367</v>
      </c>
      <c r="G4800" s="11">
        <v>1283</v>
      </c>
      <c r="H4800" s="11">
        <v>1400</v>
      </c>
      <c r="I4800" s="11">
        <v>6</v>
      </c>
      <c r="J4800" s="11">
        <v>0</v>
      </c>
      <c r="K4800" s="11" t="s">
        <v>21</v>
      </c>
      <c r="L4800" s="7">
        <v>40800.729178240741</v>
      </c>
      <c r="M4800" s="12" t="s">
        <v>11186</v>
      </c>
      <c r="N4800" s="12" t="s">
        <v>11187</v>
      </c>
      <c r="O4800" s="10" t="str">
        <f>HYPERLINK("https://pbs.twimg.com/profile_images/703969274461888512/NW6Y77Oh_normal.jpg","View")</f>
        <v>View</v>
      </c>
      <c r="P4800" s="11"/>
    </row>
    <row r="4801" spans="1:16" ht="12.75" x14ac:dyDescent="0.35">
      <c r="A4801" s="7">
        <v>42483.012638888889</v>
      </c>
      <c r="B4801" s="8" t="str">
        <f>HYPERLINK("https://twitter.com/kurtseinitz","@kurtseinitz")</f>
        <v>@kurtseinitz</v>
      </c>
      <c r="C4801" s="9" t="s">
        <v>11188</v>
      </c>
      <c r="D4801" s="9" t="s">
        <v>11189</v>
      </c>
      <c r="E4801" s="10" t="str">
        <f>HYPERLINK("https://twitter.com/kurtseinitz/status/723584205880483841","723584205880483841")</f>
        <v>723584205880483841</v>
      </c>
      <c r="F4801" s="11" t="s">
        <v>43</v>
      </c>
      <c r="G4801" s="11">
        <v>303</v>
      </c>
      <c r="H4801" s="11">
        <v>96</v>
      </c>
      <c r="I4801" s="11">
        <v>0</v>
      </c>
      <c r="J4801" s="11">
        <v>0</v>
      </c>
      <c r="K4801" s="11" t="s">
        <v>21</v>
      </c>
      <c r="L4801" s="7">
        <v>41129.011874999997</v>
      </c>
      <c r="M4801" s="12"/>
      <c r="N4801" s="12" t="s">
        <v>11190</v>
      </c>
      <c r="O4801" s="10" t="str">
        <f>HYPERLINK("https://pbs.twimg.com/profile_images/607945158869549056/NV8RBT1d_normal.jpg","View")</f>
        <v>View</v>
      </c>
      <c r="P4801" s="11"/>
    </row>
    <row r="4802" spans="1:16" ht="12.75" x14ac:dyDescent="0.35">
      <c r="A4802" s="7">
        <v>42483.012743055559</v>
      </c>
      <c r="B4802" s="8" t="str">
        <f>HYPERLINK("https://twitter.com/Chat_Atkins","@Chat_Atkins")</f>
        <v>@Chat_Atkins</v>
      </c>
      <c r="C4802" s="9" t="s">
        <v>11191</v>
      </c>
      <c r="D4802" s="9" t="s">
        <v>11192</v>
      </c>
      <c r="E4802" s="10" t="str">
        <f>HYPERLINK("https://twitter.com/Chat_Atkins/status/723584241653657600","723584241653657600")</f>
        <v>723584241653657600</v>
      </c>
      <c r="F4802" s="11" t="s">
        <v>43</v>
      </c>
      <c r="G4802" s="11">
        <v>254</v>
      </c>
      <c r="H4802" s="11">
        <v>273</v>
      </c>
      <c r="I4802" s="11">
        <v>1</v>
      </c>
      <c r="J4802" s="11">
        <v>0</v>
      </c>
      <c r="K4802" s="11" t="s">
        <v>21</v>
      </c>
      <c r="L4802" s="7">
        <v>40462.734432870369</v>
      </c>
      <c r="M4802" s="12"/>
      <c r="N4802" s="12"/>
      <c r="O4802" s="10" t="str">
        <f>HYPERLINK("https://pbs.twimg.com/profile_images/3494760705/823323f6d432b61b688163ae7d9d9dda_normal.jpeg","View")</f>
        <v>View</v>
      </c>
      <c r="P4802" s="11"/>
    </row>
    <row r="4803" spans="1:16" ht="12.75" x14ac:dyDescent="0.35">
      <c r="A4803" s="7">
        <v>42483.013194444444</v>
      </c>
      <c r="B4803" s="8" t="str">
        <f>HYPERLINK("https://twitter.com/gutierrez_gime","@gutierrez_gime")</f>
        <v>@gutierrez_gime</v>
      </c>
      <c r="C4803" s="9" t="s">
        <v>11193</v>
      </c>
      <c r="D4803" s="9" t="s">
        <v>10808</v>
      </c>
      <c r="E4803" s="10" t="str">
        <f>HYPERLINK("https://twitter.com/gutierrez_gime/status/723584406854750208","723584406854750208")</f>
        <v>723584406854750208</v>
      </c>
      <c r="F4803" s="11" t="s">
        <v>48</v>
      </c>
      <c r="G4803" s="11">
        <v>464</v>
      </c>
      <c r="H4803" s="11">
        <v>436</v>
      </c>
      <c r="I4803" s="11">
        <v>36</v>
      </c>
      <c r="J4803" s="11">
        <v>0</v>
      </c>
      <c r="K4803" s="11" t="s">
        <v>21</v>
      </c>
      <c r="L4803" s="7">
        <v>41676.356481481482</v>
      </c>
      <c r="M4803" s="12" t="s">
        <v>11194</v>
      </c>
      <c r="N4803" s="12" t="s">
        <v>11195</v>
      </c>
      <c r="O4803" s="10" t="str">
        <f>HYPERLINK("https://pbs.twimg.com/profile_images/655050406427557888/zQoR7oCO_normal.jpg","View")</f>
        <v>View</v>
      </c>
      <c r="P4803" s="11"/>
    </row>
    <row r="4804" spans="1:16" ht="12.75" x14ac:dyDescent="0.35">
      <c r="A4804" s="7">
        <v>42483.013645833329</v>
      </c>
      <c r="B4804" s="8" t="str">
        <f>HYPERLINK("https://twitter.com/LisaHayward3","@LisaHayward3")</f>
        <v>@LisaHayward3</v>
      </c>
      <c r="C4804" s="9" t="s">
        <v>11196</v>
      </c>
      <c r="D4804" s="9" t="s">
        <v>11197</v>
      </c>
      <c r="E4804" s="10" t="str">
        <f>HYPERLINK("https://twitter.com/LisaHayward3/status/723584570168233984","723584570168233984")</f>
        <v>723584570168233984</v>
      </c>
      <c r="F4804" s="11" t="s">
        <v>43</v>
      </c>
      <c r="G4804" s="11">
        <v>396</v>
      </c>
      <c r="H4804" s="11">
        <v>727</v>
      </c>
      <c r="I4804" s="11">
        <v>0</v>
      </c>
      <c r="J4804" s="11">
        <v>0</v>
      </c>
      <c r="K4804" s="11" t="s">
        <v>21</v>
      </c>
      <c r="L4804" s="7">
        <v>40816.024085648147</v>
      </c>
      <c r="M4804" s="12" t="s">
        <v>355</v>
      </c>
      <c r="N4804" s="12" t="s">
        <v>11198</v>
      </c>
      <c r="O4804" s="10" t="str">
        <f>HYPERLINK("https://pbs.twimg.com/profile_images/545466998839209984/-xrJfHvn_normal.jpeg","View")</f>
        <v>View</v>
      </c>
      <c r="P4804" s="11"/>
    </row>
    <row r="4805" spans="1:16" ht="12.75" x14ac:dyDescent="0.35">
      <c r="A4805" s="7">
        <v>42483.013784722221</v>
      </c>
      <c r="B4805" s="8" t="str">
        <f>HYPERLINK("https://twitter.com/CastleCoastCamp","@CastleCoastCamp")</f>
        <v>@CastleCoastCamp</v>
      </c>
      <c r="C4805" s="9" t="s">
        <v>11199</v>
      </c>
      <c r="D4805" s="9" t="s">
        <v>11200</v>
      </c>
      <c r="E4805" s="10" t="str">
        <f>HYPERLINK("https://twitter.com/CastleCoastCamp/status/723584617731776512","723584617731776512")</f>
        <v>723584617731776512</v>
      </c>
      <c r="F4805" s="11" t="s">
        <v>43</v>
      </c>
      <c r="G4805" s="11">
        <v>4920</v>
      </c>
      <c r="H4805" s="11">
        <v>4538</v>
      </c>
      <c r="I4805" s="11">
        <v>2</v>
      </c>
      <c r="J4805" s="11">
        <v>2</v>
      </c>
      <c r="K4805" s="11" t="s">
        <v>21</v>
      </c>
      <c r="L4805" s="7">
        <v>41119.874444444446</v>
      </c>
      <c r="M4805" s="12" t="s">
        <v>11201</v>
      </c>
      <c r="N4805" s="12" t="s">
        <v>11202</v>
      </c>
      <c r="O4805" s="10" t="str">
        <f>HYPERLINK("https://pbs.twimg.com/profile_images/610401931501137920/c0qYTPr__normal.jpg","View")</f>
        <v>View</v>
      </c>
      <c r="P4805" s="11"/>
    </row>
    <row r="4806" spans="1:16" ht="12.75" x14ac:dyDescent="0.35">
      <c r="A4806" s="7">
        <v>42483.014039351852</v>
      </c>
      <c r="B4806" s="8" t="str">
        <f>HYPERLINK("https://twitter.com/jungewelt","@jungewelt")</f>
        <v>@jungewelt</v>
      </c>
      <c r="C4806" s="9" t="s">
        <v>11203</v>
      </c>
      <c r="D4806" s="9" t="s">
        <v>11204</v>
      </c>
      <c r="E4806" s="10" t="str">
        <f>HYPERLINK("https://twitter.com/jungewelt/status/723584711461855232","723584711461855232")</f>
        <v>723584711461855232</v>
      </c>
      <c r="F4806" s="11" t="s">
        <v>80</v>
      </c>
      <c r="G4806" s="11">
        <v>10956</v>
      </c>
      <c r="H4806" s="11">
        <v>144</v>
      </c>
      <c r="I4806" s="11">
        <v>4</v>
      </c>
      <c r="J4806" s="11">
        <v>2</v>
      </c>
      <c r="K4806" s="11" t="s">
        <v>21</v>
      </c>
      <c r="L4806" s="7">
        <v>40517.135914351849</v>
      </c>
      <c r="M4806" s="12" t="s">
        <v>1359</v>
      </c>
      <c r="N4806" s="12" t="s">
        <v>11205</v>
      </c>
      <c r="O4806" s="10" t="str">
        <f>HYPERLINK("https://pbs.twimg.com/profile_images/543394122816446464/jjh-af9K_normal.png","View")</f>
        <v>View</v>
      </c>
      <c r="P4806" s="11"/>
    </row>
    <row r="4807" spans="1:16" ht="12.75" x14ac:dyDescent="0.35">
      <c r="A4807" s="7">
        <v>42483.014085648145</v>
      </c>
      <c r="B4807" s="8" t="str">
        <f>HYPERLINK("https://twitter.com/Way_Cool_","@Way_Cool_")</f>
        <v>@Way_Cool_</v>
      </c>
      <c r="C4807" s="9" t="s">
        <v>2811</v>
      </c>
      <c r="D4807" s="9" t="s">
        <v>11206</v>
      </c>
      <c r="E4807" s="10" t="str">
        <f>HYPERLINK("https://twitter.com/Way_Cool_/status/723584727630925824","723584727630925824")</f>
        <v>723584727630925824</v>
      </c>
      <c r="F4807" s="11" t="s">
        <v>1838</v>
      </c>
      <c r="G4807" s="11">
        <v>18</v>
      </c>
      <c r="H4807" s="11">
        <v>50</v>
      </c>
      <c r="I4807" s="11">
        <v>0</v>
      </c>
      <c r="J4807" s="11">
        <v>0</v>
      </c>
      <c r="K4807" s="11" t="s">
        <v>21</v>
      </c>
      <c r="L4807" s="7">
        <v>42440.771284722221</v>
      </c>
      <c r="M4807" s="12"/>
      <c r="N4807" s="12"/>
      <c r="O4807" s="10" t="str">
        <f>HYPERLINK("https://pbs.twimg.com/profile_images/708280127025598464/akwVZYwc_normal.jpg","View")</f>
        <v>View</v>
      </c>
      <c r="P4807" s="11"/>
    </row>
    <row r="4808" spans="1:16" ht="12.75" x14ac:dyDescent="0.35">
      <c r="A4808" s="7">
        <v>42483.01457175926</v>
      </c>
      <c r="B4808" s="8" t="str">
        <f>HYPERLINK("https://twitter.com/kurtseinitz","@kurtseinitz")</f>
        <v>@kurtseinitz</v>
      </c>
      <c r="C4808" s="9" t="s">
        <v>11188</v>
      </c>
      <c r="D4808" s="9" t="s">
        <v>11207</v>
      </c>
      <c r="E4808" s="10" t="str">
        <f>HYPERLINK("https://twitter.com/kurtseinitz/status/723584906106945536","723584906106945536")</f>
        <v>723584906106945536</v>
      </c>
      <c r="F4808" s="11" t="s">
        <v>43</v>
      </c>
      <c r="G4808" s="11">
        <v>303</v>
      </c>
      <c r="H4808" s="11">
        <v>96</v>
      </c>
      <c r="I4808" s="11">
        <v>0</v>
      </c>
      <c r="J4808" s="11">
        <v>0</v>
      </c>
      <c r="K4808" s="11" t="s">
        <v>21</v>
      </c>
      <c r="L4808" s="7">
        <v>41129.011874999997</v>
      </c>
      <c r="M4808" s="12"/>
      <c r="N4808" s="12" t="s">
        <v>11190</v>
      </c>
      <c r="O4808" s="10" t="str">
        <f>HYPERLINK("https://pbs.twimg.com/profile_images/607945158869549056/NV8RBT1d_normal.jpg","View")</f>
        <v>View</v>
      </c>
      <c r="P4808" s="11"/>
    </row>
    <row r="4809" spans="1:16" ht="12.75" x14ac:dyDescent="0.35">
      <c r="A4809" s="7">
        <v>42483.014861111107</v>
      </c>
      <c r="B4809" s="8" t="str">
        <f>HYPERLINK("https://twitter.com/lessismoremike","@lessismoremike")</f>
        <v>@lessismoremike</v>
      </c>
      <c r="C4809" s="9" t="s">
        <v>4249</v>
      </c>
      <c r="D4809" s="9" t="s">
        <v>11208</v>
      </c>
      <c r="E4809" s="10" t="str">
        <f>HYPERLINK("https://twitter.com/lessismoremike/status/723585008024297472","723585008024297472")</f>
        <v>723585008024297472</v>
      </c>
      <c r="F4809" s="11" t="s">
        <v>48</v>
      </c>
      <c r="G4809" s="11">
        <v>2344</v>
      </c>
      <c r="H4809" s="11">
        <v>3171</v>
      </c>
      <c r="I4809" s="11">
        <v>2</v>
      </c>
      <c r="J4809" s="11">
        <v>0</v>
      </c>
      <c r="K4809" s="11" t="s">
        <v>21</v>
      </c>
      <c r="L4809" s="7">
        <v>40504.898773148147</v>
      </c>
      <c r="M4809" s="12"/>
      <c r="N4809" s="12" t="s">
        <v>4251</v>
      </c>
      <c r="O4809" s="10" t="str">
        <f>HYPERLINK("https://pbs.twimg.com/profile_images/1772698594/image_normal.jpg","View")</f>
        <v>View</v>
      </c>
      <c r="P4809" s="11"/>
    </row>
    <row r="4810" spans="1:16" ht="12.75" x14ac:dyDescent="0.35">
      <c r="A4810" s="7">
        <v>42483.015347222223</v>
      </c>
      <c r="B4810" s="8" t="str">
        <f>HYPERLINK("https://twitter.com/VWBeetleSales","@VWBeetleSales")</f>
        <v>@VWBeetleSales</v>
      </c>
      <c r="C4810" s="9" t="s">
        <v>127</v>
      </c>
      <c r="D4810" s="9" t="s">
        <v>11209</v>
      </c>
      <c r="E4810" s="10" t="str">
        <f>HYPERLINK("https://twitter.com/VWBeetleSales/status/723585183773904897","723585183773904897")</f>
        <v>723585183773904897</v>
      </c>
      <c r="F4810" s="10" t="s">
        <v>124</v>
      </c>
      <c r="G4810" s="11">
        <v>36</v>
      </c>
      <c r="H4810" s="11">
        <v>32</v>
      </c>
      <c r="I4810" s="11">
        <v>0</v>
      </c>
      <c r="J4810" s="11">
        <v>0</v>
      </c>
      <c r="K4810" s="11" t="s">
        <v>21</v>
      </c>
      <c r="L4810" s="7">
        <v>42427.019756944443</v>
      </c>
      <c r="M4810" s="12" t="s">
        <v>129</v>
      </c>
      <c r="N4810" s="12" t="s">
        <v>130</v>
      </c>
      <c r="O4810" s="10" t="str">
        <f>HYPERLINK("https://pbs.twimg.com/profile_images/703294545195307008/qeCvrX86_normal.jpg","View")</f>
        <v>View</v>
      </c>
      <c r="P4810" s="11"/>
    </row>
    <row r="4811" spans="1:16" ht="12.75" x14ac:dyDescent="0.35">
      <c r="A4811" s="7">
        <v>42483.015509259261</v>
      </c>
      <c r="B4811" s="8" t="str">
        <f>HYPERLINK("https://twitter.com/Way_Cool_","@Way_Cool_")</f>
        <v>@Way_Cool_</v>
      </c>
      <c r="C4811" s="9" t="s">
        <v>2811</v>
      </c>
      <c r="D4811" s="9" t="s">
        <v>11210</v>
      </c>
      <c r="E4811" s="10" t="str">
        <f>HYPERLINK("https://twitter.com/Way_Cool_/status/723585243459010560","723585243459010560")</f>
        <v>723585243459010560</v>
      </c>
      <c r="F4811" s="11" t="s">
        <v>1838</v>
      </c>
      <c r="G4811" s="11">
        <v>18</v>
      </c>
      <c r="H4811" s="11">
        <v>50</v>
      </c>
      <c r="I4811" s="11">
        <v>0</v>
      </c>
      <c r="J4811" s="11">
        <v>0</v>
      </c>
      <c r="K4811" s="11" t="s">
        <v>21</v>
      </c>
      <c r="L4811" s="7">
        <v>42440.771284722221</v>
      </c>
      <c r="M4811" s="12"/>
      <c r="N4811" s="12"/>
      <c r="O4811" s="10" t="str">
        <f>HYPERLINK("https://pbs.twimg.com/profile_images/708280127025598464/akwVZYwc_normal.jpg","View")</f>
        <v>View</v>
      </c>
      <c r="P4811" s="11"/>
    </row>
    <row r="4812" spans="1:16" ht="12.75" x14ac:dyDescent="0.35">
      <c r="A4812" s="7">
        <v>42483.016064814816</v>
      </c>
      <c r="B4812" s="8" t="str">
        <f>HYPERLINK("https://twitter.com/coccicab71","@coccicab71")</f>
        <v>@coccicab71</v>
      </c>
      <c r="C4812" s="9" t="s">
        <v>7165</v>
      </c>
      <c r="D4812" s="9" t="s">
        <v>11211</v>
      </c>
      <c r="E4812" s="10" t="str">
        <f>HYPERLINK("https://twitter.com/coccicab71/status/723585445381152768","723585445381152768")</f>
        <v>723585445381152768</v>
      </c>
      <c r="F4812" s="11" t="s">
        <v>43</v>
      </c>
      <c r="G4812" s="11">
        <v>262</v>
      </c>
      <c r="H4812" s="11">
        <v>279</v>
      </c>
      <c r="I4812" s="11">
        <v>1</v>
      </c>
      <c r="J4812" s="11">
        <v>0</v>
      </c>
      <c r="K4812" s="11" t="s">
        <v>21</v>
      </c>
      <c r="L4812" s="7">
        <v>41424.003611111111</v>
      </c>
      <c r="M4812" s="12" t="s">
        <v>7166</v>
      </c>
      <c r="N4812" s="12" t="s">
        <v>7167</v>
      </c>
      <c r="O4812" s="10" t="str">
        <f>HYPERLINK("https://pbs.twimg.com/profile_images/3728536184/f8618f162b51e72519303cccedbec92b_normal.jpeg","View")</f>
        <v>View</v>
      </c>
      <c r="P4812" s="11"/>
    </row>
    <row r="4813" spans="1:16" ht="12.75" x14ac:dyDescent="0.35">
      <c r="A4813" s="7">
        <v>42483.016180555554</v>
      </c>
      <c r="B4813" s="8" t="str">
        <f>HYPERLINK("https://twitter.com/kurtseinitz","@kurtseinitz")</f>
        <v>@kurtseinitz</v>
      </c>
      <c r="C4813" s="9" t="s">
        <v>11188</v>
      </c>
      <c r="D4813" s="9" t="s">
        <v>11212</v>
      </c>
      <c r="E4813" s="10" t="str">
        <f>HYPERLINK("https://twitter.com/kurtseinitz/status/723585486367932416","723585486367932416")</f>
        <v>723585486367932416</v>
      </c>
      <c r="F4813" s="11" t="s">
        <v>43</v>
      </c>
      <c r="G4813" s="11">
        <v>303</v>
      </c>
      <c r="H4813" s="11">
        <v>96</v>
      </c>
      <c r="I4813" s="11">
        <v>0</v>
      </c>
      <c r="J4813" s="11">
        <v>0</v>
      </c>
      <c r="K4813" s="11" t="s">
        <v>21</v>
      </c>
      <c r="L4813" s="7">
        <v>41129.011874999997</v>
      </c>
      <c r="M4813" s="12"/>
      <c r="N4813" s="12" t="s">
        <v>11190</v>
      </c>
      <c r="O4813" s="10" t="str">
        <f>HYPERLINK("https://pbs.twimg.com/profile_images/607945158869549056/NV8RBT1d_normal.jpg","View")</f>
        <v>View</v>
      </c>
      <c r="P4813" s="11"/>
    </row>
    <row r="4814" spans="1:16" ht="12.75" x14ac:dyDescent="0.35">
      <c r="A4814" s="7">
        <v>42483.016400462962</v>
      </c>
      <c r="B4814" s="8" t="str">
        <f>HYPERLINK("https://twitter.com/chefwickler","@chefwickler")</f>
        <v>@chefwickler</v>
      </c>
      <c r="C4814" s="9" t="s">
        <v>11213</v>
      </c>
      <c r="D4814" s="9" t="s">
        <v>11214</v>
      </c>
      <c r="E4814" s="10" t="str">
        <f>HYPERLINK("https://twitter.com/chefwickler/status/723585566932082688","723585566932082688")</f>
        <v>723585566932082688</v>
      </c>
      <c r="F4814" s="11" t="s">
        <v>20</v>
      </c>
      <c r="G4814" s="11">
        <v>173</v>
      </c>
      <c r="H4814" s="11">
        <v>192</v>
      </c>
      <c r="I4814" s="11">
        <v>0</v>
      </c>
      <c r="J4814" s="11">
        <v>0</v>
      </c>
      <c r="K4814" s="11" t="s">
        <v>21</v>
      </c>
      <c r="L4814" s="7">
        <v>42359.202013888891</v>
      </c>
      <c r="M4814" s="12" t="s">
        <v>8634</v>
      </c>
      <c r="N4814" s="12" t="s">
        <v>11215</v>
      </c>
      <c r="O4814" s="10" t="str">
        <f>HYPERLINK("https://pbs.twimg.com/profile_images/710075864797585409/WsFKqcsm_normal.jpg","View")</f>
        <v>View</v>
      </c>
      <c r="P4814" s="11"/>
    </row>
    <row r="4815" spans="1:16" ht="12.75" x14ac:dyDescent="0.35">
      <c r="A4815" s="7">
        <v>42483.016585648147</v>
      </c>
      <c r="B4815" s="8" t="str">
        <f>HYPERLINK("https://twitter.com/dandoherty1981","@dandoherty1981")</f>
        <v>@dandoherty1981</v>
      </c>
      <c r="C4815" s="9" t="s">
        <v>11216</v>
      </c>
      <c r="D4815" s="9" t="s">
        <v>10967</v>
      </c>
      <c r="E4815" s="10" t="str">
        <f>HYPERLINK("https://twitter.com/dandoherty1981/status/723585636557553666","723585636557553666")</f>
        <v>723585636557553666</v>
      </c>
      <c r="F4815" s="11" t="s">
        <v>48</v>
      </c>
      <c r="G4815" s="11">
        <v>441</v>
      </c>
      <c r="H4815" s="11">
        <v>1249</v>
      </c>
      <c r="I4815" s="11">
        <v>4</v>
      </c>
      <c r="J4815" s="11">
        <v>0</v>
      </c>
      <c r="K4815" s="11" t="s">
        <v>21</v>
      </c>
      <c r="L4815" s="7">
        <v>40942.217615740738</v>
      </c>
      <c r="M4815" s="12" t="s">
        <v>11217</v>
      </c>
      <c r="N4815" s="12" t="s">
        <v>11218</v>
      </c>
      <c r="O4815" s="10" t="str">
        <f>HYPERLINK("https://pbs.twimg.com/profile_images/665669445206024192/UvfzXxE__normal.jpg","View")</f>
        <v>View</v>
      </c>
      <c r="P4815" s="11"/>
    </row>
    <row r="4816" spans="1:16" ht="12.75" x14ac:dyDescent="0.35">
      <c r="A4816" s="7">
        <v>42483.016736111109</v>
      </c>
      <c r="B4816" s="8" t="str">
        <f>HYPERLINK("https://twitter.com/VWCamperSales","@VWCamperSales")</f>
        <v>@VWCamperSales</v>
      </c>
      <c r="C4816" s="9" t="s">
        <v>216</v>
      </c>
      <c r="D4816" s="9" t="s">
        <v>11219</v>
      </c>
      <c r="E4816" s="10" t="str">
        <f>HYPERLINK("https://twitter.com/VWCamperSales/status/723585689342734336","723585689342734336")</f>
        <v>723585689342734336</v>
      </c>
      <c r="F4816" s="10" t="s">
        <v>124</v>
      </c>
      <c r="G4816" s="11">
        <v>618</v>
      </c>
      <c r="H4816" s="11">
        <v>580</v>
      </c>
      <c r="I4816" s="11">
        <v>0</v>
      </c>
      <c r="J4816" s="11">
        <v>0</v>
      </c>
      <c r="K4816" s="11" t="s">
        <v>21</v>
      </c>
      <c r="L4816" s="7">
        <v>42215.98809027778</v>
      </c>
      <c r="M4816" s="12" t="s">
        <v>129</v>
      </c>
      <c r="N4816" s="12" t="s">
        <v>218</v>
      </c>
      <c r="O4816" s="10" t="str">
        <f>HYPERLINK("https://pbs.twimg.com/profile_images/627949001179037696/skEBkS05_normal.jpg","View")</f>
        <v>View</v>
      </c>
      <c r="P4816" s="11"/>
    </row>
    <row r="4817" spans="1:16" ht="12.75" x14ac:dyDescent="0.35">
      <c r="A4817" s="7">
        <v>42483.016944444447</v>
      </c>
      <c r="B4817" s="8" t="str">
        <f>HYPERLINK("https://twitter.com/DubLuvTuning","@DubLuvTuning")</f>
        <v>@DubLuvTuning</v>
      </c>
      <c r="C4817" s="9" t="s">
        <v>299</v>
      </c>
      <c r="D4817" s="9" t="s">
        <v>11220</v>
      </c>
      <c r="E4817" s="10" t="str">
        <f>HYPERLINK("https://twitter.com/DubLuvTuning/status/723585763980513281","723585763980513281")</f>
        <v>723585763980513281</v>
      </c>
      <c r="F4817" s="11" t="s">
        <v>288</v>
      </c>
      <c r="G4817" s="11">
        <v>690</v>
      </c>
      <c r="H4817" s="11">
        <v>431</v>
      </c>
      <c r="I4817" s="11">
        <v>2</v>
      </c>
      <c r="J4817" s="11">
        <v>0</v>
      </c>
      <c r="K4817" s="11" t="s">
        <v>21</v>
      </c>
      <c r="L4817" s="7">
        <v>41549.898287037038</v>
      </c>
      <c r="M4817" s="12" t="s">
        <v>301</v>
      </c>
      <c r="N4817" s="12" t="s">
        <v>302</v>
      </c>
      <c r="O4817" s="10" t="str">
        <f>HYPERLINK("https://pbs.twimg.com/profile_images/378800000572104796/1de43e1cf23efb3f4101c02afad0d3b6_normal.png","View")</f>
        <v>View</v>
      </c>
      <c r="P4817" s="11"/>
    </row>
    <row r="4818" spans="1:16" ht="12.75" x14ac:dyDescent="0.35">
      <c r="A4818" s="7">
        <v>42483.017141203702</v>
      </c>
      <c r="B4818" s="8" t="str">
        <f>HYPERLINK("https://twitter.com/Repupilli_Azul","@Repupilli_Azul")</f>
        <v>@Repupilli_Azul</v>
      </c>
      <c r="C4818" s="9" t="s">
        <v>11221</v>
      </c>
      <c r="D4818" s="9" t="s">
        <v>10808</v>
      </c>
      <c r="E4818" s="10" t="str">
        <f>HYPERLINK("https://twitter.com/Repupilli_Azul/status/723585837905096705","723585837905096705")</f>
        <v>723585837905096705</v>
      </c>
      <c r="F4818" s="11" t="s">
        <v>48</v>
      </c>
      <c r="G4818" s="11">
        <v>1581</v>
      </c>
      <c r="H4818" s="11">
        <v>1030</v>
      </c>
      <c r="I4818" s="11">
        <v>36</v>
      </c>
      <c r="J4818" s="11">
        <v>0</v>
      </c>
      <c r="K4818" s="11" t="s">
        <v>21</v>
      </c>
      <c r="L4818" s="7">
        <v>41468.97592592593</v>
      </c>
      <c r="M4818" s="12" t="s">
        <v>11222</v>
      </c>
      <c r="N4818" s="12" t="s">
        <v>11223</v>
      </c>
      <c r="O4818" s="10" t="str">
        <f>HYPERLINK("https://pbs.twimg.com/profile_images/722995209903169536/IRFOZNS2_normal.jpg","View")</f>
        <v>View</v>
      </c>
      <c r="P4818" s="11"/>
    </row>
    <row r="4819" spans="1:16" ht="12.75" x14ac:dyDescent="0.35">
      <c r="A4819" s="7">
        <v>42483.017696759256</v>
      </c>
      <c r="B4819" s="8" t="str">
        <f>HYPERLINK("https://twitter.com/Drive_Better","@Drive_Better")</f>
        <v>@Drive_Better</v>
      </c>
      <c r="C4819" s="8" t="s">
        <v>11224</v>
      </c>
      <c r="D4819" s="9" t="s">
        <v>11225</v>
      </c>
      <c r="E4819" s="10" t="str">
        <f>HYPERLINK("https://twitter.com/Drive_Better/status/723586037335896064","723586037335896064")</f>
        <v>723586037335896064</v>
      </c>
      <c r="F4819" s="11" t="s">
        <v>152</v>
      </c>
      <c r="G4819" s="11">
        <v>879</v>
      </c>
      <c r="H4819" s="11">
        <v>1087</v>
      </c>
      <c r="I4819" s="11">
        <v>0</v>
      </c>
      <c r="J4819" s="11">
        <v>0</v>
      </c>
      <c r="K4819" s="11" t="s">
        <v>21</v>
      </c>
      <c r="L4819" s="7">
        <v>41542.41920138889</v>
      </c>
      <c r="M4819" s="12" t="s">
        <v>715</v>
      </c>
      <c r="N4819" s="12" t="s">
        <v>11226</v>
      </c>
      <c r="O4819" s="10" t="str">
        <f>HYPERLINK("https://pbs.twimg.com/profile_images/459174154097291264/Wc-tvdVg_normal.jpeg","View")</f>
        <v>View</v>
      </c>
      <c r="P4819" s="11"/>
    </row>
    <row r="4820" spans="1:16" ht="12.75" x14ac:dyDescent="0.35">
      <c r="A4820" s="7">
        <v>42483.017997685187</v>
      </c>
      <c r="B4820" s="8" t="str">
        <f>HYPERLINK("https://twitter.com/Aguuuero","@Aguuuero")</f>
        <v>@Aguuuero</v>
      </c>
      <c r="C4820" s="9" t="s">
        <v>11227</v>
      </c>
      <c r="D4820" s="9" t="s">
        <v>11228</v>
      </c>
      <c r="E4820" s="10" t="str">
        <f>HYPERLINK("https://twitter.com/Aguuuero/status/723586146014355457","723586146014355457")</f>
        <v>723586146014355457</v>
      </c>
      <c r="F4820" s="11" t="s">
        <v>114</v>
      </c>
      <c r="G4820" s="11">
        <v>320</v>
      </c>
      <c r="H4820" s="11">
        <v>237</v>
      </c>
      <c r="I4820" s="11">
        <v>0</v>
      </c>
      <c r="J4820" s="11">
        <v>0</v>
      </c>
      <c r="K4820" s="11" t="s">
        <v>21</v>
      </c>
      <c r="L4820" s="7">
        <v>41189.236134259263</v>
      </c>
      <c r="M4820" s="12" t="s">
        <v>11229</v>
      </c>
      <c r="N4820" s="12" t="s">
        <v>11230</v>
      </c>
      <c r="O4820" s="10" t="str">
        <f>HYPERLINK("https://pbs.twimg.com/profile_images/624244894719188992/FmpTg5L8_normal.jpg","View")</f>
        <v>View</v>
      </c>
      <c r="P4820" s="10" t="str">
        <f>HYPERLINK("http://ctrlq.org/maps/address/#-38,-57.55","Map")</f>
        <v>Map</v>
      </c>
    </row>
    <row r="4821" spans="1:16" ht="12.75" x14ac:dyDescent="0.35">
      <c r="A4821" s="7">
        <v>42483.01829861111</v>
      </c>
      <c r="B4821" s="8" t="str">
        <f>HYPERLINK("https://twitter.com/tim_jarz","@tim_jarz")</f>
        <v>@tim_jarz</v>
      </c>
      <c r="C4821" s="9" t="s">
        <v>11231</v>
      </c>
      <c r="D4821" s="9" t="s">
        <v>11232</v>
      </c>
      <c r="E4821" s="10" t="str">
        <f>HYPERLINK("https://twitter.com/tim_jarz/status/723586254701391872","723586254701391872")</f>
        <v>723586254701391872</v>
      </c>
      <c r="F4821" s="11" t="s">
        <v>43</v>
      </c>
      <c r="G4821" s="11">
        <v>224</v>
      </c>
      <c r="H4821" s="11">
        <v>186</v>
      </c>
      <c r="I4821" s="11">
        <v>0</v>
      </c>
      <c r="J4821" s="11">
        <v>0</v>
      </c>
      <c r="K4821" s="11" t="s">
        <v>21</v>
      </c>
      <c r="L4821" s="7">
        <v>39772.440891203703</v>
      </c>
      <c r="M4821" s="12" t="s">
        <v>11233</v>
      </c>
      <c r="N4821" s="12" t="s">
        <v>11234</v>
      </c>
      <c r="O4821" s="10" t="str">
        <f>HYPERLINK("https://pbs.twimg.com/profile_images/530443622768836608/5EYPjdoC_normal.jpeg","View")</f>
        <v>View</v>
      </c>
      <c r="P4821" s="11"/>
    </row>
    <row r="4822" spans="1:16" ht="12.75" x14ac:dyDescent="0.35">
      <c r="A4822" s="7">
        <v>42483.018333333333</v>
      </c>
      <c r="B4822" s="8" t="str">
        <f>HYPERLINK("https://twitter.com/HistoricPeriods","@HistoricPeriods")</f>
        <v>@HistoricPeriods</v>
      </c>
      <c r="C4822" s="9" t="s">
        <v>11235</v>
      </c>
      <c r="D4822" s="9" t="s">
        <v>10950</v>
      </c>
      <c r="E4822" s="10" t="str">
        <f>HYPERLINK("https://twitter.com/HistoricPeriods/status/723586267628339200","723586267628339200")</f>
        <v>723586267628339200</v>
      </c>
      <c r="F4822" s="11" t="s">
        <v>20</v>
      </c>
      <c r="G4822" s="11">
        <v>41</v>
      </c>
      <c r="H4822" s="11">
        <v>43</v>
      </c>
      <c r="I4822" s="11">
        <v>7</v>
      </c>
      <c r="J4822" s="11">
        <v>0</v>
      </c>
      <c r="K4822" s="11" t="s">
        <v>21</v>
      </c>
      <c r="L4822" s="7">
        <v>41873.550000000003</v>
      </c>
      <c r="M4822" s="12"/>
      <c r="N4822" s="12" t="s">
        <v>11236</v>
      </c>
      <c r="O4822" s="10" t="str">
        <f>HYPERLINK("https://pbs.twimg.com/profile_images/701108111709495296/L5YkkOqj_normal.png","View")</f>
        <v>View</v>
      </c>
      <c r="P4822" s="11"/>
    </row>
    <row r="4823" spans="1:16" ht="12.75" x14ac:dyDescent="0.35">
      <c r="A4823" s="7">
        <v>42483.018472222218</v>
      </c>
      <c r="B4823" s="8" t="str">
        <f>HYPERLINK("https://twitter.com/helensarmstrong","@helensarmstrong")</f>
        <v>@helensarmstrong</v>
      </c>
      <c r="C4823" s="9" t="s">
        <v>11237</v>
      </c>
      <c r="D4823" s="9" t="s">
        <v>11208</v>
      </c>
      <c r="E4823" s="10" t="str">
        <f>HYPERLINK("https://twitter.com/helensarmstrong/status/723586318354251776","723586318354251776")</f>
        <v>723586318354251776</v>
      </c>
      <c r="F4823" s="11" t="s">
        <v>288</v>
      </c>
      <c r="G4823" s="11">
        <v>20592</v>
      </c>
      <c r="H4823" s="11">
        <v>12753</v>
      </c>
      <c r="I4823" s="11">
        <v>2</v>
      </c>
      <c r="J4823" s="11">
        <v>0</v>
      </c>
      <c r="K4823" s="11" t="s">
        <v>21</v>
      </c>
      <c r="L4823" s="7">
        <v>39857.750439814816</v>
      </c>
      <c r="M4823" s="12" t="s">
        <v>11172</v>
      </c>
      <c r="N4823" s="12" t="s">
        <v>11238</v>
      </c>
      <c r="O4823" s="10" t="str">
        <f>HYPERLINK("https://pbs.twimg.com/profile_images/692809854864510976/yEKX2c1-_normal.jpg","View")</f>
        <v>View</v>
      </c>
      <c r="P4823" s="11"/>
    </row>
    <row r="4824" spans="1:16" ht="12.75" x14ac:dyDescent="0.35">
      <c r="A4824" s="7">
        <v>42483.018726851849</v>
      </c>
      <c r="B4824" s="8" t="str">
        <f>HYPERLINK("https://twitter.com/Luchyokk","@Luchyokk")</f>
        <v>@Luchyokk</v>
      </c>
      <c r="C4824" s="9" t="s">
        <v>2826</v>
      </c>
      <c r="D4824" s="9" t="s">
        <v>10808</v>
      </c>
      <c r="E4824" s="10" t="str">
        <f>HYPERLINK("https://twitter.com/Luchyokk/status/723586412155678720","723586412155678720")</f>
        <v>723586412155678720</v>
      </c>
      <c r="F4824" s="11" t="s">
        <v>43</v>
      </c>
      <c r="G4824" s="11">
        <v>325</v>
      </c>
      <c r="H4824" s="11">
        <v>231</v>
      </c>
      <c r="I4824" s="11">
        <v>36</v>
      </c>
      <c r="J4824" s="11">
        <v>0</v>
      </c>
      <c r="K4824" s="11" t="s">
        <v>21</v>
      </c>
      <c r="L4824" s="7">
        <v>41855.46230324074</v>
      </c>
      <c r="M4824" s="12" t="s">
        <v>2827</v>
      </c>
      <c r="N4824" s="12" t="s">
        <v>2828</v>
      </c>
      <c r="O4824" s="10" t="str">
        <f>HYPERLINK("https://pbs.twimg.com/profile_images/675866578760634369/Wu-DqRQO_normal.jpg","View")</f>
        <v>View</v>
      </c>
      <c r="P4824" s="11"/>
    </row>
    <row r="4825" spans="1:16" ht="12.75" x14ac:dyDescent="0.35">
      <c r="A4825" s="7">
        <v>42483.018773148149</v>
      </c>
      <c r="B4825" s="8" t="str">
        <f>HYPERLINK("https://twitter.com/RosaTrunk","@RosaTrunk")</f>
        <v>@RosaTrunk</v>
      </c>
      <c r="C4825" s="9" t="s">
        <v>11239</v>
      </c>
      <c r="D4825" s="9" t="s">
        <v>11240</v>
      </c>
      <c r="E4825" s="10" t="str">
        <f>HYPERLINK("https://twitter.com/RosaTrunk/status/723586428135944193","723586428135944193")</f>
        <v>723586428135944193</v>
      </c>
      <c r="F4825" s="11" t="s">
        <v>48</v>
      </c>
      <c r="G4825" s="11">
        <v>31343</v>
      </c>
      <c r="H4825" s="11">
        <v>11688</v>
      </c>
      <c r="I4825" s="11">
        <v>2</v>
      </c>
      <c r="J4825" s="11">
        <v>0</v>
      </c>
      <c r="K4825" s="11" t="s">
        <v>21</v>
      </c>
      <c r="L4825" s="7">
        <v>41515.826215277775</v>
      </c>
      <c r="M4825" s="12" t="s">
        <v>11241</v>
      </c>
      <c r="N4825" s="12" t="s">
        <v>11242</v>
      </c>
      <c r="O4825" s="10" t="str">
        <f>HYPERLINK("https://pbs.twimg.com/profile_images/643472118177525760/w0sM5P_N_normal.jpg","View")</f>
        <v>View</v>
      </c>
      <c r="P4825" s="11"/>
    </row>
    <row r="4826" spans="1:16" ht="12.75" x14ac:dyDescent="0.35">
      <c r="A4826" s="7">
        <v>42483.018923611111</v>
      </c>
      <c r="B4826" s="8" t="str">
        <f>HYPERLINK("https://twitter.com/Iris_Rohmann","@Iris_Rohmann")</f>
        <v>@Iris_Rohmann</v>
      </c>
      <c r="C4826" s="9" t="s">
        <v>11243</v>
      </c>
      <c r="D4826" s="9" t="s">
        <v>11244</v>
      </c>
      <c r="E4826" s="10" t="str">
        <f>HYPERLINK("https://twitter.com/Iris_Rohmann/status/723586482179596290","723586482179596290")</f>
        <v>723586482179596290</v>
      </c>
      <c r="F4826" s="11" t="s">
        <v>43</v>
      </c>
      <c r="G4826" s="11">
        <v>636</v>
      </c>
      <c r="H4826" s="11">
        <v>558</v>
      </c>
      <c r="I4826" s="11">
        <v>1</v>
      </c>
      <c r="J4826" s="11">
        <v>1</v>
      </c>
      <c r="K4826" s="11" t="s">
        <v>21</v>
      </c>
      <c r="L4826" s="7">
        <v>41035.517245370371</v>
      </c>
      <c r="M4826" s="12" t="s">
        <v>262</v>
      </c>
      <c r="N4826" s="12" t="s">
        <v>11245</v>
      </c>
      <c r="O4826" s="10" t="str">
        <f>HYPERLINK("https://pbs.twimg.com/profile_images/685518722598068224/HbGzWKVA_normal.jpg","View")</f>
        <v>View</v>
      </c>
      <c r="P4826" s="11"/>
    </row>
    <row r="4827" spans="1:16" ht="12.75" x14ac:dyDescent="0.35">
      <c r="A4827" s="7">
        <v>42483.019212962958</v>
      </c>
      <c r="B4827" s="8" t="str">
        <f>HYPERLINK("https://twitter.com/EmaZaracho","@EmaZaracho")</f>
        <v>@EmaZaracho</v>
      </c>
      <c r="C4827" s="9" t="s">
        <v>11246</v>
      </c>
      <c r="D4827" s="9" t="s">
        <v>10808</v>
      </c>
      <c r="E4827" s="10" t="str">
        <f>HYPERLINK("https://twitter.com/EmaZaracho/status/723586588656164864","723586588656164864")</f>
        <v>723586588656164864</v>
      </c>
      <c r="F4827" s="11" t="s">
        <v>43</v>
      </c>
      <c r="G4827" s="11">
        <v>441</v>
      </c>
      <c r="H4827" s="11">
        <v>170</v>
      </c>
      <c r="I4827" s="11">
        <v>36</v>
      </c>
      <c r="J4827" s="11">
        <v>0</v>
      </c>
      <c r="K4827" s="11" t="s">
        <v>21</v>
      </c>
      <c r="L4827" s="7">
        <v>41619.042546296296</v>
      </c>
      <c r="M4827" s="12" t="s">
        <v>11247</v>
      </c>
      <c r="N4827" s="12" t="s">
        <v>11248</v>
      </c>
      <c r="O4827" s="10" t="str">
        <f>HYPERLINK("https://pbs.twimg.com/profile_images/722117418659790848/hkfd9GNd_normal.jpg","View")</f>
        <v>View</v>
      </c>
      <c r="P4827" s="11"/>
    </row>
    <row r="4828" spans="1:16" ht="12.75" x14ac:dyDescent="0.35">
      <c r="A4828" s="7">
        <v>42483.019386574073</v>
      </c>
      <c r="B4828" s="8" t="str">
        <f>HYPERLINK("https://twitter.com/JJRepairchip","@JJRepairchip")</f>
        <v>@JJRepairchip</v>
      </c>
      <c r="C4828" s="9" t="s">
        <v>11249</v>
      </c>
      <c r="D4828" s="9" t="s">
        <v>11250</v>
      </c>
      <c r="E4828" s="10" t="str">
        <f>HYPERLINK("https://twitter.com/JJRepairchip/status/723586650866126849","723586650866126849")</f>
        <v>723586650866126849</v>
      </c>
      <c r="F4828" s="11" t="s">
        <v>91</v>
      </c>
      <c r="G4828" s="11">
        <v>22</v>
      </c>
      <c r="H4828" s="11">
        <v>87</v>
      </c>
      <c r="I4828" s="11">
        <v>0</v>
      </c>
      <c r="J4828" s="11">
        <v>0</v>
      </c>
      <c r="K4828" s="11" t="s">
        <v>21</v>
      </c>
      <c r="L4828" s="7">
        <v>42413.5003587963</v>
      </c>
      <c r="M4828" s="12" t="s">
        <v>11251</v>
      </c>
      <c r="N4828" s="12" t="s">
        <v>11252</v>
      </c>
      <c r="O4828" s="10" t="str">
        <f>HYPERLINK("https://pbs.twimg.com/profile_images/698395851199287297/02pwFeVG_normal.jpg","View")</f>
        <v>View</v>
      </c>
      <c r="P4828" s="11"/>
    </row>
    <row r="4829" spans="1:16" ht="12.75" x14ac:dyDescent="0.35">
      <c r="A4829" s="7">
        <v>42483.019594907411</v>
      </c>
      <c r="B4829" s="8" t="str">
        <f>HYPERLINK("https://twitter.com/brosefstalin53","@brosefstalin53")</f>
        <v>@brosefstalin53</v>
      </c>
      <c r="C4829" s="9" t="s">
        <v>4825</v>
      </c>
      <c r="D4829" s="9" t="s">
        <v>11253</v>
      </c>
      <c r="E4829" s="10" t="str">
        <f>HYPERLINK("https://twitter.com/brosefstalin53/status/723586723071037440","723586723071037440")</f>
        <v>723586723071037440</v>
      </c>
      <c r="F4829" s="11" t="s">
        <v>20</v>
      </c>
      <c r="G4829" s="11">
        <v>145</v>
      </c>
      <c r="H4829" s="11">
        <v>240</v>
      </c>
      <c r="I4829" s="11">
        <v>4</v>
      </c>
      <c r="J4829" s="11">
        <v>0</v>
      </c>
      <c r="K4829" s="11" t="s">
        <v>21</v>
      </c>
      <c r="L4829" s="7">
        <v>42457.827245370368</v>
      </c>
      <c r="M4829" s="12" t="s">
        <v>4827</v>
      </c>
      <c r="N4829" s="12" t="s">
        <v>4828</v>
      </c>
      <c r="O4829" s="10" t="str">
        <f>HYPERLINK("https://pbs.twimg.com/profile_images/714459923313213440/hqlB0K0j_normal.jpg","View")</f>
        <v>View</v>
      </c>
      <c r="P4829" s="11"/>
    </row>
    <row r="4830" spans="1:16" ht="12.75" x14ac:dyDescent="0.35">
      <c r="A4830" s="7">
        <v>42483.019780092596</v>
      </c>
      <c r="B4830" s="8" t="str">
        <f>HYPERLINK("https://twitter.com/RainerRogge","@RainerRogge")</f>
        <v>@RainerRogge</v>
      </c>
      <c r="C4830" s="9" t="s">
        <v>10401</v>
      </c>
      <c r="D4830" s="9" t="s">
        <v>11253</v>
      </c>
      <c r="E4830" s="10" t="str">
        <f>HYPERLINK("https://twitter.com/RainerRogge/status/723586793048793089","723586793048793089")</f>
        <v>723586793048793089</v>
      </c>
      <c r="F4830" s="11" t="s">
        <v>48</v>
      </c>
      <c r="G4830" s="11">
        <v>613</v>
      </c>
      <c r="H4830" s="11">
        <v>485</v>
      </c>
      <c r="I4830" s="11">
        <v>4</v>
      </c>
      <c r="J4830" s="11">
        <v>0</v>
      </c>
      <c r="K4830" s="11" t="s">
        <v>21</v>
      </c>
      <c r="L4830" s="7">
        <v>42028.277465277773</v>
      </c>
      <c r="M4830" s="12" t="s">
        <v>10403</v>
      </c>
      <c r="N4830" s="12" t="s">
        <v>10404</v>
      </c>
      <c r="O4830" s="10" t="str">
        <f>HYPERLINK("https://pbs.twimg.com/profile_images/592417094983102464/xowRMPEE_normal.jpg","View")</f>
        <v>View</v>
      </c>
      <c r="P4830" s="11"/>
    </row>
    <row r="4831" spans="1:16" ht="12.75" x14ac:dyDescent="0.35">
      <c r="A4831" s="7">
        <v>42483.020092592589</v>
      </c>
      <c r="B4831" s="8" t="str">
        <f>HYPERLINK("https://twitter.com/SvOstrow","@SvOstrow")</f>
        <v>@SvOstrow</v>
      </c>
      <c r="C4831" s="9" t="s">
        <v>7247</v>
      </c>
      <c r="D4831" s="9" t="s">
        <v>11254</v>
      </c>
      <c r="E4831" s="10" t="str">
        <f>HYPERLINK("https://twitter.com/SvOstrow/status/723586905032523776","723586905032523776")</f>
        <v>723586905032523776</v>
      </c>
      <c r="F4831" s="11" t="s">
        <v>91</v>
      </c>
      <c r="G4831" s="11">
        <v>207</v>
      </c>
      <c r="H4831" s="11">
        <v>138</v>
      </c>
      <c r="I4831" s="11">
        <v>0</v>
      </c>
      <c r="J4831" s="11">
        <v>0</v>
      </c>
      <c r="K4831" s="11" t="s">
        <v>21</v>
      </c>
      <c r="L4831" s="7">
        <v>41866.102569444447</v>
      </c>
      <c r="M4831" s="12"/>
      <c r="N4831" s="12" t="s">
        <v>7249</v>
      </c>
      <c r="O4831" s="10" t="str">
        <f>HYPERLINK("https://pbs.twimg.com/profile_images/531108045451837442/KHuLHxmU_normal.jpeg","View")</f>
        <v>View</v>
      </c>
      <c r="P4831" s="11"/>
    </row>
    <row r="4832" spans="1:16" ht="12.75" x14ac:dyDescent="0.35">
      <c r="A4832" s="7">
        <v>42483.020138888889</v>
      </c>
      <c r="B4832" s="8" t="str">
        <f>HYPERLINK("https://twitter.com/MemosL","@MemosL")</f>
        <v>@MemosL</v>
      </c>
      <c r="C4832" s="9" t="s">
        <v>11255</v>
      </c>
      <c r="D4832" s="9" t="s">
        <v>11256</v>
      </c>
      <c r="E4832" s="10" t="str">
        <f>HYPERLINK("https://twitter.com/MemosL/status/723586922883493889","723586922883493889")</f>
        <v>723586922883493889</v>
      </c>
      <c r="F4832" s="11" t="s">
        <v>68</v>
      </c>
      <c r="G4832" s="11">
        <v>79</v>
      </c>
      <c r="H4832" s="11">
        <v>108</v>
      </c>
      <c r="I4832" s="11">
        <v>0</v>
      </c>
      <c r="J4832" s="11">
        <v>0</v>
      </c>
      <c r="K4832" s="11" t="s">
        <v>21</v>
      </c>
      <c r="L4832" s="7">
        <v>40383.629490740743</v>
      </c>
      <c r="M4832" s="12" t="s">
        <v>11257</v>
      </c>
      <c r="N4832" s="12" t="s">
        <v>11258</v>
      </c>
      <c r="O4832" s="10" t="str">
        <f>HYPERLINK("https://pbs.twimg.com/profile_images/668792440980004864/HoWoh2Uv_normal.jpg","View")</f>
        <v>View</v>
      </c>
      <c r="P4832" s="11"/>
    </row>
    <row r="4833" spans="1:16" ht="12.75" x14ac:dyDescent="0.35">
      <c r="A4833" s="7">
        <v>42483.020451388889</v>
      </c>
      <c r="B4833" s="8" t="str">
        <f>HYPERLINK("https://twitter.com/sine_injuria","@sine_injuria")</f>
        <v>@sine_injuria</v>
      </c>
      <c r="C4833" s="9" t="s">
        <v>4081</v>
      </c>
      <c r="D4833" s="9" t="s">
        <v>11259</v>
      </c>
      <c r="E4833" s="10" t="str">
        <f>HYPERLINK("https://twitter.com/sine_injuria/status/723587033604718593","723587033604718593")</f>
        <v>723587033604718593</v>
      </c>
      <c r="F4833" s="11" t="s">
        <v>20</v>
      </c>
      <c r="G4833" s="11">
        <v>1410</v>
      </c>
      <c r="H4833" s="11">
        <v>2265</v>
      </c>
      <c r="I4833" s="11">
        <v>0</v>
      </c>
      <c r="J4833" s="11">
        <v>0</v>
      </c>
      <c r="K4833" s="11" t="s">
        <v>21</v>
      </c>
      <c r="L4833" s="7">
        <v>41192.704884259263</v>
      </c>
      <c r="M4833" s="12" t="s">
        <v>4083</v>
      </c>
      <c r="N4833" s="12" t="s">
        <v>4084</v>
      </c>
      <c r="O4833" s="10" t="str">
        <f>HYPERLINK("https://pbs.twimg.com/profile_images/642021337809076225/YhbHP0MU_normal.jpg","View")</f>
        <v>View</v>
      </c>
      <c r="P4833" s="11"/>
    </row>
    <row r="4834" spans="1:16" ht="12.75" x14ac:dyDescent="0.35">
      <c r="A4834" s="7">
        <v>42483.020937499998</v>
      </c>
      <c r="B4834" s="8" t="str">
        <f t="shared" ref="B4834:B4835" si="411">HYPERLINK("https://twitter.com/VWCamperSales","@VWCamperSales")</f>
        <v>@VWCamperSales</v>
      </c>
      <c r="C4834" s="9" t="s">
        <v>216</v>
      </c>
      <c r="D4834" s="9" t="s">
        <v>11260</v>
      </c>
      <c r="E4834" s="10" t="str">
        <f>HYPERLINK("https://twitter.com/VWCamperSales/status/723587212047081472","723587212047081472")</f>
        <v>723587212047081472</v>
      </c>
      <c r="F4834" s="10" t="s">
        <v>124</v>
      </c>
      <c r="G4834" s="11">
        <v>618</v>
      </c>
      <c r="H4834" s="11">
        <v>580</v>
      </c>
      <c r="I4834" s="11">
        <v>0</v>
      </c>
      <c r="J4834" s="11">
        <v>0</v>
      </c>
      <c r="K4834" s="11" t="s">
        <v>21</v>
      </c>
      <c r="L4834" s="7">
        <v>42215.98809027778</v>
      </c>
      <c r="M4834" s="12" t="s">
        <v>129</v>
      </c>
      <c r="N4834" s="12" t="s">
        <v>218</v>
      </c>
      <c r="O4834" s="10" t="str">
        <f t="shared" ref="O4834:O4835" si="412">HYPERLINK("https://pbs.twimg.com/profile_images/627949001179037696/skEBkS05_normal.jpg","View")</f>
        <v>View</v>
      </c>
      <c r="P4834" s="11"/>
    </row>
    <row r="4835" spans="1:16" ht="12.75" x14ac:dyDescent="0.35">
      <c r="A4835" s="7">
        <v>42483.020960648151</v>
      </c>
      <c r="B4835" s="8" t="str">
        <f t="shared" si="411"/>
        <v>@VWCamperSales</v>
      </c>
      <c r="C4835" s="9" t="s">
        <v>216</v>
      </c>
      <c r="D4835" s="9" t="s">
        <v>11261</v>
      </c>
      <c r="E4835" s="10" t="str">
        <f>HYPERLINK("https://twitter.com/VWCamperSales/status/723587220259524609","723587220259524609")</f>
        <v>723587220259524609</v>
      </c>
      <c r="F4835" s="10" t="s">
        <v>124</v>
      </c>
      <c r="G4835" s="11">
        <v>618</v>
      </c>
      <c r="H4835" s="11">
        <v>580</v>
      </c>
      <c r="I4835" s="11">
        <v>0</v>
      </c>
      <c r="J4835" s="11">
        <v>0</v>
      </c>
      <c r="K4835" s="11" t="s">
        <v>21</v>
      </c>
      <c r="L4835" s="7">
        <v>42215.98809027778</v>
      </c>
      <c r="M4835" s="12" t="s">
        <v>129</v>
      </c>
      <c r="N4835" s="12" t="s">
        <v>218</v>
      </c>
      <c r="O4835" s="10" t="str">
        <f t="shared" si="412"/>
        <v>View</v>
      </c>
      <c r="P4835" s="11"/>
    </row>
    <row r="4836" spans="1:16" ht="12.75" x14ac:dyDescent="0.35">
      <c r="A4836" s="7">
        <v>42483.021053240736</v>
      </c>
      <c r="B4836" s="8" t="str">
        <f>HYPERLINK("https://twitter.com/LondonPicks","@LondonPicks")</f>
        <v>@LondonPicks</v>
      </c>
      <c r="C4836" s="9" t="s">
        <v>11262</v>
      </c>
      <c r="D4836" s="9" t="s">
        <v>11263</v>
      </c>
      <c r="E4836" s="10" t="str">
        <f>HYPERLINK("https://twitter.com/LondonPicks/status/723587255491653632","723587255491653632")</f>
        <v>723587255491653632</v>
      </c>
      <c r="F4836" s="11" t="s">
        <v>11264</v>
      </c>
      <c r="G4836" s="11">
        <v>5318</v>
      </c>
      <c r="H4836" s="11">
        <v>1687</v>
      </c>
      <c r="I4836" s="11">
        <v>0</v>
      </c>
      <c r="J4836" s="11">
        <v>0</v>
      </c>
      <c r="K4836" s="11" t="s">
        <v>21</v>
      </c>
      <c r="L4836" s="7">
        <v>39916.883055555554</v>
      </c>
      <c r="M4836" s="12" t="s">
        <v>638</v>
      </c>
      <c r="N4836" s="12" t="s">
        <v>11265</v>
      </c>
      <c r="O4836" s="10" t="str">
        <f>HYPERLINK("https://pbs.twimg.com/profile_images/1196278450/picks-logo-london_normal.png","View")</f>
        <v>View</v>
      </c>
      <c r="P4836" s="11"/>
    </row>
    <row r="4837" spans="1:16" ht="12.75" x14ac:dyDescent="0.35">
      <c r="A4837" s="7">
        <v>42483.021157407406</v>
      </c>
      <c r="B4837" s="8" t="str">
        <f>HYPERLINK("https://twitter.com/julioDeLange","@julioDeLange")</f>
        <v>@julioDeLange</v>
      </c>
      <c r="C4837" s="9" t="s">
        <v>4938</v>
      </c>
      <c r="D4837" s="9" t="s">
        <v>11266</v>
      </c>
      <c r="E4837" s="10" t="str">
        <f>HYPERLINK("https://twitter.com/julioDeLange/status/723587291759939585","723587291759939585")</f>
        <v>723587291759939585</v>
      </c>
      <c r="F4837" s="11" t="s">
        <v>20</v>
      </c>
      <c r="G4837" s="11">
        <v>16</v>
      </c>
      <c r="H4837" s="11">
        <v>76</v>
      </c>
      <c r="I4837" s="11">
        <v>0</v>
      </c>
      <c r="J4837" s="11">
        <v>0</v>
      </c>
      <c r="K4837" s="11" t="s">
        <v>21</v>
      </c>
      <c r="L4837" s="7">
        <v>42445.047048611115</v>
      </c>
      <c r="M4837" s="12"/>
      <c r="N4837" s="12"/>
      <c r="O4837" s="10" t="str">
        <f>HYPERLINK("https://pbs.twimg.com/profile_images/709826765716324353/TlhgogFL_normal.jpg","View")</f>
        <v>View</v>
      </c>
      <c r="P4837" s="11"/>
    </row>
    <row r="4838" spans="1:16" ht="12.75" x14ac:dyDescent="0.35">
      <c r="A4838" s="7">
        <v>42483.02138888889</v>
      </c>
      <c r="B4838" s="8" t="str">
        <f>HYPERLINK("https://twitter.com/kngeuro","@kngeuro")</f>
        <v>@kngeuro</v>
      </c>
      <c r="C4838" s="9" t="s">
        <v>833</v>
      </c>
      <c r="D4838" s="9" t="s">
        <v>11267</v>
      </c>
      <c r="E4838" s="10" t="str">
        <f>HYPERLINK("https://twitter.com/kngeuro/status/723587373594869760","723587373594869760")</f>
        <v>723587373594869760</v>
      </c>
      <c r="F4838" s="11" t="s">
        <v>53</v>
      </c>
      <c r="G4838" s="11">
        <v>760</v>
      </c>
      <c r="H4838" s="11">
        <v>451</v>
      </c>
      <c r="I4838" s="11">
        <v>1</v>
      </c>
      <c r="J4838" s="11">
        <v>0</v>
      </c>
      <c r="K4838" s="11" t="s">
        <v>21</v>
      </c>
      <c r="L4838" s="7">
        <v>40319.120925925927</v>
      </c>
      <c r="M4838" s="12" t="s">
        <v>835</v>
      </c>
      <c r="N4838" s="12" t="s">
        <v>836</v>
      </c>
      <c r="O4838" s="10" t="str">
        <f>HYPERLINK("https://pbs.twimg.com/profile_images/570375988065935360/ooT_Nq7x_normal.jpeg","View")</f>
        <v>View</v>
      </c>
      <c r="P4838" s="11"/>
    </row>
    <row r="4839" spans="1:16" ht="12.75" x14ac:dyDescent="0.35">
      <c r="A4839" s="7">
        <v>42483.02143518519</v>
      </c>
      <c r="B4839" s="8" t="str">
        <f>HYPERLINK("https://twitter.com/frisch_fish","@frisch_fish")</f>
        <v>@frisch_fish</v>
      </c>
      <c r="C4839" s="9" t="s">
        <v>7361</v>
      </c>
      <c r="D4839" s="9" t="s">
        <v>11268</v>
      </c>
      <c r="E4839" s="10" t="str">
        <f>HYPERLINK("https://twitter.com/frisch_fish/status/723587392284856320","723587392284856320")</f>
        <v>723587392284856320</v>
      </c>
      <c r="F4839" s="11" t="s">
        <v>43</v>
      </c>
      <c r="G4839" s="11">
        <v>1194</v>
      </c>
      <c r="H4839" s="11">
        <v>2488</v>
      </c>
      <c r="I4839" s="11">
        <v>1</v>
      </c>
      <c r="J4839" s="11">
        <v>0</v>
      </c>
      <c r="K4839" s="11" t="s">
        <v>21</v>
      </c>
      <c r="L4839" s="7">
        <v>41382.599756944444</v>
      </c>
      <c r="M4839" s="12" t="s">
        <v>7363</v>
      </c>
      <c r="N4839" s="12" t="s">
        <v>7364</v>
      </c>
      <c r="O4839" s="10" t="str">
        <f>HYPERLINK("https://pbs.twimg.com/profile_images/491217423396134913/ygdCi_0u_normal.jpeg","View")</f>
        <v>View</v>
      </c>
      <c r="P4839" s="11"/>
    </row>
    <row r="4840" spans="1:16" ht="12.75" x14ac:dyDescent="0.35">
      <c r="A4840" s="7">
        <v>42483.022152777776</v>
      </c>
      <c r="B4840" s="8" t="str">
        <f>HYPERLINK("https://twitter.com/longshipdriver","@longshipdriver")</f>
        <v>@longshipdriver</v>
      </c>
      <c r="C4840" s="9" t="s">
        <v>11269</v>
      </c>
      <c r="D4840" s="9" t="s">
        <v>11039</v>
      </c>
      <c r="E4840" s="10" t="str">
        <f>HYPERLINK("https://twitter.com/longshipdriver/status/723587652562333696","723587652562333696")</f>
        <v>723587652562333696</v>
      </c>
      <c r="F4840" s="11" t="s">
        <v>11270</v>
      </c>
      <c r="G4840" s="11">
        <v>1066</v>
      </c>
      <c r="H4840" s="11">
        <v>2187</v>
      </c>
      <c r="I4840" s="11">
        <v>4</v>
      </c>
      <c r="J4840" s="11">
        <v>0</v>
      </c>
      <c r="K4840" s="11" t="s">
        <v>21</v>
      </c>
      <c r="L4840" s="7">
        <v>40489.408263888887</v>
      </c>
      <c r="M4840" s="12" t="s">
        <v>305</v>
      </c>
      <c r="N4840" s="12" t="s">
        <v>11271</v>
      </c>
      <c r="O4840" s="10" t="str">
        <f>HYPERLINK("https://pbs.twimg.com/profile_images/2688871973/17923af03e83ba9d96439300ef4d4e1d_normal.jpeg","View")</f>
        <v>View</v>
      </c>
      <c r="P4840" s="11"/>
    </row>
    <row r="4841" spans="1:16" ht="12.75" x14ac:dyDescent="0.35">
      <c r="A4841" s="7">
        <v>42483.022233796291</v>
      </c>
      <c r="B4841" s="8" t="str">
        <f>HYPERLINK("https://twitter.com/kingblaise_","@kingblaise_")</f>
        <v>@kingblaise_</v>
      </c>
      <c r="C4841" s="9" t="s">
        <v>11272</v>
      </c>
      <c r="D4841" s="9" t="s">
        <v>11273</v>
      </c>
      <c r="E4841" s="10" t="str">
        <f>HYPERLINK("https://twitter.com/kingblaise_/status/723587682392223746","723587682392223746")</f>
        <v>723587682392223746</v>
      </c>
      <c r="F4841" s="11" t="s">
        <v>20</v>
      </c>
      <c r="G4841" s="11">
        <v>121</v>
      </c>
      <c r="H4841" s="11">
        <v>307</v>
      </c>
      <c r="I4841" s="11">
        <v>1</v>
      </c>
      <c r="J4841" s="11">
        <v>0</v>
      </c>
      <c r="K4841" s="11" t="s">
        <v>21</v>
      </c>
      <c r="L4841" s="7">
        <v>41809.796932870369</v>
      </c>
      <c r="M4841" s="12"/>
      <c r="N4841" s="12" t="s">
        <v>11274</v>
      </c>
      <c r="O4841" s="10" t="str">
        <f>HYPERLINK("https://pbs.twimg.com/profile_images/715520899764641793/OwuBxAa9_normal.jpg","View")</f>
        <v>View</v>
      </c>
      <c r="P4841" s="11"/>
    </row>
    <row r="4842" spans="1:16" ht="12.75" x14ac:dyDescent="0.35">
      <c r="A4842" s="7">
        <v>42483.02238425926</v>
      </c>
      <c r="B4842" s="8" t="str">
        <f>HYPERLINK("https://twitter.com/MikeLittUSA","@MikeLittUSA")</f>
        <v>@MikeLittUSA</v>
      </c>
      <c r="C4842" s="9" t="s">
        <v>11275</v>
      </c>
      <c r="D4842" s="9" t="s">
        <v>11276</v>
      </c>
      <c r="E4842" s="10" t="str">
        <f>HYPERLINK("https://twitter.com/MikeLittUSA/status/723587734548434944","723587734548434944")</f>
        <v>723587734548434944</v>
      </c>
      <c r="F4842" s="11" t="s">
        <v>43</v>
      </c>
      <c r="G4842" s="11">
        <v>621</v>
      </c>
      <c r="H4842" s="11">
        <v>1160</v>
      </c>
      <c r="I4842" s="11">
        <v>0</v>
      </c>
      <c r="J4842" s="11">
        <v>0</v>
      </c>
      <c r="K4842" s="11" t="s">
        <v>21</v>
      </c>
      <c r="L4842" s="7">
        <v>39977.000034722223</v>
      </c>
      <c r="M4842" s="12"/>
      <c r="N4842" s="12" t="s">
        <v>11277</v>
      </c>
      <c r="O4842" s="10" t="str">
        <f>HYPERLINK("https://pbs.twimg.com/profile_images/585174486485311489/6TENQeaO_normal.jpg","View")</f>
        <v>View</v>
      </c>
      <c r="P4842" s="11"/>
    </row>
    <row r="4843" spans="1:16" ht="12.75" x14ac:dyDescent="0.35">
      <c r="A4843" s="7">
        <v>42483.022685185184</v>
      </c>
      <c r="B4843" s="8" t="str">
        <f>HYPERLINK("https://twitter.com/SerraTVC","@SerraTVC")</f>
        <v>@SerraTVC</v>
      </c>
      <c r="C4843" s="9" t="s">
        <v>4096</v>
      </c>
      <c r="D4843" s="9" t="s">
        <v>11278</v>
      </c>
      <c r="E4843" s="10" t="str">
        <f>HYPERLINK("https://twitter.com/SerraTVC/status/723587843638067200","723587843638067200")</f>
        <v>723587843638067200</v>
      </c>
      <c r="F4843" s="11" t="s">
        <v>152</v>
      </c>
      <c r="G4843" s="11">
        <v>644</v>
      </c>
      <c r="H4843" s="11">
        <v>968</v>
      </c>
      <c r="I4843" s="11">
        <v>0</v>
      </c>
      <c r="J4843" s="11">
        <v>0</v>
      </c>
      <c r="K4843" s="11" t="s">
        <v>21</v>
      </c>
      <c r="L4843" s="7">
        <v>39982.977719907409</v>
      </c>
      <c r="M4843" s="12" t="s">
        <v>4098</v>
      </c>
      <c r="N4843" s="12" t="s">
        <v>4099</v>
      </c>
      <c r="O4843" s="10" t="str">
        <f>HYPERLINK("https://pbs.twimg.com/profile_images/719611202129625088/XNXG8FpF_normal.jpg","View")</f>
        <v>View</v>
      </c>
      <c r="P4843" s="11"/>
    </row>
    <row r="4844" spans="1:16" ht="12.75" x14ac:dyDescent="0.35">
      <c r="A4844" s="7">
        <v>42483.022974537038</v>
      </c>
      <c r="B4844" s="8" t="str">
        <f>HYPERLINK("https://twitter.com/EzeeHerman","@EzeeHerman")</f>
        <v>@EzeeHerman</v>
      </c>
      <c r="C4844" s="9" t="s">
        <v>11279</v>
      </c>
      <c r="D4844" s="9" t="s">
        <v>11280</v>
      </c>
      <c r="E4844" s="10" t="str">
        <f>HYPERLINK("https://twitter.com/EzeeHerman/status/723587947727966208","723587947727966208")</f>
        <v>723587947727966208</v>
      </c>
      <c r="F4844" s="11" t="s">
        <v>114</v>
      </c>
      <c r="G4844" s="11">
        <v>812</v>
      </c>
      <c r="H4844" s="11">
        <v>614</v>
      </c>
      <c r="I4844" s="11">
        <v>0</v>
      </c>
      <c r="J4844" s="11">
        <v>0</v>
      </c>
      <c r="K4844" s="11" t="s">
        <v>21</v>
      </c>
      <c r="L4844" s="7">
        <v>41414.20453703704</v>
      </c>
      <c r="M4844" s="12" t="s">
        <v>11281</v>
      </c>
      <c r="N4844" s="12" t="s">
        <v>11282</v>
      </c>
      <c r="O4844" s="10" t="str">
        <f>HYPERLINK("https://pbs.twimg.com/profile_images/695285455147896833/chTGAG7C_normal.jpg","View")</f>
        <v>View</v>
      </c>
      <c r="P4844" s="11"/>
    </row>
    <row r="4845" spans="1:16" ht="12.75" x14ac:dyDescent="0.35">
      <c r="A4845" s="7">
        <v>42483.023310185185</v>
      </c>
      <c r="B4845" s="8" t="str">
        <f t="shared" ref="B4845:B4846" si="413">HYPERLINK("https://twitter.com/beetlebug1938","@beetlebug1938")</f>
        <v>@beetlebug1938</v>
      </c>
      <c r="C4845" s="9" t="s">
        <v>66</v>
      </c>
      <c r="D4845" s="9" t="s">
        <v>11283</v>
      </c>
      <c r="E4845" s="10" t="str">
        <f>HYPERLINK("https://twitter.com/beetlebug1938/status/723588072861011968","723588072861011968")</f>
        <v>723588072861011968</v>
      </c>
      <c r="F4845" s="11" t="s">
        <v>68</v>
      </c>
      <c r="G4845" s="11">
        <v>359</v>
      </c>
      <c r="H4845" s="11">
        <v>2223</v>
      </c>
      <c r="I4845" s="11">
        <v>0</v>
      </c>
      <c r="J4845" s="11">
        <v>0</v>
      </c>
      <c r="K4845" s="11" t="s">
        <v>21</v>
      </c>
      <c r="L4845" s="7">
        <v>42469.863865740743</v>
      </c>
      <c r="M4845" s="12" t="s">
        <v>69</v>
      </c>
      <c r="N4845" s="12"/>
      <c r="O4845" s="10" t="str">
        <f t="shared" ref="O4845:O4846" si="414">HYPERLINK("https://pbs.twimg.com/profile_images/718820712757215233/LXXndPTS_normal.jpg","View")</f>
        <v>View</v>
      </c>
      <c r="P4845" s="11"/>
    </row>
    <row r="4846" spans="1:16" ht="12.75" x14ac:dyDescent="0.35">
      <c r="A4846" s="7">
        <v>42483.023368055554</v>
      </c>
      <c r="B4846" s="8" t="str">
        <f t="shared" si="413"/>
        <v>@beetlebug1938</v>
      </c>
      <c r="C4846" s="9" t="s">
        <v>66</v>
      </c>
      <c r="D4846" s="9" t="s">
        <v>11284</v>
      </c>
      <c r="E4846" s="10" t="str">
        <f>HYPERLINK("https://twitter.com/beetlebug1938/status/723588091966033920","723588091966033920")</f>
        <v>723588091966033920</v>
      </c>
      <c r="F4846" s="11" t="s">
        <v>68</v>
      </c>
      <c r="G4846" s="11">
        <v>359</v>
      </c>
      <c r="H4846" s="11">
        <v>2223</v>
      </c>
      <c r="I4846" s="11">
        <v>1</v>
      </c>
      <c r="J4846" s="11">
        <v>0</v>
      </c>
      <c r="K4846" s="11" t="s">
        <v>21</v>
      </c>
      <c r="L4846" s="7">
        <v>42469.863865740743</v>
      </c>
      <c r="M4846" s="12" t="s">
        <v>69</v>
      </c>
      <c r="N4846" s="12"/>
      <c r="O4846" s="10" t="str">
        <f t="shared" si="414"/>
        <v>View</v>
      </c>
      <c r="P4846" s="11"/>
    </row>
    <row r="4847" spans="1:16" ht="12.75" x14ac:dyDescent="0.35">
      <c r="A4847" s="7">
        <v>42483.023576388892</v>
      </c>
      <c r="B4847" s="8" t="str">
        <f>HYPERLINK("https://twitter.com/VolkswagenPost","@VolkswagenPost")</f>
        <v>@VolkswagenPost</v>
      </c>
      <c r="C4847" s="9" t="s">
        <v>321</v>
      </c>
      <c r="D4847" s="9" t="s">
        <v>11285</v>
      </c>
      <c r="E4847" s="10" t="str">
        <f>HYPERLINK("https://twitter.com/VolkswagenPost/status/723588168851795968","723588168851795968")</f>
        <v>723588168851795968</v>
      </c>
      <c r="F4847" s="11" t="s">
        <v>288</v>
      </c>
      <c r="G4847" s="11">
        <v>569</v>
      </c>
      <c r="H4847" s="11">
        <v>446</v>
      </c>
      <c r="I4847" s="11">
        <v>1</v>
      </c>
      <c r="J4847" s="11">
        <v>0</v>
      </c>
      <c r="K4847" s="11" t="s">
        <v>21</v>
      </c>
      <c r="L4847" s="7">
        <v>41940.618379629632</v>
      </c>
      <c r="M4847" s="12"/>
      <c r="N4847" s="12"/>
      <c r="O4847" s="10" t="str">
        <f>HYPERLINK("https://pbs.twimg.com/profile_images/530071272881803264/a_jcCmPZ_normal.png","View")</f>
        <v>View</v>
      </c>
      <c r="P4847" s="11"/>
    </row>
    <row r="4848" spans="1:16" ht="12.75" x14ac:dyDescent="0.35">
      <c r="A4848" s="7">
        <v>42483.023599537039</v>
      </c>
      <c r="B4848" s="8" t="str">
        <f>HYPERLINK("https://twitter.com/DrWetti","@DrWetti")</f>
        <v>@DrWetti</v>
      </c>
      <c r="C4848" s="9" t="s">
        <v>11286</v>
      </c>
      <c r="D4848" s="9" t="s">
        <v>11287</v>
      </c>
      <c r="E4848" s="10" t="str">
        <f>HYPERLINK("https://twitter.com/DrWetti/status/723588175923417089","723588175923417089")</f>
        <v>723588175923417089</v>
      </c>
      <c r="F4848" s="11" t="s">
        <v>1838</v>
      </c>
      <c r="G4848" s="11">
        <v>852</v>
      </c>
      <c r="H4848" s="11">
        <v>1730</v>
      </c>
      <c r="I4848" s="11">
        <v>0</v>
      </c>
      <c r="J4848" s="11">
        <v>0</v>
      </c>
      <c r="K4848" s="11" t="s">
        <v>21</v>
      </c>
      <c r="L4848" s="7">
        <v>39996.082870370374</v>
      </c>
      <c r="M4848" s="12" t="s">
        <v>11288</v>
      </c>
      <c r="N4848" s="12" t="s">
        <v>11289</v>
      </c>
      <c r="O4848" s="10" t="str">
        <f>HYPERLINK("https://pbs.twimg.com/profile_images/1445240756/twitterneu_normal.jpg","View")</f>
        <v>View</v>
      </c>
      <c r="P4848" s="11"/>
    </row>
    <row r="4849" spans="1:16" ht="12.75" x14ac:dyDescent="0.35">
      <c r="A4849" s="7">
        <v>42483.024097222224</v>
      </c>
      <c r="B4849" s="8" t="str">
        <f>HYPERLINK("https://twitter.com/DubLuvTuning","@DubLuvTuning")</f>
        <v>@DubLuvTuning</v>
      </c>
      <c r="C4849" s="9" t="s">
        <v>299</v>
      </c>
      <c r="D4849" s="9" t="s">
        <v>11290</v>
      </c>
      <c r="E4849" s="10" t="str">
        <f>HYPERLINK("https://twitter.com/DubLuvTuning/status/723588357314482177","723588357314482177")</f>
        <v>723588357314482177</v>
      </c>
      <c r="F4849" s="11" t="s">
        <v>288</v>
      </c>
      <c r="G4849" s="11">
        <v>690</v>
      </c>
      <c r="H4849" s="11">
        <v>431</v>
      </c>
      <c r="I4849" s="11">
        <v>1</v>
      </c>
      <c r="J4849" s="11">
        <v>0</v>
      </c>
      <c r="K4849" s="11" t="s">
        <v>21</v>
      </c>
      <c r="L4849" s="7">
        <v>41549.898287037038</v>
      </c>
      <c r="M4849" s="12" t="s">
        <v>301</v>
      </c>
      <c r="N4849" s="12" t="s">
        <v>302</v>
      </c>
      <c r="O4849" s="10" t="str">
        <f>HYPERLINK("https://pbs.twimg.com/profile_images/378800000572104796/1de43e1cf23efb3f4101c02afad0d3b6_normal.png","View")</f>
        <v>View</v>
      </c>
      <c r="P4849" s="11"/>
    </row>
    <row r="4850" spans="1:16" ht="12.75" x14ac:dyDescent="0.35">
      <c r="A4850" s="7">
        <v>42483.024398148147</v>
      </c>
      <c r="B4850" s="8" t="str">
        <f>HYPERLINK("https://twitter.com/VWBeetleSales","@VWBeetleSales")</f>
        <v>@VWBeetleSales</v>
      </c>
      <c r="C4850" s="9" t="s">
        <v>127</v>
      </c>
      <c r="D4850" s="9" t="s">
        <v>11291</v>
      </c>
      <c r="E4850" s="10" t="str">
        <f>HYPERLINK("https://twitter.com/VWBeetleSales/status/723588465258942465","723588465258942465")</f>
        <v>723588465258942465</v>
      </c>
      <c r="F4850" s="10" t="s">
        <v>124</v>
      </c>
      <c r="G4850" s="11">
        <v>36</v>
      </c>
      <c r="H4850" s="11">
        <v>32</v>
      </c>
      <c r="I4850" s="11">
        <v>0</v>
      </c>
      <c r="J4850" s="11">
        <v>0</v>
      </c>
      <c r="K4850" s="11" t="s">
        <v>21</v>
      </c>
      <c r="L4850" s="7">
        <v>42427.019756944443</v>
      </c>
      <c r="M4850" s="12" t="s">
        <v>129</v>
      </c>
      <c r="N4850" s="12" t="s">
        <v>130</v>
      </c>
      <c r="O4850" s="10" t="str">
        <f>HYPERLINK("https://pbs.twimg.com/profile_images/703294545195307008/qeCvrX86_normal.jpg","View")</f>
        <v>View</v>
      </c>
      <c r="P4850" s="11"/>
    </row>
    <row r="4851" spans="1:16" ht="12.75" x14ac:dyDescent="0.35">
      <c r="A4851" s="7">
        <v>42483.024409722224</v>
      </c>
      <c r="B4851" s="8" t="str">
        <f>HYPERLINK("https://twitter.com/FuscaWorld","@FuscaWorld")</f>
        <v>@FuscaWorld</v>
      </c>
      <c r="C4851" s="9" t="s">
        <v>74</v>
      </c>
      <c r="D4851" s="9" t="s">
        <v>11292</v>
      </c>
      <c r="E4851" s="10" t="str">
        <f>HYPERLINK("https://twitter.com/FuscaWorld/status/723588471860912128","723588471860912128")</f>
        <v>723588471860912128</v>
      </c>
      <c r="F4851" s="11" t="s">
        <v>76</v>
      </c>
      <c r="G4851" s="11">
        <v>49</v>
      </c>
      <c r="H4851" s="11">
        <v>1</v>
      </c>
      <c r="I4851" s="11">
        <v>1</v>
      </c>
      <c r="J4851" s="11">
        <v>0</v>
      </c>
      <c r="K4851" s="11" t="s">
        <v>21</v>
      </c>
      <c r="L4851" s="7">
        <v>42433.880914351852</v>
      </c>
      <c r="M4851" s="12"/>
      <c r="N4851" s="12" t="s">
        <v>77</v>
      </c>
      <c r="O4851" s="10" t="str">
        <f>HYPERLINK("https://pbs.twimg.com/profile_images/705780107844067328/e7O4UBNb_normal.jpg","View")</f>
        <v>View</v>
      </c>
      <c r="P4851" s="11"/>
    </row>
    <row r="4852" spans="1:16" ht="12.75" x14ac:dyDescent="0.35">
      <c r="A4852" s="7">
        <v>42483.024525462963</v>
      </c>
      <c r="B4852" s="8" t="str">
        <f>HYPERLINK("https://twitter.com/StohlmanAuto","@StohlmanAuto")</f>
        <v>@StohlmanAuto</v>
      </c>
      <c r="C4852" s="9" t="s">
        <v>5753</v>
      </c>
      <c r="D4852" s="9" t="s">
        <v>11293</v>
      </c>
      <c r="E4852" s="10" t="str">
        <f>HYPERLINK("https://twitter.com/StohlmanAuto/status/723588510029103105","723588510029103105")</f>
        <v>723588510029103105</v>
      </c>
      <c r="F4852" s="11" t="s">
        <v>152</v>
      </c>
      <c r="G4852" s="11">
        <v>191</v>
      </c>
      <c r="H4852" s="11">
        <v>776</v>
      </c>
      <c r="I4852" s="11">
        <v>0</v>
      </c>
      <c r="J4852" s="11">
        <v>0</v>
      </c>
      <c r="K4852" s="11" t="s">
        <v>21</v>
      </c>
      <c r="L4852" s="7">
        <v>41062.100671296299</v>
      </c>
      <c r="M4852" s="12" t="s">
        <v>5755</v>
      </c>
      <c r="N4852" s="12" t="s">
        <v>5756</v>
      </c>
      <c r="O4852" s="10" t="str">
        <f>HYPERLINK("https://pbs.twimg.com/profile_images/2301932893/ofy8sgl94m45zgiq2my3_normal.jpeg","View")</f>
        <v>View</v>
      </c>
      <c r="P4852" s="11"/>
    </row>
    <row r="4853" spans="1:16" ht="12.75" x14ac:dyDescent="0.35">
      <c r="A4853" s="7">
        <v>42483.024629629625</v>
      </c>
      <c r="B4853" s="8" t="str">
        <f>HYPERLINK("https://twitter.com/uextremo","@uextremo")</f>
        <v>@uextremo</v>
      </c>
      <c r="C4853" s="9" t="s">
        <v>11294</v>
      </c>
      <c r="D4853" s="9" t="s">
        <v>11295</v>
      </c>
      <c r="E4853" s="10" t="str">
        <f>HYPERLINK("https://twitter.com/uextremo/status/723588549698813952","723588549698813952")</f>
        <v>723588549698813952</v>
      </c>
      <c r="F4853" s="11" t="s">
        <v>152</v>
      </c>
      <c r="G4853" s="11">
        <v>724</v>
      </c>
      <c r="H4853" s="11">
        <v>518</v>
      </c>
      <c r="I4853" s="11">
        <v>1</v>
      </c>
      <c r="J4853" s="11">
        <v>0</v>
      </c>
      <c r="K4853" s="11" t="s">
        <v>21</v>
      </c>
      <c r="L4853" s="7">
        <v>40158.680451388893</v>
      </c>
      <c r="M4853" s="12" t="s">
        <v>11296</v>
      </c>
      <c r="N4853" s="12" t="s">
        <v>11297</v>
      </c>
      <c r="O4853" s="10" t="str">
        <f>HYPERLINK("https://pbs.twimg.com/profile_images/3077820952/a1d4fe04dd9458bc186ab16a86ba62c0_normal.jpeg","View")</f>
        <v>View</v>
      </c>
      <c r="P4853" s="11"/>
    </row>
    <row r="4854" spans="1:16" ht="12.75" x14ac:dyDescent="0.35">
      <c r="A4854" s="7">
        <v>42483.025231481486</v>
      </c>
      <c r="B4854" s="8" t="str">
        <f>HYPERLINK("https://twitter.com/rafickd","@rafickd")</f>
        <v>@rafickd</v>
      </c>
      <c r="C4854" s="9" t="s">
        <v>11298</v>
      </c>
      <c r="D4854" s="9" t="s">
        <v>11299</v>
      </c>
      <c r="E4854" s="10" t="str">
        <f>HYPERLINK("https://twitter.com/rafickd/status/723588769597784064","723588769597784064")</f>
        <v>723588769597784064</v>
      </c>
      <c r="F4854" s="11" t="s">
        <v>20</v>
      </c>
      <c r="G4854" s="11">
        <v>268</v>
      </c>
      <c r="H4854" s="11">
        <v>383</v>
      </c>
      <c r="I4854" s="11">
        <v>0</v>
      </c>
      <c r="J4854" s="11">
        <v>0</v>
      </c>
      <c r="K4854" s="11" t="s">
        <v>21</v>
      </c>
      <c r="L4854" s="7">
        <v>39664.822071759263</v>
      </c>
      <c r="M4854" s="12" t="s">
        <v>11300</v>
      </c>
      <c r="N4854" s="12" t="s">
        <v>11301</v>
      </c>
      <c r="O4854" s="10" t="str">
        <f>HYPERLINK("https://pbs.twimg.com/profile_images/520889978763497472/D5_00R6w_normal.jpeg","View")</f>
        <v>View</v>
      </c>
      <c r="P4854" s="11"/>
    </row>
    <row r="4855" spans="1:16" ht="12.75" x14ac:dyDescent="0.35">
      <c r="A4855" s="7">
        <v>42483.02543981481</v>
      </c>
      <c r="B4855" s="8" t="str">
        <f>HYPERLINK("https://twitter.com/VWCamperSales","@VWCamperSales")</f>
        <v>@VWCamperSales</v>
      </c>
      <c r="C4855" s="9" t="s">
        <v>216</v>
      </c>
      <c r="D4855" s="9" t="s">
        <v>11302</v>
      </c>
      <c r="E4855" s="10" t="str">
        <f>HYPERLINK("https://twitter.com/VWCamperSales/status/723588842968608769","723588842968608769")</f>
        <v>723588842968608769</v>
      </c>
      <c r="F4855" s="10" t="s">
        <v>124</v>
      </c>
      <c r="G4855" s="11">
        <v>618</v>
      </c>
      <c r="H4855" s="11">
        <v>580</v>
      </c>
      <c r="I4855" s="11">
        <v>0</v>
      </c>
      <c r="J4855" s="11">
        <v>0</v>
      </c>
      <c r="K4855" s="11" t="s">
        <v>21</v>
      </c>
      <c r="L4855" s="7">
        <v>42215.98809027778</v>
      </c>
      <c r="M4855" s="12" t="s">
        <v>129</v>
      </c>
      <c r="N4855" s="12" t="s">
        <v>218</v>
      </c>
      <c r="O4855" s="10" t="str">
        <f>HYPERLINK("https://pbs.twimg.com/profile_images/627949001179037696/skEBkS05_normal.jpg","View")</f>
        <v>View</v>
      </c>
      <c r="P4855" s="11"/>
    </row>
    <row r="4856" spans="1:16" ht="12.75" x14ac:dyDescent="0.35">
      <c r="A4856" s="7">
        <v>42483.025972222225</v>
      </c>
      <c r="B4856" s="8" t="str">
        <f>HYPERLINK("https://twitter.com/Logistique01","@Logistique01")</f>
        <v>@Logistique01</v>
      </c>
      <c r="C4856" s="9" t="s">
        <v>1804</v>
      </c>
      <c r="D4856" s="9" t="s">
        <v>11303</v>
      </c>
      <c r="E4856" s="10" t="str">
        <f>HYPERLINK("https://twitter.com/Logistique01/status/723589037450129408","723589037450129408")</f>
        <v>723589037450129408</v>
      </c>
      <c r="F4856" s="11" t="s">
        <v>1806</v>
      </c>
      <c r="G4856" s="11">
        <v>154</v>
      </c>
      <c r="H4856" s="11">
        <v>173</v>
      </c>
      <c r="I4856" s="11">
        <v>0</v>
      </c>
      <c r="J4856" s="11">
        <v>0</v>
      </c>
      <c r="K4856" s="11" t="s">
        <v>21</v>
      </c>
      <c r="L4856" s="7">
        <v>41373.671875</v>
      </c>
      <c r="M4856" s="12" t="s">
        <v>1807</v>
      </c>
      <c r="N4856" s="12" t="s">
        <v>1808</v>
      </c>
      <c r="O4856" s="10" t="str">
        <f>HYPERLINK("https://pbs.twimg.com/profile_images/3497903431/ae95594a00a0817e860e73da8fef6dca_normal.png","View")</f>
        <v>View</v>
      </c>
      <c r="P4856" s="11"/>
    </row>
    <row r="4857" spans="1:16" ht="12.75" x14ac:dyDescent="0.35">
      <c r="A4857" s="7">
        <v>42483.026087962964</v>
      </c>
      <c r="B4857" s="8" t="str">
        <f>HYPERLINK("https://twitter.com/beuc","@beuc")</f>
        <v>@beuc</v>
      </c>
      <c r="C4857" s="9" t="s">
        <v>1494</v>
      </c>
      <c r="D4857" s="9" t="s">
        <v>11304</v>
      </c>
      <c r="E4857" s="10" t="str">
        <f>HYPERLINK("https://twitter.com/beuc/status/723589078151782401","723589078151782401")</f>
        <v>723589078151782401</v>
      </c>
      <c r="F4857" s="11" t="s">
        <v>43</v>
      </c>
      <c r="G4857" s="11">
        <v>5776</v>
      </c>
      <c r="H4857" s="11">
        <v>901</v>
      </c>
      <c r="I4857" s="11">
        <v>0</v>
      </c>
      <c r="J4857" s="11">
        <v>0</v>
      </c>
      <c r="K4857" s="11" t="s">
        <v>21</v>
      </c>
      <c r="L4857" s="7">
        <v>40555.678495370368</v>
      </c>
      <c r="M4857" s="12" t="s">
        <v>1495</v>
      </c>
      <c r="N4857" s="12" t="s">
        <v>1496</v>
      </c>
      <c r="O4857" s="10" t="str">
        <f>HYPERLINK("https://pbs.twimg.com/profile_images/1749790667/twitter_normal.jpg","View")</f>
        <v>View</v>
      </c>
      <c r="P4857" s="11"/>
    </row>
    <row r="4858" spans="1:16" ht="12.75" x14ac:dyDescent="0.35">
      <c r="A4858" s="7">
        <v>42483.027870370366</v>
      </c>
      <c r="B4858" s="8" t="str">
        <f>HYPERLINK("https://twitter.com/FlowKoR","@FlowKoR")</f>
        <v>@FlowKoR</v>
      </c>
      <c r="C4858" s="9" t="s">
        <v>11305</v>
      </c>
      <c r="D4858" s="9" t="s">
        <v>1231</v>
      </c>
      <c r="E4858" s="10" t="str">
        <f>HYPERLINK("https://twitter.com/FlowKoR/status/723589724372406276","723589724372406276")</f>
        <v>723589724372406276</v>
      </c>
      <c r="F4858" s="11" t="s">
        <v>48</v>
      </c>
      <c r="G4858" s="11">
        <v>431</v>
      </c>
      <c r="H4858" s="11">
        <v>848</v>
      </c>
      <c r="I4858" s="11">
        <v>6</v>
      </c>
      <c r="J4858" s="11">
        <v>0</v>
      </c>
      <c r="K4858" s="11" t="s">
        <v>21</v>
      </c>
      <c r="L4858" s="7">
        <v>40956.20616898148</v>
      </c>
      <c r="M4858" s="12"/>
      <c r="N4858" s="12"/>
      <c r="O4858" s="10" t="str">
        <f>HYPERLINK("https://pbs.twimg.com/profile_images/541184768092946432/7MQsdDpQ_normal.jpeg","View")</f>
        <v>View</v>
      </c>
      <c r="P4858" s="11"/>
    </row>
    <row r="4859" spans="1:16" ht="12.75" x14ac:dyDescent="0.35">
      <c r="A4859" s="7">
        <v>42483.028078703705</v>
      </c>
      <c r="B4859" s="8" t="str">
        <f>HYPERLINK("https://twitter.com/marksvaleting","@marksvaleting")</f>
        <v>@marksvaleting</v>
      </c>
      <c r="C4859" s="9" t="s">
        <v>11306</v>
      </c>
      <c r="D4859" s="9" t="s">
        <v>11307</v>
      </c>
      <c r="E4859" s="10" t="str">
        <f>HYPERLINK("https://twitter.com/marksvaleting/status/723589797747417088","723589797747417088")</f>
        <v>723589797747417088</v>
      </c>
      <c r="F4859" s="11" t="s">
        <v>20</v>
      </c>
      <c r="G4859" s="11">
        <v>373</v>
      </c>
      <c r="H4859" s="11">
        <v>518</v>
      </c>
      <c r="I4859" s="11">
        <v>0</v>
      </c>
      <c r="J4859" s="11">
        <v>0</v>
      </c>
      <c r="K4859" s="11" t="s">
        <v>21</v>
      </c>
      <c r="L4859" s="7">
        <v>41495.567256944443</v>
      </c>
      <c r="M4859" s="12" t="s">
        <v>11308</v>
      </c>
      <c r="N4859" s="12" t="s">
        <v>11309</v>
      </c>
      <c r="O4859" s="10" t="str">
        <f>HYPERLINK("https://pbs.twimg.com/profile_images/670167803933147137/TS0Pfe6g_normal.jpg","View")</f>
        <v>View</v>
      </c>
      <c r="P4859" s="11"/>
    </row>
    <row r="4860" spans="1:16" ht="12.75" x14ac:dyDescent="0.35">
      <c r="A4860" s="7">
        <v>42483.028333333335</v>
      </c>
      <c r="B4860" s="8" t="str">
        <f>HYPERLINK("https://twitter.com/luchomarinacci","@luchomarinacci")</f>
        <v>@luchomarinacci</v>
      </c>
      <c r="C4860" s="9" t="s">
        <v>11310</v>
      </c>
      <c r="D4860" s="9" t="s">
        <v>10808</v>
      </c>
      <c r="E4860" s="10" t="str">
        <f>HYPERLINK("https://twitter.com/luchomarinacci/status/723589893822263297","723589893822263297")</f>
        <v>723589893822263297</v>
      </c>
      <c r="F4860" s="11" t="s">
        <v>20</v>
      </c>
      <c r="G4860" s="11">
        <v>377</v>
      </c>
      <c r="H4860" s="11">
        <v>1537</v>
      </c>
      <c r="I4860" s="11">
        <v>39</v>
      </c>
      <c r="J4860" s="11">
        <v>0</v>
      </c>
      <c r="K4860" s="11" t="s">
        <v>21</v>
      </c>
      <c r="L4860" s="7">
        <v>41324.223414351851</v>
      </c>
      <c r="M4860" s="12"/>
      <c r="N4860" s="12" t="s">
        <v>11311</v>
      </c>
      <c r="O4860" s="10" t="str">
        <f>HYPERLINK("https://pbs.twimg.com/profile_images/722125617907503104/KuNX67lM_normal.jpg","View")</f>
        <v>View</v>
      </c>
      <c r="P4860" s="11"/>
    </row>
    <row r="4861" spans="1:16" ht="12.75" x14ac:dyDescent="0.35">
      <c r="A4861" s="7">
        <v>42483.028506944444</v>
      </c>
      <c r="B4861" s="8" t="str">
        <f>HYPERLINK("https://twitter.com/notyourcountry","@notyourcountry")</f>
        <v>@notyourcountry</v>
      </c>
      <c r="C4861" s="9" t="s">
        <v>11312</v>
      </c>
      <c r="D4861" s="9" t="s">
        <v>10410</v>
      </c>
      <c r="E4861" s="10" t="str">
        <f>HYPERLINK("https://twitter.com/notyourcountry/status/723589954132037632","723589954132037632")</f>
        <v>723589954132037632</v>
      </c>
      <c r="F4861" s="11" t="s">
        <v>43</v>
      </c>
      <c r="G4861" s="11">
        <v>349</v>
      </c>
      <c r="H4861" s="11">
        <v>400</v>
      </c>
      <c r="I4861" s="11">
        <v>2</v>
      </c>
      <c r="J4861" s="11">
        <v>0</v>
      </c>
      <c r="K4861" s="11" t="s">
        <v>21</v>
      </c>
      <c r="L4861" s="7">
        <v>42263.671400462961</v>
      </c>
      <c r="M4861" s="12" t="s">
        <v>8104</v>
      </c>
      <c r="N4861" s="12" t="s">
        <v>11313</v>
      </c>
      <c r="O4861" s="10" t="str">
        <f>HYPERLINK("https://pbs.twimg.com/profile_images/644097845818068992/PHIi32Pe_normal.png","View")</f>
        <v>View</v>
      </c>
      <c r="P4861" s="11"/>
    </row>
    <row r="4862" spans="1:16" ht="12.75" x14ac:dyDescent="0.35">
      <c r="A4862" s="7">
        <v>42483.028993055559</v>
      </c>
      <c r="B4862" s="8" t="str">
        <f>HYPERLINK("https://twitter.com/WhatsUpMattDiaz","@WhatsUpMattDiaz")</f>
        <v>@WhatsUpMattDiaz</v>
      </c>
      <c r="C4862" s="9" t="s">
        <v>11314</v>
      </c>
      <c r="D4862" s="9" t="s">
        <v>11315</v>
      </c>
      <c r="E4862" s="10" t="str">
        <f>HYPERLINK("https://twitter.com/WhatsUpMattDiaz/status/723590130339074049","723590130339074049")</f>
        <v>723590130339074049</v>
      </c>
      <c r="F4862" s="11" t="s">
        <v>114</v>
      </c>
      <c r="G4862" s="11">
        <v>118</v>
      </c>
      <c r="H4862" s="11">
        <v>243</v>
      </c>
      <c r="I4862" s="11">
        <v>0</v>
      </c>
      <c r="J4862" s="11">
        <v>0</v>
      </c>
      <c r="K4862" s="11" t="s">
        <v>21</v>
      </c>
      <c r="L4862" s="7">
        <v>40927.516145833331</v>
      </c>
      <c r="M4862" s="12" t="s">
        <v>11316</v>
      </c>
      <c r="N4862" s="12" t="s">
        <v>11317</v>
      </c>
      <c r="O4862" s="10" t="str">
        <f>HYPERLINK("https://pbs.twimg.com/profile_images/712857678679252992/50JbthhW_normal.jpg","View")</f>
        <v>View</v>
      </c>
      <c r="P4862" s="11"/>
    </row>
    <row r="4863" spans="1:16" ht="12.75" x14ac:dyDescent="0.35">
      <c r="A4863" s="7">
        <v>42483.029178240744</v>
      </c>
      <c r="B4863" s="8" t="str">
        <f>HYPERLINK("https://twitter.com/miliivillar_","@miliivillar_")</f>
        <v>@miliivillar_</v>
      </c>
      <c r="C4863" s="9" t="s">
        <v>11318</v>
      </c>
      <c r="D4863" s="9" t="s">
        <v>10808</v>
      </c>
      <c r="E4863" s="10" t="str">
        <f>HYPERLINK("https://twitter.com/miliivillar_/status/723590196420325376","723590196420325376")</f>
        <v>723590196420325376</v>
      </c>
      <c r="F4863" s="11" t="s">
        <v>20</v>
      </c>
      <c r="G4863" s="11">
        <v>474</v>
      </c>
      <c r="H4863" s="11">
        <v>389</v>
      </c>
      <c r="I4863" s="11">
        <v>39</v>
      </c>
      <c r="J4863" s="11">
        <v>0</v>
      </c>
      <c r="K4863" s="11" t="s">
        <v>21</v>
      </c>
      <c r="L4863" s="7">
        <v>41451.025034722225</v>
      </c>
      <c r="M4863" s="12" t="s">
        <v>11319</v>
      </c>
      <c r="N4863" s="12"/>
      <c r="O4863" s="10" t="str">
        <f>HYPERLINK("https://pbs.twimg.com/profile_images/719374746882863104/mJVCSYuc_normal.jpg","View")</f>
        <v>View</v>
      </c>
      <c r="P4863" s="11"/>
    </row>
    <row r="4864" spans="1:16" ht="12.75" x14ac:dyDescent="0.35">
      <c r="A4864" s="7">
        <v>42483.029212962967</v>
      </c>
      <c r="B4864" s="8" t="str">
        <f>HYPERLINK("https://twitter.com/VWBeetleSales","@VWBeetleSales")</f>
        <v>@VWBeetleSales</v>
      </c>
      <c r="C4864" s="9" t="s">
        <v>127</v>
      </c>
      <c r="D4864" s="9" t="s">
        <v>11320</v>
      </c>
      <c r="E4864" s="10" t="str">
        <f>HYPERLINK("https://twitter.com/VWBeetleSales/status/723590209535795200","723590209535795200")</f>
        <v>723590209535795200</v>
      </c>
      <c r="F4864" s="10" t="s">
        <v>124</v>
      </c>
      <c r="G4864" s="11">
        <v>36</v>
      </c>
      <c r="H4864" s="11">
        <v>32</v>
      </c>
      <c r="I4864" s="11">
        <v>0</v>
      </c>
      <c r="J4864" s="11">
        <v>0</v>
      </c>
      <c r="K4864" s="11" t="s">
        <v>21</v>
      </c>
      <c r="L4864" s="7">
        <v>42427.019756944443</v>
      </c>
      <c r="M4864" s="12" t="s">
        <v>129</v>
      </c>
      <c r="N4864" s="12" t="s">
        <v>130</v>
      </c>
      <c r="O4864" s="10" t="str">
        <f>HYPERLINK("https://pbs.twimg.com/profile_images/703294545195307008/qeCvrX86_normal.jpg","View")</f>
        <v>View</v>
      </c>
      <c r="P4864" s="11"/>
    </row>
    <row r="4865" spans="1:16" ht="12.75" x14ac:dyDescent="0.35">
      <c r="A4865" s="7">
        <v>42483.029363425929</v>
      </c>
      <c r="B4865" s="8" t="str">
        <f>HYPERLINK("https://twitter.com/Fam2FamHIC","@Fam2FamHIC")</f>
        <v>@Fam2FamHIC</v>
      </c>
      <c r="C4865" s="9" t="s">
        <v>11321</v>
      </c>
      <c r="D4865" s="9" t="s">
        <v>11322</v>
      </c>
      <c r="E4865" s="10" t="str">
        <f>HYPERLINK("https://twitter.com/Fam2FamHIC/status/723590264149803008","723590264149803008")</f>
        <v>723590264149803008</v>
      </c>
      <c r="F4865" s="11" t="s">
        <v>48</v>
      </c>
      <c r="G4865" s="11">
        <v>160</v>
      </c>
      <c r="H4865" s="11">
        <v>311</v>
      </c>
      <c r="I4865" s="11">
        <v>3</v>
      </c>
      <c r="J4865" s="11">
        <v>0</v>
      </c>
      <c r="K4865" s="11" t="s">
        <v>21</v>
      </c>
      <c r="L4865" s="7">
        <v>40808.114039351851</v>
      </c>
      <c r="M4865" s="12" t="s">
        <v>11323</v>
      </c>
      <c r="N4865" s="12" t="s">
        <v>11324</v>
      </c>
      <c r="O4865" s="10" t="str">
        <f>HYPERLINK("https://pbs.twimg.com/profile_images/1565666442/2_normal.jpg","View")</f>
        <v>View</v>
      </c>
      <c r="P4865" s="11"/>
    </row>
    <row r="4866" spans="1:16" ht="12.75" x14ac:dyDescent="0.35">
      <c r="A4866" s="7">
        <v>42483.029942129629</v>
      </c>
      <c r="B4866" s="8" t="str">
        <f>HYPERLINK("https://twitter.com/Tonelli22","@Tonelli22")</f>
        <v>@Tonelli22</v>
      </c>
      <c r="C4866" s="9" t="s">
        <v>3891</v>
      </c>
      <c r="D4866" s="9" t="s">
        <v>10808</v>
      </c>
      <c r="E4866" s="10" t="str">
        <f>HYPERLINK("https://twitter.com/Tonelli22/status/723590476255891456","723590476255891456")</f>
        <v>723590476255891456</v>
      </c>
      <c r="F4866" s="11" t="s">
        <v>48</v>
      </c>
      <c r="G4866" s="11">
        <v>693</v>
      </c>
      <c r="H4866" s="11">
        <v>719</v>
      </c>
      <c r="I4866" s="11">
        <v>39</v>
      </c>
      <c r="J4866" s="11">
        <v>0</v>
      </c>
      <c r="K4866" s="11" t="s">
        <v>21</v>
      </c>
      <c r="L4866" s="7">
        <v>41388.24055555556</v>
      </c>
      <c r="M4866" s="12"/>
      <c r="N4866" s="12" t="s">
        <v>3893</v>
      </c>
      <c r="O4866" s="10" t="str">
        <f>HYPERLINK("https://pbs.twimg.com/profile_images/722256787009859584/vkuTNBGF_normal.jpg","View")</f>
        <v>View</v>
      </c>
      <c r="P4866" s="11"/>
    </row>
    <row r="4867" spans="1:16" ht="12.75" x14ac:dyDescent="0.35">
      <c r="A4867" s="7">
        <v>42483.030266203699</v>
      </c>
      <c r="B4867" s="8" t="str">
        <f>HYPERLINK("https://twitter.com/GarionCoyote","@GarionCoyote")</f>
        <v>@GarionCoyote</v>
      </c>
      <c r="C4867" s="9" t="s">
        <v>11325</v>
      </c>
      <c r="D4867" s="9" t="s">
        <v>11326</v>
      </c>
      <c r="E4867" s="10" t="str">
        <f>HYPERLINK("https://twitter.com/GarionCoyote/status/723590592681357312","723590592681357312")</f>
        <v>723590592681357312</v>
      </c>
      <c r="F4867" s="11" t="s">
        <v>43</v>
      </c>
      <c r="G4867" s="11">
        <v>1066</v>
      </c>
      <c r="H4867" s="11">
        <v>1292</v>
      </c>
      <c r="I4867" s="11">
        <v>1</v>
      </c>
      <c r="J4867" s="11">
        <v>0</v>
      </c>
      <c r="K4867" s="11" t="s">
        <v>21</v>
      </c>
      <c r="L4867" s="7">
        <v>41225.10974537037</v>
      </c>
      <c r="M4867" s="12" t="s">
        <v>507</v>
      </c>
      <c r="N4867" s="12" t="s">
        <v>11327</v>
      </c>
      <c r="O4867" s="10" t="str">
        <f>HYPERLINK("https://pbs.twimg.com/profile_images/671367911857127424/UES84lbq_normal.jpg","View")</f>
        <v>View</v>
      </c>
      <c r="P4867" s="11"/>
    </row>
    <row r="4868" spans="1:16" ht="12.75" x14ac:dyDescent="0.35">
      <c r="A4868" s="7">
        <v>42483.03056712963</v>
      </c>
      <c r="B4868" s="8" t="str">
        <f>HYPERLINK("https://twitter.com/lautaroalarcon5","@lautaroalarcon5")</f>
        <v>@lautaroalarcon5</v>
      </c>
      <c r="C4868" s="9" t="s">
        <v>11328</v>
      </c>
      <c r="D4868" s="9" t="s">
        <v>10440</v>
      </c>
      <c r="E4868" s="10" t="str">
        <f>HYPERLINK("https://twitter.com/lautaroalarcon5/status/723590699673853953","723590699673853953")</f>
        <v>723590699673853953</v>
      </c>
      <c r="F4868" s="11" t="s">
        <v>48</v>
      </c>
      <c r="G4868" s="11">
        <v>109</v>
      </c>
      <c r="H4868" s="11">
        <v>165</v>
      </c>
      <c r="I4868" s="11">
        <v>20</v>
      </c>
      <c r="J4868" s="11">
        <v>0</v>
      </c>
      <c r="K4868" s="11" t="s">
        <v>21</v>
      </c>
      <c r="L4868" s="7">
        <v>41329.286562499998</v>
      </c>
      <c r="M4868" s="12" t="s">
        <v>11329</v>
      </c>
      <c r="N4868" s="12" t="s">
        <v>11330</v>
      </c>
      <c r="O4868" s="10" t="str">
        <f>HYPERLINK("https://pbs.twimg.com/profile_images/662123268590206976/GwYg7E7v_normal.jpg","View")</f>
        <v>View</v>
      </c>
      <c r="P4868" s="11"/>
    </row>
    <row r="4869" spans="1:16" ht="12.75" x14ac:dyDescent="0.35">
      <c r="A4869" s="7">
        <v>42483.030763888892</v>
      </c>
      <c r="B4869" s="8" t="str">
        <f>HYPERLINK("https://twitter.com/CeasarorRome","@CeasarorRome")</f>
        <v>@CeasarorRome</v>
      </c>
      <c r="C4869" s="9" t="s">
        <v>11331</v>
      </c>
      <c r="D4869" s="9" t="s">
        <v>11332</v>
      </c>
      <c r="E4869" s="10" t="str">
        <f>HYPERLINK("https://twitter.com/CeasarorRome/status/723590771908206593","723590771908206593")</f>
        <v>723590771908206593</v>
      </c>
      <c r="F4869" s="11" t="s">
        <v>43</v>
      </c>
      <c r="G4869" s="11">
        <v>285</v>
      </c>
      <c r="H4869" s="11">
        <v>566</v>
      </c>
      <c r="I4869" s="11">
        <v>0</v>
      </c>
      <c r="J4869" s="11">
        <v>0</v>
      </c>
      <c r="K4869" s="11" t="s">
        <v>21</v>
      </c>
      <c r="L4869" s="7">
        <v>39864.964872685188</v>
      </c>
      <c r="M4869" s="12"/>
      <c r="N4869" s="12" t="s">
        <v>11333</v>
      </c>
      <c r="O4869" s="10" t="str">
        <f>HYPERLINK("https://pbs.twimg.com/profile_images/378800000289761493/de650efb105fddd7be2b73feb9cbe610_normal.png","View")</f>
        <v>View</v>
      </c>
      <c r="P4869" s="11"/>
    </row>
    <row r="4870" spans="1:16" ht="12.75" x14ac:dyDescent="0.35">
      <c r="A4870" s="7">
        <v>42483.030902777777</v>
      </c>
      <c r="B4870" s="8" t="str">
        <f>HYPERLINK("https://twitter.com/Scirocco_Tuning","@Scirocco_Tuning")</f>
        <v>@Scirocco_Tuning</v>
      </c>
      <c r="C4870" s="9" t="s">
        <v>51</v>
      </c>
      <c r="D4870" s="9" t="s">
        <v>11334</v>
      </c>
      <c r="E4870" s="10" t="str">
        <f>HYPERLINK("https://twitter.com/Scirocco_Tuning/status/723590823477170176","723590823477170176")</f>
        <v>723590823477170176</v>
      </c>
      <c r="F4870" s="11" t="s">
        <v>53</v>
      </c>
      <c r="G4870" s="11">
        <v>69</v>
      </c>
      <c r="H4870" s="11">
        <v>215</v>
      </c>
      <c r="I4870" s="11">
        <v>0</v>
      </c>
      <c r="J4870" s="11">
        <v>0</v>
      </c>
      <c r="K4870" s="11" t="s">
        <v>21</v>
      </c>
      <c r="L4870" s="7">
        <v>40844.564722222218</v>
      </c>
      <c r="M4870" s="12"/>
      <c r="N4870" s="12"/>
      <c r="O4870" s="10" t="str">
        <f>HYPERLINK("https://pbs.twimg.com/profile_images/1610421423/Image2_normal.jpg","View")</f>
        <v>View</v>
      </c>
      <c r="P4870" s="11"/>
    </row>
    <row r="4871" spans="1:16" ht="12.75" x14ac:dyDescent="0.35">
      <c r="A4871" s="7">
        <v>42483.03125</v>
      </c>
      <c r="B4871" s="8" t="str">
        <f>HYPERLINK("https://twitter.com/JoergRupp","@JoergRupp")</f>
        <v>@JoergRupp</v>
      </c>
      <c r="C4871" s="9" t="s">
        <v>11335</v>
      </c>
      <c r="D4871" s="9" t="s">
        <v>11336</v>
      </c>
      <c r="E4871" s="10" t="str">
        <f>HYPERLINK("https://twitter.com/JoergRupp/status/723590949465669633","723590949465669633")</f>
        <v>723590949465669633</v>
      </c>
      <c r="F4871" s="11" t="s">
        <v>43</v>
      </c>
      <c r="G4871" s="11">
        <v>1954</v>
      </c>
      <c r="H4871" s="11">
        <v>488</v>
      </c>
      <c r="I4871" s="11">
        <v>0</v>
      </c>
      <c r="J4871" s="11">
        <v>0</v>
      </c>
      <c r="K4871" s="11" t="s">
        <v>21</v>
      </c>
      <c r="L4871" s="7">
        <v>39871.042939814812</v>
      </c>
      <c r="M4871" s="12" t="s">
        <v>11337</v>
      </c>
      <c r="N4871" s="12" t="s">
        <v>11338</v>
      </c>
      <c r="O4871" s="10" t="str">
        <f>HYPERLINK("https://pbs.twimg.com/profile_images/627119186943344644/ABqY0Py5_normal.jpg","View")</f>
        <v>View</v>
      </c>
      <c r="P4871" s="11"/>
    </row>
    <row r="4872" spans="1:16" ht="12.75" x14ac:dyDescent="0.35">
      <c r="A4872" s="7">
        <v>42483.031296296293</v>
      </c>
      <c r="B4872" s="8" t="str">
        <f>HYPERLINK("https://twitter.com/Gurupro","@Gurupro")</f>
        <v>@Gurupro</v>
      </c>
      <c r="C4872" s="9" t="s">
        <v>11339</v>
      </c>
      <c r="D4872" s="9" t="s">
        <v>11340</v>
      </c>
      <c r="E4872" s="10" t="str">
        <f>HYPERLINK("https://twitter.com/Gurupro/status/723590967002062848","723590967002062848")</f>
        <v>723590967002062848</v>
      </c>
      <c r="F4872" s="11" t="s">
        <v>48</v>
      </c>
      <c r="G4872" s="11">
        <v>168</v>
      </c>
      <c r="H4872" s="11">
        <v>343</v>
      </c>
      <c r="I4872" s="11">
        <v>1</v>
      </c>
      <c r="J4872" s="11">
        <v>0</v>
      </c>
      <c r="K4872" s="11" t="s">
        <v>21</v>
      </c>
      <c r="L4872" s="7">
        <v>40095.974965277775</v>
      </c>
      <c r="M4872" s="12" t="s">
        <v>11341</v>
      </c>
      <c r="N4872" s="12" t="s">
        <v>11342</v>
      </c>
      <c r="O4872" s="10" t="str">
        <f>HYPERLINK("https://pbs.twimg.com/profile_images/608059787474018305/JaYlRabK_normal.jpg","View")</f>
        <v>View</v>
      </c>
      <c r="P4872" s="11"/>
    </row>
    <row r="4873" spans="1:16" ht="12.75" x14ac:dyDescent="0.35">
      <c r="A4873" s="7">
        <v>42483.031377314815</v>
      </c>
      <c r="B4873" s="8" t="str">
        <f>HYPERLINK("https://twitter.com/rhettx","@rhettx")</f>
        <v>@rhettx</v>
      </c>
      <c r="C4873" s="9" t="s">
        <v>11343</v>
      </c>
      <c r="D4873" s="9" t="s">
        <v>11344</v>
      </c>
      <c r="E4873" s="10" t="str">
        <f>HYPERLINK("https://twitter.com/rhettx/status/723590995837898753","723590995837898753")</f>
        <v>723590995837898753</v>
      </c>
      <c r="F4873" s="11" t="s">
        <v>48</v>
      </c>
      <c r="G4873" s="11">
        <v>138</v>
      </c>
      <c r="H4873" s="11">
        <v>207</v>
      </c>
      <c r="I4873" s="11">
        <v>0</v>
      </c>
      <c r="J4873" s="11">
        <v>0</v>
      </c>
      <c r="K4873" s="11" t="s">
        <v>21</v>
      </c>
      <c r="L4873" s="7">
        <v>41331.527372685188</v>
      </c>
      <c r="M4873" s="12" t="s">
        <v>11345</v>
      </c>
      <c r="N4873" s="12" t="s">
        <v>11346</v>
      </c>
      <c r="O4873" s="10" t="str">
        <f>HYPERLINK("https://pbs.twimg.com/profile_images/711096343394164736/OI7mC7jB_normal.jpg","View")</f>
        <v>View</v>
      </c>
      <c r="P4873" s="11"/>
    </row>
    <row r="4874" spans="1:16" ht="12.75" x14ac:dyDescent="0.35">
      <c r="A4874" s="7">
        <v>42483.031388888892</v>
      </c>
      <c r="B4874" s="8" t="str">
        <f>HYPERLINK("https://twitter.com/Donna_Belsky","@Donna_Belsky")</f>
        <v>@Donna_Belsky</v>
      </c>
      <c r="C4874" s="9" t="s">
        <v>11347</v>
      </c>
      <c r="D4874" s="9" t="s">
        <v>11348</v>
      </c>
      <c r="E4874" s="10" t="str">
        <f>HYPERLINK("https://twitter.com/Donna_Belsky/status/723591000762007556","723591000762007556")</f>
        <v>723591000762007556</v>
      </c>
      <c r="F4874" s="11" t="s">
        <v>48</v>
      </c>
      <c r="G4874" s="11">
        <v>6</v>
      </c>
      <c r="H4874" s="11">
        <v>67</v>
      </c>
      <c r="I4874" s="11">
        <v>0</v>
      </c>
      <c r="J4874" s="11">
        <v>0</v>
      </c>
      <c r="K4874" s="11" t="s">
        <v>21</v>
      </c>
      <c r="L4874" s="7">
        <v>40218.21230324074</v>
      </c>
      <c r="M4874" s="12"/>
      <c r="N4874" s="12"/>
      <c r="O4874" s="10" t="str">
        <f>HYPERLINK("https://abs.twimg.com/sticky/default_profile_images/default_profile_1_normal.png","View")</f>
        <v>View</v>
      </c>
      <c r="P4874" s="11"/>
    </row>
    <row r="4875" spans="1:16" ht="12.75" x14ac:dyDescent="0.35">
      <c r="A4875" s="7">
        <v>42483.031423611115</v>
      </c>
      <c r="B4875" s="8" t="str">
        <f>HYPERLINK("https://twitter.com/acvwpassion","@acvwpassion")</f>
        <v>@acvwpassion</v>
      </c>
      <c r="C4875" s="9" t="s">
        <v>4671</v>
      </c>
      <c r="D4875" s="9" t="s">
        <v>11349</v>
      </c>
      <c r="E4875" s="10" t="str">
        <f>HYPERLINK("https://twitter.com/acvwpassion/status/723591012589903872","723591012589903872")</f>
        <v>723591012589903872</v>
      </c>
      <c r="F4875" s="11" t="s">
        <v>152</v>
      </c>
      <c r="G4875" s="11">
        <v>241</v>
      </c>
      <c r="H4875" s="11">
        <v>409</v>
      </c>
      <c r="I4875" s="11">
        <v>0</v>
      </c>
      <c r="J4875" s="11">
        <v>0</v>
      </c>
      <c r="K4875" s="11" t="s">
        <v>21</v>
      </c>
      <c r="L4875" s="7">
        <v>41989.101851851854</v>
      </c>
      <c r="M4875" s="12" t="s">
        <v>4673</v>
      </c>
      <c r="N4875" s="12" t="s">
        <v>4674</v>
      </c>
      <c r="O4875" s="10" t="str">
        <f>HYPERLINK("https://pbs.twimg.com/profile_images/545688359964651520/SF3sJ7lv_normal.jpeg","View")</f>
        <v>View</v>
      </c>
      <c r="P4875" s="11"/>
    </row>
    <row r="4876" spans="1:16" ht="12.75" x14ac:dyDescent="0.35">
      <c r="A4876" s="7">
        <v>42483.032372685186</v>
      </c>
      <c r="B4876" s="8" t="str">
        <f>HYPERLINK("https://twitter.com/AttorneyLending","@AttorneyLending")</f>
        <v>@AttorneyLending</v>
      </c>
      <c r="C4876" s="9" t="s">
        <v>3869</v>
      </c>
      <c r="D4876" s="9" t="s">
        <v>11350</v>
      </c>
      <c r="E4876" s="10" t="str">
        <f>HYPERLINK("https://twitter.com/AttorneyLending/status/723591356912906241","723591356912906241")</f>
        <v>723591356912906241</v>
      </c>
      <c r="F4876" s="11" t="s">
        <v>43</v>
      </c>
      <c r="G4876" s="11">
        <v>135</v>
      </c>
      <c r="H4876" s="11">
        <v>199</v>
      </c>
      <c r="I4876" s="11">
        <v>0</v>
      </c>
      <c r="J4876" s="11">
        <v>0</v>
      </c>
      <c r="K4876" s="11" t="s">
        <v>21</v>
      </c>
      <c r="L4876" s="7">
        <v>40782.085266203707</v>
      </c>
      <c r="M4876" s="12" t="s">
        <v>237</v>
      </c>
      <c r="N4876" s="12" t="s">
        <v>3872</v>
      </c>
      <c r="O4876" s="10" t="str">
        <f>HYPERLINK("https://pbs.twimg.com/profile_images/489869773597986816/qXB3yWJn_normal.jpeg","View")</f>
        <v>View</v>
      </c>
      <c r="P4876" s="11"/>
    </row>
    <row r="4877" spans="1:16" ht="12.75" x14ac:dyDescent="0.35">
      <c r="A4877" s="7">
        <v>42483.032766203702</v>
      </c>
      <c r="B4877" s="8" t="str">
        <f>HYPERLINK("https://twitter.com/ProfJohnix","@ProfJohnix")</f>
        <v>@ProfJohnix</v>
      </c>
      <c r="C4877" s="9" t="s">
        <v>11351</v>
      </c>
      <c r="D4877" s="9" t="s">
        <v>1231</v>
      </c>
      <c r="E4877" s="10" t="str">
        <f>HYPERLINK("https://twitter.com/ProfJohnix/status/723591498768486400","723591498768486400")</f>
        <v>723591498768486400</v>
      </c>
      <c r="F4877" s="11" t="s">
        <v>43</v>
      </c>
      <c r="G4877" s="11">
        <v>2754</v>
      </c>
      <c r="H4877" s="11">
        <v>2751</v>
      </c>
      <c r="I4877" s="11">
        <v>7</v>
      </c>
      <c r="J4877" s="11">
        <v>0</v>
      </c>
      <c r="K4877" s="11" t="s">
        <v>21</v>
      </c>
      <c r="L4877" s="7">
        <v>40825.54724537037</v>
      </c>
      <c r="M4877" s="12" t="s">
        <v>11352</v>
      </c>
      <c r="N4877" s="12" t="s">
        <v>11353</v>
      </c>
      <c r="O4877" s="10" t="str">
        <f>HYPERLINK("https://pbs.twimg.com/profile_images/1579595684/johnix-selbstportrait-80x100_normal.jpg","View")</f>
        <v>View</v>
      </c>
      <c r="P4877" s="11"/>
    </row>
    <row r="4878" spans="1:16" ht="12.75" x14ac:dyDescent="0.35">
      <c r="A4878" s="7">
        <v>42483.033935185187</v>
      </c>
      <c r="B4878" s="8" t="str">
        <f>HYPERLINK("https://twitter.com/Gosthtot","@Gosthtot")</f>
        <v>@Gosthtot</v>
      </c>
      <c r="C4878" s="9" t="s">
        <v>11354</v>
      </c>
      <c r="D4878" s="9" t="s">
        <v>11355</v>
      </c>
      <c r="E4878" s="10" t="str">
        <f>HYPERLINK("https://twitter.com/Gosthtot/status/723591920400908288","723591920400908288")</f>
        <v>723591920400908288</v>
      </c>
      <c r="F4878" s="11" t="s">
        <v>53</v>
      </c>
      <c r="G4878" s="11">
        <v>149</v>
      </c>
      <c r="H4878" s="11">
        <v>648</v>
      </c>
      <c r="I4878" s="11">
        <v>0</v>
      </c>
      <c r="J4878" s="11">
        <v>0</v>
      </c>
      <c r="K4878" s="11" t="s">
        <v>21</v>
      </c>
      <c r="L4878" s="7">
        <v>40834.503148148149</v>
      </c>
      <c r="M4878" s="12" t="s">
        <v>1931</v>
      </c>
      <c r="N4878" s="12" t="s">
        <v>11356</v>
      </c>
      <c r="O4878" s="10" t="str">
        <f>HYPERLINK("https://pbs.twimg.com/profile_images/556251546715820033/l5Ixj297_normal.jpeg","View")</f>
        <v>View</v>
      </c>
      <c r="P4878" s="11"/>
    </row>
    <row r="4879" spans="1:16" ht="12.75" x14ac:dyDescent="0.35">
      <c r="A4879" s="7">
        <v>42483.034479166672</v>
      </c>
      <c r="B4879" s="8" t="str">
        <f>HYPERLINK("https://twitter.com/Logistique01","@Logistique01")</f>
        <v>@Logistique01</v>
      </c>
      <c r="C4879" s="9" t="s">
        <v>1804</v>
      </c>
      <c r="D4879" s="9" t="s">
        <v>11357</v>
      </c>
      <c r="E4879" s="10" t="str">
        <f>HYPERLINK("https://twitter.com/Logistique01/status/723592120301293568","723592120301293568")</f>
        <v>723592120301293568</v>
      </c>
      <c r="F4879" s="11" t="s">
        <v>1806</v>
      </c>
      <c r="G4879" s="11">
        <v>154</v>
      </c>
      <c r="H4879" s="11">
        <v>173</v>
      </c>
      <c r="I4879" s="11">
        <v>0</v>
      </c>
      <c r="J4879" s="11">
        <v>0</v>
      </c>
      <c r="K4879" s="11" t="s">
        <v>21</v>
      </c>
      <c r="L4879" s="7">
        <v>41373.671875</v>
      </c>
      <c r="M4879" s="12" t="s">
        <v>1807</v>
      </c>
      <c r="N4879" s="12" t="s">
        <v>1808</v>
      </c>
      <c r="O4879" s="10" t="str">
        <f>HYPERLINK("https://pbs.twimg.com/profile_images/3497903431/ae95594a00a0817e860e73da8fef6dca_normal.png","View")</f>
        <v>View</v>
      </c>
      <c r="P4879" s="11"/>
    </row>
    <row r="4880" spans="1:16" ht="12.75" x14ac:dyDescent="0.35">
      <c r="A4880" s="7">
        <v>42483.034525462965</v>
      </c>
      <c r="B4880" s="8" t="str">
        <f>HYPERLINK("https://twitter.com/luisvilla080921","@luisvilla080921")</f>
        <v>@luisvilla080921</v>
      </c>
      <c r="C4880" s="9" t="s">
        <v>11358</v>
      </c>
      <c r="D4880" s="9" t="s">
        <v>10440</v>
      </c>
      <c r="E4880" s="10" t="str">
        <f>HYPERLINK("https://twitter.com/luisvilla080921/status/723592136357232640","723592136357232640")</f>
        <v>723592136357232640</v>
      </c>
      <c r="F4880" s="11" t="s">
        <v>48</v>
      </c>
      <c r="G4880" s="11">
        <v>100</v>
      </c>
      <c r="H4880" s="11">
        <v>207</v>
      </c>
      <c r="I4880" s="11">
        <v>21</v>
      </c>
      <c r="J4880" s="11">
        <v>0</v>
      </c>
      <c r="K4880" s="11" t="s">
        <v>21</v>
      </c>
      <c r="L4880" s="7">
        <v>42137.306874999995</v>
      </c>
      <c r="M4880" s="12" t="s">
        <v>866</v>
      </c>
      <c r="N4880" s="12" t="s">
        <v>11359</v>
      </c>
      <c r="O4880" s="10" t="str">
        <f>HYPERLINK("https://pbs.twimg.com/profile_images/722036543905468419/9HvI0UM4_normal.jpg","View")</f>
        <v>View</v>
      </c>
      <c r="P4880" s="11"/>
    </row>
    <row r="4881" spans="1:16" ht="12.75" x14ac:dyDescent="0.35">
      <c r="A4881" s="7">
        <v>42483.034710648149</v>
      </c>
      <c r="B4881" s="8" t="str">
        <f>HYPERLINK("https://twitter.com/BodySoulAutoW","@BodySoulAutoW")</f>
        <v>@BodySoulAutoW</v>
      </c>
      <c r="C4881" s="9" t="s">
        <v>11360</v>
      </c>
      <c r="D4881" s="9" t="s">
        <v>11361</v>
      </c>
      <c r="E4881" s="10" t="str">
        <f>HYPERLINK("https://twitter.com/BodySoulAutoW/status/723592202941804544","723592202941804544")</f>
        <v>723592202941804544</v>
      </c>
      <c r="F4881" s="11" t="s">
        <v>53</v>
      </c>
      <c r="G4881" s="11">
        <v>685</v>
      </c>
      <c r="H4881" s="11">
        <v>741</v>
      </c>
      <c r="I4881" s="11">
        <v>0</v>
      </c>
      <c r="J4881" s="11">
        <v>0</v>
      </c>
      <c r="K4881" s="11" t="s">
        <v>21</v>
      </c>
      <c r="L4881" s="7">
        <v>41384.692025462966</v>
      </c>
      <c r="M4881" s="12" t="s">
        <v>10156</v>
      </c>
      <c r="N4881" s="12" t="s">
        <v>11362</v>
      </c>
      <c r="O4881" s="10" t="str">
        <f>HYPERLINK("https://pbs.twimg.com/profile_images/378800000525610579/6f00609e1a10dd11349b998bee5a3a5f_normal.jpeg","View")</f>
        <v>View</v>
      </c>
      <c r="P4881" s="11"/>
    </row>
    <row r="4882" spans="1:16" ht="12.75" x14ac:dyDescent="0.35">
      <c r="A4882" s="7">
        <v>42483.034849537042</v>
      </c>
      <c r="B4882" s="8" t="str">
        <f>HYPERLINK("https://twitter.com/enripiv","@enripiv")</f>
        <v>@enripiv</v>
      </c>
      <c r="C4882" s="9" t="s">
        <v>11363</v>
      </c>
      <c r="D4882" s="9" t="s">
        <v>11364</v>
      </c>
      <c r="E4882" s="10" t="str">
        <f>HYPERLINK("https://twitter.com/enripiv/status/723592253520916480","723592253520916480")</f>
        <v>723592253520916480</v>
      </c>
      <c r="F4882" s="11" t="s">
        <v>193</v>
      </c>
      <c r="G4882" s="11">
        <v>103</v>
      </c>
      <c r="H4882" s="11">
        <v>157</v>
      </c>
      <c r="I4882" s="11">
        <v>0</v>
      </c>
      <c r="J4882" s="11">
        <v>0</v>
      </c>
      <c r="K4882" s="11" t="s">
        <v>21</v>
      </c>
      <c r="L4882" s="7">
        <v>40916.092789351853</v>
      </c>
      <c r="M4882" s="12" t="s">
        <v>11365</v>
      </c>
      <c r="N4882" s="12" t="s">
        <v>11366</v>
      </c>
      <c r="O4882" s="10" t="str">
        <f>HYPERLINK("https://pbs.twimg.com/profile_images/683976813064941568/4M6noO5e_normal.jpg","View")</f>
        <v>View</v>
      </c>
      <c r="P4882" s="11"/>
    </row>
    <row r="4883" spans="1:16" ht="12.75" x14ac:dyDescent="0.35">
      <c r="A4883" s="7">
        <v>42483.035682870366</v>
      </c>
      <c r="B4883" s="8" t="str">
        <f>HYPERLINK("https://twitter.com/ThomasThePommes","@ThomasThePommes")</f>
        <v>@ThomasThePommes</v>
      </c>
      <c r="C4883" s="9" t="s">
        <v>11367</v>
      </c>
      <c r="D4883" s="9" t="s">
        <v>11368</v>
      </c>
      <c r="E4883" s="10" t="str">
        <f>HYPERLINK("https://twitter.com/ThomasThePommes/status/723592555749871616","723592555749871616")</f>
        <v>723592555749871616</v>
      </c>
      <c r="F4883" s="11" t="s">
        <v>43</v>
      </c>
      <c r="G4883" s="11">
        <v>90</v>
      </c>
      <c r="H4883" s="11">
        <v>420</v>
      </c>
      <c r="I4883" s="11">
        <v>0</v>
      </c>
      <c r="J4883" s="11">
        <v>0</v>
      </c>
      <c r="K4883" s="11" t="s">
        <v>21</v>
      </c>
      <c r="L4883" s="7">
        <v>40346.258761574078</v>
      </c>
      <c r="M4883" s="12" t="s">
        <v>11369</v>
      </c>
      <c r="N4883" s="12" t="s">
        <v>11370</v>
      </c>
      <c r="O4883" s="10" t="str">
        <f>HYPERLINK("https://pbs.twimg.com/profile_images/719921608509558786/VuRcYsKy_normal.jpg","View")</f>
        <v>View</v>
      </c>
      <c r="P4883" s="11"/>
    </row>
    <row r="4884" spans="1:16" ht="12.75" x14ac:dyDescent="0.35">
      <c r="A4884" s="7">
        <v>42483.03601851852</v>
      </c>
      <c r="B4884" s="8" t="str">
        <f>HYPERLINK("https://twitter.com/RandigRoy","@RandigRoy")</f>
        <v>@RandigRoy</v>
      </c>
      <c r="C4884" s="9" t="s">
        <v>11371</v>
      </c>
      <c r="D4884" s="9" t="s">
        <v>10856</v>
      </c>
      <c r="E4884" s="10" t="str">
        <f>HYPERLINK("https://twitter.com/RandigRoy/status/723592677955129344","723592677955129344")</f>
        <v>723592677955129344</v>
      </c>
      <c r="F4884" s="11" t="s">
        <v>20</v>
      </c>
      <c r="G4884" s="11">
        <v>21</v>
      </c>
      <c r="H4884" s="11">
        <v>58</v>
      </c>
      <c r="I4884" s="11">
        <v>4</v>
      </c>
      <c r="J4884" s="11">
        <v>0</v>
      </c>
      <c r="K4884" s="11" t="s">
        <v>21</v>
      </c>
      <c r="L4884" s="7">
        <v>42091.857592592598</v>
      </c>
      <c r="M4884" s="12" t="s">
        <v>11372</v>
      </c>
      <c r="N4884" s="12" t="s">
        <v>11373</v>
      </c>
      <c r="O4884" s="10" t="str">
        <f>HYPERLINK("https://pbs.twimg.com/profile_images/706250402153549824/0fzL9x_h_normal.jpg","View")</f>
        <v>View</v>
      </c>
      <c r="P4884" s="11"/>
    </row>
    <row r="4885" spans="1:16" ht="12.75" x14ac:dyDescent="0.35">
      <c r="A4885" s="7">
        <v>42483.036053240736</v>
      </c>
      <c r="B4885" s="8" t="str">
        <f>HYPERLINK("https://twitter.com/tesla_diary","@tesla_diary")</f>
        <v>@tesla_diary</v>
      </c>
      <c r="C4885" s="9" t="s">
        <v>11374</v>
      </c>
      <c r="D4885" s="9" t="s">
        <v>11375</v>
      </c>
      <c r="E4885" s="10" t="str">
        <f>HYPERLINK("https://twitter.com/tesla_diary/status/723592689237811200","723592689237811200")</f>
        <v>723592689237811200</v>
      </c>
      <c r="F4885" s="11" t="s">
        <v>43</v>
      </c>
      <c r="G4885" s="11">
        <v>25</v>
      </c>
      <c r="H4885" s="11">
        <v>54</v>
      </c>
      <c r="I4885" s="11">
        <v>0</v>
      </c>
      <c r="J4885" s="11">
        <v>0</v>
      </c>
      <c r="K4885" s="11" t="s">
        <v>21</v>
      </c>
      <c r="L4885" s="7">
        <v>42192.576377314814</v>
      </c>
      <c r="M4885" s="12"/>
      <c r="N4885" s="12" t="s">
        <v>11376</v>
      </c>
      <c r="O4885" s="10" t="str">
        <f>HYPERLINK("https://abs.twimg.com/sticky/default_profile_images/default_profile_0_normal.png","View")</f>
        <v>View</v>
      </c>
      <c r="P4885" s="11"/>
    </row>
    <row r="4886" spans="1:16" ht="12.75" x14ac:dyDescent="0.35">
      <c r="A4886" s="7">
        <v>42483.036134259259</v>
      </c>
      <c r="B4886" s="8" t="str">
        <f>HYPERLINK("https://twitter.com/MicaaSaleh","@MicaaSaleh")</f>
        <v>@MicaaSaleh</v>
      </c>
      <c r="C4886" s="9" t="s">
        <v>11377</v>
      </c>
      <c r="D4886" s="9" t="s">
        <v>10808</v>
      </c>
      <c r="E4886" s="10" t="str">
        <f>HYPERLINK("https://twitter.com/MicaaSaleh/status/723592717876498433","723592717876498433")</f>
        <v>723592717876498433</v>
      </c>
      <c r="F4886" s="11" t="s">
        <v>20</v>
      </c>
      <c r="G4886" s="11">
        <v>259</v>
      </c>
      <c r="H4886" s="11">
        <v>214</v>
      </c>
      <c r="I4886" s="11">
        <v>40</v>
      </c>
      <c r="J4886" s="11">
        <v>0</v>
      </c>
      <c r="K4886" s="11" t="s">
        <v>21</v>
      </c>
      <c r="L4886" s="7">
        <v>41089.310567129629</v>
      </c>
      <c r="M4886" s="12"/>
      <c r="N4886" s="12" t="s">
        <v>11378</v>
      </c>
      <c r="O4886" s="10" t="str">
        <f>HYPERLINK("https://pbs.twimg.com/profile_images/663740018029150208/MlJVcCwz_normal.jpg","View")</f>
        <v>View</v>
      </c>
      <c r="P4886" s="11"/>
    </row>
    <row r="4887" spans="1:16" ht="12.75" x14ac:dyDescent="0.35">
      <c r="A4887" s="7">
        <v>42483.036296296297</v>
      </c>
      <c r="B4887" s="8" t="str">
        <f>HYPERLINK("https://twitter.com/Gosthtot","@Gosthtot")</f>
        <v>@Gosthtot</v>
      </c>
      <c r="C4887" s="9" t="s">
        <v>11354</v>
      </c>
      <c r="D4887" s="9" t="s">
        <v>11379</v>
      </c>
      <c r="E4887" s="10" t="str">
        <f>HYPERLINK("https://twitter.com/Gosthtot/status/723592775715962880","723592775715962880")</f>
        <v>723592775715962880</v>
      </c>
      <c r="F4887" s="11" t="s">
        <v>53</v>
      </c>
      <c r="G4887" s="11">
        <v>149</v>
      </c>
      <c r="H4887" s="11">
        <v>648</v>
      </c>
      <c r="I4887" s="11">
        <v>0</v>
      </c>
      <c r="J4887" s="11">
        <v>0</v>
      </c>
      <c r="K4887" s="11" t="s">
        <v>21</v>
      </c>
      <c r="L4887" s="7">
        <v>40834.503148148149</v>
      </c>
      <c r="M4887" s="12" t="s">
        <v>1931</v>
      </c>
      <c r="N4887" s="12" t="s">
        <v>11356</v>
      </c>
      <c r="O4887" s="10" t="str">
        <f>HYPERLINK("https://pbs.twimg.com/profile_images/556251546715820033/l5Ixj297_normal.jpeg","View")</f>
        <v>View</v>
      </c>
      <c r="P4887" s="11"/>
    </row>
    <row r="4888" spans="1:16" ht="12.75" x14ac:dyDescent="0.35">
      <c r="A4888" s="7">
        <v>42483.037916666668</v>
      </c>
      <c r="B4888" s="8" t="str">
        <f>HYPERLINK("https://twitter.com/VCT_Tweets","@VCT_Tweets")</f>
        <v>@VCT_Tweets</v>
      </c>
      <c r="C4888" s="9" t="s">
        <v>199</v>
      </c>
      <c r="D4888" s="9" t="s">
        <v>11380</v>
      </c>
      <c r="E4888" s="10" t="str">
        <f>HYPERLINK("https://twitter.com/VCT_Tweets/status/723593363769950208","723593363769950208")</f>
        <v>723593363769950208</v>
      </c>
      <c r="F4888" s="11" t="s">
        <v>68</v>
      </c>
      <c r="G4888" s="11">
        <v>887</v>
      </c>
      <c r="H4888" s="11">
        <v>211</v>
      </c>
      <c r="I4888" s="11">
        <v>0</v>
      </c>
      <c r="J4888" s="11">
        <v>0</v>
      </c>
      <c r="K4888" s="11" t="s">
        <v>21</v>
      </c>
      <c r="L4888" s="7">
        <v>40744.914837962962</v>
      </c>
      <c r="M4888" s="12" t="s">
        <v>201</v>
      </c>
      <c r="N4888" s="12" t="s">
        <v>202</v>
      </c>
      <c r="O4888" s="10" t="str">
        <f>HYPERLINK("https://pbs.twimg.com/profile_images/569800899141177344/nVFLMSdb_normal.png","View")</f>
        <v>View</v>
      </c>
      <c r="P4888" s="11"/>
    </row>
    <row r="4889" spans="1:16" ht="12.75" x14ac:dyDescent="0.35">
      <c r="A4889" s="7">
        <v>42483.038287037038</v>
      </c>
      <c r="B4889" s="8" t="str">
        <f>HYPERLINK("https://twitter.com/MiningAssets","@MiningAssets")</f>
        <v>@MiningAssets</v>
      </c>
      <c r="C4889" s="9" t="s">
        <v>11381</v>
      </c>
      <c r="D4889" s="9" t="s">
        <v>10431</v>
      </c>
      <c r="E4889" s="10" t="str">
        <f>HYPERLINK("https://twitter.com/MiningAssets/status/723593498222563328","723593498222563328")</f>
        <v>723593498222563328</v>
      </c>
      <c r="F4889" s="11" t="s">
        <v>43</v>
      </c>
      <c r="G4889" s="11">
        <v>1755</v>
      </c>
      <c r="H4889" s="11">
        <v>1485</v>
      </c>
      <c r="I4889" s="11">
        <v>3</v>
      </c>
      <c r="J4889" s="11">
        <v>0</v>
      </c>
      <c r="K4889" s="11" t="s">
        <v>21</v>
      </c>
      <c r="L4889" s="7">
        <v>40948.897280092591</v>
      </c>
      <c r="M4889" s="12"/>
      <c r="N4889" s="12" t="s">
        <v>11382</v>
      </c>
      <c r="O4889" s="10" t="str">
        <f>HYPERLINK("https://pbs.twimg.com/profile_images/1824707893/236201-frederika_normal.jpg","View")</f>
        <v>View</v>
      </c>
      <c r="P4889" s="11"/>
    </row>
    <row r="4890" spans="1:16" ht="12.75" x14ac:dyDescent="0.35">
      <c r="A4890" s="7">
        <v>42483.038946759261</v>
      </c>
      <c r="B4890" s="8" t="str">
        <f>HYPERLINK("https://twitter.com/DonnaNunez4864","@DonnaNunez4864")</f>
        <v>@DonnaNunez4864</v>
      </c>
      <c r="C4890" s="9" t="s">
        <v>11383</v>
      </c>
      <c r="D4890" s="9" t="s">
        <v>11384</v>
      </c>
      <c r="E4890" s="10" t="str">
        <f>HYPERLINK("https://twitter.com/DonnaNunez4864/status/723593736786075653","723593736786075653")</f>
        <v>723593736786075653</v>
      </c>
      <c r="F4890" s="10" t="s">
        <v>124</v>
      </c>
      <c r="G4890" s="11">
        <v>70</v>
      </c>
      <c r="H4890" s="11">
        <v>194</v>
      </c>
      <c r="I4890" s="11">
        <v>0</v>
      </c>
      <c r="J4890" s="11">
        <v>0</v>
      </c>
      <c r="K4890" s="11" t="s">
        <v>21</v>
      </c>
      <c r="L4890" s="7">
        <v>40297.001585648148</v>
      </c>
      <c r="M4890" s="12" t="s">
        <v>11385</v>
      </c>
      <c r="N4890" s="12" t="s">
        <v>11386</v>
      </c>
      <c r="O4890" s="10" t="str">
        <f>HYPERLINK("https://pbs.twimg.com/profile_images/859474166/12521969409537444_normal.jpg","View")</f>
        <v>View</v>
      </c>
      <c r="P4890" s="11"/>
    </row>
    <row r="4891" spans="1:16" ht="12.75" x14ac:dyDescent="0.35">
      <c r="A4891" s="7">
        <v>42483.038981481484</v>
      </c>
      <c r="B4891" s="8" t="str">
        <f>HYPERLINK("https://twitter.com/Gosthtot","@Gosthtot")</f>
        <v>@Gosthtot</v>
      </c>
      <c r="C4891" s="9" t="s">
        <v>11354</v>
      </c>
      <c r="D4891" s="9" t="s">
        <v>11387</v>
      </c>
      <c r="E4891" s="10" t="str">
        <f>HYPERLINK("https://twitter.com/Gosthtot/status/723593750052777984","723593750052777984")</f>
        <v>723593750052777984</v>
      </c>
      <c r="F4891" s="11" t="s">
        <v>53</v>
      </c>
      <c r="G4891" s="11">
        <v>149</v>
      </c>
      <c r="H4891" s="11">
        <v>648</v>
      </c>
      <c r="I4891" s="11">
        <v>0</v>
      </c>
      <c r="J4891" s="11">
        <v>0</v>
      </c>
      <c r="K4891" s="11" t="s">
        <v>21</v>
      </c>
      <c r="L4891" s="7">
        <v>40834.503148148149</v>
      </c>
      <c r="M4891" s="12" t="s">
        <v>1931</v>
      </c>
      <c r="N4891" s="12" t="s">
        <v>11356</v>
      </c>
      <c r="O4891" s="10" t="str">
        <f>HYPERLINK("https://pbs.twimg.com/profile_images/556251546715820033/l5Ixj297_normal.jpeg","View")</f>
        <v>View</v>
      </c>
      <c r="P4891" s="11"/>
    </row>
    <row r="4892" spans="1:16" ht="12.75" x14ac:dyDescent="0.35">
      <c r="A4892" s="7">
        <v>42483.039907407408</v>
      </c>
      <c r="B4892" s="8" t="str">
        <f>HYPERLINK("https://twitter.com/WreckitReese21","@WreckitReese21")</f>
        <v>@WreckitReese21</v>
      </c>
      <c r="C4892" s="9" t="s">
        <v>11388</v>
      </c>
      <c r="D4892" s="9" t="s">
        <v>25</v>
      </c>
      <c r="E4892" s="10" t="str">
        <f>HYPERLINK("https://twitter.com/WreckitReese21/status/723594084393209856","723594084393209856")</f>
        <v>723594084393209856</v>
      </c>
      <c r="F4892" s="11" t="s">
        <v>20</v>
      </c>
      <c r="G4892" s="11">
        <v>376</v>
      </c>
      <c r="H4892" s="11">
        <v>1624</v>
      </c>
      <c r="I4892" s="11">
        <v>97</v>
      </c>
      <c r="J4892" s="11">
        <v>0</v>
      </c>
      <c r="K4892" s="11" t="s">
        <v>21</v>
      </c>
      <c r="L4892" s="7">
        <v>41713.627800925926</v>
      </c>
      <c r="M4892" s="12"/>
      <c r="N4892" s="12"/>
      <c r="O4892" s="10" t="str">
        <f>HYPERLINK("https://pbs.twimg.com/profile_images/686110235245719552/ey8VjbBh_normal.jpg","View")</f>
        <v>View</v>
      </c>
      <c r="P4892" s="11"/>
    </row>
    <row r="4893" spans="1:16" ht="12.75" x14ac:dyDescent="0.35">
      <c r="A4893" s="7">
        <v>42483.039953703701</v>
      </c>
      <c r="B4893" s="8" t="str">
        <f>HYPERLINK("https://twitter.com/VWBeetleSales","@VWBeetleSales")</f>
        <v>@VWBeetleSales</v>
      </c>
      <c r="C4893" s="9" t="s">
        <v>127</v>
      </c>
      <c r="D4893" s="9" t="s">
        <v>11389</v>
      </c>
      <c r="E4893" s="10" t="str">
        <f>HYPERLINK("https://twitter.com/VWBeetleSales/status/723594103749902336","723594103749902336")</f>
        <v>723594103749902336</v>
      </c>
      <c r="F4893" s="10" t="s">
        <v>124</v>
      </c>
      <c r="G4893" s="11">
        <v>36</v>
      </c>
      <c r="H4893" s="11">
        <v>32</v>
      </c>
      <c r="I4893" s="11">
        <v>0</v>
      </c>
      <c r="J4893" s="11">
        <v>0</v>
      </c>
      <c r="K4893" s="11" t="s">
        <v>21</v>
      </c>
      <c r="L4893" s="7">
        <v>42427.019756944443</v>
      </c>
      <c r="M4893" s="12" t="s">
        <v>129</v>
      </c>
      <c r="N4893" s="12" t="s">
        <v>130</v>
      </c>
      <c r="O4893" s="10" t="str">
        <f>HYPERLINK("https://pbs.twimg.com/profile_images/703294545195307008/qeCvrX86_normal.jpg","View")</f>
        <v>View</v>
      </c>
      <c r="P4893" s="11"/>
    </row>
    <row r="4894" spans="1:16" ht="12.75" x14ac:dyDescent="0.35">
      <c r="A4894" s="7">
        <v>42483.040752314817</v>
      </c>
      <c r="B4894" s="8" t="str">
        <f>HYPERLINK("https://twitter.com/POLITICS_JEDI","@POLITICS_JEDI")</f>
        <v>@POLITICS_JEDI</v>
      </c>
      <c r="C4894" s="9" t="s">
        <v>11390</v>
      </c>
      <c r="D4894" s="9" t="s">
        <v>11391</v>
      </c>
      <c r="E4894" s="10" t="str">
        <f>HYPERLINK("https://twitter.com/POLITICS_JEDI/status/723594391978385408","723594391978385408")</f>
        <v>723594391978385408</v>
      </c>
      <c r="F4894" s="11" t="s">
        <v>48</v>
      </c>
      <c r="G4894" s="11">
        <v>21</v>
      </c>
      <c r="H4894" s="11">
        <v>150</v>
      </c>
      <c r="I4894" s="11">
        <v>0</v>
      </c>
      <c r="J4894" s="11">
        <v>0</v>
      </c>
      <c r="K4894" s="11" t="s">
        <v>21</v>
      </c>
      <c r="L4894" s="7">
        <v>39993.735532407409</v>
      </c>
      <c r="M4894" s="12" t="s">
        <v>11392</v>
      </c>
      <c r="N4894" s="12" t="s">
        <v>11393</v>
      </c>
      <c r="O4894" s="10" t="str">
        <f>HYPERLINK("https://pbs.twimg.com/profile_images/696084845211074562/Cn9CCNQa_normal.jpg","View")</f>
        <v>View</v>
      </c>
      <c r="P4894" s="11"/>
    </row>
    <row r="4895" spans="1:16" ht="12.75" x14ac:dyDescent="0.35">
      <c r="A4895" s="7">
        <v>42483.041481481487</v>
      </c>
      <c r="B4895" s="8" t="str">
        <f>HYPERLINK("https://twitter.com/EitelStefan","@EitelStefan")</f>
        <v>@EitelStefan</v>
      </c>
      <c r="C4895" s="9" t="s">
        <v>11394</v>
      </c>
      <c r="D4895" s="9" t="s">
        <v>11395</v>
      </c>
      <c r="E4895" s="10" t="str">
        <f>HYPERLINK("https://twitter.com/EitelStefan/status/723594654764113920","723594654764113920")</f>
        <v>723594654764113920</v>
      </c>
      <c r="F4895" s="11" t="s">
        <v>43</v>
      </c>
      <c r="G4895" s="11">
        <v>23</v>
      </c>
      <c r="H4895" s="11">
        <v>73</v>
      </c>
      <c r="I4895" s="11">
        <v>0</v>
      </c>
      <c r="J4895" s="11">
        <v>0</v>
      </c>
      <c r="K4895" s="11" t="s">
        <v>21</v>
      </c>
      <c r="L4895" s="7">
        <v>41271.178819444445</v>
      </c>
      <c r="M4895" s="12" t="s">
        <v>1116</v>
      </c>
      <c r="N4895" s="12" t="s">
        <v>11396</v>
      </c>
      <c r="O4895" s="10" t="str">
        <f>HYPERLINK("https://pbs.twimg.com/profile_images/637593303836422144/JiLq2Ins_normal.png","View")</f>
        <v>View</v>
      </c>
      <c r="P4895" s="11"/>
    </row>
    <row r="4896" spans="1:16" ht="12.75" x14ac:dyDescent="0.35">
      <c r="A4896" s="7">
        <v>42483.041724537034</v>
      </c>
      <c r="B4896" s="8" t="str">
        <f>HYPERLINK("https://twitter.com/eric_morehead","@eric_morehead")</f>
        <v>@eric_morehead</v>
      </c>
      <c r="C4896" s="9" t="s">
        <v>11397</v>
      </c>
      <c r="D4896" s="9" t="s">
        <v>11398</v>
      </c>
      <c r="E4896" s="10" t="str">
        <f>HYPERLINK("https://twitter.com/eric_morehead/status/723594742848573441","723594742848573441")</f>
        <v>723594742848573441</v>
      </c>
      <c r="F4896" s="11" t="s">
        <v>933</v>
      </c>
      <c r="G4896" s="11">
        <v>216</v>
      </c>
      <c r="H4896" s="11">
        <v>45</v>
      </c>
      <c r="I4896" s="11">
        <v>0</v>
      </c>
      <c r="J4896" s="11">
        <v>0</v>
      </c>
      <c r="K4896" s="11" t="s">
        <v>21</v>
      </c>
      <c r="L4896" s="7">
        <v>41563.088101851856</v>
      </c>
      <c r="M4896" s="12" t="s">
        <v>956</v>
      </c>
      <c r="N4896" s="12" t="s">
        <v>11399</v>
      </c>
      <c r="O4896" s="10" t="str">
        <f>HYPERLINK("https://pbs.twimg.com/profile_images/428638459389964288/5r8eLA45_normal.jpeg","View")</f>
        <v>View</v>
      </c>
      <c r="P4896" s="11"/>
    </row>
    <row r="4897" spans="1:16" ht="12.75" x14ac:dyDescent="0.35">
      <c r="A4897" s="7">
        <v>42483.042083333334</v>
      </c>
      <c r="B4897" s="8" t="str">
        <f>HYPERLINK("https://twitter.com/loll1980","@loll1980")</f>
        <v>@loll1980</v>
      </c>
      <c r="C4897" s="9" t="s">
        <v>11400</v>
      </c>
      <c r="D4897" s="9" t="s">
        <v>11401</v>
      </c>
      <c r="E4897" s="10" t="str">
        <f>HYPERLINK("https://twitter.com/loll1980/status/723594873744592898","723594873744592898")</f>
        <v>723594873744592898</v>
      </c>
      <c r="F4897" s="11" t="s">
        <v>114</v>
      </c>
      <c r="G4897" s="11">
        <v>238</v>
      </c>
      <c r="H4897" s="11">
        <v>319</v>
      </c>
      <c r="I4897" s="11">
        <v>0</v>
      </c>
      <c r="J4897" s="11">
        <v>0</v>
      </c>
      <c r="K4897" s="11" t="s">
        <v>21</v>
      </c>
      <c r="L4897" s="7">
        <v>39869.883425925924</v>
      </c>
      <c r="M4897" s="12"/>
      <c r="N4897" s="12" t="s">
        <v>11402</v>
      </c>
      <c r="O4897" s="10" t="str">
        <f>HYPERLINK("https://pbs.twimg.com/profile_images/709091473682202624/KJaoCxuM_normal.jpg","View")</f>
        <v>View</v>
      </c>
      <c r="P4897" s="11"/>
    </row>
    <row r="4898" spans="1:16" ht="12.75" x14ac:dyDescent="0.35">
      <c r="A4898" s="7">
        <v>42483.042280092588</v>
      </c>
      <c r="B4898" s="8" t="str">
        <f>HYPERLINK("https://twitter.com/VolkswagenCasey","@VolkswagenCasey")</f>
        <v>@VolkswagenCasey</v>
      </c>
      <c r="C4898" s="9" t="s">
        <v>5136</v>
      </c>
      <c r="D4898" s="9" t="s">
        <v>11403</v>
      </c>
      <c r="E4898" s="10" t="str">
        <f>HYPERLINK("https://twitter.com/VolkswagenCasey/status/723594947346219008","723594947346219008")</f>
        <v>723594947346219008</v>
      </c>
      <c r="F4898" s="11" t="s">
        <v>152</v>
      </c>
      <c r="G4898" s="11">
        <v>120</v>
      </c>
      <c r="H4898" s="11">
        <v>189</v>
      </c>
      <c r="I4898" s="11">
        <v>1</v>
      </c>
      <c r="J4898" s="11">
        <v>0</v>
      </c>
      <c r="K4898" s="11" t="s">
        <v>21</v>
      </c>
      <c r="L4898" s="7">
        <v>41115.832673611112</v>
      </c>
      <c r="M4898" s="12" t="s">
        <v>5138</v>
      </c>
      <c r="N4898" s="12" t="s">
        <v>5139</v>
      </c>
      <c r="O4898" s="10" t="str">
        <f>HYPERLINK("https://pbs.twimg.com/profile_images/451387717742379008/x8L5Ms1G_normal.jpeg","View")</f>
        <v>View</v>
      </c>
      <c r="P4898" s="11"/>
    </row>
    <row r="4899" spans="1:16" ht="12.75" x14ac:dyDescent="0.35">
      <c r="A4899" s="7">
        <v>42483.043043981481</v>
      </c>
      <c r="B4899" s="8" t="str">
        <f t="shared" ref="B4899:B4900" si="415">HYPERLINK("https://twitter.com/j_sturmberg","@j_sturmberg")</f>
        <v>@j_sturmberg</v>
      </c>
      <c r="C4899" s="9" t="s">
        <v>11404</v>
      </c>
      <c r="D4899" s="9" t="s">
        <v>11405</v>
      </c>
      <c r="E4899" s="10" t="str">
        <f>HYPERLINK("https://twitter.com/j_sturmberg/status/723595222517714944","723595222517714944")</f>
        <v>723595222517714944</v>
      </c>
      <c r="F4899" s="11" t="s">
        <v>43</v>
      </c>
      <c r="G4899" s="11">
        <v>141</v>
      </c>
      <c r="H4899" s="11">
        <v>141</v>
      </c>
      <c r="I4899" s="11">
        <v>0</v>
      </c>
      <c r="J4899" s="11">
        <v>0</v>
      </c>
      <c r="K4899" s="11" t="s">
        <v>21</v>
      </c>
      <c r="L4899" s="7">
        <v>41957.653599537036</v>
      </c>
      <c r="M4899" s="12"/>
      <c r="N4899" s="12" t="s">
        <v>11406</v>
      </c>
      <c r="O4899" s="10" t="str">
        <f t="shared" ref="O4899:O4900" si="416">HYPERLINK("https://pbs.twimg.com/profile_images/536668880203038720/469VmgoM_normal.jpeg","View")</f>
        <v>View</v>
      </c>
      <c r="P4899" s="11"/>
    </row>
    <row r="4900" spans="1:16" ht="12.75" x14ac:dyDescent="0.35">
      <c r="A4900" s="7">
        <v>42483.043611111112</v>
      </c>
      <c r="B4900" s="8" t="str">
        <f t="shared" si="415"/>
        <v>@j_sturmberg</v>
      </c>
      <c r="C4900" s="9" t="s">
        <v>11404</v>
      </c>
      <c r="D4900" s="9" t="s">
        <v>11407</v>
      </c>
      <c r="E4900" s="10" t="str">
        <f>HYPERLINK("https://twitter.com/j_sturmberg/status/723595429556944896","723595429556944896")</f>
        <v>723595429556944896</v>
      </c>
      <c r="F4900" s="11" t="s">
        <v>43</v>
      </c>
      <c r="G4900" s="11">
        <v>141</v>
      </c>
      <c r="H4900" s="11">
        <v>141</v>
      </c>
      <c r="I4900" s="11">
        <v>0</v>
      </c>
      <c r="J4900" s="11">
        <v>0</v>
      </c>
      <c r="K4900" s="11" t="s">
        <v>21</v>
      </c>
      <c r="L4900" s="7">
        <v>41957.653599537036</v>
      </c>
      <c r="M4900" s="12"/>
      <c r="N4900" s="12" t="s">
        <v>11406</v>
      </c>
      <c r="O4900" s="10" t="str">
        <f t="shared" si="416"/>
        <v>View</v>
      </c>
      <c r="P4900" s="11"/>
    </row>
    <row r="4901" spans="1:16" ht="12.75" x14ac:dyDescent="0.35">
      <c r="A4901" s="7">
        <v>42483.043692129635</v>
      </c>
      <c r="B4901" s="8" t="str">
        <f>HYPERLINK("https://twitter.com/EEPublishing","@EEPublishing")</f>
        <v>@EEPublishing</v>
      </c>
      <c r="C4901" s="9" t="s">
        <v>11408</v>
      </c>
      <c r="D4901" s="9" t="s">
        <v>11409</v>
      </c>
      <c r="E4901" s="10" t="str">
        <f>HYPERLINK("https://twitter.com/EEPublishing/status/723595458220797952","723595458220797952")</f>
        <v>723595458220797952</v>
      </c>
      <c r="F4901" s="11" t="s">
        <v>20</v>
      </c>
      <c r="G4901" s="11">
        <v>4968</v>
      </c>
      <c r="H4901" s="11">
        <v>186</v>
      </c>
      <c r="I4901" s="11">
        <v>0</v>
      </c>
      <c r="J4901" s="11">
        <v>0</v>
      </c>
      <c r="K4901" s="11" t="s">
        <v>21</v>
      </c>
      <c r="L4901" s="7">
        <v>40134.727523148147</v>
      </c>
      <c r="M4901" s="12" t="s">
        <v>11410</v>
      </c>
      <c r="N4901" s="12" t="s">
        <v>11411</v>
      </c>
      <c r="O4901" s="10" t="str">
        <f>HYPERLINK("https://pbs.twimg.com/profile_images/577927762721120257/mbfn05ZP_normal.png","View")</f>
        <v>View</v>
      </c>
      <c r="P4901" s="11"/>
    </row>
    <row r="4902" spans="1:16" ht="12.75" x14ac:dyDescent="0.35">
      <c r="A4902" s="7">
        <v>42483.043993055559</v>
      </c>
      <c r="B4902" s="8" t="str">
        <f>HYPERLINK("https://twitter.com/JohnHall_UK","@JohnHall_UK")</f>
        <v>@JohnHall_UK</v>
      </c>
      <c r="C4902" s="9" t="s">
        <v>11412</v>
      </c>
      <c r="D4902" s="9" t="s">
        <v>11413</v>
      </c>
      <c r="E4902" s="10" t="str">
        <f>HYPERLINK("https://twitter.com/JohnHall_UK/status/723595567134208000","723595567134208000")</f>
        <v>723595567134208000</v>
      </c>
      <c r="F4902" s="10" t="s">
        <v>124</v>
      </c>
      <c r="G4902" s="11">
        <v>2742</v>
      </c>
      <c r="H4902" s="11">
        <v>2344</v>
      </c>
      <c r="I4902" s="11">
        <v>0</v>
      </c>
      <c r="J4902" s="11">
        <v>0</v>
      </c>
      <c r="K4902" s="11" t="s">
        <v>21</v>
      </c>
      <c r="L4902" s="7">
        <v>40664.126643518517</v>
      </c>
      <c r="M4902" s="12" t="s">
        <v>129</v>
      </c>
      <c r="N4902" s="12" t="s">
        <v>11414</v>
      </c>
      <c r="O4902" s="10" t="str">
        <f>HYPERLINK("https://pbs.twimg.com/profile_images/1636550085/me_normal.jpg","View")</f>
        <v>View</v>
      </c>
      <c r="P4902" s="11"/>
    </row>
    <row r="4903" spans="1:16" ht="12.75" x14ac:dyDescent="0.35">
      <c r="A4903" s="7">
        <v>42483.04415509259</v>
      </c>
      <c r="B4903" s="8" t="str">
        <f>HYPERLINK("https://twitter.com/EitelStefan","@EitelStefan")</f>
        <v>@EitelStefan</v>
      </c>
      <c r="C4903" s="9" t="s">
        <v>11394</v>
      </c>
      <c r="D4903" s="9" t="s">
        <v>11415</v>
      </c>
      <c r="E4903" s="10" t="str">
        <f>HYPERLINK("https://twitter.com/EitelStefan/status/723595623426039809","723595623426039809")</f>
        <v>723595623426039809</v>
      </c>
      <c r="F4903" s="11" t="s">
        <v>43</v>
      </c>
      <c r="G4903" s="11">
        <v>23</v>
      </c>
      <c r="H4903" s="11">
        <v>73</v>
      </c>
      <c r="I4903" s="11">
        <v>0</v>
      </c>
      <c r="J4903" s="11">
        <v>1</v>
      </c>
      <c r="K4903" s="11" t="s">
        <v>21</v>
      </c>
      <c r="L4903" s="7">
        <v>41271.178819444445</v>
      </c>
      <c r="M4903" s="12" t="s">
        <v>1116</v>
      </c>
      <c r="N4903" s="12" t="s">
        <v>11396</v>
      </c>
      <c r="O4903" s="10" t="str">
        <f>HYPERLINK("https://pbs.twimg.com/profile_images/637593303836422144/JiLq2Ins_normal.png","View")</f>
        <v>View</v>
      </c>
      <c r="P4903" s="11"/>
    </row>
    <row r="4904" spans="1:16" ht="12.75" x14ac:dyDescent="0.35">
      <c r="A4904" s="7">
        <v>42483.044618055559</v>
      </c>
      <c r="B4904" s="8" t="str">
        <f t="shared" ref="B4904:B4905" si="417">HYPERLINK("https://twitter.com/Mphilpot1","@Mphilpot1")</f>
        <v>@Mphilpot1</v>
      </c>
      <c r="C4904" s="9" t="s">
        <v>1280</v>
      </c>
      <c r="D4904" s="9" t="s">
        <v>11416</v>
      </c>
      <c r="E4904" s="10" t="str">
        <f>HYPERLINK("https://twitter.com/Mphilpot1/status/723595793253330944","723595793253330944")</f>
        <v>723595793253330944</v>
      </c>
      <c r="F4904" s="11" t="s">
        <v>34</v>
      </c>
      <c r="G4904" s="11">
        <v>114</v>
      </c>
      <c r="H4904" s="11">
        <v>141</v>
      </c>
      <c r="I4904" s="11">
        <v>0</v>
      </c>
      <c r="J4904" s="11">
        <v>0</v>
      </c>
      <c r="K4904" s="11" t="s">
        <v>21</v>
      </c>
      <c r="L4904" s="7">
        <v>41137.855208333334</v>
      </c>
      <c r="M4904" s="12"/>
      <c r="N4904" s="12"/>
      <c r="O4904" s="10" t="str">
        <f t="shared" ref="O4904:O4905" si="418">HYPERLINK("https://pbs.twimg.com/profile_images/422164778639839234/LVnS1q1c_normal.jpeg","View")</f>
        <v>View</v>
      </c>
      <c r="P4904" s="11"/>
    </row>
    <row r="4905" spans="1:16" ht="12.75" x14ac:dyDescent="0.35">
      <c r="A4905" s="7">
        <v>42483.044618055559</v>
      </c>
      <c r="B4905" s="8" t="str">
        <f t="shared" si="417"/>
        <v>@Mphilpot1</v>
      </c>
      <c r="C4905" s="9" t="s">
        <v>1280</v>
      </c>
      <c r="D4905" s="9" t="s">
        <v>11417</v>
      </c>
      <c r="E4905" s="10" t="str">
        <f>HYPERLINK("https://twitter.com/Mphilpot1/status/723595794046054401","723595794046054401")</f>
        <v>723595794046054401</v>
      </c>
      <c r="F4905" s="11" t="s">
        <v>34</v>
      </c>
      <c r="G4905" s="11">
        <v>114</v>
      </c>
      <c r="H4905" s="11">
        <v>141</v>
      </c>
      <c r="I4905" s="11">
        <v>0</v>
      </c>
      <c r="J4905" s="11">
        <v>0</v>
      </c>
      <c r="K4905" s="11" t="s">
        <v>21</v>
      </c>
      <c r="L4905" s="7">
        <v>41137.855208333334</v>
      </c>
      <c r="M4905" s="12"/>
      <c r="N4905" s="12"/>
      <c r="O4905" s="10" t="str">
        <f t="shared" si="418"/>
        <v>View</v>
      </c>
      <c r="P4905" s="11"/>
    </row>
    <row r="4906" spans="1:16" ht="12.75" x14ac:dyDescent="0.35">
      <c r="A4906" s="7">
        <v>42483.044988425929</v>
      </c>
      <c r="B4906" s="8" t="str">
        <f>HYPERLINK("https://twitter.com/CraigBennett3","@CraigBennett3")</f>
        <v>@CraigBennett3</v>
      </c>
      <c r="C4906" s="9" t="s">
        <v>11418</v>
      </c>
      <c r="D4906" s="9" t="s">
        <v>11419</v>
      </c>
      <c r="E4906" s="10" t="str">
        <f>HYPERLINK("https://twitter.com/CraigBennett3/status/723595929144705024","723595929144705024")</f>
        <v>723595929144705024</v>
      </c>
      <c r="F4906" s="11" t="s">
        <v>367</v>
      </c>
      <c r="G4906" s="11">
        <v>6206</v>
      </c>
      <c r="H4906" s="11">
        <v>2775</v>
      </c>
      <c r="I4906" s="11">
        <v>0</v>
      </c>
      <c r="J4906" s="11">
        <v>0</v>
      </c>
      <c r="K4906" s="11" t="s">
        <v>21</v>
      </c>
      <c r="L4906" s="7">
        <v>40796.908692129626</v>
      </c>
      <c r="M4906" s="12" t="s">
        <v>11420</v>
      </c>
      <c r="N4906" s="12" t="s">
        <v>11421</v>
      </c>
      <c r="O4906" s="10" t="str">
        <f>HYPERLINK("https://pbs.twimg.com/profile_images/626355400586211328/nSfVJgBQ_normal.jpg","View")</f>
        <v>View</v>
      </c>
      <c r="P4906" s="11"/>
    </row>
    <row r="4907" spans="1:16" ht="12.75" x14ac:dyDescent="0.35">
      <c r="A4907" s="7">
        <v>42483.04524305556</v>
      </c>
      <c r="B4907" s="8" t="str">
        <f t="shared" ref="B4907:B4908" si="419">HYPERLINK("https://twitter.com/VWBeetleSales","@VWBeetleSales")</f>
        <v>@VWBeetleSales</v>
      </c>
      <c r="C4907" s="9" t="s">
        <v>127</v>
      </c>
      <c r="D4907" s="9" t="s">
        <v>11422</v>
      </c>
      <c r="E4907" s="10" t="str">
        <f>HYPERLINK("https://twitter.com/VWBeetleSales/status/723596019905093633","723596019905093633")</f>
        <v>723596019905093633</v>
      </c>
      <c r="F4907" s="10" t="s">
        <v>124</v>
      </c>
      <c r="G4907" s="11">
        <v>36</v>
      </c>
      <c r="H4907" s="11">
        <v>32</v>
      </c>
      <c r="I4907" s="11">
        <v>0</v>
      </c>
      <c r="J4907" s="11">
        <v>0</v>
      </c>
      <c r="K4907" s="11" t="s">
        <v>21</v>
      </c>
      <c r="L4907" s="7">
        <v>42427.019756944443</v>
      </c>
      <c r="M4907" s="12" t="s">
        <v>129</v>
      </c>
      <c r="N4907" s="12" t="s">
        <v>130</v>
      </c>
      <c r="O4907" s="10" t="str">
        <f t="shared" ref="O4907:O4908" si="420">HYPERLINK("https://pbs.twimg.com/profile_images/703294545195307008/qeCvrX86_normal.jpg","View")</f>
        <v>View</v>
      </c>
      <c r="P4907" s="11"/>
    </row>
    <row r="4908" spans="1:16" ht="12.75" x14ac:dyDescent="0.35">
      <c r="A4908" s="7">
        <v>42483.045266203699</v>
      </c>
      <c r="B4908" s="8" t="str">
        <f t="shared" si="419"/>
        <v>@VWBeetleSales</v>
      </c>
      <c r="C4908" s="9" t="s">
        <v>127</v>
      </c>
      <c r="D4908" s="9" t="s">
        <v>11423</v>
      </c>
      <c r="E4908" s="10" t="str">
        <f>HYPERLINK("https://twitter.com/VWBeetleSales/status/723596026951557120","723596026951557120")</f>
        <v>723596026951557120</v>
      </c>
      <c r="F4908" s="10" t="s">
        <v>124</v>
      </c>
      <c r="G4908" s="11">
        <v>36</v>
      </c>
      <c r="H4908" s="11">
        <v>32</v>
      </c>
      <c r="I4908" s="11">
        <v>0</v>
      </c>
      <c r="J4908" s="11">
        <v>0</v>
      </c>
      <c r="K4908" s="11" t="s">
        <v>21</v>
      </c>
      <c r="L4908" s="7">
        <v>42427.019756944443</v>
      </c>
      <c r="M4908" s="12" t="s">
        <v>129</v>
      </c>
      <c r="N4908" s="12" t="s">
        <v>130</v>
      </c>
      <c r="O4908" s="10" t="str">
        <f t="shared" si="420"/>
        <v>View</v>
      </c>
      <c r="P4908" s="11"/>
    </row>
    <row r="4909" spans="1:16" ht="12.75" x14ac:dyDescent="0.35">
      <c r="A4909" s="7">
        <v>42483.045914351853</v>
      </c>
      <c r="B4909" s="8" t="str">
        <f>HYPERLINK("https://twitter.com/Lunatique11","@Lunatique11")</f>
        <v>@Lunatique11</v>
      </c>
      <c r="C4909" s="9" t="s">
        <v>11424</v>
      </c>
      <c r="D4909" s="9" t="s">
        <v>11425</v>
      </c>
      <c r="E4909" s="10" t="str">
        <f>HYPERLINK("https://twitter.com/Lunatique11/status/723596264412049409","723596264412049409")</f>
        <v>723596264412049409</v>
      </c>
      <c r="F4909" s="11" t="s">
        <v>114</v>
      </c>
      <c r="G4909" s="11">
        <v>174</v>
      </c>
      <c r="H4909" s="11">
        <v>461</v>
      </c>
      <c r="I4909" s="11">
        <v>0</v>
      </c>
      <c r="J4909" s="11">
        <v>1</v>
      </c>
      <c r="K4909" s="11" t="s">
        <v>21</v>
      </c>
      <c r="L4909" s="7">
        <v>41368.858854166669</v>
      </c>
      <c r="M4909" s="12" t="s">
        <v>11426</v>
      </c>
      <c r="N4909" s="12" t="s">
        <v>11427</v>
      </c>
      <c r="O4909" s="10" t="str">
        <f>HYPERLINK("https://pbs.twimg.com/profile_images/704318460814364672/WLDosunw_normal.jpg","View")</f>
        <v>View</v>
      </c>
      <c r="P4909" s="11"/>
    </row>
    <row r="4910" spans="1:16" ht="12.75" x14ac:dyDescent="0.35">
      <c r="A4910" s="7">
        <v>42483.046203703707</v>
      </c>
      <c r="B4910" s="8" t="str">
        <f t="shared" ref="B4910:B4911" si="421">HYPERLINK("https://twitter.com/VolkswagenPost","@VolkswagenPost")</f>
        <v>@VolkswagenPost</v>
      </c>
      <c r="C4910" s="9" t="s">
        <v>321</v>
      </c>
      <c r="D4910" s="9" t="s">
        <v>11428</v>
      </c>
      <c r="E4910" s="10" t="str">
        <f>HYPERLINK("https://twitter.com/VolkswagenPost/status/723596365809500160","723596365809500160")</f>
        <v>723596365809500160</v>
      </c>
      <c r="F4910" s="11" t="s">
        <v>288</v>
      </c>
      <c r="G4910" s="11">
        <v>569</v>
      </c>
      <c r="H4910" s="11">
        <v>446</v>
      </c>
      <c r="I4910" s="11">
        <v>1</v>
      </c>
      <c r="J4910" s="11">
        <v>0</v>
      </c>
      <c r="K4910" s="11" t="s">
        <v>21</v>
      </c>
      <c r="L4910" s="7">
        <v>41940.618379629632</v>
      </c>
      <c r="M4910" s="12"/>
      <c r="N4910" s="12"/>
      <c r="O4910" s="10" t="str">
        <f t="shared" ref="O4910:O4911" si="422">HYPERLINK("https://pbs.twimg.com/profile_images/530071272881803264/a_jcCmPZ_normal.png","View")</f>
        <v>View</v>
      </c>
      <c r="P4910" s="11"/>
    </row>
    <row r="4911" spans="1:16" ht="12.75" x14ac:dyDescent="0.35">
      <c r="A4911" s="7">
        <v>42483.046203703707</v>
      </c>
      <c r="B4911" s="8" t="str">
        <f t="shared" si="421"/>
        <v>@VolkswagenPost</v>
      </c>
      <c r="C4911" s="9" t="s">
        <v>321</v>
      </c>
      <c r="D4911" s="9" t="s">
        <v>11429</v>
      </c>
      <c r="E4911" s="10" t="str">
        <f>HYPERLINK("https://twitter.com/VolkswagenPost/status/723596367134883840","723596367134883840")</f>
        <v>723596367134883840</v>
      </c>
      <c r="F4911" s="11" t="s">
        <v>288</v>
      </c>
      <c r="G4911" s="11">
        <v>569</v>
      </c>
      <c r="H4911" s="11">
        <v>446</v>
      </c>
      <c r="I4911" s="11">
        <v>1</v>
      </c>
      <c r="J4911" s="11">
        <v>0</v>
      </c>
      <c r="K4911" s="11" t="s">
        <v>21</v>
      </c>
      <c r="L4911" s="7">
        <v>41940.618379629632</v>
      </c>
      <c r="M4911" s="12"/>
      <c r="N4911" s="12"/>
      <c r="O4911" s="10" t="str">
        <f t="shared" si="422"/>
        <v>View</v>
      </c>
      <c r="P4911" s="11"/>
    </row>
    <row r="4912" spans="1:16" ht="12.75" x14ac:dyDescent="0.35">
      <c r="A4912" s="7">
        <v>42483.047060185185</v>
      </c>
      <c r="B4912" s="8" t="str">
        <f>HYPERLINK("https://twitter.com/railscanner","@railscanner")</f>
        <v>@railscanner</v>
      </c>
      <c r="C4912" s="9" t="s">
        <v>6889</v>
      </c>
      <c r="D4912" s="9" t="s">
        <v>11430</v>
      </c>
      <c r="E4912" s="10" t="str">
        <f>HYPERLINK("https://twitter.com/railscanner/status/723596677291102208","723596677291102208")</f>
        <v>723596677291102208</v>
      </c>
      <c r="F4912" s="11" t="s">
        <v>48</v>
      </c>
      <c r="G4912" s="11">
        <v>49</v>
      </c>
      <c r="H4912" s="11">
        <v>51</v>
      </c>
      <c r="I4912" s="11">
        <v>0</v>
      </c>
      <c r="J4912" s="11">
        <v>0</v>
      </c>
      <c r="K4912" s="11" t="s">
        <v>21</v>
      </c>
      <c r="L4912" s="7">
        <v>41644.784618055557</v>
      </c>
      <c r="M4912" s="12" t="s">
        <v>1359</v>
      </c>
      <c r="N4912" s="12" t="s">
        <v>6891</v>
      </c>
      <c r="O4912" s="10" t="str">
        <f>HYPERLINK("https://pbs.twimg.com/profile_images/419834366810783746/GP0PUHsm_normal.jpeg","View")</f>
        <v>View</v>
      </c>
      <c r="P4912" s="11"/>
    </row>
    <row r="4913" spans="1:16" ht="12.75" x14ac:dyDescent="0.35">
      <c r="A4913" s="7">
        <v>42483.048206018517</v>
      </c>
      <c r="B4913" s="8" t="str">
        <f>HYPERLINK("https://twitter.com/oWIGGYo","@oWIGGYo")</f>
        <v>@oWIGGYo</v>
      </c>
      <c r="C4913" s="9" t="s">
        <v>11431</v>
      </c>
      <c r="D4913" s="9" t="s">
        <v>10837</v>
      </c>
      <c r="E4913" s="10" t="str">
        <f>HYPERLINK("https://twitter.com/oWIGGYo/status/723597094183940096","723597094183940096")</f>
        <v>723597094183940096</v>
      </c>
      <c r="F4913" s="11" t="s">
        <v>20</v>
      </c>
      <c r="G4913" s="11">
        <v>136</v>
      </c>
      <c r="H4913" s="11">
        <v>186</v>
      </c>
      <c r="I4913" s="11">
        <v>13</v>
      </c>
      <c r="J4913" s="11">
        <v>0</v>
      </c>
      <c r="K4913" s="11" t="s">
        <v>21</v>
      </c>
      <c r="L4913" s="7">
        <v>39840.958564814813</v>
      </c>
      <c r="M4913" s="12" t="s">
        <v>11432</v>
      </c>
      <c r="N4913" s="12" t="s">
        <v>11433</v>
      </c>
      <c r="O4913" s="10" t="str">
        <f>HYPERLINK("https://pbs.twimg.com/profile_images/1232882741/image_normal.jpg","View")</f>
        <v>View</v>
      </c>
      <c r="P4913" s="11"/>
    </row>
    <row r="4914" spans="1:16" ht="12.75" x14ac:dyDescent="0.35">
      <c r="A4914" s="7">
        <v>42483.04859953704</v>
      </c>
      <c r="B4914" s="8" t="str">
        <f>HYPERLINK("https://twitter.com/Philippe_Leviez","@Philippe_Leviez")</f>
        <v>@Philippe_Leviez</v>
      </c>
      <c r="C4914" s="9" t="s">
        <v>3610</v>
      </c>
      <c r="D4914" s="9" t="s">
        <v>11434</v>
      </c>
      <c r="E4914" s="10" t="str">
        <f>HYPERLINK("https://twitter.com/Philippe_Leviez/status/723597236135952384","723597236135952384")</f>
        <v>723597236135952384</v>
      </c>
      <c r="F4914" s="11" t="s">
        <v>43</v>
      </c>
      <c r="G4914" s="11">
        <v>34</v>
      </c>
      <c r="H4914" s="11">
        <v>61</v>
      </c>
      <c r="I4914" s="11">
        <v>0</v>
      </c>
      <c r="J4914" s="11">
        <v>0</v>
      </c>
      <c r="K4914" s="11" t="s">
        <v>21</v>
      </c>
      <c r="L4914" s="7">
        <v>41615.133009259262</v>
      </c>
      <c r="M4914" s="12" t="s">
        <v>3612</v>
      </c>
      <c r="N4914" s="12" t="s">
        <v>3613</v>
      </c>
      <c r="O4914" s="10" t="str">
        <f>HYPERLINK("https://pbs.twimg.com/profile_images/378800000838147699/1b1d5a634aedb62ab272ba7fa17a9902_normal.jpeg","View")</f>
        <v>View</v>
      </c>
      <c r="P4914" s="11"/>
    </row>
    <row r="4915" spans="1:16" ht="12.75" x14ac:dyDescent="0.35">
      <c r="A4915" s="7">
        <v>42483.049270833333</v>
      </c>
      <c r="B4915" s="8" t="str">
        <f>HYPERLINK("https://twitter.com/khalifagamal","@khalifagamal")</f>
        <v>@khalifagamal</v>
      </c>
      <c r="C4915" s="9" t="s">
        <v>11435</v>
      </c>
      <c r="D4915" s="9" t="s">
        <v>11436</v>
      </c>
      <c r="E4915" s="10" t="str">
        <f>HYPERLINK("https://twitter.com/khalifagamal/status/723597479887904768","723597479887904768")</f>
        <v>723597479887904768</v>
      </c>
      <c r="F4915" s="11" t="s">
        <v>43</v>
      </c>
      <c r="G4915" s="11">
        <v>28</v>
      </c>
      <c r="H4915" s="11">
        <v>117</v>
      </c>
      <c r="I4915" s="11">
        <v>0</v>
      </c>
      <c r="J4915" s="11">
        <v>0</v>
      </c>
      <c r="K4915" s="11" t="s">
        <v>21</v>
      </c>
      <c r="L4915" s="7">
        <v>40609.043437500004</v>
      </c>
      <c r="M4915" s="12"/>
      <c r="N4915" s="12"/>
      <c r="O4915" s="10" t="str">
        <f>HYPERLINK("https://pbs.twimg.com/profile_images/673216512782688256/MWMPpBm__normal.jpg","View")</f>
        <v>View</v>
      </c>
      <c r="P4915" s="11"/>
    </row>
    <row r="4916" spans="1:16" ht="12.75" x14ac:dyDescent="0.35">
      <c r="A4916" s="7">
        <v>42483.050069444449</v>
      </c>
      <c r="B4916" s="8" t="str">
        <f>HYPERLINK("https://twitter.com/VWBeetleSales","@VWBeetleSales")</f>
        <v>@VWBeetleSales</v>
      </c>
      <c r="C4916" s="9" t="s">
        <v>127</v>
      </c>
      <c r="D4916" s="9" t="s">
        <v>11437</v>
      </c>
      <c r="E4916" s="10" t="str">
        <f>HYPERLINK("https://twitter.com/VWBeetleSales/status/723597770456633345","723597770456633345")</f>
        <v>723597770456633345</v>
      </c>
      <c r="F4916" s="10" t="s">
        <v>124</v>
      </c>
      <c r="G4916" s="11">
        <v>36</v>
      </c>
      <c r="H4916" s="11">
        <v>32</v>
      </c>
      <c r="I4916" s="11">
        <v>0</v>
      </c>
      <c r="J4916" s="11">
        <v>0</v>
      </c>
      <c r="K4916" s="11" t="s">
        <v>21</v>
      </c>
      <c r="L4916" s="7">
        <v>42427.019756944443</v>
      </c>
      <c r="M4916" s="12" t="s">
        <v>129</v>
      </c>
      <c r="N4916" s="12" t="s">
        <v>130</v>
      </c>
      <c r="O4916" s="10" t="str">
        <f>HYPERLINK("https://pbs.twimg.com/profile_images/703294545195307008/qeCvrX86_normal.jpg","View")</f>
        <v>View</v>
      </c>
      <c r="P4916" s="11"/>
    </row>
    <row r="4917" spans="1:16" ht="12.75" x14ac:dyDescent="0.35">
      <c r="A4917" s="7">
        <v>42483.050775462965</v>
      </c>
      <c r="B4917" s="8" t="str">
        <f>HYPERLINK("https://twitter.com/VWCamperSales","@VWCamperSales")</f>
        <v>@VWCamperSales</v>
      </c>
      <c r="C4917" s="9" t="s">
        <v>216</v>
      </c>
      <c r="D4917" s="9" t="s">
        <v>11438</v>
      </c>
      <c r="E4917" s="10" t="str">
        <f>HYPERLINK("https://twitter.com/VWCamperSales/status/723598024388136960","723598024388136960")</f>
        <v>723598024388136960</v>
      </c>
      <c r="F4917" s="10" t="s">
        <v>124</v>
      </c>
      <c r="G4917" s="11">
        <v>618</v>
      </c>
      <c r="H4917" s="11">
        <v>580</v>
      </c>
      <c r="I4917" s="11">
        <v>0</v>
      </c>
      <c r="J4917" s="11">
        <v>0</v>
      </c>
      <c r="K4917" s="11" t="s">
        <v>21</v>
      </c>
      <c r="L4917" s="7">
        <v>42215.98809027778</v>
      </c>
      <c r="M4917" s="12" t="s">
        <v>129</v>
      </c>
      <c r="N4917" s="12" t="s">
        <v>218</v>
      </c>
      <c r="O4917" s="10" t="str">
        <f>HYPERLINK("https://pbs.twimg.com/profile_images/627949001179037696/skEBkS05_normal.jpg","View")</f>
        <v>View</v>
      </c>
      <c r="P4917" s="11"/>
    </row>
    <row r="4918" spans="1:16" ht="12.75" x14ac:dyDescent="0.35">
      <c r="A4918" s="7">
        <v>42483.051342592589</v>
      </c>
      <c r="B4918" s="8" t="str">
        <f t="shared" ref="B4918:B4919" si="423">HYPERLINK("https://twitter.com/KINGDONALDTRUM1","@KINGDONALDTRUM1")</f>
        <v>@KINGDONALDTRUM1</v>
      </c>
      <c r="C4918" s="9" t="s">
        <v>11439</v>
      </c>
      <c r="D4918" s="9" t="s">
        <v>11440</v>
      </c>
      <c r="E4918" s="10" t="str">
        <f>HYPERLINK("https://twitter.com/KINGDONALDTRUM1/status/723598229967917057","723598229967917057")</f>
        <v>723598229967917057</v>
      </c>
      <c r="F4918" s="11" t="s">
        <v>48</v>
      </c>
      <c r="G4918" s="11">
        <v>1168</v>
      </c>
      <c r="H4918" s="11">
        <v>5003</v>
      </c>
      <c r="I4918" s="11">
        <v>1</v>
      </c>
      <c r="J4918" s="11">
        <v>0</v>
      </c>
      <c r="K4918" s="11" t="s">
        <v>21</v>
      </c>
      <c r="L4918" s="7">
        <v>42457.290844907402</v>
      </c>
      <c r="M4918" s="12" t="s">
        <v>3557</v>
      </c>
      <c r="N4918" s="12" t="s">
        <v>11441</v>
      </c>
      <c r="O4918" s="10" t="str">
        <f t="shared" ref="O4918:O4919" si="424">HYPERLINK("https://pbs.twimg.com/profile_images/714263929535537152/lJndNWrv_normal.jpg","View")</f>
        <v>View</v>
      </c>
      <c r="P4918" s="11"/>
    </row>
    <row r="4919" spans="1:16" ht="12.75" x14ac:dyDescent="0.35">
      <c r="A4919" s="7">
        <v>42483.051469907412</v>
      </c>
      <c r="B4919" s="8" t="str">
        <f t="shared" si="423"/>
        <v>@KINGDONALDTRUM1</v>
      </c>
      <c r="C4919" s="9" t="s">
        <v>11439</v>
      </c>
      <c r="D4919" s="9" t="s">
        <v>11442</v>
      </c>
      <c r="E4919" s="10" t="str">
        <f>HYPERLINK("https://twitter.com/KINGDONALDTRUM1/status/723598274129735680","723598274129735680")</f>
        <v>723598274129735680</v>
      </c>
      <c r="F4919" s="11" t="s">
        <v>48</v>
      </c>
      <c r="G4919" s="11">
        <v>1168</v>
      </c>
      <c r="H4919" s="11">
        <v>5003</v>
      </c>
      <c r="I4919" s="11">
        <v>1</v>
      </c>
      <c r="J4919" s="11">
        <v>0</v>
      </c>
      <c r="K4919" s="11" t="s">
        <v>21</v>
      </c>
      <c r="L4919" s="7">
        <v>42457.290844907402</v>
      </c>
      <c r="M4919" s="12" t="s">
        <v>3557</v>
      </c>
      <c r="N4919" s="12" t="s">
        <v>11441</v>
      </c>
      <c r="O4919" s="10" t="str">
        <f t="shared" si="424"/>
        <v>View</v>
      </c>
      <c r="P4919" s="11"/>
    </row>
    <row r="4920" spans="1:16" ht="12.75" x14ac:dyDescent="0.35">
      <c r="A4920" s="7">
        <v>42483.051759259259</v>
      </c>
      <c r="B4920" s="8" t="str">
        <f>HYPERLINK("https://twitter.com/bryanRis","@bryanRis")</f>
        <v>@bryanRis</v>
      </c>
      <c r="C4920" s="9" t="s">
        <v>11443</v>
      </c>
      <c r="D4920" s="9" t="s">
        <v>11444</v>
      </c>
      <c r="E4920" s="10" t="str">
        <f>HYPERLINK("https://twitter.com/bryanRis/status/723598382724448258","723598382724448258")</f>
        <v>723598382724448258</v>
      </c>
      <c r="F4920" s="11" t="s">
        <v>2206</v>
      </c>
      <c r="G4920" s="11">
        <v>5231</v>
      </c>
      <c r="H4920" s="11">
        <v>5221</v>
      </c>
      <c r="I4920" s="11">
        <v>0</v>
      </c>
      <c r="J4920" s="11">
        <v>0</v>
      </c>
      <c r="K4920" s="11" t="s">
        <v>21</v>
      </c>
      <c r="L4920" s="7">
        <v>41238.942048611112</v>
      </c>
      <c r="M4920" s="12" t="s">
        <v>11445</v>
      </c>
      <c r="N4920" s="12" t="s">
        <v>11446</v>
      </c>
      <c r="O4920" s="10" t="str">
        <f>HYPERLINK("https://pbs.twimg.com/profile_images/378800000333683495/1b735d7df89d5667eeeb3eaa48617f9d_normal.jpeg","View")</f>
        <v>View</v>
      </c>
      <c r="P4920" s="11"/>
    </row>
    <row r="4921" spans="1:16" ht="12.75" x14ac:dyDescent="0.35">
      <c r="A4921" s="7">
        <v>42483.052453703705</v>
      </c>
      <c r="B4921" s="8" t="str">
        <f>HYPERLINK("https://twitter.com/JrekAutocare","@JrekAutocare")</f>
        <v>@JrekAutocare</v>
      </c>
      <c r="C4921" s="9" t="s">
        <v>11447</v>
      </c>
      <c r="D4921" s="9" t="s">
        <v>11448</v>
      </c>
      <c r="E4921" s="10" t="str">
        <f>HYPERLINK("https://twitter.com/JrekAutocare/status/723598633476694017","723598633476694017")</f>
        <v>723598633476694017</v>
      </c>
      <c r="F4921" s="11" t="s">
        <v>152</v>
      </c>
      <c r="G4921" s="11">
        <v>785</v>
      </c>
      <c r="H4921" s="11">
        <v>612</v>
      </c>
      <c r="I4921" s="11">
        <v>0</v>
      </c>
      <c r="J4921" s="11">
        <v>0</v>
      </c>
      <c r="K4921" s="11" t="s">
        <v>21</v>
      </c>
      <c r="L4921" s="7">
        <v>40512.1252662037</v>
      </c>
      <c r="M4921" s="12" t="s">
        <v>11449</v>
      </c>
      <c r="N4921" s="12" t="s">
        <v>11450</v>
      </c>
      <c r="O4921" s="10" t="str">
        <f>HYPERLINK("https://pbs.twimg.com/profile_images/547784056167886848/5kirDLij_normal.png","View")</f>
        <v>View</v>
      </c>
      <c r="P4921" s="11"/>
    </row>
    <row r="4922" spans="1:16" ht="12.75" x14ac:dyDescent="0.35">
      <c r="A4922" s="7">
        <v>42483.052916666667</v>
      </c>
      <c r="B4922" s="8" t="str">
        <f>HYPERLINK("https://twitter.com/GeologyColin","@GeologyColin")</f>
        <v>@GeologyColin</v>
      </c>
      <c r="C4922" s="9" t="s">
        <v>11451</v>
      </c>
      <c r="D4922" s="9" t="s">
        <v>11452</v>
      </c>
      <c r="E4922" s="10" t="str">
        <f>HYPERLINK("https://twitter.com/GeologyColin/status/723598798816055296","723598798816055296")</f>
        <v>723598798816055296</v>
      </c>
      <c r="F4922" s="11" t="s">
        <v>43</v>
      </c>
      <c r="G4922" s="11">
        <v>227</v>
      </c>
      <c r="H4922" s="11">
        <v>1779</v>
      </c>
      <c r="I4922" s="11">
        <v>16</v>
      </c>
      <c r="J4922" s="11">
        <v>0</v>
      </c>
      <c r="K4922" s="11" t="s">
        <v>21</v>
      </c>
      <c r="L4922" s="7">
        <v>41730.033831018518</v>
      </c>
      <c r="M4922" s="12"/>
      <c r="N4922" s="12" t="s">
        <v>11453</v>
      </c>
      <c r="O4922" s="10" t="str">
        <f>HYPERLINK("https://pbs.twimg.com/profile_images/633033646891372544/JCCEg4t2_normal.jpg","View")</f>
        <v>View</v>
      </c>
      <c r="P4922" s="11"/>
    </row>
    <row r="4923" spans="1:16" ht="12.75" x14ac:dyDescent="0.35">
      <c r="A4923" s="7">
        <v>42483.053067129629</v>
      </c>
      <c r="B4923" s="8" t="str">
        <f>HYPERLINK("https://twitter.com/CatsandCars007","@CatsandCars007")</f>
        <v>@CatsandCars007</v>
      </c>
      <c r="C4923" s="9" t="s">
        <v>11454</v>
      </c>
      <c r="D4923" s="9" t="s">
        <v>11455</v>
      </c>
      <c r="E4923" s="10" t="str">
        <f>HYPERLINK("https://twitter.com/CatsandCars007/status/723598854797455360","723598854797455360")</f>
        <v>723598854797455360</v>
      </c>
      <c r="F4923" s="11" t="s">
        <v>43</v>
      </c>
      <c r="G4923" s="11">
        <v>83</v>
      </c>
      <c r="H4923" s="11">
        <v>334</v>
      </c>
      <c r="I4923" s="11">
        <v>0</v>
      </c>
      <c r="J4923" s="11">
        <v>0</v>
      </c>
      <c r="K4923" s="11" t="s">
        <v>21</v>
      </c>
      <c r="L4923" s="7">
        <v>42418.323657407411</v>
      </c>
      <c r="M4923" s="12" t="s">
        <v>11456</v>
      </c>
      <c r="N4923" s="12" t="s">
        <v>11457</v>
      </c>
      <c r="O4923" s="10" t="str">
        <f>HYPERLINK("https://pbs.twimg.com/profile_images/700149442612047873/3AEJw4UZ_normal.jpg","View")</f>
        <v>View</v>
      </c>
      <c r="P4923" s="11"/>
    </row>
    <row r="4924" spans="1:16" ht="12.75" x14ac:dyDescent="0.35">
      <c r="A4924" s="7">
        <v>42483.053298611107</v>
      </c>
      <c r="B4924" s="8" t="str">
        <f>HYPERLINK("https://twitter.com/DeenCarp","@DeenCarp")</f>
        <v>@DeenCarp</v>
      </c>
      <c r="C4924" s="9" t="s">
        <v>11458</v>
      </c>
      <c r="D4924" s="9" t="s">
        <v>10808</v>
      </c>
      <c r="E4924" s="10" t="str">
        <f>HYPERLINK("https://twitter.com/DeenCarp/status/723598940365578245","723598940365578245")</f>
        <v>723598940365578245</v>
      </c>
      <c r="F4924" s="11" t="s">
        <v>48</v>
      </c>
      <c r="G4924" s="11">
        <v>396</v>
      </c>
      <c r="H4924" s="11">
        <v>228</v>
      </c>
      <c r="I4924" s="11">
        <v>41</v>
      </c>
      <c r="J4924" s="11">
        <v>0</v>
      </c>
      <c r="K4924" s="11" t="s">
        <v>21</v>
      </c>
      <c r="L4924" s="7">
        <v>40904.972685185188</v>
      </c>
      <c r="M4924" s="12" t="s">
        <v>11459</v>
      </c>
      <c r="N4924" s="12" t="s">
        <v>11460</v>
      </c>
      <c r="O4924" s="10" t="str">
        <f>HYPERLINK("https://pbs.twimg.com/profile_images/714212857613836289/Ote1JoB5_normal.jpg","View")</f>
        <v>View</v>
      </c>
      <c r="P4924" s="11"/>
    </row>
    <row r="4925" spans="1:16" ht="12.75" x14ac:dyDescent="0.35">
      <c r="A4925" s="7">
        <v>42483.053344907406</v>
      </c>
      <c r="B4925" s="8" t="str">
        <f>HYPERLINK("https://twitter.com/GeologyColin","@GeologyColin")</f>
        <v>@GeologyColin</v>
      </c>
      <c r="C4925" s="9" t="s">
        <v>11451</v>
      </c>
      <c r="D4925" s="9" t="s">
        <v>11461</v>
      </c>
      <c r="E4925" s="10" t="str">
        <f>HYPERLINK("https://twitter.com/GeologyColin/status/723598956060504065","723598956060504065")</f>
        <v>723598956060504065</v>
      </c>
      <c r="F4925" s="11" t="s">
        <v>43</v>
      </c>
      <c r="G4925" s="11">
        <v>227</v>
      </c>
      <c r="H4925" s="11">
        <v>1779</v>
      </c>
      <c r="I4925" s="11">
        <v>16</v>
      </c>
      <c r="J4925" s="11">
        <v>0</v>
      </c>
      <c r="K4925" s="11" t="s">
        <v>21</v>
      </c>
      <c r="L4925" s="7">
        <v>41730.033831018518</v>
      </c>
      <c r="M4925" s="12"/>
      <c r="N4925" s="12" t="s">
        <v>11453</v>
      </c>
      <c r="O4925" s="10" t="str">
        <f>HYPERLINK("https://pbs.twimg.com/profile_images/633033646891372544/JCCEg4t2_normal.jpg","View")</f>
        <v>View</v>
      </c>
      <c r="P4925" s="11"/>
    </row>
    <row r="4926" spans="1:16" ht="12.75" x14ac:dyDescent="0.35">
      <c r="A4926" s="7">
        <v>42483.053738425922</v>
      </c>
      <c r="B4926" s="8" t="str">
        <f>HYPERLINK("https://twitter.com/LeventResul","@LeventResul")</f>
        <v>@LeventResul</v>
      </c>
      <c r="C4926" s="9" t="s">
        <v>11462</v>
      </c>
      <c r="D4926" s="9" t="s">
        <v>11463</v>
      </c>
      <c r="E4926" s="10" t="str">
        <f>HYPERLINK("https://twitter.com/LeventResul/status/723599096930508801","723599096930508801")</f>
        <v>723599096930508801</v>
      </c>
      <c r="F4926" s="11" t="s">
        <v>152</v>
      </c>
      <c r="G4926" s="11">
        <v>3887</v>
      </c>
      <c r="H4926" s="11">
        <v>4617</v>
      </c>
      <c r="I4926" s="11">
        <v>0</v>
      </c>
      <c r="J4926" s="11">
        <v>0</v>
      </c>
      <c r="K4926" s="11" t="s">
        <v>21</v>
      </c>
      <c r="L4926" s="7">
        <v>39877.253888888888</v>
      </c>
      <c r="M4926" s="12"/>
      <c r="N4926" s="12" t="s">
        <v>11464</v>
      </c>
      <c r="O4926" s="10" t="str">
        <f>HYPERLINK("https://pbs.twimg.com/profile_images/3048824152/ca9d1b4730013b31b4b11191e4da34cf_normal.jpeg","View")</f>
        <v>View</v>
      </c>
      <c r="P4926" s="11"/>
    </row>
    <row r="4927" spans="1:16" ht="12.75" x14ac:dyDescent="0.35">
      <c r="A4927" s="7">
        <v>42483.053807870368</v>
      </c>
      <c r="B4927" s="8" t="str">
        <f>HYPERLINK("https://twitter.com/GeologyColin","@GeologyColin")</f>
        <v>@GeologyColin</v>
      </c>
      <c r="C4927" s="9" t="s">
        <v>11451</v>
      </c>
      <c r="D4927" s="9" t="s">
        <v>11465</v>
      </c>
      <c r="E4927" s="10" t="str">
        <f>HYPERLINK("https://twitter.com/GeologyColin/status/723599122465349632","723599122465349632")</f>
        <v>723599122465349632</v>
      </c>
      <c r="F4927" s="11" t="s">
        <v>43</v>
      </c>
      <c r="G4927" s="11">
        <v>227</v>
      </c>
      <c r="H4927" s="11">
        <v>1779</v>
      </c>
      <c r="I4927" s="11">
        <v>5</v>
      </c>
      <c r="J4927" s="11">
        <v>0</v>
      </c>
      <c r="K4927" s="11" t="s">
        <v>21</v>
      </c>
      <c r="L4927" s="7">
        <v>41730.033831018518</v>
      </c>
      <c r="M4927" s="12"/>
      <c r="N4927" s="12" t="s">
        <v>11453</v>
      </c>
      <c r="O4927" s="10" t="str">
        <f>HYPERLINK("https://pbs.twimg.com/profile_images/633033646891372544/JCCEg4t2_normal.jpg","View")</f>
        <v>View</v>
      </c>
      <c r="P4927" s="11"/>
    </row>
    <row r="4928" spans="1:16" ht="12.75" x14ac:dyDescent="0.35">
      <c r="A4928" s="7">
        <v>42483.053854166668</v>
      </c>
      <c r="B4928" s="8" t="str">
        <f>HYPERLINK("https://twitter.com/SJeanWrites","@SJeanWrites")</f>
        <v>@SJeanWrites</v>
      </c>
      <c r="C4928" s="9" t="s">
        <v>11466</v>
      </c>
      <c r="D4928" s="9" t="s">
        <v>11467</v>
      </c>
      <c r="E4928" s="10" t="str">
        <f>HYPERLINK("https://twitter.com/SJeanWrites/status/723599141411127297","723599141411127297")</f>
        <v>723599141411127297</v>
      </c>
      <c r="F4928" s="11" t="s">
        <v>20</v>
      </c>
      <c r="G4928" s="11">
        <v>2218</v>
      </c>
      <c r="H4928" s="11">
        <v>530</v>
      </c>
      <c r="I4928" s="11">
        <v>0</v>
      </c>
      <c r="J4928" s="11">
        <v>1</v>
      </c>
      <c r="K4928" s="11" t="s">
        <v>21</v>
      </c>
      <c r="L4928" s="7">
        <v>39995.24428240741</v>
      </c>
      <c r="M4928" s="12" t="s">
        <v>11468</v>
      </c>
      <c r="N4928" s="12" t="s">
        <v>11469</v>
      </c>
      <c r="O4928" s="10" t="str">
        <f>HYPERLINK("https://pbs.twimg.com/profile_images/696171758877999104/iAcEEMnX_normal.jpg","View")</f>
        <v>View</v>
      </c>
      <c r="P4928" s="11"/>
    </row>
    <row r="4929" spans="1:16" ht="12.75" x14ac:dyDescent="0.35">
      <c r="A4929" s="7">
        <v>42483.054039351853</v>
      </c>
      <c r="B4929" s="8" t="str">
        <f>HYPERLINK("https://twitter.com/GraLacey","@GraLacey")</f>
        <v>@GraLacey</v>
      </c>
      <c r="C4929" s="9" t="s">
        <v>11470</v>
      </c>
      <c r="D4929" s="9" t="s">
        <v>11471</v>
      </c>
      <c r="E4929" s="10" t="str">
        <f>HYPERLINK("https://twitter.com/GraLacey/status/723599205663686657","723599205663686657")</f>
        <v>723599205663686657</v>
      </c>
      <c r="F4929" s="11" t="s">
        <v>114</v>
      </c>
      <c r="G4929" s="11">
        <v>255</v>
      </c>
      <c r="H4929" s="11">
        <v>607</v>
      </c>
      <c r="I4929" s="11">
        <v>0</v>
      </c>
      <c r="J4929" s="11">
        <v>0</v>
      </c>
      <c r="K4929" s="11" t="s">
        <v>21</v>
      </c>
      <c r="L4929" s="7">
        <v>40686.75309027778</v>
      </c>
      <c r="M4929" s="12"/>
      <c r="N4929" s="12" t="s">
        <v>11472</v>
      </c>
      <c r="O4929" s="10" t="str">
        <f>HYPERLINK("https://pbs.twimg.com/profile_images/626745382035423232/nwofYmP7_normal.jpg","View")</f>
        <v>View</v>
      </c>
      <c r="P4929" s="11"/>
    </row>
    <row r="4930" spans="1:16" ht="12.75" x14ac:dyDescent="0.35">
      <c r="A4930" s="7">
        <v>42483.054293981477</v>
      </c>
      <c r="B4930" s="8" t="str">
        <f>HYPERLINK("https://twitter.com/BASFCorporation","@BASFCorporation")</f>
        <v>@BASFCorporation</v>
      </c>
      <c r="C4930" s="9" t="s">
        <v>11473</v>
      </c>
      <c r="D4930" s="9" t="s">
        <v>6533</v>
      </c>
      <c r="E4930" s="10" t="str">
        <f>HYPERLINK("https://twitter.com/BASFCorporation/status/723599300647878657","723599300647878657")</f>
        <v>723599300647878657</v>
      </c>
      <c r="F4930" s="11" t="s">
        <v>43</v>
      </c>
      <c r="G4930" s="11">
        <v>11839</v>
      </c>
      <c r="H4930" s="11">
        <v>1329</v>
      </c>
      <c r="I4930" s="11">
        <v>6</v>
      </c>
      <c r="J4930" s="11">
        <v>0</v>
      </c>
      <c r="K4930" s="11" t="s">
        <v>21</v>
      </c>
      <c r="L4930" s="7">
        <v>39981.190983796296</v>
      </c>
      <c r="M4930" s="12" t="s">
        <v>11474</v>
      </c>
      <c r="N4930" s="12" t="s">
        <v>11475</v>
      </c>
      <c r="O4930" s="10" t="str">
        <f>HYPERLINK("https://pbs.twimg.com/profile_images/684005048993640448/DxFbN2Vi_normal.png","View")</f>
        <v>View</v>
      </c>
      <c r="P4930" s="11"/>
    </row>
    <row r="4931" spans="1:16" ht="12.75" x14ac:dyDescent="0.35">
      <c r="A4931" s="7">
        <v>42483.055439814816</v>
      </c>
      <c r="B4931" s="8" t="str">
        <f>HYPERLINK("https://twitter.com/RecorderTweets","@RecorderTweets")</f>
        <v>@RecorderTweets</v>
      </c>
      <c r="C4931" s="9" t="s">
        <v>4361</v>
      </c>
      <c r="D4931" s="9" t="s">
        <v>11476</v>
      </c>
      <c r="E4931" s="10" t="str">
        <f>HYPERLINK("https://twitter.com/RecorderTweets/status/723599713791037440","723599713791037440")</f>
        <v>723599713791037440</v>
      </c>
      <c r="F4931" s="11" t="s">
        <v>43</v>
      </c>
      <c r="G4931" s="11">
        <v>4901</v>
      </c>
      <c r="H4931" s="11">
        <v>435</v>
      </c>
      <c r="I4931" s="11">
        <v>0</v>
      </c>
      <c r="J4931" s="11">
        <v>0</v>
      </c>
      <c r="K4931" s="11" t="s">
        <v>21</v>
      </c>
      <c r="L4931" s="7">
        <v>39837.240289351852</v>
      </c>
      <c r="M4931" s="12" t="s">
        <v>3270</v>
      </c>
      <c r="N4931" s="12" t="s">
        <v>4363</v>
      </c>
      <c r="O4931" s="10" t="str">
        <f>HYPERLINK("https://pbs.twimg.com/profile_images/572482317193474048/RjdWJzV5_normal.png","View")</f>
        <v>View</v>
      </c>
      <c r="P4931" s="11"/>
    </row>
    <row r="4932" spans="1:16" ht="12.75" x14ac:dyDescent="0.35">
      <c r="A4932" s="7">
        <v>42483.055578703701</v>
      </c>
      <c r="B4932" s="8" t="str">
        <f>HYPERLINK("https://twitter.com/Ee_Batesy","@Ee_Batesy")</f>
        <v>@Ee_Batesy</v>
      </c>
      <c r="C4932" s="9" t="s">
        <v>11477</v>
      </c>
      <c r="D4932" s="9" t="s">
        <v>10837</v>
      </c>
      <c r="E4932" s="10" t="str">
        <f>HYPERLINK("https://twitter.com/Ee_Batesy/status/723599763573231616","723599763573231616")</f>
        <v>723599763573231616</v>
      </c>
      <c r="F4932" s="11" t="s">
        <v>20</v>
      </c>
      <c r="G4932" s="11">
        <v>433</v>
      </c>
      <c r="H4932" s="11">
        <v>552</v>
      </c>
      <c r="I4932" s="11">
        <v>14</v>
      </c>
      <c r="J4932" s="11">
        <v>0</v>
      </c>
      <c r="K4932" s="11" t="s">
        <v>21</v>
      </c>
      <c r="L4932" s="7">
        <v>40790.046412037038</v>
      </c>
      <c r="M4932" s="12" t="s">
        <v>1072</v>
      </c>
      <c r="N4932" s="12" t="s">
        <v>11478</v>
      </c>
      <c r="O4932" s="10" t="str">
        <f>HYPERLINK("https://pbs.twimg.com/profile_images/696836114716426241/gyTQKlir_normal.jpg","View")</f>
        <v>View</v>
      </c>
      <c r="P4932" s="11"/>
    </row>
    <row r="4933" spans="1:16" ht="12.75" x14ac:dyDescent="0.35">
      <c r="A4933" s="7">
        <v>42483.056597222225</v>
      </c>
      <c r="B4933" s="8" t="str">
        <f>HYPERLINK("https://twitter.com/MikeSoraghan","@MikeSoraghan")</f>
        <v>@MikeSoraghan</v>
      </c>
      <c r="C4933" s="9" t="s">
        <v>11479</v>
      </c>
      <c r="D4933" s="9" t="s">
        <v>11480</v>
      </c>
      <c r="E4933" s="10" t="str">
        <f>HYPERLINK("https://twitter.com/MikeSoraghan/status/723600132831367168","723600132831367168")</f>
        <v>723600132831367168</v>
      </c>
      <c r="F4933" s="11" t="s">
        <v>63</v>
      </c>
      <c r="G4933" s="11">
        <v>2180</v>
      </c>
      <c r="H4933" s="11">
        <v>537</v>
      </c>
      <c r="I4933" s="11">
        <v>1</v>
      </c>
      <c r="J4933" s="11">
        <v>0</v>
      </c>
      <c r="K4933" s="11" t="s">
        <v>21</v>
      </c>
      <c r="L4933" s="7">
        <v>39649.311331018514</v>
      </c>
      <c r="M4933" s="12" t="s">
        <v>3587</v>
      </c>
      <c r="N4933" s="12" t="s">
        <v>11481</v>
      </c>
      <c r="O4933" s="10" t="str">
        <f>HYPERLINK("https://pbs.twimg.com/profile_images/2645630553/fbdcd569c7cbd83bba874e8d65c5b303_normal.jpeg","View")</f>
        <v>View</v>
      </c>
      <c r="P4933" s="11"/>
    </row>
    <row r="4934" spans="1:16" ht="12.75" x14ac:dyDescent="0.35">
      <c r="A4934" s="7">
        <v>42483.056909722218</v>
      </c>
      <c r="B4934" s="8" t="str">
        <f>HYPERLINK("https://twitter.com/macbeth1208","@macbeth1208")</f>
        <v>@macbeth1208</v>
      </c>
      <c r="C4934" s="9" t="s">
        <v>11482</v>
      </c>
      <c r="D4934" s="9" t="s">
        <v>11483</v>
      </c>
      <c r="E4934" s="10" t="str">
        <f>HYPERLINK("https://twitter.com/macbeth1208/status/723600248812261376","723600248812261376")</f>
        <v>723600248812261376</v>
      </c>
      <c r="F4934" s="11" t="s">
        <v>114</v>
      </c>
      <c r="G4934" s="11">
        <v>355</v>
      </c>
      <c r="H4934" s="11">
        <v>385</v>
      </c>
      <c r="I4934" s="11">
        <v>0</v>
      </c>
      <c r="J4934" s="11">
        <v>0</v>
      </c>
      <c r="K4934" s="11" t="s">
        <v>21</v>
      </c>
      <c r="L4934" s="7">
        <v>39646.977395833332</v>
      </c>
      <c r="M4934" s="12" t="s">
        <v>968</v>
      </c>
      <c r="N4934" s="12" t="s">
        <v>11484</v>
      </c>
      <c r="O4934" s="10" t="str">
        <f>HYPERLINK("https://pbs.twimg.com/profile_images/685540223493615616/UVdJ_S7d_normal.jpg","View")</f>
        <v>View</v>
      </c>
      <c r="P4934" s="11"/>
    </row>
    <row r="4935" spans="1:16" ht="12.75" x14ac:dyDescent="0.35">
      <c r="A4935" s="7">
        <v>42483.057557870372</v>
      </c>
      <c r="B4935" s="8" t="str">
        <f>HYPERLINK("https://twitter.com/teknikensvarld","@teknikensvarld")</f>
        <v>@teknikensvarld</v>
      </c>
      <c r="C4935" s="9" t="s">
        <v>11485</v>
      </c>
      <c r="D4935" s="9" t="s">
        <v>11486</v>
      </c>
      <c r="E4935" s="10" t="str">
        <f>HYPERLINK("https://twitter.com/teknikensvarld/status/723600481952608257","723600481952608257")</f>
        <v>723600481952608257</v>
      </c>
      <c r="F4935" s="11" t="s">
        <v>43</v>
      </c>
      <c r="G4935" s="11">
        <v>1461</v>
      </c>
      <c r="H4935" s="11">
        <v>0</v>
      </c>
      <c r="I4935" s="11">
        <v>0</v>
      </c>
      <c r="J4935" s="11">
        <v>0</v>
      </c>
      <c r="K4935" s="11" t="s">
        <v>21</v>
      </c>
      <c r="L4935" s="7">
        <v>39972.685289351852</v>
      </c>
      <c r="M4935" s="12" t="s">
        <v>2460</v>
      </c>
      <c r="N4935" s="12" t="s">
        <v>11487</v>
      </c>
      <c r="O4935" s="10" t="str">
        <f>HYPERLINK("https://pbs.twimg.com/profile_images/713554103/logo-twitter_normal.jpg","View")</f>
        <v>View</v>
      </c>
      <c r="P4935" s="11"/>
    </row>
    <row r="4936" spans="1:16" ht="12.75" x14ac:dyDescent="0.35">
      <c r="A4936" s="7">
        <v>42483.057662037041</v>
      </c>
      <c r="B4936" s="8" t="str">
        <f>HYPERLINK("https://twitter.com/madmark31","@madmark31")</f>
        <v>@madmark31</v>
      </c>
      <c r="C4936" s="9" t="s">
        <v>11488</v>
      </c>
      <c r="D4936" s="9" t="s">
        <v>11489</v>
      </c>
      <c r="E4936" s="10" t="str">
        <f>HYPERLINK("https://twitter.com/madmark31/status/723600521425235969","723600521425235969")</f>
        <v>723600521425235969</v>
      </c>
      <c r="F4936" s="11" t="s">
        <v>114</v>
      </c>
      <c r="G4936" s="11">
        <v>32</v>
      </c>
      <c r="H4936" s="11">
        <v>338</v>
      </c>
      <c r="I4936" s="11">
        <v>0</v>
      </c>
      <c r="J4936" s="11">
        <v>0</v>
      </c>
      <c r="K4936" s="11" t="s">
        <v>21</v>
      </c>
      <c r="L4936" s="7">
        <v>40126.139907407407</v>
      </c>
      <c r="M4936" s="12" t="s">
        <v>11490</v>
      </c>
      <c r="N4936" s="12"/>
      <c r="O4936" s="10" t="str">
        <f>HYPERLINK("https://pbs.twimg.com/profile_images/1063894323/madmark31_normal.jpg","View")</f>
        <v>View</v>
      </c>
      <c r="P4936" s="11"/>
    </row>
    <row r="4937" spans="1:16" ht="12.75" x14ac:dyDescent="0.35">
      <c r="A4937" s="7">
        <v>42483.057812500003</v>
      </c>
      <c r="B4937" s="8" t="str">
        <f>HYPERLINK("https://twitter.com/dubengeldu","@dubengeldu")</f>
        <v>@dubengeldu</v>
      </c>
      <c r="C4937" s="9" t="s">
        <v>7999</v>
      </c>
      <c r="D4937" s="9" t="s">
        <v>11491</v>
      </c>
      <c r="E4937" s="10" t="str">
        <f>HYPERLINK("https://twitter.com/dubengeldu/status/723600574516715520","723600574516715520")</f>
        <v>723600574516715520</v>
      </c>
      <c r="F4937" s="11" t="s">
        <v>2154</v>
      </c>
      <c r="G4937" s="11">
        <v>857</v>
      </c>
      <c r="H4937" s="11">
        <v>2365</v>
      </c>
      <c r="I4937" s="11">
        <v>0</v>
      </c>
      <c r="J4937" s="11">
        <v>0</v>
      </c>
      <c r="K4937" s="11" t="s">
        <v>21</v>
      </c>
      <c r="L4937" s="7">
        <v>41586.205046296294</v>
      </c>
      <c r="M4937" s="12" t="s">
        <v>8001</v>
      </c>
      <c r="N4937" s="12" t="s">
        <v>8002</v>
      </c>
      <c r="O4937" s="10" t="str">
        <f>HYPERLINK("https://pbs.twimg.com/profile_images/680375152236982273/xNdXI6IP_normal.jpg","View")</f>
        <v>View</v>
      </c>
      <c r="P4937" s="11"/>
    </row>
    <row r="4938" spans="1:16" ht="12.75" x14ac:dyDescent="0.35">
      <c r="A4938" s="7">
        <v>42483.057858796295</v>
      </c>
      <c r="B4938" s="8" t="str">
        <f>HYPERLINK("https://twitter.com/Mazzariello85","@Mazzariello85")</f>
        <v>@Mazzariello85</v>
      </c>
      <c r="C4938" s="9" t="s">
        <v>11492</v>
      </c>
      <c r="D4938" s="9" t="s">
        <v>11493</v>
      </c>
      <c r="E4938" s="10" t="str">
        <f>HYPERLINK("https://twitter.com/Mazzariello85/status/723600589389750273","723600589389750273")</f>
        <v>723600589389750273</v>
      </c>
      <c r="F4938" s="11" t="s">
        <v>20</v>
      </c>
      <c r="G4938" s="11">
        <v>44</v>
      </c>
      <c r="H4938" s="11">
        <v>59</v>
      </c>
      <c r="I4938" s="11">
        <v>0</v>
      </c>
      <c r="J4938" s="11">
        <v>0</v>
      </c>
      <c r="K4938" s="11" t="s">
        <v>21</v>
      </c>
      <c r="L4938" s="7">
        <v>42347.151296296295</v>
      </c>
      <c r="M4938" s="12" t="s">
        <v>11494</v>
      </c>
      <c r="N4938" s="12" t="s">
        <v>11495</v>
      </c>
      <c r="O4938" s="10" t="str">
        <f>HYPERLINK("https://pbs.twimg.com/profile_images/674351179346874368/ndLl0nUN_normal.jpg","View")</f>
        <v>View</v>
      </c>
      <c r="P4938" s="11"/>
    </row>
    <row r="4939" spans="1:16" ht="12.75" x14ac:dyDescent="0.35">
      <c r="A4939" s="7">
        <v>42483.059074074074</v>
      </c>
      <c r="B4939" s="8" t="str">
        <f>HYPERLINK("https://twitter.com/splittywedding","@splittywedding")</f>
        <v>@splittywedding</v>
      </c>
      <c r="C4939" s="9" t="s">
        <v>11496</v>
      </c>
      <c r="D4939" s="9" t="s">
        <v>11497</v>
      </c>
      <c r="E4939" s="10" t="str">
        <f>HYPERLINK("https://twitter.com/splittywedding/status/723601030433353728","723601030433353728")</f>
        <v>723601030433353728</v>
      </c>
      <c r="F4939" s="11" t="s">
        <v>20</v>
      </c>
      <c r="G4939" s="11">
        <v>1646</v>
      </c>
      <c r="H4939" s="11">
        <v>1878</v>
      </c>
      <c r="I4939" s="11">
        <v>0</v>
      </c>
      <c r="J4939" s="11">
        <v>0</v>
      </c>
      <c r="K4939" s="11" t="s">
        <v>21</v>
      </c>
      <c r="L4939" s="7">
        <v>41340.066342592589</v>
      </c>
      <c r="M4939" s="12" t="s">
        <v>11498</v>
      </c>
      <c r="N4939" s="12" t="s">
        <v>11499</v>
      </c>
      <c r="O4939" s="10" t="str">
        <f>HYPERLINK("https://pbs.twimg.com/profile_images/669286298331516928/9SrFUAgy_normal.jpg","View")</f>
        <v>View</v>
      </c>
      <c r="P4939" s="11"/>
    </row>
    <row r="4940" spans="1:16" ht="12.75" x14ac:dyDescent="0.35">
      <c r="A4940" s="7">
        <v>42483.05982638889</v>
      </c>
      <c r="B4940" s="8" t="str">
        <f>HYPERLINK("https://twitter.com/VWCamperSales","@VWCamperSales")</f>
        <v>@VWCamperSales</v>
      </c>
      <c r="C4940" s="9" t="s">
        <v>216</v>
      </c>
      <c r="D4940" s="9" t="s">
        <v>11500</v>
      </c>
      <c r="E4940" s="10" t="str">
        <f>HYPERLINK("https://twitter.com/VWCamperSales/status/723601304975601664","723601304975601664")</f>
        <v>723601304975601664</v>
      </c>
      <c r="F4940" s="10" t="s">
        <v>124</v>
      </c>
      <c r="G4940" s="11">
        <v>618</v>
      </c>
      <c r="H4940" s="11">
        <v>580</v>
      </c>
      <c r="I4940" s="11">
        <v>0</v>
      </c>
      <c r="J4940" s="11">
        <v>0</v>
      </c>
      <c r="K4940" s="11" t="s">
        <v>21</v>
      </c>
      <c r="L4940" s="7">
        <v>42215.98809027778</v>
      </c>
      <c r="M4940" s="12" t="s">
        <v>129</v>
      </c>
      <c r="N4940" s="12" t="s">
        <v>218</v>
      </c>
      <c r="O4940" s="10" t="str">
        <f>HYPERLINK("https://pbs.twimg.com/profile_images/627949001179037696/skEBkS05_normal.jpg","View")</f>
        <v>View</v>
      </c>
      <c r="P4940" s="11"/>
    </row>
    <row r="4941" spans="1:16" ht="12.75" x14ac:dyDescent="0.35">
      <c r="A4941" s="7">
        <v>42483.060717592598</v>
      </c>
      <c r="B4941" s="8" t="str">
        <f>HYPERLINK("https://twitter.com/walter_johnson1","@walter_johnson1")</f>
        <v>@walter_johnson1</v>
      </c>
      <c r="C4941" s="9" t="s">
        <v>11501</v>
      </c>
      <c r="D4941" s="9" t="s">
        <v>11502</v>
      </c>
      <c r="E4941" s="10" t="str">
        <f>HYPERLINK("https://twitter.com/walter_johnson1/status/723601627094106112","723601627094106112")</f>
        <v>723601627094106112</v>
      </c>
      <c r="F4941" s="11" t="s">
        <v>20</v>
      </c>
      <c r="G4941" s="11">
        <v>84</v>
      </c>
      <c r="H4941" s="11">
        <v>186</v>
      </c>
      <c r="I4941" s="11">
        <v>1</v>
      </c>
      <c r="J4941" s="11">
        <v>0</v>
      </c>
      <c r="K4941" s="11" t="s">
        <v>21</v>
      </c>
      <c r="L4941" s="7">
        <v>41369.234351851854</v>
      </c>
      <c r="M4941" s="12"/>
      <c r="N4941" s="12"/>
      <c r="O4941" s="10" t="str">
        <f>HYPERLINK("https://pbs.twimg.com/profile_images/718427973179809792/7CfvNEEr_normal.jpg","View")</f>
        <v>View</v>
      </c>
      <c r="P4941" s="11"/>
    </row>
    <row r="4942" spans="1:16" ht="12.75" x14ac:dyDescent="0.35">
      <c r="A4942" s="7">
        <v>42483.060856481483</v>
      </c>
      <c r="B4942" s="8" t="str">
        <f>HYPERLINK("https://twitter.com/espasa","@espasa")</f>
        <v>@espasa</v>
      </c>
      <c r="C4942" s="9" t="s">
        <v>11503</v>
      </c>
      <c r="D4942" s="9" t="s">
        <v>11504</v>
      </c>
      <c r="E4942" s="10" t="str">
        <f>HYPERLINK("https://twitter.com/espasa/status/723601675991298049","723601675991298049")</f>
        <v>723601675991298049</v>
      </c>
      <c r="F4942" s="11" t="s">
        <v>43</v>
      </c>
      <c r="G4942" s="11">
        <v>718</v>
      </c>
      <c r="H4942" s="11">
        <v>213</v>
      </c>
      <c r="I4942" s="11">
        <v>0</v>
      </c>
      <c r="J4942" s="11">
        <v>0</v>
      </c>
      <c r="K4942" s="11" t="s">
        <v>21</v>
      </c>
      <c r="L4942" s="7">
        <v>39965.779004629629</v>
      </c>
      <c r="M4942" s="12" t="s">
        <v>866</v>
      </c>
      <c r="N4942" s="12" t="s">
        <v>11505</v>
      </c>
      <c r="O4942" s="10" t="str">
        <f>HYPERLINK("https://pbs.twimg.com/profile_images/709395606993768449/jPD2x7BG_normal.jpg","View")</f>
        <v>View</v>
      </c>
      <c r="P4942" s="11"/>
    </row>
    <row r="4943" spans="1:16" ht="12.75" x14ac:dyDescent="0.35">
      <c r="A4943" s="7">
        <v>42483.061122685191</v>
      </c>
      <c r="B4943" s="8" t="str">
        <f>HYPERLINK("https://twitter.com/EnthusiastView","@EnthusiastView")</f>
        <v>@EnthusiastView</v>
      </c>
      <c r="C4943" s="9" t="s">
        <v>5386</v>
      </c>
      <c r="D4943" s="9" t="s">
        <v>11506</v>
      </c>
      <c r="E4943" s="10" t="str">
        <f>HYPERLINK("https://twitter.com/EnthusiastView/status/723601774720905216","723601774720905216")</f>
        <v>723601774720905216</v>
      </c>
      <c r="F4943" s="11" t="s">
        <v>43</v>
      </c>
      <c r="G4943" s="11">
        <v>87</v>
      </c>
      <c r="H4943" s="11">
        <v>285</v>
      </c>
      <c r="I4943" s="11">
        <v>0</v>
      </c>
      <c r="J4943" s="11">
        <v>0</v>
      </c>
      <c r="K4943" s="11" t="s">
        <v>21</v>
      </c>
      <c r="L4943" s="7">
        <v>42457.483171296291</v>
      </c>
      <c r="M4943" s="12" t="s">
        <v>209</v>
      </c>
      <c r="N4943" s="12" t="s">
        <v>5388</v>
      </c>
      <c r="O4943" s="10" t="str">
        <f>HYPERLINK("https://pbs.twimg.com/profile_images/717113433267638272/6igZPcX4_normal.jpg","View")</f>
        <v>View</v>
      </c>
      <c r="P4943" s="11"/>
    </row>
    <row r="4944" spans="1:16" ht="12.75" x14ac:dyDescent="0.35">
      <c r="A4944" s="7">
        <v>42483.061689814815</v>
      </c>
      <c r="B4944" s="8" t="str">
        <f>HYPERLINK("https://twitter.com/bjjarenaSA","@bjjarenaSA")</f>
        <v>@bjjarenaSA</v>
      </c>
      <c r="C4944" s="9" t="s">
        <v>11507</v>
      </c>
      <c r="D4944" s="9" t="s">
        <v>11508</v>
      </c>
      <c r="E4944" s="10" t="str">
        <f>HYPERLINK("https://twitter.com/bjjarenaSA/status/723601979914772483","723601979914772483")</f>
        <v>723601979914772483</v>
      </c>
      <c r="F4944" s="11" t="s">
        <v>43</v>
      </c>
      <c r="G4944" s="11">
        <v>7</v>
      </c>
      <c r="H4944" s="11">
        <v>30</v>
      </c>
      <c r="I4944" s="11">
        <v>1</v>
      </c>
      <c r="J4944" s="11">
        <v>0</v>
      </c>
      <c r="K4944" s="11" t="s">
        <v>21</v>
      </c>
      <c r="L4944" s="7">
        <v>42297.168437500004</v>
      </c>
      <c r="M4944" s="12" t="s">
        <v>11509</v>
      </c>
      <c r="N4944" s="12"/>
      <c r="O4944" s="10" t="str">
        <f>HYPERLINK("https://pbs.twimg.com/profile_images/656932194305245184/iQCtXaXg_normal.png","View")</f>
        <v>View</v>
      </c>
      <c r="P4944" s="11"/>
    </row>
    <row r="4945" spans="1:16" ht="12.75" x14ac:dyDescent="0.35">
      <c r="A4945" s="7">
        <v>42483.061828703707</v>
      </c>
      <c r="B4945" s="8" t="str">
        <f>HYPERLINK("https://twitter.com/Ernst1953Do","@Ernst1953Do")</f>
        <v>@Ernst1953Do</v>
      </c>
      <c r="C4945" s="9" t="s">
        <v>8205</v>
      </c>
      <c r="D4945" s="9" t="s">
        <v>11510</v>
      </c>
      <c r="E4945" s="10" t="str">
        <f>HYPERLINK("https://twitter.com/Ernst1953Do/status/723602030691016704","723602030691016704")</f>
        <v>723602030691016704</v>
      </c>
      <c r="F4945" s="11" t="s">
        <v>43</v>
      </c>
      <c r="G4945" s="11">
        <v>877</v>
      </c>
      <c r="H4945" s="11">
        <v>275</v>
      </c>
      <c r="I4945" s="11">
        <v>0</v>
      </c>
      <c r="J4945" s="11">
        <v>0</v>
      </c>
      <c r="K4945" s="11" t="s">
        <v>21</v>
      </c>
      <c r="L4945" s="7">
        <v>41513.152708333335</v>
      </c>
      <c r="M4945" s="12"/>
      <c r="N4945" s="12"/>
      <c r="O4945" s="10" t="str">
        <f>HYPERLINK("https://pbs.twimg.com/profile_images/422397328868122625/tPN-y7Au_normal.jpeg","View")</f>
        <v>View</v>
      </c>
      <c r="P4945" s="11"/>
    </row>
    <row r="4946" spans="1:16" ht="12.75" x14ac:dyDescent="0.35">
      <c r="A4946" s="7">
        <v>42483.061886574069</v>
      </c>
      <c r="B4946" s="8" t="str">
        <f>HYPERLINK("https://twitter.com/Kristasambuca","@Kristasambuca")</f>
        <v>@Kristasambuca</v>
      </c>
      <c r="C4946" s="9" t="s">
        <v>11511</v>
      </c>
      <c r="D4946" s="9" t="s">
        <v>8227</v>
      </c>
      <c r="E4946" s="10" t="str">
        <f>HYPERLINK("https://twitter.com/Kristasambuca/status/723602052996276224","723602052996276224")</f>
        <v>723602052996276224</v>
      </c>
      <c r="F4946" s="11" t="s">
        <v>20</v>
      </c>
      <c r="G4946" s="11">
        <v>292</v>
      </c>
      <c r="H4946" s="11">
        <v>465</v>
      </c>
      <c r="I4946" s="11">
        <v>9</v>
      </c>
      <c r="J4946" s="11">
        <v>0</v>
      </c>
      <c r="K4946" s="11" t="s">
        <v>21</v>
      </c>
      <c r="L4946" s="7">
        <v>40696.006215277775</v>
      </c>
      <c r="M4946" s="12"/>
      <c r="N4946" s="12" t="s">
        <v>11512</v>
      </c>
      <c r="O4946" s="10" t="str">
        <f>HYPERLINK("https://pbs.twimg.com/profile_images/425027493100552192/c0hUDijC_normal.jpeg","View")</f>
        <v>View</v>
      </c>
      <c r="P4946" s="11"/>
    </row>
    <row r="4947" spans="1:16" ht="12.75" x14ac:dyDescent="0.35">
      <c r="A4947" s="7">
        <v>42483.061898148153</v>
      </c>
      <c r="B4947" s="8" t="str">
        <f>HYPERLINK("https://twitter.com/BizForBreakfast","@BizForBreakfast")</f>
        <v>@BizForBreakfast</v>
      </c>
      <c r="C4947" s="9" t="s">
        <v>11513</v>
      </c>
      <c r="D4947" s="9" t="s">
        <v>11514</v>
      </c>
      <c r="E4947" s="10" t="str">
        <f>HYPERLINK("https://twitter.com/BizForBreakfast/status/723602056003629057","723602056003629057")</f>
        <v>723602056003629057</v>
      </c>
      <c r="F4947" s="11" t="s">
        <v>80</v>
      </c>
      <c r="G4947" s="11">
        <v>1365</v>
      </c>
      <c r="H4947" s="11">
        <v>2665</v>
      </c>
      <c r="I4947" s="11">
        <v>0</v>
      </c>
      <c r="J4947" s="11">
        <v>0</v>
      </c>
      <c r="K4947" s="11" t="s">
        <v>21</v>
      </c>
      <c r="L4947" s="7">
        <v>41862.017465277779</v>
      </c>
      <c r="M4947" s="12" t="s">
        <v>11515</v>
      </c>
      <c r="N4947" s="12" t="s">
        <v>11516</v>
      </c>
      <c r="O4947" s="10" t="str">
        <f>HYPERLINK("https://pbs.twimg.com/profile_images/587206946069078016/kSwKZont_normal.jpg","View")</f>
        <v>View</v>
      </c>
      <c r="P4947" s="11"/>
    </row>
    <row r="4948" spans="1:16" ht="12.75" x14ac:dyDescent="0.35">
      <c r="A4948" s="7">
        <v>42483.063344907408</v>
      </c>
      <c r="B4948" s="8" t="str">
        <f>HYPERLINK("https://twitter.com/UniversityVW","@UniversityVW")</f>
        <v>@UniversityVW</v>
      </c>
      <c r="C4948" s="9" t="s">
        <v>5779</v>
      </c>
      <c r="D4948" s="9" t="s">
        <v>11517</v>
      </c>
      <c r="E4948" s="10" t="str">
        <f>HYPERLINK("https://twitter.com/UniversityVW/status/723602581428293632","723602581428293632")</f>
        <v>723602581428293632</v>
      </c>
      <c r="F4948" s="11" t="s">
        <v>80</v>
      </c>
      <c r="G4948" s="11">
        <v>4196</v>
      </c>
      <c r="H4948" s="11">
        <v>3730</v>
      </c>
      <c r="I4948" s="11">
        <v>2</v>
      </c>
      <c r="J4948" s="11">
        <v>1</v>
      </c>
      <c r="K4948" s="11" t="s">
        <v>21</v>
      </c>
      <c r="L4948" s="7">
        <v>40102.301874999997</v>
      </c>
      <c r="M4948" s="12" t="s">
        <v>355</v>
      </c>
      <c r="N4948" s="12" t="s">
        <v>5781</v>
      </c>
      <c r="O4948" s="10" t="str">
        <f>HYPERLINK("https://pbs.twimg.com/profile_images/702601670186790912/ZdaqJSKf_normal.jpg","View")</f>
        <v>View</v>
      </c>
      <c r="P4948" s="11"/>
    </row>
    <row r="4949" spans="1:16" ht="12.75" x14ac:dyDescent="0.35">
      <c r="A4949" s="7">
        <v>42483.063726851848</v>
      </c>
      <c r="B4949" s="8" t="str">
        <f>HYPERLINK("https://twitter.com/INDIZbot","@INDIZbot")</f>
        <v>@INDIZbot</v>
      </c>
      <c r="C4949" s="9" t="s">
        <v>11518</v>
      </c>
      <c r="D4949" s="9" t="s">
        <v>11519</v>
      </c>
      <c r="E4949" s="10" t="str">
        <f>HYPERLINK("https://twitter.com/INDIZbot/status/723602715922804736","723602715922804736")</f>
        <v>723602715922804736</v>
      </c>
      <c r="F4949" s="11" t="s">
        <v>11520</v>
      </c>
      <c r="G4949" s="11">
        <v>1771</v>
      </c>
      <c r="H4949" s="11">
        <v>482</v>
      </c>
      <c r="I4949" s="11">
        <v>1</v>
      </c>
      <c r="J4949" s="11">
        <v>0</v>
      </c>
      <c r="K4949" s="11" t="s">
        <v>21</v>
      </c>
      <c r="L4949" s="7">
        <v>42267.011921296296</v>
      </c>
      <c r="M4949" s="12"/>
      <c r="N4949" s="12" t="s">
        <v>11521</v>
      </c>
      <c r="O4949" s="10" t="str">
        <f>HYPERLINK("https://pbs.twimg.com/profile_images/645716711723925506/t5G0qOS6_normal.jpg","View")</f>
        <v>View</v>
      </c>
      <c r="P4949" s="11"/>
    </row>
    <row r="4950" spans="1:16" ht="12.75" x14ac:dyDescent="0.35">
      <c r="A4950" s="7">
        <v>42483.063831018517</v>
      </c>
      <c r="B4950" s="8" t="str">
        <f>HYPERLINK("https://twitter.com/HermanCookVW","@HermanCookVW")</f>
        <v>@HermanCookVW</v>
      </c>
      <c r="C4950" s="9" t="s">
        <v>5285</v>
      </c>
      <c r="D4950" s="9" t="s">
        <v>11522</v>
      </c>
      <c r="E4950" s="10" t="str">
        <f>HYPERLINK("https://twitter.com/HermanCookVW/status/723602754464276480","723602754464276480")</f>
        <v>723602754464276480</v>
      </c>
      <c r="F4950" s="11" t="s">
        <v>152</v>
      </c>
      <c r="G4950" s="11">
        <v>193</v>
      </c>
      <c r="H4950" s="11">
        <v>200</v>
      </c>
      <c r="I4950" s="11">
        <v>0</v>
      </c>
      <c r="J4950" s="11">
        <v>0</v>
      </c>
      <c r="K4950" s="11" t="s">
        <v>21</v>
      </c>
      <c r="L4950" s="7">
        <v>40235.051944444444</v>
      </c>
      <c r="M4950" s="12" t="s">
        <v>5287</v>
      </c>
      <c r="N4950" s="12" t="s">
        <v>5288</v>
      </c>
      <c r="O4950" s="10" t="str">
        <f>HYPERLINK("https://pbs.twimg.com/profile_images/720585614/HC-LOGO._normal.jpg","View")</f>
        <v>View</v>
      </c>
      <c r="P4950" s="11"/>
    </row>
    <row r="4951" spans="1:16" ht="12.75" x14ac:dyDescent="0.35">
      <c r="A4951" s="7">
        <v>42483.064085648148</v>
      </c>
      <c r="B4951" s="8" t="str">
        <f t="shared" ref="B4951:B4952" si="425">HYPERLINK("https://twitter.com/coolspringsvw","@coolspringsvw")</f>
        <v>@coolspringsvw</v>
      </c>
      <c r="C4951" s="9" t="s">
        <v>4992</v>
      </c>
      <c r="D4951" s="9" t="s">
        <v>11523</v>
      </c>
      <c r="E4951" s="10" t="str">
        <f>HYPERLINK("https://twitter.com/coolspringsvw/status/723602849033269249","723602849033269249")</f>
        <v>723602849033269249</v>
      </c>
      <c r="F4951" s="11" t="s">
        <v>152</v>
      </c>
      <c r="G4951" s="11">
        <v>341</v>
      </c>
      <c r="H4951" s="11">
        <v>239</v>
      </c>
      <c r="I4951" s="11">
        <v>0</v>
      </c>
      <c r="J4951" s="11">
        <v>0</v>
      </c>
      <c r="K4951" s="11" t="s">
        <v>21</v>
      </c>
      <c r="L4951" s="7">
        <v>40528.956875000003</v>
      </c>
      <c r="M4951" s="12" t="s">
        <v>4994</v>
      </c>
      <c r="N4951" s="12" t="s">
        <v>4995</v>
      </c>
      <c r="O4951" s="10" t="str">
        <f t="shared" ref="O4951:O4952" si="426">HYPERLINK("https://pbs.twimg.com/profile_images/710243539695763456/UeBsM3MU_normal.jpg","View")</f>
        <v>View</v>
      </c>
      <c r="P4951" s="11"/>
    </row>
    <row r="4952" spans="1:16" ht="12.75" x14ac:dyDescent="0.35">
      <c r="A4952" s="7">
        <v>42483.064120370371</v>
      </c>
      <c r="B4952" s="8" t="str">
        <f t="shared" si="425"/>
        <v>@coolspringsvw</v>
      </c>
      <c r="C4952" s="9" t="s">
        <v>4992</v>
      </c>
      <c r="D4952" s="9" t="s">
        <v>11524</v>
      </c>
      <c r="E4952" s="10" t="str">
        <f>HYPERLINK("https://twitter.com/coolspringsvw/status/723602860982845441","723602860982845441")</f>
        <v>723602860982845441</v>
      </c>
      <c r="F4952" s="11" t="s">
        <v>53</v>
      </c>
      <c r="G4952" s="11">
        <v>341</v>
      </c>
      <c r="H4952" s="11">
        <v>239</v>
      </c>
      <c r="I4952" s="11">
        <v>0</v>
      </c>
      <c r="J4952" s="11">
        <v>0</v>
      </c>
      <c r="K4952" s="11" t="s">
        <v>21</v>
      </c>
      <c r="L4952" s="7">
        <v>40528.956875000003</v>
      </c>
      <c r="M4952" s="12" t="s">
        <v>4994</v>
      </c>
      <c r="N4952" s="12" t="s">
        <v>4995</v>
      </c>
      <c r="O4952" s="10" t="str">
        <f t="shared" si="426"/>
        <v>View</v>
      </c>
      <c r="P4952" s="11"/>
    </row>
    <row r="4953" spans="1:16" ht="12.75" x14ac:dyDescent="0.35">
      <c r="A4953" s="7">
        <v>42483.064386574071</v>
      </c>
      <c r="B4953" s="8" t="str">
        <f>HYPERLINK("https://twitter.com/alfievwweddings","@alfievwweddings")</f>
        <v>@alfievwweddings</v>
      </c>
      <c r="C4953" s="9" t="s">
        <v>11525</v>
      </c>
      <c r="D4953" s="9" t="s">
        <v>11526</v>
      </c>
      <c r="E4953" s="10" t="str">
        <f>HYPERLINK("https://twitter.com/alfievwweddings/status/723602958194229248","723602958194229248")</f>
        <v>723602958194229248</v>
      </c>
      <c r="F4953" s="11" t="s">
        <v>20</v>
      </c>
      <c r="G4953" s="11">
        <v>481</v>
      </c>
      <c r="H4953" s="11">
        <v>738</v>
      </c>
      <c r="I4953" s="11">
        <v>0</v>
      </c>
      <c r="J4953" s="11">
        <v>0</v>
      </c>
      <c r="K4953" s="11" t="s">
        <v>21</v>
      </c>
      <c r="L4953" s="7">
        <v>41573.763796296298</v>
      </c>
      <c r="M4953" s="12"/>
      <c r="N4953" s="12" t="s">
        <v>11527</v>
      </c>
      <c r="O4953" s="10" t="str">
        <f>HYPERLINK("https://pbs.twimg.com/profile_images/500280765914312705/sN4HDIN-_normal.jpeg","View")</f>
        <v>View</v>
      </c>
      <c r="P4953" s="11"/>
    </row>
    <row r="4954" spans="1:16" ht="12.75" x14ac:dyDescent="0.35">
      <c r="A4954" s="7">
        <v>42483.064699074079</v>
      </c>
      <c r="B4954" s="8" t="str">
        <f>HYPERLINK("https://twitter.com/beetlebug1938","@beetlebug1938")</f>
        <v>@beetlebug1938</v>
      </c>
      <c r="C4954" s="9" t="s">
        <v>66</v>
      </c>
      <c r="D4954" s="9" t="s">
        <v>11528</v>
      </c>
      <c r="E4954" s="10" t="str">
        <f>HYPERLINK("https://twitter.com/beetlebug1938/status/723603068802195456","723603068802195456")</f>
        <v>723603068802195456</v>
      </c>
      <c r="F4954" s="11" t="s">
        <v>68</v>
      </c>
      <c r="G4954" s="11">
        <v>360</v>
      </c>
      <c r="H4954" s="11">
        <v>2222</v>
      </c>
      <c r="I4954" s="11">
        <v>0</v>
      </c>
      <c r="J4954" s="11">
        <v>0</v>
      </c>
      <c r="K4954" s="11" t="s">
        <v>21</v>
      </c>
      <c r="L4954" s="7">
        <v>42469.863865740743</v>
      </c>
      <c r="M4954" s="12" t="s">
        <v>69</v>
      </c>
      <c r="N4954" s="12"/>
      <c r="O4954" s="10" t="str">
        <f>HYPERLINK("https://pbs.twimg.com/profile_images/718820712757215233/LXXndPTS_normal.jpg","View")</f>
        <v>View</v>
      </c>
      <c r="P4954" s="11"/>
    </row>
    <row r="4955" spans="1:16" ht="12.75" x14ac:dyDescent="0.35">
      <c r="A4955" s="7">
        <v>42483.064710648148</v>
      </c>
      <c r="B4955" s="8" t="str">
        <f>HYPERLINK("https://twitter.com/Solitairystorm","@Solitairystorm")</f>
        <v>@Solitairystorm</v>
      </c>
      <c r="C4955" s="9" t="s">
        <v>11529</v>
      </c>
      <c r="D4955" s="9" t="s">
        <v>11530</v>
      </c>
      <c r="E4955" s="10" t="str">
        <f>HYPERLINK("https://twitter.com/Solitairystorm/status/723603075504607232","723603075504607232")</f>
        <v>723603075504607232</v>
      </c>
      <c r="F4955" s="11" t="s">
        <v>48</v>
      </c>
      <c r="G4955" s="11">
        <v>1512</v>
      </c>
      <c r="H4955" s="11">
        <v>1462</v>
      </c>
      <c r="I4955" s="11">
        <v>2</v>
      </c>
      <c r="J4955" s="11">
        <v>0</v>
      </c>
      <c r="K4955" s="11" t="s">
        <v>21</v>
      </c>
      <c r="L4955" s="7">
        <v>42111.321018518516</v>
      </c>
      <c r="M4955" s="12" t="s">
        <v>11531</v>
      </c>
      <c r="N4955" s="12" t="s">
        <v>11532</v>
      </c>
      <c r="O4955" s="10" t="str">
        <f>HYPERLINK("https://pbs.twimg.com/profile_images/669015686199406593/GpiITYaW_normal.jpg","View")</f>
        <v>View</v>
      </c>
      <c r="P4955" s="11"/>
    </row>
    <row r="4956" spans="1:16" ht="12.75" x14ac:dyDescent="0.35">
      <c r="A4956" s="7">
        <v>42483.064849537041</v>
      </c>
      <c r="B4956" s="8" t="str">
        <f>HYPERLINK("https://twitter.com/beetlebug1938","@beetlebug1938")</f>
        <v>@beetlebug1938</v>
      </c>
      <c r="C4956" s="9" t="s">
        <v>66</v>
      </c>
      <c r="D4956" s="9" t="s">
        <v>11533</v>
      </c>
      <c r="E4956" s="10" t="str">
        <f>HYPERLINK("https://twitter.com/beetlebug1938/status/723603126503264256","723603126503264256")</f>
        <v>723603126503264256</v>
      </c>
      <c r="F4956" s="11" t="s">
        <v>68</v>
      </c>
      <c r="G4956" s="11">
        <v>360</v>
      </c>
      <c r="H4956" s="11">
        <v>2222</v>
      </c>
      <c r="I4956" s="11">
        <v>0</v>
      </c>
      <c r="J4956" s="11">
        <v>1</v>
      </c>
      <c r="K4956" s="11" t="s">
        <v>21</v>
      </c>
      <c r="L4956" s="7">
        <v>42469.863865740743</v>
      </c>
      <c r="M4956" s="12" t="s">
        <v>69</v>
      </c>
      <c r="N4956" s="12"/>
      <c r="O4956" s="10" t="str">
        <f>HYPERLINK("https://pbs.twimg.com/profile_images/718820712757215233/LXXndPTS_normal.jpg","View")</f>
        <v>View</v>
      </c>
      <c r="P4956" s="11"/>
    </row>
    <row r="4957" spans="1:16" ht="12.75" x14ac:dyDescent="0.35">
      <c r="A4957" s="7">
        <v>42483.065138888887</v>
      </c>
      <c r="B4957" s="8" t="str">
        <f>HYPERLINK("https://twitter.com/VWCamperSales","@VWCamperSales")</f>
        <v>@VWCamperSales</v>
      </c>
      <c r="C4957" s="9" t="s">
        <v>216</v>
      </c>
      <c r="D4957" s="9" t="s">
        <v>11534</v>
      </c>
      <c r="E4957" s="10" t="str">
        <f>HYPERLINK("https://twitter.com/VWCamperSales/status/723603231696252930","723603231696252930")</f>
        <v>723603231696252930</v>
      </c>
      <c r="F4957" s="10" t="s">
        <v>124</v>
      </c>
      <c r="G4957" s="11">
        <v>618</v>
      </c>
      <c r="H4957" s="11">
        <v>580</v>
      </c>
      <c r="I4957" s="11">
        <v>0</v>
      </c>
      <c r="J4957" s="11">
        <v>0</v>
      </c>
      <c r="K4957" s="11" t="s">
        <v>21</v>
      </c>
      <c r="L4957" s="7">
        <v>42215.98809027778</v>
      </c>
      <c r="M4957" s="12" t="s">
        <v>129</v>
      </c>
      <c r="N4957" s="12" t="s">
        <v>218</v>
      </c>
      <c r="O4957" s="10" t="str">
        <f>HYPERLINK("https://pbs.twimg.com/profile_images/627949001179037696/skEBkS05_normal.jpg","View")</f>
        <v>View</v>
      </c>
      <c r="P4957" s="11"/>
    </row>
    <row r="4958" spans="1:16" ht="12.75" x14ac:dyDescent="0.35">
      <c r="A4958" s="7">
        <v>42483.065208333333</v>
      </c>
      <c r="B4958" s="8" t="str">
        <f>HYPERLINK("https://twitter.com/martin_speer","@martin_speer")</f>
        <v>@martin_speer</v>
      </c>
      <c r="C4958" s="9" t="s">
        <v>8494</v>
      </c>
      <c r="D4958" s="9" t="s">
        <v>11535</v>
      </c>
      <c r="E4958" s="10" t="str">
        <f>HYPERLINK("https://twitter.com/martin_speer/status/723603254693777408","723603254693777408")</f>
        <v>723603254693777408</v>
      </c>
      <c r="F4958" s="11" t="s">
        <v>20</v>
      </c>
      <c r="G4958" s="11">
        <v>663</v>
      </c>
      <c r="H4958" s="11">
        <v>380</v>
      </c>
      <c r="I4958" s="11">
        <v>0</v>
      </c>
      <c r="J4958" s="11">
        <v>0</v>
      </c>
      <c r="K4958" s="11" t="s">
        <v>21</v>
      </c>
      <c r="L4958" s="7">
        <v>41127.612546296295</v>
      </c>
      <c r="M4958" s="12" t="s">
        <v>8040</v>
      </c>
      <c r="N4958" s="12" t="s">
        <v>8496</v>
      </c>
      <c r="O4958" s="10" t="str">
        <f>HYPERLINK("https://pbs.twimg.com/profile_images/499290018368598016/4mR--6E5_normal.jpeg","View")</f>
        <v>View</v>
      </c>
      <c r="P4958" s="11"/>
    </row>
    <row r="4959" spans="1:16" ht="12.75" x14ac:dyDescent="0.35">
      <c r="A4959" s="7">
        <v>42483.065393518518</v>
      </c>
      <c r="B4959" s="8" t="str">
        <f>HYPERLINK("https://twitter.com/HoneysHomeGift1","@HoneysHomeGift1")</f>
        <v>@HoneysHomeGift1</v>
      </c>
      <c r="C4959" s="9" t="s">
        <v>11536</v>
      </c>
      <c r="D4959" s="9" t="s">
        <v>11537</v>
      </c>
      <c r="E4959" s="10" t="str">
        <f>HYPERLINK("https://twitter.com/HoneysHomeGift1/status/723603321118969856","723603321118969856")</f>
        <v>723603321118969856</v>
      </c>
      <c r="F4959" s="11" t="s">
        <v>43</v>
      </c>
      <c r="G4959" s="11">
        <v>33</v>
      </c>
      <c r="H4959" s="11">
        <v>91</v>
      </c>
      <c r="I4959" s="11">
        <v>0</v>
      </c>
      <c r="J4959" s="11">
        <v>0</v>
      </c>
      <c r="K4959" s="11" t="s">
        <v>21</v>
      </c>
      <c r="L4959" s="7">
        <v>42264.128321759257</v>
      </c>
      <c r="M4959" s="12" t="s">
        <v>11538</v>
      </c>
      <c r="N4959" s="12" t="s">
        <v>11539</v>
      </c>
      <c r="O4959" s="10" t="str">
        <f>HYPERLINK("https://pbs.twimg.com/profile_images/695578903222579200/bKth_nPh_normal.jpg","View")</f>
        <v>View</v>
      </c>
      <c r="P4959" s="11"/>
    </row>
    <row r="4960" spans="1:16" ht="12.75" x14ac:dyDescent="0.35">
      <c r="A4960" s="7">
        <v>42483.065636574072</v>
      </c>
      <c r="B4960" s="8" t="str">
        <f>HYPERLINK("https://twitter.com/NorthWestDubs","@NorthWestDubs")</f>
        <v>@NorthWestDubs</v>
      </c>
      <c r="C4960" s="9" t="s">
        <v>2537</v>
      </c>
      <c r="D4960" s="9" t="s">
        <v>11530</v>
      </c>
      <c r="E4960" s="10" t="str">
        <f>HYPERLINK("https://twitter.com/NorthWestDubs/status/723603411028054016","723603411028054016")</f>
        <v>723603411028054016</v>
      </c>
      <c r="F4960" s="11" t="s">
        <v>288</v>
      </c>
      <c r="G4960" s="11">
        <v>775</v>
      </c>
      <c r="H4960" s="11">
        <v>543</v>
      </c>
      <c r="I4960" s="11">
        <v>2</v>
      </c>
      <c r="J4960" s="11">
        <v>0</v>
      </c>
      <c r="K4960" s="11" t="s">
        <v>21</v>
      </c>
      <c r="L4960" s="7">
        <v>41052.970451388886</v>
      </c>
      <c r="M4960" s="12" t="s">
        <v>2538</v>
      </c>
      <c r="N4960" s="12" t="s">
        <v>2539</v>
      </c>
      <c r="O4960" s="10" t="str">
        <f>HYPERLINK("https://pbs.twimg.com/profile_images/3325520037/cf2027069deae5dc44e82172d33a6683_normal.jpeg","View")</f>
        <v>View</v>
      </c>
      <c r="P4960" s="11"/>
    </row>
    <row r="4961" spans="1:16" ht="12.75" x14ac:dyDescent="0.35">
      <c r="A4961" s="7">
        <v>42483.065983796296</v>
      </c>
      <c r="B4961" s="8" t="str">
        <f>HYPERLINK("https://twitter.com/ArielWittenberg","@ArielWittenberg")</f>
        <v>@ArielWittenberg</v>
      </c>
      <c r="C4961" s="9" t="s">
        <v>11540</v>
      </c>
      <c r="D4961" s="9" t="s">
        <v>11480</v>
      </c>
      <c r="E4961" s="10" t="str">
        <f>HYPERLINK("https://twitter.com/ArielWittenberg/status/723603536991379461","723603536991379461")</f>
        <v>723603536991379461</v>
      </c>
      <c r="F4961" s="11" t="s">
        <v>20</v>
      </c>
      <c r="G4961" s="11">
        <v>1344</v>
      </c>
      <c r="H4961" s="11">
        <v>922</v>
      </c>
      <c r="I4961" s="11">
        <v>2</v>
      </c>
      <c r="J4961" s="11">
        <v>0</v>
      </c>
      <c r="K4961" s="11" t="s">
        <v>21</v>
      </c>
      <c r="L4961" s="7">
        <v>39935.170162037037</v>
      </c>
      <c r="M4961" s="12"/>
      <c r="N4961" s="12" t="s">
        <v>11541</v>
      </c>
      <c r="O4961" s="10" t="str">
        <f>HYPERLINK("https://pbs.twimg.com/profile_images/621357463225372672/jxGm9Tba_normal.jpg","View")</f>
        <v>View</v>
      </c>
      <c r="P4961" s="11"/>
    </row>
    <row r="4962" spans="1:16" ht="12.75" x14ac:dyDescent="0.35">
      <c r="A4962" s="7">
        <v>42483.066064814819</v>
      </c>
      <c r="B4962" s="8" t="str">
        <f>HYPERLINK("https://twitter.com/jai_verdancy","@jai_verdancy")</f>
        <v>@jai_verdancy</v>
      </c>
      <c r="C4962" s="9" t="s">
        <v>11542</v>
      </c>
      <c r="D4962" s="9" t="s">
        <v>9547</v>
      </c>
      <c r="E4962" s="10" t="str">
        <f>HYPERLINK("https://twitter.com/jai_verdancy/status/723603566489792512","723603566489792512")</f>
        <v>723603566489792512</v>
      </c>
      <c r="F4962" s="11" t="s">
        <v>48</v>
      </c>
      <c r="G4962" s="11">
        <v>174</v>
      </c>
      <c r="H4962" s="11">
        <v>666</v>
      </c>
      <c r="I4962" s="11">
        <v>14</v>
      </c>
      <c r="J4962" s="11">
        <v>0</v>
      </c>
      <c r="K4962" s="11" t="s">
        <v>21</v>
      </c>
      <c r="L4962" s="7">
        <v>39704.692442129628</v>
      </c>
      <c r="M4962" s="12" t="s">
        <v>11543</v>
      </c>
      <c r="N4962" s="12" t="s">
        <v>11544</v>
      </c>
      <c r="O4962" s="10" t="str">
        <f>HYPERLINK("https://pbs.twimg.com/profile_images/716173043266027520/Z2jmYUX5_normal.jpg","View")</f>
        <v>View</v>
      </c>
      <c r="P4962" s="11"/>
    </row>
    <row r="4963" spans="1:16" ht="12.75" x14ac:dyDescent="0.35">
      <c r="A4963" s="7">
        <v>42483.066423611112</v>
      </c>
      <c r="B4963" s="8" t="str">
        <f>HYPERLINK("https://twitter.com/AdamBartram","@AdamBartram")</f>
        <v>@AdamBartram</v>
      </c>
      <c r="C4963" s="9" t="s">
        <v>11545</v>
      </c>
      <c r="D4963" s="9" t="s">
        <v>10837</v>
      </c>
      <c r="E4963" s="10" t="str">
        <f>HYPERLINK("https://twitter.com/AdamBartram/status/723603693397008384","723603693397008384")</f>
        <v>723603693397008384</v>
      </c>
      <c r="F4963" s="11" t="s">
        <v>20</v>
      </c>
      <c r="G4963" s="11">
        <v>40</v>
      </c>
      <c r="H4963" s="11">
        <v>177</v>
      </c>
      <c r="I4963" s="11">
        <v>15</v>
      </c>
      <c r="J4963" s="11">
        <v>0</v>
      </c>
      <c r="K4963" s="11" t="s">
        <v>21</v>
      </c>
      <c r="L4963" s="7">
        <v>41957.772268518514</v>
      </c>
      <c r="M4963" s="12"/>
      <c r="N4963" s="12"/>
      <c r="O4963" s="10" t="str">
        <f>HYPERLINK("https://pbs.twimg.com/profile_images/533303971101048832/6Ux9Cujk_normal.jpeg","View")</f>
        <v>View</v>
      </c>
      <c r="P4963" s="11"/>
    </row>
    <row r="4964" spans="1:16" ht="12.75" x14ac:dyDescent="0.35">
      <c r="A4964" s="7">
        <v>42483.066562499997</v>
      </c>
      <c r="B4964" s="8" t="str">
        <f>HYPERLINK("https://twitter.com/Marktzyniker","@Marktzyniker")</f>
        <v>@Marktzyniker</v>
      </c>
      <c r="C4964" s="9" t="s">
        <v>4717</v>
      </c>
      <c r="D4964" s="9" t="s">
        <v>11546</v>
      </c>
      <c r="E4964" s="10" t="str">
        <f>HYPERLINK("https://twitter.com/Marktzyniker/status/723603744752054273","723603744752054273")</f>
        <v>723603744752054273</v>
      </c>
      <c r="F4964" s="11" t="s">
        <v>43</v>
      </c>
      <c r="G4964" s="11">
        <v>2016</v>
      </c>
      <c r="H4964" s="11">
        <v>1953</v>
      </c>
      <c r="I4964" s="11">
        <v>0</v>
      </c>
      <c r="J4964" s="11">
        <v>0</v>
      </c>
      <c r="K4964" s="11" t="s">
        <v>21</v>
      </c>
      <c r="L4964" s="7">
        <v>40233.883113425924</v>
      </c>
      <c r="M4964" s="12" t="s">
        <v>953</v>
      </c>
      <c r="N4964" s="12" t="s">
        <v>4719</v>
      </c>
      <c r="O4964" s="10" t="str">
        <f>HYPERLINK("https://pbs.twimg.com/profile_images/1169387207/uhu_normal.jpg","View")</f>
        <v>View</v>
      </c>
      <c r="P4964" s="11"/>
    </row>
    <row r="4965" spans="1:16" ht="12.75" x14ac:dyDescent="0.35">
      <c r="A4965" s="7">
        <v>42483.066990740743</v>
      </c>
      <c r="B4965" s="8" t="str">
        <f>HYPERLINK("https://twitter.com/Gosthtot","@Gosthtot")</f>
        <v>@Gosthtot</v>
      </c>
      <c r="C4965" s="9" t="s">
        <v>11354</v>
      </c>
      <c r="D4965" s="9" t="s">
        <v>11547</v>
      </c>
      <c r="E4965" s="10" t="str">
        <f>HYPERLINK("https://twitter.com/Gosthtot/status/723603902348845056","723603902348845056")</f>
        <v>723603902348845056</v>
      </c>
      <c r="F4965" s="11" t="s">
        <v>53</v>
      </c>
      <c r="G4965" s="11">
        <v>149</v>
      </c>
      <c r="H4965" s="11">
        <v>648</v>
      </c>
      <c r="I4965" s="11">
        <v>0</v>
      </c>
      <c r="J4965" s="11">
        <v>0</v>
      </c>
      <c r="K4965" s="11" t="s">
        <v>21</v>
      </c>
      <c r="L4965" s="7">
        <v>40834.503148148149</v>
      </c>
      <c r="M4965" s="12" t="s">
        <v>1931</v>
      </c>
      <c r="N4965" s="12" t="s">
        <v>11356</v>
      </c>
      <c r="O4965" s="10" t="str">
        <f>HYPERLINK("https://pbs.twimg.com/profile_images/556251546715820033/l5Ixj297_normal.jpeg","View")</f>
        <v>View</v>
      </c>
      <c r="P4965" s="11"/>
    </row>
    <row r="4966" spans="1:16" ht="12.75" x14ac:dyDescent="0.35">
      <c r="A4966" s="7">
        <v>42483.067013888889</v>
      </c>
      <c r="B4966" s="8" t="str">
        <f>HYPERLINK("https://twitter.com/GraLacey","@GraLacey")</f>
        <v>@GraLacey</v>
      </c>
      <c r="C4966" s="9" t="s">
        <v>11470</v>
      </c>
      <c r="D4966" s="9" t="s">
        <v>11548</v>
      </c>
      <c r="E4966" s="10" t="str">
        <f>HYPERLINK("https://twitter.com/GraLacey/status/723603907730104320","723603907730104320")</f>
        <v>723603907730104320</v>
      </c>
      <c r="F4966" s="11" t="s">
        <v>114</v>
      </c>
      <c r="G4966" s="11">
        <v>256</v>
      </c>
      <c r="H4966" s="11">
        <v>607</v>
      </c>
      <c r="I4966" s="11">
        <v>0</v>
      </c>
      <c r="J4966" s="11">
        <v>0</v>
      </c>
      <c r="K4966" s="11" t="s">
        <v>21</v>
      </c>
      <c r="L4966" s="7">
        <v>40686.75309027778</v>
      </c>
      <c r="M4966" s="12"/>
      <c r="N4966" s="12" t="s">
        <v>11472</v>
      </c>
      <c r="O4966" s="10" t="str">
        <f>HYPERLINK("https://pbs.twimg.com/profile_images/626745382035423232/nwofYmP7_normal.jpg","View")</f>
        <v>View</v>
      </c>
      <c r="P4966" s="11"/>
    </row>
    <row r="4967" spans="1:16" ht="12.75" x14ac:dyDescent="0.35">
      <c r="A4967" s="7">
        <v>42483.067569444444</v>
      </c>
      <c r="B4967" s="8" t="str">
        <f>HYPERLINK("https://twitter.com/Marktzyniker","@Marktzyniker")</f>
        <v>@Marktzyniker</v>
      </c>
      <c r="C4967" s="9" t="s">
        <v>4717</v>
      </c>
      <c r="D4967" s="9" t="s">
        <v>11549</v>
      </c>
      <c r="E4967" s="10" t="str">
        <f>HYPERLINK("https://twitter.com/Marktzyniker/status/723604109589385216","723604109589385216")</f>
        <v>723604109589385216</v>
      </c>
      <c r="F4967" s="11" t="s">
        <v>43</v>
      </c>
      <c r="G4967" s="11">
        <v>2016</v>
      </c>
      <c r="H4967" s="11">
        <v>1953</v>
      </c>
      <c r="I4967" s="11">
        <v>0</v>
      </c>
      <c r="J4967" s="11">
        <v>0</v>
      </c>
      <c r="K4967" s="11" t="s">
        <v>21</v>
      </c>
      <c r="L4967" s="7">
        <v>40233.883113425924</v>
      </c>
      <c r="M4967" s="12" t="s">
        <v>953</v>
      </c>
      <c r="N4967" s="12" t="s">
        <v>4719</v>
      </c>
      <c r="O4967" s="10" t="str">
        <f>HYPERLINK("https://pbs.twimg.com/profile_images/1169387207/uhu_normal.jpg","View")</f>
        <v>View</v>
      </c>
      <c r="P4967" s="11"/>
    </row>
    <row r="4968" spans="1:16" ht="12.75" x14ac:dyDescent="0.35">
      <c r="A4968" s="7">
        <v>42483.067754629628</v>
      </c>
      <c r="B4968" s="8" t="str">
        <f>HYPERLINK("https://twitter.com/VWBeetleSales","@VWBeetleSales")</f>
        <v>@VWBeetleSales</v>
      </c>
      <c r="C4968" s="9" t="s">
        <v>127</v>
      </c>
      <c r="D4968" s="9" t="s">
        <v>11550</v>
      </c>
      <c r="E4968" s="10" t="str">
        <f>HYPERLINK("https://twitter.com/VWBeetleSales/status/723604178233233409","723604178233233409")</f>
        <v>723604178233233409</v>
      </c>
      <c r="F4968" s="10" t="s">
        <v>124</v>
      </c>
      <c r="G4968" s="11">
        <v>36</v>
      </c>
      <c r="H4968" s="11">
        <v>32</v>
      </c>
      <c r="I4968" s="11">
        <v>0</v>
      </c>
      <c r="J4968" s="11">
        <v>0</v>
      </c>
      <c r="K4968" s="11" t="s">
        <v>21</v>
      </c>
      <c r="L4968" s="7">
        <v>42427.019756944443</v>
      </c>
      <c r="M4968" s="12" t="s">
        <v>129</v>
      </c>
      <c r="N4968" s="12" t="s">
        <v>130</v>
      </c>
      <c r="O4968" s="10" t="str">
        <f>HYPERLINK("https://pbs.twimg.com/profile_images/703294545195307008/qeCvrX86_normal.jpg","View")</f>
        <v>View</v>
      </c>
      <c r="P4968" s="11"/>
    </row>
    <row r="4969" spans="1:16" ht="12.75" x14ac:dyDescent="0.35">
      <c r="A4969" s="7">
        <v>42483.067997685182</v>
      </c>
      <c r="B4969" s="8" t="str">
        <f>HYPERLINK("https://twitter.com/gigiocamicio","@gigiocamicio")</f>
        <v>@gigiocamicio</v>
      </c>
      <c r="C4969" s="9" t="s">
        <v>11551</v>
      </c>
      <c r="D4969" s="9" t="s">
        <v>11552</v>
      </c>
      <c r="E4969" s="10" t="str">
        <f>HYPERLINK("https://twitter.com/gigiocamicio/status/723604266556993536","723604266556993536")</f>
        <v>723604266556993536</v>
      </c>
      <c r="F4969" s="11" t="s">
        <v>20</v>
      </c>
      <c r="G4969" s="11">
        <v>206</v>
      </c>
      <c r="H4969" s="11">
        <v>878</v>
      </c>
      <c r="I4969" s="11">
        <v>0</v>
      </c>
      <c r="J4969" s="11">
        <v>0</v>
      </c>
      <c r="K4969" s="11" t="s">
        <v>21</v>
      </c>
      <c r="L4969" s="7">
        <v>40034.107581018521</v>
      </c>
      <c r="M4969" s="12"/>
      <c r="N4969" s="12" t="s">
        <v>11553</v>
      </c>
      <c r="O4969" s="10" t="str">
        <f>HYPERLINK("https://pbs.twimg.com/profile_images/678618389338812416/WgR_f3nt_normal.jpg","View")</f>
        <v>View</v>
      </c>
      <c r="P4969" s="11"/>
    </row>
    <row r="4970" spans="1:16" ht="12.75" x14ac:dyDescent="0.35">
      <c r="A4970" s="7">
        <v>42483.068275462967</v>
      </c>
      <c r="B4970" s="8" t="str">
        <f>HYPERLINK("https://twitter.com/VolkswagenPost","@VolkswagenPost")</f>
        <v>@VolkswagenPost</v>
      </c>
      <c r="C4970" s="9" t="s">
        <v>321</v>
      </c>
      <c r="D4970" s="9" t="s">
        <v>11554</v>
      </c>
      <c r="E4970" s="10" t="str">
        <f>HYPERLINK("https://twitter.com/VolkswagenPost/status/723604364854722560","723604364854722560")</f>
        <v>723604364854722560</v>
      </c>
      <c r="F4970" s="11" t="s">
        <v>288</v>
      </c>
      <c r="G4970" s="11">
        <v>569</v>
      </c>
      <c r="H4970" s="11">
        <v>446</v>
      </c>
      <c r="I4970" s="11">
        <v>1</v>
      </c>
      <c r="J4970" s="11">
        <v>0</v>
      </c>
      <c r="K4970" s="11" t="s">
        <v>21</v>
      </c>
      <c r="L4970" s="7">
        <v>41940.618379629632</v>
      </c>
      <c r="M4970" s="12"/>
      <c r="N4970" s="12"/>
      <c r="O4970" s="10" t="str">
        <f>HYPERLINK("https://pbs.twimg.com/profile_images/530071272881803264/a_jcCmPZ_normal.png","View")</f>
        <v>View</v>
      </c>
      <c r="P4970" s="11"/>
    </row>
    <row r="4971" spans="1:16" ht="12.75" x14ac:dyDescent="0.35">
      <c r="A4971" s="7">
        <v>42483.068668981483</v>
      </c>
      <c r="B4971" s="8" t="str">
        <f>HYPERLINK("https://twitter.com/Taipanos","@Taipanos")</f>
        <v>@Taipanos</v>
      </c>
      <c r="C4971" s="9" t="s">
        <v>9455</v>
      </c>
      <c r="D4971" s="9" t="s">
        <v>11555</v>
      </c>
      <c r="E4971" s="10" t="str">
        <f>HYPERLINK("https://twitter.com/Taipanos/status/723604507452669953","723604507452669953")</f>
        <v>723604507452669953</v>
      </c>
      <c r="F4971" s="11" t="s">
        <v>91</v>
      </c>
      <c r="G4971" s="11">
        <v>213</v>
      </c>
      <c r="H4971" s="11">
        <v>572</v>
      </c>
      <c r="I4971" s="11">
        <v>0</v>
      </c>
      <c r="J4971" s="11">
        <v>0</v>
      </c>
      <c r="K4971" s="11" t="s">
        <v>21</v>
      </c>
      <c r="L4971" s="7">
        <v>41589.553900462961</v>
      </c>
      <c r="M4971" s="12" t="s">
        <v>7037</v>
      </c>
      <c r="N4971" s="12" t="s">
        <v>9457</v>
      </c>
      <c r="O4971" s="10" t="str">
        <f>HYPERLINK("https://pbs.twimg.com/profile_images/697492201492910080/uR3QlSaO_normal.jpg","View")</f>
        <v>View</v>
      </c>
      <c r="P4971" s="11"/>
    </row>
    <row r="4972" spans="1:16" ht="12.75" x14ac:dyDescent="0.35">
      <c r="A4972" s="7">
        <v>42483.06931712963</v>
      </c>
      <c r="B4972" s="8" t="str">
        <f>HYPERLINK("https://twitter.com/Judebram","@Judebram")</f>
        <v>@Judebram</v>
      </c>
      <c r="C4972" s="9" t="s">
        <v>11556</v>
      </c>
      <c r="D4972" s="9" t="s">
        <v>11557</v>
      </c>
      <c r="E4972" s="10" t="str">
        <f>HYPERLINK("https://twitter.com/Judebram/status/723604744628002817","723604744628002817")</f>
        <v>723604744628002817</v>
      </c>
      <c r="F4972" s="11" t="s">
        <v>114</v>
      </c>
      <c r="G4972" s="11">
        <v>643</v>
      </c>
      <c r="H4972" s="11">
        <v>1235</v>
      </c>
      <c r="I4972" s="11">
        <v>0</v>
      </c>
      <c r="J4972" s="11">
        <v>1</v>
      </c>
      <c r="K4972" s="11" t="s">
        <v>21</v>
      </c>
      <c r="L4972" s="7">
        <v>39787.636550925927</v>
      </c>
      <c r="M4972" s="12" t="s">
        <v>35</v>
      </c>
      <c r="N4972" s="12" t="s">
        <v>11558</v>
      </c>
      <c r="O4972" s="10" t="str">
        <f>HYPERLINK("https://pbs.twimg.com/profile_images/1620230727/portrait_of_jools_3_small_normal.jpg","View")</f>
        <v>View</v>
      </c>
      <c r="P4972" s="11"/>
    </row>
    <row r="4973" spans="1:16" ht="12.75" x14ac:dyDescent="0.35">
      <c r="A4973" s="7">
        <v>42483.069328703699</v>
      </c>
      <c r="B4973" s="8" t="str">
        <f t="shared" ref="B4973:B4974" si="427">HYPERLINK("https://twitter.com/SuranClub","@SuranClub")</f>
        <v>@SuranClub</v>
      </c>
      <c r="C4973" s="9" t="s">
        <v>864</v>
      </c>
      <c r="D4973" s="9" t="s">
        <v>11559</v>
      </c>
      <c r="E4973" s="10" t="str">
        <f>HYPERLINK("https://twitter.com/SuranClub/status/723604746246848513","723604746246848513")</f>
        <v>723604746246848513</v>
      </c>
      <c r="F4973" s="11" t="s">
        <v>114</v>
      </c>
      <c r="G4973" s="11">
        <v>478</v>
      </c>
      <c r="H4973" s="11">
        <v>571</v>
      </c>
      <c r="I4973" s="11">
        <v>0</v>
      </c>
      <c r="J4973" s="11">
        <v>0</v>
      </c>
      <c r="K4973" s="11" t="s">
        <v>21</v>
      </c>
      <c r="L4973" s="7">
        <v>42004.845520833333</v>
      </c>
      <c r="M4973" s="12" t="s">
        <v>866</v>
      </c>
      <c r="N4973" s="12" t="s">
        <v>867</v>
      </c>
      <c r="O4973" s="10" t="str">
        <f t="shared" ref="O4973:O4974" si="428">HYPERLINK("https://pbs.twimg.com/profile_images/634021831364747264/5vPrL2JH_normal.jpg","View")</f>
        <v>View</v>
      </c>
      <c r="P4973" s="11"/>
    </row>
    <row r="4974" spans="1:16" ht="12.75" x14ac:dyDescent="0.35">
      <c r="A4974" s="7">
        <v>42483.069444444445</v>
      </c>
      <c r="B4974" s="8" t="str">
        <f t="shared" si="427"/>
        <v>@SuranClub</v>
      </c>
      <c r="C4974" s="9" t="s">
        <v>864</v>
      </c>
      <c r="D4974" s="9" t="s">
        <v>11560</v>
      </c>
      <c r="E4974" s="10" t="str">
        <f>HYPERLINK("https://twitter.com/SuranClub/status/723604788173217792","723604788173217792")</f>
        <v>723604788173217792</v>
      </c>
      <c r="F4974" s="11" t="s">
        <v>68</v>
      </c>
      <c r="G4974" s="11">
        <v>478</v>
      </c>
      <c r="H4974" s="11">
        <v>571</v>
      </c>
      <c r="I4974" s="11">
        <v>0</v>
      </c>
      <c r="J4974" s="11">
        <v>1</v>
      </c>
      <c r="K4974" s="11" t="s">
        <v>21</v>
      </c>
      <c r="L4974" s="7">
        <v>42004.845520833333</v>
      </c>
      <c r="M4974" s="12" t="s">
        <v>866</v>
      </c>
      <c r="N4974" s="12" t="s">
        <v>867</v>
      </c>
      <c r="O4974" s="10" t="str">
        <f t="shared" si="428"/>
        <v>View</v>
      </c>
      <c r="P4974" s="11"/>
    </row>
    <row r="4975" spans="1:16" ht="12.75" x14ac:dyDescent="0.35">
      <c r="A4975" s="7">
        <v>42483.069710648153</v>
      </c>
      <c r="B4975" s="8" t="str">
        <f>HYPERLINK("https://twitter.com/christougherus","@christougherus")</f>
        <v>@christougherus</v>
      </c>
      <c r="C4975" s="9" t="s">
        <v>11561</v>
      </c>
      <c r="D4975" s="9" t="s">
        <v>11562</v>
      </c>
      <c r="E4975" s="10" t="str">
        <f>HYPERLINK("https://twitter.com/christougherus/status/723604886043168769","723604886043168769")</f>
        <v>723604886043168769</v>
      </c>
      <c r="F4975" s="11" t="s">
        <v>43</v>
      </c>
      <c r="G4975" s="11">
        <v>5</v>
      </c>
      <c r="H4975" s="11">
        <v>19</v>
      </c>
      <c r="I4975" s="11">
        <v>0</v>
      </c>
      <c r="J4975" s="11">
        <v>0</v>
      </c>
      <c r="K4975" s="11" t="s">
        <v>21</v>
      </c>
      <c r="L4975" s="7">
        <v>42448.756307870368</v>
      </c>
      <c r="M4975" s="12"/>
      <c r="N4975" s="12" t="s">
        <v>11563</v>
      </c>
      <c r="O4975" s="10" t="str">
        <f>HYPERLINK("https://pbs.twimg.com/profile_images/712373968540471296/c0joNTtP_normal.jpg","View")</f>
        <v>View</v>
      </c>
      <c r="P4975" s="11"/>
    </row>
    <row r="4976" spans="1:16" ht="12.75" x14ac:dyDescent="0.35">
      <c r="A4976" s="7">
        <v>42483.070196759261</v>
      </c>
      <c r="B4976" s="8" t="str">
        <f>HYPERLINK("https://twitter.com/rzy808","@rzy808")</f>
        <v>@rzy808</v>
      </c>
      <c r="C4976" s="9" t="s">
        <v>11564</v>
      </c>
      <c r="D4976" s="9" t="s">
        <v>11565</v>
      </c>
      <c r="E4976" s="10" t="str">
        <f>HYPERLINK("https://twitter.com/rzy808/status/723605063483199488","723605063483199488")</f>
        <v>723605063483199488</v>
      </c>
      <c r="F4976" s="11" t="s">
        <v>20</v>
      </c>
      <c r="G4976" s="11">
        <v>74</v>
      </c>
      <c r="H4976" s="11">
        <v>119</v>
      </c>
      <c r="I4976" s="11">
        <v>0</v>
      </c>
      <c r="J4976" s="11">
        <v>0</v>
      </c>
      <c r="K4976" s="11" t="s">
        <v>21</v>
      </c>
      <c r="L4976" s="7">
        <v>41973.140740740739</v>
      </c>
      <c r="M4976" s="12"/>
      <c r="N4976" s="12"/>
      <c r="O4976" s="10" t="str">
        <f>HYPERLINK("https://pbs.twimg.com/profile_images/538827287664553986/hK6PVXn2_normal.jpeg","View")</f>
        <v>View</v>
      </c>
      <c r="P4976" s="11"/>
    </row>
    <row r="4977" spans="1:16" ht="12.75" x14ac:dyDescent="0.35">
      <c r="A4977" s="7">
        <v>42483.071354166663</v>
      </c>
      <c r="B4977" s="8" t="str">
        <f>HYPERLINK("https://twitter.com/Marktzyniker","@Marktzyniker")</f>
        <v>@Marktzyniker</v>
      </c>
      <c r="C4977" s="9" t="s">
        <v>4717</v>
      </c>
      <c r="D4977" s="9" t="s">
        <v>11566</v>
      </c>
      <c r="E4977" s="10" t="str">
        <f>HYPERLINK("https://twitter.com/Marktzyniker/status/723605483471409152","723605483471409152")</f>
        <v>723605483471409152</v>
      </c>
      <c r="F4977" s="11" t="s">
        <v>43</v>
      </c>
      <c r="G4977" s="11">
        <v>2016</v>
      </c>
      <c r="H4977" s="11">
        <v>1953</v>
      </c>
      <c r="I4977" s="11">
        <v>0</v>
      </c>
      <c r="J4977" s="11">
        <v>0</v>
      </c>
      <c r="K4977" s="11" t="s">
        <v>21</v>
      </c>
      <c r="L4977" s="7">
        <v>40233.883113425924</v>
      </c>
      <c r="M4977" s="12" t="s">
        <v>953</v>
      </c>
      <c r="N4977" s="12" t="s">
        <v>4719</v>
      </c>
      <c r="O4977" s="10" t="str">
        <f>HYPERLINK("https://pbs.twimg.com/profile_images/1169387207/uhu_normal.jpg","View")</f>
        <v>View</v>
      </c>
      <c r="P4977" s="11"/>
    </row>
    <row r="4978" spans="1:16" ht="12.75" x14ac:dyDescent="0.35">
      <c r="A4978" s="7">
        <v>42483.071458333332</v>
      </c>
      <c r="B4978" s="8" t="str">
        <f>HYPERLINK("https://twitter.com/nocki61","@nocki61")</f>
        <v>@nocki61</v>
      </c>
      <c r="C4978" s="9" t="s">
        <v>11567</v>
      </c>
      <c r="D4978" s="9" t="s">
        <v>11568</v>
      </c>
      <c r="E4978" s="10" t="str">
        <f>HYPERLINK("https://twitter.com/nocki61/status/723605520494546951","723605520494546951")</f>
        <v>723605520494546951</v>
      </c>
      <c r="F4978" s="11" t="s">
        <v>48</v>
      </c>
      <c r="G4978" s="11">
        <v>1025</v>
      </c>
      <c r="H4978" s="11">
        <v>679</v>
      </c>
      <c r="I4978" s="11">
        <v>1</v>
      </c>
      <c r="J4978" s="11">
        <v>0</v>
      </c>
      <c r="K4978" s="11" t="s">
        <v>21</v>
      </c>
      <c r="L4978" s="7">
        <v>41161.16847222222</v>
      </c>
      <c r="M4978" s="12"/>
      <c r="N4978" s="12" t="s">
        <v>11569</v>
      </c>
      <c r="O4978" s="10" t="str">
        <f>HYPERLINK("https://pbs.twimg.com/profile_images/715593945368117248/JXqy1gxb_normal.jpg","View")</f>
        <v>View</v>
      </c>
      <c r="P4978" s="11"/>
    </row>
    <row r="4979" spans="1:16" ht="12.75" x14ac:dyDescent="0.35">
      <c r="A4979" s="7">
        <v>42483.071493055555</v>
      </c>
      <c r="B4979" s="8" t="str">
        <f>HYPERLINK("https://twitter.com/vwbusman72","@vwbusman72")</f>
        <v>@vwbusman72</v>
      </c>
      <c r="C4979" s="9" t="s">
        <v>9766</v>
      </c>
      <c r="D4979" s="9" t="s">
        <v>11570</v>
      </c>
      <c r="E4979" s="10" t="str">
        <f>HYPERLINK("https://twitter.com/vwbusman72/status/723605533144526851","723605533144526851")</f>
        <v>723605533144526851</v>
      </c>
      <c r="F4979" s="11" t="s">
        <v>114</v>
      </c>
      <c r="G4979" s="11">
        <v>701</v>
      </c>
      <c r="H4979" s="11">
        <v>679</v>
      </c>
      <c r="I4979" s="11">
        <v>0</v>
      </c>
      <c r="J4979" s="11">
        <v>0</v>
      </c>
      <c r="K4979" s="11" t="s">
        <v>21</v>
      </c>
      <c r="L4979" s="7">
        <v>40843.239444444444</v>
      </c>
      <c r="M4979" s="12" t="s">
        <v>9768</v>
      </c>
      <c r="N4979" s="12"/>
      <c r="O4979" s="10" t="str">
        <f>HYPERLINK("https://pbs.twimg.com/profile_images/535972937346863104/azd9tVvN_normal.jpeg","View")</f>
        <v>View</v>
      </c>
      <c r="P4979" s="11"/>
    </row>
    <row r="4980" spans="1:16" ht="12.75" x14ac:dyDescent="0.35">
      <c r="A4980" s="7">
        <v>42483.071585648147</v>
      </c>
      <c r="B4980" s="8" t="str">
        <f>HYPERLINK("https://twitter.com/NorthCounty_LRS","@NorthCounty_LRS")</f>
        <v>@NorthCounty_LRS</v>
      </c>
      <c r="C4980" s="9" t="s">
        <v>11571</v>
      </c>
      <c r="D4980" s="9" t="s">
        <v>11572</v>
      </c>
      <c r="E4980" s="10" t="str">
        <f>HYPERLINK("https://twitter.com/NorthCounty_LRS/status/723605567177154560","723605567177154560")</f>
        <v>723605567177154560</v>
      </c>
      <c r="F4980" s="11" t="s">
        <v>152</v>
      </c>
      <c r="G4980" s="11">
        <v>830</v>
      </c>
      <c r="H4980" s="11">
        <v>409</v>
      </c>
      <c r="I4980" s="11">
        <v>0</v>
      </c>
      <c r="J4980" s="11">
        <v>0</v>
      </c>
      <c r="K4980" s="11" t="s">
        <v>21</v>
      </c>
      <c r="L4980" s="7">
        <v>41283.267129629632</v>
      </c>
      <c r="M4980" s="12" t="s">
        <v>11573</v>
      </c>
      <c r="N4980" s="12" t="s">
        <v>11574</v>
      </c>
      <c r="O4980" s="10" t="str">
        <f>HYPERLINK("https://pbs.twimg.com/profile_images/615626236539203584/-VpP55pj_normal.png","View")</f>
        <v>View</v>
      </c>
      <c r="P4980" s="11"/>
    </row>
    <row r="4981" spans="1:16" ht="12.75" x14ac:dyDescent="0.35">
      <c r="A4981" s="7">
        <v>42483.07230324074</v>
      </c>
      <c r="B4981" s="8" t="str">
        <f>HYPERLINK("https://twitter.com/VWBeetleSales","@VWBeetleSales")</f>
        <v>@VWBeetleSales</v>
      </c>
      <c r="C4981" s="9" t="s">
        <v>127</v>
      </c>
      <c r="D4981" s="9" t="s">
        <v>11575</v>
      </c>
      <c r="E4981" s="10" t="str">
        <f>HYPERLINK("https://twitter.com/VWBeetleSales/status/723605826154287105","723605826154287105")</f>
        <v>723605826154287105</v>
      </c>
      <c r="F4981" s="10" t="s">
        <v>124</v>
      </c>
      <c r="G4981" s="11">
        <v>36</v>
      </c>
      <c r="H4981" s="11">
        <v>32</v>
      </c>
      <c r="I4981" s="11">
        <v>0</v>
      </c>
      <c r="J4981" s="11">
        <v>0</v>
      </c>
      <c r="K4981" s="11" t="s">
        <v>21</v>
      </c>
      <c r="L4981" s="7">
        <v>42427.019756944443</v>
      </c>
      <c r="M4981" s="12" t="s">
        <v>129</v>
      </c>
      <c r="N4981" s="12" t="s">
        <v>130</v>
      </c>
      <c r="O4981" s="10" t="str">
        <f>HYPERLINK("https://pbs.twimg.com/profile_images/703294545195307008/qeCvrX86_normal.jpg","View")</f>
        <v>View</v>
      </c>
      <c r="P4981" s="11"/>
    </row>
    <row r="4982" spans="1:16" ht="12.75" x14ac:dyDescent="0.35">
      <c r="A4982" s="7">
        <v>42483.072638888887</v>
      </c>
      <c r="B4982" s="8" t="str">
        <f>HYPERLINK("https://twitter.com/Marktzyniker","@Marktzyniker")</f>
        <v>@Marktzyniker</v>
      </c>
      <c r="C4982" s="9" t="s">
        <v>4717</v>
      </c>
      <c r="D4982" s="9" t="s">
        <v>11576</v>
      </c>
      <c r="E4982" s="10" t="str">
        <f>HYPERLINK("https://twitter.com/Marktzyniker/status/723605946082144256","723605946082144256")</f>
        <v>723605946082144256</v>
      </c>
      <c r="F4982" s="11" t="s">
        <v>43</v>
      </c>
      <c r="G4982" s="11">
        <v>2016</v>
      </c>
      <c r="H4982" s="11">
        <v>1953</v>
      </c>
      <c r="I4982" s="11">
        <v>0</v>
      </c>
      <c r="J4982" s="11">
        <v>0</v>
      </c>
      <c r="K4982" s="11" t="s">
        <v>21</v>
      </c>
      <c r="L4982" s="7">
        <v>40233.883113425924</v>
      </c>
      <c r="M4982" s="12" t="s">
        <v>953</v>
      </c>
      <c r="N4982" s="12" t="s">
        <v>4719</v>
      </c>
      <c r="O4982" s="10" t="str">
        <f>HYPERLINK("https://pbs.twimg.com/profile_images/1169387207/uhu_normal.jpg","View")</f>
        <v>View</v>
      </c>
      <c r="P4982" s="11"/>
    </row>
    <row r="4983" spans="1:16" ht="12.75" x14ac:dyDescent="0.35">
      <c r="A4983" s="7">
        <v>42483.072662037041</v>
      </c>
      <c r="B4983" s="8" t="str">
        <f>HYPERLINK("https://twitter.com/Americanbullyhq","@Americanbullyhq")</f>
        <v>@Americanbullyhq</v>
      </c>
      <c r="C4983" s="9" t="s">
        <v>11577</v>
      </c>
      <c r="D4983" s="9" t="s">
        <v>11578</v>
      </c>
      <c r="E4983" s="10" t="str">
        <f>HYPERLINK("https://twitter.com/Americanbullyhq/status/723605955326423040","723605955326423040")</f>
        <v>723605955326423040</v>
      </c>
      <c r="F4983" s="11" t="s">
        <v>68</v>
      </c>
      <c r="G4983" s="11">
        <v>124</v>
      </c>
      <c r="H4983" s="11">
        <v>4</v>
      </c>
      <c r="I4983" s="11">
        <v>0</v>
      </c>
      <c r="J4983" s="11">
        <v>0</v>
      </c>
      <c r="K4983" s="11" t="s">
        <v>21</v>
      </c>
      <c r="L4983" s="7">
        <v>42438.51427083333</v>
      </c>
      <c r="M4983" s="12" t="s">
        <v>1275</v>
      </c>
      <c r="N4983" s="12"/>
      <c r="O4983" s="10" t="str">
        <f>HYPERLINK("https://pbs.twimg.com/profile_images/707459640758571008/LmPB7EIn_normal.jpg","View")</f>
        <v>View</v>
      </c>
      <c r="P4983" s="11"/>
    </row>
    <row r="4984" spans="1:16" ht="12.75" x14ac:dyDescent="0.35">
      <c r="A4984" s="7">
        <v>42483.073113425926</v>
      </c>
      <c r="B4984" s="8" t="str">
        <f>HYPERLINK("https://twitter.com/bilanmagazine","@bilanmagazine")</f>
        <v>@bilanmagazine</v>
      </c>
      <c r="C4984" s="9" t="s">
        <v>1982</v>
      </c>
      <c r="D4984" s="9" t="s">
        <v>11579</v>
      </c>
      <c r="E4984" s="10" t="str">
        <f>HYPERLINK("https://twitter.com/bilanmagazine/status/723606120728764417","723606120728764417")</f>
        <v>723606120728764417</v>
      </c>
      <c r="F4984" s="11" t="s">
        <v>152</v>
      </c>
      <c r="G4984" s="11">
        <v>8184</v>
      </c>
      <c r="H4984" s="11">
        <v>561</v>
      </c>
      <c r="I4984" s="11">
        <v>0</v>
      </c>
      <c r="J4984" s="11">
        <v>0</v>
      </c>
      <c r="K4984" s="11" t="s">
        <v>21</v>
      </c>
      <c r="L4984" s="7">
        <v>41071.57476851852</v>
      </c>
      <c r="M4984" s="12" t="s">
        <v>1984</v>
      </c>
      <c r="N4984" s="12" t="s">
        <v>1985</v>
      </c>
      <c r="O4984" s="10" t="str">
        <f>HYPERLINK("https://pbs.twimg.com/profile_images/3568153380/ec6619b2af81970e1f5c05c8948ac893_normal.png","View")</f>
        <v>View</v>
      </c>
      <c r="P4984" s="11"/>
    </row>
    <row r="4985" spans="1:16" ht="12.75" x14ac:dyDescent="0.35">
      <c r="A4985" s="7">
        <v>42483.073124999995</v>
      </c>
      <c r="B4985" s="8" t="str">
        <f>HYPERLINK("https://twitter.com/cristian_miuta","@cristian_miuta")</f>
        <v>@cristian_miuta</v>
      </c>
      <c r="C4985" s="9" t="s">
        <v>11580</v>
      </c>
      <c r="D4985" s="9" t="s">
        <v>11581</v>
      </c>
      <c r="E4985" s="10" t="str">
        <f>HYPERLINK("https://twitter.com/cristian_miuta/status/723606125195722752","723606125195722752")</f>
        <v>723606125195722752</v>
      </c>
      <c r="F4985" s="11" t="s">
        <v>48</v>
      </c>
      <c r="G4985" s="11">
        <v>149</v>
      </c>
      <c r="H4985" s="11">
        <v>387</v>
      </c>
      <c r="I4985" s="11">
        <v>0</v>
      </c>
      <c r="J4985" s="11">
        <v>0</v>
      </c>
      <c r="K4985" s="11" t="s">
        <v>21</v>
      </c>
      <c r="L4985" s="7">
        <v>42220.413356481484</v>
      </c>
      <c r="M4985" s="12" t="s">
        <v>11582</v>
      </c>
      <c r="N4985" s="12" t="s">
        <v>11583</v>
      </c>
      <c r="O4985" s="10" t="str">
        <f>HYPERLINK("https://pbs.twimg.com/profile_images/717312149060595712/-_JCilfd_normal.jpg","View")</f>
        <v>View</v>
      </c>
      <c r="P4985" s="11"/>
    </row>
    <row r="4986" spans="1:16" ht="12.75" x14ac:dyDescent="0.35">
      <c r="A4986" s="7">
        <v>42483.073865740742</v>
      </c>
      <c r="B4986" s="8" t="str">
        <f>HYPERLINK("https://twitter.com/DubLuvTuning","@DubLuvTuning")</f>
        <v>@DubLuvTuning</v>
      </c>
      <c r="C4986" s="9" t="s">
        <v>299</v>
      </c>
      <c r="D4986" s="9" t="s">
        <v>11530</v>
      </c>
      <c r="E4986" s="10" t="str">
        <f>HYPERLINK("https://twitter.com/DubLuvTuning/status/723606391039123456","723606391039123456")</f>
        <v>723606391039123456</v>
      </c>
      <c r="F4986" s="11" t="s">
        <v>288</v>
      </c>
      <c r="G4986" s="11">
        <v>690</v>
      </c>
      <c r="H4986" s="11">
        <v>431</v>
      </c>
      <c r="I4986" s="11">
        <v>3</v>
      </c>
      <c r="J4986" s="11">
        <v>0</v>
      </c>
      <c r="K4986" s="11" t="s">
        <v>21</v>
      </c>
      <c r="L4986" s="7">
        <v>41549.898287037038</v>
      </c>
      <c r="M4986" s="12" t="s">
        <v>301</v>
      </c>
      <c r="N4986" s="12" t="s">
        <v>302</v>
      </c>
      <c r="O4986" s="10" t="str">
        <f>HYPERLINK("https://pbs.twimg.com/profile_images/378800000572104796/1de43e1cf23efb3f4101c02afad0d3b6_normal.png","View")</f>
        <v>View</v>
      </c>
      <c r="P4986" s="11"/>
    </row>
    <row r="4987" spans="1:16" ht="12.75" x14ac:dyDescent="0.35">
      <c r="A4987" s="7">
        <v>42483.073969907404</v>
      </c>
      <c r="B4987" s="8" t="str">
        <f>HYPERLINK("https://twitter.com/TimSchmuckall","@TimSchmuckall")</f>
        <v>@TimSchmuckall</v>
      </c>
      <c r="C4987" s="9" t="s">
        <v>11584</v>
      </c>
      <c r="D4987" s="9" t="s">
        <v>11585</v>
      </c>
      <c r="E4987" s="10" t="str">
        <f>HYPERLINK("https://twitter.com/TimSchmuckall/status/723606429362458628","723606429362458628")</f>
        <v>723606429362458628</v>
      </c>
      <c r="F4987" s="11" t="s">
        <v>48</v>
      </c>
      <c r="G4987" s="11">
        <v>2160</v>
      </c>
      <c r="H4987" s="11">
        <v>2012</v>
      </c>
      <c r="I4987" s="11">
        <v>0</v>
      </c>
      <c r="J4987" s="11">
        <v>0</v>
      </c>
      <c r="K4987" s="11" t="s">
        <v>21</v>
      </c>
      <c r="L4987" s="7">
        <v>40631.691261574073</v>
      </c>
      <c r="M4987" s="12" t="s">
        <v>11586</v>
      </c>
      <c r="N4987" s="12" t="s">
        <v>11587</v>
      </c>
      <c r="O4987" s="10" t="str">
        <f>HYPERLINK("https://pbs.twimg.com/profile_images/712580602076246016/snGbW6JJ_normal.jpg","View")</f>
        <v>View</v>
      </c>
      <c r="P4987" s="11"/>
    </row>
    <row r="4988" spans="1:16" ht="12.75" x14ac:dyDescent="0.35">
      <c r="A4988" s="7">
        <v>42483.074641203704</v>
      </c>
      <c r="B4988" s="8" t="str">
        <f>HYPERLINK("https://twitter.com/MatiiSpinaa","@MatiiSpinaa")</f>
        <v>@MatiiSpinaa</v>
      </c>
      <c r="C4988" s="9" t="s">
        <v>11588</v>
      </c>
      <c r="D4988" s="9" t="s">
        <v>11589</v>
      </c>
      <c r="E4988" s="10" t="str">
        <f>HYPERLINK("https://twitter.com/MatiiSpinaa/status/723606673517084672","723606673517084672")</f>
        <v>723606673517084672</v>
      </c>
      <c r="F4988" s="11" t="s">
        <v>43</v>
      </c>
      <c r="G4988" s="11">
        <v>542</v>
      </c>
      <c r="H4988" s="11">
        <v>411</v>
      </c>
      <c r="I4988" s="11">
        <v>1</v>
      </c>
      <c r="J4988" s="11">
        <v>0</v>
      </c>
      <c r="K4988" s="11" t="s">
        <v>21</v>
      </c>
      <c r="L4988" s="7">
        <v>41112.027951388889</v>
      </c>
      <c r="M4988" s="12" t="s">
        <v>11590</v>
      </c>
      <c r="N4988" s="12" t="s">
        <v>11591</v>
      </c>
      <c r="O4988" s="10" t="str">
        <f>HYPERLINK("https://pbs.twimg.com/profile_images/679088182655328257/UaXXNlpR_normal.jpg","View")</f>
        <v>View</v>
      </c>
      <c r="P4988" s="11"/>
    </row>
    <row r="4989" spans="1:16" ht="12.75" x14ac:dyDescent="0.35">
      <c r="A4989" s="7">
        <v>42483.074930555551</v>
      </c>
      <c r="B4989" s="8" t="str">
        <f>HYPERLINK("https://twitter.com/Konradinform","@Konradinform")</f>
        <v>@Konradinform</v>
      </c>
      <c r="C4989" s="9" t="s">
        <v>11592</v>
      </c>
      <c r="D4989" s="9" t="s">
        <v>11593</v>
      </c>
      <c r="E4989" s="10" t="str">
        <f>HYPERLINK("https://twitter.com/Konradinform/status/723606776508223490","723606776508223490")</f>
        <v>723606776508223490</v>
      </c>
      <c r="F4989" s="11" t="s">
        <v>20</v>
      </c>
      <c r="G4989" s="11">
        <v>4</v>
      </c>
      <c r="H4989" s="11">
        <v>50</v>
      </c>
      <c r="I4989" s="11">
        <v>0</v>
      </c>
      <c r="J4989" s="11">
        <v>0</v>
      </c>
      <c r="K4989" s="11" t="s">
        <v>21</v>
      </c>
      <c r="L4989" s="7">
        <v>41386.189004629632</v>
      </c>
      <c r="M4989" s="12" t="s">
        <v>1169</v>
      </c>
      <c r="N4989" s="12" t="s">
        <v>11594</v>
      </c>
      <c r="O4989" s="10" t="str">
        <f>HYPERLINK("https://pbs.twimg.com/profile_images/571225939184623616/VCwqY6RG_normal.jpeg","View")</f>
        <v>View</v>
      </c>
      <c r="P4989" s="11"/>
    </row>
    <row r="4990" spans="1:16" ht="12.75" x14ac:dyDescent="0.35">
      <c r="A4990" s="7">
        <v>42483.07508101852</v>
      </c>
      <c r="B4990" s="8" t="str">
        <f>HYPERLINK("https://twitter.com/Marktzyniker","@Marktzyniker")</f>
        <v>@Marktzyniker</v>
      </c>
      <c r="C4990" s="9" t="s">
        <v>4717</v>
      </c>
      <c r="D4990" s="9" t="s">
        <v>11595</v>
      </c>
      <c r="E4990" s="10" t="str">
        <f>HYPERLINK("https://twitter.com/Marktzyniker/status/723606831684263937","723606831684263937")</f>
        <v>723606831684263937</v>
      </c>
      <c r="F4990" s="11" t="s">
        <v>43</v>
      </c>
      <c r="G4990" s="11">
        <v>2016</v>
      </c>
      <c r="H4990" s="11">
        <v>1953</v>
      </c>
      <c r="I4990" s="11">
        <v>0</v>
      </c>
      <c r="J4990" s="11">
        <v>0</v>
      </c>
      <c r="K4990" s="11" t="s">
        <v>21</v>
      </c>
      <c r="L4990" s="7">
        <v>40233.883113425924</v>
      </c>
      <c r="M4990" s="12" t="s">
        <v>953</v>
      </c>
      <c r="N4990" s="12" t="s">
        <v>4719</v>
      </c>
      <c r="O4990" s="10" t="str">
        <f>HYPERLINK("https://pbs.twimg.com/profile_images/1169387207/uhu_normal.jpg","View")</f>
        <v>View</v>
      </c>
      <c r="P4990" s="11"/>
    </row>
    <row r="4991" spans="1:16" ht="12.75" x14ac:dyDescent="0.35">
      <c r="A4991" s="7">
        <v>42483.075092592597</v>
      </c>
      <c r="B4991" s="8" t="str">
        <f>HYPERLINK("https://twitter.com/vwdepo","@vwdepo")</f>
        <v>@vwdepo</v>
      </c>
      <c r="C4991" s="9" t="s">
        <v>134</v>
      </c>
      <c r="D4991" s="9" t="s">
        <v>11596</v>
      </c>
      <c r="E4991" s="10" t="str">
        <f>HYPERLINK("https://twitter.com/vwdepo/status/723606838114172929","723606838114172929")</f>
        <v>723606838114172929</v>
      </c>
      <c r="F4991" s="11" t="s">
        <v>53</v>
      </c>
      <c r="G4991" s="11">
        <v>784</v>
      </c>
      <c r="H4991" s="11">
        <v>384</v>
      </c>
      <c r="I4991" s="11">
        <v>0</v>
      </c>
      <c r="J4991" s="11">
        <v>0</v>
      </c>
      <c r="K4991" s="11" t="s">
        <v>21</v>
      </c>
      <c r="L4991" s="7">
        <v>39891.992905092593</v>
      </c>
      <c r="M4991" s="12" t="s">
        <v>136</v>
      </c>
      <c r="N4991" s="12" t="s">
        <v>137</v>
      </c>
      <c r="O4991" s="10" t="str">
        <f>HYPERLINK("https://pbs.twimg.com/profile_images/3378184537/c20ae9a7a410821b4f189c34a63380f7_normal.png","View")</f>
        <v>View</v>
      </c>
      <c r="P4991" s="11"/>
    </row>
    <row r="4992" spans="1:16" ht="12.75" x14ac:dyDescent="0.35">
      <c r="A4992" s="7">
        <v>42483.075624999998</v>
      </c>
      <c r="B4992" s="8" t="str">
        <f>HYPERLINK("https://twitter.com/DarkGermany","@DarkGermany")</f>
        <v>@DarkGermany</v>
      </c>
      <c r="C4992" s="9" t="s">
        <v>11597</v>
      </c>
      <c r="D4992" s="9" t="s">
        <v>11598</v>
      </c>
      <c r="E4992" s="10" t="str">
        <f>HYPERLINK("https://twitter.com/DarkGermany/status/723607029479297024","723607029479297024")</f>
        <v>723607029479297024</v>
      </c>
      <c r="F4992" s="11" t="s">
        <v>20</v>
      </c>
      <c r="G4992" s="11">
        <v>586</v>
      </c>
      <c r="H4992" s="11">
        <v>432</v>
      </c>
      <c r="I4992" s="11">
        <v>0</v>
      </c>
      <c r="J4992" s="11">
        <v>0</v>
      </c>
      <c r="K4992" s="11" t="s">
        <v>21</v>
      </c>
      <c r="L4992" s="7">
        <v>42276.969884259262</v>
      </c>
      <c r="M4992" s="12"/>
      <c r="N4992" s="12"/>
      <c r="O4992" s="10" t="str">
        <f>HYPERLINK("https://pbs.twimg.com/profile_images/657934028977393664/TfeaHgLP_normal.png","View")</f>
        <v>View</v>
      </c>
      <c r="P4992" s="11"/>
    </row>
    <row r="4993" spans="1:16" ht="12.75" x14ac:dyDescent="0.35">
      <c r="A4993" s="7">
        <v>42483.075810185182</v>
      </c>
      <c r="B4993" s="8" t="str">
        <f>HYPERLINK("https://twitter.com/CybermikeK","@CybermikeK")</f>
        <v>@CybermikeK</v>
      </c>
      <c r="C4993" s="9" t="s">
        <v>11599</v>
      </c>
      <c r="D4993" s="9" t="s">
        <v>11600</v>
      </c>
      <c r="E4993" s="10" t="str">
        <f>HYPERLINK("https://twitter.com/CybermikeK/status/723607095283687425","723607095283687425")</f>
        <v>723607095283687425</v>
      </c>
      <c r="F4993" s="11" t="s">
        <v>91</v>
      </c>
      <c r="G4993" s="11">
        <v>28</v>
      </c>
      <c r="H4993" s="11">
        <v>100</v>
      </c>
      <c r="I4993" s="11">
        <v>0</v>
      </c>
      <c r="J4993" s="11">
        <v>3</v>
      </c>
      <c r="K4993" s="11" t="s">
        <v>21</v>
      </c>
      <c r="L4993" s="7">
        <v>41774.082800925928</v>
      </c>
      <c r="M4993" s="12" t="s">
        <v>9368</v>
      </c>
      <c r="N4993" s="12" t="s">
        <v>11601</v>
      </c>
      <c r="O4993" s="10" t="str">
        <f>HYPERLINK("https://pbs.twimg.com/profile_images/642428814765723652/y6jxhWsq_normal.jpg","View")</f>
        <v>View</v>
      </c>
      <c r="P4993" s="11"/>
    </row>
    <row r="4994" spans="1:16" ht="12.75" x14ac:dyDescent="0.35">
      <c r="A4994" s="7">
        <v>42483.076064814813</v>
      </c>
      <c r="B4994" s="8" t="str">
        <f t="shared" ref="B4994:B4995" si="429">HYPERLINK("https://twitter.com/Marktzyniker","@Marktzyniker")</f>
        <v>@Marktzyniker</v>
      </c>
      <c r="C4994" s="9" t="s">
        <v>4717</v>
      </c>
      <c r="D4994" s="9" t="s">
        <v>11602</v>
      </c>
      <c r="E4994" s="10" t="str">
        <f>HYPERLINK("https://twitter.com/Marktzyniker/status/723607190985146368","723607190985146368")</f>
        <v>723607190985146368</v>
      </c>
      <c r="F4994" s="11" t="s">
        <v>43</v>
      </c>
      <c r="G4994" s="11">
        <v>2016</v>
      </c>
      <c r="H4994" s="11">
        <v>1953</v>
      </c>
      <c r="I4994" s="11">
        <v>0</v>
      </c>
      <c r="J4994" s="11">
        <v>0</v>
      </c>
      <c r="K4994" s="11" t="s">
        <v>21</v>
      </c>
      <c r="L4994" s="7">
        <v>40233.883113425924</v>
      </c>
      <c r="M4994" s="12" t="s">
        <v>953</v>
      </c>
      <c r="N4994" s="12" t="s">
        <v>4719</v>
      </c>
      <c r="O4994" s="10" t="str">
        <f t="shared" ref="O4994:O4995" si="430">HYPERLINK("https://pbs.twimg.com/profile_images/1169387207/uhu_normal.jpg","View")</f>
        <v>View</v>
      </c>
      <c r="P4994" s="11"/>
    </row>
    <row r="4995" spans="1:16" ht="12.75" x14ac:dyDescent="0.35">
      <c r="A4995" s="7">
        <v>42483.076863425929</v>
      </c>
      <c r="B4995" s="8" t="str">
        <f t="shared" si="429"/>
        <v>@Marktzyniker</v>
      </c>
      <c r="C4995" s="9" t="s">
        <v>4717</v>
      </c>
      <c r="D4995" s="9" t="s">
        <v>11603</v>
      </c>
      <c r="E4995" s="10" t="str">
        <f>HYPERLINK("https://twitter.com/Marktzyniker/status/723607478970265602","723607478970265602")</f>
        <v>723607478970265602</v>
      </c>
      <c r="F4995" s="11" t="s">
        <v>43</v>
      </c>
      <c r="G4995" s="11">
        <v>2016</v>
      </c>
      <c r="H4995" s="11">
        <v>1953</v>
      </c>
      <c r="I4995" s="11">
        <v>0</v>
      </c>
      <c r="J4995" s="11">
        <v>0</v>
      </c>
      <c r="K4995" s="11" t="s">
        <v>21</v>
      </c>
      <c r="L4995" s="7">
        <v>40233.883113425924</v>
      </c>
      <c r="M4995" s="12" t="s">
        <v>953</v>
      </c>
      <c r="N4995" s="12" t="s">
        <v>4719</v>
      </c>
      <c r="O4995" s="10" t="str">
        <f t="shared" si="430"/>
        <v>View</v>
      </c>
      <c r="P4995" s="11"/>
    </row>
    <row r="4996" spans="1:16" ht="12.75" x14ac:dyDescent="0.35">
      <c r="A4996" s="7">
        <v>42483.077222222222</v>
      </c>
      <c r="B4996" s="8" t="str">
        <f>HYPERLINK("https://twitter.com/Stony_BS","@Stony_BS")</f>
        <v>@Stony_BS</v>
      </c>
      <c r="C4996" s="9" t="s">
        <v>2680</v>
      </c>
      <c r="D4996" s="9" t="s">
        <v>11604</v>
      </c>
      <c r="E4996" s="10" t="str">
        <f>HYPERLINK("https://twitter.com/Stony_BS/status/723607610080022528","723607610080022528")</f>
        <v>723607610080022528</v>
      </c>
      <c r="F4996" s="11" t="s">
        <v>43</v>
      </c>
      <c r="G4996" s="11">
        <v>40</v>
      </c>
      <c r="H4996" s="11">
        <v>53</v>
      </c>
      <c r="I4996" s="11">
        <v>0</v>
      </c>
      <c r="J4996" s="11">
        <v>1</v>
      </c>
      <c r="K4996" s="11" t="s">
        <v>21</v>
      </c>
      <c r="L4996" s="7">
        <v>41928.806030092594</v>
      </c>
      <c r="M4996" s="12" t="s">
        <v>2682</v>
      </c>
      <c r="N4996" s="12" t="s">
        <v>2683</v>
      </c>
      <c r="O4996" s="10" t="str">
        <f>HYPERLINK("https://pbs.twimg.com/profile_images/668091779313500160/ZepxnJcI_normal.jpg","View")</f>
        <v>View</v>
      </c>
      <c r="P4996" s="11"/>
    </row>
    <row r="4997" spans="1:16" ht="12.75" x14ac:dyDescent="0.35">
      <c r="A4997" s="7">
        <v>42483.077418981484</v>
      </c>
      <c r="B4997" s="8" t="str">
        <f>HYPERLINK("https://twitter.com/CybermikeK","@CybermikeK")</f>
        <v>@CybermikeK</v>
      </c>
      <c r="C4997" s="9" t="s">
        <v>11599</v>
      </c>
      <c r="D4997" s="9" t="s">
        <v>11605</v>
      </c>
      <c r="E4997" s="10" t="str">
        <f>HYPERLINK("https://twitter.com/CybermikeK/status/723607678250061829","723607678250061829")</f>
        <v>723607678250061829</v>
      </c>
      <c r="F4997" s="11" t="s">
        <v>91</v>
      </c>
      <c r="G4997" s="11">
        <v>28</v>
      </c>
      <c r="H4997" s="11">
        <v>100</v>
      </c>
      <c r="I4997" s="11">
        <v>0</v>
      </c>
      <c r="J4997" s="11">
        <v>1</v>
      </c>
      <c r="K4997" s="11" t="s">
        <v>21</v>
      </c>
      <c r="L4997" s="7">
        <v>41774.082800925928</v>
      </c>
      <c r="M4997" s="12" t="s">
        <v>9368</v>
      </c>
      <c r="N4997" s="12" t="s">
        <v>11601</v>
      </c>
      <c r="O4997" s="10" t="str">
        <f>HYPERLINK("https://pbs.twimg.com/profile_images/642428814765723652/y6jxhWsq_normal.jpg","View")</f>
        <v>View</v>
      </c>
      <c r="P4997" s="11"/>
    </row>
    <row r="4998" spans="1:16" ht="12.75" x14ac:dyDescent="0.35">
      <c r="A4998" s="7">
        <v>42483.077418981484</v>
      </c>
      <c r="B4998" s="8" t="str">
        <f>HYPERLINK("https://twitter.com/TimSchmuckall","@TimSchmuckall")</f>
        <v>@TimSchmuckall</v>
      </c>
      <c r="C4998" s="9" t="s">
        <v>11584</v>
      </c>
      <c r="D4998" s="9" t="s">
        <v>11606</v>
      </c>
      <c r="E4998" s="10" t="str">
        <f>HYPERLINK("https://twitter.com/TimSchmuckall/status/723607680590446592","723607680590446592")</f>
        <v>723607680590446592</v>
      </c>
      <c r="F4998" s="11" t="s">
        <v>48</v>
      </c>
      <c r="G4998" s="11">
        <v>2160</v>
      </c>
      <c r="H4998" s="11">
        <v>2012</v>
      </c>
      <c r="I4998" s="11">
        <v>0</v>
      </c>
      <c r="J4998" s="11">
        <v>0</v>
      </c>
      <c r="K4998" s="11" t="s">
        <v>21</v>
      </c>
      <c r="L4998" s="7">
        <v>40631.691261574073</v>
      </c>
      <c r="M4998" s="12" t="s">
        <v>11586</v>
      </c>
      <c r="N4998" s="12" t="s">
        <v>11587</v>
      </c>
      <c r="O4998" s="10" t="str">
        <f>HYPERLINK("https://pbs.twimg.com/profile_images/712580602076246016/snGbW6JJ_normal.jpg","View")</f>
        <v>View</v>
      </c>
      <c r="P4998" s="11"/>
    </row>
    <row r="4999" spans="1:16" ht="12.75" x14ac:dyDescent="0.35">
      <c r="A4999" s="7">
        <v>42483.077789351853</v>
      </c>
      <c r="B4999" s="8" t="str">
        <f>HYPERLINK("https://twitter.com/DeeJayDready","@DeeJayDready")</f>
        <v>@DeeJayDready</v>
      </c>
      <c r="C4999" s="9" t="s">
        <v>11607</v>
      </c>
      <c r="D4999" s="9" t="s">
        <v>11608</v>
      </c>
      <c r="E4999" s="10" t="str">
        <f>HYPERLINK("https://twitter.com/DeeJayDready/status/723607814652960770","723607814652960770")</f>
        <v>723607814652960770</v>
      </c>
      <c r="F4999" s="11" t="s">
        <v>20</v>
      </c>
      <c r="G4999" s="11">
        <v>173</v>
      </c>
      <c r="H4999" s="11">
        <v>200</v>
      </c>
      <c r="I4999" s="11">
        <v>0</v>
      </c>
      <c r="J4999" s="11">
        <v>0</v>
      </c>
      <c r="K4999" s="11" t="s">
        <v>21</v>
      </c>
      <c r="L4999" s="7">
        <v>40539.759756944448</v>
      </c>
      <c r="M4999" s="12" t="s">
        <v>11609</v>
      </c>
      <c r="N4999" s="12" t="s">
        <v>11610</v>
      </c>
      <c r="O4999" s="10" t="str">
        <f>HYPERLINK("https://pbs.twimg.com/profile_images/478129573243011072/IFObbHde_normal.jpeg","View")</f>
        <v>View</v>
      </c>
      <c r="P4999" s="11"/>
    </row>
    <row r="5000" spans="1:16" ht="12.75" x14ac:dyDescent="0.35">
      <c r="A5000" s="7">
        <v>42483.077939814815</v>
      </c>
      <c r="B5000" s="8" t="str">
        <f>HYPERLINK("https://twitter.com/Marktzyniker","@Marktzyniker")</f>
        <v>@Marktzyniker</v>
      </c>
      <c r="C5000" s="9" t="s">
        <v>4717</v>
      </c>
      <c r="D5000" s="9" t="s">
        <v>11611</v>
      </c>
      <c r="E5000" s="10" t="str">
        <f>HYPERLINK("https://twitter.com/Marktzyniker/status/723607868340076545","723607868340076545")</f>
        <v>723607868340076545</v>
      </c>
      <c r="F5000" s="11" t="s">
        <v>43</v>
      </c>
      <c r="G5000" s="11">
        <v>2016</v>
      </c>
      <c r="H5000" s="11">
        <v>1953</v>
      </c>
      <c r="I5000" s="11">
        <v>0</v>
      </c>
      <c r="J5000" s="11">
        <v>0</v>
      </c>
      <c r="K5000" s="11" t="s">
        <v>21</v>
      </c>
      <c r="L5000" s="7">
        <v>40233.883113425924</v>
      </c>
      <c r="M5000" s="12" t="s">
        <v>953</v>
      </c>
      <c r="N5000" s="12" t="s">
        <v>4719</v>
      </c>
      <c r="O5000" s="10" t="str">
        <f>HYPERLINK("https://pbs.twimg.com/profile_images/1169387207/uhu_normal.jpg","View")</f>
        <v>View</v>
      </c>
      <c r="P5000" s="11"/>
    </row>
    <row r="5001" spans="1:16" ht="12.75" x14ac:dyDescent="0.35">
      <c r="A5001" s="7">
        <v>42483.078020833331</v>
      </c>
      <c r="B5001" s="8" t="str">
        <f>HYPERLINK("https://twitter.com/Kathreinerle","@Kathreinerle")</f>
        <v>@Kathreinerle</v>
      </c>
      <c r="C5001" s="9" t="s">
        <v>11612</v>
      </c>
      <c r="D5001" s="9" t="s">
        <v>11613</v>
      </c>
      <c r="E5001" s="10" t="str">
        <f>HYPERLINK("https://twitter.com/Kathreinerle/status/723607897368829952","723607897368829952")</f>
        <v>723607897368829952</v>
      </c>
      <c r="F5001" s="11" t="s">
        <v>91</v>
      </c>
      <c r="G5001" s="11">
        <v>13</v>
      </c>
      <c r="H5001" s="11">
        <v>23</v>
      </c>
      <c r="I5001" s="11">
        <v>0</v>
      </c>
      <c r="J5001" s="11">
        <v>0</v>
      </c>
      <c r="K5001" s="11" t="s">
        <v>21</v>
      </c>
      <c r="L5001" s="7">
        <v>40861.776597222226</v>
      </c>
      <c r="M5001" s="12" t="s">
        <v>11614</v>
      </c>
      <c r="N5001" s="12" t="s">
        <v>11615</v>
      </c>
      <c r="O5001" s="10" t="str">
        <f>HYPERLINK("https://pbs.twimg.com/profile_images/723450768179646464/koBI5Xqg_normal.jpg","View")</f>
        <v>View</v>
      </c>
      <c r="P5001" s="11"/>
    </row>
    <row r="5002" spans="1:16" ht="12.75" x14ac:dyDescent="0.35">
      <c r="A5002" s="7">
        <v>42483.07813657407</v>
      </c>
      <c r="B5002" s="8" t="str">
        <f>HYPERLINK("https://twitter.com/ZDFhannover","@ZDFhannover")</f>
        <v>@ZDFhannover</v>
      </c>
      <c r="C5002" s="9" t="s">
        <v>8052</v>
      </c>
      <c r="D5002" s="9" t="s">
        <v>11616</v>
      </c>
      <c r="E5002" s="10" t="str">
        <f>HYPERLINK("https://twitter.com/ZDFhannover/status/723607939429326848","723607939429326848")</f>
        <v>723607939429326848</v>
      </c>
      <c r="F5002" s="11" t="s">
        <v>43</v>
      </c>
      <c r="G5002" s="11">
        <v>1182</v>
      </c>
      <c r="H5002" s="11">
        <v>107</v>
      </c>
      <c r="I5002" s="11">
        <v>0</v>
      </c>
      <c r="J5002" s="11">
        <v>0</v>
      </c>
      <c r="K5002" s="11" t="s">
        <v>21</v>
      </c>
      <c r="L5002" s="7">
        <v>41116.613692129627</v>
      </c>
      <c r="M5002" s="12" t="s">
        <v>6661</v>
      </c>
      <c r="N5002" s="12" t="s">
        <v>8054</v>
      </c>
      <c r="O5002" s="10" t="str">
        <f>HYPERLINK("https://pbs.twimg.com/profile_images/606071164478308352/Bpbe55iE_normal.png","View")</f>
        <v>View</v>
      </c>
      <c r="P5002" s="11"/>
    </row>
    <row r="5003" spans="1:16" ht="12.75" x14ac:dyDescent="0.35">
      <c r="A5003" s="7">
        <v>42483.078159722223</v>
      </c>
      <c r="B5003" s="8" t="str">
        <f>HYPERLINK("https://twitter.com/NanoSilveiraOK","@NanoSilveiraOK")</f>
        <v>@NanoSilveiraOK</v>
      </c>
      <c r="C5003" s="9" t="s">
        <v>11617</v>
      </c>
      <c r="D5003" s="9" t="s">
        <v>11618</v>
      </c>
      <c r="E5003" s="10" t="str">
        <f>HYPERLINK("https://twitter.com/NanoSilveiraOK/status/723607948694556672","723607948694556672")</f>
        <v>723607948694556672</v>
      </c>
      <c r="F5003" s="11" t="s">
        <v>114</v>
      </c>
      <c r="G5003" s="11">
        <v>1106</v>
      </c>
      <c r="H5003" s="11">
        <v>1896</v>
      </c>
      <c r="I5003" s="11">
        <v>0</v>
      </c>
      <c r="J5003" s="11">
        <v>0</v>
      </c>
      <c r="K5003" s="11" t="s">
        <v>21</v>
      </c>
      <c r="L5003" s="7">
        <v>40728.673703703702</v>
      </c>
      <c r="M5003" s="12" t="s">
        <v>4440</v>
      </c>
      <c r="N5003" s="12" t="s">
        <v>11619</v>
      </c>
      <c r="O5003" s="10" t="str">
        <f>HYPERLINK("https://pbs.twimg.com/profile_images/678664972382130176/rmyLdGBk_normal.jpg","View")</f>
        <v>View</v>
      </c>
      <c r="P5003" s="11"/>
    </row>
    <row r="5004" spans="1:16" ht="12.75" x14ac:dyDescent="0.35">
      <c r="A5004" s="7">
        <v>42483.078287037039</v>
      </c>
      <c r="B5004" s="8" t="str">
        <f t="shared" ref="B5004:B5005" si="431">HYPERLINK("https://twitter.com/VWCamperSales","@VWCamperSales")</f>
        <v>@VWCamperSales</v>
      </c>
      <c r="C5004" s="9" t="s">
        <v>216</v>
      </c>
      <c r="D5004" s="9" t="s">
        <v>11620</v>
      </c>
      <c r="E5004" s="10" t="str">
        <f>HYPERLINK("https://twitter.com/VWCamperSales/status/723607992772399104","723607992772399104")</f>
        <v>723607992772399104</v>
      </c>
      <c r="F5004" s="10" t="s">
        <v>124</v>
      </c>
      <c r="G5004" s="11">
        <v>618</v>
      </c>
      <c r="H5004" s="11">
        <v>580</v>
      </c>
      <c r="I5004" s="11">
        <v>0</v>
      </c>
      <c r="J5004" s="11">
        <v>0</v>
      </c>
      <c r="K5004" s="11" t="s">
        <v>21</v>
      </c>
      <c r="L5004" s="7">
        <v>42215.98809027778</v>
      </c>
      <c r="M5004" s="12" t="s">
        <v>129</v>
      </c>
      <c r="N5004" s="12" t="s">
        <v>218</v>
      </c>
      <c r="O5004" s="10" t="str">
        <f t="shared" ref="O5004:O5005" si="432">HYPERLINK("https://pbs.twimg.com/profile_images/627949001179037696/skEBkS05_normal.jpg","View")</f>
        <v>View</v>
      </c>
      <c r="P5004" s="11"/>
    </row>
    <row r="5005" spans="1:16" ht="12.75" x14ac:dyDescent="0.35">
      <c r="A5005" s="7">
        <v>42483.078287037039</v>
      </c>
      <c r="B5005" s="8" t="str">
        <f t="shared" si="431"/>
        <v>@VWCamperSales</v>
      </c>
      <c r="C5005" s="9" t="s">
        <v>216</v>
      </c>
      <c r="D5005" s="9" t="s">
        <v>11621</v>
      </c>
      <c r="E5005" s="10" t="str">
        <f>HYPERLINK("https://twitter.com/VWCamperSales/status/723607995469299713","723607995469299713")</f>
        <v>723607995469299713</v>
      </c>
      <c r="F5005" s="10" t="s">
        <v>124</v>
      </c>
      <c r="G5005" s="11">
        <v>618</v>
      </c>
      <c r="H5005" s="11">
        <v>580</v>
      </c>
      <c r="I5005" s="11">
        <v>0</v>
      </c>
      <c r="J5005" s="11">
        <v>0</v>
      </c>
      <c r="K5005" s="11" t="s">
        <v>21</v>
      </c>
      <c r="L5005" s="7">
        <v>42215.98809027778</v>
      </c>
      <c r="M5005" s="12" t="s">
        <v>129</v>
      </c>
      <c r="N5005" s="12" t="s">
        <v>218</v>
      </c>
      <c r="O5005" s="10" t="str">
        <f t="shared" si="432"/>
        <v>View</v>
      </c>
      <c r="P5005" s="11"/>
    </row>
    <row r="5006" spans="1:16" ht="12.75" x14ac:dyDescent="0.35">
      <c r="A5006" s="7">
        <v>42483.078506944439</v>
      </c>
      <c r="B5006" s="8" t="str">
        <f>HYPERLINK("https://twitter.com/Insta_VWT","@Insta_VWT")</f>
        <v>@Insta_VWT</v>
      </c>
      <c r="C5006" s="9" t="s">
        <v>181</v>
      </c>
      <c r="D5006" s="9" t="s">
        <v>11622</v>
      </c>
      <c r="E5006" s="10" t="str">
        <f>HYPERLINK("https://twitter.com/Insta_VWT/status/723608075337265153","723608075337265153")</f>
        <v>723608075337265153</v>
      </c>
      <c r="F5006" s="11" t="s">
        <v>68</v>
      </c>
      <c r="G5006" s="11">
        <v>482</v>
      </c>
      <c r="H5006" s="11">
        <v>0</v>
      </c>
      <c r="I5006" s="11">
        <v>0</v>
      </c>
      <c r="J5006" s="11">
        <v>0</v>
      </c>
      <c r="K5006" s="11" t="s">
        <v>21</v>
      </c>
      <c r="L5006" s="7">
        <v>41658.782800925925</v>
      </c>
      <c r="M5006" s="12" t="s">
        <v>183</v>
      </c>
      <c r="N5006" s="12" t="s">
        <v>184</v>
      </c>
      <c r="O5006" s="10" t="str">
        <f>HYPERLINK("https://pbs.twimg.com/profile_images/424893967197433858/iQ86NktX_normal.jpeg","View")</f>
        <v>View</v>
      </c>
      <c r="P5006" s="11"/>
    </row>
    <row r="5007" spans="1:16" ht="12.75" x14ac:dyDescent="0.35">
      <c r="A5007" s="7">
        <v>42483.078668981485</v>
      </c>
      <c r="B5007" s="8" t="str">
        <f>HYPERLINK("https://twitter.com/S_Galimberti","@S_Galimberti")</f>
        <v>@S_Galimberti</v>
      </c>
      <c r="C5007" s="9" t="s">
        <v>11623</v>
      </c>
      <c r="D5007" s="9" t="s">
        <v>11624</v>
      </c>
      <c r="E5007" s="10" t="str">
        <f>HYPERLINK("https://twitter.com/S_Galimberti/status/723608133990526976","723608133990526976")</f>
        <v>723608133990526976</v>
      </c>
      <c r="F5007" s="11" t="s">
        <v>43</v>
      </c>
      <c r="G5007" s="11">
        <v>52581</v>
      </c>
      <c r="H5007" s="11">
        <v>50171</v>
      </c>
      <c r="I5007" s="11">
        <v>0</v>
      </c>
      <c r="J5007" s="11">
        <v>1</v>
      </c>
      <c r="K5007" s="11" t="s">
        <v>21</v>
      </c>
      <c r="L5007" s="7">
        <v>41507.736643518518</v>
      </c>
      <c r="M5007" s="12" t="s">
        <v>2663</v>
      </c>
      <c r="N5007" s="12" t="s">
        <v>11625</v>
      </c>
      <c r="O5007" s="10" t="str">
        <f>HYPERLINK("https://pbs.twimg.com/profile_images/688140202565476352/EvprkhJd_normal.jpg","View")</f>
        <v>View</v>
      </c>
      <c r="P5007" s="11"/>
    </row>
    <row r="5008" spans="1:16" ht="12.75" x14ac:dyDescent="0.35">
      <c r="A5008" s="7">
        <v>42483.078993055555</v>
      </c>
      <c r="B5008" s="8" t="str">
        <f>HYPERLINK("https://twitter.com/brizna68","@brizna68")</f>
        <v>@brizna68</v>
      </c>
      <c r="C5008" s="9" t="s">
        <v>11626</v>
      </c>
      <c r="D5008" s="9" t="s">
        <v>11627</v>
      </c>
      <c r="E5008" s="10" t="str">
        <f>HYPERLINK("https://twitter.com/brizna68/status/723608250113994752","723608250113994752")</f>
        <v>723608250113994752</v>
      </c>
      <c r="F5008" s="11" t="s">
        <v>48</v>
      </c>
      <c r="G5008" s="11">
        <v>266</v>
      </c>
      <c r="H5008" s="11">
        <v>496</v>
      </c>
      <c r="I5008" s="11">
        <v>0</v>
      </c>
      <c r="J5008" s="11">
        <v>0</v>
      </c>
      <c r="K5008" s="11" t="s">
        <v>21</v>
      </c>
      <c r="L5008" s="7">
        <v>41715.070729166662</v>
      </c>
      <c r="M5008" s="12" t="s">
        <v>11628</v>
      </c>
      <c r="N5008" s="12"/>
      <c r="O5008" s="10" t="str">
        <f>HYPERLINK("https://pbs.twimg.com/profile_images/485867296762507265/NeMMN_lk_normal.jpeg","View")</f>
        <v>View</v>
      </c>
      <c r="P5008" s="11"/>
    </row>
    <row r="5009" spans="1:16" ht="12.75" x14ac:dyDescent="0.35">
      <c r="A5009" s="7">
        <v>42483.079166666663</v>
      </c>
      <c r="B5009" s="8" t="str">
        <f>HYPERLINK("https://twitter.com/magloeckner","@magloeckner")</f>
        <v>@magloeckner</v>
      </c>
      <c r="C5009" s="9" t="s">
        <v>11629</v>
      </c>
      <c r="D5009" s="9" t="s">
        <v>9477</v>
      </c>
      <c r="E5009" s="10" t="str">
        <f>HYPERLINK("https://twitter.com/magloeckner/status/723608312521068545","723608312521068545")</f>
        <v>723608312521068545</v>
      </c>
      <c r="F5009" s="11" t="s">
        <v>43</v>
      </c>
      <c r="G5009" s="11">
        <v>75</v>
      </c>
      <c r="H5009" s="11">
        <v>60</v>
      </c>
      <c r="I5009" s="11">
        <v>7</v>
      </c>
      <c r="J5009" s="11">
        <v>0</v>
      </c>
      <c r="K5009" s="11" t="s">
        <v>21</v>
      </c>
      <c r="L5009" s="7">
        <v>41779.145509259259</v>
      </c>
      <c r="M5009" s="12" t="s">
        <v>11630</v>
      </c>
      <c r="N5009" s="12" t="s">
        <v>11631</v>
      </c>
      <c r="O5009" s="10" t="str">
        <f>HYPERLINK("https://pbs.twimg.com/profile_images/611220111056314368/Di83Q3l7_normal.jpg","View")</f>
        <v>View</v>
      </c>
      <c r="P5009" s="11"/>
    </row>
    <row r="5010" spans="1:16" ht="12.75" x14ac:dyDescent="0.35">
      <c r="A5010" s="7">
        <v>42483.079502314809</v>
      </c>
      <c r="B5010" s="8" t="str">
        <f>HYPERLINK("https://twitter.com/Scirocco_Tuning","@Scirocco_Tuning")</f>
        <v>@Scirocco_Tuning</v>
      </c>
      <c r="C5010" s="9" t="s">
        <v>51</v>
      </c>
      <c r="D5010" s="9" t="s">
        <v>11632</v>
      </c>
      <c r="E5010" s="10" t="str">
        <f>HYPERLINK("https://twitter.com/Scirocco_Tuning/status/723608436819238912","723608436819238912")</f>
        <v>723608436819238912</v>
      </c>
      <c r="F5010" s="11" t="s">
        <v>53</v>
      </c>
      <c r="G5010" s="11">
        <v>69</v>
      </c>
      <c r="H5010" s="11">
        <v>215</v>
      </c>
      <c r="I5010" s="11">
        <v>0</v>
      </c>
      <c r="J5010" s="11">
        <v>0</v>
      </c>
      <c r="K5010" s="11" t="s">
        <v>21</v>
      </c>
      <c r="L5010" s="7">
        <v>40844.564722222218</v>
      </c>
      <c r="M5010" s="12"/>
      <c r="N5010" s="12"/>
      <c r="O5010" s="10" t="str">
        <f>HYPERLINK("https://pbs.twimg.com/profile_images/1610421423/Image2_normal.jpg","View")</f>
        <v>View</v>
      </c>
      <c r="P5010" s="11"/>
    </row>
    <row r="5011" spans="1:16" ht="12.75" x14ac:dyDescent="0.35">
      <c r="A5011" s="7">
        <v>42483.079583333332</v>
      </c>
      <c r="B5011" s="8" t="str">
        <f>HYPERLINK("https://twitter.com/nullzeit","@nullzeit")</f>
        <v>@nullzeit</v>
      </c>
      <c r="C5011" s="9" t="s">
        <v>11633</v>
      </c>
      <c r="D5011" s="9" t="s">
        <v>11634</v>
      </c>
      <c r="E5011" s="10" t="str">
        <f>HYPERLINK("https://twitter.com/nullzeit/status/723608462404493313","723608462404493313")</f>
        <v>723608462404493313</v>
      </c>
      <c r="F5011" s="11" t="s">
        <v>43</v>
      </c>
      <c r="G5011" s="11">
        <v>96</v>
      </c>
      <c r="H5011" s="11">
        <v>185</v>
      </c>
      <c r="I5011" s="11">
        <v>1</v>
      </c>
      <c r="J5011" s="11">
        <v>0</v>
      </c>
      <c r="K5011" s="11" t="s">
        <v>21</v>
      </c>
      <c r="L5011" s="7">
        <v>39897.244432870371</v>
      </c>
      <c r="M5011" s="12" t="s">
        <v>11635</v>
      </c>
      <c r="N5011" s="12"/>
      <c r="O5011" s="10" t="str">
        <f>HYPERLINK("https://pbs.twimg.com/profile_images/511655556637921280/dYwH4GcW_normal.jpeg","View")</f>
        <v>View</v>
      </c>
      <c r="P5011" s="11"/>
    </row>
    <row r="5012" spans="1:16" ht="12.75" x14ac:dyDescent="0.35">
      <c r="A5012" s="7">
        <v>42483.079872685186</v>
      </c>
      <c r="B5012" s="8" t="str">
        <f>HYPERLINK("https://twitter.com/Marktzyniker","@Marktzyniker")</f>
        <v>@Marktzyniker</v>
      </c>
      <c r="C5012" s="9" t="s">
        <v>4717</v>
      </c>
      <c r="D5012" s="9" t="s">
        <v>11636</v>
      </c>
      <c r="E5012" s="10" t="str">
        <f>HYPERLINK("https://twitter.com/Marktzyniker/status/723608569493512192","723608569493512192")</f>
        <v>723608569493512192</v>
      </c>
      <c r="F5012" s="11" t="s">
        <v>43</v>
      </c>
      <c r="G5012" s="11">
        <v>2016</v>
      </c>
      <c r="H5012" s="11">
        <v>1953</v>
      </c>
      <c r="I5012" s="11">
        <v>0</v>
      </c>
      <c r="J5012" s="11">
        <v>0</v>
      </c>
      <c r="K5012" s="11" t="s">
        <v>21</v>
      </c>
      <c r="L5012" s="7">
        <v>40233.883113425924</v>
      </c>
      <c r="M5012" s="12" t="s">
        <v>953</v>
      </c>
      <c r="N5012" s="12" t="s">
        <v>4719</v>
      </c>
      <c r="O5012" s="10" t="str">
        <f>HYPERLINK("https://pbs.twimg.com/profile_images/1169387207/uhu_normal.jpg","View")</f>
        <v>View</v>
      </c>
      <c r="P5012" s="11"/>
    </row>
    <row r="5013" spans="1:16" ht="12.75" x14ac:dyDescent="0.35">
      <c r="A5013" s="7">
        <v>42483.079884259263</v>
      </c>
      <c r="B5013" s="8" t="str">
        <f>HYPERLINK("https://twitter.com/VCT_Tweets","@VCT_Tweets")</f>
        <v>@VCT_Tweets</v>
      </c>
      <c r="C5013" s="9" t="s">
        <v>199</v>
      </c>
      <c r="D5013" s="9" t="s">
        <v>11637</v>
      </c>
      <c r="E5013" s="10" t="str">
        <f>HYPERLINK("https://twitter.com/VCT_Tweets/status/723608573406765057","723608573406765057")</f>
        <v>723608573406765057</v>
      </c>
      <c r="F5013" s="11" t="s">
        <v>68</v>
      </c>
      <c r="G5013" s="11">
        <v>887</v>
      </c>
      <c r="H5013" s="11">
        <v>211</v>
      </c>
      <c r="I5013" s="11">
        <v>0</v>
      </c>
      <c r="J5013" s="11">
        <v>0</v>
      </c>
      <c r="K5013" s="11" t="s">
        <v>21</v>
      </c>
      <c r="L5013" s="7">
        <v>40744.914837962962</v>
      </c>
      <c r="M5013" s="12" t="s">
        <v>201</v>
      </c>
      <c r="N5013" s="12" t="s">
        <v>202</v>
      </c>
      <c r="O5013" s="10" t="str">
        <f>HYPERLINK("https://pbs.twimg.com/profile_images/569800899141177344/nVFLMSdb_normal.png","View")</f>
        <v>View</v>
      </c>
      <c r="P5013" s="11"/>
    </row>
    <row r="5014" spans="1:16" ht="12.75" x14ac:dyDescent="0.35">
      <c r="A5014" s="7">
        <v>42483.080474537041</v>
      </c>
      <c r="B5014" s="8" t="str">
        <f>HYPERLINK("https://twitter.com/Nikola_John","@Nikola_John")</f>
        <v>@Nikola_John</v>
      </c>
      <c r="C5014" s="9" t="s">
        <v>11638</v>
      </c>
      <c r="D5014" s="9" t="s">
        <v>11639</v>
      </c>
      <c r="E5014" s="10" t="str">
        <f>HYPERLINK("https://twitter.com/Nikola_John/status/723608785139449856","723608785139449856")</f>
        <v>723608785139449856</v>
      </c>
      <c r="F5014" s="11" t="s">
        <v>43</v>
      </c>
      <c r="G5014" s="11">
        <v>125</v>
      </c>
      <c r="H5014" s="11">
        <v>319</v>
      </c>
      <c r="I5014" s="11">
        <v>0</v>
      </c>
      <c r="J5014" s="11">
        <v>0</v>
      </c>
      <c r="K5014" s="11" t="s">
        <v>21</v>
      </c>
      <c r="L5014" s="7">
        <v>39996.551678240743</v>
      </c>
      <c r="M5014" s="12" t="s">
        <v>1288</v>
      </c>
      <c r="N5014" s="12" t="s">
        <v>11640</v>
      </c>
      <c r="O5014" s="10" t="str">
        <f>HYPERLINK("https://pbs.twimg.com/profile_images/1775415820/D_nemark_530_normal.jpg","View")</f>
        <v>View</v>
      </c>
      <c r="P5014" s="11"/>
    </row>
    <row r="5015" spans="1:16" ht="12.75" x14ac:dyDescent="0.35">
      <c r="A5015" s="7">
        <v>42483.080601851849</v>
      </c>
      <c r="B5015" s="8" t="str">
        <f>HYPERLINK("https://twitter.com/Pele2266","@Pele2266")</f>
        <v>@Pele2266</v>
      </c>
      <c r="C5015" s="9" t="s">
        <v>11641</v>
      </c>
      <c r="D5015" s="9" t="s">
        <v>11642</v>
      </c>
      <c r="E5015" s="10" t="str">
        <f>HYPERLINK("https://twitter.com/Pele2266/status/723608833923399680","723608833923399680")</f>
        <v>723608833923399680</v>
      </c>
      <c r="F5015" s="11" t="s">
        <v>48</v>
      </c>
      <c r="G5015" s="11">
        <v>413</v>
      </c>
      <c r="H5015" s="11">
        <v>356</v>
      </c>
      <c r="I5015" s="11">
        <v>0</v>
      </c>
      <c r="J5015" s="11">
        <v>0</v>
      </c>
      <c r="K5015" s="11" t="s">
        <v>21</v>
      </c>
      <c r="L5015" s="7">
        <v>41578.705011574071</v>
      </c>
      <c r="M5015" s="12"/>
      <c r="N5015" s="12" t="s">
        <v>11643</v>
      </c>
      <c r="O5015" s="10" t="str">
        <f>HYPERLINK("https://pbs.twimg.com/profile_images/715481159937830913/K_ygMlAM_normal.jpg","View")</f>
        <v>View</v>
      </c>
      <c r="P5015" s="11"/>
    </row>
    <row r="5016" spans="1:16" ht="12.75" x14ac:dyDescent="0.35">
      <c r="A5016" s="7">
        <v>42483.081041666665</v>
      </c>
      <c r="B5016" s="8" t="str">
        <f>HYPERLINK("https://twitter.com/GerdaTrapp","@GerdaTrapp")</f>
        <v>@GerdaTrapp</v>
      </c>
      <c r="C5016" s="9" t="s">
        <v>11644</v>
      </c>
      <c r="D5016" s="9" t="s">
        <v>11645</v>
      </c>
      <c r="E5016" s="10" t="str">
        <f>HYPERLINK("https://twitter.com/GerdaTrapp/status/723608992287711232","723608992287711232")</f>
        <v>723608992287711232</v>
      </c>
      <c r="F5016" s="11" t="s">
        <v>43</v>
      </c>
      <c r="G5016" s="11">
        <v>118</v>
      </c>
      <c r="H5016" s="11">
        <v>33</v>
      </c>
      <c r="I5016" s="11">
        <v>0</v>
      </c>
      <c r="J5016" s="11">
        <v>0</v>
      </c>
      <c r="K5016" s="11" t="s">
        <v>21</v>
      </c>
      <c r="L5016" s="7">
        <v>40794.739016203705</v>
      </c>
      <c r="M5016" s="12" t="s">
        <v>7289</v>
      </c>
      <c r="N5016" s="12" t="s">
        <v>11646</v>
      </c>
      <c r="O5016" s="10" t="str">
        <f>HYPERLINK("https://pbs.twimg.com/profile_images/683416522824519681/EfO40W2P_normal.jpg","View")</f>
        <v>View</v>
      </c>
      <c r="P5016" s="11"/>
    </row>
    <row r="5017" spans="1:16" ht="12.75" x14ac:dyDescent="0.35">
      <c r="A5017" s="7">
        <v>42483.082372685181</v>
      </c>
      <c r="B5017" s="8" t="str">
        <f>HYPERLINK("https://twitter.com/la40K","@la40K")</f>
        <v>@la40K</v>
      </c>
      <c r="C5017" s="14">
        <v>42575</v>
      </c>
      <c r="D5017" s="9" t="s">
        <v>10808</v>
      </c>
      <c r="E5017" s="10" t="str">
        <f>HYPERLINK("https://twitter.com/la40K/status/723609474704003073","723609474704003073")</f>
        <v>723609474704003073</v>
      </c>
      <c r="F5017" s="11" t="s">
        <v>48</v>
      </c>
      <c r="G5017" s="11">
        <v>1033</v>
      </c>
      <c r="H5017" s="11">
        <v>993</v>
      </c>
      <c r="I5017" s="11">
        <v>42</v>
      </c>
      <c r="J5017" s="11">
        <v>0</v>
      </c>
      <c r="K5017" s="11" t="s">
        <v>21</v>
      </c>
      <c r="L5017" s="7">
        <v>41569.06931712963</v>
      </c>
      <c r="M5017" s="12" t="s">
        <v>11647</v>
      </c>
      <c r="N5017" s="12" t="s">
        <v>11648</v>
      </c>
      <c r="O5017" s="10" t="str">
        <f>HYPERLINK("https://pbs.twimg.com/profile_images/721544673790140417/LHUMRCDA_normal.jpg","View")</f>
        <v>View</v>
      </c>
      <c r="P5017" s="11"/>
    </row>
    <row r="5018" spans="1:16" ht="12.75" x14ac:dyDescent="0.35">
      <c r="A5018" s="7">
        <v>42483.082465277781</v>
      </c>
      <c r="B5018" s="8" t="str">
        <f>HYPERLINK("https://twitter.com/ianb1550","@ianb1550")</f>
        <v>@ianb1550</v>
      </c>
      <c r="C5018" s="9" t="s">
        <v>11649</v>
      </c>
      <c r="D5018" s="9" t="s">
        <v>10837</v>
      </c>
      <c r="E5018" s="10" t="str">
        <f>HYPERLINK("https://twitter.com/ianb1550/status/723609507516035073","723609507516035073")</f>
        <v>723609507516035073</v>
      </c>
      <c r="F5018" s="11" t="s">
        <v>20</v>
      </c>
      <c r="G5018" s="11">
        <v>88</v>
      </c>
      <c r="H5018" s="11">
        <v>567</v>
      </c>
      <c r="I5018" s="11">
        <v>17</v>
      </c>
      <c r="J5018" s="11">
        <v>0</v>
      </c>
      <c r="K5018" s="11" t="s">
        <v>21</v>
      </c>
      <c r="L5018" s="7">
        <v>41116.120370370372</v>
      </c>
      <c r="M5018" s="12"/>
      <c r="N5018" s="12"/>
      <c r="O5018" s="10" t="str">
        <f>HYPERLINK("https://abs.twimg.com/sticky/default_profile_images/default_profile_5_normal.png","View")</f>
        <v>View</v>
      </c>
      <c r="P5018" s="11"/>
    </row>
    <row r="5019" spans="1:16" ht="12.75" x14ac:dyDescent="0.35">
      <c r="A5019" s="7">
        <v>42483.083368055552</v>
      </c>
      <c r="B5019" s="8" t="str">
        <f>HYPERLINK("https://twitter.com/sozialromantik","@sozialromantik")</f>
        <v>@sozialromantik</v>
      </c>
      <c r="C5019" s="9" t="s">
        <v>11650</v>
      </c>
      <c r="D5019" s="9" t="s">
        <v>11651</v>
      </c>
      <c r="E5019" s="10" t="str">
        <f>HYPERLINK("https://twitter.com/sozialromantik/status/723609837741969408","723609837741969408")</f>
        <v>723609837741969408</v>
      </c>
      <c r="F5019" s="11" t="s">
        <v>2060</v>
      </c>
      <c r="G5019" s="11">
        <v>616</v>
      </c>
      <c r="H5019" s="11">
        <v>883</v>
      </c>
      <c r="I5019" s="11">
        <v>1</v>
      </c>
      <c r="J5019" s="11">
        <v>0</v>
      </c>
      <c r="K5019" s="11" t="s">
        <v>21</v>
      </c>
      <c r="L5019" s="7">
        <v>39505.607164351852</v>
      </c>
      <c r="M5019" s="12" t="s">
        <v>3186</v>
      </c>
      <c r="N5019" s="12" t="s">
        <v>11652</v>
      </c>
      <c r="O5019" s="10" t="str">
        <f>HYPERLINK("https://pbs.twimg.com/profile_images/69751619/manfred-bartl_normal.jpg","View")</f>
        <v>View</v>
      </c>
      <c r="P5019" s="11"/>
    </row>
    <row r="5020" spans="1:16" ht="12.75" x14ac:dyDescent="0.35">
      <c r="A5020" s="7">
        <v>42483.083483796298</v>
      </c>
      <c r="B5020" s="8" t="str">
        <f>HYPERLINK("https://twitter.com/sophiastrelli","@sophiastrelli")</f>
        <v>@sophiastrelli</v>
      </c>
      <c r="C5020" s="9" t="s">
        <v>2052</v>
      </c>
      <c r="D5020" s="9" t="s">
        <v>11653</v>
      </c>
      <c r="E5020" s="10" t="str">
        <f>HYPERLINK("https://twitter.com/sophiastrelli/status/723609875532623872","723609875532623872")</f>
        <v>723609875532623872</v>
      </c>
      <c r="F5020" s="11" t="s">
        <v>68</v>
      </c>
      <c r="G5020" s="11">
        <v>34</v>
      </c>
      <c r="H5020" s="11">
        <v>20</v>
      </c>
      <c r="I5020" s="11">
        <v>0</v>
      </c>
      <c r="J5020" s="11">
        <v>0</v>
      </c>
      <c r="K5020" s="11" t="s">
        <v>21</v>
      </c>
      <c r="L5020" s="7">
        <v>42171.763425925921</v>
      </c>
      <c r="M5020" s="12"/>
      <c r="N5020" s="12"/>
      <c r="O5020" s="10" t="str">
        <f>HYPERLINK("https://pbs.twimg.com/profile_images/610791642908364802/6HpxS-0Y_normal.jpg","View")</f>
        <v>View</v>
      </c>
      <c r="P5020" s="11"/>
    </row>
    <row r="5021" spans="1:16" ht="12.75" x14ac:dyDescent="0.35">
      <c r="A5021" s="7">
        <v>42483.084189814814</v>
      </c>
      <c r="B5021" s="8" t="str">
        <f>HYPERLINK("https://twitter.com/NOMAD941","@NOMAD941")</f>
        <v>@NOMAD941</v>
      </c>
      <c r="C5021" s="9" t="s">
        <v>11654</v>
      </c>
      <c r="D5021" s="9" t="s">
        <v>11655</v>
      </c>
      <c r="E5021" s="10" t="str">
        <f>HYPERLINK("https://twitter.com/NOMAD941/status/723610134702899201","723610134702899201")</f>
        <v>723610134702899201</v>
      </c>
      <c r="F5021" s="11" t="s">
        <v>114</v>
      </c>
      <c r="G5021" s="11">
        <v>138</v>
      </c>
      <c r="H5021" s="11">
        <v>32</v>
      </c>
      <c r="I5021" s="11">
        <v>0</v>
      </c>
      <c r="J5021" s="11">
        <v>0</v>
      </c>
      <c r="K5021" s="11" t="s">
        <v>21</v>
      </c>
      <c r="L5021" s="7">
        <v>41110.095671296294</v>
      </c>
      <c r="M5021" s="12" t="s">
        <v>11656</v>
      </c>
      <c r="N5021" s="12" t="s">
        <v>11657</v>
      </c>
      <c r="O5021" s="10" t="str">
        <f>HYPERLINK("https://pbs.twimg.com/profile_images/464102517278638081/qFU_Rwh9_normal.jpeg","View")</f>
        <v>View</v>
      </c>
      <c r="P5021" s="11"/>
    </row>
    <row r="5022" spans="1:16" ht="12.75" x14ac:dyDescent="0.35">
      <c r="A5022" s="7">
        <v>42483.084224537037</v>
      </c>
      <c r="B5022" s="8" t="str">
        <f>HYPERLINK("https://twitter.com/DingosPDR","@DingosPDR")</f>
        <v>@DingosPDR</v>
      </c>
      <c r="C5022" s="9" t="s">
        <v>11658</v>
      </c>
      <c r="D5022" s="9" t="s">
        <v>11659</v>
      </c>
      <c r="E5022" s="10" t="str">
        <f>HYPERLINK("https://twitter.com/DingosPDR/status/723610147969482752","723610147969482752")</f>
        <v>723610147969482752</v>
      </c>
      <c r="F5022" s="11" t="s">
        <v>20</v>
      </c>
      <c r="G5022" s="11">
        <v>411</v>
      </c>
      <c r="H5022" s="11">
        <v>83</v>
      </c>
      <c r="I5022" s="11">
        <v>0</v>
      </c>
      <c r="J5022" s="11">
        <v>0</v>
      </c>
      <c r="K5022" s="11" t="s">
        <v>21</v>
      </c>
      <c r="L5022" s="7">
        <v>40073.104861111111</v>
      </c>
      <c r="M5022" s="12" t="s">
        <v>11660</v>
      </c>
      <c r="N5022" s="12" t="s">
        <v>11661</v>
      </c>
      <c r="O5022" s="10" t="str">
        <f>HYPERLINK("https://pbs.twimg.com/profile_images/2777446765/3a79c1e9433e5fd3f5b82dcba18e9c95_normal.jpeg","View")</f>
        <v>View</v>
      </c>
      <c r="P5022" s="11"/>
    </row>
    <row r="5023" spans="1:16" ht="12.75" x14ac:dyDescent="0.35">
      <c r="A5023" s="7">
        <v>42483.084606481483</v>
      </c>
      <c r="B5023" s="8" t="str">
        <f>HYPERLINK("https://twitter.com/konni1068","@konni1068")</f>
        <v>@konni1068</v>
      </c>
      <c r="C5023" s="9" t="s">
        <v>11662</v>
      </c>
      <c r="D5023" s="9" t="s">
        <v>11663</v>
      </c>
      <c r="E5023" s="10" t="str">
        <f>HYPERLINK("https://twitter.com/konni1068/status/723610283801976832","723610283801976832")</f>
        <v>723610283801976832</v>
      </c>
      <c r="F5023" s="11" t="s">
        <v>20</v>
      </c>
      <c r="G5023" s="11">
        <v>15</v>
      </c>
      <c r="H5023" s="11">
        <v>138</v>
      </c>
      <c r="I5023" s="11">
        <v>1</v>
      </c>
      <c r="J5023" s="11">
        <v>0</v>
      </c>
      <c r="K5023" s="11" t="s">
        <v>21</v>
      </c>
      <c r="L5023" s="7">
        <v>41074.073888888888</v>
      </c>
      <c r="M5023" s="12" t="s">
        <v>11664</v>
      </c>
      <c r="N5023" s="12" t="s">
        <v>11665</v>
      </c>
      <c r="O5023" s="10" t="str">
        <f>HYPERLINK("https://pbs.twimg.com/profile_images/624699093244354560/aGGGpGf3_normal.jpg","View")</f>
        <v>View</v>
      </c>
      <c r="P5023" s="11"/>
    </row>
    <row r="5024" spans="1:16" ht="12.75" x14ac:dyDescent="0.35">
      <c r="A5024" s="7">
        <v>42483.085011574076</v>
      </c>
      <c r="B5024" s="8" t="str">
        <f>HYPERLINK("https://twitter.com/Way_Cool_","@Way_Cool_")</f>
        <v>@Way_Cool_</v>
      </c>
      <c r="C5024" s="9" t="s">
        <v>2811</v>
      </c>
      <c r="D5024" s="9" t="s">
        <v>11666</v>
      </c>
      <c r="E5024" s="10" t="str">
        <f>HYPERLINK("https://twitter.com/Way_Cool_/status/723610429554040832","723610429554040832")</f>
        <v>723610429554040832</v>
      </c>
      <c r="F5024" s="11" t="s">
        <v>1838</v>
      </c>
      <c r="G5024" s="11">
        <v>18</v>
      </c>
      <c r="H5024" s="11">
        <v>51</v>
      </c>
      <c r="I5024" s="11">
        <v>0</v>
      </c>
      <c r="J5024" s="11">
        <v>0</v>
      </c>
      <c r="K5024" s="11" t="s">
        <v>21</v>
      </c>
      <c r="L5024" s="7">
        <v>42440.771284722221</v>
      </c>
      <c r="M5024" s="12"/>
      <c r="N5024" s="12"/>
      <c r="O5024" s="10" t="str">
        <f>HYPERLINK("https://pbs.twimg.com/profile_images/708280127025598464/akwVZYwc_normal.jpg","View")</f>
        <v>View</v>
      </c>
      <c r="P5024" s="11"/>
    </row>
    <row r="5025" spans="1:16" ht="12.75" x14ac:dyDescent="0.35">
      <c r="A5025" s="7">
        <v>42483.085196759261</v>
      </c>
      <c r="B5025" s="8" t="str">
        <f>HYPERLINK("https://twitter.com/Speak_EV","@Speak_EV")</f>
        <v>@Speak_EV</v>
      </c>
      <c r="C5025" s="9" t="s">
        <v>1223</v>
      </c>
      <c r="D5025" s="9" t="s">
        <v>11667</v>
      </c>
      <c r="E5025" s="10" t="str">
        <f>HYPERLINK("https://twitter.com/Speak_EV/status/723610496641957890","723610496641957890")</f>
        <v>723610496641957890</v>
      </c>
      <c r="F5025" s="11" t="s">
        <v>68</v>
      </c>
      <c r="G5025" s="11">
        <v>3914</v>
      </c>
      <c r="H5025" s="11">
        <v>1295</v>
      </c>
      <c r="I5025" s="11">
        <v>0</v>
      </c>
      <c r="J5025" s="11">
        <v>0</v>
      </c>
      <c r="K5025" s="11" t="s">
        <v>21</v>
      </c>
      <c r="L5025" s="7">
        <v>40738.062361111108</v>
      </c>
      <c r="M5025" s="12" t="s">
        <v>1225</v>
      </c>
      <c r="N5025" s="12" t="s">
        <v>1226</v>
      </c>
      <c r="O5025" s="10" t="str">
        <f>HYPERLINK("https://pbs.twimg.com/profile_images/378800000383656962/389f4a2062ec3c75e130fd84590d969c_normal.png","View")</f>
        <v>View</v>
      </c>
      <c r="P5025" s="11"/>
    </row>
    <row r="5026" spans="1:16" ht="12.75" x14ac:dyDescent="0.35">
      <c r="A5026" s="7">
        <v>42483.086759259255</v>
      </c>
      <c r="B5026" s="8" t="str">
        <f>HYPERLINK("https://twitter.com/MorSvinka_83","@MorSvinka_83")</f>
        <v>@MorSvinka_83</v>
      </c>
      <c r="C5026" s="9" t="s">
        <v>9071</v>
      </c>
      <c r="D5026" s="9" t="s">
        <v>11668</v>
      </c>
      <c r="E5026" s="10" t="str">
        <f>HYPERLINK("https://twitter.com/MorSvinka_83/status/723611066354262017","723611066354262017")</f>
        <v>723611066354262017</v>
      </c>
      <c r="F5026" s="11" t="s">
        <v>63</v>
      </c>
      <c r="G5026" s="11">
        <v>81</v>
      </c>
      <c r="H5026" s="11">
        <v>127</v>
      </c>
      <c r="I5026" s="11">
        <v>0</v>
      </c>
      <c r="J5026" s="11">
        <v>0</v>
      </c>
      <c r="K5026" s="11" t="s">
        <v>21</v>
      </c>
      <c r="L5026" s="7">
        <v>40900.763842592591</v>
      </c>
      <c r="M5026" s="12" t="s">
        <v>9073</v>
      </c>
      <c r="N5026" s="12"/>
      <c r="O5026" s="10" t="str">
        <f>HYPERLINK("https://pbs.twimg.com/profile_images/2208847688/Untitled-2_normal.jpg","View")</f>
        <v>View</v>
      </c>
      <c r="P5026" s="11"/>
    </row>
    <row r="5027" spans="1:16" ht="12.75" x14ac:dyDescent="0.35">
      <c r="A5027" s="7">
        <v>42483.087071759262</v>
      </c>
      <c r="B5027" s="8" t="str">
        <f>HYPERLINK("https://twitter.com/dafLOh","@dafLOh")</f>
        <v>@dafLOh</v>
      </c>
      <c r="C5027" s="9" t="s">
        <v>11669</v>
      </c>
      <c r="D5027" s="9" t="s">
        <v>11670</v>
      </c>
      <c r="E5027" s="10" t="str">
        <f>HYPERLINK("https://twitter.com/dafLOh/status/723611177780166656","723611177780166656")</f>
        <v>723611177780166656</v>
      </c>
      <c r="F5027" s="11" t="s">
        <v>11671</v>
      </c>
      <c r="G5027" s="11">
        <v>383</v>
      </c>
      <c r="H5027" s="11">
        <v>253</v>
      </c>
      <c r="I5027" s="11">
        <v>1</v>
      </c>
      <c r="J5027" s="11">
        <v>0</v>
      </c>
      <c r="K5027" s="11" t="s">
        <v>21</v>
      </c>
      <c r="L5027" s="7">
        <v>40076.159282407403</v>
      </c>
      <c r="M5027" s="12" t="s">
        <v>11672</v>
      </c>
      <c r="N5027" s="12" t="s">
        <v>11673</v>
      </c>
      <c r="O5027" s="10" t="str">
        <f>HYPERLINK("https://pbs.twimg.com/profile_images/595593595459137536/bMPN9gqV_normal.jpg","View")</f>
        <v>View</v>
      </c>
      <c r="P5027" s="11"/>
    </row>
    <row r="5028" spans="1:16" ht="12.75" x14ac:dyDescent="0.35">
      <c r="A5028" s="7">
        <v>42483.087233796294</v>
      </c>
      <c r="B5028" s="8" t="str">
        <f>HYPERLINK("https://twitter.com/bryanRis","@bryanRis")</f>
        <v>@bryanRis</v>
      </c>
      <c r="C5028" s="9" t="s">
        <v>11443</v>
      </c>
      <c r="D5028" s="9" t="s">
        <v>11674</v>
      </c>
      <c r="E5028" s="10" t="str">
        <f>HYPERLINK("https://twitter.com/bryanRis/status/723611234826915840","723611234826915840")</f>
        <v>723611234826915840</v>
      </c>
      <c r="F5028" s="11" t="s">
        <v>2206</v>
      </c>
      <c r="G5028" s="11">
        <v>5232</v>
      </c>
      <c r="H5028" s="11">
        <v>5221</v>
      </c>
      <c r="I5028" s="11">
        <v>0</v>
      </c>
      <c r="J5028" s="11">
        <v>0</v>
      </c>
      <c r="K5028" s="11" t="s">
        <v>21</v>
      </c>
      <c r="L5028" s="7">
        <v>41238.942048611112</v>
      </c>
      <c r="M5028" s="12" t="s">
        <v>11445</v>
      </c>
      <c r="N5028" s="12" t="s">
        <v>11446</v>
      </c>
      <c r="O5028" s="10" t="str">
        <f>HYPERLINK("https://pbs.twimg.com/profile_images/378800000333683495/1b735d7df89d5667eeeb3eaa48617f9d_normal.jpeg","View")</f>
        <v>View</v>
      </c>
      <c r="P5028" s="11"/>
    </row>
    <row r="5029" spans="1:16" ht="12.75" x14ac:dyDescent="0.35">
      <c r="A5029" s="7">
        <v>42483.087581018517</v>
      </c>
      <c r="B5029" s="8" t="str">
        <f>HYPERLINK("https://twitter.com/VWCamperSales","@VWCamperSales")</f>
        <v>@VWCamperSales</v>
      </c>
      <c r="C5029" s="9" t="s">
        <v>216</v>
      </c>
      <c r="D5029" s="9" t="s">
        <v>11675</v>
      </c>
      <c r="E5029" s="10" t="str">
        <f>HYPERLINK("https://twitter.com/VWCamperSales/status/723611360970477569","723611360970477569")</f>
        <v>723611360970477569</v>
      </c>
      <c r="F5029" s="10" t="s">
        <v>124</v>
      </c>
      <c r="G5029" s="11">
        <v>618</v>
      </c>
      <c r="H5029" s="11">
        <v>580</v>
      </c>
      <c r="I5029" s="11">
        <v>0</v>
      </c>
      <c r="J5029" s="11">
        <v>0</v>
      </c>
      <c r="K5029" s="11" t="s">
        <v>21</v>
      </c>
      <c r="L5029" s="7">
        <v>42215.98809027778</v>
      </c>
      <c r="M5029" s="12" t="s">
        <v>129</v>
      </c>
      <c r="N5029" s="12" t="s">
        <v>218</v>
      </c>
      <c r="O5029" s="10" t="str">
        <f>HYPERLINK("https://pbs.twimg.com/profile_images/627949001179037696/skEBkS05_normal.jpg","View")</f>
        <v>View</v>
      </c>
      <c r="P5029" s="11"/>
    </row>
    <row r="5030" spans="1:16" ht="12.75" x14ac:dyDescent="0.35">
      <c r="A5030" s="7">
        <v>42483.087824074071</v>
      </c>
      <c r="B5030" s="8" t="str">
        <f>HYPERLINK("https://twitter.com/Mphilpot1","@Mphilpot1")</f>
        <v>@Mphilpot1</v>
      </c>
      <c r="C5030" s="9" t="s">
        <v>1280</v>
      </c>
      <c r="D5030" s="9" t="s">
        <v>11676</v>
      </c>
      <c r="E5030" s="10" t="str">
        <f>HYPERLINK("https://twitter.com/Mphilpot1/status/723611450615320576","723611450615320576")</f>
        <v>723611450615320576</v>
      </c>
      <c r="F5030" s="11" t="s">
        <v>34</v>
      </c>
      <c r="G5030" s="11">
        <v>114</v>
      </c>
      <c r="H5030" s="11">
        <v>141</v>
      </c>
      <c r="I5030" s="11">
        <v>0</v>
      </c>
      <c r="J5030" s="11">
        <v>0</v>
      </c>
      <c r="K5030" s="11" t="s">
        <v>21</v>
      </c>
      <c r="L5030" s="7">
        <v>41137.855208333334</v>
      </c>
      <c r="M5030" s="12"/>
      <c r="N5030" s="12"/>
      <c r="O5030" s="10" t="str">
        <f>HYPERLINK("https://pbs.twimg.com/profile_images/422164778639839234/LVnS1q1c_normal.jpeg","View")</f>
        <v>View</v>
      </c>
      <c r="P5030" s="11"/>
    </row>
    <row r="5031" spans="1:16" ht="12.75" x14ac:dyDescent="0.35">
      <c r="A5031" s="7">
        <v>42483.08866898148</v>
      </c>
      <c r="B5031" s="8" t="str">
        <f>HYPERLINK("https://twitter.com/OnlineCarReview","@OnlineCarReview")</f>
        <v>@OnlineCarReview</v>
      </c>
      <c r="C5031" s="9" t="s">
        <v>176</v>
      </c>
      <c r="D5031" s="9" t="s">
        <v>11677</v>
      </c>
      <c r="E5031" s="10" t="str">
        <f>HYPERLINK("https://twitter.com/OnlineCarReview/status/723611755612540929","723611755612540929")</f>
        <v>723611755612540929</v>
      </c>
      <c r="F5031" s="11" t="s">
        <v>34</v>
      </c>
      <c r="G5031" s="11">
        <v>839</v>
      </c>
      <c r="H5031" s="11">
        <v>568</v>
      </c>
      <c r="I5031" s="11">
        <v>0</v>
      </c>
      <c r="J5031" s="11">
        <v>0</v>
      </c>
      <c r="K5031" s="11" t="s">
        <v>21</v>
      </c>
      <c r="L5031" s="7">
        <v>42282.979201388887</v>
      </c>
      <c r="M5031" s="12"/>
      <c r="N5031" s="12" t="s">
        <v>178</v>
      </c>
      <c r="O5031" s="10" t="str">
        <f>HYPERLINK("https://pbs.twimg.com/profile_images/652871584131092480/QA_B6SBO_normal.jpg","View")</f>
        <v>View</v>
      </c>
      <c r="P5031" s="11"/>
    </row>
    <row r="5032" spans="1:16" ht="12.75" x14ac:dyDescent="0.35">
      <c r="A5032" s="7">
        <v>42483.089085648149</v>
      </c>
      <c r="B5032" s="8" t="str">
        <f t="shared" ref="B5032:B5033" si="433">HYPERLINK("https://twitter.com/Marktzyniker","@Marktzyniker")</f>
        <v>@Marktzyniker</v>
      </c>
      <c r="C5032" s="9" t="s">
        <v>4717</v>
      </c>
      <c r="D5032" s="9" t="s">
        <v>11678</v>
      </c>
      <c r="E5032" s="10" t="str">
        <f>HYPERLINK("https://twitter.com/Marktzyniker/status/723611905798057984","723611905798057984")</f>
        <v>723611905798057984</v>
      </c>
      <c r="F5032" s="11" t="s">
        <v>43</v>
      </c>
      <c r="G5032" s="11">
        <v>2016</v>
      </c>
      <c r="H5032" s="11">
        <v>1953</v>
      </c>
      <c r="I5032" s="11">
        <v>0</v>
      </c>
      <c r="J5032" s="11">
        <v>0</v>
      </c>
      <c r="K5032" s="11" t="s">
        <v>21</v>
      </c>
      <c r="L5032" s="7">
        <v>40233.883113425924</v>
      </c>
      <c r="M5032" s="12" t="s">
        <v>953</v>
      </c>
      <c r="N5032" s="12" t="s">
        <v>4719</v>
      </c>
      <c r="O5032" s="10" t="str">
        <f t="shared" ref="O5032:O5033" si="434">HYPERLINK("https://pbs.twimg.com/profile_images/1169387207/uhu_normal.jpg","View")</f>
        <v>View</v>
      </c>
      <c r="P5032" s="11"/>
    </row>
    <row r="5033" spans="1:16" ht="12.75" x14ac:dyDescent="0.35">
      <c r="A5033" s="7">
        <v>42483.090532407412</v>
      </c>
      <c r="B5033" s="8" t="str">
        <f t="shared" si="433"/>
        <v>@Marktzyniker</v>
      </c>
      <c r="C5033" s="9" t="s">
        <v>4717</v>
      </c>
      <c r="D5033" s="9" t="s">
        <v>11679</v>
      </c>
      <c r="E5033" s="10" t="str">
        <f>HYPERLINK("https://twitter.com/Marktzyniker/status/723612432774602752","723612432774602752")</f>
        <v>723612432774602752</v>
      </c>
      <c r="F5033" s="11" t="s">
        <v>43</v>
      </c>
      <c r="G5033" s="11">
        <v>2016</v>
      </c>
      <c r="H5033" s="11">
        <v>1953</v>
      </c>
      <c r="I5033" s="11">
        <v>0</v>
      </c>
      <c r="J5033" s="11">
        <v>0</v>
      </c>
      <c r="K5033" s="11" t="s">
        <v>21</v>
      </c>
      <c r="L5033" s="7">
        <v>40233.883113425924</v>
      </c>
      <c r="M5033" s="12" t="s">
        <v>953</v>
      </c>
      <c r="N5033" s="12" t="s">
        <v>4719</v>
      </c>
      <c r="O5033" s="10" t="str">
        <f t="shared" si="434"/>
        <v>View</v>
      </c>
      <c r="P5033" s="11"/>
    </row>
    <row r="5034" spans="1:16" ht="12.75" x14ac:dyDescent="0.35">
      <c r="A5034" s="7">
        <v>42483.090763888889</v>
      </c>
      <c r="B5034" s="8" t="str">
        <f>HYPERLINK("https://twitter.com/TRJhonny","@TRJhonny")</f>
        <v>@TRJhonny</v>
      </c>
      <c r="C5034" s="9" t="s">
        <v>11680</v>
      </c>
      <c r="D5034" s="9" t="s">
        <v>11681</v>
      </c>
      <c r="E5034" s="10" t="str">
        <f>HYPERLINK("https://twitter.com/TRJhonny/status/723612513900892160","723612513900892160")</f>
        <v>723612513900892160</v>
      </c>
      <c r="F5034" s="11" t="s">
        <v>2206</v>
      </c>
      <c r="G5034" s="11">
        <v>182</v>
      </c>
      <c r="H5034" s="11">
        <v>9</v>
      </c>
      <c r="I5034" s="11">
        <v>0</v>
      </c>
      <c r="J5034" s="11">
        <v>0</v>
      </c>
      <c r="K5034" s="11" t="s">
        <v>21</v>
      </c>
      <c r="L5034" s="7">
        <v>40873.030046296299</v>
      </c>
      <c r="M5034" s="12"/>
      <c r="N5034" s="12" t="s">
        <v>11682</v>
      </c>
      <c r="O5034" s="10" t="str">
        <f>HYPERLINK("https://pbs.twimg.com/profile_images/1657601327/Untitled-1_normal.jpg","View")</f>
        <v>View</v>
      </c>
      <c r="P5034" s="11"/>
    </row>
    <row r="5035" spans="1:16" ht="12.75" x14ac:dyDescent="0.35">
      <c r="A5035" s="7">
        <v>42483.091412037036</v>
      </c>
      <c r="B5035" s="8" t="str">
        <f>HYPERLINK("https://twitter.com/nordlohner","@nordlohner")</f>
        <v>@nordlohner</v>
      </c>
      <c r="C5035" s="9" t="s">
        <v>3774</v>
      </c>
      <c r="D5035" s="9" t="s">
        <v>11683</v>
      </c>
      <c r="E5035" s="10" t="str">
        <f>HYPERLINK("https://twitter.com/nordlohner/status/723612749998231554","723612749998231554")</f>
        <v>723612749998231554</v>
      </c>
      <c r="F5035" s="11" t="s">
        <v>43</v>
      </c>
      <c r="G5035" s="11">
        <v>291</v>
      </c>
      <c r="H5035" s="11">
        <v>260</v>
      </c>
      <c r="I5035" s="11">
        <v>0</v>
      </c>
      <c r="J5035" s="11">
        <v>0</v>
      </c>
      <c r="K5035" s="11" t="s">
        <v>21</v>
      </c>
      <c r="L5035" s="7">
        <v>40830.607534722221</v>
      </c>
      <c r="M5035" s="12" t="s">
        <v>3776</v>
      </c>
      <c r="N5035" s="12" t="s">
        <v>3777</v>
      </c>
      <c r="O5035" s="10" t="str">
        <f>HYPERLINK("https://pbs.twimg.com/profile_images/689490163639123968/KvB_Hdux_normal.jpg","View")</f>
        <v>View</v>
      </c>
      <c r="P5035" s="11"/>
    </row>
    <row r="5036" spans="1:16" ht="12.75" x14ac:dyDescent="0.35">
      <c r="A5036" s="7">
        <v>42483.091562500005</v>
      </c>
      <c r="B5036" s="8" t="str">
        <f>HYPERLINK("https://twitter.com/caroswg","@caroswg")</f>
        <v>@caroswg</v>
      </c>
      <c r="C5036" s="9" t="s">
        <v>6466</v>
      </c>
      <c r="D5036" s="9" t="s">
        <v>10808</v>
      </c>
      <c r="E5036" s="10" t="str">
        <f>HYPERLINK("https://twitter.com/caroswg/status/723612805925097472","723612805925097472")</f>
        <v>723612805925097472</v>
      </c>
      <c r="F5036" s="11" t="s">
        <v>48</v>
      </c>
      <c r="G5036" s="11">
        <v>473</v>
      </c>
      <c r="H5036" s="11">
        <v>211</v>
      </c>
      <c r="I5036" s="11">
        <v>44</v>
      </c>
      <c r="J5036" s="11">
        <v>0</v>
      </c>
      <c r="K5036" s="11" t="s">
        <v>21</v>
      </c>
      <c r="L5036" s="7">
        <v>41422.230416666665</v>
      </c>
      <c r="M5036" s="12" t="s">
        <v>6467</v>
      </c>
      <c r="N5036" s="12" t="s">
        <v>6468</v>
      </c>
      <c r="O5036" s="10" t="str">
        <f>HYPERLINK("https://pbs.twimg.com/profile_images/723537497293238273/q5pBqVBg_normal.jpg","View")</f>
        <v>View</v>
      </c>
      <c r="P5036" s="11"/>
    </row>
    <row r="5037" spans="1:16" ht="12.75" x14ac:dyDescent="0.35">
      <c r="A5037" s="7">
        <v>42483.091608796298</v>
      </c>
      <c r="B5037" s="8" t="str">
        <f>HYPERLINK("https://twitter.com/RomaanGnnZ","@RomaanGnnZ")</f>
        <v>@RomaanGnnZ</v>
      </c>
      <c r="C5037" s="9" t="s">
        <v>11684</v>
      </c>
      <c r="D5037" s="9" t="s">
        <v>10808</v>
      </c>
      <c r="E5037" s="10" t="str">
        <f>HYPERLINK("https://twitter.com/RomaanGnnZ/status/723612821242695685","723612821242695685")</f>
        <v>723612821242695685</v>
      </c>
      <c r="F5037" s="11" t="s">
        <v>43</v>
      </c>
      <c r="G5037" s="11">
        <v>175</v>
      </c>
      <c r="H5037" s="11">
        <v>102</v>
      </c>
      <c r="I5037" s="11">
        <v>44</v>
      </c>
      <c r="J5037" s="11">
        <v>0</v>
      </c>
      <c r="K5037" s="11" t="s">
        <v>21</v>
      </c>
      <c r="L5037" s="7">
        <v>41834.0466087963</v>
      </c>
      <c r="M5037" s="12"/>
      <c r="N5037" s="12" t="s">
        <v>11685</v>
      </c>
      <c r="O5037" s="10" t="str">
        <f>HYPERLINK("https://pbs.twimg.com/profile_images/707405042035335170/jSlCSVhr_normal.jpg","View")</f>
        <v>View</v>
      </c>
      <c r="P5037" s="11"/>
    </row>
    <row r="5038" spans="1:16" ht="12.75" x14ac:dyDescent="0.35">
      <c r="A5038" s="7">
        <v>42483.09174768519</v>
      </c>
      <c r="B5038" s="8" t="str">
        <f>HYPERLINK("https://twitter.com/puexxx","@puexxx")</f>
        <v>@puexxx</v>
      </c>
      <c r="C5038" s="9" t="s">
        <v>11686</v>
      </c>
      <c r="D5038" s="9" t="s">
        <v>11687</v>
      </c>
      <c r="E5038" s="10" t="str">
        <f>HYPERLINK("https://twitter.com/puexxx/status/723612873411448832","723612873411448832")</f>
        <v>723612873411448832</v>
      </c>
      <c r="F5038" s="11" t="s">
        <v>2060</v>
      </c>
      <c r="G5038" s="11">
        <v>905</v>
      </c>
      <c r="H5038" s="11">
        <v>128</v>
      </c>
      <c r="I5038" s="11">
        <v>0</v>
      </c>
      <c r="J5038" s="11">
        <v>0</v>
      </c>
      <c r="K5038" s="11" t="s">
        <v>21</v>
      </c>
      <c r="L5038" s="7">
        <v>42291.030648148153</v>
      </c>
      <c r="M5038" s="12"/>
      <c r="N5038" s="12" t="s">
        <v>11688</v>
      </c>
      <c r="O5038" s="10" t="str">
        <f>HYPERLINK("https://pbs.twimg.com/profile_images/654013242855981056/eqTQh9Bn_normal.png","View")</f>
        <v>View</v>
      </c>
      <c r="P5038" s="11"/>
    </row>
    <row r="5039" spans="1:16" ht="12.75" x14ac:dyDescent="0.35">
      <c r="A5039" s="7">
        <v>42483.091840277775</v>
      </c>
      <c r="B5039" s="8" t="str">
        <f>HYPERLINK("https://twitter.com/kngeuro","@kngeuro")</f>
        <v>@kngeuro</v>
      </c>
      <c r="C5039" s="9" t="s">
        <v>833</v>
      </c>
      <c r="D5039" s="9" t="s">
        <v>11689</v>
      </c>
      <c r="E5039" s="10" t="str">
        <f>HYPERLINK("https://twitter.com/kngeuro/status/723612906969919488","723612906969919488")</f>
        <v>723612906969919488</v>
      </c>
      <c r="F5039" s="11" t="s">
        <v>53</v>
      </c>
      <c r="G5039" s="11">
        <v>760</v>
      </c>
      <c r="H5039" s="11">
        <v>451</v>
      </c>
      <c r="I5039" s="11">
        <v>0</v>
      </c>
      <c r="J5039" s="11">
        <v>0</v>
      </c>
      <c r="K5039" s="11" t="s">
        <v>21</v>
      </c>
      <c r="L5039" s="7">
        <v>40319.120925925927</v>
      </c>
      <c r="M5039" s="12" t="s">
        <v>835</v>
      </c>
      <c r="N5039" s="12" t="s">
        <v>836</v>
      </c>
      <c r="O5039" s="10" t="str">
        <f>HYPERLINK("https://pbs.twimg.com/profile_images/570375988065935360/ooT_Nq7x_normal.jpeg","View")</f>
        <v>View</v>
      </c>
      <c r="P5039" s="11"/>
    </row>
    <row r="5040" spans="1:16" ht="12.75" x14ac:dyDescent="0.35">
      <c r="A5040" s="7">
        <v>42483.093344907407</v>
      </c>
      <c r="B5040" s="8" t="str">
        <f>HYPERLINK("https://twitter.com/jimmillett72","@jimmillett72")</f>
        <v>@jimmillett72</v>
      </c>
      <c r="C5040" s="9" t="s">
        <v>11690</v>
      </c>
      <c r="D5040" s="9" t="s">
        <v>10837</v>
      </c>
      <c r="E5040" s="10" t="str">
        <f>HYPERLINK("https://twitter.com/jimmillett72/status/723613450866450436","723613450866450436")</f>
        <v>723613450866450436</v>
      </c>
      <c r="F5040" s="11" t="s">
        <v>48</v>
      </c>
      <c r="G5040" s="11">
        <v>518</v>
      </c>
      <c r="H5040" s="11">
        <v>593</v>
      </c>
      <c r="I5040" s="11">
        <v>18</v>
      </c>
      <c r="J5040" s="11">
        <v>0</v>
      </c>
      <c r="K5040" s="11" t="s">
        <v>21</v>
      </c>
      <c r="L5040" s="7">
        <v>41357.049108796295</v>
      </c>
      <c r="M5040" s="12"/>
      <c r="N5040" s="12" t="s">
        <v>11691</v>
      </c>
      <c r="O5040" s="10" t="str">
        <f>HYPERLINK("https://pbs.twimg.com/profile_images/378800000370359413/27d11d156d3be2c46ac01016646267e3_normal.jpeg","View")</f>
        <v>View</v>
      </c>
      <c r="P5040" s="11"/>
    </row>
    <row r="5041" spans="1:16" ht="12.75" x14ac:dyDescent="0.35">
      <c r="A5041" s="7">
        <v>42483.094791666663</v>
      </c>
      <c r="B5041" s="8" t="str">
        <f>HYPERLINK("https://twitter.com/guidobraun","@guidobraun")</f>
        <v>@guidobraun</v>
      </c>
      <c r="C5041" s="9" t="s">
        <v>11692</v>
      </c>
      <c r="D5041" s="9" t="s">
        <v>11693</v>
      </c>
      <c r="E5041" s="10" t="str">
        <f>HYPERLINK("https://twitter.com/guidobraun/status/723613977389981701","723613977389981701")</f>
        <v>723613977389981701</v>
      </c>
      <c r="F5041" s="11" t="s">
        <v>119</v>
      </c>
      <c r="G5041" s="11">
        <v>2020</v>
      </c>
      <c r="H5041" s="11">
        <v>3589</v>
      </c>
      <c r="I5041" s="11">
        <v>1</v>
      </c>
      <c r="J5041" s="11">
        <v>0</v>
      </c>
      <c r="K5041" s="11" t="s">
        <v>21</v>
      </c>
      <c r="L5041" s="7">
        <v>40551.940370370372</v>
      </c>
      <c r="M5041" s="12" t="s">
        <v>11694</v>
      </c>
      <c r="N5041" s="12" t="s">
        <v>11695</v>
      </c>
      <c r="O5041" s="10" t="str">
        <f>HYPERLINK("https://pbs.twimg.com/profile_images/687739723931119616/rWX3ayZq_normal.jpg","View")</f>
        <v>View</v>
      </c>
      <c r="P5041" s="11"/>
    </row>
    <row r="5042" spans="1:16" ht="12.75" x14ac:dyDescent="0.35">
      <c r="A5042" s="7">
        <v>42483.095138888893</v>
      </c>
      <c r="B5042" s="8" t="str">
        <f>HYPERLINK("https://twitter.com/herrenloserHund","@herrenloserHund")</f>
        <v>@herrenloserHund</v>
      </c>
      <c r="C5042" s="9" t="s">
        <v>8023</v>
      </c>
      <c r="D5042" s="9" t="s">
        <v>11696</v>
      </c>
      <c r="E5042" s="10" t="str">
        <f>HYPERLINK("https://twitter.com/herrenloserHund/status/723614099683348483","723614099683348483")</f>
        <v>723614099683348483</v>
      </c>
      <c r="F5042" s="11" t="s">
        <v>43</v>
      </c>
      <c r="G5042" s="11">
        <v>139</v>
      </c>
      <c r="H5042" s="11">
        <v>319</v>
      </c>
      <c r="I5042" s="11">
        <v>0</v>
      </c>
      <c r="J5042" s="11">
        <v>0</v>
      </c>
      <c r="K5042" s="11" t="s">
        <v>21</v>
      </c>
      <c r="L5042" s="7">
        <v>41957.612754629634</v>
      </c>
      <c r="M5042" s="12" t="s">
        <v>8025</v>
      </c>
      <c r="N5042" s="12" t="s">
        <v>8026</v>
      </c>
      <c r="O5042" s="10" t="str">
        <f>HYPERLINK("https://pbs.twimg.com/profile_images/626150732908109824/YxBlJd63_normal.jpg","View")</f>
        <v>View</v>
      </c>
      <c r="P5042" s="11"/>
    </row>
    <row r="5043" spans="1:16" ht="12.75" x14ac:dyDescent="0.35">
      <c r="A5043" s="7">
        <v>42483.095671296294</v>
      </c>
      <c r="B5043" s="8" t="str">
        <f>HYPERLINK("https://twitter.com/bvdvliet","@bvdvliet")</f>
        <v>@bvdvliet</v>
      </c>
      <c r="C5043" s="9" t="s">
        <v>2513</v>
      </c>
      <c r="D5043" s="9" t="s">
        <v>9915</v>
      </c>
      <c r="E5043" s="10" t="str">
        <f>HYPERLINK("https://twitter.com/bvdvliet/status/723614292713549825","723614292713549825")</f>
        <v>723614292713549825</v>
      </c>
      <c r="F5043" s="11" t="s">
        <v>20</v>
      </c>
      <c r="G5043" s="11">
        <v>158</v>
      </c>
      <c r="H5043" s="11">
        <v>269</v>
      </c>
      <c r="I5043" s="11">
        <v>5</v>
      </c>
      <c r="J5043" s="11">
        <v>0</v>
      </c>
      <c r="K5043" s="11" t="s">
        <v>21</v>
      </c>
      <c r="L5043" s="7">
        <v>41594.873657407406</v>
      </c>
      <c r="M5043" s="12"/>
      <c r="N5043" s="12"/>
      <c r="O5043" s="10" t="str">
        <f>HYPERLINK("https://pbs.twimg.com/profile_images/378800000747750946/394d9f0f5e6dde5137683d9c98c5c8a9_normal.jpeg","View")</f>
        <v>View</v>
      </c>
      <c r="P5043" s="11"/>
    </row>
    <row r="5044" spans="1:16" ht="12.75" x14ac:dyDescent="0.35">
      <c r="A5044" s="7">
        <v>42483.096192129626</v>
      </c>
      <c r="B5044" s="8" t="str">
        <f>HYPERLINK("https://twitter.com/rkeuper","@rkeuper")</f>
        <v>@rkeuper</v>
      </c>
      <c r="C5044" s="9" t="s">
        <v>11697</v>
      </c>
      <c r="D5044" s="9" t="s">
        <v>11698</v>
      </c>
      <c r="E5044" s="10" t="str">
        <f>HYPERLINK("https://twitter.com/rkeuper/status/723614482170294273","723614482170294273")</f>
        <v>723614482170294273</v>
      </c>
      <c r="F5044" s="11" t="s">
        <v>43</v>
      </c>
      <c r="G5044" s="11">
        <v>3248</v>
      </c>
      <c r="H5044" s="11">
        <v>2352</v>
      </c>
      <c r="I5044" s="11">
        <v>1</v>
      </c>
      <c r="J5044" s="11">
        <v>0</v>
      </c>
      <c r="K5044" s="11" t="s">
        <v>21</v>
      </c>
      <c r="L5044" s="7">
        <v>40663.932106481479</v>
      </c>
      <c r="M5044" s="12" t="s">
        <v>11699</v>
      </c>
      <c r="N5044" s="12" t="s">
        <v>11700</v>
      </c>
      <c r="O5044" s="10" t="str">
        <f>HYPERLINK("https://pbs.twimg.com/profile_images/550741947388686336/kltgfz2w_normal.jpeg","View")</f>
        <v>View</v>
      </c>
      <c r="P5044" s="11"/>
    </row>
    <row r="5045" spans="1:16" ht="12.75" x14ac:dyDescent="0.35">
      <c r="A5045" s="7">
        <v>42483.096435185187</v>
      </c>
      <c r="B5045" s="8" t="str">
        <f>HYPERLINK("https://twitter.com/bvdvliet","@bvdvliet")</f>
        <v>@bvdvliet</v>
      </c>
      <c r="C5045" s="9" t="s">
        <v>2513</v>
      </c>
      <c r="D5045" s="9" t="s">
        <v>9564</v>
      </c>
      <c r="E5045" s="10" t="str">
        <f>HYPERLINK("https://twitter.com/bvdvliet/status/723614570485526528","723614570485526528")</f>
        <v>723614570485526528</v>
      </c>
      <c r="F5045" s="11" t="s">
        <v>20</v>
      </c>
      <c r="G5045" s="11">
        <v>158</v>
      </c>
      <c r="H5045" s="11">
        <v>269</v>
      </c>
      <c r="I5045" s="11">
        <v>3</v>
      </c>
      <c r="J5045" s="11">
        <v>0</v>
      </c>
      <c r="K5045" s="11" t="s">
        <v>21</v>
      </c>
      <c r="L5045" s="7">
        <v>41594.873657407406</v>
      </c>
      <c r="M5045" s="12"/>
      <c r="N5045" s="12"/>
      <c r="O5045" s="10" t="str">
        <f>HYPERLINK("https://pbs.twimg.com/profile_images/378800000747750946/394d9f0f5e6dde5137683d9c98c5c8a9_normal.jpeg","View")</f>
        <v>View</v>
      </c>
      <c r="P5045" s="11"/>
    </row>
    <row r="5046" spans="1:16" ht="12.75" x14ac:dyDescent="0.35">
      <c r="A5046" s="7">
        <v>42483.097175925926</v>
      </c>
      <c r="B5046" s="8" t="str">
        <f>HYPERLINK("https://twitter.com/VolkswagenPost","@VolkswagenPost")</f>
        <v>@VolkswagenPost</v>
      </c>
      <c r="C5046" s="9" t="s">
        <v>321</v>
      </c>
      <c r="D5046" s="9" t="s">
        <v>11701</v>
      </c>
      <c r="E5046" s="10" t="str">
        <f>HYPERLINK("https://twitter.com/VolkswagenPost/status/723614837952135169","723614837952135169")</f>
        <v>723614837952135169</v>
      </c>
      <c r="F5046" s="11" t="s">
        <v>288</v>
      </c>
      <c r="G5046" s="11">
        <v>569</v>
      </c>
      <c r="H5046" s="11">
        <v>446</v>
      </c>
      <c r="I5046" s="11">
        <v>1</v>
      </c>
      <c r="J5046" s="11">
        <v>0</v>
      </c>
      <c r="K5046" s="11" t="s">
        <v>21</v>
      </c>
      <c r="L5046" s="7">
        <v>41940.618379629632</v>
      </c>
      <c r="M5046" s="12"/>
      <c r="N5046" s="12"/>
      <c r="O5046" s="10" t="str">
        <f>HYPERLINK("https://pbs.twimg.com/profile_images/530071272881803264/a_jcCmPZ_normal.png","View")</f>
        <v>View</v>
      </c>
      <c r="P5046" s="11"/>
    </row>
    <row r="5047" spans="1:16" ht="12.75" x14ac:dyDescent="0.35">
      <c r="A5047" s="7">
        <v>42483.097280092596</v>
      </c>
      <c r="B5047" s="8" t="str">
        <f>HYPERLINK("https://twitter.com/dhenneton","@dhenneton")</f>
        <v>@dhenneton</v>
      </c>
      <c r="C5047" s="9" t="s">
        <v>2759</v>
      </c>
      <c r="D5047" s="9" t="s">
        <v>7830</v>
      </c>
      <c r="E5047" s="10" t="str">
        <f>HYPERLINK("https://twitter.com/dhenneton/status/723614876661350400","723614876661350400")</f>
        <v>723614876661350400</v>
      </c>
      <c r="F5047" s="11" t="s">
        <v>20</v>
      </c>
      <c r="G5047" s="11">
        <v>723</v>
      </c>
      <c r="H5047" s="11">
        <v>737</v>
      </c>
      <c r="I5047" s="11">
        <v>4</v>
      </c>
      <c r="J5047" s="11">
        <v>0</v>
      </c>
      <c r="K5047" s="11" t="s">
        <v>21</v>
      </c>
      <c r="L5047" s="7">
        <v>40924.575613425928</v>
      </c>
      <c r="M5047" s="12" t="s">
        <v>2760</v>
      </c>
      <c r="N5047" s="12" t="s">
        <v>2761</v>
      </c>
      <c r="O5047" s="10" t="str">
        <f>HYPERLINK("https://pbs.twimg.com/profile_images/529657323615424512/qo5NPKe2_normal.jpeg","View")</f>
        <v>View</v>
      </c>
      <c r="P5047" s="11"/>
    </row>
    <row r="5048" spans="1:16" ht="12.75" x14ac:dyDescent="0.35">
      <c r="A5048" s="7">
        <v>42483.09746527778</v>
      </c>
      <c r="B5048" s="8" t="str">
        <f>HYPERLINK("https://twitter.com/TRJhonny","@TRJhonny")</f>
        <v>@TRJhonny</v>
      </c>
      <c r="C5048" s="9" t="s">
        <v>11680</v>
      </c>
      <c r="D5048" s="9" t="s">
        <v>11702</v>
      </c>
      <c r="E5048" s="10" t="str">
        <f>HYPERLINK("https://twitter.com/TRJhonny/status/723614944369991680","723614944369991680")</f>
        <v>723614944369991680</v>
      </c>
      <c r="F5048" s="11" t="s">
        <v>2206</v>
      </c>
      <c r="G5048" s="11">
        <v>182</v>
      </c>
      <c r="H5048" s="11">
        <v>9</v>
      </c>
      <c r="I5048" s="11">
        <v>0</v>
      </c>
      <c r="J5048" s="11">
        <v>0</v>
      </c>
      <c r="K5048" s="11" t="s">
        <v>21</v>
      </c>
      <c r="L5048" s="7">
        <v>40873.030046296299</v>
      </c>
      <c r="M5048" s="12"/>
      <c r="N5048" s="12" t="s">
        <v>11682</v>
      </c>
      <c r="O5048" s="10" t="str">
        <f>HYPERLINK("https://pbs.twimg.com/profile_images/1657601327/Untitled-1_normal.jpg","View")</f>
        <v>View</v>
      </c>
      <c r="P5048" s="11"/>
    </row>
    <row r="5049" spans="1:16" ht="12.75" x14ac:dyDescent="0.35">
      <c r="A5049" s="7">
        <v>42483.097974537042</v>
      </c>
      <c r="B5049" s="8" t="str">
        <f>HYPERLINK("https://twitter.com/ebaycampervans","@ebaycampervans")</f>
        <v>@ebaycampervans</v>
      </c>
      <c r="C5049" s="9" t="s">
        <v>682</v>
      </c>
      <c r="D5049" s="9" t="s">
        <v>11703</v>
      </c>
      <c r="E5049" s="10" t="str">
        <f>HYPERLINK("https://twitter.com/ebaycampervans/status/723615129489698816","723615129489698816")</f>
        <v>723615129489698816</v>
      </c>
      <c r="F5049" s="11" t="s">
        <v>34</v>
      </c>
      <c r="G5049" s="11">
        <v>380</v>
      </c>
      <c r="H5049" s="11">
        <v>1002</v>
      </c>
      <c r="I5049" s="11">
        <v>0</v>
      </c>
      <c r="J5049" s="11">
        <v>0</v>
      </c>
      <c r="K5049" s="11" t="s">
        <v>21</v>
      </c>
      <c r="L5049" s="7">
        <v>42140.207604166666</v>
      </c>
      <c r="M5049" s="12"/>
      <c r="N5049" s="12" t="s">
        <v>684</v>
      </c>
      <c r="O5049" s="10" t="str">
        <f>HYPERLINK("https://pbs.twimg.com/profile_images/599357023407464449/BL9Bpo6T_normal.jpg","View")</f>
        <v>View</v>
      </c>
      <c r="P5049" s="11"/>
    </row>
    <row r="5050" spans="1:16" ht="12.75" x14ac:dyDescent="0.35">
      <c r="A5050" s="7">
        <v>42483.09920138889</v>
      </c>
      <c r="B5050" s="8" t="str">
        <f>HYPERLINK("https://twitter.com/ShaunAmor","@ShaunAmor")</f>
        <v>@ShaunAmor</v>
      </c>
      <c r="C5050" s="9" t="s">
        <v>11704</v>
      </c>
      <c r="D5050" s="9" t="s">
        <v>11705</v>
      </c>
      <c r="E5050" s="10" t="str">
        <f>HYPERLINK("https://twitter.com/ShaunAmor/status/723615574568361984","723615574568361984")</f>
        <v>723615574568361984</v>
      </c>
      <c r="F5050" s="11" t="s">
        <v>114</v>
      </c>
      <c r="G5050" s="11">
        <v>609</v>
      </c>
      <c r="H5050" s="11">
        <v>1085</v>
      </c>
      <c r="I5050" s="11">
        <v>0</v>
      </c>
      <c r="J5050" s="11">
        <v>0</v>
      </c>
      <c r="K5050" s="11" t="s">
        <v>21</v>
      </c>
      <c r="L5050" s="7">
        <v>40144.17328703704</v>
      </c>
      <c r="M5050" s="12" t="s">
        <v>11706</v>
      </c>
      <c r="N5050" s="12" t="s">
        <v>11707</v>
      </c>
      <c r="O5050" s="10" t="str">
        <f>HYPERLINK("https://pbs.twimg.com/profile_images/672894264095961089/v57NFl6w_normal.jpg","View")</f>
        <v>View</v>
      </c>
      <c r="P5050" s="11"/>
    </row>
    <row r="5051" spans="1:16" ht="12.75" x14ac:dyDescent="0.35">
      <c r="A5051" s="7">
        <v>42483.099270833336</v>
      </c>
      <c r="B5051" s="8" t="str">
        <f>HYPERLINK("https://twitter.com/HermanCookVW","@HermanCookVW")</f>
        <v>@HermanCookVW</v>
      </c>
      <c r="C5051" s="9" t="s">
        <v>5285</v>
      </c>
      <c r="D5051" s="9" t="s">
        <v>11708</v>
      </c>
      <c r="E5051" s="10" t="str">
        <f>HYPERLINK("https://twitter.com/HermanCookVW/status/723615596861001728","723615596861001728")</f>
        <v>723615596861001728</v>
      </c>
      <c r="F5051" s="11" t="s">
        <v>63</v>
      </c>
      <c r="G5051" s="11">
        <v>193</v>
      </c>
      <c r="H5051" s="11">
        <v>200</v>
      </c>
      <c r="I5051" s="11">
        <v>0</v>
      </c>
      <c r="J5051" s="11">
        <v>0</v>
      </c>
      <c r="K5051" s="11" t="s">
        <v>21</v>
      </c>
      <c r="L5051" s="7">
        <v>40235.051944444444</v>
      </c>
      <c r="M5051" s="12" t="s">
        <v>5287</v>
      </c>
      <c r="N5051" s="12" t="s">
        <v>5288</v>
      </c>
      <c r="O5051" s="10" t="str">
        <f>HYPERLINK("https://pbs.twimg.com/profile_images/720585614/HC-LOGO._normal.jpg","View")</f>
        <v>View</v>
      </c>
      <c r="P5051" s="11"/>
    </row>
    <row r="5052" spans="1:16" ht="12.75" x14ac:dyDescent="0.35">
      <c r="A5052" s="7">
        <v>42483.100243055553</v>
      </c>
      <c r="B5052" s="8" t="str">
        <f>HYPERLINK("https://twitter.com/JaviZamariani17","@JaviZamariani17")</f>
        <v>@JaviZamariani17</v>
      </c>
      <c r="C5052" s="9" t="s">
        <v>11709</v>
      </c>
      <c r="D5052" s="9" t="s">
        <v>10808</v>
      </c>
      <c r="E5052" s="10" t="str">
        <f>HYPERLINK("https://twitter.com/JaviZamariani17/status/723615952030580736","723615952030580736")</f>
        <v>723615952030580736</v>
      </c>
      <c r="F5052" s="11" t="s">
        <v>48</v>
      </c>
      <c r="G5052" s="11">
        <v>702</v>
      </c>
      <c r="H5052" s="11">
        <v>1466</v>
      </c>
      <c r="I5052" s="11">
        <v>46</v>
      </c>
      <c r="J5052" s="11">
        <v>0</v>
      </c>
      <c r="K5052" s="11" t="s">
        <v>21</v>
      </c>
      <c r="L5052" s="7">
        <v>40580.025046296294</v>
      </c>
      <c r="M5052" s="12" t="s">
        <v>11710</v>
      </c>
      <c r="N5052" s="12" t="s">
        <v>11711</v>
      </c>
      <c r="O5052" s="10" t="str">
        <f>HYPERLINK("https://pbs.twimg.com/profile_images/716984282053484544/cUgWw3CO_normal.jpg","View")</f>
        <v>View</v>
      </c>
      <c r="P5052" s="11"/>
    </row>
    <row r="5053" spans="1:16" ht="12.75" x14ac:dyDescent="0.35">
      <c r="A5053" s="7">
        <v>42483.100300925929</v>
      </c>
      <c r="B5053" s="8" t="str">
        <f>HYPERLINK("https://twitter.com/thrussellart","@thrussellart")</f>
        <v>@thrussellart</v>
      </c>
      <c r="C5053" s="9" t="s">
        <v>11712</v>
      </c>
      <c r="D5053" s="9" t="s">
        <v>11713</v>
      </c>
      <c r="E5053" s="10" t="str">
        <f>HYPERLINK("https://twitter.com/thrussellart/status/723615972410687488","723615972410687488")</f>
        <v>723615972410687488</v>
      </c>
      <c r="F5053" s="11" t="s">
        <v>114</v>
      </c>
      <c r="G5053" s="11">
        <v>858</v>
      </c>
      <c r="H5053" s="11">
        <v>2033</v>
      </c>
      <c r="I5053" s="11">
        <v>0</v>
      </c>
      <c r="J5053" s="11">
        <v>0</v>
      </c>
      <c r="K5053" s="11" t="s">
        <v>21</v>
      </c>
      <c r="L5053" s="7">
        <v>39506.157164351855</v>
      </c>
      <c r="M5053" s="12" t="s">
        <v>11714</v>
      </c>
      <c r="N5053" s="12" t="s">
        <v>11715</v>
      </c>
      <c r="O5053" s="10" t="str">
        <f>HYPERLINK("https://pbs.twimg.com/profile_images/550908495487594496/BhwnGVzf_normal.jpeg","View")</f>
        <v>View</v>
      </c>
      <c r="P5053" s="10" t="str">
        <f>HYPERLINK("http://ctrlq.org/maps/address/#50.3437,-5.1546","Map")</f>
        <v>Map</v>
      </c>
    </row>
    <row r="5054" spans="1:16" ht="12.75" x14ac:dyDescent="0.35">
      <c r="A5054" s="7">
        <v>42483.100462962961</v>
      </c>
      <c r="B5054" s="8" t="str">
        <f>HYPERLINK("https://twitter.com/facundoalmeira","@facundoalmeira")</f>
        <v>@facundoalmeira</v>
      </c>
      <c r="C5054" s="9" t="s">
        <v>11716</v>
      </c>
      <c r="D5054" s="9" t="s">
        <v>10808</v>
      </c>
      <c r="E5054" s="10" t="str">
        <f>HYPERLINK("https://twitter.com/facundoalmeira/status/723616032531841024","723616032531841024")</f>
        <v>723616032531841024</v>
      </c>
      <c r="F5054" s="11" t="s">
        <v>48</v>
      </c>
      <c r="G5054" s="11">
        <v>345</v>
      </c>
      <c r="H5054" s="11">
        <v>522</v>
      </c>
      <c r="I5054" s="11">
        <v>46</v>
      </c>
      <c r="J5054" s="11">
        <v>0</v>
      </c>
      <c r="K5054" s="11" t="s">
        <v>21</v>
      </c>
      <c r="L5054" s="7">
        <v>41149.95103009259</v>
      </c>
      <c r="M5054" s="12"/>
      <c r="N5054" s="12" t="s">
        <v>11717</v>
      </c>
      <c r="O5054" s="10" t="str">
        <f>HYPERLINK("https://pbs.twimg.com/profile_images/652625040089985024/NVgJWEdE_normal.jpg","View")</f>
        <v>View</v>
      </c>
      <c r="P5054" s="11"/>
    </row>
    <row r="5055" spans="1:16" ht="12.75" x14ac:dyDescent="0.35">
      <c r="A5055" s="7">
        <v>42483.100682870368</v>
      </c>
      <c r="B5055" s="8" t="str">
        <f>HYPERLINK("https://twitter.com/Highlander2512","@Highlander2512")</f>
        <v>@Highlander2512</v>
      </c>
      <c r="C5055" s="8" t="s">
        <v>11718</v>
      </c>
      <c r="D5055" s="9" t="s">
        <v>11719</v>
      </c>
      <c r="E5055" s="10" t="str">
        <f>HYPERLINK("https://twitter.com/Highlander2512/status/723616110164226048","723616110164226048")</f>
        <v>723616110164226048</v>
      </c>
      <c r="F5055" s="11" t="s">
        <v>1034</v>
      </c>
      <c r="G5055" s="11">
        <v>261</v>
      </c>
      <c r="H5055" s="11">
        <v>774</v>
      </c>
      <c r="I5055" s="11">
        <v>0</v>
      </c>
      <c r="J5055" s="11">
        <v>0</v>
      </c>
      <c r="K5055" s="11" t="s">
        <v>21</v>
      </c>
      <c r="L5055" s="7">
        <v>40129.70722222222</v>
      </c>
      <c r="M5055" s="12" t="s">
        <v>1116</v>
      </c>
      <c r="N5055" s="12" t="s">
        <v>11720</v>
      </c>
      <c r="O5055" s="10" t="str">
        <f>HYPERLINK("https://pbs.twimg.com/profile_images/682518374467944448/JjbYaxue_normal.png","View")</f>
        <v>View</v>
      </c>
      <c r="P5055" s="11"/>
    </row>
    <row r="5056" spans="1:16" ht="12.75" x14ac:dyDescent="0.35">
      <c r="A5056" s="7">
        <v>42483.104305555556</v>
      </c>
      <c r="B5056" s="8" t="str">
        <f>HYPERLINK("https://twitter.com/AutoExpress","@AutoExpress")</f>
        <v>@AutoExpress</v>
      </c>
      <c r="C5056" s="9" t="s">
        <v>1973</v>
      </c>
      <c r="D5056" s="9" t="s">
        <v>11721</v>
      </c>
      <c r="E5056" s="10" t="str">
        <f>HYPERLINK("https://twitter.com/AutoExpress/status/723617422268203008","723617422268203008")</f>
        <v>723617422268203008</v>
      </c>
      <c r="F5056" s="11" t="s">
        <v>63</v>
      </c>
      <c r="G5056" s="11">
        <v>93156</v>
      </c>
      <c r="H5056" s="11">
        <v>776</v>
      </c>
      <c r="I5056" s="11">
        <v>0</v>
      </c>
      <c r="J5056" s="11">
        <v>0</v>
      </c>
      <c r="K5056" s="11" t="s">
        <v>21</v>
      </c>
      <c r="L5056" s="7">
        <v>39869.653437499997</v>
      </c>
      <c r="M5056" s="12" t="s">
        <v>638</v>
      </c>
      <c r="N5056" s="12" t="s">
        <v>1975</v>
      </c>
      <c r="O5056" s="10" t="str">
        <f>HYPERLINK("https://pbs.twimg.com/profile_images/378800000673633859/9729e4c280465095c6f835c9f6b36378_normal.jpeg","View")</f>
        <v>View</v>
      </c>
      <c r="P5056" s="11"/>
    </row>
    <row r="5057" spans="1:16" ht="12.75" x14ac:dyDescent="0.35">
      <c r="A5057" s="7">
        <v>42483.104305555556</v>
      </c>
      <c r="B5057" s="8" t="str">
        <f>HYPERLINK("https://twitter.com/NeedTechs","@NeedTechs")</f>
        <v>@NeedTechs</v>
      </c>
      <c r="C5057" s="9" t="s">
        <v>103</v>
      </c>
      <c r="D5057" s="9" t="s">
        <v>11722</v>
      </c>
      <c r="E5057" s="10" t="str">
        <f>HYPERLINK("https://twitter.com/NeedTechs/status/723617422310170624","723617422310170624")</f>
        <v>723617422310170624</v>
      </c>
      <c r="F5057" s="11" t="s">
        <v>63</v>
      </c>
      <c r="G5057" s="11">
        <v>590</v>
      </c>
      <c r="H5057" s="11">
        <v>606</v>
      </c>
      <c r="I5057" s="11">
        <v>0</v>
      </c>
      <c r="J5057" s="11">
        <v>1</v>
      </c>
      <c r="K5057" s="11" t="s">
        <v>21</v>
      </c>
      <c r="L5057" s="7">
        <v>40808.092199074075</v>
      </c>
      <c r="M5057" s="12" t="s">
        <v>105</v>
      </c>
      <c r="N5057" s="12" t="s">
        <v>106</v>
      </c>
      <c r="O5057" s="10" t="str">
        <f>HYPERLINK("https://pbs.twimg.com/profile_images/588750621353717760/15I04Sdg_normal.png","View")</f>
        <v>View</v>
      </c>
      <c r="P5057" s="11"/>
    </row>
    <row r="5058" spans="1:16" ht="12.75" x14ac:dyDescent="0.35">
      <c r="A5058" s="7">
        <v>42483.104444444441</v>
      </c>
      <c r="B5058" s="8" t="str">
        <f>HYPERLINK("https://twitter.com/kngeuro","@kngeuro")</f>
        <v>@kngeuro</v>
      </c>
      <c r="C5058" s="9" t="s">
        <v>833</v>
      </c>
      <c r="D5058" s="9" t="s">
        <v>11723</v>
      </c>
      <c r="E5058" s="10" t="str">
        <f>HYPERLINK("https://twitter.com/kngeuro/status/723617473371590656","723617473371590656")</f>
        <v>723617473371590656</v>
      </c>
      <c r="F5058" s="11" t="s">
        <v>53</v>
      </c>
      <c r="G5058" s="11">
        <v>760</v>
      </c>
      <c r="H5058" s="11">
        <v>451</v>
      </c>
      <c r="I5058" s="11">
        <v>0</v>
      </c>
      <c r="J5058" s="11">
        <v>0</v>
      </c>
      <c r="K5058" s="11" t="s">
        <v>21</v>
      </c>
      <c r="L5058" s="7">
        <v>40319.120925925927</v>
      </c>
      <c r="M5058" s="12" t="s">
        <v>835</v>
      </c>
      <c r="N5058" s="12" t="s">
        <v>836</v>
      </c>
      <c r="O5058" s="10" t="str">
        <f>HYPERLINK("https://pbs.twimg.com/profile_images/570375988065935360/ooT_Nq7x_normal.jpeg","View")</f>
        <v>View</v>
      </c>
      <c r="P5058" s="11"/>
    </row>
    <row r="5059" spans="1:16" ht="12.75" x14ac:dyDescent="0.35">
      <c r="A5059" s="7">
        <v>42483.104548611111</v>
      </c>
      <c r="B5059" s="8" t="str">
        <f>HYPERLINK("https://twitter.com/ThorntonFirm","@ThorntonFirm")</f>
        <v>@ThorntonFirm</v>
      </c>
      <c r="C5059" s="9" t="s">
        <v>11724</v>
      </c>
      <c r="D5059" s="9" t="s">
        <v>11725</v>
      </c>
      <c r="E5059" s="10" t="str">
        <f>HYPERLINK("https://twitter.com/ThorntonFirm/status/723617512387129345","723617512387129345")</f>
        <v>723617512387129345</v>
      </c>
      <c r="F5059" s="11" t="s">
        <v>3871</v>
      </c>
      <c r="G5059" s="11">
        <v>1647</v>
      </c>
      <c r="H5059" s="11">
        <v>1471</v>
      </c>
      <c r="I5059" s="11">
        <v>0</v>
      </c>
      <c r="J5059" s="11">
        <v>0</v>
      </c>
      <c r="K5059" s="11" t="s">
        <v>21</v>
      </c>
      <c r="L5059" s="7">
        <v>40774.774062500001</v>
      </c>
      <c r="M5059" s="12" t="s">
        <v>2378</v>
      </c>
      <c r="N5059" s="12" t="s">
        <v>11726</v>
      </c>
      <c r="O5059" s="10" t="str">
        <f>HYPERLINK("https://pbs.twimg.com/profile_images/638430881229721600/SYdXPv56_normal.jpg","View")</f>
        <v>View</v>
      </c>
      <c r="P5059" s="11"/>
    </row>
    <row r="5060" spans="1:16" ht="12.75" x14ac:dyDescent="0.35">
      <c r="A5060" s="7">
        <v>42483.104618055557</v>
      </c>
      <c r="B5060" s="8" t="str">
        <f>HYPERLINK("https://twitter.com/VWCamperSales","@VWCamperSales")</f>
        <v>@VWCamperSales</v>
      </c>
      <c r="C5060" s="9" t="s">
        <v>216</v>
      </c>
      <c r="D5060" s="9" t="s">
        <v>11727</v>
      </c>
      <c r="E5060" s="10" t="str">
        <f>HYPERLINK("https://twitter.com/VWCamperSales/status/723617538265878528","723617538265878528")</f>
        <v>723617538265878528</v>
      </c>
      <c r="F5060" s="10" t="s">
        <v>124</v>
      </c>
      <c r="G5060" s="11">
        <v>618</v>
      </c>
      <c r="H5060" s="11">
        <v>580</v>
      </c>
      <c r="I5060" s="11">
        <v>0</v>
      </c>
      <c r="J5060" s="11">
        <v>0</v>
      </c>
      <c r="K5060" s="11" t="s">
        <v>21</v>
      </c>
      <c r="L5060" s="7">
        <v>42215.98809027778</v>
      </c>
      <c r="M5060" s="12" t="s">
        <v>129</v>
      </c>
      <c r="N5060" s="12" t="s">
        <v>218</v>
      </c>
      <c r="O5060" s="10" t="str">
        <f>HYPERLINK("https://pbs.twimg.com/profile_images/627949001179037696/skEBkS05_normal.jpg","View")</f>
        <v>View</v>
      </c>
      <c r="P5060" s="11"/>
    </row>
    <row r="5061" spans="1:16" ht="12.75" x14ac:dyDescent="0.35">
      <c r="A5061" s="7">
        <v>42483.105856481481</v>
      </c>
      <c r="B5061" s="8" t="str">
        <f>HYPERLINK("https://twitter.com/RTLRally","@RTLRally")</f>
        <v>@RTLRally</v>
      </c>
      <c r="C5061" s="9" t="s">
        <v>10712</v>
      </c>
      <c r="D5061" s="9" t="s">
        <v>11728</v>
      </c>
      <c r="E5061" s="10" t="str">
        <f>HYPERLINK("https://twitter.com/RTLRally/status/723617987190771712","723617987190771712")</f>
        <v>723617987190771712</v>
      </c>
      <c r="F5061" s="11" t="s">
        <v>43</v>
      </c>
      <c r="G5061" s="11">
        <v>2534</v>
      </c>
      <c r="H5061" s="11">
        <v>1</v>
      </c>
      <c r="I5061" s="11">
        <v>0</v>
      </c>
      <c r="J5061" s="11">
        <v>0</v>
      </c>
      <c r="K5061" s="11" t="s">
        <v>21</v>
      </c>
      <c r="L5061" s="7">
        <v>40628.658171296294</v>
      </c>
      <c r="M5061" s="12" t="s">
        <v>10714</v>
      </c>
      <c r="N5061" s="12" t="s">
        <v>10715</v>
      </c>
      <c r="O5061" s="10" t="str">
        <f>HYPERLINK("https://pbs.twimg.com/profile_images/711506516294041600/1fr0IryT_normal.jpg","View")</f>
        <v>View</v>
      </c>
      <c r="P5061" s="11"/>
    </row>
    <row r="5062" spans="1:16" ht="12.75" x14ac:dyDescent="0.35">
      <c r="A5062" s="7">
        <v>42483.106087962966</v>
      </c>
      <c r="B5062" s="8" t="str">
        <f>HYPERLINK("https://twitter.com/lestermarshall3","@lestermarshall3")</f>
        <v>@lestermarshall3</v>
      </c>
      <c r="C5062" s="9" t="s">
        <v>11729</v>
      </c>
      <c r="D5062" s="9" t="s">
        <v>11730</v>
      </c>
      <c r="E5062" s="10" t="str">
        <f>HYPERLINK("https://twitter.com/lestermarshall3/status/723618071131246592","723618071131246592")</f>
        <v>723618071131246592</v>
      </c>
      <c r="F5062" s="11" t="s">
        <v>114</v>
      </c>
      <c r="G5062" s="11">
        <v>25</v>
      </c>
      <c r="H5062" s="11">
        <v>25</v>
      </c>
      <c r="I5062" s="11">
        <v>0</v>
      </c>
      <c r="J5062" s="11">
        <v>0</v>
      </c>
      <c r="K5062" s="11" t="s">
        <v>21</v>
      </c>
      <c r="L5062" s="7">
        <v>40190.333414351851</v>
      </c>
      <c r="M5062" s="12" t="s">
        <v>11731</v>
      </c>
      <c r="N5062" s="12" t="s">
        <v>11732</v>
      </c>
      <c r="O5062" s="10" t="str">
        <f>HYPERLINK("https://pbs.twimg.com/profile_images/720354878782971904/7Udd1I_N_normal.jpg","View")</f>
        <v>View</v>
      </c>
      <c r="P5062" s="11"/>
    </row>
    <row r="5063" spans="1:16" ht="12.75" x14ac:dyDescent="0.35">
      <c r="A5063" s="7">
        <v>42483.106458333335</v>
      </c>
      <c r="B5063" s="8" t="str">
        <f>HYPERLINK("https://twitter.com/TrinosophieBlog","@TrinosophieBlog")</f>
        <v>@TrinosophieBlog</v>
      </c>
      <c r="C5063" s="9" t="s">
        <v>11733</v>
      </c>
      <c r="D5063" s="9" t="s">
        <v>11734</v>
      </c>
      <c r="E5063" s="10" t="str">
        <f>HYPERLINK("https://twitter.com/TrinosophieBlog/status/723618202702479361","723618202702479361")</f>
        <v>723618202702479361</v>
      </c>
      <c r="F5063" s="11" t="s">
        <v>243</v>
      </c>
      <c r="G5063" s="11">
        <v>306</v>
      </c>
      <c r="H5063" s="11">
        <v>191</v>
      </c>
      <c r="I5063" s="11">
        <v>0</v>
      </c>
      <c r="J5063" s="11">
        <v>0</v>
      </c>
      <c r="K5063" s="11" t="s">
        <v>21</v>
      </c>
      <c r="L5063" s="7">
        <v>39947.909675925926</v>
      </c>
      <c r="M5063" s="12" t="s">
        <v>1116</v>
      </c>
      <c r="N5063" s="12" t="s">
        <v>11735</v>
      </c>
      <c r="O5063" s="10" t="str">
        <f>HYPERLINK("https://pbs.twimg.com/profile_images/221996752/detail_trino_normal.jpg","View")</f>
        <v>View</v>
      </c>
      <c r="P5063" s="11"/>
    </row>
    <row r="5064" spans="1:16" ht="12.75" x14ac:dyDescent="0.35">
      <c r="A5064" s="7">
        <v>42483.10670138889</v>
      </c>
      <c r="B5064" s="8" t="str">
        <f t="shared" ref="B5064:B5065" si="435">HYPERLINK("https://twitter.com/DubLuvTuning","@DubLuvTuning")</f>
        <v>@DubLuvTuning</v>
      </c>
      <c r="C5064" s="9" t="s">
        <v>299</v>
      </c>
      <c r="D5064" s="9" t="s">
        <v>11701</v>
      </c>
      <c r="E5064" s="10" t="str">
        <f>HYPERLINK("https://twitter.com/DubLuvTuning/status/723618289323249664","723618289323249664")</f>
        <v>723618289323249664</v>
      </c>
      <c r="F5064" s="11" t="s">
        <v>288</v>
      </c>
      <c r="G5064" s="11">
        <v>690</v>
      </c>
      <c r="H5064" s="11">
        <v>431</v>
      </c>
      <c r="I5064" s="11">
        <v>2</v>
      </c>
      <c r="J5064" s="11">
        <v>0</v>
      </c>
      <c r="K5064" s="11" t="s">
        <v>21</v>
      </c>
      <c r="L5064" s="7">
        <v>41549.898287037038</v>
      </c>
      <c r="M5064" s="12" t="s">
        <v>301</v>
      </c>
      <c r="N5064" s="12" t="s">
        <v>302</v>
      </c>
      <c r="O5064" s="10" t="str">
        <f t="shared" ref="O5064:O5065" si="436">HYPERLINK("https://pbs.twimg.com/profile_images/378800000572104796/1de43e1cf23efb3f4101c02afad0d3b6_normal.png","View")</f>
        <v>View</v>
      </c>
      <c r="P5064" s="11"/>
    </row>
    <row r="5065" spans="1:16" ht="12.75" x14ac:dyDescent="0.35">
      <c r="A5065" s="7">
        <v>42483.10670138889</v>
      </c>
      <c r="B5065" s="8" t="str">
        <f t="shared" si="435"/>
        <v>@DubLuvTuning</v>
      </c>
      <c r="C5065" s="9" t="s">
        <v>299</v>
      </c>
      <c r="D5065" s="9" t="s">
        <v>11736</v>
      </c>
      <c r="E5065" s="10" t="str">
        <f>HYPERLINK("https://twitter.com/DubLuvTuning/status/723618290589949952","723618290589949952")</f>
        <v>723618290589949952</v>
      </c>
      <c r="F5065" s="11" t="s">
        <v>288</v>
      </c>
      <c r="G5065" s="11">
        <v>690</v>
      </c>
      <c r="H5065" s="11">
        <v>431</v>
      </c>
      <c r="I5065" s="11">
        <v>2</v>
      </c>
      <c r="J5065" s="11">
        <v>0</v>
      </c>
      <c r="K5065" s="11" t="s">
        <v>21</v>
      </c>
      <c r="L5065" s="7">
        <v>41549.898287037038</v>
      </c>
      <c r="M5065" s="12" t="s">
        <v>301</v>
      </c>
      <c r="N5065" s="12" t="s">
        <v>302</v>
      </c>
      <c r="O5065" s="10" t="str">
        <f t="shared" si="436"/>
        <v>View</v>
      </c>
      <c r="P5065" s="11"/>
    </row>
    <row r="5066" spans="1:16" ht="12.75" x14ac:dyDescent="0.35">
      <c r="A5066" s="7">
        <v>42483.106747685189</v>
      </c>
      <c r="B5066" s="8" t="str">
        <f>HYPERLINK("https://twitter.com/autos_kris","@autos_kris")</f>
        <v>@autos_kris</v>
      </c>
      <c r="C5066" s="9" t="s">
        <v>11737</v>
      </c>
      <c r="D5066" s="9" t="s">
        <v>11738</v>
      </c>
      <c r="E5066" s="10" t="str">
        <f>HYPERLINK("https://twitter.com/autos_kris/status/723618309166501888","723618309166501888")</f>
        <v>723618309166501888</v>
      </c>
      <c r="F5066" s="11" t="s">
        <v>11737</v>
      </c>
      <c r="G5066" s="11">
        <v>18</v>
      </c>
      <c r="H5066" s="11">
        <v>8</v>
      </c>
      <c r="I5066" s="11">
        <v>0</v>
      </c>
      <c r="J5066" s="11">
        <v>0</v>
      </c>
      <c r="K5066" s="11" t="s">
        <v>21</v>
      </c>
      <c r="L5066" s="7">
        <v>42177.735543981486</v>
      </c>
      <c r="M5066" s="12"/>
      <c r="N5066" s="12"/>
      <c r="O5066" s="10" t="str">
        <f>HYPERLINK("https://pbs.twimg.com/profile_images/612959708152893440/EP2swCL9_normal.png","View")</f>
        <v>View</v>
      </c>
      <c r="P5066" s="11"/>
    </row>
    <row r="5067" spans="1:16" ht="12.75" x14ac:dyDescent="0.35">
      <c r="A5067" s="7">
        <v>42483.106874999998</v>
      </c>
      <c r="B5067" s="8" t="str">
        <f>HYPERLINK("https://twitter.com/luchitodf","@luchitodf")</f>
        <v>@luchitodf</v>
      </c>
      <c r="C5067" s="9" t="s">
        <v>11739</v>
      </c>
      <c r="D5067" s="9" t="s">
        <v>10808</v>
      </c>
      <c r="E5067" s="10" t="str">
        <f>HYPERLINK("https://twitter.com/luchitodf/status/723618352632045568","723618352632045568")</f>
        <v>723618352632045568</v>
      </c>
      <c r="F5067" s="11" t="s">
        <v>48</v>
      </c>
      <c r="G5067" s="11">
        <v>379</v>
      </c>
      <c r="H5067" s="11">
        <v>366</v>
      </c>
      <c r="I5067" s="11">
        <v>48</v>
      </c>
      <c r="J5067" s="11">
        <v>0</v>
      </c>
      <c r="K5067" s="11" t="s">
        <v>21</v>
      </c>
      <c r="L5067" s="7">
        <v>41760.293333333335</v>
      </c>
      <c r="M5067" s="12"/>
      <c r="N5067" s="12"/>
      <c r="O5067" s="10" t="str">
        <f>HYPERLINK("https://pbs.twimg.com/profile_images/706696262016503809/DKOWP6rq_normal.jpg","View")</f>
        <v>View</v>
      </c>
      <c r="P5067" s="11"/>
    </row>
    <row r="5068" spans="1:16" ht="12.75" x14ac:dyDescent="0.35">
      <c r="A5068" s="7">
        <v>42483.107048611113</v>
      </c>
      <c r="B5068" s="8" t="str">
        <f>HYPERLINK("https://twitter.com/dillonmj","@dillonmj")</f>
        <v>@dillonmj</v>
      </c>
      <c r="C5068" s="9" t="s">
        <v>11740</v>
      </c>
      <c r="D5068" s="9" t="s">
        <v>11741</v>
      </c>
      <c r="E5068" s="10" t="str">
        <f>HYPERLINK("https://twitter.com/dillonmj/status/723618416167411714","723618416167411714")</f>
        <v>723618416167411714</v>
      </c>
      <c r="F5068" s="11" t="s">
        <v>114</v>
      </c>
      <c r="G5068" s="11">
        <v>149</v>
      </c>
      <c r="H5068" s="11">
        <v>197</v>
      </c>
      <c r="I5068" s="11">
        <v>0</v>
      </c>
      <c r="J5068" s="11">
        <v>0</v>
      </c>
      <c r="K5068" s="11" t="s">
        <v>21</v>
      </c>
      <c r="L5068" s="7">
        <v>40115.411736111113</v>
      </c>
      <c r="M5068" s="12" t="s">
        <v>11742</v>
      </c>
      <c r="N5068" s="12" t="s">
        <v>11743</v>
      </c>
      <c r="O5068" s="10" t="str">
        <f>HYPERLINK("https://pbs.twimg.com/profile_images/668920799168888832/NUrKJBD-_normal.jpg","View")</f>
        <v>View</v>
      </c>
      <c r="P5068" s="10" t="str">
        <f>HYPERLINK("http://ctrlq.org/maps/address/#49.82049212,-96.93501581","Map")</f>
        <v>Map</v>
      </c>
    </row>
    <row r="5069" spans="1:16" ht="12.75" x14ac:dyDescent="0.35">
      <c r="A5069" s="7">
        <v>42483.107106481482</v>
      </c>
      <c r="B5069" s="8" t="str">
        <f>HYPERLINK("https://twitter.com/businessblogged","@businessblogged")</f>
        <v>@businessblogged</v>
      </c>
      <c r="C5069" s="9" t="s">
        <v>11744</v>
      </c>
      <c r="D5069" s="9" t="s">
        <v>11745</v>
      </c>
      <c r="E5069" s="10" t="str">
        <f>HYPERLINK("https://twitter.com/businessblogged/status/723618440137723904","723618440137723904")</f>
        <v>723618440137723904</v>
      </c>
      <c r="F5069" s="11" t="s">
        <v>11746</v>
      </c>
      <c r="G5069" s="11">
        <v>46</v>
      </c>
      <c r="H5069" s="11">
        <v>58</v>
      </c>
      <c r="I5069" s="11">
        <v>1</v>
      </c>
      <c r="J5069" s="11">
        <v>0</v>
      </c>
      <c r="K5069" s="11" t="s">
        <v>21</v>
      </c>
      <c r="L5069" s="7">
        <v>42476.878842592589</v>
      </c>
      <c r="M5069" s="12"/>
      <c r="N5069" s="12" t="s">
        <v>11747</v>
      </c>
      <c r="O5069" s="10" t="str">
        <f>HYPERLINK("https://pbs.twimg.com/profile_images/722104677656104961/0KuQLGIH_normal.jpg","View")</f>
        <v>View</v>
      </c>
      <c r="P5069" s="11"/>
    </row>
    <row r="5070" spans="1:16" ht="12.75" x14ac:dyDescent="0.35">
      <c r="A5070" s="7">
        <v>42483.107199074075</v>
      </c>
      <c r="B5070" s="8" t="str">
        <f t="shared" ref="B5070:B5071" si="437">HYPERLINK("https://twitter.com/beetlebug1938","@beetlebug1938")</f>
        <v>@beetlebug1938</v>
      </c>
      <c r="C5070" s="9" t="s">
        <v>66</v>
      </c>
      <c r="D5070" s="9" t="s">
        <v>11748</v>
      </c>
      <c r="E5070" s="10" t="str">
        <f>HYPERLINK("https://twitter.com/beetlebug1938/status/723618471897096192","723618471897096192")</f>
        <v>723618471897096192</v>
      </c>
      <c r="F5070" s="11" t="s">
        <v>68</v>
      </c>
      <c r="G5070" s="11">
        <v>360</v>
      </c>
      <c r="H5070" s="11">
        <v>2222</v>
      </c>
      <c r="I5070" s="11">
        <v>0</v>
      </c>
      <c r="J5070" s="11">
        <v>0</v>
      </c>
      <c r="K5070" s="11" t="s">
        <v>21</v>
      </c>
      <c r="L5070" s="7">
        <v>42469.863865740743</v>
      </c>
      <c r="M5070" s="12" t="s">
        <v>69</v>
      </c>
      <c r="N5070" s="12"/>
      <c r="O5070" s="10" t="str">
        <f t="shared" ref="O5070:O5071" si="438">HYPERLINK("https://pbs.twimg.com/profile_images/718820712757215233/LXXndPTS_normal.jpg","View")</f>
        <v>View</v>
      </c>
      <c r="P5070" s="11"/>
    </row>
    <row r="5071" spans="1:16" ht="12.75" x14ac:dyDescent="0.35">
      <c r="A5071" s="7">
        <v>42483.107430555552</v>
      </c>
      <c r="B5071" s="8" t="str">
        <f t="shared" si="437"/>
        <v>@beetlebug1938</v>
      </c>
      <c r="C5071" s="9" t="s">
        <v>66</v>
      </c>
      <c r="D5071" s="9" t="s">
        <v>11749</v>
      </c>
      <c r="E5071" s="10" t="str">
        <f>HYPERLINK("https://twitter.com/beetlebug1938/status/723618553530859520","723618553530859520")</f>
        <v>723618553530859520</v>
      </c>
      <c r="F5071" s="11" t="s">
        <v>68</v>
      </c>
      <c r="G5071" s="11">
        <v>360</v>
      </c>
      <c r="H5071" s="11">
        <v>2222</v>
      </c>
      <c r="I5071" s="11">
        <v>1</v>
      </c>
      <c r="J5071" s="11">
        <v>1</v>
      </c>
      <c r="K5071" s="11" t="s">
        <v>21</v>
      </c>
      <c r="L5071" s="7">
        <v>42469.863865740743</v>
      </c>
      <c r="M5071" s="12" t="s">
        <v>69</v>
      </c>
      <c r="N5071" s="12"/>
      <c r="O5071" s="10" t="str">
        <f t="shared" si="438"/>
        <v>View</v>
      </c>
      <c r="P5071" s="11"/>
    </row>
    <row r="5072" spans="1:16" ht="12.75" x14ac:dyDescent="0.35">
      <c r="A5072" s="7">
        <v>42483.107928240745</v>
      </c>
      <c r="B5072" s="8" t="str">
        <f>HYPERLINK("https://twitter.com/twinity","@twinity")</f>
        <v>@twinity</v>
      </c>
      <c r="C5072" s="9" t="s">
        <v>11750</v>
      </c>
      <c r="D5072" s="9" t="s">
        <v>11751</v>
      </c>
      <c r="E5072" s="10" t="str">
        <f>HYPERLINK("https://twitter.com/twinity/status/723618735555284993","723618735555284993")</f>
        <v>723618735555284993</v>
      </c>
      <c r="F5072" s="11" t="s">
        <v>152</v>
      </c>
      <c r="G5072" s="11">
        <v>1884</v>
      </c>
      <c r="H5072" s="11">
        <v>1787</v>
      </c>
      <c r="I5072" s="11">
        <v>0</v>
      </c>
      <c r="J5072" s="11">
        <v>0</v>
      </c>
      <c r="K5072" s="11" t="s">
        <v>21</v>
      </c>
      <c r="L5072" s="7">
        <v>39559.712719907409</v>
      </c>
      <c r="M5072" s="12" t="s">
        <v>1288</v>
      </c>
      <c r="N5072" s="12" t="s">
        <v>11752</v>
      </c>
      <c r="O5072" s="10" t="str">
        <f>HYPERLINK("https://pbs.twimg.com/profile_images/2946887682/19415956db81d4b6a9925e617813e680_normal.jpeg","View")</f>
        <v>View</v>
      </c>
      <c r="P5072" s="11"/>
    </row>
    <row r="5073" spans="1:16" ht="12.75" x14ac:dyDescent="0.35">
      <c r="A5073" s="7">
        <v>42483.10800925926</v>
      </c>
      <c r="B5073" s="8" t="str">
        <f>HYPERLINK("https://twitter.com/veselinarogova","@veselinarogova")</f>
        <v>@veselinarogova</v>
      </c>
      <c r="C5073" s="9" t="s">
        <v>11753</v>
      </c>
      <c r="D5073" s="9" t="s">
        <v>11754</v>
      </c>
      <c r="E5073" s="10" t="str">
        <f>HYPERLINK("https://twitter.com/veselinarogova/status/723618764051374080","723618764051374080")</f>
        <v>723618764051374080</v>
      </c>
      <c r="F5073" s="11" t="s">
        <v>43</v>
      </c>
      <c r="G5073" s="11">
        <v>72</v>
      </c>
      <c r="H5073" s="11">
        <v>222</v>
      </c>
      <c r="I5073" s="11">
        <v>0</v>
      </c>
      <c r="J5073" s="11">
        <v>0</v>
      </c>
      <c r="K5073" s="11" t="s">
        <v>21</v>
      </c>
      <c r="L5073" s="7">
        <v>42439.575624999998</v>
      </c>
      <c r="M5073" s="12"/>
      <c r="N5073" s="12"/>
      <c r="O5073" s="10" t="str">
        <f>HYPERLINK("https://pbs.twimg.com/profile_images/707844012154101760/6yMrzDXE_normal.jpg","View")</f>
        <v>View</v>
      </c>
      <c r="P5073" s="11"/>
    </row>
    <row r="5074" spans="1:16" ht="12.75" x14ac:dyDescent="0.35">
      <c r="A5074" s="7">
        <v>42483.108611111107</v>
      </c>
      <c r="B5074" s="8" t="str">
        <f>HYPERLINK("https://twitter.com/Leckert_","@Leckert_")</f>
        <v>@Leckert_</v>
      </c>
      <c r="C5074" s="9" t="s">
        <v>11755</v>
      </c>
      <c r="D5074" s="9" t="s">
        <v>10423</v>
      </c>
      <c r="E5074" s="10" t="str">
        <f>HYPERLINK("https://twitter.com/Leckert_/status/723618985137283072","723618985137283072")</f>
        <v>723618985137283072</v>
      </c>
      <c r="F5074" s="11" t="s">
        <v>20</v>
      </c>
      <c r="G5074" s="11">
        <v>160</v>
      </c>
      <c r="H5074" s="11">
        <v>282</v>
      </c>
      <c r="I5074" s="11">
        <v>2</v>
      </c>
      <c r="J5074" s="11">
        <v>0</v>
      </c>
      <c r="K5074" s="11" t="s">
        <v>21</v>
      </c>
      <c r="L5074" s="7">
        <v>41115.009062500001</v>
      </c>
      <c r="M5074" s="13" t="s">
        <v>11756</v>
      </c>
      <c r="N5074" s="12" t="s">
        <v>11757</v>
      </c>
      <c r="O5074" s="10" t="str">
        <f>HYPERLINK("https://pbs.twimg.com/profile_images/685097576874553344/Zgllsr-x_normal.jpg","View")</f>
        <v>View</v>
      </c>
      <c r="P5074" s="11"/>
    </row>
    <row r="5075" spans="1:16" ht="12.75" x14ac:dyDescent="0.35">
      <c r="A5075" s="7">
        <v>42483.109652777777</v>
      </c>
      <c r="B5075" s="8" t="str">
        <f>HYPERLINK("https://twitter.com/PeterJanEngelen","@PeterJanEngelen")</f>
        <v>@PeterJanEngelen</v>
      </c>
      <c r="C5075" s="9" t="s">
        <v>11758</v>
      </c>
      <c r="D5075" s="9" t="s">
        <v>11759</v>
      </c>
      <c r="E5075" s="10" t="str">
        <f>HYPERLINK("https://twitter.com/PeterJanEngelen/status/723619360334594048","723619360334594048")</f>
        <v>723619360334594048</v>
      </c>
      <c r="F5075" s="11" t="s">
        <v>43</v>
      </c>
      <c r="G5075" s="11">
        <v>44</v>
      </c>
      <c r="H5075" s="11">
        <v>86</v>
      </c>
      <c r="I5075" s="11">
        <v>0</v>
      </c>
      <c r="J5075" s="11">
        <v>0</v>
      </c>
      <c r="K5075" s="11" t="s">
        <v>21</v>
      </c>
      <c r="L5075" s="7">
        <v>41984.789039351846</v>
      </c>
      <c r="M5075" s="12" t="s">
        <v>1397</v>
      </c>
      <c r="N5075" s="12" t="s">
        <v>11760</v>
      </c>
      <c r="O5075" s="10" t="str">
        <f>HYPERLINK("https://pbs.twimg.com/profile_images/544061403317796864/-1uYRPtD_normal.jpeg","View")</f>
        <v>View</v>
      </c>
      <c r="P5075" s="11"/>
    </row>
    <row r="5076" spans="1:16" ht="12.75" x14ac:dyDescent="0.35">
      <c r="A5076" s="7">
        <v>42483.109699074077</v>
      </c>
      <c r="B5076" s="8" t="str">
        <f>HYPERLINK("https://twitter.com/VolkswagenPost","@VolkswagenPost")</f>
        <v>@VolkswagenPost</v>
      </c>
      <c r="C5076" s="9" t="s">
        <v>321</v>
      </c>
      <c r="D5076" s="9" t="s">
        <v>11736</v>
      </c>
      <c r="E5076" s="10" t="str">
        <f>HYPERLINK("https://twitter.com/VolkswagenPost/status/723619376289730560","723619376289730560")</f>
        <v>723619376289730560</v>
      </c>
      <c r="F5076" s="11" t="s">
        <v>288</v>
      </c>
      <c r="G5076" s="11">
        <v>569</v>
      </c>
      <c r="H5076" s="11">
        <v>446</v>
      </c>
      <c r="I5076" s="11">
        <v>2</v>
      </c>
      <c r="J5076" s="11">
        <v>0</v>
      </c>
      <c r="K5076" s="11" t="s">
        <v>21</v>
      </c>
      <c r="L5076" s="7">
        <v>41940.618379629632</v>
      </c>
      <c r="M5076" s="12"/>
      <c r="N5076" s="12"/>
      <c r="O5076" s="10" t="str">
        <f>HYPERLINK("https://pbs.twimg.com/profile_images/530071272881803264/a_jcCmPZ_normal.png","View")</f>
        <v>View</v>
      </c>
      <c r="P5076" s="11"/>
    </row>
    <row r="5077" spans="1:16" ht="12.75" x14ac:dyDescent="0.35">
      <c r="A5077" s="7">
        <v>42483.111527777779</v>
      </c>
      <c r="B5077" s="8" t="str">
        <f>HYPERLINK("https://twitter.com/ddbEntertain","@ddbEntertain")</f>
        <v>@ddbEntertain</v>
      </c>
      <c r="C5077" s="9" t="s">
        <v>11761</v>
      </c>
      <c r="D5077" s="9" t="s">
        <v>11762</v>
      </c>
      <c r="E5077" s="10" t="str">
        <f>HYPERLINK("https://twitter.com/ddbEntertain/status/723620039799099392","723620039799099392")</f>
        <v>723620039799099392</v>
      </c>
      <c r="F5077" s="11" t="s">
        <v>43</v>
      </c>
      <c r="G5077" s="11">
        <v>1913</v>
      </c>
      <c r="H5077" s="11">
        <v>1641</v>
      </c>
      <c r="I5077" s="11">
        <v>0</v>
      </c>
      <c r="J5077" s="11">
        <v>0</v>
      </c>
      <c r="K5077" s="11" t="s">
        <v>21</v>
      </c>
      <c r="L5077" s="7">
        <v>39995.133368055554</v>
      </c>
      <c r="M5077" s="12" t="s">
        <v>11763</v>
      </c>
      <c r="N5077" s="12" t="s">
        <v>11764</v>
      </c>
      <c r="O5077" s="10" t="str">
        <f>HYPERLINK("https://pbs.twimg.com/profile_images/3308614129/d7fb2a9044c368b51a4c947a770419a2_normal.jpeg","View")</f>
        <v>View</v>
      </c>
      <c r="P5077" s="11"/>
    </row>
    <row r="5078" spans="1:16" ht="12.75" x14ac:dyDescent="0.35">
      <c r="A5078" s="7">
        <v>42483.111967592587</v>
      </c>
      <c r="B5078" s="8" t="str">
        <f>HYPERLINK("https://twitter.com/orafolwraps","@orafolwraps")</f>
        <v>@orafolwraps</v>
      </c>
      <c r="C5078" s="9" t="s">
        <v>11765</v>
      </c>
      <c r="D5078" s="9" t="s">
        <v>11766</v>
      </c>
      <c r="E5078" s="10" t="str">
        <f>HYPERLINK("https://twitter.com/orafolwraps/status/723620199220580352","723620199220580352")</f>
        <v>723620199220580352</v>
      </c>
      <c r="F5078" s="11" t="s">
        <v>20</v>
      </c>
      <c r="G5078" s="11">
        <v>224</v>
      </c>
      <c r="H5078" s="11">
        <v>142</v>
      </c>
      <c r="I5078" s="11">
        <v>1</v>
      </c>
      <c r="J5078" s="11">
        <v>0</v>
      </c>
      <c r="K5078" s="11" t="s">
        <v>21</v>
      </c>
      <c r="L5078" s="7">
        <v>42053.882870370369</v>
      </c>
      <c r="M5078" s="12"/>
      <c r="N5078" s="12" t="s">
        <v>11767</v>
      </c>
      <c r="O5078" s="10" t="str">
        <f>HYPERLINK("https://pbs.twimg.com/profile_images/568147155567656960/VPKW0WVw_normal.png","View")</f>
        <v>View</v>
      </c>
      <c r="P5078" s="11"/>
    </row>
    <row r="5079" spans="1:16" ht="12.75" x14ac:dyDescent="0.35">
      <c r="A5079" s="7">
        <v>42483.112696759257</v>
      </c>
      <c r="B5079" s="8" t="str">
        <f>HYPERLINK("https://twitter.com/Watson2706","@Watson2706")</f>
        <v>@Watson2706</v>
      </c>
      <c r="C5079" s="9" t="s">
        <v>11768</v>
      </c>
      <c r="D5079" s="9" t="s">
        <v>11769</v>
      </c>
      <c r="E5079" s="10" t="str">
        <f>HYPERLINK("https://twitter.com/Watson2706/status/723620466037002240","723620466037002240")</f>
        <v>723620466037002240</v>
      </c>
      <c r="F5079" s="11" t="s">
        <v>20</v>
      </c>
      <c r="G5079" s="11">
        <v>83</v>
      </c>
      <c r="H5079" s="11">
        <v>231</v>
      </c>
      <c r="I5079" s="11">
        <v>0</v>
      </c>
      <c r="J5079" s="11">
        <v>0</v>
      </c>
      <c r="K5079" s="11" t="s">
        <v>21</v>
      </c>
      <c r="L5079" s="7">
        <v>40000.517928240741</v>
      </c>
      <c r="M5079" s="12" t="s">
        <v>11770</v>
      </c>
      <c r="N5079" s="12" t="s">
        <v>11771</v>
      </c>
      <c r="O5079" s="10" t="str">
        <f>HYPERLINK("https://pbs.twimg.com/profile_images/299490659/Hr._Watson_normal.jpg","View")</f>
        <v>View</v>
      </c>
      <c r="P5079" s="11"/>
    </row>
    <row r="5080" spans="1:16" ht="12.75" x14ac:dyDescent="0.35">
      <c r="A5080" s="7">
        <v>42483.11273148148</v>
      </c>
      <c r="B5080" s="8" t="str">
        <f>HYPERLINK("https://twitter.com/rheto","@rheto")</f>
        <v>@rheto</v>
      </c>
      <c r="C5080" s="9" t="s">
        <v>11772</v>
      </c>
      <c r="D5080" s="9" t="s">
        <v>11773</v>
      </c>
      <c r="E5080" s="10" t="str">
        <f>HYPERLINK("https://twitter.com/rheto/status/723620475121885184","723620475121885184")</f>
        <v>723620475121885184</v>
      </c>
      <c r="F5080" s="11" t="s">
        <v>43</v>
      </c>
      <c r="G5080" s="11">
        <v>1177</v>
      </c>
      <c r="H5080" s="11">
        <v>983</v>
      </c>
      <c r="I5080" s="11">
        <v>0</v>
      </c>
      <c r="J5080" s="11">
        <v>0</v>
      </c>
      <c r="K5080" s="11" t="s">
        <v>21</v>
      </c>
      <c r="L5080" s="7">
        <v>40188.876319444447</v>
      </c>
      <c r="M5080" s="12" t="s">
        <v>11774</v>
      </c>
      <c r="N5080" s="12" t="s">
        <v>11775</v>
      </c>
      <c r="O5080" s="10" t="str">
        <f>HYPERLINK("https://pbs.twimg.com/profile_images/1157883957/Twitter_rheto_normal.jpg","View")</f>
        <v>View</v>
      </c>
      <c r="P5080" s="11"/>
    </row>
    <row r="5081" spans="1:16" ht="12.75" x14ac:dyDescent="0.35">
      <c r="A5081" s="7">
        <v>42483.113726851851</v>
      </c>
      <c r="B5081" s="8" t="str">
        <f>HYPERLINK("https://twitter.com/jitenmistrydj","@jitenmistrydj")</f>
        <v>@jitenmistrydj</v>
      </c>
      <c r="C5081" s="9" t="s">
        <v>11776</v>
      </c>
      <c r="D5081" s="9" t="s">
        <v>11777</v>
      </c>
      <c r="E5081" s="10" t="str">
        <f>HYPERLINK("https://twitter.com/jitenmistrydj/status/723620836180152321","723620836180152321")</f>
        <v>723620836180152321</v>
      </c>
      <c r="F5081" s="11" t="s">
        <v>43</v>
      </c>
      <c r="G5081" s="11">
        <v>1397</v>
      </c>
      <c r="H5081" s="11">
        <v>2382</v>
      </c>
      <c r="I5081" s="11">
        <v>0</v>
      </c>
      <c r="J5081" s="11">
        <v>0</v>
      </c>
      <c r="K5081" s="11" t="s">
        <v>21</v>
      </c>
      <c r="L5081" s="7">
        <v>40939.01457175926</v>
      </c>
      <c r="M5081" s="12" t="s">
        <v>35</v>
      </c>
      <c r="N5081" s="12" t="s">
        <v>11778</v>
      </c>
      <c r="O5081" s="10" t="str">
        <f>HYPERLINK("https://pbs.twimg.com/profile_images/689245762694311937/sYUFvr0i_normal.jpg","View")</f>
        <v>View</v>
      </c>
      <c r="P5081" s="11"/>
    </row>
    <row r="5082" spans="1:16" ht="12.75" x14ac:dyDescent="0.35">
      <c r="A5082" s="7">
        <v>42483.113738425927</v>
      </c>
      <c r="B5082" s="8" t="str">
        <f>HYPERLINK("https://twitter.com/SnowAngel0724","@SnowAngel0724")</f>
        <v>@SnowAngel0724</v>
      </c>
      <c r="C5082" s="9" t="s">
        <v>11779</v>
      </c>
      <c r="D5082" s="9" t="s">
        <v>11780</v>
      </c>
      <c r="E5082" s="10" t="str">
        <f>HYPERLINK("https://twitter.com/SnowAngel0724/status/723620841611612160","723620841611612160")</f>
        <v>723620841611612160</v>
      </c>
      <c r="F5082" s="11" t="s">
        <v>20</v>
      </c>
      <c r="G5082" s="11">
        <v>727</v>
      </c>
      <c r="H5082" s="11">
        <v>755</v>
      </c>
      <c r="I5082" s="11">
        <v>1</v>
      </c>
      <c r="J5082" s="11">
        <v>0</v>
      </c>
      <c r="K5082" s="11" t="s">
        <v>21</v>
      </c>
      <c r="L5082" s="7">
        <v>40757.345069444447</v>
      </c>
      <c r="M5082" s="12" t="s">
        <v>11781</v>
      </c>
      <c r="N5082" s="12" t="s">
        <v>11782</v>
      </c>
      <c r="O5082" s="10" t="str">
        <f>HYPERLINK("https://pbs.twimg.com/profile_images/718800395997294592/7kwRAhRd_normal.jpg","View")</f>
        <v>View</v>
      </c>
      <c r="P5082" s="11"/>
    </row>
    <row r="5083" spans="1:16" ht="12.75" x14ac:dyDescent="0.35">
      <c r="A5083" s="7">
        <v>42483.113773148143</v>
      </c>
      <c r="B5083" s="8" t="str">
        <f>HYPERLINK("https://twitter.com/urotuning","@urotuning")</f>
        <v>@urotuning</v>
      </c>
      <c r="C5083" s="9" t="s">
        <v>3134</v>
      </c>
      <c r="D5083" s="9" t="s">
        <v>11783</v>
      </c>
      <c r="E5083" s="10" t="str">
        <f>HYPERLINK("https://twitter.com/urotuning/status/723620853318062080","723620853318062080")</f>
        <v>723620853318062080</v>
      </c>
      <c r="F5083" s="11" t="s">
        <v>53</v>
      </c>
      <c r="G5083" s="11">
        <v>1084</v>
      </c>
      <c r="H5083" s="11">
        <v>226</v>
      </c>
      <c r="I5083" s="11">
        <v>0</v>
      </c>
      <c r="J5083" s="11">
        <v>0</v>
      </c>
      <c r="K5083" s="11" t="s">
        <v>21</v>
      </c>
      <c r="L5083" s="7">
        <v>39905.98065972222</v>
      </c>
      <c r="M5083" s="12" t="s">
        <v>3136</v>
      </c>
      <c r="N5083" s="12" t="s">
        <v>3137</v>
      </c>
      <c r="O5083" s="10" t="str">
        <f>HYPERLINK("https://pbs.twimg.com/profile_images/652593086124527616/onf0J8iL_normal.png","View")</f>
        <v>View</v>
      </c>
      <c r="P5083" s="11"/>
    </row>
    <row r="5084" spans="1:16" ht="12.75" x14ac:dyDescent="0.35">
      <c r="A5084" s="7">
        <v>42483.113796296297</v>
      </c>
      <c r="B5084" s="8" t="str">
        <f>HYPERLINK("https://twitter.com/wahnsinnman","@wahnsinnman")</f>
        <v>@wahnsinnman</v>
      </c>
      <c r="C5084" s="9" t="s">
        <v>11784</v>
      </c>
      <c r="D5084" s="9" t="s">
        <v>11785</v>
      </c>
      <c r="E5084" s="10" t="str">
        <f>HYPERLINK("https://twitter.com/wahnsinnman/status/723620861912190978","723620861912190978")</f>
        <v>723620861912190978</v>
      </c>
      <c r="F5084" s="11" t="s">
        <v>48</v>
      </c>
      <c r="G5084" s="11">
        <v>1250</v>
      </c>
      <c r="H5084" s="11">
        <v>1861</v>
      </c>
      <c r="I5084" s="11">
        <v>0</v>
      </c>
      <c r="J5084" s="11">
        <v>0</v>
      </c>
      <c r="K5084" s="11" t="s">
        <v>21</v>
      </c>
      <c r="L5084" s="7">
        <v>41785.954166666663</v>
      </c>
      <c r="M5084" s="12" t="s">
        <v>11786</v>
      </c>
      <c r="N5084" s="12" t="s">
        <v>11787</v>
      </c>
      <c r="O5084" s="10" t="str">
        <f>HYPERLINK("https://pbs.twimg.com/profile_images/711834780724289536/-KPqofzC_normal.jpg","View")</f>
        <v>View</v>
      </c>
      <c r="P5084" s="11"/>
    </row>
    <row r="5085" spans="1:16" ht="12.75" x14ac:dyDescent="0.35">
      <c r="A5085" s="7">
        <v>42483.114537037036</v>
      </c>
      <c r="B5085" s="8" t="str">
        <f>HYPERLINK("https://twitter.com/dom_pallett","@dom_pallett")</f>
        <v>@dom_pallett</v>
      </c>
      <c r="C5085" s="9" t="s">
        <v>11788</v>
      </c>
      <c r="D5085" s="9" t="s">
        <v>8227</v>
      </c>
      <c r="E5085" s="10" t="str">
        <f>HYPERLINK("https://twitter.com/dom_pallett/status/723621132260225026","723621132260225026")</f>
        <v>723621132260225026</v>
      </c>
      <c r="F5085" s="11" t="s">
        <v>367</v>
      </c>
      <c r="G5085" s="11">
        <v>81</v>
      </c>
      <c r="H5085" s="11">
        <v>200</v>
      </c>
      <c r="I5085" s="11">
        <v>10</v>
      </c>
      <c r="J5085" s="11">
        <v>0</v>
      </c>
      <c r="K5085" s="11" t="s">
        <v>21</v>
      </c>
      <c r="L5085" s="7">
        <v>42136.973368055551</v>
      </c>
      <c r="M5085" s="12" t="s">
        <v>11789</v>
      </c>
      <c r="N5085" s="12" t="s">
        <v>11790</v>
      </c>
      <c r="O5085" s="10" t="str">
        <f>HYPERLINK("https://pbs.twimg.com/profile_images/696384420123701253/hivrece1_normal.jpg","View")</f>
        <v>View</v>
      </c>
      <c r="P5085" s="11"/>
    </row>
    <row r="5086" spans="1:16" ht="12.75" x14ac:dyDescent="0.35">
      <c r="A5086" s="7">
        <v>42483.114733796298</v>
      </c>
      <c r="B5086" s="8" t="str">
        <f>HYPERLINK("https://twitter.com/acvwpassion","@acvwpassion")</f>
        <v>@acvwpassion</v>
      </c>
      <c r="C5086" s="9" t="s">
        <v>4671</v>
      </c>
      <c r="D5086" s="9" t="s">
        <v>11791</v>
      </c>
      <c r="E5086" s="10" t="str">
        <f>HYPERLINK("https://twitter.com/acvwpassion/status/723621202909081600","723621202909081600")</f>
        <v>723621202909081600</v>
      </c>
      <c r="F5086" s="11" t="s">
        <v>152</v>
      </c>
      <c r="G5086" s="11">
        <v>241</v>
      </c>
      <c r="H5086" s="11">
        <v>409</v>
      </c>
      <c r="I5086" s="11">
        <v>0</v>
      </c>
      <c r="J5086" s="11">
        <v>0</v>
      </c>
      <c r="K5086" s="11" t="s">
        <v>21</v>
      </c>
      <c r="L5086" s="7">
        <v>41989.101851851854</v>
      </c>
      <c r="M5086" s="12" t="s">
        <v>4673</v>
      </c>
      <c r="N5086" s="12" t="s">
        <v>4674</v>
      </c>
      <c r="O5086" s="10" t="str">
        <f>HYPERLINK("https://pbs.twimg.com/profile_images/545688359964651520/SF3sJ7lv_normal.jpeg","View")</f>
        <v>View</v>
      </c>
      <c r="P5086" s="11"/>
    </row>
    <row r="5087" spans="1:16" ht="12.75" x14ac:dyDescent="0.35">
      <c r="A5087" s="7">
        <v>42483.115775462968</v>
      </c>
      <c r="B5087" s="8" t="str">
        <f>HYPERLINK("https://twitter.com/golfturkiye","@golfturkiye")</f>
        <v>@golfturkiye</v>
      </c>
      <c r="C5087" s="9" t="s">
        <v>4593</v>
      </c>
      <c r="D5087" s="9" t="s">
        <v>11792</v>
      </c>
      <c r="E5087" s="10" t="str">
        <f>HYPERLINK("https://twitter.com/golfturkiye/status/723621579637317632","723621579637317632")</f>
        <v>723621579637317632</v>
      </c>
      <c r="F5087" s="11" t="s">
        <v>4595</v>
      </c>
      <c r="G5087" s="11">
        <v>833</v>
      </c>
      <c r="H5087" s="11">
        <v>1</v>
      </c>
      <c r="I5087" s="11">
        <v>0</v>
      </c>
      <c r="J5087" s="11">
        <v>0</v>
      </c>
      <c r="K5087" s="11" t="s">
        <v>21</v>
      </c>
      <c r="L5087" s="7">
        <v>41097.832256944443</v>
      </c>
      <c r="M5087" s="12"/>
      <c r="N5087" s="12" t="s">
        <v>4596</v>
      </c>
      <c r="O5087" s="10" t="str">
        <f>HYPERLINK("https://pbs.twimg.com/profile_images/2908590566/828967841f09b515ee36e3dfccea4d28_normal.png","View")</f>
        <v>View</v>
      </c>
      <c r="P5087" s="11"/>
    </row>
    <row r="5088" spans="1:16" ht="12.75" x14ac:dyDescent="0.35">
      <c r="A5088" s="7">
        <v>42483.115856481483</v>
      </c>
      <c r="B5088" s="8" t="str">
        <f>HYPERLINK("https://twitter.com/Saltytrees","@Saltytrees")</f>
        <v>@Saltytrees</v>
      </c>
      <c r="C5088" s="9" t="s">
        <v>11793</v>
      </c>
      <c r="D5088" s="9" t="s">
        <v>11794</v>
      </c>
      <c r="E5088" s="10" t="str">
        <f>HYPERLINK("https://twitter.com/Saltytrees/status/723621608141787138","723621608141787138")</f>
        <v>723621608141787138</v>
      </c>
      <c r="F5088" s="11" t="s">
        <v>43</v>
      </c>
      <c r="G5088" s="11">
        <v>933</v>
      </c>
      <c r="H5088" s="11">
        <v>604</v>
      </c>
      <c r="I5088" s="11">
        <v>0</v>
      </c>
      <c r="J5088" s="11">
        <v>0</v>
      </c>
      <c r="K5088" s="11" t="s">
        <v>21</v>
      </c>
      <c r="L5088" s="7">
        <v>41765.460625</v>
      </c>
      <c r="M5088" s="12" t="s">
        <v>11795</v>
      </c>
      <c r="N5088" s="12" t="s">
        <v>11796</v>
      </c>
      <c r="O5088" s="10" t="str">
        <f>HYPERLINK("https://pbs.twimg.com/profile_images/692444593602871297/IkWgfIlE_normal.jpg","View")</f>
        <v>View</v>
      </c>
      <c r="P5088" s="11"/>
    </row>
    <row r="5089" spans="1:16" ht="12.75" x14ac:dyDescent="0.35">
      <c r="A5089" s="7">
        <v>42483.116030092591</v>
      </c>
      <c r="B5089" s="8" t="str">
        <f>HYPERLINK("https://twitter.com/jitenmistrydj","@jitenmistrydj")</f>
        <v>@jitenmistrydj</v>
      </c>
      <c r="C5089" s="9" t="s">
        <v>11776</v>
      </c>
      <c r="D5089" s="9" t="s">
        <v>11797</v>
      </c>
      <c r="E5089" s="10" t="str">
        <f>HYPERLINK("https://twitter.com/jitenmistrydj/status/723621671308025856","723621671308025856")</f>
        <v>723621671308025856</v>
      </c>
      <c r="F5089" s="11" t="s">
        <v>43</v>
      </c>
      <c r="G5089" s="11">
        <v>1397</v>
      </c>
      <c r="H5089" s="11">
        <v>2382</v>
      </c>
      <c r="I5089" s="11">
        <v>0</v>
      </c>
      <c r="J5089" s="11">
        <v>0</v>
      </c>
      <c r="K5089" s="11" t="s">
        <v>21</v>
      </c>
      <c r="L5089" s="7">
        <v>40939.01457175926</v>
      </c>
      <c r="M5089" s="12" t="s">
        <v>35</v>
      </c>
      <c r="N5089" s="12" t="s">
        <v>11778</v>
      </c>
      <c r="O5089" s="10" t="str">
        <f>HYPERLINK("https://pbs.twimg.com/profile_images/689245762694311937/sYUFvr0i_normal.jpg","View")</f>
        <v>View</v>
      </c>
      <c r="P5089" s="11"/>
    </row>
    <row r="5090" spans="1:16" ht="12.75" x14ac:dyDescent="0.35">
      <c r="A5090" s="7">
        <v>42483.116342592592</v>
      </c>
      <c r="B5090" s="8" t="str">
        <f>HYPERLINK("https://twitter.com/Mrwaterbiscuit","@Mrwaterbiscuit")</f>
        <v>@Mrwaterbiscuit</v>
      </c>
      <c r="C5090" s="9" t="s">
        <v>11798</v>
      </c>
      <c r="D5090" s="9" t="s">
        <v>10837</v>
      </c>
      <c r="E5090" s="10" t="str">
        <f>HYPERLINK("https://twitter.com/Mrwaterbiscuit/status/723621785581817856","723621785581817856")</f>
        <v>723621785581817856</v>
      </c>
      <c r="F5090" s="11" t="s">
        <v>91</v>
      </c>
      <c r="G5090" s="11">
        <v>548</v>
      </c>
      <c r="H5090" s="11">
        <v>549</v>
      </c>
      <c r="I5090" s="11">
        <v>20</v>
      </c>
      <c r="J5090" s="11">
        <v>0</v>
      </c>
      <c r="K5090" s="11" t="s">
        <v>21</v>
      </c>
      <c r="L5090" s="7">
        <v>41264.119131944448</v>
      </c>
      <c r="M5090" s="12" t="s">
        <v>11799</v>
      </c>
      <c r="N5090" s="12" t="s">
        <v>11800</v>
      </c>
      <c r="O5090" s="10" t="str">
        <f>HYPERLINK("https://pbs.twimg.com/profile_images/462316696083369984/ZRV4WLSf_normal.jpeg","View")</f>
        <v>View</v>
      </c>
      <c r="P5090" s="11"/>
    </row>
    <row r="5091" spans="1:16" ht="12.75" x14ac:dyDescent="0.35">
      <c r="A5091" s="7">
        <v>42483.116597222222</v>
      </c>
      <c r="B5091" s="8" t="str">
        <f>HYPERLINK("https://twitter.com/Tkarera","@Tkarera")</f>
        <v>@Tkarera</v>
      </c>
      <c r="C5091" s="9" t="s">
        <v>280</v>
      </c>
      <c r="D5091" s="9" t="s">
        <v>11801</v>
      </c>
      <c r="E5091" s="10" t="str">
        <f>HYPERLINK("https://twitter.com/Tkarera/status/723621877592285185","723621877592285185")</f>
        <v>723621877592285185</v>
      </c>
      <c r="F5091" s="11" t="s">
        <v>91</v>
      </c>
      <c r="G5091" s="11">
        <v>9111</v>
      </c>
      <c r="H5091" s="11">
        <v>8051</v>
      </c>
      <c r="I5091" s="11">
        <v>0</v>
      </c>
      <c r="J5091" s="11">
        <v>0</v>
      </c>
      <c r="K5091" s="11" t="s">
        <v>21</v>
      </c>
      <c r="L5091" s="7">
        <v>40632.289988425924</v>
      </c>
      <c r="M5091" s="12" t="s">
        <v>282</v>
      </c>
      <c r="N5091" s="12" t="s">
        <v>283</v>
      </c>
      <c r="O5091" s="10" t="str">
        <f>HYPERLINK("https://pbs.twimg.com/profile_images/2678224876/e0d50fddebcbb0ae56734edce9d553a0_normal.jpeg","View")</f>
        <v>View</v>
      </c>
      <c r="P5091" s="11"/>
    </row>
    <row r="5092" spans="1:16" ht="12.75" x14ac:dyDescent="0.35">
      <c r="A5092" s="7">
        <v>42483.117303240739</v>
      </c>
      <c r="B5092" s="8" t="str">
        <f>HYPERLINK("https://twitter.com/jitenmistrydj","@jitenmistrydj")</f>
        <v>@jitenmistrydj</v>
      </c>
      <c r="C5092" s="9" t="s">
        <v>11776</v>
      </c>
      <c r="D5092" s="9" t="s">
        <v>11802</v>
      </c>
      <c r="E5092" s="10" t="str">
        <f>HYPERLINK("https://twitter.com/jitenmistrydj/status/723622132291350528","723622132291350528")</f>
        <v>723622132291350528</v>
      </c>
      <c r="F5092" s="11" t="s">
        <v>43</v>
      </c>
      <c r="G5092" s="11">
        <v>1397</v>
      </c>
      <c r="H5092" s="11">
        <v>2382</v>
      </c>
      <c r="I5092" s="11">
        <v>0</v>
      </c>
      <c r="J5092" s="11">
        <v>0</v>
      </c>
      <c r="K5092" s="11" t="s">
        <v>21</v>
      </c>
      <c r="L5092" s="7">
        <v>40939.01457175926</v>
      </c>
      <c r="M5092" s="12" t="s">
        <v>35</v>
      </c>
      <c r="N5092" s="12" t="s">
        <v>11778</v>
      </c>
      <c r="O5092" s="10" t="str">
        <f>HYPERLINK("https://pbs.twimg.com/profile_images/689245762694311937/sYUFvr0i_normal.jpg","View")</f>
        <v>View</v>
      </c>
      <c r="P5092" s="11"/>
    </row>
    <row r="5093" spans="1:16" ht="12.75" x14ac:dyDescent="0.35">
      <c r="A5093" s="7">
        <v>42483.117974537032</v>
      </c>
      <c r="B5093" s="8" t="str">
        <f>HYPERLINK("https://twitter.com/cotillo1","@cotillo1")</f>
        <v>@cotillo1</v>
      </c>
      <c r="C5093" s="9" t="s">
        <v>9036</v>
      </c>
      <c r="D5093" s="9" t="s">
        <v>11803</v>
      </c>
      <c r="E5093" s="10" t="str">
        <f>HYPERLINK("https://twitter.com/cotillo1/status/723622376735387648","723622376735387648")</f>
        <v>723622376735387648</v>
      </c>
      <c r="F5093" s="11" t="s">
        <v>43</v>
      </c>
      <c r="G5093" s="11">
        <v>367</v>
      </c>
      <c r="H5093" s="11">
        <v>417</v>
      </c>
      <c r="I5093" s="11">
        <v>0</v>
      </c>
      <c r="J5093" s="11">
        <v>0</v>
      </c>
      <c r="K5093" s="11" t="s">
        <v>21</v>
      </c>
      <c r="L5093" s="7">
        <v>41780.007604166669</v>
      </c>
      <c r="M5093" s="12" t="s">
        <v>9038</v>
      </c>
      <c r="N5093" s="12" t="s">
        <v>9039</v>
      </c>
      <c r="O5093" s="10" t="str">
        <f>HYPERLINK("https://pbs.twimg.com/profile_images/471156603769466880/81WpPgNR_normal.jpeg","View")</f>
        <v>View</v>
      </c>
      <c r="P5093" s="11"/>
    </row>
    <row r="5094" spans="1:16" ht="12.75" x14ac:dyDescent="0.35">
      <c r="A5094" s="7">
        <v>42483.118032407408</v>
      </c>
      <c r="B5094" s="8" t="str">
        <f t="shared" ref="B5094:B5095" si="439">HYPERLINK("https://twitter.com/Ferrari_Jadore","@Ferrari_Jadore")</f>
        <v>@Ferrari_Jadore</v>
      </c>
      <c r="C5094" s="9" t="s">
        <v>7885</v>
      </c>
      <c r="D5094" s="9" t="s">
        <v>11804</v>
      </c>
      <c r="E5094" s="10" t="str">
        <f>HYPERLINK("https://twitter.com/Ferrari_Jadore/status/723622398902329344","723622398902329344")</f>
        <v>723622398902329344</v>
      </c>
      <c r="F5094" s="11" t="s">
        <v>68</v>
      </c>
      <c r="G5094" s="11">
        <v>48</v>
      </c>
      <c r="H5094" s="11">
        <v>0</v>
      </c>
      <c r="I5094" s="11">
        <v>0</v>
      </c>
      <c r="J5094" s="11">
        <v>0</v>
      </c>
      <c r="K5094" s="11" t="s">
        <v>21</v>
      </c>
      <c r="L5094" s="7">
        <v>42471.65525462963</v>
      </c>
      <c r="M5094" s="12"/>
      <c r="N5094" s="12"/>
      <c r="O5094" s="10" t="str">
        <f t="shared" ref="O5094:O5095" si="440">HYPERLINK("https://pbs.twimg.com/profile_images/719469365452808192/1OFS9oRH_normal.jpg","View")</f>
        <v>View</v>
      </c>
      <c r="P5094" s="11"/>
    </row>
    <row r="5095" spans="1:16" ht="12.75" x14ac:dyDescent="0.35">
      <c r="A5095" s="7">
        <v>42483.118055555555</v>
      </c>
      <c r="B5095" s="8" t="str">
        <f t="shared" si="439"/>
        <v>@Ferrari_Jadore</v>
      </c>
      <c r="C5095" s="9" t="s">
        <v>7885</v>
      </c>
      <c r="D5095" s="9" t="s">
        <v>11805</v>
      </c>
      <c r="E5095" s="10" t="str">
        <f>HYPERLINK("https://twitter.com/Ferrari_Jadore/status/723622408083640320","723622408083640320")</f>
        <v>723622408083640320</v>
      </c>
      <c r="F5095" s="11" t="s">
        <v>68</v>
      </c>
      <c r="G5095" s="11">
        <v>48</v>
      </c>
      <c r="H5095" s="11">
        <v>0</v>
      </c>
      <c r="I5095" s="11">
        <v>0</v>
      </c>
      <c r="J5095" s="11">
        <v>0</v>
      </c>
      <c r="K5095" s="11" t="s">
        <v>21</v>
      </c>
      <c r="L5095" s="7">
        <v>42471.65525462963</v>
      </c>
      <c r="M5095" s="12"/>
      <c r="N5095" s="12"/>
      <c r="O5095" s="10" t="str">
        <f t="shared" si="440"/>
        <v>View</v>
      </c>
      <c r="P5095" s="11"/>
    </row>
    <row r="5096" spans="1:16" ht="12.75" x14ac:dyDescent="0.35">
      <c r="A5096" s="7">
        <v>42483.118217592593</v>
      </c>
      <c r="B5096" s="8" t="str">
        <f>HYPERLINK("https://twitter.com/CAVolgan","@CAVolgan")</f>
        <v>@CAVolgan</v>
      </c>
      <c r="C5096" s="9" t="s">
        <v>11806</v>
      </c>
      <c r="D5096" s="9" t="s">
        <v>11807</v>
      </c>
      <c r="E5096" s="10" t="str">
        <f>HYPERLINK("https://twitter.com/CAVolgan/status/723622466124419072","723622466124419072")</f>
        <v>723622466124419072</v>
      </c>
      <c r="F5096" s="11" t="s">
        <v>152</v>
      </c>
      <c r="G5096" s="11">
        <v>1809</v>
      </c>
      <c r="H5096" s="11">
        <v>317</v>
      </c>
      <c r="I5096" s="11">
        <v>0</v>
      </c>
      <c r="J5096" s="11">
        <v>0</v>
      </c>
      <c r="K5096" s="11" t="s">
        <v>21</v>
      </c>
      <c r="L5096" s="7">
        <v>40311.093472222223</v>
      </c>
      <c r="M5096" s="12" t="s">
        <v>11808</v>
      </c>
      <c r="N5096" s="12" t="s">
        <v>11809</v>
      </c>
      <c r="O5096" s="10" t="str">
        <f>HYPERLINK("https://pbs.twimg.com/profile_images/656489000627228672/C6CwhzL6_normal.jpg","View")</f>
        <v>View</v>
      </c>
      <c r="P5096" s="11"/>
    </row>
    <row r="5097" spans="1:16" ht="12.75" x14ac:dyDescent="0.35">
      <c r="A5097" s="7">
        <v>42483.119120370371</v>
      </c>
      <c r="B5097" s="8" t="str">
        <f>HYPERLINK("https://twitter.com/aatheus","@aatheus")</f>
        <v>@aatheus</v>
      </c>
      <c r="C5097" s="9" t="s">
        <v>5764</v>
      </c>
      <c r="D5097" s="9" t="s">
        <v>9256</v>
      </c>
      <c r="E5097" s="10" t="str">
        <f>HYPERLINK("https://twitter.com/aatheus/status/723622791799427073","723622791799427073")</f>
        <v>723622791799427073</v>
      </c>
      <c r="F5097" s="11" t="s">
        <v>585</v>
      </c>
      <c r="G5097" s="11">
        <v>587</v>
      </c>
      <c r="H5097" s="11">
        <v>501</v>
      </c>
      <c r="I5097" s="11">
        <v>3</v>
      </c>
      <c r="J5097" s="11">
        <v>0</v>
      </c>
      <c r="K5097" s="11" t="s">
        <v>21</v>
      </c>
      <c r="L5097" s="7">
        <v>39650.10392361111</v>
      </c>
      <c r="M5097" s="12" t="s">
        <v>5766</v>
      </c>
      <c r="N5097" s="12" t="s">
        <v>5767</v>
      </c>
      <c r="O5097" s="10" t="str">
        <f>HYPERLINK("https://pbs.twimg.com/profile_images/83066316/1249401_normal.jpeg","View")</f>
        <v>View</v>
      </c>
      <c r="P5097" s="11"/>
    </row>
    <row r="5098" spans="1:16" ht="12.75" x14ac:dyDescent="0.35">
      <c r="A5098" s="7">
        <v>42483.119131944448</v>
      </c>
      <c r="B5098" s="8" t="str">
        <f>HYPERLINK("https://twitter.com/RMLandscapes","@RMLandscapes")</f>
        <v>@RMLandscapes</v>
      </c>
      <c r="C5098" s="9" t="s">
        <v>11810</v>
      </c>
      <c r="D5098" s="9" t="s">
        <v>10837</v>
      </c>
      <c r="E5098" s="10" t="str">
        <f>HYPERLINK("https://twitter.com/RMLandscapes/status/723622795658309632","723622795658309632")</f>
        <v>723622795658309632</v>
      </c>
      <c r="F5098" s="11" t="s">
        <v>48</v>
      </c>
      <c r="G5098" s="11">
        <v>689</v>
      </c>
      <c r="H5098" s="11">
        <v>462</v>
      </c>
      <c r="I5098" s="11">
        <v>20</v>
      </c>
      <c r="J5098" s="11">
        <v>0</v>
      </c>
      <c r="K5098" s="11" t="s">
        <v>21</v>
      </c>
      <c r="L5098" s="7">
        <v>40885.867696759262</v>
      </c>
      <c r="M5098" s="12" t="s">
        <v>11811</v>
      </c>
      <c r="N5098" s="12" t="s">
        <v>11812</v>
      </c>
      <c r="O5098" s="10" t="str">
        <f>HYPERLINK("https://pbs.twimg.com/profile_images/652938947216191488/cqnXokBS_normal.jpg","View")</f>
        <v>View</v>
      </c>
      <c r="P5098" s="11"/>
    </row>
    <row r="5099" spans="1:16" ht="12.75" x14ac:dyDescent="0.35">
      <c r="A5099" s="7">
        <v>42483.119212962964</v>
      </c>
      <c r="B5099" s="8" t="str">
        <f>HYPERLINK("https://twitter.com/_A_A_C_","@_A_A_C_")</f>
        <v>@_A_A_C_</v>
      </c>
      <c r="C5099" s="9" t="s">
        <v>11813</v>
      </c>
      <c r="D5099" s="9" t="s">
        <v>11814</v>
      </c>
      <c r="E5099" s="10" t="str">
        <f>HYPERLINK("https://twitter.com/_A_A_C_/status/723622824645001216","723622824645001216")</f>
        <v>723622824645001216</v>
      </c>
      <c r="F5099" s="11" t="s">
        <v>53</v>
      </c>
      <c r="G5099" s="11">
        <v>2040</v>
      </c>
      <c r="H5099" s="11">
        <v>577</v>
      </c>
      <c r="I5099" s="11">
        <v>0</v>
      </c>
      <c r="J5099" s="11">
        <v>0</v>
      </c>
      <c r="K5099" s="11" t="s">
        <v>21</v>
      </c>
      <c r="L5099" s="7">
        <v>40495.053946759261</v>
      </c>
      <c r="M5099" s="12" t="s">
        <v>11815</v>
      </c>
      <c r="N5099" s="12" t="s">
        <v>11816</v>
      </c>
      <c r="O5099" s="10" t="str">
        <f>HYPERLINK("https://pbs.twimg.com/profile_images/1172177646/AAC-web-logo-square_normal.jpg","View")</f>
        <v>View</v>
      </c>
      <c r="P5099" s="11"/>
    </row>
    <row r="5100" spans="1:16" ht="12.75" x14ac:dyDescent="0.35">
      <c r="A5100" s="7">
        <v>42483.119537037041</v>
      </c>
      <c r="B5100" s="8" t="str">
        <f>HYPERLINK("https://twitter.com/__venceremos__","@__venceremos__")</f>
        <v>@__venceremos__</v>
      </c>
      <c r="C5100" s="9" t="s">
        <v>11817</v>
      </c>
      <c r="D5100" s="9" t="s">
        <v>11818</v>
      </c>
      <c r="E5100" s="10" t="str">
        <f>HYPERLINK("https://twitter.com/__venceremos__/status/723622944900034560","723622944900034560")</f>
        <v>723622944900034560</v>
      </c>
      <c r="F5100" s="11" t="s">
        <v>114</v>
      </c>
      <c r="G5100" s="11">
        <v>99</v>
      </c>
      <c r="H5100" s="11">
        <v>127</v>
      </c>
      <c r="I5100" s="11">
        <v>0</v>
      </c>
      <c r="J5100" s="11">
        <v>0</v>
      </c>
      <c r="K5100" s="11" t="s">
        <v>21</v>
      </c>
      <c r="L5100" s="7">
        <v>40492.12096064815</v>
      </c>
      <c r="M5100" s="12" t="s">
        <v>11819</v>
      </c>
      <c r="N5100" s="12" t="s">
        <v>11820</v>
      </c>
      <c r="O5100" s="10" t="str">
        <f>HYPERLINK("https://pbs.twimg.com/profile_images/721120614623404033/oQSFtb9o_normal.jpg","View")</f>
        <v>View</v>
      </c>
      <c r="P5100" s="10" t="str">
        <f>HYPERLINK("http://ctrlq.org/maps/address/#39.7767,30.5206","Map")</f>
        <v>Map</v>
      </c>
    </row>
    <row r="5101" spans="1:16" ht="12.75" x14ac:dyDescent="0.35">
      <c r="A5101" s="7">
        <v>42483.11996527778</v>
      </c>
      <c r="B5101" s="8" t="str">
        <f t="shared" ref="B5101:B5102" si="441">HYPERLINK("https://twitter.com/VeeDubMk1_","@VeeDubMk1_")</f>
        <v>@VeeDubMk1_</v>
      </c>
      <c r="C5101" s="9" t="s">
        <v>185</v>
      </c>
      <c r="D5101" s="9" t="s">
        <v>11821</v>
      </c>
      <c r="E5101" s="10" t="str">
        <f>HYPERLINK("https://twitter.com/VeeDubMk1_/status/723623096289251329","723623096289251329")</f>
        <v>723623096289251329</v>
      </c>
      <c r="F5101" s="11" t="s">
        <v>68</v>
      </c>
      <c r="G5101" s="11">
        <v>548</v>
      </c>
      <c r="H5101" s="11">
        <v>3527</v>
      </c>
      <c r="I5101" s="11">
        <v>0</v>
      </c>
      <c r="J5101" s="11">
        <v>0</v>
      </c>
      <c r="K5101" s="11" t="s">
        <v>21</v>
      </c>
      <c r="L5101" s="7">
        <v>42343.063356481478</v>
      </c>
      <c r="M5101" s="12"/>
      <c r="N5101" s="12"/>
      <c r="O5101" s="10" t="str">
        <f t="shared" ref="O5101:O5102" si="442">HYPERLINK("https://pbs.twimg.com/profile_images/672878354127839232/M7OYc-zx_normal.jpg","View")</f>
        <v>View</v>
      </c>
      <c r="P5101" s="11"/>
    </row>
    <row r="5102" spans="1:16" ht="12.75" x14ac:dyDescent="0.35">
      <c r="A5102" s="7">
        <v>42483.119999999995</v>
      </c>
      <c r="B5102" s="8" t="str">
        <f t="shared" si="441"/>
        <v>@VeeDubMk1_</v>
      </c>
      <c r="C5102" s="9" t="s">
        <v>185</v>
      </c>
      <c r="D5102" s="9" t="s">
        <v>11822</v>
      </c>
      <c r="E5102" s="10" t="str">
        <f>HYPERLINK("https://twitter.com/VeeDubMk1_/status/723623111325831168","723623111325831168")</f>
        <v>723623111325831168</v>
      </c>
      <c r="F5102" s="11" t="s">
        <v>68</v>
      </c>
      <c r="G5102" s="11">
        <v>548</v>
      </c>
      <c r="H5102" s="11">
        <v>3527</v>
      </c>
      <c r="I5102" s="11">
        <v>0</v>
      </c>
      <c r="J5102" s="11">
        <v>0</v>
      </c>
      <c r="K5102" s="11" t="s">
        <v>21</v>
      </c>
      <c r="L5102" s="7">
        <v>42343.063356481478</v>
      </c>
      <c r="M5102" s="12"/>
      <c r="N5102" s="12"/>
      <c r="O5102" s="10" t="str">
        <f t="shared" si="442"/>
        <v>View</v>
      </c>
      <c r="P5102" s="11"/>
    </row>
    <row r="5103" spans="1:16" ht="12.75" x14ac:dyDescent="0.35">
      <c r="A5103" s="7">
        <v>42483.120046296295</v>
      </c>
      <c r="B5103" s="8" t="str">
        <f>HYPERLINK("https://twitter.com/TeutonicReign","@TeutonicReign")</f>
        <v>@TeutonicReign</v>
      </c>
      <c r="C5103" s="9" t="s">
        <v>11823</v>
      </c>
      <c r="D5103" s="9" t="s">
        <v>11824</v>
      </c>
      <c r="E5103" s="10" t="str">
        <f>HYPERLINK("https://twitter.com/TeutonicReign/status/723623125661945857","723623125661945857")</f>
        <v>723623125661945857</v>
      </c>
      <c r="F5103" s="11" t="s">
        <v>48</v>
      </c>
      <c r="G5103" s="11">
        <v>12</v>
      </c>
      <c r="H5103" s="11">
        <v>73</v>
      </c>
      <c r="I5103" s="11">
        <v>0</v>
      </c>
      <c r="J5103" s="11">
        <v>0</v>
      </c>
      <c r="K5103" s="11" t="s">
        <v>21</v>
      </c>
      <c r="L5103" s="7">
        <v>42334.109432870369</v>
      </c>
      <c r="M5103" s="12" t="s">
        <v>172</v>
      </c>
      <c r="N5103" s="12"/>
      <c r="O5103" s="10" t="str">
        <f>HYPERLINK("https://pbs.twimg.com/profile_images/717491915541884928/AWPLnitB_normal.jpg","View")</f>
        <v>View</v>
      </c>
      <c r="P5103" s="11"/>
    </row>
    <row r="5104" spans="1:16" ht="12.75" x14ac:dyDescent="0.35">
      <c r="A5104" s="7">
        <v>42483.12090277778</v>
      </c>
      <c r="B5104" s="8" t="str">
        <f>HYPERLINK("https://twitter.com/wingston","@wingston")</f>
        <v>@wingston</v>
      </c>
      <c r="C5104" s="9" t="s">
        <v>805</v>
      </c>
      <c r="D5104" s="9" t="s">
        <v>11825</v>
      </c>
      <c r="E5104" s="10" t="str">
        <f>HYPERLINK("https://twitter.com/wingston/status/723623437420261376","723623437420261376")</f>
        <v>723623437420261376</v>
      </c>
      <c r="F5104" s="11" t="s">
        <v>807</v>
      </c>
      <c r="G5104" s="11">
        <v>1047</v>
      </c>
      <c r="H5104" s="11">
        <v>1063</v>
      </c>
      <c r="I5104" s="11">
        <v>0</v>
      </c>
      <c r="J5104" s="11">
        <v>0</v>
      </c>
      <c r="K5104" s="11" t="s">
        <v>21</v>
      </c>
      <c r="L5104" s="7">
        <v>39866.053124999999</v>
      </c>
      <c r="M5104" s="12" t="s">
        <v>808</v>
      </c>
      <c r="N5104" s="12" t="s">
        <v>809</v>
      </c>
      <c r="O5104" s="10" t="str">
        <f>HYPERLINK("https://pbs.twimg.com/profile_images/3537672406/190f79c88052bd5078e91796fd0fffe1_normal.jpeg","View")</f>
        <v>View</v>
      </c>
      <c r="P5104" s="11"/>
    </row>
    <row r="5105" spans="1:16" ht="12.75" x14ac:dyDescent="0.35">
      <c r="A5105" s="7">
        <v>42483.12118055555</v>
      </c>
      <c r="B5105" s="8" t="str">
        <f>HYPERLINK("https://twitter.com/VCT_Tweets","@VCT_Tweets")</f>
        <v>@VCT_Tweets</v>
      </c>
      <c r="C5105" s="9" t="s">
        <v>199</v>
      </c>
      <c r="D5105" s="9" t="s">
        <v>11826</v>
      </c>
      <c r="E5105" s="10" t="str">
        <f>HYPERLINK("https://twitter.com/VCT_Tweets/status/723623537412575232","723623537412575232")</f>
        <v>723623537412575232</v>
      </c>
      <c r="F5105" s="11" t="s">
        <v>68</v>
      </c>
      <c r="G5105" s="11">
        <v>888</v>
      </c>
      <c r="H5105" s="11">
        <v>211</v>
      </c>
      <c r="I5105" s="11">
        <v>0</v>
      </c>
      <c r="J5105" s="11">
        <v>0</v>
      </c>
      <c r="K5105" s="11" t="s">
        <v>21</v>
      </c>
      <c r="L5105" s="7">
        <v>40744.914837962962</v>
      </c>
      <c r="M5105" s="12" t="s">
        <v>201</v>
      </c>
      <c r="N5105" s="12" t="s">
        <v>202</v>
      </c>
      <c r="O5105" s="10" t="str">
        <f>HYPERLINK("https://pbs.twimg.com/profile_images/569800899141177344/nVFLMSdb_normal.png","View")</f>
        <v>View</v>
      </c>
      <c r="P5105" s="11"/>
    </row>
    <row r="5106" spans="1:16" ht="12.75" x14ac:dyDescent="0.35">
      <c r="A5106" s="7">
        <v>42483.121898148151</v>
      </c>
      <c r="B5106" s="8" t="str">
        <f>HYPERLINK("https://twitter.com/juergenarne","@juergenarne")</f>
        <v>@juergenarne</v>
      </c>
      <c r="C5106" s="9" t="s">
        <v>11827</v>
      </c>
      <c r="D5106" s="9" t="s">
        <v>11828</v>
      </c>
      <c r="E5106" s="10" t="str">
        <f>HYPERLINK("https://twitter.com/juergenarne/status/723623796670894084","723623796670894084")</f>
        <v>723623796670894084</v>
      </c>
      <c r="F5106" s="11" t="s">
        <v>20</v>
      </c>
      <c r="G5106" s="11">
        <v>383</v>
      </c>
      <c r="H5106" s="11">
        <v>851</v>
      </c>
      <c r="I5106" s="11">
        <v>0</v>
      </c>
      <c r="J5106" s="11">
        <v>0</v>
      </c>
      <c r="K5106" s="11" t="s">
        <v>21</v>
      </c>
      <c r="L5106" s="7">
        <v>39947.521944444445</v>
      </c>
      <c r="M5106" s="12" t="s">
        <v>11829</v>
      </c>
      <c r="N5106" s="12" t="s">
        <v>11830</v>
      </c>
      <c r="O5106" s="10" t="str">
        <f>HYPERLINK("https://pbs.twimg.com/profile_images/720366446954590209/9NWYyVfw_normal.jpg","View")</f>
        <v>View</v>
      </c>
      <c r="P5106" s="11"/>
    </row>
    <row r="5107" spans="1:16" ht="12.75" x14ac:dyDescent="0.35">
      <c r="A5107" s="7">
        <v>42483.122175925921</v>
      </c>
      <c r="B5107" s="8" t="str">
        <f>HYPERLINK("https://twitter.com/VWCamperSales","@VWCamperSales")</f>
        <v>@VWCamperSales</v>
      </c>
      <c r="C5107" s="9" t="s">
        <v>216</v>
      </c>
      <c r="D5107" s="9" t="s">
        <v>11831</v>
      </c>
      <c r="E5107" s="10" t="str">
        <f>HYPERLINK("https://twitter.com/VWCamperSales/status/723623899561250816","723623899561250816")</f>
        <v>723623899561250816</v>
      </c>
      <c r="F5107" s="10" t="s">
        <v>124</v>
      </c>
      <c r="G5107" s="11">
        <v>618</v>
      </c>
      <c r="H5107" s="11">
        <v>580</v>
      </c>
      <c r="I5107" s="11">
        <v>0</v>
      </c>
      <c r="J5107" s="11">
        <v>0</v>
      </c>
      <c r="K5107" s="11" t="s">
        <v>21</v>
      </c>
      <c r="L5107" s="7">
        <v>42215.98809027778</v>
      </c>
      <c r="M5107" s="12" t="s">
        <v>129</v>
      </c>
      <c r="N5107" s="12" t="s">
        <v>218</v>
      </c>
      <c r="O5107" s="10" t="str">
        <f>HYPERLINK("https://pbs.twimg.com/profile_images/627949001179037696/skEBkS05_normal.jpg","View")</f>
        <v>View</v>
      </c>
      <c r="P5107" s="11"/>
    </row>
    <row r="5108" spans="1:16" ht="12.75" x14ac:dyDescent="0.35">
      <c r="A5108" s="7">
        <v>42483.12222222222</v>
      </c>
      <c r="B5108" s="8" t="str">
        <f>HYPERLINK("https://twitter.com/ColdFireLane","@ColdFireLane")</f>
        <v>@ColdFireLane</v>
      </c>
      <c r="C5108" s="9" t="s">
        <v>11832</v>
      </c>
      <c r="D5108" s="9" t="s">
        <v>8227</v>
      </c>
      <c r="E5108" s="10" t="str">
        <f>HYPERLINK("https://twitter.com/ColdFireLane/status/723623917924036608","723623917924036608")</f>
        <v>723623917924036608</v>
      </c>
      <c r="F5108" s="11" t="s">
        <v>20</v>
      </c>
      <c r="G5108" s="11">
        <v>37</v>
      </c>
      <c r="H5108" s="11">
        <v>206</v>
      </c>
      <c r="I5108" s="11">
        <v>11</v>
      </c>
      <c r="J5108" s="11">
        <v>0</v>
      </c>
      <c r="K5108" s="11" t="s">
        <v>21</v>
      </c>
      <c r="L5108" s="7">
        <v>42459.089374999996</v>
      </c>
      <c r="M5108" s="12" t="s">
        <v>11833</v>
      </c>
      <c r="N5108" s="12" t="s">
        <v>11834</v>
      </c>
      <c r="O5108" s="10" t="str">
        <f>HYPERLINK("https://pbs.twimg.com/profile_images/714930427740467201/CILH2iAE_normal.jpg","View")</f>
        <v>View</v>
      </c>
      <c r="P5108" s="11"/>
    </row>
    <row r="5109" spans="1:16" ht="12.75" x14ac:dyDescent="0.35">
      <c r="A5109" s="7">
        <v>42483.122395833328</v>
      </c>
      <c r="B5109" s="8" t="str">
        <f>HYPERLINK("https://twitter.com/NimzoIndisch","@NimzoIndisch")</f>
        <v>@NimzoIndisch</v>
      </c>
      <c r="C5109" s="9" t="s">
        <v>11835</v>
      </c>
      <c r="D5109" s="9" t="s">
        <v>10369</v>
      </c>
      <c r="E5109" s="10" t="str">
        <f>HYPERLINK("https://twitter.com/NimzoIndisch/status/723623980637261824","723623980637261824")</f>
        <v>723623980637261824</v>
      </c>
      <c r="F5109" s="11" t="s">
        <v>43</v>
      </c>
      <c r="G5109" s="11">
        <v>370</v>
      </c>
      <c r="H5109" s="11">
        <v>84</v>
      </c>
      <c r="I5109" s="11">
        <v>7</v>
      </c>
      <c r="J5109" s="11">
        <v>0</v>
      </c>
      <c r="K5109" s="11" t="s">
        <v>21</v>
      </c>
      <c r="L5109" s="7">
        <v>41760.806446759263</v>
      </c>
      <c r="M5109" s="12" t="s">
        <v>6853</v>
      </c>
      <c r="N5109" s="12" t="s">
        <v>11836</v>
      </c>
      <c r="O5109" s="10" t="str">
        <f>HYPERLINK("https://pbs.twimg.com/profile_images/657278021334867969/cLXaPsw-_normal.jpg","View")</f>
        <v>View</v>
      </c>
      <c r="P5109" s="11"/>
    </row>
    <row r="5110" spans="1:16" ht="12.75" x14ac:dyDescent="0.35">
      <c r="A5110" s="7">
        <v>42483.123344907406</v>
      </c>
      <c r="B5110" s="8" t="str">
        <f>HYPERLINK("https://twitter.com/PaluelduPlessix","@PaluelduPlessix")</f>
        <v>@PaluelduPlessix</v>
      </c>
      <c r="C5110" s="9" t="s">
        <v>11837</v>
      </c>
      <c r="D5110" s="9" t="s">
        <v>11838</v>
      </c>
      <c r="E5110" s="10" t="str">
        <f>HYPERLINK("https://twitter.com/PaluelduPlessix/status/723624324683436032","723624324683436032")</f>
        <v>723624324683436032</v>
      </c>
      <c r="F5110" s="11" t="s">
        <v>43</v>
      </c>
      <c r="G5110" s="11">
        <v>1</v>
      </c>
      <c r="H5110" s="11">
        <v>29</v>
      </c>
      <c r="I5110" s="11">
        <v>0</v>
      </c>
      <c r="J5110" s="11">
        <v>0</v>
      </c>
      <c r="K5110" s="11" t="s">
        <v>21</v>
      </c>
      <c r="L5110" s="7">
        <v>42340.986446759256</v>
      </c>
      <c r="M5110" s="12"/>
      <c r="N5110" s="12"/>
      <c r="O5110" s="10" t="str">
        <f>HYPERLINK("https://pbs.twimg.com/profile_images/703202278979690497/5r_qCw-8_normal.jpg","View")</f>
        <v>View</v>
      </c>
      <c r="P5110" s="11"/>
    </row>
    <row r="5111" spans="1:16" ht="12.75" x14ac:dyDescent="0.35">
      <c r="A5111" s="7">
        <v>42483.124143518522</v>
      </c>
      <c r="B5111" s="8" t="str">
        <f>HYPERLINK("https://twitter.com/ratemycamper","@ratemycamper")</f>
        <v>@ratemycamper</v>
      </c>
      <c r="C5111" s="9" t="s">
        <v>1529</v>
      </c>
      <c r="D5111" s="9" t="s">
        <v>11839</v>
      </c>
      <c r="E5111" s="10" t="str">
        <f>HYPERLINK("https://twitter.com/ratemycamper/status/723624613238988800","723624613238988800")</f>
        <v>723624613238988800</v>
      </c>
      <c r="F5111" s="11" t="s">
        <v>20</v>
      </c>
      <c r="G5111" s="11">
        <v>170</v>
      </c>
      <c r="H5111" s="11">
        <v>1992</v>
      </c>
      <c r="I5111" s="11">
        <v>0</v>
      </c>
      <c r="J5111" s="11">
        <v>0</v>
      </c>
      <c r="K5111" s="11" t="s">
        <v>21</v>
      </c>
      <c r="L5111" s="7">
        <v>42387.075486111113</v>
      </c>
      <c r="M5111" s="12" t="s">
        <v>1129</v>
      </c>
      <c r="N5111" s="12" t="s">
        <v>1531</v>
      </c>
      <c r="O5111" s="10" t="str">
        <f>HYPERLINK("https://pbs.twimg.com/profile_images/710929065939755009/-Rgs_z20_normal.jpg","View")</f>
        <v>View</v>
      </c>
      <c r="P5111" s="11"/>
    </row>
    <row r="5112" spans="1:16" ht="12.75" x14ac:dyDescent="0.35">
      <c r="A5112" s="7">
        <v>42483.126469907409</v>
      </c>
      <c r="B5112" s="8" t="str">
        <f>HYPERLINK("https://twitter.com/RCVolkswagen","@RCVolkswagen")</f>
        <v>@RCVolkswagen</v>
      </c>
      <c r="C5112" s="9" t="s">
        <v>11840</v>
      </c>
      <c r="D5112" s="9" t="s">
        <v>11841</v>
      </c>
      <c r="E5112" s="10" t="str">
        <f>HYPERLINK("https://twitter.com/RCVolkswagen/status/723625453320343552","723625453320343552")</f>
        <v>723625453320343552</v>
      </c>
      <c r="F5112" s="11" t="s">
        <v>152</v>
      </c>
      <c r="G5112" s="11">
        <v>148</v>
      </c>
      <c r="H5112" s="11">
        <v>162</v>
      </c>
      <c r="I5112" s="11">
        <v>0</v>
      </c>
      <c r="J5112" s="11">
        <v>0</v>
      </c>
      <c r="K5112" s="11" t="s">
        <v>21</v>
      </c>
      <c r="L5112" s="7">
        <v>41720.856145833335</v>
      </c>
      <c r="M5112" s="12" t="s">
        <v>11842</v>
      </c>
      <c r="N5112" s="12" t="s">
        <v>11843</v>
      </c>
      <c r="O5112" s="10" t="str">
        <f>HYPERLINK("https://pbs.twimg.com/profile_images/464510596256264192/jlJphn9d_normal.jpeg","View")</f>
        <v>View</v>
      </c>
      <c r="P5112" s="11"/>
    </row>
    <row r="5113" spans="1:16" ht="12.75" x14ac:dyDescent="0.35">
      <c r="A5113" s="7">
        <v>42483.126527777778</v>
      </c>
      <c r="B5113" s="8" t="str">
        <f>HYPERLINK("https://twitter.com/autoshowsonline","@autoshowsonline")</f>
        <v>@autoshowsonline</v>
      </c>
      <c r="C5113" s="9" t="s">
        <v>11844</v>
      </c>
      <c r="D5113" s="9" t="s">
        <v>11845</v>
      </c>
      <c r="E5113" s="10" t="str">
        <f>HYPERLINK("https://twitter.com/autoshowsonline/status/723625476300877830","723625476300877830")</f>
        <v>723625476300877830</v>
      </c>
      <c r="F5113" s="11" t="s">
        <v>53</v>
      </c>
      <c r="G5113" s="11">
        <v>6219</v>
      </c>
      <c r="H5113" s="11">
        <v>160</v>
      </c>
      <c r="I5113" s="11">
        <v>0</v>
      </c>
      <c r="J5113" s="11">
        <v>0</v>
      </c>
      <c r="K5113" s="11" t="s">
        <v>21</v>
      </c>
      <c r="L5113" s="7">
        <v>40556.382337962961</v>
      </c>
      <c r="M5113" s="12" t="s">
        <v>2408</v>
      </c>
      <c r="N5113" s="12"/>
      <c r="O5113" s="10" t="str">
        <f>HYPERLINK("https://pbs.twimg.com/profile_images/2909062887/7c498d1abb7c96d9435f9b8a7630f3f1_normal.jpeg","View")</f>
        <v>View</v>
      </c>
      <c r="P5113" s="11"/>
    </row>
    <row r="5114" spans="1:16" ht="12.75" x14ac:dyDescent="0.35">
      <c r="A5114" s="7">
        <v>42483.130925925929</v>
      </c>
      <c r="B5114" s="8" t="str">
        <f>HYPERLINK("https://twitter.com/HOWJORD","@HOWJORD")</f>
        <v>@HOWJORD</v>
      </c>
      <c r="C5114" s="9" t="s">
        <v>11846</v>
      </c>
      <c r="D5114" s="9" t="s">
        <v>10837</v>
      </c>
      <c r="E5114" s="10" t="str">
        <f>HYPERLINK("https://twitter.com/HOWJORD/status/723627070853656576","723627070853656576")</f>
        <v>723627070853656576</v>
      </c>
      <c r="F5114" s="11" t="s">
        <v>48</v>
      </c>
      <c r="G5114" s="11">
        <v>36</v>
      </c>
      <c r="H5114" s="11">
        <v>208</v>
      </c>
      <c r="I5114" s="11">
        <v>21</v>
      </c>
      <c r="J5114" s="11">
        <v>0</v>
      </c>
      <c r="K5114" s="11" t="s">
        <v>21</v>
      </c>
      <c r="L5114" s="7">
        <v>39891.169386574074</v>
      </c>
      <c r="M5114" s="12"/>
      <c r="N5114" s="12"/>
      <c r="O5114" s="10" t="str">
        <f>HYPERLINK("https://pbs.twimg.com/profile_images/714551994892099585/WQdxJrAC_normal.jpg","View")</f>
        <v>View</v>
      </c>
      <c r="P5114" s="11"/>
    </row>
    <row r="5115" spans="1:16" ht="12.75" x14ac:dyDescent="0.35">
      <c r="A5115" s="7">
        <v>42483.132152777776</v>
      </c>
      <c r="B5115" s="8" t="str">
        <f>HYPERLINK("https://twitter.com/JetTech33","@JetTech33")</f>
        <v>@JetTech33</v>
      </c>
      <c r="C5115" s="9" t="s">
        <v>3455</v>
      </c>
      <c r="D5115" s="9" t="s">
        <v>11847</v>
      </c>
      <c r="E5115" s="10" t="str">
        <f>HYPERLINK("https://twitter.com/JetTech33/status/723627516116652032","723627516116652032")</f>
        <v>723627516116652032</v>
      </c>
      <c r="F5115" s="11" t="s">
        <v>20</v>
      </c>
      <c r="G5115" s="11">
        <v>311</v>
      </c>
      <c r="H5115" s="11">
        <v>710</v>
      </c>
      <c r="I5115" s="11">
        <v>0</v>
      </c>
      <c r="J5115" s="11">
        <v>0</v>
      </c>
      <c r="K5115" s="11" t="s">
        <v>21</v>
      </c>
      <c r="L5115" s="7">
        <v>39995.486979166664</v>
      </c>
      <c r="M5115" s="12"/>
      <c r="N5115" s="12" t="s">
        <v>11848</v>
      </c>
      <c r="O5115" s="10" t="str">
        <f>HYPERLINK("https://pbs.twimg.com/profile_images/573736676209590272/8KCGysTQ_normal.jpeg","View")</f>
        <v>View</v>
      </c>
      <c r="P5115" s="11"/>
    </row>
    <row r="5116" spans="1:16" ht="12.75" x14ac:dyDescent="0.35">
      <c r="A5116" s="7">
        <v>42483.13349537037</v>
      </c>
      <c r="B5116" s="8" t="str">
        <f>HYPERLINK("https://twitter.com/stroisila","@stroisila")</f>
        <v>@stroisila</v>
      </c>
      <c r="C5116" s="9" t="s">
        <v>4978</v>
      </c>
      <c r="D5116" s="9" t="s">
        <v>11849</v>
      </c>
      <c r="E5116" s="10" t="str">
        <f>HYPERLINK("https://twitter.com/stroisila/status/723628002744119298","723628002744119298")</f>
        <v>723628002744119298</v>
      </c>
      <c r="F5116" s="11" t="s">
        <v>4980</v>
      </c>
      <c r="G5116" s="11">
        <v>2380</v>
      </c>
      <c r="H5116" s="11">
        <v>113</v>
      </c>
      <c r="I5116" s="11">
        <v>0</v>
      </c>
      <c r="J5116" s="11">
        <v>0</v>
      </c>
      <c r="K5116" s="11" t="s">
        <v>21</v>
      </c>
      <c r="L5116" s="7">
        <v>41692.658125000002</v>
      </c>
      <c r="M5116" s="12" t="s">
        <v>4981</v>
      </c>
      <c r="N5116" s="12" t="s">
        <v>4982</v>
      </c>
      <c r="O5116" s="10" t="str">
        <f>HYPERLINK("https://pbs.twimg.com/profile_images/437173690732515328/lOLCG4Wb_normal.jpeg","View")</f>
        <v>View</v>
      </c>
      <c r="P5116" s="11"/>
    </row>
    <row r="5117" spans="1:16" ht="12.75" x14ac:dyDescent="0.35">
      <c r="A5117" s="7">
        <v>42483.13380787037</v>
      </c>
      <c r="B5117" s="8" t="str">
        <f>HYPERLINK("https://twitter.com/ingridHH","@ingridHH")</f>
        <v>@ingridHH</v>
      </c>
      <c r="C5117" s="9" t="s">
        <v>11850</v>
      </c>
      <c r="D5117" s="9" t="s">
        <v>11851</v>
      </c>
      <c r="E5117" s="10" t="str">
        <f>HYPERLINK("https://twitter.com/ingridHH/status/723628115310854144","723628115310854144")</f>
        <v>723628115310854144</v>
      </c>
      <c r="F5117" s="11" t="s">
        <v>43</v>
      </c>
      <c r="G5117" s="11">
        <v>896</v>
      </c>
      <c r="H5117" s="11">
        <v>1692</v>
      </c>
      <c r="I5117" s="11">
        <v>6</v>
      </c>
      <c r="J5117" s="11">
        <v>0</v>
      </c>
      <c r="K5117" s="11" t="s">
        <v>21</v>
      </c>
      <c r="L5117" s="7">
        <v>40203.851331018523</v>
      </c>
      <c r="M5117" s="12" t="s">
        <v>11852</v>
      </c>
      <c r="N5117" s="12" t="s">
        <v>11853</v>
      </c>
      <c r="O5117" s="10" t="str">
        <f>HYPERLINK("https://pbs.twimg.com/profile_images/714561320918597634/pCq6pGGN_normal.jpg","View")</f>
        <v>View</v>
      </c>
      <c r="P5117" s="11"/>
    </row>
    <row r="5118" spans="1:16" ht="12.75" x14ac:dyDescent="0.35">
      <c r="A5118" s="7">
        <v>42483.134131944447</v>
      </c>
      <c r="B5118" s="8" t="str">
        <f t="shared" ref="B5118:B5120" si="443">HYPERLINK("https://twitter.com/OnlineCarReview","@OnlineCarReview")</f>
        <v>@OnlineCarReview</v>
      </c>
      <c r="C5118" s="9" t="s">
        <v>176</v>
      </c>
      <c r="D5118" s="9" t="s">
        <v>11854</v>
      </c>
      <c r="E5118" s="10" t="str">
        <f>HYPERLINK("https://twitter.com/OnlineCarReview/status/723628231992053760","723628231992053760")</f>
        <v>723628231992053760</v>
      </c>
      <c r="F5118" s="11" t="s">
        <v>34</v>
      </c>
      <c r="G5118" s="11">
        <v>839</v>
      </c>
      <c r="H5118" s="11">
        <v>568</v>
      </c>
      <c r="I5118" s="11">
        <v>0</v>
      </c>
      <c r="J5118" s="11">
        <v>0</v>
      </c>
      <c r="K5118" s="11" t="s">
        <v>21</v>
      </c>
      <c r="L5118" s="7">
        <v>42282.979201388887</v>
      </c>
      <c r="M5118" s="12"/>
      <c r="N5118" s="12" t="s">
        <v>178</v>
      </c>
      <c r="O5118" s="10" t="str">
        <f t="shared" ref="O5118:O5120" si="444">HYPERLINK("https://pbs.twimg.com/profile_images/652871584131092480/QA_B6SBO_normal.jpg","View")</f>
        <v>View</v>
      </c>
      <c r="P5118" s="11"/>
    </row>
    <row r="5119" spans="1:16" ht="12.75" x14ac:dyDescent="0.35">
      <c r="A5119" s="7">
        <v>42483.134131944447</v>
      </c>
      <c r="B5119" s="8" t="str">
        <f t="shared" si="443"/>
        <v>@OnlineCarReview</v>
      </c>
      <c r="C5119" s="9" t="s">
        <v>176</v>
      </c>
      <c r="D5119" s="9" t="s">
        <v>11855</v>
      </c>
      <c r="E5119" s="10" t="str">
        <f>HYPERLINK("https://twitter.com/OnlineCarReview/status/723628233023873024","723628233023873024")</f>
        <v>723628233023873024</v>
      </c>
      <c r="F5119" s="11" t="s">
        <v>34</v>
      </c>
      <c r="G5119" s="11">
        <v>839</v>
      </c>
      <c r="H5119" s="11">
        <v>568</v>
      </c>
      <c r="I5119" s="11">
        <v>0</v>
      </c>
      <c r="J5119" s="11">
        <v>0</v>
      </c>
      <c r="K5119" s="11" t="s">
        <v>21</v>
      </c>
      <c r="L5119" s="7">
        <v>42282.979201388887</v>
      </c>
      <c r="M5119" s="12"/>
      <c r="N5119" s="12" t="s">
        <v>178</v>
      </c>
      <c r="O5119" s="10" t="str">
        <f t="shared" si="444"/>
        <v>View</v>
      </c>
      <c r="P5119" s="11"/>
    </row>
    <row r="5120" spans="1:16" ht="12.75" x14ac:dyDescent="0.35">
      <c r="A5120" s="7">
        <v>42483.134131944447</v>
      </c>
      <c r="B5120" s="8" t="str">
        <f t="shared" si="443"/>
        <v>@OnlineCarReview</v>
      </c>
      <c r="C5120" s="9" t="s">
        <v>176</v>
      </c>
      <c r="D5120" s="9" t="s">
        <v>11856</v>
      </c>
      <c r="E5120" s="10" t="str">
        <f>HYPERLINK("https://twitter.com/OnlineCarReview/status/723628233875329025","723628233875329025")</f>
        <v>723628233875329025</v>
      </c>
      <c r="F5120" s="11" t="s">
        <v>34</v>
      </c>
      <c r="G5120" s="11">
        <v>839</v>
      </c>
      <c r="H5120" s="11">
        <v>568</v>
      </c>
      <c r="I5120" s="11">
        <v>0</v>
      </c>
      <c r="J5120" s="11">
        <v>0</v>
      </c>
      <c r="K5120" s="11" t="s">
        <v>21</v>
      </c>
      <c r="L5120" s="7">
        <v>42282.979201388887</v>
      </c>
      <c r="M5120" s="12"/>
      <c r="N5120" s="12" t="s">
        <v>178</v>
      </c>
      <c r="O5120" s="10" t="str">
        <f t="shared" si="444"/>
        <v>View</v>
      </c>
      <c r="P5120" s="11"/>
    </row>
    <row r="5121" spans="1:16" ht="12.75" x14ac:dyDescent="0.35">
      <c r="A5121" s="7">
        <v>42483.135092592594</v>
      </c>
      <c r="B5121" s="8" t="str">
        <f>HYPERLINK("https://twitter.com/sonysasongko","@sonysasongko")</f>
        <v>@sonysasongko</v>
      </c>
      <c r="C5121" s="9" t="s">
        <v>11857</v>
      </c>
      <c r="D5121" s="9" t="s">
        <v>8740</v>
      </c>
      <c r="E5121" s="10" t="str">
        <f>HYPERLINK("https://twitter.com/sonysasongko/status/723628581260128256","723628581260128256")</f>
        <v>723628581260128256</v>
      </c>
      <c r="F5121" s="11" t="s">
        <v>48</v>
      </c>
      <c r="G5121" s="11">
        <v>81</v>
      </c>
      <c r="H5121" s="11">
        <v>358</v>
      </c>
      <c r="I5121" s="11">
        <v>5</v>
      </c>
      <c r="J5121" s="11">
        <v>0</v>
      </c>
      <c r="K5121" s="11" t="s">
        <v>21</v>
      </c>
      <c r="L5121" s="7">
        <v>40048.442187499997</v>
      </c>
      <c r="M5121" s="12" t="s">
        <v>11858</v>
      </c>
      <c r="N5121" s="12" t="s">
        <v>11859</v>
      </c>
      <c r="O5121" s="10" t="str">
        <f>HYPERLINK("https://pbs.twimg.com/profile_images/713267632351219715/uYZyD2GT_normal.jpg","View")</f>
        <v>View</v>
      </c>
      <c r="P5121" s="11"/>
    </row>
    <row r="5122" spans="1:16" ht="12.75" x14ac:dyDescent="0.35">
      <c r="A5122" s="7">
        <v>42483.136273148149</v>
      </c>
      <c r="B5122" s="8" t="str">
        <f>HYPERLINK("https://twitter.com/VidalJimena1","@VidalJimena1")</f>
        <v>@VidalJimena1</v>
      </c>
      <c r="C5122" s="9" t="s">
        <v>6029</v>
      </c>
      <c r="D5122" s="9" t="s">
        <v>10440</v>
      </c>
      <c r="E5122" s="10" t="str">
        <f>HYPERLINK("https://twitter.com/VidalJimena1/status/723629006931800065","723629006931800065")</f>
        <v>723629006931800065</v>
      </c>
      <c r="F5122" s="11" t="s">
        <v>43</v>
      </c>
      <c r="G5122" s="11">
        <v>222</v>
      </c>
      <c r="H5122" s="11">
        <v>213</v>
      </c>
      <c r="I5122" s="11">
        <v>22</v>
      </c>
      <c r="J5122" s="11">
        <v>0</v>
      </c>
      <c r="K5122" s="11" t="s">
        <v>21</v>
      </c>
      <c r="L5122" s="7">
        <v>41872.074328703704</v>
      </c>
      <c r="M5122" s="12" t="s">
        <v>4520</v>
      </c>
      <c r="N5122" s="12" t="s">
        <v>6031</v>
      </c>
      <c r="O5122" s="10" t="str">
        <f>HYPERLINK("https://pbs.twimg.com/profile_images/718998805060927488/ds5qOEpX_normal.jpg","View")</f>
        <v>View</v>
      </c>
      <c r="P5122" s="11"/>
    </row>
    <row r="5123" spans="1:16" ht="12.75" x14ac:dyDescent="0.35">
      <c r="A5123" s="7">
        <v>42483.138067129628</v>
      </c>
      <c r="B5123" s="8" t="str">
        <f>HYPERLINK("https://twitter.com/GaryNuttallFans","@GaryNuttallFans")</f>
        <v>@GaryNuttallFans</v>
      </c>
      <c r="C5123" s="9" t="s">
        <v>11860</v>
      </c>
      <c r="D5123" s="9" t="s">
        <v>11861</v>
      </c>
      <c r="E5123" s="10" t="str">
        <f>HYPERLINK("https://twitter.com/GaryNuttallFans/status/723629657258627072","723629657258627072")</f>
        <v>723629657258627072</v>
      </c>
      <c r="F5123" s="11" t="s">
        <v>43</v>
      </c>
      <c r="G5123" s="11">
        <v>118</v>
      </c>
      <c r="H5123" s="11">
        <v>57</v>
      </c>
      <c r="I5123" s="11">
        <v>1</v>
      </c>
      <c r="J5123" s="11">
        <v>0</v>
      </c>
      <c r="K5123" s="11" t="s">
        <v>21</v>
      </c>
      <c r="L5123" s="7">
        <v>42220.988483796296</v>
      </c>
      <c r="M5123" s="12"/>
      <c r="N5123" s="12" t="s">
        <v>11862</v>
      </c>
      <c r="O5123" s="10" t="str">
        <f>HYPERLINK("https://pbs.twimg.com/profile_images/628630384725655552/h1RRYXlx_normal.jpg","View")</f>
        <v>View</v>
      </c>
      <c r="P5123" s="11"/>
    </row>
    <row r="5124" spans="1:16" ht="12.75" x14ac:dyDescent="0.35">
      <c r="A5124" s="7">
        <v>42483.138738425929</v>
      </c>
      <c r="B5124" s="8" t="str">
        <f>HYPERLINK("https://twitter.com/PatteFohlen","@PatteFohlen")</f>
        <v>@PatteFohlen</v>
      </c>
      <c r="C5124" s="9" t="s">
        <v>11863</v>
      </c>
      <c r="D5124" s="9" t="s">
        <v>11864</v>
      </c>
      <c r="E5124" s="10" t="str">
        <f>HYPERLINK("https://twitter.com/PatteFohlen/status/723629902394695682","723629902394695682")</f>
        <v>723629902394695682</v>
      </c>
      <c r="F5124" s="11" t="s">
        <v>20</v>
      </c>
      <c r="G5124" s="11">
        <v>34</v>
      </c>
      <c r="H5124" s="11">
        <v>93</v>
      </c>
      <c r="I5124" s="11">
        <v>0</v>
      </c>
      <c r="J5124" s="11">
        <v>0</v>
      </c>
      <c r="K5124" s="11" t="s">
        <v>21</v>
      </c>
      <c r="L5124" s="7">
        <v>42251.92465277778</v>
      </c>
      <c r="M5124" s="12" t="s">
        <v>11865</v>
      </c>
      <c r="N5124" s="12" t="s">
        <v>11866</v>
      </c>
      <c r="O5124" s="10" t="str">
        <f>HYPERLINK("https://pbs.twimg.com/profile_images/639842759977869312/s5MnDIfQ_normal.jpg","View")</f>
        <v>View</v>
      </c>
      <c r="P5124" s="11"/>
    </row>
    <row r="5125" spans="1:16" ht="12.75" x14ac:dyDescent="0.35">
      <c r="A5125" s="7">
        <v>42483.139293981483</v>
      </c>
      <c r="B5125" s="8" t="str">
        <f>HYPERLINK("https://twitter.com/Ivaneze3","@Ivaneze3")</f>
        <v>@Ivaneze3</v>
      </c>
      <c r="C5125" s="9" t="s">
        <v>11867</v>
      </c>
      <c r="D5125" s="9" t="s">
        <v>10808</v>
      </c>
      <c r="E5125" s="10" t="str">
        <f>HYPERLINK("https://twitter.com/Ivaneze3/status/723630104165920768","723630104165920768")</f>
        <v>723630104165920768</v>
      </c>
      <c r="F5125" s="11" t="s">
        <v>48</v>
      </c>
      <c r="G5125" s="11">
        <v>21</v>
      </c>
      <c r="H5125" s="11">
        <v>47</v>
      </c>
      <c r="I5125" s="11">
        <v>50</v>
      </c>
      <c r="J5125" s="11">
        <v>0</v>
      </c>
      <c r="K5125" s="11" t="s">
        <v>21</v>
      </c>
      <c r="L5125" s="7">
        <v>41831.407997685186</v>
      </c>
      <c r="M5125" s="12" t="s">
        <v>11868</v>
      </c>
      <c r="N5125" s="12" t="s">
        <v>11869</v>
      </c>
      <c r="O5125" s="10" t="str">
        <f>HYPERLINK("https://pbs.twimg.com/profile_images/720720581579182080/ALjkvUSH_normal.jpg","View")</f>
        <v>View</v>
      </c>
      <c r="P5125" s="11"/>
    </row>
    <row r="5126" spans="1:16" ht="12.75" x14ac:dyDescent="0.35">
      <c r="A5126" s="7">
        <v>42483.140590277777</v>
      </c>
      <c r="B5126" s="8" t="str">
        <f>HYPERLINK("https://twitter.com/VidalJimena1","@VidalJimena1")</f>
        <v>@VidalJimena1</v>
      </c>
      <c r="C5126" s="9" t="s">
        <v>6029</v>
      </c>
      <c r="D5126" s="9" t="s">
        <v>6263</v>
      </c>
      <c r="E5126" s="10" t="str">
        <f>HYPERLINK("https://twitter.com/VidalJimena1/status/723630573168762880","723630573168762880")</f>
        <v>723630573168762880</v>
      </c>
      <c r="F5126" s="11" t="s">
        <v>43</v>
      </c>
      <c r="G5126" s="11">
        <v>222</v>
      </c>
      <c r="H5126" s="11">
        <v>213</v>
      </c>
      <c r="I5126" s="11">
        <v>26</v>
      </c>
      <c r="J5126" s="11">
        <v>0</v>
      </c>
      <c r="K5126" s="11" t="s">
        <v>21</v>
      </c>
      <c r="L5126" s="7">
        <v>41872.074328703704</v>
      </c>
      <c r="M5126" s="12" t="s">
        <v>4520</v>
      </c>
      <c r="N5126" s="12" t="s">
        <v>6031</v>
      </c>
      <c r="O5126" s="10" t="str">
        <f>HYPERLINK("https://pbs.twimg.com/profile_images/718998805060927488/ds5qOEpX_normal.jpg","View")</f>
        <v>View</v>
      </c>
      <c r="P5126" s="11"/>
    </row>
    <row r="5127" spans="1:16" ht="12.75" x14ac:dyDescent="0.35">
      <c r="A5127" s="7">
        <v>42483.142835648148</v>
      </c>
      <c r="B5127" s="8" t="str">
        <f>HYPERLINK("https://twitter.com/Stadtpirat","@Stadtpirat")</f>
        <v>@Stadtpirat</v>
      </c>
      <c r="C5127" s="9" t="s">
        <v>1163</v>
      </c>
      <c r="D5127" s="9" t="s">
        <v>11870</v>
      </c>
      <c r="E5127" s="10" t="str">
        <f>HYPERLINK("https://twitter.com/Stadtpirat/status/723631387329306624","723631387329306624")</f>
        <v>723631387329306624</v>
      </c>
      <c r="F5127" s="11" t="s">
        <v>160</v>
      </c>
      <c r="G5127" s="11">
        <v>117</v>
      </c>
      <c r="H5127" s="11">
        <v>138</v>
      </c>
      <c r="I5127" s="11">
        <v>0</v>
      </c>
      <c r="J5127" s="11">
        <v>0</v>
      </c>
      <c r="K5127" s="11" t="s">
        <v>21</v>
      </c>
      <c r="L5127" s="7">
        <v>40306.158900462964</v>
      </c>
      <c r="M5127" s="12"/>
      <c r="N5127" s="12" t="s">
        <v>1164</v>
      </c>
      <c r="O5127" s="10" t="str">
        <f>HYPERLINK("https://pbs.twimg.com/profile_images/883241100/_LQ_normal.png","View")</f>
        <v>View</v>
      </c>
      <c r="P5127" s="11"/>
    </row>
    <row r="5128" spans="1:16" ht="12.75" x14ac:dyDescent="0.35">
      <c r="A5128" s="7">
        <v>42483.145833333328</v>
      </c>
      <c r="B5128" s="8" t="str">
        <f>HYPERLINK("https://twitter.com/garravw","@garravw")</f>
        <v>@garravw</v>
      </c>
      <c r="C5128" s="9" t="s">
        <v>11871</v>
      </c>
      <c r="D5128" s="9" t="s">
        <v>11872</v>
      </c>
      <c r="E5128" s="10" t="str">
        <f>HYPERLINK("https://twitter.com/garravw/status/723632473876381697","723632473876381697")</f>
        <v>723632473876381697</v>
      </c>
      <c r="F5128" s="11" t="s">
        <v>53</v>
      </c>
      <c r="G5128" s="11">
        <v>583</v>
      </c>
      <c r="H5128" s="11">
        <v>412</v>
      </c>
      <c r="I5128" s="11">
        <v>0</v>
      </c>
      <c r="J5128" s="11">
        <v>0</v>
      </c>
      <c r="K5128" s="11" t="s">
        <v>21</v>
      </c>
      <c r="L5128" s="7">
        <v>40065.01427083333</v>
      </c>
      <c r="M5128" s="12"/>
      <c r="N5128" s="12" t="s">
        <v>11873</v>
      </c>
      <c r="O5128" s="10" t="str">
        <f>HYPERLINK("https://pbs.twimg.com/profile_images/378800000229998736/497818104fc0403f4157adfa87815d55_normal.png","View")</f>
        <v>View</v>
      </c>
      <c r="P5128" s="11"/>
    </row>
    <row r="5129" spans="1:16" ht="12.75" x14ac:dyDescent="0.35">
      <c r="A5129" s="7">
        <v>42483.145844907413</v>
      </c>
      <c r="B5129" s="8" t="str">
        <f>HYPERLINK("https://twitter.com/NoahsitoW","@NoahsitoW")</f>
        <v>@NoahsitoW</v>
      </c>
      <c r="C5129" s="9" t="s">
        <v>11874</v>
      </c>
      <c r="D5129" s="9" t="s">
        <v>9404</v>
      </c>
      <c r="E5129" s="10" t="str">
        <f>HYPERLINK("https://twitter.com/NoahsitoW/status/723632475134681088","723632475134681088")</f>
        <v>723632475134681088</v>
      </c>
      <c r="F5129" s="11" t="s">
        <v>20</v>
      </c>
      <c r="G5129" s="11">
        <v>31</v>
      </c>
      <c r="H5129" s="11">
        <v>132</v>
      </c>
      <c r="I5129" s="11">
        <v>3</v>
      </c>
      <c r="J5129" s="11">
        <v>0</v>
      </c>
      <c r="K5129" s="11" t="s">
        <v>21</v>
      </c>
      <c r="L5129" s="7">
        <v>42363.064884259264</v>
      </c>
      <c r="M5129" s="12"/>
      <c r="N5129" s="12"/>
      <c r="O5129" s="10" t="str">
        <f>HYPERLINK("https://pbs.twimg.com/profile_images/682334083272200192/3gtqdE-m_normal.jpg","View")</f>
        <v>View</v>
      </c>
      <c r="P5129" s="11"/>
    </row>
    <row r="5130" spans="1:16" ht="12.75" x14ac:dyDescent="0.35">
      <c r="A5130" s="7">
        <v>42483.146724537037</v>
      </c>
      <c r="B5130" s="8" t="str">
        <f>HYPERLINK("https://twitter.com/hdBerretz","@hdBerretz")</f>
        <v>@hdBerretz</v>
      </c>
      <c r="C5130" s="9" t="s">
        <v>8676</v>
      </c>
      <c r="D5130" s="9" t="s">
        <v>11875</v>
      </c>
      <c r="E5130" s="10" t="str">
        <f>HYPERLINK("https://twitter.com/hdBerretz/status/723632795424313347","723632795424313347")</f>
        <v>723632795424313347</v>
      </c>
      <c r="F5130" s="11" t="s">
        <v>63</v>
      </c>
      <c r="G5130" s="11">
        <v>3329</v>
      </c>
      <c r="H5130" s="11">
        <v>1224</v>
      </c>
      <c r="I5130" s="11">
        <v>0</v>
      </c>
      <c r="J5130" s="11">
        <v>0</v>
      </c>
      <c r="K5130" s="11" t="s">
        <v>21</v>
      </c>
      <c r="L5130" s="7">
        <v>40018.327939814815</v>
      </c>
      <c r="M5130" s="12" t="s">
        <v>1241</v>
      </c>
      <c r="N5130" s="12" t="s">
        <v>8678</v>
      </c>
      <c r="O5130" s="10" t="str">
        <f>HYPERLINK("https://pbs.twimg.com/profile_images/548874200102879234/jOo5AkMZ_normal.png","View")</f>
        <v>View</v>
      </c>
      <c r="P5130" s="11"/>
    </row>
    <row r="5131" spans="1:16" ht="12.75" x14ac:dyDescent="0.35">
      <c r="A5131" s="7">
        <v>42483.14738425926</v>
      </c>
      <c r="B5131" s="8" t="str">
        <f t="shared" ref="B5131:B5133" si="445">HYPERLINK("https://twitter.com/beetlebug1938","@beetlebug1938")</f>
        <v>@beetlebug1938</v>
      </c>
      <c r="C5131" s="9" t="s">
        <v>66</v>
      </c>
      <c r="D5131" s="9" t="s">
        <v>11876</v>
      </c>
      <c r="E5131" s="10" t="str">
        <f>HYPERLINK("https://twitter.com/beetlebug1938/status/723633036164739076","723633036164739076")</f>
        <v>723633036164739076</v>
      </c>
      <c r="F5131" s="11" t="s">
        <v>68</v>
      </c>
      <c r="G5131" s="11">
        <v>361</v>
      </c>
      <c r="H5131" s="11">
        <v>2222</v>
      </c>
      <c r="I5131" s="11">
        <v>0</v>
      </c>
      <c r="J5131" s="11">
        <v>0</v>
      </c>
      <c r="K5131" s="11" t="s">
        <v>21</v>
      </c>
      <c r="L5131" s="7">
        <v>42469.863865740743</v>
      </c>
      <c r="M5131" s="12" t="s">
        <v>69</v>
      </c>
      <c r="N5131" s="12"/>
      <c r="O5131" s="10" t="str">
        <f t="shared" ref="O5131:O5133" si="446">HYPERLINK("https://pbs.twimg.com/profile_images/718820712757215233/LXXndPTS_normal.jpg","View")</f>
        <v>View</v>
      </c>
      <c r="P5131" s="11"/>
    </row>
    <row r="5132" spans="1:16" ht="12.75" x14ac:dyDescent="0.35">
      <c r="A5132" s="7">
        <v>42483.147418981476</v>
      </c>
      <c r="B5132" s="8" t="str">
        <f t="shared" si="445"/>
        <v>@beetlebug1938</v>
      </c>
      <c r="C5132" s="9" t="s">
        <v>66</v>
      </c>
      <c r="D5132" s="9" t="s">
        <v>11877</v>
      </c>
      <c r="E5132" s="10" t="str">
        <f>HYPERLINK("https://twitter.com/beetlebug1938/status/723633047590019072","723633047590019072")</f>
        <v>723633047590019072</v>
      </c>
      <c r="F5132" s="11" t="s">
        <v>68</v>
      </c>
      <c r="G5132" s="11">
        <v>361</v>
      </c>
      <c r="H5132" s="11">
        <v>2222</v>
      </c>
      <c r="I5132" s="11">
        <v>0</v>
      </c>
      <c r="J5132" s="11">
        <v>0</v>
      </c>
      <c r="K5132" s="11" t="s">
        <v>21</v>
      </c>
      <c r="L5132" s="7">
        <v>42469.863865740743</v>
      </c>
      <c r="M5132" s="12" t="s">
        <v>69</v>
      </c>
      <c r="N5132" s="12"/>
      <c r="O5132" s="10" t="str">
        <f t="shared" si="446"/>
        <v>View</v>
      </c>
      <c r="P5132" s="11"/>
    </row>
    <row r="5133" spans="1:16" ht="12.75" x14ac:dyDescent="0.35">
      <c r="A5133" s="7">
        <v>42483.147604166668</v>
      </c>
      <c r="B5133" s="8" t="str">
        <f t="shared" si="445"/>
        <v>@beetlebug1938</v>
      </c>
      <c r="C5133" s="9" t="s">
        <v>66</v>
      </c>
      <c r="D5133" s="9" t="s">
        <v>11878</v>
      </c>
      <c r="E5133" s="10" t="str">
        <f>HYPERLINK("https://twitter.com/beetlebug1938/status/723633114942181376","723633114942181376")</f>
        <v>723633114942181376</v>
      </c>
      <c r="F5133" s="11" t="s">
        <v>68</v>
      </c>
      <c r="G5133" s="11">
        <v>361</v>
      </c>
      <c r="H5133" s="11">
        <v>2222</v>
      </c>
      <c r="I5133" s="11">
        <v>0</v>
      </c>
      <c r="J5133" s="11">
        <v>0</v>
      </c>
      <c r="K5133" s="11" t="s">
        <v>21</v>
      </c>
      <c r="L5133" s="7">
        <v>42469.863865740743</v>
      </c>
      <c r="M5133" s="12" t="s">
        <v>69</v>
      </c>
      <c r="N5133" s="12"/>
      <c r="O5133" s="10" t="str">
        <f t="shared" si="446"/>
        <v>View</v>
      </c>
      <c r="P5133" s="11"/>
    </row>
    <row r="5134" spans="1:16" ht="12.75" x14ac:dyDescent="0.35">
      <c r="A5134" s="7">
        <v>42483.148530092592</v>
      </c>
      <c r="B5134" s="8" t="str">
        <f>HYPERLINK("https://twitter.com/wehrs18","@wehrs18")</f>
        <v>@wehrs18</v>
      </c>
      <c r="C5134" s="9" t="s">
        <v>1964</v>
      </c>
      <c r="D5134" s="9" t="s">
        <v>11039</v>
      </c>
      <c r="E5134" s="10" t="str">
        <f>HYPERLINK("https://twitter.com/wehrs18/status/723633449815412737","723633449815412737")</f>
        <v>723633449815412737</v>
      </c>
      <c r="F5134" s="11" t="s">
        <v>48</v>
      </c>
      <c r="G5134" s="11">
        <v>121</v>
      </c>
      <c r="H5134" s="11">
        <v>241</v>
      </c>
      <c r="I5134" s="11">
        <v>5</v>
      </c>
      <c r="J5134" s="11">
        <v>0</v>
      </c>
      <c r="K5134" s="11" t="s">
        <v>21</v>
      </c>
      <c r="L5134" s="7">
        <v>41836.590428240743</v>
      </c>
      <c r="M5134" s="12" t="s">
        <v>1116</v>
      </c>
      <c r="N5134" s="12" t="s">
        <v>1965</v>
      </c>
      <c r="O5134" s="10" t="str">
        <f>HYPERLINK("https://pbs.twimg.com/profile_images/687314255507513346/a83L5Opq_normal.jpg","View")</f>
        <v>View</v>
      </c>
      <c r="P5134" s="11"/>
    </row>
    <row r="5135" spans="1:16" ht="12.75" x14ac:dyDescent="0.35">
      <c r="A5135" s="7">
        <v>42483.149861111116</v>
      </c>
      <c r="B5135" s="8" t="str">
        <f>HYPERLINK("https://twitter.com/Ferrari_Jadore","@Ferrari_Jadore")</f>
        <v>@Ferrari_Jadore</v>
      </c>
      <c r="C5135" s="9" t="s">
        <v>7885</v>
      </c>
      <c r="D5135" s="9" t="s">
        <v>11879</v>
      </c>
      <c r="E5135" s="10" t="str">
        <f>HYPERLINK("https://twitter.com/Ferrari_Jadore/status/723633930197409793","723633930197409793")</f>
        <v>723633930197409793</v>
      </c>
      <c r="F5135" s="11" t="s">
        <v>68</v>
      </c>
      <c r="G5135" s="11">
        <v>48</v>
      </c>
      <c r="H5135" s="11">
        <v>0</v>
      </c>
      <c r="I5135" s="11">
        <v>2</v>
      </c>
      <c r="J5135" s="11">
        <v>0</v>
      </c>
      <c r="K5135" s="11" t="s">
        <v>21</v>
      </c>
      <c r="L5135" s="7">
        <v>42471.65525462963</v>
      </c>
      <c r="M5135" s="12"/>
      <c r="N5135" s="12"/>
      <c r="O5135" s="10" t="str">
        <f>HYPERLINK("https://pbs.twimg.com/profile_images/719469365452808192/1OFS9oRH_normal.jpg","View")</f>
        <v>View</v>
      </c>
      <c r="P5135" s="11"/>
    </row>
    <row r="5136" spans="1:16" ht="12.75" x14ac:dyDescent="0.35">
      <c r="A5136" s="7">
        <v>42483.150057870371</v>
      </c>
      <c r="B5136" s="8" t="str">
        <f t="shared" ref="B5136:B5137" si="447">HYPERLINK("https://twitter.com/VWBeetleSales","@VWBeetleSales")</f>
        <v>@VWBeetleSales</v>
      </c>
      <c r="C5136" s="9" t="s">
        <v>127</v>
      </c>
      <c r="D5136" s="9" t="s">
        <v>11880</v>
      </c>
      <c r="E5136" s="10" t="str">
        <f>HYPERLINK("https://twitter.com/VWBeetleSales/status/723634004310683652","723634004310683652")</f>
        <v>723634004310683652</v>
      </c>
      <c r="F5136" s="10" t="s">
        <v>124</v>
      </c>
      <c r="G5136" s="11">
        <v>36</v>
      </c>
      <c r="H5136" s="11">
        <v>32</v>
      </c>
      <c r="I5136" s="11">
        <v>0</v>
      </c>
      <c r="J5136" s="11">
        <v>0</v>
      </c>
      <c r="K5136" s="11" t="s">
        <v>21</v>
      </c>
      <c r="L5136" s="7">
        <v>42427.019756944443</v>
      </c>
      <c r="M5136" s="12" t="s">
        <v>129</v>
      </c>
      <c r="N5136" s="12" t="s">
        <v>130</v>
      </c>
      <c r="O5136" s="10" t="str">
        <f t="shared" ref="O5136:O5137" si="448">HYPERLINK("https://pbs.twimg.com/profile_images/703294545195307008/qeCvrX86_normal.jpg","View")</f>
        <v>View</v>
      </c>
      <c r="P5136" s="11"/>
    </row>
    <row r="5137" spans="1:16" ht="12.75" x14ac:dyDescent="0.35">
      <c r="A5137" s="7">
        <v>42483.15006944444</v>
      </c>
      <c r="B5137" s="8" t="str">
        <f t="shared" si="447"/>
        <v>@VWBeetleSales</v>
      </c>
      <c r="C5137" s="9" t="s">
        <v>127</v>
      </c>
      <c r="D5137" s="9" t="s">
        <v>11881</v>
      </c>
      <c r="E5137" s="10" t="str">
        <f>HYPERLINK("https://twitter.com/VWBeetleSales/status/723634007821283330","723634007821283330")</f>
        <v>723634007821283330</v>
      </c>
      <c r="F5137" s="10" t="s">
        <v>124</v>
      </c>
      <c r="G5137" s="11">
        <v>36</v>
      </c>
      <c r="H5137" s="11">
        <v>32</v>
      </c>
      <c r="I5137" s="11">
        <v>0</v>
      </c>
      <c r="J5137" s="11">
        <v>0</v>
      </c>
      <c r="K5137" s="11" t="s">
        <v>21</v>
      </c>
      <c r="L5137" s="7">
        <v>42427.019756944443</v>
      </c>
      <c r="M5137" s="12" t="s">
        <v>129</v>
      </c>
      <c r="N5137" s="12" t="s">
        <v>130</v>
      </c>
      <c r="O5137" s="10" t="str">
        <f t="shared" si="448"/>
        <v>View</v>
      </c>
      <c r="P5137" s="11"/>
    </row>
    <row r="5138" spans="1:16" ht="12.75" x14ac:dyDescent="0.35">
      <c r="A5138" s="7">
        <v>42483.150416666671</v>
      </c>
      <c r="B5138" s="8" t="str">
        <f>HYPERLINK("https://twitter.com/Madenza_","@Madenza_")</f>
        <v>@Madenza_</v>
      </c>
      <c r="C5138" s="9" t="s">
        <v>11882</v>
      </c>
      <c r="D5138" s="9" t="s">
        <v>11883</v>
      </c>
      <c r="E5138" s="10" t="str">
        <f>HYPERLINK("https://twitter.com/Madenza_/status/723634134640410625","723634134640410625")</f>
        <v>723634134640410625</v>
      </c>
      <c r="F5138" s="11" t="s">
        <v>11884</v>
      </c>
      <c r="G5138" s="11">
        <v>667</v>
      </c>
      <c r="H5138" s="11">
        <v>2</v>
      </c>
      <c r="I5138" s="11">
        <v>2</v>
      </c>
      <c r="J5138" s="11">
        <v>0</v>
      </c>
      <c r="K5138" s="11" t="s">
        <v>21</v>
      </c>
      <c r="L5138" s="7">
        <v>42059.682673611111</v>
      </c>
      <c r="M5138" s="12" t="s">
        <v>11885</v>
      </c>
      <c r="N5138" s="12" t="s">
        <v>11886</v>
      </c>
      <c r="O5138" s="10" t="str">
        <f>HYPERLINK("https://pbs.twimg.com/profile_images/652792655156543488/KijatVs6_normal.jpg","View")</f>
        <v>View</v>
      </c>
      <c r="P5138" s="11"/>
    </row>
    <row r="5139" spans="1:16" ht="12.75" x14ac:dyDescent="0.35">
      <c r="A5139" s="7">
        <v>42483.151643518519</v>
      </c>
      <c r="B5139" s="8" t="str">
        <f>HYPERLINK("https://twitter.com/gwisemixcds","@gwisemixcds")</f>
        <v>@gwisemixcds</v>
      </c>
      <c r="C5139" s="9" t="s">
        <v>11887</v>
      </c>
      <c r="D5139" s="9" t="s">
        <v>11883</v>
      </c>
      <c r="E5139" s="10" t="str">
        <f>HYPERLINK("https://twitter.com/gwisemixcds/status/723634576447381504","723634576447381504")</f>
        <v>723634576447381504</v>
      </c>
      <c r="F5139" s="11" t="s">
        <v>48</v>
      </c>
      <c r="G5139" s="11">
        <v>2313</v>
      </c>
      <c r="H5139" s="11">
        <v>47</v>
      </c>
      <c r="I5139" s="11">
        <v>2</v>
      </c>
      <c r="J5139" s="11">
        <v>0</v>
      </c>
      <c r="K5139" s="11" t="s">
        <v>21</v>
      </c>
      <c r="L5139" s="7">
        <v>41450.91851851852</v>
      </c>
      <c r="M5139" s="12" t="s">
        <v>11888</v>
      </c>
      <c r="N5139" s="12" t="s">
        <v>11889</v>
      </c>
      <c r="O5139" s="10" t="str">
        <f>HYPERLINK("https://pbs.twimg.com/profile_images/707820647238529024/26ThEFYL_normal.jpg","View")</f>
        <v>View</v>
      </c>
      <c r="P5139" s="11"/>
    </row>
    <row r="5140" spans="1:16" ht="12.75" x14ac:dyDescent="0.35">
      <c r="A5140" s="7">
        <v>42483.152881944443</v>
      </c>
      <c r="B5140" s="8" t="str">
        <f>HYPERLINK("https://twitter.com/ElNNegroo","@ElNNegroo")</f>
        <v>@ElNNegroo</v>
      </c>
      <c r="C5140" s="9" t="s">
        <v>11890</v>
      </c>
      <c r="D5140" s="9" t="s">
        <v>10808</v>
      </c>
      <c r="E5140" s="10" t="str">
        <f>HYPERLINK("https://twitter.com/ElNNegroo/status/723635027075018752","723635027075018752")</f>
        <v>723635027075018752</v>
      </c>
      <c r="F5140" s="11" t="s">
        <v>48</v>
      </c>
      <c r="G5140" s="11">
        <v>675</v>
      </c>
      <c r="H5140" s="11">
        <v>533</v>
      </c>
      <c r="I5140" s="11">
        <v>51</v>
      </c>
      <c r="J5140" s="11">
        <v>0</v>
      </c>
      <c r="K5140" s="11" t="s">
        <v>21</v>
      </c>
      <c r="L5140" s="7">
        <v>41286.306956018518</v>
      </c>
      <c r="M5140" s="12"/>
      <c r="N5140" s="12" t="s">
        <v>11891</v>
      </c>
      <c r="O5140" s="10" t="str">
        <f>HYPERLINK("https://pbs.twimg.com/profile_images/609932605056786432/wJUOqKgs_normal.jpg","View")</f>
        <v>View</v>
      </c>
      <c r="P5140" s="11"/>
    </row>
    <row r="5141" spans="1:16" ht="12.75" x14ac:dyDescent="0.35">
      <c r="A5141" s="7">
        <v>42483.153067129635</v>
      </c>
      <c r="B5141" s="8" t="str">
        <f>HYPERLINK("https://twitter.com/KitManWong8","@KitManWong8")</f>
        <v>@KitManWong8</v>
      </c>
      <c r="C5141" s="9" t="s">
        <v>11892</v>
      </c>
      <c r="D5141" s="9" t="s">
        <v>11893</v>
      </c>
      <c r="E5141" s="10" t="str">
        <f>HYPERLINK("https://twitter.com/KitManWong8/status/723635095421214720","723635095421214720")</f>
        <v>723635095421214720</v>
      </c>
      <c r="F5141" s="11" t="s">
        <v>20</v>
      </c>
      <c r="G5141" s="11">
        <v>274</v>
      </c>
      <c r="H5141" s="11">
        <v>1317</v>
      </c>
      <c r="I5141" s="11">
        <v>0</v>
      </c>
      <c r="J5141" s="11">
        <v>0</v>
      </c>
      <c r="K5141" s="11" t="s">
        <v>21</v>
      </c>
      <c r="L5141" s="7">
        <v>40419.029710648145</v>
      </c>
      <c r="M5141" s="12" t="s">
        <v>11894</v>
      </c>
      <c r="N5141" s="12" t="s">
        <v>11895</v>
      </c>
      <c r="O5141" s="10" t="str">
        <f>HYPERLINK("https://pbs.twimg.com/profile_images/675772571493732352/GRqxxc_d_normal.jpg","View")</f>
        <v>View</v>
      </c>
      <c r="P5141" s="11"/>
    </row>
    <row r="5142" spans="1:16" ht="12.75" x14ac:dyDescent="0.35">
      <c r="A5142" s="7">
        <v>42483.153298611112</v>
      </c>
      <c r="B5142" s="8" t="str">
        <f>HYPERLINK("https://twitter.com/PicadasArg","@PicadasArg")</f>
        <v>@PicadasArg</v>
      </c>
      <c r="C5142" s="9" t="s">
        <v>11896</v>
      </c>
      <c r="D5142" s="9" t="s">
        <v>11897</v>
      </c>
      <c r="E5142" s="10" t="str">
        <f>HYPERLINK("https://twitter.com/PicadasArg/status/723635177524703234","723635177524703234")</f>
        <v>723635177524703234</v>
      </c>
      <c r="F5142" s="11" t="s">
        <v>48</v>
      </c>
      <c r="G5142" s="11">
        <v>1570</v>
      </c>
      <c r="H5142" s="11">
        <v>4168</v>
      </c>
      <c r="I5142" s="11">
        <v>2</v>
      </c>
      <c r="J5142" s="11">
        <v>6</v>
      </c>
      <c r="K5142" s="11" t="s">
        <v>21</v>
      </c>
      <c r="L5142" s="7">
        <v>42455.340335648143</v>
      </c>
      <c r="M5142" s="12" t="s">
        <v>49</v>
      </c>
      <c r="N5142" s="12" t="s">
        <v>11898</v>
      </c>
      <c r="O5142" s="10" t="str">
        <f>HYPERLINK("https://pbs.twimg.com/profile_images/713573399386259456/JwmrbkVy_normal.jpg","View")</f>
        <v>View</v>
      </c>
      <c r="P5142" s="11"/>
    </row>
    <row r="5143" spans="1:16" ht="12.75" x14ac:dyDescent="0.35">
      <c r="A5143" s="7">
        <v>42483.154502314814</v>
      </c>
      <c r="B5143" s="8" t="str">
        <f>HYPERLINK("https://twitter.com/J_A_Goodwin","@J_A_Goodwin")</f>
        <v>@J_A_Goodwin</v>
      </c>
      <c r="C5143" s="9" t="s">
        <v>4733</v>
      </c>
      <c r="D5143" s="9" t="s">
        <v>11899</v>
      </c>
      <c r="E5143" s="10" t="str">
        <f>HYPERLINK("https://twitter.com/J_A_Goodwin/status/723635613493161985","723635613493161985")</f>
        <v>723635613493161985</v>
      </c>
      <c r="F5143" s="11" t="s">
        <v>43</v>
      </c>
      <c r="G5143" s="11">
        <v>150</v>
      </c>
      <c r="H5143" s="11">
        <v>176</v>
      </c>
      <c r="I5143" s="11">
        <v>1</v>
      </c>
      <c r="J5143" s="11">
        <v>0</v>
      </c>
      <c r="K5143" s="11" t="s">
        <v>21</v>
      </c>
      <c r="L5143" s="7">
        <v>40135.907222222224</v>
      </c>
      <c r="M5143" s="12" t="s">
        <v>4735</v>
      </c>
      <c r="N5143" s="12" t="s">
        <v>4736</v>
      </c>
      <c r="O5143" s="10" t="str">
        <f>HYPERLINK("https://pbs.twimg.com/profile_images/378800000462396717/40b6ca623644e3ce6addf15947b0c27b_normal.jpeg","View")</f>
        <v>View</v>
      </c>
      <c r="P5143" s="11"/>
    </row>
    <row r="5144" spans="1:16" ht="12.75" x14ac:dyDescent="0.35">
      <c r="A5144" s="7">
        <v>42483.154548611114</v>
      </c>
      <c r="B5144" s="8" t="str">
        <f>HYPERLINK("https://twitter.com/LuliiDonatucci","@LuliiDonatucci")</f>
        <v>@LuliiDonatucci</v>
      </c>
      <c r="C5144" s="9" t="s">
        <v>11900</v>
      </c>
      <c r="D5144" s="9" t="s">
        <v>6352</v>
      </c>
      <c r="E5144" s="10" t="str">
        <f>HYPERLINK("https://twitter.com/LuliiDonatucci/status/723635630375337984","723635630375337984")</f>
        <v>723635630375337984</v>
      </c>
      <c r="F5144" s="11" t="s">
        <v>43</v>
      </c>
      <c r="G5144" s="11">
        <v>592</v>
      </c>
      <c r="H5144" s="11">
        <v>383</v>
      </c>
      <c r="I5144" s="11">
        <v>36</v>
      </c>
      <c r="J5144" s="11">
        <v>0</v>
      </c>
      <c r="K5144" s="11" t="s">
        <v>21</v>
      </c>
      <c r="L5144" s="7">
        <v>41171.293043981481</v>
      </c>
      <c r="M5144" s="12"/>
      <c r="N5144" s="12" t="s">
        <v>11901</v>
      </c>
      <c r="O5144" s="10" t="str">
        <f>HYPERLINK("https://pbs.twimg.com/profile_images/714907870920318978/chBqOm_7_normal.jpg","View")</f>
        <v>View</v>
      </c>
      <c r="P5144" s="11"/>
    </row>
    <row r="5145" spans="1:16" ht="12.75" x14ac:dyDescent="0.35">
      <c r="A5145" s="7">
        <v>42483.15524305556</v>
      </c>
      <c r="B5145" s="8" t="str">
        <f>HYPERLINK("https://twitter.com/Duambyth","@Duambyth")</f>
        <v>@Duambyth</v>
      </c>
      <c r="C5145" s="9" t="s">
        <v>46</v>
      </c>
      <c r="D5145" s="9" t="s">
        <v>11902</v>
      </c>
      <c r="E5145" s="10" t="str">
        <f>HYPERLINK("https://twitter.com/Duambyth/status/723635883103141888","723635883103141888")</f>
        <v>723635883103141888</v>
      </c>
      <c r="F5145" s="11" t="s">
        <v>48</v>
      </c>
      <c r="G5145" s="11">
        <v>372</v>
      </c>
      <c r="H5145" s="11">
        <v>341</v>
      </c>
      <c r="I5145" s="11">
        <v>2</v>
      </c>
      <c r="J5145" s="11">
        <v>0</v>
      </c>
      <c r="K5145" s="11" t="s">
        <v>21</v>
      </c>
      <c r="L5145" s="7">
        <v>41758.224062499998</v>
      </c>
      <c r="M5145" s="12" t="s">
        <v>49</v>
      </c>
      <c r="N5145" s="12" t="s">
        <v>50</v>
      </c>
      <c r="O5145" s="10" t="str">
        <f>HYPERLINK("https://pbs.twimg.com/profile_images/714558560936529920/fOUFpJYx_normal.jpg","View")</f>
        <v>View</v>
      </c>
      <c r="P5145" s="11"/>
    </row>
    <row r="5146" spans="1:16" ht="12.75" x14ac:dyDescent="0.35">
      <c r="A5146" s="7">
        <v>42483.155277777776</v>
      </c>
      <c r="B5146" s="8" t="str">
        <f>HYPERLINK("https://twitter.com/harwich2gether","@harwich2gether")</f>
        <v>@harwich2gether</v>
      </c>
      <c r="C5146" s="9" t="s">
        <v>11903</v>
      </c>
      <c r="D5146" s="9" t="s">
        <v>11904</v>
      </c>
      <c r="E5146" s="10" t="str">
        <f>HYPERLINK("https://twitter.com/harwich2gether/status/723635893567893504","723635893567893504")</f>
        <v>723635893567893504</v>
      </c>
      <c r="F5146" s="11" t="s">
        <v>91</v>
      </c>
      <c r="G5146" s="11">
        <v>763</v>
      </c>
      <c r="H5146" s="11">
        <v>360</v>
      </c>
      <c r="I5146" s="11">
        <v>1</v>
      </c>
      <c r="J5146" s="11">
        <v>0</v>
      </c>
      <c r="K5146" s="11" t="s">
        <v>21</v>
      </c>
      <c r="L5146" s="7">
        <v>41154.054571759261</v>
      </c>
      <c r="M5146" s="12" t="s">
        <v>11905</v>
      </c>
      <c r="N5146" s="12" t="s">
        <v>11906</v>
      </c>
      <c r="O5146" s="10" t="str">
        <f>HYPERLINK("https://pbs.twimg.com/profile_images/652167146110341120/ntq8HXiU_normal.jpg","View")</f>
        <v>View</v>
      </c>
      <c r="P5146" s="11"/>
    </row>
    <row r="5147" spans="1:16" ht="12.75" x14ac:dyDescent="0.35">
      <c r="A5147" s="7">
        <v>42483.155844907407</v>
      </c>
      <c r="B5147" s="8" t="str">
        <f>HYPERLINK("https://twitter.com/SutherlandPhD","@SutherlandPhD")</f>
        <v>@SutherlandPhD</v>
      </c>
      <c r="C5147" s="9" t="s">
        <v>11907</v>
      </c>
      <c r="D5147" s="9" t="s">
        <v>11908</v>
      </c>
      <c r="E5147" s="10" t="str">
        <f>HYPERLINK("https://twitter.com/SutherlandPhD/status/723636101219516416","723636101219516416")</f>
        <v>723636101219516416</v>
      </c>
      <c r="F5147" s="11" t="s">
        <v>114</v>
      </c>
      <c r="G5147" s="11">
        <v>515</v>
      </c>
      <c r="H5147" s="11">
        <v>580</v>
      </c>
      <c r="I5147" s="11">
        <v>0</v>
      </c>
      <c r="J5147" s="11">
        <v>0</v>
      </c>
      <c r="K5147" s="11" t="s">
        <v>21</v>
      </c>
      <c r="L5147" s="7">
        <v>41043.991087962961</v>
      </c>
      <c r="M5147" s="12" t="s">
        <v>502</v>
      </c>
      <c r="N5147" s="12" t="s">
        <v>11909</v>
      </c>
      <c r="O5147" s="10" t="str">
        <f>HYPERLINK("https://pbs.twimg.com/profile_images/717798412196810752/5_KUUavR_normal.jpg","View")</f>
        <v>View</v>
      </c>
      <c r="P5147" s="10" t="str">
        <f>HYPERLINK("http://ctrlq.org/maps/address/#33.75488073,-118.13951595","Map")</f>
        <v>Map</v>
      </c>
    </row>
    <row r="5148" spans="1:16" ht="12.75" x14ac:dyDescent="0.35">
      <c r="A5148" s="7">
        <v>42483.1559837963</v>
      </c>
      <c r="B5148" s="8" t="str">
        <f>HYPERLINK("https://twitter.com/BigBlizz","@BigBlizz")</f>
        <v>@BigBlizz</v>
      </c>
      <c r="C5148" s="9" t="s">
        <v>11910</v>
      </c>
      <c r="D5148" s="9" t="s">
        <v>11911</v>
      </c>
      <c r="E5148" s="10" t="str">
        <f>HYPERLINK("https://twitter.com/BigBlizz/status/723636151421145088","723636151421145088")</f>
        <v>723636151421145088</v>
      </c>
      <c r="F5148" s="11" t="s">
        <v>114</v>
      </c>
      <c r="G5148" s="11">
        <v>338</v>
      </c>
      <c r="H5148" s="11">
        <v>1545</v>
      </c>
      <c r="I5148" s="11">
        <v>0</v>
      </c>
      <c r="J5148" s="11">
        <v>0</v>
      </c>
      <c r="K5148" s="11" t="s">
        <v>21</v>
      </c>
      <c r="L5148" s="7">
        <v>39918.371574074074</v>
      </c>
      <c r="M5148" s="12" t="s">
        <v>11912</v>
      </c>
      <c r="N5148" s="12" t="s">
        <v>11913</v>
      </c>
      <c r="O5148" s="10" t="str">
        <f>HYPERLINK("https://pbs.twimg.com/profile_images/668693186898972672/N82WtbM8_normal.jpg","View")</f>
        <v>View</v>
      </c>
      <c r="P5148" s="11"/>
    </row>
    <row r="5149" spans="1:16" ht="12.75" x14ac:dyDescent="0.35">
      <c r="A5149" s="7">
        <v>42483.156365740739</v>
      </c>
      <c r="B5149" s="8" t="str">
        <f>HYPERLINK("https://twitter.com/PumpTheMovie","@PumpTheMovie")</f>
        <v>@PumpTheMovie</v>
      </c>
      <c r="C5149" s="9" t="s">
        <v>11914</v>
      </c>
      <c r="D5149" s="9" t="s">
        <v>11915</v>
      </c>
      <c r="E5149" s="10" t="str">
        <f>HYPERLINK("https://twitter.com/PumpTheMovie/status/723636289195536384","723636289195536384")</f>
        <v>723636289195536384</v>
      </c>
      <c r="F5149" s="11" t="s">
        <v>1034</v>
      </c>
      <c r="G5149" s="11">
        <v>975</v>
      </c>
      <c r="H5149" s="11">
        <v>970</v>
      </c>
      <c r="I5149" s="11">
        <v>0</v>
      </c>
      <c r="J5149" s="11">
        <v>0</v>
      </c>
      <c r="K5149" s="11" t="s">
        <v>21</v>
      </c>
      <c r="L5149" s="7">
        <v>41829.827048611114</v>
      </c>
      <c r="M5149" s="12"/>
      <c r="N5149" s="12" t="s">
        <v>11916</v>
      </c>
      <c r="O5149" s="10" t="str">
        <f>HYPERLINK("https://pbs.twimg.com/profile_images/508998286783438848/ZRUQeEUc_normal.jpeg","View")</f>
        <v>View</v>
      </c>
      <c r="P5149" s="11"/>
    </row>
    <row r="5150" spans="1:16" ht="12.75" x14ac:dyDescent="0.35">
      <c r="A5150" s="7">
        <v>42483.156724537039</v>
      </c>
      <c r="B5150" s="8" t="str">
        <f>HYPERLINK("https://twitter.com/GreggCesaroni","@GreggCesaroni")</f>
        <v>@GreggCesaroni</v>
      </c>
      <c r="C5150" s="9" t="s">
        <v>11917</v>
      </c>
      <c r="D5150" s="9" t="s">
        <v>11918</v>
      </c>
      <c r="E5150" s="10" t="str">
        <f>HYPERLINK("https://twitter.com/GreggCesaroni/status/723636417960747010","723636417960747010")</f>
        <v>723636417960747010</v>
      </c>
      <c r="F5150" s="11" t="s">
        <v>114</v>
      </c>
      <c r="G5150" s="11">
        <v>48</v>
      </c>
      <c r="H5150" s="11">
        <v>108</v>
      </c>
      <c r="I5150" s="11">
        <v>0</v>
      </c>
      <c r="J5150" s="11">
        <v>0</v>
      </c>
      <c r="K5150" s="11" t="s">
        <v>21</v>
      </c>
      <c r="L5150" s="7">
        <v>41672.090775462959</v>
      </c>
      <c r="M5150" s="12" t="s">
        <v>517</v>
      </c>
      <c r="N5150" s="12" t="s">
        <v>11919</v>
      </c>
      <c r="O5150" s="10" t="str">
        <f>HYPERLINK("https://pbs.twimg.com/profile_images/719254757362282496/dN3ldQhB_normal.jpg","View")</f>
        <v>View</v>
      </c>
      <c r="P5150" s="11"/>
    </row>
    <row r="5151" spans="1:16" ht="12.75" x14ac:dyDescent="0.35">
      <c r="A5151" s="7">
        <v>42483.157071759255</v>
      </c>
      <c r="B5151" s="8" t="str">
        <f>HYPERLINK("https://twitter.com/Owners4Owners","@Owners4Owners")</f>
        <v>@Owners4Owners</v>
      </c>
      <c r="C5151" s="9" t="s">
        <v>11920</v>
      </c>
      <c r="D5151" s="9" t="s">
        <v>11921</v>
      </c>
      <c r="E5151" s="10" t="str">
        <f>HYPERLINK("https://twitter.com/Owners4Owners/status/723636543546478592","723636543546478592")</f>
        <v>723636543546478592</v>
      </c>
      <c r="F5151" s="11" t="s">
        <v>43</v>
      </c>
      <c r="G5151" s="11">
        <v>124</v>
      </c>
      <c r="H5151" s="11">
        <v>305</v>
      </c>
      <c r="I5151" s="11">
        <v>0</v>
      </c>
      <c r="J5151" s="11">
        <v>0</v>
      </c>
      <c r="K5151" s="11" t="s">
        <v>21</v>
      </c>
      <c r="L5151" s="7">
        <v>42077.693969907406</v>
      </c>
      <c r="M5151" s="12" t="s">
        <v>11922</v>
      </c>
      <c r="N5151" s="12" t="s">
        <v>11923</v>
      </c>
      <c r="O5151" s="10" t="str">
        <f>HYPERLINK("https://pbs.twimg.com/profile_images/622516471973871616/ftCl_NIh_normal.jpg","View")</f>
        <v>View</v>
      </c>
      <c r="P5151" s="11"/>
    </row>
    <row r="5152" spans="1:16" ht="12.75" x14ac:dyDescent="0.35">
      <c r="A5152" s="7">
        <v>42483.15730324074</v>
      </c>
      <c r="B5152" s="8" t="str">
        <f>HYPERLINK("https://twitter.com/WWQualityCars","@WWQualityCars")</f>
        <v>@WWQualityCars</v>
      </c>
      <c r="C5152" s="9" t="s">
        <v>11924</v>
      </c>
      <c r="D5152" s="9" t="s">
        <v>11925</v>
      </c>
      <c r="E5152" s="10" t="str">
        <f>HYPERLINK("https://twitter.com/WWQualityCars/status/723636627197833216","723636627197833216")</f>
        <v>723636627197833216</v>
      </c>
      <c r="F5152" s="11" t="s">
        <v>43</v>
      </c>
      <c r="G5152" s="11">
        <v>9</v>
      </c>
      <c r="H5152" s="11">
        <v>28</v>
      </c>
      <c r="I5152" s="11">
        <v>0</v>
      </c>
      <c r="J5152" s="11">
        <v>0</v>
      </c>
      <c r="K5152" s="11" t="s">
        <v>21</v>
      </c>
      <c r="L5152" s="7">
        <v>42460.210162037038</v>
      </c>
      <c r="M5152" s="12"/>
      <c r="N5152" s="12"/>
      <c r="O5152" s="10" t="str">
        <f>HYPERLINK("https://pbs.twimg.com/profile_images/715331895920345089/lrSPh0l5_normal.jpg","View")</f>
        <v>View</v>
      </c>
      <c r="P5152" s="11"/>
    </row>
    <row r="5153" spans="1:16" ht="12.75" x14ac:dyDescent="0.35">
      <c r="A5153" s="7">
        <v>42483.157488425924</v>
      </c>
      <c r="B5153" s="8" t="str">
        <f>HYPERLINK("https://twitter.com/oliva_naza","@oliva_naza")</f>
        <v>@oliva_naza</v>
      </c>
      <c r="C5153" s="9" t="s">
        <v>11926</v>
      </c>
      <c r="D5153" s="9" t="s">
        <v>11927</v>
      </c>
      <c r="E5153" s="10" t="str">
        <f>HYPERLINK("https://twitter.com/oliva_naza/status/723636693987807232","723636693987807232")</f>
        <v>723636693987807232</v>
      </c>
      <c r="F5153" s="11" t="s">
        <v>114</v>
      </c>
      <c r="G5153" s="11">
        <v>157</v>
      </c>
      <c r="H5153" s="11">
        <v>125</v>
      </c>
      <c r="I5153" s="11">
        <v>0</v>
      </c>
      <c r="J5153" s="11">
        <v>0</v>
      </c>
      <c r="K5153" s="11" t="s">
        <v>21</v>
      </c>
      <c r="L5153" s="7">
        <v>40667.85974537037</v>
      </c>
      <c r="M5153" s="12" t="s">
        <v>11928</v>
      </c>
      <c r="N5153" s="12" t="s">
        <v>11929</v>
      </c>
      <c r="O5153" s="10" t="str">
        <f>HYPERLINK("https://pbs.twimg.com/profile_images/681258719137644544/shq1eo4o_normal.jpg","View")</f>
        <v>View</v>
      </c>
      <c r="P5153" s="10" t="str">
        <f>HYPERLINK("http://ctrlq.org/maps/address/#-32.06944795,-64.53695747","Map")</f>
        <v>Map</v>
      </c>
    </row>
    <row r="5154" spans="1:16" ht="12.75" x14ac:dyDescent="0.35">
      <c r="A5154" s="7">
        <v>42483.157662037032</v>
      </c>
      <c r="B5154" s="8" t="str">
        <f>HYPERLINK("https://twitter.com/trendingNewsFas","@trendingNewsFas")</f>
        <v>@trendingNewsFas</v>
      </c>
      <c r="C5154" s="9" t="s">
        <v>11930</v>
      </c>
      <c r="D5154" s="9" t="s">
        <v>11931</v>
      </c>
      <c r="E5154" s="10" t="str">
        <f>HYPERLINK("https://twitter.com/trendingNewsFas/status/723636759020605440","723636759020605440")</f>
        <v>723636759020605440</v>
      </c>
      <c r="F5154" s="11" t="s">
        <v>43</v>
      </c>
      <c r="G5154" s="11">
        <v>9</v>
      </c>
      <c r="H5154" s="11">
        <v>43</v>
      </c>
      <c r="I5154" s="11">
        <v>0</v>
      </c>
      <c r="J5154" s="11">
        <v>0</v>
      </c>
      <c r="K5154" s="11" t="s">
        <v>21</v>
      </c>
      <c r="L5154" s="7">
        <v>42480.538877314815</v>
      </c>
      <c r="M5154" s="12"/>
      <c r="N5154" s="12"/>
      <c r="O5154" s="10" t="str">
        <f>HYPERLINK("https://pbs.twimg.com/profile_images/722688047255527424/4zRdbppc_normal.jpg","View")</f>
        <v>View</v>
      </c>
      <c r="P5154" s="11"/>
    </row>
    <row r="5155" spans="1:16" ht="12.75" x14ac:dyDescent="0.35">
      <c r="A5155" s="7">
        <v>42483.157962962963</v>
      </c>
      <c r="B5155" s="8" t="str">
        <f>HYPERLINK("https://twitter.com/MerlinaAlmendra","@MerlinaAlmendra")</f>
        <v>@MerlinaAlmendra</v>
      </c>
      <c r="C5155" s="9" t="s">
        <v>6823</v>
      </c>
      <c r="D5155" s="9" t="s">
        <v>11932</v>
      </c>
      <c r="E5155" s="10" t="str">
        <f>HYPERLINK("https://twitter.com/MerlinaAlmendra/status/723636866881298432","723636866881298432")</f>
        <v>723636866881298432</v>
      </c>
      <c r="F5155" s="11" t="s">
        <v>114</v>
      </c>
      <c r="G5155" s="11">
        <v>439</v>
      </c>
      <c r="H5155" s="11">
        <v>303</v>
      </c>
      <c r="I5155" s="11">
        <v>0</v>
      </c>
      <c r="J5155" s="11">
        <v>0</v>
      </c>
      <c r="K5155" s="11" t="s">
        <v>21</v>
      </c>
      <c r="L5155" s="7">
        <v>39816.382696759261</v>
      </c>
      <c r="M5155" s="12" t="s">
        <v>6825</v>
      </c>
      <c r="N5155" s="12" t="s">
        <v>6826</v>
      </c>
      <c r="O5155" s="10" t="str">
        <f>HYPERLINK("https://pbs.twimg.com/profile_images/716386262387527680/iXBQikmn_normal.jpg","View")</f>
        <v>View</v>
      </c>
      <c r="P5155" s="10" t="str">
        <f>HYPERLINK("http://ctrlq.org/maps/address/#51.03022584,-114.03502025","Map")</f>
        <v>Map</v>
      </c>
    </row>
    <row r="5156" spans="1:16" ht="12.75" x14ac:dyDescent="0.35">
      <c r="A5156" s="7">
        <v>42483.158206018517</v>
      </c>
      <c r="B5156" s="8" t="str">
        <f>HYPERLINK("https://twitter.com/nordlohner","@nordlohner")</f>
        <v>@nordlohner</v>
      </c>
      <c r="C5156" s="9" t="s">
        <v>3774</v>
      </c>
      <c r="D5156" s="9" t="s">
        <v>11933</v>
      </c>
      <c r="E5156" s="10" t="str">
        <f>HYPERLINK("https://twitter.com/nordlohner/status/723636955783811072","723636955783811072")</f>
        <v>723636955783811072</v>
      </c>
      <c r="F5156" s="11" t="s">
        <v>91</v>
      </c>
      <c r="G5156" s="11">
        <v>292</v>
      </c>
      <c r="H5156" s="11">
        <v>260</v>
      </c>
      <c r="I5156" s="11">
        <v>0</v>
      </c>
      <c r="J5156" s="11">
        <v>0</v>
      </c>
      <c r="K5156" s="11" t="s">
        <v>21</v>
      </c>
      <c r="L5156" s="7">
        <v>40830.607534722221</v>
      </c>
      <c r="M5156" s="12" t="s">
        <v>3776</v>
      </c>
      <c r="N5156" s="12" t="s">
        <v>3777</v>
      </c>
      <c r="O5156" s="10" t="str">
        <f>HYPERLINK("https://pbs.twimg.com/profile_images/689490163639123968/KvB_Hdux_normal.jpg","View")</f>
        <v>View</v>
      </c>
      <c r="P5156" s="11"/>
    </row>
    <row r="5157" spans="1:16" ht="12.75" x14ac:dyDescent="0.35">
      <c r="A5157" s="7">
        <v>42483.161041666666</v>
      </c>
      <c r="B5157" s="8" t="str">
        <f>HYPERLINK("https://twitter.com/Supreme_Wheel","@Supreme_Wheel")</f>
        <v>@Supreme_Wheel</v>
      </c>
      <c r="C5157" s="9" t="s">
        <v>11934</v>
      </c>
      <c r="D5157" s="9" t="s">
        <v>11935</v>
      </c>
      <c r="E5157" s="10" t="str">
        <f>HYPERLINK("https://twitter.com/Supreme_Wheel/status/723637983203586048","723637983203586048")</f>
        <v>723637983203586048</v>
      </c>
      <c r="F5157" s="11" t="s">
        <v>48</v>
      </c>
      <c r="G5157" s="11">
        <v>4</v>
      </c>
      <c r="H5157" s="11">
        <v>1</v>
      </c>
      <c r="I5157" s="11">
        <v>0</v>
      </c>
      <c r="J5157" s="11">
        <v>0</v>
      </c>
      <c r="K5157" s="11" t="s">
        <v>21</v>
      </c>
      <c r="L5157" s="7">
        <v>42418.973009259258</v>
      </c>
      <c r="M5157" s="12"/>
      <c r="N5157" s="12" t="s">
        <v>11936</v>
      </c>
      <c r="O5157" s="10" t="str">
        <f>HYPERLINK("https://pbs.twimg.com/profile_images/700378173943316481/4ItP2iGG_normal.jpg","View")</f>
        <v>View</v>
      </c>
      <c r="P5157" s="11"/>
    </row>
    <row r="5158" spans="1:16" ht="12.75" x14ac:dyDescent="0.35">
      <c r="A5158" s="7">
        <v>42483.161053240736</v>
      </c>
      <c r="B5158" s="8" t="str">
        <f t="shared" ref="B5158:B5159" si="449">HYPERLINK("https://twitter.com/oldcar_photo","@oldcar_photo")</f>
        <v>@oldcar_photo</v>
      </c>
      <c r="C5158" s="9" t="s">
        <v>1046</v>
      </c>
      <c r="D5158" s="9" t="s">
        <v>11937</v>
      </c>
      <c r="E5158" s="10" t="str">
        <f>HYPERLINK("https://twitter.com/oldcar_photo/status/723637986148098048","723637986148098048")</f>
        <v>723637986148098048</v>
      </c>
      <c r="F5158" s="11" t="s">
        <v>68</v>
      </c>
      <c r="G5158" s="11">
        <v>1985</v>
      </c>
      <c r="H5158" s="11">
        <v>0</v>
      </c>
      <c r="I5158" s="11">
        <v>2</v>
      </c>
      <c r="J5158" s="11">
        <v>2</v>
      </c>
      <c r="K5158" s="11" t="s">
        <v>21</v>
      </c>
      <c r="L5158" s="7">
        <v>42184.7341087963</v>
      </c>
      <c r="M5158" s="12"/>
      <c r="N5158" s="12"/>
      <c r="O5158" s="10" t="str">
        <f t="shared" ref="O5158:O5159" si="450">HYPERLINK("https://pbs.twimg.com/profile_images/615493650785660928/XHUh6HOk_normal.jpg","View")</f>
        <v>View</v>
      </c>
      <c r="P5158" s="11"/>
    </row>
    <row r="5159" spans="1:16" ht="12.75" x14ac:dyDescent="0.35">
      <c r="A5159" s="7">
        <v>42483.161145833335</v>
      </c>
      <c r="B5159" s="8" t="str">
        <f t="shared" si="449"/>
        <v>@oldcar_photo</v>
      </c>
      <c r="C5159" s="9" t="s">
        <v>1046</v>
      </c>
      <c r="D5159" s="9" t="s">
        <v>11938</v>
      </c>
      <c r="E5159" s="10" t="str">
        <f>HYPERLINK("https://twitter.com/oldcar_photo/status/723638023380996096","723638023380996096")</f>
        <v>723638023380996096</v>
      </c>
      <c r="F5159" s="11" t="s">
        <v>68</v>
      </c>
      <c r="G5159" s="11">
        <v>1985</v>
      </c>
      <c r="H5159" s="11">
        <v>0</v>
      </c>
      <c r="I5159" s="11">
        <v>2</v>
      </c>
      <c r="J5159" s="11">
        <v>2</v>
      </c>
      <c r="K5159" s="11" t="s">
        <v>21</v>
      </c>
      <c r="L5159" s="7">
        <v>42184.7341087963</v>
      </c>
      <c r="M5159" s="12"/>
      <c r="N5159" s="12"/>
      <c r="O5159" s="10" t="str">
        <f t="shared" si="450"/>
        <v>View</v>
      </c>
      <c r="P5159" s="11"/>
    </row>
    <row r="5160" spans="1:16" ht="12.75" x14ac:dyDescent="0.35">
      <c r="A5160" s="7">
        <v>42483.161273148144</v>
      </c>
      <c r="B5160" s="8" t="str">
        <f>HYPERLINK("https://twitter.com/hansen_renate","@hansen_renate")</f>
        <v>@hansen_renate</v>
      </c>
      <c r="C5160" s="9" t="s">
        <v>11939</v>
      </c>
      <c r="D5160" s="9" t="s">
        <v>11940</v>
      </c>
      <c r="E5160" s="10" t="str">
        <f>HYPERLINK("https://twitter.com/hansen_renate/status/723638068687806464","723638068687806464")</f>
        <v>723638068687806464</v>
      </c>
      <c r="F5160" s="11" t="s">
        <v>91</v>
      </c>
      <c r="G5160" s="11">
        <v>41</v>
      </c>
      <c r="H5160" s="11">
        <v>235</v>
      </c>
      <c r="I5160" s="11">
        <v>0</v>
      </c>
      <c r="J5160" s="11">
        <v>0</v>
      </c>
      <c r="K5160" s="11" t="s">
        <v>21</v>
      </c>
      <c r="L5160" s="7">
        <v>40940.795266203706</v>
      </c>
      <c r="M5160" s="12" t="s">
        <v>11941</v>
      </c>
      <c r="N5160" s="12"/>
      <c r="O5160" s="10" t="str">
        <f>HYPERLINK("https://pbs.twimg.com/profile_images/3626549563/d95a4821a3987f8c50f45ab3cca4ef81_normal.jpeg","View")</f>
        <v>View</v>
      </c>
      <c r="P5160" s="11"/>
    </row>
    <row r="5161" spans="1:16" ht="12.75" x14ac:dyDescent="0.35">
      <c r="A5161" s="7">
        <v>42483.16196759259</v>
      </c>
      <c r="B5161" s="8" t="str">
        <f>HYPERLINK("https://twitter.com/Scirocco_Tuning","@Scirocco_Tuning")</f>
        <v>@Scirocco_Tuning</v>
      </c>
      <c r="C5161" s="9" t="s">
        <v>51</v>
      </c>
      <c r="D5161" s="9" t="s">
        <v>11942</v>
      </c>
      <c r="E5161" s="10" t="str">
        <f>HYPERLINK("https://twitter.com/Scirocco_Tuning/status/723638318160838661","723638318160838661")</f>
        <v>723638318160838661</v>
      </c>
      <c r="F5161" s="11" t="s">
        <v>53</v>
      </c>
      <c r="G5161" s="11">
        <v>69</v>
      </c>
      <c r="H5161" s="11">
        <v>215</v>
      </c>
      <c r="I5161" s="11">
        <v>0</v>
      </c>
      <c r="J5161" s="11">
        <v>0</v>
      </c>
      <c r="K5161" s="11" t="s">
        <v>21</v>
      </c>
      <c r="L5161" s="7">
        <v>40844.564722222218</v>
      </c>
      <c r="M5161" s="12"/>
      <c r="N5161" s="12"/>
      <c r="O5161" s="10" t="str">
        <f>HYPERLINK("https://pbs.twimg.com/profile_images/1610421423/Image2_normal.jpg","View")</f>
        <v>View</v>
      </c>
      <c r="P5161" s="11"/>
    </row>
    <row r="5162" spans="1:16" ht="12.75" x14ac:dyDescent="0.35">
      <c r="A5162" s="7">
        <v>42483.162569444445</v>
      </c>
      <c r="B5162" s="8" t="str">
        <f>HYPERLINK("https://twitter.com/hdBerretz","@hdBerretz")</f>
        <v>@hdBerretz</v>
      </c>
      <c r="C5162" s="9" t="s">
        <v>8676</v>
      </c>
      <c r="D5162" s="9" t="s">
        <v>11943</v>
      </c>
      <c r="E5162" s="10" t="str">
        <f>HYPERLINK("https://twitter.com/hdBerretz/status/723638539188080640","723638539188080640")</f>
        <v>723638539188080640</v>
      </c>
      <c r="F5162" s="11" t="s">
        <v>1143</v>
      </c>
      <c r="G5162" s="11">
        <v>3329</v>
      </c>
      <c r="H5162" s="11">
        <v>1224</v>
      </c>
      <c r="I5162" s="11">
        <v>0</v>
      </c>
      <c r="J5162" s="11">
        <v>0</v>
      </c>
      <c r="K5162" s="11" t="s">
        <v>21</v>
      </c>
      <c r="L5162" s="7">
        <v>40018.327939814815</v>
      </c>
      <c r="M5162" s="12" t="s">
        <v>1241</v>
      </c>
      <c r="N5162" s="12" t="s">
        <v>8678</v>
      </c>
      <c r="O5162" s="10" t="str">
        <f>HYPERLINK("https://pbs.twimg.com/profile_images/548874200102879234/jOo5AkMZ_normal.png","View")</f>
        <v>View</v>
      </c>
      <c r="P5162" s="11"/>
    </row>
    <row r="5163" spans="1:16" ht="12.75" x14ac:dyDescent="0.35">
      <c r="A5163" s="7">
        <v>42483.162777777776</v>
      </c>
      <c r="B5163" s="8" t="str">
        <f t="shared" ref="B5163:B5164" si="451">HYPERLINK("https://twitter.com/FuscaWorld","@FuscaWorld")</f>
        <v>@FuscaWorld</v>
      </c>
      <c r="C5163" s="9" t="s">
        <v>74</v>
      </c>
      <c r="D5163" s="9" t="s">
        <v>6426</v>
      </c>
      <c r="E5163" s="10" t="str">
        <f>HYPERLINK("https://twitter.com/FuscaWorld/status/723638611988627456","723638611988627456")</f>
        <v>723638611988627456</v>
      </c>
      <c r="F5163" s="11" t="s">
        <v>76</v>
      </c>
      <c r="G5163" s="11">
        <v>49</v>
      </c>
      <c r="H5163" s="11">
        <v>1</v>
      </c>
      <c r="I5163" s="11">
        <v>2</v>
      </c>
      <c r="J5163" s="11">
        <v>0</v>
      </c>
      <c r="K5163" s="11" t="s">
        <v>21</v>
      </c>
      <c r="L5163" s="7">
        <v>42433.880914351852</v>
      </c>
      <c r="M5163" s="12"/>
      <c r="N5163" s="12" t="s">
        <v>77</v>
      </c>
      <c r="O5163" s="10" t="str">
        <f t="shared" ref="O5163:O5164" si="452">HYPERLINK("https://pbs.twimg.com/profile_images/705780107844067328/e7O4UBNb_normal.jpg","View")</f>
        <v>View</v>
      </c>
      <c r="P5163" s="11"/>
    </row>
    <row r="5164" spans="1:16" ht="12.75" x14ac:dyDescent="0.35">
      <c r="A5164" s="7">
        <v>42483.162777777776</v>
      </c>
      <c r="B5164" s="8" t="str">
        <f t="shared" si="451"/>
        <v>@FuscaWorld</v>
      </c>
      <c r="C5164" s="9" t="s">
        <v>74</v>
      </c>
      <c r="D5164" s="9" t="s">
        <v>11944</v>
      </c>
      <c r="E5164" s="10" t="str">
        <f>HYPERLINK("https://twitter.com/FuscaWorld/status/723638614073180160","723638614073180160")</f>
        <v>723638614073180160</v>
      </c>
      <c r="F5164" s="11" t="s">
        <v>76</v>
      </c>
      <c r="G5164" s="11">
        <v>49</v>
      </c>
      <c r="H5164" s="11">
        <v>1</v>
      </c>
      <c r="I5164" s="11">
        <v>2</v>
      </c>
      <c r="J5164" s="11">
        <v>0</v>
      </c>
      <c r="K5164" s="11" t="s">
        <v>21</v>
      </c>
      <c r="L5164" s="7">
        <v>42433.880914351852</v>
      </c>
      <c r="M5164" s="12"/>
      <c r="N5164" s="12" t="s">
        <v>77</v>
      </c>
      <c r="O5164" s="10" t="str">
        <f t="shared" si="452"/>
        <v>View</v>
      </c>
      <c r="P5164" s="11"/>
    </row>
    <row r="5165" spans="1:16" ht="12.75" x14ac:dyDescent="0.35">
      <c r="A5165" s="7">
        <v>42483.163865740746</v>
      </c>
      <c r="B5165" s="8" t="str">
        <f>HYPERLINK("https://twitter.com/LimandoElPisoPM","@LimandoElPisoPM")</f>
        <v>@LimandoElPisoPM</v>
      </c>
      <c r="C5165" s="9" t="s">
        <v>6347</v>
      </c>
      <c r="D5165" s="9" t="s">
        <v>11945</v>
      </c>
      <c r="E5165" s="10" t="str">
        <f>HYPERLINK("https://twitter.com/LimandoElPisoPM/status/723639007876358144","723639007876358144")</f>
        <v>723639007876358144</v>
      </c>
      <c r="F5165" s="11" t="s">
        <v>43</v>
      </c>
      <c r="G5165" s="11">
        <v>18252</v>
      </c>
      <c r="H5165" s="11">
        <v>71</v>
      </c>
      <c r="I5165" s="11">
        <v>5</v>
      </c>
      <c r="J5165" s="11">
        <v>24</v>
      </c>
      <c r="K5165" s="11" t="s">
        <v>21</v>
      </c>
      <c r="L5165" s="7">
        <v>41805.919247685189</v>
      </c>
      <c r="M5165" s="12" t="s">
        <v>6349</v>
      </c>
      <c r="N5165" s="12" t="s">
        <v>6350</v>
      </c>
      <c r="O5165" s="10" t="str">
        <f>HYPERLINK("https://pbs.twimg.com/profile_images/710591486228766720/8dYGKdNm_normal.jpg","View")</f>
        <v>View</v>
      </c>
      <c r="P5165" s="11"/>
    </row>
    <row r="5166" spans="1:16" ht="12.75" x14ac:dyDescent="0.35">
      <c r="A5166" s="7">
        <v>42483.164166666669</v>
      </c>
      <c r="B5166" s="8" t="str">
        <f>HYPERLINK("https://twitter.com/GSracer69","@GSracer69")</f>
        <v>@GSracer69</v>
      </c>
      <c r="C5166" s="9" t="s">
        <v>11946</v>
      </c>
      <c r="D5166" s="9" t="s">
        <v>11947</v>
      </c>
      <c r="E5166" s="10" t="str">
        <f>HYPERLINK("https://twitter.com/GSracer69/status/723639114734678016","723639114734678016")</f>
        <v>723639114734678016</v>
      </c>
      <c r="F5166" s="11" t="s">
        <v>20</v>
      </c>
      <c r="G5166" s="11">
        <v>159</v>
      </c>
      <c r="H5166" s="11">
        <v>307</v>
      </c>
      <c r="I5166" s="11">
        <v>21</v>
      </c>
      <c r="J5166" s="11">
        <v>0</v>
      </c>
      <c r="K5166" s="11" t="s">
        <v>21</v>
      </c>
      <c r="L5166" s="7">
        <v>40525.30909722222</v>
      </c>
      <c r="M5166" s="12" t="s">
        <v>11948</v>
      </c>
      <c r="N5166" s="12" t="s">
        <v>11949</v>
      </c>
      <c r="O5166" s="10" t="str">
        <f>HYPERLINK("https://pbs.twimg.com/profile_images/1480402733/image_normal.jpg","View")</f>
        <v>View</v>
      </c>
      <c r="P5166" s="11"/>
    </row>
    <row r="5167" spans="1:16" ht="12.75" x14ac:dyDescent="0.35">
      <c r="A5167" s="7">
        <v>42483.164178240739</v>
      </c>
      <c r="B5167" s="8" t="str">
        <f>HYPERLINK("https://twitter.com/facubustosT","@facubustosT")</f>
        <v>@facubustosT</v>
      </c>
      <c r="C5167" s="9" t="s">
        <v>11950</v>
      </c>
      <c r="D5167" s="9" t="s">
        <v>11951</v>
      </c>
      <c r="E5167" s="10" t="str">
        <f>HYPERLINK("https://twitter.com/facubustosT/status/723639119553925121","723639119553925121")</f>
        <v>723639119553925121</v>
      </c>
      <c r="F5167" s="11" t="s">
        <v>48</v>
      </c>
      <c r="G5167" s="11">
        <v>3160</v>
      </c>
      <c r="H5167" s="11">
        <v>2338</v>
      </c>
      <c r="I5167" s="11">
        <v>5</v>
      </c>
      <c r="J5167" s="11">
        <v>0</v>
      </c>
      <c r="K5167" s="11" t="s">
        <v>21</v>
      </c>
      <c r="L5167" s="7">
        <v>41662.563715277778</v>
      </c>
      <c r="M5167" s="12" t="s">
        <v>11952</v>
      </c>
      <c r="N5167" s="12" t="s">
        <v>11953</v>
      </c>
      <c r="O5167" s="10" t="str">
        <f>HYPERLINK("https://pbs.twimg.com/profile_images/715776623434457088/L4fXJsEb_normal.jpg","View")</f>
        <v>View</v>
      </c>
      <c r="P5167" s="11"/>
    </row>
    <row r="5168" spans="1:16" ht="12.75" x14ac:dyDescent="0.35">
      <c r="A5168" s="7">
        <v>42483.164710648147</v>
      </c>
      <c r="B5168" s="8" t="str">
        <f>HYPERLINK("https://twitter.com/santiagoolmoss","@santiagoolmoss")</f>
        <v>@santiagoolmoss</v>
      </c>
      <c r="C5168" s="9" t="s">
        <v>11954</v>
      </c>
      <c r="D5168" s="9" t="s">
        <v>11951</v>
      </c>
      <c r="E5168" s="10" t="str">
        <f>HYPERLINK("https://twitter.com/santiagoolmoss/status/723639312684879873","723639312684879873")</f>
        <v>723639312684879873</v>
      </c>
      <c r="F5168" s="11" t="s">
        <v>20</v>
      </c>
      <c r="G5168" s="11">
        <v>256</v>
      </c>
      <c r="H5168" s="11">
        <v>260</v>
      </c>
      <c r="I5168" s="11">
        <v>5</v>
      </c>
      <c r="J5168" s="11">
        <v>0</v>
      </c>
      <c r="K5168" s="11" t="s">
        <v>21</v>
      </c>
      <c r="L5168" s="7">
        <v>41186.090543981481</v>
      </c>
      <c r="M5168" s="12"/>
      <c r="N5168" s="12" t="s">
        <v>11955</v>
      </c>
      <c r="O5168" s="10" t="str">
        <f>HYPERLINK("https://pbs.twimg.com/profile_images/695051718531354624/i5ezgQbc_normal.jpg","View")</f>
        <v>View</v>
      </c>
      <c r="P5168" s="11"/>
    </row>
    <row r="5169" spans="1:16" ht="12.75" x14ac:dyDescent="0.35">
      <c r="A5169" s="7">
        <v>42483.165706018517</v>
      </c>
      <c r="B5169" s="8" t="str">
        <f>HYPERLINK("https://twitter.com/AgustinArias0","@AgustinArias0")</f>
        <v>@AgustinArias0</v>
      </c>
      <c r="C5169" s="9" t="s">
        <v>11956</v>
      </c>
      <c r="D5169" s="9" t="s">
        <v>11951</v>
      </c>
      <c r="E5169" s="10" t="str">
        <f>HYPERLINK("https://twitter.com/AgustinArias0/status/723639673881550851","723639673881550851")</f>
        <v>723639673881550851</v>
      </c>
      <c r="F5169" s="11" t="s">
        <v>48</v>
      </c>
      <c r="G5169" s="11">
        <v>549</v>
      </c>
      <c r="H5169" s="11">
        <v>703</v>
      </c>
      <c r="I5169" s="11">
        <v>5</v>
      </c>
      <c r="J5169" s="11">
        <v>0</v>
      </c>
      <c r="K5169" s="11" t="s">
        <v>21</v>
      </c>
      <c r="L5169" s="7">
        <v>41416.994884259257</v>
      </c>
      <c r="M5169" s="12" t="s">
        <v>2867</v>
      </c>
      <c r="N5169" s="12" t="s">
        <v>11957</v>
      </c>
      <c r="O5169" s="10" t="str">
        <f>HYPERLINK("https://pbs.twimg.com/profile_images/719875850238345216/YRSs9IeA_normal.jpg","View")</f>
        <v>View</v>
      </c>
      <c r="P5169" s="11"/>
    </row>
    <row r="5170" spans="1:16" ht="12.75" x14ac:dyDescent="0.35">
      <c r="A5170" s="7">
        <v>42483.166863425926</v>
      </c>
      <c r="B5170" s="8" t="str">
        <f>HYPERLINK("https://twitter.com/poandpo","@poandpo")</f>
        <v>@poandpo</v>
      </c>
      <c r="C5170" s="9" t="s">
        <v>11958</v>
      </c>
      <c r="D5170" s="9" t="s">
        <v>11959</v>
      </c>
      <c r="E5170" s="10" t="str">
        <f>HYPERLINK("https://twitter.com/poandpo/status/723640094465396738","723640094465396738")</f>
        <v>723640094465396738</v>
      </c>
      <c r="F5170" s="11" t="s">
        <v>152</v>
      </c>
      <c r="G5170" s="11">
        <v>3193</v>
      </c>
      <c r="H5170" s="11">
        <v>805</v>
      </c>
      <c r="I5170" s="11">
        <v>0</v>
      </c>
      <c r="J5170" s="11">
        <v>0</v>
      </c>
      <c r="K5170" s="11" t="s">
        <v>21</v>
      </c>
      <c r="L5170" s="7">
        <v>40554.647766203707</v>
      </c>
      <c r="M5170" s="12" t="s">
        <v>11960</v>
      </c>
      <c r="N5170" s="12" t="s">
        <v>11961</v>
      </c>
      <c r="O5170" s="10" t="str">
        <f>HYPERLINK("https://pbs.twimg.com/profile_images/697059054741536770/bzz3mR4g_normal.png","View")</f>
        <v>View</v>
      </c>
      <c r="P5170" s="11"/>
    </row>
    <row r="5171" spans="1:16" ht="12.75" x14ac:dyDescent="0.35">
      <c r="A5171" s="7">
        <v>42483.166909722218</v>
      </c>
      <c r="B5171" s="8" t="str">
        <f>HYPERLINK("https://twitter.com/AgusMarielOk","@AgusMarielOk")</f>
        <v>@AgusMarielOk</v>
      </c>
      <c r="C5171" s="9" t="s">
        <v>9592</v>
      </c>
      <c r="D5171" s="9" t="s">
        <v>11951</v>
      </c>
      <c r="E5171" s="10" t="str">
        <f>HYPERLINK("https://twitter.com/AgusMarielOk/status/723640111662006272","723640111662006272")</f>
        <v>723640111662006272</v>
      </c>
      <c r="F5171" s="11" t="s">
        <v>48</v>
      </c>
      <c r="G5171" s="11">
        <v>1017</v>
      </c>
      <c r="H5171" s="11">
        <v>2278</v>
      </c>
      <c r="I5171" s="11">
        <v>5</v>
      </c>
      <c r="J5171" s="11">
        <v>0</v>
      </c>
      <c r="K5171" s="11" t="s">
        <v>21</v>
      </c>
      <c r="L5171" s="7">
        <v>41715.006678240738</v>
      </c>
      <c r="M5171" s="12" t="s">
        <v>11962</v>
      </c>
      <c r="N5171" s="12" t="s">
        <v>11963</v>
      </c>
      <c r="O5171" s="10" t="str">
        <f>HYPERLINK("https://pbs.twimg.com/profile_images/723355436389306371/VmFtgXEL_normal.jpg","View")</f>
        <v>View</v>
      </c>
      <c r="P5171" s="11"/>
    </row>
    <row r="5172" spans="1:16" ht="12.75" x14ac:dyDescent="0.35">
      <c r="A5172" s="7">
        <v>42483.167372685188</v>
      </c>
      <c r="B5172" s="8" t="str">
        <f>HYPERLINK("https://twitter.com/PaulMIllerVW","@PaulMIllerVW")</f>
        <v>@PaulMIllerVW</v>
      </c>
      <c r="C5172" s="9" t="s">
        <v>9327</v>
      </c>
      <c r="D5172" s="9" t="s">
        <v>11964</v>
      </c>
      <c r="E5172" s="10" t="str">
        <f>HYPERLINK("https://twitter.com/PaulMIllerVW/status/723640276653211649","723640276653211649")</f>
        <v>723640276653211649</v>
      </c>
      <c r="F5172" s="11" t="s">
        <v>140</v>
      </c>
      <c r="G5172" s="11">
        <v>1553</v>
      </c>
      <c r="H5172" s="11">
        <v>2995</v>
      </c>
      <c r="I5172" s="11">
        <v>0</v>
      </c>
      <c r="J5172" s="11">
        <v>0</v>
      </c>
      <c r="K5172" s="11" t="s">
        <v>21</v>
      </c>
      <c r="L5172" s="7">
        <v>41395.856944444444</v>
      </c>
      <c r="M5172" s="12" t="s">
        <v>9329</v>
      </c>
      <c r="N5172" s="12" t="s">
        <v>9330</v>
      </c>
      <c r="O5172" s="10" t="str">
        <f>HYPERLINK("https://pbs.twimg.com/profile_images/606538524934807552/brKPBufq_normal.jpg","View")</f>
        <v>View</v>
      </c>
      <c r="P5172" s="11"/>
    </row>
    <row r="5173" spans="1:16" ht="12.75" x14ac:dyDescent="0.35">
      <c r="A5173" s="7">
        <v>42483.167430555557</v>
      </c>
      <c r="B5173" s="8" t="str">
        <f>HYPERLINK("https://twitter.com/britezmalee","@britezmalee")</f>
        <v>@britezmalee</v>
      </c>
      <c r="C5173" s="9" t="s">
        <v>11965</v>
      </c>
      <c r="D5173" s="9" t="s">
        <v>11951</v>
      </c>
      <c r="E5173" s="10" t="str">
        <f>HYPERLINK("https://twitter.com/britezmalee/status/723640297352249344","723640297352249344")</f>
        <v>723640297352249344</v>
      </c>
      <c r="F5173" s="11" t="s">
        <v>48</v>
      </c>
      <c r="G5173" s="11">
        <v>800</v>
      </c>
      <c r="H5173" s="11">
        <v>709</v>
      </c>
      <c r="I5173" s="11">
        <v>14</v>
      </c>
      <c r="J5173" s="11">
        <v>0</v>
      </c>
      <c r="K5173" s="11" t="s">
        <v>21</v>
      </c>
      <c r="L5173" s="7">
        <v>41864.744618055556</v>
      </c>
      <c r="M5173" s="12" t="s">
        <v>11966</v>
      </c>
      <c r="N5173" s="12" t="s">
        <v>11967</v>
      </c>
      <c r="O5173" s="10" t="str">
        <f>HYPERLINK("https://pbs.twimg.com/profile_images/718490030596075520/0EQESv16_normal.jpg","View")</f>
        <v>View</v>
      </c>
      <c r="P5173" s="11"/>
    </row>
    <row r="5174" spans="1:16" ht="12.75" x14ac:dyDescent="0.35">
      <c r="A5174" s="7">
        <v>42483.168043981481</v>
      </c>
      <c r="B5174" s="8" t="str">
        <f>HYPERLINK("https://twitter.com/IvanGoon","@IvanGoon")</f>
        <v>@IvanGoon</v>
      </c>
      <c r="C5174" s="9" t="s">
        <v>11968</v>
      </c>
      <c r="D5174" s="9" t="s">
        <v>11951</v>
      </c>
      <c r="E5174" s="10" t="str">
        <f>HYPERLINK("https://twitter.com/IvanGoon/status/723640520531161088","723640520531161088")</f>
        <v>723640520531161088</v>
      </c>
      <c r="F5174" s="11" t="s">
        <v>367</v>
      </c>
      <c r="G5174" s="11">
        <v>502</v>
      </c>
      <c r="H5174" s="11">
        <v>443</v>
      </c>
      <c r="I5174" s="11">
        <v>14</v>
      </c>
      <c r="J5174" s="11">
        <v>0</v>
      </c>
      <c r="K5174" s="11" t="s">
        <v>21</v>
      </c>
      <c r="L5174" s="7">
        <v>41482.443784722222</v>
      </c>
      <c r="M5174" s="12" t="s">
        <v>11969</v>
      </c>
      <c r="N5174" s="12" t="s">
        <v>11970</v>
      </c>
      <c r="O5174" s="10" t="str">
        <f>HYPERLINK("https://pbs.twimg.com/profile_images/713569707492843521/tnA8VGeA_normal.jpg","View")</f>
        <v>View</v>
      </c>
      <c r="P5174" s="11"/>
    </row>
    <row r="5175" spans="1:16" ht="12.75" x14ac:dyDescent="0.35">
      <c r="A5175" s="7">
        <v>42483.16810185185</v>
      </c>
      <c r="B5175" s="8" t="str">
        <f>HYPERLINK("https://twitter.com/VWBeetleSales","@VWBeetleSales")</f>
        <v>@VWBeetleSales</v>
      </c>
      <c r="C5175" s="9" t="s">
        <v>127</v>
      </c>
      <c r="D5175" s="9" t="s">
        <v>11971</v>
      </c>
      <c r="E5175" s="10" t="str">
        <f>HYPERLINK("https://twitter.com/VWBeetleSales/status/723640543457103872","723640543457103872")</f>
        <v>723640543457103872</v>
      </c>
      <c r="F5175" s="10" t="s">
        <v>124</v>
      </c>
      <c r="G5175" s="11">
        <v>36</v>
      </c>
      <c r="H5175" s="11">
        <v>32</v>
      </c>
      <c r="I5175" s="11">
        <v>0</v>
      </c>
      <c r="J5175" s="11">
        <v>0</v>
      </c>
      <c r="K5175" s="11" t="s">
        <v>21</v>
      </c>
      <c r="L5175" s="7">
        <v>42427.019756944443</v>
      </c>
      <c r="M5175" s="12" t="s">
        <v>129</v>
      </c>
      <c r="N5175" s="12" t="s">
        <v>130</v>
      </c>
      <c r="O5175" s="10" t="str">
        <f>HYPERLINK("https://pbs.twimg.com/profile_images/703294545195307008/qeCvrX86_normal.jpg","View")</f>
        <v>View</v>
      </c>
      <c r="P5175" s="11"/>
    </row>
    <row r="5176" spans="1:16" ht="12.75" x14ac:dyDescent="0.35">
      <c r="A5176" s="7">
        <v>42483.168391203704</v>
      </c>
      <c r="B5176" s="8" t="str">
        <f>HYPERLINK("https://twitter.com/doin384","@doin384")</f>
        <v>@doin384</v>
      </c>
      <c r="C5176" s="9" t="s">
        <v>10182</v>
      </c>
      <c r="D5176" s="9" t="s">
        <v>11951</v>
      </c>
      <c r="E5176" s="10" t="str">
        <f>HYPERLINK("https://twitter.com/doin384/status/723640647559819264","723640647559819264")</f>
        <v>723640647559819264</v>
      </c>
      <c r="F5176" s="11" t="s">
        <v>48</v>
      </c>
      <c r="G5176" s="11">
        <v>756</v>
      </c>
      <c r="H5176" s="11">
        <v>573</v>
      </c>
      <c r="I5176" s="11">
        <v>14</v>
      </c>
      <c r="J5176" s="11">
        <v>0</v>
      </c>
      <c r="K5176" s="11" t="s">
        <v>21</v>
      </c>
      <c r="L5176" s="7">
        <v>42111.237708333334</v>
      </c>
      <c r="M5176" s="12" t="s">
        <v>10183</v>
      </c>
      <c r="N5176" s="12" t="s">
        <v>10184</v>
      </c>
      <c r="O5176" s="10" t="str">
        <f>HYPERLINK("https://pbs.twimg.com/profile_images/722248646604013569/kvvRmbIE_normal.jpg","View")</f>
        <v>View</v>
      </c>
      <c r="P5176" s="11"/>
    </row>
    <row r="5177" spans="1:16" ht="12.75" x14ac:dyDescent="0.35">
      <c r="A5177" s="7">
        <v>42483.169259259259</v>
      </c>
      <c r="B5177" s="8" t="str">
        <f>HYPERLINK("https://twitter.com/FrancoBerlin1","@FrancoBerlin1")</f>
        <v>@FrancoBerlin1</v>
      </c>
      <c r="C5177" s="9" t="s">
        <v>11972</v>
      </c>
      <c r="D5177" s="9" t="s">
        <v>11951</v>
      </c>
      <c r="E5177" s="10" t="str">
        <f>HYPERLINK("https://twitter.com/FrancoBerlin1/status/723640962770178048","723640962770178048")</f>
        <v>723640962770178048</v>
      </c>
      <c r="F5177" s="11" t="s">
        <v>20</v>
      </c>
      <c r="G5177" s="11">
        <v>526</v>
      </c>
      <c r="H5177" s="11">
        <v>446</v>
      </c>
      <c r="I5177" s="11">
        <v>14</v>
      </c>
      <c r="J5177" s="11">
        <v>0</v>
      </c>
      <c r="K5177" s="11" t="s">
        <v>21</v>
      </c>
      <c r="L5177" s="7">
        <v>41580.234791666662</v>
      </c>
      <c r="M5177" s="12" t="s">
        <v>11973</v>
      </c>
      <c r="N5177" s="12" t="s">
        <v>11974</v>
      </c>
      <c r="O5177" s="10" t="str">
        <f>HYPERLINK("https://pbs.twimg.com/profile_images/712345439333384192/wv176eiK_normal.jpg","View")</f>
        <v>View</v>
      </c>
      <c r="P5177" s="11"/>
    </row>
    <row r="5178" spans="1:16" ht="12.75" x14ac:dyDescent="0.35">
      <c r="A5178" s="7">
        <v>42483.169606481482</v>
      </c>
      <c r="B5178" s="8" t="str">
        <f>HYPERLINK("https://twitter.com/G_Vazquez4","@G_Vazquez4")</f>
        <v>@G_Vazquez4</v>
      </c>
      <c r="C5178" s="9" t="s">
        <v>11975</v>
      </c>
      <c r="D5178" s="9" t="s">
        <v>11951</v>
      </c>
      <c r="E5178" s="10" t="str">
        <f>HYPERLINK("https://twitter.com/G_Vazquez4/status/723641088985194496","723641088985194496")</f>
        <v>723641088985194496</v>
      </c>
      <c r="F5178" s="11" t="s">
        <v>48</v>
      </c>
      <c r="G5178" s="11">
        <v>261</v>
      </c>
      <c r="H5178" s="11">
        <v>209</v>
      </c>
      <c r="I5178" s="11">
        <v>14</v>
      </c>
      <c r="J5178" s="11">
        <v>0</v>
      </c>
      <c r="K5178" s="11" t="s">
        <v>21</v>
      </c>
      <c r="L5178" s="7">
        <v>40354.320555555554</v>
      </c>
      <c r="M5178" s="12" t="s">
        <v>11976</v>
      </c>
      <c r="N5178" s="12" t="s">
        <v>11977</v>
      </c>
      <c r="O5178" s="10" t="str">
        <f>HYPERLINK("https://pbs.twimg.com/profile_images/689662359007318018/TUFAFXvA_normal.jpg","View")</f>
        <v>View</v>
      </c>
      <c r="P5178" s="11"/>
    </row>
    <row r="5179" spans="1:16" ht="12.75" x14ac:dyDescent="0.35">
      <c r="A5179" s="7">
        <v>42483.170162037037</v>
      </c>
      <c r="B5179" s="8" t="str">
        <f>HYPERLINK("https://twitter.com/PinticaOfficiel","@PinticaOfficiel")</f>
        <v>@PinticaOfficiel</v>
      </c>
      <c r="C5179" s="9" t="s">
        <v>11978</v>
      </c>
      <c r="D5179" s="9" t="s">
        <v>11951</v>
      </c>
      <c r="E5179" s="10" t="str">
        <f>HYPERLINK("https://twitter.com/PinticaOfficiel/status/723641288575320064","723641288575320064")</f>
        <v>723641288575320064</v>
      </c>
      <c r="F5179" s="11" t="s">
        <v>11979</v>
      </c>
      <c r="G5179" s="11">
        <v>940</v>
      </c>
      <c r="H5179" s="11">
        <v>1294</v>
      </c>
      <c r="I5179" s="11">
        <v>14</v>
      </c>
      <c r="J5179" s="11">
        <v>0</v>
      </c>
      <c r="K5179" s="11" t="s">
        <v>21</v>
      </c>
      <c r="L5179" s="7">
        <v>42273.965486111112</v>
      </c>
      <c r="M5179" s="12" t="s">
        <v>2263</v>
      </c>
      <c r="N5179" s="12" t="s">
        <v>11980</v>
      </c>
      <c r="O5179" s="10" t="str">
        <f>HYPERLINK("https://pbs.twimg.com/profile_images/650616939325325312/UqCRtRr__normal.png","View")</f>
        <v>View</v>
      </c>
      <c r="P5179" s="11"/>
    </row>
    <row r="5180" spans="1:16" ht="12.75" x14ac:dyDescent="0.35">
      <c r="A5180" s="7">
        <v>42483.170393518521</v>
      </c>
      <c r="B5180" s="8" t="str">
        <f>HYPERLINK("https://twitter.com/davidmilner73","@davidmilner73")</f>
        <v>@davidmilner73</v>
      </c>
      <c r="C5180" s="9" t="s">
        <v>1102</v>
      </c>
      <c r="D5180" s="9" t="s">
        <v>11981</v>
      </c>
      <c r="E5180" s="10" t="str">
        <f>HYPERLINK("https://twitter.com/davidmilner73/status/723641371769319424","723641371769319424")</f>
        <v>723641371769319424</v>
      </c>
      <c r="F5180" s="11" t="s">
        <v>20</v>
      </c>
      <c r="G5180" s="11">
        <v>172</v>
      </c>
      <c r="H5180" s="11">
        <v>185</v>
      </c>
      <c r="I5180" s="11">
        <v>1</v>
      </c>
      <c r="J5180" s="11">
        <v>0</v>
      </c>
      <c r="K5180" s="11" t="s">
        <v>21</v>
      </c>
      <c r="L5180" s="7">
        <v>41790.221898148149</v>
      </c>
      <c r="M5180" s="12"/>
      <c r="N5180" s="12" t="s">
        <v>11982</v>
      </c>
      <c r="O5180" s="10" t="str">
        <f>HYPERLINK("https://pbs.twimg.com/profile_images/472526808785887234/G8ib9GJj_normal.jpeg","View")</f>
        <v>View</v>
      </c>
      <c r="P5180" s="11"/>
    </row>
    <row r="5181" spans="1:16" ht="12.75" x14ac:dyDescent="0.35">
      <c r="A5181" s="7">
        <v>42483.171226851853</v>
      </c>
      <c r="B5181" s="8" t="str">
        <f>HYPERLINK("https://twitter.com/fermorales_24","@fermorales_24")</f>
        <v>@fermorales_24</v>
      </c>
      <c r="C5181" s="9" t="s">
        <v>11983</v>
      </c>
      <c r="D5181" s="9" t="s">
        <v>11951</v>
      </c>
      <c r="E5181" s="10" t="str">
        <f>HYPERLINK("https://twitter.com/fermorales_24/status/723641674921029633","723641674921029633")</f>
        <v>723641674921029633</v>
      </c>
      <c r="F5181" s="11" t="s">
        <v>48</v>
      </c>
      <c r="G5181" s="11">
        <v>203</v>
      </c>
      <c r="H5181" s="11">
        <v>259</v>
      </c>
      <c r="I5181" s="11">
        <v>14</v>
      </c>
      <c r="J5181" s="11">
        <v>0</v>
      </c>
      <c r="K5181" s="11" t="s">
        <v>21</v>
      </c>
      <c r="L5181" s="7">
        <v>40839.050393518519</v>
      </c>
      <c r="M5181" s="12" t="s">
        <v>6334</v>
      </c>
      <c r="N5181" s="12" t="s">
        <v>11984</v>
      </c>
      <c r="O5181" s="10" t="str">
        <f>HYPERLINK("https://pbs.twimg.com/profile_images/717549799772463104/RpCTRcl7_normal.jpg","View")</f>
        <v>View</v>
      </c>
      <c r="P5181" s="11"/>
    </row>
    <row r="5182" spans="1:16" ht="12.75" x14ac:dyDescent="0.35">
      <c r="A5182" s="7">
        <v>42483.172175925924</v>
      </c>
      <c r="B5182" s="8" t="str">
        <f>HYPERLINK("https://twitter.com/Lucchisius","@Lucchisius")</f>
        <v>@Lucchisius</v>
      </c>
      <c r="C5182" s="9" t="s">
        <v>11985</v>
      </c>
      <c r="D5182" s="9" t="s">
        <v>11986</v>
      </c>
      <c r="E5182" s="10" t="str">
        <f>HYPERLINK("https://twitter.com/Lucchisius/status/723642017146802176","723642017146802176")</f>
        <v>723642017146802176</v>
      </c>
      <c r="F5182" s="11" t="s">
        <v>43</v>
      </c>
      <c r="G5182" s="11">
        <v>131</v>
      </c>
      <c r="H5182" s="11">
        <v>300</v>
      </c>
      <c r="I5182" s="11">
        <v>1</v>
      </c>
      <c r="J5182" s="11">
        <v>0</v>
      </c>
      <c r="K5182" s="11" t="s">
        <v>21</v>
      </c>
      <c r="L5182" s="7">
        <v>40945.868622685186</v>
      </c>
      <c r="M5182" s="12"/>
      <c r="N5182" s="12" t="s">
        <v>11987</v>
      </c>
      <c r="O5182" s="10" t="str">
        <f>HYPERLINK("https://pbs.twimg.com/profile_images/620720275085258752/RHLkT3gP_normal.jpg","View")</f>
        <v>View</v>
      </c>
      <c r="P5182" s="11"/>
    </row>
    <row r="5183" spans="1:16" ht="12.75" x14ac:dyDescent="0.35">
      <c r="A5183" s="7">
        <v>42483.173136574071</v>
      </c>
      <c r="B5183" s="8" t="str">
        <f>HYPERLINK("https://twitter.com/tony_scotto","@tony_scotto")</f>
        <v>@tony_scotto</v>
      </c>
      <c r="C5183" s="9" t="s">
        <v>11988</v>
      </c>
      <c r="D5183" s="9" t="s">
        <v>11944</v>
      </c>
      <c r="E5183" s="10" t="str">
        <f>HYPERLINK("https://twitter.com/tony_scotto/status/723642367656468480","723642367656468480")</f>
        <v>723642367656468480</v>
      </c>
      <c r="F5183" s="11" t="s">
        <v>20</v>
      </c>
      <c r="G5183" s="11">
        <v>350</v>
      </c>
      <c r="H5183" s="11">
        <v>1409</v>
      </c>
      <c r="I5183" s="11">
        <v>3</v>
      </c>
      <c r="J5183" s="11">
        <v>0</v>
      </c>
      <c r="K5183" s="11" t="s">
        <v>21</v>
      </c>
      <c r="L5183" s="7">
        <v>40558.355393518519</v>
      </c>
      <c r="M5183" s="12" t="s">
        <v>11989</v>
      </c>
      <c r="N5183" s="12" t="s">
        <v>11990</v>
      </c>
      <c r="O5183" s="10" t="str">
        <f>HYPERLINK("https://pbs.twimg.com/profile_images/378800000763889532/dc2ce25cdf57456bb8a0c5c858d8e33d_normal.jpeg","View")</f>
        <v>View</v>
      </c>
      <c r="P5183" s="11"/>
    </row>
    <row r="5184" spans="1:16" ht="12.75" x14ac:dyDescent="0.35">
      <c r="A5184" s="7">
        <v>42483.173784722225</v>
      </c>
      <c r="B5184" s="8" t="str">
        <f>HYPERLINK("https://twitter.com/Tomiimz","@Tomiimz")</f>
        <v>@Tomiimz</v>
      </c>
      <c r="C5184" s="9" t="s">
        <v>11991</v>
      </c>
      <c r="D5184" s="9" t="s">
        <v>11951</v>
      </c>
      <c r="E5184" s="10" t="str">
        <f>HYPERLINK("https://twitter.com/Tomiimz/status/723642603359600644","723642603359600644")</f>
        <v>723642603359600644</v>
      </c>
      <c r="F5184" s="11" t="s">
        <v>48</v>
      </c>
      <c r="G5184" s="11">
        <v>249</v>
      </c>
      <c r="H5184" s="11">
        <v>156</v>
      </c>
      <c r="I5184" s="11">
        <v>14</v>
      </c>
      <c r="J5184" s="11">
        <v>0</v>
      </c>
      <c r="K5184" s="11" t="s">
        <v>21</v>
      </c>
      <c r="L5184" s="7">
        <v>40876.27989583333</v>
      </c>
      <c r="M5184" s="12"/>
      <c r="N5184" s="12" t="s">
        <v>11992</v>
      </c>
      <c r="O5184" s="10" t="str">
        <f>HYPERLINK("https://pbs.twimg.com/profile_images/687489461798760448/S-GbVRV6_normal.jpg","View")</f>
        <v>View</v>
      </c>
      <c r="P5184" s="11"/>
    </row>
    <row r="5185" spans="1:16" ht="12.75" x14ac:dyDescent="0.35">
      <c r="A5185" s="7">
        <v>42483.173854166671</v>
      </c>
      <c r="B5185" s="8" t="str">
        <f>HYPERLINK("https://twitter.com/crislomb","@crislomb")</f>
        <v>@crislomb</v>
      </c>
      <c r="C5185" s="9" t="s">
        <v>11993</v>
      </c>
      <c r="D5185" s="9" t="s">
        <v>11994</v>
      </c>
      <c r="E5185" s="10" t="str">
        <f>HYPERLINK("https://twitter.com/crislomb/status/723642625702658049","723642625702658049")</f>
        <v>723642625702658049</v>
      </c>
      <c r="F5185" s="11" t="s">
        <v>91</v>
      </c>
      <c r="G5185" s="11">
        <v>3123</v>
      </c>
      <c r="H5185" s="11">
        <v>3413</v>
      </c>
      <c r="I5185" s="11">
        <v>1</v>
      </c>
      <c r="J5185" s="11">
        <v>0</v>
      </c>
      <c r="K5185" s="11" t="s">
        <v>21</v>
      </c>
      <c r="L5185" s="7">
        <v>40644.200266203705</v>
      </c>
      <c r="M5185" s="12" t="s">
        <v>11995</v>
      </c>
      <c r="N5185" s="12" t="s">
        <v>11996</v>
      </c>
      <c r="O5185" s="10" t="str">
        <f>HYPERLINK("https://pbs.twimg.com/profile_images/661670085459886081/ntDsP93E_normal.jpg","View")</f>
        <v>View</v>
      </c>
      <c r="P5185" s="11"/>
    </row>
    <row r="5186" spans="1:16" ht="12.75" x14ac:dyDescent="0.35">
      <c r="A5186" s="7">
        <v>42483.17491898148</v>
      </c>
      <c r="B5186" s="8" t="str">
        <f>HYPERLINK("https://twitter.com/maatyleonel","@maatyleonel")</f>
        <v>@maatyleonel</v>
      </c>
      <c r="C5186" s="9" t="s">
        <v>11997</v>
      </c>
      <c r="D5186" s="9" t="s">
        <v>11951</v>
      </c>
      <c r="E5186" s="10" t="str">
        <f>HYPERLINK("https://twitter.com/maatyleonel/status/723643011003981829","723643011003981829")</f>
        <v>723643011003981829</v>
      </c>
      <c r="F5186" s="11" t="s">
        <v>48</v>
      </c>
      <c r="G5186" s="11">
        <v>772</v>
      </c>
      <c r="H5186" s="11">
        <v>589</v>
      </c>
      <c r="I5186" s="11">
        <v>14</v>
      </c>
      <c r="J5186" s="11">
        <v>0</v>
      </c>
      <c r="K5186" s="11" t="s">
        <v>21</v>
      </c>
      <c r="L5186" s="7">
        <v>40935.465787037036</v>
      </c>
      <c r="M5186" s="12" t="s">
        <v>4440</v>
      </c>
      <c r="N5186" s="12" t="s">
        <v>11998</v>
      </c>
      <c r="O5186" s="10" t="str">
        <f>HYPERLINK("https://pbs.twimg.com/profile_images/639370047413207040/EBpQjmXr_normal.jpg","View")</f>
        <v>View</v>
      </c>
      <c r="P5186" s="11"/>
    </row>
    <row r="5187" spans="1:16" ht="12.75" x14ac:dyDescent="0.35">
      <c r="A5187" s="7">
        <v>42483.175046296295</v>
      </c>
      <c r="B5187" s="8" t="str">
        <f>HYPERLINK("https://twitter.com/guidopeternell","@guidopeternell")</f>
        <v>@guidopeternell</v>
      </c>
      <c r="C5187" s="9" t="s">
        <v>11999</v>
      </c>
      <c r="D5187" s="9" t="s">
        <v>12000</v>
      </c>
      <c r="E5187" s="10" t="str">
        <f>HYPERLINK("https://twitter.com/guidopeternell/status/723643057237811201","723643057237811201")</f>
        <v>723643057237811201</v>
      </c>
      <c r="F5187" s="11" t="s">
        <v>53</v>
      </c>
      <c r="G5187" s="11">
        <v>1152</v>
      </c>
      <c r="H5187" s="11">
        <v>1473</v>
      </c>
      <c r="I5187" s="11">
        <v>0</v>
      </c>
      <c r="J5187" s="11">
        <v>0</v>
      </c>
      <c r="K5187" s="11" t="s">
        <v>21</v>
      </c>
      <c r="L5187" s="7">
        <v>40235.9058912037</v>
      </c>
      <c r="M5187" s="12" t="s">
        <v>12001</v>
      </c>
      <c r="N5187" s="12" t="s">
        <v>12002</v>
      </c>
      <c r="O5187" s="10" t="str">
        <f>HYPERLINK("https://pbs.twimg.com/profile_images/1281621005/Guido_Peternell_normal.jpg","View")</f>
        <v>View</v>
      </c>
      <c r="P5187" s="11"/>
    </row>
    <row r="5188" spans="1:16" ht="12.75" x14ac:dyDescent="0.35">
      <c r="A5188" s="7">
        <v>42483.177222222221</v>
      </c>
      <c r="B5188" s="8" t="str">
        <f>HYPERLINK("https://twitter.com/fantigos","@fantigos")</f>
        <v>@fantigos</v>
      </c>
      <c r="C5188" s="9" t="s">
        <v>12003</v>
      </c>
      <c r="D5188" s="9" t="s">
        <v>12004</v>
      </c>
      <c r="E5188" s="10" t="str">
        <f>HYPERLINK("https://twitter.com/fantigos/status/723643848103190528","723643848103190528")</f>
        <v>723643848103190528</v>
      </c>
      <c r="F5188" s="11" t="s">
        <v>114</v>
      </c>
      <c r="G5188" s="11">
        <v>120</v>
      </c>
      <c r="H5188" s="11">
        <v>583</v>
      </c>
      <c r="I5188" s="11">
        <v>0</v>
      </c>
      <c r="J5188" s="11">
        <v>0</v>
      </c>
      <c r="K5188" s="11" t="s">
        <v>21</v>
      </c>
      <c r="L5188" s="7">
        <v>42249.456296296295</v>
      </c>
      <c r="M5188" s="12" t="s">
        <v>9164</v>
      </c>
      <c r="N5188" s="12" t="s">
        <v>12005</v>
      </c>
      <c r="O5188" s="10" t="str">
        <f>HYPERLINK("https://pbs.twimg.com/profile_images/638947231144509440/iP1-exrN_normal.jpg","View")</f>
        <v>View</v>
      </c>
      <c r="P5188" s="11"/>
    </row>
    <row r="5189" spans="1:16" ht="12.75" x14ac:dyDescent="0.35">
      <c r="A5189" s="7">
        <v>42483.178148148145</v>
      </c>
      <c r="B5189" s="8" t="str">
        <f>HYPERLINK("https://twitter.com/VolkswagenPost","@VolkswagenPost")</f>
        <v>@VolkswagenPost</v>
      </c>
      <c r="C5189" s="9" t="s">
        <v>321</v>
      </c>
      <c r="D5189" s="9" t="s">
        <v>12006</v>
      </c>
      <c r="E5189" s="10" t="str">
        <f>HYPERLINK("https://twitter.com/VolkswagenPost/status/723644183907459072","723644183907459072")</f>
        <v>723644183907459072</v>
      </c>
      <c r="F5189" s="11" t="s">
        <v>34</v>
      </c>
      <c r="G5189" s="11">
        <v>569</v>
      </c>
      <c r="H5189" s="11">
        <v>446</v>
      </c>
      <c r="I5189" s="11">
        <v>0</v>
      </c>
      <c r="J5189" s="11">
        <v>0</v>
      </c>
      <c r="K5189" s="11" t="s">
        <v>21</v>
      </c>
      <c r="L5189" s="7">
        <v>41940.618379629632</v>
      </c>
      <c r="M5189" s="12"/>
      <c r="N5189" s="12"/>
      <c r="O5189" s="10" t="str">
        <f>HYPERLINK("https://pbs.twimg.com/profile_images/530071272881803264/a_jcCmPZ_normal.png","View")</f>
        <v>View</v>
      </c>
      <c r="P5189" s="11"/>
    </row>
    <row r="5190" spans="1:16" ht="12.75" x14ac:dyDescent="0.35">
      <c r="A5190" s="7">
        <v>42483.178831018522</v>
      </c>
      <c r="B5190" s="8" t="str">
        <f>HYPERLINK("https://twitter.com/bmwblog","@bmwblog")</f>
        <v>@bmwblog</v>
      </c>
      <c r="C5190" s="9" t="s">
        <v>12007</v>
      </c>
      <c r="D5190" s="9" t="s">
        <v>12008</v>
      </c>
      <c r="E5190" s="10" t="str">
        <f>HYPERLINK("https://twitter.com/bmwblog/status/723644430079692800","723644430079692800")</f>
        <v>723644430079692800</v>
      </c>
      <c r="F5190" s="11" t="s">
        <v>12009</v>
      </c>
      <c r="G5190" s="11">
        <v>48067</v>
      </c>
      <c r="H5190" s="11">
        <v>749</v>
      </c>
      <c r="I5190" s="11">
        <v>0</v>
      </c>
      <c r="J5190" s="11">
        <v>0</v>
      </c>
      <c r="K5190" s="11" t="s">
        <v>21</v>
      </c>
      <c r="L5190" s="7">
        <v>39544.254548611112</v>
      </c>
      <c r="M5190" s="12" t="s">
        <v>3437</v>
      </c>
      <c r="N5190" s="12" t="s">
        <v>12010</v>
      </c>
      <c r="O5190" s="10" t="str">
        <f>HYPERLINK("https://pbs.twimg.com/profile_images/461517086573871104/3db6VsXA_normal.png","View")</f>
        <v>View</v>
      </c>
      <c r="P5190" s="11"/>
    </row>
    <row r="5191" spans="1:16" ht="12.75" x14ac:dyDescent="0.35">
      <c r="A5191" s="7">
        <v>42483.178865740745</v>
      </c>
      <c r="B5191" s="8" t="str">
        <f>HYPERLINK("https://twitter.com/Lucchisius","@Lucchisius")</f>
        <v>@Lucchisius</v>
      </c>
      <c r="C5191" s="9" t="s">
        <v>11985</v>
      </c>
      <c r="D5191" s="9" t="s">
        <v>12011</v>
      </c>
      <c r="E5191" s="10" t="str">
        <f>HYPERLINK("https://twitter.com/Lucchisius/status/723644441295204352","723644441295204352")</f>
        <v>723644441295204352</v>
      </c>
      <c r="F5191" s="11" t="s">
        <v>43</v>
      </c>
      <c r="G5191" s="11">
        <v>131</v>
      </c>
      <c r="H5191" s="11">
        <v>300</v>
      </c>
      <c r="I5191" s="11">
        <v>0</v>
      </c>
      <c r="J5191" s="11">
        <v>0</v>
      </c>
      <c r="K5191" s="11" t="s">
        <v>21</v>
      </c>
      <c r="L5191" s="7">
        <v>40945.868622685186</v>
      </c>
      <c r="M5191" s="12"/>
      <c r="N5191" s="12" t="s">
        <v>11987</v>
      </c>
      <c r="O5191" s="10" t="str">
        <f>HYPERLINK("https://pbs.twimg.com/profile_images/620720275085258752/RHLkT3gP_normal.jpg","View")</f>
        <v>View</v>
      </c>
      <c r="P5191" s="11"/>
    </row>
    <row r="5192" spans="1:16" ht="12.75" x14ac:dyDescent="0.35">
      <c r="A5192" s="7">
        <v>42483.178923611107</v>
      </c>
      <c r="B5192" s="8" t="str">
        <f>HYPERLINK("https://twitter.com/Orne_Dalfonso","@Orne_Dalfonso")</f>
        <v>@Orne_Dalfonso</v>
      </c>
      <c r="C5192" s="9" t="s">
        <v>6215</v>
      </c>
      <c r="D5192" s="9" t="s">
        <v>10808</v>
      </c>
      <c r="E5192" s="10" t="str">
        <f>HYPERLINK("https://twitter.com/Orne_Dalfonso/status/723644461822128129","723644461822128129")</f>
        <v>723644461822128129</v>
      </c>
      <c r="F5192" s="11" t="s">
        <v>43</v>
      </c>
      <c r="G5192" s="11">
        <v>382</v>
      </c>
      <c r="H5192" s="11">
        <v>96</v>
      </c>
      <c r="I5192" s="11">
        <v>52</v>
      </c>
      <c r="J5192" s="11">
        <v>0</v>
      </c>
      <c r="K5192" s="11" t="s">
        <v>21</v>
      </c>
      <c r="L5192" s="7">
        <v>42207.547893518524</v>
      </c>
      <c r="M5192" s="12"/>
      <c r="N5192" s="12" t="s">
        <v>6216</v>
      </c>
      <c r="O5192" s="10" t="str">
        <f>HYPERLINK("https://pbs.twimg.com/profile_images/716053257962041344/auGRVQke_normal.jpg","View")</f>
        <v>View</v>
      </c>
      <c r="P5192" s="11"/>
    </row>
    <row r="5193" spans="1:16" ht="12.75" x14ac:dyDescent="0.35">
      <c r="A5193" s="7">
        <v>42483.180636574078</v>
      </c>
      <c r="B5193" s="8" t="str">
        <f>HYPERLINK("https://twitter.com/TadeAvalos","@TadeAvalos")</f>
        <v>@TadeAvalos</v>
      </c>
      <c r="C5193" s="9" t="s">
        <v>12012</v>
      </c>
      <c r="D5193" s="9" t="s">
        <v>11951</v>
      </c>
      <c r="E5193" s="10" t="str">
        <f>HYPERLINK("https://twitter.com/TadeAvalos/status/723645084206522369","723645084206522369")</f>
        <v>723645084206522369</v>
      </c>
      <c r="F5193" s="11" t="s">
        <v>48</v>
      </c>
      <c r="G5193" s="11">
        <v>616</v>
      </c>
      <c r="H5193" s="11">
        <v>445</v>
      </c>
      <c r="I5193" s="11">
        <v>15</v>
      </c>
      <c r="J5193" s="11">
        <v>0</v>
      </c>
      <c r="K5193" s="11" t="s">
        <v>21</v>
      </c>
      <c r="L5193" s="7">
        <v>40912.852256944447</v>
      </c>
      <c r="M5193" s="12" t="s">
        <v>12013</v>
      </c>
      <c r="N5193" s="12" t="s">
        <v>12014</v>
      </c>
      <c r="O5193" s="10" t="str">
        <f>HYPERLINK("https://pbs.twimg.com/profile_images/715004193040371712/YZClh8ao_normal.jpg","View")</f>
        <v>View</v>
      </c>
      <c r="P5193" s="11"/>
    </row>
    <row r="5194" spans="1:16" ht="12.75" x14ac:dyDescent="0.35">
      <c r="A5194" s="7">
        <v>42483.181018518517</v>
      </c>
      <c r="B5194" s="8" t="str">
        <f>HYPERLINK("https://twitter.com/dealersouq","@dealersouq")</f>
        <v>@dealersouq</v>
      </c>
      <c r="C5194" s="9" t="s">
        <v>12015</v>
      </c>
      <c r="D5194" s="9" t="s">
        <v>12016</v>
      </c>
      <c r="E5194" s="10" t="str">
        <f>HYPERLINK("https://twitter.com/dealersouq/status/723645223319015426","723645223319015426")</f>
        <v>723645223319015426</v>
      </c>
      <c r="F5194" s="11" t="s">
        <v>91</v>
      </c>
      <c r="G5194" s="11">
        <v>61</v>
      </c>
      <c r="H5194" s="11">
        <v>217</v>
      </c>
      <c r="I5194" s="11">
        <v>4</v>
      </c>
      <c r="J5194" s="11">
        <v>0</v>
      </c>
      <c r="K5194" s="11" t="s">
        <v>21</v>
      </c>
      <c r="L5194" s="7">
        <v>42339.798576388886</v>
      </c>
      <c r="M5194" s="12"/>
      <c r="N5194" s="12" t="s">
        <v>12017</v>
      </c>
      <c r="O5194" s="10" t="str">
        <f>HYPERLINK("https://pbs.twimg.com/profile_images/671685785058344961/azudlysS_normal.jpg","View")</f>
        <v>View</v>
      </c>
      <c r="P5194" s="11"/>
    </row>
    <row r="5195" spans="1:16" ht="12.75" x14ac:dyDescent="0.35">
      <c r="A5195" s="7">
        <v>42483.181539351848</v>
      </c>
      <c r="B5195" s="8" t="str">
        <f>HYPERLINK("https://twitter.com/EricArnoldPhoto","@EricArnoldPhoto")</f>
        <v>@EricArnoldPhoto</v>
      </c>
      <c r="C5195" s="9" t="s">
        <v>12018</v>
      </c>
      <c r="D5195" s="9" t="s">
        <v>12019</v>
      </c>
      <c r="E5195" s="10" t="str">
        <f>HYPERLINK("https://twitter.com/EricArnoldPhoto/status/723645409768267776","723645409768267776")</f>
        <v>723645409768267776</v>
      </c>
      <c r="F5195" s="11" t="s">
        <v>48</v>
      </c>
      <c r="G5195" s="11">
        <v>81</v>
      </c>
      <c r="H5195" s="11">
        <v>77</v>
      </c>
      <c r="I5195" s="11">
        <v>0</v>
      </c>
      <c r="J5195" s="11">
        <v>0</v>
      </c>
      <c r="K5195" s="11" t="s">
        <v>21</v>
      </c>
      <c r="L5195" s="7">
        <v>41346.864629629628</v>
      </c>
      <c r="M5195" s="12" t="s">
        <v>96</v>
      </c>
      <c r="N5195" s="12" t="s">
        <v>12020</v>
      </c>
      <c r="O5195" s="10" t="str">
        <f>HYPERLINK("https://pbs.twimg.com/profile_images/651616124824477697/MPmni4uW_normal.jpg","View")</f>
        <v>View</v>
      </c>
      <c r="P5195" s="11"/>
    </row>
    <row r="5196" spans="1:16" ht="12.75" x14ac:dyDescent="0.35">
      <c r="A5196" s="7">
        <v>42483.182349537034</v>
      </c>
      <c r="B5196" s="8" t="str">
        <f>HYPERLINK("https://twitter.com/acdcabba","@acdcabba")</f>
        <v>@acdcabba</v>
      </c>
      <c r="C5196" s="9" t="s">
        <v>12021</v>
      </c>
      <c r="D5196" s="9" t="s">
        <v>12022</v>
      </c>
      <c r="E5196" s="10" t="str">
        <f>HYPERLINK("https://twitter.com/acdcabba/status/723645706163068928","723645706163068928")</f>
        <v>723645706163068928</v>
      </c>
      <c r="F5196" s="11" t="s">
        <v>48</v>
      </c>
      <c r="G5196" s="11">
        <v>710</v>
      </c>
      <c r="H5196" s="11">
        <v>1895</v>
      </c>
      <c r="I5196" s="11">
        <v>59</v>
      </c>
      <c r="J5196" s="11">
        <v>0</v>
      </c>
      <c r="K5196" s="11" t="s">
        <v>21</v>
      </c>
      <c r="L5196" s="7">
        <v>41853.994224537033</v>
      </c>
      <c r="M5196" s="12"/>
      <c r="N5196" s="12"/>
      <c r="O5196" s="10" t="str">
        <f>HYPERLINK("https://pbs.twimg.com/profile_images/523219475374821377/s4tVMnBe_normal.jpeg","View")</f>
        <v>View</v>
      </c>
      <c r="P5196" s="11"/>
    </row>
    <row r="5197" spans="1:16" ht="12.75" x14ac:dyDescent="0.35">
      <c r="A5197" s="7">
        <v>42483.18240740741</v>
      </c>
      <c r="B5197" s="8" t="str">
        <f>HYPERLINK("https://twitter.com/MepadiL","@MepadiL")</f>
        <v>@MepadiL</v>
      </c>
      <c r="C5197" s="9" t="s">
        <v>12023</v>
      </c>
      <c r="D5197" s="9" t="s">
        <v>12024</v>
      </c>
      <c r="E5197" s="10" t="str">
        <f>HYPERLINK("https://twitter.com/MepadiL/status/723645724261408769","723645724261408769")</f>
        <v>723645724261408769</v>
      </c>
      <c r="F5197" s="11" t="s">
        <v>43</v>
      </c>
      <c r="G5197" s="11">
        <v>1488</v>
      </c>
      <c r="H5197" s="11">
        <v>4066</v>
      </c>
      <c r="I5197" s="11">
        <v>0</v>
      </c>
      <c r="J5197" s="11">
        <v>0</v>
      </c>
      <c r="K5197" s="11" t="s">
        <v>21</v>
      </c>
      <c r="L5197" s="7">
        <v>42075.974849537037</v>
      </c>
      <c r="M5197" s="12" t="s">
        <v>12025</v>
      </c>
      <c r="N5197" s="12" t="s">
        <v>12026</v>
      </c>
      <c r="O5197" s="10" t="str">
        <f>HYPERLINK("https://pbs.twimg.com/profile_images/720894601167380480/dZDpPybl_normal.jpg","View")</f>
        <v>View</v>
      </c>
      <c r="P5197" s="11"/>
    </row>
    <row r="5198" spans="1:16" ht="12.75" x14ac:dyDescent="0.35">
      <c r="A5198" s="7">
        <v>42483.183796296296</v>
      </c>
      <c r="B5198" s="8" t="str">
        <f>HYPERLINK("https://twitter.com/emerald_Max","@emerald_Max")</f>
        <v>@emerald_Max</v>
      </c>
      <c r="C5198" s="9" t="s">
        <v>12027</v>
      </c>
      <c r="D5198" s="9" t="s">
        <v>12028</v>
      </c>
      <c r="E5198" s="10" t="str">
        <f>HYPERLINK("https://twitter.com/emerald_Max/status/723646228941156352","723646228941156352")</f>
        <v>723646228941156352</v>
      </c>
      <c r="F5198" s="11" t="s">
        <v>12029</v>
      </c>
      <c r="G5198" s="11">
        <v>237</v>
      </c>
      <c r="H5198" s="11">
        <v>146</v>
      </c>
      <c r="I5198" s="11">
        <v>0</v>
      </c>
      <c r="J5198" s="11">
        <v>0</v>
      </c>
      <c r="K5198" s="11" t="s">
        <v>21</v>
      </c>
      <c r="L5198" s="7">
        <v>41512.884282407409</v>
      </c>
      <c r="M5198" s="12"/>
      <c r="N5198" s="12" t="s">
        <v>12030</v>
      </c>
      <c r="O5198" s="10" t="str">
        <f>HYPERLINK("https://pbs.twimg.com/profile_images/378800000364599447/1caf5caa3d9877fe5f66db3db3b28e24_normal.jpeg","View")</f>
        <v>View</v>
      </c>
      <c r="P5198" s="11"/>
    </row>
    <row r="5199" spans="1:16" ht="12.75" x14ac:dyDescent="0.35">
      <c r="A5199" s="7">
        <v>42483.183900462958</v>
      </c>
      <c r="B5199" s="8" t="str">
        <f>HYPERLINK("https://twitter.com/acdcabba","@acdcabba")</f>
        <v>@acdcabba</v>
      </c>
      <c r="C5199" s="9" t="s">
        <v>12021</v>
      </c>
      <c r="D5199" s="9" t="s">
        <v>12031</v>
      </c>
      <c r="E5199" s="10" t="str">
        <f>HYPERLINK("https://twitter.com/acdcabba/status/723646268258529281","723646268258529281")</f>
        <v>723646268258529281</v>
      </c>
      <c r="F5199" s="11" t="s">
        <v>48</v>
      </c>
      <c r="G5199" s="11">
        <v>710</v>
      </c>
      <c r="H5199" s="11">
        <v>1895</v>
      </c>
      <c r="I5199" s="11">
        <v>50</v>
      </c>
      <c r="J5199" s="11">
        <v>0</v>
      </c>
      <c r="K5199" s="11" t="s">
        <v>21</v>
      </c>
      <c r="L5199" s="7">
        <v>41853.994224537033</v>
      </c>
      <c r="M5199" s="12"/>
      <c r="N5199" s="12"/>
      <c r="O5199" s="10" t="str">
        <f>HYPERLINK("https://pbs.twimg.com/profile_images/523219475374821377/s4tVMnBe_normal.jpeg","View")</f>
        <v>View</v>
      </c>
      <c r="P5199" s="11"/>
    </row>
    <row r="5200" spans="1:16" ht="12.75" x14ac:dyDescent="0.35">
      <c r="A5200" s="7">
        <v>42483.184120370366</v>
      </c>
      <c r="B5200" s="8" t="str">
        <f>HYPERLINK("https://twitter.com/LaloZaldivarD","@LaloZaldivarD")</f>
        <v>@LaloZaldivarD</v>
      </c>
      <c r="C5200" s="9" t="s">
        <v>12032</v>
      </c>
      <c r="D5200" s="9" t="s">
        <v>12033</v>
      </c>
      <c r="E5200" s="10" t="str">
        <f>HYPERLINK("https://twitter.com/LaloZaldivarD/status/723646345240666112","723646345240666112")</f>
        <v>723646345240666112</v>
      </c>
      <c r="F5200" s="11" t="s">
        <v>48</v>
      </c>
      <c r="G5200" s="11">
        <v>104</v>
      </c>
      <c r="H5200" s="11">
        <v>250</v>
      </c>
      <c r="I5200" s="11">
        <v>0</v>
      </c>
      <c r="J5200" s="11">
        <v>0</v>
      </c>
      <c r="K5200" s="11" t="s">
        <v>21</v>
      </c>
      <c r="L5200" s="7">
        <v>41255.722662037035</v>
      </c>
      <c r="M5200" s="12"/>
      <c r="N5200" s="12"/>
      <c r="O5200" s="10" t="str">
        <f>HYPERLINK("https://pbs.twimg.com/profile_images/721922098914930688/9X4b7rh2_normal.jpg","View")</f>
        <v>View</v>
      </c>
      <c r="P5200" s="11"/>
    </row>
    <row r="5201" spans="1:16" ht="12.75" x14ac:dyDescent="0.35">
      <c r="A5201" s="7">
        <v>42483.184166666666</v>
      </c>
      <c r="B5201" s="8" t="str">
        <f>HYPERLINK("https://twitter.com/DubLuvTuning","@DubLuvTuning")</f>
        <v>@DubLuvTuning</v>
      </c>
      <c r="C5201" s="9" t="s">
        <v>299</v>
      </c>
      <c r="D5201" s="9" t="s">
        <v>12034</v>
      </c>
      <c r="E5201" s="10" t="str">
        <f>HYPERLINK("https://twitter.com/DubLuvTuning/status/723646362240294912","723646362240294912")</f>
        <v>723646362240294912</v>
      </c>
      <c r="F5201" s="11" t="s">
        <v>288</v>
      </c>
      <c r="G5201" s="11">
        <v>690</v>
      </c>
      <c r="H5201" s="11">
        <v>431</v>
      </c>
      <c r="I5201" s="11">
        <v>1</v>
      </c>
      <c r="J5201" s="11">
        <v>0</v>
      </c>
      <c r="K5201" s="11" t="s">
        <v>21</v>
      </c>
      <c r="L5201" s="7">
        <v>41549.898287037038</v>
      </c>
      <c r="M5201" s="12" t="s">
        <v>301</v>
      </c>
      <c r="N5201" s="12" t="s">
        <v>302</v>
      </c>
      <c r="O5201" s="10" t="str">
        <f>HYPERLINK("https://pbs.twimg.com/profile_images/378800000572104796/1de43e1cf23efb3f4101c02afad0d3b6_normal.png","View")</f>
        <v>View</v>
      </c>
      <c r="P5201" s="11"/>
    </row>
    <row r="5202" spans="1:16" ht="12.75" x14ac:dyDescent="0.35">
      <c r="A5202" s="7">
        <v>42483.185208333336</v>
      </c>
      <c r="B5202" s="8" t="str">
        <f>HYPERLINK("https://twitter.com/andreasw2000","@andreasw2000")</f>
        <v>@andreasw2000</v>
      </c>
      <c r="C5202" s="9" t="s">
        <v>12035</v>
      </c>
      <c r="D5202" s="9" t="s">
        <v>12036</v>
      </c>
      <c r="E5202" s="10" t="str">
        <f>HYPERLINK("https://twitter.com/andreasw2000/status/723646740755320832","723646740755320832")</f>
        <v>723646740755320832</v>
      </c>
      <c r="F5202" s="11" t="s">
        <v>48</v>
      </c>
      <c r="G5202" s="11">
        <v>257</v>
      </c>
      <c r="H5202" s="11">
        <v>275</v>
      </c>
      <c r="I5202" s="11">
        <v>0</v>
      </c>
      <c r="J5202" s="11">
        <v>0</v>
      </c>
      <c r="K5202" s="11" t="s">
        <v>21</v>
      </c>
      <c r="L5202" s="7">
        <v>39679.760671296295</v>
      </c>
      <c r="M5202" s="12" t="s">
        <v>1288</v>
      </c>
      <c r="N5202" s="12" t="s">
        <v>12037</v>
      </c>
      <c r="O5202" s="10" t="str">
        <f>HYPERLINK("https://pbs.twimg.com/profile_images/638350661038526464/K_N5HRKD_normal.jpg","View")</f>
        <v>View</v>
      </c>
      <c r="P5202" s="11"/>
    </row>
    <row r="5203" spans="1:16" ht="12.75" x14ac:dyDescent="0.35">
      <c r="A5203" s="7">
        <v>42483.18540509259</v>
      </c>
      <c r="B5203" s="8" t="str">
        <f>HYPERLINK("https://twitter.com/CharlieSEvans","@CharlieSEvans")</f>
        <v>@CharlieSEvans</v>
      </c>
      <c r="C5203" s="9" t="s">
        <v>12038</v>
      </c>
      <c r="D5203" s="9" t="s">
        <v>12039</v>
      </c>
      <c r="E5203" s="10" t="str">
        <f>HYPERLINK("https://twitter.com/CharlieSEvans/status/723646810561105920","723646810561105920")</f>
        <v>723646810561105920</v>
      </c>
      <c r="F5203" s="11" t="s">
        <v>114</v>
      </c>
      <c r="G5203" s="11">
        <v>104</v>
      </c>
      <c r="H5203" s="11">
        <v>129</v>
      </c>
      <c r="I5203" s="11">
        <v>0</v>
      </c>
      <c r="J5203" s="11">
        <v>0</v>
      </c>
      <c r="K5203" s="11" t="s">
        <v>21</v>
      </c>
      <c r="L5203" s="7">
        <v>41438.30568287037</v>
      </c>
      <c r="M5203" s="12" t="s">
        <v>35</v>
      </c>
      <c r="N5203" s="12" t="s">
        <v>12040</v>
      </c>
      <c r="O5203" s="10" t="str">
        <f>HYPERLINK("https://pbs.twimg.com/profile_images/692064043767562244/ub53wwZt_normal.jpg","View")</f>
        <v>View</v>
      </c>
      <c r="P5203" s="11"/>
    </row>
    <row r="5204" spans="1:16" ht="12.75" x14ac:dyDescent="0.35">
      <c r="A5204" s="7">
        <v>42483.186076388884</v>
      </c>
      <c r="B5204" s="8" t="str">
        <f>HYPERLINK("https://twitter.com/_kuball_","@_kuball_")</f>
        <v>@_kuball_</v>
      </c>
      <c r="C5204" s="9" t="s">
        <v>12041</v>
      </c>
      <c r="D5204" s="9" t="s">
        <v>11994</v>
      </c>
      <c r="E5204" s="10" t="str">
        <f>HYPERLINK("https://twitter.com/_kuball_/status/723647057005797377","723647057005797377")</f>
        <v>723647057005797377</v>
      </c>
      <c r="F5204" s="11" t="s">
        <v>367</v>
      </c>
      <c r="G5204" s="11">
        <v>1565</v>
      </c>
      <c r="H5204" s="11">
        <v>2252</v>
      </c>
      <c r="I5204" s="11">
        <v>2</v>
      </c>
      <c r="J5204" s="11">
        <v>0</v>
      </c>
      <c r="K5204" s="11" t="s">
        <v>21</v>
      </c>
      <c r="L5204" s="7">
        <v>40491.691469907411</v>
      </c>
      <c r="M5204" s="12"/>
      <c r="N5204" s="12" t="s">
        <v>12042</v>
      </c>
      <c r="O5204" s="10" t="str">
        <f>HYPERLINK("https://pbs.twimg.com/profile_images/466212943038656513/ILfqZEXV_normal.jpeg","View")</f>
        <v>View</v>
      </c>
      <c r="P5204" s="11"/>
    </row>
    <row r="5205" spans="1:16" ht="12.75" x14ac:dyDescent="0.35">
      <c r="A5205" s="7">
        <v>42483.186388888891</v>
      </c>
      <c r="B5205" s="8" t="str">
        <f>HYPERLINK("https://twitter.com/riversidevw","@riversidevw")</f>
        <v>@riversidevw</v>
      </c>
      <c r="C5205" s="9" t="s">
        <v>4405</v>
      </c>
      <c r="D5205" s="9" t="s">
        <v>12043</v>
      </c>
      <c r="E5205" s="10" t="str">
        <f>HYPERLINK("https://twitter.com/riversidevw/status/723647169228603397","723647169228603397")</f>
        <v>723647169228603397</v>
      </c>
      <c r="F5205" s="11" t="s">
        <v>53</v>
      </c>
      <c r="G5205" s="11">
        <v>249</v>
      </c>
      <c r="H5205" s="11">
        <v>244</v>
      </c>
      <c r="I5205" s="11">
        <v>0</v>
      </c>
      <c r="J5205" s="11">
        <v>0</v>
      </c>
      <c r="K5205" s="11" t="s">
        <v>21</v>
      </c>
      <c r="L5205" s="7">
        <v>40190.994085648148</v>
      </c>
      <c r="M5205" s="12" t="s">
        <v>4407</v>
      </c>
      <c r="N5205" s="12" t="s">
        <v>4408</v>
      </c>
      <c r="O5205" s="10" t="str">
        <f>HYPERLINK("https://pbs.twimg.com/profile_images/672153171607744512/19k3O2VA_normal.png","View")</f>
        <v>View</v>
      </c>
      <c r="P5205" s="11"/>
    </row>
    <row r="5206" spans="1:16" ht="12.75" x14ac:dyDescent="0.35">
      <c r="A5206" s="7">
        <v>42483.186597222222</v>
      </c>
      <c r="B5206" s="8" t="str">
        <f>HYPERLINK("https://twitter.com/ViniciusWilli15","@ViniciusWilli15")</f>
        <v>@ViniciusWilli15</v>
      </c>
      <c r="C5206" s="9" t="s">
        <v>12044</v>
      </c>
      <c r="D5206" s="9" t="s">
        <v>12045</v>
      </c>
      <c r="E5206" s="10" t="str">
        <f>HYPERLINK("https://twitter.com/ViniciusWilli15/status/723647245774557184","723647245774557184")</f>
        <v>723647245774557184</v>
      </c>
      <c r="F5206" s="11" t="s">
        <v>53</v>
      </c>
      <c r="G5206" s="11">
        <v>140</v>
      </c>
      <c r="H5206" s="11">
        <v>520</v>
      </c>
      <c r="I5206" s="11">
        <v>0</v>
      </c>
      <c r="J5206" s="11">
        <v>0</v>
      </c>
      <c r="K5206" s="11" t="s">
        <v>21</v>
      </c>
      <c r="L5206" s="7">
        <v>41061.309513888889</v>
      </c>
      <c r="M5206" s="12"/>
      <c r="N5206" s="12"/>
      <c r="O5206" s="10" t="str">
        <f>HYPERLINK("https://pbs.twimg.com/profile_images/690529057927249920/ei1xRfhk_normal.jpg","View")</f>
        <v>View</v>
      </c>
      <c r="P5206" s="11"/>
    </row>
    <row r="5207" spans="1:16" ht="12.75" x14ac:dyDescent="0.35">
      <c r="A5207" s="7">
        <v>42483.187754629631</v>
      </c>
      <c r="B5207" s="8" t="str">
        <f>HYPERLINK("https://twitter.com/BizAurora","@BizAurora")</f>
        <v>@BizAurora</v>
      </c>
      <c r="C5207" s="9" t="s">
        <v>12046</v>
      </c>
      <c r="D5207" s="9" t="s">
        <v>12047</v>
      </c>
      <c r="E5207" s="10" t="str">
        <f>HYPERLINK("https://twitter.com/BizAurora/status/723647662097072131","723647662097072131")</f>
        <v>723647662097072131</v>
      </c>
      <c r="F5207" s="11" t="s">
        <v>152</v>
      </c>
      <c r="G5207" s="11">
        <v>77</v>
      </c>
      <c r="H5207" s="11">
        <v>20</v>
      </c>
      <c r="I5207" s="11">
        <v>0</v>
      </c>
      <c r="J5207" s="11">
        <v>0</v>
      </c>
      <c r="K5207" s="11" t="s">
        <v>21</v>
      </c>
      <c r="L5207" s="7">
        <v>42247.882199074069</v>
      </c>
      <c r="M5207" s="12" t="s">
        <v>8532</v>
      </c>
      <c r="N5207" s="12" t="s">
        <v>12048</v>
      </c>
      <c r="O5207" s="10" t="str">
        <f>HYPERLINK("https://pbs.twimg.com/profile_images/654697538449092608/WF5ocTlD_normal.png","View")</f>
        <v>View</v>
      </c>
      <c r="P5207" s="11"/>
    </row>
    <row r="5208" spans="1:16" ht="12.75" x14ac:dyDescent="0.35">
      <c r="A5208" s="7">
        <v>42483.187847222223</v>
      </c>
      <c r="B5208" s="8" t="str">
        <f>HYPERLINK("https://twitter.com/kngeuro","@kngeuro")</f>
        <v>@kngeuro</v>
      </c>
      <c r="C5208" s="9" t="s">
        <v>833</v>
      </c>
      <c r="D5208" s="9" t="s">
        <v>12049</v>
      </c>
      <c r="E5208" s="10" t="str">
        <f>HYPERLINK("https://twitter.com/kngeuro/status/723647696175652864","723647696175652864")</f>
        <v>723647696175652864</v>
      </c>
      <c r="F5208" s="11" t="s">
        <v>53</v>
      </c>
      <c r="G5208" s="11">
        <v>760</v>
      </c>
      <c r="H5208" s="11">
        <v>451</v>
      </c>
      <c r="I5208" s="11">
        <v>0</v>
      </c>
      <c r="J5208" s="11">
        <v>0</v>
      </c>
      <c r="K5208" s="11" t="s">
        <v>21</v>
      </c>
      <c r="L5208" s="7">
        <v>40319.120925925927</v>
      </c>
      <c r="M5208" s="12" t="s">
        <v>835</v>
      </c>
      <c r="N5208" s="12" t="s">
        <v>836</v>
      </c>
      <c r="O5208" s="10" t="str">
        <f>HYPERLINK("https://pbs.twimg.com/profile_images/570375988065935360/ooT_Nq7x_normal.jpeg","View")</f>
        <v>View</v>
      </c>
      <c r="P5208" s="11"/>
    </row>
    <row r="5209" spans="1:16" ht="12.75" x14ac:dyDescent="0.35">
      <c r="A5209" s="7">
        <v>42483.18818287037</v>
      </c>
      <c r="B5209" s="8" t="str">
        <f>HYPERLINK("https://twitter.com/BaliBarber","@BaliBarber")</f>
        <v>@BaliBarber</v>
      </c>
      <c r="C5209" s="9" t="s">
        <v>12050</v>
      </c>
      <c r="D5209" s="9" t="s">
        <v>12051</v>
      </c>
      <c r="E5209" s="10" t="str">
        <f>HYPERLINK("https://twitter.com/BaliBarber/status/723647821006647296","723647821006647296")</f>
        <v>723647821006647296</v>
      </c>
      <c r="F5209" s="11" t="s">
        <v>114</v>
      </c>
      <c r="G5209" s="11">
        <v>53</v>
      </c>
      <c r="H5209" s="11">
        <v>79</v>
      </c>
      <c r="I5209" s="11">
        <v>0</v>
      </c>
      <c r="J5209" s="11">
        <v>0</v>
      </c>
      <c r="K5209" s="11" t="s">
        <v>21</v>
      </c>
      <c r="L5209" s="7">
        <v>42085.626712962963</v>
      </c>
      <c r="M5209" s="12"/>
      <c r="N5209" s="12"/>
      <c r="O5209" s="10" t="str">
        <f>HYPERLINK("https://pbs.twimg.com/profile_images/579577377413431296/g3sV31AL_normal.jpg","View")</f>
        <v>View</v>
      </c>
      <c r="P5209" s="11"/>
    </row>
    <row r="5210" spans="1:16" ht="12.75" x14ac:dyDescent="0.35">
      <c r="A5210" s="7">
        <v>42483.188379629632</v>
      </c>
      <c r="B5210" s="8" t="str">
        <f>HYPERLINK("https://twitter.com/_LeonAntelo","@_LeonAntelo")</f>
        <v>@_LeonAntelo</v>
      </c>
      <c r="C5210" s="9" t="s">
        <v>12052</v>
      </c>
      <c r="D5210" s="9" t="s">
        <v>12053</v>
      </c>
      <c r="E5210" s="10" t="str">
        <f>HYPERLINK("https://twitter.com/_LeonAntelo/status/723647891131215873","723647891131215873")</f>
        <v>723647891131215873</v>
      </c>
      <c r="F5210" s="11" t="s">
        <v>114</v>
      </c>
      <c r="G5210" s="11">
        <v>128</v>
      </c>
      <c r="H5210" s="11">
        <v>242</v>
      </c>
      <c r="I5210" s="11">
        <v>0</v>
      </c>
      <c r="J5210" s="11">
        <v>0</v>
      </c>
      <c r="K5210" s="11" t="s">
        <v>21</v>
      </c>
      <c r="L5210" s="7">
        <v>40693.19394675926</v>
      </c>
      <c r="M5210" s="12" t="s">
        <v>4440</v>
      </c>
      <c r="N5210" s="12" t="s">
        <v>12054</v>
      </c>
      <c r="O5210" s="10" t="str">
        <f>HYPERLINK("https://pbs.twimg.com/profile_images/722407003751104512/S-lrrhK__normal.jpg","View")</f>
        <v>View</v>
      </c>
      <c r="P5210" s="10" t="str">
        <f>HYPERLINK("http://ctrlq.org/maps/address/#-34.58672,-58.43482","Map")</f>
        <v>Map</v>
      </c>
    </row>
    <row r="5211" spans="1:16" ht="12.75" x14ac:dyDescent="0.35">
      <c r="A5211" s="7">
        <v>42483.188576388886</v>
      </c>
      <c r="B5211" s="8" t="str">
        <f>HYPERLINK("https://twitter.com/C_Pohlmann","@C_Pohlmann")</f>
        <v>@C_Pohlmann</v>
      </c>
      <c r="C5211" s="9" t="s">
        <v>12055</v>
      </c>
      <c r="D5211" s="9" t="s">
        <v>12056</v>
      </c>
      <c r="E5211" s="10" t="str">
        <f>HYPERLINK("https://twitter.com/C_Pohlmann/status/723647962354737152","723647962354737152")</f>
        <v>723647962354737152</v>
      </c>
      <c r="F5211" s="11" t="s">
        <v>48</v>
      </c>
      <c r="G5211" s="11">
        <v>298</v>
      </c>
      <c r="H5211" s="11">
        <v>167</v>
      </c>
      <c r="I5211" s="11">
        <v>0</v>
      </c>
      <c r="J5211" s="11">
        <v>0</v>
      </c>
      <c r="K5211" s="11" t="s">
        <v>21</v>
      </c>
      <c r="L5211" s="7">
        <v>41694.328587962962</v>
      </c>
      <c r="M5211" s="12" t="s">
        <v>12057</v>
      </c>
      <c r="N5211" s="12" t="s">
        <v>12058</v>
      </c>
      <c r="O5211" s="10" t="str">
        <f>HYPERLINK("https://pbs.twimg.com/profile_images/668919224744738820/O3s5k-n9_normal.jpg","View")</f>
        <v>View</v>
      </c>
      <c r="P5211" s="11"/>
    </row>
    <row r="5212" spans="1:16" ht="12.75" x14ac:dyDescent="0.35">
      <c r="A5212" s="7">
        <v>42483.189340277779</v>
      </c>
      <c r="B5212" s="8" t="str">
        <f>HYPERLINK("https://twitter.com/OnlyFerrariPics","@OnlyFerrariPics")</f>
        <v>@OnlyFerrariPics</v>
      </c>
      <c r="C5212" s="9" t="s">
        <v>1365</v>
      </c>
      <c r="D5212" s="9" t="s">
        <v>12059</v>
      </c>
      <c r="E5212" s="10" t="str">
        <f>HYPERLINK("https://twitter.com/OnlyFerrariPics/status/723648239392698369","723648239392698369")</f>
        <v>723648239392698369</v>
      </c>
      <c r="F5212" s="11" t="s">
        <v>68</v>
      </c>
      <c r="G5212" s="11">
        <v>2623</v>
      </c>
      <c r="H5212" s="11">
        <v>6</v>
      </c>
      <c r="I5212" s="11">
        <v>0</v>
      </c>
      <c r="J5212" s="11">
        <v>0</v>
      </c>
      <c r="K5212" s="11" t="s">
        <v>21</v>
      </c>
      <c r="L5212" s="7">
        <v>41976.478668981479</v>
      </c>
      <c r="M5212" s="12"/>
      <c r="N5212" s="12" t="s">
        <v>1367</v>
      </c>
      <c r="O5212" s="10" t="str">
        <f>HYPERLINK("https://pbs.twimg.com/profile_images/540037751416971264/FUsmNZrb_normal.jpeg","View")</f>
        <v>View</v>
      </c>
      <c r="P5212" s="11"/>
    </row>
    <row r="5213" spans="1:16" ht="12.75" x14ac:dyDescent="0.35">
      <c r="A5213" s="7">
        <v>42483.18959490741</v>
      </c>
      <c r="B5213" s="8" t="str">
        <f>HYPERLINK("https://twitter.com/beetlebug1938","@beetlebug1938")</f>
        <v>@beetlebug1938</v>
      </c>
      <c r="C5213" s="9" t="s">
        <v>66</v>
      </c>
      <c r="D5213" s="9" t="s">
        <v>12060</v>
      </c>
      <c r="E5213" s="10" t="str">
        <f>HYPERLINK("https://twitter.com/beetlebug1938/status/723648332795617284","723648332795617284")</f>
        <v>723648332795617284</v>
      </c>
      <c r="F5213" s="11" t="s">
        <v>68</v>
      </c>
      <c r="G5213" s="11">
        <v>360</v>
      </c>
      <c r="H5213" s="11">
        <v>2222</v>
      </c>
      <c r="I5213" s="11">
        <v>0</v>
      </c>
      <c r="J5213" s="11">
        <v>2</v>
      </c>
      <c r="K5213" s="11" t="s">
        <v>21</v>
      </c>
      <c r="L5213" s="7">
        <v>42469.863865740743</v>
      </c>
      <c r="M5213" s="12" t="s">
        <v>69</v>
      </c>
      <c r="N5213" s="12"/>
      <c r="O5213" s="10" t="str">
        <f>HYPERLINK("https://pbs.twimg.com/profile_images/718820712757215233/LXXndPTS_normal.jpg","View")</f>
        <v>View</v>
      </c>
      <c r="P5213" s="11"/>
    </row>
    <row r="5214" spans="1:16" ht="12.75" x14ac:dyDescent="0.35">
      <c r="A5214" s="7">
        <v>42483.189606481479</v>
      </c>
      <c r="B5214" s="8" t="str">
        <f>HYPERLINK("https://twitter.com/santhi_vergara","@santhi_vergara")</f>
        <v>@santhi_vergara</v>
      </c>
      <c r="C5214" s="9" t="s">
        <v>12061</v>
      </c>
      <c r="D5214" s="9" t="s">
        <v>10808</v>
      </c>
      <c r="E5214" s="10" t="str">
        <f>HYPERLINK("https://twitter.com/santhi_vergara/status/723648336360689664","723648336360689664")</f>
        <v>723648336360689664</v>
      </c>
      <c r="F5214" s="11" t="s">
        <v>48</v>
      </c>
      <c r="G5214" s="11">
        <v>350</v>
      </c>
      <c r="H5214" s="11">
        <v>422</v>
      </c>
      <c r="I5214" s="11">
        <v>54</v>
      </c>
      <c r="J5214" s="11">
        <v>0</v>
      </c>
      <c r="K5214" s="11" t="s">
        <v>21</v>
      </c>
      <c r="L5214" s="7">
        <v>41948.294432870374</v>
      </c>
      <c r="M5214" s="12" t="s">
        <v>12062</v>
      </c>
      <c r="N5214" s="12" t="s">
        <v>12063</v>
      </c>
      <c r="O5214" s="10" t="str">
        <f>HYPERLINK("https://pbs.twimg.com/profile_images/679041403733848064/3170zpfU_normal.jpg","View")</f>
        <v>View</v>
      </c>
      <c r="P5214" s="11"/>
    </row>
    <row r="5215" spans="1:16" ht="12.75" x14ac:dyDescent="0.35">
      <c r="A5215" s="7">
        <v>42483.189629629633</v>
      </c>
      <c r="B5215" s="8" t="str">
        <f t="shared" ref="B5215:B5217" si="453">HYPERLINK("https://twitter.com/beetlebug1938","@beetlebug1938")</f>
        <v>@beetlebug1938</v>
      </c>
      <c r="C5215" s="9" t="s">
        <v>66</v>
      </c>
      <c r="D5215" s="9" t="s">
        <v>12064</v>
      </c>
      <c r="E5215" s="10" t="str">
        <f>HYPERLINK("https://twitter.com/beetlebug1938/status/723648344996872192","723648344996872192")</f>
        <v>723648344996872192</v>
      </c>
      <c r="F5215" s="11" t="s">
        <v>68</v>
      </c>
      <c r="G5215" s="11">
        <v>360</v>
      </c>
      <c r="H5215" s="11">
        <v>2222</v>
      </c>
      <c r="I5215" s="11">
        <v>0</v>
      </c>
      <c r="J5215" s="11">
        <v>0</v>
      </c>
      <c r="K5215" s="11" t="s">
        <v>21</v>
      </c>
      <c r="L5215" s="7">
        <v>42469.863865740743</v>
      </c>
      <c r="M5215" s="12" t="s">
        <v>69</v>
      </c>
      <c r="N5215" s="12"/>
      <c r="O5215" s="10" t="str">
        <f t="shared" ref="O5215:O5217" si="454">HYPERLINK("https://pbs.twimg.com/profile_images/718820712757215233/LXXndPTS_normal.jpg","View")</f>
        <v>View</v>
      </c>
      <c r="P5215" s="11"/>
    </row>
    <row r="5216" spans="1:16" ht="12.75" x14ac:dyDescent="0.35">
      <c r="A5216" s="7">
        <v>42483.189699074079</v>
      </c>
      <c r="B5216" s="8" t="str">
        <f t="shared" si="453"/>
        <v>@beetlebug1938</v>
      </c>
      <c r="C5216" s="9" t="s">
        <v>66</v>
      </c>
      <c r="D5216" s="9" t="s">
        <v>12065</v>
      </c>
      <c r="E5216" s="10" t="str">
        <f>HYPERLINK("https://twitter.com/beetlebug1938/status/723648368505937920","723648368505937920")</f>
        <v>723648368505937920</v>
      </c>
      <c r="F5216" s="11" t="s">
        <v>68</v>
      </c>
      <c r="G5216" s="11">
        <v>360</v>
      </c>
      <c r="H5216" s="11">
        <v>2222</v>
      </c>
      <c r="I5216" s="11">
        <v>0</v>
      </c>
      <c r="J5216" s="11">
        <v>0</v>
      </c>
      <c r="K5216" s="11" t="s">
        <v>21</v>
      </c>
      <c r="L5216" s="7">
        <v>42469.863865740743</v>
      </c>
      <c r="M5216" s="12" t="s">
        <v>69</v>
      </c>
      <c r="N5216" s="12"/>
      <c r="O5216" s="10" t="str">
        <f t="shared" si="454"/>
        <v>View</v>
      </c>
      <c r="P5216" s="11"/>
    </row>
    <row r="5217" spans="1:16" ht="12.75" x14ac:dyDescent="0.35">
      <c r="A5217" s="7">
        <v>42483.189745370371</v>
      </c>
      <c r="B5217" s="8" t="str">
        <f t="shared" si="453"/>
        <v>@beetlebug1938</v>
      </c>
      <c r="C5217" s="9" t="s">
        <v>66</v>
      </c>
      <c r="D5217" s="9" t="s">
        <v>12066</v>
      </c>
      <c r="E5217" s="10" t="str">
        <f>HYPERLINK("https://twitter.com/beetlebug1938/status/723648383869685760","723648383869685760")</f>
        <v>723648383869685760</v>
      </c>
      <c r="F5217" s="11" t="s">
        <v>68</v>
      </c>
      <c r="G5217" s="11">
        <v>360</v>
      </c>
      <c r="H5217" s="11">
        <v>2222</v>
      </c>
      <c r="I5217" s="11">
        <v>0</v>
      </c>
      <c r="J5217" s="11">
        <v>1</v>
      </c>
      <c r="K5217" s="11" t="s">
        <v>21</v>
      </c>
      <c r="L5217" s="7">
        <v>42469.863865740743</v>
      </c>
      <c r="M5217" s="12" t="s">
        <v>69</v>
      </c>
      <c r="N5217" s="12"/>
      <c r="O5217" s="10" t="str">
        <f t="shared" si="454"/>
        <v>View</v>
      </c>
      <c r="P5217" s="11"/>
    </row>
    <row r="5218" spans="1:16" ht="12.75" x14ac:dyDescent="0.35">
      <c r="A5218" s="7">
        <v>42483.189895833333</v>
      </c>
      <c r="B5218" s="8" t="str">
        <f>HYPERLINK("https://twitter.com/DubLuvTuning","@DubLuvTuning")</f>
        <v>@DubLuvTuning</v>
      </c>
      <c r="C5218" s="9" t="s">
        <v>299</v>
      </c>
      <c r="D5218" s="9" t="s">
        <v>12067</v>
      </c>
      <c r="E5218" s="10" t="str">
        <f>HYPERLINK("https://twitter.com/DubLuvTuning/status/723648439469400064","723648439469400064")</f>
        <v>723648439469400064</v>
      </c>
      <c r="F5218" s="11" t="s">
        <v>288</v>
      </c>
      <c r="G5218" s="11">
        <v>690</v>
      </c>
      <c r="H5218" s="11">
        <v>431</v>
      </c>
      <c r="I5218" s="11">
        <v>2</v>
      </c>
      <c r="J5218" s="11">
        <v>0</v>
      </c>
      <c r="K5218" s="11" t="s">
        <v>21</v>
      </c>
      <c r="L5218" s="7">
        <v>41549.898287037038</v>
      </c>
      <c r="M5218" s="12" t="s">
        <v>301</v>
      </c>
      <c r="N5218" s="12" t="s">
        <v>302</v>
      </c>
      <c r="O5218" s="10" t="str">
        <f>HYPERLINK("https://pbs.twimg.com/profile_images/378800000572104796/1de43e1cf23efb3f4101c02afad0d3b6_normal.png","View")</f>
        <v>View</v>
      </c>
      <c r="P5218" s="11"/>
    </row>
    <row r="5219" spans="1:16" ht="12.75" x14ac:dyDescent="0.35">
      <c r="A5219" s="7">
        <v>42483.190613425926</v>
      </c>
      <c r="B5219" s="8" t="str">
        <f>HYPERLINK("https://twitter.com/sofiaAAAJ","@sofiaAAAJ")</f>
        <v>@sofiaAAAJ</v>
      </c>
      <c r="C5219" s="9" t="s">
        <v>12068</v>
      </c>
      <c r="D5219" s="9" t="s">
        <v>11951</v>
      </c>
      <c r="E5219" s="10" t="str">
        <f>HYPERLINK("https://twitter.com/sofiaAAAJ/status/723648700363493376","723648700363493376")</f>
        <v>723648700363493376</v>
      </c>
      <c r="F5219" s="11" t="s">
        <v>48</v>
      </c>
      <c r="G5219" s="11">
        <v>1355</v>
      </c>
      <c r="H5219" s="11">
        <v>1366</v>
      </c>
      <c r="I5219" s="11">
        <v>17</v>
      </c>
      <c r="J5219" s="11">
        <v>0</v>
      </c>
      <c r="K5219" s="11" t="s">
        <v>21</v>
      </c>
      <c r="L5219" s="7">
        <v>41513.972997685181</v>
      </c>
      <c r="M5219" s="12" t="s">
        <v>12069</v>
      </c>
      <c r="N5219" s="12" t="s">
        <v>12070</v>
      </c>
      <c r="O5219" s="10" t="str">
        <f>HYPERLINK("https://pbs.twimg.com/profile_images/712127065634508803/umdoB6fs_normal.jpg","View")</f>
        <v>View</v>
      </c>
      <c r="P5219" s="11"/>
    </row>
    <row r="5220" spans="1:16" ht="12.75" x14ac:dyDescent="0.35">
      <c r="A5220" s="7">
        <v>42483.190694444449</v>
      </c>
      <c r="B5220" s="8" t="str">
        <f>HYPERLINK("https://twitter.com/VolkswagenPost","@VolkswagenPost")</f>
        <v>@VolkswagenPost</v>
      </c>
      <c r="C5220" s="9" t="s">
        <v>321</v>
      </c>
      <c r="D5220" s="9" t="s">
        <v>12067</v>
      </c>
      <c r="E5220" s="10" t="str">
        <f>HYPERLINK("https://twitter.com/VolkswagenPost/status/723648730533081088","723648730533081088")</f>
        <v>723648730533081088</v>
      </c>
      <c r="F5220" s="11" t="s">
        <v>288</v>
      </c>
      <c r="G5220" s="11">
        <v>569</v>
      </c>
      <c r="H5220" s="11">
        <v>446</v>
      </c>
      <c r="I5220" s="11">
        <v>2</v>
      </c>
      <c r="J5220" s="11">
        <v>0</v>
      </c>
      <c r="K5220" s="11" t="s">
        <v>21</v>
      </c>
      <c r="L5220" s="7">
        <v>41940.618379629632</v>
      </c>
      <c r="M5220" s="12"/>
      <c r="N5220" s="12"/>
      <c r="O5220" s="10" t="str">
        <f>HYPERLINK("https://pbs.twimg.com/profile_images/530071272881803264/a_jcCmPZ_normal.png","View")</f>
        <v>View</v>
      </c>
      <c r="P5220" s="11"/>
    </row>
    <row r="5221" spans="1:16" ht="12.75" x14ac:dyDescent="0.35">
      <c r="A5221" s="7">
        <v>42483.192129629635</v>
      </c>
      <c r="B5221" s="8" t="str">
        <f>HYPERLINK("https://twitter.com/mickk1954","@mickk1954")</f>
        <v>@mickk1954</v>
      </c>
      <c r="C5221" s="9" t="s">
        <v>12071</v>
      </c>
      <c r="D5221" s="9" t="s">
        <v>12072</v>
      </c>
      <c r="E5221" s="10" t="str">
        <f>HYPERLINK("https://twitter.com/mickk1954/status/723649247502061568","723649247502061568")</f>
        <v>723649247502061568</v>
      </c>
      <c r="F5221" s="11" t="s">
        <v>48</v>
      </c>
      <c r="G5221" s="11">
        <v>2914</v>
      </c>
      <c r="H5221" s="11">
        <v>3256</v>
      </c>
      <c r="I5221" s="11">
        <v>0</v>
      </c>
      <c r="J5221" s="11">
        <v>0</v>
      </c>
      <c r="K5221" s="11" t="s">
        <v>21</v>
      </c>
      <c r="L5221" s="7">
        <v>41392.313761574071</v>
      </c>
      <c r="M5221" s="12" t="s">
        <v>12073</v>
      </c>
      <c r="N5221" s="12" t="s">
        <v>12074</v>
      </c>
      <c r="O5221" s="10" t="str">
        <f>HYPERLINK("https://pbs.twimg.com/profile_images/378800000656452228/fca6692010a822f776917f40c9102341_normal.jpeg","View")</f>
        <v>View</v>
      </c>
      <c r="P5221" s="11"/>
    </row>
    <row r="5222" spans="1:16" ht="12.75" x14ac:dyDescent="0.35">
      <c r="A5222" s="7">
        <v>42483.192465277782</v>
      </c>
      <c r="B5222" s="8" t="str">
        <f>HYPERLINK("https://twitter.com/TokanP","@TokanP")</f>
        <v>@TokanP</v>
      </c>
      <c r="C5222" s="9" t="s">
        <v>4418</v>
      </c>
      <c r="D5222" s="9" t="s">
        <v>12075</v>
      </c>
      <c r="E5222" s="10" t="str">
        <f>HYPERLINK("https://twitter.com/TokanP/status/723649369472425986","723649369472425986")</f>
        <v>723649369472425986</v>
      </c>
      <c r="F5222" s="11" t="s">
        <v>43</v>
      </c>
      <c r="G5222" s="11">
        <v>33</v>
      </c>
      <c r="H5222" s="11">
        <v>78</v>
      </c>
      <c r="I5222" s="11">
        <v>0</v>
      </c>
      <c r="J5222" s="11">
        <v>0</v>
      </c>
      <c r="K5222" s="11" t="s">
        <v>21</v>
      </c>
      <c r="L5222" s="7">
        <v>41175.648877314816</v>
      </c>
      <c r="M5222" s="12" t="s">
        <v>4420</v>
      </c>
      <c r="N5222" s="12"/>
      <c r="O5222" s="10" t="str">
        <f>HYPERLINK("https://pbs.twimg.com/profile_images/684108288955445250/n4CHc8B8_normal.jpg","View")</f>
        <v>View</v>
      </c>
      <c r="P5222" s="11"/>
    </row>
    <row r="5223" spans="1:16" ht="12.75" x14ac:dyDescent="0.35">
      <c r="A5223" s="7">
        <v>42483.192824074074</v>
      </c>
      <c r="B5223" s="8" t="str">
        <f>HYPERLINK("https://twitter.com/olliehayes","@olliehayes")</f>
        <v>@olliehayes</v>
      </c>
      <c r="C5223" s="9" t="s">
        <v>12076</v>
      </c>
      <c r="D5223" s="9" t="s">
        <v>12077</v>
      </c>
      <c r="E5223" s="10" t="str">
        <f>HYPERLINK("https://twitter.com/olliehayes/status/723649499177074688","723649499177074688")</f>
        <v>723649499177074688</v>
      </c>
      <c r="F5223" s="11" t="s">
        <v>20</v>
      </c>
      <c r="G5223" s="11">
        <v>1116</v>
      </c>
      <c r="H5223" s="11">
        <v>1656</v>
      </c>
      <c r="I5223" s="11">
        <v>1</v>
      </c>
      <c r="J5223" s="11">
        <v>0</v>
      </c>
      <c r="K5223" s="11" t="s">
        <v>21</v>
      </c>
      <c r="L5223" s="7">
        <v>40288.656354166669</v>
      </c>
      <c r="M5223" s="12"/>
      <c r="N5223" s="12" t="s">
        <v>12078</v>
      </c>
      <c r="O5223" s="10" t="str">
        <f>HYPERLINK("https://pbs.twimg.com/profile_images/491169303027134464/ZT6kRda0_normal.jpeg","View")</f>
        <v>View</v>
      </c>
      <c r="P5223" s="11"/>
    </row>
    <row r="5224" spans="1:16" ht="12.75" x14ac:dyDescent="0.35">
      <c r="A5224" s="7">
        <v>42483.192858796298</v>
      </c>
      <c r="B5224" s="8" t="str">
        <f>HYPERLINK("https://twitter.com/clubVAGVzla","@clubVAGVzla")</f>
        <v>@clubVAGVzla</v>
      </c>
      <c r="C5224" s="9" t="s">
        <v>12079</v>
      </c>
      <c r="D5224" s="9" t="s">
        <v>12080</v>
      </c>
      <c r="E5224" s="10" t="str">
        <f>HYPERLINK("https://twitter.com/clubVAGVzla/status/723649513760632832","723649513760632832")</f>
        <v>723649513760632832</v>
      </c>
      <c r="F5224" s="11" t="s">
        <v>53</v>
      </c>
      <c r="G5224" s="11">
        <v>995</v>
      </c>
      <c r="H5224" s="11">
        <v>120</v>
      </c>
      <c r="I5224" s="11">
        <v>0</v>
      </c>
      <c r="J5224" s="11">
        <v>0</v>
      </c>
      <c r="K5224" s="11" t="s">
        <v>21</v>
      </c>
      <c r="L5224" s="7">
        <v>39890.815798611111</v>
      </c>
      <c r="M5224" s="12" t="s">
        <v>12081</v>
      </c>
      <c r="N5224" s="12" t="s">
        <v>12082</v>
      </c>
      <c r="O5224" s="10" t="str">
        <f>HYPERLINK("https://pbs.twimg.com/profile_images/621145253261770756/SJdc3xVG_normal.jpg","View")</f>
        <v>View</v>
      </c>
      <c r="P5224" s="11"/>
    </row>
    <row r="5225" spans="1:16" ht="12.75" x14ac:dyDescent="0.35">
      <c r="A5225" s="7">
        <v>42483.19462962963</v>
      </c>
      <c r="B5225" s="8" t="str">
        <f>HYPERLINK("https://twitter.com/VWHeritage","@VWHeritage")</f>
        <v>@VWHeritage</v>
      </c>
      <c r="C5225" s="9" t="s">
        <v>1402</v>
      </c>
      <c r="D5225" s="9" t="s">
        <v>12083</v>
      </c>
      <c r="E5225" s="10" t="str">
        <f>HYPERLINK("https://twitter.com/VWHeritage/status/723650154239275008","723650154239275008")</f>
        <v>723650154239275008</v>
      </c>
      <c r="F5225" s="11" t="s">
        <v>152</v>
      </c>
      <c r="G5225" s="11">
        <v>9235</v>
      </c>
      <c r="H5225" s="11">
        <v>1358</v>
      </c>
      <c r="I5225" s="11">
        <v>0</v>
      </c>
      <c r="J5225" s="11">
        <v>0</v>
      </c>
      <c r="K5225" s="11" t="s">
        <v>21</v>
      </c>
      <c r="L5225" s="7">
        <v>40193.185613425929</v>
      </c>
      <c r="M5225" s="12" t="s">
        <v>1338</v>
      </c>
      <c r="N5225" s="12" t="s">
        <v>1404</v>
      </c>
      <c r="O5225" s="10" t="str">
        <f>HYPERLINK("https://pbs.twimg.com/profile_images/709359494128599041/-2u0_Nqv_normal.jpg","View")</f>
        <v>View</v>
      </c>
      <c r="P5225" s="11"/>
    </row>
    <row r="5226" spans="1:16" ht="12.75" x14ac:dyDescent="0.35">
      <c r="A5226" s="7">
        <v>42483.195844907408</v>
      </c>
      <c r="B5226" s="8" t="str">
        <f>HYPERLINK("https://twitter.com/TejedaLucas","@TejedaLucas")</f>
        <v>@TejedaLucas</v>
      </c>
      <c r="C5226" s="9" t="s">
        <v>6262</v>
      </c>
      <c r="D5226" s="9" t="s">
        <v>11951</v>
      </c>
      <c r="E5226" s="10" t="str">
        <f>HYPERLINK("https://twitter.com/TejedaLucas/status/723650594020425728","723650594020425728")</f>
        <v>723650594020425728</v>
      </c>
      <c r="F5226" s="11" t="s">
        <v>48</v>
      </c>
      <c r="G5226" s="11">
        <v>149</v>
      </c>
      <c r="H5226" s="11">
        <v>185</v>
      </c>
      <c r="I5226" s="11">
        <v>17</v>
      </c>
      <c r="J5226" s="11">
        <v>0</v>
      </c>
      <c r="K5226" s="11" t="s">
        <v>21</v>
      </c>
      <c r="L5226" s="7">
        <v>41001.208912037036</v>
      </c>
      <c r="M5226" s="12"/>
      <c r="N5226" s="12"/>
      <c r="O5226" s="10" t="str">
        <f>HYPERLINK("https://pbs.twimg.com/profile_images/683018809431687169/FZVED1pg_normal.jpg","View")</f>
        <v>View</v>
      </c>
      <c r="P5226" s="11"/>
    </row>
    <row r="5227" spans="1:16" ht="12.75" x14ac:dyDescent="0.35">
      <c r="A5227" s="7">
        <v>42483.196516203709</v>
      </c>
      <c r="B5227" s="8" t="str">
        <f>HYPERLINK("https://twitter.com/YO_CATERINA","@YO_CATERINA")</f>
        <v>@YO_CATERINA</v>
      </c>
      <c r="C5227" s="9" t="s">
        <v>12084</v>
      </c>
      <c r="D5227" s="9" t="s">
        <v>12085</v>
      </c>
      <c r="E5227" s="10" t="str">
        <f>HYPERLINK("https://twitter.com/YO_CATERINA/status/723650837898235904","723650837898235904")</f>
        <v>723650837898235904</v>
      </c>
      <c r="F5227" s="11" t="s">
        <v>48</v>
      </c>
      <c r="G5227" s="11">
        <v>1167</v>
      </c>
      <c r="H5227" s="11">
        <v>1002</v>
      </c>
      <c r="I5227" s="11">
        <v>1</v>
      </c>
      <c r="J5227" s="11">
        <v>0</v>
      </c>
      <c r="K5227" s="11" t="s">
        <v>21</v>
      </c>
      <c r="L5227" s="7">
        <v>40575.18886574074</v>
      </c>
      <c r="M5227" s="12"/>
      <c r="N5227" s="12" t="s">
        <v>12086</v>
      </c>
      <c r="O5227" s="10" t="str">
        <f>HYPERLINK("https://pbs.twimg.com/profile_images/697845167844364288/K-thuxL0_normal.jpg","View")</f>
        <v>View</v>
      </c>
      <c r="P5227" s="11"/>
    </row>
    <row r="5228" spans="1:16" ht="12.75" x14ac:dyDescent="0.35">
      <c r="A5228" s="7">
        <v>42483.197175925925</v>
      </c>
      <c r="B5228" s="8" t="str">
        <f>HYPERLINK("https://twitter.com/VolkswagenPost","@VolkswagenPost")</f>
        <v>@VolkswagenPost</v>
      </c>
      <c r="C5228" s="9" t="s">
        <v>321</v>
      </c>
      <c r="D5228" s="9" t="s">
        <v>12087</v>
      </c>
      <c r="E5228" s="10" t="str">
        <f>HYPERLINK("https://twitter.com/VolkswagenPost/status/723651078546444288","723651078546444288")</f>
        <v>723651078546444288</v>
      </c>
      <c r="F5228" s="11" t="s">
        <v>288</v>
      </c>
      <c r="G5228" s="11">
        <v>569</v>
      </c>
      <c r="H5228" s="11">
        <v>446</v>
      </c>
      <c r="I5228" s="11">
        <v>1</v>
      </c>
      <c r="J5228" s="11">
        <v>0</v>
      </c>
      <c r="K5228" s="11" t="s">
        <v>21</v>
      </c>
      <c r="L5228" s="7">
        <v>41940.618379629632</v>
      </c>
      <c r="M5228" s="12"/>
      <c r="N5228" s="12"/>
      <c r="O5228" s="10" t="str">
        <f>HYPERLINK("https://pbs.twimg.com/profile_images/530071272881803264/a_jcCmPZ_normal.png","View")</f>
        <v>View</v>
      </c>
      <c r="P5228" s="11"/>
    </row>
    <row r="5229" spans="1:16" ht="12.75" x14ac:dyDescent="0.35">
      <c r="A5229" s="7">
        <v>42483.197812500002</v>
      </c>
      <c r="B5229" s="8" t="str">
        <f>HYPERLINK("https://twitter.com/ThiagoLopez00","@ThiagoLopez00")</f>
        <v>@ThiagoLopez00</v>
      </c>
      <c r="C5229" s="9" t="s">
        <v>12088</v>
      </c>
      <c r="D5229" s="9" t="s">
        <v>10808</v>
      </c>
      <c r="E5229" s="10" t="str">
        <f>HYPERLINK("https://twitter.com/ThiagoLopez00/status/723651308977266688","723651308977266688")</f>
        <v>723651308977266688</v>
      </c>
      <c r="F5229" s="11" t="s">
        <v>48</v>
      </c>
      <c r="G5229" s="11">
        <v>160</v>
      </c>
      <c r="H5229" s="11">
        <v>111</v>
      </c>
      <c r="I5229" s="11">
        <v>54</v>
      </c>
      <c r="J5229" s="11">
        <v>0</v>
      </c>
      <c r="K5229" s="11" t="s">
        <v>21</v>
      </c>
      <c r="L5229" s="7">
        <v>42322.68377314815</v>
      </c>
      <c r="M5229" s="12" t="s">
        <v>12089</v>
      </c>
      <c r="N5229" s="12" t="s">
        <v>12090</v>
      </c>
      <c r="O5229" s="10" t="str">
        <f>HYPERLINK("https://pbs.twimg.com/profile_images/722699840338137088/gZIMZuy8_normal.jpg","View")</f>
        <v>View</v>
      </c>
      <c r="P5229" s="11"/>
    </row>
    <row r="5230" spans="1:16" ht="12.75" x14ac:dyDescent="0.35">
      <c r="A5230" s="7">
        <v>42483.197905092587</v>
      </c>
      <c r="B5230" s="8" t="str">
        <f>HYPERLINK("https://twitter.com/Audi_App","@Audi_App")</f>
        <v>@Audi_App</v>
      </c>
      <c r="C5230" s="9" t="s">
        <v>12091</v>
      </c>
      <c r="D5230" s="9" t="s">
        <v>8438</v>
      </c>
      <c r="E5230" s="10" t="str">
        <f>HYPERLINK("https://twitter.com/Audi_App/status/723651342162649088","723651342162649088")</f>
        <v>723651342162649088</v>
      </c>
      <c r="F5230" s="11" t="s">
        <v>12092</v>
      </c>
      <c r="G5230" s="11">
        <v>5</v>
      </c>
      <c r="H5230" s="11">
        <v>96</v>
      </c>
      <c r="I5230" s="11">
        <v>3</v>
      </c>
      <c r="J5230" s="11">
        <v>0</v>
      </c>
      <c r="K5230" s="11" t="s">
        <v>21</v>
      </c>
      <c r="L5230" s="7">
        <v>42478.106168981481</v>
      </c>
      <c r="M5230" s="12"/>
      <c r="N5230" s="12"/>
      <c r="O5230" s="10" t="str">
        <f>HYPERLINK("https://pbs.twimg.com/profile_images/722769998104629248/UT633gEV_normal.jpg","View")</f>
        <v>View</v>
      </c>
      <c r="P5230" s="11"/>
    </row>
    <row r="5231" spans="1:16" ht="12.75" x14ac:dyDescent="0.35">
      <c r="A5231" s="7">
        <v>42483.19809027778</v>
      </c>
      <c r="B5231" s="8" t="str">
        <f>HYPERLINK("https://twitter.com/acvwpassion","@acvwpassion")</f>
        <v>@acvwpassion</v>
      </c>
      <c r="C5231" s="9" t="s">
        <v>4671</v>
      </c>
      <c r="D5231" s="9" t="s">
        <v>12093</v>
      </c>
      <c r="E5231" s="10" t="str">
        <f>HYPERLINK("https://twitter.com/acvwpassion/status/723651410420748288","723651410420748288")</f>
        <v>723651410420748288</v>
      </c>
      <c r="F5231" s="11" t="s">
        <v>152</v>
      </c>
      <c r="G5231" s="11">
        <v>241</v>
      </c>
      <c r="H5231" s="11">
        <v>409</v>
      </c>
      <c r="I5231" s="11">
        <v>0</v>
      </c>
      <c r="J5231" s="11">
        <v>0</v>
      </c>
      <c r="K5231" s="11" t="s">
        <v>21</v>
      </c>
      <c r="L5231" s="7">
        <v>41989.101851851854</v>
      </c>
      <c r="M5231" s="12" t="s">
        <v>4673</v>
      </c>
      <c r="N5231" s="12" t="s">
        <v>4674</v>
      </c>
      <c r="O5231" s="10" t="str">
        <f>HYPERLINK("https://pbs.twimg.com/profile_images/545688359964651520/SF3sJ7lv_normal.jpeg","View")</f>
        <v>View</v>
      </c>
      <c r="P5231" s="11"/>
    </row>
    <row r="5232" spans="1:16" ht="12.75" x14ac:dyDescent="0.35">
      <c r="A5232" s="7">
        <v>42483.199513888889</v>
      </c>
      <c r="B5232" s="8" t="str">
        <f>HYPERLINK("https://twitter.com/rplantt","@rplantt")</f>
        <v>@rplantt</v>
      </c>
      <c r="C5232" s="9" t="s">
        <v>12094</v>
      </c>
      <c r="D5232" s="9" t="s">
        <v>12095</v>
      </c>
      <c r="E5232" s="10" t="str">
        <f>HYPERLINK("https://twitter.com/rplantt/status/723651926013947904","723651926013947904")</f>
        <v>723651926013947904</v>
      </c>
      <c r="F5232" s="11" t="s">
        <v>68</v>
      </c>
      <c r="G5232" s="11">
        <v>123</v>
      </c>
      <c r="H5232" s="11">
        <v>345</v>
      </c>
      <c r="I5232" s="11">
        <v>0</v>
      </c>
      <c r="J5232" s="11">
        <v>0</v>
      </c>
      <c r="K5232" s="11" t="s">
        <v>21</v>
      </c>
      <c r="L5232" s="7">
        <v>39543.941388888888</v>
      </c>
      <c r="M5232" s="12" t="s">
        <v>5860</v>
      </c>
      <c r="N5232" s="12" t="s">
        <v>12096</v>
      </c>
      <c r="O5232" s="10" t="str">
        <f>HYPERLINK("https://pbs.twimg.com/profile_images/459064818557661184/91o9tza1_normal.jpeg","View")</f>
        <v>View</v>
      </c>
      <c r="P5232" s="11"/>
    </row>
    <row r="5233" spans="1:16" ht="12.75" x14ac:dyDescent="0.35">
      <c r="A5233" s="7">
        <v>42483.201365740737</v>
      </c>
      <c r="B5233" s="8" t="str">
        <f>HYPERLINK("https://twitter.com/Aldow_CR","@Aldow_CR")</f>
        <v>@Aldow_CR</v>
      </c>
      <c r="C5233" s="9" t="s">
        <v>12097</v>
      </c>
      <c r="D5233" s="9" t="s">
        <v>12098</v>
      </c>
      <c r="E5233" s="10" t="str">
        <f>HYPERLINK("https://twitter.com/Aldow_CR/status/723652594527141888","723652594527141888")</f>
        <v>723652594527141888</v>
      </c>
      <c r="F5233" s="11" t="s">
        <v>20</v>
      </c>
      <c r="G5233" s="11">
        <v>117</v>
      </c>
      <c r="H5233" s="11">
        <v>64</v>
      </c>
      <c r="I5233" s="11">
        <v>0</v>
      </c>
      <c r="J5233" s="11">
        <v>0</v>
      </c>
      <c r="K5233" s="11" t="s">
        <v>21</v>
      </c>
      <c r="L5233" s="7">
        <v>40382.143495370372</v>
      </c>
      <c r="M5233" s="12" t="s">
        <v>12099</v>
      </c>
      <c r="N5233" s="12" t="s">
        <v>12100</v>
      </c>
      <c r="O5233" s="10" t="str">
        <f>HYPERLINK("https://pbs.twimg.com/profile_images/719650097139621889/fFEwHSPd_normal.jpg","View")</f>
        <v>View</v>
      </c>
      <c r="P5233" s="11"/>
    </row>
    <row r="5234" spans="1:16" ht="12.75" x14ac:dyDescent="0.35">
      <c r="A5234" s="7">
        <v>42483.201655092591</v>
      </c>
      <c r="B5234" s="8" t="str">
        <f>HYPERLINK("https://twitter.com/Leo10Utrera","@Leo10Utrera")</f>
        <v>@Leo10Utrera</v>
      </c>
      <c r="C5234" s="9" t="s">
        <v>12101</v>
      </c>
      <c r="D5234" s="9" t="s">
        <v>6352</v>
      </c>
      <c r="E5234" s="10" t="str">
        <f>HYPERLINK("https://twitter.com/Leo10Utrera/status/723652700789940224","723652700789940224")</f>
        <v>723652700789940224</v>
      </c>
      <c r="F5234" s="11" t="s">
        <v>48</v>
      </c>
      <c r="G5234" s="11">
        <v>488</v>
      </c>
      <c r="H5234" s="11">
        <v>617</v>
      </c>
      <c r="I5234" s="11">
        <v>37</v>
      </c>
      <c r="J5234" s="11">
        <v>0</v>
      </c>
      <c r="K5234" s="11" t="s">
        <v>21</v>
      </c>
      <c r="L5234" s="7">
        <v>41293.983483796299</v>
      </c>
      <c r="M5234" s="12"/>
      <c r="N5234" s="12" t="s">
        <v>12102</v>
      </c>
      <c r="O5234" s="10" t="str">
        <f>HYPERLINK("https://pbs.twimg.com/profile_images/697273196068921344/fbQb71Ak_normal.jpg","View")</f>
        <v>View</v>
      </c>
      <c r="P5234" s="11"/>
    </row>
    <row r="5235" spans="1:16" ht="12.75" x14ac:dyDescent="0.35">
      <c r="A5235" s="7">
        <v>42483.202048611114</v>
      </c>
      <c r="B5235" s="8" t="str">
        <f>HYPERLINK("https://twitter.com/JoserRP","@JoserRP")</f>
        <v>@JoserRP</v>
      </c>
      <c r="C5235" s="9" t="s">
        <v>12103</v>
      </c>
      <c r="D5235" s="9" t="s">
        <v>12104</v>
      </c>
      <c r="E5235" s="10" t="str">
        <f>HYPERLINK("https://twitter.com/JoserRP/status/723652843962392576","723652843962392576")</f>
        <v>723652843962392576</v>
      </c>
      <c r="F5235" s="11" t="s">
        <v>114</v>
      </c>
      <c r="G5235" s="11">
        <v>1967</v>
      </c>
      <c r="H5235" s="11">
        <v>2085</v>
      </c>
      <c r="I5235" s="11">
        <v>0</v>
      </c>
      <c r="J5235" s="11">
        <v>0</v>
      </c>
      <c r="K5235" s="11" t="s">
        <v>21</v>
      </c>
      <c r="L5235" s="7">
        <v>40128.246793981481</v>
      </c>
      <c r="M5235" s="12" t="s">
        <v>12105</v>
      </c>
      <c r="N5235" s="12" t="s">
        <v>12106</v>
      </c>
      <c r="O5235" s="10" t="str">
        <f>HYPERLINK("https://pbs.twimg.com/profile_images/716653254524805124/SlK9E5Pd_normal.jpg","View")</f>
        <v>View</v>
      </c>
      <c r="P5235" s="11"/>
    </row>
    <row r="5236" spans="1:16" ht="12.75" x14ac:dyDescent="0.35">
      <c r="A5236" s="7">
        <v>42483.20239583333</v>
      </c>
      <c r="B5236" s="8" t="str">
        <f>HYPERLINK("https://twitter.com/classactionlaw","@classactionlaw")</f>
        <v>@classactionlaw</v>
      </c>
      <c r="C5236" s="9" t="s">
        <v>12107</v>
      </c>
      <c r="D5236" s="9" t="s">
        <v>12108</v>
      </c>
      <c r="E5236" s="10" t="str">
        <f>HYPERLINK("https://twitter.com/classactionlaw/status/723652969896415232","723652969896415232")</f>
        <v>723652969896415232</v>
      </c>
      <c r="F5236" s="11" t="s">
        <v>43</v>
      </c>
      <c r="G5236" s="11">
        <v>1287</v>
      </c>
      <c r="H5236" s="11">
        <v>473</v>
      </c>
      <c r="I5236" s="11">
        <v>0</v>
      </c>
      <c r="J5236" s="11">
        <v>0</v>
      </c>
      <c r="K5236" s="11" t="s">
        <v>21</v>
      </c>
      <c r="L5236" s="7">
        <v>39716.941400462965</v>
      </c>
      <c r="M5236" s="12" t="s">
        <v>355</v>
      </c>
      <c r="N5236" s="12" t="s">
        <v>12109</v>
      </c>
      <c r="O5236" s="10" t="str">
        <f>HYPERLINK("https://pbs.twimg.com/profile_images/464114496563200000/hqu3hpC3_normal.jpeg","View")</f>
        <v>View</v>
      </c>
      <c r="P5236" s="11"/>
    </row>
    <row r="5237" spans="1:16" ht="12.75" x14ac:dyDescent="0.35">
      <c r="A5237" s="7">
        <v>42483.20244212963</v>
      </c>
      <c r="B5237" s="8" t="str">
        <f>HYPERLINK("https://twitter.com/rgoverstreet","@rgoverstreet")</f>
        <v>@rgoverstreet</v>
      </c>
      <c r="C5237" s="9" t="s">
        <v>5862</v>
      </c>
      <c r="D5237" s="9" t="s">
        <v>12110</v>
      </c>
      <c r="E5237" s="10" t="str">
        <f>HYPERLINK("https://twitter.com/rgoverstreet/status/723652988108046337","723652988108046337")</f>
        <v>723652988108046337</v>
      </c>
      <c r="F5237" s="11" t="s">
        <v>43</v>
      </c>
      <c r="G5237" s="11">
        <v>153</v>
      </c>
      <c r="H5237" s="11">
        <v>287</v>
      </c>
      <c r="I5237" s="11">
        <v>0</v>
      </c>
      <c r="J5237" s="11">
        <v>1</v>
      </c>
      <c r="K5237" s="11" t="s">
        <v>21</v>
      </c>
      <c r="L5237" s="7">
        <v>40033.017939814818</v>
      </c>
      <c r="M5237" s="12" t="s">
        <v>5864</v>
      </c>
      <c r="N5237" s="12" t="s">
        <v>5865</v>
      </c>
      <c r="O5237" s="10" t="str">
        <f>HYPERLINK("https://pbs.twimg.com/profile_images/511300315228811264/sT0G3pjp_normal.jpeg","View")</f>
        <v>View</v>
      </c>
      <c r="P5237" s="11"/>
    </row>
    <row r="5238" spans="1:16" ht="12.75" x14ac:dyDescent="0.35">
      <c r="A5238" s="7">
        <v>42483.202627314815</v>
      </c>
      <c r="B5238" s="8" t="str">
        <f>HYPERLINK("https://twitter.com/VeeDubMk1_","@VeeDubMk1_")</f>
        <v>@VeeDubMk1_</v>
      </c>
      <c r="C5238" s="9" t="s">
        <v>185</v>
      </c>
      <c r="D5238" s="9" t="s">
        <v>12111</v>
      </c>
      <c r="E5238" s="10" t="str">
        <f>HYPERLINK("https://twitter.com/VeeDubMk1_/status/723653054915051520","723653054915051520")</f>
        <v>723653054915051520</v>
      </c>
      <c r="F5238" s="11" t="s">
        <v>68</v>
      </c>
      <c r="G5238" s="11">
        <v>548</v>
      </c>
      <c r="H5238" s="11">
        <v>3527</v>
      </c>
      <c r="I5238" s="11">
        <v>0</v>
      </c>
      <c r="J5238" s="11">
        <v>0</v>
      </c>
      <c r="K5238" s="11" t="s">
        <v>21</v>
      </c>
      <c r="L5238" s="7">
        <v>42343.063356481478</v>
      </c>
      <c r="M5238" s="12"/>
      <c r="N5238" s="12"/>
      <c r="O5238" s="10" t="str">
        <f>HYPERLINK("https://pbs.twimg.com/profile_images/672878354127839232/M7OYc-zx_normal.jpg","View")</f>
        <v>View</v>
      </c>
      <c r="P5238" s="11"/>
    </row>
    <row r="5239" spans="1:16" ht="12.75" x14ac:dyDescent="0.35">
      <c r="A5239" s="7">
        <v>42483.202800925923</v>
      </c>
      <c r="B5239" s="8" t="str">
        <f>HYPERLINK("https://twitter.com/sfchronicle","@sfchronicle")</f>
        <v>@sfchronicle</v>
      </c>
      <c r="C5239" s="9" t="s">
        <v>4737</v>
      </c>
      <c r="D5239" s="9" t="s">
        <v>12112</v>
      </c>
      <c r="E5239" s="10" t="str">
        <f>HYPERLINK("https://twitter.com/sfchronicle/status/723653117984677888","723653117984677888")</f>
        <v>723653117984677888</v>
      </c>
      <c r="F5239" s="11" t="s">
        <v>63</v>
      </c>
      <c r="G5239" s="11">
        <v>78334</v>
      </c>
      <c r="H5239" s="11">
        <v>171</v>
      </c>
      <c r="I5239" s="11">
        <v>1</v>
      </c>
      <c r="J5239" s="11">
        <v>0</v>
      </c>
      <c r="K5239" s="11" t="s">
        <v>21</v>
      </c>
      <c r="L5239" s="7">
        <v>40247.25980324074</v>
      </c>
      <c r="M5239" s="12" t="s">
        <v>244</v>
      </c>
      <c r="N5239" s="12" t="s">
        <v>4739</v>
      </c>
      <c r="O5239" s="10" t="str">
        <f>HYPERLINK("https://pbs.twimg.com/profile_images/695773573919543296/Q1mS960c_normal.jpg","View")</f>
        <v>View</v>
      </c>
      <c r="P5239" s="11"/>
    </row>
    <row r="5240" spans="1:16" ht="12.75" x14ac:dyDescent="0.35">
      <c r="A5240" s="7">
        <v>42483.205000000002</v>
      </c>
      <c r="B5240" s="8" t="str">
        <f>HYPERLINK("https://twitter.com/Jairoogorosito","@Jairoogorosito")</f>
        <v>@Jairoogorosito</v>
      </c>
      <c r="C5240" s="9" t="s">
        <v>12113</v>
      </c>
      <c r="D5240" s="9" t="s">
        <v>11951</v>
      </c>
      <c r="E5240" s="10" t="str">
        <f>HYPERLINK("https://twitter.com/Jairoogorosito/status/723653915078758401","723653915078758401")</f>
        <v>723653915078758401</v>
      </c>
      <c r="F5240" s="11" t="s">
        <v>48</v>
      </c>
      <c r="G5240" s="11">
        <v>330</v>
      </c>
      <c r="H5240" s="11">
        <v>262</v>
      </c>
      <c r="I5240" s="11">
        <v>18</v>
      </c>
      <c r="J5240" s="11">
        <v>0</v>
      </c>
      <c r="K5240" s="11" t="s">
        <v>21</v>
      </c>
      <c r="L5240" s="7">
        <v>41439.354085648149</v>
      </c>
      <c r="M5240" s="12" t="s">
        <v>12114</v>
      </c>
      <c r="N5240" s="12" t="s">
        <v>12115</v>
      </c>
      <c r="O5240" s="10" t="str">
        <f>HYPERLINK("https://pbs.twimg.com/profile_images/625698487301197824/R6F9oMUa_normal.jpg","View")</f>
        <v>View</v>
      </c>
      <c r="P5240" s="11"/>
    </row>
    <row r="5241" spans="1:16" ht="12.75" x14ac:dyDescent="0.35">
      <c r="A5241" s="7">
        <v>42483.206550925926</v>
      </c>
      <c r="B5241" s="8" t="str">
        <f>HYPERLINK("https://twitter.com/chronsucks","@chronsucks")</f>
        <v>@chronsucks</v>
      </c>
      <c r="C5241" s="9" t="s">
        <v>4770</v>
      </c>
      <c r="D5241" s="9" t="s">
        <v>12116</v>
      </c>
      <c r="E5241" s="10" t="str">
        <f>HYPERLINK("https://twitter.com/chronsucks/status/723654473785171969","723654473785171969")</f>
        <v>723654473785171969</v>
      </c>
      <c r="F5241" s="11" t="s">
        <v>288</v>
      </c>
      <c r="G5241" s="11">
        <v>30</v>
      </c>
      <c r="H5241" s="11">
        <v>1</v>
      </c>
      <c r="I5241" s="11">
        <v>1</v>
      </c>
      <c r="J5241" s="11">
        <v>0</v>
      </c>
      <c r="K5241" s="11" t="s">
        <v>21</v>
      </c>
      <c r="L5241" s="7">
        <v>42191.8591087963</v>
      </c>
      <c r="M5241" s="12"/>
      <c r="N5241" s="12"/>
      <c r="O5241" s="10" t="str">
        <f>HYPERLINK("https://abs.twimg.com/sticky/default_profile_images/default_profile_0_normal.png","View")</f>
        <v>View</v>
      </c>
      <c r="P5241" s="11"/>
    </row>
    <row r="5242" spans="1:16" ht="12.75" x14ac:dyDescent="0.35">
      <c r="A5242" s="7">
        <v>42483.206979166665</v>
      </c>
      <c r="B5242" s="8" t="str">
        <f>HYPERLINK("https://twitter.com/VWofStockton","@VWofStockton")</f>
        <v>@VWofStockton</v>
      </c>
      <c r="C5242" s="9" t="s">
        <v>4224</v>
      </c>
      <c r="D5242" s="9" t="s">
        <v>12117</v>
      </c>
      <c r="E5242" s="10" t="str">
        <f>HYPERLINK("https://twitter.com/VWofStockton/status/723654630232719360","723654630232719360")</f>
        <v>723654630232719360</v>
      </c>
      <c r="F5242" s="11" t="s">
        <v>4226</v>
      </c>
      <c r="G5242" s="11">
        <v>12</v>
      </c>
      <c r="H5242" s="11">
        <v>11</v>
      </c>
      <c r="I5242" s="11">
        <v>0</v>
      </c>
      <c r="J5242" s="11">
        <v>0</v>
      </c>
      <c r="K5242" s="11" t="s">
        <v>21</v>
      </c>
      <c r="L5242" s="7">
        <v>41675.234710648147</v>
      </c>
      <c r="M5242" s="12" t="s">
        <v>4227</v>
      </c>
      <c r="N5242" s="12" t="s">
        <v>4228</v>
      </c>
      <c r="O5242" s="10" t="str">
        <f>HYPERLINK("https://pbs.twimg.com/profile_images/688094284558422016/VHQCApoO_normal.jpg","View")</f>
        <v>View</v>
      </c>
      <c r="P5242" s="11"/>
    </row>
    <row r="5243" spans="1:16" ht="12.75" x14ac:dyDescent="0.35">
      <c r="A5243" s="7">
        <v>42483.20722222222</v>
      </c>
      <c r="B5243" s="8" t="str">
        <f>HYPERLINK("https://twitter.com/RamiBurgos","@RamiBurgos")</f>
        <v>@RamiBurgos</v>
      </c>
      <c r="C5243" s="9" t="s">
        <v>12118</v>
      </c>
      <c r="D5243" s="9" t="s">
        <v>10808</v>
      </c>
      <c r="E5243" s="10" t="str">
        <f>HYPERLINK("https://twitter.com/RamiBurgos/status/723654717851721731","723654717851721731")</f>
        <v>723654717851721731</v>
      </c>
      <c r="F5243" s="11" t="s">
        <v>48</v>
      </c>
      <c r="G5243" s="11">
        <v>71</v>
      </c>
      <c r="H5243" s="11">
        <v>62</v>
      </c>
      <c r="I5243" s="11">
        <v>55</v>
      </c>
      <c r="J5243" s="11">
        <v>0</v>
      </c>
      <c r="K5243" s="11" t="s">
        <v>21</v>
      </c>
      <c r="L5243" s="7">
        <v>41668.221041666664</v>
      </c>
      <c r="M5243" s="12"/>
      <c r="N5243" s="12" t="s">
        <v>12119</v>
      </c>
      <c r="O5243" s="10" t="str">
        <f>HYPERLINK("https://pbs.twimg.com/profile_images/637079566859767812/tkxkGxL8_normal.jpg","View")</f>
        <v>View</v>
      </c>
      <c r="P5243" s="11"/>
    </row>
    <row r="5244" spans="1:16" ht="12.75" x14ac:dyDescent="0.35">
      <c r="A5244" s="7">
        <v>42483.207858796297</v>
      </c>
      <c r="B5244" s="8" t="str">
        <f>HYPERLINK("https://twitter.com/MDRINFO","@MDRINFO")</f>
        <v>@MDRINFO</v>
      </c>
      <c r="C5244" s="9" t="s">
        <v>3646</v>
      </c>
      <c r="D5244" s="9" t="s">
        <v>12120</v>
      </c>
      <c r="E5244" s="10" t="str">
        <f>HYPERLINK("https://twitter.com/MDRINFO/status/723654950019076096","723654950019076096")</f>
        <v>723654950019076096</v>
      </c>
      <c r="F5244" s="11" t="s">
        <v>63</v>
      </c>
      <c r="G5244" s="11">
        <v>17542</v>
      </c>
      <c r="H5244" s="11">
        <v>324</v>
      </c>
      <c r="I5244" s="11">
        <v>0</v>
      </c>
      <c r="J5244" s="11">
        <v>0</v>
      </c>
      <c r="K5244" s="11" t="s">
        <v>21</v>
      </c>
      <c r="L5244" s="7">
        <v>39833.671817129631</v>
      </c>
      <c r="M5244" s="12" t="s">
        <v>3648</v>
      </c>
      <c r="N5244" s="12" t="s">
        <v>3649</v>
      </c>
      <c r="O5244" s="10" t="str">
        <f>HYPERLINK("https://pbs.twimg.com/profile_images/2289706087/q66ajanznpfm87cybp5p_normal.jpeg","View")</f>
        <v>View</v>
      </c>
      <c r="P5244" s="11"/>
    </row>
    <row r="5245" spans="1:16" ht="12.75" x14ac:dyDescent="0.35">
      <c r="A5245" s="7">
        <v>42483.208495370374</v>
      </c>
      <c r="B5245" s="8" t="str">
        <f>HYPERLINK("https://twitter.com/kslnewsradio","@kslnewsradio")</f>
        <v>@kslnewsradio</v>
      </c>
      <c r="C5245" s="9" t="s">
        <v>12121</v>
      </c>
      <c r="D5245" s="9" t="s">
        <v>12122</v>
      </c>
      <c r="E5245" s="10" t="str">
        <f>HYPERLINK("https://twitter.com/kslnewsradio/status/723655179166306305","723655179166306305")</f>
        <v>723655179166306305</v>
      </c>
      <c r="F5245" s="11" t="s">
        <v>63</v>
      </c>
      <c r="G5245" s="11">
        <v>12731</v>
      </c>
      <c r="H5245" s="11">
        <v>155</v>
      </c>
      <c r="I5245" s="11">
        <v>0</v>
      </c>
      <c r="J5245" s="11">
        <v>0</v>
      </c>
      <c r="K5245" s="11" t="s">
        <v>21</v>
      </c>
      <c r="L5245" s="7">
        <v>39954.947997685187</v>
      </c>
      <c r="M5245" s="12" t="s">
        <v>12123</v>
      </c>
      <c r="N5245" s="12" t="s">
        <v>12124</v>
      </c>
      <c r="O5245" s="10" t="str">
        <f>HYPERLINK("https://pbs.twimg.com/profile_images/609058126193565696/z5t68RjE_normal.jpg","View")</f>
        <v>View</v>
      </c>
      <c r="P5245" s="11"/>
    </row>
    <row r="5246" spans="1:16" ht="12.75" x14ac:dyDescent="0.35">
      <c r="A5246" s="7">
        <v>42483.209814814814</v>
      </c>
      <c r="B5246" s="8" t="str">
        <f>HYPERLINK("https://twitter.com/VWCamperSales","@VWCamperSales")</f>
        <v>@VWCamperSales</v>
      </c>
      <c r="C5246" s="9" t="s">
        <v>216</v>
      </c>
      <c r="D5246" s="9" t="s">
        <v>12125</v>
      </c>
      <c r="E5246" s="10" t="str">
        <f>HYPERLINK("https://twitter.com/VWCamperSales/status/723655658524925952","723655658524925952")</f>
        <v>723655658524925952</v>
      </c>
      <c r="F5246" s="10" t="s">
        <v>124</v>
      </c>
      <c r="G5246" s="11">
        <v>619</v>
      </c>
      <c r="H5246" s="11">
        <v>580</v>
      </c>
      <c r="I5246" s="11">
        <v>0</v>
      </c>
      <c r="J5246" s="11">
        <v>0</v>
      </c>
      <c r="K5246" s="11" t="s">
        <v>21</v>
      </c>
      <c r="L5246" s="7">
        <v>42215.98809027778</v>
      </c>
      <c r="M5246" s="12" t="s">
        <v>129</v>
      </c>
      <c r="N5246" s="12" t="s">
        <v>218</v>
      </c>
      <c r="O5246" s="10" t="str">
        <f>HYPERLINK("https://pbs.twimg.com/profile_images/627949001179037696/skEBkS05_normal.jpg","View")</f>
        <v>View</v>
      </c>
      <c r="P5246" s="11"/>
    </row>
    <row r="5247" spans="1:16" ht="12.75" x14ac:dyDescent="0.35">
      <c r="A5247" s="7">
        <v>42483.213587962964</v>
      </c>
      <c r="B5247" s="8" t="str">
        <f>HYPERLINK("https://twitter.com/SnowAngel0724","@SnowAngel0724")</f>
        <v>@SnowAngel0724</v>
      </c>
      <c r="C5247" s="9" t="s">
        <v>11779</v>
      </c>
      <c r="D5247" s="9" t="s">
        <v>12126</v>
      </c>
      <c r="E5247" s="10" t="str">
        <f>HYPERLINK("https://twitter.com/SnowAngel0724/status/723657026337837057","723657026337837057")</f>
        <v>723657026337837057</v>
      </c>
      <c r="F5247" s="11" t="s">
        <v>20</v>
      </c>
      <c r="G5247" s="11">
        <v>727</v>
      </c>
      <c r="H5247" s="11">
        <v>755</v>
      </c>
      <c r="I5247" s="11">
        <v>1</v>
      </c>
      <c r="J5247" s="11">
        <v>0</v>
      </c>
      <c r="K5247" s="11" t="s">
        <v>21</v>
      </c>
      <c r="L5247" s="7">
        <v>40757.345069444447</v>
      </c>
      <c r="M5247" s="12" t="s">
        <v>11781</v>
      </c>
      <c r="N5247" s="12" t="s">
        <v>11782</v>
      </c>
      <c r="O5247" s="10" t="str">
        <f>HYPERLINK("https://pbs.twimg.com/profile_images/718800395997294592/7kwRAhRd_normal.jpg","View")</f>
        <v>View</v>
      </c>
      <c r="P5247" s="11"/>
    </row>
    <row r="5248" spans="1:16" ht="12.75" x14ac:dyDescent="0.35">
      <c r="A5248" s="7">
        <v>42483.214618055557</v>
      </c>
      <c r="B5248" s="8" t="str">
        <f t="shared" ref="B5248:B5249" si="455">HYPERLINK("https://twitter.com/VWBeetleSales","@VWBeetleSales")</f>
        <v>@VWBeetleSales</v>
      </c>
      <c r="C5248" s="9" t="s">
        <v>127</v>
      </c>
      <c r="D5248" s="9" t="s">
        <v>12127</v>
      </c>
      <c r="E5248" s="10" t="str">
        <f>HYPERLINK("https://twitter.com/VWBeetleSales/status/723657400146763777","723657400146763777")</f>
        <v>723657400146763777</v>
      </c>
      <c r="F5248" s="10" t="s">
        <v>124</v>
      </c>
      <c r="G5248" s="11">
        <v>36</v>
      </c>
      <c r="H5248" s="11">
        <v>32</v>
      </c>
      <c r="I5248" s="11">
        <v>0</v>
      </c>
      <c r="J5248" s="11">
        <v>0</v>
      </c>
      <c r="K5248" s="11" t="s">
        <v>21</v>
      </c>
      <c r="L5248" s="7">
        <v>42427.019756944443</v>
      </c>
      <c r="M5248" s="12" t="s">
        <v>129</v>
      </c>
      <c r="N5248" s="12" t="s">
        <v>130</v>
      </c>
      <c r="O5248" s="10" t="str">
        <f t="shared" ref="O5248:O5249" si="456">HYPERLINK("https://pbs.twimg.com/profile_images/703294545195307008/qeCvrX86_normal.jpg","View")</f>
        <v>View</v>
      </c>
      <c r="P5248" s="11"/>
    </row>
    <row r="5249" spans="1:16" ht="12.75" x14ac:dyDescent="0.35">
      <c r="A5249" s="7">
        <v>42483.214629629627</v>
      </c>
      <c r="B5249" s="8" t="str">
        <f t="shared" si="455"/>
        <v>@VWBeetleSales</v>
      </c>
      <c r="C5249" s="9" t="s">
        <v>127</v>
      </c>
      <c r="D5249" s="9" t="s">
        <v>12128</v>
      </c>
      <c r="E5249" s="10" t="str">
        <f>HYPERLINK("https://twitter.com/VWBeetleSales/status/723657402235514881","723657402235514881")</f>
        <v>723657402235514881</v>
      </c>
      <c r="F5249" s="10" t="s">
        <v>124</v>
      </c>
      <c r="G5249" s="11">
        <v>36</v>
      </c>
      <c r="H5249" s="11">
        <v>32</v>
      </c>
      <c r="I5249" s="11">
        <v>0</v>
      </c>
      <c r="J5249" s="11">
        <v>0</v>
      </c>
      <c r="K5249" s="11" t="s">
        <v>21</v>
      </c>
      <c r="L5249" s="7">
        <v>42427.019756944443</v>
      </c>
      <c r="M5249" s="12" t="s">
        <v>129</v>
      </c>
      <c r="N5249" s="12" t="s">
        <v>130</v>
      </c>
      <c r="O5249" s="10" t="str">
        <f t="shared" si="456"/>
        <v>View</v>
      </c>
      <c r="P5249" s="11"/>
    </row>
    <row r="5250" spans="1:16" ht="12.75" x14ac:dyDescent="0.35">
      <c r="A5250" s="7">
        <v>42483.215046296296</v>
      </c>
      <c r="B5250" s="8" t="str">
        <f>HYPERLINK("https://twitter.com/Matt_Barbera2","@Matt_Barbera2")</f>
        <v>@Matt_Barbera2</v>
      </c>
      <c r="C5250" s="9" t="s">
        <v>7986</v>
      </c>
      <c r="D5250" s="9" t="s">
        <v>11951</v>
      </c>
      <c r="E5250" s="10" t="str">
        <f>HYPERLINK("https://twitter.com/Matt_Barbera2/status/723657556057534464","723657556057534464")</f>
        <v>723657556057534464</v>
      </c>
      <c r="F5250" s="11" t="s">
        <v>20</v>
      </c>
      <c r="G5250" s="11">
        <v>193</v>
      </c>
      <c r="H5250" s="11">
        <v>82</v>
      </c>
      <c r="I5250" s="11">
        <v>19</v>
      </c>
      <c r="J5250" s="11">
        <v>0</v>
      </c>
      <c r="K5250" s="11" t="s">
        <v>21</v>
      </c>
      <c r="L5250" s="7">
        <v>41255.377905092595</v>
      </c>
      <c r="M5250" s="12"/>
      <c r="N5250" s="12" t="s">
        <v>7987</v>
      </c>
      <c r="O5250" s="10" t="str">
        <f>HYPERLINK("https://pbs.twimg.com/profile_images/722247394377777152/68jeiqXN_normal.jpg","View")</f>
        <v>View</v>
      </c>
      <c r="P5250" s="11"/>
    </row>
    <row r="5251" spans="1:16" ht="12.75" x14ac:dyDescent="0.35">
      <c r="A5251" s="7">
        <v>42483.215358796297</v>
      </c>
      <c r="B5251" s="8" t="str">
        <f>HYPERLINK("https://twitter.com/MorSvinka_83","@MorSvinka_83")</f>
        <v>@MorSvinka_83</v>
      </c>
      <c r="C5251" s="9" t="s">
        <v>9071</v>
      </c>
      <c r="D5251" s="9" t="s">
        <v>12129</v>
      </c>
      <c r="E5251" s="10" t="str">
        <f>HYPERLINK("https://twitter.com/MorSvinka_83/status/723657666665562112","723657666665562112")</f>
        <v>723657666665562112</v>
      </c>
      <c r="F5251" s="11" t="s">
        <v>63</v>
      </c>
      <c r="G5251" s="11">
        <v>81</v>
      </c>
      <c r="H5251" s="11">
        <v>127</v>
      </c>
      <c r="I5251" s="11">
        <v>0</v>
      </c>
      <c r="J5251" s="11">
        <v>0</v>
      </c>
      <c r="K5251" s="11" t="s">
        <v>21</v>
      </c>
      <c r="L5251" s="7">
        <v>40900.763842592591</v>
      </c>
      <c r="M5251" s="12" t="s">
        <v>9073</v>
      </c>
      <c r="N5251" s="12"/>
      <c r="O5251" s="10" t="str">
        <f>HYPERLINK("https://pbs.twimg.com/profile_images/2208847688/Untitled-2_normal.jpg","View")</f>
        <v>View</v>
      </c>
      <c r="P5251" s="11"/>
    </row>
    <row r="5252" spans="1:16" ht="12.75" x14ac:dyDescent="0.35">
      <c r="A5252" s="7">
        <v>42483.217719907407</v>
      </c>
      <c r="B5252" s="8" t="str">
        <f>HYPERLINK("https://twitter.com/n05w04","@n05w04")</f>
        <v>@n05w04</v>
      </c>
      <c r="C5252" s="9" t="s">
        <v>12130</v>
      </c>
      <c r="D5252" s="9" t="s">
        <v>12131</v>
      </c>
      <c r="E5252" s="10" t="str">
        <f>HYPERLINK("https://twitter.com/n05w04/status/723658525050728453","723658525050728453")</f>
        <v>723658525050728453</v>
      </c>
      <c r="F5252" s="11" t="s">
        <v>43</v>
      </c>
      <c r="G5252" s="11">
        <v>737</v>
      </c>
      <c r="H5252" s="11">
        <v>672</v>
      </c>
      <c r="I5252" s="11">
        <v>0</v>
      </c>
      <c r="J5252" s="11">
        <v>0</v>
      </c>
      <c r="K5252" s="11" t="s">
        <v>21</v>
      </c>
      <c r="L5252" s="7">
        <v>41461.37091435185</v>
      </c>
      <c r="M5252" s="12"/>
      <c r="N5252" s="12" t="s">
        <v>12132</v>
      </c>
      <c r="O5252" s="10" t="str">
        <f>HYPERLINK("https://pbs.twimg.com/profile_images/442914198830329856/CPRlK2Ur_normal.jpeg","View")</f>
        <v>View</v>
      </c>
      <c r="P5252" s="11"/>
    </row>
    <row r="5253" spans="1:16" ht="12.75" x14ac:dyDescent="0.35">
      <c r="A5253" s="7">
        <v>42483.218807870369</v>
      </c>
      <c r="B5253" s="8" t="str">
        <f t="shared" ref="B5253:B5254" si="457">HYPERLINK("https://twitter.com/VWBeetleSales","@VWBeetleSales")</f>
        <v>@VWBeetleSales</v>
      </c>
      <c r="C5253" s="9" t="s">
        <v>127</v>
      </c>
      <c r="D5253" s="9" t="s">
        <v>12133</v>
      </c>
      <c r="E5253" s="10" t="str">
        <f>HYPERLINK("https://twitter.com/VWBeetleSales/status/723658917381730305","723658917381730305")</f>
        <v>723658917381730305</v>
      </c>
      <c r="F5253" s="10" t="s">
        <v>124</v>
      </c>
      <c r="G5253" s="11">
        <v>36</v>
      </c>
      <c r="H5253" s="11">
        <v>32</v>
      </c>
      <c r="I5253" s="11">
        <v>0</v>
      </c>
      <c r="J5253" s="11">
        <v>0</v>
      </c>
      <c r="K5253" s="11" t="s">
        <v>21</v>
      </c>
      <c r="L5253" s="7">
        <v>42427.019756944443</v>
      </c>
      <c r="M5253" s="12" t="s">
        <v>129</v>
      </c>
      <c r="N5253" s="12" t="s">
        <v>130</v>
      </c>
      <c r="O5253" s="10" t="str">
        <f t="shared" ref="O5253:O5254" si="458">HYPERLINK("https://pbs.twimg.com/profile_images/703294545195307008/qeCvrX86_normal.jpg","View")</f>
        <v>View</v>
      </c>
      <c r="P5253" s="11"/>
    </row>
    <row r="5254" spans="1:16" ht="12.75" x14ac:dyDescent="0.35">
      <c r="A5254" s="7">
        <v>42483.218831018516</v>
      </c>
      <c r="B5254" s="8" t="str">
        <f t="shared" si="457"/>
        <v>@VWBeetleSales</v>
      </c>
      <c r="C5254" s="9" t="s">
        <v>127</v>
      </c>
      <c r="D5254" s="9" t="s">
        <v>12134</v>
      </c>
      <c r="E5254" s="10" t="str">
        <f>HYPERLINK("https://twitter.com/VWBeetleSales/status/723658925438996480","723658925438996480")</f>
        <v>723658925438996480</v>
      </c>
      <c r="F5254" s="10" t="s">
        <v>124</v>
      </c>
      <c r="G5254" s="11">
        <v>36</v>
      </c>
      <c r="H5254" s="11">
        <v>32</v>
      </c>
      <c r="I5254" s="11">
        <v>0</v>
      </c>
      <c r="J5254" s="11">
        <v>0</v>
      </c>
      <c r="K5254" s="11" t="s">
        <v>21</v>
      </c>
      <c r="L5254" s="7">
        <v>42427.019756944443</v>
      </c>
      <c r="M5254" s="12" t="s">
        <v>129</v>
      </c>
      <c r="N5254" s="12" t="s">
        <v>130</v>
      </c>
      <c r="O5254" s="10" t="str">
        <f t="shared" si="458"/>
        <v>View</v>
      </c>
      <c r="P5254" s="11"/>
    </row>
    <row r="5255" spans="1:16" ht="12.75" x14ac:dyDescent="0.35">
      <c r="A5255" s="7">
        <v>42483.220312500001</v>
      </c>
      <c r="B5255" s="8" t="str">
        <f>HYPERLINK("https://twitter.com/feerquiroga710","@feerquiroga710")</f>
        <v>@feerquiroga710</v>
      </c>
      <c r="C5255" s="9" t="s">
        <v>12135</v>
      </c>
      <c r="D5255" s="9" t="s">
        <v>11951</v>
      </c>
      <c r="E5255" s="10" t="str">
        <f>HYPERLINK("https://twitter.com/feerquiroga710/status/723659463647977472","723659463647977472")</f>
        <v>723659463647977472</v>
      </c>
      <c r="F5255" s="11" t="s">
        <v>48</v>
      </c>
      <c r="G5255" s="11">
        <v>61</v>
      </c>
      <c r="H5255" s="11">
        <v>218</v>
      </c>
      <c r="I5255" s="11">
        <v>21</v>
      </c>
      <c r="J5255" s="11">
        <v>0</v>
      </c>
      <c r="K5255" s="11" t="s">
        <v>21</v>
      </c>
      <c r="L5255" s="7">
        <v>42339.927361111113</v>
      </c>
      <c r="M5255" s="12"/>
      <c r="N5255" s="12" t="s">
        <v>12136</v>
      </c>
      <c r="O5255" s="10" t="str">
        <f>HYPERLINK("https://pbs.twimg.com/profile_images/714295690629947392/xeCSYFnl_normal.jpg","View")</f>
        <v>View</v>
      </c>
      <c r="P5255" s="11"/>
    </row>
    <row r="5256" spans="1:16" ht="12.75" x14ac:dyDescent="0.35">
      <c r="A5256" s="7">
        <v>42483.220578703702</v>
      </c>
      <c r="B5256" s="8" t="str">
        <f>HYPERLINK("https://twitter.com/soolriivero","@soolriivero")</f>
        <v>@soolriivero</v>
      </c>
      <c r="C5256" s="9" t="s">
        <v>12137</v>
      </c>
      <c r="D5256" s="9" t="s">
        <v>11951</v>
      </c>
      <c r="E5256" s="10" t="str">
        <f>HYPERLINK("https://twitter.com/soolriivero/status/723659560272171013","723659560272171013")</f>
        <v>723659560272171013</v>
      </c>
      <c r="F5256" s="11" t="s">
        <v>48</v>
      </c>
      <c r="G5256" s="11">
        <v>805</v>
      </c>
      <c r="H5256" s="11">
        <v>413</v>
      </c>
      <c r="I5256" s="11">
        <v>21</v>
      </c>
      <c r="J5256" s="11">
        <v>0</v>
      </c>
      <c r="K5256" s="11" t="s">
        <v>21</v>
      </c>
      <c r="L5256" s="7">
        <v>41994.552152777775</v>
      </c>
      <c r="M5256" s="12" t="s">
        <v>12138</v>
      </c>
      <c r="N5256" s="12" t="s">
        <v>12139</v>
      </c>
      <c r="O5256" s="10" t="str">
        <f>HYPERLINK("https://pbs.twimg.com/profile_images/720801824618520576/8Lrf2MJD_normal.jpg","View")</f>
        <v>View</v>
      </c>
      <c r="P5256" s="11"/>
    </row>
    <row r="5257" spans="1:16" ht="12.75" x14ac:dyDescent="0.35">
      <c r="A5257" s="7">
        <v>42483.221539351856</v>
      </c>
      <c r="B5257" s="8" t="str">
        <f>HYPERLINK("https://twitter.com/MDBlanchfield","@MDBlanchfield")</f>
        <v>@MDBlanchfield</v>
      </c>
      <c r="C5257" s="9" t="s">
        <v>5807</v>
      </c>
      <c r="D5257" s="9" t="s">
        <v>12140</v>
      </c>
      <c r="E5257" s="10" t="str">
        <f>HYPERLINK("https://twitter.com/MDBlanchfield/status/723659905945636865","723659905945636865")</f>
        <v>723659905945636865</v>
      </c>
      <c r="F5257" s="11" t="s">
        <v>1034</v>
      </c>
      <c r="G5257" s="11">
        <v>24226</v>
      </c>
      <c r="H5257" s="11">
        <v>21844</v>
      </c>
      <c r="I5257" s="11">
        <v>1</v>
      </c>
      <c r="J5257" s="11">
        <v>0</v>
      </c>
      <c r="K5257" s="11" t="s">
        <v>21</v>
      </c>
      <c r="L5257" s="7">
        <v>41084.212696759263</v>
      </c>
      <c r="M5257" s="12" t="s">
        <v>4373</v>
      </c>
      <c r="N5257" s="12" t="s">
        <v>5809</v>
      </c>
      <c r="O5257" s="10" t="str">
        <f>HYPERLINK("https://pbs.twimg.com/profile_images/717361645454905344/eSYXksup_normal.jpg","View")</f>
        <v>View</v>
      </c>
      <c r="P5257" s="11"/>
    </row>
    <row r="5258" spans="1:16" ht="12.75" x14ac:dyDescent="0.35">
      <c r="A5258" s="7">
        <v>42483.221875000003</v>
      </c>
      <c r="B5258" s="8" t="str">
        <f>HYPERLINK("https://twitter.com/jess_gq","@jess_gq")</f>
        <v>@jess_gq</v>
      </c>
      <c r="C5258" s="9" t="s">
        <v>12141</v>
      </c>
      <c r="D5258" s="9" t="s">
        <v>12142</v>
      </c>
      <c r="E5258" s="10" t="str">
        <f>HYPERLINK("https://twitter.com/jess_gq/status/723660029715324928","723660029715324928")</f>
        <v>723660029715324928</v>
      </c>
      <c r="F5258" s="11" t="s">
        <v>20</v>
      </c>
      <c r="G5258" s="11">
        <v>1196</v>
      </c>
      <c r="H5258" s="11">
        <v>2025</v>
      </c>
      <c r="I5258" s="11">
        <v>0</v>
      </c>
      <c r="J5258" s="11">
        <v>0</v>
      </c>
      <c r="K5258" s="11" t="s">
        <v>21</v>
      </c>
      <c r="L5258" s="7">
        <v>39890.107499999998</v>
      </c>
      <c r="M5258" s="12" t="s">
        <v>462</v>
      </c>
      <c r="N5258" s="12" t="s">
        <v>12143</v>
      </c>
      <c r="O5258" s="10" t="str">
        <f>HYPERLINK("https://pbs.twimg.com/profile_images/720000905089667073/2aXZd0yK_normal.jpg","View")</f>
        <v>View</v>
      </c>
      <c r="P5258" s="11"/>
    </row>
    <row r="5259" spans="1:16" ht="12.75" x14ac:dyDescent="0.35">
      <c r="A5259" s="7">
        <v>42483.223020833335</v>
      </c>
      <c r="B5259" s="8" t="str">
        <f>HYPERLINK("https://twitter.com/damdamok","@damdamok")</f>
        <v>@damdamok</v>
      </c>
      <c r="C5259" s="9" t="s">
        <v>12144</v>
      </c>
      <c r="D5259" s="9" t="s">
        <v>12145</v>
      </c>
      <c r="E5259" s="10" t="str">
        <f>HYPERLINK("https://twitter.com/damdamok/status/723660445039640577","723660445039640577")</f>
        <v>723660445039640577</v>
      </c>
      <c r="F5259" s="11" t="s">
        <v>114</v>
      </c>
      <c r="G5259" s="11">
        <v>414</v>
      </c>
      <c r="H5259" s="11">
        <v>238</v>
      </c>
      <c r="I5259" s="11">
        <v>0</v>
      </c>
      <c r="J5259" s="11">
        <v>0</v>
      </c>
      <c r="K5259" s="11" t="s">
        <v>21</v>
      </c>
      <c r="L5259" s="7">
        <v>40235.923483796294</v>
      </c>
      <c r="M5259" s="12" t="s">
        <v>2867</v>
      </c>
      <c r="N5259" s="12" t="s">
        <v>12146</v>
      </c>
      <c r="O5259" s="10" t="str">
        <f>HYPERLINK("https://pbs.twimg.com/profile_images/716686215861420032/nElCGDlo_normal.jpg","View")</f>
        <v>View</v>
      </c>
      <c r="P5259" s="11"/>
    </row>
    <row r="5260" spans="1:16" ht="12.75" x14ac:dyDescent="0.35">
      <c r="A5260" s="7">
        <v>42483.223229166666</v>
      </c>
      <c r="B5260" s="8" t="str">
        <f>HYPERLINK("https://twitter.com/Fabio_gonzalezs","@Fabio_gonzalezs")</f>
        <v>@Fabio_gonzalezs</v>
      </c>
      <c r="C5260" s="9" t="s">
        <v>12147</v>
      </c>
      <c r="D5260" s="9" t="s">
        <v>10808</v>
      </c>
      <c r="E5260" s="10" t="str">
        <f>HYPERLINK("https://twitter.com/Fabio_gonzalezs/status/723660521170440192","723660521170440192")</f>
        <v>723660521170440192</v>
      </c>
      <c r="F5260" s="11" t="s">
        <v>48</v>
      </c>
      <c r="G5260" s="11">
        <v>361</v>
      </c>
      <c r="H5260" s="11">
        <v>526</v>
      </c>
      <c r="I5260" s="11">
        <v>56</v>
      </c>
      <c r="J5260" s="11">
        <v>0</v>
      </c>
      <c r="K5260" s="11" t="s">
        <v>21</v>
      </c>
      <c r="L5260" s="7">
        <v>42033.349062499998</v>
      </c>
      <c r="M5260" s="12" t="s">
        <v>12148</v>
      </c>
      <c r="N5260" s="12" t="s">
        <v>12149</v>
      </c>
      <c r="O5260" s="10" t="str">
        <f>HYPERLINK("https://pbs.twimg.com/profile_images/700934646029279232/ZBynIyxT_normal.jpg","View")</f>
        <v>View</v>
      </c>
      <c r="P5260" s="11"/>
    </row>
    <row r="5261" spans="1:16" ht="12.75" x14ac:dyDescent="0.35">
      <c r="A5261" s="7">
        <v>42483.224502314813</v>
      </c>
      <c r="B5261" s="8" t="str">
        <f>HYPERLINK("https://twitter.com/VolkswagenPost","@VolkswagenPost")</f>
        <v>@VolkswagenPost</v>
      </c>
      <c r="C5261" s="9" t="s">
        <v>321</v>
      </c>
      <c r="D5261" s="9" t="s">
        <v>12150</v>
      </c>
      <c r="E5261" s="10" t="str">
        <f>HYPERLINK("https://twitter.com/VolkswagenPost/status/723660982296281088","723660982296281088")</f>
        <v>723660982296281088</v>
      </c>
      <c r="F5261" s="11" t="s">
        <v>34</v>
      </c>
      <c r="G5261" s="11">
        <v>569</v>
      </c>
      <c r="H5261" s="11">
        <v>446</v>
      </c>
      <c r="I5261" s="11">
        <v>0</v>
      </c>
      <c r="J5261" s="11">
        <v>0</v>
      </c>
      <c r="K5261" s="11" t="s">
        <v>21</v>
      </c>
      <c r="L5261" s="7">
        <v>41940.618379629632</v>
      </c>
      <c r="M5261" s="12"/>
      <c r="N5261" s="12"/>
      <c r="O5261" s="10" t="str">
        <f>HYPERLINK("https://pbs.twimg.com/profile_images/530071272881803264/a_jcCmPZ_normal.png","View")</f>
        <v>View</v>
      </c>
      <c r="P5261" s="11"/>
    </row>
    <row r="5262" spans="1:16" ht="12.75" x14ac:dyDescent="0.35">
      <c r="A5262" s="7">
        <v>42483.225416666668</v>
      </c>
      <c r="B5262" s="8" t="str">
        <f>HYPERLINK("https://twitter.com/hernancarlos88","@hernancarlos88")</f>
        <v>@hernancarlos88</v>
      </c>
      <c r="C5262" s="9" t="s">
        <v>12151</v>
      </c>
      <c r="D5262" s="9" t="s">
        <v>12152</v>
      </c>
      <c r="E5262" s="10" t="str">
        <f>HYPERLINK("https://twitter.com/hernancarlos88/status/723661313080053760","723661313080053760")</f>
        <v>723661313080053760</v>
      </c>
      <c r="F5262" s="11" t="s">
        <v>48</v>
      </c>
      <c r="G5262" s="11">
        <v>1212</v>
      </c>
      <c r="H5262" s="11">
        <v>1368</v>
      </c>
      <c r="I5262" s="11">
        <v>1</v>
      </c>
      <c r="J5262" s="11">
        <v>0</v>
      </c>
      <c r="K5262" s="11" t="s">
        <v>21</v>
      </c>
      <c r="L5262" s="7">
        <v>42438.880972222221</v>
      </c>
      <c r="M5262" s="12"/>
      <c r="N5262" s="12"/>
      <c r="O5262" s="10" t="str">
        <f>HYPERLINK("https://pbs.twimg.com/profile_images/707593065850994688/vfHYeV8C_normal.jpg","View")</f>
        <v>View</v>
      </c>
      <c r="P5262" s="11"/>
    </row>
    <row r="5263" spans="1:16" ht="12.75" x14ac:dyDescent="0.35">
      <c r="A5263" s="7">
        <v>42483.227511574078</v>
      </c>
      <c r="B5263" s="8" t="str">
        <f>HYPERLINK("https://twitter.com/805CameraBus","@805CameraBus")</f>
        <v>@805CameraBus</v>
      </c>
      <c r="C5263" s="9" t="s">
        <v>12153</v>
      </c>
      <c r="D5263" s="9" t="s">
        <v>12154</v>
      </c>
      <c r="E5263" s="10" t="str">
        <f>HYPERLINK("https://twitter.com/805CameraBus/status/723662069740904448","723662069740904448")</f>
        <v>723662069740904448</v>
      </c>
      <c r="F5263" s="11" t="s">
        <v>43</v>
      </c>
      <c r="G5263" s="11">
        <v>4</v>
      </c>
      <c r="H5263" s="11">
        <v>57</v>
      </c>
      <c r="I5263" s="11">
        <v>0</v>
      </c>
      <c r="J5263" s="11">
        <v>0</v>
      </c>
      <c r="K5263" s="11" t="s">
        <v>21</v>
      </c>
      <c r="L5263" s="7">
        <v>42461.455231481479</v>
      </c>
      <c r="M5263" s="12" t="s">
        <v>12155</v>
      </c>
      <c r="N5263" s="12" t="s">
        <v>12156</v>
      </c>
      <c r="O5263" s="10" t="str">
        <f>HYPERLINK("https://pbs.twimg.com/profile_images/715772857578602497/Bwg-n1yL_normal.jpg","View")</f>
        <v>View</v>
      </c>
      <c r="P5263" s="11"/>
    </row>
    <row r="5264" spans="1:16" ht="12.75" x14ac:dyDescent="0.35">
      <c r="A5264" s="7">
        <v>42483.227534722224</v>
      </c>
      <c r="B5264" s="8" t="str">
        <f>HYPERLINK("https://twitter.com/jahdaic","@jahdaic")</f>
        <v>@jahdaic</v>
      </c>
      <c r="C5264" s="9" t="s">
        <v>12157</v>
      </c>
      <c r="D5264" s="9" t="s">
        <v>12158</v>
      </c>
      <c r="E5264" s="10" t="str">
        <f>HYPERLINK("https://twitter.com/jahdaic/status/723662079425695745","723662079425695745")</f>
        <v>723662079425695745</v>
      </c>
      <c r="F5264" s="11" t="s">
        <v>20</v>
      </c>
      <c r="G5264" s="11">
        <v>98</v>
      </c>
      <c r="H5264" s="11">
        <v>84</v>
      </c>
      <c r="I5264" s="11">
        <v>0</v>
      </c>
      <c r="J5264" s="11">
        <v>0</v>
      </c>
      <c r="K5264" s="11" t="s">
        <v>21</v>
      </c>
      <c r="L5264" s="7">
        <v>39508.21980324074</v>
      </c>
      <c r="M5264" s="12" t="s">
        <v>12159</v>
      </c>
      <c r="N5264" s="12" t="s">
        <v>12160</v>
      </c>
      <c r="O5264" s="10" t="str">
        <f>HYPERLINK("https://pbs.twimg.com/profile_images/722859223089070080/75kCpYCK_normal.jpg","View")</f>
        <v>View</v>
      </c>
      <c r="P5264" s="11"/>
    </row>
    <row r="5265" spans="1:16" ht="12.75" x14ac:dyDescent="0.35">
      <c r="A5265" s="7">
        <v>42483.227546296301</v>
      </c>
      <c r="B5265" s="8" t="str">
        <f>HYPERLINK("https://twitter.com/VWBeetleSales","@VWBeetleSales")</f>
        <v>@VWBeetleSales</v>
      </c>
      <c r="C5265" s="9" t="s">
        <v>127</v>
      </c>
      <c r="D5265" s="9" t="s">
        <v>12161</v>
      </c>
      <c r="E5265" s="10" t="str">
        <f>HYPERLINK("https://twitter.com/VWBeetleSales/status/723662083426918401","723662083426918401")</f>
        <v>723662083426918401</v>
      </c>
      <c r="F5265" s="10" t="s">
        <v>124</v>
      </c>
      <c r="G5265" s="11">
        <v>36</v>
      </c>
      <c r="H5265" s="11">
        <v>32</v>
      </c>
      <c r="I5265" s="11">
        <v>0</v>
      </c>
      <c r="J5265" s="11">
        <v>0</v>
      </c>
      <c r="K5265" s="11" t="s">
        <v>21</v>
      </c>
      <c r="L5265" s="7">
        <v>42427.019756944443</v>
      </c>
      <c r="M5265" s="12" t="s">
        <v>129</v>
      </c>
      <c r="N5265" s="12" t="s">
        <v>130</v>
      </c>
      <c r="O5265" s="10" t="str">
        <f>HYPERLINK("https://pbs.twimg.com/profile_images/703294545195307008/qeCvrX86_normal.jpg","View")</f>
        <v>View</v>
      </c>
      <c r="P5265" s="11"/>
    </row>
    <row r="5266" spans="1:16" ht="12.75" x14ac:dyDescent="0.35">
      <c r="A5266" s="7">
        <v>42483.228993055556</v>
      </c>
      <c r="B5266" s="8" t="str">
        <f>HYPERLINK("https://twitter.com/sinairally","@sinairally")</f>
        <v>@sinairally</v>
      </c>
      <c r="C5266" s="9" t="s">
        <v>12162</v>
      </c>
      <c r="D5266" s="9" t="s">
        <v>12163</v>
      </c>
      <c r="E5266" s="10" t="str">
        <f>HYPERLINK("https://twitter.com/sinairally/status/723662608864317442","723662608864317442")</f>
        <v>723662608864317442</v>
      </c>
      <c r="F5266" s="11" t="s">
        <v>68</v>
      </c>
      <c r="G5266" s="11">
        <v>174</v>
      </c>
      <c r="H5266" s="11">
        <v>568</v>
      </c>
      <c r="I5266" s="11">
        <v>0</v>
      </c>
      <c r="J5266" s="11">
        <v>0</v>
      </c>
      <c r="K5266" s="11" t="s">
        <v>21</v>
      </c>
      <c r="L5266" s="7">
        <v>40200.250775462962</v>
      </c>
      <c r="M5266" s="12" t="s">
        <v>5079</v>
      </c>
      <c r="N5266" s="12" t="s">
        <v>12164</v>
      </c>
      <c r="O5266" s="10" t="str">
        <f>HYPERLINK("https://pbs.twimg.com/profile_images/697117108275146753/gEm5e8_g_normal.png","View")</f>
        <v>View</v>
      </c>
      <c r="P5266" s="11"/>
    </row>
    <row r="5267" spans="1:16" ht="12.75" x14ac:dyDescent="0.35">
      <c r="A5267" s="7">
        <v>42483.231261574074</v>
      </c>
      <c r="B5267" s="8" t="str">
        <f t="shared" ref="B5267:B5268" si="459">HYPERLINK("https://twitter.com/beetlebug1938","@beetlebug1938")</f>
        <v>@beetlebug1938</v>
      </c>
      <c r="C5267" s="9" t="s">
        <v>66</v>
      </c>
      <c r="D5267" s="9" t="s">
        <v>12165</v>
      </c>
      <c r="E5267" s="10" t="str">
        <f>HYPERLINK("https://twitter.com/beetlebug1938/status/723663430100594688","723663430100594688")</f>
        <v>723663430100594688</v>
      </c>
      <c r="F5267" s="11" t="s">
        <v>68</v>
      </c>
      <c r="G5267" s="11">
        <v>360</v>
      </c>
      <c r="H5267" s="11">
        <v>2222</v>
      </c>
      <c r="I5267" s="11">
        <v>1</v>
      </c>
      <c r="J5267" s="11">
        <v>0</v>
      </c>
      <c r="K5267" s="11" t="s">
        <v>21</v>
      </c>
      <c r="L5267" s="7">
        <v>42469.863865740743</v>
      </c>
      <c r="M5267" s="12" t="s">
        <v>69</v>
      </c>
      <c r="N5267" s="12"/>
      <c r="O5267" s="10" t="str">
        <f t="shared" ref="O5267:O5268" si="460">HYPERLINK("https://pbs.twimg.com/profile_images/718820712757215233/LXXndPTS_normal.jpg","View")</f>
        <v>View</v>
      </c>
      <c r="P5267" s="11"/>
    </row>
    <row r="5268" spans="1:16" ht="12.75" x14ac:dyDescent="0.35">
      <c r="A5268" s="7">
        <v>42483.231273148151</v>
      </c>
      <c r="B5268" s="8" t="str">
        <f t="shared" si="459"/>
        <v>@beetlebug1938</v>
      </c>
      <c r="C5268" s="9" t="s">
        <v>66</v>
      </c>
      <c r="D5268" s="9" t="s">
        <v>12166</v>
      </c>
      <c r="E5268" s="10" t="str">
        <f>HYPERLINK("https://twitter.com/beetlebug1938/status/723663436413034496","723663436413034496")</f>
        <v>723663436413034496</v>
      </c>
      <c r="F5268" s="11" t="s">
        <v>68</v>
      </c>
      <c r="G5268" s="11">
        <v>360</v>
      </c>
      <c r="H5268" s="11">
        <v>2222</v>
      </c>
      <c r="I5268" s="11">
        <v>0</v>
      </c>
      <c r="J5268" s="11">
        <v>0</v>
      </c>
      <c r="K5268" s="11" t="s">
        <v>21</v>
      </c>
      <c r="L5268" s="7">
        <v>42469.863865740743</v>
      </c>
      <c r="M5268" s="12" t="s">
        <v>69</v>
      </c>
      <c r="N5268" s="12"/>
      <c r="O5268" s="10" t="str">
        <f t="shared" si="460"/>
        <v>View</v>
      </c>
      <c r="P5268" s="11"/>
    </row>
    <row r="5269" spans="1:16" ht="12.75" x14ac:dyDescent="0.35">
      <c r="A5269" s="7">
        <v>42483.231724537036</v>
      </c>
      <c r="B5269" s="8" t="str">
        <f>HYPERLINK("https://twitter.com/VWCamperSales","@VWCamperSales")</f>
        <v>@VWCamperSales</v>
      </c>
      <c r="C5269" s="9" t="s">
        <v>216</v>
      </c>
      <c r="D5269" s="9" t="s">
        <v>12167</v>
      </c>
      <c r="E5269" s="10" t="str">
        <f>HYPERLINK("https://twitter.com/VWCamperSales/status/723663598266908672","723663598266908672")</f>
        <v>723663598266908672</v>
      </c>
      <c r="F5269" s="10" t="s">
        <v>124</v>
      </c>
      <c r="G5269" s="11">
        <v>619</v>
      </c>
      <c r="H5269" s="11">
        <v>580</v>
      </c>
      <c r="I5269" s="11">
        <v>0</v>
      </c>
      <c r="J5269" s="11">
        <v>0</v>
      </c>
      <c r="K5269" s="11" t="s">
        <v>21</v>
      </c>
      <c r="L5269" s="7">
        <v>42215.98809027778</v>
      </c>
      <c r="M5269" s="12" t="s">
        <v>129</v>
      </c>
      <c r="N5269" s="12" t="s">
        <v>218</v>
      </c>
      <c r="O5269" s="10" t="str">
        <f>HYPERLINK("https://pbs.twimg.com/profile_images/627949001179037696/skEBkS05_normal.jpg","View")</f>
        <v>View</v>
      </c>
      <c r="P5269" s="11"/>
    </row>
    <row r="5270" spans="1:16" ht="12.75" x14ac:dyDescent="0.35">
      <c r="A5270" s="7">
        <v>42483.231863425928</v>
      </c>
      <c r="B5270" s="8" t="str">
        <f>HYPERLINK("https://twitter.com/FuscaWorld","@FuscaWorld")</f>
        <v>@FuscaWorld</v>
      </c>
      <c r="C5270" s="9" t="s">
        <v>74</v>
      </c>
      <c r="D5270" s="9" t="s">
        <v>12168</v>
      </c>
      <c r="E5270" s="10" t="str">
        <f>HYPERLINK("https://twitter.com/FuscaWorld/status/723663648275750912","723663648275750912")</f>
        <v>723663648275750912</v>
      </c>
      <c r="F5270" s="11" t="s">
        <v>76</v>
      </c>
      <c r="G5270" s="11">
        <v>49</v>
      </c>
      <c r="H5270" s="11">
        <v>1</v>
      </c>
      <c r="I5270" s="11">
        <v>1</v>
      </c>
      <c r="J5270" s="11">
        <v>0</v>
      </c>
      <c r="K5270" s="11" t="s">
        <v>21</v>
      </c>
      <c r="L5270" s="7">
        <v>42433.880914351852</v>
      </c>
      <c r="M5270" s="12"/>
      <c r="N5270" s="12" t="s">
        <v>77</v>
      </c>
      <c r="O5270" s="10" t="str">
        <f>HYPERLINK("https://pbs.twimg.com/profile_images/705780107844067328/e7O4UBNb_normal.jpg","View")</f>
        <v>View</v>
      </c>
      <c r="P5270" s="11"/>
    </row>
    <row r="5271" spans="1:16" ht="12.75" x14ac:dyDescent="0.35">
      <c r="A5271" s="7">
        <v>42483.23474537037</v>
      </c>
      <c r="B5271" s="8" t="str">
        <f>HYPERLINK("https://twitter.com/mark_germain","@mark_germain")</f>
        <v>@mark_germain</v>
      </c>
      <c r="C5271" s="9" t="s">
        <v>12169</v>
      </c>
      <c r="D5271" s="9" t="s">
        <v>12170</v>
      </c>
      <c r="E5271" s="10" t="str">
        <f>HYPERLINK("https://twitter.com/mark_germain/status/723664691449438210","723664691449438210")</f>
        <v>723664691449438210</v>
      </c>
      <c r="F5271" s="11" t="s">
        <v>3871</v>
      </c>
      <c r="G5271" s="11">
        <v>315</v>
      </c>
      <c r="H5271" s="11">
        <v>444</v>
      </c>
      <c r="I5271" s="11">
        <v>0</v>
      </c>
      <c r="J5271" s="11">
        <v>0</v>
      </c>
      <c r="K5271" s="11" t="s">
        <v>21</v>
      </c>
      <c r="L5271" s="7">
        <v>41156.341817129629</v>
      </c>
      <c r="M5271" s="12" t="s">
        <v>12171</v>
      </c>
      <c r="N5271" s="12" t="s">
        <v>12172</v>
      </c>
      <c r="O5271" s="10" t="str">
        <f>HYPERLINK("https://pbs.twimg.com/profile_images/667796187039199233/B8zDXbfw_normal.jpg","View")</f>
        <v>View</v>
      </c>
      <c r="P5271" s="11"/>
    </row>
    <row r="5272" spans="1:16" ht="12.75" x14ac:dyDescent="0.35">
      <c r="A5272" s="7">
        <v>42483.23474537037</v>
      </c>
      <c r="B5272" s="8" t="str">
        <f>HYPERLINK("https://twitter.com/BeaconWealth","@BeaconWealth")</f>
        <v>@BeaconWealth</v>
      </c>
      <c r="C5272" s="9" t="s">
        <v>12173</v>
      </c>
      <c r="D5272" s="9" t="s">
        <v>12174</v>
      </c>
      <c r="E5272" s="10" t="str">
        <f>HYPERLINK("https://twitter.com/BeaconWealth/status/723664694523924480","723664694523924480")</f>
        <v>723664694523924480</v>
      </c>
      <c r="F5272" s="11" t="s">
        <v>3871</v>
      </c>
      <c r="G5272" s="11">
        <v>295</v>
      </c>
      <c r="H5272" s="11">
        <v>852</v>
      </c>
      <c r="I5272" s="11">
        <v>0</v>
      </c>
      <c r="J5272" s="11">
        <v>0</v>
      </c>
      <c r="K5272" s="11" t="s">
        <v>21</v>
      </c>
      <c r="L5272" s="7">
        <v>40220.229375000003</v>
      </c>
      <c r="M5272" s="12" t="s">
        <v>12175</v>
      </c>
      <c r="N5272" s="12" t="s">
        <v>12176</v>
      </c>
      <c r="O5272" s="10" t="str">
        <f>HYPERLINK("https://pbs.twimg.com/profile_images/2599636126/x02y4h1jup58idpvausw_normal.jpeg","View")</f>
        <v>View</v>
      </c>
      <c r="P5272" s="11"/>
    </row>
    <row r="5273" spans="1:16" ht="12.75" x14ac:dyDescent="0.35">
      <c r="A5273" s="7">
        <v>42483.23501157407</v>
      </c>
      <c r="B5273" s="8" t="str">
        <f>HYPERLINK("https://twitter.com/angelmartinber","@angelmartinber")</f>
        <v>@angelmartinber</v>
      </c>
      <c r="C5273" s="9" t="s">
        <v>12177</v>
      </c>
      <c r="D5273" s="9" t="s">
        <v>11902</v>
      </c>
      <c r="E5273" s="10" t="str">
        <f>HYPERLINK("https://twitter.com/angelmartinber/status/723664790401503232","723664790401503232")</f>
        <v>723664790401503232</v>
      </c>
      <c r="F5273" s="11" t="s">
        <v>48</v>
      </c>
      <c r="G5273" s="11">
        <v>156</v>
      </c>
      <c r="H5273" s="11">
        <v>79</v>
      </c>
      <c r="I5273" s="11">
        <v>3</v>
      </c>
      <c r="J5273" s="11">
        <v>0</v>
      </c>
      <c r="K5273" s="11" t="s">
        <v>21</v>
      </c>
      <c r="L5273" s="7">
        <v>41475.917939814812</v>
      </c>
      <c r="M5273" s="12" t="s">
        <v>12178</v>
      </c>
      <c r="N5273" s="12" t="s">
        <v>12179</v>
      </c>
      <c r="O5273" s="10" t="str">
        <f>HYPERLINK("https://pbs.twimg.com/profile_images/653969613936533504/Yb9hq4mK_normal.jpg","View")</f>
        <v>View</v>
      </c>
      <c r="P5273" s="11"/>
    </row>
    <row r="5274" spans="1:16" ht="12.75" x14ac:dyDescent="0.35">
      <c r="A5274" s="7">
        <v>42483.235520833332</v>
      </c>
      <c r="B5274" s="8" t="str">
        <f>HYPERLINK("https://twitter.com/LifeBlab","@LifeBlab")</f>
        <v>@LifeBlab</v>
      </c>
      <c r="C5274" s="9" t="s">
        <v>291</v>
      </c>
      <c r="D5274" s="9" t="s">
        <v>292</v>
      </c>
      <c r="E5274" s="10" t="str">
        <f>HYPERLINK("https://twitter.com/LifeBlab/status/723664975248646145","723664975248646145")</f>
        <v>723664975248646145</v>
      </c>
      <c r="F5274" s="11" t="s">
        <v>213</v>
      </c>
      <c r="G5274" s="11">
        <v>721</v>
      </c>
      <c r="H5274" s="11">
        <v>702</v>
      </c>
      <c r="I5274" s="11">
        <v>0</v>
      </c>
      <c r="J5274" s="11">
        <v>0</v>
      </c>
      <c r="K5274" s="11" t="s">
        <v>21</v>
      </c>
      <c r="L5274" s="7">
        <v>40591.909259259257</v>
      </c>
      <c r="M5274" s="12" t="s">
        <v>293</v>
      </c>
      <c r="N5274" s="12" t="s">
        <v>294</v>
      </c>
      <c r="O5274" s="10" t="str">
        <f>HYPERLINK("https://pbs.twimg.com/profile_images/1247253854/lifeblab-icon6_normal.png","View")</f>
        <v>View</v>
      </c>
      <c r="P5274" s="11"/>
    </row>
    <row r="5275" spans="1:16" ht="12.75" x14ac:dyDescent="0.35">
      <c r="A5275" s="7">
        <v>42483.236319444448</v>
      </c>
      <c r="B5275" s="8" t="str">
        <f>HYPERLINK("https://twitter.com/AutobarnVWCS","@AutobarnVWCS")</f>
        <v>@AutobarnVWCS</v>
      </c>
      <c r="C5275" s="9" t="s">
        <v>12180</v>
      </c>
      <c r="D5275" s="9" t="s">
        <v>12181</v>
      </c>
      <c r="E5275" s="10" t="str">
        <f>HYPERLINK("https://twitter.com/AutobarnVWCS/status/723665261979656192","723665261979656192")</f>
        <v>723665261979656192</v>
      </c>
      <c r="F5275" s="11" t="s">
        <v>152</v>
      </c>
      <c r="G5275" s="11">
        <v>260</v>
      </c>
      <c r="H5275" s="11">
        <v>408</v>
      </c>
      <c r="I5275" s="11">
        <v>0</v>
      </c>
      <c r="J5275" s="11">
        <v>0</v>
      </c>
      <c r="K5275" s="11" t="s">
        <v>21</v>
      </c>
      <c r="L5275" s="7">
        <v>41369.15561342593</v>
      </c>
      <c r="M5275" s="12" t="s">
        <v>12182</v>
      </c>
      <c r="N5275" s="12" t="s">
        <v>12183</v>
      </c>
      <c r="O5275" s="10" t="str">
        <f>HYPERLINK("https://pbs.twimg.com/profile_images/537269183315058688/xeIPssfD_normal.png","View")</f>
        <v>View</v>
      </c>
      <c r="P5275" s="11"/>
    </row>
    <row r="5276" spans="1:16" ht="12.75" x14ac:dyDescent="0.35">
      <c r="A5276" s="7">
        <v>42483.237013888887</v>
      </c>
      <c r="B5276" s="8" t="str">
        <f>HYPERLINK("https://twitter.com/ORattorney","@ORattorney")</f>
        <v>@ORattorney</v>
      </c>
      <c r="C5276" s="9" t="s">
        <v>12184</v>
      </c>
      <c r="D5276" s="9" t="s">
        <v>12116</v>
      </c>
      <c r="E5276" s="10" t="str">
        <f>HYPERLINK("https://twitter.com/ORattorney/status/723665515235790848","723665515235790848")</f>
        <v>723665515235790848</v>
      </c>
      <c r="F5276" s="11" t="s">
        <v>43</v>
      </c>
      <c r="G5276" s="11">
        <v>242</v>
      </c>
      <c r="H5276" s="11">
        <v>582</v>
      </c>
      <c r="I5276" s="11">
        <v>2</v>
      </c>
      <c r="J5276" s="11">
        <v>0</v>
      </c>
      <c r="K5276" s="11" t="s">
        <v>21</v>
      </c>
      <c r="L5276" s="7">
        <v>41803.047407407408</v>
      </c>
      <c r="M5276" s="12" t="s">
        <v>274</v>
      </c>
      <c r="N5276" s="12" t="s">
        <v>12185</v>
      </c>
      <c r="O5276" s="10" t="str">
        <f>HYPERLINK("https://pbs.twimg.com/profile_images/477178494099550208/fDwtt_6w_normal.jpeg","View")</f>
        <v>View</v>
      </c>
      <c r="P5276" s="11"/>
    </row>
    <row r="5277" spans="1:16" ht="12.75" x14ac:dyDescent="0.35">
      <c r="A5277" s="7">
        <v>42483.23709490741</v>
      </c>
      <c r="B5277" s="8" t="str">
        <f>HYPERLINK("https://twitter.com/barclay_m","@barclay_m")</f>
        <v>@barclay_m</v>
      </c>
      <c r="C5277" s="9" t="s">
        <v>12186</v>
      </c>
      <c r="D5277" s="9" t="s">
        <v>12187</v>
      </c>
      <c r="E5277" s="10" t="str">
        <f>HYPERLINK("https://twitter.com/barclay_m/status/723665546324013057","723665546324013057")</f>
        <v>723665546324013057</v>
      </c>
      <c r="F5277" s="11" t="s">
        <v>114</v>
      </c>
      <c r="G5277" s="11">
        <v>638</v>
      </c>
      <c r="H5277" s="11">
        <v>870</v>
      </c>
      <c r="I5277" s="11">
        <v>0</v>
      </c>
      <c r="J5277" s="11">
        <v>0</v>
      </c>
      <c r="K5277" s="11" t="s">
        <v>21</v>
      </c>
      <c r="L5277" s="7">
        <v>40982.215196759258</v>
      </c>
      <c r="M5277" s="12" t="s">
        <v>12188</v>
      </c>
      <c r="N5277" s="12"/>
      <c r="O5277" s="10" t="str">
        <f>HYPERLINK("https://pbs.twimg.com/profile_images/709833135190642690/eUY1fcNe_normal.jpg","View")</f>
        <v>View</v>
      </c>
      <c r="P5277" s="11"/>
    </row>
    <row r="5278" spans="1:16" ht="12.75" x14ac:dyDescent="0.35">
      <c r="A5278" s="7">
        <v>42483.23715277778</v>
      </c>
      <c r="B5278" s="8" t="str">
        <f>HYPERLINK("https://twitter.com/vwscully","@vwscully")</f>
        <v>@vwscully</v>
      </c>
      <c r="C5278" s="9" t="s">
        <v>12189</v>
      </c>
      <c r="D5278" s="9" t="s">
        <v>12190</v>
      </c>
      <c r="E5278" s="10" t="str">
        <f>HYPERLINK("https://twitter.com/vwscully/status/723665565152321536","723665565152321536")</f>
        <v>723665565152321536</v>
      </c>
      <c r="F5278" s="11" t="s">
        <v>43</v>
      </c>
      <c r="G5278" s="11">
        <v>160</v>
      </c>
      <c r="H5278" s="11">
        <v>115</v>
      </c>
      <c r="I5278" s="11">
        <v>0</v>
      </c>
      <c r="J5278" s="11">
        <v>0</v>
      </c>
      <c r="K5278" s="11" t="s">
        <v>21</v>
      </c>
      <c r="L5278" s="7">
        <v>39851.230636574073</v>
      </c>
      <c r="M5278" s="12" t="s">
        <v>12191</v>
      </c>
      <c r="N5278" s="12" t="s">
        <v>12192</v>
      </c>
      <c r="O5278" s="10" t="str">
        <f>HYPERLINK("https://pbs.twimg.com/profile_images/2817103532/22f579fee96ef09817a45107de93154e_normal.jpeg","View")</f>
        <v>View</v>
      </c>
      <c r="P5278" s="11"/>
    </row>
    <row r="5279" spans="1:16" ht="12.75" x14ac:dyDescent="0.35">
      <c r="A5279" s="7">
        <v>42483.237199074079</v>
      </c>
      <c r="B5279" s="8" t="str">
        <f>HYPERLINK("https://twitter.com/EnlaceMexicoMX","@EnlaceMexicoMX")</f>
        <v>@EnlaceMexicoMX</v>
      </c>
      <c r="C5279" s="9" t="s">
        <v>5948</v>
      </c>
      <c r="D5279" s="9" t="s">
        <v>12193</v>
      </c>
      <c r="E5279" s="10" t="str">
        <f>HYPERLINK("https://twitter.com/EnlaceMexicoMX/status/723665582936059904","723665582936059904")</f>
        <v>723665582936059904</v>
      </c>
      <c r="F5279" s="11" t="s">
        <v>43</v>
      </c>
      <c r="G5279" s="11">
        <v>536</v>
      </c>
      <c r="H5279" s="11">
        <v>294</v>
      </c>
      <c r="I5279" s="11">
        <v>0</v>
      </c>
      <c r="J5279" s="11">
        <v>0</v>
      </c>
      <c r="K5279" s="11" t="s">
        <v>21</v>
      </c>
      <c r="L5279" s="7">
        <v>40724.246504629627</v>
      </c>
      <c r="M5279" s="12" t="s">
        <v>5950</v>
      </c>
      <c r="N5279" s="12" t="s">
        <v>5951</v>
      </c>
      <c r="O5279" s="10" t="str">
        <f>HYPERLINK("https://pbs.twimg.com/profile_images/492428476062777344/PinaonZb_normal.jpeg","View")</f>
        <v>View</v>
      </c>
      <c r="P5279" s="11"/>
    </row>
    <row r="5280" spans="1:16" ht="12.75" x14ac:dyDescent="0.35">
      <c r="A5280" s="7">
        <v>42483.238599537042</v>
      </c>
      <c r="B5280" s="8" t="str">
        <f>HYPERLINK("https://twitter.com/rico_moreno","@rico_moreno")</f>
        <v>@rico_moreno</v>
      </c>
      <c r="C5280" s="9" t="s">
        <v>12194</v>
      </c>
      <c r="D5280" s="9" t="s">
        <v>12195</v>
      </c>
      <c r="E5280" s="10" t="str">
        <f>HYPERLINK("https://twitter.com/rico_moreno/status/723666090794983425","723666090794983425")</f>
        <v>723666090794983425</v>
      </c>
      <c r="F5280" s="11" t="s">
        <v>48</v>
      </c>
      <c r="G5280" s="11">
        <v>204</v>
      </c>
      <c r="H5280" s="11">
        <v>1766</v>
      </c>
      <c r="I5280" s="11">
        <v>0</v>
      </c>
      <c r="J5280" s="11">
        <v>0</v>
      </c>
      <c r="K5280" s="11" t="s">
        <v>21</v>
      </c>
      <c r="L5280" s="7">
        <v>40069.762569444443</v>
      </c>
      <c r="M5280" s="12" t="s">
        <v>12196</v>
      </c>
      <c r="N5280" s="12" t="s">
        <v>12197</v>
      </c>
      <c r="O5280" s="10" t="str">
        <f>HYPERLINK("https://pbs.twimg.com/profile_images/473241395436986368/mFhroiNf_normal.jpeg","View")</f>
        <v>View</v>
      </c>
      <c r="P5280" s="11"/>
    </row>
    <row r="5281" spans="1:16" ht="12.75" x14ac:dyDescent="0.35">
      <c r="A5281" s="7">
        <v>42483.241365740745</v>
      </c>
      <c r="B5281" s="8" t="str">
        <f>HYPERLINK("https://twitter.com/SnowAngel0724","@SnowAngel0724")</f>
        <v>@SnowAngel0724</v>
      </c>
      <c r="C5281" s="9" t="s">
        <v>11779</v>
      </c>
      <c r="D5281" s="9" t="s">
        <v>12168</v>
      </c>
      <c r="E5281" s="10" t="str">
        <f>HYPERLINK("https://twitter.com/SnowAngel0724/status/723667091153248256","723667091153248256")</f>
        <v>723667091153248256</v>
      </c>
      <c r="F5281" s="11" t="s">
        <v>20</v>
      </c>
      <c r="G5281" s="11">
        <v>727</v>
      </c>
      <c r="H5281" s="11">
        <v>755</v>
      </c>
      <c r="I5281" s="11">
        <v>2</v>
      </c>
      <c r="J5281" s="11">
        <v>0</v>
      </c>
      <c r="K5281" s="11" t="s">
        <v>21</v>
      </c>
      <c r="L5281" s="7">
        <v>40757.345069444447</v>
      </c>
      <c r="M5281" s="12" t="s">
        <v>11781</v>
      </c>
      <c r="N5281" s="12" t="s">
        <v>11782</v>
      </c>
      <c r="O5281" s="10" t="str">
        <f>HYPERLINK("https://pbs.twimg.com/profile_images/718800395997294592/7kwRAhRd_normal.jpg","View")</f>
        <v>View</v>
      </c>
      <c r="P5281" s="11"/>
    </row>
    <row r="5282" spans="1:16" ht="12.75" x14ac:dyDescent="0.35">
      <c r="A5282" s="7">
        <v>42483.243680555555</v>
      </c>
      <c r="B5282" s="8" t="str">
        <f>HYPERLINK("https://twitter.com/isazozoaga","@isazozoaga")</f>
        <v>@isazozoaga</v>
      </c>
      <c r="C5282" s="9" t="s">
        <v>5954</v>
      </c>
      <c r="D5282" s="9" t="s">
        <v>12198</v>
      </c>
      <c r="E5282" s="10" t="str">
        <f>HYPERLINK("https://twitter.com/isazozoaga/status/723667932346114050","723667932346114050")</f>
        <v>723667932346114050</v>
      </c>
      <c r="F5282" s="11" t="s">
        <v>20</v>
      </c>
      <c r="G5282" s="11">
        <v>89</v>
      </c>
      <c r="H5282" s="11">
        <v>80</v>
      </c>
      <c r="I5282" s="11">
        <v>1</v>
      </c>
      <c r="J5282" s="11">
        <v>0</v>
      </c>
      <c r="K5282" s="11" t="s">
        <v>21</v>
      </c>
      <c r="L5282" s="7">
        <v>41355.405844907407</v>
      </c>
      <c r="M5282" s="12" t="s">
        <v>5956</v>
      </c>
      <c r="N5282" s="12" t="s">
        <v>5957</v>
      </c>
      <c r="O5282" s="10" t="str">
        <f>HYPERLINK("https://pbs.twimg.com/profile_images/447441718514700288/peakR1oV_normal.jpeg","View")</f>
        <v>View</v>
      </c>
      <c r="P5282" s="11"/>
    </row>
    <row r="5283" spans="1:16" ht="12.75" x14ac:dyDescent="0.35">
      <c r="A5283" s="7">
        <v>42483.244409722218</v>
      </c>
      <c r="B5283" s="8" t="str">
        <f>HYPERLINK("https://twitter.com/Scirocco_Tuning","@Scirocco_Tuning")</f>
        <v>@Scirocco_Tuning</v>
      </c>
      <c r="C5283" s="9" t="s">
        <v>51</v>
      </c>
      <c r="D5283" s="9" t="s">
        <v>12199</v>
      </c>
      <c r="E5283" s="10" t="str">
        <f>HYPERLINK("https://twitter.com/Scirocco_Tuning/status/723668196511866880","723668196511866880")</f>
        <v>723668196511866880</v>
      </c>
      <c r="F5283" s="11" t="s">
        <v>53</v>
      </c>
      <c r="G5283" s="11">
        <v>69</v>
      </c>
      <c r="H5283" s="11">
        <v>215</v>
      </c>
      <c r="I5283" s="11">
        <v>0</v>
      </c>
      <c r="J5283" s="11">
        <v>0</v>
      </c>
      <c r="K5283" s="11" t="s">
        <v>21</v>
      </c>
      <c r="L5283" s="7">
        <v>40844.564722222218</v>
      </c>
      <c r="M5283" s="12"/>
      <c r="N5283" s="12"/>
      <c r="O5283" s="10" t="str">
        <f>HYPERLINK("https://pbs.twimg.com/profile_images/1610421423/Image2_normal.jpg","View")</f>
        <v>View</v>
      </c>
      <c r="P5283" s="11"/>
    </row>
    <row r="5284" spans="1:16" ht="12.75" x14ac:dyDescent="0.35">
      <c r="A5284" s="7">
        <v>42483.244502314818</v>
      </c>
      <c r="B5284" s="8" t="str">
        <f>HYPERLINK("https://twitter.com/oldcar_photo","@oldcar_photo")</f>
        <v>@oldcar_photo</v>
      </c>
      <c r="C5284" s="9" t="s">
        <v>1046</v>
      </c>
      <c r="D5284" s="9" t="s">
        <v>12200</v>
      </c>
      <c r="E5284" s="10" t="str">
        <f>HYPERLINK("https://twitter.com/oldcar_photo/status/723668229076430848","723668229076430848")</f>
        <v>723668229076430848</v>
      </c>
      <c r="F5284" s="11" t="s">
        <v>68</v>
      </c>
      <c r="G5284" s="11">
        <v>1986</v>
      </c>
      <c r="H5284" s="11">
        <v>0</v>
      </c>
      <c r="I5284" s="11">
        <v>1</v>
      </c>
      <c r="J5284" s="11">
        <v>0</v>
      </c>
      <c r="K5284" s="11" t="s">
        <v>21</v>
      </c>
      <c r="L5284" s="7">
        <v>42184.7341087963</v>
      </c>
      <c r="M5284" s="12"/>
      <c r="N5284" s="12"/>
      <c r="O5284" s="10" t="str">
        <f>HYPERLINK("https://pbs.twimg.com/profile_images/615493650785660928/XHUh6HOk_normal.jpg","View")</f>
        <v>View</v>
      </c>
      <c r="P5284" s="11"/>
    </row>
    <row r="5285" spans="1:16" ht="12.75" x14ac:dyDescent="0.35">
      <c r="A5285" s="7">
        <v>42483.245706018519</v>
      </c>
      <c r="B5285" s="8" t="str">
        <f>HYPERLINK("https://twitter.com/VCT_Tweets","@VCT_Tweets")</f>
        <v>@VCT_Tweets</v>
      </c>
      <c r="C5285" s="9" t="s">
        <v>199</v>
      </c>
      <c r="D5285" s="9" t="s">
        <v>12201</v>
      </c>
      <c r="E5285" s="10" t="str">
        <f>HYPERLINK("https://twitter.com/VCT_Tweets/status/723668666252943360","723668666252943360")</f>
        <v>723668666252943360</v>
      </c>
      <c r="F5285" s="11" t="s">
        <v>68</v>
      </c>
      <c r="G5285" s="11">
        <v>889</v>
      </c>
      <c r="H5285" s="11">
        <v>211</v>
      </c>
      <c r="I5285" s="11">
        <v>1</v>
      </c>
      <c r="J5285" s="11">
        <v>0</v>
      </c>
      <c r="K5285" s="11" t="s">
        <v>21</v>
      </c>
      <c r="L5285" s="7">
        <v>40744.914837962962</v>
      </c>
      <c r="M5285" s="12" t="s">
        <v>201</v>
      </c>
      <c r="N5285" s="12" t="s">
        <v>202</v>
      </c>
      <c r="O5285" s="10" t="str">
        <f>HYPERLINK("https://pbs.twimg.com/profile_images/569800899141177344/nVFLMSdb_normal.png","View")</f>
        <v>View</v>
      </c>
      <c r="P5285" s="11"/>
    </row>
    <row r="5286" spans="1:16" ht="12.75" x14ac:dyDescent="0.35">
      <c r="A5286" s="7">
        <v>42483.246747685189</v>
      </c>
      <c r="B5286" s="8" t="str">
        <f>HYPERLINK("https://twitter.com/cosasdeautos","@cosasdeautos")</f>
        <v>@cosasdeautos</v>
      </c>
      <c r="C5286" s="9" t="s">
        <v>12202</v>
      </c>
      <c r="D5286" s="9" t="s">
        <v>12203</v>
      </c>
      <c r="E5286" s="10" t="str">
        <f>HYPERLINK("https://twitter.com/cosasdeautos/status/723669042775638017","723669042775638017")</f>
        <v>723669042775638017</v>
      </c>
      <c r="F5286" s="11" t="s">
        <v>48</v>
      </c>
      <c r="G5286" s="11">
        <v>7964</v>
      </c>
      <c r="H5286" s="11">
        <v>470</v>
      </c>
      <c r="I5286" s="11">
        <v>0</v>
      </c>
      <c r="J5286" s="11">
        <v>0</v>
      </c>
      <c r="K5286" s="11" t="s">
        <v>21</v>
      </c>
      <c r="L5286" s="7">
        <v>40087.235034722224</v>
      </c>
      <c r="M5286" s="12" t="s">
        <v>4440</v>
      </c>
      <c r="N5286" s="12" t="s">
        <v>12204</v>
      </c>
      <c r="O5286" s="10" t="str">
        <f>HYPERLINK("https://pbs.twimg.com/profile_images/474019501403406336/_4Ns_zdP_normal.jpeg","View")</f>
        <v>View</v>
      </c>
      <c r="P5286" s="11"/>
    </row>
    <row r="5287" spans="1:16" ht="12.75" x14ac:dyDescent="0.35">
      <c r="A5287" s="7">
        <v>42483.246932870374</v>
      </c>
      <c r="B5287" s="8" t="str">
        <f>HYPERLINK("https://twitter.com/ebaycampervans","@ebaycampervans")</f>
        <v>@ebaycampervans</v>
      </c>
      <c r="C5287" s="9" t="s">
        <v>682</v>
      </c>
      <c r="D5287" s="9" t="s">
        <v>12205</v>
      </c>
      <c r="E5287" s="10" t="str">
        <f>HYPERLINK("https://twitter.com/ebaycampervans/status/723669110412873728","723669110412873728")</f>
        <v>723669110412873728</v>
      </c>
      <c r="F5287" s="11" t="s">
        <v>34</v>
      </c>
      <c r="G5287" s="11">
        <v>380</v>
      </c>
      <c r="H5287" s="11">
        <v>1002</v>
      </c>
      <c r="I5287" s="11">
        <v>0</v>
      </c>
      <c r="J5287" s="11">
        <v>0</v>
      </c>
      <c r="K5287" s="11" t="s">
        <v>21</v>
      </c>
      <c r="L5287" s="7">
        <v>42140.207604166666</v>
      </c>
      <c r="M5287" s="12"/>
      <c r="N5287" s="12" t="s">
        <v>684</v>
      </c>
      <c r="O5287" s="10" t="str">
        <f>HYPERLINK("https://pbs.twimg.com/profile_images/599357023407464449/BL9Bpo6T_normal.jpg","View")</f>
        <v>View</v>
      </c>
      <c r="P5287" s="11"/>
    </row>
    <row r="5288" spans="1:16" ht="12.75" x14ac:dyDescent="0.35">
      <c r="A5288" s="7">
        <v>42483.247083333335</v>
      </c>
      <c r="B5288" s="8" t="str">
        <f>HYPERLINK("https://twitter.com/_Payaso__","@_Payaso__")</f>
        <v>@_Payaso__</v>
      </c>
      <c r="C5288" s="9" t="s">
        <v>12206</v>
      </c>
      <c r="D5288" s="9" t="s">
        <v>12207</v>
      </c>
      <c r="E5288" s="10" t="str">
        <f>HYPERLINK("https://twitter.com/_Payaso__/status/723669165488394240","723669165488394240")</f>
        <v>723669165488394240</v>
      </c>
      <c r="F5288" s="11" t="s">
        <v>48</v>
      </c>
      <c r="G5288" s="11">
        <v>266</v>
      </c>
      <c r="H5288" s="11">
        <v>162</v>
      </c>
      <c r="I5288" s="11">
        <v>1</v>
      </c>
      <c r="J5288" s="11">
        <v>0</v>
      </c>
      <c r="K5288" s="11" t="s">
        <v>21</v>
      </c>
      <c r="L5288" s="7">
        <v>41201.229560185187</v>
      </c>
      <c r="M5288" s="12"/>
      <c r="N5288" s="12" t="s">
        <v>12208</v>
      </c>
      <c r="O5288" s="10" t="str">
        <f>HYPERLINK("https://pbs.twimg.com/profile_images/672077684932009985/G8MLPDJT_normal.jpg","View")</f>
        <v>View</v>
      </c>
      <c r="P5288" s="11"/>
    </row>
    <row r="5289" spans="1:16" ht="12.75" x14ac:dyDescent="0.35">
      <c r="A5289" s="7">
        <v>42483.247152777782</v>
      </c>
      <c r="B5289" s="8" t="str">
        <f>HYPERLINK("https://twitter.com/FuscaWorld","@FuscaWorld")</f>
        <v>@FuscaWorld</v>
      </c>
      <c r="C5289" s="9" t="s">
        <v>74</v>
      </c>
      <c r="D5289" s="9" t="s">
        <v>12209</v>
      </c>
      <c r="E5289" s="10" t="str">
        <f>HYPERLINK("https://twitter.com/FuscaWorld/status/723669189513338880","723669189513338880")</f>
        <v>723669189513338880</v>
      </c>
      <c r="F5289" s="11" t="s">
        <v>76</v>
      </c>
      <c r="G5289" s="11">
        <v>49</v>
      </c>
      <c r="H5289" s="11">
        <v>1</v>
      </c>
      <c r="I5289" s="11">
        <v>1</v>
      </c>
      <c r="J5289" s="11">
        <v>0</v>
      </c>
      <c r="K5289" s="11" t="s">
        <v>21</v>
      </c>
      <c r="L5289" s="7">
        <v>42433.880914351852</v>
      </c>
      <c r="M5289" s="12"/>
      <c r="N5289" s="12" t="s">
        <v>77</v>
      </c>
      <c r="O5289" s="10" t="str">
        <f>HYPERLINK("https://pbs.twimg.com/profile_images/705780107844067328/e7O4UBNb_normal.jpg","View")</f>
        <v>View</v>
      </c>
      <c r="P5289" s="11"/>
    </row>
    <row r="5290" spans="1:16" ht="12.75" x14ac:dyDescent="0.35">
      <c r="A5290" s="7">
        <v>42483.248807870375</v>
      </c>
      <c r="B5290" s="8" t="str">
        <f>HYPERLINK("https://twitter.com/sohailmalik7","@sohailmalik7")</f>
        <v>@sohailmalik7</v>
      </c>
      <c r="C5290" s="9" t="s">
        <v>12210</v>
      </c>
      <c r="D5290" s="9" t="s">
        <v>12211</v>
      </c>
      <c r="E5290" s="10" t="str">
        <f>HYPERLINK("https://twitter.com/sohailmalik7/status/723669789646950400","723669789646950400")</f>
        <v>723669789646950400</v>
      </c>
      <c r="F5290" s="11" t="s">
        <v>20</v>
      </c>
      <c r="G5290" s="11">
        <v>147</v>
      </c>
      <c r="H5290" s="11">
        <v>120</v>
      </c>
      <c r="I5290" s="11">
        <v>0</v>
      </c>
      <c r="J5290" s="11">
        <v>0</v>
      </c>
      <c r="K5290" s="11" t="s">
        <v>21</v>
      </c>
      <c r="L5290" s="7">
        <v>40838.282800925925</v>
      </c>
      <c r="M5290" s="12" t="s">
        <v>12212</v>
      </c>
      <c r="N5290" s="12" t="s">
        <v>12213</v>
      </c>
      <c r="O5290" s="10" t="str">
        <f>HYPERLINK("https://pbs.twimg.com/profile_images/699776285401333761/lEBgZfiO_normal.jpg","View")</f>
        <v>View</v>
      </c>
      <c r="P5290" s="11"/>
    </row>
    <row r="5291" spans="1:16" ht="12.75" x14ac:dyDescent="0.35">
      <c r="A5291" s="7">
        <v>42483.24936342593</v>
      </c>
      <c r="B5291" s="8" t="str">
        <f>HYPERLINK("https://twitter.com/rplantt","@rplantt")</f>
        <v>@rplantt</v>
      </c>
      <c r="C5291" s="9" t="s">
        <v>12094</v>
      </c>
      <c r="D5291" s="9" t="s">
        <v>12214</v>
      </c>
      <c r="E5291" s="10" t="str">
        <f>HYPERLINK("https://twitter.com/rplantt/status/723669990059216896","723669990059216896")</f>
        <v>723669990059216896</v>
      </c>
      <c r="F5291" s="11" t="s">
        <v>68</v>
      </c>
      <c r="G5291" s="11">
        <v>123</v>
      </c>
      <c r="H5291" s="11">
        <v>345</v>
      </c>
      <c r="I5291" s="11">
        <v>0</v>
      </c>
      <c r="J5291" s="11">
        <v>0</v>
      </c>
      <c r="K5291" s="11" t="s">
        <v>21</v>
      </c>
      <c r="L5291" s="7">
        <v>39543.941388888888</v>
      </c>
      <c r="M5291" s="12" t="s">
        <v>5860</v>
      </c>
      <c r="N5291" s="12" t="s">
        <v>12096</v>
      </c>
      <c r="O5291" s="10" t="str">
        <f>HYPERLINK("https://pbs.twimg.com/profile_images/459064818557661184/91o9tza1_normal.jpeg","View")</f>
        <v>View</v>
      </c>
      <c r="P5291" s="11"/>
    </row>
    <row r="5292" spans="1:16" ht="12.75" x14ac:dyDescent="0.35">
      <c r="A5292" s="7">
        <v>42483.249513888892</v>
      </c>
      <c r="B5292" s="8" t="str">
        <f>HYPERLINK("https://twitter.com/CollectHW","@CollectHW")</f>
        <v>@CollectHW</v>
      </c>
      <c r="C5292" s="9" t="s">
        <v>512</v>
      </c>
      <c r="D5292" s="9" t="s">
        <v>12215</v>
      </c>
      <c r="E5292" s="10" t="str">
        <f>HYPERLINK("https://twitter.com/CollectHW/status/723670043993735168","723670043993735168")</f>
        <v>723670043993735168</v>
      </c>
      <c r="F5292" s="11" t="s">
        <v>114</v>
      </c>
      <c r="G5292" s="11">
        <v>306</v>
      </c>
      <c r="H5292" s="11">
        <v>164</v>
      </c>
      <c r="I5292" s="11">
        <v>0</v>
      </c>
      <c r="J5292" s="11">
        <v>0</v>
      </c>
      <c r="K5292" s="11" t="s">
        <v>21</v>
      </c>
      <c r="L5292" s="7">
        <v>41141.872129629628</v>
      </c>
      <c r="M5292" s="12" t="s">
        <v>355</v>
      </c>
      <c r="N5292" s="12" t="s">
        <v>514</v>
      </c>
      <c r="O5292" s="10" t="str">
        <f>HYPERLINK("https://pbs.twimg.com/profile_images/522469771573350400/e5WjUwRr_normal.png","View")</f>
        <v>View</v>
      </c>
      <c r="P5292" s="11"/>
    </row>
    <row r="5293" spans="1:16" ht="12.75" x14ac:dyDescent="0.35">
      <c r="A5293" s="7">
        <v>42483.249664351853</v>
      </c>
      <c r="B5293" s="8" t="str">
        <f>HYPERLINK("https://twitter.com/saudi_carz","@saudi_carz")</f>
        <v>@saudi_carz</v>
      </c>
      <c r="C5293" s="9" t="s">
        <v>2582</v>
      </c>
      <c r="D5293" s="9" t="s">
        <v>12216</v>
      </c>
      <c r="E5293" s="10" t="str">
        <f>HYPERLINK("https://twitter.com/saudi_carz/status/723670098519703552","723670098519703552")</f>
        <v>723670098519703552</v>
      </c>
      <c r="F5293" s="11" t="s">
        <v>20</v>
      </c>
      <c r="G5293" s="11">
        <v>264</v>
      </c>
      <c r="H5293" s="11">
        <v>816</v>
      </c>
      <c r="I5293" s="11">
        <v>1</v>
      </c>
      <c r="J5293" s="11">
        <v>0</v>
      </c>
      <c r="K5293" s="11" t="s">
        <v>21</v>
      </c>
      <c r="L5293" s="7">
        <v>40704.095011574071</v>
      </c>
      <c r="M5293" s="12"/>
      <c r="N5293" s="12" t="s">
        <v>2583</v>
      </c>
      <c r="O5293" s="10" t="str">
        <f>HYPERLINK("https://pbs.twimg.com/profile_images/669116837360246784/ej1M5xaG_normal.jpg","View")</f>
        <v>View</v>
      </c>
      <c r="P5293" s="11"/>
    </row>
    <row r="5294" spans="1:16" ht="12.75" x14ac:dyDescent="0.35">
      <c r="A5294" s="7">
        <v>42483.249768518523</v>
      </c>
      <c r="B5294" s="8" t="str">
        <f>HYPERLINK("https://twitter.com/KMennerFineArt","@KMennerFineArt")</f>
        <v>@KMennerFineArt</v>
      </c>
      <c r="C5294" s="9" t="s">
        <v>12217</v>
      </c>
      <c r="D5294" s="9" t="s">
        <v>12218</v>
      </c>
      <c r="E5294" s="10" t="str">
        <f>HYPERLINK("https://twitter.com/KMennerFineArt/status/723670135219712000","723670135219712000")</f>
        <v>723670135219712000</v>
      </c>
      <c r="F5294" s="11" t="s">
        <v>12219</v>
      </c>
      <c r="G5294" s="11">
        <v>9142</v>
      </c>
      <c r="H5294" s="11">
        <v>7494</v>
      </c>
      <c r="I5294" s="11">
        <v>0</v>
      </c>
      <c r="J5294" s="11">
        <v>0</v>
      </c>
      <c r="K5294" s="11" t="s">
        <v>21</v>
      </c>
      <c r="L5294" s="7">
        <v>41804.609548611115</v>
      </c>
      <c r="M5294" s="12" t="s">
        <v>543</v>
      </c>
      <c r="N5294" s="12" t="s">
        <v>12220</v>
      </c>
      <c r="O5294" s="10" t="str">
        <f>HYPERLINK("https://pbs.twimg.com/profile_images/477811564179779585/Tn-jHdTl_normal.jpeg","View")</f>
        <v>View</v>
      </c>
      <c r="P5294" s="11"/>
    </row>
    <row r="5295" spans="1:16" ht="12.75" x14ac:dyDescent="0.35">
      <c r="A5295" s="7">
        <v>42483.250775462962</v>
      </c>
      <c r="B5295" s="8" t="str">
        <f>HYPERLINK("https://twitter.com/Omaruberto","@Omaruberto")</f>
        <v>@Omaruberto</v>
      </c>
      <c r="C5295" s="9" t="s">
        <v>12221</v>
      </c>
      <c r="D5295" s="9" t="s">
        <v>12222</v>
      </c>
      <c r="E5295" s="10" t="str">
        <f>HYPERLINK("https://twitter.com/Omaruberto/status/723670502695407617","723670502695407617")</f>
        <v>723670502695407617</v>
      </c>
      <c r="F5295" s="11" t="s">
        <v>114</v>
      </c>
      <c r="G5295" s="11">
        <v>543</v>
      </c>
      <c r="H5295" s="11">
        <v>1398</v>
      </c>
      <c r="I5295" s="11">
        <v>0</v>
      </c>
      <c r="J5295" s="11">
        <v>0</v>
      </c>
      <c r="K5295" s="11" t="s">
        <v>21</v>
      </c>
      <c r="L5295" s="7">
        <v>40339.965289351851</v>
      </c>
      <c r="M5295" s="12" t="s">
        <v>12223</v>
      </c>
      <c r="N5295" s="12" t="s">
        <v>12224</v>
      </c>
      <c r="O5295" s="10" t="str">
        <f>HYPERLINK("https://pbs.twimg.com/profile_images/557683961036828673/88lV9nT3_normal.jpeg","View")</f>
        <v>View</v>
      </c>
      <c r="P5295" s="11"/>
    </row>
    <row r="5296" spans="1:16" ht="12.75" x14ac:dyDescent="0.35">
      <c r="A5296" s="7">
        <v>42483.252268518518</v>
      </c>
      <c r="B5296" s="8" t="str">
        <f>HYPERLINK("https://twitter.com/vwbusman72","@vwbusman72")</f>
        <v>@vwbusman72</v>
      </c>
      <c r="C5296" s="9" t="s">
        <v>9766</v>
      </c>
      <c r="D5296" s="9" t="s">
        <v>6426</v>
      </c>
      <c r="E5296" s="10" t="str">
        <f>HYPERLINK("https://twitter.com/vwbusman72/status/723671044897267712","723671044897267712")</f>
        <v>723671044897267712</v>
      </c>
      <c r="F5296" s="11" t="s">
        <v>20</v>
      </c>
      <c r="G5296" s="11">
        <v>699</v>
      </c>
      <c r="H5296" s="11">
        <v>679</v>
      </c>
      <c r="I5296" s="11">
        <v>3</v>
      </c>
      <c r="J5296" s="11">
        <v>0</v>
      </c>
      <c r="K5296" s="11" t="s">
        <v>21</v>
      </c>
      <c r="L5296" s="7">
        <v>40843.239444444444</v>
      </c>
      <c r="M5296" s="12" t="s">
        <v>9768</v>
      </c>
      <c r="N5296" s="12"/>
      <c r="O5296" s="10" t="str">
        <f>HYPERLINK("https://pbs.twimg.com/profile_images/535972937346863104/azd9tVvN_normal.jpeg","View")</f>
        <v>View</v>
      </c>
      <c r="P5296" s="11"/>
    </row>
    <row r="5297" spans="1:16" ht="12.75" x14ac:dyDescent="0.35">
      <c r="A5297" s="7">
        <v>42483.254189814819</v>
      </c>
      <c r="B5297" s="8" t="str">
        <f>HYPERLINK("https://twitter.com/Wracktonne","@Wracktonne")</f>
        <v>@Wracktonne</v>
      </c>
      <c r="C5297" s="9" t="s">
        <v>12225</v>
      </c>
      <c r="D5297" s="9" t="s">
        <v>12226</v>
      </c>
      <c r="E5297" s="10" t="str">
        <f>HYPERLINK("https://twitter.com/Wracktonne/status/723671739281100800","723671739281100800")</f>
        <v>723671739281100800</v>
      </c>
      <c r="F5297" s="11" t="s">
        <v>63</v>
      </c>
      <c r="G5297" s="11">
        <v>479</v>
      </c>
      <c r="H5297" s="11">
        <v>240</v>
      </c>
      <c r="I5297" s="11">
        <v>0</v>
      </c>
      <c r="J5297" s="11">
        <v>1</v>
      </c>
      <c r="K5297" s="11" t="s">
        <v>21</v>
      </c>
      <c r="L5297" s="7">
        <v>41936.762048611112</v>
      </c>
      <c r="M5297" s="12" t="s">
        <v>12227</v>
      </c>
      <c r="N5297" s="12" t="s">
        <v>12228</v>
      </c>
      <c r="O5297" s="10" t="str">
        <f>HYPERLINK("https://pbs.twimg.com/profile_images/716001984168521730/VNYAvB9v_normal.jpg","View")</f>
        <v>View</v>
      </c>
      <c r="P5297" s="11"/>
    </row>
    <row r="5298" spans="1:16" ht="12.75" x14ac:dyDescent="0.35">
      <c r="A5298" s="7">
        <v>42483.25481481482</v>
      </c>
      <c r="B5298" s="8" t="str">
        <f>HYPERLINK("https://twitter.com/vwbusman72","@vwbusman72")</f>
        <v>@vwbusman72</v>
      </c>
      <c r="C5298" s="9" t="s">
        <v>9766</v>
      </c>
      <c r="D5298" s="9" t="s">
        <v>12209</v>
      </c>
      <c r="E5298" s="10" t="str">
        <f>HYPERLINK("https://twitter.com/vwbusman72/status/723671967249866752","723671967249866752")</f>
        <v>723671967249866752</v>
      </c>
      <c r="F5298" s="11" t="s">
        <v>20</v>
      </c>
      <c r="G5298" s="11">
        <v>699</v>
      </c>
      <c r="H5298" s="11">
        <v>679</v>
      </c>
      <c r="I5298" s="11">
        <v>2</v>
      </c>
      <c r="J5298" s="11">
        <v>0</v>
      </c>
      <c r="K5298" s="11" t="s">
        <v>21</v>
      </c>
      <c r="L5298" s="7">
        <v>40843.239444444444</v>
      </c>
      <c r="M5298" s="12" t="s">
        <v>9768</v>
      </c>
      <c r="N5298" s="12"/>
      <c r="O5298" s="10" t="str">
        <f>HYPERLINK("https://pbs.twimg.com/profile_images/535972937346863104/azd9tVvN_normal.jpeg","View")</f>
        <v>View</v>
      </c>
      <c r="P5298" s="11"/>
    </row>
    <row r="5299" spans="1:16" ht="12.75" x14ac:dyDescent="0.35">
      <c r="A5299" s="7">
        <v>42483.258310185185</v>
      </c>
      <c r="B5299" s="8" t="str">
        <f>HYPERLINK("https://twitter.com/TheNewDailyAu","@TheNewDailyAu")</f>
        <v>@TheNewDailyAu</v>
      </c>
      <c r="C5299" s="9" t="s">
        <v>12229</v>
      </c>
      <c r="D5299" s="9" t="s">
        <v>12230</v>
      </c>
      <c r="E5299" s="10" t="str">
        <f>HYPERLINK("https://twitter.com/TheNewDailyAu/status/723673234013442048","723673234013442048")</f>
        <v>723673234013442048</v>
      </c>
      <c r="F5299" s="11" t="s">
        <v>63</v>
      </c>
      <c r="G5299" s="11">
        <v>11498</v>
      </c>
      <c r="H5299" s="11">
        <v>1113</v>
      </c>
      <c r="I5299" s="11">
        <v>0</v>
      </c>
      <c r="J5299" s="11">
        <v>0</v>
      </c>
      <c r="K5299" s="11" t="s">
        <v>21</v>
      </c>
      <c r="L5299" s="7">
        <v>41530.428576388891</v>
      </c>
      <c r="M5299" s="12" t="s">
        <v>934</v>
      </c>
      <c r="N5299" s="12" t="s">
        <v>12231</v>
      </c>
      <c r="O5299" s="10" t="str">
        <f>HYPERLINK("https://pbs.twimg.com/profile_images/539549629847584769/3to5Was6_normal.png","View")</f>
        <v>View</v>
      </c>
      <c r="P5299" s="11"/>
    </row>
    <row r="5300" spans="1:16" ht="12.75" x14ac:dyDescent="0.35">
      <c r="A5300" s="7">
        <v>42483.262060185181</v>
      </c>
      <c r="B5300" s="8" t="str">
        <f>HYPERLINK("https://twitter.com/EUROPAvsEBOLA","@EUROPAvsEBOLA")</f>
        <v>@EUROPAvsEBOLA</v>
      </c>
      <c r="C5300" s="9" t="s">
        <v>12232</v>
      </c>
      <c r="D5300" s="9" t="s">
        <v>12233</v>
      </c>
      <c r="E5300" s="10" t="str">
        <f>HYPERLINK("https://twitter.com/EUROPAvsEBOLA/status/723674591743369216","723674591743369216")</f>
        <v>723674591743369216</v>
      </c>
      <c r="F5300" s="11" t="s">
        <v>1838</v>
      </c>
      <c r="G5300" s="11">
        <v>178</v>
      </c>
      <c r="H5300" s="11">
        <v>949</v>
      </c>
      <c r="I5300" s="11">
        <v>0</v>
      </c>
      <c r="J5300" s="11">
        <v>0</v>
      </c>
      <c r="K5300" s="11" t="s">
        <v>21</v>
      </c>
      <c r="L5300" s="7">
        <v>41926.364548611113</v>
      </c>
      <c r="M5300" s="12"/>
      <c r="N5300" s="12"/>
      <c r="O5300" s="10" t="str">
        <f>HYPERLINK("https://pbs.twimg.com/profile_images/521862730584580096/OFkhzI16_normal.png","View")</f>
        <v>View</v>
      </c>
      <c r="P5300" s="11"/>
    </row>
    <row r="5301" spans="1:16" ht="12.75" x14ac:dyDescent="0.35">
      <c r="A5301" s="7">
        <v>42483.264027777783</v>
      </c>
      <c r="B5301" s="8" t="str">
        <f>HYPERLINK("https://twitter.com/kustomfest","@kustomfest")</f>
        <v>@kustomfest</v>
      </c>
      <c r="C5301" s="9" t="s">
        <v>12234</v>
      </c>
      <c r="D5301" s="9" t="s">
        <v>12235</v>
      </c>
      <c r="E5301" s="10" t="str">
        <f>HYPERLINK("https://twitter.com/kustomfest/status/723675303520927744","723675303520927744")</f>
        <v>723675303520927744</v>
      </c>
      <c r="F5301" s="11" t="s">
        <v>114</v>
      </c>
      <c r="G5301" s="11">
        <v>6940</v>
      </c>
      <c r="H5301" s="11">
        <v>183</v>
      </c>
      <c r="I5301" s="11">
        <v>0</v>
      </c>
      <c r="J5301" s="11">
        <v>0</v>
      </c>
      <c r="K5301" s="11" t="s">
        <v>21</v>
      </c>
      <c r="L5301" s="7">
        <v>40905.883923611109</v>
      </c>
      <c r="M5301" s="12" t="s">
        <v>12236</v>
      </c>
      <c r="N5301" s="12" t="s">
        <v>12237</v>
      </c>
      <c r="O5301" s="10" t="str">
        <f>HYPERLINK("https://pbs.twimg.com/profile_images/1883286200/Logo_20Kustomfest_normal.jpg","View")</f>
        <v>View</v>
      </c>
      <c r="P5301" s="11"/>
    </row>
    <row r="5302" spans="1:16" ht="12.75" x14ac:dyDescent="0.35">
      <c r="A5302" s="7">
        <v>42483.264062499999</v>
      </c>
      <c r="B5302" s="8" t="str">
        <f>HYPERLINK("https://twitter.com/NiCoMoeremans","@NiCoMoeremans")</f>
        <v>@NiCoMoeremans</v>
      </c>
      <c r="C5302" s="9" t="s">
        <v>12238</v>
      </c>
      <c r="D5302" s="9" t="s">
        <v>12239</v>
      </c>
      <c r="E5302" s="10" t="str">
        <f>HYPERLINK("https://twitter.com/NiCoMoeremans/status/723675316233854976","723675316233854976")</f>
        <v>723675316233854976</v>
      </c>
      <c r="F5302" s="11" t="s">
        <v>114</v>
      </c>
      <c r="G5302" s="11">
        <v>340</v>
      </c>
      <c r="H5302" s="11">
        <v>345</v>
      </c>
      <c r="I5302" s="11">
        <v>0</v>
      </c>
      <c r="J5302" s="11">
        <v>1</v>
      </c>
      <c r="K5302" s="11" t="s">
        <v>21</v>
      </c>
      <c r="L5302" s="7">
        <v>40687.345335648148</v>
      </c>
      <c r="M5302" s="12" t="s">
        <v>12240</v>
      </c>
      <c r="N5302" s="12"/>
      <c r="O5302" s="10" t="str">
        <f>HYPERLINK("https://pbs.twimg.com/profile_images/637462942779318272/u2z-u7RM_normal.jpg","View")</f>
        <v>View</v>
      </c>
      <c r="P5302" s="11"/>
    </row>
    <row r="5303" spans="1:16" ht="12.75" x14ac:dyDescent="0.35">
      <c r="A5303" s="7">
        <v>42483.265011574069</v>
      </c>
      <c r="B5303" s="8" t="str">
        <f>HYPERLINK("https://twitter.com/kustomfest","@kustomfest")</f>
        <v>@kustomfest</v>
      </c>
      <c r="C5303" s="9" t="s">
        <v>12234</v>
      </c>
      <c r="D5303" s="9" t="s">
        <v>12241</v>
      </c>
      <c r="E5303" s="10" t="str">
        <f>HYPERLINK("https://twitter.com/kustomfest/status/723675662561775617","723675662561775617")</f>
        <v>723675662561775617</v>
      </c>
      <c r="F5303" s="11" t="s">
        <v>53</v>
      </c>
      <c r="G5303" s="11">
        <v>6940</v>
      </c>
      <c r="H5303" s="11">
        <v>183</v>
      </c>
      <c r="I5303" s="11">
        <v>0</v>
      </c>
      <c r="J5303" s="11">
        <v>0</v>
      </c>
      <c r="K5303" s="11" t="s">
        <v>21</v>
      </c>
      <c r="L5303" s="7">
        <v>40905.883923611109</v>
      </c>
      <c r="M5303" s="12" t="s">
        <v>12236</v>
      </c>
      <c r="N5303" s="12" t="s">
        <v>12237</v>
      </c>
      <c r="O5303" s="10" t="str">
        <f>HYPERLINK("https://pbs.twimg.com/profile_images/1883286200/Logo_20Kustomfest_normal.jpg","View")</f>
        <v>View</v>
      </c>
      <c r="P5303" s="11"/>
    </row>
    <row r="5304" spans="1:16" ht="12.75" x14ac:dyDescent="0.35">
      <c r="A5304" s="7">
        <v>42483.267847222218</v>
      </c>
      <c r="B5304" s="8" t="str">
        <f t="shared" ref="B5304:B5307" si="461">HYPERLINK("https://twitter.com/VolkswagenPost","@VolkswagenPost")</f>
        <v>@VolkswagenPost</v>
      </c>
      <c r="C5304" s="9" t="s">
        <v>321</v>
      </c>
      <c r="D5304" s="9" t="s">
        <v>12242</v>
      </c>
      <c r="E5304" s="10" t="str">
        <f>HYPERLINK("https://twitter.com/VolkswagenPost/status/723676687154597889","723676687154597889")</f>
        <v>723676687154597889</v>
      </c>
      <c r="F5304" s="11" t="s">
        <v>34</v>
      </c>
      <c r="G5304" s="11">
        <v>569</v>
      </c>
      <c r="H5304" s="11">
        <v>446</v>
      </c>
      <c r="I5304" s="11">
        <v>0</v>
      </c>
      <c r="J5304" s="11">
        <v>0</v>
      </c>
      <c r="K5304" s="11" t="s">
        <v>21</v>
      </c>
      <c r="L5304" s="7">
        <v>41940.618379629632</v>
      </c>
      <c r="M5304" s="12"/>
      <c r="N5304" s="12"/>
      <c r="O5304" s="10" t="str">
        <f t="shared" ref="O5304:O5307" si="462">HYPERLINK("https://pbs.twimg.com/profile_images/530071272881803264/a_jcCmPZ_normal.png","View")</f>
        <v>View</v>
      </c>
      <c r="P5304" s="11"/>
    </row>
    <row r="5305" spans="1:16" ht="12.75" x14ac:dyDescent="0.35">
      <c r="A5305" s="7">
        <v>42483.267847222218</v>
      </c>
      <c r="B5305" s="8" t="str">
        <f t="shared" si="461"/>
        <v>@VolkswagenPost</v>
      </c>
      <c r="C5305" s="9" t="s">
        <v>321</v>
      </c>
      <c r="D5305" s="9" t="s">
        <v>12243</v>
      </c>
      <c r="E5305" s="10" t="str">
        <f>HYPERLINK("https://twitter.com/VolkswagenPost/status/723676687993462785","723676687993462785")</f>
        <v>723676687993462785</v>
      </c>
      <c r="F5305" s="11" t="s">
        <v>34</v>
      </c>
      <c r="G5305" s="11">
        <v>569</v>
      </c>
      <c r="H5305" s="11">
        <v>446</v>
      </c>
      <c r="I5305" s="11">
        <v>0</v>
      </c>
      <c r="J5305" s="11">
        <v>0</v>
      </c>
      <c r="K5305" s="11" t="s">
        <v>21</v>
      </c>
      <c r="L5305" s="7">
        <v>41940.618379629632</v>
      </c>
      <c r="M5305" s="12"/>
      <c r="N5305" s="12"/>
      <c r="O5305" s="10" t="str">
        <f t="shared" si="462"/>
        <v>View</v>
      </c>
      <c r="P5305" s="11"/>
    </row>
    <row r="5306" spans="1:16" ht="12.75" x14ac:dyDescent="0.35">
      <c r="A5306" s="7">
        <v>42483.267847222218</v>
      </c>
      <c r="B5306" s="8" t="str">
        <f t="shared" si="461"/>
        <v>@VolkswagenPost</v>
      </c>
      <c r="C5306" s="9" t="s">
        <v>321</v>
      </c>
      <c r="D5306" s="9" t="s">
        <v>12244</v>
      </c>
      <c r="E5306" s="10" t="str">
        <f>HYPERLINK("https://twitter.com/VolkswagenPost/status/723676688895217665","723676688895217665")</f>
        <v>723676688895217665</v>
      </c>
      <c r="F5306" s="11" t="s">
        <v>34</v>
      </c>
      <c r="G5306" s="11">
        <v>569</v>
      </c>
      <c r="H5306" s="11">
        <v>446</v>
      </c>
      <c r="I5306" s="11">
        <v>0</v>
      </c>
      <c r="J5306" s="11">
        <v>0</v>
      </c>
      <c r="K5306" s="11" t="s">
        <v>21</v>
      </c>
      <c r="L5306" s="7">
        <v>41940.618379629632</v>
      </c>
      <c r="M5306" s="12"/>
      <c r="N5306" s="12"/>
      <c r="O5306" s="10" t="str">
        <f t="shared" si="462"/>
        <v>View</v>
      </c>
      <c r="P5306" s="11"/>
    </row>
    <row r="5307" spans="1:16" ht="12.75" x14ac:dyDescent="0.35">
      <c r="A5307" s="7">
        <v>42483.267847222218</v>
      </c>
      <c r="B5307" s="8" t="str">
        <f t="shared" si="461"/>
        <v>@VolkswagenPost</v>
      </c>
      <c r="C5307" s="9" t="s">
        <v>321</v>
      </c>
      <c r="D5307" s="9" t="s">
        <v>12245</v>
      </c>
      <c r="E5307" s="10" t="str">
        <f>HYPERLINK("https://twitter.com/VolkswagenPost/status/723676689771843584","723676689771843584")</f>
        <v>723676689771843584</v>
      </c>
      <c r="F5307" s="11" t="s">
        <v>34</v>
      </c>
      <c r="G5307" s="11">
        <v>569</v>
      </c>
      <c r="H5307" s="11">
        <v>446</v>
      </c>
      <c r="I5307" s="11">
        <v>0</v>
      </c>
      <c r="J5307" s="11">
        <v>0</v>
      </c>
      <c r="K5307" s="11" t="s">
        <v>21</v>
      </c>
      <c r="L5307" s="7">
        <v>41940.618379629632</v>
      </c>
      <c r="M5307" s="12"/>
      <c r="N5307" s="12"/>
      <c r="O5307" s="10" t="str">
        <f t="shared" si="462"/>
        <v>View</v>
      </c>
      <c r="P5307" s="11"/>
    </row>
    <row r="5308" spans="1:16" ht="12.75" x14ac:dyDescent="0.35">
      <c r="A5308" s="7">
        <v>42483.26935185185</v>
      </c>
      <c r="B5308" s="8" t="str">
        <f>HYPERLINK("https://twitter.com/Rigoler","@Rigoler")</f>
        <v>@Rigoler</v>
      </c>
      <c r="C5308" s="9" t="s">
        <v>12246</v>
      </c>
      <c r="D5308" s="9" t="s">
        <v>12247</v>
      </c>
      <c r="E5308" s="10" t="str">
        <f>HYPERLINK("https://twitter.com/Rigoler/status/723677234691735553","723677234691735553")</f>
        <v>723677234691735553</v>
      </c>
      <c r="F5308" s="11" t="s">
        <v>114</v>
      </c>
      <c r="G5308" s="11">
        <v>193</v>
      </c>
      <c r="H5308" s="11">
        <v>304</v>
      </c>
      <c r="I5308" s="11">
        <v>0</v>
      </c>
      <c r="J5308" s="11">
        <v>0</v>
      </c>
      <c r="K5308" s="11" t="s">
        <v>21</v>
      </c>
      <c r="L5308" s="7">
        <v>40025.970069444447</v>
      </c>
      <c r="M5308" s="12" t="s">
        <v>12248</v>
      </c>
      <c r="N5308" s="12" t="s">
        <v>12249</v>
      </c>
      <c r="O5308" s="10" t="str">
        <f>HYPERLINK("https://pbs.twimg.com/profile_images/711179363203452929/T5u2PPJQ_normal.jpg","View")</f>
        <v>View</v>
      </c>
      <c r="P5308" s="11"/>
    </row>
    <row r="5309" spans="1:16" ht="12.75" x14ac:dyDescent="0.35">
      <c r="A5309" s="7">
        <v>42483.273321759261</v>
      </c>
      <c r="B5309" s="8" t="str">
        <f>HYPERLINK("https://twitter.com/beetlebug1938","@beetlebug1938")</f>
        <v>@beetlebug1938</v>
      </c>
      <c r="C5309" s="9" t="s">
        <v>66</v>
      </c>
      <c r="D5309" s="9" t="s">
        <v>12250</v>
      </c>
      <c r="E5309" s="10" t="str">
        <f>HYPERLINK("https://twitter.com/beetlebug1938/status/723678672226553856","723678672226553856")</f>
        <v>723678672226553856</v>
      </c>
      <c r="F5309" s="11" t="s">
        <v>68</v>
      </c>
      <c r="G5309" s="11">
        <v>362</v>
      </c>
      <c r="H5309" s="11">
        <v>2222</v>
      </c>
      <c r="I5309" s="11">
        <v>1</v>
      </c>
      <c r="J5309" s="11">
        <v>1</v>
      </c>
      <c r="K5309" s="11" t="s">
        <v>21</v>
      </c>
      <c r="L5309" s="7">
        <v>42469.863865740743</v>
      </c>
      <c r="M5309" s="12" t="s">
        <v>69</v>
      </c>
      <c r="N5309" s="12"/>
      <c r="O5309" s="10" t="str">
        <f>HYPERLINK("https://pbs.twimg.com/profile_images/718820712757215233/LXXndPTS_normal.jpg","View")</f>
        <v>View</v>
      </c>
      <c r="P5309" s="11"/>
    </row>
    <row r="5310" spans="1:16" ht="12.75" x14ac:dyDescent="0.35">
      <c r="A5310" s="7">
        <v>42483.2734375</v>
      </c>
      <c r="B5310" s="8" t="str">
        <f>HYPERLINK("https://twitter.com/rplantt","@rplantt")</f>
        <v>@rplantt</v>
      </c>
      <c r="C5310" s="9" t="s">
        <v>12094</v>
      </c>
      <c r="D5310" s="9" t="s">
        <v>12251</v>
      </c>
      <c r="E5310" s="10" t="str">
        <f>HYPERLINK("https://twitter.com/rplantt/status/723678716002447361","723678716002447361")</f>
        <v>723678716002447361</v>
      </c>
      <c r="F5310" s="11" t="s">
        <v>68</v>
      </c>
      <c r="G5310" s="11">
        <v>123</v>
      </c>
      <c r="H5310" s="11">
        <v>345</v>
      </c>
      <c r="I5310" s="11">
        <v>0</v>
      </c>
      <c r="J5310" s="11">
        <v>0</v>
      </c>
      <c r="K5310" s="11" t="s">
        <v>21</v>
      </c>
      <c r="L5310" s="7">
        <v>39543.941388888888</v>
      </c>
      <c r="M5310" s="12" t="s">
        <v>5860</v>
      </c>
      <c r="N5310" s="12" t="s">
        <v>12096</v>
      </c>
      <c r="O5310" s="10" t="str">
        <f>HYPERLINK("https://pbs.twimg.com/profile_images/459064818557661184/91o9tza1_normal.jpeg","View")</f>
        <v>View</v>
      </c>
      <c r="P5310" s="11"/>
    </row>
    <row r="5311" spans="1:16" ht="12.75" x14ac:dyDescent="0.35">
      <c r="A5311" s="7">
        <v>42483.274814814809</v>
      </c>
      <c r="B5311" s="8" t="str">
        <f>HYPERLINK("https://twitter.com/SantiGutie","@SantiGutie")</f>
        <v>@SantiGutie</v>
      </c>
      <c r="C5311" s="9" t="s">
        <v>12252</v>
      </c>
      <c r="D5311" s="9" t="s">
        <v>11951</v>
      </c>
      <c r="E5311" s="10" t="str">
        <f>HYPERLINK("https://twitter.com/SantiGutie/status/723679211790147584","723679211790147584")</f>
        <v>723679211790147584</v>
      </c>
      <c r="F5311" s="11" t="s">
        <v>43</v>
      </c>
      <c r="G5311" s="11">
        <v>818</v>
      </c>
      <c r="H5311" s="11">
        <v>589</v>
      </c>
      <c r="I5311" s="11">
        <v>22</v>
      </c>
      <c r="J5311" s="11">
        <v>0</v>
      </c>
      <c r="K5311" s="11" t="s">
        <v>21</v>
      </c>
      <c r="L5311" s="7">
        <v>41485.773032407407</v>
      </c>
      <c r="M5311" s="12" t="s">
        <v>12253</v>
      </c>
      <c r="N5311" s="12" t="s">
        <v>12254</v>
      </c>
      <c r="O5311" s="10" t="str">
        <f>HYPERLINK("https://pbs.twimg.com/profile_images/708144941898321920/yFsT-WEB_normal.jpg","View")</f>
        <v>View</v>
      </c>
      <c r="P5311" s="11"/>
    </row>
    <row r="5312" spans="1:16" ht="12.75" x14ac:dyDescent="0.35">
      <c r="A5312" s="7">
        <v>42483.275173611109</v>
      </c>
      <c r="B5312" s="8" t="str">
        <f>HYPERLINK("https://twitter.com/robertmarere","@robertmarere")</f>
        <v>@robertmarere</v>
      </c>
      <c r="C5312" s="9" t="s">
        <v>12255</v>
      </c>
      <c r="D5312" s="9" t="s">
        <v>12256</v>
      </c>
      <c r="E5312" s="10" t="str">
        <f>HYPERLINK("https://twitter.com/robertmarere/status/723679343021531136","723679343021531136")</f>
        <v>723679343021531136</v>
      </c>
      <c r="F5312" s="11" t="s">
        <v>80</v>
      </c>
      <c r="G5312" s="11">
        <v>63</v>
      </c>
      <c r="H5312" s="11">
        <v>56</v>
      </c>
      <c r="I5312" s="11">
        <v>0</v>
      </c>
      <c r="J5312" s="11">
        <v>0</v>
      </c>
      <c r="K5312" s="11" t="s">
        <v>21</v>
      </c>
      <c r="L5312" s="7">
        <v>40306.57576388889</v>
      </c>
      <c r="M5312" s="12"/>
      <c r="N5312" s="12" t="s">
        <v>12257</v>
      </c>
      <c r="O5312" s="10" t="str">
        <f>HYPERLINK("https://pbs.twimg.com/profile_images/625575996981407744/VHvf7EVC_normal.jpg","View")</f>
        <v>View</v>
      </c>
      <c r="P5312" s="11"/>
    </row>
    <row r="5313" spans="1:16" ht="12.75" x14ac:dyDescent="0.35">
      <c r="A5313" s="7">
        <v>42483.275902777779</v>
      </c>
      <c r="B5313" s="8" t="str">
        <f>HYPERLINK("https://twitter.com/HomeMckee","@HomeMckee")</f>
        <v>@HomeMckee</v>
      </c>
      <c r="C5313" s="9" t="s">
        <v>12258</v>
      </c>
      <c r="D5313" s="9" t="s">
        <v>12259</v>
      </c>
      <c r="E5313" s="10" t="str">
        <f>HYPERLINK("https://twitter.com/HomeMckee/status/723679607363383297","723679607363383297")</f>
        <v>723679607363383297</v>
      </c>
      <c r="F5313" s="11" t="s">
        <v>48</v>
      </c>
      <c r="G5313" s="11">
        <v>1354</v>
      </c>
      <c r="H5313" s="11">
        <v>2258</v>
      </c>
      <c r="I5313" s="11">
        <v>1</v>
      </c>
      <c r="J5313" s="11">
        <v>0</v>
      </c>
      <c r="K5313" s="11" t="s">
        <v>21</v>
      </c>
      <c r="L5313" s="7">
        <v>41785.316400462965</v>
      </c>
      <c r="M5313" s="12"/>
      <c r="N5313" s="12" t="s">
        <v>12260</v>
      </c>
      <c r="O5313" s="10" t="str">
        <f>HYPERLINK("https://pbs.twimg.com/profile_images/723576155173957632/q_TORr6w_normal.jpg","View")</f>
        <v>View</v>
      </c>
      <c r="P5313" s="11"/>
    </row>
    <row r="5314" spans="1:16" ht="12.75" x14ac:dyDescent="0.35">
      <c r="A5314" s="7">
        <v>42483.276145833333</v>
      </c>
      <c r="B5314" s="8" t="str">
        <f>HYPERLINK("https://twitter.com/miner_media","@miner_media")</f>
        <v>@miner_media</v>
      </c>
      <c r="C5314" s="9" t="s">
        <v>12261</v>
      </c>
      <c r="D5314" s="9" t="s">
        <v>12262</v>
      </c>
      <c r="E5314" s="10" t="str">
        <f>HYPERLINK("https://twitter.com/miner_media/status/723679695129079808","723679695129079808")</f>
        <v>723679695129079808</v>
      </c>
      <c r="F5314" s="11" t="s">
        <v>48</v>
      </c>
      <c r="G5314" s="11">
        <v>1</v>
      </c>
      <c r="H5314" s="11">
        <v>2</v>
      </c>
      <c r="I5314" s="11">
        <v>0</v>
      </c>
      <c r="J5314" s="11">
        <v>0</v>
      </c>
      <c r="K5314" s="11" t="s">
        <v>21</v>
      </c>
      <c r="L5314" s="7">
        <v>42483.26289351852</v>
      </c>
      <c r="M5314" s="12" t="s">
        <v>12263</v>
      </c>
      <c r="N5314" s="12" t="s">
        <v>12264</v>
      </c>
      <c r="O5314" s="10" t="str">
        <f>HYPERLINK("https://pbs.twimg.com/profile_images/723677113027420160/EMZKh-Rq_normal.jpg","View")</f>
        <v>View</v>
      </c>
      <c r="P5314" s="11"/>
    </row>
    <row r="5315" spans="1:16" ht="12.75" x14ac:dyDescent="0.35">
      <c r="A5315" s="7">
        <v>42483.277407407411</v>
      </c>
      <c r="B5315" s="8" t="str">
        <f>HYPERLINK("https://twitter.com/ChiruzzaCerveza","@ChiruzzaCerveza")</f>
        <v>@ChiruzzaCerveza</v>
      </c>
      <c r="C5315" s="9" t="s">
        <v>12265</v>
      </c>
      <c r="D5315" s="9" t="s">
        <v>12266</v>
      </c>
      <c r="E5315" s="10" t="str">
        <f>HYPERLINK("https://twitter.com/ChiruzzaCerveza/status/723680153465921536","723680153465921536")</f>
        <v>723680153465921536</v>
      </c>
      <c r="F5315" s="11" t="s">
        <v>114</v>
      </c>
      <c r="G5315" s="11">
        <v>134</v>
      </c>
      <c r="H5315" s="11">
        <v>222</v>
      </c>
      <c r="I5315" s="11">
        <v>0</v>
      </c>
      <c r="J5315" s="11">
        <v>0</v>
      </c>
      <c r="K5315" s="11" t="s">
        <v>21</v>
      </c>
      <c r="L5315" s="7">
        <v>41499.394409722227</v>
      </c>
      <c r="M5315" s="12" t="s">
        <v>12267</v>
      </c>
      <c r="N5315" s="12" t="s">
        <v>12268</v>
      </c>
      <c r="O5315" s="10" t="str">
        <f>HYPERLINK("https://pbs.twimg.com/profile_images/482693553739427840/7SfjXxqi_normal.png","View")</f>
        <v>View</v>
      </c>
      <c r="P5315" s="11"/>
    </row>
    <row r="5316" spans="1:16" ht="12.75" x14ac:dyDescent="0.35">
      <c r="A5316" s="7">
        <v>42483.278414351851</v>
      </c>
      <c r="B5316" s="8" t="str">
        <f>HYPERLINK("https://twitter.com/KostasTourlakis","@KostasTourlakis")</f>
        <v>@KostasTourlakis</v>
      </c>
      <c r="C5316" s="9" t="s">
        <v>12269</v>
      </c>
      <c r="D5316" s="9" t="s">
        <v>12270</v>
      </c>
      <c r="E5316" s="10" t="str">
        <f>HYPERLINK("https://twitter.com/KostasTourlakis/status/723680517640605696","723680517640605696")</f>
        <v>723680517640605696</v>
      </c>
      <c r="F5316" s="11" t="s">
        <v>5114</v>
      </c>
      <c r="G5316" s="11">
        <v>11</v>
      </c>
      <c r="H5316" s="11">
        <v>40</v>
      </c>
      <c r="I5316" s="11">
        <v>0</v>
      </c>
      <c r="J5316" s="11">
        <v>0</v>
      </c>
      <c r="K5316" s="11" t="s">
        <v>21</v>
      </c>
      <c r="L5316" s="7">
        <v>42470.961215277777</v>
      </c>
      <c r="M5316" s="12" t="s">
        <v>12271</v>
      </c>
      <c r="N5316" s="12"/>
      <c r="O5316" s="10" t="str">
        <f>HYPERLINK("https://pbs.twimg.com/profile_images/719217805376270337/CC_zc0I5_normal.jpg","View")</f>
        <v>View</v>
      </c>
      <c r="P5316" s="11"/>
    </row>
    <row r="5317" spans="1:16" ht="12.75" x14ac:dyDescent="0.35">
      <c r="A5317" s="7">
        <v>42483.283067129625</v>
      </c>
      <c r="B5317" s="8" t="str">
        <f>HYPERLINK("https://twitter.com/hime__eri","@hime__eri")</f>
        <v>@hime__eri</v>
      </c>
      <c r="C5317" s="9" t="s">
        <v>12272</v>
      </c>
      <c r="D5317" s="9" t="s">
        <v>12273</v>
      </c>
      <c r="E5317" s="10" t="str">
        <f>HYPERLINK("https://twitter.com/hime__eri/status/723682202228166656","723682202228166656")</f>
        <v>723682202228166656</v>
      </c>
      <c r="F5317" s="11" t="s">
        <v>114</v>
      </c>
      <c r="G5317" s="11">
        <v>360</v>
      </c>
      <c r="H5317" s="11">
        <v>201</v>
      </c>
      <c r="I5317" s="11">
        <v>0</v>
      </c>
      <c r="J5317" s="11">
        <v>0</v>
      </c>
      <c r="K5317" s="11" t="s">
        <v>21</v>
      </c>
      <c r="L5317" s="7">
        <v>40283.790543981479</v>
      </c>
      <c r="M5317" s="12" t="s">
        <v>12274</v>
      </c>
      <c r="N5317" s="12" t="s">
        <v>12275</v>
      </c>
      <c r="O5317" s="10" t="str">
        <f>HYPERLINK("https://pbs.twimg.com/profile_images/679327429643513856/MKIspi1j_normal.jpg","View")</f>
        <v>View</v>
      </c>
      <c r="P5317" s="11"/>
    </row>
    <row r="5318" spans="1:16" ht="12.75" x14ac:dyDescent="0.35">
      <c r="A5318" s="7">
        <v>42483.284733796296</v>
      </c>
      <c r="B5318" s="8" t="str">
        <f>HYPERLINK("https://twitter.com/cuco996","@cuco996")</f>
        <v>@cuco996</v>
      </c>
      <c r="C5318" s="9" t="s">
        <v>112</v>
      </c>
      <c r="D5318" s="9" t="s">
        <v>12276</v>
      </c>
      <c r="E5318" s="10" t="str">
        <f>HYPERLINK("https://twitter.com/cuco996/status/723682806942052353","723682806942052353")</f>
        <v>723682806942052353</v>
      </c>
      <c r="F5318" s="11" t="s">
        <v>114</v>
      </c>
      <c r="G5318" s="11">
        <v>221</v>
      </c>
      <c r="H5318" s="11">
        <v>520</v>
      </c>
      <c r="I5318" s="11">
        <v>0</v>
      </c>
      <c r="J5318" s="11">
        <v>0</v>
      </c>
      <c r="K5318" s="11" t="s">
        <v>21</v>
      </c>
      <c r="L5318" s="7">
        <v>39968.196886574078</v>
      </c>
      <c r="M5318" s="12" t="s">
        <v>115</v>
      </c>
      <c r="N5318" s="12" t="s">
        <v>116</v>
      </c>
      <c r="O5318" s="10" t="str">
        <f>HYPERLINK("https://pbs.twimg.com/profile_images/1623055213/download_normal.jpg","View")</f>
        <v>View</v>
      </c>
      <c r="P5318" s="11"/>
    </row>
    <row r="5319" spans="1:16" ht="12.75" x14ac:dyDescent="0.35">
      <c r="A5319" s="7">
        <v>42483.285277777773</v>
      </c>
      <c r="B5319" s="8" t="str">
        <f>HYPERLINK("https://twitter.com/EHavetta","@EHavetta")</f>
        <v>@EHavetta</v>
      </c>
      <c r="C5319" s="9" t="s">
        <v>12277</v>
      </c>
      <c r="D5319" s="9" t="s">
        <v>12278</v>
      </c>
      <c r="E5319" s="10" t="str">
        <f>HYPERLINK("https://twitter.com/EHavetta/status/723683005521367040","723683005521367040")</f>
        <v>723683005521367040</v>
      </c>
      <c r="F5319" s="11" t="s">
        <v>20</v>
      </c>
      <c r="G5319" s="11">
        <v>9</v>
      </c>
      <c r="H5319" s="11">
        <v>19</v>
      </c>
      <c r="I5319" s="11">
        <v>0</v>
      </c>
      <c r="J5319" s="11">
        <v>0</v>
      </c>
      <c r="K5319" s="11" t="s">
        <v>21</v>
      </c>
      <c r="L5319" s="7">
        <v>42126.64262731481</v>
      </c>
      <c r="M5319" s="12" t="s">
        <v>12279</v>
      </c>
      <c r="N5319" s="12" t="s">
        <v>12280</v>
      </c>
      <c r="O5319" s="10" t="str">
        <f>HYPERLINK("https://pbs.twimg.com/profile_images/717436754282807296/rUnRPBLb_normal.jpg","View")</f>
        <v>View</v>
      </c>
      <c r="P5319" s="11"/>
    </row>
    <row r="5320" spans="1:16" ht="12.75" x14ac:dyDescent="0.35">
      <c r="A5320" s="7">
        <v>42483.285648148143</v>
      </c>
      <c r="B5320" s="8" t="str">
        <f>HYPERLINK("https://twitter.com/QuentinDempster","@QuentinDempster")</f>
        <v>@QuentinDempster</v>
      </c>
      <c r="C5320" s="9" t="s">
        <v>12281</v>
      </c>
      <c r="D5320" s="9" t="s">
        <v>12282</v>
      </c>
      <c r="E5320" s="10" t="str">
        <f>HYPERLINK("https://twitter.com/QuentinDempster/status/723683138476482561","723683138476482561")</f>
        <v>723683138476482561</v>
      </c>
      <c r="F5320" s="11" t="s">
        <v>20</v>
      </c>
      <c r="G5320" s="11">
        <v>11808</v>
      </c>
      <c r="H5320" s="11">
        <v>330</v>
      </c>
      <c r="I5320" s="11">
        <v>1</v>
      </c>
      <c r="J5320" s="11">
        <v>0</v>
      </c>
      <c r="K5320" s="11" t="s">
        <v>21</v>
      </c>
      <c r="L5320" s="7">
        <v>39875.342430555553</v>
      </c>
      <c r="M5320" s="12" t="s">
        <v>12283</v>
      </c>
      <c r="N5320" s="12" t="s">
        <v>12284</v>
      </c>
      <c r="O5320" s="10" t="str">
        <f>HYPERLINK("https://pbs.twimg.com/profile_images/554510464999104512/30MM94gT_normal.jpeg","View")</f>
        <v>View</v>
      </c>
      <c r="P5320" s="11"/>
    </row>
    <row r="5321" spans="1:16" ht="12.75" x14ac:dyDescent="0.35">
      <c r="A5321" s="7">
        <v>42483.285763888889</v>
      </c>
      <c r="B5321" s="8" t="str">
        <f t="shared" ref="B5321:B5322" si="463">HYPERLINK("https://twitter.com/oldcar_photo","@oldcar_photo")</f>
        <v>@oldcar_photo</v>
      </c>
      <c r="C5321" s="9" t="s">
        <v>1046</v>
      </c>
      <c r="D5321" s="9" t="s">
        <v>12285</v>
      </c>
      <c r="E5321" s="10" t="str">
        <f>HYPERLINK("https://twitter.com/oldcar_photo/status/723683180134412288","723683180134412288")</f>
        <v>723683180134412288</v>
      </c>
      <c r="F5321" s="11" t="s">
        <v>68</v>
      </c>
      <c r="G5321" s="11">
        <v>1985</v>
      </c>
      <c r="H5321" s="11">
        <v>0</v>
      </c>
      <c r="I5321" s="11">
        <v>2</v>
      </c>
      <c r="J5321" s="11">
        <v>1</v>
      </c>
      <c r="K5321" s="11" t="s">
        <v>21</v>
      </c>
      <c r="L5321" s="7">
        <v>42184.7341087963</v>
      </c>
      <c r="M5321" s="12"/>
      <c r="N5321" s="12"/>
      <c r="O5321" s="10" t="str">
        <f t="shared" ref="O5321:O5322" si="464">HYPERLINK("https://pbs.twimg.com/profile_images/615493650785660928/XHUh6HOk_normal.jpg","View")</f>
        <v>View</v>
      </c>
      <c r="P5321" s="11"/>
    </row>
    <row r="5322" spans="1:16" ht="12.75" x14ac:dyDescent="0.35">
      <c r="A5322" s="7">
        <v>42483.285763888889</v>
      </c>
      <c r="B5322" s="8" t="str">
        <f t="shared" si="463"/>
        <v>@oldcar_photo</v>
      </c>
      <c r="C5322" s="9" t="s">
        <v>1046</v>
      </c>
      <c r="D5322" s="9" t="s">
        <v>12286</v>
      </c>
      <c r="E5322" s="10" t="str">
        <f>HYPERLINK("https://twitter.com/oldcar_photo/status/723683183351488512","723683183351488512")</f>
        <v>723683183351488512</v>
      </c>
      <c r="F5322" s="11" t="s">
        <v>68</v>
      </c>
      <c r="G5322" s="11">
        <v>1985</v>
      </c>
      <c r="H5322" s="11">
        <v>0</v>
      </c>
      <c r="I5322" s="11">
        <v>1</v>
      </c>
      <c r="J5322" s="11">
        <v>1</v>
      </c>
      <c r="K5322" s="11" t="s">
        <v>21</v>
      </c>
      <c r="L5322" s="7">
        <v>42184.7341087963</v>
      </c>
      <c r="M5322" s="12"/>
      <c r="N5322" s="12"/>
      <c r="O5322" s="10" t="str">
        <f t="shared" si="464"/>
        <v>View</v>
      </c>
      <c r="P5322" s="11"/>
    </row>
    <row r="5323" spans="1:16" ht="12.75" x14ac:dyDescent="0.35">
      <c r="A5323" s="7">
        <v>42483.28707175926</v>
      </c>
      <c r="B5323" s="8" t="str">
        <f>HYPERLINK("https://twitter.com/VCT_Tweets","@VCT_Tweets")</f>
        <v>@VCT_Tweets</v>
      </c>
      <c r="C5323" s="9" t="s">
        <v>199</v>
      </c>
      <c r="D5323" s="9" t="s">
        <v>12287</v>
      </c>
      <c r="E5323" s="10" t="str">
        <f>HYPERLINK("https://twitter.com/VCT_Tweets/status/723683653503574016","723683653503574016")</f>
        <v>723683653503574016</v>
      </c>
      <c r="F5323" s="11" t="s">
        <v>68</v>
      </c>
      <c r="G5323" s="11">
        <v>890</v>
      </c>
      <c r="H5323" s="11">
        <v>211</v>
      </c>
      <c r="I5323" s="11">
        <v>0</v>
      </c>
      <c r="J5323" s="11">
        <v>0</v>
      </c>
      <c r="K5323" s="11" t="s">
        <v>21</v>
      </c>
      <c r="L5323" s="7">
        <v>40744.914837962962</v>
      </c>
      <c r="M5323" s="12" t="s">
        <v>201</v>
      </c>
      <c r="N5323" s="12" t="s">
        <v>202</v>
      </c>
      <c r="O5323" s="10" t="str">
        <f>HYPERLINK("https://pbs.twimg.com/profile_images/569800899141177344/nVFLMSdb_normal.png","View")</f>
        <v>View</v>
      </c>
      <c r="P5323" s="11"/>
    </row>
    <row r="5324" spans="1:16" ht="12.75" x14ac:dyDescent="0.35">
      <c r="A5324" s="7">
        <v>42483.288078703699</v>
      </c>
      <c r="B5324" s="8" t="str">
        <f>HYPERLINK("https://twitter.com/hillbillylawns","@hillbillylawns")</f>
        <v>@hillbillylawns</v>
      </c>
      <c r="C5324" s="9" t="s">
        <v>12288</v>
      </c>
      <c r="D5324" s="9" t="s">
        <v>11944</v>
      </c>
      <c r="E5324" s="10" t="str">
        <f>HYPERLINK("https://twitter.com/hillbillylawns/status/723684022342291456","723684022342291456")</f>
        <v>723684022342291456</v>
      </c>
      <c r="F5324" s="11" t="s">
        <v>48</v>
      </c>
      <c r="G5324" s="11">
        <v>691</v>
      </c>
      <c r="H5324" s="11">
        <v>1946</v>
      </c>
      <c r="I5324" s="11">
        <v>2</v>
      </c>
      <c r="J5324" s="11">
        <v>0</v>
      </c>
      <c r="K5324" s="11" t="s">
        <v>21</v>
      </c>
      <c r="L5324" s="7">
        <v>41926.947974537034</v>
      </c>
      <c r="M5324" s="12" t="s">
        <v>12289</v>
      </c>
      <c r="N5324" s="12" t="s">
        <v>12290</v>
      </c>
      <c r="O5324" s="10" t="str">
        <f>HYPERLINK("https://pbs.twimg.com/profile_images/522812503097872384/vAgZehbG_normal.jpeg","View")</f>
        <v>View</v>
      </c>
      <c r="P5324" s="11"/>
    </row>
    <row r="5325" spans="1:16" ht="12.75" x14ac:dyDescent="0.35">
      <c r="A5325" s="7">
        <v>42483.288564814815</v>
      </c>
      <c r="B5325" s="8" t="str">
        <f>HYPERLINK("https://twitter.com/techislet","@techislet")</f>
        <v>@techislet</v>
      </c>
      <c r="C5325" s="9" t="s">
        <v>2042</v>
      </c>
      <c r="D5325" s="9" t="s">
        <v>8684</v>
      </c>
      <c r="E5325" s="10" t="str">
        <f>HYPERLINK("https://twitter.com/techislet/status/723684197097955329","723684197097955329")</f>
        <v>723684197097955329</v>
      </c>
      <c r="F5325" s="11" t="s">
        <v>2044</v>
      </c>
      <c r="G5325" s="11">
        <v>887</v>
      </c>
      <c r="H5325" s="11">
        <v>48</v>
      </c>
      <c r="I5325" s="11">
        <v>0</v>
      </c>
      <c r="J5325" s="11">
        <v>0</v>
      </c>
      <c r="K5325" s="11" t="s">
        <v>21</v>
      </c>
      <c r="L5325" s="7">
        <v>42230.528009259258</v>
      </c>
      <c r="M5325" s="12" t="s">
        <v>1483</v>
      </c>
      <c r="N5325" s="12" t="s">
        <v>2045</v>
      </c>
      <c r="O5325" s="10" t="str">
        <f>HYPERLINK("https://pbs.twimg.com/profile_images/640893185158352896/TMGmsF0r_normal.png","View")</f>
        <v>View</v>
      </c>
      <c r="P5325" s="11"/>
    </row>
    <row r="5326" spans="1:16" ht="12.75" x14ac:dyDescent="0.35">
      <c r="A5326" s="7">
        <v>42483.289467592593</v>
      </c>
      <c r="B5326" s="8" t="str">
        <f>HYPERLINK("https://twitter.com/CollectHW","@CollectHW")</f>
        <v>@CollectHW</v>
      </c>
      <c r="C5326" s="9" t="s">
        <v>512</v>
      </c>
      <c r="D5326" s="9" t="s">
        <v>12291</v>
      </c>
      <c r="E5326" s="10" t="str">
        <f>HYPERLINK("https://twitter.com/CollectHW/status/723684525583286272","723684525583286272")</f>
        <v>723684525583286272</v>
      </c>
      <c r="F5326" s="11" t="s">
        <v>114</v>
      </c>
      <c r="G5326" s="11">
        <v>306</v>
      </c>
      <c r="H5326" s="11">
        <v>164</v>
      </c>
      <c r="I5326" s="11">
        <v>0</v>
      </c>
      <c r="J5326" s="11">
        <v>0</v>
      </c>
      <c r="K5326" s="11" t="s">
        <v>21</v>
      </c>
      <c r="L5326" s="7">
        <v>41141.872129629628</v>
      </c>
      <c r="M5326" s="12" t="s">
        <v>355</v>
      </c>
      <c r="N5326" s="12" t="s">
        <v>514</v>
      </c>
      <c r="O5326" s="10" t="str">
        <f>HYPERLINK("https://pbs.twimg.com/profile_images/522469771573350400/e5WjUwRr_normal.png","View")</f>
        <v>View</v>
      </c>
      <c r="P5326" s="11"/>
    </row>
    <row r="5327" spans="1:16" ht="12.75" x14ac:dyDescent="0.35">
      <c r="A5327" s="7">
        <v>42483.289629629631</v>
      </c>
      <c r="B5327" s="8" t="str">
        <f>HYPERLINK("https://twitter.com/ShinyCordoba","@ShinyCordoba")</f>
        <v>@ShinyCordoba</v>
      </c>
      <c r="C5327" s="9" t="s">
        <v>12292</v>
      </c>
      <c r="D5327" s="9" t="s">
        <v>12293</v>
      </c>
      <c r="E5327" s="10" t="str">
        <f>HYPERLINK("https://twitter.com/ShinyCordoba/status/723684580310568960","723684580310568960")</f>
        <v>723684580310568960</v>
      </c>
      <c r="F5327" s="11" t="s">
        <v>114</v>
      </c>
      <c r="G5327" s="11">
        <v>150</v>
      </c>
      <c r="H5327" s="11">
        <v>570</v>
      </c>
      <c r="I5327" s="11">
        <v>0</v>
      </c>
      <c r="J5327" s="11">
        <v>0</v>
      </c>
      <c r="K5327" s="11" t="s">
        <v>21</v>
      </c>
      <c r="L5327" s="7">
        <v>41961.029120370367</v>
      </c>
      <c r="M5327" s="12" t="s">
        <v>12294</v>
      </c>
      <c r="N5327" s="12"/>
      <c r="O5327" s="10" t="str">
        <f>HYPERLINK("https://pbs.twimg.com/profile_images/638473863052021760/ubuTDwkg_normal.jpg","View")</f>
        <v>View</v>
      </c>
      <c r="P5327" s="10" t="str">
        <f>HYPERLINK("http://ctrlq.org/maps/address/#-31.4,-64.5167","Map")</f>
        <v>Map</v>
      </c>
    </row>
    <row r="5328" spans="1:16" ht="12.75" x14ac:dyDescent="0.35">
      <c r="A5328" s="7">
        <v>42483.290648148148</v>
      </c>
      <c r="B5328" s="8" t="str">
        <f>HYPERLINK("https://twitter.com/RamziBerrabia","@RamziBerrabia")</f>
        <v>@RamziBerrabia</v>
      </c>
      <c r="C5328" s="9" t="s">
        <v>12295</v>
      </c>
      <c r="D5328" s="9" t="s">
        <v>12296</v>
      </c>
      <c r="E5328" s="10" t="str">
        <f>HYPERLINK("https://twitter.com/RamziBerrabia/status/723684951690993664","723684951690993664")</f>
        <v>723684951690993664</v>
      </c>
      <c r="F5328" s="11" t="s">
        <v>43</v>
      </c>
      <c r="G5328" s="11">
        <v>102</v>
      </c>
      <c r="H5328" s="11">
        <v>290</v>
      </c>
      <c r="I5328" s="11">
        <v>0</v>
      </c>
      <c r="J5328" s="11">
        <v>0</v>
      </c>
      <c r="K5328" s="11" t="s">
        <v>21</v>
      </c>
      <c r="L5328" s="7">
        <v>41429.732974537037</v>
      </c>
      <c r="M5328" s="12" t="s">
        <v>12297</v>
      </c>
      <c r="N5328" s="12" t="s">
        <v>12298</v>
      </c>
      <c r="O5328" s="10" t="str">
        <f>HYPERLINK("https://pbs.twimg.com/profile_images/512410499753840640/71x55KFh_normal.jpeg","View")</f>
        <v>View</v>
      </c>
      <c r="P5328" s="11"/>
    </row>
    <row r="5329" spans="1:16" ht="12.75" x14ac:dyDescent="0.35">
      <c r="A5329" s="7">
        <v>42483.290879629625</v>
      </c>
      <c r="B5329" s="8" t="str">
        <f>HYPERLINK("https://twitter.com/AutoenAccion","@AutoenAccion")</f>
        <v>@AutoenAccion</v>
      </c>
      <c r="C5329" s="9" t="s">
        <v>12299</v>
      </c>
      <c r="D5329" s="9" t="s">
        <v>12300</v>
      </c>
      <c r="E5329" s="10" t="str">
        <f>HYPERLINK("https://twitter.com/AutoenAccion/status/723685033878282241","723685033878282241")</f>
        <v>723685033878282241</v>
      </c>
      <c r="F5329" s="11" t="s">
        <v>43</v>
      </c>
      <c r="G5329" s="11">
        <v>22</v>
      </c>
      <c r="H5329" s="11">
        <v>80</v>
      </c>
      <c r="I5329" s="11">
        <v>0</v>
      </c>
      <c r="J5329" s="11">
        <v>0</v>
      </c>
      <c r="K5329" s="11" t="s">
        <v>21</v>
      </c>
      <c r="L5329" s="7">
        <v>42426.374490740738</v>
      </c>
      <c r="M5329" s="12"/>
      <c r="N5329" s="12" t="s">
        <v>12301</v>
      </c>
      <c r="O5329" s="10" t="str">
        <f>HYPERLINK("https://pbs.twimg.com/profile_images/716639110153297920/-Yi8AL_W_normal.jpg","View")</f>
        <v>View</v>
      </c>
      <c r="P5329" s="11"/>
    </row>
    <row r="5330" spans="1:16" ht="12.75" x14ac:dyDescent="0.35">
      <c r="A5330" s="7">
        <v>42483.291238425925</v>
      </c>
      <c r="B5330" s="8" t="str">
        <f>HYPERLINK("https://twitter.com/CameronQland","@CameronQland")</f>
        <v>@CameronQland</v>
      </c>
      <c r="C5330" s="9" t="s">
        <v>12302</v>
      </c>
      <c r="D5330" s="9" t="s">
        <v>12303</v>
      </c>
      <c r="E5330" s="10" t="str">
        <f>HYPERLINK("https://twitter.com/CameronQland/status/723685164706979840","723685164706979840")</f>
        <v>723685164706979840</v>
      </c>
      <c r="F5330" s="11" t="s">
        <v>43</v>
      </c>
      <c r="G5330" s="11">
        <v>573</v>
      </c>
      <c r="H5330" s="11">
        <v>287</v>
      </c>
      <c r="I5330" s="11">
        <v>0</v>
      </c>
      <c r="J5330" s="11">
        <v>0</v>
      </c>
      <c r="K5330" s="11" t="s">
        <v>21</v>
      </c>
      <c r="L5330" s="7">
        <v>40682.445868055554</v>
      </c>
      <c r="M5330" s="12" t="s">
        <v>12304</v>
      </c>
      <c r="N5330" s="12" t="s">
        <v>12305</v>
      </c>
      <c r="O5330" s="10" t="str">
        <f>HYPERLINK("https://pbs.twimg.com/profile_images/378800000827120112/bb88ca260a477e3c94636e87492f47bc_normal.jpeg","View")</f>
        <v>View</v>
      </c>
      <c r="P5330" s="11"/>
    </row>
    <row r="5331" spans="1:16" ht="12.75" x14ac:dyDescent="0.35">
      <c r="A5331" s="7">
        <v>42483.291562500002</v>
      </c>
      <c r="B5331" s="8" t="str">
        <f>HYPERLINK("https://twitter.com/Scirocco_Tuning","@Scirocco_Tuning")</f>
        <v>@Scirocco_Tuning</v>
      </c>
      <c r="C5331" s="9" t="s">
        <v>51</v>
      </c>
      <c r="D5331" s="9" t="s">
        <v>12306</v>
      </c>
      <c r="E5331" s="10" t="str">
        <f>HYPERLINK("https://twitter.com/Scirocco_Tuning/status/723685283468840961","723685283468840961")</f>
        <v>723685283468840961</v>
      </c>
      <c r="F5331" s="11" t="s">
        <v>53</v>
      </c>
      <c r="G5331" s="11">
        <v>69</v>
      </c>
      <c r="H5331" s="11">
        <v>215</v>
      </c>
      <c r="I5331" s="11">
        <v>0</v>
      </c>
      <c r="J5331" s="11">
        <v>0</v>
      </c>
      <c r="K5331" s="11" t="s">
        <v>21</v>
      </c>
      <c r="L5331" s="7">
        <v>40844.564722222218</v>
      </c>
      <c r="M5331" s="12"/>
      <c r="N5331" s="12"/>
      <c r="O5331" s="10" t="str">
        <f>HYPERLINK("https://pbs.twimg.com/profile_images/1610421423/Image2_normal.jpg","View")</f>
        <v>View</v>
      </c>
      <c r="P5331" s="11"/>
    </row>
    <row r="5332" spans="1:16" ht="12.75" x14ac:dyDescent="0.35">
      <c r="A5332" s="7">
        <v>42483.292581018519</v>
      </c>
      <c r="B5332" s="8" t="str">
        <f t="shared" ref="B5332:B5334" si="465">HYPERLINK("https://twitter.com/FuscaWorld","@FuscaWorld")</f>
        <v>@FuscaWorld</v>
      </c>
      <c r="C5332" s="9" t="s">
        <v>74</v>
      </c>
      <c r="D5332" s="9" t="s">
        <v>11944</v>
      </c>
      <c r="E5332" s="10" t="str">
        <f>HYPERLINK("https://twitter.com/FuscaWorld/status/723685651263172608","723685651263172608")</f>
        <v>723685651263172608</v>
      </c>
      <c r="F5332" s="11" t="s">
        <v>76</v>
      </c>
      <c r="G5332" s="11">
        <v>50</v>
      </c>
      <c r="H5332" s="11">
        <v>1</v>
      </c>
      <c r="I5332" s="11">
        <v>3</v>
      </c>
      <c r="J5332" s="11">
        <v>0</v>
      </c>
      <c r="K5332" s="11" t="s">
        <v>21</v>
      </c>
      <c r="L5332" s="7">
        <v>42433.880914351852</v>
      </c>
      <c r="M5332" s="12"/>
      <c r="N5332" s="12" t="s">
        <v>77</v>
      </c>
      <c r="O5332" s="10" t="str">
        <f t="shared" ref="O5332:O5334" si="466">HYPERLINK("https://pbs.twimg.com/profile_images/705780107844067328/e7O4UBNb_normal.jpg","View")</f>
        <v>View</v>
      </c>
      <c r="P5332" s="11"/>
    </row>
    <row r="5333" spans="1:16" ht="12.75" x14ac:dyDescent="0.35">
      <c r="A5333" s="7">
        <v>42483.292581018519</v>
      </c>
      <c r="B5333" s="8" t="str">
        <f t="shared" si="465"/>
        <v>@FuscaWorld</v>
      </c>
      <c r="C5333" s="9" t="s">
        <v>74</v>
      </c>
      <c r="D5333" s="9" t="s">
        <v>12307</v>
      </c>
      <c r="E5333" s="10" t="str">
        <f>HYPERLINK("https://twitter.com/FuscaWorld/status/723685653255454720","723685653255454720")</f>
        <v>723685653255454720</v>
      </c>
      <c r="F5333" s="11" t="s">
        <v>76</v>
      </c>
      <c r="G5333" s="11">
        <v>50</v>
      </c>
      <c r="H5333" s="11">
        <v>1</v>
      </c>
      <c r="I5333" s="11">
        <v>1</v>
      </c>
      <c r="J5333" s="11">
        <v>0</v>
      </c>
      <c r="K5333" s="11" t="s">
        <v>21</v>
      </c>
      <c r="L5333" s="7">
        <v>42433.880914351852</v>
      </c>
      <c r="M5333" s="12"/>
      <c r="N5333" s="12" t="s">
        <v>77</v>
      </c>
      <c r="O5333" s="10" t="str">
        <f t="shared" si="466"/>
        <v>View</v>
      </c>
      <c r="P5333" s="11"/>
    </row>
    <row r="5334" spans="1:16" ht="12.75" x14ac:dyDescent="0.35">
      <c r="A5334" s="7">
        <v>42483.292592592596</v>
      </c>
      <c r="B5334" s="8" t="str">
        <f t="shared" si="465"/>
        <v>@FuscaWorld</v>
      </c>
      <c r="C5334" s="9" t="s">
        <v>74</v>
      </c>
      <c r="D5334" s="9" t="s">
        <v>428</v>
      </c>
      <c r="E5334" s="10" t="str">
        <f>HYPERLINK("https://twitter.com/FuscaWorld/status/723685655298080768","723685655298080768")</f>
        <v>723685655298080768</v>
      </c>
      <c r="F5334" s="11" t="s">
        <v>76</v>
      </c>
      <c r="G5334" s="11">
        <v>50</v>
      </c>
      <c r="H5334" s="11">
        <v>1</v>
      </c>
      <c r="I5334" s="11">
        <v>2</v>
      </c>
      <c r="J5334" s="11">
        <v>0</v>
      </c>
      <c r="K5334" s="11" t="s">
        <v>21</v>
      </c>
      <c r="L5334" s="7">
        <v>42433.880914351852</v>
      </c>
      <c r="M5334" s="12"/>
      <c r="N5334" s="12" t="s">
        <v>77</v>
      </c>
      <c r="O5334" s="10" t="str">
        <f t="shared" si="466"/>
        <v>View</v>
      </c>
      <c r="P5334" s="11"/>
    </row>
    <row r="5335" spans="1:16" ht="12.75" x14ac:dyDescent="0.35">
      <c r="A5335" s="7">
        <v>42483.29288194445</v>
      </c>
      <c r="B5335" s="8" t="str">
        <f>HYPERLINK("https://twitter.com/GastonVanini","@GastonVanini")</f>
        <v>@GastonVanini</v>
      </c>
      <c r="C5335" s="9" t="s">
        <v>12308</v>
      </c>
      <c r="D5335" s="9" t="s">
        <v>12309</v>
      </c>
      <c r="E5335" s="10" t="str">
        <f>HYPERLINK("https://twitter.com/GastonVanini/status/723685760289918976","723685760289918976")</f>
        <v>723685760289918976</v>
      </c>
      <c r="F5335" s="11" t="s">
        <v>43</v>
      </c>
      <c r="G5335" s="11">
        <v>77</v>
      </c>
      <c r="H5335" s="11">
        <v>111</v>
      </c>
      <c r="I5335" s="11">
        <v>2</v>
      </c>
      <c r="J5335" s="11">
        <v>0</v>
      </c>
      <c r="K5335" s="11" t="s">
        <v>21</v>
      </c>
      <c r="L5335" s="7">
        <v>40691.350694444445</v>
      </c>
      <c r="M5335" s="12"/>
      <c r="N5335" s="12" t="s">
        <v>12310</v>
      </c>
      <c r="O5335" s="10" t="str">
        <f>HYPERLINK("https://pbs.twimg.com/profile_images/556649250071666689/kQtpgDqR_normal.jpeg","View")</f>
        <v>View</v>
      </c>
      <c r="P5335" s="11"/>
    </row>
    <row r="5336" spans="1:16" ht="12.75" x14ac:dyDescent="0.35">
      <c r="A5336" s="7">
        <v>42483.293599537035</v>
      </c>
      <c r="B5336" s="8" t="str">
        <f>HYPERLINK("https://twitter.com/gise_max","@gise_max")</f>
        <v>@gise_max</v>
      </c>
      <c r="C5336" s="9" t="s">
        <v>12311</v>
      </c>
      <c r="D5336" s="9" t="s">
        <v>12309</v>
      </c>
      <c r="E5336" s="10" t="str">
        <f>HYPERLINK("https://twitter.com/gise_max/status/723686019128791040","723686019128791040")</f>
        <v>723686019128791040</v>
      </c>
      <c r="F5336" s="11" t="s">
        <v>48</v>
      </c>
      <c r="G5336" s="11">
        <v>5</v>
      </c>
      <c r="H5336" s="11">
        <v>40</v>
      </c>
      <c r="I5336" s="11">
        <v>2</v>
      </c>
      <c r="J5336" s="11">
        <v>0</v>
      </c>
      <c r="K5336" s="11" t="s">
        <v>21</v>
      </c>
      <c r="L5336" s="7">
        <v>41492.286354166667</v>
      </c>
      <c r="M5336" s="13" t="s">
        <v>12312</v>
      </c>
      <c r="N5336" s="12" t="s">
        <v>12313</v>
      </c>
      <c r="O5336" s="10" t="str">
        <f>HYPERLINK("https://pbs.twimg.com/profile_images/610532807329378305/fwbFqFDw_normal.jpg","View")</f>
        <v>View</v>
      </c>
      <c r="P5336" s="11"/>
    </row>
    <row r="5337" spans="1:16" ht="12.75" x14ac:dyDescent="0.35">
      <c r="A5337" s="7">
        <v>42483.29487268519</v>
      </c>
      <c r="B5337" s="8" t="str">
        <f>HYPERLINK("https://twitter.com/MicaiasUriel","@MicaiasUriel")</f>
        <v>@MicaiasUriel</v>
      </c>
      <c r="C5337" s="9" t="s">
        <v>10461</v>
      </c>
      <c r="D5337" s="9" t="s">
        <v>10808</v>
      </c>
      <c r="E5337" s="10" t="str">
        <f>HYPERLINK("https://twitter.com/MicaiasUriel/status/723686482037362688","723686482037362688")</f>
        <v>723686482037362688</v>
      </c>
      <c r="F5337" s="11" t="s">
        <v>48</v>
      </c>
      <c r="G5337" s="11">
        <v>1986</v>
      </c>
      <c r="H5337" s="11">
        <v>690</v>
      </c>
      <c r="I5337" s="11">
        <v>57</v>
      </c>
      <c r="J5337" s="11">
        <v>0</v>
      </c>
      <c r="K5337" s="11" t="s">
        <v>21</v>
      </c>
      <c r="L5337" s="7">
        <v>41451.395879629628</v>
      </c>
      <c r="M5337" s="12" t="s">
        <v>10462</v>
      </c>
      <c r="N5337" s="12" t="s">
        <v>10463</v>
      </c>
      <c r="O5337" s="10" t="str">
        <f>HYPERLINK("https://pbs.twimg.com/profile_images/716896035671580672/EmIuVgoK_normal.jpg","View")</f>
        <v>View</v>
      </c>
      <c r="P5337" s="11"/>
    </row>
    <row r="5338" spans="1:16" ht="12.75" x14ac:dyDescent="0.35">
      <c r="A5338" s="7">
        <v>42483.29792824074</v>
      </c>
      <c r="B5338" s="8" t="str">
        <f>HYPERLINK("https://twitter.com/NoCarNoFun","@NoCarNoFun")</f>
        <v>@NoCarNoFun</v>
      </c>
      <c r="C5338" s="9" t="s">
        <v>12314</v>
      </c>
      <c r="D5338" s="9" t="s">
        <v>12315</v>
      </c>
      <c r="E5338" s="10" t="str">
        <f>HYPERLINK("https://twitter.com/NoCarNoFun/status/723687588612177920","723687588612177920")</f>
        <v>723687588612177920</v>
      </c>
      <c r="F5338" s="11" t="s">
        <v>80</v>
      </c>
      <c r="G5338" s="11">
        <v>20946</v>
      </c>
      <c r="H5338" s="11">
        <v>13509</v>
      </c>
      <c r="I5338" s="11">
        <v>2</v>
      </c>
      <c r="J5338" s="11">
        <v>4</v>
      </c>
      <c r="K5338" s="11" t="s">
        <v>21</v>
      </c>
      <c r="L5338" s="7">
        <v>41662.673437500001</v>
      </c>
      <c r="M5338" s="12"/>
      <c r="N5338" s="12" t="s">
        <v>12316</v>
      </c>
      <c r="O5338" s="10" t="str">
        <f>HYPERLINK("https://pbs.twimg.com/profile_images/583355386759114753/UFl8HGQg_normal.jpg","View")</f>
        <v>View</v>
      </c>
      <c r="P5338" s="11"/>
    </row>
    <row r="5339" spans="1:16" ht="12.75" x14ac:dyDescent="0.35">
      <c r="A5339" s="7">
        <v>42483.298958333333</v>
      </c>
      <c r="B5339" s="8" t="str">
        <f>HYPERLINK("https://twitter.com/bjsommerville","@bjsommerville")</f>
        <v>@bjsommerville</v>
      </c>
      <c r="C5339" s="9" t="s">
        <v>12317</v>
      </c>
      <c r="D5339" s="9" t="s">
        <v>12318</v>
      </c>
      <c r="E5339" s="10" t="str">
        <f>HYPERLINK("https://twitter.com/bjsommerville/status/723687962894966784","723687962894966784")</f>
        <v>723687962894966784</v>
      </c>
      <c r="F5339" s="11" t="s">
        <v>12319</v>
      </c>
      <c r="G5339" s="11">
        <v>66</v>
      </c>
      <c r="H5339" s="11">
        <v>134</v>
      </c>
      <c r="I5339" s="11">
        <v>1</v>
      </c>
      <c r="J5339" s="11">
        <v>0</v>
      </c>
      <c r="K5339" s="11" t="s">
        <v>21</v>
      </c>
      <c r="L5339" s="7">
        <v>41423.381168981483</v>
      </c>
      <c r="M5339" s="12" t="s">
        <v>12320</v>
      </c>
      <c r="N5339" s="12" t="s">
        <v>12321</v>
      </c>
      <c r="O5339" s="10" t="str">
        <f>HYPERLINK("https://pbs.twimg.com/profile_images/3725967723/1cb19fcb397118623a9866ecb7fd9b52_normal.jpeg","View")</f>
        <v>View</v>
      </c>
      <c r="P5339" s="11"/>
    </row>
    <row r="5340" spans="1:16" ht="12.75" x14ac:dyDescent="0.35">
      <c r="A5340" s="7">
        <v>42483.300254629634</v>
      </c>
      <c r="B5340" s="8" t="str">
        <f>HYPERLINK("https://twitter.com/LuchiAbiuso","@LuchiAbiuso")</f>
        <v>@LuchiAbiuso</v>
      </c>
      <c r="C5340" s="9" t="s">
        <v>12322</v>
      </c>
      <c r="D5340" s="9" t="s">
        <v>12323</v>
      </c>
      <c r="E5340" s="10" t="str">
        <f>HYPERLINK("https://twitter.com/LuchiAbiuso/status/723688432594235393","723688432594235393")</f>
        <v>723688432594235393</v>
      </c>
      <c r="F5340" s="11" t="s">
        <v>48</v>
      </c>
      <c r="G5340" s="11">
        <v>457</v>
      </c>
      <c r="H5340" s="11">
        <v>465</v>
      </c>
      <c r="I5340" s="11">
        <v>0</v>
      </c>
      <c r="J5340" s="11">
        <v>0</v>
      </c>
      <c r="K5340" s="11" t="s">
        <v>21</v>
      </c>
      <c r="L5340" s="7">
        <v>41644.187326388885</v>
      </c>
      <c r="M5340" s="12" t="s">
        <v>12324</v>
      </c>
      <c r="N5340" s="12" t="s">
        <v>12325</v>
      </c>
      <c r="O5340" s="10" t="str">
        <f>HYPERLINK("https://pbs.twimg.com/profile_images/719350304182050816/VSz4khiW_normal.jpg","View")</f>
        <v>View</v>
      </c>
      <c r="P5340" s="11"/>
    </row>
    <row r="5341" spans="1:16" ht="12.75" x14ac:dyDescent="0.35">
      <c r="A5341" s="7">
        <v>42483.300983796296</v>
      </c>
      <c r="B5341" s="8" t="str">
        <f>HYPERLINK("https://twitter.com/AlainMatungulu","@AlainMatungulu")</f>
        <v>@AlainMatungulu</v>
      </c>
      <c r="C5341" s="9" t="s">
        <v>12326</v>
      </c>
      <c r="D5341" s="9" t="s">
        <v>12327</v>
      </c>
      <c r="E5341" s="10" t="str">
        <f>HYPERLINK("https://twitter.com/AlainMatungulu/status/723688696105590789","723688696105590789")</f>
        <v>723688696105590789</v>
      </c>
      <c r="F5341" s="11" t="s">
        <v>2154</v>
      </c>
      <c r="G5341" s="11">
        <v>509</v>
      </c>
      <c r="H5341" s="11">
        <v>2457</v>
      </c>
      <c r="I5341" s="11">
        <v>2</v>
      </c>
      <c r="J5341" s="11">
        <v>0</v>
      </c>
      <c r="K5341" s="11" t="s">
        <v>21</v>
      </c>
      <c r="L5341" s="7">
        <v>40828.117361111115</v>
      </c>
      <c r="M5341" s="12" t="s">
        <v>12328</v>
      </c>
      <c r="N5341" s="12"/>
      <c r="O5341" s="10" t="str">
        <f>HYPERLINK("https://pbs.twimg.com/profile_images/3017660054/ee83c52d1d7888aafd6408ffbd16dbd1_normal.jpeg","View")</f>
        <v>View</v>
      </c>
      <c r="P5341" s="11"/>
    </row>
    <row r="5342" spans="1:16" ht="12.75" x14ac:dyDescent="0.35">
      <c r="A5342" s="7">
        <v>42483.301377314812</v>
      </c>
      <c r="B5342" s="8" t="str">
        <f>HYPERLINK("https://twitter.com/drjosefaria","@drjosefaria")</f>
        <v>@drjosefaria</v>
      </c>
      <c r="C5342" s="9" t="s">
        <v>12329</v>
      </c>
      <c r="D5342" s="9" t="s">
        <v>12330</v>
      </c>
      <c r="E5342" s="10" t="str">
        <f>HYPERLINK("https://twitter.com/drjosefaria/status/723688840385445889","723688840385445889")</f>
        <v>723688840385445889</v>
      </c>
      <c r="F5342" s="11" t="s">
        <v>20</v>
      </c>
      <c r="G5342" s="11">
        <v>163</v>
      </c>
      <c r="H5342" s="11">
        <v>220</v>
      </c>
      <c r="I5342" s="11">
        <v>0</v>
      </c>
      <c r="J5342" s="11">
        <v>0</v>
      </c>
      <c r="K5342" s="11" t="s">
        <v>21</v>
      </c>
      <c r="L5342" s="7">
        <v>39986.091261574074</v>
      </c>
      <c r="M5342" s="12" t="s">
        <v>12331</v>
      </c>
      <c r="N5342" s="12" t="s">
        <v>12332</v>
      </c>
      <c r="O5342" s="10" t="str">
        <f>HYPERLINK("https://pbs.twimg.com/profile_images/711755394599800833/q1IK7Rn9_normal.jpg","View")</f>
        <v>View</v>
      </c>
      <c r="P5342" s="11"/>
    </row>
    <row r="5343" spans="1:16" ht="12.75" x14ac:dyDescent="0.35">
      <c r="A5343" s="7">
        <v>42483.301712962959</v>
      </c>
      <c r="B5343" s="8" t="str">
        <f>HYPERLINK("https://twitter.com/LeoZettel","@LeoZettel")</f>
        <v>@LeoZettel</v>
      </c>
      <c r="C5343" s="9" t="s">
        <v>12333</v>
      </c>
      <c r="D5343" s="9" t="s">
        <v>12334</v>
      </c>
      <c r="E5343" s="10" t="str">
        <f>HYPERLINK("https://twitter.com/LeoZettel/status/723688960770215936","723688960770215936")</f>
        <v>723688960770215936</v>
      </c>
      <c r="F5343" s="11" t="s">
        <v>114</v>
      </c>
      <c r="G5343" s="11">
        <v>483</v>
      </c>
      <c r="H5343" s="11">
        <v>326</v>
      </c>
      <c r="I5343" s="11">
        <v>0</v>
      </c>
      <c r="J5343" s="11">
        <v>0</v>
      </c>
      <c r="K5343" s="11" t="s">
        <v>21</v>
      </c>
      <c r="L5343" s="7">
        <v>39997.281261574077</v>
      </c>
      <c r="M5343" s="12" t="s">
        <v>6000</v>
      </c>
      <c r="N5343" s="12" t="s">
        <v>12335</v>
      </c>
      <c r="O5343" s="10" t="str">
        <f>HYPERLINK("https://pbs.twimg.com/profile_images/1572942658/041220_-_Rally_Track__07__making_off2_normal.jpg","View")</f>
        <v>View</v>
      </c>
      <c r="P5343" s="11"/>
    </row>
    <row r="5344" spans="1:16" ht="12.75" x14ac:dyDescent="0.35">
      <c r="A5344" s="7">
        <v>42483.301875000005</v>
      </c>
      <c r="B5344" s="8" t="str">
        <f>HYPERLINK("https://twitter.com/JNathanHigdon","@JNathanHigdon")</f>
        <v>@JNathanHigdon</v>
      </c>
      <c r="C5344" s="9" t="s">
        <v>12336</v>
      </c>
      <c r="D5344" s="9" t="s">
        <v>12337</v>
      </c>
      <c r="E5344" s="10" t="str">
        <f>HYPERLINK("https://twitter.com/JNathanHigdon/status/723689021264695296","723689021264695296")</f>
        <v>723689021264695296</v>
      </c>
      <c r="F5344" s="11" t="s">
        <v>193</v>
      </c>
      <c r="G5344" s="11">
        <v>293</v>
      </c>
      <c r="H5344" s="11">
        <v>612</v>
      </c>
      <c r="I5344" s="11">
        <v>0</v>
      </c>
      <c r="J5344" s="11">
        <v>0</v>
      </c>
      <c r="K5344" s="11" t="s">
        <v>21</v>
      </c>
      <c r="L5344" s="7">
        <v>41359.185729166667</v>
      </c>
      <c r="M5344" s="12" t="s">
        <v>12338</v>
      </c>
      <c r="N5344" s="12" t="s">
        <v>12339</v>
      </c>
      <c r="O5344" s="10" t="str">
        <f>HYPERLINK("https://pbs.twimg.com/profile_images/722388923767525376/7KvgtvmA_normal.jpg","View")</f>
        <v>View</v>
      </c>
      <c r="P5344" s="11"/>
    </row>
    <row r="5345" spans="1:16" ht="12.75" x14ac:dyDescent="0.35">
      <c r="A5345" s="7">
        <v>42483.304490740746</v>
      </c>
      <c r="B5345" s="8" t="str">
        <f>HYPERLINK("https://twitter.com/HermelindaRiosA","@HermelindaRiosA")</f>
        <v>@HermelindaRiosA</v>
      </c>
      <c r="C5345" s="9" t="s">
        <v>12340</v>
      </c>
      <c r="D5345" s="9" t="s">
        <v>12341</v>
      </c>
      <c r="E5345" s="10" t="str">
        <f>HYPERLINK("https://twitter.com/HermelindaRiosA/status/723689967659159554","723689967659159554")</f>
        <v>723689967659159554</v>
      </c>
      <c r="F5345" s="11" t="s">
        <v>68</v>
      </c>
      <c r="G5345" s="11">
        <v>63</v>
      </c>
      <c r="H5345" s="11">
        <v>98</v>
      </c>
      <c r="I5345" s="11">
        <v>0</v>
      </c>
      <c r="J5345" s="11">
        <v>0</v>
      </c>
      <c r="K5345" s="11" t="s">
        <v>21</v>
      </c>
      <c r="L5345" s="7">
        <v>42474.229618055557</v>
      </c>
      <c r="M5345" s="12"/>
      <c r="N5345" s="12"/>
      <c r="O5345" s="10" t="str">
        <f>HYPERLINK("https://abs.twimg.com/sticky/default_profile_images/default_profile_0_normal.png","View")</f>
        <v>View</v>
      </c>
      <c r="P5345" s="11"/>
    </row>
    <row r="5346" spans="1:16" ht="12.75" x14ac:dyDescent="0.35">
      <c r="A5346" s="7">
        <v>42483.3046875</v>
      </c>
      <c r="B5346" s="8" t="str">
        <f>HYPERLINK("https://twitter.com/0a48e0f5698e460","@0a48e0f5698e460")</f>
        <v>@0a48e0f5698e460</v>
      </c>
      <c r="C5346" s="9" t="s">
        <v>12342</v>
      </c>
      <c r="D5346" s="9" t="s">
        <v>12327</v>
      </c>
      <c r="E5346" s="10" t="str">
        <f>HYPERLINK("https://twitter.com/0a48e0f5698e460/status/723690040455389184","723690040455389184")</f>
        <v>723690040455389184</v>
      </c>
      <c r="F5346" s="11" t="s">
        <v>48</v>
      </c>
      <c r="G5346" s="11">
        <v>2901</v>
      </c>
      <c r="H5346" s="11">
        <v>3516</v>
      </c>
      <c r="I5346" s="11">
        <v>3</v>
      </c>
      <c r="J5346" s="11">
        <v>0</v>
      </c>
      <c r="K5346" s="11" t="s">
        <v>21</v>
      </c>
      <c r="L5346" s="7">
        <v>42002.306064814809</v>
      </c>
      <c r="M5346" s="12"/>
      <c r="N5346" s="12" t="s">
        <v>12343</v>
      </c>
      <c r="O5346" s="10" t="str">
        <f>HYPERLINK("https://pbs.twimg.com/profile_images/553582082568364032/7ORuzIIY_normal.jpeg","View")</f>
        <v>View</v>
      </c>
      <c r="P5346" s="11"/>
    </row>
    <row r="5347" spans="1:16" ht="12.75" x14ac:dyDescent="0.35">
      <c r="A5347" s="7">
        <v>42483.306006944447</v>
      </c>
      <c r="B5347" s="8" t="str">
        <f>HYPERLINK("https://twitter.com/moteking25","@moteking25")</f>
        <v>@moteking25</v>
      </c>
      <c r="C5347" s="9" t="s">
        <v>295</v>
      </c>
      <c r="D5347" s="9" t="s">
        <v>12344</v>
      </c>
      <c r="E5347" s="10" t="str">
        <f>HYPERLINK("https://twitter.com/moteking25/status/723690518085963777","723690518085963777")</f>
        <v>723690518085963777</v>
      </c>
      <c r="F5347" s="11" t="s">
        <v>114</v>
      </c>
      <c r="G5347" s="11">
        <v>155</v>
      </c>
      <c r="H5347" s="11">
        <v>261</v>
      </c>
      <c r="I5347" s="11">
        <v>1</v>
      </c>
      <c r="J5347" s="11">
        <v>0</v>
      </c>
      <c r="K5347" s="11" t="s">
        <v>21</v>
      </c>
      <c r="L5347" s="7">
        <v>40656.812789351854</v>
      </c>
      <c r="M5347" s="12" t="s">
        <v>297</v>
      </c>
      <c r="N5347" s="12" t="s">
        <v>298</v>
      </c>
      <c r="O5347" s="10" t="str">
        <f>HYPERLINK("https://pbs.twimg.com/profile_images/695836169418899456/Z9ohOFD9_normal.jpg","View")</f>
        <v>View</v>
      </c>
      <c r="P5347" s="11"/>
    </row>
    <row r="5348" spans="1:16" ht="12.75" x14ac:dyDescent="0.35">
      <c r="A5348" s="7">
        <v>42483.306631944448</v>
      </c>
      <c r="B5348" s="8" t="str">
        <f>HYPERLINK("https://twitter.com/rajesh877","@rajesh877")</f>
        <v>@rajesh877</v>
      </c>
      <c r="C5348" s="9" t="s">
        <v>11166</v>
      </c>
      <c r="D5348" s="9" t="s">
        <v>12345</v>
      </c>
      <c r="E5348" s="10" t="str">
        <f>HYPERLINK("https://twitter.com/rajesh877/status/723690744763023360","723690744763023360")</f>
        <v>723690744763023360</v>
      </c>
      <c r="F5348" s="11" t="s">
        <v>68</v>
      </c>
      <c r="G5348" s="11">
        <v>135</v>
      </c>
      <c r="H5348" s="11">
        <v>74</v>
      </c>
      <c r="I5348" s="11">
        <v>0</v>
      </c>
      <c r="J5348" s="11">
        <v>0</v>
      </c>
      <c r="K5348" s="11" t="s">
        <v>21</v>
      </c>
      <c r="L5348" s="7">
        <v>40077.821550925924</v>
      </c>
      <c r="M5348" s="12" t="s">
        <v>808</v>
      </c>
      <c r="N5348" s="12"/>
      <c r="O5348" s="10" t="str">
        <f>HYPERLINK("https://pbs.twimg.com/profile_images/690068229562241028/dtAFj2bm_normal.jpg","View")</f>
        <v>View</v>
      </c>
      <c r="P5348" s="11"/>
    </row>
    <row r="5349" spans="1:16" ht="12.75" x14ac:dyDescent="0.35">
      <c r="A5349" s="7">
        <v>42483.309074074074</v>
      </c>
      <c r="B5349" s="8" t="str">
        <f>HYPERLINK("https://twitter.com/nightalberta","@nightalberta")</f>
        <v>@nightalberta</v>
      </c>
      <c r="C5349" s="9" t="s">
        <v>12346</v>
      </c>
      <c r="D5349" s="9" t="s">
        <v>12347</v>
      </c>
      <c r="E5349" s="10" t="str">
        <f>HYPERLINK("https://twitter.com/nightalberta/status/723691628553244672","723691628553244672")</f>
        <v>723691628553244672</v>
      </c>
      <c r="F5349" s="11" t="s">
        <v>12348</v>
      </c>
      <c r="G5349" s="11">
        <v>604</v>
      </c>
      <c r="H5349" s="11">
        <v>1427</v>
      </c>
      <c r="I5349" s="11">
        <v>0</v>
      </c>
      <c r="J5349" s="11">
        <v>0</v>
      </c>
      <c r="K5349" s="11" t="s">
        <v>21</v>
      </c>
      <c r="L5349" s="7">
        <v>41970.241446759261</v>
      </c>
      <c r="M5349" s="12" t="s">
        <v>8486</v>
      </c>
      <c r="N5349" s="12" t="s">
        <v>12349</v>
      </c>
      <c r="O5349" s="10" t="str">
        <f>HYPERLINK("https://pbs.twimg.com/profile_images/635977445691166720/6q2xnCIa_normal.jpg","View")</f>
        <v>View</v>
      </c>
      <c r="P5349" s="11"/>
    </row>
    <row r="5350" spans="1:16" ht="12.75" x14ac:dyDescent="0.35">
      <c r="A5350" s="7">
        <v>42483.31045138889</v>
      </c>
      <c r="B5350" s="8" t="str">
        <f>HYPERLINK("https://twitter.com/sgpragency","@sgpragency")</f>
        <v>@sgpragency</v>
      </c>
      <c r="C5350" s="9" t="s">
        <v>12350</v>
      </c>
      <c r="D5350" s="9" t="s">
        <v>12351</v>
      </c>
      <c r="E5350" s="10" t="str">
        <f>HYPERLINK("https://twitter.com/sgpragency/status/723692127847239680","723692127847239680")</f>
        <v>723692127847239680</v>
      </c>
      <c r="F5350" s="11" t="s">
        <v>20</v>
      </c>
      <c r="G5350" s="11">
        <v>366</v>
      </c>
      <c r="H5350" s="11">
        <v>172</v>
      </c>
      <c r="I5350" s="11">
        <v>2</v>
      </c>
      <c r="J5350" s="11">
        <v>0</v>
      </c>
      <c r="K5350" s="11" t="s">
        <v>21</v>
      </c>
      <c r="L5350" s="7">
        <v>40638.56045138889</v>
      </c>
      <c r="M5350" s="12" t="s">
        <v>12352</v>
      </c>
      <c r="N5350" s="12" t="s">
        <v>12353</v>
      </c>
      <c r="O5350" s="10" t="str">
        <f>HYPERLINK("https://pbs.twimg.com/profile_images/696166674836254720/2dvOBRdF_normal.jpg","View")</f>
        <v>View</v>
      </c>
      <c r="P5350" s="11"/>
    </row>
    <row r="5351" spans="1:16" ht="12.75" x14ac:dyDescent="0.35">
      <c r="A5351" s="7">
        <v>42483.310636574075</v>
      </c>
      <c r="B5351" s="8" t="str">
        <f>HYPERLINK("https://twitter.com/DubLuvTuning","@DubLuvTuning")</f>
        <v>@DubLuvTuning</v>
      </c>
      <c r="C5351" s="9" t="s">
        <v>299</v>
      </c>
      <c r="D5351" s="9" t="s">
        <v>12354</v>
      </c>
      <c r="E5351" s="10" t="str">
        <f>HYPERLINK("https://twitter.com/DubLuvTuning/status/723692193052024832","723692193052024832")</f>
        <v>723692193052024832</v>
      </c>
      <c r="F5351" s="11" t="s">
        <v>288</v>
      </c>
      <c r="G5351" s="11">
        <v>690</v>
      </c>
      <c r="H5351" s="11">
        <v>431</v>
      </c>
      <c r="I5351" s="11">
        <v>1</v>
      </c>
      <c r="J5351" s="11">
        <v>0</v>
      </c>
      <c r="K5351" s="11" t="s">
        <v>21</v>
      </c>
      <c r="L5351" s="7">
        <v>41549.898287037038</v>
      </c>
      <c r="M5351" s="12" t="s">
        <v>301</v>
      </c>
      <c r="N5351" s="12" t="s">
        <v>302</v>
      </c>
      <c r="O5351" s="10" t="str">
        <f>HYPERLINK("https://pbs.twimg.com/profile_images/378800000572104796/1de43e1cf23efb3f4101c02afad0d3b6_normal.png","View")</f>
        <v>View</v>
      </c>
      <c r="P5351" s="11"/>
    </row>
    <row r="5352" spans="1:16" ht="12.75" x14ac:dyDescent="0.35">
      <c r="A5352" s="7">
        <v>42483.312199074076</v>
      </c>
      <c r="B5352" s="8" t="str">
        <f t="shared" ref="B5352:B5353" si="467">HYPERLINK("https://twitter.com/OnlineCarReview","@OnlineCarReview")</f>
        <v>@OnlineCarReview</v>
      </c>
      <c r="C5352" s="9" t="s">
        <v>176</v>
      </c>
      <c r="D5352" s="9" t="s">
        <v>12355</v>
      </c>
      <c r="E5352" s="10" t="str">
        <f>HYPERLINK("https://twitter.com/OnlineCarReview/status/723692759446523908","723692759446523908")</f>
        <v>723692759446523908</v>
      </c>
      <c r="F5352" s="11" t="s">
        <v>34</v>
      </c>
      <c r="G5352" s="11">
        <v>840</v>
      </c>
      <c r="H5352" s="11">
        <v>568</v>
      </c>
      <c r="I5352" s="11">
        <v>0</v>
      </c>
      <c r="J5352" s="11">
        <v>0</v>
      </c>
      <c r="K5352" s="11" t="s">
        <v>21</v>
      </c>
      <c r="L5352" s="7">
        <v>42282.979201388887</v>
      </c>
      <c r="M5352" s="12"/>
      <c r="N5352" s="12" t="s">
        <v>178</v>
      </c>
      <c r="O5352" s="10" t="str">
        <f t="shared" ref="O5352:O5353" si="468">HYPERLINK("https://pbs.twimg.com/profile_images/652871584131092480/QA_B6SBO_normal.jpg","View")</f>
        <v>View</v>
      </c>
      <c r="P5352" s="11"/>
    </row>
    <row r="5353" spans="1:16" ht="12.75" x14ac:dyDescent="0.35">
      <c r="A5353" s="7">
        <v>42483.312199074076</v>
      </c>
      <c r="B5353" s="8" t="str">
        <f t="shared" si="467"/>
        <v>@OnlineCarReview</v>
      </c>
      <c r="C5353" s="9" t="s">
        <v>176</v>
      </c>
      <c r="D5353" s="9" t="s">
        <v>12356</v>
      </c>
      <c r="E5353" s="10" t="str">
        <f>HYPERLINK("https://twitter.com/OnlineCarReview/status/723692760293724160","723692760293724160")</f>
        <v>723692760293724160</v>
      </c>
      <c r="F5353" s="11" t="s">
        <v>34</v>
      </c>
      <c r="G5353" s="11">
        <v>840</v>
      </c>
      <c r="H5353" s="11">
        <v>568</v>
      </c>
      <c r="I5353" s="11">
        <v>0</v>
      </c>
      <c r="J5353" s="11">
        <v>0</v>
      </c>
      <c r="K5353" s="11" t="s">
        <v>21</v>
      </c>
      <c r="L5353" s="7">
        <v>42282.979201388887</v>
      </c>
      <c r="M5353" s="12"/>
      <c r="N5353" s="12" t="s">
        <v>178</v>
      </c>
      <c r="O5353" s="10" t="str">
        <f t="shared" si="468"/>
        <v>View</v>
      </c>
      <c r="P5353" s="11"/>
    </row>
    <row r="5354" spans="1:16" ht="12.75" x14ac:dyDescent="0.35">
      <c r="A5354" s="7">
        <v>42483.315671296295</v>
      </c>
      <c r="B5354" s="8" t="str">
        <f>HYPERLINK("https://twitter.com/Sutjeska","@Sutjeska")</f>
        <v>@Sutjeska</v>
      </c>
      <c r="C5354" s="9" t="s">
        <v>12357</v>
      </c>
      <c r="D5354" s="9" t="s">
        <v>12358</v>
      </c>
      <c r="E5354" s="10" t="str">
        <f>HYPERLINK("https://twitter.com/Sutjeska/status/723694019377766400","723694019377766400")</f>
        <v>723694019377766400</v>
      </c>
      <c r="F5354" s="11" t="s">
        <v>68</v>
      </c>
      <c r="G5354" s="11">
        <v>91</v>
      </c>
      <c r="H5354" s="11">
        <v>420</v>
      </c>
      <c r="I5354" s="11">
        <v>0</v>
      </c>
      <c r="J5354" s="11">
        <v>0</v>
      </c>
      <c r="K5354" s="11" t="s">
        <v>21</v>
      </c>
      <c r="L5354" s="7">
        <v>39884.861400462964</v>
      </c>
      <c r="M5354" s="12" t="s">
        <v>148</v>
      </c>
      <c r="N5354" s="12" t="s">
        <v>12359</v>
      </c>
      <c r="O5354" s="10" t="str">
        <f>HYPERLINK("https://pbs.twimg.com/profile_images/593589082615324672/YJqoYADV_normal.jpg","View")</f>
        <v>View</v>
      </c>
      <c r="P5354" s="11"/>
    </row>
    <row r="5355" spans="1:16" ht="12.75" x14ac:dyDescent="0.35">
      <c r="A5355" s="7">
        <v>42483.316157407404</v>
      </c>
      <c r="B5355" s="8" t="str">
        <f>HYPERLINK("https://twitter.com/GrupoAlden","@GrupoAlden")</f>
        <v>@GrupoAlden</v>
      </c>
      <c r="C5355" s="9" t="s">
        <v>12360</v>
      </c>
      <c r="D5355" s="9" t="s">
        <v>12361</v>
      </c>
      <c r="E5355" s="10" t="str">
        <f>HYPERLINK("https://twitter.com/GrupoAlden/status/723694195458887680","723694195458887680")</f>
        <v>723694195458887680</v>
      </c>
      <c r="F5355" s="11" t="s">
        <v>152</v>
      </c>
      <c r="G5355" s="11">
        <v>235</v>
      </c>
      <c r="H5355" s="11">
        <v>258</v>
      </c>
      <c r="I5355" s="11">
        <v>0</v>
      </c>
      <c r="J5355" s="11">
        <v>0</v>
      </c>
      <c r="K5355" s="11" t="s">
        <v>21</v>
      </c>
      <c r="L5355" s="7">
        <v>40718.955381944441</v>
      </c>
      <c r="M5355" s="13" t="s">
        <v>12362</v>
      </c>
      <c r="N5355" s="12" t="s">
        <v>12363</v>
      </c>
      <c r="O5355" s="10" t="str">
        <f>HYPERLINK("https://pbs.twimg.com/profile_images/685175443654246401/92R4InX-_normal.png","View")</f>
        <v>View</v>
      </c>
      <c r="P5355" s="11"/>
    </row>
    <row r="5356" spans="1:16" ht="12.75" x14ac:dyDescent="0.35">
      <c r="A5356" s="7">
        <v>42483.31858796296</v>
      </c>
      <c r="B5356" s="8" t="str">
        <f>HYPERLINK("https://twitter.com/CalgaryToday","@CalgaryToday")</f>
        <v>@CalgaryToday</v>
      </c>
      <c r="C5356" s="9" t="s">
        <v>12364</v>
      </c>
      <c r="D5356" s="9" t="s">
        <v>12365</v>
      </c>
      <c r="E5356" s="10" t="str">
        <f>HYPERLINK("https://twitter.com/CalgaryToday/status/723695074824040453","723695074824040453")</f>
        <v>723695074824040453</v>
      </c>
      <c r="F5356" s="11" t="s">
        <v>12348</v>
      </c>
      <c r="G5356" s="11">
        <v>4272</v>
      </c>
      <c r="H5356" s="11">
        <v>693</v>
      </c>
      <c r="I5356" s="11">
        <v>3</v>
      </c>
      <c r="J5356" s="11">
        <v>0</v>
      </c>
      <c r="K5356" s="11" t="s">
        <v>21</v>
      </c>
      <c r="L5356" s="7">
        <v>40529.000081018516</v>
      </c>
      <c r="M5356" s="12" t="s">
        <v>12366</v>
      </c>
      <c r="N5356" s="12" t="s">
        <v>12367</v>
      </c>
      <c r="O5356" s="10" t="str">
        <f>HYPERLINK("https://pbs.twimg.com/profile_images/588461871558107137/9m-nVvMW_normal.png","View")</f>
        <v>View</v>
      </c>
      <c r="P5356" s="11"/>
    </row>
    <row r="5357" spans="1:16" ht="12.75" x14ac:dyDescent="0.35">
      <c r="A5357" s="7">
        <v>42483.31858796296</v>
      </c>
      <c r="B5357" s="8" t="str">
        <f>HYPERLINK("https://twitter.com/NewsTalk770","@NewsTalk770")</f>
        <v>@NewsTalk770</v>
      </c>
      <c r="C5357" s="9" t="s">
        <v>12368</v>
      </c>
      <c r="D5357" s="9" t="s">
        <v>12365</v>
      </c>
      <c r="E5357" s="10" t="str">
        <f>HYPERLINK("https://twitter.com/NewsTalk770/status/723695076237545472","723695076237545472")</f>
        <v>723695076237545472</v>
      </c>
      <c r="F5357" s="11" t="s">
        <v>12348</v>
      </c>
      <c r="G5357" s="11">
        <v>9898</v>
      </c>
      <c r="H5357" s="11">
        <v>683</v>
      </c>
      <c r="I5357" s="11">
        <v>3</v>
      </c>
      <c r="J5357" s="11">
        <v>0</v>
      </c>
      <c r="K5357" s="11" t="s">
        <v>21</v>
      </c>
      <c r="L5357" s="7">
        <v>40513.971817129626</v>
      </c>
      <c r="M5357" s="12" t="s">
        <v>6825</v>
      </c>
      <c r="N5357" s="12" t="s">
        <v>12369</v>
      </c>
      <c r="O5357" s="10" t="str">
        <f>HYPERLINK("https://pbs.twimg.com/profile_images/687712068523302912/RhuOJR3M_normal.jpg","View")</f>
        <v>View</v>
      </c>
      <c r="P5357" s="11"/>
    </row>
    <row r="5358" spans="1:16" ht="12.75" x14ac:dyDescent="0.35">
      <c r="A5358" s="7">
        <v>42483.31858796296</v>
      </c>
      <c r="B5358" s="8" t="str">
        <f>HYPERLINK("https://twitter.com/dannyriendeau","@dannyriendeau")</f>
        <v>@dannyriendeau</v>
      </c>
      <c r="C5358" s="9" t="s">
        <v>12346</v>
      </c>
      <c r="D5358" s="9" t="s">
        <v>12365</v>
      </c>
      <c r="E5358" s="10" t="str">
        <f>HYPERLINK("https://twitter.com/dannyriendeau/status/723695077953036288","723695077953036288")</f>
        <v>723695077953036288</v>
      </c>
      <c r="F5358" s="11" t="s">
        <v>12348</v>
      </c>
      <c r="G5358" s="11">
        <v>158</v>
      </c>
      <c r="H5358" s="11">
        <v>299</v>
      </c>
      <c r="I5358" s="11">
        <v>3</v>
      </c>
      <c r="J5358" s="11">
        <v>0</v>
      </c>
      <c r="K5358" s="11" t="s">
        <v>21</v>
      </c>
      <c r="L5358" s="7">
        <v>41149.275000000001</v>
      </c>
      <c r="M5358" s="12" t="s">
        <v>6825</v>
      </c>
      <c r="N5358" s="12" t="s">
        <v>12370</v>
      </c>
      <c r="O5358" s="10" t="str">
        <f>HYPERLINK("https://pbs.twimg.com/profile_images/481916630344024064/CQetvK97_normal.jpeg","View")</f>
        <v>View</v>
      </c>
      <c r="P5358" s="11"/>
    </row>
    <row r="5359" spans="1:16" ht="12.75" x14ac:dyDescent="0.35">
      <c r="A5359" s="7">
        <v>42483.319108796291</v>
      </c>
      <c r="B5359" s="8" t="str">
        <f>HYPERLINK("https://twitter.com/bjsommerville","@bjsommerville")</f>
        <v>@bjsommerville</v>
      </c>
      <c r="C5359" s="9" t="s">
        <v>12317</v>
      </c>
      <c r="D5359" s="9" t="s">
        <v>12371</v>
      </c>
      <c r="E5359" s="10" t="str">
        <f>HYPERLINK("https://twitter.com/bjsommerville/status/723695267111964673","723695267111964673")</f>
        <v>723695267111964673</v>
      </c>
      <c r="F5359" s="11" t="s">
        <v>12319</v>
      </c>
      <c r="G5359" s="11">
        <v>65</v>
      </c>
      <c r="H5359" s="11">
        <v>134</v>
      </c>
      <c r="I5359" s="11">
        <v>1</v>
      </c>
      <c r="J5359" s="11">
        <v>0</v>
      </c>
      <c r="K5359" s="11" t="s">
        <v>21</v>
      </c>
      <c r="L5359" s="7">
        <v>41423.381168981483</v>
      </c>
      <c r="M5359" s="12" t="s">
        <v>12320</v>
      </c>
      <c r="N5359" s="12" t="s">
        <v>12321</v>
      </c>
      <c r="O5359" s="10" t="str">
        <f>HYPERLINK("https://pbs.twimg.com/profile_images/3725967723/1cb19fcb397118623a9866ecb7fd9b52_normal.jpeg","View")</f>
        <v>View</v>
      </c>
      <c r="P5359" s="11"/>
    </row>
    <row r="5360" spans="1:16" ht="12.75" x14ac:dyDescent="0.35">
      <c r="A5360" s="7">
        <v>42483.319456018522</v>
      </c>
      <c r="B5360" s="8" t="str">
        <f t="shared" ref="B5360:B5366" si="469">HYPERLINK("https://twitter.com/beetlebug1938","@beetlebug1938")</f>
        <v>@beetlebug1938</v>
      </c>
      <c r="C5360" s="9" t="s">
        <v>66</v>
      </c>
      <c r="D5360" s="9" t="s">
        <v>12372</v>
      </c>
      <c r="E5360" s="10" t="str">
        <f>HYPERLINK("https://twitter.com/beetlebug1938/status/723695390504157184","723695390504157184")</f>
        <v>723695390504157184</v>
      </c>
      <c r="F5360" s="11" t="s">
        <v>68</v>
      </c>
      <c r="G5360" s="11">
        <v>362</v>
      </c>
      <c r="H5360" s="11">
        <v>2223</v>
      </c>
      <c r="I5360" s="11">
        <v>0</v>
      </c>
      <c r="J5360" s="11">
        <v>0</v>
      </c>
      <c r="K5360" s="11" t="s">
        <v>21</v>
      </c>
      <c r="L5360" s="7">
        <v>42469.863865740743</v>
      </c>
      <c r="M5360" s="12" t="s">
        <v>69</v>
      </c>
      <c r="N5360" s="12"/>
      <c r="O5360" s="10" t="str">
        <f t="shared" ref="O5360:O5366" si="470">HYPERLINK("https://pbs.twimg.com/profile_images/718820712757215233/LXXndPTS_normal.jpg","View")</f>
        <v>View</v>
      </c>
      <c r="P5360" s="11"/>
    </row>
    <row r="5361" spans="1:16" ht="12.75" x14ac:dyDescent="0.35">
      <c r="A5361" s="7">
        <v>42483.319467592592</v>
      </c>
      <c r="B5361" s="8" t="str">
        <f t="shared" si="469"/>
        <v>@beetlebug1938</v>
      </c>
      <c r="C5361" s="9" t="s">
        <v>66</v>
      </c>
      <c r="D5361" s="9" t="s">
        <v>12373</v>
      </c>
      <c r="E5361" s="10" t="str">
        <f>HYPERLINK("https://twitter.com/beetlebug1938/status/723695395713499136","723695395713499136")</f>
        <v>723695395713499136</v>
      </c>
      <c r="F5361" s="11" t="s">
        <v>68</v>
      </c>
      <c r="G5361" s="11">
        <v>362</v>
      </c>
      <c r="H5361" s="11">
        <v>2223</v>
      </c>
      <c r="I5361" s="11">
        <v>0</v>
      </c>
      <c r="J5361" s="11">
        <v>0</v>
      </c>
      <c r="K5361" s="11" t="s">
        <v>21</v>
      </c>
      <c r="L5361" s="7">
        <v>42469.863865740743</v>
      </c>
      <c r="M5361" s="12" t="s">
        <v>69</v>
      </c>
      <c r="N5361" s="12"/>
      <c r="O5361" s="10" t="str">
        <f t="shared" si="470"/>
        <v>View</v>
      </c>
      <c r="P5361" s="11"/>
    </row>
    <row r="5362" spans="1:16" ht="12.75" x14ac:dyDescent="0.35">
      <c r="A5362" s="7">
        <v>42483.319490740745</v>
      </c>
      <c r="B5362" s="8" t="str">
        <f t="shared" si="469"/>
        <v>@beetlebug1938</v>
      </c>
      <c r="C5362" s="9" t="s">
        <v>66</v>
      </c>
      <c r="D5362" s="9" t="s">
        <v>12374</v>
      </c>
      <c r="E5362" s="10" t="str">
        <f>HYPERLINK("https://twitter.com/beetlebug1938/status/723695405133893634","723695405133893634")</f>
        <v>723695405133893634</v>
      </c>
      <c r="F5362" s="11" t="s">
        <v>68</v>
      </c>
      <c r="G5362" s="11">
        <v>362</v>
      </c>
      <c r="H5362" s="11">
        <v>2223</v>
      </c>
      <c r="I5362" s="11">
        <v>0</v>
      </c>
      <c r="J5362" s="11">
        <v>0</v>
      </c>
      <c r="K5362" s="11" t="s">
        <v>21</v>
      </c>
      <c r="L5362" s="7">
        <v>42469.863865740743</v>
      </c>
      <c r="M5362" s="12" t="s">
        <v>69</v>
      </c>
      <c r="N5362" s="12"/>
      <c r="O5362" s="10" t="str">
        <f t="shared" si="470"/>
        <v>View</v>
      </c>
      <c r="P5362" s="11"/>
    </row>
    <row r="5363" spans="1:16" ht="12.75" x14ac:dyDescent="0.35">
      <c r="A5363" s="7">
        <v>42483.319513888884</v>
      </c>
      <c r="B5363" s="8" t="str">
        <f t="shared" si="469"/>
        <v>@beetlebug1938</v>
      </c>
      <c r="C5363" s="9" t="s">
        <v>66</v>
      </c>
      <c r="D5363" s="9" t="s">
        <v>12375</v>
      </c>
      <c r="E5363" s="10" t="str">
        <f>HYPERLINK("https://twitter.com/beetlebug1938/status/723695411286933504","723695411286933504")</f>
        <v>723695411286933504</v>
      </c>
      <c r="F5363" s="11" t="s">
        <v>68</v>
      </c>
      <c r="G5363" s="11">
        <v>362</v>
      </c>
      <c r="H5363" s="11">
        <v>2223</v>
      </c>
      <c r="I5363" s="11">
        <v>0</v>
      </c>
      <c r="J5363" s="11">
        <v>0</v>
      </c>
      <c r="K5363" s="11" t="s">
        <v>21</v>
      </c>
      <c r="L5363" s="7">
        <v>42469.863865740743</v>
      </c>
      <c r="M5363" s="12" t="s">
        <v>69</v>
      </c>
      <c r="N5363" s="12"/>
      <c r="O5363" s="10" t="str">
        <f t="shared" si="470"/>
        <v>View</v>
      </c>
      <c r="P5363" s="11"/>
    </row>
    <row r="5364" spans="1:16" ht="12.75" x14ac:dyDescent="0.35">
      <c r="A5364" s="7">
        <v>42483.319537037038</v>
      </c>
      <c r="B5364" s="8" t="str">
        <f t="shared" si="469"/>
        <v>@beetlebug1938</v>
      </c>
      <c r="C5364" s="9" t="s">
        <v>66</v>
      </c>
      <c r="D5364" s="9" t="s">
        <v>12376</v>
      </c>
      <c r="E5364" s="10" t="str">
        <f>HYPERLINK("https://twitter.com/beetlebug1938/status/723695421919518720","723695421919518720")</f>
        <v>723695421919518720</v>
      </c>
      <c r="F5364" s="11" t="s">
        <v>68</v>
      </c>
      <c r="G5364" s="11">
        <v>362</v>
      </c>
      <c r="H5364" s="11">
        <v>2223</v>
      </c>
      <c r="I5364" s="11">
        <v>0</v>
      </c>
      <c r="J5364" s="11">
        <v>0</v>
      </c>
      <c r="K5364" s="11" t="s">
        <v>21</v>
      </c>
      <c r="L5364" s="7">
        <v>42469.863865740743</v>
      </c>
      <c r="M5364" s="12" t="s">
        <v>69</v>
      </c>
      <c r="N5364" s="12"/>
      <c r="O5364" s="10" t="str">
        <f t="shared" si="470"/>
        <v>View</v>
      </c>
      <c r="P5364" s="11"/>
    </row>
    <row r="5365" spans="1:16" ht="12.75" x14ac:dyDescent="0.35">
      <c r="A5365" s="7">
        <v>42483.319560185184</v>
      </c>
      <c r="B5365" s="8" t="str">
        <f t="shared" si="469"/>
        <v>@beetlebug1938</v>
      </c>
      <c r="C5365" s="9" t="s">
        <v>66</v>
      </c>
      <c r="D5365" s="9" t="s">
        <v>12377</v>
      </c>
      <c r="E5365" s="10" t="str">
        <f>HYPERLINK("https://twitter.com/beetlebug1938/status/723695430358409217","723695430358409217")</f>
        <v>723695430358409217</v>
      </c>
      <c r="F5365" s="11" t="s">
        <v>68</v>
      </c>
      <c r="G5365" s="11">
        <v>362</v>
      </c>
      <c r="H5365" s="11">
        <v>2223</v>
      </c>
      <c r="I5365" s="11">
        <v>0</v>
      </c>
      <c r="J5365" s="11">
        <v>0</v>
      </c>
      <c r="K5365" s="11" t="s">
        <v>21</v>
      </c>
      <c r="L5365" s="7">
        <v>42469.863865740743</v>
      </c>
      <c r="M5365" s="12" t="s">
        <v>69</v>
      </c>
      <c r="N5365" s="12"/>
      <c r="O5365" s="10" t="str">
        <f t="shared" si="470"/>
        <v>View</v>
      </c>
      <c r="P5365" s="11"/>
    </row>
    <row r="5366" spans="1:16" ht="12.75" x14ac:dyDescent="0.35">
      <c r="A5366" s="7">
        <v>42483.31958333333</v>
      </c>
      <c r="B5366" s="8" t="str">
        <f t="shared" si="469"/>
        <v>@beetlebug1938</v>
      </c>
      <c r="C5366" s="9" t="s">
        <v>66</v>
      </c>
      <c r="D5366" s="9" t="s">
        <v>12378</v>
      </c>
      <c r="E5366" s="10" t="str">
        <f>HYPERLINK("https://twitter.com/beetlebug1938/status/723695436133994496","723695436133994496")</f>
        <v>723695436133994496</v>
      </c>
      <c r="F5366" s="11" t="s">
        <v>68</v>
      </c>
      <c r="G5366" s="11">
        <v>362</v>
      </c>
      <c r="H5366" s="11">
        <v>2223</v>
      </c>
      <c r="I5366" s="11">
        <v>1</v>
      </c>
      <c r="J5366" s="11">
        <v>0</v>
      </c>
      <c r="K5366" s="11" t="s">
        <v>21</v>
      </c>
      <c r="L5366" s="7">
        <v>42469.863865740743</v>
      </c>
      <c r="M5366" s="12" t="s">
        <v>69</v>
      </c>
      <c r="N5366" s="12"/>
      <c r="O5366" s="10" t="str">
        <f t="shared" si="470"/>
        <v>View</v>
      </c>
      <c r="P5366" s="11"/>
    </row>
    <row r="5367" spans="1:16" ht="12.75" x14ac:dyDescent="0.35">
      <c r="A5367" s="7">
        <v>42483.319918981477</v>
      </c>
      <c r="B5367" s="8" t="str">
        <f>HYPERLINK("https://twitter.com/OnlyFerrariPics","@OnlyFerrariPics")</f>
        <v>@OnlyFerrariPics</v>
      </c>
      <c r="C5367" s="9" t="s">
        <v>1365</v>
      </c>
      <c r="D5367" s="9" t="s">
        <v>12379</v>
      </c>
      <c r="E5367" s="10" t="str">
        <f>HYPERLINK("https://twitter.com/OnlyFerrariPics/status/723695560763559936","723695560763559936")</f>
        <v>723695560763559936</v>
      </c>
      <c r="F5367" s="11" t="s">
        <v>68</v>
      </c>
      <c r="G5367" s="11">
        <v>2623</v>
      </c>
      <c r="H5367" s="11">
        <v>6</v>
      </c>
      <c r="I5367" s="11">
        <v>0</v>
      </c>
      <c r="J5367" s="11">
        <v>0</v>
      </c>
      <c r="K5367" s="11" t="s">
        <v>21</v>
      </c>
      <c r="L5367" s="7">
        <v>41976.478668981479</v>
      </c>
      <c r="M5367" s="12"/>
      <c r="N5367" s="12" t="s">
        <v>1367</v>
      </c>
      <c r="O5367" s="10" t="str">
        <f>HYPERLINK("https://pbs.twimg.com/profile_images/540037751416971264/FUsmNZrb_normal.jpeg","View")</f>
        <v>View</v>
      </c>
      <c r="P5367" s="11"/>
    </row>
    <row r="5368" spans="1:16" ht="12.75" x14ac:dyDescent="0.35">
      <c r="A5368" s="7">
        <v>42483.320081018523</v>
      </c>
      <c r="B5368" s="8" t="str">
        <f t="shared" ref="B5368:B5369" si="471">HYPERLINK("https://twitter.com/TetsuoHojo","@TetsuoHojo")</f>
        <v>@TetsuoHojo</v>
      </c>
      <c r="C5368" s="9" t="s">
        <v>12380</v>
      </c>
      <c r="D5368" s="9" t="s">
        <v>12381</v>
      </c>
      <c r="E5368" s="10" t="str">
        <f>HYPERLINK("https://twitter.com/TetsuoHojo/status/723695615482302464","723695615482302464")</f>
        <v>723695615482302464</v>
      </c>
      <c r="F5368" s="11" t="s">
        <v>20</v>
      </c>
      <c r="G5368" s="11">
        <v>62</v>
      </c>
      <c r="H5368" s="11">
        <v>92</v>
      </c>
      <c r="I5368" s="11">
        <v>1</v>
      </c>
      <c r="J5368" s="11">
        <v>0</v>
      </c>
      <c r="K5368" s="11" t="s">
        <v>21</v>
      </c>
      <c r="L5368" s="7">
        <v>41147.258229166662</v>
      </c>
      <c r="M5368" s="12"/>
      <c r="N5368" s="12" t="s">
        <v>12382</v>
      </c>
      <c r="O5368" s="10" t="str">
        <f t="shared" ref="O5368:O5369" si="472">HYPERLINK("https://pbs.twimg.com/profile_images/2646835465/aa5823578b01b04b7e91d58e8ca88691_normal.jpeg","View")</f>
        <v>View</v>
      </c>
      <c r="P5368" s="11"/>
    </row>
    <row r="5369" spans="1:16" ht="12.75" x14ac:dyDescent="0.35">
      <c r="A5369" s="7">
        <v>42483.320497685185</v>
      </c>
      <c r="B5369" s="8" t="str">
        <f t="shared" si="471"/>
        <v>@TetsuoHojo</v>
      </c>
      <c r="C5369" s="9" t="s">
        <v>12380</v>
      </c>
      <c r="D5369" s="9" t="s">
        <v>12168</v>
      </c>
      <c r="E5369" s="10" t="str">
        <f>HYPERLINK("https://twitter.com/TetsuoHojo/status/723695767471321090","723695767471321090")</f>
        <v>723695767471321090</v>
      </c>
      <c r="F5369" s="11" t="s">
        <v>20</v>
      </c>
      <c r="G5369" s="11">
        <v>62</v>
      </c>
      <c r="H5369" s="11">
        <v>92</v>
      </c>
      <c r="I5369" s="11">
        <v>3</v>
      </c>
      <c r="J5369" s="11">
        <v>0</v>
      </c>
      <c r="K5369" s="11" t="s">
        <v>21</v>
      </c>
      <c r="L5369" s="7">
        <v>41147.258229166662</v>
      </c>
      <c r="M5369" s="12"/>
      <c r="N5369" s="12" t="s">
        <v>12382</v>
      </c>
      <c r="O5369" s="10" t="str">
        <f t="shared" si="472"/>
        <v>View</v>
      </c>
      <c r="P5369" s="11"/>
    </row>
    <row r="5370" spans="1:16" ht="12.75" x14ac:dyDescent="0.35">
      <c r="A5370" s="7">
        <v>42483.322106481486</v>
      </c>
      <c r="B5370" s="8" t="str">
        <f>HYPERLINK("https://twitter.com/FuscaWorld","@FuscaWorld")</f>
        <v>@FuscaWorld</v>
      </c>
      <c r="C5370" s="9" t="s">
        <v>74</v>
      </c>
      <c r="D5370" s="9" t="s">
        <v>12383</v>
      </c>
      <c r="E5370" s="10" t="str">
        <f>HYPERLINK("https://twitter.com/FuscaWorld/status/723696350647472129","723696350647472129")</f>
        <v>723696350647472129</v>
      </c>
      <c r="F5370" s="11" t="s">
        <v>76</v>
      </c>
      <c r="G5370" s="11">
        <v>50</v>
      </c>
      <c r="H5370" s="11">
        <v>1</v>
      </c>
      <c r="I5370" s="11">
        <v>1</v>
      </c>
      <c r="J5370" s="11">
        <v>0</v>
      </c>
      <c r="K5370" s="11" t="s">
        <v>21</v>
      </c>
      <c r="L5370" s="7">
        <v>42433.880914351852</v>
      </c>
      <c r="M5370" s="12"/>
      <c r="N5370" s="12" t="s">
        <v>77</v>
      </c>
      <c r="O5370" s="10" t="str">
        <f>HYPERLINK("https://pbs.twimg.com/profile_images/705780107844067328/e7O4UBNb_normal.jpg","View")</f>
        <v>View</v>
      </c>
      <c r="P5370" s="11"/>
    </row>
    <row r="5371" spans="1:16" ht="12.75" x14ac:dyDescent="0.35">
      <c r="A5371" s="7">
        <v>42483.322395833333</v>
      </c>
      <c r="B5371" s="8" t="str">
        <f>HYPERLINK("https://twitter.com/rollidriver","@rollidriver")</f>
        <v>@rollidriver</v>
      </c>
      <c r="C5371" s="9" t="s">
        <v>12384</v>
      </c>
      <c r="D5371" s="9" t="s">
        <v>3647</v>
      </c>
      <c r="E5371" s="10" t="str">
        <f>HYPERLINK("https://twitter.com/rollidriver/status/723696457073745921","723696457073745921")</f>
        <v>723696457073745921</v>
      </c>
      <c r="F5371" s="11" t="s">
        <v>725</v>
      </c>
      <c r="G5371" s="11">
        <v>430</v>
      </c>
      <c r="H5371" s="11">
        <v>1953</v>
      </c>
      <c r="I5371" s="11">
        <v>6</v>
      </c>
      <c r="J5371" s="11">
        <v>0</v>
      </c>
      <c r="K5371" s="11" t="s">
        <v>21</v>
      </c>
      <c r="L5371" s="7">
        <v>40063.172835648147</v>
      </c>
      <c r="M5371" s="12" t="s">
        <v>12385</v>
      </c>
      <c r="N5371" s="12" t="s">
        <v>12386</v>
      </c>
      <c r="O5371" s="10" t="str">
        <f>HYPERLINK("https://pbs.twimg.com/profile_images/760272898/DSC00033_normal.JPG","View")</f>
        <v>View</v>
      </c>
      <c r="P5371" s="11"/>
    </row>
    <row r="5372" spans="1:16" ht="12.75" x14ac:dyDescent="0.35">
      <c r="A5372" s="7">
        <v>42483.323715277773</v>
      </c>
      <c r="B5372" s="8" t="str">
        <f>HYPERLINK("https://twitter.com/SuperCub1981","@SuperCub1981")</f>
        <v>@SuperCub1981</v>
      </c>
      <c r="C5372" s="9" t="s">
        <v>12387</v>
      </c>
      <c r="D5372" s="9" t="s">
        <v>12388</v>
      </c>
      <c r="E5372" s="10" t="str">
        <f>HYPERLINK("https://twitter.com/SuperCub1981/status/723696934372827136","723696934372827136")</f>
        <v>723696934372827136</v>
      </c>
      <c r="F5372" s="11" t="s">
        <v>20</v>
      </c>
      <c r="G5372" s="11">
        <v>590</v>
      </c>
      <c r="H5372" s="11">
        <v>663</v>
      </c>
      <c r="I5372" s="11">
        <v>1</v>
      </c>
      <c r="J5372" s="11">
        <v>0</v>
      </c>
      <c r="K5372" s="11" t="s">
        <v>21</v>
      </c>
      <c r="L5372" s="7">
        <v>41813.303287037037</v>
      </c>
      <c r="M5372" s="12" t="s">
        <v>12389</v>
      </c>
      <c r="N5372" s="12" t="s">
        <v>12390</v>
      </c>
      <c r="O5372" s="10" t="str">
        <f>HYPERLINK("https://pbs.twimg.com/profile_images/717899474324955136/rYxHADYt_normal.jpg","View")</f>
        <v>View</v>
      </c>
      <c r="P5372" s="11"/>
    </row>
    <row r="5373" spans="1:16" ht="12.75" x14ac:dyDescent="0.35">
      <c r="A5373" s="7">
        <v>42483.325115740736</v>
      </c>
      <c r="B5373" s="8" t="str">
        <f t="shared" ref="B5373:B5376" si="473">HYPERLINK("https://twitter.com/TetsuoHojo","@TetsuoHojo")</f>
        <v>@TetsuoHojo</v>
      </c>
      <c r="C5373" s="9" t="s">
        <v>12380</v>
      </c>
      <c r="D5373" s="9" t="s">
        <v>12391</v>
      </c>
      <c r="E5373" s="10" t="str">
        <f>HYPERLINK("https://twitter.com/TetsuoHojo/status/723697441761951744","723697441761951744")</f>
        <v>723697441761951744</v>
      </c>
      <c r="F5373" s="11" t="s">
        <v>20</v>
      </c>
      <c r="G5373" s="11">
        <v>62</v>
      </c>
      <c r="H5373" s="11">
        <v>93</v>
      </c>
      <c r="I5373" s="11">
        <v>1</v>
      </c>
      <c r="J5373" s="11">
        <v>0</v>
      </c>
      <c r="K5373" s="11" t="s">
        <v>21</v>
      </c>
      <c r="L5373" s="7">
        <v>41147.258229166662</v>
      </c>
      <c r="M5373" s="12"/>
      <c r="N5373" s="12" t="s">
        <v>12382</v>
      </c>
      <c r="O5373" s="10" t="str">
        <f t="shared" ref="O5373:O5376" si="474">HYPERLINK("https://pbs.twimg.com/profile_images/2646835465/aa5823578b01b04b7e91d58e8ca88691_normal.jpeg","View")</f>
        <v>View</v>
      </c>
      <c r="P5373" s="11"/>
    </row>
    <row r="5374" spans="1:16" ht="12.75" x14ac:dyDescent="0.35">
      <c r="A5374" s="7">
        <v>42483.325162037036</v>
      </c>
      <c r="B5374" s="8" t="str">
        <f t="shared" si="473"/>
        <v>@TetsuoHojo</v>
      </c>
      <c r="C5374" s="9" t="s">
        <v>12380</v>
      </c>
      <c r="D5374" s="9" t="s">
        <v>12392</v>
      </c>
      <c r="E5374" s="10" t="str">
        <f>HYPERLINK("https://twitter.com/TetsuoHojo/status/723697456962097152","723697456962097152")</f>
        <v>723697456962097152</v>
      </c>
      <c r="F5374" s="11" t="s">
        <v>20</v>
      </c>
      <c r="G5374" s="11">
        <v>62</v>
      </c>
      <c r="H5374" s="11">
        <v>93</v>
      </c>
      <c r="I5374" s="11">
        <v>1</v>
      </c>
      <c r="J5374" s="11">
        <v>0</v>
      </c>
      <c r="K5374" s="11" t="s">
        <v>21</v>
      </c>
      <c r="L5374" s="7">
        <v>41147.258229166662</v>
      </c>
      <c r="M5374" s="12"/>
      <c r="N5374" s="12" t="s">
        <v>12382</v>
      </c>
      <c r="O5374" s="10" t="str">
        <f t="shared" si="474"/>
        <v>View</v>
      </c>
      <c r="P5374" s="11"/>
    </row>
    <row r="5375" spans="1:16" ht="12.75" x14ac:dyDescent="0.35">
      <c r="A5375" s="7">
        <v>42483.325196759259</v>
      </c>
      <c r="B5375" s="8" t="str">
        <f t="shared" si="473"/>
        <v>@TetsuoHojo</v>
      </c>
      <c r="C5375" s="9" t="s">
        <v>12380</v>
      </c>
      <c r="D5375" s="9" t="s">
        <v>12393</v>
      </c>
      <c r="E5375" s="10" t="str">
        <f>HYPERLINK("https://twitter.com/TetsuoHojo/status/723697473462525952","723697473462525952")</f>
        <v>723697473462525952</v>
      </c>
      <c r="F5375" s="11" t="s">
        <v>20</v>
      </c>
      <c r="G5375" s="11">
        <v>62</v>
      </c>
      <c r="H5375" s="11">
        <v>93</v>
      </c>
      <c r="I5375" s="11">
        <v>1</v>
      </c>
      <c r="J5375" s="11">
        <v>0</v>
      </c>
      <c r="K5375" s="11" t="s">
        <v>21</v>
      </c>
      <c r="L5375" s="7">
        <v>41147.258229166662</v>
      </c>
      <c r="M5375" s="12"/>
      <c r="N5375" s="12" t="s">
        <v>12382</v>
      </c>
      <c r="O5375" s="10" t="str">
        <f t="shared" si="474"/>
        <v>View</v>
      </c>
      <c r="P5375" s="11"/>
    </row>
    <row r="5376" spans="1:16" ht="12.75" x14ac:dyDescent="0.35">
      <c r="A5376" s="7">
        <v>42483.325243055559</v>
      </c>
      <c r="B5376" s="8" t="str">
        <f t="shared" si="473"/>
        <v>@TetsuoHojo</v>
      </c>
      <c r="C5376" s="9" t="s">
        <v>12380</v>
      </c>
      <c r="D5376" s="9" t="s">
        <v>12383</v>
      </c>
      <c r="E5376" s="10" t="str">
        <f>HYPERLINK("https://twitter.com/TetsuoHojo/status/723697487727321088","723697487727321088")</f>
        <v>723697487727321088</v>
      </c>
      <c r="F5376" s="11" t="s">
        <v>20</v>
      </c>
      <c r="G5376" s="11">
        <v>62</v>
      </c>
      <c r="H5376" s="11">
        <v>93</v>
      </c>
      <c r="I5376" s="11">
        <v>2</v>
      </c>
      <c r="J5376" s="11">
        <v>0</v>
      </c>
      <c r="K5376" s="11" t="s">
        <v>21</v>
      </c>
      <c r="L5376" s="7">
        <v>41147.258229166662</v>
      </c>
      <c r="M5376" s="12"/>
      <c r="N5376" s="12" t="s">
        <v>12382</v>
      </c>
      <c r="O5376" s="10" t="str">
        <f t="shared" si="474"/>
        <v>View</v>
      </c>
      <c r="P5376" s="11"/>
    </row>
    <row r="5377" spans="1:16" ht="12.75" x14ac:dyDescent="0.35">
      <c r="A5377" s="7">
        <v>42483.325775462959</v>
      </c>
      <c r="B5377" s="8" t="str">
        <f>HYPERLINK("https://twitter.com/CamyyRc","@CamyyRc")</f>
        <v>@CamyyRc</v>
      </c>
      <c r="C5377" s="9" t="s">
        <v>12394</v>
      </c>
      <c r="D5377" s="9" t="s">
        <v>11951</v>
      </c>
      <c r="E5377" s="10" t="str">
        <f>HYPERLINK("https://twitter.com/CamyyRc/status/723697679310688256","723697679310688256")</f>
        <v>723697679310688256</v>
      </c>
      <c r="F5377" s="11" t="s">
        <v>48</v>
      </c>
      <c r="G5377" s="11">
        <v>128</v>
      </c>
      <c r="H5377" s="11">
        <v>128</v>
      </c>
      <c r="I5377" s="11">
        <v>23</v>
      </c>
      <c r="J5377" s="11">
        <v>0</v>
      </c>
      <c r="K5377" s="11" t="s">
        <v>21</v>
      </c>
      <c r="L5377" s="7">
        <v>42432.888113425928</v>
      </c>
      <c r="M5377" s="12"/>
      <c r="N5377" s="12" t="s">
        <v>12395</v>
      </c>
      <c r="O5377" s="10" t="str">
        <f>HYPERLINK("https://pbs.twimg.com/profile_images/721822581955891200/hEjNAXrW_normal.jpg","View")</f>
        <v>View</v>
      </c>
      <c r="P5377" s="11"/>
    </row>
    <row r="5378" spans="1:16" ht="12.75" x14ac:dyDescent="0.35">
      <c r="A5378" s="7">
        <v>42483.327083333337</v>
      </c>
      <c r="B5378" s="8" t="str">
        <f>HYPERLINK("https://twitter.com/EmasAzor","@EmasAzor")</f>
        <v>@EmasAzor</v>
      </c>
      <c r="C5378" s="9" t="s">
        <v>12396</v>
      </c>
      <c r="D5378" s="9" t="s">
        <v>12397</v>
      </c>
      <c r="E5378" s="10" t="str">
        <f>HYPERLINK("https://twitter.com/EmasAzor/status/723698156844752898","723698156844752898")</f>
        <v>723698156844752898</v>
      </c>
      <c r="F5378" s="11" t="s">
        <v>114</v>
      </c>
      <c r="G5378" s="11">
        <v>479</v>
      </c>
      <c r="H5378" s="11">
        <v>457</v>
      </c>
      <c r="I5378" s="11">
        <v>0</v>
      </c>
      <c r="J5378" s="11">
        <v>0</v>
      </c>
      <c r="K5378" s="11" t="s">
        <v>21</v>
      </c>
      <c r="L5378" s="7">
        <v>40636.893634259257</v>
      </c>
      <c r="M5378" s="12" t="s">
        <v>12398</v>
      </c>
      <c r="N5378" s="12" t="s">
        <v>12399</v>
      </c>
      <c r="O5378" s="10" t="str">
        <f>HYPERLINK("https://pbs.twimg.com/profile_images/646163342848073729/Eg-8aCHE_normal.jpg","View")</f>
        <v>View</v>
      </c>
      <c r="P5378" s="11"/>
    </row>
    <row r="5379" spans="1:16" ht="12.75" x14ac:dyDescent="0.35">
      <c r="A5379" s="7">
        <v>42483.33289351852</v>
      </c>
      <c r="B5379" s="8" t="str">
        <f>HYPERLINK("https://twitter.com/Insta_VWT","@Insta_VWT")</f>
        <v>@Insta_VWT</v>
      </c>
      <c r="C5379" s="9" t="s">
        <v>181</v>
      </c>
      <c r="D5379" s="9" t="s">
        <v>12400</v>
      </c>
      <c r="E5379" s="10" t="str">
        <f>HYPERLINK("https://twitter.com/Insta_VWT/status/723700260770570240","723700260770570240")</f>
        <v>723700260770570240</v>
      </c>
      <c r="F5379" s="11" t="s">
        <v>68</v>
      </c>
      <c r="G5379" s="11">
        <v>481</v>
      </c>
      <c r="H5379" s="11">
        <v>0</v>
      </c>
      <c r="I5379" s="11">
        <v>0</v>
      </c>
      <c r="J5379" s="11">
        <v>0</v>
      </c>
      <c r="K5379" s="11" t="s">
        <v>21</v>
      </c>
      <c r="L5379" s="7">
        <v>41658.782800925925</v>
      </c>
      <c r="M5379" s="12" t="s">
        <v>183</v>
      </c>
      <c r="N5379" s="12" t="s">
        <v>184</v>
      </c>
      <c r="O5379" s="10" t="str">
        <f>HYPERLINK("https://pbs.twimg.com/profile_images/424893967197433858/iQ86NktX_normal.jpeg","View")</f>
        <v>View</v>
      </c>
      <c r="P5379" s="11"/>
    </row>
    <row r="5380" spans="1:16" ht="12.75" x14ac:dyDescent="0.35">
      <c r="A5380" s="7">
        <v>42483.333020833335</v>
      </c>
      <c r="B5380" s="8" t="str">
        <f>HYPERLINK("https://twitter.com/iaacanob","@iaacanob")</f>
        <v>@iaacanob</v>
      </c>
      <c r="C5380" s="9" t="s">
        <v>12401</v>
      </c>
      <c r="D5380" s="9" t="s">
        <v>10808</v>
      </c>
      <c r="E5380" s="10" t="str">
        <f>HYPERLINK("https://twitter.com/iaacanob/status/723700306580779010","723700306580779010")</f>
        <v>723700306580779010</v>
      </c>
      <c r="F5380" s="11" t="s">
        <v>48</v>
      </c>
      <c r="G5380" s="11">
        <v>484</v>
      </c>
      <c r="H5380" s="11">
        <v>873</v>
      </c>
      <c r="I5380" s="11">
        <v>58</v>
      </c>
      <c r="J5380" s="11">
        <v>0</v>
      </c>
      <c r="K5380" s="11" t="s">
        <v>21</v>
      </c>
      <c r="L5380" s="7">
        <v>40757.138275462959</v>
      </c>
      <c r="M5380" s="12" t="s">
        <v>866</v>
      </c>
      <c r="N5380" s="12" t="s">
        <v>12402</v>
      </c>
      <c r="O5380" s="10" t="str">
        <f>HYPERLINK("https://pbs.twimg.com/profile_images/722930747762458624/zQs5yuFJ_normal.jpg","View")</f>
        <v>View</v>
      </c>
      <c r="P5380" s="11"/>
    </row>
    <row r="5381" spans="1:16" ht="12.75" x14ac:dyDescent="0.35">
      <c r="A5381" s="7">
        <v>42483.334050925929</v>
      </c>
      <c r="B5381" s="8" t="str">
        <f>HYPERLINK("https://twitter.com/Vivu012","@Vivu012")</f>
        <v>@Vivu012</v>
      </c>
      <c r="C5381" s="9" t="s">
        <v>12403</v>
      </c>
      <c r="D5381" s="9" t="s">
        <v>12404</v>
      </c>
      <c r="E5381" s="10" t="str">
        <f>HYPERLINK("https://twitter.com/Vivu012/status/723700680188420096","723700680188420096")</f>
        <v>723700680188420096</v>
      </c>
      <c r="F5381" s="11" t="s">
        <v>53</v>
      </c>
      <c r="G5381" s="11">
        <v>2</v>
      </c>
      <c r="H5381" s="11">
        <v>21</v>
      </c>
      <c r="I5381" s="11">
        <v>0</v>
      </c>
      <c r="J5381" s="11">
        <v>0</v>
      </c>
      <c r="K5381" s="11" t="s">
        <v>21</v>
      </c>
      <c r="L5381" s="7">
        <v>41229.652673611112</v>
      </c>
      <c r="M5381" s="12"/>
      <c r="N5381" s="12"/>
      <c r="O5381" s="10" t="str">
        <f>HYPERLINK("https://pbs.twimg.com/profile_images/3423460058/ed8c9e3582adb96e1f516be360165840_normal.jpeg","View")</f>
        <v>View</v>
      </c>
      <c r="P5381" s="11"/>
    </row>
    <row r="5382" spans="1:16" ht="12.75" x14ac:dyDescent="0.35">
      <c r="A5382" s="7">
        <v>42483.334814814814</v>
      </c>
      <c r="B5382" s="8" t="str">
        <f>HYPERLINK("https://twitter.com/varysykusej","@varysykusej")</f>
        <v>@varysykusej</v>
      </c>
      <c r="C5382" s="9" t="s">
        <v>12405</v>
      </c>
      <c r="D5382" s="9" t="s">
        <v>2277</v>
      </c>
      <c r="E5382" s="10" t="str">
        <f>HYPERLINK("https://twitter.com/varysykusej/status/723700957331116032","723700957331116032")</f>
        <v>723700957331116032</v>
      </c>
      <c r="F5382" s="11" t="s">
        <v>43</v>
      </c>
      <c r="G5382" s="11">
        <v>4</v>
      </c>
      <c r="H5382" s="11">
        <v>412</v>
      </c>
      <c r="I5382" s="11">
        <v>2</v>
      </c>
      <c r="J5382" s="11">
        <v>0</v>
      </c>
      <c r="K5382" s="11" t="s">
        <v>21</v>
      </c>
      <c r="L5382" s="7">
        <v>41768.857754629629</v>
      </c>
      <c r="M5382" s="12" t="s">
        <v>3557</v>
      </c>
      <c r="N5382" s="12" t="s">
        <v>12406</v>
      </c>
      <c r="O5382" s="10" t="str">
        <f>HYPERLINK("https://pbs.twimg.com/profile_images/545473063353974785/7Bnm5ncu_normal.jpeg","View")</f>
        <v>View</v>
      </c>
      <c r="P5382" s="11"/>
    </row>
    <row r="5383" spans="1:16" ht="12.75" x14ac:dyDescent="0.35">
      <c r="A5383" s="7">
        <v>42483.338530092587</v>
      </c>
      <c r="B5383" s="8" t="str">
        <f>HYPERLINK("https://twitter.com/Inesicaleo","@Inesicaleo")</f>
        <v>@Inesicaleo</v>
      </c>
      <c r="C5383" s="9" t="s">
        <v>12407</v>
      </c>
      <c r="D5383" s="9" t="s">
        <v>12327</v>
      </c>
      <c r="E5383" s="10" t="str">
        <f>HYPERLINK("https://twitter.com/Inesicaleo/status/723702304365531137","723702304365531137")</f>
        <v>723702304365531137</v>
      </c>
      <c r="F5383" s="11" t="s">
        <v>48</v>
      </c>
      <c r="G5383" s="11">
        <v>57</v>
      </c>
      <c r="H5383" s="11">
        <v>192</v>
      </c>
      <c r="I5383" s="11">
        <v>4</v>
      </c>
      <c r="J5383" s="11">
        <v>0</v>
      </c>
      <c r="K5383" s="11" t="s">
        <v>21</v>
      </c>
      <c r="L5383" s="7">
        <v>41836.902187500003</v>
      </c>
      <c r="M5383" s="12"/>
      <c r="N5383" s="12"/>
      <c r="O5383" s="10" t="str">
        <f>HYPERLINK("https://pbs.twimg.com/profile_images/695977201389473792/pxQvhhKK_normal.jpg","View")</f>
        <v>View</v>
      </c>
      <c r="P5383" s="11"/>
    </row>
    <row r="5384" spans="1:16" ht="12.75" x14ac:dyDescent="0.35">
      <c r="A5384" s="7">
        <v>42483.338773148149</v>
      </c>
      <c r="B5384" s="8" t="str">
        <f>HYPERLINK("https://twitter.com/vikfer77","@vikfer77")</f>
        <v>@vikfer77</v>
      </c>
      <c r="C5384" s="9" t="s">
        <v>12408</v>
      </c>
      <c r="D5384" s="9" t="s">
        <v>8740</v>
      </c>
      <c r="E5384" s="10" t="str">
        <f>HYPERLINK("https://twitter.com/vikfer77/status/723702393070825472","723702393070825472")</f>
        <v>723702393070825472</v>
      </c>
      <c r="F5384" s="11" t="s">
        <v>43</v>
      </c>
      <c r="G5384" s="11">
        <v>455</v>
      </c>
      <c r="H5384" s="11">
        <v>1994</v>
      </c>
      <c r="I5384" s="11">
        <v>6</v>
      </c>
      <c r="J5384" s="11">
        <v>0</v>
      </c>
      <c r="K5384" s="11" t="s">
        <v>21</v>
      </c>
      <c r="L5384" s="7">
        <v>40285.984814814816</v>
      </c>
      <c r="M5384" s="12" t="s">
        <v>866</v>
      </c>
      <c r="N5384" s="12"/>
      <c r="O5384" s="10" t="str">
        <f>HYPERLINK("https://pbs.twimg.com/profile_images/714233510760939520/Kuqup19-_normal.jpg","View")</f>
        <v>View</v>
      </c>
      <c r="P5384" s="11"/>
    </row>
    <row r="5385" spans="1:16" ht="12.75" x14ac:dyDescent="0.35">
      <c r="A5385" s="7">
        <v>42483.34174768519</v>
      </c>
      <c r="B5385" s="8" t="str">
        <f>HYPERLINK("https://twitter.com/Carscoop","@Carscoop")</f>
        <v>@Carscoop</v>
      </c>
      <c r="C5385" s="9" t="s">
        <v>122</v>
      </c>
      <c r="D5385" s="9" t="s">
        <v>12409</v>
      </c>
      <c r="E5385" s="10" t="str">
        <f>HYPERLINK("https://twitter.com/Carscoop/status/723703467231969281","723703467231969281")</f>
        <v>723703467231969281</v>
      </c>
      <c r="F5385" s="10" t="s">
        <v>124</v>
      </c>
      <c r="G5385" s="11">
        <v>34900</v>
      </c>
      <c r="H5385" s="11">
        <v>323</v>
      </c>
      <c r="I5385" s="11">
        <v>1</v>
      </c>
      <c r="J5385" s="11">
        <v>0</v>
      </c>
      <c r="K5385" s="11" t="s">
        <v>21</v>
      </c>
      <c r="L5385" s="7">
        <v>39731.013483796298</v>
      </c>
      <c r="M5385" s="12" t="s">
        <v>125</v>
      </c>
      <c r="N5385" s="12" t="s">
        <v>126</v>
      </c>
      <c r="O5385" s="10" t="str">
        <f>HYPERLINK("https://pbs.twimg.com/profile_images/599709666017435648/r0vhT_9C_normal.png","View")</f>
        <v>View</v>
      </c>
      <c r="P5385" s="11"/>
    </row>
    <row r="5386" spans="1:16" ht="12.75" x14ac:dyDescent="0.35">
      <c r="A5386" s="7">
        <v>42483.342314814814</v>
      </c>
      <c r="B5386" s="8" t="str">
        <f>HYPERLINK("https://twitter.com/MiasmaXIII","@MiasmaXIII")</f>
        <v>@MiasmaXIII</v>
      </c>
      <c r="C5386" s="9" t="s">
        <v>12410</v>
      </c>
      <c r="D5386" s="9" t="s">
        <v>12411</v>
      </c>
      <c r="E5386" s="10" t="str">
        <f>HYPERLINK("https://twitter.com/MiasmaXIII/status/723703674447515652","723703674447515652")</f>
        <v>723703674447515652</v>
      </c>
      <c r="F5386" s="11" t="s">
        <v>20</v>
      </c>
      <c r="G5386" s="11">
        <v>201</v>
      </c>
      <c r="H5386" s="11">
        <v>152</v>
      </c>
      <c r="I5386" s="11">
        <v>1</v>
      </c>
      <c r="J5386" s="11">
        <v>0</v>
      </c>
      <c r="K5386" s="11" t="s">
        <v>21</v>
      </c>
      <c r="L5386" s="7">
        <v>41859.041516203702</v>
      </c>
      <c r="M5386" s="12" t="s">
        <v>12412</v>
      </c>
      <c r="N5386" s="12" t="s">
        <v>12413</v>
      </c>
      <c r="O5386" s="10" t="str">
        <f>HYPERLINK("https://pbs.twimg.com/profile_images/721824276865814528/ERktkiLE_normal.jpg","View")</f>
        <v>View</v>
      </c>
      <c r="P5386" s="11"/>
    </row>
    <row r="5387" spans="1:16" ht="12.75" x14ac:dyDescent="0.35">
      <c r="A5387" s="7">
        <v>42483.344965277778</v>
      </c>
      <c r="B5387" s="8" t="str">
        <f>HYPERLINK("https://twitter.com/DanielTottenham","@DanielTottenham")</f>
        <v>@DanielTottenham</v>
      </c>
      <c r="C5387" s="9" t="s">
        <v>12414</v>
      </c>
      <c r="D5387" s="9" t="s">
        <v>12415</v>
      </c>
      <c r="E5387" s="10" t="str">
        <f>HYPERLINK("https://twitter.com/DanielTottenham/status/723704636700516352","723704636700516352")</f>
        <v>723704636700516352</v>
      </c>
      <c r="F5387" s="11" t="s">
        <v>114</v>
      </c>
      <c r="G5387" s="11">
        <v>154</v>
      </c>
      <c r="H5387" s="11">
        <v>131</v>
      </c>
      <c r="I5387" s="11">
        <v>0</v>
      </c>
      <c r="J5387" s="11">
        <v>1</v>
      </c>
      <c r="K5387" s="11" t="s">
        <v>21</v>
      </c>
      <c r="L5387" s="7">
        <v>40198.056909722218</v>
      </c>
      <c r="M5387" s="12" t="s">
        <v>4664</v>
      </c>
      <c r="N5387" s="12" t="s">
        <v>12416</v>
      </c>
      <c r="O5387" s="10" t="str">
        <f>HYPERLINK("https://pbs.twimg.com/profile_images/716153900202483714/M_qYTZVI_normal.jpg","View")</f>
        <v>View</v>
      </c>
      <c r="P5387" s="11"/>
    </row>
    <row r="5388" spans="1:16" ht="12.75" x14ac:dyDescent="0.35">
      <c r="A5388" s="7">
        <v>42483.344976851848</v>
      </c>
      <c r="B5388" s="8" t="str">
        <f>HYPERLINK("https://twitter.com/Scirocco_Tuning","@Scirocco_Tuning")</f>
        <v>@Scirocco_Tuning</v>
      </c>
      <c r="C5388" s="9" t="s">
        <v>51</v>
      </c>
      <c r="D5388" s="9" t="s">
        <v>12417</v>
      </c>
      <c r="E5388" s="10" t="str">
        <f>HYPERLINK("https://twitter.com/Scirocco_Tuning/status/723704639728787456","723704639728787456")</f>
        <v>723704639728787456</v>
      </c>
      <c r="F5388" s="11" t="s">
        <v>53</v>
      </c>
      <c r="G5388" s="11">
        <v>69</v>
      </c>
      <c r="H5388" s="11">
        <v>215</v>
      </c>
      <c r="I5388" s="11">
        <v>0</v>
      </c>
      <c r="J5388" s="11">
        <v>0</v>
      </c>
      <c r="K5388" s="11" t="s">
        <v>21</v>
      </c>
      <c r="L5388" s="7">
        <v>40844.564722222218</v>
      </c>
      <c r="M5388" s="12"/>
      <c r="N5388" s="12"/>
      <c r="O5388" s="10" t="str">
        <f>HYPERLINK("https://pbs.twimg.com/profile_images/1610421423/Image2_normal.jpg","View")</f>
        <v>View</v>
      </c>
      <c r="P5388" s="11"/>
    </row>
    <row r="5389" spans="1:16" ht="12.75" x14ac:dyDescent="0.35">
      <c r="A5389" s="7">
        <v>42483.345370370371</v>
      </c>
      <c r="B5389" s="8" t="str">
        <f>HYPERLINK("https://twitter.com/57BDR","@57BDR")</f>
        <v>@57BDR</v>
      </c>
      <c r="C5389" s="9" t="s">
        <v>12418</v>
      </c>
      <c r="D5389" s="9" t="s">
        <v>12419</v>
      </c>
      <c r="E5389" s="10" t="str">
        <f>HYPERLINK("https://twitter.com/57BDR/status/723704782221881344","723704782221881344")</f>
        <v>723704782221881344</v>
      </c>
      <c r="F5389" s="11" t="s">
        <v>43</v>
      </c>
      <c r="G5389" s="11">
        <v>194</v>
      </c>
      <c r="H5389" s="11">
        <v>837</v>
      </c>
      <c r="I5389" s="11">
        <v>0</v>
      </c>
      <c r="J5389" s="11">
        <v>0</v>
      </c>
      <c r="K5389" s="11" t="s">
        <v>21</v>
      </c>
      <c r="L5389" s="7">
        <v>41157.294131944444</v>
      </c>
      <c r="M5389" s="12" t="s">
        <v>12420</v>
      </c>
      <c r="N5389" s="12" t="s">
        <v>12421</v>
      </c>
      <c r="O5389" s="10" t="str">
        <f>HYPERLINK("https://pbs.twimg.com/profile_images/709086812719947776/vXWinlfZ_normal.jpg","View")</f>
        <v>View</v>
      </c>
      <c r="P5389" s="11"/>
    </row>
    <row r="5390" spans="1:16" ht="12.75" x14ac:dyDescent="0.35">
      <c r="A5390" s="7">
        <v>42483.350752314815</v>
      </c>
      <c r="B5390" s="8" t="str">
        <f>HYPERLINK("https://twitter.com/poandpo","@poandpo")</f>
        <v>@poandpo</v>
      </c>
      <c r="C5390" s="9" t="s">
        <v>11958</v>
      </c>
      <c r="D5390" s="9" t="s">
        <v>12422</v>
      </c>
      <c r="E5390" s="10" t="str">
        <f>HYPERLINK("https://twitter.com/poandpo/status/723706732644585473","723706732644585473")</f>
        <v>723706732644585473</v>
      </c>
      <c r="F5390" s="11" t="s">
        <v>152</v>
      </c>
      <c r="G5390" s="11">
        <v>3194</v>
      </c>
      <c r="H5390" s="11">
        <v>805</v>
      </c>
      <c r="I5390" s="11">
        <v>0</v>
      </c>
      <c r="J5390" s="11">
        <v>0</v>
      </c>
      <c r="K5390" s="11" t="s">
        <v>21</v>
      </c>
      <c r="L5390" s="7">
        <v>40554.647766203707</v>
      </c>
      <c r="M5390" s="12" t="s">
        <v>11960</v>
      </c>
      <c r="N5390" s="12" t="s">
        <v>11961</v>
      </c>
      <c r="O5390" s="10" t="str">
        <f>HYPERLINK("https://pbs.twimg.com/profile_images/697059054741536770/bzz3mR4g_normal.png","View")</f>
        <v>View</v>
      </c>
      <c r="P5390" s="11"/>
    </row>
    <row r="5391" spans="1:16" ht="12.75" x14ac:dyDescent="0.35">
      <c r="A5391" s="7">
        <v>42483.352997685186</v>
      </c>
      <c r="B5391" s="8" t="str">
        <f>HYPERLINK("https://twitter.com/oceanshaman","@oceanshaman")</f>
        <v>@oceanshaman</v>
      </c>
      <c r="C5391" s="9" t="s">
        <v>12423</v>
      </c>
      <c r="D5391" s="9" t="s">
        <v>12424</v>
      </c>
      <c r="E5391" s="10" t="str">
        <f>HYPERLINK("https://twitter.com/oceanshaman/status/723707546305847296","723707546305847296")</f>
        <v>723707546305847296</v>
      </c>
      <c r="F5391" s="11" t="s">
        <v>48</v>
      </c>
      <c r="G5391" s="11">
        <v>12351</v>
      </c>
      <c r="H5391" s="11">
        <v>13554</v>
      </c>
      <c r="I5391" s="11">
        <v>1</v>
      </c>
      <c r="J5391" s="11">
        <v>1</v>
      </c>
      <c r="K5391" s="11" t="s">
        <v>21</v>
      </c>
      <c r="L5391" s="7">
        <v>39973.118703703702</v>
      </c>
      <c r="M5391" s="12" t="s">
        <v>12425</v>
      </c>
      <c r="N5391" s="12" t="s">
        <v>12426</v>
      </c>
      <c r="O5391" s="10" t="str">
        <f>HYPERLINK("https://pbs.twimg.com/profile_images/675825917944549380/s1onEWok_normal.jpg","View")</f>
        <v>View</v>
      </c>
      <c r="P5391" s="11"/>
    </row>
    <row r="5392" spans="1:16" ht="12.75" x14ac:dyDescent="0.35">
      <c r="A5392" s="7">
        <v>42483.353773148148</v>
      </c>
      <c r="B5392" s="8" t="str">
        <f>HYPERLINK("https://twitter.com/vixizewyryt","@vixizewyryt")</f>
        <v>@vixizewyryt</v>
      </c>
      <c r="C5392" s="9" t="s">
        <v>12427</v>
      </c>
      <c r="D5392" s="9" t="s">
        <v>12428</v>
      </c>
      <c r="E5392" s="10" t="str">
        <f>HYPERLINK("https://twitter.com/vixizewyryt/status/723707825600487426","723707825600487426")</f>
        <v>723707825600487426</v>
      </c>
      <c r="F5392" s="11" t="s">
        <v>43</v>
      </c>
      <c r="G5392" s="11">
        <v>846</v>
      </c>
      <c r="H5392" s="11">
        <v>3145</v>
      </c>
      <c r="I5392" s="11">
        <v>1</v>
      </c>
      <c r="J5392" s="11">
        <v>0</v>
      </c>
      <c r="K5392" s="11" t="s">
        <v>21</v>
      </c>
      <c r="L5392" s="7">
        <v>41776.601087962961</v>
      </c>
      <c r="M5392" s="12" t="s">
        <v>12429</v>
      </c>
      <c r="N5392" s="12" t="s">
        <v>12430</v>
      </c>
      <c r="O5392" s="10" t="str">
        <f>HYPERLINK("https://pbs.twimg.com/profile_images/496025508098760704/eyHTamUw_normal.jpeg","View")</f>
        <v>View</v>
      </c>
      <c r="P5392" s="11"/>
    </row>
    <row r="5393" spans="1:16" ht="12.75" x14ac:dyDescent="0.35">
      <c r="A5393" s="7">
        <v>42483.355023148149</v>
      </c>
      <c r="B5393" s="8" t="str">
        <f>HYPERLINK("https://twitter.com/Braian_9107","@Braian_9107")</f>
        <v>@Braian_9107</v>
      </c>
      <c r="C5393" s="9" t="s">
        <v>12431</v>
      </c>
      <c r="D5393" s="9" t="s">
        <v>10808</v>
      </c>
      <c r="E5393" s="10" t="str">
        <f>HYPERLINK("https://twitter.com/Braian_9107/status/723708279541653510","723708279541653510")</f>
        <v>723708279541653510</v>
      </c>
      <c r="F5393" s="11" t="s">
        <v>43</v>
      </c>
      <c r="G5393" s="11">
        <v>63</v>
      </c>
      <c r="H5393" s="11">
        <v>99</v>
      </c>
      <c r="I5393" s="11">
        <v>60</v>
      </c>
      <c r="J5393" s="11">
        <v>0</v>
      </c>
      <c r="K5393" s="11" t="s">
        <v>21</v>
      </c>
      <c r="L5393" s="7">
        <v>42181.254803240736</v>
      </c>
      <c r="M5393" s="12"/>
      <c r="N5393" s="12"/>
      <c r="O5393" s="10" t="str">
        <f>HYPERLINK("https://pbs.twimg.com/profile_images/664288528667418624/Mx05DUhU_normal.jpg","View")</f>
        <v>View</v>
      </c>
      <c r="P5393" s="11"/>
    </row>
    <row r="5394" spans="1:16" ht="12.75" x14ac:dyDescent="0.35">
      <c r="A5394" s="7">
        <v>42483.355972222227</v>
      </c>
      <c r="B5394" s="8" t="str">
        <f>HYPERLINK("https://twitter.com/porschepilotage","@porschepilotage")</f>
        <v>@porschepilotage</v>
      </c>
      <c r="C5394" s="9" t="s">
        <v>12432</v>
      </c>
      <c r="D5394" s="9" t="s">
        <v>12433</v>
      </c>
      <c r="E5394" s="10" t="str">
        <f>HYPERLINK("https://twitter.com/porschepilotage/status/723708626058227713","723708626058227713")</f>
        <v>723708626058227713</v>
      </c>
      <c r="F5394" s="11" t="s">
        <v>288</v>
      </c>
      <c r="G5394" s="11">
        <v>370</v>
      </c>
      <c r="H5394" s="11">
        <v>12</v>
      </c>
      <c r="I5394" s="11">
        <v>1</v>
      </c>
      <c r="J5394" s="11">
        <v>0</v>
      </c>
      <c r="K5394" s="11" t="s">
        <v>21</v>
      </c>
      <c r="L5394" s="7">
        <v>40455.740104166667</v>
      </c>
      <c r="M5394" s="12" t="s">
        <v>2263</v>
      </c>
      <c r="N5394" s="12" t="s">
        <v>12434</v>
      </c>
      <c r="O5394" s="10" t="str">
        <f>HYPERLINK("https://pbs.twimg.com/profile_images/1137193741/porsche-twitter_normal.jpg","View")</f>
        <v>View</v>
      </c>
      <c r="P5394" s="11"/>
    </row>
    <row r="5395" spans="1:16" ht="12.75" x14ac:dyDescent="0.35">
      <c r="A5395" s="7">
        <v>42483.356458333335</v>
      </c>
      <c r="B5395" s="8" t="str">
        <f>HYPERLINK("https://twitter.com/Valennaraya","@Valennaraya")</f>
        <v>@Valennaraya</v>
      </c>
      <c r="C5395" s="9" t="s">
        <v>12435</v>
      </c>
      <c r="D5395" s="9" t="s">
        <v>10808</v>
      </c>
      <c r="E5395" s="10" t="str">
        <f>HYPERLINK("https://twitter.com/Valennaraya/status/723708799765348352","723708799765348352")</f>
        <v>723708799765348352</v>
      </c>
      <c r="F5395" s="11" t="s">
        <v>43</v>
      </c>
      <c r="G5395" s="11">
        <v>218</v>
      </c>
      <c r="H5395" s="11">
        <v>276</v>
      </c>
      <c r="I5395" s="11">
        <v>60</v>
      </c>
      <c r="J5395" s="11">
        <v>0</v>
      </c>
      <c r="K5395" s="11" t="s">
        <v>21</v>
      </c>
      <c r="L5395" s="7">
        <v>40997.0308912037</v>
      </c>
      <c r="M5395" s="12" t="s">
        <v>2403</v>
      </c>
      <c r="N5395" s="12" t="s">
        <v>12436</v>
      </c>
      <c r="O5395" s="10" t="str">
        <f>HYPERLINK("https://pbs.twimg.com/profile_images/721394143377932288/ImLRgOKY_normal.jpg","View")</f>
        <v>View</v>
      </c>
      <c r="P5395" s="11"/>
    </row>
    <row r="5396" spans="1:16" ht="12.75" x14ac:dyDescent="0.35">
      <c r="A5396" s="7">
        <v>42483.357557870375</v>
      </c>
      <c r="B5396" s="8" t="str">
        <f>HYPERLINK("https://twitter.com/iza_edit","@iza_edit")</f>
        <v>@iza_edit</v>
      </c>
      <c r="C5396" s="9" t="s">
        <v>12437</v>
      </c>
      <c r="D5396" s="9" t="s">
        <v>12438</v>
      </c>
      <c r="E5396" s="10" t="str">
        <f>HYPERLINK("https://twitter.com/iza_edit/status/723709200090550272","723709200090550272")</f>
        <v>723709200090550272</v>
      </c>
      <c r="F5396" s="11" t="s">
        <v>43</v>
      </c>
      <c r="G5396" s="11">
        <v>10739</v>
      </c>
      <c r="H5396" s="11">
        <v>8</v>
      </c>
      <c r="I5396" s="11">
        <v>0</v>
      </c>
      <c r="J5396" s="11">
        <v>1</v>
      </c>
      <c r="K5396" s="11" t="s">
        <v>21</v>
      </c>
      <c r="L5396" s="7">
        <v>40539.544259259259</v>
      </c>
      <c r="M5396" s="12" t="s">
        <v>12439</v>
      </c>
      <c r="N5396" s="12" t="s">
        <v>12440</v>
      </c>
      <c r="O5396" s="10" t="str">
        <f>HYPERLINK("https://pbs.twimg.com/profile_images/1315649415/izatwitter_________normal.jpg","View")</f>
        <v>View</v>
      </c>
      <c r="P5396" s="11"/>
    </row>
    <row r="5397" spans="1:16" ht="12.75" x14ac:dyDescent="0.35">
      <c r="A5397" s="7">
        <v>42483.358182870375</v>
      </c>
      <c r="B5397" s="8" t="str">
        <f>HYPERLINK("https://twitter.com/Ronalley1","@Ronalley1")</f>
        <v>@Ronalley1</v>
      </c>
      <c r="C5397" s="9" t="s">
        <v>12441</v>
      </c>
      <c r="D5397" s="9" t="s">
        <v>12442</v>
      </c>
      <c r="E5397" s="10" t="str">
        <f>HYPERLINK("https://twitter.com/Ronalley1/status/723709423739396096","723709423739396096")</f>
        <v>723709423739396096</v>
      </c>
      <c r="F5397" s="11" t="s">
        <v>114</v>
      </c>
      <c r="G5397" s="11">
        <v>506</v>
      </c>
      <c r="H5397" s="11">
        <v>1084</v>
      </c>
      <c r="I5397" s="11">
        <v>0</v>
      </c>
      <c r="J5397" s="11">
        <v>0</v>
      </c>
      <c r="K5397" s="11" t="s">
        <v>21</v>
      </c>
      <c r="L5397" s="7">
        <v>42225.29111111111</v>
      </c>
      <c r="M5397" s="12" t="s">
        <v>12443</v>
      </c>
      <c r="N5397" s="12" t="s">
        <v>12444</v>
      </c>
      <c r="O5397" s="10" t="str">
        <f>HYPERLINK("https://pbs.twimg.com/profile_images/630198293826420736/tHb553bt_normal.jpg","View")</f>
        <v>View</v>
      </c>
      <c r="P5397" s="11"/>
    </row>
    <row r="5398" spans="1:16" ht="12.75" x14ac:dyDescent="0.35">
      <c r="A5398" s="7">
        <v>42483.361122685186</v>
      </c>
      <c r="B5398" s="8" t="str">
        <f t="shared" ref="B5398:B5399" si="475">HYPERLINK("https://twitter.com/beetlebug1938","@beetlebug1938")</f>
        <v>@beetlebug1938</v>
      </c>
      <c r="C5398" s="9" t="s">
        <v>66</v>
      </c>
      <c r="D5398" s="9" t="s">
        <v>12445</v>
      </c>
      <c r="E5398" s="10" t="str">
        <f>HYPERLINK("https://twitter.com/beetlebug1938/status/723710491504336896","723710491504336896")</f>
        <v>723710491504336896</v>
      </c>
      <c r="F5398" s="11" t="s">
        <v>68</v>
      </c>
      <c r="G5398" s="11">
        <v>361</v>
      </c>
      <c r="H5398" s="11">
        <v>2223</v>
      </c>
      <c r="I5398" s="11">
        <v>0</v>
      </c>
      <c r="J5398" s="11">
        <v>0</v>
      </c>
      <c r="K5398" s="11" t="s">
        <v>21</v>
      </c>
      <c r="L5398" s="7">
        <v>42469.863865740743</v>
      </c>
      <c r="M5398" s="12" t="s">
        <v>69</v>
      </c>
      <c r="N5398" s="12"/>
      <c r="O5398" s="10" t="str">
        <f t="shared" ref="O5398:O5399" si="476">HYPERLINK("https://pbs.twimg.com/profile_images/718820712757215233/LXXndPTS_normal.jpg","View")</f>
        <v>View</v>
      </c>
      <c r="P5398" s="11"/>
    </row>
    <row r="5399" spans="1:16" ht="12.75" x14ac:dyDescent="0.35">
      <c r="A5399" s="7">
        <v>42483.361168981486</v>
      </c>
      <c r="B5399" s="8" t="str">
        <f t="shared" si="475"/>
        <v>@beetlebug1938</v>
      </c>
      <c r="C5399" s="9" t="s">
        <v>66</v>
      </c>
      <c r="D5399" s="9" t="s">
        <v>12446</v>
      </c>
      <c r="E5399" s="10" t="str">
        <f>HYPERLINK("https://twitter.com/beetlebug1938/status/723710505706205184","723710505706205184")</f>
        <v>723710505706205184</v>
      </c>
      <c r="F5399" s="11" t="s">
        <v>68</v>
      </c>
      <c r="G5399" s="11">
        <v>361</v>
      </c>
      <c r="H5399" s="11">
        <v>2223</v>
      </c>
      <c r="I5399" s="11">
        <v>2</v>
      </c>
      <c r="J5399" s="11">
        <v>0</v>
      </c>
      <c r="K5399" s="11" t="s">
        <v>21</v>
      </c>
      <c r="L5399" s="7">
        <v>42469.863865740743</v>
      </c>
      <c r="M5399" s="12" t="s">
        <v>69</v>
      </c>
      <c r="N5399" s="12"/>
      <c r="O5399" s="10" t="str">
        <f t="shared" si="476"/>
        <v>View</v>
      </c>
      <c r="P5399" s="11"/>
    </row>
    <row r="5400" spans="1:16" ht="12.75" x14ac:dyDescent="0.35">
      <c r="A5400" s="7">
        <v>42483.361180555556</v>
      </c>
      <c r="B5400" s="8" t="str">
        <f>HYPERLINK("https://twitter.com/Tweets4Yoga","@Tweets4Yoga")</f>
        <v>@Tweets4Yoga</v>
      </c>
      <c r="C5400" s="9" t="s">
        <v>12447</v>
      </c>
      <c r="D5400" s="9" t="s">
        <v>12448</v>
      </c>
      <c r="E5400" s="10" t="str">
        <f>HYPERLINK("https://twitter.com/Tweets4Yoga/status/723710510001184768","723710510001184768")</f>
        <v>723710510001184768</v>
      </c>
      <c r="F5400" s="11" t="s">
        <v>12449</v>
      </c>
      <c r="G5400" s="11">
        <v>8430</v>
      </c>
      <c r="H5400" s="11">
        <v>7632</v>
      </c>
      <c r="I5400" s="11">
        <v>2</v>
      </c>
      <c r="J5400" s="11">
        <v>0</v>
      </c>
      <c r="K5400" s="11" t="s">
        <v>21</v>
      </c>
      <c r="L5400" s="7">
        <v>42247.734814814816</v>
      </c>
      <c r="M5400" s="12" t="s">
        <v>12450</v>
      </c>
      <c r="N5400" s="12" t="s">
        <v>12451</v>
      </c>
      <c r="O5400" s="10" t="str">
        <f>HYPERLINK("https://pbs.twimg.com/profile_images/638327600486719488/Z-1qM3qs_normal.jpg","View")</f>
        <v>View</v>
      </c>
      <c r="P5400" s="11"/>
    </row>
    <row r="5401" spans="1:16" ht="12.75" x14ac:dyDescent="0.35">
      <c r="A5401" s="7">
        <v>42483.361203703702</v>
      </c>
      <c r="B5401" s="8" t="str">
        <f t="shared" ref="B5401:B5402" si="477">HYPERLINK("https://twitter.com/beetlebug1938","@beetlebug1938")</f>
        <v>@beetlebug1938</v>
      </c>
      <c r="C5401" s="9" t="s">
        <v>66</v>
      </c>
      <c r="D5401" s="9" t="s">
        <v>12452</v>
      </c>
      <c r="E5401" s="10" t="str">
        <f>HYPERLINK("https://twitter.com/beetlebug1938/status/723710519107026944","723710519107026944")</f>
        <v>723710519107026944</v>
      </c>
      <c r="F5401" s="11" t="s">
        <v>68</v>
      </c>
      <c r="G5401" s="11">
        <v>361</v>
      </c>
      <c r="H5401" s="11">
        <v>2223</v>
      </c>
      <c r="I5401" s="11">
        <v>0</v>
      </c>
      <c r="J5401" s="11">
        <v>0</v>
      </c>
      <c r="K5401" s="11" t="s">
        <v>21</v>
      </c>
      <c r="L5401" s="7">
        <v>42469.863865740743</v>
      </c>
      <c r="M5401" s="12" t="s">
        <v>69</v>
      </c>
      <c r="N5401" s="12"/>
      <c r="O5401" s="10" t="str">
        <f t="shared" ref="O5401:O5402" si="478">HYPERLINK("https://pbs.twimg.com/profile_images/718820712757215233/LXXndPTS_normal.jpg","View")</f>
        <v>View</v>
      </c>
      <c r="P5401" s="11"/>
    </row>
    <row r="5402" spans="1:16" ht="12.75" x14ac:dyDescent="0.35">
      <c r="A5402" s="7">
        <v>42483.361238425925</v>
      </c>
      <c r="B5402" s="8" t="str">
        <f t="shared" si="477"/>
        <v>@beetlebug1938</v>
      </c>
      <c r="C5402" s="9" t="s">
        <v>66</v>
      </c>
      <c r="D5402" s="9" t="s">
        <v>12453</v>
      </c>
      <c r="E5402" s="10" t="str">
        <f>HYPERLINK("https://twitter.com/beetlebug1938/status/723710532772106240","723710532772106240")</f>
        <v>723710532772106240</v>
      </c>
      <c r="F5402" s="11" t="s">
        <v>68</v>
      </c>
      <c r="G5402" s="11">
        <v>361</v>
      </c>
      <c r="H5402" s="11">
        <v>2223</v>
      </c>
      <c r="I5402" s="11">
        <v>1</v>
      </c>
      <c r="J5402" s="11">
        <v>0</v>
      </c>
      <c r="K5402" s="11" t="s">
        <v>21</v>
      </c>
      <c r="L5402" s="7">
        <v>42469.863865740743</v>
      </c>
      <c r="M5402" s="12" t="s">
        <v>69</v>
      </c>
      <c r="N5402" s="12"/>
      <c r="O5402" s="10" t="str">
        <f t="shared" si="478"/>
        <v>View</v>
      </c>
      <c r="P5402" s="11"/>
    </row>
    <row r="5403" spans="1:16" ht="12.75" x14ac:dyDescent="0.35">
      <c r="A5403" s="7">
        <v>42483.361261574071</v>
      </c>
      <c r="B5403" s="8" t="str">
        <f>HYPERLINK("https://twitter.com/Tweets4Yoga","@Tweets4Yoga")</f>
        <v>@Tweets4Yoga</v>
      </c>
      <c r="C5403" s="9" t="s">
        <v>12447</v>
      </c>
      <c r="D5403" s="9" t="s">
        <v>12448</v>
      </c>
      <c r="E5403" s="10" t="str">
        <f>HYPERLINK("https://twitter.com/Tweets4Yoga/status/723710542871977984","723710542871977984")</f>
        <v>723710542871977984</v>
      </c>
      <c r="F5403" s="11" t="s">
        <v>12449</v>
      </c>
      <c r="G5403" s="11">
        <v>8430</v>
      </c>
      <c r="H5403" s="11">
        <v>7632</v>
      </c>
      <c r="I5403" s="11">
        <v>1</v>
      </c>
      <c r="J5403" s="11">
        <v>0</v>
      </c>
      <c r="K5403" s="11" t="s">
        <v>21</v>
      </c>
      <c r="L5403" s="7">
        <v>42247.734814814816</v>
      </c>
      <c r="M5403" s="12" t="s">
        <v>12450</v>
      </c>
      <c r="N5403" s="12" t="s">
        <v>12451</v>
      </c>
      <c r="O5403" s="10" t="str">
        <f>HYPERLINK("https://pbs.twimg.com/profile_images/638327600486719488/Z-1qM3qs_normal.jpg","View")</f>
        <v>View</v>
      </c>
      <c r="P5403" s="11"/>
    </row>
    <row r="5404" spans="1:16" ht="12.75" x14ac:dyDescent="0.35">
      <c r="A5404" s="7">
        <v>42483.361284722225</v>
      </c>
      <c r="B5404" s="8" t="str">
        <f t="shared" ref="B5404:B5405" si="479">HYPERLINK("https://twitter.com/beetlebug1938","@beetlebug1938")</f>
        <v>@beetlebug1938</v>
      </c>
      <c r="C5404" s="9" t="s">
        <v>66</v>
      </c>
      <c r="D5404" s="9" t="s">
        <v>12454</v>
      </c>
      <c r="E5404" s="10" t="str">
        <f>HYPERLINK("https://twitter.com/beetlebug1938/status/723710547208876032","723710547208876032")</f>
        <v>723710547208876032</v>
      </c>
      <c r="F5404" s="11" t="s">
        <v>68</v>
      </c>
      <c r="G5404" s="11">
        <v>361</v>
      </c>
      <c r="H5404" s="11">
        <v>2223</v>
      </c>
      <c r="I5404" s="11">
        <v>0</v>
      </c>
      <c r="J5404" s="11">
        <v>0</v>
      </c>
      <c r="K5404" s="11" t="s">
        <v>21</v>
      </c>
      <c r="L5404" s="7">
        <v>42469.863865740743</v>
      </c>
      <c r="M5404" s="12" t="s">
        <v>69</v>
      </c>
      <c r="N5404" s="12"/>
      <c r="O5404" s="10" t="str">
        <f t="shared" ref="O5404:O5405" si="480">HYPERLINK("https://pbs.twimg.com/profile_images/718820712757215233/LXXndPTS_normal.jpg","View")</f>
        <v>View</v>
      </c>
      <c r="P5404" s="11"/>
    </row>
    <row r="5405" spans="1:16" ht="12.75" x14ac:dyDescent="0.35">
      <c r="A5405" s="7">
        <v>42483.361307870371</v>
      </c>
      <c r="B5405" s="8" t="str">
        <f t="shared" si="479"/>
        <v>@beetlebug1938</v>
      </c>
      <c r="C5405" s="9" t="s">
        <v>66</v>
      </c>
      <c r="D5405" s="9" t="s">
        <v>12455</v>
      </c>
      <c r="E5405" s="10" t="str">
        <f>HYPERLINK("https://twitter.com/beetlebug1938/status/723710558617370625","723710558617370625")</f>
        <v>723710558617370625</v>
      </c>
      <c r="F5405" s="11" t="s">
        <v>68</v>
      </c>
      <c r="G5405" s="11">
        <v>361</v>
      </c>
      <c r="H5405" s="11">
        <v>2223</v>
      </c>
      <c r="I5405" s="11">
        <v>1</v>
      </c>
      <c r="J5405" s="11">
        <v>0</v>
      </c>
      <c r="K5405" s="11" t="s">
        <v>21</v>
      </c>
      <c r="L5405" s="7">
        <v>42469.863865740743</v>
      </c>
      <c r="M5405" s="12" t="s">
        <v>69</v>
      </c>
      <c r="N5405" s="12"/>
      <c r="O5405" s="10" t="str">
        <f t="shared" si="480"/>
        <v>View</v>
      </c>
      <c r="P5405" s="11"/>
    </row>
    <row r="5406" spans="1:16" ht="12.75" x14ac:dyDescent="0.35">
      <c r="A5406" s="7">
        <v>42483.361331018517</v>
      </c>
      <c r="B5406" s="8" t="str">
        <f>HYPERLINK("https://twitter.com/Tweets4Yoga","@Tweets4Yoga")</f>
        <v>@Tweets4Yoga</v>
      </c>
      <c r="C5406" s="9" t="s">
        <v>12447</v>
      </c>
      <c r="D5406" s="9" t="s">
        <v>12448</v>
      </c>
      <c r="E5406" s="10" t="str">
        <f>HYPERLINK("https://twitter.com/Tweets4Yoga/status/723710568151048193","723710568151048193")</f>
        <v>723710568151048193</v>
      </c>
      <c r="F5406" s="11" t="s">
        <v>12449</v>
      </c>
      <c r="G5406" s="11">
        <v>8430</v>
      </c>
      <c r="H5406" s="11">
        <v>7632</v>
      </c>
      <c r="I5406" s="11">
        <v>1</v>
      </c>
      <c r="J5406" s="11">
        <v>0</v>
      </c>
      <c r="K5406" s="11" t="s">
        <v>21</v>
      </c>
      <c r="L5406" s="7">
        <v>42247.734814814816</v>
      </c>
      <c r="M5406" s="12" t="s">
        <v>12450</v>
      </c>
      <c r="N5406" s="12" t="s">
        <v>12451</v>
      </c>
      <c r="O5406" s="10" t="str">
        <f>HYPERLINK("https://pbs.twimg.com/profile_images/638327600486719488/Z-1qM3qs_normal.jpg","View")</f>
        <v>View</v>
      </c>
      <c r="P5406" s="11"/>
    </row>
    <row r="5407" spans="1:16" ht="12.75" x14ac:dyDescent="0.35">
      <c r="A5407" s="7">
        <v>42483.361354166671</v>
      </c>
      <c r="B5407" s="8" t="str">
        <f>HYPERLINK("https://twitter.com/beetlebug1938","@beetlebug1938")</f>
        <v>@beetlebug1938</v>
      </c>
      <c r="C5407" s="9" t="s">
        <v>66</v>
      </c>
      <c r="D5407" s="9" t="s">
        <v>12456</v>
      </c>
      <c r="E5407" s="10" t="str">
        <f>HYPERLINK("https://twitter.com/beetlebug1938/status/723710573490384897","723710573490384897")</f>
        <v>723710573490384897</v>
      </c>
      <c r="F5407" s="11" t="s">
        <v>68</v>
      </c>
      <c r="G5407" s="11">
        <v>361</v>
      </c>
      <c r="H5407" s="11">
        <v>2223</v>
      </c>
      <c r="I5407" s="11">
        <v>1</v>
      </c>
      <c r="J5407" s="11">
        <v>0</v>
      </c>
      <c r="K5407" s="11" t="s">
        <v>21</v>
      </c>
      <c r="L5407" s="7">
        <v>42469.863865740743</v>
      </c>
      <c r="M5407" s="12" t="s">
        <v>69</v>
      </c>
      <c r="N5407" s="12"/>
      <c r="O5407" s="10" t="str">
        <f>HYPERLINK("https://pbs.twimg.com/profile_images/718820712757215233/LXXndPTS_normal.jpg","View")</f>
        <v>View</v>
      </c>
      <c r="P5407" s="11"/>
    </row>
    <row r="5408" spans="1:16" ht="12.75" x14ac:dyDescent="0.35">
      <c r="A5408" s="7">
        <v>42483.36136574074</v>
      </c>
      <c r="B5408" s="8" t="str">
        <f>HYPERLINK("https://twitter.com/Tweets4Yoga","@Tweets4Yoga")</f>
        <v>@Tweets4Yoga</v>
      </c>
      <c r="C5408" s="9" t="s">
        <v>12447</v>
      </c>
      <c r="D5408" s="9" t="s">
        <v>12448</v>
      </c>
      <c r="E5408" s="10" t="str">
        <f>HYPERLINK("https://twitter.com/Tweets4Yoga/status/723710576657092612","723710576657092612")</f>
        <v>723710576657092612</v>
      </c>
      <c r="F5408" s="11" t="s">
        <v>12449</v>
      </c>
      <c r="G5408" s="11">
        <v>8430</v>
      </c>
      <c r="H5408" s="11">
        <v>7632</v>
      </c>
      <c r="I5408" s="11">
        <v>1</v>
      </c>
      <c r="J5408" s="11">
        <v>0</v>
      </c>
      <c r="K5408" s="11" t="s">
        <v>21</v>
      </c>
      <c r="L5408" s="7">
        <v>42247.734814814816</v>
      </c>
      <c r="M5408" s="12" t="s">
        <v>12450</v>
      </c>
      <c r="N5408" s="12" t="s">
        <v>12451</v>
      </c>
      <c r="O5408" s="10" t="str">
        <f>HYPERLINK("https://pbs.twimg.com/profile_images/638327600486719488/Z-1qM3qs_normal.jpg","View")</f>
        <v>View</v>
      </c>
      <c r="P5408" s="11"/>
    </row>
    <row r="5409" spans="1:16" ht="12.75" x14ac:dyDescent="0.35">
      <c r="A5409" s="7">
        <v>42483.361388888894</v>
      </c>
      <c r="B5409" s="8" t="str">
        <f>HYPERLINK("https://twitter.com/beetlebug1938","@beetlebug1938")</f>
        <v>@beetlebug1938</v>
      </c>
      <c r="C5409" s="9" t="s">
        <v>66</v>
      </c>
      <c r="D5409" s="9" t="s">
        <v>12457</v>
      </c>
      <c r="E5409" s="10" t="str">
        <f>HYPERLINK("https://twitter.com/beetlebug1938/status/723710586723405828","723710586723405828")</f>
        <v>723710586723405828</v>
      </c>
      <c r="F5409" s="11" t="s">
        <v>68</v>
      </c>
      <c r="G5409" s="11">
        <v>361</v>
      </c>
      <c r="H5409" s="11">
        <v>2223</v>
      </c>
      <c r="I5409" s="11">
        <v>0</v>
      </c>
      <c r="J5409" s="11">
        <v>0</v>
      </c>
      <c r="K5409" s="11" t="s">
        <v>21</v>
      </c>
      <c r="L5409" s="7">
        <v>42469.863865740743</v>
      </c>
      <c r="M5409" s="12" t="s">
        <v>69</v>
      </c>
      <c r="N5409" s="12"/>
      <c r="O5409" s="10" t="str">
        <f>HYPERLINK("https://pbs.twimg.com/profile_images/718820712757215233/LXXndPTS_normal.jpg","View")</f>
        <v>View</v>
      </c>
      <c r="P5409" s="11"/>
    </row>
    <row r="5410" spans="1:16" ht="12.75" x14ac:dyDescent="0.35">
      <c r="A5410" s="7">
        <v>42483.364849537036</v>
      </c>
      <c r="B5410" s="8" t="str">
        <f>HYPERLINK("https://twitter.com/CindyCallinsky","@CindyCallinsky")</f>
        <v>@CindyCallinsky</v>
      </c>
      <c r="C5410" s="9" t="s">
        <v>12458</v>
      </c>
      <c r="D5410" s="9" t="s">
        <v>12448</v>
      </c>
      <c r="E5410" s="10" t="str">
        <f>HYPERLINK("https://twitter.com/CindyCallinsky/status/723711842992922624","723711842992922624")</f>
        <v>723711842992922624</v>
      </c>
      <c r="F5410" s="11" t="s">
        <v>48</v>
      </c>
      <c r="G5410" s="11">
        <v>3818</v>
      </c>
      <c r="H5410" s="11">
        <v>3185</v>
      </c>
      <c r="I5410" s="11">
        <v>2</v>
      </c>
      <c r="J5410" s="11">
        <v>0</v>
      </c>
      <c r="K5410" s="11" t="s">
        <v>21</v>
      </c>
      <c r="L5410" s="7">
        <v>40018.428923611107</v>
      </c>
      <c r="M5410" s="12" t="s">
        <v>12459</v>
      </c>
      <c r="N5410" s="12" t="s">
        <v>12460</v>
      </c>
      <c r="O5410" s="10" t="str">
        <f>HYPERLINK("https://pbs.twimg.com/profile_images/718296879986012160/C5y4_r_5_normal.jpg","View")</f>
        <v>View</v>
      </c>
      <c r="P5410" s="11"/>
    </row>
    <row r="5411" spans="1:16" ht="12.75" x14ac:dyDescent="0.35">
      <c r="A5411" s="7">
        <v>42483.366724537038</v>
      </c>
      <c r="B5411" s="8" t="str">
        <f>HYPERLINK("https://twitter.com/VWBeetleSales","@VWBeetleSales")</f>
        <v>@VWBeetleSales</v>
      </c>
      <c r="C5411" s="9" t="s">
        <v>127</v>
      </c>
      <c r="D5411" s="9" t="s">
        <v>12461</v>
      </c>
      <c r="E5411" s="10" t="str">
        <f>HYPERLINK("https://twitter.com/VWBeetleSales/status/723712520993705984","723712520993705984")</f>
        <v>723712520993705984</v>
      </c>
      <c r="F5411" s="10" t="s">
        <v>124</v>
      </c>
      <c r="G5411" s="11">
        <v>36</v>
      </c>
      <c r="H5411" s="11">
        <v>32</v>
      </c>
      <c r="I5411" s="11">
        <v>0</v>
      </c>
      <c r="J5411" s="11">
        <v>0</v>
      </c>
      <c r="K5411" s="11" t="s">
        <v>21</v>
      </c>
      <c r="L5411" s="7">
        <v>42427.019756944443</v>
      </c>
      <c r="M5411" s="12" t="s">
        <v>129</v>
      </c>
      <c r="N5411" s="12" t="s">
        <v>130</v>
      </c>
      <c r="O5411" s="10" t="str">
        <f>HYPERLINK("https://pbs.twimg.com/profile_images/703294545195307008/qeCvrX86_normal.jpg","View")</f>
        <v>View</v>
      </c>
      <c r="P5411" s="11"/>
    </row>
    <row r="5412" spans="1:16" ht="12.75" x14ac:dyDescent="0.35">
      <c r="A5412" s="7">
        <v>42483.367731481485</v>
      </c>
      <c r="B5412" s="8" t="str">
        <f>HYPERLINK("https://twitter.com/CaaioMonteiro","@CaaioMonteiro")</f>
        <v>@CaaioMonteiro</v>
      </c>
      <c r="C5412" s="9" t="s">
        <v>6514</v>
      </c>
      <c r="D5412" s="9" t="s">
        <v>12462</v>
      </c>
      <c r="E5412" s="10" t="str">
        <f>HYPERLINK("https://twitter.com/CaaioMonteiro/status/723712884652556289","723712884652556289")</f>
        <v>723712884652556289</v>
      </c>
      <c r="F5412" s="11" t="s">
        <v>114</v>
      </c>
      <c r="G5412" s="11">
        <v>160</v>
      </c>
      <c r="H5412" s="11">
        <v>78</v>
      </c>
      <c r="I5412" s="11">
        <v>0</v>
      </c>
      <c r="J5412" s="11">
        <v>0</v>
      </c>
      <c r="K5412" s="11" t="s">
        <v>21</v>
      </c>
      <c r="L5412" s="7">
        <v>40096.458067129628</v>
      </c>
      <c r="M5412" s="12" t="s">
        <v>6516</v>
      </c>
      <c r="N5412" s="12" t="s">
        <v>6517</v>
      </c>
      <c r="O5412" s="10" t="str">
        <f>HYPERLINK("https://pbs.twimg.com/profile_images/1403349824/tt_normal.jpg","View")</f>
        <v>View</v>
      </c>
      <c r="P5412" s="11"/>
    </row>
    <row r="5413" spans="1:16" ht="12.75" x14ac:dyDescent="0.35">
      <c r="A5413" s="7">
        <v>42483.367754629631</v>
      </c>
      <c r="B5413" s="8" t="str">
        <f>HYPERLINK("https://twitter.com/bjsommerville","@bjsommerville")</f>
        <v>@bjsommerville</v>
      </c>
      <c r="C5413" s="9" t="s">
        <v>12317</v>
      </c>
      <c r="D5413" s="9" t="s">
        <v>12463</v>
      </c>
      <c r="E5413" s="10" t="str">
        <f>HYPERLINK("https://twitter.com/bjsommerville/status/723712892843892736","723712892843892736")</f>
        <v>723712892843892736</v>
      </c>
      <c r="F5413" s="11" t="s">
        <v>12319</v>
      </c>
      <c r="G5413" s="11">
        <v>65</v>
      </c>
      <c r="H5413" s="11">
        <v>134</v>
      </c>
      <c r="I5413" s="11">
        <v>1</v>
      </c>
      <c r="J5413" s="11">
        <v>0</v>
      </c>
      <c r="K5413" s="11" t="s">
        <v>21</v>
      </c>
      <c r="L5413" s="7">
        <v>41423.381168981483</v>
      </c>
      <c r="M5413" s="12" t="s">
        <v>12320</v>
      </c>
      <c r="N5413" s="12" t="s">
        <v>12321</v>
      </c>
      <c r="O5413" s="10" t="str">
        <f>HYPERLINK("https://pbs.twimg.com/profile_images/3725967723/1cb19fcb397118623a9866ecb7fd9b52_normal.jpeg","View")</f>
        <v>View</v>
      </c>
      <c r="P5413" s="11"/>
    </row>
    <row r="5414" spans="1:16" ht="12.75" x14ac:dyDescent="0.35">
      <c r="A5414" s="7">
        <v>42483.368206018524</v>
      </c>
      <c r="B5414" s="8" t="str">
        <f>HYPERLINK("https://twitter.com/yamjun","@yamjun")</f>
        <v>@yamjun</v>
      </c>
      <c r="C5414" s="9" t="s">
        <v>12464</v>
      </c>
      <c r="D5414" s="9" t="s">
        <v>12465</v>
      </c>
      <c r="E5414" s="10" t="str">
        <f>HYPERLINK("https://twitter.com/yamjun/status/723713058225442817","723713058225442817")</f>
        <v>723713058225442817</v>
      </c>
      <c r="F5414" s="11" t="s">
        <v>114</v>
      </c>
      <c r="G5414" s="11">
        <v>469</v>
      </c>
      <c r="H5414" s="11">
        <v>287</v>
      </c>
      <c r="I5414" s="11">
        <v>0</v>
      </c>
      <c r="J5414" s="11">
        <v>0</v>
      </c>
      <c r="K5414" s="11" t="s">
        <v>21</v>
      </c>
      <c r="L5414" s="7">
        <v>40016.603807870371</v>
      </c>
      <c r="M5414" s="12" t="s">
        <v>12466</v>
      </c>
      <c r="N5414" s="12" t="s">
        <v>12467</v>
      </c>
      <c r="O5414" s="10" t="str">
        <f>HYPERLINK("https://pbs.twimg.com/profile_images/1383765110/yamjun-_300_normal.jpg","View")</f>
        <v>View</v>
      </c>
      <c r="P5414" s="11"/>
    </row>
    <row r="5415" spans="1:16" ht="12.75" x14ac:dyDescent="0.35">
      <c r="A5415" s="7">
        <v>42483.373796296291</v>
      </c>
      <c r="B5415" s="8" t="str">
        <f>HYPERLINK("https://twitter.com/bigbobblehats","@bigbobblehats")</f>
        <v>@bigbobblehats</v>
      </c>
      <c r="C5415" s="9" t="s">
        <v>3111</v>
      </c>
      <c r="D5415" s="9" t="s">
        <v>12468</v>
      </c>
      <c r="E5415" s="10" t="str">
        <f>HYPERLINK("https://twitter.com/bigbobblehats/status/723715083281547264","723715083281547264")</f>
        <v>723715083281547264</v>
      </c>
      <c r="F5415" s="11" t="s">
        <v>53</v>
      </c>
      <c r="G5415" s="11">
        <v>1126</v>
      </c>
      <c r="H5415" s="11">
        <v>235</v>
      </c>
      <c r="I5415" s="11">
        <v>0</v>
      </c>
      <c r="J5415" s="11">
        <v>0</v>
      </c>
      <c r="K5415" s="11" t="s">
        <v>21</v>
      </c>
      <c r="L5415" s="7">
        <v>40441.883425925924</v>
      </c>
      <c r="M5415" s="12" t="s">
        <v>3113</v>
      </c>
      <c r="N5415" s="12"/>
      <c r="O5415" s="10" t="str">
        <f>HYPERLINK("https://pbs.twimg.com/profile_images/1147531135/Bus_Card_Logo_normal.jpg","View")</f>
        <v>View</v>
      </c>
      <c r="P5415" s="11"/>
    </row>
    <row r="5416" spans="1:16" ht="12.75" x14ac:dyDescent="0.35">
      <c r="A5416" s="7">
        <v>42483.373819444445</v>
      </c>
      <c r="B5416" s="8" t="str">
        <f>HYPERLINK("https://twitter.com/dcmotoring","@dcmotoring")</f>
        <v>@dcmotoring</v>
      </c>
      <c r="C5416" s="9" t="s">
        <v>12469</v>
      </c>
      <c r="D5416" s="9" t="s">
        <v>12470</v>
      </c>
      <c r="E5416" s="10" t="str">
        <f>HYPERLINK("https://twitter.com/dcmotoring/status/723715092785799168","723715092785799168")</f>
        <v>723715092785799168</v>
      </c>
      <c r="F5416" s="11" t="s">
        <v>20</v>
      </c>
      <c r="G5416" s="11">
        <v>37</v>
      </c>
      <c r="H5416" s="11">
        <v>231</v>
      </c>
      <c r="I5416" s="11">
        <v>0</v>
      </c>
      <c r="J5416" s="11">
        <v>0</v>
      </c>
      <c r="K5416" s="11" t="s">
        <v>21</v>
      </c>
      <c r="L5416" s="7">
        <v>42163.417986111112</v>
      </c>
      <c r="M5416" s="12"/>
      <c r="N5416" s="12"/>
      <c r="O5416" s="10" t="str">
        <f>HYPERLINK("https://pbs.twimg.com/profile_images/607768408768118784/KQCGVxZn_normal.jpg","View")</f>
        <v>View</v>
      </c>
      <c r="P5416" s="11"/>
    </row>
    <row r="5417" spans="1:16" ht="12.75" x14ac:dyDescent="0.35">
      <c r="A5417" s="7">
        <v>42483.377696759257</v>
      </c>
      <c r="B5417" s="8" t="str">
        <f>HYPERLINK("https://twitter.com/Angel3614","@Angel3614")</f>
        <v>@Angel3614</v>
      </c>
      <c r="C5417" s="9" t="s">
        <v>12471</v>
      </c>
      <c r="D5417" s="9" t="s">
        <v>12472</v>
      </c>
      <c r="E5417" s="10" t="str">
        <f>HYPERLINK("https://twitter.com/Angel3614/status/723716495885406209","723716495885406209")</f>
        <v>723716495885406209</v>
      </c>
      <c r="F5417" s="11" t="s">
        <v>114</v>
      </c>
      <c r="G5417" s="11">
        <v>469</v>
      </c>
      <c r="H5417" s="11">
        <v>2016</v>
      </c>
      <c r="I5417" s="11">
        <v>0</v>
      </c>
      <c r="J5417" s="11">
        <v>0</v>
      </c>
      <c r="K5417" s="11" t="s">
        <v>21</v>
      </c>
      <c r="L5417" s="7">
        <v>39985.232025462959</v>
      </c>
      <c r="M5417" s="12" t="s">
        <v>12473</v>
      </c>
      <c r="N5417" s="12" t="s">
        <v>12474</v>
      </c>
      <c r="O5417" s="10" t="str">
        <f>HYPERLINK("https://pbs.twimg.com/profile_images/539292996856856577/qxhH9j0q_normal.png","View")</f>
        <v>View</v>
      </c>
      <c r="P5417" s="10" t="str">
        <f>HYPERLINK("http://ctrlq.org/maps/address/#19.03859118,-98.20181249","Map")</f>
        <v>Map</v>
      </c>
    </row>
    <row r="5418" spans="1:16" ht="12.75" x14ac:dyDescent="0.35">
      <c r="A5418" s="7">
        <v>42483.381006944444</v>
      </c>
      <c r="B5418" s="8" t="str">
        <f>HYPERLINK("https://twitter.com/breedveldusa","@breedveldusa")</f>
        <v>@breedveldusa</v>
      </c>
      <c r="C5418" s="9" t="s">
        <v>12475</v>
      </c>
      <c r="D5418" s="9" t="s">
        <v>12476</v>
      </c>
      <c r="E5418" s="10" t="str">
        <f>HYPERLINK("https://twitter.com/breedveldusa/status/723717695905107972","723717695905107972")</f>
        <v>723717695905107972</v>
      </c>
      <c r="F5418" s="11" t="s">
        <v>53</v>
      </c>
      <c r="G5418" s="11">
        <v>829</v>
      </c>
      <c r="H5418" s="11">
        <v>3092</v>
      </c>
      <c r="I5418" s="11">
        <v>0</v>
      </c>
      <c r="J5418" s="11">
        <v>0</v>
      </c>
      <c r="K5418" s="11" t="s">
        <v>21</v>
      </c>
      <c r="L5418" s="7">
        <v>40924.058553240742</v>
      </c>
      <c r="M5418" s="12"/>
      <c r="N5418" s="12"/>
      <c r="O5418" s="10" t="str">
        <f>HYPERLINK("https://pbs.twimg.com/profile_images/674866085213130752/qAlZEGhV_normal.jpg","View")</f>
        <v>View</v>
      </c>
      <c r="P5418" s="11"/>
    </row>
    <row r="5419" spans="1:16" ht="12.75" x14ac:dyDescent="0.35">
      <c r="A5419" s="7">
        <v>42483.38894675926</v>
      </c>
      <c r="B5419" s="8" t="str">
        <f>HYPERLINK("https://twitter.com/VWCamperSales","@VWCamperSales")</f>
        <v>@VWCamperSales</v>
      </c>
      <c r="C5419" s="9" t="s">
        <v>216</v>
      </c>
      <c r="D5419" s="9" t="s">
        <v>12477</v>
      </c>
      <c r="E5419" s="10" t="str">
        <f>HYPERLINK("https://twitter.com/VWCamperSales/status/723720575185620992","723720575185620992")</f>
        <v>723720575185620992</v>
      </c>
      <c r="F5419" s="10" t="s">
        <v>124</v>
      </c>
      <c r="G5419" s="11">
        <v>619</v>
      </c>
      <c r="H5419" s="11">
        <v>580</v>
      </c>
      <c r="I5419" s="11">
        <v>0</v>
      </c>
      <c r="J5419" s="11">
        <v>0</v>
      </c>
      <c r="K5419" s="11" t="s">
        <v>21</v>
      </c>
      <c r="L5419" s="7">
        <v>42215.98809027778</v>
      </c>
      <c r="M5419" s="12" t="s">
        <v>129</v>
      </c>
      <c r="N5419" s="12" t="s">
        <v>218</v>
      </c>
      <c r="O5419" s="10" t="str">
        <f>HYPERLINK("https://pbs.twimg.com/profile_images/627949001179037696/skEBkS05_normal.jpg","View")</f>
        <v>View</v>
      </c>
      <c r="P5419" s="11"/>
    </row>
    <row r="5420" spans="1:16" ht="12.75" x14ac:dyDescent="0.35">
      <c r="A5420" s="7">
        <v>42483.390451388885</v>
      </c>
      <c r="B5420" s="8" t="str">
        <f>HYPERLINK("https://twitter.com/vagcafe","@vagcafe")</f>
        <v>@vagcafe</v>
      </c>
      <c r="C5420" s="9" t="s">
        <v>6545</v>
      </c>
      <c r="D5420" s="9" t="s">
        <v>12478</v>
      </c>
      <c r="E5420" s="10" t="str">
        <f>HYPERLINK("https://twitter.com/vagcafe/status/723721118864019456","723721118864019456")</f>
        <v>723721118864019456</v>
      </c>
      <c r="F5420" s="11" t="s">
        <v>114</v>
      </c>
      <c r="G5420" s="11">
        <v>616</v>
      </c>
      <c r="H5420" s="11">
        <v>946</v>
      </c>
      <c r="I5420" s="11">
        <v>0</v>
      </c>
      <c r="J5420" s="11">
        <v>0</v>
      </c>
      <c r="K5420" s="11" t="s">
        <v>21</v>
      </c>
      <c r="L5420" s="7">
        <v>41657.0393287037</v>
      </c>
      <c r="M5420" s="12" t="s">
        <v>6547</v>
      </c>
      <c r="N5420" s="12" t="s">
        <v>6548</v>
      </c>
      <c r="O5420" s="10" t="str">
        <f>HYPERLINK("https://pbs.twimg.com/profile_images/424263999111180288/uiuHfUnY_normal.png","View")</f>
        <v>View</v>
      </c>
      <c r="P5420" s="11"/>
    </row>
    <row r="5421" spans="1:16" ht="12.75" x14ac:dyDescent="0.35">
      <c r="A5421" s="7">
        <v>42483.391018518523</v>
      </c>
      <c r="B5421" s="8" t="str">
        <f>HYPERLINK("https://twitter.com/DubLuvTuning","@DubLuvTuning")</f>
        <v>@DubLuvTuning</v>
      </c>
      <c r="C5421" s="9" t="s">
        <v>299</v>
      </c>
      <c r="D5421" s="9" t="s">
        <v>12479</v>
      </c>
      <c r="E5421" s="10" t="str">
        <f>HYPERLINK("https://twitter.com/DubLuvTuning/status/723721326096179200","723721326096179200")</f>
        <v>723721326096179200</v>
      </c>
      <c r="F5421" s="11" t="s">
        <v>288</v>
      </c>
      <c r="G5421" s="11">
        <v>690</v>
      </c>
      <c r="H5421" s="11">
        <v>431</v>
      </c>
      <c r="I5421" s="11">
        <v>1</v>
      </c>
      <c r="J5421" s="11">
        <v>0</v>
      </c>
      <c r="K5421" s="11" t="s">
        <v>21</v>
      </c>
      <c r="L5421" s="7">
        <v>41549.898287037038</v>
      </c>
      <c r="M5421" s="12" t="s">
        <v>301</v>
      </c>
      <c r="N5421" s="12" t="s">
        <v>302</v>
      </c>
      <c r="O5421" s="10" t="str">
        <f>HYPERLINK("https://pbs.twimg.com/profile_images/378800000572104796/1de43e1cf23efb3f4101c02afad0d3b6_normal.png","View")</f>
        <v>View</v>
      </c>
      <c r="P5421" s="11"/>
    </row>
    <row r="5422" spans="1:16" ht="12.75" x14ac:dyDescent="0.35">
      <c r="A5422" s="7">
        <v>42483.392037037032</v>
      </c>
      <c r="B5422" s="8" t="str">
        <f>HYPERLINK("https://twitter.com/davidtellez","@davidtellez")</f>
        <v>@davidtellez</v>
      </c>
      <c r="C5422" s="9" t="s">
        <v>12480</v>
      </c>
      <c r="D5422" s="9" t="s">
        <v>12481</v>
      </c>
      <c r="E5422" s="10" t="str">
        <f>HYPERLINK("https://twitter.com/davidtellez/status/723721693928263681","723721693928263681")</f>
        <v>723721693928263681</v>
      </c>
      <c r="F5422" s="11" t="s">
        <v>114</v>
      </c>
      <c r="G5422" s="11">
        <v>35</v>
      </c>
      <c r="H5422" s="11">
        <v>93</v>
      </c>
      <c r="I5422" s="11">
        <v>0</v>
      </c>
      <c r="J5422" s="11">
        <v>0</v>
      </c>
      <c r="K5422" s="11" t="s">
        <v>21</v>
      </c>
      <c r="L5422" s="7">
        <v>39911.298738425925</v>
      </c>
      <c r="M5422" s="12" t="s">
        <v>12482</v>
      </c>
      <c r="N5422" s="12"/>
      <c r="O5422" s="10" t="str">
        <f>HYPERLINK("https://pbs.twimg.com/profile_images/700445723104407552/1a_55IZR_normal.jpg","View")</f>
        <v>View</v>
      </c>
      <c r="P5422" s="11"/>
    </row>
    <row r="5423" spans="1:16" ht="12.75" x14ac:dyDescent="0.35">
      <c r="A5423" s="7">
        <v>42483.392453703702</v>
      </c>
      <c r="B5423" s="8" t="str">
        <f>HYPERLINK("https://twitter.com/FlorShirado","@FlorShirado")</f>
        <v>@FlorShirado</v>
      </c>
      <c r="C5423" s="9" t="s">
        <v>12483</v>
      </c>
      <c r="D5423" s="9" t="s">
        <v>10808</v>
      </c>
      <c r="E5423" s="10" t="str">
        <f>HYPERLINK("https://twitter.com/FlorShirado/status/723721844776407040","723721844776407040")</f>
        <v>723721844776407040</v>
      </c>
      <c r="F5423" s="11" t="s">
        <v>48</v>
      </c>
      <c r="G5423" s="11">
        <v>870</v>
      </c>
      <c r="H5423" s="11">
        <v>1159</v>
      </c>
      <c r="I5423" s="11">
        <v>61</v>
      </c>
      <c r="J5423" s="11">
        <v>0</v>
      </c>
      <c r="K5423" s="11" t="s">
        <v>21</v>
      </c>
      <c r="L5423" s="7">
        <v>40697.041898148149</v>
      </c>
      <c r="M5423" s="12" t="s">
        <v>6712</v>
      </c>
      <c r="N5423" s="12" t="s">
        <v>12484</v>
      </c>
      <c r="O5423" s="10" t="str">
        <f>HYPERLINK("https://pbs.twimg.com/profile_images/722115747934302210/aV4zL8et_normal.jpg","View")</f>
        <v>View</v>
      </c>
      <c r="P5423" s="11"/>
    </row>
    <row r="5424" spans="1:16" ht="12.75" x14ac:dyDescent="0.35">
      <c r="A5424" s="7">
        <v>42483.392974537041</v>
      </c>
      <c r="B5424" s="8" t="str">
        <f t="shared" ref="B5424:B5425" si="481">HYPERLINK("https://twitter.com/davidtellez","@davidtellez")</f>
        <v>@davidtellez</v>
      </c>
      <c r="C5424" s="9" t="s">
        <v>12480</v>
      </c>
      <c r="D5424" s="9" t="s">
        <v>12485</v>
      </c>
      <c r="E5424" s="10" t="str">
        <f>HYPERLINK("https://twitter.com/davidtellez/status/723722032375054336","723722032375054336")</f>
        <v>723722032375054336</v>
      </c>
      <c r="F5424" s="11" t="s">
        <v>114</v>
      </c>
      <c r="G5424" s="11">
        <v>35</v>
      </c>
      <c r="H5424" s="11">
        <v>93</v>
      </c>
      <c r="I5424" s="11">
        <v>0</v>
      </c>
      <c r="J5424" s="11">
        <v>0</v>
      </c>
      <c r="K5424" s="11" t="s">
        <v>21</v>
      </c>
      <c r="L5424" s="7">
        <v>39911.298738425925</v>
      </c>
      <c r="M5424" s="12" t="s">
        <v>12482</v>
      </c>
      <c r="N5424" s="12"/>
      <c r="O5424" s="10" t="str">
        <f t="shared" ref="O5424:O5425" si="482">HYPERLINK("https://pbs.twimg.com/profile_images/700445723104407552/1a_55IZR_normal.jpg","View")</f>
        <v>View</v>
      </c>
      <c r="P5424" s="11"/>
    </row>
    <row r="5425" spans="1:16" ht="12.75" x14ac:dyDescent="0.35">
      <c r="A5425" s="7">
        <v>42483.393773148149</v>
      </c>
      <c r="B5425" s="8" t="str">
        <f t="shared" si="481"/>
        <v>@davidtellez</v>
      </c>
      <c r="C5425" s="9" t="s">
        <v>12480</v>
      </c>
      <c r="D5425" s="9" t="s">
        <v>12486</v>
      </c>
      <c r="E5425" s="10" t="str">
        <f>HYPERLINK("https://twitter.com/davidtellez/status/723722322121732096","723722322121732096")</f>
        <v>723722322121732096</v>
      </c>
      <c r="F5425" s="11" t="s">
        <v>114</v>
      </c>
      <c r="G5425" s="11">
        <v>35</v>
      </c>
      <c r="H5425" s="11">
        <v>93</v>
      </c>
      <c r="I5425" s="11">
        <v>0</v>
      </c>
      <c r="J5425" s="11">
        <v>0</v>
      </c>
      <c r="K5425" s="11" t="s">
        <v>21</v>
      </c>
      <c r="L5425" s="7">
        <v>39911.298738425925</v>
      </c>
      <c r="M5425" s="12" t="s">
        <v>12482</v>
      </c>
      <c r="N5425" s="12"/>
      <c r="O5425" s="10" t="str">
        <f t="shared" si="482"/>
        <v>View</v>
      </c>
      <c r="P5425" s="11"/>
    </row>
    <row r="5426" spans="1:16" ht="12.75" x14ac:dyDescent="0.35">
      <c r="A5426" s="7">
        <v>42483.395046296297</v>
      </c>
      <c r="B5426" s="8" t="str">
        <f>HYPERLINK("https://twitter.com/24HoursOfLeMons","@24HoursOfLeMons")</f>
        <v>@24HoursOfLeMons</v>
      </c>
      <c r="C5426" s="9" t="s">
        <v>12487</v>
      </c>
      <c r="D5426" s="9" t="s">
        <v>12488</v>
      </c>
      <c r="E5426" s="10" t="str">
        <f>HYPERLINK("https://twitter.com/24HoursOfLeMons/status/723722785965617153","723722785965617153")</f>
        <v>723722785965617153</v>
      </c>
      <c r="F5426" s="11" t="s">
        <v>114</v>
      </c>
      <c r="G5426" s="11">
        <v>2660</v>
      </c>
      <c r="H5426" s="11">
        <v>956</v>
      </c>
      <c r="I5426" s="11">
        <v>0</v>
      </c>
      <c r="J5426" s="11">
        <v>0</v>
      </c>
      <c r="K5426" s="11" t="s">
        <v>21</v>
      </c>
      <c r="L5426" s="7">
        <v>39808.358854166669</v>
      </c>
      <c r="M5426" s="12" t="s">
        <v>12489</v>
      </c>
      <c r="N5426" s="12" t="s">
        <v>12490</v>
      </c>
      <c r="O5426" s="10" t="str">
        <f>HYPERLINK("https://pbs.twimg.com/profile_images/3208566039/89994ec2076c0a659a2ee8d088a9c6e7_normal.jpeg","View")</f>
        <v>View</v>
      </c>
      <c r="P5426" s="11"/>
    </row>
    <row r="5427" spans="1:16" ht="12.75" x14ac:dyDescent="0.35">
      <c r="A5427" s="7">
        <v>42483.395231481481</v>
      </c>
      <c r="B5427" s="8" t="str">
        <f>HYPERLINK("https://twitter.com/ebaycampervans","@ebaycampervans")</f>
        <v>@ebaycampervans</v>
      </c>
      <c r="C5427" s="9" t="s">
        <v>682</v>
      </c>
      <c r="D5427" s="9" t="s">
        <v>12491</v>
      </c>
      <c r="E5427" s="10" t="str">
        <f>HYPERLINK("https://twitter.com/ebaycampervans/status/723722852805963780","723722852805963780")</f>
        <v>723722852805963780</v>
      </c>
      <c r="F5427" s="11" t="s">
        <v>34</v>
      </c>
      <c r="G5427" s="11">
        <v>380</v>
      </c>
      <c r="H5427" s="11">
        <v>1002</v>
      </c>
      <c r="I5427" s="11">
        <v>0</v>
      </c>
      <c r="J5427" s="11">
        <v>0</v>
      </c>
      <c r="K5427" s="11" t="s">
        <v>21</v>
      </c>
      <c r="L5427" s="7">
        <v>42140.207604166666</v>
      </c>
      <c r="M5427" s="12"/>
      <c r="N5427" s="12" t="s">
        <v>684</v>
      </c>
      <c r="O5427" s="10" t="str">
        <f>HYPERLINK("https://pbs.twimg.com/profile_images/599357023407464449/BL9Bpo6T_normal.jpg","View")</f>
        <v>View</v>
      </c>
      <c r="P5427" s="11"/>
    </row>
    <row r="5428" spans="1:16" ht="12.75" x14ac:dyDescent="0.35">
      <c r="A5428" s="7">
        <v>42483.395937499998</v>
      </c>
      <c r="B5428" s="8" t="str">
        <f>HYPERLINK("https://twitter.com/GulfNewsBiz","@GulfNewsBiz")</f>
        <v>@GulfNewsBiz</v>
      </c>
      <c r="C5428" s="9" t="s">
        <v>12492</v>
      </c>
      <c r="D5428" s="9" t="s">
        <v>12493</v>
      </c>
      <c r="E5428" s="10" t="str">
        <f>HYPERLINK("https://twitter.com/GulfNewsBiz/status/723723106544574465","723723106544574465")</f>
        <v>723723106544574465</v>
      </c>
      <c r="F5428" s="11" t="s">
        <v>63</v>
      </c>
      <c r="G5428" s="11">
        <v>2858</v>
      </c>
      <c r="H5428" s="11">
        <v>253</v>
      </c>
      <c r="I5428" s="11">
        <v>0</v>
      </c>
      <c r="J5428" s="11">
        <v>0</v>
      </c>
      <c r="K5428" s="11" t="s">
        <v>21</v>
      </c>
      <c r="L5428" s="7">
        <v>41920.684120370366</v>
      </c>
      <c r="M5428" s="12" t="s">
        <v>7543</v>
      </c>
      <c r="N5428" s="12" t="s">
        <v>12494</v>
      </c>
      <c r="O5428" s="10" t="str">
        <f>HYPERLINK("https://pbs.twimg.com/profile_images/519804667849486336/BNnWeW7h_normal.jpeg","View")</f>
        <v>View</v>
      </c>
      <c r="P5428" s="11"/>
    </row>
    <row r="5429" spans="1:16" ht="12.75" x14ac:dyDescent="0.35">
      <c r="A5429" s="7">
        <v>42483.39638888889</v>
      </c>
      <c r="B5429" s="8" t="str">
        <f>HYPERLINK("https://twitter.com/FakeDispatchBot","@FakeDispatchBot")</f>
        <v>@FakeDispatchBot</v>
      </c>
      <c r="C5429" s="9" t="s">
        <v>12495</v>
      </c>
      <c r="D5429" s="9" t="s">
        <v>12496</v>
      </c>
      <c r="E5429" s="10" t="str">
        <f>HYPERLINK("https://twitter.com/FakeDispatchBot/status/723723271586209792","723723271586209792")</f>
        <v>723723271586209792</v>
      </c>
      <c r="F5429" s="11" t="s">
        <v>12497</v>
      </c>
      <c r="G5429" s="11">
        <v>16</v>
      </c>
      <c r="H5429" s="11">
        <v>11</v>
      </c>
      <c r="I5429" s="11">
        <v>0</v>
      </c>
      <c r="J5429" s="11">
        <v>0</v>
      </c>
      <c r="K5429" s="11" t="s">
        <v>21</v>
      </c>
      <c r="L5429" s="7">
        <v>42343.367905092593</v>
      </c>
      <c r="M5429" s="12"/>
      <c r="N5429" s="12" t="s">
        <v>12498</v>
      </c>
      <c r="O5429" s="10" t="str">
        <f>HYPERLINK("https://pbs.twimg.com/profile_images/672983778885689344/1ep6eaaz_normal.jpg","View")</f>
        <v>View</v>
      </c>
      <c r="P5429" s="11"/>
    </row>
    <row r="5430" spans="1:16" ht="12.75" x14ac:dyDescent="0.35">
      <c r="A5430" s="7">
        <v>42483.398715277777</v>
      </c>
      <c r="B5430" s="8" t="str">
        <f>HYPERLINK("https://twitter.com/Jochitas","@Jochitas")</f>
        <v>@Jochitas</v>
      </c>
      <c r="C5430" s="9" t="s">
        <v>12499</v>
      </c>
      <c r="D5430" s="9" t="s">
        <v>12327</v>
      </c>
      <c r="E5430" s="10" t="str">
        <f>HYPERLINK("https://twitter.com/Jochitas/status/723724112875556865","723724112875556865")</f>
        <v>723724112875556865</v>
      </c>
      <c r="F5430" s="11" t="s">
        <v>20</v>
      </c>
      <c r="G5430" s="11">
        <v>334</v>
      </c>
      <c r="H5430" s="11">
        <v>401</v>
      </c>
      <c r="I5430" s="11">
        <v>5</v>
      </c>
      <c r="J5430" s="11">
        <v>0</v>
      </c>
      <c r="K5430" s="11" t="s">
        <v>21</v>
      </c>
      <c r="L5430" s="7">
        <v>40098.312546296293</v>
      </c>
      <c r="M5430" s="12" t="s">
        <v>12500</v>
      </c>
      <c r="N5430" s="12" t="s">
        <v>12501</v>
      </c>
      <c r="O5430" s="10" t="str">
        <f>HYPERLINK("https://pbs.twimg.com/profile_images/594267818842988544/ZJUVlxJG_normal.jpg","View")</f>
        <v>View</v>
      </c>
      <c r="P5430" s="11"/>
    </row>
    <row r="5431" spans="1:16" ht="12.75" x14ac:dyDescent="0.35">
      <c r="A5431" s="7">
        <v>42483.400231481486</v>
      </c>
      <c r="B5431" s="8" t="str">
        <f>HYPERLINK("https://twitter.com/VolkswagenPost","@VolkswagenPost")</f>
        <v>@VolkswagenPost</v>
      </c>
      <c r="C5431" s="9" t="s">
        <v>321</v>
      </c>
      <c r="D5431" s="9" t="s">
        <v>12479</v>
      </c>
      <c r="E5431" s="10" t="str">
        <f>HYPERLINK("https://twitter.com/VolkswagenPost/status/723724661289263105","723724661289263105")</f>
        <v>723724661289263105</v>
      </c>
      <c r="F5431" s="11" t="s">
        <v>288</v>
      </c>
      <c r="G5431" s="11">
        <v>569</v>
      </c>
      <c r="H5431" s="11">
        <v>446</v>
      </c>
      <c r="I5431" s="11">
        <v>2</v>
      </c>
      <c r="J5431" s="11">
        <v>0</v>
      </c>
      <c r="K5431" s="11" t="s">
        <v>21</v>
      </c>
      <c r="L5431" s="7">
        <v>41940.618379629632</v>
      </c>
      <c r="M5431" s="12"/>
      <c r="N5431" s="12"/>
      <c r="O5431" s="10" t="str">
        <f>HYPERLINK("https://pbs.twimg.com/profile_images/530071272881803264/a_jcCmPZ_normal.png","View")</f>
        <v>View</v>
      </c>
      <c r="P5431" s="11"/>
    </row>
    <row r="5432" spans="1:16" ht="12.75" x14ac:dyDescent="0.35">
      <c r="A5432" s="7">
        <v>42483.404398148152</v>
      </c>
      <c r="B5432" s="8" t="str">
        <f>HYPERLINK("https://twitter.com/hayles_143","@hayles_143")</f>
        <v>@hayles_143</v>
      </c>
      <c r="C5432" s="9" t="s">
        <v>12502</v>
      </c>
      <c r="D5432" s="9" t="s">
        <v>12503</v>
      </c>
      <c r="E5432" s="10" t="str">
        <f>HYPERLINK("https://twitter.com/hayles_143/status/723726174195589120","723726174195589120")</f>
        <v>723726174195589120</v>
      </c>
      <c r="F5432" s="11" t="s">
        <v>20</v>
      </c>
      <c r="G5432" s="11">
        <v>251</v>
      </c>
      <c r="H5432" s="11">
        <v>453</v>
      </c>
      <c r="I5432" s="11">
        <v>1</v>
      </c>
      <c r="J5432" s="11">
        <v>0</v>
      </c>
      <c r="K5432" s="11" t="s">
        <v>21</v>
      </c>
      <c r="L5432" s="7">
        <v>41639.156504629631</v>
      </c>
      <c r="M5432" s="12"/>
      <c r="N5432" s="12" t="s">
        <v>12504</v>
      </c>
      <c r="O5432" s="10" t="str">
        <f>HYPERLINK("https://pbs.twimg.com/profile_images/723552199503056896/q92McICK_normal.jpg","View")</f>
        <v>View</v>
      </c>
      <c r="P5432" s="11"/>
    </row>
    <row r="5433" spans="1:16" ht="12.75" x14ac:dyDescent="0.35">
      <c r="A5433" s="7">
        <v>42483.409201388888</v>
      </c>
      <c r="B5433" s="8" t="str">
        <f>HYPERLINK("https://twitter.com/Scirocco_Tuning","@Scirocco_Tuning")</f>
        <v>@Scirocco_Tuning</v>
      </c>
      <c r="C5433" s="9" t="s">
        <v>51</v>
      </c>
      <c r="D5433" s="9" t="s">
        <v>12505</v>
      </c>
      <c r="E5433" s="10" t="str">
        <f>HYPERLINK("https://twitter.com/Scirocco_Tuning/status/723727915276480513","723727915276480513")</f>
        <v>723727915276480513</v>
      </c>
      <c r="F5433" s="11" t="s">
        <v>53</v>
      </c>
      <c r="G5433" s="11">
        <v>69</v>
      </c>
      <c r="H5433" s="11">
        <v>215</v>
      </c>
      <c r="I5433" s="11">
        <v>0</v>
      </c>
      <c r="J5433" s="11">
        <v>0</v>
      </c>
      <c r="K5433" s="11" t="s">
        <v>21</v>
      </c>
      <c r="L5433" s="7">
        <v>40844.564722222218</v>
      </c>
      <c r="M5433" s="12"/>
      <c r="N5433" s="12"/>
      <c r="O5433" s="10" t="str">
        <f>HYPERLINK("https://pbs.twimg.com/profile_images/1610421423/Image2_normal.jpg","View")</f>
        <v>View</v>
      </c>
      <c r="P5433" s="11"/>
    </row>
    <row r="5434" spans="1:16" ht="12.75" x14ac:dyDescent="0.35">
      <c r="A5434" s="7">
        <v>42483.410451388889</v>
      </c>
      <c r="B5434" s="8" t="str">
        <f>HYPERLINK("https://twitter.com/VWBeetleSales","@VWBeetleSales")</f>
        <v>@VWBeetleSales</v>
      </c>
      <c r="C5434" s="9" t="s">
        <v>127</v>
      </c>
      <c r="D5434" s="9" t="s">
        <v>12506</v>
      </c>
      <c r="E5434" s="10" t="str">
        <f>HYPERLINK("https://twitter.com/VWBeetleSales/status/723728364830216193","723728364830216193")</f>
        <v>723728364830216193</v>
      </c>
      <c r="F5434" s="10" t="s">
        <v>124</v>
      </c>
      <c r="G5434" s="11">
        <v>36</v>
      </c>
      <c r="H5434" s="11">
        <v>32</v>
      </c>
      <c r="I5434" s="11">
        <v>0</v>
      </c>
      <c r="J5434" s="11">
        <v>0</v>
      </c>
      <c r="K5434" s="11" t="s">
        <v>21</v>
      </c>
      <c r="L5434" s="7">
        <v>42427.019756944443</v>
      </c>
      <c r="M5434" s="12" t="s">
        <v>129</v>
      </c>
      <c r="N5434" s="12" t="s">
        <v>130</v>
      </c>
      <c r="O5434" s="10" t="str">
        <f>HYPERLINK("https://pbs.twimg.com/profile_images/703294545195307008/qeCvrX86_normal.jpg","View")</f>
        <v>View</v>
      </c>
      <c r="P5434" s="11"/>
    </row>
    <row r="5435" spans="1:16" ht="12.75" x14ac:dyDescent="0.35">
      <c r="A5435" s="7">
        <v>42483.412002314813</v>
      </c>
      <c r="B5435" s="8" t="str">
        <f>HYPERLINK("https://twitter.com/ExpeditionFools","@ExpeditionFools")</f>
        <v>@ExpeditionFools</v>
      </c>
      <c r="C5435" s="9" t="s">
        <v>12507</v>
      </c>
      <c r="D5435" s="9" t="s">
        <v>12508</v>
      </c>
      <c r="E5435" s="10" t="str">
        <f>HYPERLINK("https://twitter.com/ExpeditionFools/status/723728926984413184","723728926984413184")</f>
        <v>723728926984413184</v>
      </c>
      <c r="F5435" s="11" t="s">
        <v>48</v>
      </c>
      <c r="G5435" s="11">
        <v>4</v>
      </c>
      <c r="H5435" s="11">
        <v>1</v>
      </c>
      <c r="I5435" s="11">
        <v>0</v>
      </c>
      <c r="J5435" s="11">
        <v>0</v>
      </c>
      <c r="K5435" s="11" t="s">
        <v>21</v>
      </c>
      <c r="L5435" s="7">
        <v>42446.513865740737</v>
      </c>
      <c r="M5435" s="12" t="s">
        <v>209</v>
      </c>
      <c r="N5435" s="12" t="s">
        <v>12509</v>
      </c>
      <c r="O5435" s="10" t="str">
        <f>HYPERLINK("https://pbs.twimg.com/profile_images/710523117727145984/7-Pyv2g5_normal.jpg","View")</f>
        <v>View</v>
      </c>
      <c r="P5435" s="11"/>
    </row>
    <row r="5436" spans="1:16" ht="12.75" x14ac:dyDescent="0.35">
      <c r="A5436" s="7">
        <v>42483.416354166664</v>
      </c>
      <c r="B5436" s="8" t="str">
        <f>HYPERLINK("https://twitter.com/tschmitz_eu","@tschmitz_eu")</f>
        <v>@tschmitz_eu</v>
      </c>
      <c r="C5436" s="9" t="s">
        <v>12510</v>
      </c>
      <c r="D5436" s="9" t="s">
        <v>12511</v>
      </c>
      <c r="E5436" s="10" t="str">
        <f>HYPERLINK("https://twitter.com/tschmitz_eu/status/723730506647482369","723730506647482369")</f>
        <v>723730506647482369</v>
      </c>
      <c r="F5436" s="11" t="s">
        <v>20</v>
      </c>
      <c r="G5436" s="11">
        <v>9</v>
      </c>
      <c r="H5436" s="11">
        <v>125</v>
      </c>
      <c r="I5436" s="11">
        <v>0</v>
      </c>
      <c r="J5436" s="11">
        <v>0</v>
      </c>
      <c r="K5436" s="11" t="s">
        <v>21</v>
      </c>
      <c r="L5436" s="7">
        <v>42378.540127314816</v>
      </c>
      <c r="M5436" s="12" t="s">
        <v>1609</v>
      </c>
      <c r="N5436" s="12" t="s">
        <v>12512</v>
      </c>
      <c r="O5436" s="10" t="str">
        <f>HYPERLINK("https://pbs.twimg.com/profile_images/721235286269804544/nZY31tY3_normal.jpg","View")</f>
        <v>View</v>
      </c>
      <c r="P5436" s="11"/>
    </row>
    <row r="5437" spans="1:16" ht="12.75" x14ac:dyDescent="0.35">
      <c r="A5437" s="7">
        <v>42483.417476851857</v>
      </c>
      <c r="B5437" s="8" t="str">
        <f>HYPERLINK("https://twitter.com/ENLACEPUEBLA","@ENLACEPUEBLA")</f>
        <v>@ENLACEPUEBLA</v>
      </c>
      <c r="C5437" s="9" t="s">
        <v>6250</v>
      </c>
      <c r="D5437" s="9" t="s">
        <v>12198</v>
      </c>
      <c r="E5437" s="10" t="str">
        <f>HYPERLINK("https://twitter.com/ENLACEPUEBLA/status/723730914375659520","723730914375659520")</f>
        <v>723730914375659520</v>
      </c>
      <c r="F5437" s="11" t="s">
        <v>20</v>
      </c>
      <c r="G5437" s="11">
        <v>155</v>
      </c>
      <c r="H5437" s="11">
        <v>194</v>
      </c>
      <c r="I5437" s="11">
        <v>4</v>
      </c>
      <c r="J5437" s="11">
        <v>0</v>
      </c>
      <c r="K5437" s="11" t="s">
        <v>21</v>
      </c>
      <c r="L5437" s="7">
        <v>40596.267731481479</v>
      </c>
      <c r="M5437" s="12" t="s">
        <v>6251</v>
      </c>
      <c r="N5437" s="12" t="s">
        <v>6252</v>
      </c>
      <c r="O5437" s="10" t="str">
        <f>HYPERLINK("https://pbs.twimg.com/profile_images/443258859092578304/uvPzzzTx_normal.png","View")</f>
        <v>View</v>
      </c>
      <c r="P5437" s="11"/>
    </row>
    <row r="5438" spans="1:16" ht="12.75" x14ac:dyDescent="0.35">
      <c r="A5438" s="7">
        <v>42483.418090277773</v>
      </c>
      <c r="B5438" s="8" t="str">
        <f>HYPERLINK("https://twitter.com/tschmitz_eu","@tschmitz_eu")</f>
        <v>@tschmitz_eu</v>
      </c>
      <c r="C5438" s="9" t="s">
        <v>12510</v>
      </c>
      <c r="D5438" s="9" t="s">
        <v>12513</v>
      </c>
      <c r="E5438" s="10" t="str">
        <f>HYPERLINK("https://twitter.com/tschmitz_eu/status/723731134669041664","723731134669041664")</f>
        <v>723731134669041664</v>
      </c>
      <c r="F5438" s="11" t="s">
        <v>20</v>
      </c>
      <c r="G5438" s="11">
        <v>9</v>
      </c>
      <c r="H5438" s="11">
        <v>126</v>
      </c>
      <c r="I5438" s="11">
        <v>0</v>
      </c>
      <c r="J5438" s="11">
        <v>0</v>
      </c>
      <c r="K5438" s="11" t="s">
        <v>21</v>
      </c>
      <c r="L5438" s="7">
        <v>42378.540127314816</v>
      </c>
      <c r="M5438" s="12" t="s">
        <v>1609</v>
      </c>
      <c r="N5438" s="12" t="s">
        <v>12512</v>
      </c>
      <c r="O5438" s="10" t="str">
        <f>HYPERLINK("https://pbs.twimg.com/profile_images/721235286269804544/nZY31tY3_normal.jpg","View")</f>
        <v>View</v>
      </c>
      <c r="P5438" s="11"/>
    </row>
    <row r="5439" spans="1:16" ht="12.75" x14ac:dyDescent="0.35">
      <c r="A5439" s="7">
        <v>42483.418969907405</v>
      </c>
      <c r="B5439" s="8" t="str">
        <f>HYPERLINK("https://twitter.com/RadialTVcom","@RadialTVcom")</f>
        <v>@RadialTVcom</v>
      </c>
      <c r="C5439" s="9" t="s">
        <v>6313</v>
      </c>
      <c r="D5439" s="9" t="s">
        <v>12198</v>
      </c>
      <c r="E5439" s="10" t="str">
        <f>HYPERLINK("https://twitter.com/RadialTVcom/status/723731455155662848","723731455155662848")</f>
        <v>723731455155662848</v>
      </c>
      <c r="F5439" s="11" t="s">
        <v>20</v>
      </c>
      <c r="G5439" s="11">
        <v>13</v>
      </c>
      <c r="H5439" s="11">
        <v>52</v>
      </c>
      <c r="I5439" s="11">
        <v>4</v>
      </c>
      <c r="J5439" s="11">
        <v>0</v>
      </c>
      <c r="K5439" s="11" t="s">
        <v>21</v>
      </c>
      <c r="L5439" s="7">
        <v>41932.945567129631</v>
      </c>
      <c r="M5439" s="12" t="s">
        <v>5956</v>
      </c>
      <c r="N5439" s="12"/>
      <c r="O5439" s="10" t="str">
        <f>HYPERLINK("https://pbs.twimg.com/profile_images/524247355084636160/OzYcsa1O_normal.jpeg","View")</f>
        <v>View</v>
      </c>
      <c r="P5439" s="11"/>
    </row>
    <row r="5440" spans="1:16" ht="12.75" x14ac:dyDescent="0.35">
      <c r="A5440" s="7">
        <v>42483.41988425926</v>
      </c>
      <c r="B5440" s="8" t="str">
        <f>HYPERLINK("https://twitter.com/beto_rh6","@beto_rh6")</f>
        <v>@beto_rh6</v>
      </c>
      <c r="C5440" s="9" t="s">
        <v>6325</v>
      </c>
      <c r="D5440" s="9" t="s">
        <v>12198</v>
      </c>
      <c r="E5440" s="10" t="str">
        <f>HYPERLINK("https://twitter.com/beto_rh6/status/723731786853818368","723731786853818368")</f>
        <v>723731786853818368</v>
      </c>
      <c r="F5440" s="11" t="s">
        <v>20</v>
      </c>
      <c r="G5440" s="11">
        <v>122</v>
      </c>
      <c r="H5440" s="11">
        <v>141</v>
      </c>
      <c r="I5440" s="11">
        <v>4</v>
      </c>
      <c r="J5440" s="11">
        <v>0</v>
      </c>
      <c r="K5440" s="11" t="s">
        <v>21</v>
      </c>
      <c r="L5440" s="7">
        <v>40736.974490740744</v>
      </c>
      <c r="M5440" s="12" t="s">
        <v>3359</v>
      </c>
      <c r="N5440" s="12"/>
      <c r="O5440" s="10" t="str">
        <f>HYPERLINK("https://pbs.twimg.com/profile_images/674995378828152832/MlepJsK4_normal.jpg","View")</f>
        <v>View</v>
      </c>
      <c r="P5440" s="11"/>
    </row>
    <row r="5441" spans="1:16" ht="12.75" x14ac:dyDescent="0.35">
      <c r="A5441" s="7">
        <v>42483.421099537038</v>
      </c>
      <c r="B5441" s="8" t="str">
        <f>HYPERLINK("https://twitter.com/nico85045340","@nico85045340")</f>
        <v>@nico85045340</v>
      </c>
      <c r="C5441" s="9" t="s">
        <v>12514</v>
      </c>
      <c r="D5441" s="9" t="s">
        <v>10808</v>
      </c>
      <c r="E5441" s="10" t="str">
        <f>HYPERLINK("https://twitter.com/nico85045340/status/723732225213227008","723732225213227008")</f>
        <v>723732225213227008</v>
      </c>
      <c r="F5441" s="11" t="s">
        <v>48</v>
      </c>
      <c r="G5441" s="11">
        <v>357</v>
      </c>
      <c r="H5441" s="11">
        <v>346</v>
      </c>
      <c r="I5441" s="11">
        <v>62</v>
      </c>
      <c r="J5441" s="11">
        <v>0</v>
      </c>
      <c r="K5441" s="11" t="s">
        <v>21</v>
      </c>
      <c r="L5441" s="7">
        <v>41808.366597222222</v>
      </c>
      <c r="M5441" s="12" t="s">
        <v>12515</v>
      </c>
      <c r="N5441" s="12"/>
      <c r="O5441" s="10" t="str">
        <f>HYPERLINK("https://pbs.twimg.com/profile_images/723348796898443268/buY9RlRR_normal.jpg","View")</f>
        <v>View</v>
      </c>
      <c r="P5441" s="11"/>
    </row>
    <row r="5442" spans="1:16" ht="12.75" x14ac:dyDescent="0.35">
      <c r="A5442" s="7">
        <v>42483.424780092595</v>
      </c>
      <c r="B5442" s="8" t="str">
        <f>HYPERLINK("https://twitter.com/skywalker5005","@skywalker5005")</f>
        <v>@skywalker5005</v>
      </c>
      <c r="C5442" s="9" t="s">
        <v>12516</v>
      </c>
      <c r="D5442" s="9" t="s">
        <v>12022</v>
      </c>
      <c r="E5442" s="10" t="str">
        <f>HYPERLINK("https://twitter.com/skywalker5005/status/723733561224867840","723733561224867840")</f>
        <v>723733561224867840</v>
      </c>
      <c r="F5442" s="11" t="s">
        <v>20</v>
      </c>
      <c r="G5442" s="11">
        <v>363</v>
      </c>
      <c r="H5442" s="11">
        <v>324</v>
      </c>
      <c r="I5442" s="11">
        <v>60</v>
      </c>
      <c r="J5442" s="11">
        <v>0</v>
      </c>
      <c r="K5442" s="11" t="s">
        <v>21</v>
      </c>
      <c r="L5442" s="7">
        <v>42138.906956018516</v>
      </c>
      <c r="M5442" s="12"/>
      <c r="N5442" s="12"/>
      <c r="O5442" s="10" t="str">
        <f>HYPERLINK("https://pbs.twimg.com/profile_images/721567171344777216/2raw1nMK_normal.jpg","View")</f>
        <v>View</v>
      </c>
      <c r="P5442" s="11"/>
    </row>
    <row r="5443" spans="1:16" ht="12.75" x14ac:dyDescent="0.35">
      <c r="A5443" s="7">
        <v>42483.428622685184</v>
      </c>
      <c r="B5443" s="8" t="str">
        <f t="shared" ref="B5443:B5444" si="483">HYPERLINK("https://twitter.com/bodo1962","@bodo1962")</f>
        <v>@bodo1962</v>
      </c>
      <c r="C5443" s="9" t="s">
        <v>1834</v>
      </c>
      <c r="D5443" s="9" t="s">
        <v>12517</v>
      </c>
      <c r="E5443" s="10" t="str">
        <f>HYPERLINK("https://twitter.com/bodo1962/status/723734953041780736","723734953041780736")</f>
        <v>723734953041780736</v>
      </c>
      <c r="F5443" s="11" t="s">
        <v>20</v>
      </c>
      <c r="G5443" s="11">
        <v>54</v>
      </c>
      <c r="H5443" s="11">
        <v>73</v>
      </c>
      <c r="I5443" s="11">
        <v>0</v>
      </c>
      <c r="J5443" s="11">
        <v>0</v>
      </c>
      <c r="K5443" s="11" t="s">
        <v>21</v>
      </c>
      <c r="L5443" s="7">
        <v>40828.089305555557</v>
      </c>
      <c r="M5443" s="12"/>
      <c r="N5443" s="12" t="s">
        <v>1836</v>
      </c>
      <c r="O5443" s="10" t="str">
        <f t="shared" ref="O5443:O5444" si="484">HYPERLINK("https://pbs.twimg.com/profile_images/439706141728051201/GQgdrA5p_normal.jpeg","View")</f>
        <v>View</v>
      </c>
      <c r="P5443" s="11"/>
    </row>
    <row r="5444" spans="1:16" ht="12.75" x14ac:dyDescent="0.35">
      <c r="A5444" s="7">
        <v>42483.429212962961</v>
      </c>
      <c r="B5444" s="8" t="str">
        <f t="shared" si="483"/>
        <v>@bodo1962</v>
      </c>
      <c r="C5444" s="9" t="s">
        <v>1834</v>
      </c>
      <c r="D5444" s="9" t="s">
        <v>7189</v>
      </c>
      <c r="E5444" s="10" t="str">
        <f>HYPERLINK("https://twitter.com/bodo1962/status/723735165063847936","723735165063847936")</f>
        <v>723735165063847936</v>
      </c>
      <c r="F5444" s="11" t="s">
        <v>20</v>
      </c>
      <c r="G5444" s="11">
        <v>54</v>
      </c>
      <c r="H5444" s="11">
        <v>73</v>
      </c>
      <c r="I5444" s="11">
        <v>15</v>
      </c>
      <c r="J5444" s="11">
        <v>0</v>
      </c>
      <c r="K5444" s="11" t="s">
        <v>21</v>
      </c>
      <c r="L5444" s="7">
        <v>40828.089305555557</v>
      </c>
      <c r="M5444" s="12"/>
      <c r="N5444" s="12" t="s">
        <v>1836</v>
      </c>
      <c r="O5444" s="10" t="str">
        <f t="shared" si="484"/>
        <v>View</v>
      </c>
      <c r="P5444" s="11"/>
    </row>
    <row r="5445" spans="1:16" ht="12.75" x14ac:dyDescent="0.35">
      <c r="A5445" s="7">
        <v>42483.431099537032</v>
      </c>
      <c r="B5445" s="8" t="str">
        <f>HYPERLINK("https://twitter.com/Rodrigo_Taylorr","@Rodrigo_Taylorr")</f>
        <v>@Rodrigo_Taylorr</v>
      </c>
      <c r="C5445" s="9" t="s">
        <v>12518</v>
      </c>
      <c r="D5445" s="9" t="s">
        <v>2825</v>
      </c>
      <c r="E5445" s="10" t="str">
        <f>HYPERLINK("https://twitter.com/Rodrigo_Taylorr/status/723735848118833152","723735848118833152")</f>
        <v>723735848118833152</v>
      </c>
      <c r="F5445" s="11" t="s">
        <v>43</v>
      </c>
      <c r="G5445" s="11">
        <v>852</v>
      </c>
      <c r="H5445" s="11">
        <v>600</v>
      </c>
      <c r="I5445" s="11">
        <v>56</v>
      </c>
      <c r="J5445" s="11">
        <v>0</v>
      </c>
      <c r="K5445" s="11" t="s">
        <v>21</v>
      </c>
      <c r="L5445" s="7">
        <v>41285.529432870375</v>
      </c>
      <c r="M5445" s="12" t="s">
        <v>12519</v>
      </c>
      <c r="N5445" s="12" t="s">
        <v>12520</v>
      </c>
      <c r="O5445" s="10" t="str">
        <f>HYPERLINK("https://pbs.twimg.com/profile_images/722613468084486144/7b5Iz33V_normal.jpg","View")</f>
        <v>View</v>
      </c>
      <c r="P5445" s="11"/>
    </row>
    <row r="5446" spans="1:16" ht="12.75" x14ac:dyDescent="0.35">
      <c r="A5446" s="7">
        <v>42483.432002314818</v>
      </c>
      <c r="B5446" s="8" t="str">
        <f>HYPERLINK("https://twitter.com/SkipYorkEnergy","@SkipYorkEnergy")</f>
        <v>@SkipYorkEnergy</v>
      </c>
      <c r="C5446" s="9" t="s">
        <v>12521</v>
      </c>
      <c r="D5446" s="9" t="s">
        <v>12522</v>
      </c>
      <c r="E5446" s="10" t="str">
        <f>HYPERLINK("https://twitter.com/SkipYorkEnergy/status/723736175089840128","723736175089840128")</f>
        <v>723736175089840128</v>
      </c>
      <c r="F5446" s="11" t="s">
        <v>20</v>
      </c>
      <c r="G5446" s="11">
        <v>538</v>
      </c>
      <c r="H5446" s="11">
        <v>65</v>
      </c>
      <c r="I5446" s="11">
        <v>0</v>
      </c>
      <c r="J5446" s="11">
        <v>0</v>
      </c>
      <c r="K5446" s="11" t="s">
        <v>21</v>
      </c>
      <c r="L5446" s="7">
        <v>39920.970821759256</v>
      </c>
      <c r="M5446" s="12" t="s">
        <v>3537</v>
      </c>
      <c r="N5446" s="12" t="s">
        <v>12523</v>
      </c>
      <c r="O5446" s="10" t="str">
        <f>HYPERLINK("https://pbs.twimg.com/profile_images/684230516967538688/aj8IoHKQ_normal.jpg","View")</f>
        <v>View</v>
      </c>
      <c r="P5446" s="11"/>
    </row>
    <row r="5447" spans="1:16" ht="12.75" x14ac:dyDescent="0.35">
      <c r="A5447" s="7">
        <v>42483.433483796296</v>
      </c>
      <c r="B5447" s="8" t="str">
        <f>HYPERLINK("https://twitter.com/webaraba","@webaraba")</f>
        <v>@webaraba</v>
      </c>
      <c r="C5447" s="8" t="s">
        <v>943</v>
      </c>
      <c r="D5447" s="9" t="s">
        <v>12524</v>
      </c>
      <c r="E5447" s="10" t="str">
        <f>HYPERLINK("https://twitter.com/webaraba/status/723736714091597824","723736714091597824")</f>
        <v>723736714091597824</v>
      </c>
      <c r="F5447" s="10" t="s">
        <v>943</v>
      </c>
      <c r="G5447" s="11">
        <v>984</v>
      </c>
      <c r="H5447" s="11">
        <v>378</v>
      </c>
      <c r="I5447" s="11">
        <v>0</v>
      </c>
      <c r="J5447" s="11">
        <v>0</v>
      </c>
      <c r="K5447" s="11" t="s">
        <v>21</v>
      </c>
      <c r="L5447" s="7">
        <v>41173.388587962967</v>
      </c>
      <c r="M5447" s="12" t="s">
        <v>945</v>
      </c>
      <c r="N5447" s="12" t="s">
        <v>946</v>
      </c>
      <c r="O5447" s="10" t="str">
        <f>HYPERLINK("https://pbs.twimg.com/profile_images/641238966541361152/-oEpQ9XT_normal.png","View")</f>
        <v>View</v>
      </c>
      <c r="P5447" s="11"/>
    </row>
    <row r="5448" spans="1:16" ht="12.75" x14ac:dyDescent="0.35">
      <c r="A5448" s="7">
        <v>42483.434097222227</v>
      </c>
      <c r="B5448" s="8" t="str">
        <f>HYPERLINK("https://twitter.com/autoinsight_app","@autoinsight_app")</f>
        <v>@autoinsight_app</v>
      </c>
      <c r="C5448" s="9" t="s">
        <v>12525</v>
      </c>
      <c r="D5448" s="9" t="s">
        <v>12526</v>
      </c>
      <c r="E5448" s="10" t="str">
        <f>HYPERLINK("https://twitter.com/autoinsight_app/status/723736936641355776","723736936641355776")</f>
        <v>723736936641355776</v>
      </c>
      <c r="F5448" s="11" t="s">
        <v>152</v>
      </c>
      <c r="G5448" s="11">
        <v>56</v>
      </c>
      <c r="H5448" s="11">
        <v>104</v>
      </c>
      <c r="I5448" s="11">
        <v>0</v>
      </c>
      <c r="J5448" s="11">
        <v>0</v>
      </c>
      <c r="K5448" s="11" t="s">
        <v>21</v>
      </c>
      <c r="L5448" s="7">
        <v>42221.616782407407</v>
      </c>
      <c r="M5448" s="12" t="s">
        <v>12527</v>
      </c>
      <c r="N5448" s="12" t="s">
        <v>12528</v>
      </c>
      <c r="O5448" s="10" t="str">
        <f>HYPERLINK("https://pbs.twimg.com/profile_images/719587346165817345/_yenBawf_normal.jpg","View")</f>
        <v>View</v>
      </c>
      <c r="P5448" s="11"/>
    </row>
    <row r="5449" spans="1:16" ht="12.75" x14ac:dyDescent="0.35">
      <c r="A5449" s="7">
        <v>42483.437673611115</v>
      </c>
      <c r="B5449" s="8" t="str">
        <f>HYPERLINK("https://twitter.com/enzodaviid","@enzodaviid")</f>
        <v>@enzodaviid</v>
      </c>
      <c r="C5449" s="9" t="s">
        <v>12529</v>
      </c>
      <c r="D5449" s="9" t="s">
        <v>12530</v>
      </c>
      <c r="E5449" s="10" t="str">
        <f>HYPERLINK("https://twitter.com/enzodaviid/status/723738229799837696","723738229799837696")</f>
        <v>723738229799837696</v>
      </c>
      <c r="F5449" s="11" t="s">
        <v>114</v>
      </c>
      <c r="G5449" s="11">
        <v>189</v>
      </c>
      <c r="H5449" s="11">
        <v>338</v>
      </c>
      <c r="I5449" s="11">
        <v>0</v>
      </c>
      <c r="J5449" s="11">
        <v>0</v>
      </c>
      <c r="K5449" s="11" t="s">
        <v>21</v>
      </c>
      <c r="L5449" s="7">
        <v>41263.084513888891</v>
      </c>
      <c r="M5449" s="12"/>
      <c r="N5449" s="12" t="s">
        <v>12531</v>
      </c>
      <c r="O5449" s="10" t="str">
        <f>HYPERLINK("https://pbs.twimg.com/profile_images/451335270445895680/kbg9n6nR_normal.jpeg","View")</f>
        <v>View</v>
      </c>
      <c r="P5449" s="10" t="str">
        <f>HYPERLINK("http://ctrlq.org/maps/address/#-38,-57.55","Map")</f>
        <v>Map</v>
      </c>
    </row>
    <row r="5450" spans="1:16" ht="12.75" x14ac:dyDescent="0.35">
      <c r="A5450" s="7">
        <v>42483.437789351854</v>
      </c>
      <c r="B5450" s="8" t="str">
        <f>HYPERLINK("https://twitter.com/FrankBauHa","@FrankBauHa")</f>
        <v>@FrankBauHa</v>
      </c>
      <c r="C5450" s="9" t="s">
        <v>9002</v>
      </c>
      <c r="D5450" s="9" t="s">
        <v>12532</v>
      </c>
      <c r="E5450" s="10" t="str">
        <f>HYPERLINK("https://twitter.com/FrankBauHa/status/723738272254533632","723738272254533632")</f>
        <v>723738272254533632</v>
      </c>
      <c r="F5450" s="11" t="s">
        <v>91</v>
      </c>
      <c r="G5450" s="11">
        <v>271</v>
      </c>
      <c r="H5450" s="11">
        <v>138</v>
      </c>
      <c r="I5450" s="11">
        <v>0</v>
      </c>
      <c r="J5450" s="11">
        <v>0</v>
      </c>
      <c r="K5450" s="11" t="s">
        <v>21</v>
      </c>
      <c r="L5450" s="7">
        <v>42017.768171296295</v>
      </c>
      <c r="M5450" s="12" t="s">
        <v>9004</v>
      </c>
      <c r="N5450" s="12" t="s">
        <v>9005</v>
      </c>
      <c r="O5450" s="10" t="str">
        <f>HYPERLINK("https://pbs.twimg.com/profile_images/573395717953224705/aSHONgO9_normal.jpeg","View")</f>
        <v>View</v>
      </c>
      <c r="P5450" s="11"/>
    </row>
    <row r="5451" spans="1:16" ht="12.75" x14ac:dyDescent="0.35">
      <c r="A5451" s="7">
        <v>42483.43886574074</v>
      </c>
      <c r="B5451" s="8" t="str">
        <f>HYPERLINK("https://twitter.com/Mysterons","@Mysterons")</f>
        <v>@Mysterons</v>
      </c>
      <c r="C5451" s="9" t="s">
        <v>12533</v>
      </c>
      <c r="D5451" s="9" t="s">
        <v>12411</v>
      </c>
      <c r="E5451" s="10" t="str">
        <f>HYPERLINK("https://twitter.com/Mysterons/status/723738663339872257","723738663339872257")</f>
        <v>723738663339872257</v>
      </c>
      <c r="F5451" s="11" t="s">
        <v>48</v>
      </c>
      <c r="G5451" s="11">
        <v>431</v>
      </c>
      <c r="H5451" s="11">
        <v>421</v>
      </c>
      <c r="I5451" s="11">
        <v>2</v>
      </c>
      <c r="J5451" s="11">
        <v>0</v>
      </c>
      <c r="K5451" s="11" t="s">
        <v>21</v>
      </c>
      <c r="L5451" s="7">
        <v>39856.215798611112</v>
      </c>
      <c r="M5451" s="12" t="s">
        <v>12534</v>
      </c>
      <c r="N5451" s="12"/>
      <c r="O5451" s="10" t="str">
        <f>HYPERLINK("https://pbs.twimg.com/profile_images/1259854880/manga_1_normal.jpg","View")</f>
        <v>View</v>
      </c>
      <c r="P5451" s="11"/>
    </row>
    <row r="5452" spans="1:16" ht="12.75" x14ac:dyDescent="0.35">
      <c r="A5452" s="7">
        <v>42483.442974537036</v>
      </c>
      <c r="B5452" s="8" t="str">
        <f>HYPERLINK("https://twitter.com/Benni_Hofmann","@Benni_Hofmann")</f>
        <v>@Benni_Hofmann</v>
      </c>
      <c r="C5452" s="9" t="s">
        <v>12535</v>
      </c>
      <c r="D5452" s="9" t="s">
        <v>12536</v>
      </c>
      <c r="E5452" s="10" t="str">
        <f>HYPERLINK("https://twitter.com/Benni_Hofmann/status/723740154196795392","723740154196795392")</f>
        <v>723740154196795392</v>
      </c>
      <c r="F5452" s="11" t="s">
        <v>20</v>
      </c>
      <c r="G5452" s="11">
        <v>871</v>
      </c>
      <c r="H5452" s="11">
        <v>490</v>
      </c>
      <c r="I5452" s="11">
        <v>0</v>
      </c>
      <c r="J5452" s="11">
        <v>0</v>
      </c>
      <c r="K5452" s="11" t="s">
        <v>21</v>
      </c>
      <c r="L5452" s="7">
        <v>40834.879953703705</v>
      </c>
      <c r="M5452" s="12" t="s">
        <v>12537</v>
      </c>
      <c r="N5452" s="12" t="s">
        <v>12538</v>
      </c>
      <c r="O5452" s="10" t="str">
        <f>HYPERLINK("https://pbs.twimg.com/profile_images/1601078439/DSC_0135klein_normal.jpg","View")</f>
        <v>View</v>
      </c>
      <c r="P5452" s="11"/>
    </row>
    <row r="5453" spans="1:16" ht="12.75" x14ac:dyDescent="0.35">
      <c r="A5453" s="7">
        <v>42483.443773148145</v>
      </c>
      <c r="B5453" s="8" t="str">
        <f>HYPERLINK("https://twitter.com/VolkswagenPost","@VolkswagenPost")</f>
        <v>@VolkswagenPost</v>
      </c>
      <c r="C5453" s="9" t="s">
        <v>321</v>
      </c>
      <c r="D5453" s="9" t="s">
        <v>12539</v>
      </c>
      <c r="E5453" s="10" t="str">
        <f>HYPERLINK("https://twitter.com/VolkswagenPost/status/723740441997242368","723740441997242368")</f>
        <v>723740441997242368</v>
      </c>
      <c r="F5453" s="11" t="s">
        <v>34</v>
      </c>
      <c r="G5453" s="11">
        <v>569</v>
      </c>
      <c r="H5453" s="11">
        <v>446</v>
      </c>
      <c r="I5453" s="11">
        <v>0</v>
      </c>
      <c r="J5453" s="11">
        <v>0</v>
      </c>
      <c r="K5453" s="11" t="s">
        <v>21</v>
      </c>
      <c r="L5453" s="7">
        <v>41940.618379629632</v>
      </c>
      <c r="M5453" s="12"/>
      <c r="N5453" s="12"/>
      <c r="O5453" s="10" t="str">
        <f>HYPERLINK("https://pbs.twimg.com/profile_images/530071272881803264/a_jcCmPZ_normal.png","View")</f>
        <v>View</v>
      </c>
      <c r="P5453" s="11"/>
    </row>
    <row r="5454" spans="1:16" ht="12.75" x14ac:dyDescent="0.35">
      <c r="A5454" s="7">
        <v>42483.44568287037</v>
      </c>
      <c r="B5454" s="8" t="str">
        <f>HYPERLINK("https://twitter.com/BlogCarsPassion","@BlogCarsPassion")</f>
        <v>@BlogCarsPassion</v>
      </c>
      <c r="C5454" s="9" t="s">
        <v>12540</v>
      </c>
      <c r="D5454" s="9" t="s">
        <v>12541</v>
      </c>
      <c r="E5454" s="10" t="str">
        <f>HYPERLINK("https://twitter.com/BlogCarsPassion/status/723741135924006912","723741135924006912")</f>
        <v>723741135924006912</v>
      </c>
      <c r="F5454" s="11" t="s">
        <v>20</v>
      </c>
      <c r="G5454" s="11">
        <v>952</v>
      </c>
      <c r="H5454" s="11">
        <v>1106</v>
      </c>
      <c r="I5454" s="11">
        <v>1</v>
      </c>
      <c r="J5454" s="11">
        <v>0</v>
      </c>
      <c r="K5454" s="11" t="s">
        <v>21</v>
      </c>
      <c r="L5454" s="7">
        <v>41772.77983796296</v>
      </c>
      <c r="M5454" s="12" t="s">
        <v>12542</v>
      </c>
      <c r="N5454" s="12" t="s">
        <v>12543</v>
      </c>
      <c r="O5454" s="10" t="str">
        <f>HYPERLINK("https://pbs.twimg.com/profile_images/466206973327716354/B-Lh-ibm_normal.png","View")</f>
        <v>View</v>
      </c>
      <c r="P5454" s="11"/>
    </row>
    <row r="5455" spans="1:16" ht="12.75" x14ac:dyDescent="0.35">
      <c r="A5455" s="7">
        <v>42483.446192129632</v>
      </c>
      <c r="B5455" s="8" t="str">
        <f>HYPERLINK("https://twitter.com/Kielia88","@Kielia88")</f>
        <v>@Kielia88</v>
      </c>
      <c r="C5455" s="9" t="s">
        <v>6699</v>
      </c>
      <c r="D5455" s="9" t="s">
        <v>12544</v>
      </c>
      <c r="E5455" s="10" t="str">
        <f>HYPERLINK("https://twitter.com/Kielia88/status/723741320674742272","723741320674742272")</f>
        <v>723741320674742272</v>
      </c>
      <c r="F5455" s="11" t="s">
        <v>43</v>
      </c>
      <c r="G5455" s="11">
        <v>943</v>
      </c>
      <c r="H5455" s="11">
        <v>1521</v>
      </c>
      <c r="I5455" s="11">
        <v>0</v>
      </c>
      <c r="J5455" s="11">
        <v>0</v>
      </c>
      <c r="K5455" s="11" t="s">
        <v>21</v>
      </c>
      <c r="L5455" s="7">
        <v>40815.769108796296</v>
      </c>
      <c r="M5455" s="12"/>
      <c r="N5455" s="12"/>
      <c r="O5455" s="10" t="str">
        <f>HYPERLINK("https://pbs.twimg.com/profile_images/604605659410235392/k92X94I5_normal.jpg","View")</f>
        <v>View</v>
      </c>
      <c r="P5455" s="11"/>
    </row>
    <row r="5456" spans="1:16" ht="12.75" x14ac:dyDescent="0.35">
      <c r="A5456" s="7">
        <v>42483.44636574074</v>
      </c>
      <c r="B5456" s="8" t="str">
        <f>HYPERLINK("https://twitter.com/PetrBenes73","@PetrBenes73")</f>
        <v>@PetrBenes73</v>
      </c>
      <c r="C5456" s="9" t="s">
        <v>12545</v>
      </c>
      <c r="D5456" s="9" t="s">
        <v>265</v>
      </c>
      <c r="E5456" s="10" t="str">
        <f>HYPERLINK("https://twitter.com/PetrBenes73/status/723741382788165633","723741382788165633")</f>
        <v>723741382788165633</v>
      </c>
      <c r="F5456" s="11" t="s">
        <v>20</v>
      </c>
      <c r="G5456" s="11">
        <v>6</v>
      </c>
      <c r="H5456" s="11">
        <v>24</v>
      </c>
      <c r="I5456" s="11">
        <v>9</v>
      </c>
      <c r="J5456" s="11">
        <v>0</v>
      </c>
      <c r="K5456" s="11" t="s">
        <v>21</v>
      </c>
      <c r="L5456" s="7">
        <v>42357.913194444445</v>
      </c>
      <c r="M5456" s="12" t="s">
        <v>12546</v>
      </c>
      <c r="N5456" s="12" t="s">
        <v>12547</v>
      </c>
      <c r="O5456" s="10" t="str">
        <f>HYPERLINK("https://abs.twimg.com/sticky/default_profile_images/default_profile_0_normal.png","View")</f>
        <v>View</v>
      </c>
      <c r="P5456" s="11"/>
    </row>
    <row r="5457" spans="1:16" ht="12.75" x14ac:dyDescent="0.35">
      <c r="A5457" s="7">
        <v>42483.448113425926</v>
      </c>
      <c r="B5457" s="8" t="str">
        <f>HYPERLINK("https://twitter.com/mondedelauto","@mondedelauto")</f>
        <v>@mondedelauto</v>
      </c>
      <c r="C5457" s="9" t="s">
        <v>9690</v>
      </c>
      <c r="D5457" s="9" t="s">
        <v>12548</v>
      </c>
      <c r="E5457" s="10" t="str">
        <f>HYPERLINK("https://twitter.com/mondedelauto/status/723742016392335360","723742016392335360")</f>
        <v>723742016392335360</v>
      </c>
      <c r="F5457" s="11" t="s">
        <v>288</v>
      </c>
      <c r="G5457" s="11">
        <v>438</v>
      </c>
      <c r="H5457" s="11">
        <v>879</v>
      </c>
      <c r="I5457" s="11">
        <v>1</v>
      </c>
      <c r="J5457" s="11">
        <v>0</v>
      </c>
      <c r="K5457" s="11" t="s">
        <v>21</v>
      </c>
      <c r="L5457" s="7">
        <v>42404.953946759255</v>
      </c>
      <c r="M5457" s="12" t="s">
        <v>6569</v>
      </c>
      <c r="N5457" s="12" t="s">
        <v>9692</v>
      </c>
      <c r="O5457" s="10" t="str">
        <f>HYPERLINK("https://pbs.twimg.com/profile_images/695355061635932160/5oTfZ6Ac_normal.jpg","View")</f>
        <v>View</v>
      </c>
      <c r="P5457" s="11"/>
    </row>
    <row r="5458" spans="1:16" ht="12.75" x14ac:dyDescent="0.35">
      <c r="A5458" s="7">
        <v>42483.449756944443</v>
      </c>
      <c r="B5458" s="8" t="str">
        <f>HYPERLINK("https://twitter.com/Kielia88","@Kielia88")</f>
        <v>@Kielia88</v>
      </c>
      <c r="C5458" s="9" t="s">
        <v>6699</v>
      </c>
      <c r="D5458" s="9" t="s">
        <v>12549</v>
      </c>
      <c r="E5458" s="10" t="str">
        <f>HYPERLINK("https://twitter.com/Kielia88/status/723742612411260928","723742612411260928")</f>
        <v>723742612411260928</v>
      </c>
      <c r="F5458" s="11" t="s">
        <v>43</v>
      </c>
      <c r="G5458" s="11">
        <v>943</v>
      </c>
      <c r="H5458" s="11">
        <v>1521</v>
      </c>
      <c r="I5458" s="11">
        <v>0</v>
      </c>
      <c r="J5458" s="11">
        <v>0</v>
      </c>
      <c r="K5458" s="11" t="s">
        <v>21</v>
      </c>
      <c r="L5458" s="7">
        <v>40815.769108796296</v>
      </c>
      <c r="M5458" s="12"/>
      <c r="N5458" s="12"/>
      <c r="O5458" s="10" t="str">
        <f>HYPERLINK("https://pbs.twimg.com/profile_images/604605659410235392/k92X94I5_normal.jpg","View")</f>
        <v>View</v>
      </c>
      <c r="P5458" s="11"/>
    </row>
    <row r="5459" spans="1:16" ht="12.75" x14ac:dyDescent="0.35">
      <c r="A5459" s="7">
        <v>42483.45039351852</v>
      </c>
      <c r="B5459" s="8" t="str">
        <f>HYPERLINK("https://twitter.com/CFPhotography1","@CFPhotography1")</f>
        <v>@CFPhotography1</v>
      </c>
      <c r="C5459" s="9" t="s">
        <v>12550</v>
      </c>
      <c r="D5459" s="9" t="s">
        <v>12551</v>
      </c>
      <c r="E5459" s="10" t="str">
        <f>HYPERLINK("https://twitter.com/CFPhotography1/status/723742841856495616","723742841856495616")</f>
        <v>723742841856495616</v>
      </c>
      <c r="F5459" s="11" t="s">
        <v>114</v>
      </c>
      <c r="G5459" s="11">
        <v>1189</v>
      </c>
      <c r="H5459" s="11">
        <v>2245</v>
      </c>
      <c r="I5459" s="11">
        <v>0</v>
      </c>
      <c r="J5459" s="11">
        <v>0</v>
      </c>
      <c r="K5459" s="11" t="s">
        <v>21</v>
      </c>
      <c r="L5459" s="7">
        <v>40946.653946759259</v>
      </c>
      <c r="M5459" s="12" t="s">
        <v>12552</v>
      </c>
      <c r="N5459" s="12" t="s">
        <v>12553</v>
      </c>
      <c r="O5459" s="10" t="str">
        <f>HYPERLINK("https://pbs.twimg.com/profile_images/705666972621508608/2ljE7R_P_normal.jpg","View")</f>
        <v>View</v>
      </c>
      <c r="P5459" s="11"/>
    </row>
    <row r="5460" spans="1:16" ht="12.75" x14ac:dyDescent="0.35">
      <c r="A5460" s="7">
        <v>42483.450914351852</v>
      </c>
      <c r="B5460" s="8" t="str">
        <f>HYPERLINK("https://twitter.com/dsgforever","@dsgforever")</f>
        <v>@dsgforever</v>
      </c>
      <c r="C5460" s="9" t="s">
        <v>12554</v>
      </c>
      <c r="D5460" s="9" t="s">
        <v>12548</v>
      </c>
      <c r="E5460" s="10" t="str">
        <f>HYPERLINK("https://twitter.com/dsgforever/status/723743027949395968","723743027949395968")</f>
        <v>723743027949395968</v>
      </c>
      <c r="F5460" s="11" t="s">
        <v>20</v>
      </c>
      <c r="G5460" s="11">
        <v>25</v>
      </c>
      <c r="H5460" s="11">
        <v>86</v>
      </c>
      <c r="I5460" s="11">
        <v>2</v>
      </c>
      <c r="J5460" s="11">
        <v>0</v>
      </c>
      <c r="K5460" s="11" t="s">
        <v>21</v>
      </c>
      <c r="L5460" s="7">
        <v>41202.095868055556</v>
      </c>
      <c r="M5460" s="12"/>
      <c r="N5460" s="12" t="s">
        <v>12555</v>
      </c>
      <c r="O5460" s="10" t="str">
        <f>HYPERLINK("https://pbs.twimg.com/profile_images/692269771841236992/mVBQRdUr_normal.jpg","View")</f>
        <v>View</v>
      </c>
      <c r="P5460" s="11"/>
    </row>
    <row r="5461" spans="1:16" ht="12.75" x14ac:dyDescent="0.35">
      <c r="A5461" s="7">
        <v>42483.451608796298</v>
      </c>
      <c r="B5461" s="8" t="str">
        <f>HYPERLINK("https://twitter.com/JunoDee","@JunoDee")</f>
        <v>@JunoDee</v>
      </c>
      <c r="C5461" s="9" t="s">
        <v>12556</v>
      </c>
      <c r="D5461" s="9" t="s">
        <v>12557</v>
      </c>
      <c r="E5461" s="10" t="str">
        <f>HYPERLINK("https://twitter.com/JunoDee/status/723743281222397952","723743281222397952")</f>
        <v>723743281222397952</v>
      </c>
      <c r="F5461" s="11" t="s">
        <v>48</v>
      </c>
      <c r="G5461" s="11">
        <v>773</v>
      </c>
      <c r="H5461" s="11">
        <v>2117</v>
      </c>
      <c r="I5461" s="11">
        <v>1</v>
      </c>
      <c r="J5461" s="11">
        <v>0</v>
      </c>
      <c r="K5461" s="11" t="s">
        <v>21</v>
      </c>
      <c r="L5461" s="7">
        <v>41077.894293981481</v>
      </c>
      <c r="M5461" s="12" t="s">
        <v>35</v>
      </c>
      <c r="N5461" s="12" t="s">
        <v>12558</v>
      </c>
      <c r="O5461" s="10" t="str">
        <f>HYPERLINK("https://pbs.twimg.com/profile_images/718940079960563712/9LzCcd8k_normal.jpg","View")</f>
        <v>View</v>
      </c>
      <c r="P5461" s="11"/>
    </row>
    <row r="5462" spans="1:16" ht="12.75" x14ac:dyDescent="0.35">
      <c r="A5462" s="7">
        <v>42483.45175925926</v>
      </c>
      <c r="B5462" s="8" t="str">
        <f>HYPERLINK("https://twitter.com/alletun","@alletun")</f>
        <v>@alletun</v>
      </c>
      <c r="C5462" s="9" t="s">
        <v>1167</v>
      </c>
      <c r="D5462" s="9" t="s">
        <v>12559</v>
      </c>
      <c r="E5462" s="10" t="str">
        <f>HYPERLINK("https://twitter.com/alletun/status/723743335786094592","723743335786094592")</f>
        <v>723743335786094592</v>
      </c>
      <c r="F5462" s="11" t="s">
        <v>43</v>
      </c>
      <c r="G5462" s="11">
        <v>286</v>
      </c>
      <c r="H5462" s="11">
        <v>1204</v>
      </c>
      <c r="I5462" s="11">
        <v>0</v>
      </c>
      <c r="J5462" s="11">
        <v>0</v>
      </c>
      <c r="K5462" s="11" t="s">
        <v>21</v>
      </c>
      <c r="L5462" s="7">
        <v>39843.702986111108</v>
      </c>
      <c r="M5462" s="12" t="s">
        <v>1169</v>
      </c>
      <c r="N5462" s="12" t="s">
        <v>1170</v>
      </c>
      <c r="O5462" s="10" t="str">
        <f>HYPERLINK("https://pbs.twimg.com/profile_images/558535484582793216/1YKaWa1i_normal.jpeg","View")</f>
        <v>View</v>
      </c>
      <c r="P5462" s="11"/>
    </row>
    <row r="5463" spans="1:16" ht="12.75" x14ac:dyDescent="0.35">
      <c r="A5463" s="7">
        <v>42483.451840277776</v>
      </c>
      <c r="B5463" s="8" t="str">
        <f>HYPERLINK("https://twitter.com/roansub","@roansub")</f>
        <v>@roansub</v>
      </c>
      <c r="C5463" s="9" t="s">
        <v>4541</v>
      </c>
      <c r="D5463" s="9" t="s">
        <v>12560</v>
      </c>
      <c r="E5463" s="10" t="str">
        <f>HYPERLINK("https://twitter.com/roansub/status/723743366777851904","723743366777851904")</f>
        <v>723743366777851904</v>
      </c>
      <c r="F5463" s="11" t="s">
        <v>43</v>
      </c>
      <c r="G5463" s="11">
        <v>209</v>
      </c>
      <c r="H5463" s="11">
        <v>168</v>
      </c>
      <c r="I5463" s="11">
        <v>0</v>
      </c>
      <c r="J5463" s="11">
        <v>0</v>
      </c>
      <c r="K5463" s="11" t="s">
        <v>21</v>
      </c>
      <c r="L5463" s="7">
        <v>40573.872129629628</v>
      </c>
      <c r="M5463" s="12"/>
      <c r="N5463" s="12" t="s">
        <v>4543</v>
      </c>
      <c r="O5463" s="10" t="str">
        <f>HYPERLINK("https://pbs.twimg.com/profile_images/638973360169463808/YEbGEWne_normal.jpg","View")</f>
        <v>View</v>
      </c>
      <c r="P5463" s="11"/>
    </row>
    <row r="5464" spans="1:16" ht="12.75" x14ac:dyDescent="0.35">
      <c r="A5464" s="7">
        <v>42483.45211805556</v>
      </c>
      <c r="B5464" s="8" t="str">
        <f>HYPERLINK("https://twitter.com/AldoCarigiet","@AldoCarigiet")</f>
        <v>@AldoCarigiet</v>
      </c>
      <c r="C5464" s="9" t="s">
        <v>853</v>
      </c>
      <c r="D5464" s="9" t="s">
        <v>7382</v>
      </c>
      <c r="E5464" s="10" t="str">
        <f>HYPERLINK("https://twitter.com/AldoCarigiet/status/723743466908475392","723743466908475392")</f>
        <v>723743466908475392</v>
      </c>
      <c r="F5464" s="11" t="s">
        <v>20</v>
      </c>
      <c r="G5464" s="11">
        <v>178</v>
      </c>
      <c r="H5464" s="11">
        <v>623</v>
      </c>
      <c r="I5464" s="11">
        <v>5</v>
      </c>
      <c r="J5464" s="11">
        <v>0</v>
      </c>
      <c r="K5464" s="11" t="s">
        <v>21</v>
      </c>
      <c r="L5464" s="7">
        <v>40517.240289351852</v>
      </c>
      <c r="M5464" s="12" t="s">
        <v>12561</v>
      </c>
      <c r="N5464" s="12"/>
      <c r="O5464" s="10" t="str">
        <f>HYPERLINK("https://abs.twimg.com/sticky/default_profile_images/default_profile_1_normal.png","View")</f>
        <v>View</v>
      </c>
      <c r="P5464" s="11"/>
    </row>
    <row r="5465" spans="1:16" ht="12.75" x14ac:dyDescent="0.35">
      <c r="A5465" s="7">
        <v>42483.452835648146</v>
      </c>
      <c r="B5465" s="8" t="str">
        <f>HYPERLINK("https://twitter.com/carloooove1000","@carloooove1000")</f>
        <v>@carloooove1000</v>
      </c>
      <c r="C5465" s="9" t="s">
        <v>12562</v>
      </c>
      <c r="D5465" s="9" t="s">
        <v>12327</v>
      </c>
      <c r="E5465" s="10" t="str">
        <f>HYPERLINK("https://twitter.com/carloooove1000/status/723743726225367040","723743726225367040")</f>
        <v>723743726225367040</v>
      </c>
      <c r="F5465" s="11" t="s">
        <v>20</v>
      </c>
      <c r="G5465" s="11">
        <v>1031</v>
      </c>
      <c r="H5465" s="11">
        <v>678</v>
      </c>
      <c r="I5465" s="11">
        <v>6</v>
      </c>
      <c r="J5465" s="11">
        <v>0</v>
      </c>
      <c r="K5465" s="11" t="s">
        <v>21</v>
      </c>
      <c r="L5465" s="7">
        <v>41834.64366898148</v>
      </c>
      <c r="M5465" s="12" t="s">
        <v>12563</v>
      </c>
      <c r="N5465" s="12" t="s">
        <v>12564</v>
      </c>
      <c r="O5465" s="10" t="str">
        <f>HYPERLINK("https://pbs.twimg.com/profile_images/711267290851835904/BMGyNOSC_normal.jpg","View")</f>
        <v>View</v>
      </c>
      <c r="P5465" s="11"/>
    </row>
    <row r="5466" spans="1:16" ht="12.75" x14ac:dyDescent="0.35">
      <c r="A5466" s="7">
        <v>42483.452939814815</v>
      </c>
      <c r="B5466" s="8" t="str">
        <f>HYPERLINK("https://twitter.com/ChatLeRoy","@ChatLeRoy")</f>
        <v>@ChatLeRoy</v>
      </c>
      <c r="C5466" s="9" t="s">
        <v>12565</v>
      </c>
      <c r="D5466" s="9" t="s">
        <v>12566</v>
      </c>
      <c r="E5466" s="10" t="str">
        <f>HYPERLINK("https://twitter.com/ChatLeRoy/status/723743763106025472","723743763106025472")</f>
        <v>723743763106025472</v>
      </c>
      <c r="F5466" s="11" t="s">
        <v>20</v>
      </c>
      <c r="G5466" s="11">
        <v>221</v>
      </c>
      <c r="H5466" s="11">
        <v>553</v>
      </c>
      <c r="I5466" s="11">
        <v>1</v>
      </c>
      <c r="J5466" s="11">
        <v>0</v>
      </c>
      <c r="K5466" s="11" t="s">
        <v>21</v>
      </c>
      <c r="L5466" s="7">
        <v>41786.481736111113</v>
      </c>
      <c r="M5466" s="12"/>
      <c r="N5466" s="12" t="s">
        <v>12567</v>
      </c>
      <c r="O5466" s="10" t="str">
        <f>HYPERLINK("https://pbs.twimg.com/profile_images/639820375019384833/pthoDc2s_normal.jpg","View")</f>
        <v>View</v>
      </c>
      <c r="P5466" s="11"/>
    </row>
    <row r="5467" spans="1:16" ht="12.75" x14ac:dyDescent="0.35">
      <c r="A5467" s="7">
        <v>42483.452974537038</v>
      </c>
      <c r="B5467" s="8" t="str">
        <f>HYPERLINK("https://twitter.com/soboro1022","@soboro1022")</f>
        <v>@soboro1022</v>
      </c>
      <c r="C5467" s="9" t="s">
        <v>12568</v>
      </c>
      <c r="D5467" s="9" t="s">
        <v>12569</v>
      </c>
      <c r="E5467" s="10" t="str">
        <f>HYPERLINK("https://twitter.com/soboro1022/status/723743777295347712","723743777295347712")</f>
        <v>723743777295347712</v>
      </c>
      <c r="F5467" s="11" t="s">
        <v>114</v>
      </c>
      <c r="G5467" s="11">
        <v>30</v>
      </c>
      <c r="H5467" s="11">
        <v>21</v>
      </c>
      <c r="I5467" s="11">
        <v>0</v>
      </c>
      <c r="J5467" s="11">
        <v>0</v>
      </c>
      <c r="K5467" s="11" t="s">
        <v>21</v>
      </c>
      <c r="L5467" s="7">
        <v>40922.46806712963</v>
      </c>
      <c r="M5467" s="12" t="s">
        <v>12570</v>
      </c>
      <c r="N5467" s="12" t="s">
        <v>12571</v>
      </c>
      <c r="O5467" s="10" t="str">
        <f>HYPERLINK("https://pbs.twimg.com/profile_images/712992096920014848/_J0Y0Gvz_normal.jpg","View")</f>
        <v>View</v>
      </c>
      <c r="P5467" s="11"/>
    </row>
    <row r="5468" spans="1:16" ht="12.75" x14ac:dyDescent="0.35">
      <c r="A5468" s="7">
        <v>42483.453541666662</v>
      </c>
      <c r="B5468" s="8" t="str">
        <f>HYPERLINK("https://twitter.com/VWBeetleSales","@VWBeetleSales")</f>
        <v>@VWBeetleSales</v>
      </c>
      <c r="C5468" s="9" t="s">
        <v>127</v>
      </c>
      <c r="D5468" s="9" t="s">
        <v>12572</v>
      </c>
      <c r="E5468" s="10" t="str">
        <f>HYPERLINK("https://twitter.com/VWBeetleSales/status/723743983797575683","723743983797575683")</f>
        <v>723743983797575683</v>
      </c>
      <c r="F5468" s="10" t="s">
        <v>124</v>
      </c>
      <c r="G5468" s="11">
        <v>36</v>
      </c>
      <c r="H5468" s="11">
        <v>32</v>
      </c>
      <c r="I5468" s="11">
        <v>0</v>
      </c>
      <c r="J5468" s="11">
        <v>0</v>
      </c>
      <c r="K5468" s="11" t="s">
        <v>21</v>
      </c>
      <c r="L5468" s="7">
        <v>42427.019756944443</v>
      </c>
      <c r="M5468" s="12" t="s">
        <v>129</v>
      </c>
      <c r="N5468" s="12" t="s">
        <v>130</v>
      </c>
      <c r="O5468" s="10" t="str">
        <f>HYPERLINK("https://pbs.twimg.com/profile_images/703294545195307008/qeCvrX86_normal.jpg","View")</f>
        <v>View</v>
      </c>
      <c r="P5468" s="11"/>
    </row>
    <row r="5469" spans="1:16" ht="12.75" x14ac:dyDescent="0.35">
      <c r="A5469" s="7">
        <v>42483.45380787037</v>
      </c>
      <c r="B5469" s="8" t="str">
        <f>HYPERLINK("https://twitter.com/JackyMMontes","@JackyMMontes")</f>
        <v>@JackyMMontes</v>
      </c>
      <c r="C5469" s="9" t="s">
        <v>12573</v>
      </c>
      <c r="D5469" s="9" t="s">
        <v>12574</v>
      </c>
      <c r="E5469" s="10" t="str">
        <f>HYPERLINK("https://twitter.com/JackyMMontes/status/723744077917904896","723744077917904896")</f>
        <v>723744077917904896</v>
      </c>
      <c r="F5469" s="11" t="s">
        <v>68</v>
      </c>
      <c r="G5469" s="11">
        <v>335</v>
      </c>
      <c r="H5469" s="11">
        <v>43</v>
      </c>
      <c r="I5469" s="11">
        <v>0</v>
      </c>
      <c r="J5469" s="11">
        <v>0</v>
      </c>
      <c r="K5469" s="11" t="s">
        <v>21</v>
      </c>
      <c r="L5469" s="7">
        <v>42376.550833333335</v>
      </c>
      <c r="M5469" s="12"/>
      <c r="N5469" s="12" t="s">
        <v>12575</v>
      </c>
      <c r="O5469" s="10" t="str">
        <f>HYPERLINK("https://pbs.twimg.com/profile_images/701891172998864896/MWTDgukB_normal.png","View")</f>
        <v>View</v>
      </c>
      <c r="P5469" s="11"/>
    </row>
    <row r="5470" spans="1:16" ht="12.75" x14ac:dyDescent="0.35">
      <c r="A5470" s="7">
        <v>42483.457037037035</v>
      </c>
      <c r="B5470" s="8" t="str">
        <f>HYPERLINK("https://twitter.com/wendy_2parra","@wendy_2parra")</f>
        <v>@wendy_2parra</v>
      </c>
      <c r="C5470" s="9" t="s">
        <v>12576</v>
      </c>
      <c r="D5470" s="9" t="s">
        <v>12577</v>
      </c>
      <c r="E5470" s="10" t="str">
        <f>HYPERLINK("https://twitter.com/wendy_2parra/status/723745247361114112","723745247361114112")</f>
        <v>723745247361114112</v>
      </c>
      <c r="F5470" s="11" t="s">
        <v>68</v>
      </c>
      <c r="G5470" s="11">
        <v>179</v>
      </c>
      <c r="H5470" s="11">
        <v>13</v>
      </c>
      <c r="I5470" s="11">
        <v>0</v>
      </c>
      <c r="J5470" s="11">
        <v>0</v>
      </c>
      <c r="K5470" s="11" t="s">
        <v>21</v>
      </c>
      <c r="L5470" s="7">
        <v>42331.509155092594</v>
      </c>
      <c r="M5470" s="12"/>
      <c r="N5470" s="12" t="s">
        <v>12578</v>
      </c>
      <c r="O5470" s="10" t="str">
        <f>HYPERLINK("https://pbs.twimg.com/profile_images/700396434412077056/BkSuEj4v_normal.png","View")</f>
        <v>View</v>
      </c>
      <c r="P5470" s="11"/>
    </row>
    <row r="5471" spans="1:16" ht="12.75" x14ac:dyDescent="0.35">
      <c r="A5471" s="7">
        <v>42483.45815972222</v>
      </c>
      <c r="B5471" s="8" t="str">
        <f>HYPERLINK("https://twitter.com/begkimchi","@begkimchi")</f>
        <v>@begkimchi</v>
      </c>
      <c r="C5471" s="9" t="s">
        <v>12579</v>
      </c>
      <c r="D5471" s="9" t="s">
        <v>12580</v>
      </c>
      <c r="E5471" s="10" t="str">
        <f>HYPERLINK("https://twitter.com/begkimchi/status/723745655286452226","723745655286452226")</f>
        <v>723745655286452226</v>
      </c>
      <c r="F5471" s="11" t="s">
        <v>114</v>
      </c>
      <c r="G5471" s="11">
        <v>423</v>
      </c>
      <c r="H5471" s="11">
        <v>434</v>
      </c>
      <c r="I5471" s="11">
        <v>0</v>
      </c>
      <c r="J5471" s="11">
        <v>0</v>
      </c>
      <c r="K5471" s="11" t="s">
        <v>21</v>
      </c>
      <c r="L5471" s="7">
        <v>40391.800324074073</v>
      </c>
      <c r="M5471" s="12" t="s">
        <v>12581</v>
      </c>
      <c r="N5471" s="12" t="s">
        <v>12582</v>
      </c>
      <c r="O5471" s="10" t="str">
        <f>HYPERLINK("https://pbs.twimg.com/profile_images/1114332849/41717_100001544730121_1584_n_normal.jpg","View")</f>
        <v>View</v>
      </c>
      <c r="P5471" s="11"/>
    </row>
    <row r="5472" spans="1:16" ht="12.75" x14ac:dyDescent="0.35">
      <c r="A5472" s="7">
        <v>42483.458738425921</v>
      </c>
      <c r="B5472" s="8" t="str">
        <f>HYPERLINK("https://twitter.com/iTRON_car","@iTRON_car")</f>
        <v>@iTRON_car</v>
      </c>
      <c r="C5472" s="9" t="s">
        <v>12583</v>
      </c>
      <c r="D5472" s="9" t="s">
        <v>12584</v>
      </c>
      <c r="E5472" s="10" t="str">
        <f>HYPERLINK("https://twitter.com/iTRON_car/status/723745866197155841","723745866197155841")</f>
        <v>723745866197155841</v>
      </c>
      <c r="F5472" s="11" t="s">
        <v>725</v>
      </c>
      <c r="G5472" s="11">
        <v>2</v>
      </c>
      <c r="H5472" s="11">
        <v>3</v>
      </c>
      <c r="I5472" s="11">
        <v>0</v>
      </c>
      <c r="J5472" s="11">
        <v>0</v>
      </c>
      <c r="K5472" s="11" t="s">
        <v>21</v>
      </c>
      <c r="L5472" s="7">
        <v>42482.879976851851</v>
      </c>
      <c r="M5472" s="12"/>
      <c r="N5472" s="12"/>
      <c r="O5472" s="10" t="str">
        <f>HYPERLINK("https://pbs.twimg.com/profile_images/723541619148988416/X9xXaUQk_normal.jpg","View")</f>
        <v>View</v>
      </c>
      <c r="P5472" s="11"/>
    </row>
    <row r="5473" spans="1:16" ht="12.75" x14ac:dyDescent="0.35">
      <c r="A5473" s="7">
        <v>42483.458819444444</v>
      </c>
      <c r="B5473" s="8" t="str">
        <f>HYPERLINK("https://twitter.com/carina_thewald","@carina_thewald")</f>
        <v>@carina_thewald</v>
      </c>
      <c r="C5473" s="9" t="s">
        <v>12585</v>
      </c>
      <c r="D5473" s="9" t="s">
        <v>12586</v>
      </c>
      <c r="E5473" s="10" t="str">
        <f>HYPERLINK("https://twitter.com/carina_thewald/status/723745896341581824","723745896341581824")</f>
        <v>723745896341581824</v>
      </c>
      <c r="F5473" s="11" t="s">
        <v>48</v>
      </c>
      <c r="G5473" s="11">
        <v>93</v>
      </c>
      <c r="H5473" s="11">
        <v>366</v>
      </c>
      <c r="I5473" s="11">
        <v>2</v>
      </c>
      <c r="J5473" s="11">
        <v>0</v>
      </c>
      <c r="K5473" s="11" t="s">
        <v>21</v>
      </c>
      <c r="L5473" s="7">
        <v>42344.558900462958</v>
      </c>
      <c r="M5473" s="12"/>
      <c r="N5473" s="12"/>
      <c r="O5473" s="10" t="str">
        <f>HYPERLINK("https://pbs.twimg.com/profile_images/674854011586088961/eoe_WIK0_normal.jpg","View")</f>
        <v>View</v>
      </c>
      <c r="P5473" s="11"/>
    </row>
    <row r="5474" spans="1:16" ht="12.75" x14ac:dyDescent="0.35">
      <c r="A5474" s="7">
        <v>42483.460891203707</v>
      </c>
      <c r="B5474" s="8" t="str">
        <f>HYPERLINK("https://twitter.com/AJBCE","@AJBCE")</f>
        <v>@AJBCE</v>
      </c>
      <c r="C5474" s="9" t="s">
        <v>12587</v>
      </c>
      <c r="D5474" s="9" t="s">
        <v>12588</v>
      </c>
      <c r="E5474" s="10" t="str">
        <f>HYPERLINK("https://twitter.com/AJBCE/status/723746646086025216","723746646086025216")</f>
        <v>723746646086025216</v>
      </c>
      <c r="F5474" s="11" t="s">
        <v>114</v>
      </c>
      <c r="G5474" s="11">
        <v>72</v>
      </c>
      <c r="H5474" s="11">
        <v>151</v>
      </c>
      <c r="I5474" s="11">
        <v>0</v>
      </c>
      <c r="J5474" s="11">
        <v>0</v>
      </c>
      <c r="K5474" s="11" t="s">
        <v>21</v>
      </c>
      <c r="L5474" s="7">
        <v>40660.267928240741</v>
      </c>
      <c r="M5474" s="12" t="s">
        <v>12589</v>
      </c>
      <c r="N5474" s="12"/>
      <c r="O5474" s="10" t="str">
        <f>HYPERLINK("https://pbs.twimg.com/profile_images/3751707139/5aac161e2461c79838ce82fbf8cf39c6_normal.jpeg","View")</f>
        <v>View</v>
      </c>
      <c r="P5474" s="11"/>
    </row>
    <row r="5475" spans="1:16" ht="12.75" x14ac:dyDescent="0.35">
      <c r="A5475" s="7">
        <v>42483.462025462963</v>
      </c>
      <c r="B5475" s="8" t="str">
        <f>HYPERLINK("https://twitter.com/KESIGAN10","@KESIGAN10")</f>
        <v>@KESIGAN10</v>
      </c>
      <c r="C5475" s="9" t="s">
        <v>12590</v>
      </c>
      <c r="D5475" s="9" t="s">
        <v>12591</v>
      </c>
      <c r="E5475" s="10" t="str">
        <f>HYPERLINK("https://twitter.com/KESIGAN10/status/723747058008625153","723747058008625153")</f>
        <v>723747058008625153</v>
      </c>
      <c r="F5475" s="11" t="s">
        <v>20</v>
      </c>
      <c r="G5475" s="11">
        <v>1242</v>
      </c>
      <c r="H5475" s="11">
        <v>687</v>
      </c>
      <c r="I5475" s="11">
        <v>1</v>
      </c>
      <c r="J5475" s="11">
        <v>0</v>
      </c>
      <c r="K5475" s="11" t="s">
        <v>21</v>
      </c>
      <c r="L5475" s="7">
        <v>40530.627245370371</v>
      </c>
      <c r="M5475" s="12" t="s">
        <v>1267</v>
      </c>
      <c r="N5475" s="12" t="s">
        <v>12592</v>
      </c>
      <c r="O5475" s="10" t="str">
        <f>HYPERLINK("https://pbs.twimg.com/profile_images/439742449330954241/gPcHBUaE_normal.jpeg","View")</f>
        <v>View</v>
      </c>
      <c r="P5475" s="11"/>
    </row>
    <row r="5476" spans="1:16" ht="12.75" x14ac:dyDescent="0.35">
      <c r="A5476" s="7">
        <v>42483.462164351848</v>
      </c>
      <c r="B5476" s="8" t="str">
        <f>HYPERLINK("https://twitter.com/brennan_gibson","@brennan_gibson")</f>
        <v>@brennan_gibson</v>
      </c>
      <c r="C5476" s="9" t="s">
        <v>12593</v>
      </c>
      <c r="D5476" s="9" t="s">
        <v>12594</v>
      </c>
      <c r="E5476" s="10" t="str">
        <f>HYPERLINK("https://twitter.com/brennan_gibson/status/723747108738744320","723747108738744320")</f>
        <v>723747108738744320</v>
      </c>
      <c r="F5476" s="11" t="s">
        <v>20</v>
      </c>
      <c r="G5476" s="11">
        <v>663</v>
      </c>
      <c r="H5476" s="11">
        <v>419</v>
      </c>
      <c r="I5476" s="11">
        <v>0</v>
      </c>
      <c r="J5476" s="11">
        <v>2</v>
      </c>
      <c r="K5476" s="11" t="s">
        <v>21</v>
      </c>
      <c r="L5476" s="7">
        <v>41011.386180555557</v>
      </c>
      <c r="M5476" s="12" t="s">
        <v>12595</v>
      </c>
      <c r="N5476" s="12" t="s">
        <v>12596</v>
      </c>
      <c r="O5476" s="10" t="str">
        <f>HYPERLINK("https://pbs.twimg.com/profile_images/723745639977390080/ZJh-wkZu_normal.jpg","View")</f>
        <v>View</v>
      </c>
      <c r="P5476" s="11"/>
    </row>
    <row r="5477" spans="1:16" ht="12.75" x14ac:dyDescent="0.35">
      <c r="A5477" s="7">
        <v>42483.462557870371</v>
      </c>
      <c r="B5477" s="8" t="str">
        <f>HYPERLINK("https://twitter.com/furqan_satcom","@furqan_satcom")</f>
        <v>@furqan_satcom</v>
      </c>
      <c r="C5477" s="9" t="s">
        <v>931</v>
      </c>
      <c r="D5477" s="9" t="s">
        <v>12597</v>
      </c>
      <c r="E5477" s="10" t="str">
        <f>HYPERLINK("https://twitter.com/furqan_satcom/status/723747250522873856","723747250522873856")</f>
        <v>723747250522873856</v>
      </c>
      <c r="F5477" s="11" t="s">
        <v>933</v>
      </c>
      <c r="G5477" s="11">
        <v>1448</v>
      </c>
      <c r="H5477" s="11">
        <v>2606</v>
      </c>
      <c r="I5477" s="11">
        <v>0</v>
      </c>
      <c r="J5477" s="11">
        <v>0</v>
      </c>
      <c r="K5477" s="11" t="s">
        <v>21</v>
      </c>
      <c r="L5477" s="7">
        <v>40401.119201388887</v>
      </c>
      <c r="M5477" s="12" t="s">
        <v>934</v>
      </c>
      <c r="N5477" s="12" t="s">
        <v>935</v>
      </c>
      <c r="O5477" s="10" t="str">
        <f>HYPERLINK("https://pbs.twimg.com/profile_images/709439945719554049/EsfOsVRH_normal.jpg","View")</f>
        <v>View</v>
      </c>
      <c r="P5477" s="11"/>
    </row>
    <row r="5478" spans="1:16" ht="12.75" x14ac:dyDescent="0.35">
      <c r="A5478" s="7">
        <v>42483.465671296297</v>
      </c>
      <c r="B5478" s="8" t="str">
        <f>HYPERLINK("https://twitter.com/LStahlecker","@LStahlecker")</f>
        <v>@LStahlecker</v>
      </c>
      <c r="C5478" s="9" t="s">
        <v>10333</v>
      </c>
      <c r="D5478" s="9" t="s">
        <v>12598</v>
      </c>
      <c r="E5478" s="10" t="str">
        <f>HYPERLINK("https://twitter.com/LStahlecker/status/723748379432361985","723748379432361985")</f>
        <v>723748379432361985</v>
      </c>
      <c r="F5478" s="11" t="s">
        <v>20</v>
      </c>
      <c r="G5478" s="11">
        <v>868</v>
      </c>
      <c r="H5478" s="11">
        <v>840</v>
      </c>
      <c r="I5478" s="11">
        <v>0</v>
      </c>
      <c r="J5478" s="11">
        <v>1</v>
      </c>
      <c r="K5478" s="11" t="s">
        <v>21</v>
      </c>
      <c r="L5478" s="7">
        <v>41376.881516203706</v>
      </c>
      <c r="M5478" s="12" t="s">
        <v>10335</v>
      </c>
      <c r="N5478" s="12" t="s">
        <v>10336</v>
      </c>
      <c r="O5478" s="10" t="str">
        <f>HYPERLINK("https://pbs.twimg.com/profile_images/510170113257914368/O9xXZ4lT_normal.jpeg","View")</f>
        <v>View</v>
      </c>
      <c r="P5478" s="11"/>
    </row>
    <row r="5479" spans="1:16" ht="12.75" x14ac:dyDescent="0.35">
      <c r="A5479" s="7">
        <v>42483.465960648144</v>
      </c>
      <c r="B5479" s="8" t="str">
        <f>HYPERLINK("https://twitter.com/sid_shenoy","@sid_shenoy")</f>
        <v>@sid_shenoy</v>
      </c>
      <c r="C5479" s="9" t="s">
        <v>12599</v>
      </c>
      <c r="D5479" s="9" t="s">
        <v>12600</v>
      </c>
      <c r="E5479" s="10" t="str">
        <f>HYPERLINK("https://twitter.com/sid_shenoy/status/723748484516442112","723748484516442112")</f>
        <v>723748484516442112</v>
      </c>
      <c r="F5479" s="11" t="s">
        <v>20</v>
      </c>
      <c r="G5479" s="11">
        <v>351</v>
      </c>
      <c r="H5479" s="11">
        <v>231</v>
      </c>
      <c r="I5479" s="11">
        <v>0</v>
      </c>
      <c r="J5479" s="11">
        <v>0</v>
      </c>
      <c r="K5479" s="11" t="s">
        <v>21</v>
      </c>
      <c r="L5479" s="7">
        <v>40304.321180555555</v>
      </c>
      <c r="M5479" s="12" t="s">
        <v>12601</v>
      </c>
      <c r="N5479" s="12" t="s">
        <v>12602</v>
      </c>
      <c r="O5479" s="10" t="str">
        <f>HYPERLINK("https://pbs.twimg.com/profile_images/1289987609/OgAAACuThxO-w0aQovrtBT_ksZWe8J9BDIGDR1qjMxzHp8EjqQOktV-77YACgbkK3t6fgmhD1WJNfIvORCOmNBowRJMAm1T1UON20eIuAzcZlpnugIWvQOCL9xxi_normal.jpg","View")</f>
        <v>View</v>
      </c>
      <c r="P5479" s="11"/>
    </row>
    <row r="5480" spans="1:16" ht="12.75" x14ac:dyDescent="0.35">
      <c r="A5480" s="7">
        <v>42483.466006944444</v>
      </c>
      <c r="B5480" s="8" t="str">
        <f>HYPERLINK("https://twitter.com/equatormotorsuk","@equatormotorsuk")</f>
        <v>@equatormotorsuk</v>
      </c>
      <c r="C5480" s="9" t="s">
        <v>12603</v>
      </c>
      <c r="D5480" s="9" t="s">
        <v>12604</v>
      </c>
      <c r="E5480" s="10" t="str">
        <f>HYPERLINK("https://twitter.com/equatormotorsuk/status/723748499125362688","723748499125362688")</f>
        <v>723748499125362688</v>
      </c>
      <c r="F5480" s="11" t="s">
        <v>20</v>
      </c>
      <c r="G5480" s="11">
        <v>17733</v>
      </c>
      <c r="H5480" s="11">
        <v>19491</v>
      </c>
      <c r="I5480" s="11">
        <v>0</v>
      </c>
      <c r="J5480" s="11">
        <v>0</v>
      </c>
      <c r="K5480" s="11" t="s">
        <v>21</v>
      </c>
      <c r="L5480" s="7">
        <v>42017.274386574078</v>
      </c>
      <c r="M5480" s="12" t="s">
        <v>638</v>
      </c>
      <c r="N5480" s="12" t="s">
        <v>12605</v>
      </c>
      <c r="O5480" s="10" t="str">
        <f>HYPERLINK("https://pbs.twimg.com/profile_images/723158848173912064/b1FMMt6k_normal.jpg","View")</f>
        <v>View</v>
      </c>
      <c r="P5480" s="11"/>
    </row>
    <row r="5481" spans="1:16" ht="12.75" x14ac:dyDescent="0.35">
      <c r="A5481" s="7">
        <v>42483.467048611114</v>
      </c>
      <c r="B5481" s="8" t="str">
        <f>HYPERLINK("https://twitter.com/bsterix","@bsterix")</f>
        <v>@bsterix</v>
      </c>
      <c r="C5481" s="9" t="s">
        <v>12606</v>
      </c>
      <c r="D5481" s="9" t="s">
        <v>12607</v>
      </c>
      <c r="E5481" s="10" t="str">
        <f>HYPERLINK("https://twitter.com/bsterix/status/723748878131011584","723748878131011584")</f>
        <v>723748878131011584</v>
      </c>
      <c r="F5481" s="11" t="s">
        <v>48</v>
      </c>
      <c r="G5481" s="11">
        <v>751</v>
      </c>
      <c r="H5481" s="11">
        <v>1169</v>
      </c>
      <c r="I5481" s="11">
        <v>1</v>
      </c>
      <c r="J5481" s="11">
        <v>0</v>
      </c>
      <c r="K5481" s="11" t="s">
        <v>21</v>
      </c>
      <c r="L5481" s="7">
        <v>40288.768449074072</v>
      </c>
      <c r="M5481" s="12" t="s">
        <v>12608</v>
      </c>
      <c r="N5481" s="12" t="s">
        <v>12609</v>
      </c>
      <c r="O5481" s="10" t="str">
        <f>HYPERLINK("https://pbs.twimg.com/profile_images/2452635446/zip0k52fx60doeym2alu_normal.jpeg","View")</f>
        <v>View</v>
      </c>
      <c r="P5481" s="11"/>
    </row>
    <row r="5482" spans="1:16" ht="12.75" x14ac:dyDescent="0.35">
      <c r="A5482" s="7">
        <v>42483.468935185185</v>
      </c>
      <c r="B5482" s="8" t="str">
        <f>HYPERLINK("https://twitter.com/CaTurfPros","@CaTurfPros")</f>
        <v>@CaTurfPros</v>
      </c>
      <c r="C5482" s="9" t="s">
        <v>12610</v>
      </c>
      <c r="D5482" s="9" t="s">
        <v>12611</v>
      </c>
      <c r="E5482" s="10" t="str">
        <f>HYPERLINK("https://twitter.com/CaTurfPros/status/723749560502374401","723749560502374401")</f>
        <v>723749560502374401</v>
      </c>
      <c r="F5482" s="11" t="s">
        <v>68</v>
      </c>
      <c r="G5482" s="11">
        <v>203</v>
      </c>
      <c r="H5482" s="11">
        <v>62</v>
      </c>
      <c r="I5482" s="11">
        <v>0</v>
      </c>
      <c r="J5482" s="11">
        <v>0</v>
      </c>
      <c r="K5482" s="11" t="s">
        <v>21</v>
      </c>
      <c r="L5482" s="7">
        <v>42227.475289351853</v>
      </c>
      <c r="M5482" s="12" t="s">
        <v>12612</v>
      </c>
      <c r="N5482" s="12" t="s">
        <v>12613</v>
      </c>
      <c r="O5482" s="10" t="str">
        <f>HYPERLINK("https://pbs.twimg.com/profile_images/630981227038687233/IBQOxT_a_normal.png","View")</f>
        <v>View</v>
      </c>
      <c r="P5482" s="11"/>
    </row>
    <row r="5483" spans="1:16" ht="12.75" x14ac:dyDescent="0.35">
      <c r="A5483" s="7">
        <v>42483.470162037032</v>
      </c>
      <c r="B5483" s="8" t="str">
        <f>HYPERLINK("https://twitter.com/jenpetersen12","@jenpetersen12")</f>
        <v>@jenpetersen12</v>
      </c>
      <c r="C5483" s="9" t="s">
        <v>12614</v>
      </c>
      <c r="D5483" s="9" t="s">
        <v>11326</v>
      </c>
      <c r="E5483" s="10" t="str">
        <f>HYPERLINK("https://twitter.com/jenpetersen12/status/723750005165723648","723750005165723648")</f>
        <v>723750005165723648</v>
      </c>
      <c r="F5483" s="11" t="s">
        <v>43</v>
      </c>
      <c r="G5483" s="11">
        <v>452</v>
      </c>
      <c r="H5483" s="11">
        <v>472</v>
      </c>
      <c r="I5483" s="11">
        <v>2</v>
      </c>
      <c r="J5483" s="11">
        <v>0</v>
      </c>
      <c r="K5483" s="11" t="s">
        <v>21</v>
      </c>
      <c r="L5483" s="7">
        <v>42029.005590277782</v>
      </c>
      <c r="M5483" s="12" t="s">
        <v>12615</v>
      </c>
      <c r="N5483" s="12" t="s">
        <v>12616</v>
      </c>
      <c r="O5483" s="10" t="str">
        <f>HYPERLINK("https://pbs.twimg.com/profile_images/708667618836803588/Qpm0WLaI_normal.jpg","View")</f>
        <v>View</v>
      </c>
      <c r="P5483" s="11"/>
    </row>
    <row r="5484" spans="1:16" ht="12.75" x14ac:dyDescent="0.35">
      <c r="A5484" s="7">
        <v>42483.470891203702</v>
      </c>
      <c r="B5484" s="8" t="str">
        <f>HYPERLINK("https://twitter.com/MikerHerrera","@MikerHerrera")</f>
        <v>@MikerHerrera</v>
      </c>
      <c r="C5484" s="9" t="s">
        <v>12617</v>
      </c>
      <c r="D5484" s="9" t="s">
        <v>12618</v>
      </c>
      <c r="E5484" s="10" t="str">
        <f>HYPERLINK("https://twitter.com/MikerHerrera/status/723750269960376321","723750269960376321")</f>
        <v>723750269960376321</v>
      </c>
      <c r="F5484" s="11" t="s">
        <v>114</v>
      </c>
      <c r="G5484" s="11">
        <v>278</v>
      </c>
      <c r="H5484" s="11">
        <v>585</v>
      </c>
      <c r="I5484" s="11">
        <v>0</v>
      </c>
      <c r="J5484" s="11">
        <v>0</v>
      </c>
      <c r="K5484" s="11" t="s">
        <v>21</v>
      </c>
      <c r="L5484" s="7">
        <v>40275.281793981485</v>
      </c>
      <c r="M5484" s="12"/>
      <c r="N5484" s="12" t="s">
        <v>12619</v>
      </c>
      <c r="O5484" s="10" t="str">
        <f>HYPERLINK("https://pbs.twimg.com/profile_images/3462680803/42dfaee63b95cbc2f9c7e115eb8e109b_normal.jpeg","View")</f>
        <v>View</v>
      </c>
      <c r="P5484" s="11"/>
    </row>
    <row r="5485" spans="1:16" ht="12.75" x14ac:dyDescent="0.35">
      <c r="A5485" s="7">
        <v>42483.474733796298</v>
      </c>
      <c r="B5485" s="8" t="str">
        <f>HYPERLINK("https://twitter.com/Scirocco_Tuning","@Scirocco_Tuning")</f>
        <v>@Scirocco_Tuning</v>
      </c>
      <c r="C5485" s="9" t="s">
        <v>51</v>
      </c>
      <c r="D5485" s="9" t="s">
        <v>12620</v>
      </c>
      <c r="E5485" s="10" t="str">
        <f>HYPERLINK("https://twitter.com/Scirocco_Tuning/status/723751660271579137","723751660271579137")</f>
        <v>723751660271579137</v>
      </c>
      <c r="F5485" s="11" t="s">
        <v>53</v>
      </c>
      <c r="G5485" s="11">
        <v>69</v>
      </c>
      <c r="H5485" s="11">
        <v>215</v>
      </c>
      <c r="I5485" s="11">
        <v>0</v>
      </c>
      <c r="J5485" s="11">
        <v>0</v>
      </c>
      <c r="K5485" s="11" t="s">
        <v>21</v>
      </c>
      <c r="L5485" s="7">
        <v>40844.564722222218</v>
      </c>
      <c r="M5485" s="12"/>
      <c r="N5485" s="12"/>
      <c r="O5485" s="10" t="str">
        <f>HYPERLINK("https://pbs.twimg.com/profile_images/1610421423/Image2_normal.jpg","View")</f>
        <v>View</v>
      </c>
      <c r="P5485" s="11"/>
    </row>
    <row r="5486" spans="1:16" ht="12.75" x14ac:dyDescent="0.35">
      <c r="A5486" s="7">
        <v>42483.474849537037</v>
      </c>
      <c r="B5486" s="8" t="str">
        <f>HYPERLINK("https://twitter.com/MikerHerrera","@MikerHerrera")</f>
        <v>@MikerHerrera</v>
      </c>
      <c r="C5486" s="9" t="s">
        <v>12617</v>
      </c>
      <c r="D5486" s="9" t="s">
        <v>12621</v>
      </c>
      <c r="E5486" s="10" t="str">
        <f>HYPERLINK("https://twitter.com/MikerHerrera/status/723751704026468353","723751704026468353")</f>
        <v>723751704026468353</v>
      </c>
      <c r="F5486" s="11" t="s">
        <v>114</v>
      </c>
      <c r="G5486" s="11">
        <v>278</v>
      </c>
      <c r="H5486" s="11">
        <v>585</v>
      </c>
      <c r="I5486" s="11">
        <v>0</v>
      </c>
      <c r="J5486" s="11">
        <v>0</v>
      </c>
      <c r="K5486" s="11" t="s">
        <v>21</v>
      </c>
      <c r="L5486" s="7">
        <v>40275.281793981485</v>
      </c>
      <c r="M5486" s="12"/>
      <c r="N5486" s="12" t="s">
        <v>12619</v>
      </c>
      <c r="O5486" s="10" t="str">
        <f>HYPERLINK("https://pbs.twimg.com/profile_images/3462680803/42dfaee63b95cbc2f9c7e115eb8e109b_normal.jpeg","View")</f>
        <v>View</v>
      </c>
      <c r="P5486" s="11"/>
    </row>
    <row r="5487" spans="1:16" ht="12.75" x14ac:dyDescent="0.35">
      <c r="A5487" s="7">
        <v>42483.474872685183</v>
      </c>
      <c r="B5487" s="8" t="str">
        <f>HYPERLINK("https://twitter.com/Vantigosf","@Vantigosf")</f>
        <v>@Vantigosf</v>
      </c>
      <c r="C5487" s="9" t="s">
        <v>12622</v>
      </c>
      <c r="D5487" s="9" t="s">
        <v>12623</v>
      </c>
      <c r="E5487" s="10" t="str">
        <f>HYPERLINK("https://twitter.com/Vantigosf/status/723751712717074432","723751712717074432")</f>
        <v>723751712717074432</v>
      </c>
      <c r="F5487" s="11" t="s">
        <v>20</v>
      </c>
      <c r="G5487" s="11">
        <v>371</v>
      </c>
      <c r="H5487" s="11">
        <v>252</v>
      </c>
      <c r="I5487" s="11">
        <v>0</v>
      </c>
      <c r="J5487" s="11">
        <v>0</v>
      </c>
      <c r="K5487" s="11" t="s">
        <v>21</v>
      </c>
      <c r="L5487" s="7">
        <v>41389.95957175926</v>
      </c>
      <c r="M5487" s="12" t="s">
        <v>155</v>
      </c>
      <c r="N5487" s="12" t="s">
        <v>12624</v>
      </c>
      <c r="O5487" s="10" t="str">
        <f>HYPERLINK("https://pbs.twimg.com/profile_images/378800000324328510/d07282df6f49ca608372edd52852d8f3_normal.jpeg","View")</f>
        <v>View</v>
      </c>
      <c r="P5487" s="11"/>
    </row>
    <row r="5488" spans="1:16" ht="12.75" x14ac:dyDescent="0.35">
      <c r="A5488" s="7">
        <v>42483.477395833332</v>
      </c>
      <c r="B5488" s="8" t="str">
        <f>HYPERLINK("https://twitter.com/vintagevwdita","@vintagevwdita")</f>
        <v>@vintagevwdita</v>
      </c>
      <c r="C5488" s="9" t="s">
        <v>5176</v>
      </c>
      <c r="D5488" s="9" t="s">
        <v>12625</v>
      </c>
      <c r="E5488" s="10" t="str">
        <f>HYPERLINK("https://twitter.com/vintagevwdita/status/723752624911200257","723752624911200257")</f>
        <v>723752624911200257</v>
      </c>
      <c r="F5488" s="11" t="s">
        <v>20</v>
      </c>
      <c r="G5488" s="11">
        <v>551</v>
      </c>
      <c r="H5488" s="11">
        <v>595</v>
      </c>
      <c r="I5488" s="11">
        <v>0</v>
      </c>
      <c r="J5488" s="11">
        <v>0</v>
      </c>
      <c r="K5488" s="11" t="s">
        <v>21</v>
      </c>
      <c r="L5488" s="7">
        <v>42114.550115740742</v>
      </c>
      <c r="M5488" s="12" t="s">
        <v>5178</v>
      </c>
      <c r="N5488" s="12" t="s">
        <v>5179</v>
      </c>
      <c r="O5488" s="10" t="str">
        <f>HYPERLINK("https://pbs.twimg.com/profile_images/687419637429080064/YhD1MggI_normal.jpg","View")</f>
        <v>View</v>
      </c>
      <c r="P5488" s="11"/>
    </row>
    <row r="5489" spans="1:16" ht="12.75" x14ac:dyDescent="0.35">
      <c r="A5489" s="7">
        <v>42483.479861111111</v>
      </c>
      <c r="B5489" s="8" t="str">
        <f>HYPERLINK("https://twitter.com/hashtagvanlife","@hashtagvanlife")</f>
        <v>@hashtagvanlife</v>
      </c>
      <c r="C5489" s="9" t="s">
        <v>187</v>
      </c>
      <c r="D5489" s="9" t="s">
        <v>12626</v>
      </c>
      <c r="E5489" s="10" t="str">
        <f>HYPERLINK("https://twitter.com/hashtagvanlife/status/723753518268579841","723753518268579841")</f>
        <v>723753518268579841</v>
      </c>
      <c r="F5489" s="11" t="s">
        <v>189</v>
      </c>
      <c r="G5489" s="11">
        <v>1021</v>
      </c>
      <c r="H5489" s="11">
        <v>29</v>
      </c>
      <c r="I5489" s="11">
        <v>1</v>
      </c>
      <c r="J5489" s="11">
        <v>0</v>
      </c>
      <c r="K5489" s="11" t="s">
        <v>21</v>
      </c>
      <c r="L5489" s="7">
        <v>42289.994583333333</v>
      </c>
      <c r="M5489" s="12"/>
      <c r="N5489" s="12" t="s">
        <v>190</v>
      </c>
      <c r="O5489" s="10" t="str">
        <f>HYPERLINK("https://pbs.twimg.com/profile_images/653637535545995264/gHuXQ5Bt_normal.jpg","View")</f>
        <v>View</v>
      </c>
      <c r="P5489" s="11"/>
    </row>
    <row r="5490" spans="1:16" ht="12.75" x14ac:dyDescent="0.35">
      <c r="A5490" s="7">
        <v>42483.484247685185</v>
      </c>
      <c r="B5490" s="8" t="str">
        <f>HYPERLINK("https://twitter.com/Scirocco_Tuning","@Scirocco_Tuning")</f>
        <v>@Scirocco_Tuning</v>
      </c>
      <c r="C5490" s="9" t="s">
        <v>51</v>
      </c>
      <c r="D5490" s="9" t="s">
        <v>12627</v>
      </c>
      <c r="E5490" s="10" t="str">
        <f>HYPERLINK("https://twitter.com/Scirocco_Tuning/status/723755108283109376","723755108283109376")</f>
        <v>723755108283109376</v>
      </c>
      <c r="F5490" s="11" t="s">
        <v>53</v>
      </c>
      <c r="G5490" s="11">
        <v>69</v>
      </c>
      <c r="H5490" s="11">
        <v>215</v>
      </c>
      <c r="I5490" s="11">
        <v>0</v>
      </c>
      <c r="J5490" s="11">
        <v>0</v>
      </c>
      <c r="K5490" s="11" t="s">
        <v>21</v>
      </c>
      <c r="L5490" s="7">
        <v>40844.564722222218</v>
      </c>
      <c r="M5490" s="12"/>
      <c r="N5490" s="12"/>
      <c r="O5490" s="10" t="str">
        <f>HYPERLINK("https://pbs.twimg.com/profile_images/1610421423/Image2_normal.jpg","View")</f>
        <v>View</v>
      </c>
      <c r="P5490" s="11"/>
    </row>
    <row r="5491" spans="1:16" ht="12.75" x14ac:dyDescent="0.35">
      <c r="A5491" s="7">
        <v>42483.484479166669</v>
      </c>
      <c r="B5491" s="8" t="str">
        <f>HYPERLINK("https://twitter.com/jonkustom","@jonkustom")</f>
        <v>@jonkustom</v>
      </c>
      <c r="C5491" s="9" t="s">
        <v>12628</v>
      </c>
      <c r="D5491" s="9" t="s">
        <v>12548</v>
      </c>
      <c r="E5491" s="10" t="str">
        <f>HYPERLINK("https://twitter.com/jonkustom/status/723755194631225344","723755194631225344")</f>
        <v>723755194631225344</v>
      </c>
      <c r="F5491" s="11" t="s">
        <v>48</v>
      </c>
      <c r="G5491" s="11">
        <v>150</v>
      </c>
      <c r="H5491" s="11">
        <v>391</v>
      </c>
      <c r="I5491" s="11">
        <v>3</v>
      </c>
      <c r="J5491" s="11">
        <v>0</v>
      </c>
      <c r="K5491" s="11" t="s">
        <v>21</v>
      </c>
      <c r="L5491" s="7">
        <v>41491.658553240741</v>
      </c>
      <c r="M5491" s="12" t="s">
        <v>12629</v>
      </c>
      <c r="N5491" s="12" t="s">
        <v>12630</v>
      </c>
      <c r="O5491" s="10" t="str">
        <f>HYPERLINK("https://pbs.twimg.com/profile_images/717626444621414401/KVtqVZeY_normal.jpg","View")</f>
        <v>View</v>
      </c>
      <c r="P5491" s="11"/>
    </row>
    <row r="5492" spans="1:16" ht="12.75" x14ac:dyDescent="0.35">
      <c r="A5492" s="7">
        <v>42483.488425925927</v>
      </c>
      <c r="B5492" s="8" t="str">
        <f>HYPERLINK("https://twitter.com/tonymunday1","@tonymunday1")</f>
        <v>@tonymunday1</v>
      </c>
      <c r="C5492" s="9" t="s">
        <v>12631</v>
      </c>
      <c r="D5492" s="9" t="s">
        <v>12632</v>
      </c>
      <c r="E5492" s="10" t="str">
        <f>HYPERLINK("https://twitter.com/tonymunday1/status/723756623014047745","723756623014047745")</f>
        <v>723756623014047745</v>
      </c>
      <c r="F5492" s="11" t="s">
        <v>119</v>
      </c>
      <c r="G5492" s="11">
        <v>827</v>
      </c>
      <c r="H5492" s="11">
        <v>1130</v>
      </c>
      <c r="I5492" s="11">
        <v>0</v>
      </c>
      <c r="J5492" s="11">
        <v>1</v>
      </c>
      <c r="K5492" s="11" t="s">
        <v>21</v>
      </c>
      <c r="L5492" s="7">
        <v>40672.608680555553</v>
      </c>
      <c r="M5492" s="12" t="s">
        <v>12633</v>
      </c>
      <c r="N5492" s="12" t="s">
        <v>12634</v>
      </c>
      <c r="O5492" s="10" t="str">
        <f>HYPERLINK("https://pbs.twimg.com/profile_images/2807465765/b721b16b6ee39dc443bb049fd6b0ae8d_normal.png","View")</f>
        <v>View</v>
      </c>
      <c r="P5492" s="11"/>
    </row>
    <row r="5493" spans="1:16" ht="12.75" x14ac:dyDescent="0.35">
      <c r="A5493" s="7">
        <v>42483.489814814813</v>
      </c>
      <c r="B5493" s="8" t="str">
        <f>HYPERLINK("https://twitter.com/tooppermann","@tooppermann")</f>
        <v>@tooppermann</v>
      </c>
      <c r="C5493" s="9" t="s">
        <v>3379</v>
      </c>
      <c r="D5493" s="9" t="s">
        <v>12635</v>
      </c>
      <c r="E5493" s="10" t="str">
        <f>HYPERLINK("https://twitter.com/tooppermann/status/723757125802008576","723757125802008576")</f>
        <v>723757125802008576</v>
      </c>
      <c r="F5493" s="11" t="s">
        <v>91</v>
      </c>
      <c r="G5493" s="11">
        <v>588</v>
      </c>
      <c r="H5493" s="11">
        <v>480</v>
      </c>
      <c r="I5493" s="11">
        <v>0</v>
      </c>
      <c r="J5493" s="11">
        <v>0</v>
      </c>
      <c r="K5493" s="11" t="s">
        <v>21</v>
      </c>
      <c r="L5493" s="7">
        <v>39837.267662037033</v>
      </c>
      <c r="M5493" s="12" t="s">
        <v>3381</v>
      </c>
      <c r="N5493" s="12" t="s">
        <v>3382</v>
      </c>
      <c r="O5493" s="10" t="str">
        <f>HYPERLINK("https://pbs.twimg.com/profile_images/569498266786877440/eYP0jdWw_normal.jpeg","View")</f>
        <v>View</v>
      </c>
      <c r="P5493" s="11"/>
    </row>
    <row r="5494" spans="1:16" ht="12.75" x14ac:dyDescent="0.35">
      <c r="A5494" s="7">
        <v>42483.490590277783</v>
      </c>
      <c r="B5494" s="8" t="str">
        <f>HYPERLINK("https://twitter.com/goetageblatt","@goetageblatt")</f>
        <v>@goetageblatt</v>
      </c>
      <c r="C5494" s="9" t="s">
        <v>12636</v>
      </c>
      <c r="D5494" s="9" t="s">
        <v>12637</v>
      </c>
      <c r="E5494" s="10" t="str">
        <f>HYPERLINK("https://twitter.com/goetageblatt/status/723757406719713280","723757406719713280")</f>
        <v>723757406719713280</v>
      </c>
      <c r="F5494" s="11" t="s">
        <v>63</v>
      </c>
      <c r="G5494" s="11">
        <v>4612</v>
      </c>
      <c r="H5494" s="11">
        <v>370</v>
      </c>
      <c r="I5494" s="11">
        <v>1</v>
      </c>
      <c r="J5494" s="11">
        <v>0</v>
      </c>
      <c r="K5494" s="11" t="s">
        <v>21</v>
      </c>
      <c r="L5494" s="7">
        <v>40081.610636574071</v>
      </c>
      <c r="M5494" s="12" t="s">
        <v>12638</v>
      </c>
      <c r="N5494" s="12" t="s">
        <v>12639</v>
      </c>
      <c r="O5494" s="10" t="str">
        <f>HYPERLINK("https://pbs.twimg.com/profile_images/574978715077083137/wSivJhc8_normal.png","View")</f>
        <v>View</v>
      </c>
      <c r="P5494" s="11"/>
    </row>
    <row r="5495" spans="1:16" ht="12.75" x14ac:dyDescent="0.35">
      <c r="A5495" s="7">
        <v>42483.492094907408</v>
      </c>
      <c r="B5495" s="8" t="str">
        <f>HYPERLINK("https://twitter.com/VWShawty","@VWShawty")</f>
        <v>@VWShawty</v>
      </c>
      <c r="C5495" s="9" t="s">
        <v>800</v>
      </c>
      <c r="D5495" s="9" t="s">
        <v>12640</v>
      </c>
      <c r="E5495" s="10" t="str">
        <f>HYPERLINK("https://twitter.com/VWShawty/status/723757952759255040","723757952759255040")</f>
        <v>723757952759255040</v>
      </c>
      <c r="F5495" s="11" t="s">
        <v>20</v>
      </c>
      <c r="G5495" s="11">
        <v>800</v>
      </c>
      <c r="H5495" s="11">
        <v>118</v>
      </c>
      <c r="I5495" s="11">
        <v>1</v>
      </c>
      <c r="J5495" s="11">
        <v>0</v>
      </c>
      <c r="K5495" s="11" t="s">
        <v>21</v>
      </c>
      <c r="L5495" s="7">
        <v>40693.060162037036</v>
      </c>
      <c r="M5495" s="12" t="s">
        <v>802</v>
      </c>
      <c r="N5495" s="12" t="s">
        <v>803</v>
      </c>
      <c r="O5495" s="10" t="str">
        <f>HYPERLINK("https://pbs.twimg.com/profile_images/718275890933809156/npH4oxJP_normal.jpg","View")</f>
        <v>View</v>
      </c>
      <c r="P5495" s="11"/>
    </row>
    <row r="5496" spans="1:16" ht="12.75" x14ac:dyDescent="0.35">
      <c r="A5496" s="7">
        <v>42483.49454861111</v>
      </c>
      <c r="B5496" s="8" t="str">
        <f>HYPERLINK("https://twitter.com/yopi_bob","@yopi_bob")</f>
        <v>@yopi_bob</v>
      </c>
      <c r="C5496" s="9" t="s">
        <v>12641</v>
      </c>
      <c r="D5496" s="9" t="s">
        <v>12642</v>
      </c>
      <c r="E5496" s="10" t="str">
        <f>HYPERLINK("https://twitter.com/yopi_bob/status/723758841624580096","723758841624580096")</f>
        <v>723758841624580096</v>
      </c>
      <c r="F5496" s="11" t="s">
        <v>12643</v>
      </c>
      <c r="G5496" s="11">
        <v>246</v>
      </c>
      <c r="H5496" s="11">
        <v>927</v>
      </c>
      <c r="I5496" s="11">
        <v>0</v>
      </c>
      <c r="J5496" s="11">
        <v>0</v>
      </c>
      <c r="K5496" s="11" t="s">
        <v>21</v>
      </c>
      <c r="L5496" s="7">
        <v>40177.362638888888</v>
      </c>
      <c r="M5496" s="12" t="s">
        <v>12644</v>
      </c>
      <c r="N5496" s="12" t="s">
        <v>12645</v>
      </c>
      <c r="O5496" s="10" t="str">
        <f>HYPERLINK("https://pbs.twimg.com/profile_images/378800000301037965/6e8a72a8345dab4a26d9506066ecbd2b_normal.jpeg","View")</f>
        <v>View</v>
      </c>
      <c r="P5496" s="11"/>
    </row>
    <row r="5497" spans="1:16" ht="12.75" x14ac:dyDescent="0.35">
      <c r="A5497" s="7">
        <v>42483.496805555551</v>
      </c>
      <c r="B5497" s="8" t="str">
        <f>HYPERLINK("https://twitter.com/katrinhilger","@katrinhilger")</f>
        <v>@katrinhilger</v>
      </c>
      <c r="C5497" s="9" t="s">
        <v>12646</v>
      </c>
      <c r="D5497" s="9" t="s">
        <v>12647</v>
      </c>
      <c r="E5497" s="10" t="str">
        <f>HYPERLINK("https://twitter.com/katrinhilger/status/723759658972909569","723759658972909569")</f>
        <v>723759658972909569</v>
      </c>
      <c r="F5497" s="11" t="s">
        <v>20</v>
      </c>
      <c r="G5497" s="11">
        <v>4648</v>
      </c>
      <c r="H5497" s="11">
        <v>3309</v>
      </c>
      <c r="I5497" s="11">
        <v>2</v>
      </c>
      <c r="J5497" s="11">
        <v>0</v>
      </c>
      <c r="K5497" s="11" t="s">
        <v>21</v>
      </c>
      <c r="L5497" s="7">
        <v>39812.960428240738</v>
      </c>
      <c r="M5497" s="12" t="s">
        <v>12648</v>
      </c>
      <c r="N5497" s="12" t="s">
        <v>12649</v>
      </c>
      <c r="O5497" s="10" t="str">
        <f>HYPERLINK("https://pbs.twimg.com/profile_images/665098638327173121/1qwb7YxR_normal.jpg","View")</f>
        <v>View</v>
      </c>
      <c r="P5497" s="11"/>
    </row>
    <row r="5498" spans="1:16" ht="12.75" x14ac:dyDescent="0.35">
      <c r="A5498" s="7">
        <v>42483.497187500005</v>
      </c>
      <c r="B5498" s="8" t="str">
        <f>HYPERLINK("https://twitter.com/AnjaKolibri","@AnjaKolibri")</f>
        <v>@AnjaKolibri</v>
      </c>
      <c r="C5498" s="9" t="s">
        <v>12650</v>
      </c>
      <c r="D5498" s="9" t="s">
        <v>12651</v>
      </c>
      <c r="E5498" s="10" t="str">
        <f>HYPERLINK("https://twitter.com/AnjaKolibri/status/723759798613741568","723759798613741568")</f>
        <v>723759798613741568</v>
      </c>
      <c r="F5498" s="11" t="s">
        <v>12652</v>
      </c>
      <c r="G5498" s="11">
        <v>5939</v>
      </c>
      <c r="H5498" s="11">
        <v>5900</v>
      </c>
      <c r="I5498" s="11">
        <v>0</v>
      </c>
      <c r="J5498" s="11">
        <v>0</v>
      </c>
      <c r="K5498" s="11" t="s">
        <v>21</v>
      </c>
      <c r="L5498" s="7">
        <v>41520.030925925923</v>
      </c>
      <c r="M5498" s="12" t="s">
        <v>12653</v>
      </c>
      <c r="N5498" s="12" t="s">
        <v>12654</v>
      </c>
      <c r="O5498" s="10" t="str">
        <f>HYPERLINK("https://pbs.twimg.com/profile_images/653465042441007104/DzFCw-KA_normal.jpg","View")</f>
        <v>View</v>
      </c>
      <c r="P5498" s="11"/>
    </row>
    <row r="5499" spans="1:16" ht="12.75" x14ac:dyDescent="0.35">
      <c r="A5499" s="7">
        <v>42483.497546296298</v>
      </c>
      <c r="B5499" s="8" t="str">
        <f>HYPERLINK("https://twitter.com/GermanIOD","@GermanIOD")</f>
        <v>@GermanIOD</v>
      </c>
      <c r="C5499" s="9" t="s">
        <v>11147</v>
      </c>
      <c r="D5499" s="9" t="s">
        <v>12655</v>
      </c>
      <c r="E5499" s="10" t="str">
        <f>HYPERLINK("https://twitter.com/GermanIOD/status/723759930637955072","723759930637955072")</f>
        <v>723759930637955072</v>
      </c>
      <c r="F5499" s="11" t="s">
        <v>43</v>
      </c>
      <c r="G5499" s="11">
        <v>213</v>
      </c>
      <c r="H5499" s="11">
        <v>324</v>
      </c>
      <c r="I5499" s="11">
        <v>0</v>
      </c>
      <c r="J5499" s="11">
        <v>0</v>
      </c>
      <c r="K5499" s="11" t="s">
        <v>21</v>
      </c>
      <c r="L5499" s="7">
        <v>42245.884421296301</v>
      </c>
      <c r="M5499" s="12" t="s">
        <v>2907</v>
      </c>
      <c r="N5499" s="12" t="s">
        <v>11149</v>
      </c>
      <c r="O5499" s="10" t="str">
        <f>HYPERLINK("https://pbs.twimg.com/profile_images/637652033793851392/sK5pDpLB_normal.png","View")</f>
        <v>View</v>
      </c>
      <c r="P5499" s="11"/>
    </row>
    <row r="5500" spans="1:16" ht="12.75" x14ac:dyDescent="0.35">
      <c r="A5500" s="7">
        <v>42483.499108796299</v>
      </c>
      <c r="B5500" s="8" t="str">
        <f>HYPERLINK("https://twitter.com/Logistique01","@Logistique01")</f>
        <v>@Logistique01</v>
      </c>
      <c r="C5500" s="9" t="s">
        <v>1804</v>
      </c>
      <c r="D5500" s="9" t="s">
        <v>12656</v>
      </c>
      <c r="E5500" s="10" t="str">
        <f>HYPERLINK("https://twitter.com/Logistique01/status/723760496839524352","723760496839524352")</f>
        <v>723760496839524352</v>
      </c>
      <c r="F5500" s="11" t="s">
        <v>1806</v>
      </c>
      <c r="G5500" s="11">
        <v>154</v>
      </c>
      <c r="H5500" s="11">
        <v>173</v>
      </c>
      <c r="I5500" s="11">
        <v>0</v>
      </c>
      <c r="J5500" s="11">
        <v>0</v>
      </c>
      <c r="K5500" s="11" t="s">
        <v>21</v>
      </c>
      <c r="L5500" s="7">
        <v>41373.671875</v>
      </c>
      <c r="M5500" s="12" t="s">
        <v>1807</v>
      </c>
      <c r="N5500" s="12" t="s">
        <v>1808</v>
      </c>
      <c r="O5500" s="10" t="str">
        <f>HYPERLINK("https://pbs.twimg.com/profile_images/3497903431/ae95594a00a0817e860e73da8fef6dca_normal.png","View")</f>
        <v>View</v>
      </c>
      <c r="P5500" s="11"/>
    </row>
    <row r="5501" spans="1:16" ht="12.75" x14ac:dyDescent="0.35">
      <c r="A5501" s="7">
        <v>42483.499212962968</v>
      </c>
      <c r="B5501" s="8" t="str">
        <f>HYPERLINK("https://twitter.com/katrinhilger","@katrinhilger")</f>
        <v>@katrinhilger</v>
      </c>
      <c r="C5501" s="9" t="s">
        <v>12646</v>
      </c>
      <c r="D5501" s="9" t="s">
        <v>12657</v>
      </c>
      <c r="E5501" s="10" t="str">
        <f>HYPERLINK("https://twitter.com/katrinhilger/status/723760531996286976","723760531996286976")</f>
        <v>723760531996286976</v>
      </c>
      <c r="F5501" s="11" t="s">
        <v>20</v>
      </c>
      <c r="G5501" s="11">
        <v>4648</v>
      </c>
      <c r="H5501" s="11">
        <v>3309</v>
      </c>
      <c r="I5501" s="11">
        <v>1</v>
      </c>
      <c r="J5501" s="11">
        <v>1</v>
      </c>
      <c r="K5501" s="11" t="s">
        <v>21</v>
      </c>
      <c r="L5501" s="7">
        <v>39812.960428240738</v>
      </c>
      <c r="M5501" s="12" t="s">
        <v>12648</v>
      </c>
      <c r="N5501" s="12" t="s">
        <v>12649</v>
      </c>
      <c r="O5501" s="10" t="str">
        <f>HYPERLINK("https://pbs.twimg.com/profile_images/665098638327173121/1qwb7YxR_normal.jpg","View")</f>
        <v>View</v>
      </c>
      <c r="P5501" s="11"/>
    </row>
    <row r="5502" spans="1:16" ht="12.75" x14ac:dyDescent="0.35">
      <c r="A5502" s="7">
        <v>42483.499490740738</v>
      </c>
      <c r="B5502" s="8" t="str">
        <f>HYPERLINK("https://twitter.com/mmuenzl","@mmuenzl")</f>
        <v>@mmuenzl</v>
      </c>
      <c r="C5502" s="9" t="s">
        <v>12658</v>
      </c>
      <c r="D5502" s="9" t="s">
        <v>12659</v>
      </c>
      <c r="E5502" s="10" t="str">
        <f>HYPERLINK("https://twitter.com/mmuenzl/status/723760632005275648","723760632005275648")</f>
        <v>723760632005275648</v>
      </c>
      <c r="F5502" s="11" t="s">
        <v>91</v>
      </c>
      <c r="G5502" s="11">
        <v>138</v>
      </c>
      <c r="H5502" s="11">
        <v>218</v>
      </c>
      <c r="I5502" s="11">
        <v>1</v>
      </c>
      <c r="J5502" s="11">
        <v>0</v>
      </c>
      <c r="K5502" s="11" t="s">
        <v>21</v>
      </c>
      <c r="L5502" s="7">
        <v>41047.021840277775</v>
      </c>
      <c r="M5502" s="12" t="s">
        <v>12660</v>
      </c>
      <c r="N5502" s="12" t="s">
        <v>12661</v>
      </c>
      <c r="O5502" s="10" t="str">
        <f>HYPERLINK("https://pbs.twimg.com/profile_images/558958452001615872/I1ef-mQ7_normal.jpeg","View")</f>
        <v>View</v>
      </c>
      <c r="P5502" s="11"/>
    </row>
    <row r="5503" spans="1:16" ht="12.75" x14ac:dyDescent="0.35">
      <c r="A5503" s="7">
        <v>42483.499502314815</v>
      </c>
      <c r="B5503" s="8" t="str">
        <f>HYPERLINK("https://twitter.com/oldcar_photo","@oldcar_photo")</f>
        <v>@oldcar_photo</v>
      </c>
      <c r="C5503" s="9" t="s">
        <v>1046</v>
      </c>
      <c r="D5503" s="9" t="s">
        <v>12662</v>
      </c>
      <c r="E5503" s="10" t="str">
        <f>HYPERLINK("https://twitter.com/oldcar_photo/status/723760636270878720","723760636270878720")</f>
        <v>723760636270878720</v>
      </c>
      <c r="F5503" s="11" t="s">
        <v>68</v>
      </c>
      <c r="G5503" s="11">
        <v>1989</v>
      </c>
      <c r="H5503" s="11">
        <v>0</v>
      </c>
      <c r="I5503" s="11">
        <v>0</v>
      </c>
      <c r="J5503" s="11">
        <v>0</v>
      </c>
      <c r="K5503" s="11" t="s">
        <v>21</v>
      </c>
      <c r="L5503" s="7">
        <v>42184.7341087963</v>
      </c>
      <c r="M5503" s="12"/>
      <c r="N5503" s="12"/>
      <c r="O5503" s="10" t="str">
        <f>HYPERLINK("https://pbs.twimg.com/profile_images/615493650785660928/XHUh6HOk_normal.jpg","View")</f>
        <v>View</v>
      </c>
      <c r="P5503" s="11"/>
    </row>
    <row r="5504" spans="1:16" ht="12.75" x14ac:dyDescent="0.35">
      <c r="A5504" s="7">
        <v>42483.500115740739</v>
      </c>
      <c r="B5504" s="8" t="str">
        <f>HYPERLINK("https://twitter.com/GermanoDottori","@GermanoDottori")</f>
        <v>@GermanoDottori</v>
      </c>
      <c r="C5504" s="9" t="s">
        <v>12663</v>
      </c>
      <c r="D5504" s="9" t="s">
        <v>11994</v>
      </c>
      <c r="E5504" s="10" t="str">
        <f>HYPERLINK("https://twitter.com/GermanoDottori/status/723760858753544192","723760858753544192")</f>
        <v>723760858753544192</v>
      </c>
      <c r="F5504" s="11" t="s">
        <v>367</v>
      </c>
      <c r="G5504" s="11">
        <v>3608</v>
      </c>
      <c r="H5504" s="11">
        <v>2485</v>
      </c>
      <c r="I5504" s="11">
        <v>3</v>
      </c>
      <c r="J5504" s="11">
        <v>0</v>
      </c>
      <c r="K5504" s="11" t="s">
        <v>21</v>
      </c>
      <c r="L5504" s="7">
        <v>40728.935636574075</v>
      </c>
      <c r="M5504" s="12" t="s">
        <v>12664</v>
      </c>
      <c r="N5504" s="12" t="s">
        <v>12665</v>
      </c>
      <c r="O5504" s="10" t="str">
        <f>HYPERLINK("https://pbs.twimg.com/profile_images/687621594584330240/n-hbnRI9_normal.jpg","View")</f>
        <v>View</v>
      </c>
      <c r="P5504" s="11"/>
    </row>
    <row r="5505" spans="1:16" ht="12.75" x14ac:dyDescent="0.35">
      <c r="A5505" s="7">
        <v>42483.500787037032</v>
      </c>
      <c r="B5505" s="8" t="str">
        <f>HYPERLINK("https://twitter.com/katrinhilger","@katrinhilger")</f>
        <v>@katrinhilger</v>
      </c>
      <c r="C5505" s="9" t="s">
        <v>12646</v>
      </c>
      <c r="D5505" s="9" t="s">
        <v>12666</v>
      </c>
      <c r="E5505" s="10" t="str">
        <f>HYPERLINK("https://twitter.com/katrinhilger/status/723761105185705984","723761105185705984")</f>
        <v>723761105185705984</v>
      </c>
      <c r="F5505" s="11" t="s">
        <v>20</v>
      </c>
      <c r="G5505" s="11">
        <v>4649</v>
      </c>
      <c r="H5505" s="11">
        <v>3309</v>
      </c>
      <c r="I5505" s="11">
        <v>0</v>
      </c>
      <c r="J5505" s="11">
        <v>5</v>
      </c>
      <c r="K5505" s="11" t="s">
        <v>21</v>
      </c>
      <c r="L5505" s="7">
        <v>39812.960428240738</v>
      </c>
      <c r="M5505" s="12" t="s">
        <v>12648</v>
      </c>
      <c r="N5505" s="12" t="s">
        <v>12649</v>
      </c>
      <c r="O5505" s="10" t="str">
        <f>HYPERLINK("https://pbs.twimg.com/profile_images/665098638327173121/1qwb7YxR_normal.jpg","View")</f>
        <v>View</v>
      </c>
      <c r="P5505" s="11"/>
    </row>
    <row r="5506" spans="1:16" ht="12.75" x14ac:dyDescent="0.35">
      <c r="A5506" s="7">
        <v>42483.501481481479</v>
      </c>
      <c r="B5506" s="8" t="str">
        <f>HYPERLINK("https://twitter.com/RobertSteuckers","@RobertSteuckers")</f>
        <v>@RobertSteuckers</v>
      </c>
      <c r="C5506" s="9" t="s">
        <v>12667</v>
      </c>
      <c r="D5506" s="9" t="s">
        <v>11994</v>
      </c>
      <c r="E5506" s="10" t="str">
        <f>HYPERLINK("https://twitter.com/RobertSteuckers/status/723761352909676544","723761352909676544")</f>
        <v>723761352909676544</v>
      </c>
      <c r="F5506" s="11" t="s">
        <v>1838</v>
      </c>
      <c r="G5506" s="11">
        <v>885</v>
      </c>
      <c r="H5506" s="11">
        <v>917</v>
      </c>
      <c r="I5506" s="11">
        <v>5</v>
      </c>
      <c r="J5506" s="11">
        <v>0</v>
      </c>
      <c r="K5506" s="11" t="s">
        <v>21</v>
      </c>
      <c r="L5506" s="7">
        <v>41547.593715277777</v>
      </c>
      <c r="M5506" s="12" t="s">
        <v>6821</v>
      </c>
      <c r="N5506" s="12" t="s">
        <v>12668</v>
      </c>
      <c r="O5506" s="10" t="str">
        <f>HYPERLINK("https://pbs.twimg.com/profile_images/378800000528412674/b42ab397bc773eaa54a8e8f231d54601_normal.jpeg","View")</f>
        <v>View</v>
      </c>
      <c r="P5506" s="11"/>
    </row>
    <row r="5507" spans="1:16" ht="12.75" x14ac:dyDescent="0.35">
      <c r="A5507" s="7">
        <v>42483.501736111109</v>
      </c>
      <c r="B5507" s="8" t="str">
        <f>HYPERLINK("https://twitter.com/Spoekenkiekerei","@Spoekenkiekerei")</f>
        <v>@Spoekenkiekerei</v>
      </c>
      <c r="C5507" s="9" t="s">
        <v>8075</v>
      </c>
      <c r="D5507" s="9" t="s">
        <v>12659</v>
      </c>
      <c r="E5507" s="10" t="str">
        <f>HYPERLINK("https://twitter.com/Spoekenkiekerei/status/723761448237805568","723761448237805568")</f>
        <v>723761448237805568</v>
      </c>
      <c r="F5507" s="11" t="s">
        <v>43</v>
      </c>
      <c r="G5507" s="11">
        <v>55</v>
      </c>
      <c r="H5507" s="11">
        <v>52</v>
      </c>
      <c r="I5507" s="11">
        <v>5</v>
      </c>
      <c r="J5507" s="11">
        <v>0</v>
      </c>
      <c r="K5507" s="11" t="s">
        <v>21</v>
      </c>
      <c r="L5507" s="7">
        <v>42463.90929398148</v>
      </c>
      <c r="M5507" s="12" t="s">
        <v>8077</v>
      </c>
      <c r="N5507" s="12" t="s">
        <v>8078</v>
      </c>
      <c r="O5507" s="10" t="str">
        <f>HYPERLINK("https://pbs.twimg.com/profile_images/717382175071535104/1l_yueaA_normal.jpg","View")</f>
        <v>View</v>
      </c>
      <c r="P5507" s="11"/>
    </row>
    <row r="5508" spans="1:16" ht="12.75" x14ac:dyDescent="0.35">
      <c r="A5508" s="7">
        <v>42483.502071759256</v>
      </c>
      <c r="B5508" s="8" t="str">
        <f>HYPERLINK("https://twitter.com/MoniShantiRani","@MoniShantiRani")</f>
        <v>@MoniShantiRani</v>
      </c>
      <c r="C5508" s="9" t="s">
        <v>12669</v>
      </c>
      <c r="D5508" s="9" t="s">
        <v>11994</v>
      </c>
      <c r="E5508" s="10" t="str">
        <f>HYPERLINK("https://twitter.com/MoniShantiRani/status/723761570317250560","723761570317250560")</f>
        <v>723761570317250560</v>
      </c>
      <c r="F5508" s="11" t="s">
        <v>48</v>
      </c>
      <c r="G5508" s="11">
        <v>4640</v>
      </c>
      <c r="H5508" s="11">
        <v>2077</v>
      </c>
      <c r="I5508" s="11">
        <v>5</v>
      </c>
      <c r="J5508" s="11">
        <v>0</v>
      </c>
      <c r="K5508" s="11" t="s">
        <v>21</v>
      </c>
      <c r="L5508" s="7">
        <v>40565.167071759257</v>
      </c>
      <c r="M5508" s="12" t="s">
        <v>2663</v>
      </c>
      <c r="N5508" s="12" t="s">
        <v>12670</v>
      </c>
      <c r="O5508" s="10" t="str">
        <f>HYPERLINK("https://pbs.twimg.com/profile_images/2199952127/sorrisino_normal.jpg","View")</f>
        <v>View</v>
      </c>
      <c r="P5508" s="11"/>
    </row>
    <row r="5509" spans="1:16" ht="12.75" x14ac:dyDescent="0.35">
      <c r="A5509" s="7">
        <v>42483.502152777779</v>
      </c>
      <c r="B5509" s="8" t="str">
        <f>HYPERLINK("https://twitter.com/FuscaWorld","@FuscaWorld")</f>
        <v>@FuscaWorld</v>
      </c>
      <c r="C5509" s="9" t="s">
        <v>74</v>
      </c>
      <c r="D5509" s="9" t="s">
        <v>12671</v>
      </c>
      <c r="E5509" s="10" t="str">
        <f>HYPERLINK("https://twitter.com/FuscaWorld/status/723761597672464384","723761597672464384")</f>
        <v>723761597672464384</v>
      </c>
      <c r="F5509" s="11" t="s">
        <v>76</v>
      </c>
      <c r="G5509" s="11">
        <v>50</v>
      </c>
      <c r="H5509" s="11">
        <v>1</v>
      </c>
      <c r="I5509" s="11">
        <v>1</v>
      </c>
      <c r="J5509" s="11">
        <v>0</v>
      </c>
      <c r="K5509" s="11" t="s">
        <v>21</v>
      </c>
      <c r="L5509" s="7">
        <v>42433.880914351852</v>
      </c>
      <c r="M5509" s="12"/>
      <c r="N5509" s="12" t="s">
        <v>77</v>
      </c>
      <c r="O5509" s="10" t="str">
        <f>HYPERLINK("https://pbs.twimg.com/profile_images/705780107844067328/e7O4UBNb_normal.jpg","View")</f>
        <v>View</v>
      </c>
      <c r="P5509" s="11"/>
    </row>
    <row r="5510" spans="1:16" ht="12.75" x14ac:dyDescent="0.35">
      <c r="A5510" s="7">
        <v>42483.503634259258</v>
      </c>
      <c r="B5510" s="8" t="str">
        <f>HYPERLINK("https://twitter.com/Ruchser","@Ruchser")</f>
        <v>@Ruchser</v>
      </c>
      <c r="C5510" s="9" t="s">
        <v>3295</v>
      </c>
      <c r="D5510" s="9" t="s">
        <v>12672</v>
      </c>
      <c r="E5510" s="10" t="str">
        <f>HYPERLINK("https://twitter.com/Ruchser/status/723762136699289600","723762136699289600")</f>
        <v>723762136699289600</v>
      </c>
      <c r="F5510" s="11" t="s">
        <v>43</v>
      </c>
      <c r="G5510" s="11">
        <v>177</v>
      </c>
      <c r="H5510" s="11">
        <v>45</v>
      </c>
      <c r="I5510" s="11">
        <v>0</v>
      </c>
      <c r="J5510" s="11">
        <v>0</v>
      </c>
      <c r="K5510" s="11" t="s">
        <v>21</v>
      </c>
      <c r="L5510" s="7">
        <v>41955.946712962963</v>
      </c>
      <c r="M5510" s="12"/>
      <c r="N5510" s="12" t="s">
        <v>3296</v>
      </c>
      <c r="O5510" s="10" t="str">
        <f>HYPERLINK("https://pbs.twimg.com/profile_images/532583024743837696/nWwsp4Vd_normal.jpeg","View")</f>
        <v>View</v>
      </c>
      <c r="P5510" s="11"/>
    </row>
    <row r="5511" spans="1:16" ht="12.75" x14ac:dyDescent="0.35">
      <c r="A5511" s="7">
        <v>42483.503796296296</v>
      </c>
      <c r="B5511" s="8" t="str">
        <f>HYPERLINK("https://twitter.com/capipaula182","@capipaula182")</f>
        <v>@capipaula182</v>
      </c>
      <c r="C5511" s="9" t="s">
        <v>12673</v>
      </c>
      <c r="D5511" s="9" t="s">
        <v>12674</v>
      </c>
      <c r="E5511" s="10" t="str">
        <f>HYPERLINK("https://twitter.com/capipaula182/status/723762193674674176","723762193674674176")</f>
        <v>723762193674674176</v>
      </c>
      <c r="F5511" s="11" t="s">
        <v>12675</v>
      </c>
      <c r="G5511" s="11">
        <v>2933</v>
      </c>
      <c r="H5511" s="11">
        <v>184</v>
      </c>
      <c r="I5511" s="11">
        <v>0</v>
      </c>
      <c r="J5511" s="11">
        <v>0</v>
      </c>
      <c r="K5511" s="11" t="s">
        <v>21</v>
      </c>
      <c r="L5511" s="7">
        <v>40951.886840277773</v>
      </c>
      <c r="M5511" s="12"/>
      <c r="N5511" s="12" t="s">
        <v>12676</v>
      </c>
      <c r="O5511" s="10" t="str">
        <f>HYPERLINK("https://pbs.twimg.com/profile_images/645241660574695424/KLJds9rL_normal.jpg","View")</f>
        <v>View</v>
      </c>
      <c r="P5511" s="11"/>
    </row>
    <row r="5512" spans="1:16" ht="12.75" x14ac:dyDescent="0.35">
      <c r="A5512" s="7">
        <v>42483.505115740743</v>
      </c>
      <c r="B5512" s="8" t="str">
        <f>HYPERLINK("https://twitter.com/SDittl","@SDittl")</f>
        <v>@SDittl</v>
      </c>
      <c r="C5512" s="9" t="s">
        <v>12677</v>
      </c>
      <c r="D5512" s="9" t="s">
        <v>12678</v>
      </c>
      <c r="E5512" s="10" t="str">
        <f>HYPERLINK("https://twitter.com/SDittl/status/723762672483835904","723762672483835904")</f>
        <v>723762672483835904</v>
      </c>
      <c r="F5512" s="11" t="s">
        <v>48</v>
      </c>
      <c r="G5512" s="11">
        <v>1303</v>
      </c>
      <c r="H5512" s="11">
        <v>2314</v>
      </c>
      <c r="I5512" s="11">
        <v>1</v>
      </c>
      <c r="J5512" s="11">
        <v>0</v>
      </c>
      <c r="K5512" s="11" t="s">
        <v>21</v>
      </c>
      <c r="L5512" s="7">
        <v>41734.620266203703</v>
      </c>
      <c r="M5512" s="12" t="s">
        <v>12679</v>
      </c>
      <c r="N5512" s="12" t="s">
        <v>12680</v>
      </c>
      <c r="O5512" s="10" t="str">
        <f>HYPERLINK("https://pbs.twimg.com/profile_images/616224512359665665/tPf2TtTI_normal.jpg","View")</f>
        <v>View</v>
      </c>
      <c r="P5512" s="11"/>
    </row>
    <row r="5513" spans="1:16" ht="12.75" x14ac:dyDescent="0.35">
      <c r="A5513" s="7">
        <v>42483.505208333328</v>
      </c>
      <c r="B5513" s="8" t="str">
        <f t="shared" ref="B5513:B5514" si="485">HYPERLINK("https://twitter.com/Kittypunk16","@Kittypunk16")</f>
        <v>@Kittypunk16</v>
      </c>
      <c r="C5513" s="9" t="s">
        <v>844</v>
      </c>
      <c r="D5513" s="9" t="s">
        <v>12681</v>
      </c>
      <c r="E5513" s="10" t="str">
        <f>HYPERLINK("https://twitter.com/Kittypunk16/status/723762704977149952","723762704977149952")</f>
        <v>723762704977149952</v>
      </c>
      <c r="F5513" s="11" t="s">
        <v>63</v>
      </c>
      <c r="G5513" s="11">
        <v>12076</v>
      </c>
      <c r="H5513" s="11">
        <v>7561</v>
      </c>
      <c r="I5513" s="11">
        <v>0</v>
      </c>
      <c r="J5513" s="11">
        <v>1</v>
      </c>
      <c r="K5513" s="11" t="s">
        <v>21</v>
      </c>
      <c r="L5513" s="7">
        <v>40086.857291666667</v>
      </c>
      <c r="M5513" s="12" t="s">
        <v>846</v>
      </c>
      <c r="N5513" s="12" t="s">
        <v>847</v>
      </c>
      <c r="O5513" s="10" t="str">
        <f t="shared" ref="O5513:O5514" si="486">HYPERLINK("https://pbs.twimg.com/profile_images/680948958844338176/k8qFUheG_normal.png","View")</f>
        <v>View</v>
      </c>
      <c r="P5513" s="11"/>
    </row>
    <row r="5514" spans="1:16" ht="12.75" x14ac:dyDescent="0.35">
      <c r="A5514" s="7">
        <v>42483.506782407407</v>
      </c>
      <c r="B5514" s="8" t="str">
        <f t="shared" si="485"/>
        <v>@Kittypunk16</v>
      </c>
      <c r="C5514" s="9" t="s">
        <v>844</v>
      </c>
      <c r="D5514" s="9" t="s">
        <v>12659</v>
      </c>
      <c r="E5514" s="10" t="str">
        <f>HYPERLINK("https://twitter.com/Kittypunk16/status/723763276664975361","723763276664975361")</f>
        <v>723763276664975361</v>
      </c>
      <c r="F5514" s="11" t="s">
        <v>43</v>
      </c>
      <c r="G5514" s="11">
        <v>12076</v>
      </c>
      <c r="H5514" s="11">
        <v>7561</v>
      </c>
      <c r="I5514" s="11">
        <v>5</v>
      </c>
      <c r="J5514" s="11">
        <v>0</v>
      </c>
      <c r="K5514" s="11" t="s">
        <v>21</v>
      </c>
      <c r="L5514" s="7">
        <v>40086.857291666667</v>
      </c>
      <c r="M5514" s="12" t="s">
        <v>846</v>
      </c>
      <c r="N5514" s="12" t="s">
        <v>847</v>
      </c>
      <c r="O5514" s="10" t="str">
        <f t="shared" si="486"/>
        <v>View</v>
      </c>
      <c r="P5514" s="11"/>
    </row>
    <row r="5515" spans="1:16" ht="12.75" x14ac:dyDescent="0.35">
      <c r="A5515" s="7">
        <v>42483.507789351846</v>
      </c>
      <c r="B5515" s="8" t="str">
        <f>HYPERLINK("https://twitter.com/rheto","@rheto")</f>
        <v>@rheto</v>
      </c>
      <c r="C5515" s="9" t="s">
        <v>11772</v>
      </c>
      <c r="D5515" s="9" t="s">
        <v>12659</v>
      </c>
      <c r="E5515" s="10" t="str">
        <f>HYPERLINK("https://twitter.com/rheto/status/723763642282479616","723763642282479616")</f>
        <v>723763642282479616</v>
      </c>
      <c r="F5515" s="11" t="s">
        <v>43</v>
      </c>
      <c r="G5515" s="11">
        <v>1177</v>
      </c>
      <c r="H5515" s="11">
        <v>982</v>
      </c>
      <c r="I5515" s="11">
        <v>5</v>
      </c>
      <c r="J5515" s="11">
        <v>0</v>
      </c>
      <c r="K5515" s="11" t="s">
        <v>21</v>
      </c>
      <c r="L5515" s="7">
        <v>40188.876319444447</v>
      </c>
      <c r="M5515" s="12" t="s">
        <v>11774</v>
      </c>
      <c r="N5515" s="12" t="s">
        <v>11775</v>
      </c>
      <c r="O5515" s="10" t="str">
        <f>HYPERLINK("https://pbs.twimg.com/profile_images/1157883957/Twitter_rheto_normal.jpg","View")</f>
        <v>View</v>
      </c>
      <c r="P5515" s="11"/>
    </row>
    <row r="5516" spans="1:16" ht="12.75" x14ac:dyDescent="0.35">
      <c r="A5516" s="7">
        <v>42483.510659722218</v>
      </c>
      <c r="B5516" s="8" t="str">
        <f>HYPERLINK("https://twitter.com/Marie_Laveau_","@Marie_Laveau_")</f>
        <v>@Marie_Laveau_</v>
      </c>
      <c r="C5516" s="9" t="s">
        <v>12682</v>
      </c>
      <c r="D5516" s="9" t="s">
        <v>12659</v>
      </c>
      <c r="E5516" s="10" t="str">
        <f>HYPERLINK("https://twitter.com/Marie_Laveau_/status/723764682402750464","723764682402750464")</f>
        <v>723764682402750464</v>
      </c>
      <c r="F5516" s="11" t="s">
        <v>43</v>
      </c>
      <c r="G5516" s="11">
        <v>838</v>
      </c>
      <c r="H5516" s="11">
        <v>1043</v>
      </c>
      <c r="I5516" s="11">
        <v>5</v>
      </c>
      <c r="J5516" s="11">
        <v>0</v>
      </c>
      <c r="K5516" s="11" t="s">
        <v>21</v>
      </c>
      <c r="L5516" s="7">
        <v>40933.579166666663</v>
      </c>
      <c r="M5516" s="12"/>
      <c r="N5516" s="12" t="s">
        <v>12683</v>
      </c>
      <c r="O5516" s="10" t="str">
        <f>HYPERLINK("https://pbs.twimg.com/profile_images/610490531953668096/uBvorN_Q_normal.jpg","View")</f>
        <v>View</v>
      </c>
      <c r="P5516" s="11"/>
    </row>
    <row r="5517" spans="1:16" ht="12.75" x14ac:dyDescent="0.35">
      <c r="A5517" s="7">
        <v>42483.510925925926</v>
      </c>
      <c r="B5517" s="8" t="str">
        <f>HYPERLINK("https://twitter.com/Simulacron2","@Simulacron2")</f>
        <v>@Simulacron2</v>
      </c>
      <c r="C5517" s="9" t="s">
        <v>12684</v>
      </c>
      <c r="D5517" s="9" t="s">
        <v>12647</v>
      </c>
      <c r="E5517" s="10" t="str">
        <f>HYPERLINK("https://twitter.com/Simulacron2/status/723764776321581056","723764776321581056")</f>
        <v>723764776321581056</v>
      </c>
      <c r="F5517" s="11" t="s">
        <v>367</v>
      </c>
      <c r="G5517" s="11">
        <v>225</v>
      </c>
      <c r="H5517" s="11">
        <v>188</v>
      </c>
      <c r="I5517" s="11">
        <v>3</v>
      </c>
      <c r="J5517" s="11">
        <v>0</v>
      </c>
      <c r="K5517" s="11" t="s">
        <v>21</v>
      </c>
      <c r="L5517" s="7">
        <v>41551.879745370374</v>
      </c>
      <c r="M5517" s="12" t="s">
        <v>12685</v>
      </c>
      <c r="N5517" s="12" t="s">
        <v>12686</v>
      </c>
      <c r="O5517" s="10" t="str">
        <f>HYPERLINK("https://pbs.twimg.com/profile_images/533918848613744640/2E_whAZT_normal.png","View")</f>
        <v>View</v>
      </c>
      <c r="P5517" s="11"/>
    </row>
    <row r="5518" spans="1:16" ht="12.75" x14ac:dyDescent="0.35">
      <c r="A5518" s="7">
        <v>42483.511157407411</v>
      </c>
      <c r="B5518" s="8" t="str">
        <f>HYPERLINK("https://twitter.com/KESS_","@KESS_")</f>
        <v>@KESS_</v>
      </c>
      <c r="C5518" s="9" t="s">
        <v>12687</v>
      </c>
      <c r="D5518" s="9" t="s">
        <v>12659</v>
      </c>
      <c r="E5518" s="10" t="str">
        <f>HYPERLINK("https://twitter.com/KESS_/status/723764862510358528","723764862510358528")</f>
        <v>723764862510358528</v>
      </c>
      <c r="F5518" s="11" t="s">
        <v>12688</v>
      </c>
      <c r="G5518" s="11">
        <v>1928</v>
      </c>
      <c r="H5518" s="11">
        <v>1295</v>
      </c>
      <c r="I5518" s="11">
        <v>8</v>
      </c>
      <c r="J5518" s="11">
        <v>0</v>
      </c>
      <c r="K5518" s="11" t="s">
        <v>21</v>
      </c>
      <c r="L5518" s="7">
        <v>39895.784328703703</v>
      </c>
      <c r="M5518" s="12" t="s">
        <v>1359</v>
      </c>
      <c r="N5518" s="12" t="s">
        <v>12689</v>
      </c>
      <c r="O5518" s="10" t="str">
        <f>HYPERLINK("https://pbs.twimg.com/profile_images/278262556/kess_deich500_normal_normal.jpg","View")</f>
        <v>View</v>
      </c>
      <c r="P5518" s="11"/>
    </row>
    <row r="5519" spans="1:16" ht="12.75" x14ac:dyDescent="0.35">
      <c r="A5519" s="7">
        <v>42483.511400462958</v>
      </c>
      <c r="B5519" s="8" t="str">
        <f>HYPERLINK("https://twitter.com/ErnstJandeZwart","@ErnstJandeZwart")</f>
        <v>@ErnstJandeZwart</v>
      </c>
      <c r="C5519" s="9" t="s">
        <v>12690</v>
      </c>
      <c r="D5519" s="9" t="s">
        <v>12691</v>
      </c>
      <c r="E5519" s="10" t="str">
        <f>HYPERLINK("https://twitter.com/ErnstJandeZwart/status/723764947847536640","723764947847536640")</f>
        <v>723764947847536640</v>
      </c>
      <c r="F5519" s="11" t="s">
        <v>114</v>
      </c>
      <c r="G5519" s="11">
        <v>584</v>
      </c>
      <c r="H5519" s="11">
        <v>1125</v>
      </c>
      <c r="I5519" s="11">
        <v>0</v>
      </c>
      <c r="J5519" s="11">
        <v>0</v>
      </c>
      <c r="K5519" s="11" t="s">
        <v>21</v>
      </c>
      <c r="L5519" s="7">
        <v>40899.718136574076</v>
      </c>
      <c r="M5519" s="12" t="s">
        <v>12692</v>
      </c>
      <c r="N5519" s="12" t="s">
        <v>12693</v>
      </c>
      <c r="O5519" s="10" t="str">
        <f>HYPERLINK("https://pbs.twimg.com/profile_images/1808210858/Maledives1_normal.jpg","View")</f>
        <v>View</v>
      </c>
      <c r="P5519" s="10" t="str">
        <f>HYPERLINK("http://ctrlq.org/maps/address/#51.83154475,4.97450313","Map")</f>
        <v>Map</v>
      </c>
    </row>
    <row r="5520" spans="1:16" ht="12.75" x14ac:dyDescent="0.35">
      <c r="A5520" s="7">
        <v>42483.512048611112</v>
      </c>
      <c r="B5520" s="8" t="str">
        <f>HYPERLINK("https://twitter.com/HunkyAlley","@HunkyAlley")</f>
        <v>@HunkyAlley</v>
      </c>
      <c r="C5520" s="9" t="s">
        <v>12694</v>
      </c>
      <c r="D5520" s="9" t="s">
        <v>12695</v>
      </c>
      <c r="E5520" s="10" t="str">
        <f>HYPERLINK("https://twitter.com/HunkyAlley/status/723765182657343488","723765182657343488")</f>
        <v>723765182657343488</v>
      </c>
      <c r="F5520" s="11" t="s">
        <v>114</v>
      </c>
      <c r="G5520" s="11">
        <v>224</v>
      </c>
      <c r="H5520" s="11">
        <v>176</v>
      </c>
      <c r="I5520" s="11">
        <v>0</v>
      </c>
      <c r="J5520" s="11">
        <v>0</v>
      </c>
      <c r="K5520" s="11" t="s">
        <v>21</v>
      </c>
      <c r="L5520" s="7">
        <v>39885.145601851851</v>
      </c>
      <c r="M5520" s="12" t="s">
        <v>12696</v>
      </c>
      <c r="N5520" s="12" t="s">
        <v>12697</v>
      </c>
      <c r="O5520" s="10" t="str">
        <f>HYPERLINK("https://pbs.twimg.com/profile_images/617967865413525504/y9t3axe3_normal.jpg","View")</f>
        <v>View</v>
      </c>
      <c r="P5520" s="10" t="str">
        <f>HYPERLINK("http://ctrlq.org/maps/address/#34.089323,-118.350243","Map")</f>
        <v>Map</v>
      </c>
    </row>
    <row r="5521" spans="1:16" ht="12.75" x14ac:dyDescent="0.35">
      <c r="A5521" s="7">
        <v>42483.51363425926</v>
      </c>
      <c r="B5521" s="8" t="str">
        <f>HYPERLINK("https://twitter.com/Old_Man_Abbott","@Old_Man_Abbott")</f>
        <v>@Old_Man_Abbott</v>
      </c>
      <c r="C5521" s="9" t="s">
        <v>12698</v>
      </c>
      <c r="D5521" s="9" t="s">
        <v>12699</v>
      </c>
      <c r="E5521" s="10" t="str">
        <f>HYPERLINK("https://twitter.com/Old_Man_Abbott/status/723765760498241536","723765760498241536")</f>
        <v>723765760498241536</v>
      </c>
      <c r="F5521" s="11" t="s">
        <v>20</v>
      </c>
      <c r="G5521" s="11">
        <v>84</v>
      </c>
      <c r="H5521" s="11">
        <v>131</v>
      </c>
      <c r="I5521" s="11">
        <v>0</v>
      </c>
      <c r="J5521" s="11">
        <v>0</v>
      </c>
      <c r="K5521" s="11" t="s">
        <v>21</v>
      </c>
      <c r="L5521" s="7">
        <v>41133.964780092589</v>
      </c>
      <c r="M5521" s="12"/>
      <c r="N5521" s="12" t="s">
        <v>12700</v>
      </c>
      <c r="O5521" s="10" t="str">
        <f>HYPERLINK("https://pbs.twimg.com/profile_images/677290875785977856/NSbHTnLj_normal.jpg","View")</f>
        <v>View</v>
      </c>
      <c r="P5521" s="11"/>
    </row>
    <row r="5522" spans="1:16" ht="12.75" x14ac:dyDescent="0.35">
      <c r="A5522" s="7">
        <v>42483.514409722222</v>
      </c>
      <c r="B5522" s="8" t="str">
        <f>HYPERLINK("https://twitter.com/emiliamuthoni","@emiliamuthoni")</f>
        <v>@emiliamuthoni</v>
      </c>
      <c r="C5522" s="9" t="s">
        <v>1313</v>
      </c>
      <c r="D5522" s="9" t="s">
        <v>9688</v>
      </c>
      <c r="E5522" s="10" t="str">
        <f>HYPERLINK("https://twitter.com/emiliamuthoni/status/723766040522555393","723766040522555393")</f>
        <v>723766040522555393</v>
      </c>
      <c r="F5522" s="11" t="s">
        <v>48</v>
      </c>
      <c r="G5522" s="11">
        <v>177</v>
      </c>
      <c r="H5522" s="11">
        <v>87</v>
      </c>
      <c r="I5522" s="11">
        <v>2</v>
      </c>
      <c r="J5522" s="11">
        <v>0</v>
      </c>
      <c r="K5522" s="11" t="s">
        <v>21</v>
      </c>
      <c r="L5522" s="7">
        <v>41924.416944444441</v>
      </c>
      <c r="M5522" s="12"/>
      <c r="N5522" s="12" t="s">
        <v>1314</v>
      </c>
      <c r="O5522" s="10" t="str">
        <f>HYPERLINK("https://pbs.twimg.com/profile_images/578500949288824832/VFFH0A8N_normal.jpeg","View")</f>
        <v>View</v>
      </c>
      <c r="P5522" s="11"/>
    </row>
    <row r="5523" spans="1:16" ht="12.75" x14ac:dyDescent="0.35">
      <c r="A5523" s="7">
        <v>42483.514907407407</v>
      </c>
      <c r="B5523" s="8" t="str">
        <f>HYPERLINK("https://twitter.com/roansub","@roansub")</f>
        <v>@roansub</v>
      </c>
      <c r="C5523" s="9" t="s">
        <v>4541</v>
      </c>
      <c r="D5523" s="9" t="s">
        <v>12701</v>
      </c>
      <c r="E5523" s="10" t="str">
        <f>HYPERLINK("https://twitter.com/roansub/status/723766221116706816","723766221116706816")</f>
        <v>723766221116706816</v>
      </c>
      <c r="F5523" s="11" t="s">
        <v>43</v>
      </c>
      <c r="G5523" s="11">
        <v>209</v>
      </c>
      <c r="H5523" s="11">
        <v>168</v>
      </c>
      <c r="I5523" s="11">
        <v>1</v>
      </c>
      <c r="J5523" s="11">
        <v>0</v>
      </c>
      <c r="K5523" s="11" t="s">
        <v>21</v>
      </c>
      <c r="L5523" s="7">
        <v>40573.872129629628</v>
      </c>
      <c r="M5523" s="12"/>
      <c r="N5523" s="12" t="s">
        <v>4543</v>
      </c>
      <c r="O5523" s="10" t="str">
        <f>HYPERLINK("https://pbs.twimg.com/profile_images/638973360169463808/YEbGEWne_normal.jpg","View")</f>
        <v>View</v>
      </c>
      <c r="P5523" s="11"/>
    </row>
    <row r="5524" spans="1:16" ht="12.75" x14ac:dyDescent="0.35">
      <c r="A5524" s="7">
        <v>42483.515821759254</v>
      </c>
      <c r="B5524" s="8" t="str">
        <f>HYPERLINK("https://twitter.com/ragingbull44","@ragingbull44")</f>
        <v>@ragingbull44</v>
      </c>
      <c r="C5524" s="9" t="s">
        <v>12702</v>
      </c>
      <c r="D5524" s="9" t="s">
        <v>12659</v>
      </c>
      <c r="E5524" s="10" t="str">
        <f>HYPERLINK("https://twitter.com/ragingbull44/status/723766553611763712","723766553611763712")</f>
        <v>723766553611763712</v>
      </c>
      <c r="F5524" s="11" t="s">
        <v>20</v>
      </c>
      <c r="G5524" s="11">
        <v>186</v>
      </c>
      <c r="H5524" s="11">
        <v>130</v>
      </c>
      <c r="I5524" s="11">
        <v>8</v>
      </c>
      <c r="J5524" s="11">
        <v>0</v>
      </c>
      <c r="K5524" s="11" t="s">
        <v>21</v>
      </c>
      <c r="L5524" s="7">
        <v>39945.639618055553</v>
      </c>
      <c r="M5524" s="12" t="s">
        <v>12703</v>
      </c>
      <c r="N5524" s="12" t="s">
        <v>12704</v>
      </c>
      <c r="O5524" s="10" t="str">
        <f>HYPERLINK("https://pbs.twimg.com/profile_images/690447630548242432/EOCV79PX_normal.jpg","View")</f>
        <v>View</v>
      </c>
      <c r="P5524" s="11"/>
    </row>
    <row r="5525" spans="1:16" ht="12.75" x14ac:dyDescent="0.35">
      <c r="A5525" s="7">
        <v>42483.516469907408</v>
      </c>
      <c r="B5525" s="8" t="str">
        <f>HYPERLINK("https://twitter.com/twizler557","@twizler557")</f>
        <v>@twizler557</v>
      </c>
      <c r="C5525" s="9" t="s">
        <v>6433</v>
      </c>
      <c r="D5525" s="9" t="s">
        <v>12152</v>
      </c>
      <c r="E5525" s="10" t="str">
        <f>HYPERLINK("https://twitter.com/twizler557/status/723766786932363264","723766786932363264")</f>
        <v>723766786932363264</v>
      </c>
      <c r="F5525" s="11" t="s">
        <v>20</v>
      </c>
      <c r="G5525" s="11">
        <v>22701</v>
      </c>
      <c r="H5525" s="11">
        <v>19619</v>
      </c>
      <c r="I5525" s="11">
        <v>2</v>
      </c>
      <c r="J5525" s="11">
        <v>0</v>
      </c>
      <c r="K5525" s="11" t="s">
        <v>21</v>
      </c>
      <c r="L5525" s="7">
        <v>41085.837847222225</v>
      </c>
      <c r="M5525" s="12" t="s">
        <v>6434</v>
      </c>
      <c r="N5525" s="12" t="s">
        <v>6435</v>
      </c>
      <c r="O5525" s="10" t="str">
        <f>HYPERLINK("https://pbs.twimg.com/profile_images/630477470240604160/cWOnCrEZ_normal.jpg","View")</f>
        <v>View</v>
      </c>
      <c r="P5525" s="11"/>
    </row>
    <row r="5526" spans="1:16" ht="12.75" x14ac:dyDescent="0.35">
      <c r="A5526" s="7">
        <v>42483.51699074074</v>
      </c>
      <c r="B5526" s="8" t="str">
        <f>HYPERLINK("https://twitter.com/richgoodingcom","@richgoodingcom")</f>
        <v>@richgoodingcom</v>
      </c>
      <c r="C5526" s="9" t="s">
        <v>8497</v>
      </c>
      <c r="D5526" s="9" t="s">
        <v>12705</v>
      </c>
      <c r="E5526" s="10" t="str">
        <f>HYPERLINK("https://twitter.com/richgoodingcom/status/723766975630024704","723766975630024704")</f>
        <v>723766975630024704</v>
      </c>
      <c r="F5526" s="11" t="s">
        <v>43</v>
      </c>
      <c r="G5526" s="11">
        <v>611</v>
      </c>
      <c r="H5526" s="11">
        <v>315</v>
      </c>
      <c r="I5526" s="11">
        <v>0</v>
      </c>
      <c r="J5526" s="11">
        <v>0</v>
      </c>
      <c r="K5526" s="11" t="s">
        <v>21</v>
      </c>
      <c r="L5526" s="7">
        <v>40511.873553240745</v>
      </c>
      <c r="M5526" s="12" t="s">
        <v>8499</v>
      </c>
      <c r="N5526" s="12" t="s">
        <v>8500</v>
      </c>
      <c r="O5526" s="10" t="str">
        <f>HYPERLINK("https://pbs.twimg.com/profile_images/626150798590902273/qUbM1D-g_normal.jpg","View")</f>
        <v>View</v>
      </c>
      <c r="P5526" s="11"/>
    </row>
    <row r="5527" spans="1:16" ht="12.75" x14ac:dyDescent="0.35">
      <c r="A5527" s="7">
        <v>42483.517048611116</v>
      </c>
      <c r="B5527" s="8" t="str">
        <f>HYPERLINK("https://twitter.com/VWBeetleSales","@VWBeetleSales")</f>
        <v>@VWBeetleSales</v>
      </c>
      <c r="C5527" s="9" t="s">
        <v>127</v>
      </c>
      <c r="D5527" s="9" t="s">
        <v>12706</v>
      </c>
      <c r="E5527" s="10" t="str">
        <f>HYPERLINK("https://twitter.com/VWBeetleSales/status/723766995913609216","723766995913609216")</f>
        <v>723766995913609216</v>
      </c>
      <c r="F5527" s="10" t="s">
        <v>124</v>
      </c>
      <c r="G5527" s="11">
        <v>36</v>
      </c>
      <c r="H5527" s="11">
        <v>32</v>
      </c>
      <c r="I5527" s="11">
        <v>0</v>
      </c>
      <c r="J5527" s="11">
        <v>0</v>
      </c>
      <c r="K5527" s="11" t="s">
        <v>21</v>
      </c>
      <c r="L5527" s="7">
        <v>42427.019756944443</v>
      </c>
      <c r="M5527" s="12" t="s">
        <v>129</v>
      </c>
      <c r="N5527" s="12" t="s">
        <v>130</v>
      </c>
      <c r="O5527" s="10" t="str">
        <f>HYPERLINK("https://pbs.twimg.com/profile_images/703294545195307008/qeCvrX86_normal.jpg","View")</f>
        <v>View</v>
      </c>
      <c r="P5527" s="11"/>
    </row>
    <row r="5528" spans="1:16" ht="12.75" x14ac:dyDescent="0.35">
      <c r="A5528" s="7">
        <v>42483.520092592589</v>
      </c>
      <c r="B5528" s="8" t="str">
        <f>HYPERLINK("https://twitter.com/GarionCoyote","@GarionCoyote")</f>
        <v>@GarionCoyote</v>
      </c>
      <c r="C5528" s="9" t="s">
        <v>11325</v>
      </c>
      <c r="D5528" s="9" t="s">
        <v>12707</v>
      </c>
      <c r="E5528" s="10" t="str">
        <f>HYPERLINK("https://twitter.com/GarionCoyote/status/723768100060012544","723768100060012544")</f>
        <v>723768100060012544</v>
      </c>
      <c r="F5528" s="11" t="s">
        <v>43</v>
      </c>
      <c r="G5528" s="11">
        <v>1067</v>
      </c>
      <c r="H5528" s="11">
        <v>1292</v>
      </c>
      <c r="I5528" s="11">
        <v>1</v>
      </c>
      <c r="J5528" s="11">
        <v>0</v>
      </c>
      <c r="K5528" s="11" t="s">
        <v>21</v>
      </c>
      <c r="L5528" s="7">
        <v>41225.10974537037</v>
      </c>
      <c r="M5528" s="12" t="s">
        <v>507</v>
      </c>
      <c r="N5528" s="12" t="s">
        <v>11327</v>
      </c>
      <c r="O5528" s="10" t="str">
        <f>HYPERLINK("https://pbs.twimg.com/profile_images/671367911857127424/UES84lbq_normal.jpg","View")</f>
        <v>View</v>
      </c>
      <c r="P5528" s="11"/>
    </row>
    <row r="5529" spans="1:16" ht="12.75" x14ac:dyDescent="0.35">
      <c r="A5529" s="7">
        <v>42483.52034722222</v>
      </c>
      <c r="B5529" s="8" t="str">
        <f>HYPERLINK("https://twitter.com/UKordeck","@UKordeck")</f>
        <v>@UKordeck</v>
      </c>
      <c r="C5529" s="9" t="s">
        <v>12708</v>
      </c>
      <c r="D5529" s="9" t="s">
        <v>12659</v>
      </c>
      <c r="E5529" s="10" t="str">
        <f>HYPERLINK("https://twitter.com/UKordeck/status/723768192691240960","723768192691240960")</f>
        <v>723768192691240960</v>
      </c>
      <c r="F5529" s="11" t="s">
        <v>367</v>
      </c>
      <c r="G5529" s="11">
        <v>298</v>
      </c>
      <c r="H5529" s="11">
        <v>288</v>
      </c>
      <c r="I5529" s="11">
        <v>8</v>
      </c>
      <c r="J5529" s="11">
        <v>0</v>
      </c>
      <c r="K5529" s="11" t="s">
        <v>21</v>
      </c>
      <c r="L5529" s="7">
        <v>40957.731064814812</v>
      </c>
      <c r="M5529" s="12" t="s">
        <v>1359</v>
      </c>
      <c r="N5529" s="12" t="s">
        <v>12709</v>
      </c>
      <c r="O5529" s="10" t="str">
        <f>HYPERLINK("https://abs.twimg.com/sticky/default_profile_images/default_profile_6_normal.png","View")</f>
        <v>View</v>
      </c>
      <c r="P5529" s="11"/>
    </row>
    <row r="5530" spans="1:16" ht="12.75" x14ac:dyDescent="0.35">
      <c r="A5530" s="7">
        <v>42483.52039351852</v>
      </c>
      <c r="B5530" s="8" t="str">
        <f>HYPERLINK("https://twitter.com/COURAGE_COMM","@COURAGE_COMM")</f>
        <v>@COURAGE_COMM</v>
      </c>
      <c r="C5530" s="9" t="s">
        <v>8805</v>
      </c>
      <c r="D5530" s="9" t="s">
        <v>12710</v>
      </c>
      <c r="E5530" s="10" t="str">
        <f>HYPERLINK("https://twitter.com/COURAGE_COMM/status/723768208277266433","723768208277266433")</f>
        <v>723768208277266433</v>
      </c>
      <c r="F5530" s="11" t="s">
        <v>119</v>
      </c>
      <c r="G5530" s="11">
        <v>804</v>
      </c>
      <c r="H5530" s="11">
        <v>2031</v>
      </c>
      <c r="I5530" s="11">
        <v>0</v>
      </c>
      <c r="J5530" s="11">
        <v>0</v>
      </c>
      <c r="K5530" s="11" t="s">
        <v>21</v>
      </c>
      <c r="L5530" s="7">
        <v>39952.737685185188</v>
      </c>
      <c r="M5530" s="12" t="s">
        <v>1229</v>
      </c>
      <c r="N5530" s="12" t="s">
        <v>8807</v>
      </c>
      <c r="O5530" s="10" t="str">
        <f>HYPERLINK("https://pbs.twimg.com/profile_images/1404247982/_MG_1344_normal.jpg","View")</f>
        <v>View</v>
      </c>
      <c r="P5530" s="11"/>
    </row>
    <row r="5531" spans="1:16" ht="12.75" x14ac:dyDescent="0.35">
      <c r="A5531" s="7">
        <v>42483.521956018521</v>
      </c>
      <c r="B5531" s="8" t="str">
        <f>HYPERLINK("https://twitter.com/AdvisorAbbate","@AdvisorAbbate")</f>
        <v>@AdvisorAbbate</v>
      </c>
      <c r="C5531" s="9" t="s">
        <v>12711</v>
      </c>
      <c r="D5531" s="9" t="s">
        <v>12712</v>
      </c>
      <c r="E5531" s="10" t="str">
        <f>HYPERLINK("https://twitter.com/AdvisorAbbate/status/723768773799366657","723768773799366657")</f>
        <v>723768773799366657</v>
      </c>
      <c r="F5531" s="11" t="s">
        <v>286</v>
      </c>
      <c r="G5531" s="11">
        <v>32389</v>
      </c>
      <c r="H5531" s="11">
        <v>0</v>
      </c>
      <c r="I5531" s="11">
        <v>0</v>
      </c>
      <c r="J5531" s="11">
        <v>0</v>
      </c>
      <c r="K5531" s="11" t="s">
        <v>21</v>
      </c>
      <c r="L5531" s="7">
        <v>41377.431990740741</v>
      </c>
      <c r="M5531" s="12" t="s">
        <v>12713</v>
      </c>
      <c r="N5531" s="12" t="s">
        <v>12714</v>
      </c>
      <c r="O5531" s="10" t="str">
        <f>HYPERLINK("https://pbs.twimg.com/profile_images/603388321662828544/8ITPYicg_normal.jpg","View")</f>
        <v>View</v>
      </c>
      <c r="P5531" s="11"/>
    </row>
    <row r="5532" spans="1:16" ht="12.75" x14ac:dyDescent="0.35">
      <c r="A5532" s="7">
        <v>42483.521967592591</v>
      </c>
      <c r="B5532" s="8" t="str">
        <f>HYPERLINK("https://twitter.com/1stInSEO","@1stInSEO")</f>
        <v>@1stInSEO</v>
      </c>
      <c r="C5532" s="9" t="s">
        <v>6343</v>
      </c>
      <c r="D5532" s="9" t="s">
        <v>12152</v>
      </c>
      <c r="E5532" s="10" t="str">
        <f>HYPERLINK("https://twitter.com/1stInSEO/status/723768780103393280","723768780103393280")</f>
        <v>723768780103393280</v>
      </c>
      <c r="F5532" s="11" t="s">
        <v>20</v>
      </c>
      <c r="G5532" s="11">
        <v>20799</v>
      </c>
      <c r="H5532" s="11">
        <v>18942</v>
      </c>
      <c r="I5532" s="11">
        <v>3</v>
      </c>
      <c r="J5532" s="11">
        <v>0</v>
      </c>
      <c r="K5532" s="11" t="s">
        <v>21</v>
      </c>
      <c r="L5532" s="7">
        <v>42263.351689814815</v>
      </c>
      <c r="M5532" s="12" t="s">
        <v>4373</v>
      </c>
      <c r="N5532" s="12" t="s">
        <v>6345</v>
      </c>
      <c r="O5532" s="10" t="str">
        <f>HYPERLINK("https://pbs.twimg.com/profile_images/708466589696262144/0z2VO5-J_normal.jpg","View")</f>
        <v>View</v>
      </c>
      <c r="P5532" s="11"/>
    </row>
    <row r="5533" spans="1:16" ht="12.75" x14ac:dyDescent="0.35">
      <c r="A5533" s="7">
        <v>42483.522164351853</v>
      </c>
      <c r="B5533" s="8" t="str">
        <f>HYPERLINK("https://twitter.com/hashtagvanlife","@hashtagvanlife")</f>
        <v>@hashtagvanlife</v>
      </c>
      <c r="C5533" s="9" t="s">
        <v>187</v>
      </c>
      <c r="D5533" s="9" t="s">
        <v>12715</v>
      </c>
      <c r="E5533" s="10" t="str">
        <f>HYPERLINK("https://twitter.com/hashtagvanlife/status/723768851545071616","723768851545071616")</f>
        <v>723768851545071616</v>
      </c>
      <c r="F5533" s="11" t="s">
        <v>189</v>
      </c>
      <c r="G5533" s="11">
        <v>1021</v>
      </c>
      <c r="H5533" s="11">
        <v>29</v>
      </c>
      <c r="I5533" s="11">
        <v>1</v>
      </c>
      <c r="J5533" s="11">
        <v>0</v>
      </c>
      <c r="K5533" s="11" t="s">
        <v>21</v>
      </c>
      <c r="L5533" s="7">
        <v>42289.994583333333</v>
      </c>
      <c r="M5533" s="12"/>
      <c r="N5533" s="12" t="s">
        <v>190</v>
      </c>
      <c r="O5533" s="10" t="str">
        <f>HYPERLINK("https://pbs.twimg.com/profile_images/653637535545995264/gHuXQ5Bt_normal.jpg","View")</f>
        <v>View</v>
      </c>
      <c r="P5533" s="11"/>
    </row>
    <row r="5534" spans="1:16" ht="12.75" x14ac:dyDescent="0.35">
      <c r="A5534" s="7">
        <v>42483.522870370369</v>
      </c>
      <c r="B5534" s="8" t="str">
        <f>HYPERLINK("https://twitter.com/theDrivenUKshow","@theDrivenUKshow")</f>
        <v>@theDrivenUKshow</v>
      </c>
      <c r="C5534" s="9" t="s">
        <v>7431</v>
      </c>
      <c r="D5534" s="9" t="s">
        <v>5133</v>
      </c>
      <c r="E5534" s="10" t="str">
        <f>HYPERLINK("https://twitter.com/theDrivenUKshow/status/723769107355676672","723769107355676672")</f>
        <v>723769107355676672</v>
      </c>
      <c r="F5534" s="11" t="s">
        <v>48</v>
      </c>
      <c r="G5534" s="11">
        <v>1</v>
      </c>
      <c r="H5534" s="11">
        <v>33</v>
      </c>
      <c r="I5534" s="11">
        <v>2</v>
      </c>
      <c r="J5534" s="11">
        <v>0</v>
      </c>
      <c r="K5534" s="11" t="s">
        <v>21</v>
      </c>
      <c r="L5534" s="7">
        <v>42482.578993055555</v>
      </c>
      <c r="M5534" s="12"/>
      <c r="N5534" s="12"/>
      <c r="O5534" s="10" t="str">
        <f>HYPERLINK("https://pbs.twimg.com/profile_images/723462210484342784/YTUDU9Ir_normal.jpg","View")</f>
        <v>View</v>
      </c>
      <c r="P5534" s="11"/>
    </row>
    <row r="5535" spans="1:16" ht="12.75" x14ac:dyDescent="0.35">
      <c r="A5535" s="7">
        <v>42483.523136574076</v>
      </c>
      <c r="B5535" s="8" t="str">
        <f>HYPERLINK("https://twitter.com/autoblazmotor","@autoblazmotor")</f>
        <v>@autoblazmotor</v>
      </c>
      <c r="C5535" s="9" t="s">
        <v>12716</v>
      </c>
      <c r="D5535" s="9" t="s">
        <v>12717</v>
      </c>
      <c r="E5535" s="10" t="str">
        <f>HYPERLINK("https://twitter.com/autoblazmotor/status/723769201148735488","723769201148735488")</f>
        <v>723769201148735488</v>
      </c>
      <c r="F5535" s="11" t="s">
        <v>48</v>
      </c>
      <c r="G5535" s="11">
        <v>808</v>
      </c>
      <c r="H5535" s="11">
        <v>893</v>
      </c>
      <c r="I5535" s="11">
        <v>0</v>
      </c>
      <c r="J5535" s="11">
        <v>0</v>
      </c>
      <c r="K5535" s="11" t="s">
        <v>21</v>
      </c>
      <c r="L5535" s="7">
        <v>41651.767106481479</v>
      </c>
      <c r="M5535" s="12" t="s">
        <v>2403</v>
      </c>
      <c r="N5535" s="12" t="s">
        <v>12718</v>
      </c>
      <c r="O5535" s="10" t="str">
        <f>HYPERLINK("https://pbs.twimg.com/profile_images/422353139384061953/SHo7byiA_normal.png","View")</f>
        <v>View</v>
      </c>
      <c r="P5535" s="11"/>
    </row>
    <row r="5536" spans="1:16" ht="12.75" x14ac:dyDescent="0.35">
      <c r="A5536" s="7">
        <v>42483.524189814816</v>
      </c>
      <c r="B5536" s="8" t="str">
        <f>HYPERLINK("https://twitter.com/SvOstrow","@SvOstrow")</f>
        <v>@SvOstrow</v>
      </c>
      <c r="C5536" s="9" t="s">
        <v>7247</v>
      </c>
      <c r="D5536" s="9" t="s">
        <v>12719</v>
      </c>
      <c r="E5536" s="10" t="str">
        <f>HYPERLINK("https://twitter.com/SvOstrow/status/723769584680050688","723769584680050688")</f>
        <v>723769584680050688</v>
      </c>
      <c r="F5536" s="11" t="s">
        <v>20</v>
      </c>
      <c r="G5536" s="11">
        <v>207</v>
      </c>
      <c r="H5536" s="11">
        <v>138</v>
      </c>
      <c r="I5536" s="11">
        <v>1</v>
      </c>
      <c r="J5536" s="11">
        <v>1</v>
      </c>
      <c r="K5536" s="11" t="s">
        <v>21</v>
      </c>
      <c r="L5536" s="7">
        <v>41866.102569444447</v>
      </c>
      <c r="M5536" s="12"/>
      <c r="N5536" s="12" t="s">
        <v>7249</v>
      </c>
      <c r="O5536" s="10" t="str">
        <f>HYPERLINK("https://pbs.twimg.com/profile_images/531108045451837442/KHuLHxmU_normal.jpeg","View")</f>
        <v>View</v>
      </c>
      <c r="P5536" s="11"/>
    </row>
    <row r="5537" spans="1:16" ht="12.75" x14ac:dyDescent="0.35">
      <c r="A5537" s="7">
        <v>42483.524317129632</v>
      </c>
      <c r="B5537" s="8" t="str">
        <f>HYPERLINK("https://twitter.com/GvrcnOsman","@GvrcnOsman")</f>
        <v>@GvrcnOsman</v>
      </c>
      <c r="C5537" s="9" t="s">
        <v>12720</v>
      </c>
      <c r="D5537" s="9" t="s">
        <v>12721</v>
      </c>
      <c r="E5537" s="10" t="str">
        <f>HYPERLINK("https://twitter.com/GvrcnOsman/status/723769629877911552","723769629877911552")</f>
        <v>723769629877911552</v>
      </c>
      <c r="F5537" s="11" t="s">
        <v>114</v>
      </c>
      <c r="G5537" s="11">
        <v>834</v>
      </c>
      <c r="H5537" s="11">
        <v>616</v>
      </c>
      <c r="I5537" s="11">
        <v>0</v>
      </c>
      <c r="J5537" s="11">
        <v>0</v>
      </c>
      <c r="K5537" s="11" t="s">
        <v>21</v>
      </c>
      <c r="L5537" s="7">
        <v>41598.566122685181</v>
      </c>
      <c r="M5537" s="12" t="s">
        <v>12722</v>
      </c>
      <c r="N5537" s="12" t="s">
        <v>12723</v>
      </c>
      <c r="O5537" s="10" t="str">
        <f>HYPERLINK("https://pbs.twimg.com/profile_images/717038007652638720/t4cqes2w_normal.jpg","View")</f>
        <v>View</v>
      </c>
      <c r="P5537" s="10" t="str">
        <f>HYPERLINK("http://ctrlq.org/maps/address/#37.05121393,37.3647958","Map")</f>
        <v>Map</v>
      </c>
    </row>
    <row r="5538" spans="1:16" ht="12.75" x14ac:dyDescent="0.35">
      <c r="A5538" s="7">
        <v>42483.524699074071</v>
      </c>
      <c r="B5538" s="8" t="str">
        <f>HYPERLINK("https://twitter.com/berlinwerbung","@berlinwerbung")</f>
        <v>@berlinwerbung</v>
      </c>
      <c r="C5538" s="9" t="s">
        <v>6782</v>
      </c>
      <c r="D5538" s="9" t="s">
        <v>12724</v>
      </c>
      <c r="E5538" s="10" t="str">
        <f>HYPERLINK("https://twitter.com/berlinwerbung/status/723769767576895488","723769767576895488")</f>
        <v>723769767576895488</v>
      </c>
      <c r="F5538" s="11" t="s">
        <v>48</v>
      </c>
      <c r="G5538" s="11">
        <v>822</v>
      </c>
      <c r="H5538" s="11">
        <v>938</v>
      </c>
      <c r="I5538" s="11">
        <v>1</v>
      </c>
      <c r="J5538" s="11">
        <v>0</v>
      </c>
      <c r="K5538" s="11" t="s">
        <v>21</v>
      </c>
      <c r="L5538" s="7">
        <v>39859.765462962961</v>
      </c>
      <c r="M5538" s="12" t="s">
        <v>6784</v>
      </c>
      <c r="N5538" s="12" t="s">
        <v>6785</v>
      </c>
      <c r="O5538" s="10" t="str">
        <f>HYPERLINK("https://pbs.twimg.com/profile_images/707425852322091011/s0V50WcC_normal.jpg","View")</f>
        <v>View</v>
      </c>
      <c r="P5538" s="11"/>
    </row>
    <row r="5539" spans="1:16" ht="12.75" x14ac:dyDescent="0.35">
      <c r="A5539" s="7">
        <v>42483.524699074071</v>
      </c>
      <c r="B5539" s="8" t="str">
        <f>HYPERLINK("https://twitter.com/lesrouescarrees","@lesrouescarrees")</f>
        <v>@lesrouescarrees</v>
      </c>
      <c r="C5539" s="9" t="s">
        <v>12725</v>
      </c>
      <c r="D5539" s="9" t="s">
        <v>10837</v>
      </c>
      <c r="E5539" s="10" t="str">
        <f>HYPERLINK("https://twitter.com/lesrouescarrees/status/723769769896345600","723769769896345600")</f>
        <v>723769769896345600</v>
      </c>
      <c r="F5539" s="11" t="s">
        <v>152</v>
      </c>
      <c r="G5539" s="11">
        <v>168</v>
      </c>
      <c r="H5539" s="11">
        <v>244</v>
      </c>
      <c r="I5539" s="11">
        <v>22</v>
      </c>
      <c r="J5539" s="11">
        <v>0</v>
      </c>
      <c r="K5539" s="11" t="s">
        <v>21</v>
      </c>
      <c r="L5539" s="7">
        <v>42282.709027777775</v>
      </c>
      <c r="M5539" s="12"/>
      <c r="N5539" s="12" t="s">
        <v>12726</v>
      </c>
      <c r="O5539" s="10" t="str">
        <f>HYPERLINK("https://pbs.twimg.com/profile_images/650997880606560256/X60nrR5n_normal.jpg","View")</f>
        <v>View</v>
      </c>
      <c r="P5539" s="11"/>
    </row>
    <row r="5540" spans="1:16" ht="12.75" x14ac:dyDescent="0.35">
      <c r="A5540" s="7">
        <v>42483.524733796294</v>
      </c>
      <c r="B5540" s="8" t="str">
        <f>HYPERLINK("https://twitter.com/heikolossie","@heikolossie")</f>
        <v>@heikolossie</v>
      </c>
      <c r="C5540" s="9" t="s">
        <v>6659</v>
      </c>
      <c r="D5540" s="9" t="s">
        <v>12727</v>
      </c>
      <c r="E5540" s="10" t="str">
        <f>HYPERLINK("https://twitter.com/heikolossie/status/723769783049682944","723769783049682944")</f>
        <v>723769783049682944</v>
      </c>
      <c r="F5540" s="11" t="s">
        <v>20</v>
      </c>
      <c r="G5540" s="11">
        <v>578</v>
      </c>
      <c r="H5540" s="11">
        <v>601</v>
      </c>
      <c r="I5540" s="11">
        <v>0</v>
      </c>
      <c r="J5540" s="11">
        <v>0</v>
      </c>
      <c r="K5540" s="11" t="s">
        <v>21</v>
      </c>
      <c r="L5540" s="7">
        <v>39857.925844907411</v>
      </c>
      <c r="M5540" s="12" t="s">
        <v>6661</v>
      </c>
      <c r="N5540" s="12" t="s">
        <v>6662</v>
      </c>
      <c r="O5540" s="10" t="str">
        <f>HYPERLINK("https://pbs.twimg.com/profile_images/2586380116/image_normal.jpg","View")</f>
        <v>View</v>
      </c>
      <c r="P5540" s="11"/>
    </row>
    <row r="5541" spans="1:16" ht="12.75" x14ac:dyDescent="0.35">
      <c r="A5541" s="7">
        <v>42483.524907407409</v>
      </c>
      <c r="B5541" s="8" t="str">
        <f>HYPERLINK("https://twitter.com/stachelvieh","@stachelvieh")</f>
        <v>@stachelvieh</v>
      </c>
      <c r="C5541" s="9" t="s">
        <v>12728</v>
      </c>
      <c r="D5541" s="9" t="s">
        <v>12659</v>
      </c>
      <c r="E5541" s="10" t="str">
        <f>HYPERLINK("https://twitter.com/stachelvieh/status/723769842734665728","723769842734665728")</f>
        <v>723769842734665728</v>
      </c>
      <c r="F5541" s="11" t="s">
        <v>48</v>
      </c>
      <c r="G5541" s="11">
        <v>737</v>
      </c>
      <c r="H5541" s="11">
        <v>233</v>
      </c>
      <c r="I5541" s="11">
        <v>9</v>
      </c>
      <c r="J5541" s="11">
        <v>0</v>
      </c>
      <c r="K5541" s="11" t="s">
        <v>21</v>
      </c>
      <c r="L5541" s="7">
        <v>41371.830335648148</v>
      </c>
      <c r="M5541" s="12" t="s">
        <v>12729</v>
      </c>
      <c r="N5541" s="12" t="s">
        <v>12730</v>
      </c>
      <c r="O5541" s="10" t="str">
        <f>HYPERLINK("https://pbs.twimg.com/profile_images/714531728778477568/-sIm9BK5_normal.jpg","View")</f>
        <v>View</v>
      </c>
      <c r="P5541" s="11"/>
    </row>
    <row r="5542" spans="1:16" ht="12.75" x14ac:dyDescent="0.35">
      <c r="A5542" s="7">
        <v>42483.525462962964</v>
      </c>
      <c r="B5542" s="8" t="str">
        <f>HYPERLINK("https://twitter.com/molisukun","@molisukun")</f>
        <v>@molisukun</v>
      </c>
      <c r="C5542" s="9" t="s">
        <v>12731</v>
      </c>
      <c r="D5542" s="9" t="s">
        <v>12732</v>
      </c>
      <c r="E5542" s="10" t="str">
        <f>HYPERLINK("https://twitter.com/molisukun/status/723770046669950976","723770046669950976")</f>
        <v>723770046669950976</v>
      </c>
      <c r="F5542" s="11" t="s">
        <v>91</v>
      </c>
      <c r="G5542" s="11">
        <v>84</v>
      </c>
      <c r="H5542" s="11">
        <v>28</v>
      </c>
      <c r="I5542" s="11">
        <v>3</v>
      </c>
      <c r="J5542" s="11">
        <v>0</v>
      </c>
      <c r="K5542" s="11" t="s">
        <v>21</v>
      </c>
      <c r="L5542" s="7">
        <v>41788.81523148148</v>
      </c>
      <c r="M5542" s="12"/>
      <c r="N5542" s="12" t="s">
        <v>12733</v>
      </c>
      <c r="O5542" s="10" t="str">
        <f>HYPERLINK("https://pbs.twimg.com/profile_images/472019695189491712/cx9z_iBS_normal.jpeg","View")</f>
        <v>View</v>
      </c>
      <c r="P5542" s="11"/>
    </row>
    <row r="5543" spans="1:16" ht="12.75" x14ac:dyDescent="0.35">
      <c r="A5543" s="7">
        <v>42483.52579861111</v>
      </c>
      <c r="B5543" s="8" t="str">
        <f>HYPERLINK("https://twitter.com/MRauleac","@MRauleac")</f>
        <v>@MRauleac</v>
      </c>
      <c r="C5543" s="9" t="s">
        <v>12734</v>
      </c>
      <c r="D5543" s="9" t="s">
        <v>12735</v>
      </c>
      <c r="E5543" s="10" t="str">
        <f>HYPERLINK("https://twitter.com/MRauleac/status/723770168099409920","723770168099409920")</f>
        <v>723770168099409920</v>
      </c>
      <c r="F5543" s="11" t="s">
        <v>43</v>
      </c>
      <c r="G5543" s="11">
        <v>4409</v>
      </c>
      <c r="H5543" s="11">
        <v>4254</v>
      </c>
      <c r="I5543" s="11">
        <v>13</v>
      </c>
      <c r="J5543" s="11">
        <v>0</v>
      </c>
      <c r="K5543" s="11" t="s">
        <v>21</v>
      </c>
      <c r="L5543" s="7">
        <v>42234.91479166667</v>
      </c>
      <c r="M5543" s="12" t="s">
        <v>12736</v>
      </c>
      <c r="N5543" s="12" t="s">
        <v>12737</v>
      </c>
      <c r="O5543" s="10" t="str">
        <f>HYPERLINK("https://pbs.twimg.com/profile_images/640463335574515713/HsmIEid8_normal.jpg","View")</f>
        <v>View</v>
      </c>
      <c r="P5543" s="11"/>
    </row>
    <row r="5544" spans="1:16" ht="12.75" x14ac:dyDescent="0.35">
      <c r="A5544" s="7">
        <v>42483.526145833333</v>
      </c>
      <c r="B5544" s="8" t="str">
        <f>HYPERLINK("https://twitter.com/coplusx","@coplusx")</f>
        <v>@coplusx</v>
      </c>
      <c r="C5544" s="9" t="s">
        <v>12738</v>
      </c>
      <c r="D5544" s="9" t="s">
        <v>12739</v>
      </c>
      <c r="E5544" s="10" t="str">
        <f>HYPERLINK("https://twitter.com/coplusx/status/723770294209531904","723770294209531904")</f>
        <v>723770294209531904</v>
      </c>
      <c r="F5544" s="11" t="s">
        <v>20</v>
      </c>
      <c r="G5544" s="11">
        <v>116</v>
      </c>
      <c r="H5544" s="11">
        <v>314</v>
      </c>
      <c r="I5544" s="11">
        <v>1</v>
      </c>
      <c r="J5544" s="11">
        <v>0</v>
      </c>
      <c r="K5544" s="11" t="s">
        <v>21</v>
      </c>
      <c r="L5544" s="7">
        <v>42323.8200462963</v>
      </c>
      <c r="M5544" s="12" t="s">
        <v>12740</v>
      </c>
      <c r="N5544" s="12" t="s">
        <v>12741</v>
      </c>
      <c r="O5544" s="10" t="str">
        <f>HYPERLINK("https://pbs.twimg.com/profile_images/665939288538918913/4UGtyA65_normal.jpg","View")</f>
        <v>View</v>
      </c>
      <c r="P5544" s="11"/>
    </row>
    <row r="5545" spans="1:16" ht="12.75" x14ac:dyDescent="0.35">
      <c r="A5545" s="7">
        <v>42483.527685185181</v>
      </c>
      <c r="B5545" s="8" t="str">
        <f>HYPERLINK("https://twitter.com/tooppermann","@tooppermann")</f>
        <v>@tooppermann</v>
      </c>
      <c r="C5545" s="9" t="s">
        <v>3379</v>
      </c>
      <c r="D5545" s="9" t="s">
        <v>12742</v>
      </c>
      <c r="E5545" s="10" t="str">
        <f>HYPERLINK("https://twitter.com/tooppermann/status/723770850936295424","723770850936295424")</f>
        <v>723770850936295424</v>
      </c>
      <c r="F5545" s="11" t="s">
        <v>91</v>
      </c>
      <c r="G5545" s="11">
        <v>588</v>
      </c>
      <c r="H5545" s="11">
        <v>480</v>
      </c>
      <c r="I5545" s="11">
        <v>0</v>
      </c>
      <c r="J5545" s="11">
        <v>0</v>
      </c>
      <c r="K5545" s="11" t="s">
        <v>21</v>
      </c>
      <c r="L5545" s="7">
        <v>39837.267662037033</v>
      </c>
      <c r="M5545" s="12" t="s">
        <v>3381</v>
      </c>
      <c r="N5545" s="12" t="s">
        <v>3382</v>
      </c>
      <c r="O5545" s="10" t="str">
        <f>HYPERLINK("https://pbs.twimg.com/profile_images/569498266786877440/eYP0jdWw_normal.jpeg","View")</f>
        <v>View</v>
      </c>
      <c r="P5545" s="11"/>
    </row>
    <row r="5546" spans="1:16" ht="12.75" x14ac:dyDescent="0.35">
      <c r="A5546" s="7">
        <v>42483.528553240743</v>
      </c>
      <c r="B5546" s="8" t="str">
        <f>HYPERLINK("https://twitter.com/Gachie_","@Gachie_")</f>
        <v>@Gachie_</v>
      </c>
      <c r="C5546" s="9" t="s">
        <v>8840</v>
      </c>
      <c r="D5546" s="9" t="s">
        <v>12411</v>
      </c>
      <c r="E5546" s="10" t="str">
        <f>HYPERLINK("https://twitter.com/Gachie_/status/723771165257424896","723771165257424896")</f>
        <v>723771165257424896</v>
      </c>
      <c r="F5546" s="11" t="s">
        <v>43</v>
      </c>
      <c r="G5546" s="11">
        <v>1567</v>
      </c>
      <c r="H5546" s="11">
        <v>449</v>
      </c>
      <c r="I5546" s="11">
        <v>5</v>
      </c>
      <c r="J5546" s="11">
        <v>0</v>
      </c>
      <c r="K5546" s="11" t="s">
        <v>21</v>
      </c>
      <c r="L5546" s="7">
        <v>40690.631111111114</v>
      </c>
      <c r="M5546" s="12" t="s">
        <v>12743</v>
      </c>
      <c r="N5546" s="12" t="s">
        <v>12744</v>
      </c>
      <c r="O5546" s="10" t="str">
        <f>HYPERLINK("https://pbs.twimg.com/profile_images/685731696629669888/Q1eGq-ag_normal.png","View")</f>
        <v>View</v>
      </c>
      <c r="P5546" s="11"/>
    </row>
    <row r="5547" spans="1:16" ht="12.75" x14ac:dyDescent="0.35">
      <c r="A5547" s="7">
        <v>42483.529143518521</v>
      </c>
      <c r="B5547" s="8" t="str">
        <f>HYPERLINK("https://twitter.com/Mobkay","@Mobkay")</f>
        <v>@Mobkay</v>
      </c>
      <c r="C5547" s="9" t="s">
        <v>12745</v>
      </c>
      <c r="D5547" s="9" t="s">
        <v>12411</v>
      </c>
      <c r="E5547" s="10" t="str">
        <f>HYPERLINK("https://twitter.com/Mobkay/status/723771381301780480","723771381301780480")</f>
        <v>723771381301780480</v>
      </c>
      <c r="F5547" s="11" t="s">
        <v>585</v>
      </c>
      <c r="G5547" s="11">
        <v>2602</v>
      </c>
      <c r="H5547" s="11">
        <v>1434</v>
      </c>
      <c r="I5547" s="11">
        <v>5</v>
      </c>
      <c r="J5547" s="11">
        <v>0</v>
      </c>
      <c r="K5547" s="11" t="s">
        <v>21</v>
      </c>
      <c r="L5547" s="7">
        <v>40508.369363425925</v>
      </c>
      <c r="M5547" s="12" t="s">
        <v>12746</v>
      </c>
      <c r="N5547" s="12" t="s">
        <v>12747</v>
      </c>
      <c r="O5547" s="10" t="str">
        <f>HYPERLINK("https://pbs.twimg.com/profile_images/378800000697620600/f8e7249e5c51121bbf503fd7cc4d5ab6_normal.jpeg","View")</f>
        <v>View</v>
      </c>
      <c r="P5547" s="11"/>
    </row>
    <row r="5548" spans="1:16" ht="12.75" x14ac:dyDescent="0.35">
      <c r="A5548" s="7">
        <v>42483.529236111106</v>
      </c>
      <c r="B5548" s="8" t="str">
        <f>HYPERLINK("https://twitter.com/OnlyCarrera","@OnlyCarrera")</f>
        <v>@OnlyCarrera</v>
      </c>
      <c r="C5548" s="9" t="s">
        <v>12748</v>
      </c>
      <c r="D5548" s="9" t="s">
        <v>12749</v>
      </c>
      <c r="E5548" s="10" t="str">
        <f>HYPERLINK("https://twitter.com/OnlyCarrera/status/723771411312070656","723771411312070656")</f>
        <v>723771411312070656</v>
      </c>
      <c r="F5548" s="11" t="s">
        <v>68</v>
      </c>
      <c r="G5548" s="11">
        <v>3190</v>
      </c>
      <c r="H5548" s="11">
        <v>296</v>
      </c>
      <c r="I5548" s="11">
        <v>0</v>
      </c>
      <c r="J5548" s="11">
        <v>0</v>
      </c>
      <c r="K5548" s="11" t="s">
        <v>21</v>
      </c>
      <c r="L5548" s="7">
        <v>41976.876180555555</v>
      </c>
      <c r="M5548" s="12"/>
      <c r="N5548" s="12" t="s">
        <v>12750</v>
      </c>
      <c r="O5548" s="10" t="str">
        <f>HYPERLINK("https://pbs.twimg.com/profile_images/542918171158511617/A72BLdkG_normal.png","View")</f>
        <v>View</v>
      </c>
      <c r="P5548" s="11"/>
    </row>
    <row r="5549" spans="1:16" ht="12.75" x14ac:dyDescent="0.35">
      <c r="A5549" s="7">
        <v>42483.529687499999</v>
      </c>
      <c r="B5549" s="8" t="str">
        <f>HYPERLINK("https://twitter.com/BioFares","@BioFares")</f>
        <v>@BioFares</v>
      </c>
      <c r="C5549" s="9" t="s">
        <v>2313</v>
      </c>
      <c r="D5549" s="9" t="s">
        <v>12411</v>
      </c>
      <c r="E5549" s="10" t="str">
        <f>HYPERLINK("https://twitter.com/BioFares/status/723771576735424512","723771576735424512")</f>
        <v>723771576735424512</v>
      </c>
      <c r="F5549" s="11" t="s">
        <v>43</v>
      </c>
      <c r="G5549" s="11">
        <v>3623</v>
      </c>
      <c r="H5549" s="11">
        <v>3692</v>
      </c>
      <c r="I5549" s="11">
        <v>5</v>
      </c>
      <c r="J5549" s="11">
        <v>0</v>
      </c>
      <c r="K5549" s="11" t="s">
        <v>21</v>
      </c>
      <c r="L5549" s="7">
        <v>41077.879375000004</v>
      </c>
      <c r="M5549" s="12"/>
      <c r="N5549" s="12"/>
      <c r="O5549" s="10" t="str">
        <f>HYPERLINK("https://pbs.twimg.com/profile_images/459716655581364224/L2RGYkk5_normal.jpeg","View")</f>
        <v>View</v>
      </c>
      <c r="P5549" s="11"/>
    </row>
    <row r="5550" spans="1:16" ht="12.75" x14ac:dyDescent="0.35">
      <c r="A5550" s="7">
        <v>42483.530347222222</v>
      </c>
      <c r="B5550" s="8" t="str">
        <f>HYPERLINK("https://twitter.com/VWBeetleSales","@VWBeetleSales")</f>
        <v>@VWBeetleSales</v>
      </c>
      <c r="C5550" s="9" t="s">
        <v>127</v>
      </c>
      <c r="D5550" s="9" t="s">
        <v>12751</v>
      </c>
      <c r="E5550" s="10" t="str">
        <f>HYPERLINK("https://twitter.com/VWBeetleSales/status/723771813486960641","723771813486960641")</f>
        <v>723771813486960641</v>
      </c>
      <c r="F5550" s="10" t="s">
        <v>124</v>
      </c>
      <c r="G5550" s="11">
        <v>36</v>
      </c>
      <c r="H5550" s="11">
        <v>32</v>
      </c>
      <c r="I5550" s="11">
        <v>0</v>
      </c>
      <c r="J5550" s="11">
        <v>0</v>
      </c>
      <c r="K5550" s="11" t="s">
        <v>21</v>
      </c>
      <c r="L5550" s="7">
        <v>42427.019756944443</v>
      </c>
      <c r="M5550" s="12" t="s">
        <v>129</v>
      </c>
      <c r="N5550" s="12" t="s">
        <v>130</v>
      </c>
      <c r="O5550" s="10" t="str">
        <f>HYPERLINK("https://pbs.twimg.com/profile_images/703294545195307008/qeCvrX86_normal.jpg","View")</f>
        <v>View</v>
      </c>
      <c r="P5550" s="11"/>
    </row>
    <row r="5551" spans="1:16" ht="12.75" x14ac:dyDescent="0.35">
      <c r="A5551" s="7">
        <v>42483.530451388884</v>
      </c>
      <c r="B5551" s="8" t="str">
        <f>HYPERLINK("https://twitter.com/VWCamperSales","@VWCamperSales")</f>
        <v>@VWCamperSales</v>
      </c>
      <c r="C5551" s="9" t="s">
        <v>216</v>
      </c>
      <c r="D5551" s="9" t="s">
        <v>12752</v>
      </c>
      <c r="E5551" s="10" t="str">
        <f>HYPERLINK("https://twitter.com/VWCamperSales/status/723771854968627200","723771854968627200")</f>
        <v>723771854968627200</v>
      </c>
      <c r="F5551" s="10" t="s">
        <v>124</v>
      </c>
      <c r="G5551" s="11">
        <v>619</v>
      </c>
      <c r="H5551" s="11">
        <v>580</v>
      </c>
      <c r="I5551" s="11">
        <v>0</v>
      </c>
      <c r="J5551" s="11">
        <v>0</v>
      </c>
      <c r="K5551" s="11" t="s">
        <v>21</v>
      </c>
      <c r="L5551" s="7">
        <v>42215.98809027778</v>
      </c>
      <c r="M5551" s="12" t="s">
        <v>129</v>
      </c>
      <c r="N5551" s="12" t="s">
        <v>218</v>
      </c>
      <c r="O5551" s="10" t="str">
        <f>HYPERLINK("https://pbs.twimg.com/profile_images/627949001179037696/skEBkS05_normal.jpg","View")</f>
        <v>View</v>
      </c>
      <c r="P5551" s="11"/>
    </row>
    <row r="5552" spans="1:16" ht="12.75" x14ac:dyDescent="0.35">
      <c r="A5552" s="7">
        <v>42483.533217592594</v>
      </c>
      <c r="B5552" s="8" t="str">
        <f>HYPERLINK("https://twitter.com/tjasko","@tjasko")</f>
        <v>@tjasko</v>
      </c>
      <c r="C5552" s="9" t="s">
        <v>12753</v>
      </c>
      <c r="D5552" s="9" t="s">
        <v>12754</v>
      </c>
      <c r="E5552" s="10" t="str">
        <f>HYPERLINK("https://twitter.com/tjasko/status/723772854421065728","723772854421065728")</f>
        <v>723772854421065728</v>
      </c>
      <c r="F5552" s="11" t="s">
        <v>114</v>
      </c>
      <c r="G5552" s="11">
        <v>565</v>
      </c>
      <c r="H5552" s="11">
        <v>329</v>
      </c>
      <c r="I5552" s="11">
        <v>0</v>
      </c>
      <c r="J5552" s="11">
        <v>0</v>
      </c>
      <c r="K5552" s="11" t="s">
        <v>21</v>
      </c>
      <c r="L5552" s="7">
        <v>39772.385208333333</v>
      </c>
      <c r="M5552" s="12" t="s">
        <v>4265</v>
      </c>
      <c r="N5552" s="12" t="s">
        <v>12755</v>
      </c>
      <c r="O5552" s="10" t="str">
        <f>HYPERLINK("https://pbs.twimg.com/profile_images/537493150416125952/V9FSvv1i_normal.jpeg","View")</f>
        <v>View</v>
      </c>
      <c r="P5552" s="11"/>
    </row>
    <row r="5553" spans="1:16" ht="12.75" x14ac:dyDescent="0.35">
      <c r="A5553" s="7">
        <v>42483.53402777778</v>
      </c>
      <c r="B5553" s="8" t="str">
        <f>HYPERLINK("https://twitter.com/ffamilymedicine","@ffamilymedicine")</f>
        <v>@ffamilymedicine</v>
      </c>
      <c r="C5553" s="9" t="s">
        <v>6399</v>
      </c>
      <c r="D5553" s="9" t="s">
        <v>12152</v>
      </c>
      <c r="E5553" s="10" t="str">
        <f>HYPERLINK("https://twitter.com/ffamilymedicine/status/723773151188914178","723773151188914178")</f>
        <v>723773151188914178</v>
      </c>
      <c r="F5553" s="11" t="s">
        <v>20</v>
      </c>
      <c r="G5553" s="11">
        <v>5037</v>
      </c>
      <c r="H5553" s="11">
        <v>5261</v>
      </c>
      <c r="I5553" s="11">
        <v>4</v>
      </c>
      <c r="J5553" s="11">
        <v>0</v>
      </c>
      <c r="K5553" s="11" t="s">
        <v>21</v>
      </c>
      <c r="L5553" s="7">
        <v>42054.154085648144</v>
      </c>
      <c r="M5553" s="12" t="s">
        <v>6401</v>
      </c>
      <c r="N5553" s="12" t="s">
        <v>6402</v>
      </c>
      <c r="O5553" s="10" t="str">
        <f>HYPERLINK("https://pbs.twimg.com/profile_images/583322292995772418/_hSKZ3NN_normal.jpg","View")</f>
        <v>View</v>
      </c>
      <c r="P5553" s="11"/>
    </row>
    <row r="5554" spans="1:16" ht="12.75" x14ac:dyDescent="0.35">
      <c r="A5554" s="7">
        <v>42483.534155092595</v>
      </c>
      <c r="B5554" s="8" t="str">
        <f>HYPERLINK("https://twitter.com/PamelaCCcorona","@PamelaCCcorona")</f>
        <v>@PamelaCCcorona</v>
      </c>
      <c r="C5554" s="9" t="s">
        <v>12756</v>
      </c>
      <c r="D5554" s="9" t="s">
        <v>12757</v>
      </c>
      <c r="E5554" s="10" t="str">
        <f>HYPERLINK("https://twitter.com/PamelaCCcorona/status/723773196319752192","723773196319752192")</f>
        <v>723773196319752192</v>
      </c>
      <c r="F5554" s="11" t="s">
        <v>68</v>
      </c>
      <c r="G5554" s="11">
        <v>167</v>
      </c>
      <c r="H5554" s="11">
        <v>44</v>
      </c>
      <c r="I5554" s="11">
        <v>0</v>
      </c>
      <c r="J5554" s="11">
        <v>0</v>
      </c>
      <c r="K5554" s="11" t="s">
        <v>21</v>
      </c>
      <c r="L5554" s="7">
        <v>42375.789224537039</v>
      </c>
      <c r="M5554" s="12"/>
      <c r="N5554" s="12" t="s">
        <v>12758</v>
      </c>
      <c r="O5554" s="10" t="str">
        <f>HYPERLINK("https://pbs.twimg.com/profile_images/701935561657835520/gdjnXKfP_normal.png","View")</f>
        <v>View</v>
      </c>
      <c r="P5554" s="11"/>
    </row>
    <row r="5555" spans="1:16" ht="12.75" x14ac:dyDescent="0.35">
      <c r="A5555" s="7">
        <v>42483.534687499996</v>
      </c>
      <c r="B5555" s="8" t="str">
        <f>HYPERLINK("https://twitter.com/bodo1962","@bodo1962")</f>
        <v>@bodo1962</v>
      </c>
      <c r="C5555" s="9" t="s">
        <v>1834</v>
      </c>
      <c r="D5555" s="9" t="s">
        <v>12759</v>
      </c>
      <c r="E5555" s="10" t="str">
        <f>HYPERLINK("https://twitter.com/bodo1962/status/723773387357728769","723773387357728769")</f>
        <v>723773387357728769</v>
      </c>
      <c r="F5555" s="11" t="s">
        <v>43</v>
      </c>
      <c r="G5555" s="11">
        <v>54</v>
      </c>
      <c r="H5555" s="11">
        <v>73</v>
      </c>
      <c r="I5555" s="11">
        <v>0</v>
      </c>
      <c r="J5555" s="11">
        <v>0</v>
      </c>
      <c r="K5555" s="11" t="s">
        <v>21</v>
      </c>
      <c r="L5555" s="7">
        <v>40828.089305555557</v>
      </c>
      <c r="M5555" s="12"/>
      <c r="N5555" s="12" t="s">
        <v>1836</v>
      </c>
      <c r="O5555" s="10" t="str">
        <f>HYPERLINK("https://pbs.twimg.com/profile_images/439706141728051201/GQgdrA5p_normal.jpeg","View")</f>
        <v>View</v>
      </c>
      <c r="P5555" s="11"/>
    </row>
    <row r="5556" spans="1:16" ht="12.75" x14ac:dyDescent="0.35">
      <c r="A5556" s="7">
        <v>42483.535092592589</v>
      </c>
      <c r="B5556" s="8" t="str">
        <f>HYPERLINK("https://twitter.com/Scirocco_Tuning","@Scirocco_Tuning")</f>
        <v>@Scirocco_Tuning</v>
      </c>
      <c r="C5556" s="9" t="s">
        <v>51</v>
      </c>
      <c r="D5556" s="9" t="s">
        <v>12760</v>
      </c>
      <c r="E5556" s="10" t="str">
        <f>HYPERLINK("https://twitter.com/Scirocco_Tuning/status/723773534812684288","723773534812684288")</f>
        <v>723773534812684288</v>
      </c>
      <c r="F5556" s="11" t="s">
        <v>53</v>
      </c>
      <c r="G5556" s="11">
        <v>69</v>
      </c>
      <c r="H5556" s="11">
        <v>215</v>
      </c>
      <c r="I5556" s="11">
        <v>0</v>
      </c>
      <c r="J5556" s="11">
        <v>0</v>
      </c>
      <c r="K5556" s="11" t="s">
        <v>21</v>
      </c>
      <c r="L5556" s="7">
        <v>40844.564722222218</v>
      </c>
      <c r="M5556" s="12"/>
      <c r="N5556" s="12"/>
      <c r="O5556" s="10" t="str">
        <f>HYPERLINK("https://pbs.twimg.com/profile_images/1610421423/Image2_normal.jpg","View")</f>
        <v>View</v>
      </c>
      <c r="P5556" s="11"/>
    </row>
    <row r="5557" spans="1:16" ht="12.75" x14ac:dyDescent="0.35">
      <c r="A5557" s="7">
        <v>42483.538287037038</v>
      </c>
      <c r="B5557" s="8" t="str">
        <f>HYPERLINK("https://twitter.com/theDrivenUKshow","@theDrivenUKshow")</f>
        <v>@theDrivenUKshow</v>
      </c>
      <c r="C5557" s="9" t="s">
        <v>7431</v>
      </c>
      <c r="D5557" s="9" t="s">
        <v>12761</v>
      </c>
      <c r="E5557" s="10" t="str">
        <f>HYPERLINK("https://twitter.com/theDrivenUKshow/status/723774692230836224","723774692230836224")</f>
        <v>723774692230836224</v>
      </c>
      <c r="F5557" s="11" t="s">
        <v>48</v>
      </c>
      <c r="G5557" s="11">
        <v>1</v>
      </c>
      <c r="H5557" s="11">
        <v>36</v>
      </c>
      <c r="I5557" s="11">
        <v>0</v>
      </c>
      <c r="J5557" s="11">
        <v>0</v>
      </c>
      <c r="K5557" s="11" t="s">
        <v>21</v>
      </c>
      <c r="L5557" s="7">
        <v>42482.578993055555</v>
      </c>
      <c r="M5557" s="12"/>
      <c r="N5557" s="12"/>
      <c r="O5557" s="10" t="str">
        <f>HYPERLINK("https://pbs.twimg.com/profile_images/723462210484342784/YTUDU9Ir_normal.jpg","View")</f>
        <v>View</v>
      </c>
      <c r="P5557" s="11"/>
    </row>
    <row r="5558" spans="1:16" ht="12.75" x14ac:dyDescent="0.35">
      <c r="A5558" s="7">
        <v>42483.538460648153</v>
      </c>
      <c r="B5558" s="8" t="str">
        <f>HYPERLINK("https://twitter.com/bodo1962","@bodo1962")</f>
        <v>@bodo1962</v>
      </c>
      <c r="C5558" s="9" t="s">
        <v>1834</v>
      </c>
      <c r="D5558" s="9" t="s">
        <v>12762</v>
      </c>
      <c r="E5558" s="10" t="str">
        <f>HYPERLINK("https://twitter.com/bodo1962/status/723774756496019456","723774756496019456")</f>
        <v>723774756496019456</v>
      </c>
      <c r="F5558" s="11" t="s">
        <v>43</v>
      </c>
      <c r="G5558" s="11">
        <v>54</v>
      </c>
      <c r="H5558" s="11">
        <v>73</v>
      </c>
      <c r="I5558" s="11">
        <v>0</v>
      </c>
      <c r="J5558" s="11">
        <v>0</v>
      </c>
      <c r="K5558" s="11" t="s">
        <v>21</v>
      </c>
      <c r="L5558" s="7">
        <v>40828.089305555557</v>
      </c>
      <c r="M5558" s="12"/>
      <c r="N5558" s="12" t="s">
        <v>1836</v>
      </c>
      <c r="O5558" s="10" t="str">
        <f>HYPERLINK("https://pbs.twimg.com/profile_images/439706141728051201/GQgdrA5p_normal.jpeg","View")</f>
        <v>View</v>
      </c>
      <c r="P5558" s="11"/>
    </row>
    <row r="5559" spans="1:16" ht="12.75" x14ac:dyDescent="0.35">
      <c r="A5559" s="7">
        <v>42483.538993055554</v>
      </c>
      <c r="B5559" s="8" t="str">
        <f>HYPERLINK("https://twitter.com/suma_we","@suma_we")</f>
        <v>@suma_we</v>
      </c>
      <c r="C5559" s="9" t="s">
        <v>12763</v>
      </c>
      <c r="D5559" s="9" t="s">
        <v>12764</v>
      </c>
      <c r="E5559" s="10" t="str">
        <f>HYPERLINK("https://twitter.com/suma_we/status/723774949870166016","723774949870166016")</f>
        <v>723774949870166016</v>
      </c>
      <c r="F5559" s="11" t="s">
        <v>91</v>
      </c>
      <c r="G5559" s="11">
        <v>135</v>
      </c>
      <c r="H5559" s="11">
        <v>423</v>
      </c>
      <c r="I5559" s="11">
        <v>0</v>
      </c>
      <c r="J5559" s="11">
        <v>0</v>
      </c>
      <c r="K5559" s="11" t="s">
        <v>21</v>
      </c>
      <c r="L5559" s="7">
        <v>40450.860694444447</v>
      </c>
      <c r="M5559" s="12" t="s">
        <v>1359</v>
      </c>
      <c r="N5559" s="12" t="s">
        <v>12765</v>
      </c>
      <c r="O5559" s="10" t="str">
        <f>HYPERLINK("https://pbs.twimg.com/profile_images/711824654252556288/QX4bbwyl_normal.jpg","View")</f>
        <v>View</v>
      </c>
      <c r="P5559" s="11"/>
    </row>
    <row r="5560" spans="1:16" ht="12.75" x14ac:dyDescent="0.35">
      <c r="A5560" s="7">
        <v>42483.540347222224</v>
      </c>
      <c r="B5560" s="8" t="str">
        <f>HYPERLINK("https://twitter.com/aktionaer","@aktionaer")</f>
        <v>@aktionaer</v>
      </c>
      <c r="C5560" s="9" t="s">
        <v>1252</v>
      </c>
      <c r="D5560" s="9" t="s">
        <v>12766</v>
      </c>
      <c r="E5560" s="10" t="str">
        <f>HYPERLINK("https://twitter.com/aktionaer/status/723775440502972416","723775440502972416")</f>
        <v>723775440502972416</v>
      </c>
      <c r="F5560" s="11" t="s">
        <v>63</v>
      </c>
      <c r="G5560" s="11">
        <v>4627</v>
      </c>
      <c r="H5560" s="11">
        <v>1113</v>
      </c>
      <c r="I5560" s="11">
        <v>0</v>
      </c>
      <c r="J5560" s="11">
        <v>0</v>
      </c>
      <c r="K5560" s="11" t="s">
        <v>21</v>
      </c>
      <c r="L5560" s="7">
        <v>39844.695729166662</v>
      </c>
      <c r="M5560" s="12" t="s">
        <v>1254</v>
      </c>
      <c r="N5560" s="12" t="s">
        <v>1255</v>
      </c>
      <c r="O5560" s="10" t="str">
        <f>HYPERLINK("https://pbs.twimg.com/profile_images/679552623641509888/_vPw9IS2_normal.png","View")</f>
        <v>View</v>
      </c>
      <c r="P5560" s="11"/>
    </row>
    <row r="5561" spans="1:16" ht="12.75" x14ac:dyDescent="0.35">
      <c r="A5561" s="7">
        <v>42483.540381944447</v>
      </c>
      <c r="B5561" s="8" t="str">
        <f>HYPERLINK("https://twitter.com/c_martin982","@c_martin982")</f>
        <v>@c_martin982</v>
      </c>
      <c r="C5561" s="9" t="s">
        <v>12767</v>
      </c>
      <c r="D5561" s="9" t="s">
        <v>12671</v>
      </c>
      <c r="E5561" s="10" t="str">
        <f>HYPERLINK("https://twitter.com/c_martin982/status/723775451861258240","723775451861258240")</f>
        <v>723775451861258240</v>
      </c>
      <c r="F5561" s="11" t="s">
        <v>367</v>
      </c>
      <c r="G5561" s="11">
        <v>100</v>
      </c>
      <c r="H5561" s="11">
        <v>121</v>
      </c>
      <c r="I5561" s="11">
        <v>2</v>
      </c>
      <c r="J5561" s="11">
        <v>0</v>
      </c>
      <c r="K5561" s="11" t="s">
        <v>21</v>
      </c>
      <c r="L5561" s="7">
        <v>42313.869571759264</v>
      </c>
      <c r="M5561" s="12" t="s">
        <v>12768</v>
      </c>
      <c r="N5561" s="12" t="s">
        <v>12769</v>
      </c>
      <c r="O5561" s="10" t="str">
        <f>HYPERLINK("https://pbs.twimg.com/profile_images/709373395771723776/EGbN9UvT_normal.jpg","View")</f>
        <v>View</v>
      </c>
      <c r="P5561" s="11"/>
    </row>
    <row r="5562" spans="1:16" ht="12.75" x14ac:dyDescent="0.35">
      <c r="A5562" s="7">
        <v>42483.541192129633</v>
      </c>
      <c r="B5562" s="8" t="str">
        <f t="shared" ref="B5562:B5565" si="487">HYPERLINK("https://twitter.com/Insta_VWT","@Insta_VWT")</f>
        <v>@Insta_VWT</v>
      </c>
      <c r="C5562" s="9" t="s">
        <v>181</v>
      </c>
      <c r="D5562" s="9" t="s">
        <v>12770</v>
      </c>
      <c r="E5562" s="10" t="str">
        <f>HYPERLINK("https://twitter.com/Insta_VWT/status/723775747362545664","723775747362545664")</f>
        <v>723775747362545664</v>
      </c>
      <c r="F5562" s="11" t="s">
        <v>68</v>
      </c>
      <c r="G5562" s="11">
        <v>481</v>
      </c>
      <c r="H5562" s="11">
        <v>0</v>
      </c>
      <c r="I5562" s="11">
        <v>0</v>
      </c>
      <c r="J5562" s="11">
        <v>0</v>
      </c>
      <c r="K5562" s="11" t="s">
        <v>21</v>
      </c>
      <c r="L5562" s="7">
        <v>41658.782800925925</v>
      </c>
      <c r="M5562" s="12" t="s">
        <v>183</v>
      </c>
      <c r="N5562" s="12" t="s">
        <v>184</v>
      </c>
      <c r="O5562" s="10" t="str">
        <f t="shared" ref="O5562:O5565" si="488">HYPERLINK("https://pbs.twimg.com/profile_images/424893967197433858/iQ86NktX_normal.jpeg","View")</f>
        <v>View</v>
      </c>
      <c r="P5562" s="11"/>
    </row>
    <row r="5563" spans="1:16" ht="12.75" x14ac:dyDescent="0.35">
      <c r="A5563" s="7">
        <v>42483.541249999995</v>
      </c>
      <c r="B5563" s="8" t="str">
        <f t="shared" si="487"/>
        <v>@Insta_VWT</v>
      </c>
      <c r="C5563" s="9" t="s">
        <v>181</v>
      </c>
      <c r="D5563" s="9" t="s">
        <v>12771</v>
      </c>
      <c r="E5563" s="10" t="str">
        <f>HYPERLINK("https://twitter.com/Insta_VWT/status/723775764567580672","723775764567580672")</f>
        <v>723775764567580672</v>
      </c>
      <c r="F5563" s="11" t="s">
        <v>68</v>
      </c>
      <c r="G5563" s="11">
        <v>481</v>
      </c>
      <c r="H5563" s="11">
        <v>0</v>
      </c>
      <c r="I5563" s="11">
        <v>0</v>
      </c>
      <c r="J5563" s="11">
        <v>0</v>
      </c>
      <c r="K5563" s="11" t="s">
        <v>21</v>
      </c>
      <c r="L5563" s="7">
        <v>41658.782800925925</v>
      </c>
      <c r="M5563" s="12" t="s">
        <v>183</v>
      </c>
      <c r="N5563" s="12" t="s">
        <v>184</v>
      </c>
      <c r="O5563" s="10" t="str">
        <f t="shared" si="488"/>
        <v>View</v>
      </c>
      <c r="P5563" s="11"/>
    </row>
    <row r="5564" spans="1:16" ht="12.75" x14ac:dyDescent="0.35">
      <c r="A5564" s="7">
        <v>42483.541261574079</v>
      </c>
      <c r="B5564" s="8" t="str">
        <f t="shared" si="487"/>
        <v>@Insta_VWT</v>
      </c>
      <c r="C5564" s="9" t="s">
        <v>181</v>
      </c>
      <c r="D5564" s="9" t="s">
        <v>12772</v>
      </c>
      <c r="E5564" s="10" t="str">
        <f>HYPERLINK("https://twitter.com/Insta_VWT/status/723775769701408768","723775769701408768")</f>
        <v>723775769701408768</v>
      </c>
      <c r="F5564" s="11" t="s">
        <v>68</v>
      </c>
      <c r="G5564" s="11">
        <v>481</v>
      </c>
      <c r="H5564" s="11">
        <v>0</v>
      </c>
      <c r="I5564" s="11">
        <v>0</v>
      </c>
      <c r="J5564" s="11">
        <v>0</v>
      </c>
      <c r="K5564" s="11" t="s">
        <v>21</v>
      </c>
      <c r="L5564" s="7">
        <v>41658.782800925925</v>
      </c>
      <c r="M5564" s="12" t="s">
        <v>183</v>
      </c>
      <c r="N5564" s="12" t="s">
        <v>184</v>
      </c>
      <c r="O5564" s="10" t="str">
        <f t="shared" si="488"/>
        <v>View</v>
      </c>
      <c r="P5564" s="11"/>
    </row>
    <row r="5565" spans="1:16" ht="12.75" x14ac:dyDescent="0.35">
      <c r="A5565" s="7">
        <v>42483.541284722218</v>
      </c>
      <c r="B5565" s="8" t="str">
        <f t="shared" si="487"/>
        <v>@Insta_VWT</v>
      </c>
      <c r="C5565" s="9" t="s">
        <v>181</v>
      </c>
      <c r="D5565" s="9" t="s">
        <v>12773</v>
      </c>
      <c r="E5565" s="10" t="str">
        <f>HYPERLINK("https://twitter.com/Insta_VWT/status/723775778845020160","723775778845020160")</f>
        <v>723775778845020160</v>
      </c>
      <c r="F5565" s="11" t="s">
        <v>68</v>
      </c>
      <c r="G5565" s="11">
        <v>481</v>
      </c>
      <c r="H5565" s="11">
        <v>0</v>
      </c>
      <c r="I5565" s="11">
        <v>0</v>
      </c>
      <c r="J5565" s="11">
        <v>0</v>
      </c>
      <c r="K5565" s="11" t="s">
        <v>21</v>
      </c>
      <c r="L5565" s="7">
        <v>41658.782800925925</v>
      </c>
      <c r="M5565" s="12" t="s">
        <v>183</v>
      </c>
      <c r="N5565" s="12" t="s">
        <v>184</v>
      </c>
      <c r="O5565" s="10" t="str">
        <f t="shared" si="488"/>
        <v>View</v>
      </c>
      <c r="P5565" s="11"/>
    </row>
    <row r="5566" spans="1:16" ht="12.75" x14ac:dyDescent="0.35">
      <c r="A5566" s="7">
        <v>42483.544537037036</v>
      </c>
      <c r="B5566" s="8" t="str">
        <f>HYPERLINK("https://twitter.com/MusicHistoryLaw","@MusicHistoryLaw")</f>
        <v>@MusicHistoryLaw</v>
      </c>
      <c r="C5566" s="9" t="s">
        <v>12774</v>
      </c>
      <c r="D5566" s="9" t="s">
        <v>12775</v>
      </c>
      <c r="E5566" s="10" t="str">
        <f>HYPERLINK("https://twitter.com/MusicHistoryLaw/status/723776957477953536","723776957477953536")</f>
        <v>723776957477953536</v>
      </c>
      <c r="F5566" s="11" t="s">
        <v>20</v>
      </c>
      <c r="G5566" s="11">
        <v>1354</v>
      </c>
      <c r="H5566" s="11">
        <v>1016</v>
      </c>
      <c r="I5566" s="11">
        <v>0</v>
      </c>
      <c r="J5566" s="11">
        <v>1</v>
      </c>
      <c r="K5566" s="11" t="s">
        <v>21</v>
      </c>
      <c r="L5566" s="7">
        <v>41377.577789351853</v>
      </c>
      <c r="M5566" s="12" t="s">
        <v>12776</v>
      </c>
      <c r="N5566" s="12" t="s">
        <v>12777</v>
      </c>
      <c r="O5566" s="10" t="str">
        <f>HYPERLINK("https://pbs.twimg.com/profile_images/710862405924995073/1bboZzVW_normal.jpg","View")</f>
        <v>View</v>
      </c>
      <c r="P5566" s="11"/>
    </row>
    <row r="5567" spans="1:16" ht="12.75" x14ac:dyDescent="0.35">
      <c r="A5567" s="7">
        <v>42483.545081018514</v>
      </c>
      <c r="B5567" s="8" t="str">
        <f>HYPERLINK("https://twitter.com/C_Barraud","@C_Barraud")</f>
        <v>@C_Barraud</v>
      </c>
      <c r="C5567" s="9" t="s">
        <v>12778</v>
      </c>
      <c r="D5567" s="9" t="s">
        <v>12779</v>
      </c>
      <c r="E5567" s="10" t="str">
        <f>HYPERLINK("https://twitter.com/C_Barraud/status/723777153238745088","723777153238745088")</f>
        <v>723777153238745088</v>
      </c>
      <c r="F5567" s="11" t="s">
        <v>43</v>
      </c>
      <c r="G5567" s="11">
        <v>3149</v>
      </c>
      <c r="H5567" s="11">
        <v>148</v>
      </c>
      <c r="I5567" s="11">
        <v>0</v>
      </c>
      <c r="J5567" s="11">
        <v>0</v>
      </c>
      <c r="K5567" s="11" t="s">
        <v>21</v>
      </c>
      <c r="L5567" s="7">
        <v>40994.648842592593</v>
      </c>
      <c r="M5567" s="12" t="s">
        <v>12780</v>
      </c>
      <c r="N5567" s="12" t="s">
        <v>12781</v>
      </c>
      <c r="O5567" s="10" t="str">
        <f>HYPERLINK("https://pbs.twimg.com/profile_images/529914410903425024/I-mwj11H_normal.png","View")</f>
        <v>View</v>
      </c>
      <c r="P5567" s="11"/>
    </row>
    <row r="5568" spans="1:16" ht="12.75" x14ac:dyDescent="0.35">
      <c r="A5568" s="7">
        <v>42483.546666666662</v>
      </c>
      <c r="B5568" s="8" t="str">
        <f>HYPERLINK("https://twitter.com/goldi6919","@goldi6919")</f>
        <v>@goldi6919</v>
      </c>
      <c r="C5568" s="9" t="s">
        <v>12782</v>
      </c>
      <c r="D5568" s="9" t="s">
        <v>12783</v>
      </c>
      <c r="E5568" s="10" t="str">
        <f>HYPERLINK("https://twitter.com/goldi6919/status/723777729116704768","723777729116704768")</f>
        <v>723777729116704768</v>
      </c>
      <c r="F5568" s="11" t="s">
        <v>20</v>
      </c>
      <c r="G5568" s="11">
        <v>16</v>
      </c>
      <c r="H5568" s="11">
        <v>85</v>
      </c>
      <c r="I5568" s="11">
        <v>0</v>
      </c>
      <c r="J5568" s="11">
        <v>0</v>
      </c>
      <c r="K5568" s="11" t="s">
        <v>21</v>
      </c>
      <c r="L5568" s="7">
        <v>41348.056226851855</v>
      </c>
      <c r="M5568" s="12" t="s">
        <v>12784</v>
      </c>
      <c r="N5568" s="12" t="s">
        <v>12785</v>
      </c>
      <c r="O5568" s="10" t="str">
        <f>HYPERLINK("https://pbs.twimg.com/profile_images/653421858537230336/e_JMkUJ5_normal.jpg","View")</f>
        <v>View</v>
      </c>
      <c r="P5568" s="11"/>
    </row>
    <row r="5569" spans="1:16" ht="12.75" x14ac:dyDescent="0.35">
      <c r="A5569" s="7">
        <v>42483.54760416667</v>
      </c>
      <c r="B5569" s="8" t="str">
        <f>HYPERLINK("https://twitter.com/Jakob_Juergen","@Jakob_Juergen")</f>
        <v>@Jakob_Juergen</v>
      </c>
      <c r="C5569" s="9" t="s">
        <v>12786</v>
      </c>
      <c r="D5569" s="9" t="s">
        <v>12787</v>
      </c>
      <c r="E5569" s="10" t="str">
        <f>HYPERLINK("https://twitter.com/Jakob_Juergen/status/723778070780493825","723778070780493825")</f>
        <v>723778070780493825</v>
      </c>
      <c r="F5569" s="11" t="s">
        <v>48</v>
      </c>
      <c r="G5569" s="11">
        <v>1523</v>
      </c>
      <c r="H5569" s="11">
        <v>1639</v>
      </c>
      <c r="I5569" s="11">
        <v>0</v>
      </c>
      <c r="J5569" s="11">
        <v>0</v>
      </c>
      <c r="K5569" s="11" t="s">
        <v>21</v>
      </c>
      <c r="L5569" s="7">
        <v>41021.035925925928</v>
      </c>
      <c r="M5569" s="12"/>
      <c r="N5569" s="12" t="s">
        <v>12788</v>
      </c>
      <c r="O5569" s="10" t="str">
        <f>HYPERLINK("https://pbs.twimg.com/profile_images/509638486991712256/yNj2TcZe_normal.jpeg","View")</f>
        <v>View</v>
      </c>
      <c r="P5569" s="11"/>
    </row>
    <row r="5570" spans="1:16" ht="12.75" x14ac:dyDescent="0.35">
      <c r="A5570" s="7">
        <v>42483.548668981486</v>
      </c>
      <c r="B5570" s="8" t="str">
        <f>HYPERLINK("https://twitter.com/VWBeetleSales","@VWBeetleSales")</f>
        <v>@VWBeetleSales</v>
      </c>
      <c r="C5570" s="9" t="s">
        <v>127</v>
      </c>
      <c r="D5570" s="9" t="s">
        <v>12789</v>
      </c>
      <c r="E5570" s="10" t="str">
        <f>HYPERLINK("https://twitter.com/VWBeetleSales/status/723778453665771520","723778453665771520")</f>
        <v>723778453665771520</v>
      </c>
      <c r="F5570" s="10" t="s">
        <v>124</v>
      </c>
      <c r="G5570" s="11">
        <v>36</v>
      </c>
      <c r="H5570" s="11">
        <v>32</v>
      </c>
      <c r="I5570" s="11">
        <v>0</v>
      </c>
      <c r="J5570" s="11">
        <v>0</v>
      </c>
      <c r="K5570" s="11" t="s">
        <v>21</v>
      </c>
      <c r="L5570" s="7">
        <v>42427.019756944443</v>
      </c>
      <c r="M5570" s="12" t="s">
        <v>129</v>
      </c>
      <c r="N5570" s="12" t="s">
        <v>130</v>
      </c>
      <c r="O5570" s="10" t="str">
        <f>HYPERLINK("https://pbs.twimg.com/profile_images/703294545195307008/qeCvrX86_normal.jpg","View")</f>
        <v>View</v>
      </c>
      <c r="P5570" s="11"/>
    </row>
    <row r="5571" spans="1:16" ht="12.75" x14ac:dyDescent="0.35">
      <c r="A5571" s="7">
        <v>42483.548807870371</v>
      </c>
      <c r="B5571" s="8" t="str">
        <f>HYPERLINK("https://twitter.com/cas_2050001283","@cas_2050001283")</f>
        <v>@cas_2050001283</v>
      </c>
      <c r="C5571" s="9" t="s">
        <v>6475</v>
      </c>
      <c r="D5571" s="9" t="s">
        <v>12790</v>
      </c>
      <c r="E5571" s="10" t="str">
        <f>HYPERLINK("https://twitter.com/cas_2050001283/status/723778503682973696","723778503682973696")</f>
        <v>723778503682973696</v>
      </c>
      <c r="F5571" s="11" t="s">
        <v>43</v>
      </c>
      <c r="G5571" s="11">
        <v>11</v>
      </c>
      <c r="H5571" s="11">
        <v>1</v>
      </c>
      <c r="I5571" s="11">
        <v>0</v>
      </c>
      <c r="J5571" s="11">
        <v>0</v>
      </c>
      <c r="K5571" s="11" t="s">
        <v>21</v>
      </c>
      <c r="L5571" s="7">
        <v>41936.051053240742</v>
      </c>
      <c r="M5571" s="12"/>
      <c r="N5571" s="12"/>
      <c r="O5571" s="10" t="str">
        <f>HYPERLINK("https://abs.twimg.com/sticky/default_profile_images/default_profile_1_normal.png","View")</f>
        <v>View</v>
      </c>
      <c r="P5571" s="11"/>
    </row>
    <row r="5572" spans="1:16" ht="12.75" x14ac:dyDescent="0.35">
      <c r="A5572" s="7">
        <v>42483.549432870372</v>
      </c>
      <c r="B5572" s="8" t="str">
        <f>HYPERLINK("https://twitter.com/JoshuaHakman","@JoshuaHakman")</f>
        <v>@JoshuaHakman</v>
      </c>
      <c r="C5572" s="9" t="s">
        <v>12791</v>
      </c>
      <c r="D5572" s="9" t="s">
        <v>12792</v>
      </c>
      <c r="E5572" s="10" t="str">
        <f>HYPERLINK("https://twitter.com/JoshuaHakman/status/723778733501485056","723778733501485056")</f>
        <v>723778733501485056</v>
      </c>
      <c r="F5572" s="11" t="s">
        <v>53</v>
      </c>
      <c r="G5572" s="11">
        <v>23</v>
      </c>
      <c r="H5572" s="11">
        <v>69</v>
      </c>
      <c r="I5572" s="11">
        <v>0</v>
      </c>
      <c r="J5572" s="11">
        <v>0</v>
      </c>
      <c r="K5572" s="11" t="s">
        <v>21</v>
      </c>
      <c r="L5572" s="7">
        <v>41255.308703703704</v>
      </c>
      <c r="M5572" s="12" t="s">
        <v>12793</v>
      </c>
      <c r="N5572" s="12" t="s">
        <v>12794</v>
      </c>
      <c r="O5572" s="10" t="str">
        <f>HYPERLINK("https://pbs.twimg.com/profile_images/455483809157222400/6WDtBDEZ_normal.jpeg","View")</f>
        <v>View</v>
      </c>
      <c r="P5572" s="11"/>
    </row>
    <row r="5573" spans="1:16" ht="12.75" x14ac:dyDescent="0.35">
      <c r="A5573" s="7">
        <v>42483.553136574075</v>
      </c>
      <c r="B5573" s="8" t="str">
        <f>HYPERLINK("https://twitter.com/mapro67","@mapro67")</f>
        <v>@mapro67</v>
      </c>
      <c r="C5573" s="9" t="s">
        <v>12795</v>
      </c>
      <c r="D5573" s="9" t="s">
        <v>12659</v>
      </c>
      <c r="E5573" s="10" t="str">
        <f>HYPERLINK("https://twitter.com/mapro67/status/723780072457527296","723780072457527296")</f>
        <v>723780072457527296</v>
      </c>
      <c r="F5573" s="11" t="s">
        <v>2645</v>
      </c>
      <c r="G5573" s="11">
        <v>268</v>
      </c>
      <c r="H5573" s="11">
        <v>430</v>
      </c>
      <c r="I5573" s="11">
        <v>11</v>
      </c>
      <c r="J5573" s="11">
        <v>0</v>
      </c>
      <c r="K5573" s="11" t="s">
        <v>21</v>
      </c>
      <c r="L5573" s="7">
        <v>41197.563946759255</v>
      </c>
      <c r="M5573" s="12"/>
      <c r="N5573" s="12" t="s">
        <v>12796</v>
      </c>
      <c r="O5573" s="10" t="str">
        <f>HYPERLINK("https://pbs.twimg.com/profile_images/3696204923/a63ad31c34a3cddd03c8d129fe69498d_normal.jpeg","View")</f>
        <v>View</v>
      </c>
      <c r="P5573" s="11"/>
    </row>
    <row r="5574" spans="1:16" ht="12.75" x14ac:dyDescent="0.35">
      <c r="A5574" s="7">
        <v>42483.553703703699</v>
      </c>
      <c r="B5574" s="8" t="str">
        <f>HYPERLINK("https://twitter.com/triolix251","@triolix251")</f>
        <v>@triolix251</v>
      </c>
      <c r="C5574" s="9" t="s">
        <v>12797</v>
      </c>
      <c r="D5574" s="9" t="s">
        <v>12659</v>
      </c>
      <c r="E5574" s="10" t="str">
        <f>HYPERLINK("https://twitter.com/triolix251/status/723780277793873920","723780277793873920")</f>
        <v>723780277793873920</v>
      </c>
      <c r="F5574" s="11" t="s">
        <v>48</v>
      </c>
      <c r="G5574" s="11">
        <v>135</v>
      </c>
      <c r="H5574" s="11">
        <v>350</v>
      </c>
      <c r="I5574" s="11">
        <v>11</v>
      </c>
      <c r="J5574" s="11">
        <v>0</v>
      </c>
      <c r="K5574" s="11" t="s">
        <v>21</v>
      </c>
      <c r="L5574" s="7">
        <v>42161.40587962963</v>
      </c>
      <c r="M5574" s="12" t="s">
        <v>12798</v>
      </c>
      <c r="N5574" s="12" t="s">
        <v>12799</v>
      </c>
      <c r="O5574" s="10" t="str">
        <f>HYPERLINK("https://pbs.twimg.com/profile_images/714791251485331456/Zg_jCfjL_normal.jpg","View")</f>
        <v>View</v>
      </c>
      <c r="P5574" s="11"/>
    </row>
    <row r="5575" spans="1:16" ht="12.75" x14ac:dyDescent="0.35">
      <c r="A5575" s="7">
        <v>42483.554409722223</v>
      </c>
      <c r="B5575" s="8" t="str">
        <f>HYPERLINK("https://twitter.com/GreenCityeV","@GreenCityeV")</f>
        <v>@GreenCityeV</v>
      </c>
      <c r="C5575" s="9" t="s">
        <v>12800</v>
      </c>
      <c r="D5575" s="9" t="s">
        <v>9477</v>
      </c>
      <c r="E5575" s="10" t="str">
        <f>HYPERLINK("https://twitter.com/GreenCityeV/status/723780533621297152","723780533621297152")</f>
        <v>723780533621297152</v>
      </c>
      <c r="F5575" s="11" t="s">
        <v>48</v>
      </c>
      <c r="G5575" s="11">
        <v>3588</v>
      </c>
      <c r="H5575" s="11">
        <v>1417</v>
      </c>
      <c r="I5575" s="11">
        <v>8</v>
      </c>
      <c r="J5575" s="11">
        <v>0</v>
      </c>
      <c r="K5575" s="11" t="s">
        <v>21</v>
      </c>
      <c r="L5575" s="7">
        <v>40112.77175925926</v>
      </c>
      <c r="M5575" s="12" t="s">
        <v>5637</v>
      </c>
      <c r="N5575" s="12" t="s">
        <v>12801</v>
      </c>
      <c r="O5575" s="10" t="str">
        <f>HYPERLINK("https://pbs.twimg.com/profile_images/683938464644132864/wlhhM0YZ_normal.jpg","View")</f>
        <v>View</v>
      </c>
      <c r="P5575" s="11"/>
    </row>
    <row r="5576" spans="1:16" ht="12.75" x14ac:dyDescent="0.35">
      <c r="A5576" s="7">
        <v>42483.555104166662</v>
      </c>
      <c r="B5576" s="8" t="str">
        <f>HYPERLINK("https://twitter.com/GastonStuttgart","@GastonStuttgart")</f>
        <v>@GastonStuttgart</v>
      </c>
      <c r="C5576" s="9" t="s">
        <v>12802</v>
      </c>
      <c r="D5576" s="9" t="s">
        <v>12803</v>
      </c>
      <c r="E5576" s="10" t="str">
        <f>HYPERLINK("https://twitter.com/GastonStuttgart/status/723780785338241024","723780785338241024")</f>
        <v>723780785338241024</v>
      </c>
      <c r="F5576" s="11" t="s">
        <v>48</v>
      </c>
      <c r="G5576" s="11">
        <v>1262</v>
      </c>
      <c r="H5576" s="11">
        <v>1352</v>
      </c>
      <c r="I5576" s="11">
        <v>0</v>
      </c>
      <c r="J5576" s="11">
        <v>0</v>
      </c>
      <c r="K5576" s="11" t="s">
        <v>21</v>
      </c>
      <c r="L5576" s="7">
        <v>40856.593854166669</v>
      </c>
      <c r="M5576" s="12" t="s">
        <v>12804</v>
      </c>
      <c r="N5576" s="12" t="s">
        <v>12805</v>
      </c>
      <c r="O5576" s="10" t="str">
        <f>HYPERLINK("https://pbs.twimg.com/profile_images/683456597855698946/1JvQCYTP_normal.jpg","View")</f>
        <v>View</v>
      </c>
      <c r="P5576" s="11"/>
    </row>
    <row r="5577" spans="1:16" ht="12.75" x14ac:dyDescent="0.35">
      <c r="A5577" s="7">
        <v>42483.555613425924</v>
      </c>
      <c r="B5577" s="8" t="str">
        <f>HYPERLINK("https://twitter.com/WhichNews","@WhichNews")</f>
        <v>@WhichNews</v>
      </c>
      <c r="C5577" s="9" t="s">
        <v>12806</v>
      </c>
      <c r="D5577" s="9" t="s">
        <v>12807</v>
      </c>
      <c r="E5577" s="10" t="str">
        <f>HYPERLINK("https://twitter.com/WhichNews/status/723780970202189824","723780970202189824")</f>
        <v>723780970202189824</v>
      </c>
      <c r="F5577" s="11" t="s">
        <v>152</v>
      </c>
      <c r="G5577" s="11">
        <v>6397</v>
      </c>
      <c r="H5577" s="11">
        <v>2715</v>
      </c>
      <c r="I5577" s="11">
        <v>6</v>
      </c>
      <c r="J5577" s="11">
        <v>2</v>
      </c>
      <c r="K5577" s="11" t="s">
        <v>21</v>
      </c>
      <c r="L5577" s="7">
        <v>40976.796701388885</v>
      </c>
      <c r="M5577" s="12"/>
      <c r="N5577" s="12" t="s">
        <v>12808</v>
      </c>
      <c r="O5577" s="10" t="str">
        <f>HYPERLINK("https://pbs.twimg.com/profile_images/2868729622/b3269f7a53245c31450b1e9eb53adf80_normal.png","View")</f>
        <v>View</v>
      </c>
      <c r="P5577" s="11"/>
    </row>
    <row r="5578" spans="1:16" ht="12.75" x14ac:dyDescent="0.35">
      <c r="A5578" s="7">
        <v>42483.555636574078</v>
      </c>
      <c r="B5578" s="8" t="str">
        <f>HYPERLINK("https://twitter.com/Thomas_Wuest","@Thomas_Wuest")</f>
        <v>@Thomas_Wuest</v>
      </c>
      <c r="C5578" s="9" t="s">
        <v>12809</v>
      </c>
      <c r="D5578" s="9" t="s">
        <v>12810</v>
      </c>
      <c r="E5578" s="10" t="str">
        <f>HYPERLINK("https://twitter.com/Thomas_Wuest/status/723780978427174913","723780978427174913")</f>
        <v>723780978427174913</v>
      </c>
      <c r="F5578" s="11" t="s">
        <v>43</v>
      </c>
      <c r="G5578" s="11">
        <v>508</v>
      </c>
      <c r="H5578" s="11">
        <v>1110</v>
      </c>
      <c r="I5578" s="11">
        <v>0</v>
      </c>
      <c r="J5578" s="11">
        <v>0</v>
      </c>
      <c r="K5578" s="11" t="s">
        <v>21</v>
      </c>
      <c r="L5578" s="7">
        <v>41757.991307870368</v>
      </c>
      <c r="M5578" s="12" t="s">
        <v>1169</v>
      </c>
      <c r="N5578" s="12" t="s">
        <v>12811</v>
      </c>
      <c r="O5578" s="10" t="str">
        <f>HYPERLINK("https://pbs.twimg.com/profile_images/684427037780611074/sMtHXqkw_normal.jpg","View")</f>
        <v>View</v>
      </c>
      <c r="P5578" s="11"/>
    </row>
    <row r="5579" spans="1:16" ht="12.75" x14ac:dyDescent="0.35">
      <c r="A5579" s="7">
        <v>42483.55605324074</v>
      </c>
      <c r="B5579" s="8" t="str">
        <f>HYPERLINK("https://twitter.com/RichardJLloyd","@RichardJLloyd")</f>
        <v>@RichardJLloyd</v>
      </c>
      <c r="C5579" s="9" t="s">
        <v>12812</v>
      </c>
      <c r="D5579" s="9" t="s">
        <v>12813</v>
      </c>
      <c r="E5579" s="10" t="str">
        <f>HYPERLINK("https://twitter.com/RichardJLloyd/status/723781130068045824","723781130068045824")</f>
        <v>723781130068045824</v>
      </c>
      <c r="F5579" s="11" t="s">
        <v>20</v>
      </c>
      <c r="G5579" s="11">
        <v>2481</v>
      </c>
      <c r="H5579" s="11">
        <v>741</v>
      </c>
      <c r="I5579" s="11">
        <v>6</v>
      </c>
      <c r="J5579" s="11">
        <v>0</v>
      </c>
      <c r="K5579" s="11" t="s">
        <v>21</v>
      </c>
      <c r="L5579" s="7">
        <v>40219.116493055553</v>
      </c>
      <c r="M5579" s="12"/>
      <c r="N5579" s="12" t="s">
        <v>12814</v>
      </c>
      <c r="O5579" s="10" t="str">
        <f>HYPERLINK("https://pbs.twimg.com/profile_images/541963483617558529/0KSfmRVY_normal.jpeg","View")</f>
        <v>View</v>
      </c>
      <c r="P5579" s="11"/>
    </row>
    <row r="5580" spans="1:16" ht="12.75" x14ac:dyDescent="0.35">
      <c r="A5580" s="7">
        <v>42483.556354166663</v>
      </c>
      <c r="B5580" s="8" t="str">
        <f>HYPERLINK("https://twitter.com/darrenshirley","@darrenshirley")</f>
        <v>@darrenshirley</v>
      </c>
      <c r="C5580" s="9" t="s">
        <v>12815</v>
      </c>
      <c r="D5580" s="9" t="s">
        <v>12813</v>
      </c>
      <c r="E5580" s="10" t="str">
        <f>HYPERLINK("https://twitter.com/darrenshirley/status/723781239698821121","723781239698821121")</f>
        <v>723781239698821121</v>
      </c>
      <c r="F5580" s="11" t="s">
        <v>20</v>
      </c>
      <c r="G5580" s="11">
        <v>1828</v>
      </c>
      <c r="H5580" s="11">
        <v>593</v>
      </c>
      <c r="I5580" s="11">
        <v>6</v>
      </c>
      <c r="J5580" s="11">
        <v>0</v>
      </c>
      <c r="K5580" s="11" t="s">
        <v>21</v>
      </c>
      <c r="L5580" s="7">
        <v>39880.78800925926</v>
      </c>
      <c r="M5580" s="12" t="s">
        <v>638</v>
      </c>
      <c r="N5580" s="12" t="s">
        <v>12816</v>
      </c>
      <c r="O5580" s="10" t="str">
        <f>HYPERLINK("https://pbs.twimg.com/profile_images/437680875434541056/VUvUo5FE_normal.jpeg","View")</f>
        <v>View</v>
      </c>
      <c r="P5580" s="11"/>
    </row>
    <row r="5581" spans="1:16" ht="12.75" x14ac:dyDescent="0.35">
      <c r="A5581" s="7">
        <v>42483.557384259257</v>
      </c>
      <c r="B5581" s="8" t="str">
        <f>HYPERLINK("https://twitter.com/LucyRigby","@LucyRigby")</f>
        <v>@LucyRigby</v>
      </c>
      <c r="C5581" s="9" t="s">
        <v>12817</v>
      </c>
      <c r="D5581" s="9" t="s">
        <v>12813</v>
      </c>
      <c r="E5581" s="10" t="str">
        <f>HYPERLINK("https://twitter.com/LucyRigby/status/723781614023659520","723781614023659520")</f>
        <v>723781614023659520</v>
      </c>
      <c r="F5581" s="11" t="s">
        <v>20</v>
      </c>
      <c r="G5581" s="11">
        <v>6714</v>
      </c>
      <c r="H5581" s="11">
        <v>780</v>
      </c>
      <c r="I5581" s="11">
        <v>6</v>
      </c>
      <c r="J5581" s="11">
        <v>0</v>
      </c>
      <c r="K5581" s="11" t="s">
        <v>21</v>
      </c>
      <c r="L5581" s="7">
        <v>39879.037847222222</v>
      </c>
      <c r="M5581" s="12"/>
      <c r="N5581" s="12" t="s">
        <v>12818</v>
      </c>
      <c r="O5581" s="10" t="str">
        <f>HYPERLINK("https://pbs.twimg.com/profile_images/612919811543330816/-VdcKGWw_normal.jpg","View")</f>
        <v>View</v>
      </c>
      <c r="P5581" s="11"/>
    </row>
    <row r="5582" spans="1:16" ht="12.75" x14ac:dyDescent="0.35">
      <c r="A5582" s="7">
        <v>42483.558576388888</v>
      </c>
      <c r="B5582" s="8" t="str">
        <f>HYPERLINK("https://twitter.com/AmitBadal","@AmitBadal")</f>
        <v>@AmitBadal</v>
      </c>
      <c r="C5582" s="9" t="s">
        <v>12819</v>
      </c>
      <c r="D5582" s="9" t="s">
        <v>12820</v>
      </c>
      <c r="E5582" s="10" t="str">
        <f>HYPERLINK("https://twitter.com/AmitBadal/status/723782045919485953","723782045919485953")</f>
        <v>723782045919485953</v>
      </c>
      <c r="F5582" s="11" t="s">
        <v>20</v>
      </c>
      <c r="G5582" s="11">
        <v>10286</v>
      </c>
      <c r="H5582" s="11">
        <v>7859</v>
      </c>
      <c r="I5582" s="11">
        <v>0</v>
      </c>
      <c r="J5582" s="11">
        <v>0</v>
      </c>
      <c r="K5582" s="11" t="s">
        <v>21</v>
      </c>
      <c r="L5582" s="7">
        <v>40246.941030092596</v>
      </c>
      <c r="M5582" s="12" t="s">
        <v>1430</v>
      </c>
      <c r="N5582" s="12" t="s">
        <v>12821</v>
      </c>
      <c r="O5582" s="10" t="str">
        <f>HYPERLINK("https://pbs.twimg.com/profile_images/927868107/Twitter_Foto_Amit01a_normal.jpg","View")</f>
        <v>View</v>
      </c>
      <c r="P5582" s="11"/>
    </row>
    <row r="5583" spans="1:16" ht="12.75" x14ac:dyDescent="0.35">
      <c r="A5583" s="7">
        <v>42483.559062500004</v>
      </c>
      <c r="B5583" s="8" t="str">
        <f>HYPERLINK("https://twitter.com/NDRnds","@NDRnds")</f>
        <v>@NDRnds</v>
      </c>
      <c r="C5583" s="9" t="s">
        <v>7240</v>
      </c>
      <c r="D5583" s="9" t="s">
        <v>12822</v>
      </c>
      <c r="E5583" s="10" t="str">
        <f>HYPERLINK("https://twitter.com/NDRnds/status/723782221375647744","723782221375647744")</f>
        <v>723782221375647744</v>
      </c>
      <c r="F5583" s="11" t="s">
        <v>43</v>
      </c>
      <c r="G5583" s="11">
        <v>8912</v>
      </c>
      <c r="H5583" s="11">
        <v>581</v>
      </c>
      <c r="I5583" s="11">
        <v>1</v>
      </c>
      <c r="J5583" s="11">
        <v>0</v>
      </c>
      <c r="K5583" s="11" t="s">
        <v>21</v>
      </c>
      <c r="L5583" s="7">
        <v>41253.654791666668</v>
      </c>
      <c r="M5583" s="12"/>
      <c r="N5583" s="12" t="s">
        <v>7242</v>
      </c>
      <c r="O5583" s="10" t="str">
        <f>HYPERLINK("https://pbs.twimg.com/profile_images/628233882014457856/o87vMXlL_normal.jpg","View")</f>
        <v>View</v>
      </c>
      <c r="P5583" s="11"/>
    </row>
    <row r="5584" spans="1:16" ht="12.75" x14ac:dyDescent="0.35">
      <c r="A5584" s="7">
        <v>42483.559247685189</v>
      </c>
      <c r="B5584" s="8" t="str">
        <f>HYPERLINK("https://twitter.com/GrahamBlack30","@GrahamBlack30")</f>
        <v>@GrahamBlack30</v>
      </c>
      <c r="C5584" s="9" t="s">
        <v>12823</v>
      </c>
      <c r="D5584" s="9" t="s">
        <v>12813</v>
      </c>
      <c r="E5584" s="10" t="str">
        <f>HYPERLINK("https://twitter.com/GrahamBlack30/status/723782288316706816","723782288316706816")</f>
        <v>723782288316706816</v>
      </c>
      <c r="F5584" s="11" t="s">
        <v>48</v>
      </c>
      <c r="G5584" s="11">
        <v>1000</v>
      </c>
      <c r="H5584" s="11">
        <v>1502</v>
      </c>
      <c r="I5584" s="11">
        <v>6</v>
      </c>
      <c r="J5584" s="11">
        <v>0</v>
      </c>
      <c r="K5584" s="11" t="s">
        <v>21</v>
      </c>
      <c r="L5584" s="7">
        <v>40560.932615740741</v>
      </c>
      <c r="M5584" s="12"/>
      <c r="N5584" s="12" t="s">
        <v>12824</v>
      </c>
      <c r="O5584" s="10" t="str">
        <f>HYPERLINK("https://pbs.twimg.com/profile_images/378800000290470734/e9ecdf75b11ca96fab721b7f9debc5ab_normal.jpeg","View")</f>
        <v>View</v>
      </c>
      <c r="P5584" s="11"/>
    </row>
    <row r="5585" spans="1:16" ht="12.75" x14ac:dyDescent="0.35">
      <c r="A5585" s="7">
        <v>42483.55945601852</v>
      </c>
      <c r="B5585" s="8" t="str">
        <f>HYPERLINK("https://twitter.com/canwater","@canwater")</f>
        <v>@canwater</v>
      </c>
      <c r="C5585" s="9" t="s">
        <v>12825</v>
      </c>
      <c r="D5585" s="9" t="s">
        <v>12826</v>
      </c>
      <c r="E5585" s="10" t="str">
        <f>HYPERLINK("https://twitter.com/canwater/status/723782364212658176","723782364212658176")</f>
        <v>723782364212658176</v>
      </c>
      <c r="F5585" s="11" t="s">
        <v>114</v>
      </c>
      <c r="G5585" s="11">
        <v>187</v>
      </c>
      <c r="H5585" s="11">
        <v>185</v>
      </c>
      <c r="I5585" s="11">
        <v>0</v>
      </c>
      <c r="J5585" s="11">
        <v>0</v>
      </c>
      <c r="K5585" s="11" t="s">
        <v>21</v>
      </c>
      <c r="L5585" s="7">
        <v>40548.779965277776</v>
      </c>
      <c r="M5585" s="12"/>
      <c r="N5585" s="12"/>
      <c r="O5585" s="10" t="str">
        <f>HYPERLINK("https://pbs.twimg.com/profile_images/713830236673191948/umVQMit8_normal.jpg","View")</f>
        <v>View</v>
      </c>
      <c r="P5585" s="10" t="str">
        <f>HYPERLINK("http://ctrlq.org/maps/address/#36.66716913,30.55089919","Map")</f>
        <v>Map</v>
      </c>
    </row>
    <row r="5586" spans="1:16" ht="12.75" x14ac:dyDescent="0.35">
      <c r="A5586" s="7">
        <v>42483.560185185182</v>
      </c>
      <c r="B5586" s="8" t="str">
        <f>HYPERLINK("https://twitter.com/Kimmi1337","@Kimmi1337")</f>
        <v>@Kimmi1337</v>
      </c>
      <c r="C5586" s="9" t="s">
        <v>12827</v>
      </c>
      <c r="D5586" s="9" t="s">
        <v>12828</v>
      </c>
      <c r="E5586" s="10" t="str">
        <f>HYPERLINK("https://twitter.com/Kimmi1337/status/723782629376561153","723782629376561153")</f>
        <v>723782629376561153</v>
      </c>
      <c r="F5586" s="11" t="s">
        <v>48</v>
      </c>
      <c r="G5586" s="11">
        <v>116</v>
      </c>
      <c r="H5586" s="11">
        <v>584</v>
      </c>
      <c r="I5586" s="11">
        <v>1</v>
      </c>
      <c r="J5586" s="11">
        <v>0</v>
      </c>
      <c r="K5586" s="11" t="s">
        <v>21</v>
      </c>
      <c r="L5586" s="7">
        <v>41448.510393518518</v>
      </c>
      <c r="M5586" s="12" t="s">
        <v>6661</v>
      </c>
      <c r="N5586" s="12">
        <v>1896</v>
      </c>
      <c r="O5586" s="10" t="str">
        <f>HYPERLINK("https://pbs.twimg.com/profile_images/378800000201063638/1ae962d11e41e24e82e653b160a93333_normal.jpeg","View")</f>
        <v>View</v>
      </c>
      <c r="P5586" s="11"/>
    </row>
    <row r="5587" spans="1:16" ht="12.75" x14ac:dyDescent="0.35">
      <c r="A5587" s="7">
        <v>42483.561180555553</v>
      </c>
      <c r="B5587" s="8" t="str">
        <f>HYPERLINK("https://twitter.com/MJLMcClelland","@MJLMcClelland")</f>
        <v>@MJLMcClelland</v>
      </c>
      <c r="C5587" s="9" t="s">
        <v>12829</v>
      </c>
      <c r="D5587" s="9" t="s">
        <v>12830</v>
      </c>
      <c r="E5587" s="10" t="str">
        <f>HYPERLINK("https://twitter.com/MJLMcClelland/status/723782987528192000","723782987528192000")</f>
        <v>723782987528192000</v>
      </c>
      <c r="F5587" s="11" t="s">
        <v>48</v>
      </c>
      <c r="G5587" s="11">
        <v>102</v>
      </c>
      <c r="H5587" s="11">
        <v>132</v>
      </c>
      <c r="I5587" s="11">
        <v>1</v>
      </c>
      <c r="J5587" s="11">
        <v>0</v>
      </c>
      <c r="K5587" s="11" t="s">
        <v>21</v>
      </c>
      <c r="L5587" s="7">
        <v>40829.732025462959</v>
      </c>
      <c r="M5587" s="12" t="s">
        <v>129</v>
      </c>
      <c r="N5587" s="12" t="s">
        <v>12831</v>
      </c>
      <c r="O5587" s="10" t="str">
        <f>HYPERLINK("https://pbs.twimg.com/profile_images/704774903451537408/9loZbTSA_normal.jpg","View")</f>
        <v>View</v>
      </c>
      <c r="P5587" s="11"/>
    </row>
    <row r="5588" spans="1:16" ht="12.75" x14ac:dyDescent="0.35">
      <c r="A5588" s="7">
        <v>42483.561747685184</v>
      </c>
      <c r="B5588" s="8" t="str">
        <f>HYPERLINK("https://twitter.com/theroguegents","@theroguegents")</f>
        <v>@theroguegents</v>
      </c>
      <c r="C5588" s="9" t="s">
        <v>12832</v>
      </c>
      <c r="D5588" s="9" t="s">
        <v>12833</v>
      </c>
      <c r="E5588" s="10" t="str">
        <f>HYPERLINK("https://twitter.com/theroguegents/status/723783196383522817","723783196383522817")</f>
        <v>723783196383522817</v>
      </c>
      <c r="F5588" s="11" t="s">
        <v>48</v>
      </c>
      <c r="G5588" s="11">
        <v>1959</v>
      </c>
      <c r="H5588" s="11">
        <v>3541</v>
      </c>
      <c r="I5588" s="11">
        <v>1</v>
      </c>
      <c r="J5588" s="11">
        <v>1</v>
      </c>
      <c r="K5588" s="11" t="s">
        <v>21</v>
      </c>
      <c r="L5588" s="7">
        <v>41974.236597222218</v>
      </c>
      <c r="M5588" s="12" t="s">
        <v>35</v>
      </c>
      <c r="N5588" s="12" t="s">
        <v>12834</v>
      </c>
      <c r="O5588" s="10" t="str">
        <f>HYPERLINK("https://pbs.twimg.com/profile_images/671780220752498688/WEmZmiH9_normal.jpg","View")</f>
        <v>View</v>
      </c>
      <c r="P5588" s="11"/>
    </row>
    <row r="5589" spans="1:16" ht="12.75" x14ac:dyDescent="0.35">
      <c r="A5589" s="7">
        <v>42483.562372685185</v>
      </c>
      <c r="B5589" s="8" t="str">
        <f>HYPERLINK("https://twitter.com/aldertings","@aldertings")</f>
        <v>@aldertings</v>
      </c>
      <c r="C5589" s="9" t="s">
        <v>12835</v>
      </c>
      <c r="D5589" s="9" t="s">
        <v>12836</v>
      </c>
      <c r="E5589" s="10" t="str">
        <f>HYPERLINK("https://twitter.com/aldertings/status/723783422985003010","723783422985003010")</f>
        <v>723783422985003010</v>
      </c>
      <c r="F5589" s="11" t="s">
        <v>48</v>
      </c>
      <c r="G5589" s="11">
        <v>335</v>
      </c>
      <c r="H5589" s="11">
        <v>758</v>
      </c>
      <c r="I5589" s="11">
        <v>1</v>
      </c>
      <c r="J5589" s="11">
        <v>0</v>
      </c>
      <c r="K5589" s="11" t="s">
        <v>21</v>
      </c>
      <c r="L5589" s="7">
        <v>40275.660254629627</v>
      </c>
      <c r="M5589" s="12" t="s">
        <v>12837</v>
      </c>
      <c r="N5589" s="12" t="s">
        <v>12838</v>
      </c>
      <c r="O5589" s="10" t="str">
        <f>HYPERLINK("https://pbs.twimg.com/profile_images/718202317426843649/9Efo8ucw_normal.jpg","View")</f>
        <v>View</v>
      </c>
      <c r="P5589" s="11"/>
    </row>
    <row r="5590" spans="1:16" ht="12.75" x14ac:dyDescent="0.35">
      <c r="A5590" s="7">
        <v>42483.563032407408</v>
      </c>
      <c r="B5590" s="8" t="str">
        <f>HYPERLINK("https://twitter.com/MhvonS","@MhvonS")</f>
        <v>@MhvonS</v>
      </c>
      <c r="C5590" s="9" t="s">
        <v>4124</v>
      </c>
      <c r="D5590" s="9" t="s">
        <v>12839</v>
      </c>
      <c r="E5590" s="10" t="str">
        <f>HYPERLINK("https://twitter.com/MhvonS/status/723783662257491969","723783662257491969")</f>
        <v>723783662257491969</v>
      </c>
      <c r="F5590" s="11" t="s">
        <v>20</v>
      </c>
      <c r="G5590" s="11">
        <v>5</v>
      </c>
      <c r="H5590" s="11">
        <v>9</v>
      </c>
      <c r="I5590" s="11">
        <v>0</v>
      </c>
      <c r="J5590" s="11">
        <v>0</v>
      </c>
      <c r="K5590" s="11" t="s">
        <v>21</v>
      </c>
      <c r="L5590" s="7">
        <v>42183.851331018523</v>
      </c>
      <c r="M5590" s="12" t="s">
        <v>262</v>
      </c>
      <c r="N5590" s="12" t="s">
        <v>12840</v>
      </c>
      <c r="O5590" s="10" t="str">
        <f>HYPERLINK("https://pbs.twimg.com/profile_images/723492895874002945/vvHAsCQf_normal.jpg","View")</f>
        <v>View</v>
      </c>
      <c r="P5590" s="11"/>
    </row>
    <row r="5591" spans="1:16" ht="12.75" x14ac:dyDescent="0.35">
      <c r="A5591" s="7">
        <v>42483.566724537042</v>
      </c>
      <c r="B5591" s="8" t="str">
        <f>HYPERLINK("https://twitter.com/VWBeetleSales","@VWBeetleSales")</f>
        <v>@VWBeetleSales</v>
      </c>
      <c r="C5591" s="9" t="s">
        <v>127</v>
      </c>
      <c r="D5591" s="9" t="s">
        <v>12841</v>
      </c>
      <c r="E5591" s="10" t="str">
        <f>HYPERLINK("https://twitter.com/VWBeetleSales/status/723784996742258688","723784996742258688")</f>
        <v>723784996742258688</v>
      </c>
      <c r="F5591" s="10" t="s">
        <v>124</v>
      </c>
      <c r="G5591" s="11">
        <v>36</v>
      </c>
      <c r="H5591" s="11">
        <v>32</v>
      </c>
      <c r="I5591" s="11">
        <v>0</v>
      </c>
      <c r="J5591" s="11">
        <v>0</v>
      </c>
      <c r="K5591" s="11" t="s">
        <v>21</v>
      </c>
      <c r="L5591" s="7">
        <v>42427.019756944443</v>
      </c>
      <c r="M5591" s="12" t="s">
        <v>129</v>
      </c>
      <c r="N5591" s="12" t="s">
        <v>130</v>
      </c>
      <c r="O5591" s="10" t="str">
        <f>HYPERLINK("https://pbs.twimg.com/profile_images/703294545195307008/qeCvrX86_normal.jpg","View")</f>
        <v>View</v>
      </c>
      <c r="P5591" s="11"/>
    </row>
    <row r="5592" spans="1:16" ht="12.75" x14ac:dyDescent="0.35">
      <c r="A5592" s="7">
        <v>42483.56826388889</v>
      </c>
      <c r="B5592" s="8" t="str">
        <f>HYPERLINK("https://twitter.com/ThibMcQueen","@ThibMcQueen")</f>
        <v>@ThibMcQueen</v>
      </c>
      <c r="C5592" s="9" t="s">
        <v>12842</v>
      </c>
      <c r="D5592" s="9" t="s">
        <v>12843</v>
      </c>
      <c r="E5592" s="10" t="str">
        <f>HYPERLINK("https://twitter.com/ThibMcQueen/status/723785557910937600","723785557910937600")</f>
        <v>723785557910937600</v>
      </c>
      <c r="F5592" s="11" t="s">
        <v>114</v>
      </c>
      <c r="G5592" s="11">
        <v>270</v>
      </c>
      <c r="H5592" s="11">
        <v>454</v>
      </c>
      <c r="I5592" s="11">
        <v>0</v>
      </c>
      <c r="J5592" s="11">
        <v>0</v>
      </c>
      <c r="K5592" s="11" t="s">
        <v>21</v>
      </c>
      <c r="L5592" s="7">
        <v>39924.785324074073</v>
      </c>
      <c r="M5592" s="12" t="s">
        <v>12844</v>
      </c>
      <c r="N5592" s="12" t="s">
        <v>12845</v>
      </c>
      <c r="O5592" s="10" t="str">
        <f>HYPERLINK("https://pbs.twimg.com/profile_images/431119006146113536/_vKP0rbw_normal.jpeg","View")</f>
        <v>View</v>
      </c>
      <c r="P5592" s="11"/>
    </row>
    <row r="5593" spans="1:16" ht="12.75" x14ac:dyDescent="0.35">
      <c r="A5593" s="7">
        <v>42483.568900462968</v>
      </c>
      <c r="B5593" s="8" t="str">
        <f>HYPERLINK("https://twitter.com/chaseybr","@chaseybr")</f>
        <v>@chaseybr</v>
      </c>
      <c r="C5593" s="9" t="s">
        <v>12846</v>
      </c>
      <c r="D5593" s="9" t="s">
        <v>12847</v>
      </c>
      <c r="E5593" s="10" t="str">
        <f>HYPERLINK("https://twitter.com/chaseybr/status/723785786894782465","723785786894782465")</f>
        <v>723785786894782465</v>
      </c>
      <c r="F5593" s="11" t="s">
        <v>91</v>
      </c>
      <c r="G5593" s="11">
        <v>18</v>
      </c>
      <c r="H5593" s="11">
        <v>52</v>
      </c>
      <c r="I5593" s="11">
        <v>0</v>
      </c>
      <c r="J5593" s="11">
        <v>0</v>
      </c>
      <c r="K5593" s="11" t="s">
        <v>21</v>
      </c>
      <c r="L5593" s="7">
        <v>40429.799305555556</v>
      </c>
      <c r="M5593" s="12" t="s">
        <v>6936</v>
      </c>
      <c r="N5593" s="12" t="s">
        <v>12848</v>
      </c>
      <c r="O5593" s="10" t="str">
        <f>HYPERLINK("https://abs.twimg.com/sticky/default_profile_images/default_profile_2_normal.png","View")</f>
        <v>View</v>
      </c>
      <c r="P5593" s="11"/>
    </row>
    <row r="5594" spans="1:16" ht="12.75" x14ac:dyDescent="0.35">
      <c r="A5594" s="7">
        <v>42483.571238425924</v>
      </c>
      <c r="B5594" s="8" t="str">
        <f>HYPERLINK("https://twitter.com/OnlineCarReview","@OnlineCarReview")</f>
        <v>@OnlineCarReview</v>
      </c>
      <c r="C5594" s="9" t="s">
        <v>176</v>
      </c>
      <c r="D5594" s="9" t="s">
        <v>12849</v>
      </c>
      <c r="E5594" s="10" t="str">
        <f>HYPERLINK("https://twitter.com/OnlineCarReview/status/723786635322626048","723786635322626048")</f>
        <v>723786635322626048</v>
      </c>
      <c r="F5594" s="11" t="s">
        <v>34</v>
      </c>
      <c r="G5594" s="11">
        <v>842</v>
      </c>
      <c r="H5594" s="11">
        <v>568</v>
      </c>
      <c r="I5594" s="11">
        <v>0</v>
      </c>
      <c r="J5594" s="11">
        <v>0</v>
      </c>
      <c r="K5594" s="11" t="s">
        <v>21</v>
      </c>
      <c r="L5594" s="7">
        <v>42282.979201388887</v>
      </c>
      <c r="M5594" s="12"/>
      <c r="N5594" s="12" t="s">
        <v>178</v>
      </c>
      <c r="O5594" s="10" t="str">
        <f>HYPERLINK("https://pbs.twimg.com/profile_images/652871584131092480/QA_B6SBO_normal.jpg","View")</f>
        <v>View</v>
      </c>
      <c r="P5594" s="11"/>
    </row>
    <row r="5595" spans="1:16" ht="12.75" x14ac:dyDescent="0.35">
      <c r="A5595" s="7">
        <v>42483.571643518517</v>
      </c>
      <c r="B5595" s="8" t="str">
        <f>HYPERLINK("https://twitter.com/Mphilpot1","@Mphilpot1")</f>
        <v>@Mphilpot1</v>
      </c>
      <c r="C5595" s="9" t="s">
        <v>1280</v>
      </c>
      <c r="D5595" s="9" t="s">
        <v>12850</v>
      </c>
      <c r="E5595" s="10" t="str">
        <f>HYPERLINK("https://twitter.com/Mphilpot1/status/723786779103350784","723786779103350784")</f>
        <v>723786779103350784</v>
      </c>
      <c r="F5595" s="11" t="s">
        <v>34</v>
      </c>
      <c r="G5595" s="11">
        <v>115</v>
      </c>
      <c r="H5595" s="11">
        <v>141</v>
      </c>
      <c r="I5595" s="11">
        <v>0</v>
      </c>
      <c r="J5595" s="11">
        <v>0</v>
      </c>
      <c r="K5595" s="11" t="s">
        <v>21</v>
      </c>
      <c r="L5595" s="7">
        <v>41137.855208333334</v>
      </c>
      <c r="M5595" s="12"/>
      <c r="N5595" s="12"/>
      <c r="O5595" s="10" t="str">
        <f>HYPERLINK("https://pbs.twimg.com/profile_images/422164778639839234/LVnS1q1c_normal.jpeg","View")</f>
        <v>View</v>
      </c>
      <c r="P5595" s="11"/>
    </row>
    <row r="5596" spans="1:16" ht="12.75" x14ac:dyDescent="0.35">
      <c r="A5596" s="7">
        <v>42483.571909722217</v>
      </c>
      <c r="B5596" s="8" t="str">
        <f t="shared" ref="B5596:B5598" si="489">HYPERLINK("https://twitter.com/Sufiy","@Sufiy")</f>
        <v>@Sufiy</v>
      </c>
      <c r="C5596" s="9" t="s">
        <v>1556</v>
      </c>
      <c r="D5596" s="9" t="s">
        <v>12851</v>
      </c>
      <c r="E5596" s="10" t="str">
        <f>HYPERLINK("https://twitter.com/Sufiy/status/723786878852456449","723786878852456449")</f>
        <v>723786878852456449</v>
      </c>
      <c r="F5596" s="11" t="s">
        <v>91</v>
      </c>
      <c r="G5596" s="11">
        <v>1719</v>
      </c>
      <c r="H5596" s="11">
        <v>2049</v>
      </c>
      <c r="I5596" s="11">
        <v>6</v>
      </c>
      <c r="J5596" s="11">
        <v>0</v>
      </c>
      <c r="K5596" s="11" t="s">
        <v>21</v>
      </c>
      <c r="L5596" s="7">
        <v>39996.211608796293</v>
      </c>
      <c r="M5596" s="12" t="s">
        <v>1557</v>
      </c>
      <c r="N5596" s="12" t="s">
        <v>1558</v>
      </c>
      <c r="O5596" s="10" t="str">
        <f t="shared" ref="O5596:O5598" si="490">HYPERLINK("https://pbs.twimg.com/profile_images/292857657/GreenGrowth_normal.jpg","View")</f>
        <v>View</v>
      </c>
      <c r="P5596" s="11"/>
    </row>
    <row r="5597" spans="1:16" ht="12.75" x14ac:dyDescent="0.35">
      <c r="A5597" s="7">
        <v>42483.572060185186</v>
      </c>
      <c r="B5597" s="8" t="str">
        <f t="shared" si="489"/>
        <v>@Sufiy</v>
      </c>
      <c r="C5597" s="9" t="s">
        <v>1556</v>
      </c>
      <c r="D5597" s="9" t="s">
        <v>12852</v>
      </c>
      <c r="E5597" s="10" t="str">
        <f>HYPERLINK("https://twitter.com/Sufiy/status/723786930102636544","723786930102636544")</f>
        <v>723786930102636544</v>
      </c>
      <c r="F5597" s="11" t="s">
        <v>91</v>
      </c>
      <c r="G5597" s="11">
        <v>1719</v>
      </c>
      <c r="H5597" s="11">
        <v>2049</v>
      </c>
      <c r="I5597" s="11">
        <v>17</v>
      </c>
      <c r="J5597" s="11">
        <v>0</v>
      </c>
      <c r="K5597" s="11" t="s">
        <v>21</v>
      </c>
      <c r="L5597" s="7">
        <v>39996.211608796293</v>
      </c>
      <c r="M5597" s="12" t="s">
        <v>1557</v>
      </c>
      <c r="N5597" s="12" t="s">
        <v>1558</v>
      </c>
      <c r="O5597" s="10" t="str">
        <f t="shared" si="490"/>
        <v>View</v>
      </c>
      <c r="P5597" s="11"/>
    </row>
    <row r="5598" spans="1:16" ht="12.75" x14ac:dyDescent="0.35">
      <c r="A5598" s="7">
        <v>42483.572199074071</v>
      </c>
      <c r="B5598" s="8" t="str">
        <f t="shared" si="489"/>
        <v>@Sufiy</v>
      </c>
      <c r="C5598" s="9" t="s">
        <v>1556</v>
      </c>
      <c r="D5598" s="9" t="s">
        <v>12853</v>
      </c>
      <c r="E5598" s="10" t="str">
        <f>HYPERLINK("https://twitter.com/Sufiy/status/723786982405603328","723786982405603328")</f>
        <v>723786982405603328</v>
      </c>
      <c r="F5598" s="11" t="s">
        <v>91</v>
      </c>
      <c r="G5598" s="11">
        <v>1719</v>
      </c>
      <c r="H5598" s="11">
        <v>2049</v>
      </c>
      <c r="I5598" s="11">
        <v>18</v>
      </c>
      <c r="J5598" s="11">
        <v>0</v>
      </c>
      <c r="K5598" s="11" t="s">
        <v>21</v>
      </c>
      <c r="L5598" s="7">
        <v>39996.211608796293</v>
      </c>
      <c r="M5598" s="12" t="s">
        <v>1557</v>
      </c>
      <c r="N5598" s="12" t="s">
        <v>1558</v>
      </c>
      <c r="O5598" s="10" t="str">
        <f t="shared" si="490"/>
        <v>View</v>
      </c>
      <c r="P5598" s="11"/>
    </row>
    <row r="5599" spans="1:16" ht="12.75" x14ac:dyDescent="0.35">
      <c r="A5599" s="7">
        <v>42483.572233796294</v>
      </c>
      <c r="B5599" s="8" t="str">
        <f>HYPERLINK("https://twitter.com/EurJRR","@EurJRR")</f>
        <v>@EurJRR</v>
      </c>
      <c r="C5599" s="9" t="s">
        <v>12854</v>
      </c>
      <c r="D5599" s="9" t="s">
        <v>12855</v>
      </c>
      <c r="E5599" s="10" t="str">
        <f>HYPERLINK("https://twitter.com/EurJRR/status/723786992971046916","723786992971046916")</f>
        <v>723786992971046916</v>
      </c>
      <c r="F5599" s="11" t="s">
        <v>20</v>
      </c>
      <c r="G5599" s="11">
        <v>297</v>
      </c>
      <c r="H5599" s="11">
        <v>656</v>
      </c>
      <c r="I5599" s="11">
        <v>2</v>
      </c>
      <c r="J5599" s="11">
        <v>0</v>
      </c>
      <c r="K5599" s="11" t="s">
        <v>21</v>
      </c>
      <c r="L5599" s="7">
        <v>40890.700289351851</v>
      </c>
      <c r="M5599" s="12" t="s">
        <v>12856</v>
      </c>
      <c r="N5599" s="12" t="s">
        <v>12857</v>
      </c>
      <c r="O5599" s="10" t="str">
        <f>HYPERLINK("https://pbs.twimg.com/profile_images/1691137019/EJRR_kopf_web_normal.jpg","View")</f>
        <v>View</v>
      </c>
      <c r="P5599" s="11"/>
    </row>
    <row r="5600" spans="1:16" ht="12.75" x14ac:dyDescent="0.35">
      <c r="A5600" s="7">
        <v>42483.572557870371</v>
      </c>
      <c r="B5600" s="8" t="str">
        <f>HYPERLINK("https://twitter.com/fitra_eri","@fitra_eri")</f>
        <v>@fitra_eri</v>
      </c>
      <c r="C5600" s="9" t="s">
        <v>12858</v>
      </c>
      <c r="D5600" s="9" t="s">
        <v>12859</v>
      </c>
      <c r="E5600" s="10" t="str">
        <f>HYPERLINK("https://twitter.com/fitra_eri/status/723787110440939520","723787110440939520")</f>
        <v>723787110440939520</v>
      </c>
      <c r="F5600" s="11" t="s">
        <v>114</v>
      </c>
      <c r="G5600" s="11">
        <v>578</v>
      </c>
      <c r="H5600" s="11">
        <v>32</v>
      </c>
      <c r="I5600" s="11">
        <v>0</v>
      </c>
      <c r="J5600" s="11">
        <v>0</v>
      </c>
      <c r="K5600" s="11" t="s">
        <v>21</v>
      </c>
      <c r="L5600" s="7">
        <v>40332.044305555552</v>
      </c>
      <c r="M5600" s="12" t="s">
        <v>12860</v>
      </c>
      <c r="N5600" s="12"/>
      <c r="O5600" s="10" t="str">
        <f>HYPERLINK("https://pbs.twimg.com/profile_images/378800000179644697/989228d76c4c219758ab128e45d019ce_normal.jpeg","View")</f>
        <v>View</v>
      </c>
      <c r="P5600" s="11"/>
    </row>
    <row r="5601" spans="1:16" ht="12.75" x14ac:dyDescent="0.35">
      <c r="A5601" s="7">
        <v>42483.573159722218</v>
      </c>
      <c r="B5601" s="8" t="str">
        <f>HYPERLINK("https://twitter.com/shinemyrideuk","@shinemyrideuk")</f>
        <v>@shinemyrideuk</v>
      </c>
      <c r="C5601" s="9" t="s">
        <v>1697</v>
      </c>
      <c r="D5601" s="9" t="s">
        <v>12861</v>
      </c>
      <c r="E5601" s="10" t="str">
        <f>HYPERLINK("https://twitter.com/shinemyrideuk/status/723787329266192384","723787329266192384")</f>
        <v>723787329266192384</v>
      </c>
      <c r="F5601" s="11" t="s">
        <v>152</v>
      </c>
      <c r="G5601" s="11">
        <v>1515</v>
      </c>
      <c r="H5601" s="11">
        <v>531</v>
      </c>
      <c r="I5601" s="11">
        <v>0</v>
      </c>
      <c r="J5601" s="11">
        <v>0</v>
      </c>
      <c r="K5601" s="11" t="s">
        <v>21</v>
      </c>
      <c r="L5601" s="7">
        <v>40504.286840277782</v>
      </c>
      <c r="M5601" s="12" t="s">
        <v>1699</v>
      </c>
      <c r="N5601" s="12" t="s">
        <v>1700</v>
      </c>
      <c r="O5601" s="10" t="str">
        <f>HYPERLINK("https://pbs.twimg.com/profile_images/673219952988413952/RwM7EX2v_normal.png","View")</f>
        <v>View</v>
      </c>
      <c r="P5601" s="11"/>
    </row>
    <row r="5602" spans="1:16" ht="12.75" x14ac:dyDescent="0.35">
      <c r="A5602" s="7">
        <v>42483.573263888888</v>
      </c>
      <c r="B5602" s="8" t="str">
        <f>HYPERLINK("https://twitter.com/JenniPii","@JenniPii")</f>
        <v>@JenniPii</v>
      </c>
      <c r="C5602" s="9" t="s">
        <v>8303</v>
      </c>
      <c r="D5602" s="9" t="s">
        <v>12862</v>
      </c>
      <c r="E5602" s="10" t="str">
        <f>HYPERLINK("https://twitter.com/JenniPii/status/723787368600375296","723787368600375296")</f>
        <v>723787368600375296</v>
      </c>
      <c r="F5602" s="11" t="s">
        <v>367</v>
      </c>
      <c r="G5602" s="11">
        <v>228</v>
      </c>
      <c r="H5602" s="11">
        <v>365</v>
      </c>
      <c r="I5602" s="11">
        <v>0</v>
      </c>
      <c r="J5602" s="11">
        <v>0</v>
      </c>
      <c r="K5602" s="11" t="s">
        <v>21</v>
      </c>
      <c r="L5602" s="7">
        <v>41527.974120370374</v>
      </c>
      <c r="M5602" s="12" t="s">
        <v>8305</v>
      </c>
      <c r="N5602" s="12" t="s">
        <v>8306</v>
      </c>
      <c r="O5602" s="10" t="str">
        <f>HYPERLINK("https://pbs.twimg.com/profile_images/722101790431260672/0vYDkuAk_normal.jpg","View")</f>
        <v>View</v>
      </c>
      <c r="P5602" s="11"/>
    </row>
    <row r="5603" spans="1:16" ht="12.75" x14ac:dyDescent="0.35">
      <c r="A5603" s="7">
        <v>42483.573298611111</v>
      </c>
      <c r="B5603" s="8" t="str">
        <f>HYPERLINK("https://twitter.com/alemannoEU","@alemannoEU")</f>
        <v>@alemannoEU</v>
      </c>
      <c r="C5603" s="9" t="s">
        <v>12863</v>
      </c>
      <c r="D5603" s="9" t="s">
        <v>12855</v>
      </c>
      <c r="E5603" s="10" t="str">
        <f>HYPERLINK("https://twitter.com/alemannoEU/status/723787380713512960","723787380713512960")</f>
        <v>723787380713512960</v>
      </c>
      <c r="F5603" s="11" t="s">
        <v>20</v>
      </c>
      <c r="G5603" s="11">
        <v>11095</v>
      </c>
      <c r="H5603" s="11">
        <v>1534</v>
      </c>
      <c r="I5603" s="11">
        <v>2</v>
      </c>
      <c r="J5603" s="11">
        <v>0</v>
      </c>
      <c r="K5603" s="11" t="s">
        <v>21</v>
      </c>
      <c r="L5603" s="7">
        <v>39820.79488425926</v>
      </c>
      <c r="M5603" s="12" t="s">
        <v>12864</v>
      </c>
      <c r="N5603" s="12" t="s">
        <v>12865</v>
      </c>
      <c r="O5603" s="10" t="str">
        <f>HYPERLINK("https://pbs.twimg.com/profile_images/716615654770667520/9yQz2MjC_normal.jpg","View")</f>
        <v>View</v>
      </c>
      <c r="P5603" s="11"/>
    </row>
    <row r="5604" spans="1:16" ht="12.75" x14ac:dyDescent="0.35">
      <c r="A5604" s="7">
        <v>42483.574502314819</v>
      </c>
      <c r="B5604" s="8" t="str">
        <f>HYPERLINK("https://twitter.com/CastleCoastCamp","@CastleCoastCamp")</f>
        <v>@CastleCoastCamp</v>
      </c>
      <c r="C5604" s="9" t="s">
        <v>11199</v>
      </c>
      <c r="D5604" s="9" t="s">
        <v>12866</v>
      </c>
      <c r="E5604" s="10" t="str">
        <f>HYPERLINK("https://twitter.com/CastleCoastCamp/status/723787815423750144","723787815423750144")</f>
        <v>723787815423750144</v>
      </c>
      <c r="F5604" s="11" t="s">
        <v>43</v>
      </c>
      <c r="G5604" s="11">
        <v>4921</v>
      </c>
      <c r="H5604" s="11">
        <v>4541</v>
      </c>
      <c r="I5604" s="11">
        <v>0</v>
      </c>
      <c r="J5604" s="11">
        <v>0</v>
      </c>
      <c r="K5604" s="11" t="s">
        <v>21</v>
      </c>
      <c r="L5604" s="7">
        <v>41119.874444444446</v>
      </c>
      <c r="M5604" s="12" t="s">
        <v>11201</v>
      </c>
      <c r="N5604" s="12" t="s">
        <v>11202</v>
      </c>
      <c r="O5604" s="10" t="str">
        <f>HYPERLINK("https://pbs.twimg.com/profile_images/610401931501137920/c0qYTPr__normal.jpg","View")</f>
        <v>View</v>
      </c>
      <c r="P5604" s="11"/>
    </row>
    <row r="5605" spans="1:16" ht="12.75" x14ac:dyDescent="0.35">
      <c r="A5605" s="7">
        <v>42483.575324074074</v>
      </c>
      <c r="B5605" s="8" t="str">
        <f>HYPERLINK("https://twitter.com/alemannoEU","@alemannoEU")</f>
        <v>@alemannoEU</v>
      </c>
      <c r="C5605" s="9" t="s">
        <v>12863</v>
      </c>
      <c r="D5605" s="9" t="s">
        <v>7830</v>
      </c>
      <c r="E5605" s="10" t="str">
        <f>HYPERLINK("https://twitter.com/alemannoEU/status/723788114683170816","723788114683170816")</f>
        <v>723788114683170816</v>
      </c>
      <c r="F5605" s="11" t="s">
        <v>20</v>
      </c>
      <c r="G5605" s="11">
        <v>11095</v>
      </c>
      <c r="H5605" s="11">
        <v>1535</v>
      </c>
      <c r="I5605" s="11">
        <v>5</v>
      </c>
      <c r="J5605" s="11">
        <v>0</v>
      </c>
      <c r="K5605" s="11" t="s">
        <v>21</v>
      </c>
      <c r="L5605" s="7">
        <v>39820.79488425926</v>
      </c>
      <c r="M5605" s="12" t="s">
        <v>12864</v>
      </c>
      <c r="N5605" s="12" t="s">
        <v>12865</v>
      </c>
      <c r="O5605" s="10" t="str">
        <f>HYPERLINK("https://pbs.twimg.com/profile_images/716615654770667520/9yQz2MjC_normal.jpg","View")</f>
        <v>View</v>
      </c>
      <c r="P5605" s="11"/>
    </row>
    <row r="5606" spans="1:16" ht="12.75" x14ac:dyDescent="0.35">
      <c r="A5606" s="7">
        <v>42483.575995370367</v>
      </c>
      <c r="B5606" s="8" t="str">
        <f>HYPERLINK("https://twitter.com/Tschonka","@Tschonka")</f>
        <v>@Tschonka</v>
      </c>
      <c r="C5606" s="9" t="s">
        <v>12867</v>
      </c>
      <c r="D5606" s="9" t="s">
        <v>12659</v>
      </c>
      <c r="E5606" s="10" t="str">
        <f>HYPERLINK("https://twitter.com/Tschonka/status/723788357311041537","723788357311041537")</f>
        <v>723788357311041537</v>
      </c>
      <c r="F5606" s="11" t="s">
        <v>43</v>
      </c>
      <c r="G5606" s="11">
        <v>2277</v>
      </c>
      <c r="H5606" s="11">
        <v>2778</v>
      </c>
      <c r="I5606" s="11">
        <v>12</v>
      </c>
      <c r="J5606" s="11">
        <v>0</v>
      </c>
      <c r="K5606" s="11" t="s">
        <v>21</v>
      </c>
      <c r="L5606" s="7">
        <v>41600.08871527778</v>
      </c>
      <c r="M5606" s="12"/>
      <c r="N5606" s="12" t="s">
        <v>12868</v>
      </c>
      <c r="O5606" s="10" t="str">
        <f>HYPERLINK("https://pbs.twimg.com/profile_images/643084020633481216/9U3J-N2X_normal.jpg","View")</f>
        <v>View</v>
      </c>
      <c r="P5606" s="11"/>
    </row>
    <row r="5607" spans="1:16" ht="12.75" x14ac:dyDescent="0.35">
      <c r="A5607" s="7">
        <v>42483.578043981484</v>
      </c>
      <c r="B5607" s="8" t="str">
        <f>HYPERLINK("https://twitter.com/fceintracht1992","@fceintracht1992")</f>
        <v>@fceintracht1992</v>
      </c>
      <c r="C5607" s="9" t="s">
        <v>12869</v>
      </c>
      <c r="D5607" s="9" t="s">
        <v>12870</v>
      </c>
      <c r="E5607" s="10" t="str">
        <f>HYPERLINK("https://twitter.com/fceintracht1992/status/723789098499059712","723789098499059712")</f>
        <v>723789098499059712</v>
      </c>
      <c r="F5607" s="11" t="s">
        <v>91</v>
      </c>
      <c r="G5607" s="11">
        <v>96</v>
      </c>
      <c r="H5607" s="11">
        <v>313</v>
      </c>
      <c r="I5607" s="11">
        <v>0</v>
      </c>
      <c r="J5607" s="11">
        <v>0</v>
      </c>
      <c r="K5607" s="11" t="s">
        <v>21</v>
      </c>
      <c r="L5607" s="7">
        <v>42337.1325462963</v>
      </c>
      <c r="M5607" s="12" t="s">
        <v>12871</v>
      </c>
      <c r="N5607" s="12" t="s">
        <v>12872</v>
      </c>
      <c r="O5607" s="10" t="str">
        <f>HYPERLINK("https://pbs.twimg.com/profile_images/686682446935552002/K_UT5tM2_normal.jpg","View")</f>
        <v>View</v>
      </c>
      <c r="P5607" s="11"/>
    </row>
    <row r="5608" spans="1:16" ht="12.75" x14ac:dyDescent="0.35">
      <c r="A5608" s="7">
        <v>42483.578217592592</v>
      </c>
      <c r="B5608" s="8" t="str">
        <f>HYPERLINK("https://twitter.com/CastleCoastCamp","@CastleCoastCamp")</f>
        <v>@CastleCoastCamp</v>
      </c>
      <c r="C5608" s="9" t="s">
        <v>11199</v>
      </c>
      <c r="D5608" s="9" t="s">
        <v>12873</v>
      </c>
      <c r="E5608" s="10" t="str">
        <f>HYPERLINK("https://twitter.com/CastleCoastCamp/status/723789162197954560","723789162197954560")</f>
        <v>723789162197954560</v>
      </c>
      <c r="F5608" s="11" t="s">
        <v>43</v>
      </c>
      <c r="G5608" s="11">
        <v>4921</v>
      </c>
      <c r="H5608" s="11">
        <v>4541</v>
      </c>
      <c r="I5608" s="11">
        <v>0</v>
      </c>
      <c r="J5608" s="11">
        <v>0</v>
      </c>
      <c r="K5608" s="11" t="s">
        <v>21</v>
      </c>
      <c r="L5608" s="7">
        <v>41119.874444444446</v>
      </c>
      <c r="M5608" s="12" t="s">
        <v>11201</v>
      </c>
      <c r="N5608" s="12" t="s">
        <v>11202</v>
      </c>
      <c r="O5608" s="10" t="str">
        <f>HYPERLINK("https://pbs.twimg.com/profile_images/610401931501137920/c0qYTPr__normal.jpg","View")</f>
        <v>View</v>
      </c>
      <c r="P5608" s="11"/>
    </row>
    <row r="5609" spans="1:16" ht="12.75" x14ac:dyDescent="0.35">
      <c r="A5609" s="7">
        <v>42483.580636574072</v>
      </c>
      <c r="B5609" s="8" t="str">
        <f>HYPERLINK("https://twitter.com/MarFnk","@MarFnk")</f>
        <v>@MarFnk</v>
      </c>
      <c r="C5609" s="9" t="s">
        <v>12874</v>
      </c>
      <c r="D5609" s="9" t="s">
        <v>12875</v>
      </c>
      <c r="E5609" s="10" t="str">
        <f>HYPERLINK("https://twitter.com/MarFnk/status/723790037796704256","723790037796704256")</f>
        <v>723790037796704256</v>
      </c>
      <c r="F5609" s="11" t="s">
        <v>43</v>
      </c>
      <c r="G5609" s="11">
        <v>48</v>
      </c>
      <c r="H5609" s="11">
        <v>151</v>
      </c>
      <c r="I5609" s="11">
        <v>0</v>
      </c>
      <c r="J5609" s="11">
        <v>0</v>
      </c>
      <c r="K5609" s="11" t="s">
        <v>21</v>
      </c>
      <c r="L5609" s="7">
        <v>41579.154351851852</v>
      </c>
      <c r="M5609" s="12"/>
      <c r="N5609" s="12"/>
      <c r="O5609" s="10" t="str">
        <f>HYPERLINK("https://pbs.twimg.com/profile_images/378800000706162815/e272abebfb386acf549f7b35a5e5adfe_normal.jpeg","View")</f>
        <v>View</v>
      </c>
      <c r="P5609" s="11"/>
    </row>
    <row r="5610" spans="1:16" ht="12.75" x14ac:dyDescent="0.35">
      <c r="A5610" s="7">
        <v>42483.581377314811</v>
      </c>
      <c r="B5610" s="8" t="str">
        <f>HYPERLINK("https://twitter.com/dabbelu","@dabbelu")</f>
        <v>@dabbelu</v>
      </c>
      <c r="C5610" s="9" t="s">
        <v>12876</v>
      </c>
      <c r="D5610" s="9" t="s">
        <v>12877</v>
      </c>
      <c r="E5610" s="10" t="str">
        <f>HYPERLINK("https://twitter.com/dabbelu/status/723790307163267072","723790307163267072")</f>
        <v>723790307163267072</v>
      </c>
      <c r="F5610" s="11" t="s">
        <v>43</v>
      </c>
      <c r="G5610" s="11">
        <v>67</v>
      </c>
      <c r="H5610" s="11">
        <v>33</v>
      </c>
      <c r="I5610" s="11">
        <v>0</v>
      </c>
      <c r="J5610" s="11">
        <v>0</v>
      </c>
      <c r="K5610" s="11" t="s">
        <v>21</v>
      </c>
      <c r="L5610" s="7">
        <v>40073.63899305556</v>
      </c>
      <c r="M5610" s="12"/>
      <c r="N5610" s="12"/>
      <c r="O5610" s="10" t="str">
        <f>HYPERLINK("https://pbs.twimg.com/profile_images/686473888356810752/N1q7fthz_normal.jpg","View")</f>
        <v>View</v>
      </c>
      <c r="P5610" s="11"/>
    </row>
    <row r="5611" spans="1:16" ht="12.75" x14ac:dyDescent="0.35">
      <c r="A5611" s="7">
        <v>42483.581469907411</v>
      </c>
      <c r="B5611" s="8" t="str">
        <f>HYPERLINK("https://twitter.com/CastleCoastCamp","@CastleCoastCamp")</f>
        <v>@CastleCoastCamp</v>
      </c>
      <c r="C5611" s="9" t="s">
        <v>11199</v>
      </c>
      <c r="D5611" s="9" t="s">
        <v>12878</v>
      </c>
      <c r="E5611" s="10" t="str">
        <f>HYPERLINK("https://twitter.com/CastleCoastCamp/status/723790341460074496","723790341460074496")</f>
        <v>723790341460074496</v>
      </c>
      <c r="F5611" s="11" t="s">
        <v>43</v>
      </c>
      <c r="G5611" s="11">
        <v>4921</v>
      </c>
      <c r="H5611" s="11">
        <v>4541</v>
      </c>
      <c r="I5611" s="11">
        <v>0</v>
      </c>
      <c r="J5611" s="11">
        <v>0</v>
      </c>
      <c r="K5611" s="11" t="s">
        <v>21</v>
      </c>
      <c r="L5611" s="7">
        <v>41119.874444444446</v>
      </c>
      <c r="M5611" s="12" t="s">
        <v>11201</v>
      </c>
      <c r="N5611" s="12" t="s">
        <v>11202</v>
      </c>
      <c r="O5611" s="10" t="str">
        <f>HYPERLINK("https://pbs.twimg.com/profile_images/610401931501137920/c0qYTPr__normal.jpg","View")</f>
        <v>View</v>
      </c>
      <c r="P5611" s="11"/>
    </row>
    <row r="5612" spans="1:16" ht="12.75" x14ac:dyDescent="0.35">
      <c r="A5612" s="7">
        <v>42483.581828703704</v>
      </c>
      <c r="B5612" s="8" t="str">
        <f>HYPERLINK("https://twitter.com/Awesome_eu_com","@Awesome_eu_com")</f>
        <v>@Awesome_eu_com</v>
      </c>
      <c r="C5612" s="9" t="s">
        <v>9919</v>
      </c>
      <c r="D5612" s="9" t="s">
        <v>12879</v>
      </c>
      <c r="E5612" s="10" t="str">
        <f>HYPERLINK("https://twitter.com/Awesome_eu_com/status/723790473740075008","723790473740075008")</f>
        <v>723790473740075008</v>
      </c>
      <c r="F5612" s="11" t="s">
        <v>48</v>
      </c>
      <c r="G5612" s="11">
        <v>1063</v>
      </c>
      <c r="H5612" s="11">
        <v>1642</v>
      </c>
      <c r="I5612" s="11">
        <v>0</v>
      </c>
      <c r="J5612" s="11">
        <v>0</v>
      </c>
      <c r="K5612" s="11" t="s">
        <v>21</v>
      </c>
      <c r="L5612" s="7">
        <v>40370.990798611107</v>
      </c>
      <c r="M5612" s="12" t="s">
        <v>9921</v>
      </c>
      <c r="N5612" s="12" t="s">
        <v>9922</v>
      </c>
      <c r="O5612" s="10" t="str">
        <f>HYPERLINK("https://pbs.twimg.com/profile_images/682567064658259968/q3TCimOc_normal.jpg","View")</f>
        <v>View</v>
      </c>
      <c r="P5612" s="11"/>
    </row>
    <row r="5613" spans="1:16" ht="12.75" x14ac:dyDescent="0.35">
      <c r="A5613" s="7">
        <v>42483.583055555559</v>
      </c>
      <c r="B5613" s="8" t="str">
        <f>HYPERLINK("https://twitter.com/VeeDubMk1_","@VeeDubMk1_")</f>
        <v>@VeeDubMk1_</v>
      </c>
      <c r="C5613" s="9" t="s">
        <v>185</v>
      </c>
      <c r="D5613" s="9" t="s">
        <v>12880</v>
      </c>
      <c r="E5613" s="10" t="str">
        <f>HYPERLINK("https://twitter.com/VeeDubMk1_/status/723790915110854660","723790915110854660")</f>
        <v>723790915110854660</v>
      </c>
      <c r="F5613" s="11" t="s">
        <v>68</v>
      </c>
      <c r="G5613" s="11">
        <v>548</v>
      </c>
      <c r="H5613" s="11">
        <v>3527</v>
      </c>
      <c r="I5613" s="11">
        <v>0</v>
      </c>
      <c r="J5613" s="11">
        <v>0</v>
      </c>
      <c r="K5613" s="11" t="s">
        <v>21</v>
      </c>
      <c r="L5613" s="7">
        <v>42343.063356481478</v>
      </c>
      <c r="M5613" s="12"/>
      <c r="N5613" s="12"/>
      <c r="O5613" s="10" t="str">
        <f>HYPERLINK("https://pbs.twimg.com/profile_images/672878354127839232/M7OYc-zx_normal.jpg","View")</f>
        <v>View</v>
      </c>
      <c r="P5613" s="11"/>
    </row>
    <row r="5614" spans="1:16" ht="12.75" x14ac:dyDescent="0.35">
      <c r="A5614" s="7">
        <v>42483.583113425921</v>
      </c>
      <c r="B5614" s="8" t="str">
        <f t="shared" ref="B5614:B5616" si="491">HYPERLINK("https://twitter.com/Insta_VWT","@Insta_VWT")</f>
        <v>@Insta_VWT</v>
      </c>
      <c r="C5614" s="9" t="s">
        <v>181</v>
      </c>
      <c r="D5614" s="9" t="s">
        <v>12881</v>
      </c>
      <c r="E5614" s="10" t="str">
        <f>HYPERLINK("https://twitter.com/Insta_VWT/status/723790935830728704","723790935830728704")</f>
        <v>723790935830728704</v>
      </c>
      <c r="F5614" s="11" t="s">
        <v>68</v>
      </c>
      <c r="G5614" s="11">
        <v>481</v>
      </c>
      <c r="H5614" s="11">
        <v>0</v>
      </c>
      <c r="I5614" s="11">
        <v>0</v>
      </c>
      <c r="J5614" s="11">
        <v>0</v>
      </c>
      <c r="K5614" s="11" t="s">
        <v>21</v>
      </c>
      <c r="L5614" s="7">
        <v>41658.782800925925</v>
      </c>
      <c r="M5614" s="12" t="s">
        <v>183</v>
      </c>
      <c r="N5614" s="12" t="s">
        <v>184</v>
      </c>
      <c r="O5614" s="10" t="str">
        <f t="shared" ref="O5614:O5616" si="492">HYPERLINK("https://pbs.twimg.com/profile_images/424893967197433858/iQ86NktX_normal.jpeg","View")</f>
        <v>View</v>
      </c>
      <c r="P5614" s="11"/>
    </row>
    <row r="5615" spans="1:16" ht="12.75" x14ac:dyDescent="0.35">
      <c r="A5615" s="7">
        <v>42483.583182870367</v>
      </c>
      <c r="B5615" s="8" t="str">
        <f t="shared" si="491"/>
        <v>@Insta_VWT</v>
      </c>
      <c r="C5615" s="9" t="s">
        <v>181</v>
      </c>
      <c r="D5615" s="9" t="s">
        <v>12882</v>
      </c>
      <c r="E5615" s="10" t="str">
        <f>HYPERLINK("https://twitter.com/Insta_VWT/status/723790964297482240","723790964297482240")</f>
        <v>723790964297482240</v>
      </c>
      <c r="F5615" s="11" t="s">
        <v>68</v>
      </c>
      <c r="G5615" s="11">
        <v>481</v>
      </c>
      <c r="H5615" s="11">
        <v>0</v>
      </c>
      <c r="I5615" s="11">
        <v>0</v>
      </c>
      <c r="J5615" s="11">
        <v>0</v>
      </c>
      <c r="K5615" s="11" t="s">
        <v>21</v>
      </c>
      <c r="L5615" s="7">
        <v>41658.782800925925</v>
      </c>
      <c r="M5615" s="12" t="s">
        <v>183</v>
      </c>
      <c r="N5615" s="12" t="s">
        <v>184</v>
      </c>
      <c r="O5615" s="10" t="str">
        <f t="shared" si="492"/>
        <v>View</v>
      </c>
      <c r="P5615" s="11"/>
    </row>
    <row r="5616" spans="1:16" ht="12.75" x14ac:dyDescent="0.35">
      <c r="A5616" s="7">
        <v>42483.583240740743</v>
      </c>
      <c r="B5616" s="8" t="str">
        <f t="shared" si="491"/>
        <v>@Insta_VWT</v>
      </c>
      <c r="C5616" s="9" t="s">
        <v>181</v>
      </c>
      <c r="D5616" s="9" t="s">
        <v>12883</v>
      </c>
      <c r="E5616" s="10" t="str">
        <f>HYPERLINK("https://twitter.com/Insta_VWT/status/723790984316882944","723790984316882944")</f>
        <v>723790984316882944</v>
      </c>
      <c r="F5616" s="11" t="s">
        <v>68</v>
      </c>
      <c r="G5616" s="11">
        <v>481</v>
      </c>
      <c r="H5616" s="11">
        <v>0</v>
      </c>
      <c r="I5616" s="11">
        <v>0</v>
      </c>
      <c r="J5616" s="11">
        <v>0</v>
      </c>
      <c r="K5616" s="11" t="s">
        <v>21</v>
      </c>
      <c r="L5616" s="7">
        <v>41658.782800925925</v>
      </c>
      <c r="M5616" s="12" t="s">
        <v>183</v>
      </c>
      <c r="N5616" s="12" t="s">
        <v>184</v>
      </c>
      <c r="O5616" s="10" t="str">
        <f t="shared" si="492"/>
        <v>View</v>
      </c>
      <c r="P5616" s="11"/>
    </row>
    <row r="5617" spans="1:16" ht="12.75" x14ac:dyDescent="0.35">
      <c r="A5617" s="7">
        <v>42483.586724537032</v>
      </c>
      <c r="B5617" s="8" t="str">
        <f>HYPERLINK("https://twitter.com/VWCamperSales","@VWCamperSales")</f>
        <v>@VWCamperSales</v>
      </c>
      <c r="C5617" s="9" t="s">
        <v>216</v>
      </c>
      <c r="D5617" s="9" t="s">
        <v>12884</v>
      </c>
      <c r="E5617" s="10" t="str">
        <f>HYPERLINK("https://twitter.com/VWCamperSales/status/723792247385251840","723792247385251840")</f>
        <v>723792247385251840</v>
      </c>
      <c r="F5617" s="10" t="s">
        <v>124</v>
      </c>
      <c r="G5617" s="11">
        <v>620</v>
      </c>
      <c r="H5617" s="11">
        <v>580</v>
      </c>
      <c r="I5617" s="11">
        <v>0</v>
      </c>
      <c r="J5617" s="11">
        <v>0</v>
      </c>
      <c r="K5617" s="11" t="s">
        <v>21</v>
      </c>
      <c r="L5617" s="7">
        <v>42215.98809027778</v>
      </c>
      <c r="M5617" s="12" t="s">
        <v>129</v>
      </c>
      <c r="N5617" s="12" t="s">
        <v>218</v>
      </c>
      <c r="O5617" s="10" t="str">
        <f>HYPERLINK("https://pbs.twimg.com/profile_images/627949001179037696/skEBkS05_normal.jpg","View")</f>
        <v>View</v>
      </c>
      <c r="P5617" s="11"/>
    </row>
    <row r="5618" spans="1:16" ht="12.75" x14ac:dyDescent="0.35">
      <c r="A5618" s="7">
        <v>42483.586898148147</v>
      </c>
      <c r="B5618" s="8" t="str">
        <f>HYPERLINK("https://twitter.com/MarcusFreyer","@MarcusFreyer")</f>
        <v>@MarcusFreyer</v>
      </c>
      <c r="C5618" s="9" t="s">
        <v>12885</v>
      </c>
      <c r="D5618" s="9" t="s">
        <v>9477</v>
      </c>
      <c r="E5618" s="10" t="str">
        <f>HYPERLINK("https://twitter.com/MarcusFreyer/status/723792308353810432","723792308353810432")</f>
        <v>723792308353810432</v>
      </c>
      <c r="F5618" s="11" t="s">
        <v>48</v>
      </c>
      <c r="G5618" s="11">
        <v>30</v>
      </c>
      <c r="H5618" s="11">
        <v>46</v>
      </c>
      <c r="I5618" s="11">
        <v>9</v>
      </c>
      <c r="J5618" s="11">
        <v>0</v>
      </c>
      <c r="K5618" s="11" t="s">
        <v>21</v>
      </c>
      <c r="L5618" s="7">
        <v>41382.843935185185</v>
      </c>
      <c r="M5618" s="12" t="s">
        <v>1931</v>
      </c>
      <c r="N5618" s="12" t="s">
        <v>12886</v>
      </c>
      <c r="O5618" s="10" t="str">
        <f>HYPERLINK("https://pbs.twimg.com/profile_images/429998328365850625/UsZ4WCnN_normal.png","View")</f>
        <v>View</v>
      </c>
      <c r="P5618" s="11"/>
    </row>
    <row r="5619" spans="1:16" ht="12.75" x14ac:dyDescent="0.35">
      <c r="A5619" s="7">
        <v>42483.587118055555</v>
      </c>
      <c r="B5619" s="8" t="str">
        <f>HYPERLINK("https://twitter.com/AC_translates","@AC_translates")</f>
        <v>@AC_translates</v>
      </c>
      <c r="C5619" s="9" t="s">
        <v>12887</v>
      </c>
      <c r="D5619" s="9" t="s">
        <v>12888</v>
      </c>
      <c r="E5619" s="10" t="str">
        <f>HYPERLINK("https://twitter.com/AC_translates/status/723792386678206468","723792386678206468")</f>
        <v>723792386678206468</v>
      </c>
      <c r="F5619" s="11" t="s">
        <v>91</v>
      </c>
      <c r="G5619" s="11">
        <v>383</v>
      </c>
      <c r="H5619" s="11">
        <v>192</v>
      </c>
      <c r="I5619" s="11">
        <v>1</v>
      </c>
      <c r="J5619" s="11">
        <v>0</v>
      </c>
      <c r="K5619" s="11" t="s">
        <v>21</v>
      </c>
      <c r="L5619" s="7">
        <v>42017.623460648145</v>
      </c>
      <c r="M5619" s="12"/>
      <c r="N5619" s="12" t="s">
        <v>12889</v>
      </c>
      <c r="O5619" s="10" t="str">
        <f>HYPERLINK("https://pbs.twimg.com/profile_images/554933957155115008/ExxqV_Hp_normal.jpeg","View")</f>
        <v>View</v>
      </c>
      <c r="P5619" s="11"/>
    </row>
    <row r="5620" spans="1:16" ht="12.75" x14ac:dyDescent="0.35">
      <c r="A5620" s="7">
        <v>42483.587187500001</v>
      </c>
      <c r="B5620" s="8" t="str">
        <f>HYPERLINK("https://twitter.com/sakshinews","@sakshinews")</f>
        <v>@sakshinews</v>
      </c>
      <c r="C5620" s="9" t="s">
        <v>12890</v>
      </c>
      <c r="D5620" s="9" t="s">
        <v>12891</v>
      </c>
      <c r="E5620" s="10" t="str">
        <f>HYPERLINK("https://twitter.com/sakshinews/status/723792415585239040","723792415585239040")</f>
        <v>723792415585239040</v>
      </c>
      <c r="F5620" s="11" t="s">
        <v>43</v>
      </c>
      <c r="G5620" s="11">
        <v>7620</v>
      </c>
      <c r="H5620" s="11">
        <v>195</v>
      </c>
      <c r="I5620" s="11">
        <v>0</v>
      </c>
      <c r="J5620" s="11">
        <v>0</v>
      </c>
      <c r="K5620" s="11" t="s">
        <v>21</v>
      </c>
      <c r="L5620" s="7">
        <v>41439.855775462966</v>
      </c>
      <c r="M5620" s="12"/>
      <c r="N5620" s="12" t="s">
        <v>12892</v>
      </c>
      <c r="O5620" s="10" t="str">
        <f>HYPERLINK("https://pbs.twimg.com/profile_images/378800000218928167/666e84548a432bb1c6f1374f7f6c7f0f_normal.png","View")</f>
        <v>View</v>
      </c>
      <c r="P5620" s="11"/>
    </row>
    <row r="5621" spans="1:16" ht="12.75" x14ac:dyDescent="0.35">
      <c r="A5621" s="7">
        <v>42483.587476851855</v>
      </c>
      <c r="B5621" s="8" t="str">
        <f>HYPERLINK("https://twitter.com/SantaPodRaceway","@SantaPodRaceway")</f>
        <v>@SantaPodRaceway</v>
      </c>
      <c r="C5621" s="9" t="s">
        <v>3995</v>
      </c>
      <c r="D5621" s="9" t="s">
        <v>12893</v>
      </c>
      <c r="E5621" s="10" t="str">
        <f>HYPERLINK("https://twitter.com/SantaPodRaceway/status/723792518022873088","723792518022873088")</f>
        <v>723792518022873088</v>
      </c>
      <c r="F5621" s="11" t="s">
        <v>114</v>
      </c>
      <c r="G5621" s="11">
        <v>12560</v>
      </c>
      <c r="H5621" s="11">
        <v>222</v>
      </c>
      <c r="I5621" s="11">
        <v>1</v>
      </c>
      <c r="J5621" s="11">
        <v>1</v>
      </c>
      <c r="K5621" s="11" t="s">
        <v>21</v>
      </c>
      <c r="L5621" s="7">
        <v>39909.915972222225</v>
      </c>
      <c r="M5621" s="12" t="s">
        <v>3997</v>
      </c>
      <c r="N5621" s="12" t="s">
        <v>3998</v>
      </c>
      <c r="O5621" s="10" t="str">
        <f>HYPERLINK("https://pbs.twimg.com/profile_images/378800000801365829/e9f28f8996ff7f098d9b8a1840e76f50_normal.png","View")</f>
        <v>View</v>
      </c>
      <c r="P5621" s="10" t="str">
        <f>HYPERLINK("http://ctrlq.org/maps/address/#52.23786032,-0.59730173","Map")</f>
        <v>Map</v>
      </c>
    </row>
    <row r="5622" spans="1:16" ht="12.75" x14ac:dyDescent="0.35">
      <c r="A5622" s="7">
        <v>42483.587604166663</v>
      </c>
      <c r="B5622" s="8" t="str">
        <f>HYPERLINK("https://twitter.com/Braulio_Urresti","@Braulio_Urresti")</f>
        <v>@Braulio_Urresti</v>
      </c>
      <c r="C5622" s="9" t="s">
        <v>7915</v>
      </c>
      <c r="D5622" s="9" t="s">
        <v>12894</v>
      </c>
      <c r="E5622" s="10" t="str">
        <f>HYPERLINK("https://twitter.com/Braulio_Urresti/status/723792564231528448","723792564231528448")</f>
        <v>723792564231528448</v>
      </c>
      <c r="F5622" s="11" t="s">
        <v>68</v>
      </c>
      <c r="G5622" s="11">
        <v>57</v>
      </c>
      <c r="H5622" s="11">
        <v>93</v>
      </c>
      <c r="I5622" s="11">
        <v>0</v>
      </c>
      <c r="J5622" s="11">
        <v>0</v>
      </c>
      <c r="K5622" s="11" t="s">
        <v>21</v>
      </c>
      <c r="L5622" s="7">
        <v>42474.937349537038</v>
      </c>
      <c r="M5622" s="12"/>
      <c r="N5622" s="12"/>
      <c r="O5622" s="10" t="str">
        <f>HYPERLINK("https://abs.twimg.com/sticky/default_profile_images/default_profile_5_normal.png","View")</f>
        <v>View</v>
      </c>
      <c r="P5622" s="11"/>
    </row>
    <row r="5623" spans="1:16" ht="12.75" x14ac:dyDescent="0.35">
      <c r="A5623" s="7">
        <v>42483.588680555556</v>
      </c>
      <c r="B5623" s="8" t="str">
        <f>HYPERLINK("https://twitter.com/Wendishwasher","@Wendishwasher")</f>
        <v>@Wendishwasher</v>
      </c>
      <c r="C5623" s="9" t="s">
        <v>12895</v>
      </c>
      <c r="D5623" s="9" t="s">
        <v>12828</v>
      </c>
      <c r="E5623" s="10" t="str">
        <f>HYPERLINK("https://twitter.com/Wendishwasher/status/723792954175971328","723792954175971328")</f>
        <v>723792954175971328</v>
      </c>
      <c r="F5623" s="11" t="s">
        <v>48</v>
      </c>
      <c r="G5623" s="11">
        <v>84</v>
      </c>
      <c r="H5623" s="11">
        <v>284</v>
      </c>
      <c r="I5623" s="11">
        <v>3</v>
      </c>
      <c r="J5623" s="11">
        <v>0</v>
      </c>
      <c r="K5623" s="11" t="s">
        <v>21</v>
      </c>
      <c r="L5623" s="7">
        <v>41524.963958333334</v>
      </c>
      <c r="M5623" s="12" t="s">
        <v>12896</v>
      </c>
      <c r="N5623" s="12" t="s">
        <v>12897</v>
      </c>
      <c r="O5623" s="10" t="str">
        <f>HYPERLINK("https://pbs.twimg.com/profile_images/607431748125900800/x0UAHZPL_normal.jpg","View")</f>
        <v>View</v>
      </c>
      <c r="P5623" s="11"/>
    </row>
    <row r="5624" spans="1:16" ht="12.75" x14ac:dyDescent="0.35">
      <c r="A5624" s="7">
        <v>42483.590057870373</v>
      </c>
      <c r="B5624" s="8" t="str">
        <f>HYPERLINK("https://twitter.com/frenja","@frenja")</f>
        <v>@frenja</v>
      </c>
      <c r="C5624" s="9" t="s">
        <v>12898</v>
      </c>
      <c r="D5624" s="9" t="s">
        <v>12899</v>
      </c>
      <c r="E5624" s="10" t="str">
        <f>HYPERLINK("https://twitter.com/frenja/status/723793454753538048","723793454753538048")</f>
        <v>723793454753538048</v>
      </c>
      <c r="F5624" s="11" t="s">
        <v>20</v>
      </c>
      <c r="G5624" s="11">
        <v>1732</v>
      </c>
      <c r="H5624" s="11">
        <v>1675</v>
      </c>
      <c r="I5624" s="11">
        <v>1</v>
      </c>
      <c r="J5624" s="11">
        <v>0</v>
      </c>
      <c r="K5624" s="11" t="s">
        <v>21</v>
      </c>
      <c r="L5624" s="7">
        <v>39939.739606481482</v>
      </c>
      <c r="M5624" s="12" t="s">
        <v>1359</v>
      </c>
      <c r="N5624" s="12" t="s">
        <v>12900</v>
      </c>
      <c r="O5624" s="10" t="str">
        <f>HYPERLINK("https://pbs.twimg.com/profile_images/2809466914/4e4fb7a41dc491c36d2931c84e1769ca_normal.jpeg","View")</f>
        <v>View</v>
      </c>
      <c r="P5624" s="11"/>
    </row>
    <row r="5625" spans="1:16" ht="12.75" x14ac:dyDescent="0.35">
      <c r="A5625" s="7">
        <v>42483.590081018519</v>
      </c>
      <c r="B5625" s="8" t="str">
        <f>HYPERLINK("https://twitter.com/CastleCoastCamp","@CastleCoastCamp")</f>
        <v>@CastleCoastCamp</v>
      </c>
      <c r="C5625" s="9" t="s">
        <v>11199</v>
      </c>
      <c r="D5625" s="9" t="s">
        <v>12901</v>
      </c>
      <c r="E5625" s="10" t="str">
        <f>HYPERLINK("https://twitter.com/CastleCoastCamp/status/723793462928236544","723793462928236544")</f>
        <v>723793462928236544</v>
      </c>
      <c r="F5625" s="11" t="s">
        <v>43</v>
      </c>
      <c r="G5625" s="11">
        <v>4921</v>
      </c>
      <c r="H5625" s="11">
        <v>4542</v>
      </c>
      <c r="I5625" s="11">
        <v>0</v>
      </c>
      <c r="J5625" s="11">
        <v>0</v>
      </c>
      <c r="K5625" s="11" t="s">
        <v>21</v>
      </c>
      <c r="L5625" s="7">
        <v>41119.874444444446</v>
      </c>
      <c r="M5625" s="12" t="s">
        <v>11201</v>
      </c>
      <c r="N5625" s="12" t="s">
        <v>11202</v>
      </c>
      <c r="O5625" s="10" t="str">
        <f>HYPERLINK("https://pbs.twimg.com/profile_images/610401931501137920/c0qYTPr__normal.jpg","View")</f>
        <v>View</v>
      </c>
      <c r="P5625" s="11"/>
    </row>
    <row r="5626" spans="1:16" ht="12.75" x14ac:dyDescent="0.35">
      <c r="A5626" s="7">
        <v>42483.592800925922</v>
      </c>
      <c r="B5626" s="8" t="str">
        <f>HYPERLINK("https://twitter.com/MotorphiliacsTv","@MotorphiliacsTv")</f>
        <v>@MotorphiliacsTv</v>
      </c>
      <c r="C5626" s="9" t="s">
        <v>6101</v>
      </c>
      <c r="D5626" s="9" t="s">
        <v>12902</v>
      </c>
      <c r="E5626" s="10" t="str">
        <f>HYPERLINK("https://twitter.com/MotorphiliacsTv/status/723794449571049473","723794449571049473")</f>
        <v>723794449571049473</v>
      </c>
      <c r="F5626" s="11" t="s">
        <v>20</v>
      </c>
      <c r="G5626" s="11">
        <v>362</v>
      </c>
      <c r="H5626" s="11">
        <v>513</v>
      </c>
      <c r="I5626" s="11">
        <v>1</v>
      </c>
      <c r="J5626" s="11">
        <v>0</v>
      </c>
      <c r="K5626" s="11" t="s">
        <v>21</v>
      </c>
      <c r="L5626" s="7">
        <v>42421.034282407403</v>
      </c>
      <c r="M5626" s="12" t="s">
        <v>6103</v>
      </c>
      <c r="N5626" s="12" t="s">
        <v>6104</v>
      </c>
      <c r="O5626" s="10" t="str">
        <f>HYPERLINK("https://pbs.twimg.com/profile_images/701133680937291776/4TSsJk3y_normal.jpg","View")</f>
        <v>View</v>
      </c>
      <c r="P5626" s="11"/>
    </row>
    <row r="5627" spans="1:16" ht="12.75" x14ac:dyDescent="0.35">
      <c r="A5627" s="7">
        <v>42483.594282407408</v>
      </c>
      <c r="B5627" s="8" t="str">
        <f>HYPERLINK("https://twitter.com/NetzwerkggS21","@NetzwerkggS21")</f>
        <v>@NetzwerkggS21</v>
      </c>
      <c r="C5627" s="9" t="s">
        <v>2359</v>
      </c>
      <c r="D5627" s="9" t="s">
        <v>12828</v>
      </c>
      <c r="E5627" s="10" t="str">
        <f>HYPERLINK("https://twitter.com/NetzwerkggS21/status/723794984101662720","723794984101662720")</f>
        <v>723794984101662720</v>
      </c>
      <c r="F5627" s="11" t="s">
        <v>43</v>
      </c>
      <c r="G5627" s="11">
        <v>855</v>
      </c>
      <c r="H5627" s="11">
        <v>2112</v>
      </c>
      <c r="I5627" s="11">
        <v>5</v>
      </c>
      <c r="J5627" s="11">
        <v>0</v>
      </c>
      <c r="K5627" s="11" t="s">
        <v>21</v>
      </c>
      <c r="L5627" s="7">
        <v>41326.709363425922</v>
      </c>
      <c r="M5627" s="13" t="s">
        <v>2361</v>
      </c>
      <c r="N5627" s="12" t="s">
        <v>2362</v>
      </c>
      <c r="O5627" s="10" t="str">
        <f>HYPERLINK("https://pbs.twimg.com/profile_images/378800000528765970/3ab9f2a00010e9cac08d5ca1638926e9_normal.png","View")</f>
        <v>View</v>
      </c>
      <c r="P5627" s="11"/>
    </row>
    <row r="5628" spans="1:16" ht="12.75" x14ac:dyDescent="0.35">
      <c r="A5628" s="7">
        <v>42483.594560185185</v>
      </c>
      <c r="B5628" s="8" t="str">
        <f>HYPERLINK("https://twitter.com/ReginaSeelos","@ReginaSeelos")</f>
        <v>@ReginaSeelos</v>
      </c>
      <c r="C5628" s="9" t="s">
        <v>12903</v>
      </c>
      <c r="D5628" s="9" t="s">
        <v>12899</v>
      </c>
      <c r="E5628" s="10" t="str">
        <f>HYPERLINK("https://twitter.com/ReginaSeelos/status/723795085700259840","723795085700259840")</f>
        <v>723795085700259840</v>
      </c>
      <c r="F5628" s="11" t="s">
        <v>20</v>
      </c>
      <c r="G5628" s="11">
        <v>136</v>
      </c>
      <c r="H5628" s="11">
        <v>234</v>
      </c>
      <c r="I5628" s="11">
        <v>2</v>
      </c>
      <c r="J5628" s="11">
        <v>0</v>
      </c>
      <c r="K5628" s="11" t="s">
        <v>21</v>
      </c>
      <c r="L5628" s="7">
        <v>41411.089513888888</v>
      </c>
      <c r="M5628" s="12" t="s">
        <v>1116</v>
      </c>
      <c r="N5628" s="12" t="s">
        <v>12904</v>
      </c>
      <c r="O5628" s="10" t="str">
        <f>HYPERLINK("https://pbs.twimg.com/profile_images/645687851150090240/AIVtG4Zx_normal.jpg","View")</f>
        <v>View</v>
      </c>
      <c r="P5628" s="11"/>
    </row>
    <row r="5629" spans="1:16" ht="12.75" x14ac:dyDescent="0.35">
      <c r="A5629" s="7">
        <v>42483.595289351855</v>
      </c>
      <c r="B5629" s="8" t="str">
        <f>HYPERLINK("https://twitter.com/gunnar_harms","@gunnar_harms")</f>
        <v>@gunnar_harms</v>
      </c>
      <c r="C5629" s="9" t="s">
        <v>12905</v>
      </c>
      <c r="D5629" s="9" t="s">
        <v>12828</v>
      </c>
      <c r="E5629" s="10" t="str">
        <f>HYPERLINK("https://twitter.com/gunnar_harms/status/723795348511174656","723795348511174656")</f>
        <v>723795348511174656</v>
      </c>
      <c r="F5629" s="11" t="s">
        <v>48</v>
      </c>
      <c r="G5629" s="11">
        <v>1</v>
      </c>
      <c r="H5629" s="11">
        <v>32</v>
      </c>
      <c r="I5629" s="11">
        <v>5</v>
      </c>
      <c r="J5629" s="11">
        <v>0</v>
      </c>
      <c r="K5629" s="11" t="s">
        <v>21</v>
      </c>
      <c r="L5629" s="7">
        <v>42474.8591087963</v>
      </c>
      <c r="M5629" s="12"/>
      <c r="N5629" s="12"/>
      <c r="O5629" s="10" t="str">
        <f>HYPERLINK("https://abs.twimg.com/sticky/default_profile_images/default_profile_0_normal.png","View")</f>
        <v>View</v>
      </c>
      <c r="P5629" s="11"/>
    </row>
    <row r="5630" spans="1:16" ht="12.75" x14ac:dyDescent="0.35">
      <c r="A5630" s="7">
        <v>42483.595636574071</v>
      </c>
      <c r="B5630" s="8" t="str">
        <f>HYPERLINK("https://twitter.com/Balefir3","@Balefir3")</f>
        <v>@Balefir3</v>
      </c>
      <c r="C5630" s="9" t="s">
        <v>12906</v>
      </c>
      <c r="D5630" s="9" t="s">
        <v>10837</v>
      </c>
      <c r="E5630" s="10" t="str">
        <f>HYPERLINK("https://twitter.com/Balefir3/status/723795473996324864","723795473996324864")</f>
        <v>723795473996324864</v>
      </c>
      <c r="F5630" s="11" t="s">
        <v>48</v>
      </c>
      <c r="G5630" s="11">
        <v>200</v>
      </c>
      <c r="H5630" s="11">
        <v>727</v>
      </c>
      <c r="I5630" s="11">
        <v>23</v>
      </c>
      <c r="J5630" s="11">
        <v>0</v>
      </c>
      <c r="K5630" s="11" t="s">
        <v>21</v>
      </c>
      <c r="L5630" s="7">
        <v>39867.720254629632</v>
      </c>
      <c r="M5630" s="12" t="s">
        <v>2816</v>
      </c>
      <c r="N5630" s="12" t="s">
        <v>12907</v>
      </c>
      <c r="O5630" s="10" t="str">
        <f>HYPERLINK("https://pbs.twimg.com/profile_images/3165068380/9dae0a636bc4038fae35f093796ed190_normal.jpeg","View")</f>
        <v>View</v>
      </c>
      <c r="P5630" s="11"/>
    </row>
    <row r="5631" spans="1:16" ht="12.75" x14ac:dyDescent="0.35">
      <c r="A5631" s="7">
        <v>42483.596643518518</v>
      </c>
      <c r="B5631" s="8" t="str">
        <f>HYPERLINK("https://twitter.com/JoJagiello","@JoJagiello")</f>
        <v>@JoJagiello</v>
      </c>
      <c r="C5631" s="9" t="s">
        <v>12908</v>
      </c>
      <c r="D5631" s="9" t="s">
        <v>12909</v>
      </c>
      <c r="E5631" s="10" t="str">
        <f>HYPERLINK("https://twitter.com/JoJagiello/status/723795839253094400","723795839253094400")</f>
        <v>723795839253094400</v>
      </c>
      <c r="F5631" s="11" t="s">
        <v>48</v>
      </c>
      <c r="G5631" s="11">
        <v>1536</v>
      </c>
      <c r="H5631" s="11">
        <v>2024</v>
      </c>
      <c r="I5631" s="11">
        <v>0</v>
      </c>
      <c r="J5631" s="11">
        <v>0</v>
      </c>
      <c r="K5631" s="11" t="s">
        <v>21</v>
      </c>
      <c r="L5631" s="7">
        <v>39994.827094907407</v>
      </c>
      <c r="M5631" s="12" t="s">
        <v>12910</v>
      </c>
      <c r="N5631" s="12" t="s">
        <v>12911</v>
      </c>
      <c r="O5631" s="10" t="str">
        <f>HYPERLINK("https://pbs.twimg.com/profile_images/701477016030289921/prD-N92q_normal.jpg","View")</f>
        <v>View</v>
      </c>
      <c r="P5631" s="11"/>
    </row>
    <row r="5632" spans="1:16" ht="12.75" x14ac:dyDescent="0.35">
      <c r="A5632" s="7">
        <v>42483.596805555557</v>
      </c>
      <c r="B5632" s="8" t="str">
        <f>HYPERLINK("https://twitter.com/FennellMarcus","@FennellMarcus")</f>
        <v>@FennellMarcus</v>
      </c>
      <c r="C5632" s="9" t="s">
        <v>12912</v>
      </c>
      <c r="D5632" s="9" t="s">
        <v>12085</v>
      </c>
      <c r="E5632" s="10" t="str">
        <f>HYPERLINK("https://twitter.com/FennellMarcus/status/723795897121951744","723795897121951744")</f>
        <v>723795897121951744</v>
      </c>
      <c r="F5632" s="11" t="s">
        <v>20</v>
      </c>
      <c r="G5632" s="11">
        <v>1887</v>
      </c>
      <c r="H5632" s="11">
        <v>2061</v>
      </c>
      <c r="I5632" s="11">
        <v>2</v>
      </c>
      <c r="J5632" s="11">
        <v>0</v>
      </c>
      <c r="K5632" s="11" t="s">
        <v>21</v>
      </c>
      <c r="L5632" s="7">
        <v>40873.95621527778</v>
      </c>
      <c r="M5632" s="12" t="s">
        <v>12913</v>
      </c>
      <c r="N5632" s="12" t="s">
        <v>12914</v>
      </c>
      <c r="O5632" s="10" t="str">
        <f>HYPERLINK("https://pbs.twimg.com/profile_images/689135486544293889/vPAeUEzo_normal.jpg","View")</f>
        <v>View</v>
      </c>
      <c r="P5632" s="11"/>
    </row>
    <row r="5633" spans="1:16" ht="12.75" x14ac:dyDescent="0.35">
      <c r="A5633" s="7">
        <v>42483.597731481481</v>
      </c>
      <c r="B5633" s="8" t="str">
        <f>HYPERLINK("https://twitter.com/AlexWitzleben","@AlexWitzleben")</f>
        <v>@AlexWitzleben</v>
      </c>
      <c r="C5633" s="9" t="s">
        <v>1346</v>
      </c>
      <c r="D5633" s="9" t="s">
        <v>12915</v>
      </c>
      <c r="E5633" s="10" t="str">
        <f>HYPERLINK("https://twitter.com/AlexWitzleben/status/723796235958755328","723796235958755328")</f>
        <v>723796235958755328</v>
      </c>
      <c r="F5633" s="11" t="s">
        <v>193</v>
      </c>
      <c r="G5633" s="11">
        <v>1026</v>
      </c>
      <c r="H5633" s="11">
        <v>1000</v>
      </c>
      <c r="I5633" s="11">
        <v>0</v>
      </c>
      <c r="J5633" s="11">
        <v>0</v>
      </c>
      <c r="K5633" s="11" t="s">
        <v>21</v>
      </c>
      <c r="L5633" s="7">
        <v>40591.910462962966</v>
      </c>
      <c r="M5633" s="12" t="s">
        <v>1348</v>
      </c>
      <c r="N5633" s="12" t="s">
        <v>1349</v>
      </c>
      <c r="O5633" s="10" t="str">
        <f>HYPERLINK("https://pbs.twimg.com/profile_images/1913087124/AvW_website_normal.jpg","View")</f>
        <v>View</v>
      </c>
      <c r="P5633" s="11"/>
    </row>
    <row r="5634" spans="1:16" ht="12.75" x14ac:dyDescent="0.35">
      <c r="A5634" s="7">
        <v>42483.59774305555</v>
      </c>
      <c r="B5634" s="8" t="str">
        <f>HYPERLINK("https://twitter.com/RippedFlower","@RippedFlower")</f>
        <v>@RippedFlower</v>
      </c>
      <c r="C5634" s="9" t="s">
        <v>8880</v>
      </c>
      <c r="D5634" s="9" t="s">
        <v>12916</v>
      </c>
      <c r="E5634" s="10" t="str">
        <f>HYPERLINK("https://twitter.com/RippedFlower/status/723796239280705540","723796239280705540")</f>
        <v>723796239280705540</v>
      </c>
      <c r="F5634" s="11" t="s">
        <v>43</v>
      </c>
      <c r="G5634" s="11">
        <v>1529</v>
      </c>
      <c r="H5634" s="11">
        <v>1842</v>
      </c>
      <c r="I5634" s="11">
        <v>0</v>
      </c>
      <c r="J5634" s="11">
        <v>0</v>
      </c>
      <c r="K5634" s="11" t="s">
        <v>21</v>
      </c>
      <c r="L5634" s="7">
        <v>40480.450509259259</v>
      </c>
      <c r="M5634" s="12" t="s">
        <v>8882</v>
      </c>
      <c r="N5634" s="12" t="s">
        <v>8883</v>
      </c>
      <c r="O5634" s="10" t="str">
        <f>HYPERLINK("https://pbs.twimg.com/profile_images/505852375911780352/2-ZN7ue2_normal.jpeg","View")</f>
        <v>View</v>
      </c>
      <c r="P5634" s="11"/>
    </row>
    <row r="5635" spans="1:16" ht="12.75" x14ac:dyDescent="0.35">
      <c r="A5635" s="7">
        <v>42483.597824074073</v>
      </c>
      <c r="B5635" s="8" t="str">
        <f>HYPERLINK("https://twitter.com/MarcelSigner","@MarcelSigner")</f>
        <v>@MarcelSigner</v>
      </c>
      <c r="C5635" s="9" t="s">
        <v>8319</v>
      </c>
      <c r="D5635" s="9" t="s">
        <v>12917</v>
      </c>
      <c r="E5635" s="10" t="str">
        <f>HYPERLINK("https://twitter.com/MarcelSigner/status/723796270163304448","723796270163304448")</f>
        <v>723796270163304448</v>
      </c>
      <c r="F5635" s="11" t="s">
        <v>48</v>
      </c>
      <c r="G5635" s="11">
        <v>819</v>
      </c>
      <c r="H5635" s="11">
        <v>1396</v>
      </c>
      <c r="I5635" s="11">
        <v>0</v>
      </c>
      <c r="J5635" s="11">
        <v>1</v>
      </c>
      <c r="K5635" s="11" t="s">
        <v>21</v>
      </c>
      <c r="L5635" s="7">
        <v>41419.674849537041</v>
      </c>
      <c r="M5635" s="12" t="s">
        <v>8321</v>
      </c>
      <c r="N5635" s="12" t="s">
        <v>8322</v>
      </c>
      <c r="O5635" s="10" t="str">
        <f>HYPERLINK("https://pbs.twimg.com/profile_images/618543469875740672/9UTnmeyy_normal.png","View")</f>
        <v>View</v>
      </c>
      <c r="P5635" s="11"/>
    </row>
    <row r="5636" spans="1:16" ht="12.75" x14ac:dyDescent="0.35">
      <c r="A5636" s="7">
        <v>42483.598298611112</v>
      </c>
      <c r="B5636" s="8" t="str">
        <f>HYPERLINK("https://twitter.com/RippedFlower","@RippedFlower")</f>
        <v>@RippedFlower</v>
      </c>
      <c r="C5636" s="9" t="s">
        <v>8880</v>
      </c>
      <c r="D5636" s="9" t="s">
        <v>12918</v>
      </c>
      <c r="E5636" s="10" t="str">
        <f>HYPERLINK("https://twitter.com/RippedFlower/status/723796439797751808","723796439797751808")</f>
        <v>723796439797751808</v>
      </c>
      <c r="F5636" s="11" t="s">
        <v>43</v>
      </c>
      <c r="G5636" s="11">
        <v>1529</v>
      </c>
      <c r="H5636" s="11">
        <v>1842</v>
      </c>
      <c r="I5636" s="11">
        <v>0</v>
      </c>
      <c r="J5636" s="11">
        <v>0</v>
      </c>
      <c r="K5636" s="11" t="s">
        <v>21</v>
      </c>
      <c r="L5636" s="7">
        <v>40480.450509259259</v>
      </c>
      <c r="M5636" s="12" t="s">
        <v>8882</v>
      </c>
      <c r="N5636" s="12" t="s">
        <v>8883</v>
      </c>
      <c r="O5636" s="10" t="str">
        <f>HYPERLINK("https://pbs.twimg.com/profile_images/505852375911780352/2-ZN7ue2_normal.jpeg","View")</f>
        <v>View</v>
      </c>
      <c r="P5636" s="11"/>
    </row>
    <row r="5637" spans="1:16" ht="12.75" x14ac:dyDescent="0.35">
      <c r="A5637" s="7">
        <v>42483.599317129629</v>
      </c>
      <c r="B5637" s="8" t="str">
        <f>HYPERLINK("https://twitter.com/swanswaygroup","@swanswaygroup")</f>
        <v>@swanswaygroup</v>
      </c>
      <c r="C5637" s="9" t="s">
        <v>2558</v>
      </c>
      <c r="D5637" s="9" t="s">
        <v>12919</v>
      </c>
      <c r="E5637" s="10" t="str">
        <f>HYPERLINK("https://twitter.com/swanswaygroup/status/723796809626214400","723796809626214400")</f>
        <v>723796809626214400</v>
      </c>
      <c r="F5637" s="11" t="s">
        <v>140</v>
      </c>
      <c r="G5637" s="11">
        <v>6199</v>
      </c>
      <c r="H5637" s="11">
        <v>4450</v>
      </c>
      <c r="I5637" s="11">
        <v>1</v>
      </c>
      <c r="J5637" s="11">
        <v>0</v>
      </c>
      <c r="K5637" s="11" t="s">
        <v>21</v>
      </c>
      <c r="L5637" s="7">
        <v>40137.651365740741</v>
      </c>
      <c r="M5637" s="12" t="s">
        <v>2560</v>
      </c>
      <c r="N5637" s="12" t="s">
        <v>2561</v>
      </c>
      <c r="O5637" s="10" t="str">
        <f>HYPERLINK("https://pbs.twimg.com/profile_images/552037189328982016/r65JRGTS_normal.jpeg","View")</f>
        <v>View</v>
      </c>
      <c r="P5637" s="11"/>
    </row>
    <row r="5638" spans="1:16" ht="12.75" x14ac:dyDescent="0.35">
      <c r="A5638" s="7">
        <v>42483.599317129629</v>
      </c>
      <c r="B5638" s="8" t="str">
        <f>HYPERLINK("https://twitter.com/liverpoolVWCV","@liverpoolVWCV")</f>
        <v>@liverpoolVWCV</v>
      </c>
      <c r="C5638" s="9" t="s">
        <v>12920</v>
      </c>
      <c r="D5638" s="9" t="s">
        <v>12921</v>
      </c>
      <c r="E5638" s="10" t="str">
        <f>HYPERLINK("https://twitter.com/liverpoolVWCV/status/723796809672323072","723796809672323072")</f>
        <v>723796809672323072</v>
      </c>
      <c r="F5638" s="11" t="s">
        <v>140</v>
      </c>
      <c r="G5638" s="11">
        <v>866</v>
      </c>
      <c r="H5638" s="11">
        <v>747</v>
      </c>
      <c r="I5638" s="11">
        <v>0</v>
      </c>
      <c r="J5638" s="11">
        <v>0</v>
      </c>
      <c r="K5638" s="11" t="s">
        <v>21</v>
      </c>
      <c r="L5638" s="7">
        <v>41032.788437499999</v>
      </c>
      <c r="M5638" s="12" t="s">
        <v>12922</v>
      </c>
      <c r="N5638" s="12" t="s">
        <v>12923</v>
      </c>
      <c r="O5638" s="10" t="str">
        <f>HYPERLINK("https://pbs.twimg.com/profile_images/488711520251944960/yGYPawOw_normal.jpeg","View")</f>
        <v>View</v>
      </c>
      <c r="P5638" s="11"/>
    </row>
    <row r="5639" spans="1:16" ht="12.75" x14ac:dyDescent="0.35">
      <c r="A5639" s="7">
        <v>42483.600069444445</v>
      </c>
      <c r="B5639" s="8" t="str">
        <f>HYPERLINK("https://twitter.com/HarudEge","@HarudEge")</f>
        <v>@HarudEge</v>
      </c>
      <c r="C5639" s="9" t="s">
        <v>12924</v>
      </c>
      <c r="D5639" s="9" t="s">
        <v>12925</v>
      </c>
      <c r="E5639" s="10" t="str">
        <f>HYPERLINK("https://twitter.com/HarudEge/status/723797080964272128","723797080964272128")</f>
        <v>723797080964272128</v>
      </c>
      <c r="F5639" s="11" t="s">
        <v>114</v>
      </c>
      <c r="G5639" s="11">
        <v>104</v>
      </c>
      <c r="H5639" s="11">
        <v>218</v>
      </c>
      <c r="I5639" s="11">
        <v>0</v>
      </c>
      <c r="J5639" s="11">
        <v>0</v>
      </c>
      <c r="K5639" s="11" t="s">
        <v>21</v>
      </c>
      <c r="L5639" s="7">
        <v>40994.658599537041</v>
      </c>
      <c r="M5639" s="12" t="s">
        <v>12926</v>
      </c>
      <c r="N5639" s="12" t="s">
        <v>12927</v>
      </c>
      <c r="O5639" s="10" t="str">
        <f>HYPERLINK("https://pbs.twimg.com/profile_images/710837619316416513/jTgPl3Vv_normal.jpg","View")</f>
        <v>View</v>
      </c>
      <c r="P5639" s="11"/>
    </row>
    <row r="5640" spans="1:16" ht="12.75" x14ac:dyDescent="0.35">
      <c r="A5640" s="7">
        <v>42483.600405092591</v>
      </c>
      <c r="B5640" s="8" t="str">
        <f>HYPERLINK("https://twitter.com/agenturi","@agenturi")</f>
        <v>@agenturi</v>
      </c>
      <c r="C5640" s="9" t="s">
        <v>12928</v>
      </c>
      <c r="D5640" s="9" t="s">
        <v>12828</v>
      </c>
      <c r="E5640" s="10" t="str">
        <f>HYPERLINK("https://twitter.com/agenturi/status/723797204352286720","723797204352286720")</f>
        <v>723797204352286720</v>
      </c>
      <c r="F5640" s="11" t="s">
        <v>48</v>
      </c>
      <c r="G5640" s="11">
        <v>256</v>
      </c>
      <c r="H5640" s="11">
        <v>1556</v>
      </c>
      <c r="I5640" s="11">
        <v>5</v>
      </c>
      <c r="J5640" s="11">
        <v>0</v>
      </c>
      <c r="K5640" s="11" t="s">
        <v>21</v>
      </c>
      <c r="L5640" s="7">
        <v>40646.169803240744</v>
      </c>
      <c r="M5640" s="12"/>
      <c r="N5640" s="12"/>
      <c r="O5640" s="10" t="str">
        <f>HYPERLINK("https://pbs.twimg.com/profile_images/1309489296/IMG_0441bea__FILEminimizer__normal.JPG","View")</f>
        <v>View</v>
      </c>
      <c r="P5640" s="11"/>
    </row>
    <row r="5641" spans="1:16" ht="12.75" x14ac:dyDescent="0.35">
      <c r="A5641" s="7">
        <v>42483.601342592592</v>
      </c>
      <c r="B5641" s="8" t="str">
        <f>HYPERLINK("https://twitter.com/porkpiefrank","@porkpiefrank")</f>
        <v>@porkpiefrank</v>
      </c>
      <c r="C5641" s="9" t="s">
        <v>5089</v>
      </c>
      <c r="D5641" s="9" t="s">
        <v>12902</v>
      </c>
      <c r="E5641" s="10" t="str">
        <f>HYPERLINK("https://twitter.com/porkpiefrank/status/723797541427531776","723797541427531776")</f>
        <v>723797541427531776</v>
      </c>
      <c r="F5641" s="11" t="s">
        <v>48</v>
      </c>
      <c r="G5641" s="11">
        <v>161</v>
      </c>
      <c r="H5641" s="11">
        <v>376</v>
      </c>
      <c r="I5641" s="11">
        <v>2</v>
      </c>
      <c r="J5641" s="11">
        <v>0</v>
      </c>
      <c r="K5641" s="11" t="s">
        <v>21</v>
      </c>
      <c r="L5641" s="7">
        <v>41582.078819444447</v>
      </c>
      <c r="M5641" s="12" t="s">
        <v>5091</v>
      </c>
      <c r="N5641" s="12" t="s">
        <v>5092</v>
      </c>
      <c r="O5641" s="10" t="str">
        <f>HYPERLINK("https://pbs.twimg.com/profile_images/721298638002135040/UA8fxiJD_normal.jpg","View")</f>
        <v>View</v>
      </c>
      <c r="P5641" s="11"/>
    </row>
    <row r="5642" spans="1:16" ht="12.75" x14ac:dyDescent="0.35">
      <c r="A5642" s="7">
        <v>42483.601412037038</v>
      </c>
      <c r="B5642" s="8" t="str">
        <f>HYPERLINK("https://twitter.com/Dieren01","@Dieren01")</f>
        <v>@Dieren01</v>
      </c>
      <c r="C5642" s="9" t="s">
        <v>12929</v>
      </c>
      <c r="D5642" s="9" t="s">
        <v>12930</v>
      </c>
      <c r="E5642" s="10" t="str">
        <f>HYPERLINK("https://twitter.com/Dieren01/status/723797568912797697","723797568912797697")</f>
        <v>723797568912797697</v>
      </c>
      <c r="F5642" s="11" t="s">
        <v>20</v>
      </c>
      <c r="G5642" s="11">
        <v>119</v>
      </c>
      <c r="H5642" s="11">
        <v>205</v>
      </c>
      <c r="I5642" s="11">
        <v>0</v>
      </c>
      <c r="J5642" s="11">
        <v>1</v>
      </c>
      <c r="K5642" s="11" t="s">
        <v>21</v>
      </c>
      <c r="L5642" s="7">
        <v>40252.891597222224</v>
      </c>
      <c r="M5642" s="12" t="s">
        <v>1430</v>
      </c>
      <c r="N5642" s="12" t="s">
        <v>12931</v>
      </c>
      <c r="O5642" s="10" t="str">
        <f>HYPERLINK("https://pbs.twimg.com/profile_images/468753206395146240/UNroIAFG_normal.jpeg","View")</f>
        <v>View</v>
      </c>
      <c r="P5642" s="11"/>
    </row>
    <row r="5643" spans="1:16" ht="12.75" x14ac:dyDescent="0.35">
      <c r="A5643" s="7">
        <v>42483.601458333331</v>
      </c>
      <c r="B5643" s="8" t="str">
        <f>HYPERLINK("https://twitter.com/Scirocco_Tuning","@Scirocco_Tuning")</f>
        <v>@Scirocco_Tuning</v>
      </c>
      <c r="C5643" s="9" t="s">
        <v>51</v>
      </c>
      <c r="D5643" s="9" t="s">
        <v>12932</v>
      </c>
      <c r="E5643" s="10" t="str">
        <f>HYPERLINK("https://twitter.com/Scirocco_Tuning/status/723797583332839424","723797583332839424")</f>
        <v>723797583332839424</v>
      </c>
      <c r="F5643" s="11" t="s">
        <v>53</v>
      </c>
      <c r="G5643" s="11">
        <v>69</v>
      </c>
      <c r="H5643" s="11">
        <v>215</v>
      </c>
      <c r="I5643" s="11">
        <v>0</v>
      </c>
      <c r="J5643" s="11">
        <v>0</v>
      </c>
      <c r="K5643" s="11" t="s">
        <v>21</v>
      </c>
      <c r="L5643" s="7">
        <v>40844.564722222218</v>
      </c>
      <c r="M5643" s="12"/>
      <c r="N5643" s="12"/>
      <c r="O5643" s="10" t="str">
        <f>HYPERLINK("https://pbs.twimg.com/profile_images/1610421423/Image2_normal.jpg","View")</f>
        <v>View</v>
      </c>
      <c r="P5643" s="11"/>
    </row>
    <row r="5644" spans="1:16" ht="12.75" x14ac:dyDescent="0.35">
      <c r="A5644" s="7">
        <v>42483.602395833332</v>
      </c>
      <c r="B5644" s="8" t="str">
        <f>HYPERLINK("https://twitter.com/JoeFeltch","@JoeFeltch")</f>
        <v>@JoeFeltch</v>
      </c>
      <c r="C5644" s="9" t="s">
        <v>12933</v>
      </c>
      <c r="D5644" s="9" t="s">
        <v>12934</v>
      </c>
      <c r="E5644" s="10" t="str">
        <f>HYPERLINK("https://twitter.com/JoeFeltch/status/723797926577889280","723797926577889280")</f>
        <v>723797926577889280</v>
      </c>
      <c r="F5644" s="11" t="s">
        <v>2154</v>
      </c>
      <c r="G5644" s="11">
        <v>48</v>
      </c>
      <c r="H5644" s="11">
        <v>94</v>
      </c>
      <c r="I5644" s="11">
        <v>0</v>
      </c>
      <c r="J5644" s="11">
        <v>0</v>
      </c>
      <c r="K5644" s="11" t="s">
        <v>21</v>
      </c>
      <c r="L5644" s="7">
        <v>41102.774907407409</v>
      </c>
      <c r="M5644" s="12" t="s">
        <v>5860</v>
      </c>
      <c r="N5644" s="12" t="s">
        <v>12935</v>
      </c>
      <c r="O5644" s="10" t="str">
        <f>HYPERLINK("https://pbs.twimg.com/profile_images/2576163313/empty_normal.jpg","View")</f>
        <v>View</v>
      </c>
      <c r="P5644" s="11"/>
    </row>
    <row r="5645" spans="1:16" ht="12.75" x14ac:dyDescent="0.35">
      <c r="A5645" s="7">
        <v>42483.603101851855</v>
      </c>
      <c r="B5645" s="8" t="str">
        <f>HYPERLINK("https://twitter.com/BavariaWatch","@BavariaWatch")</f>
        <v>@BavariaWatch</v>
      </c>
      <c r="C5645" s="9" t="s">
        <v>12936</v>
      </c>
      <c r="D5645" s="9" t="s">
        <v>12937</v>
      </c>
      <c r="E5645" s="10" t="str">
        <f>HYPERLINK("https://twitter.com/BavariaWatch/status/723798179200815104","723798179200815104")</f>
        <v>723798179200815104</v>
      </c>
      <c r="F5645" s="11" t="s">
        <v>43</v>
      </c>
      <c r="G5645" s="11">
        <v>1187</v>
      </c>
      <c r="H5645" s="11">
        <v>5001</v>
      </c>
      <c r="I5645" s="11">
        <v>0</v>
      </c>
      <c r="J5645" s="11">
        <v>0</v>
      </c>
      <c r="K5645" s="11" t="s">
        <v>21</v>
      </c>
      <c r="L5645" s="7">
        <v>42273.604502314818</v>
      </c>
      <c r="M5645" s="12"/>
      <c r="N5645" s="12" t="s">
        <v>12938</v>
      </c>
      <c r="O5645" s="10" t="str">
        <f>HYPERLINK("https://pbs.twimg.com/profile_images/718466703341010945/x9i3UOOr_normal.jpg","View")</f>
        <v>View</v>
      </c>
      <c r="P5645" s="11"/>
    </row>
    <row r="5646" spans="1:16" ht="12.75" x14ac:dyDescent="0.35">
      <c r="A5646" s="7">
        <v>42483.603171296301</v>
      </c>
      <c r="B5646" s="8" t="str">
        <f>HYPERLINK("https://twitter.com/YoeriAlbrecht","@YoeriAlbrecht")</f>
        <v>@YoeriAlbrecht</v>
      </c>
      <c r="C5646" s="9" t="s">
        <v>12939</v>
      </c>
      <c r="D5646" s="9" t="s">
        <v>12940</v>
      </c>
      <c r="E5646" s="10" t="str">
        <f>HYPERLINK("https://twitter.com/YoeriAlbrecht/status/723798207160025088","723798207160025088")</f>
        <v>723798207160025088</v>
      </c>
      <c r="F5646" s="11" t="s">
        <v>20</v>
      </c>
      <c r="G5646" s="11">
        <v>24487</v>
      </c>
      <c r="H5646" s="11">
        <v>899</v>
      </c>
      <c r="I5646" s="11">
        <v>0</v>
      </c>
      <c r="J5646" s="11">
        <v>0</v>
      </c>
      <c r="K5646" s="11" t="s">
        <v>21</v>
      </c>
      <c r="L5646" s="7">
        <v>40473.717812499999</v>
      </c>
      <c r="M5646" s="12" t="s">
        <v>1748</v>
      </c>
      <c r="N5646" s="12" t="s">
        <v>12941</v>
      </c>
      <c r="O5646" s="10" t="str">
        <f>HYPERLINK("https://pbs.twimg.com/profile_images/3136554383/c62637029402b0d8fe007a682895c1b1_normal.jpeg","View")</f>
        <v>View</v>
      </c>
      <c r="P5646" s="11"/>
    </row>
    <row r="5647" spans="1:16" ht="12.75" x14ac:dyDescent="0.35">
      <c r="A5647" s="7">
        <v>42483.603252314817</v>
      </c>
      <c r="B5647" s="8" t="str">
        <f>HYPERLINK("https://twitter.com/VolkswagenPost","@VolkswagenPost")</f>
        <v>@VolkswagenPost</v>
      </c>
      <c r="C5647" s="9" t="s">
        <v>321</v>
      </c>
      <c r="D5647" s="9" t="s">
        <v>12942</v>
      </c>
      <c r="E5647" s="10" t="str">
        <f>HYPERLINK("https://twitter.com/VolkswagenPost/status/723798234611757057","723798234611757057")</f>
        <v>723798234611757057</v>
      </c>
      <c r="F5647" s="11" t="s">
        <v>288</v>
      </c>
      <c r="G5647" s="11">
        <v>570</v>
      </c>
      <c r="H5647" s="11">
        <v>446</v>
      </c>
      <c r="I5647" s="11">
        <v>1</v>
      </c>
      <c r="J5647" s="11">
        <v>0</v>
      </c>
      <c r="K5647" s="11" t="s">
        <v>21</v>
      </c>
      <c r="L5647" s="7">
        <v>41940.618379629632</v>
      </c>
      <c r="M5647" s="12"/>
      <c r="N5647" s="12"/>
      <c r="O5647" s="10" t="str">
        <f>HYPERLINK("https://pbs.twimg.com/profile_images/530071272881803264/a_jcCmPZ_normal.png","View")</f>
        <v>View</v>
      </c>
      <c r="P5647" s="11"/>
    </row>
    <row r="5648" spans="1:16" ht="12.75" x14ac:dyDescent="0.35">
      <c r="A5648" s="7">
        <v>42483.604039351849</v>
      </c>
      <c r="B5648" s="8" t="str">
        <f>HYPERLINK("https://twitter.com/Viro_31","@Viro_31")</f>
        <v>@Viro_31</v>
      </c>
      <c r="C5648" s="9" t="s">
        <v>12943</v>
      </c>
      <c r="D5648" s="9" t="s">
        <v>12944</v>
      </c>
      <c r="E5648" s="10" t="str">
        <f>HYPERLINK("https://twitter.com/Viro_31/status/723798519883173888","723798519883173888")</f>
        <v>723798519883173888</v>
      </c>
      <c r="F5648" s="11" t="s">
        <v>160</v>
      </c>
      <c r="G5648" s="11">
        <v>129</v>
      </c>
      <c r="H5648" s="11">
        <v>404</v>
      </c>
      <c r="I5648" s="11">
        <v>0</v>
      </c>
      <c r="J5648" s="11">
        <v>0</v>
      </c>
      <c r="K5648" s="11" t="s">
        <v>21</v>
      </c>
      <c r="L5648" s="7">
        <v>40272.620358796295</v>
      </c>
      <c r="M5648" s="12" t="s">
        <v>12945</v>
      </c>
      <c r="N5648" s="12" t="s">
        <v>12946</v>
      </c>
      <c r="O5648" s="10" t="str">
        <f>HYPERLINK("https://pbs.twimg.com/profile_images/681915425861582848/h10p2sHy_normal.jpg","View")</f>
        <v>View</v>
      </c>
      <c r="P5648" s="11"/>
    </row>
    <row r="5649" spans="1:16" ht="12.75" x14ac:dyDescent="0.35">
      <c r="A5649" s="7">
        <v>42483.604675925926</v>
      </c>
      <c r="B5649" s="8" t="str">
        <f>HYPERLINK("https://twitter.com/Law_Bolthausen","@Law_Bolthausen")</f>
        <v>@Law_Bolthausen</v>
      </c>
      <c r="C5649" s="9" t="s">
        <v>12947</v>
      </c>
      <c r="D5649" s="9" t="s">
        <v>12948</v>
      </c>
      <c r="E5649" s="10" t="str">
        <f>HYPERLINK("https://twitter.com/Law_Bolthausen/status/723798750309814272","723798750309814272")</f>
        <v>723798750309814272</v>
      </c>
      <c r="F5649" s="11" t="s">
        <v>20</v>
      </c>
      <c r="G5649" s="11">
        <v>19</v>
      </c>
      <c r="H5649" s="11">
        <v>23</v>
      </c>
      <c r="I5649" s="11">
        <v>0</v>
      </c>
      <c r="J5649" s="11">
        <v>0</v>
      </c>
      <c r="K5649" s="11" t="s">
        <v>21</v>
      </c>
      <c r="L5649" s="7">
        <v>42443.84003472222</v>
      </c>
      <c r="M5649" s="12" t="s">
        <v>7008</v>
      </c>
      <c r="N5649" s="12" t="s">
        <v>12949</v>
      </c>
      <c r="O5649" s="10" t="str">
        <f>HYPERLINK("https://pbs.twimg.com/profile_images/709389204506198017/vgmyEiD5_normal.jpg","View")</f>
        <v>View</v>
      </c>
      <c r="P5649" s="11"/>
    </row>
    <row r="5650" spans="1:16" ht="12.75" x14ac:dyDescent="0.35">
      <c r="A5650" s="7">
        <v>42483.605023148149</v>
      </c>
      <c r="B5650" s="8" t="str">
        <f>HYPERLINK("https://twitter.com/thomrosenhagen","@thomrosenhagen")</f>
        <v>@thomrosenhagen</v>
      </c>
      <c r="C5650" s="9" t="s">
        <v>12950</v>
      </c>
      <c r="D5650" s="9" t="s">
        <v>12828</v>
      </c>
      <c r="E5650" s="10" t="str">
        <f>HYPERLINK("https://twitter.com/thomrosenhagen/status/723798875866279937","723798875866279937")</f>
        <v>723798875866279937</v>
      </c>
      <c r="F5650" s="11" t="s">
        <v>20</v>
      </c>
      <c r="G5650" s="11">
        <v>3373</v>
      </c>
      <c r="H5650" s="11">
        <v>3050</v>
      </c>
      <c r="I5650" s="11">
        <v>14</v>
      </c>
      <c r="J5650" s="11">
        <v>0</v>
      </c>
      <c r="K5650" s="11" t="s">
        <v>21</v>
      </c>
      <c r="L5650" s="7">
        <v>40527.785949074074</v>
      </c>
      <c r="M5650" s="12" t="s">
        <v>12951</v>
      </c>
      <c r="N5650" s="12" t="s">
        <v>12952</v>
      </c>
      <c r="O5650" s="10" t="str">
        <f>HYPERLINK("https://pbs.twimg.com/profile_images/378800000151023854/ce37258684d7baa3221cfae274336c26_normal.jpeg","View")</f>
        <v>View</v>
      </c>
      <c r="P5650" s="11"/>
    </row>
    <row r="5651" spans="1:16" ht="12.75" x14ac:dyDescent="0.35">
      <c r="A5651" s="7">
        <v>42483.605115740742</v>
      </c>
      <c r="B5651" s="8" t="str">
        <f>HYPERLINK("https://twitter.com/pleasecallmemac","@pleasecallmemac")</f>
        <v>@pleasecallmemac</v>
      </c>
      <c r="C5651" s="9" t="s">
        <v>5849</v>
      </c>
      <c r="D5651" s="9" t="s">
        <v>12953</v>
      </c>
      <c r="E5651" s="10" t="str">
        <f>HYPERLINK("https://twitter.com/pleasecallmemac/status/723798912109305856","723798912109305856")</f>
        <v>723798912109305856</v>
      </c>
      <c r="F5651" s="11" t="s">
        <v>43</v>
      </c>
      <c r="G5651" s="11">
        <v>70</v>
      </c>
      <c r="H5651" s="11">
        <v>135</v>
      </c>
      <c r="I5651" s="11">
        <v>0</v>
      </c>
      <c r="J5651" s="11">
        <v>0</v>
      </c>
      <c r="K5651" s="11" t="s">
        <v>21</v>
      </c>
      <c r="L5651" s="7">
        <v>40148.628993055558</v>
      </c>
      <c r="M5651" s="12" t="s">
        <v>5851</v>
      </c>
      <c r="N5651" s="12" t="s">
        <v>5852</v>
      </c>
      <c r="O5651" s="10" t="str">
        <f>HYPERLINK("https://pbs.twimg.com/profile_images/621428656/IMG_0670_normal.jpg","View")</f>
        <v>View</v>
      </c>
      <c r="P5651" s="11"/>
    </row>
    <row r="5652" spans="1:16" ht="12.75" x14ac:dyDescent="0.35">
      <c r="A5652" s="7">
        <v>42483.606238425928</v>
      </c>
      <c r="B5652" s="8" t="str">
        <f>HYPERLINK("https://twitter.com/schoensteiner","@schoensteiner")</f>
        <v>@schoensteiner</v>
      </c>
      <c r="C5652" s="9" t="s">
        <v>12954</v>
      </c>
      <c r="D5652" s="9" t="s">
        <v>12828</v>
      </c>
      <c r="E5652" s="10" t="str">
        <f>HYPERLINK("https://twitter.com/schoensteiner/status/723799319200063488","723799319200063488")</f>
        <v>723799319200063488</v>
      </c>
      <c r="F5652" s="11" t="s">
        <v>43</v>
      </c>
      <c r="G5652" s="11">
        <v>1196</v>
      </c>
      <c r="H5652" s="11">
        <v>393</v>
      </c>
      <c r="I5652" s="11">
        <v>14</v>
      </c>
      <c r="J5652" s="11">
        <v>0</v>
      </c>
      <c r="K5652" s="11" t="s">
        <v>21</v>
      </c>
      <c r="L5652" s="7">
        <v>40607.982372685183</v>
      </c>
      <c r="M5652" s="12" t="s">
        <v>1359</v>
      </c>
      <c r="N5652" s="12" t="s">
        <v>12955</v>
      </c>
      <c r="O5652" s="10" t="str">
        <f>HYPERLINK("https://pbs.twimg.com/profile_images/705215112735498240/4Aeq0YtR_normal.jpg","View")</f>
        <v>View</v>
      </c>
      <c r="P5652" s="11"/>
    </row>
    <row r="5653" spans="1:16" ht="12.75" x14ac:dyDescent="0.35">
      <c r="A5653" s="7">
        <v>42483.606793981482</v>
      </c>
      <c r="B5653" s="8" t="str">
        <f>HYPERLINK("https://twitter.com/pets4cats","@pets4cats")</f>
        <v>@pets4cats</v>
      </c>
      <c r="C5653" s="9" t="s">
        <v>12956</v>
      </c>
      <c r="D5653" s="9" t="s">
        <v>12828</v>
      </c>
      <c r="E5653" s="10" t="str">
        <f>HYPERLINK("https://twitter.com/pets4cats/status/723799517359910912","723799517359910912")</f>
        <v>723799517359910912</v>
      </c>
      <c r="F5653" s="11" t="s">
        <v>20</v>
      </c>
      <c r="G5653" s="11">
        <v>389</v>
      </c>
      <c r="H5653" s="11">
        <v>620</v>
      </c>
      <c r="I5653" s="11">
        <v>14</v>
      </c>
      <c r="J5653" s="11">
        <v>0</v>
      </c>
      <c r="K5653" s="11" t="s">
        <v>21</v>
      </c>
      <c r="L5653" s="7">
        <v>40289.042372685188</v>
      </c>
      <c r="M5653" s="12" t="s">
        <v>12957</v>
      </c>
      <c r="N5653" s="12" t="s">
        <v>12958</v>
      </c>
      <c r="O5653" s="10" t="str">
        <f>HYPERLINK("https://pbs.twimg.com/profile_images/721053973499801602/wTgVJ6EE_normal.jpg","View")</f>
        <v>View</v>
      </c>
      <c r="P5653" s="11"/>
    </row>
    <row r="5654" spans="1:16" ht="12.75" x14ac:dyDescent="0.35">
      <c r="A5654" s="7">
        <v>42483.606898148151</v>
      </c>
      <c r="B5654" s="8" t="str">
        <f>HYPERLINK("https://twitter.com/Brainvibes","@Brainvibes")</f>
        <v>@Brainvibes</v>
      </c>
      <c r="C5654" s="9" t="s">
        <v>12959</v>
      </c>
      <c r="D5654" s="9" t="s">
        <v>12828</v>
      </c>
      <c r="E5654" s="10" t="str">
        <f>HYPERLINK("https://twitter.com/Brainvibes/status/723799554936717312","723799554936717312")</f>
        <v>723799554936717312</v>
      </c>
      <c r="F5654" s="11" t="s">
        <v>20</v>
      </c>
      <c r="G5654" s="11">
        <v>1448</v>
      </c>
      <c r="H5654" s="11">
        <v>914</v>
      </c>
      <c r="I5654" s="11">
        <v>14</v>
      </c>
      <c r="J5654" s="11">
        <v>0</v>
      </c>
      <c r="K5654" s="11" t="s">
        <v>21</v>
      </c>
      <c r="L5654" s="7">
        <v>39990.622777777782</v>
      </c>
      <c r="M5654" s="12" t="s">
        <v>9085</v>
      </c>
      <c r="N5654" s="12" t="s">
        <v>12960</v>
      </c>
      <c r="O5654" s="10" t="str">
        <f>HYPERLINK("https://pbs.twimg.com/profile_images/569834399064424448/pusBZV00_normal.jpeg","View")</f>
        <v>View</v>
      </c>
      <c r="P5654" s="11"/>
    </row>
    <row r="5655" spans="1:16" ht="12.75" x14ac:dyDescent="0.35">
      <c r="A5655" s="7">
        <v>42483.607268518521</v>
      </c>
      <c r="B5655" s="8" t="str">
        <f>HYPERLINK("https://twitter.com/ErnstvAll","@ErnstvAll")</f>
        <v>@ErnstvAll</v>
      </c>
      <c r="C5655" s="9" t="s">
        <v>4347</v>
      </c>
      <c r="D5655" s="9" t="s">
        <v>12828</v>
      </c>
      <c r="E5655" s="10" t="str">
        <f>HYPERLINK("https://twitter.com/ErnstvAll/status/723799690639187969","723799690639187969")</f>
        <v>723799690639187969</v>
      </c>
      <c r="F5655" s="11" t="s">
        <v>43</v>
      </c>
      <c r="G5655" s="11">
        <v>3345</v>
      </c>
      <c r="H5655" s="11">
        <v>749</v>
      </c>
      <c r="I5655" s="11">
        <v>14</v>
      </c>
      <c r="J5655" s="11">
        <v>0</v>
      </c>
      <c r="K5655" s="11" t="s">
        <v>21</v>
      </c>
      <c r="L5655" s="7">
        <v>41214.480219907404</v>
      </c>
      <c r="M5655" s="12" t="s">
        <v>4348</v>
      </c>
      <c r="N5655" s="12" t="s">
        <v>4349</v>
      </c>
      <c r="O5655" s="10" t="str">
        <f>HYPERLINK("https://pbs.twimg.com/profile_images/722924621301956608/WYrNe6po_normal.jpg","View")</f>
        <v>View</v>
      </c>
      <c r="P5655" s="11"/>
    </row>
    <row r="5656" spans="1:16" ht="12.75" x14ac:dyDescent="0.35">
      <c r="A5656" s="7">
        <v>42483.60738425926</v>
      </c>
      <c r="B5656" s="8" t="str">
        <f>HYPERLINK("https://twitter.com/HurstView1","@HurstView1")</f>
        <v>@HurstView1</v>
      </c>
      <c r="C5656" s="9" t="s">
        <v>12961</v>
      </c>
      <c r="D5656" s="9" t="s">
        <v>12962</v>
      </c>
      <c r="E5656" s="10" t="str">
        <f>HYPERLINK("https://twitter.com/HurstView1/status/723799733077192704","723799733077192704")</f>
        <v>723799733077192704</v>
      </c>
      <c r="F5656" s="11" t="s">
        <v>43</v>
      </c>
      <c r="G5656" s="11">
        <v>162</v>
      </c>
      <c r="H5656" s="11">
        <v>139</v>
      </c>
      <c r="I5656" s="11">
        <v>0</v>
      </c>
      <c r="J5656" s="11">
        <v>0</v>
      </c>
      <c r="K5656" s="11" t="s">
        <v>21</v>
      </c>
      <c r="L5656" s="7">
        <v>41919.615300925929</v>
      </c>
      <c r="M5656" s="12" t="s">
        <v>12963</v>
      </c>
      <c r="N5656" s="12" t="s">
        <v>12964</v>
      </c>
      <c r="O5656" s="10" t="str">
        <f>HYPERLINK("https://pbs.twimg.com/profile_images/519422947010678784/mnCSODh0_normal.jpeg","View")</f>
        <v>View</v>
      </c>
      <c r="P5656" s="11"/>
    </row>
    <row r="5657" spans="1:16" ht="12.75" x14ac:dyDescent="0.35">
      <c r="A5657" s="7">
        <v>42483.607881944445</v>
      </c>
      <c r="B5657" s="8" t="str">
        <f>HYPERLINK("https://twitter.com/Donnerbeutel","@Donnerbeutel")</f>
        <v>@Donnerbeutel</v>
      </c>
      <c r="C5657" s="9" t="s">
        <v>12965</v>
      </c>
      <c r="D5657" s="9" t="s">
        <v>12828</v>
      </c>
      <c r="E5657" s="10" t="str">
        <f>HYPERLINK("https://twitter.com/Donnerbeutel/status/723799912413061120","723799912413061120")</f>
        <v>723799912413061120</v>
      </c>
      <c r="F5657" s="11" t="s">
        <v>12966</v>
      </c>
      <c r="G5657" s="11">
        <v>1432</v>
      </c>
      <c r="H5657" s="11">
        <v>870</v>
      </c>
      <c r="I5657" s="11">
        <v>14</v>
      </c>
      <c r="J5657" s="11">
        <v>0</v>
      </c>
      <c r="K5657" s="11" t="s">
        <v>21</v>
      </c>
      <c r="L5657" s="7">
        <v>40231.138148148151</v>
      </c>
      <c r="M5657" s="12" t="s">
        <v>12967</v>
      </c>
      <c r="N5657" s="12" t="s">
        <v>12968</v>
      </c>
      <c r="O5657" s="10" t="str">
        <f>HYPERLINK("https://pbs.twimg.com/profile_images/678666181683867652/BQqbEXCY_normal.jpg","View")</f>
        <v>View</v>
      </c>
      <c r="P5657" s="11"/>
    </row>
    <row r="5658" spans="1:16" ht="12.75" x14ac:dyDescent="0.35">
      <c r="A5658" s="7">
        <v>42483.60802083333</v>
      </c>
      <c r="B5658" s="8" t="str">
        <f>HYPERLINK("https://twitter.com/GO_ShengExhaust","@GO_ShengExhaust")</f>
        <v>@GO_ShengExhaust</v>
      </c>
      <c r="C5658" s="9" t="s">
        <v>12969</v>
      </c>
      <c r="D5658" s="9" t="s">
        <v>12970</v>
      </c>
      <c r="E5658" s="10" t="str">
        <f>HYPERLINK("https://twitter.com/GO_ShengExhaust/status/723799965118558209","723799965118558209")</f>
        <v>723799965118558209</v>
      </c>
      <c r="F5658" s="11" t="s">
        <v>43</v>
      </c>
      <c r="G5658" s="11">
        <v>7</v>
      </c>
      <c r="H5658" s="11">
        <v>7</v>
      </c>
      <c r="I5658" s="11">
        <v>0</v>
      </c>
      <c r="J5658" s="11">
        <v>0</v>
      </c>
      <c r="K5658" s="11" t="s">
        <v>21</v>
      </c>
      <c r="L5658" s="7">
        <v>42188.483391203699</v>
      </c>
      <c r="M5658" s="12"/>
      <c r="N5658" s="12"/>
      <c r="O5658" s="10" t="str">
        <f>HYPERLINK("https://pbs.twimg.com/profile_images/639281846556069892/c78Gg9SX_normal.jpg","View")</f>
        <v>View</v>
      </c>
      <c r="P5658" s="11"/>
    </row>
    <row r="5659" spans="1:16" ht="12.75" x14ac:dyDescent="0.35">
      <c r="A5659" s="7">
        <v>42483.60836805556</v>
      </c>
      <c r="B5659" s="8" t="str">
        <f>HYPERLINK("https://twitter.com/_AKHH_","@_AKHH_")</f>
        <v>@_AKHH_</v>
      </c>
      <c r="C5659" s="9" t="s">
        <v>12971</v>
      </c>
      <c r="D5659" s="9" t="s">
        <v>12828</v>
      </c>
      <c r="E5659" s="10" t="str">
        <f>HYPERLINK("https://twitter.com/_AKHH_/status/723800090213781504","723800090213781504")</f>
        <v>723800090213781504</v>
      </c>
      <c r="F5659" s="11" t="s">
        <v>91</v>
      </c>
      <c r="G5659" s="11">
        <v>2690</v>
      </c>
      <c r="H5659" s="11">
        <v>2284</v>
      </c>
      <c r="I5659" s="11">
        <v>14</v>
      </c>
      <c r="J5659" s="11">
        <v>0</v>
      </c>
      <c r="K5659" s="11" t="s">
        <v>21</v>
      </c>
      <c r="L5659" s="7">
        <v>41629.978981481479</v>
      </c>
      <c r="M5659" s="12" t="s">
        <v>12972</v>
      </c>
      <c r="N5659" s="12" t="s">
        <v>12973</v>
      </c>
      <c r="O5659" s="10" t="str">
        <f>HYPERLINK("https://pbs.twimg.com/profile_images/720264922844786688/5Vt8GBnt_normal.jpg","View")</f>
        <v>View</v>
      </c>
      <c r="P5659" s="11"/>
    </row>
    <row r="5660" spans="1:16" ht="12.75" x14ac:dyDescent="0.35">
      <c r="A5660" s="7">
        <v>42483.608842592592</v>
      </c>
      <c r="B5660" s="8" t="str">
        <f>HYPERLINK("https://twitter.com/Elisa1Beth2","@Elisa1Beth2")</f>
        <v>@Elisa1Beth2</v>
      </c>
      <c r="C5660" s="9" t="s">
        <v>9147</v>
      </c>
      <c r="D5660" s="9" t="s">
        <v>12828</v>
      </c>
      <c r="E5660" s="10" t="str">
        <f>HYPERLINK("https://twitter.com/Elisa1Beth2/status/723800262129926144","723800262129926144")</f>
        <v>723800262129926144</v>
      </c>
      <c r="F5660" s="11" t="s">
        <v>91</v>
      </c>
      <c r="G5660" s="11">
        <v>126</v>
      </c>
      <c r="H5660" s="11">
        <v>631</v>
      </c>
      <c r="I5660" s="11">
        <v>14</v>
      </c>
      <c r="J5660" s="11">
        <v>0</v>
      </c>
      <c r="K5660" s="11" t="s">
        <v>21</v>
      </c>
      <c r="L5660" s="7">
        <v>41101.817129629628</v>
      </c>
      <c r="M5660" s="12"/>
      <c r="N5660" s="12"/>
      <c r="O5660" s="10" t="str">
        <f>HYPERLINK("https://pbs.twimg.com/profile_images/612158537448472576/bQPPZ83Y_normal.jpg","View")</f>
        <v>View</v>
      </c>
      <c r="P5660" s="11"/>
    </row>
    <row r="5661" spans="1:16" ht="12.75" x14ac:dyDescent="0.35">
      <c r="A5661" s="7">
        <v>42483.610509259262</v>
      </c>
      <c r="B5661" s="8" t="str">
        <f>HYPERLINK("https://twitter.com/kasperschrijft","@kasperschrijft")</f>
        <v>@kasperschrijft</v>
      </c>
      <c r="C5661" s="9" t="s">
        <v>12974</v>
      </c>
      <c r="D5661" s="9" t="s">
        <v>12975</v>
      </c>
      <c r="E5661" s="10" t="str">
        <f>HYPERLINK("https://twitter.com/kasperschrijft/status/723800864515862528","723800864515862528")</f>
        <v>723800864515862528</v>
      </c>
      <c r="F5661" s="11" t="s">
        <v>20</v>
      </c>
      <c r="G5661" s="11">
        <v>250</v>
      </c>
      <c r="H5661" s="11">
        <v>436</v>
      </c>
      <c r="I5661" s="11">
        <v>0</v>
      </c>
      <c r="J5661" s="11">
        <v>0</v>
      </c>
      <c r="K5661" s="11" t="s">
        <v>21</v>
      </c>
      <c r="L5661" s="7">
        <v>41247.835520833338</v>
      </c>
      <c r="M5661" s="12" t="s">
        <v>1748</v>
      </c>
      <c r="N5661" s="12" t="s">
        <v>12976</v>
      </c>
      <c r="O5661" s="10" t="str">
        <f>HYPERLINK("https://pbs.twimg.com/profile_images/2931620919/b471227e8e789068badfd2d08541c067_normal.jpeg","View")</f>
        <v>View</v>
      </c>
      <c r="P5661" s="11"/>
    </row>
    <row r="5662" spans="1:16" ht="12.75" x14ac:dyDescent="0.35">
      <c r="A5662" s="7">
        <v>42483.610706018517</v>
      </c>
      <c r="B5662" s="8" t="str">
        <f>HYPERLINK("https://twitter.com/AlHaddadComm","@AlHaddadComm")</f>
        <v>@AlHaddadComm</v>
      </c>
      <c r="C5662" s="9" t="s">
        <v>12977</v>
      </c>
      <c r="D5662" s="9" t="s">
        <v>12978</v>
      </c>
      <c r="E5662" s="10" t="str">
        <f>HYPERLINK("https://twitter.com/AlHaddadComm/status/723800937651920896","723800937651920896")</f>
        <v>723800937651920896</v>
      </c>
      <c r="F5662" s="11" t="s">
        <v>53</v>
      </c>
      <c r="G5662" s="11">
        <v>109</v>
      </c>
      <c r="H5662" s="11">
        <v>201</v>
      </c>
      <c r="I5662" s="11">
        <v>0</v>
      </c>
      <c r="J5662" s="11">
        <v>0</v>
      </c>
      <c r="K5662" s="11" t="s">
        <v>21</v>
      </c>
      <c r="L5662" s="7">
        <v>41282.490127314813</v>
      </c>
      <c r="M5662" s="12" t="s">
        <v>12979</v>
      </c>
      <c r="N5662" s="12" t="s">
        <v>12980</v>
      </c>
      <c r="O5662" s="10" t="str">
        <f>HYPERLINK("https://pbs.twimg.com/profile_images/3310553933/4ec743e0f8325c4a3872c3ff3d2dea97_normal.jpeg","View")</f>
        <v>View</v>
      </c>
      <c r="P5662" s="11"/>
    </row>
    <row r="5663" spans="1:16" ht="12.75" x14ac:dyDescent="0.35">
      <c r="A5663" s="7">
        <v>42483.611145833333</v>
      </c>
      <c r="B5663" s="8" t="str">
        <f>HYPERLINK("https://twitter.com/Wilhelm_Pieck","@Wilhelm_Pieck")</f>
        <v>@Wilhelm_Pieck</v>
      </c>
      <c r="C5663" s="9" t="s">
        <v>12981</v>
      </c>
      <c r="D5663" s="9" t="s">
        <v>10950</v>
      </c>
      <c r="E5663" s="10" t="str">
        <f>HYPERLINK("https://twitter.com/Wilhelm_Pieck/status/723801095357763584","723801095357763584")</f>
        <v>723801095357763584</v>
      </c>
      <c r="F5663" s="11" t="s">
        <v>20</v>
      </c>
      <c r="G5663" s="11">
        <v>673</v>
      </c>
      <c r="H5663" s="11">
        <v>59</v>
      </c>
      <c r="I5663" s="11">
        <v>10</v>
      </c>
      <c r="J5663" s="11">
        <v>0</v>
      </c>
      <c r="K5663" s="11" t="s">
        <v>21</v>
      </c>
      <c r="L5663" s="7">
        <v>41667.120856481481</v>
      </c>
      <c r="M5663" s="12" t="s">
        <v>12982</v>
      </c>
      <c r="N5663" s="12" t="s">
        <v>12983</v>
      </c>
      <c r="O5663" s="10" t="str">
        <f>HYPERLINK("https://pbs.twimg.com/profile_images/559094010434691072/SPEAOqw8_normal.jpeg","View")</f>
        <v>View</v>
      </c>
      <c r="P5663" s="11"/>
    </row>
    <row r="5664" spans="1:16" ht="12.75" x14ac:dyDescent="0.35">
      <c r="A5664" s="7">
        <v>42483.611446759256</v>
      </c>
      <c r="B5664" s="8" t="str">
        <f>HYPERLINK("https://twitter.com/PriskaHinz","@PriskaHinz")</f>
        <v>@PriskaHinz</v>
      </c>
      <c r="C5664" s="9" t="s">
        <v>12984</v>
      </c>
      <c r="D5664" s="9" t="s">
        <v>12985</v>
      </c>
      <c r="E5664" s="10" t="str">
        <f>HYPERLINK("https://twitter.com/PriskaHinz/status/723801206905249792","723801206905249792")</f>
        <v>723801206905249792</v>
      </c>
      <c r="F5664" s="11" t="s">
        <v>91</v>
      </c>
      <c r="G5664" s="11">
        <v>3914</v>
      </c>
      <c r="H5664" s="11">
        <v>407</v>
      </c>
      <c r="I5664" s="11">
        <v>0</v>
      </c>
      <c r="J5664" s="11">
        <v>0</v>
      </c>
      <c r="K5664" s="11" t="s">
        <v>21</v>
      </c>
      <c r="L5664" s="7">
        <v>40037.660949074074</v>
      </c>
      <c r="M5664" s="12" t="s">
        <v>12986</v>
      </c>
      <c r="N5664" s="12" t="s">
        <v>12987</v>
      </c>
      <c r="O5664" s="10" t="str">
        <f>HYPERLINK("https://pbs.twimg.com/profile_images/378800000159615863/10adc536d0a5bb77e166eb36bea24764_normal.jpeg","View")</f>
        <v>View</v>
      </c>
      <c r="P5664" s="11"/>
    </row>
    <row r="5665" spans="1:16" ht="12.75" x14ac:dyDescent="0.35">
      <c r="A5665" s="7">
        <v>42483.611712962964</v>
      </c>
      <c r="B5665" s="8" t="str">
        <f>HYPERLINK("https://twitter.com/KleinerAktivist","@KleinerAktivist")</f>
        <v>@KleinerAktivist</v>
      </c>
      <c r="C5665" s="9" t="s">
        <v>12988</v>
      </c>
      <c r="D5665" s="9" t="s">
        <v>10950</v>
      </c>
      <c r="E5665" s="10" t="str">
        <f>HYPERLINK("https://twitter.com/KleinerAktivist/status/723801299632971776","723801299632971776")</f>
        <v>723801299632971776</v>
      </c>
      <c r="F5665" s="11" t="s">
        <v>43</v>
      </c>
      <c r="G5665" s="11">
        <v>1324</v>
      </c>
      <c r="H5665" s="11">
        <v>1262</v>
      </c>
      <c r="I5665" s="11">
        <v>10</v>
      </c>
      <c r="J5665" s="11">
        <v>0</v>
      </c>
      <c r="K5665" s="11" t="s">
        <v>21</v>
      </c>
      <c r="L5665" s="7">
        <v>40959.213101851856</v>
      </c>
      <c r="M5665" s="12" t="s">
        <v>10961</v>
      </c>
      <c r="N5665" s="12" t="s">
        <v>12989</v>
      </c>
      <c r="O5665" s="10" t="str">
        <f>HYPERLINK("https://pbs.twimg.com/profile_images/482904233994235906/P3cnCAb3_normal.jpeg","View")</f>
        <v>View</v>
      </c>
      <c r="P5665" s="11"/>
    </row>
    <row r="5666" spans="1:16" ht="12.75" x14ac:dyDescent="0.35">
      <c r="A5666" s="7">
        <v>42483.614571759259</v>
      </c>
      <c r="B5666" s="8" t="str">
        <f>HYPERLINK("https://twitter.com/DavidB46","@DavidB46")</f>
        <v>@DavidB46</v>
      </c>
      <c r="C5666" s="9" t="s">
        <v>12990</v>
      </c>
      <c r="D5666" s="9" t="s">
        <v>10950</v>
      </c>
      <c r="E5666" s="10" t="str">
        <f>HYPERLINK("https://twitter.com/DavidB46/status/723802339476406272","723802339476406272")</f>
        <v>723802339476406272</v>
      </c>
      <c r="F5666" s="11" t="s">
        <v>43</v>
      </c>
      <c r="G5666" s="11">
        <v>341</v>
      </c>
      <c r="H5666" s="11">
        <v>1453</v>
      </c>
      <c r="I5666" s="11">
        <v>10</v>
      </c>
      <c r="J5666" s="11">
        <v>0</v>
      </c>
      <c r="K5666" s="11" t="s">
        <v>21</v>
      </c>
      <c r="L5666" s="7">
        <v>40654.989398148144</v>
      </c>
      <c r="M5666" s="12"/>
      <c r="N5666" s="12"/>
      <c r="O5666" s="10" t="str">
        <f>HYPERLINK("https://pbs.twimg.com/profile_images/701016168740610048/_rqIqQSf_normal.jpg","View")</f>
        <v>View</v>
      </c>
      <c r="P5666" s="11"/>
    </row>
    <row r="5667" spans="1:16" ht="12.75" x14ac:dyDescent="0.35">
      <c r="A5667" s="7">
        <v>42483.614733796298</v>
      </c>
      <c r="B5667" s="8" t="str">
        <f>HYPERLINK("https://twitter.com/slsmicha","@slsmicha")</f>
        <v>@slsmicha</v>
      </c>
      <c r="C5667" s="9" t="s">
        <v>12991</v>
      </c>
      <c r="D5667" s="9" t="s">
        <v>12828</v>
      </c>
      <c r="E5667" s="10" t="str">
        <f>HYPERLINK("https://twitter.com/slsmicha/status/723802397986926592","723802397986926592")</f>
        <v>723802397986926592</v>
      </c>
      <c r="F5667" s="11" t="s">
        <v>48</v>
      </c>
      <c r="G5667" s="11">
        <v>1084</v>
      </c>
      <c r="H5667" s="11">
        <v>1105</v>
      </c>
      <c r="I5667" s="11">
        <v>14</v>
      </c>
      <c r="J5667" s="11">
        <v>0</v>
      </c>
      <c r="K5667" s="11" t="s">
        <v>21</v>
      </c>
      <c r="L5667" s="7">
        <v>40802.725335648152</v>
      </c>
      <c r="M5667" s="12" t="s">
        <v>12992</v>
      </c>
      <c r="N5667" s="12" t="s">
        <v>12993</v>
      </c>
      <c r="O5667" s="10" t="str">
        <f>HYPERLINK("https://pbs.twimg.com/profile_images/481714929464918017/DHSrKWur_normal.jpeg","View")</f>
        <v>View</v>
      </c>
      <c r="P5667" s="11"/>
    </row>
    <row r="5668" spans="1:16" ht="12.75" x14ac:dyDescent="0.35">
      <c r="A5668" s="7">
        <v>42483.615624999999</v>
      </c>
      <c r="B5668" s="8" t="str">
        <f>HYPERLINK("https://twitter.com/hellosunshine73","@hellosunshine73")</f>
        <v>@hellosunshine73</v>
      </c>
      <c r="C5668" s="9" t="s">
        <v>12994</v>
      </c>
      <c r="D5668" s="9" t="s">
        <v>12995</v>
      </c>
      <c r="E5668" s="10" t="str">
        <f>HYPERLINK("https://twitter.com/hellosunshine73/status/723802718800891904","723802718800891904")</f>
        <v>723802718800891904</v>
      </c>
      <c r="F5668" s="11" t="s">
        <v>48</v>
      </c>
      <c r="G5668" s="11">
        <v>17</v>
      </c>
      <c r="H5668" s="11">
        <v>161</v>
      </c>
      <c r="I5668" s="11">
        <v>1</v>
      </c>
      <c r="J5668" s="11">
        <v>0</v>
      </c>
      <c r="K5668" s="11" t="s">
        <v>21</v>
      </c>
      <c r="L5668" s="7">
        <v>42226.041631944448</v>
      </c>
      <c r="M5668" s="12"/>
      <c r="N5668" s="12"/>
      <c r="O5668" s="10" t="str">
        <f>HYPERLINK("https://pbs.twimg.com/profile_images/634351297500721152/M5SEJZND_normal.jpg","View")</f>
        <v>View</v>
      </c>
      <c r="P5668" s="11"/>
    </row>
    <row r="5669" spans="1:16" ht="12.75" x14ac:dyDescent="0.35">
      <c r="A5669" s="7">
        <v>42483.615914351853</v>
      </c>
      <c r="B5669" s="8" t="str">
        <f>HYPERLINK("https://twitter.com/m_mediouni","@m_mediouni")</f>
        <v>@m_mediouni</v>
      </c>
      <c r="C5669" s="9" t="s">
        <v>12996</v>
      </c>
      <c r="D5669" s="9" t="s">
        <v>12997</v>
      </c>
      <c r="E5669" s="10" t="str">
        <f>HYPERLINK("https://twitter.com/m_mediouni/status/723802822802833408","723802822802833408")</f>
        <v>723802822802833408</v>
      </c>
      <c r="F5669" s="11" t="s">
        <v>68</v>
      </c>
      <c r="G5669" s="11">
        <v>2161</v>
      </c>
      <c r="H5669" s="11">
        <v>1896</v>
      </c>
      <c r="I5669" s="11">
        <v>0</v>
      </c>
      <c r="J5669" s="11">
        <v>0</v>
      </c>
      <c r="K5669" s="11" t="s">
        <v>21</v>
      </c>
      <c r="L5669" s="7">
        <v>41061.124374999999</v>
      </c>
      <c r="M5669" s="12"/>
      <c r="N5669" s="12" t="s">
        <v>12998</v>
      </c>
      <c r="O5669" s="10" t="str">
        <f>HYPERLINK("https://pbs.twimg.com/profile_images/589811211778293760/J2sTcb44_normal.jpg","View")</f>
        <v>View</v>
      </c>
      <c r="P5669" s="11"/>
    </row>
    <row r="5670" spans="1:16" ht="12.75" x14ac:dyDescent="0.35">
      <c r="A5670" s="7">
        <v>42483.617025462961</v>
      </c>
      <c r="B5670" s="8" t="str">
        <f>HYPERLINK("https://twitter.com/MaxCainam","@MaxCainam")</f>
        <v>@MaxCainam</v>
      </c>
      <c r="C5670" s="9" t="s">
        <v>12999</v>
      </c>
      <c r="D5670" s="9" t="s">
        <v>10950</v>
      </c>
      <c r="E5670" s="10" t="str">
        <f>HYPERLINK("https://twitter.com/MaxCainam/status/723803226412335104","723803226412335104")</f>
        <v>723803226412335104</v>
      </c>
      <c r="F5670" s="11" t="s">
        <v>43</v>
      </c>
      <c r="G5670" s="11">
        <v>569</v>
      </c>
      <c r="H5670" s="11">
        <v>559</v>
      </c>
      <c r="I5670" s="11">
        <v>12</v>
      </c>
      <c r="J5670" s="11">
        <v>0</v>
      </c>
      <c r="K5670" s="11" t="s">
        <v>21</v>
      </c>
      <c r="L5670" s="7">
        <v>41710.693715277775</v>
      </c>
      <c r="M5670" s="12" t="s">
        <v>13000</v>
      </c>
      <c r="N5670" s="12" t="s">
        <v>13001</v>
      </c>
      <c r="O5670" s="10" t="str">
        <f>HYPERLINK("https://pbs.twimg.com/profile_images/723551574753181696/dgFYSYhf_normal.jpg","View")</f>
        <v>View</v>
      </c>
      <c r="P5670" s="11"/>
    </row>
    <row r="5671" spans="1:16" ht="12.75" x14ac:dyDescent="0.35">
      <c r="A5671" s="7">
        <v>42483.617789351847</v>
      </c>
      <c r="B5671" s="8" t="str">
        <f>HYPERLINK("https://twitter.com/ChrisJBCarroll","@ChrisJBCarroll")</f>
        <v>@ChrisJBCarroll</v>
      </c>
      <c r="C5671" s="9" t="s">
        <v>1945</v>
      </c>
      <c r="D5671" s="9" t="s">
        <v>12855</v>
      </c>
      <c r="E5671" s="10" t="str">
        <f>HYPERLINK("https://twitter.com/ChrisJBCarroll/status/723803505505513472","723803505505513472")</f>
        <v>723803505505513472</v>
      </c>
      <c r="F5671" s="11" t="s">
        <v>48</v>
      </c>
      <c r="G5671" s="11">
        <v>256</v>
      </c>
      <c r="H5671" s="11">
        <v>678</v>
      </c>
      <c r="I5671" s="11">
        <v>3</v>
      </c>
      <c r="J5671" s="11">
        <v>0</v>
      </c>
      <c r="K5671" s="11" t="s">
        <v>21</v>
      </c>
      <c r="L5671" s="7">
        <v>41362.800671296296</v>
      </c>
      <c r="M5671" s="12"/>
      <c r="N5671" s="12" t="s">
        <v>1946</v>
      </c>
      <c r="O5671" s="10" t="str">
        <f>HYPERLINK("https://pbs.twimg.com/profile_images/378800000461582138/dea3b11d48a7b41fa52ff65a08ce5a0c_normal.jpeg","View")</f>
        <v>View</v>
      </c>
      <c r="P5671" s="11"/>
    </row>
    <row r="5672" spans="1:16" ht="12.75" x14ac:dyDescent="0.35">
      <c r="A5672" s="7">
        <v>42483.617893518516</v>
      </c>
      <c r="B5672" s="8" t="str">
        <f>HYPERLINK("https://twitter.com/BTMotorsport","@BTMotorsport")</f>
        <v>@BTMotorsport</v>
      </c>
      <c r="C5672" s="9" t="s">
        <v>13002</v>
      </c>
      <c r="D5672" s="9" t="s">
        <v>13003</v>
      </c>
      <c r="E5672" s="10" t="str">
        <f>HYPERLINK("https://twitter.com/BTMotorsport/status/723803539194130432","723803539194130432")</f>
        <v>723803539194130432</v>
      </c>
      <c r="F5672" s="11" t="s">
        <v>20</v>
      </c>
      <c r="G5672" s="11">
        <v>1864</v>
      </c>
      <c r="H5672" s="11">
        <v>1728</v>
      </c>
      <c r="I5672" s="11">
        <v>2</v>
      </c>
      <c r="J5672" s="11">
        <v>3</v>
      </c>
      <c r="K5672" s="11" t="s">
        <v>21</v>
      </c>
      <c r="L5672" s="7">
        <v>40781.161261574074</v>
      </c>
      <c r="M5672" s="12" t="s">
        <v>13004</v>
      </c>
      <c r="N5672" s="12" t="s">
        <v>13005</v>
      </c>
      <c r="O5672" s="10" t="str">
        <f>HYPERLINK("https://pbs.twimg.com/profile_images/532260522939654144/fOFdZU8S_normal.jpeg","View")</f>
        <v>View</v>
      </c>
      <c r="P5672" s="11"/>
    </row>
    <row r="5673" spans="1:16" ht="12.75" x14ac:dyDescent="0.35">
      <c r="A5673" s="7">
        <v>42483.618055555555</v>
      </c>
      <c r="B5673" s="8" t="str">
        <f>HYPERLINK("https://twitter.com/digitalAngst","@digitalAngst")</f>
        <v>@digitalAngst</v>
      </c>
      <c r="C5673" s="9" t="s">
        <v>10533</v>
      </c>
      <c r="D5673" s="9" t="s">
        <v>10950</v>
      </c>
      <c r="E5673" s="10" t="str">
        <f>HYPERLINK("https://twitter.com/digitalAngst/status/723803600091254784","723803600091254784")</f>
        <v>723803600091254784</v>
      </c>
      <c r="F5673" s="11" t="s">
        <v>43</v>
      </c>
      <c r="G5673" s="11">
        <v>115</v>
      </c>
      <c r="H5673" s="11">
        <v>184</v>
      </c>
      <c r="I5673" s="11">
        <v>12</v>
      </c>
      <c r="J5673" s="11">
        <v>0</v>
      </c>
      <c r="K5673" s="11" t="s">
        <v>21</v>
      </c>
      <c r="L5673" s="7">
        <v>40822.71974537037</v>
      </c>
      <c r="M5673" s="12" t="s">
        <v>10535</v>
      </c>
      <c r="N5673" s="12" t="s">
        <v>10536</v>
      </c>
      <c r="O5673" s="10" t="str">
        <f>HYPERLINK("https://pbs.twimg.com/profile_images/1575203828/Kaminekobitingcat_normal.PNG","View")</f>
        <v>View</v>
      </c>
      <c r="P5673" s="11"/>
    </row>
    <row r="5674" spans="1:16" ht="12.75" x14ac:dyDescent="0.35">
      <c r="A5674" s="7">
        <v>42483.618067129632</v>
      </c>
      <c r="B5674" s="8" t="str">
        <f>HYPERLINK("https://twitter.com/CastleCoastCamp","@CastleCoastCamp")</f>
        <v>@CastleCoastCamp</v>
      </c>
      <c r="C5674" s="9" t="s">
        <v>11199</v>
      </c>
      <c r="D5674" s="9" t="s">
        <v>13006</v>
      </c>
      <c r="E5674" s="10" t="str">
        <f>HYPERLINK("https://twitter.com/CastleCoastCamp/status/723803602997940226","723803602997940226")</f>
        <v>723803602997940226</v>
      </c>
      <c r="F5674" s="11" t="s">
        <v>43</v>
      </c>
      <c r="G5674" s="11">
        <v>4921</v>
      </c>
      <c r="H5674" s="11">
        <v>4543</v>
      </c>
      <c r="I5674" s="11">
        <v>0</v>
      </c>
      <c r="J5674" s="11">
        <v>1</v>
      </c>
      <c r="K5674" s="11" t="s">
        <v>21</v>
      </c>
      <c r="L5674" s="7">
        <v>41119.874444444446</v>
      </c>
      <c r="M5674" s="12" t="s">
        <v>11201</v>
      </c>
      <c r="N5674" s="12" t="s">
        <v>11202</v>
      </c>
      <c r="O5674" s="10" t="str">
        <f>HYPERLINK("https://pbs.twimg.com/profile_images/610401931501137920/c0qYTPr__normal.jpg","View")</f>
        <v>View</v>
      </c>
      <c r="P5674" s="11"/>
    </row>
    <row r="5675" spans="1:16" ht="12.75" x14ac:dyDescent="0.35">
      <c r="A5675" s="7">
        <v>42483.618206018524</v>
      </c>
      <c r="B5675" s="8" t="str">
        <f>HYPERLINK("https://twitter.com/StephenJohansen","@StephenJohansen")</f>
        <v>@StephenJohansen</v>
      </c>
      <c r="C5675" s="9" t="s">
        <v>13007</v>
      </c>
      <c r="D5675" s="9" t="s">
        <v>13008</v>
      </c>
      <c r="E5675" s="10" t="str">
        <f>HYPERLINK("https://twitter.com/StephenJohansen/status/723803653610594304","723803653610594304")</f>
        <v>723803653610594304</v>
      </c>
      <c r="F5675" s="11" t="s">
        <v>20</v>
      </c>
      <c r="G5675" s="11">
        <v>737</v>
      </c>
      <c r="H5675" s="11">
        <v>852</v>
      </c>
      <c r="I5675" s="11">
        <v>2</v>
      </c>
      <c r="J5675" s="11">
        <v>0</v>
      </c>
      <c r="K5675" s="11" t="s">
        <v>21</v>
      </c>
      <c r="L5675" s="7">
        <v>40190.028194444443</v>
      </c>
      <c r="M5675" s="12" t="s">
        <v>13009</v>
      </c>
      <c r="N5675" s="12" t="s">
        <v>13010</v>
      </c>
      <c r="O5675" s="10" t="str">
        <f>HYPERLINK("https://pbs.twimg.com/profile_images/550717264371396609/Q9MjfbBV_normal.jpeg","View")</f>
        <v>View</v>
      </c>
      <c r="P5675" s="11"/>
    </row>
    <row r="5676" spans="1:16" ht="12.75" x14ac:dyDescent="0.35">
      <c r="A5676" s="7">
        <v>42483.618831018517</v>
      </c>
      <c r="B5676" s="8" t="str">
        <f>HYPERLINK("https://twitter.com/VWCamperSales","@VWCamperSales")</f>
        <v>@VWCamperSales</v>
      </c>
      <c r="C5676" s="9" t="s">
        <v>216</v>
      </c>
      <c r="D5676" s="9" t="s">
        <v>13011</v>
      </c>
      <c r="E5676" s="10" t="str">
        <f>HYPERLINK("https://twitter.com/VWCamperSales/status/723803881499566080","723803881499566080")</f>
        <v>723803881499566080</v>
      </c>
      <c r="F5676" s="10" t="s">
        <v>124</v>
      </c>
      <c r="G5676" s="11">
        <v>620</v>
      </c>
      <c r="H5676" s="11">
        <v>580</v>
      </c>
      <c r="I5676" s="11">
        <v>0</v>
      </c>
      <c r="J5676" s="11">
        <v>0</v>
      </c>
      <c r="K5676" s="11" t="s">
        <v>21</v>
      </c>
      <c r="L5676" s="7">
        <v>42215.98809027778</v>
      </c>
      <c r="M5676" s="12" t="s">
        <v>129</v>
      </c>
      <c r="N5676" s="12" t="s">
        <v>218</v>
      </c>
      <c r="O5676" s="10" t="str">
        <f>HYPERLINK("https://pbs.twimg.com/profile_images/627949001179037696/skEBkS05_normal.jpg","View")</f>
        <v>View</v>
      </c>
      <c r="P5676" s="11"/>
    </row>
    <row r="5677" spans="1:16" ht="12.75" x14ac:dyDescent="0.35">
      <c r="A5677" s="7">
        <v>42483.620613425926</v>
      </c>
      <c r="B5677" s="8" t="str">
        <f>HYPERLINK("https://twitter.com/vwdepo","@vwdepo")</f>
        <v>@vwdepo</v>
      </c>
      <c r="C5677" s="9" t="s">
        <v>134</v>
      </c>
      <c r="D5677" s="9" t="s">
        <v>13012</v>
      </c>
      <c r="E5677" s="10" t="str">
        <f>HYPERLINK("https://twitter.com/vwdepo/status/723804526852083712","723804526852083712")</f>
        <v>723804526852083712</v>
      </c>
      <c r="F5677" s="11" t="s">
        <v>53</v>
      </c>
      <c r="G5677" s="11">
        <v>784</v>
      </c>
      <c r="H5677" s="11">
        <v>384</v>
      </c>
      <c r="I5677" s="11">
        <v>0</v>
      </c>
      <c r="J5677" s="11">
        <v>0</v>
      </c>
      <c r="K5677" s="11" t="s">
        <v>21</v>
      </c>
      <c r="L5677" s="7">
        <v>39891.992905092593</v>
      </c>
      <c r="M5677" s="12" t="s">
        <v>136</v>
      </c>
      <c r="N5677" s="12" t="s">
        <v>137</v>
      </c>
      <c r="O5677" s="10" t="str">
        <f>HYPERLINK("https://pbs.twimg.com/profile_images/3378184537/c20ae9a7a410821b4f189c34a63380f7_normal.png","View")</f>
        <v>View</v>
      </c>
      <c r="P5677" s="11"/>
    </row>
    <row r="5678" spans="1:16" ht="12.75" x14ac:dyDescent="0.35">
      <c r="A5678" s="7">
        <v>42483.620833333334</v>
      </c>
      <c r="B5678" s="8" t="str">
        <f>HYPERLINK("https://twitter.com/houdoukyoku","@houdoukyoku")</f>
        <v>@houdoukyoku</v>
      </c>
      <c r="C5678" s="9" t="s">
        <v>13013</v>
      </c>
      <c r="D5678" s="9" t="s">
        <v>13014</v>
      </c>
      <c r="E5678" s="10" t="str">
        <f>HYPERLINK("https://twitter.com/houdoukyoku/status/723804606451486720","723804606451486720")</f>
        <v>723804606451486720</v>
      </c>
      <c r="F5678" s="11" t="s">
        <v>43</v>
      </c>
      <c r="G5678" s="11">
        <v>6438</v>
      </c>
      <c r="H5678" s="11">
        <v>446</v>
      </c>
      <c r="I5678" s="11">
        <v>0</v>
      </c>
      <c r="J5678" s="11">
        <v>0</v>
      </c>
      <c r="K5678" s="11" t="s">
        <v>21</v>
      </c>
      <c r="L5678" s="7">
        <v>42069.315960648149</v>
      </c>
      <c r="M5678" s="12"/>
      <c r="N5678" s="12" t="s">
        <v>13015</v>
      </c>
      <c r="O5678" s="10" t="str">
        <f>HYPERLINK("https://pbs.twimg.com/profile_images/580938982151745536/Ojfkm1Nr_normal.jpg","View")</f>
        <v>View</v>
      </c>
      <c r="P5678" s="11"/>
    </row>
    <row r="5679" spans="1:16" ht="12.75" x14ac:dyDescent="0.35">
      <c r="A5679" s="7">
        <v>42483.621307870373</v>
      </c>
      <c r="B5679" s="8" t="str">
        <f>HYPERLINK("https://twitter.com/Tahsinemres","@Tahsinemres")</f>
        <v>@Tahsinemres</v>
      </c>
      <c r="C5679" s="9" t="s">
        <v>10379</v>
      </c>
      <c r="D5679" s="9" t="s">
        <v>13016</v>
      </c>
      <c r="E5679" s="10" t="str">
        <f>HYPERLINK("https://twitter.com/Tahsinemres/status/723804779122593792","723804779122593792")</f>
        <v>723804779122593792</v>
      </c>
      <c r="F5679" s="11" t="s">
        <v>114</v>
      </c>
      <c r="G5679" s="11">
        <v>31</v>
      </c>
      <c r="H5679" s="11">
        <v>74</v>
      </c>
      <c r="I5679" s="11">
        <v>0</v>
      </c>
      <c r="J5679" s="11">
        <v>0</v>
      </c>
      <c r="K5679" s="11" t="s">
        <v>21</v>
      </c>
      <c r="L5679" s="7">
        <v>40046.136018518519</v>
      </c>
      <c r="M5679" s="12"/>
      <c r="N5679" s="12"/>
      <c r="O5679" s="10" t="str">
        <f>HYPERLINK("https://pbs.twimg.com/profile_images/712639850218962946/ix5EU-Ne_normal.jpg","View")</f>
        <v>View</v>
      </c>
      <c r="P5679" s="11"/>
    </row>
    <row r="5680" spans="1:16" ht="12.75" x14ac:dyDescent="0.35">
      <c r="A5680" s="7">
        <v>42483.622199074074</v>
      </c>
      <c r="B5680" s="8" t="str">
        <f>HYPERLINK("https://twitter.com/Im_BrownDash","@Im_BrownDash")</f>
        <v>@Im_BrownDash</v>
      </c>
      <c r="C5680" s="9" t="s">
        <v>13017</v>
      </c>
      <c r="D5680" s="9" t="s">
        <v>13018</v>
      </c>
      <c r="E5680" s="10" t="str">
        <f>HYPERLINK("https://twitter.com/Im_BrownDash/status/723805103401119744","723805103401119744")</f>
        <v>723805103401119744</v>
      </c>
      <c r="F5680" s="11" t="s">
        <v>903</v>
      </c>
      <c r="G5680" s="11">
        <v>462</v>
      </c>
      <c r="H5680" s="11">
        <v>1389</v>
      </c>
      <c r="I5680" s="11">
        <v>0</v>
      </c>
      <c r="J5680" s="11">
        <v>0</v>
      </c>
      <c r="K5680" s="11" t="s">
        <v>21</v>
      </c>
      <c r="L5680" s="7">
        <v>41950.623865740738</v>
      </c>
      <c r="M5680" s="12" t="s">
        <v>13019</v>
      </c>
      <c r="N5680" s="12" t="s">
        <v>13020</v>
      </c>
      <c r="O5680" s="10" t="str">
        <f>HYPERLINK("https://pbs.twimg.com/profile_images/723793878185287680/DrYEFexG_normal.jpg","View")</f>
        <v>View</v>
      </c>
      <c r="P5680" s="11"/>
    </row>
    <row r="5681" spans="1:16" ht="12.75" x14ac:dyDescent="0.35">
      <c r="A5681" s="7">
        <v>42483.622870370367</v>
      </c>
      <c r="B5681" s="8" t="str">
        <f>HYPERLINK("https://twitter.com/crossasinangry","@crossasinangry")</f>
        <v>@crossasinangry</v>
      </c>
      <c r="C5681" s="9" t="s">
        <v>13021</v>
      </c>
      <c r="D5681" s="9" t="s">
        <v>13022</v>
      </c>
      <c r="E5681" s="10" t="str">
        <f>HYPERLINK("https://twitter.com/crossasinangry/status/723805343076220929","723805343076220929")</f>
        <v>723805343076220929</v>
      </c>
      <c r="F5681" s="11" t="s">
        <v>20</v>
      </c>
      <c r="G5681" s="11">
        <v>37</v>
      </c>
      <c r="H5681" s="11">
        <v>143</v>
      </c>
      <c r="I5681" s="11">
        <v>0</v>
      </c>
      <c r="J5681" s="11">
        <v>0</v>
      </c>
      <c r="K5681" s="11" t="s">
        <v>21</v>
      </c>
      <c r="L5681" s="7">
        <v>42306.810972222222</v>
      </c>
      <c r="M5681" s="12" t="s">
        <v>13023</v>
      </c>
      <c r="N5681" s="12" t="s">
        <v>13024</v>
      </c>
      <c r="O5681" s="10" t="str">
        <f>HYPERLINK("https://pbs.twimg.com/profile_images/720628102976663552/s48kDHvJ_normal.jpg","View")</f>
        <v>View</v>
      </c>
      <c r="P5681" s="11"/>
    </row>
    <row r="5682" spans="1:16" ht="12.75" x14ac:dyDescent="0.35">
      <c r="A5682" s="7">
        <v>42483.624571759261</v>
      </c>
      <c r="B5682" s="8" t="str">
        <f>HYPERLINK("https://twitter.com/Eliott_Law","@Eliott_Law")</f>
        <v>@Eliott_Law</v>
      </c>
      <c r="C5682" s="9" t="s">
        <v>7911</v>
      </c>
      <c r="D5682" s="9" t="s">
        <v>8740</v>
      </c>
      <c r="E5682" s="10" t="str">
        <f>HYPERLINK("https://twitter.com/Eliott_Law/status/723805960809119744","723805960809119744")</f>
        <v>723805960809119744</v>
      </c>
      <c r="F5682" s="11" t="s">
        <v>20</v>
      </c>
      <c r="G5682" s="11">
        <v>105</v>
      </c>
      <c r="H5682" s="11">
        <v>330</v>
      </c>
      <c r="I5682" s="11">
        <v>7</v>
      </c>
      <c r="J5682" s="11">
        <v>0</v>
      </c>
      <c r="K5682" s="11" t="s">
        <v>21</v>
      </c>
      <c r="L5682" s="7">
        <v>41226.828773148147</v>
      </c>
      <c r="M5682" s="12" t="s">
        <v>7912</v>
      </c>
      <c r="N5682" s="12" t="s">
        <v>7913</v>
      </c>
      <c r="O5682" s="10" t="str">
        <f>HYPERLINK("https://pbs.twimg.com/profile_images/689530457378181120/hebb5eT3_normal.jpg","View")</f>
        <v>View</v>
      </c>
      <c r="P5682" s="11"/>
    </row>
    <row r="5683" spans="1:16" ht="12.75" x14ac:dyDescent="0.35">
      <c r="A5683" s="7">
        <v>42483.6246412037</v>
      </c>
      <c r="B5683" s="8" t="str">
        <f>HYPERLINK("https://twitter.com/hubberme","@hubberme")</f>
        <v>@hubberme</v>
      </c>
      <c r="C5683" s="8" t="s">
        <v>7704</v>
      </c>
      <c r="D5683" s="9" t="s">
        <v>13025</v>
      </c>
      <c r="E5683" s="10" t="str">
        <f>HYPERLINK("https://twitter.com/hubberme/status/723805986201436160","723805986201436160")</f>
        <v>723805986201436160</v>
      </c>
      <c r="F5683" s="11" t="s">
        <v>43</v>
      </c>
      <c r="G5683" s="11">
        <v>202</v>
      </c>
      <c r="H5683" s="11">
        <v>137</v>
      </c>
      <c r="I5683" s="11">
        <v>0</v>
      </c>
      <c r="J5683" s="11">
        <v>0</v>
      </c>
      <c r="K5683" s="11" t="s">
        <v>21</v>
      </c>
      <c r="L5683" s="7">
        <v>42298.856840277775</v>
      </c>
      <c r="M5683" s="12" t="s">
        <v>2907</v>
      </c>
      <c r="N5683" s="12" t="s">
        <v>7706</v>
      </c>
      <c r="O5683" s="10" t="str">
        <f>HYPERLINK("https://pbs.twimg.com/profile_images/658982987573407744/n_n0LSWB_normal.png","View")</f>
        <v>View</v>
      </c>
      <c r="P5683" s="11"/>
    </row>
    <row r="5684" spans="1:16" ht="12.75" x14ac:dyDescent="0.35">
      <c r="A5684" s="7">
        <v>42483.624652777777</v>
      </c>
      <c r="B5684" s="8" t="str">
        <f>HYPERLINK("https://twitter.com/UKPMR","@UKPMR")</f>
        <v>@UKPMR</v>
      </c>
      <c r="C5684" s="9" t="s">
        <v>13026</v>
      </c>
      <c r="D5684" s="9" t="s">
        <v>13008</v>
      </c>
      <c r="E5684" s="10" t="str">
        <f>HYPERLINK("https://twitter.com/UKPMR/status/723805991469457409","723805991469457409")</f>
        <v>723805991469457409</v>
      </c>
      <c r="F5684" s="11" t="s">
        <v>20</v>
      </c>
      <c r="G5684" s="11">
        <v>9290</v>
      </c>
      <c r="H5684" s="11">
        <v>3895</v>
      </c>
      <c r="I5684" s="11">
        <v>2</v>
      </c>
      <c r="J5684" s="11">
        <v>0</v>
      </c>
      <c r="K5684" s="11" t="s">
        <v>21</v>
      </c>
      <c r="L5684" s="7">
        <v>41900.545763888891</v>
      </c>
      <c r="M5684" s="12" t="s">
        <v>13027</v>
      </c>
      <c r="N5684" s="12" t="s">
        <v>13028</v>
      </c>
      <c r="O5684" s="10" t="str">
        <f>HYPERLINK("https://pbs.twimg.com/profile_images/706187927102103553/JgY5rgCP_normal.jpg","View")</f>
        <v>View</v>
      </c>
      <c r="P5684" s="11"/>
    </row>
    <row r="5685" spans="1:16" ht="12.75" x14ac:dyDescent="0.35">
      <c r="A5685" s="7">
        <v>42483.624872685185</v>
      </c>
      <c r="B5685" s="8" t="str">
        <f>HYPERLINK("https://twitter.com/GDBF_S204","@GDBF_S204")</f>
        <v>@GDBF_S204</v>
      </c>
      <c r="C5685" s="9" t="s">
        <v>13029</v>
      </c>
      <c r="D5685" s="9" t="s">
        <v>12732</v>
      </c>
      <c r="E5685" s="10" t="str">
        <f>HYPERLINK("https://twitter.com/GDBF_S204/status/723806072159375360","723806072159375360")</f>
        <v>723806072159375360</v>
      </c>
      <c r="F5685" s="11" t="s">
        <v>193</v>
      </c>
      <c r="G5685" s="11">
        <v>401</v>
      </c>
      <c r="H5685" s="11">
        <v>849</v>
      </c>
      <c r="I5685" s="11">
        <v>4</v>
      </c>
      <c r="J5685" s="11">
        <v>0</v>
      </c>
      <c r="K5685" s="11" t="s">
        <v>21</v>
      </c>
      <c r="L5685" s="7">
        <v>40529.501099537039</v>
      </c>
      <c r="M5685" s="12" t="s">
        <v>13030</v>
      </c>
      <c r="N5685" s="12" t="s">
        <v>13031</v>
      </c>
      <c r="O5685" s="10" t="str">
        <f>HYPERLINK("https://pbs.twimg.com/profile_images/563925788215345152/u7izI05t_normal.jpeg","View")</f>
        <v>View</v>
      </c>
      <c r="P5685" s="11"/>
    </row>
    <row r="5686" spans="1:16" ht="12.75" x14ac:dyDescent="0.35">
      <c r="A5686" s="7">
        <v>42483.624884259261</v>
      </c>
      <c r="B5686" s="8" t="str">
        <f>HYPERLINK("https://twitter.com/VeeDubMk1_","@VeeDubMk1_")</f>
        <v>@VeeDubMk1_</v>
      </c>
      <c r="C5686" s="9" t="s">
        <v>185</v>
      </c>
      <c r="D5686" s="9" t="s">
        <v>13032</v>
      </c>
      <c r="E5686" s="10" t="str">
        <f>HYPERLINK("https://twitter.com/VeeDubMk1_/status/723806075896619008","723806075896619008")</f>
        <v>723806075896619008</v>
      </c>
      <c r="F5686" s="11" t="s">
        <v>68</v>
      </c>
      <c r="G5686" s="11">
        <v>548</v>
      </c>
      <c r="H5686" s="11">
        <v>3527</v>
      </c>
      <c r="I5686" s="11">
        <v>0</v>
      </c>
      <c r="J5686" s="11">
        <v>0</v>
      </c>
      <c r="K5686" s="11" t="s">
        <v>21</v>
      </c>
      <c r="L5686" s="7">
        <v>42343.063356481478</v>
      </c>
      <c r="M5686" s="12"/>
      <c r="N5686" s="12"/>
      <c r="O5686" s="10" t="str">
        <f>HYPERLINK("https://pbs.twimg.com/profile_images/672878354127839232/M7OYc-zx_normal.jpg","View")</f>
        <v>View</v>
      </c>
      <c r="P5686" s="11"/>
    </row>
    <row r="5687" spans="1:16" ht="12.75" x14ac:dyDescent="0.35">
      <c r="A5687" s="7">
        <v>42483.625069444446</v>
      </c>
      <c r="B5687" s="8" t="str">
        <f>HYPERLINK("https://twitter.com/Eliott_Law","@Eliott_Law")</f>
        <v>@Eliott_Law</v>
      </c>
      <c r="C5687" s="9" t="s">
        <v>7911</v>
      </c>
      <c r="D5687" s="9" t="s">
        <v>7426</v>
      </c>
      <c r="E5687" s="10" t="str">
        <f>HYPERLINK("https://twitter.com/Eliott_Law/status/723806142015614976","723806142015614976")</f>
        <v>723806142015614976</v>
      </c>
      <c r="F5687" s="11" t="s">
        <v>20</v>
      </c>
      <c r="G5687" s="11">
        <v>105</v>
      </c>
      <c r="H5687" s="11">
        <v>330</v>
      </c>
      <c r="I5687" s="11">
        <v>21</v>
      </c>
      <c r="J5687" s="11">
        <v>0</v>
      </c>
      <c r="K5687" s="11" t="s">
        <v>21</v>
      </c>
      <c r="L5687" s="7">
        <v>41226.828773148147</v>
      </c>
      <c r="M5687" s="12" t="s">
        <v>7912</v>
      </c>
      <c r="N5687" s="12" t="s">
        <v>7913</v>
      </c>
      <c r="O5687" s="10" t="str">
        <f>HYPERLINK("https://pbs.twimg.com/profile_images/689530457378181120/hebb5eT3_normal.jpg","View")</f>
        <v>View</v>
      </c>
      <c r="P5687" s="11"/>
    </row>
    <row r="5688" spans="1:16" ht="12.75" x14ac:dyDescent="0.35">
      <c r="A5688" s="7">
        <v>42483.625347222223</v>
      </c>
      <c r="B5688" s="8" t="str">
        <f>HYPERLINK("https://twitter.com/ProjectCarsUK","@ProjectCarsUK")</f>
        <v>@ProjectCarsUK</v>
      </c>
      <c r="C5688" s="9" t="s">
        <v>2615</v>
      </c>
      <c r="D5688" s="9" t="s">
        <v>13033</v>
      </c>
      <c r="E5688" s="10" t="str">
        <f>HYPERLINK("https://twitter.com/ProjectCarsUK/status/723806243509383168","723806243509383168")</f>
        <v>723806243509383168</v>
      </c>
      <c r="F5688" s="11" t="s">
        <v>152</v>
      </c>
      <c r="G5688" s="11">
        <v>4271</v>
      </c>
      <c r="H5688" s="11">
        <v>3917</v>
      </c>
      <c r="I5688" s="11">
        <v>0</v>
      </c>
      <c r="J5688" s="11">
        <v>0</v>
      </c>
      <c r="K5688" s="11" t="s">
        <v>21</v>
      </c>
      <c r="L5688" s="7">
        <v>41877.782546296294</v>
      </c>
      <c r="M5688" s="12" t="s">
        <v>129</v>
      </c>
      <c r="N5688" s="12" t="s">
        <v>2617</v>
      </c>
      <c r="O5688" s="10" t="str">
        <f>HYPERLINK("https://pbs.twimg.com/profile_images/706833390725681152/IaXMLicB_normal.jpg","View")</f>
        <v>View</v>
      </c>
      <c r="P5688" s="11"/>
    </row>
    <row r="5689" spans="1:16" ht="12.75" x14ac:dyDescent="0.35">
      <c r="A5689" s="7">
        <v>42483.625740740739</v>
      </c>
      <c r="B5689" s="8" t="str">
        <f>HYPERLINK("https://twitter.com/thesecretcaddie","@thesecretcaddie")</f>
        <v>@thesecretcaddie</v>
      </c>
      <c r="C5689" s="9" t="s">
        <v>13034</v>
      </c>
      <c r="D5689" s="9" t="s">
        <v>13035</v>
      </c>
      <c r="E5689" s="10" t="str">
        <f>HYPERLINK("https://twitter.com/thesecretcaddie/status/723806386719711232","723806386719711232")</f>
        <v>723806386719711232</v>
      </c>
      <c r="F5689" s="11" t="s">
        <v>288</v>
      </c>
      <c r="G5689" s="11">
        <v>100</v>
      </c>
      <c r="H5689" s="11">
        <v>5</v>
      </c>
      <c r="I5689" s="11">
        <v>2</v>
      </c>
      <c r="J5689" s="11">
        <v>0</v>
      </c>
      <c r="K5689" s="11" t="s">
        <v>21</v>
      </c>
      <c r="L5689" s="7">
        <v>42300.030821759261</v>
      </c>
      <c r="M5689" s="12" t="s">
        <v>13036</v>
      </c>
      <c r="N5689" s="12" t="s">
        <v>13037</v>
      </c>
      <c r="O5689" s="10" t="str">
        <f>HYPERLINK("https://pbs.twimg.com/profile_images/657274911854055424/lvaVj9jL_normal.jpg","View")</f>
        <v>View</v>
      </c>
      <c r="P5689" s="11"/>
    </row>
    <row r="5690" spans="1:16" ht="12.75" x14ac:dyDescent="0.35">
      <c r="A5690" s="7">
        <v>42483.625810185185</v>
      </c>
      <c r="B5690" s="8" t="str">
        <f>HYPERLINK("https://twitter.com/Deejaywilliams","@Deejaywilliams")</f>
        <v>@Deejaywilliams</v>
      </c>
      <c r="C5690" s="9" t="s">
        <v>13038</v>
      </c>
      <c r="D5690" s="9" t="s">
        <v>13039</v>
      </c>
      <c r="E5690" s="10" t="str">
        <f>HYPERLINK("https://twitter.com/Deejaywilliams/status/723806412195934208","723806412195934208")</f>
        <v>723806412195934208</v>
      </c>
      <c r="F5690" s="11" t="s">
        <v>91</v>
      </c>
      <c r="G5690" s="11">
        <v>532</v>
      </c>
      <c r="H5690" s="11">
        <v>657</v>
      </c>
      <c r="I5690" s="11">
        <v>3</v>
      </c>
      <c r="J5690" s="11">
        <v>0</v>
      </c>
      <c r="K5690" s="11" t="s">
        <v>21</v>
      </c>
      <c r="L5690" s="7">
        <v>39832.963333333333</v>
      </c>
      <c r="M5690" s="12" t="s">
        <v>13040</v>
      </c>
      <c r="N5690" s="12" t="s">
        <v>13041</v>
      </c>
      <c r="O5690" s="10" t="str">
        <f>HYPERLINK("https://pbs.twimg.com/profile_images/699671285903847425/5M5nDF6k_normal.jpg","View")</f>
        <v>View</v>
      </c>
      <c r="P5690" s="11"/>
    </row>
    <row r="5691" spans="1:16" ht="12.75" x14ac:dyDescent="0.35">
      <c r="A5691" s="7">
        <v>42483.625902777778</v>
      </c>
      <c r="B5691" s="8" t="str">
        <f>HYPERLINK("https://twitter.com/Eliott_Law","@Eliott_Law")</f>
        <v>@Eliott_Law</v>
      </c>
      <c r="C5691" s="9" t="s">
        <v>7911</v>
      </c>
      <c r="D5691" s="9" t="s">
        <v>13042</v>
      </c>
      <c r="E5691" s="10" t="str">
        <f>HYPERLINK("https://twitter.com/Eliott_Law/status/723806445339312128","723806445339312128")</f>
        <v>723806445339312128</v>
      </c>
      <c r="F5691" s="11" t="s">
        <v>20</v>
      </c>
      <c r="G5691" s="11">
        <v>105</v>
      </c>
      <c r="H5691" s="11">
        <v>336</v>
      </c>
      <c r="I5691" s="11">
        <v>19</v>
      </c>
      <c r="J5691" s="11">
        <v>0</v>
      </c>
      <c r="K5691" s="11" t="s">
        <v>21</v>
      </c>
      <c r="L5691" s="7">
        <v>41226.828773148147</v>
      </c>
      <c r="M5691" s="12" t="s">
        <v>7912</v>
      </c>
      <c r="N5691" s="12" t="s">
        <v>7913</v>
      </c>
      <c r="O5691" s="10" t="str">
        <f>HYPERLINK("https://pbs.twimg.com/profile_images/689530457378181120/hebb5eT3_normal.jpg","View")</f>
        <v>View</v>
      </c>
      <c r="P5691" s="11"/>
    </row>
    <row r="5692" spans="1:16" ht="12.75" x14ac:dyDescent="0.35">
      <c r="A5692" s="7">
        <v>42483.626516203702</v>
      </c>
      <c r="B5692" s="8" t="str">
        <f>HYPERLINK("https://twitter.com/neythomas","@neythomas")</f>
        <v>@neythomas</v>
      </c>
      <c r="C5692" s="9" t="s">
        <v>13043</v>
      </c>
      <c r="D5692" s="9" t="s">
        <v>12828</v>
      </c>
      <c r="E5692" s="10" t="str">
        <f>HYPERLINK("https://twitter.com/neythomas/status/723806666559467521","723806666559467521")</f>
        <v>723806666559467521</v>
      </c>
      <c r="F5692" s="11" t="s">
        <v>48</v>
      </c>
      <c r="G5692" s="11">
        <v>620</v>
      </c>
      <c r="H5692" s="11">
        <v>675</v>
      </c>
      <c r="I5692" s="11">
        <v>15</v>
      </c>
      <c r="J5692" s="11">
        <v>0</v>
      </c>
      <c r="K5692" s="11" t="s">
        <v>21</v>
      </c>
      <c r="L5692" s="7">
        <v>40744.875046296293</v>
      </c>
      <c r="M5692" s="12" t="s">
        <v>1359</v>
      </c>
      <c r="N5692" s="12" t="s">
        <v>13044</v>
      </c>
      <c r="O5692" s="10" t="str">
        <f>HYPERLINK("https://pbs.twimg.com/profile_images/667434081215455232/O14VEhOK_normal.jpg","View")</f>
        <v>View</v>
      </c>
      <c r="P5692" s="11"/>
    </row>
    <row r="5693" spans="1:16" ht="12.75" x14ac:dyDescent="0.35">
      <c r="A5693" s="7">
        <v>42483.627488425926</v>
      </c>
      <c r="B5693" s="8" t="str">
        <f>HYPERLINK("https://twitter.com/OlafHeinrich73","@OlafHeinrich73")</f>
        <v>@OlafHeinrich73</v>
      </c>
      <c r="C5693" s="9" t="s">
        <v>13045</v>
      </c>
      <c r="D5693" s="9" t="s">
        <v>10950</v>
      </c>
      <c r="E5693" s="10" t="str">
        <f>HYPERLINK("https://twitter.com/OlafHeinrich73/status/723807018809724928","723807018809724928")</f>
        <v>723807018809724928</v>
      </c>
      <c r="F5693" s="11" t="s">
        <v>367</v>
      </c>
      <c r="G5693" s="11">
        <v>129</v>
      </c>
      <c r="H5693" s="11">
        <v>153</v>
      </c>
      <c r="I5693" s="11">
        <v>13</v>
      </c>
      <c r="J5693" s="11">
        <v>0</v>
      </c>
      <c r="K5693" s="11" t="s">
        <v>21</v>
      </c>
      <c r="L5693" s="7">
        <v>40884.606203703705</v>
      </c>
      <c r="M5693" s="12" t="s">
        <v>13046</v>
      </c>
      <c r="N5693" s="12" t="s">
        <v>13047</v>
      </c>
      <c r="O5693" s="10" t="str">
        <f>HYPERLINK("https://pbs.twimg.com/profile_images/689448231919431680/41fa1Iis_normal.png","View")</f>
        <v>View</v>
      </c>
      <c r="P5693" s="11"/>
    </row>
    <row r="5694" spans="1:16" ht="12.75" x14ac:dyDescent="0.35">
      <c r="A5694" s="7">
        <v>42483.62835648148</v>
      </c>
      <c r="B5694" s="8" t="str">
        <f>HYPERLINK("https://twitter.com/VWCamperSales","@VWCamperSales")</f>
        <v>@VWCamperSales</v>
      </c>
      <c r="C5694" s="9" t="s">
        <v>216</v>
      </c>
      <c r="D5694" s="9" t="s">
        <v>13048</v>
      </c>
      <c r="E5694" s="10" t="str">
        <f>HYPERLINK("https://twitter.com/VWCamperSales/status/723807333277523968","723807333277523968")</f>
        <v>723807333277523968</v>
      </c>
      <c r="F5694" s="10" t="s">
        <v>124</v>
      </c>
      <c r="G5694" s="11">
        <v>620</v>
      </c>
      <c r="H5694" s="11">
        <v>580</v>
      </c>
      <c r="I5694" s="11">
        <v>0</v>
      </c>
      <c r="J5694" s="11">
        <v>0</v>
      </c>
      <c r="K5694" s="11" t="s">
        <v>21</v>
      </c>
      <c r="L5694" s="7">
        <v>42215.98809027778</v>
      </c>
      <c r="M5694" s="12" t="s">
        <v>129</v>
      </c>
      <c r="N5694" s="12" t="s">
        <v>218</v>
      </c>
      <c r="O5694" s="10" t="str">
        <f>HYPERLINK("https://pbs.twimg.com/profile_images/627949001179037696/skEBkS05_normal.jpg","View")</f>
        <v>View</v>
      </c>
      <c r="P5694" s="11"/>
    </row>
    <row r="5695" spans="1:16" ht="12.75" x14ac:dyDescent="0.35">
      <c r="A5695" s="7">
        <v>42483.630902777775</v>
      </c>
      <c r="B5695" s="8" t="str">
        <f>HYPERLINK("https://twitter.com/LRDValeting","@LRDValeting")</f>
        <v>@LRDValeting</v>
      </c>
      <c r="C5695" s="9" t="s">
        <v>13049</v>
      </c>
      <c r="D5695" s="9" t="s">
        <v>13050</v>
      </c>
      <c r="E5695" s="10" t="str">
        <f>HYPERLINK("https://twitter.com/LRDValeting/status/723808253629620225","723808253629620225")</f>
        <v>723808253629620225</v>
      </c>
      <c r="F5695" s="11" t="s">
        <v>20</v>
      </c>
      <c r="G5695" s="11">
        <v>89</v>
      </c>
      <c r="H5695" s="11">
        <v>153</v>
      </c>
      <c r="I5695" s="11">
        <v>0</v>
      </c>
      <c r="J5695" s="11">
        <v>0</v>
      </c>
      <c r="K5695" s="11" t="s">
        <v>21</v>
      </c>
      <c r="L5695" s="7">
        <v>39979.839189814811</v>
      </c>
      <c r="M5695" s="12"/>
      <c r="N5695" s="12" t="s">
        <v>13051</v>
      </c>
      <c r="O5695" s="10" t="str">
        <f>HYPERLINK("https://pbs.twimg.com/profile_images/644448469177008129/NawOBHy6_normal.jpg","View")</f>
        <v>View</v>
      </c>
      <c r="P5695" s="11"/>
    </row>
    <row r="5696" spans="1:16" ht="12.75" x14ac:dyDescent="0.35">
      <c r="A5696" s="7">
        <v>42483.630925925929</v>
      </c>
      <c r="B5696" s="8" t="str">
        <f>HYPERLINK("https://twitter.com/vagmenhq","@vagmenhq")</f>
        <v>@vagmenhq</v>
      </c>
      <c r="C5696" s="9" t="s">
        <v>2492</v>
      </c>
      <c r="D5696" s="9" t="s">
        <v>13052</v>
      </c>
      <c r="E5696" s="10" t="str">
        <f>HYPERLINK("https://twitter.com/vagmenhq/status/723808265726005248","723808265726005248")</f>
        <v>723808265726005248</v>
      </c>
      <c r="F5696" s="11" t="s">
        <v>114</v>
      </c>
      <c r="G5696" s="11">
        <v>157</v>
      </c>
      <c r="H5696" s="11">
        <v>92</v>
      </c>
      <c r="I5696" s="11">
        <v>0</v>
      </c>
      <c r="J5696" s="11">
        <v>0</v>
      </c>
      <c r="K5696" s="11" t="s">
        <v>21</v>
      </c>
      <c r="L5696" s="7">
        <v>41401.814722222218</v>
      </c>
      <c r="M5696" s="12" t="s">
        <v>2494</v>
      </c>
      <c r="N5696" s="12" t="s">
        <v>2495</v>
      </c>
      <c r="O5696" s="10" t="str">
        <f>HYPERLINK("https://pbs.twimg.com/profile_images/446781974452371456/rqBZF-KN_normal.jpeg","View")</f>
        <v>View</v>
      </c>
      <c r="P5696" s="11"/>
    </row>
    <row r="5697" spans="1:16" ht="12.75" x14ac:dyDescent="0.35">
      <c r="A5697" s="7">
        <v>42483.631122685183</v>
      </c>
      <c r="B5697" s="8" t="str">
        <f t="shared" ref="B5697:B5698" si="493">HYPERLINK("https://twitter.com/cas_2050001283","@cas_2050001283")</f>
        <v>@cas_2050001283</v>
      </c>
      <c r="C5697" s="9" t="s">
        <v>6475</v>
      </c>
      <c r="D5697" s="9" t="s">
        <v>13053</v>
      </c>
      <c r="E5697" s="10" t="str">
        <f>HYPERLINK("https://twitter.com/cas_2050001283/status/723808335900860416","723808335900860416")</f>
        <v>723808335900860416</v>
      </c>
      <c r="F5697" s="11" t="s">
        <v>43</v>
      </c>
      <c r="G5697" s="11">
        <v>11</v>
      </c>
      <c r="H5697" s="11">
        <v>1</v>
      </c>
      <c r="I5697" s="11">
        <v>0</v>
      </c>
      <c r="J5697" s="11">
        <v>0</v>
      </c>
      <c r="K5697" s="11" t="s">
        <v>21</v>
      </c>
      <c r="L5697" s="7">
        <v>41936.051053240742</v>
      </c>
      <c r="M5697" s="12"/>
      <c r="N5697" s="12"/>
      <c r="O5697" s="10" t="str">
        <f t="shared" ref="O5697:O5698" si="494">HYPERLINK("https://abs.twimg.com/sticky/default_profile_images/default_profile_1_normal.png","View")</f>
        <v>View</v>
      </c>
      <c r="P5697" s="11"/>
    </row>
    <row r="5698" spans="1:16" ht="12.75" x14ac:dyDescent="0.35">
      <c r="A5698" s="7">
        <v>42483.63118055556</v>
      </c>
      <c r="B5698" s="8" t="str">
        <f t="shared" si="493"/>
        <v>@cas_2050001283</v>
      </c>
      <c r="C5698" s="9" t="s">
        <v>6475</v>
      </c>
      <c r="D5698" s="9" t="s">
        <v>13054</v>
      </c>
      <c r="E5698" s="10" t="str">
        <f>HYPERLINK("https://twitter.com/cas_2050001283/status/723808356582985728","723808356582985728")</f>
        <v>723808356582985728</v>
      </c>
      <c r="F5698" s="11" t="s">
        <v>43</v>
      </c>
      <c r="G5698" s="11">
        <v>11</v>
      </c>
      <c r="H5698" s="11">
        <v>1</v>
      </c>
      <c r="I5698" s="11">
        <v>0</v>
      </c>
      <c r="J5698" s="11">
        <v>0</v>
      </c>
      <c r="K5698" s="11" t="s">
        <v>21</v>
      </c>
      <c r="L5698" s="7">
        <v>41936.051053240742</v>
      </c>
      <c r="M5698" s="12"/>
      <c r="N5698" s="12"/>
      <c r="O5698" s="10" t="str">
        <f t="shared" si="494"/>
        <v>View</v>
      </c>
      <c r="P5698" s="11"/>
    </row>
    <row r="5699" spans="1:16" ht="12.75" x14ac:dyDescent="0.35">
      <c r="A5699" s="7">
        <v>42483.631319444445</v>
      </c>
      <c r="B5699" s="8" t="str">
        <f>HYPERLINK("https://twitter.com/vagmenhq","@vagmenhq")</f>
        <v>@vagmenhq</v>
      </c>
      <c r="C5699" s="9" t="s">
        <v>2492</v>
      </c>
      <c r="D5699" s="9" t="s">
        <v>13055</v>
      </c>
      <c r="E5699" s="10" t="str">
        <f>HYPERLINK("https://twitter.com/vagmenhq/status/723808406516150272","723808406516150272")</f>
        <v>723808406516150272</v>
      </c>
      <c r="F5699" s="11" t="s">
        <v>114</v>
      </c>
      <c r="G5699" s="11">
        <v>157</v>
      </c>
      <c r="H5699" s="11">
        <v>92</v>
      </c>
      <c r="I5699" s="11">
        <v>0</v>
      </c>
      <c r="J5699" s="11">
        <v>0</v>
      </c>
      <c r="K5699" s="11" t="s">
        <v>21</v>
      </c>
      <c r="L5699" s="7">
        <v>41401.814722222218</v>
      </c>
      <c r="M5699" s="12" t="s">
        <v>2494</v>
      </c>
      <c r="N5699" s="12" t="s">
        <v>2495</v>
      </c>
      <c r="O5699" s="10" t="str">
        <f>HYPERLINK("https://pbs.twimg.com/profile_images/446781974452371456/rqBZF-KN_normal.jpeg","View")</f>
        <v>View</v>
      </c>
      <c r="P5699" s="11"/>
    </row>
    <row r="5700" spans="1:16" ht="12.75" x14ac:dyDescent="0.35">
      <c r="A5700" s="7">
        <v>42483.631365740745</v>
      </c>
      <c r="B5700" s="8" t="str">
        <f>HYPERLINK("https://twitter.com/KarlySykes","@KarlySykes")</f>
        <v>@KarlySykes</v>
      </c>
      <c r="C5700" s="9" t="s">
        <v>13056</v>
      </c>
      <c r="D5700" s="9" t="s">
        <v>13057</v>
      </c>
      <c r="E5700" s="10" t="str">
        <f>HYPERLINK("https://twitter.com/KarlySykes/status/723808423188529152","723808423188529152")</f>
        <v>723808423188529152</v>
      </c>
      <c r="F5700" s="11" t="s">
        <v>20</v>
      </c>
      <c r="G5700" s="11">
        <v>459</v>
      </c>
      <c r="H5700" s="11">
        <v>647</v>
      </c>
      <c r="I5700" s="11">
        <v>0</v>
      </c>
      <c r="J5700" s="11">
        <v>0</v>
      </c>
      <c r="K5700" s="11" t="s">
        <v>21</v>
      </c>
      <c r="L5700" s="7">
        <v>40689.788981481484</v>
      </c>
      <c r="M5700" s="12" t="s">
        <v>13058</v>
      </c>
      <c r="N5700" s="12" t="s">
        <v>13059</v>
      </c>
      <c r="O5700" s="10" t="str">
        <f>HYPERLINK("https://pbs.twimg.com/profile_images/718178524369199106/vkYbys3h_normal.jpg","View")</f>
        <v>View</v>
      </c>
      <c r="P5700" s="11"/>
    </row>
    <row r="5701" spans="1:16" ht="12.75" x14ac:dyDescent="0.35">
      <c r="A5701" s="7">
        <v>42483.631689814814</v>
      </c>
      <c r="B5701" s="8" t="str">
        <f>HYPERLINK("https://twitter.com/old_style_car","@old_style_car")</f>
        <v>@old_style_car</v>
      </c>
      <c r="C5701" s="9" t="s">
        <v>13060</v>
      </c>
      <c r="D5701" s="9" t="s">
        <v>13035</v>
      </c>
      <c r="E5701" s="10" t="str">
        <f>HYPERLINK("https://twitter.com/old_style_car/status/723808541329494020","723808541329494020")</f>
        <v>723808541329494020</v>
      </c>
      <c r="F5701" s="11" t="s">
        <v>48</v>
      </c>
      <c r="G5701" s="11">
        <v>64</v>
      </c>
      <c r="H5701" s="11">
        <v>286</v>
      </c>
      <c r="I5701" s="11">
        <v>2</v>
      </c>
      <c r="J5701" s="11">
        <v>0</v>
      </c>
      <c r="K5701" s="11" t="s">
        <v>21</v>
      </c>
      <c r="L5701" s="7">
        <v>42477.472361111111</v>
      </c>
      <c r="M5701" s="12" t="s">
        <v>13061</v>
      </c>
      <c r="N5701" s="12"/>
      <c r="O5701" s="10" t="str">
        <f>HYPERLINK("https://pbs.twimg.com/profile_images/722314860021854208/21bQNWO6_normal.jpg","View")</f>
        <v>View</v>
      </c>
      <c r="P5701" s="11"/>
    </row>
    <row r="5702" spans="1:16" ht="12.75" x14ac:dyDescent="0.35">
      <c r="A5702" s="7">
        <v>42483.632685185185</v>
      </c>
      <c r="B5702" s="8" t="str">
        <f>HYPERLINK("https://twitter.com/halt_design","@halt_design")</f>
        <v>@halt_design</v>
      </c>
      <c r="C5702" s="9" t="s">
        <v>7713</v>
      </c>
      <c r="D5702" s="9" t="s">
        <v>13062</v>
      </c>
      <c r="E5702" s="10" t="str">
        <f>HYPERLINK("https://twitter.com/halt_design/status/723808901729148929","723808901729148929")</f>
        <v>723808901729148929</v>
      </c>
      <c r="F5702" s="11" t="s">
        <v>43</v>
      </c>
      <c r="G5702" s="11">
        <v>33</v>
      </c>
      <c r="H5702" s="11">
        <v>31</v>
      </c>
      <c r="I5702" s="11">
        <v>1</v>
      </c>
      <c r="J5702" s="11">
        <v>1</v>
      </c>
      <c r="K5702" s="11" t="s">
        <v>21</v>
      </c>
      <c r="L5702" s="7">
        <v>42310.305405092593</v>
      </c>
      <c r="M5702" s="12" t="s">
        <v>7715</v>
      </c>
      <c r="N5702" s="12" t="s">
        <v>7716</v>
      </c>
      <c r="O5702" s="10" t="str">
        <f>HYPERLINK("https://pbs.twimg.com/profile_images/716208660876144645/X7VuzobY_normal.jpg","View")</f>
        <v>View</v>
      </c>
      <c r="P5702" s="11"/>
    </row>
    <row r="5703" spans="1:16" ht="12.75" x14ac:dyDescent="0.35">
      <c r="A5703" s="7">
        <v>42483.633368055554</v>
      </c>
      <c r="B5703" s="8" t="str">
        <f>HYPERLINK("https://twitter.com/twiginza","@twiginza")</f>
        <v>@twiginza</v>
      </c>
      <c r="C5703" s="9" t="s">
        <v>13063</v>
      </c>
      <c r="D5703" s="9" t="s">
        <v>13064</v>
      </c>
      <c r="E5703" s="10" t="str">
        <f>HYPERLINK("https://twitter.com/twiginza/status/723809148576497664","723809148576497664")</f>
        <v>723809148576497664</v>
      </c>
      <c r="F5703" s="11" t="s">
        <v>20</v>
      </c>
      <c r="G5703" s="11">
        <v>1335</v>
      </c>
      <c r="H5703" s="11">
        <v>818</v>
      </c>
      <c r="I5703" s="11">
        <v>1</v>
      </c>
      <c r="J5703" s="11">
        <v>0</v>
      </c>
      <c r="K5703" s="11" t="s">
        <v>21</v>
      </c>
      <c r="L5703" s="7">
        <v>40044.906863425924</v>
      </c>
      <c r="M5703" s="12" t="s">
        <v>13065</v>
      </c>
      <c r="N5703" s="12" t="s">
        <v>13066</v>
      </c>
      <c r="O5703" s="10" t="str">
        <f>HYPERLINK("https://pbs.twimg.com/profile_images/1657339604/1_normal.jpg","View")</f>
        <v>View</v>
      </c>
      <c r="P5703" s="11"/>
    </row>
    <row r="5704" spans="1:16" ht="12.75" x14ac:dyDescent="0.35">
      <c r="A5704" s="7">
        <v>42483.634108796294</v>
      </c>
      <c r="B5704" s="8" t="str">
        <f>HYPERLINK("https://twitter.com/bzberlin","@bzberlin")</f>
        <v>@bzberlin</v>
      </c>
      <c r="C5704" s="9" t="s">
        <v>13067</v>
      </c>
      <c r="D5704" s="9" t="s">
        <v>13068</v>
      </c>
      <c r="E5704" s="10" t="str">
        <f>HYPERLINK("https://twitter.com/bzberlin/status/723809417028841472","723809417028841472")</f>
        <v>723809417028841472</v>
      </c>
      <c r="F5704" s="11" t="s">
        <v>63</v>
      </c>
      <c r="G5704" s="11">
        <v>68623</v>
      </c>
      <c r="H5704" s="11">
        <v>710</v>
      </c>
      <c r="I5704" s="11">
        <v>1</v>
      </c>
      <c r="J5704" s="11">
        <v>0</v>
      </c>
      <c r="K5704" s="11" t="s">
        <v>21</v>
      </c>
      <c r="L5704" s="7">
        <v>39871.887418981481</v>
      </c>
      <c r="M5704" s="12" t="s">
        <v>1359</v>
      </c>
      <c r="N5704" s="12" t="s">
        <v>13069</v>
      </c>
      <c r="O5704" s="10" t="str">
        <f>HYPERLINK("https://pbs.twimg.com/profile_images/458886642598555648/xyftvlqH_normal.png","View")</f>
        <v>View</v>
      </c>
      <c r="P5704" s="11"/>
    </row>
    <row r="5705" spans="1:16" ht="12.75" x14ac:dyDescent="0.35">
      <c r="A5705" s="7">
        <v>42483.635011574079</v>
      </c>
      <c r="B5705" s="8" t="str">
        <f>HYPERLINK("https://twitter.com/verticalwise","@verticalwise")</f>
        <v>@verticalwise</v>
      </c>
      <c r="C5705" s="9" t="s">
        <v>13070</v>
      </c>
      <c r="D5705" s="9" t="s">
        <v>13071</v>
      </c>
      <c r="E5705" s="10" t="str">
        <f>HYPERLINK("https://twitter.com/verticalwise/status/723809745694515200","723809745694515200")</f>
        <v>723809745694515200</v>
      </c>
      <c r="F5705" s="11" t="s">
        <v>43</v>
      </c>
      <c r="G5705" s="11">
        <v>302</v>
      </c>
      <c r="H5705" s="11">
        <v>199</v>
      </c>
      <c r="I5705" s="11">
        <v>0</v>
      </c>
      <c r="J5705" s="11">
        <v>0</v>
      </c>
      <c r="K5705" s="11" t="s">
        <v>21</v>
      </c>
      <c r="L5705" s="7">
        <v>42046.814050925925</v>
      </c>
      <c r="M5705" s="12"/>
      <c r="N5705" s="12" t="s">
        <v>13072</v>
      </c>
      <c r="O5705" s="10" t="str">
        <f>HYPERLINK("https://pbs.twimg.com/profile_images/615133737794146304/tm_E3lwi_normal.png","View")</f>
        <v>View</v>
      </c>
      <c r="P5705" s="11"/>
    </row>
    <row r="5706" spans="1:16" ht="12.75" x14ac:dyDescent="0.35">
      <c r="A5706" s="7">
        <v>42483.635081018518</v>
      </c>
      <c r="B5706" s="8" t="str">
        <f>HYPERLINK("https://twitter.com/Racing_Aces","@Racing_Aces")</f>
        <v>@Racing_Aces</v>
      </c>
      <c r="C5706" s="9" t="s">
        <v>13073</v>
      </c>
      <c r="D5706" s="9" t="s">
        <v>8227</v>
      </c>
      <c r="E5706" s="10" t="str">
        <f>HYPERLINK("https://twitter.com/Racing_Aces/status/723809770071834624","723809770071834624")</f>
        <v>723809770071834624</v>
      </c>
      <c r="F5706" s="11" t="s">
        <v>20</v>
      </c>
      <c r="G5706" s="11">
        <v>211</v>
      </c>
      <c r="H5706" s="11">
        <v>179</v>
      </c>
      <c r="I5706" s="11">
        <v>12</v>
      </c>
      <c r="J5706" s="11">
        <v>0</v>
      </c>
      <c r="K5706" s="11" t="s">
        <v>21</v>
      </c>
      <c r="L5706" s="7">
        <v>41149.669027777782</v>
      </c>
      <c r="M5706" s="12"/>
      <c r="N5706" s="12" t="s">
        <v>13074</v>
      </c>
      <c r="O5706" s="10" t="str">
        <f>HYPERLINK("https://pbs.twimg.com/profile_images/2551906812/65tp83amf7my90jmtv4t_normal.jpeg","View")</f>
        <v>View</v>
      </c>
      <c r="P5706" s="11"/>
    </row>
    <row r="5707" spans="1:16" ht="12.75" x14ac:dyDescent="0.35">
      <c r="A5707" s="7">
        <v>42483.635266203702</v>
      </c>
      <c r="B5707" s="8" t="str">
        <f>HYPERLINK("https://twitter.com/miiloomultipass","@miiloomultipass")</f>
        <v>@miiloomultipass</v>
      </c>
      <c r="C5707" s="9" t="s">
        <v>13075</v>
      </c>
      <c r="D5707" s="9" t="s">
        <v>13076</v>
      </c>
      <c r="E5707" s="10" t="str">
        <f>HYPERLINK("https://twitter.com/miiloomultipass/status/723809838812172288","723809838812172288")</f>
        <v>723809838812172288</v>
      </c>
      <c r="F5707" s="11" t="s">
        <v>48</v>
      </c>
      <c r="G5707" s="11">
        <v>2</v>
      </c>
      <c r="H5707" s="11">
        <v>1</v>
      </c>
      <c r="I5707" s="11">
        <v>0</v>
      </c>
      <c r="J5707" s="11">
        <v>0</v>
      </c>
      <c r="K5707" s="11" t="s">
        <v>21</v>
      </c>
      <c r="L5707" s="7">
        <v>42470.433912037042</v>
      </c>
      <c r="M5707" s="12" t="s">
        <v>13077</v>
      </c>
      <c r="N5707" s="12" t="s">
        <v>13078</v>
      </c>
      <c r="O5707" s="10" t="str">
        <f>HYPERLINK("https://pbs.twimg.com/profile_images/719028005406842880/7WaXV5hM_normal.jpg","View")</f>
        <v>View</v>
      </c>
      <c r="P5707" s="11"/>
    </row>
    <row r="5708" spans="1:16" ht="12.75" x14ac:dyDescent="0.35">
      <c r="A5708" s="7">
        <v>42483.635300925926</v>
      </c>
      <c r="B5708" s="8" t="str">
        <f>HYPERLINK("https://twitter.com/Racing_Aces","@Racing_Aces")</f>
        <v>@Racing_Aces</v>
      </c>
      <c r="C5708" s="9" t="s">
        <v>13073</v>
      </c>
      <c r="D5708" s="9" t="s">
        <v>13039</v>
      </c>
      <c r="E5708" s="10" t="str">
        <f>HYPERLINK("https://twitter.com/Racing_Aces/status/723809847964241920","723809847964241920")</f>
        <v>723809847964241920</v>
      </c>
      <c r="F5708" s="11" t="s">
        <v>20</v>
      </c>
      <c r="G5708" s="11">
        <v>211</v>
      </c>
      <c r="H5708" s="11">
        <v>179</v>
      </c>
      <c r="I5708" s="11">
        <v>3</v>
      </c>
      <c r="J5708" s="11">
        <v>0</v>
      </c>
      <c r="K5708" s="11" t="s">
        <v>21</v>
      </c>
      <c r="L5708" s="7">
        <v>41149.669027777782</v>
      </c>
      <c r="M5708" s="12"/>
      <c r="N5708" s="12" t="s">
        <v>13074</v>
      </c>
      <c r="O5708" s="10" t="str">
        <f>HYPERLINK("https://pbs.twimg.com/profile_images/2551906812/65tp83amf7my90jmtv4t_normal.jpeg","View")</f>
        <v>View</v>
      </c>
      <c r="P5708" s="11"/>
    </row>
    <row r="5709" spans="1:16" ht="12.75" x14ac:dyDescent="0.35">
      <c r="A5709" s="7">
        <v>42483.636365740742</v>
      </c>
      <c r="B5709" s="8" t="str">
        <f>HYPERLINK("https://twitter.com/pixeljunkie","@pixeljunkie")</f>
        <v>@pixeljunkie</v>
      </c>
      <c r="C5709" s="9" t="s">
        <v>13079</v>
      </c>
      <c r="D5709" s="9" t="s">
        <v>12828</v>
      </c>
      <c r="E5709" s="10" t="str">
        <f>HYPERLINK("https://twitter.com/pixeljunkie/status/723810235429838848","723810235429838848")</f>
        <v>723810235429838848</v>
      </c>
      <c r="F5709" s="11" t="s">
        <v>20</v>
      </c>
      <c r="G5709" s="11">
        <v>705</v>
      </c>
      <c r="H5709" s="11">
        <v>587</v>
      </c>
      <c r="I5709" s="11">
        <v>16</v>
      </c>
      <c r="J5709" s="11">
        <v>0</v>
      </c>
      <c r="K5709" s="11" t="s">
        <v>21</v>
      </c>
      <c r="L5709" s="7">
        <v>39465.072696759264</v>
      </c>
      <c r="M5709" s="12" t="s">
        <v>13080</v>
      </c>
      <c r="N5709" s="12" t="s">
        <v>13081</v>
      </c>
      <c r="O5709" s="10" t="str">
        <f>HYPERLINK("https://pbs.twimg.com/profile_images/694639408222437377/OcrQi40G_normal.jpg","View")</f>
        <v>View</v>
      </c>
      <c r="P5709" s="11"/>
    </row>
    <row r="5710" spans="1:16" ht="12.75" x14ac:dyDescent="0.35">
      <c r="A5710" s="7">
        <v>42483.636747685188</v>
      </c>
      <c r="B5710" s="8" t="str">
        <f>HYPERLINK("https://twitter.com/Alex_yusipov","@Alex_yusipov")</f>
        <v>@Alex_yusipov</v>
      </c>
      <c r="C5710" s="9" t="s">
        <v>13082</v>
      </c>
      <c r="D5710" s="9" t="s">
        <v>13083</v>
      </c>
      <c r="E5710" s="10" t="str">
        <f>HYPERLINK("https://twitter.com/Alex_yusipov/status/723810375221829632","723810375221829632")</f>
        <v>723810375221829632</v>
      </c>
      <c r="F5710" s="11" t="s">
        <v>53</v>
      </c>
      <c r="G5710" s="11">
        <v>78</v>
      </c>
      <c r="H5710" s="11">
        <v>67</v>
      </c>
      <c r="I5710" s="11">
        <v>0</v>
      </c>
      <c r="J5710" s="11">
        <v>0</v>
      </c>
      <c r="K5710" s="11" t="s">
        <v>21</v>
      </c>
      <c r="L5710" s="7">
        <v>40736.044409722221</v>
      </c>
      <c r="M5710" s="12" t="s">
        <v>13084</v>
      </c>
      <c r="N5710" s="12" t="s">
        <v>13085</v>
      </c>
      <c r="O5710" s="10" t="str">
        <f>HYPERLINK("https://pbs.twimg.com/profile_images/2582895335/n25fyfmmddlz8s3dufg5_normal.jpeg","View")</f>
        <v>View</v>
      </c>
      <c r="P5710" s="11"/>
    </row>
    <row r="5711" spans="1:16" ht="12.75" x14ac:dyDescent="0.35">
      <c r="A5711" s="7">
        <v>42483.639027777783</v>
      </c>
      <c r="B5711" s="8" t="str">
        <f>HYPERLINK("https://twitter.com/KramerFerdinand","@KramerFerdinand")</f>
        <v>@KramerFerdinand</v>
      </c>
      <c r="C5711" s="9" t="s">
        <v>8200</v>
      </c>
      <c r="D5711" s="9" t="s">
        <v>13068</v>
      </c>
      <c r="E5711" s="10" t="str">
        <f>HYPERLINK("https://twitter.com/KramerFerdinand/status/723811200727830529","723811200727830529")</f>
        <v>723811200727830529</v>
      </c>
      <c r="F5711" s="11" t="s">
        <v>48</v>
      </c>
      <c r="G5711" s="11">
        <v>1866</v>
      </c>
      <c r="H5711" s="11">
        <v>4810</v>
      </c>
      <c r="I5711" s="11">
        <v>2</v>
      </c>
      <c r="J5711" s="11">
        <v>0</v>
      </c>
      <c r="K5711" s="11" t="s">
        <v>21</v>
      </c>
      <c r="L5711" s="7">
        <v>42391.150613425925</v>
      </c>
      <c r="M5711" s="12"/>
      <c r="N5711" s="12"/>
      <c r="O5711" s="10" t="str">
        <f>HYPERLINK("https://pbs.twimg.com/profile_images/692263572710252545/oFwlaEUn_normal.jpg","View")</f>
        <v>View</v>
      </c>
      <c r="P5711" s="11"/>
    </row>
    <row r="5712" spans="1:16" ht="12.75" x14ac:dyDescent="0.35">
      <c r="A5712" s="7">
        <v>42483.639247685191</v>
      </c>
      <c r="B5712" s="8" t="str">
        <f>HYPERLINK("https://twitter.com/carstech42160","@carstech42160")</f>
        <v>@carstech42160</v>
      </c>
      <c r="C5712" s="9" t="s">
        <v>1672</v>
      </c>
      <c r="D5712" s="9" t="s">
        <v>13086</v>
      </c>
      <c r="E5712" s="10" t="str">
        <f>HYPERLINK("https://twitter.com/carstech42160/status/723811280193114113","723811280193114113")</f>
        <v>723811280193114113</v>
      </c>
      <c r="F5712" s="11" t="s">
        <v>43</v>
      </c>
      <c r="G5712" s="11">
        <v>62</v>
      </c>
      <c r="H5712" s="11">
        <v>323</v>
      </c>
      <c r="I5712" s="11">
        <v>0</v>
      </c>
      <c r="J5712" s="11">
        <v>0</v>
      </c>
      <c r="K5712" s="11" t="s">
        <v>21</v>
      </c>
      <c r="L5712" s="7">
        <v>42240.802777777775</v>
      </c>
      <c r="M5712" s="12" t="s">
        <v>1674</v>
      </c>
      <c r="N5712" s="12" t="s">
        <v>1675</v>
      </c>
      <c r="O5712" s="10" t="str">
        <f>HYPERLINK("https://pbs.twimg.com/profile_images/709727688462831616/KG2oHK_4_normal.jpg","View")</f>
        <v>View</v>
      </c>
      <c r="P5712" s="11"/>
    </row>
    <row r="5713" spans="1:16" ht="12.75" x14ac:dyDescent="0.35">
      <c r="A5713" s="7">
        <v>42483.639293981483</v>
      </c>
      <c r="B5713" s="8" t="str">
        <f>HYPERLINK("https://twitter.com/NetzwerkggS21","@NetzwerkggS21")</f>
        <v>@NetzwerkggS21</v>
      </c>
      <c r="C5713" s="9" t="s">
        <v>2359</v>
      </c>
      <c r="D5713" s="9" t="s">
        <v>13087</v>
      </c>
      <c r="E5713" s="10" t="str">
        <f>HYPERLINK("https://twitter.com/NetzwerkggS21/status/723811296186081280","723811296186081280")</f>
        <v>723811296186081280</v>
      </c>
      <c r="F5713" s="11" t="s">
        <v>43</v>
      </c>
      <c r="G5713" s="11">
        <v>855</v>
      </c>
      <c r="H5713" s="11">
        <v>2112</v>
      </c>
      <c r="I5713" s="11">
        <v>0</v>
      </c>
      <c r="J5713" s="11">
        <v>1</v>
      </c>
      <c r="K5713" s="11" t="s">
        <v>21</v>
      </c>
      <c r="L5713" s="7">
        <v>41326.709363425922</v>
      </c>
      <c r="M5713" s="13" t="s">
        <v>2361</v>
      </c>
      <c r="N5713" s="12" t="s">
        <v>2362</v>
      </c>
      <c r="O5713" s="10" t="str">
        <f>HYPERLINK("https://pbs.twimg.com/profile_images/378800000528765970/3ab9f2a00010e9cac08d5ca1638926e9_normal.png","View")</f>
        <v>View</v>
      </c>
      <c r="P5713" s="11"/>
    </row>
    <row r="5714" spans="1:16" ht="12.75" x14ac:dyDescent="0.35">
      <c r="A5714" s="7">
        <v>42483.640381944446</v>
      </c>
      <c r="B5714" s="8" t="str">
        <f>HYPERLINK("https://twitter.com/tradecar_ie","@tradecar_ie")</f>
        <v>@tradecar_ie</v>
      </c>
      <c r="C5714" s="8" t="s">
        <v>13088</v>
      </c>
      <c r="D5714" s="9" t="s">
        <v>13035</v>
      </c>
      <c r="E5714" s="10" t="str">
        <f>HYPERLINK("https://twitter.com/tradecar_ie/status/723811691910299648","723811691910299648")</f>
        <v>723811691910299648</v>
      </c>
      <c r="F5714" s="11" t="s">
        <v>48</v>
      </c>
      <c r="G5714" s="11">
        <v>152</v>
      </c>
      <c r="H5714" s="11">
        <v>669</v>
      </c>
      <c r="I5714" s="11">
        <v>3</v>
      </c>
      <c r="J5714" s="11">
        <v>0</v>
      </c>
      <c r="K5714" s="11" t="s">
        <v>21</v>
      </c>
      <c r="L5714" s="7">
        <v>42424.799490740741</v>
      </c>
      <c r="M5714" s="12"/>
      <c r="N5714" s="12" t="s">
        <v>13089</v>
      </c>
      <c r="O5714" s="10" t="str">
        <f>HYPERLINK("https://pbs.twimg.com/profile_images/702501103846494209/PNsFF5XB_normal.jpg","View")</f>
        <v>View</v>
      </c>
      <c r="P5714" s="11"/>
    </row>
    <row r="5715" spans="1:16" ht="12.75" x14ac:dyDescent="0.35">
      <c r="A5715" s="7">
        <v>42483.642083333332</v>
      </c>
      <c r="B5715" s="8" t="str">
        <f>HYPERLINK("https://twitter.com/PaddleBoardCity","@PaddleBoardCity")</f>
        <v>@PaddleBoardCity</v>
      </c>
      <c r="C5715" s="9" t="s">
        <v>13090</v>
      </c>
      <c r="D5715" s="9" t="s">
        <v>13091</v>
      </c>
      <c r="E5715" s="10" t="str">
        <f>HYPERLINK("https://twitter.com/PaddleBoardCity/status/723812306715590657","723812306715590657")</f>
        <v>723812306715590657</v>
      </c>
      <c r="F5715" s="11" t="s">
        <v>68</v>
      </c>
      <c r="G5715" s="11">
        <v>699</v>
      </c>
      <c r="H5715" s="11">
        <v>421</v>
      </c>
      <c r="I5715" s="11">
        <v>0</v>
      </c>
      <c r="J5715" s="11">
        <v>0</v>
      </c>
      <c r="K5715" s="11" t="s">
        <v>21</v>
      </c>
      <c r="L5715" s="7">
        <v>42041.180428240739</v>
      </c>
      <c r="M5715" s="12" t="s">
        <v>13092</v>
      </c>
      <c r="N5715" s="12" t="s">
        <v>13093</v>
      </c>
      <c r="O5715" s="10" t="str">
        <f>HYPERLINK("https://pbs.twimg.com/profile_images/662049887941361664/yq7ufuWy_normal.jpg","View")</f>
        <v>View</v>
      </c>
      <c r="P5715" s="11"/>
    </row>
    <row r="5716" spans="1:16" ht="12.75" x14ac:dyDescent="0.35">
      <c r="A5716" s="7">
        <v>42483.642847222218</v>
      </c>
      <c r="B5716" s="8" t="str">
        <f>HYPERLINK("https://twitter.com/lutonphoto","@lutonphoto")</f>
        <v>@lutonphoto</v>
      </c>
      <c r="C5716" s="9" t="s">
        <v>13094</v>
      </c>
      <c r="D5716" s="9" t="s">
        <v>13095</v>
      </c>
      <c r="E5716" s="10" t="str">
        <f>HYPERLINK("https://twitter.com/lutonphoto/status/723812583673753600","723812583673753600")</f>
        <v>723812583673753600</v>
      </c>
      <c r="F5716" s="11" t="s">
        <v>114</v>
      </c>
      <c r="G5716" s="11">
        <v>446</v>
      </c>
      <c r="H5716" s="11">
        <v>582</v>
      </c>
      <c r="I5716" s="11">
        <v>0</v>
      </c>
      <c r="J5716" s="11">
        <v>0</v>
      </c>
      <c r="K5716" s="11" t="s">
        <v>21</v>
      </c>
      <c r="L5716" s="7">
        <v>41179.015856481477</v>
      </c>
      <c r="M5716" s="12" t="s">
        <v>13096</v>
      </c>
      <c r="N5716" s="12" t="s">
        <v>13097</v>
      </c>
      <c r="O5716" s="10" t="str">
        <f>HYPERLINK("https://pbs.twimg.com/profile_images/2652648264/cc69306dfe9f17f4e179998703eb96b7_normal.png","View")</f>
        <v>View</v>
      </c>
      <c r="P5716" s="11"/>
    </row>
    <row r="5717" spans="1:16" ht="12.75" x14ac:dyDescent="0.35">
      <c r="A5717" s="7">
        <v>42483.643738425926</v>
      </c>
      <c r="B5717" s="8" t="str">
        <f>HYPERLINK("https://twitter.com/carstech42160","@carstech42160")</f>
        <v>@carstech42160</v>
      </c>
      <c r="C5717" s="9" t="s">
        <v>1672</v>
      </c>
      <c r="D5717" s="9" t="s">
        <v>13098</v>
      </c>
      <c r="E5717" s="10" t="str">
        <f>HYPERLINK("https://twitter.com/carstech42160/status/723812905985036288","723812905985036288")</f>
        <v>723812905985036288</v>
      </c>
      <c r="F5717" s="11" t="s">
        <v>43</v>
      </c>
      <c r="G5717" s="11">
        <v>62</v>
      </c>
      <c r="H5717" s="11">
        <v>323</v>
      </c>
      <c r="I5717" s="11">
        <v>0</v>
      </c>
      <c r="J5717" s="11">
        <v>0</v>
      </c>
      <c r="K5717" s="11" t="s">
        <v>21</v>
      </c>
      <c r="L5717" s="7">
        <v>42240.802777777775</v>
      </c>
      <c r="M5717" s="12" t="s">
        <v>1674</v>
      </c>
      <c r="N5717" s="12" t="s">
        <v>1675</v>
      </c>
      <c r="O5717" s="10" t="str">
        <f>HYPERLINK("https://pbs.twimg.com/profile_images/709727688462831616/KG2oHK_4_normal.jpg","View")</f>
        <v>View</v>
      </c>
      <c r="P5717" s="11"/>
    </row>
    <row r="5718" spans="1:16" ht="12.75" x14ac:dyDescent="0.35">
      <c r="A5718" s="7">
        <v>42483.643773148149</v>
      </c>
      <c r="B5718" s="8" t="str">
        <f>HYPERLINK("https://twitter.com/IPKlaus","@IPKlaus")</f>
        <v>@IPKlaus</v>
      </c>
      <c r="C5718" s="9" t="s">
        <v>13099</v>
      </c>
      <c r="D5718" s="9" t="s">
        <v>13100</v>
      </c>
      <c r="E5718" s="10" t="str">
        <f>HYPERLINK("https://twitter.com/IPKlaus/status/723812919163662336","723812919163662336")</f>
        <v>723812919163662336</v>
      </c>
      <c r="F5718" s="11" t="s">
        <v>43</v>
      </c>
      <c r="G5718" s="11">
        <v>62</v>
      </c>
      <c r="H5718" s="11">
        <v>95</v>
      </c>
      <c r="I5718" s="11">
        <v>0</v>
      </c>
      <c r="J5718" s="11">
        <v>0</v>
      </c>
      <c r="K5718" s="11" t="s">
        <v>21</v>
      </c>
      <c r="L5718" s="7">
        <v>40864.831412037034</v>
      </c>
      <c r="M5718" s="12"/>
      <c r="N5718" s="12" t="s">
        <v>13101</v>
      </c>
      <c r="O5718" s="10" t="str">
        <f>HYPERLINK("https://pbs.twimg.com/profile_images/1643829292/gilgenbach_negativ_normal.jpg","View")</f>
        <v>View</v>
      </c>
      <c r="P5718" s="11"/>
    </row>
    <row r="5719" spans="1:16" ht="12.75" x14ac:dyDescent="0.35">
      <c r="A5719" s="7">
        <v>42483.644062499996</v>
      </c>
      <c r="B5719" s="8" t="str">
        <f>HYPERLINK("https://twitter.com/masa90t0","@masa90t0")</f>
        <v>@masa90t0</v>
      </c>
      <c r="C5719" s="9" t="s">
        <v>13102</v>
      </c>
      <c r="D5719" s="9" t="s">
        <v>13103</v>
      </c>
      <c r="E5719" s="10" t="str">
        <f>HYPERLINK("https://twitter.com/masa90t0/status/723813023563931649","723813023563931649")</f>
        <v>723813023563931649</v>
      </c>
      <c r="F5719" s="11" t="s">
        <v>114</v>
      </c>
      <c r="G5719" s="11">
        <v>273</v>
      </c>
      <c r="H5719" s="11">
        <v>269</v>
      </c>
      <c r="I5719" s="11">
        <v>0</v>
      </c>
      <c r="J5719" s="11">
        <v>0</v>
      </c>
      <c r="K5719" s="11" t="s">
        <v>21</v>
      </c>
      <c r="L5719" s="7">
        <v>40216.367199074077</v>
      </c>
      <c r="M5719" s="12" t="s">
        <v>13104</v>
      </c>
      <c r="N5719" s="12" t="s">
        <v>13105</v>
      </c>
      <c r="O5719" s="10" t="str">
        <f>HYPERLINK("https://pbs.twimg.com/profile_images/493009266584719360/vu5lY9gi_normal.jpeg","View")</f>
        <v>View</v>
      </c>
      <c r="P5719" s="11"/>
    </row>
    <row r="5720" spans="1:16" ht="12.75" x14ac:dyDescent="0.35">
      <c r="A5720" s="7">
        <v>42483.646053240736</v>
      </c>
      <c r="B5720" s="8" t="str">
        <f>HYPERLINK("https://twitter.com/SantaPodRaceway","@SantaPodRaceway")</f>
        <v>@SantaPodRaceway</v>
      </c>
      <c r="C5720" s="9" t="s">
        <v>3995</v>
      </c>
      <c r="D5720" s="9" t="s">
        <v>13106</v>
      </c>
      <c r="E5720" s="10" t="str">
        <f>HYPERLINK("https://twitter.com/SantaPodRaceway/status/723813747882512384","723813747882512384")</f>
        <v>723813747882512384</v>
      </c>
      <c r="F5720" s="11" t="s">
        <v>152</v>
      </c>
      <c r="G5720" s="11">
        <v>12560</v>
      </c>
      <c r="H5720" s="11">
        <v>222</v>
      </c>
      <c r="I5720" s="11">
        <v>0</v>
      </c>
      <c r="J5720" s="11">
        <v>0</v>
      </c>
      <c r="K5720" s="11" t="s">
        <v>21</v>
      </c>
      <c r="L5720" s="7">
        <v>39909.915972222225</v>
      </c>
      <c r="M5720" s="12" t="s">
        <v>3997</v>
      </c>
      <c r="N5720" s="12" t="s">
        <v>3998</v>
      </c>
      <c r="O5720" s="10" t="str">
        <f>HYPERLINK("https://pbs.twimg.com/profile_images/378800000801365829/e9f28f8996ff7f098d9b8a1840e76f50_normal.png","View")</f>
        <v>View</v>
      </c>
      <c r="P5720" s="11"/>
    </row>
    <row r="5721" spans="1:16" ht="12.75" x14ac:dyDescent="0.35">
      <c r="A5721" s="7">
        <v>42483.646527777775</v>
      </c>
      <c r="B5721" s="8" t="str">
        <f>HYPERLINK("https://twitter.com/hashtagvanlife","@hashtagvanlife")</f>
        <v>@hashtagvanlife</v>
      </c>
      <c r="C5721" s="9" t="s">
        <v>187</v>
      </c>
      <c r="D5721" s="9" t="s">
        <v>13107</v>
      </c>
      <c r="E5721" s="10" t="str">
        <f>HYPERLINK("https://twitter.com/hashtagvanlife/status/723813918313975808","723813918313975808")</f>
        <v>723813918313975808</v>
      </c>
      <c r="F5721" s="11" t="s">
        <v>189</v>
      </c>
      <c r="G5721" s="11">
        <v>1022</v>
      </c>
      <c r="H5721" s="11">
        <v>29</v>
      </c>
      <c r="I5721" s="11">
        <v>1</v>
      </c>
      <c r="J5721" s="11">
        <v>0</v>
      </c>
      <c r="K5721" s="11" t="s">
        <v>21</v>
      </c>
      <c r="L5721" s="7">
        <v>42289.994583333333</v>
      </c>
      <c r="M5721" s="12"/>
      <c r="N5721" s="12" t="s">
        <v>190</v>
      </c>
      <c r="O5721" s="10" t="str">
        <f>HYPERLINK("https://pbs.twimg.com/profile_images/653637535545995264/gHuXQ5Bt_normal.jpg","View")</f>
        <v>View</v>
      </c>
      <c r="P5721" s="11"/>
    </row>
    <row r="5722" spans="1:16" ht="12.75" x14ac:dyDescent="0.35">
      <c r="A5722" s="7">
        <v>42483.647986111115</v>
      </c>
      <c r="B5722" s="8" t="str">
        <f>HYPERLINK("https://twitter.com/dw_business","@dw_business")</f>
        <v>@dw_business</v>
      </c>
      <c r="C5722" s="9" t="s">
        <v>3512</v>
      </c>
      <c r="D5722" s="9" t="s">
        <v>13108</v>
      </c>
      <c r="E5722" s="10" t="str">
        <f>HYPERLINK("https://twitter.com/dw_business/status/723814444334108673","723814444334108673")</f>
        <v>723814444334108673</v>
      </c>
      <c r="F5722" s="11" t="s">
        <v>254</v>
      </c>
      <c r="G5722" s="11">
        <v>6230</v>
      </c>
      <c r="H5722" s="11">
        <v>250</v>
      </c>
      <c r="I5722" s="11">
        <v>5</v>
      </c>
      <c r="J5722" s="11">
        <v>2</v>
      </c>
      <c r="K5722" s="11" t="s">
        <v>21</v>
      </c>
      <c r="L5722" s="7">
        <v>39919.595196759255</v>
      </c>
      <c r="M5722" s="12" t="s">
        <v>1303</v>
      </c>
      <c r="N5722" s="12" t="s">
        <v>3514</v>
      </c>
      <c r="O5722" s="10" t="str">
        <f>HYPERLINK("https://pbs.twimg.com/profile_images/474178130312044544/-U2TP65D_normal.png","View")</f>
        <v>View</v>
      </c>
      <c r="P5722" s="11"/>
    </row>
    <row r="5723" spans="1:16" ht="12.75" x14ac:dyDescent="0.35">
      <c r="A5723" s="7">
        <v>42483.647997685184</v>
      </c>
      <c r="B5723" s="8" t="str">
        <f>HYPERLINK("https://twitter.com/Autourtiti","@Autourtiti")</f>
        <v>@Autourtiti</v>
      </c>
      <c r="C5723" s="9" t="s">
        <v>3820</v>
      </c>
      <c r="D5723" s="9" t="s">
        <v>13109</v>
      </c>
      <c r="E5723" s="10" t="str">
        <f>HYPERLINK("https://twitter.com/Autourtiti/status/723814450009124864","723814450009124864")</f>
        <v>723814450009124864</v>
      </c>
      <c r="F5723" s="11" t="s">
        <v>3822</v>
      </c>
      <c r="G5723" s="11">
        <v>43</v>
      </c>
      <c r="H5723" s="11">
        <v>0</v>
      </c>
      <c r="I5723" s="11">
        <v>1</v>
      </c>
      <c r="J5723" s="11">
        <v>0</v>
      </c>
      <c r="K5723" s="11" t="s">
        <v>21</v>
      </c>
      <c r="L5723" s="7">
        <v>41590.915937500002</v>
      </c>
      <c r="M5723" s="12"/>
      <c r="N5723" s="12" t="s">
        <v>3823</v>
      </c>
      <c r="O5723" s="10" t="str">
        <f>HYPERLINK("https://pbs.twimg.com/profile_images/378800000756387886/c547a918bcad5d95a42507361c94d2fa_normal.png","View")</f>
        <v>View</v>
      </c>
      <c r="P5723" s="11"/>
    </row>
    <row r="5724" spans="1:16" ht="12.75" x14ac:dyDescent="0.35">
      <c r="A5724" s="7">
        <v>42483.648622685185</v>
      </c>
      <c r="B5724" s="8" t="str">
        <f>HYPERLINK("https://twitter.com/JustitiaAbusi","@JustitiaAbusi")</f>
        <v>@JustitiaAbusi</v>
      </c>
      <c r="C5724" s="9" t="s">
        <v>13110</v>
      </c>
      <c r="D5724" s="9" t="s">
        <v>8183</v>
      </c>
      <c r="E5724" s="10" t="str">
        <f>HYPERLINK("https://twitter.com/JustitiaAbusi/status/723814677025832960","723814677025832960")</f>
        <v>723814677025832960</v>
      </c>
      <c r="F5724" s="11" t="s">
        <v>43</v>
      </c>
      <c r="G5724" s="11">
        <v>14</v>
      </c>
      <c r="H5724" s="11">
        <v>66</v>
      </c>
      <c r="I5724" s="11">
        <v>10</v>
      </c>
      <c r="J5724" s="11">
        <v>0</v>
      </c>
      <c r="K5724" s="11" t="s">
        <v>21</v>
      </c>
      <c r="L5724" s="7">
        <v>41807.556759259256</v>
      </c>
      <c r="M5724" s="12"/>
      <c r="N5724" s="12"/>
      <c r="O5724" s="10" t="str">
        <f>HYPERLINK("https://pbs.twimg.com/profile_images/478812007160741888/0bki6zj9_normal.png","View")</f>
        <v>View</v>
      </c>
      <c r="P5724" s="11"/>
    </row>
    <row r="5725" spans="1:16" ht="12.75" x14ac:dyDescent="0.35">
      <c r="A5725" s="7">
        <v>42483.649513888886</v>
      </c>
      <c r="B5725" s="8" t="str">
        <f>HYPERLINK("https://twitter.com/frank_volk","@frank_volk")</f>
        <v>@frank_volk</v>
      </c>
      <c r="C5725" s="9" t="s">
        <v>9674</v>
      </c>
      <c r="D5725" s="9" t="s">
        <v>13111</v>
      </c>
      <c r="E5725" s="10" t="str">
        <f>HYPERLINK("https://twitter.com/frank_volk/status/723815000314404864","723815000314404864")</f>
        <v>723815000314404864</v>
      </c>
      <c r="F5725" s="11" t="s">
        <v>48</v>
      </c>
      <c r="G5725" s="11">
        <v>318</v>
      </c>
      <c r="H5725" s="11">
        <v>458</v>
      </c>
      <c r="I5725" s="11">
        <v>0</v>
      </c>
      <c r="J5725" s="11">
        <v>0</v>
      </c>
      <c r="K5725" s="11" t="s">
        <v>21</v>
      </c>
      <c r="L5725" s="7">
        <v>42060.684340277774</v>
      </c>
      <c r="M5725" s="12"/>
      <c r="N5725" s="12"/>
      <c r="O5725" s="10" t="str">
        <f>HYPERLINK("https://pbs.twimg.com/profile_images/667782416749240324/YPeXdS-L_normal.jpg","View")</f>
        <v>View</v>
      </c>
      <c r="P5725" s="11"/>
    </row>
    <row r="5726" spans="1:16" ht="12.75" x14ac:dyDescent="0.35">
      <c r="A5726" s="7">
        <v>42483.649872685186</v>
      </c>
      <c r="B5726" s="8" t="str">
        <f>HYPERLINK("https://twitter.com/dwnews","@dwnews")</f>
        <v>@dwnews</v>
      </c>
      <c r="C5726" s="9" t="s">
        <v>1302</v>
      </c>
      <c r="D5726" s="9" t="s">
        <v>13112</v>
      </c>
      <c r="E5726" s="10" t="str">
        <f>HYPERLINK("https://twitter.com/dwnews/status/723815128987230208","723815128987230208")</f>
        <v>723815128987230208</v>
      </c>
      <c r="F5726" s="11" t="s">
        <v>63</v>
      </c>
      <c r="G5726" s="11">
        <v>91323</v>
      </c>
      <c r="H5726" s="11">
        <v>542</v>
      </c>
      <c r="I5726" s="11">
        <v>5</v>
      </c>
      <c r="J5726" s="11">
        <v>0</v>
      </c>
      <c r="K5726" s="11" t="s">
        <v>21</v>
      </c>
      <c r="L5726" s="7">
        <v>39220.688078703708</v>
      </c>
      <c r="M5726" s="12" t="s">
        <v>1303</v>
      </c>
      <c r="N5726" s="12" t="s">
        <v>1304</v>
      </c>
      <c r="O5726" s="10" t="str">
        <f>HYPERLINK("https://pbs.twimg.com/profile_images/608213167496417280/QSxgcLn__normal.png","View")</f>
        <v>View</v>
      </c>
      <c r="P5726" s="11"/>
    </row>
    <row r="5727" spans="1:16" ht="12.75" x14ac:dyDescent="0.35">
      <c r="A5727" s="7">
        <v>42483.650300925925</v>
      </c>
      <c r="B5727" s="8" t="str">
        <f>HYPERLINK("https://twitter.com/smithwicks8888","@smithwicks8888")</f>
        <v>@smithwicks8888</v>
      </c>
      <c r="C5727" s="9" t="s">
        <v>13113</v>
      </c>
      <c r="D5727" s="9" t="s">
        <v>13112</v>
      </c>
      <c r="E5727" s="10" t="str">
        <f>HYPERLINK("https://twitter.com/smithwicks8888/status/723815285048918017","723815285048918017")</f>
        <v>723815285048918017</v>
      </c>
      <c r="F5727" s="11" t="s">
        <v>48</v>
      </c>
      <c r="G5727" s="11">
        <v>140</v>
      </c>
      <c r="H5727" s="11">
        <v>2162</v>
      </c>
      <c r="I5727" s="11">
        <v>5</v>
      </c>
      <c r="J5727" s="11">
        <v>0</v>
      </c>
      <c r="K5727" s="11" t="s">
        <v>21</v>
      </c>
      <c r="L5727" s="7">
        <v>39974.597037037034</v>
      </c>
      <c r="M5727" s="12" t="s">
        <v>9080</v>
      </c>
      <c r="N5727" s="12" t="s">
        <v>13114</v>
      </c>
      <c r="O5727" s="10" t="str">
        <f>HYPERLINK("https://pbs.twimg.com/profile_images/662727196667019264/7euxutpC_normal.jpg","View")</f>
        <v>View</v>
      </c>
      <c r="P5727" s="11"/>
    </row>
    <row r="5728" spans="1:16" ht="12.75" x14ac:dyDescent="0.35">
      <c r="A5728" s="7">
        <v>42483.650648148148</v>
      </c>
      <c r="B5728" s="8" t="str">
        <f>HYPERLINK("https://twitter.com/telloglou","@telloglou")</f>
        <v>@telloglou</v>
      </c>
      <c r="C5728" s="9" t="s">
        <v>13115</v>
      </c>
      <c r="D5728" s="9" t="s">
        <v>13112</v>
      </c>
      <c r="E5728" s="10" t="str">
        <f>HYPERLINK("https://twitter.com/telloglou/status/723815412740292608","723815412740292608")</f>
        <v>723815412740292608</v>
      </c>
      <c r="F5728" s="11" t="s">
        <v>43</v>
      </c>
      <c r="G5728" s="11">
        <v>5885</v>
      </c>
      <c r="H5728" s="11">
        <v>1470</v>
      </c>
      <c r="I5728" s="11">
        <v>5</v>
      </c>
      <c r="J5728" s="11">
        <v>0</v>
      </c>
      <c r="K5728" s="11" t="s">
        <v>21</v>
      </c>
      <c r="L5728" s="7">
        <v>42092.991643518515</v>
      </c>
      <c r="M5728" s="12"/>
      <c r="N5728" s="12"/>
      <c r="O5728" s="10" t="str">
        <f>HYPERLINK("https://pbs.twimg.com/profile_images/582257754296979457/f-cxGOrD_normal.jpg","View")</f>
        <v>View</v>
      </c>
      <c r="P5728" s="11"/>
    </row>
    <row r="5729" spans="1:16" ht="12.75" x14ac:dyDescent="0.35">
      <c r="A5729" s="7">
        <v>42483.651608796295</v>
      </c>
      <c r="B5729" s="8" t="str">
        <f>HYPERLINK("https://twitter.com/SupermanDan01","@SupermanDan01")</f>
        <v>@SupermanDan01</v>
      </c>
      <c r="C5729" s="9" t="s">
        <v>13116</v>
      </c>
      <c r="D5729" s="9" t="s">
        <v>13117</v>
      </c>
      <c r="E5729" s="10" t="str">
        <f>HYPERLINK("https://twitter.com/SupermanDan01/status/723815757319036928","723815757319036928")</f>
        <v>723815757319036928</v>
      </c>
      <c r="F5729" s="11" t="s">
        <v>114</v>
      </c>
      <c r="G5729" s="11">
        <v>690</v>
      </c>
      <c r="H5729" s="11">
        <v>825</v>
      </c>
      <c r="I5729" s="11">
        <v>0</v>
      </c>
      <c r="J5729" s="11">
        <v>0</v>
      </c>
      <c r="K5729" s="11" t="s">
        <v>21</v>
      </c>
      <c r="L5729" s="7">
        <v>39863.27511574074</v>
      </c>
      <c r="M5729" s="12" t="s">
        <v>13118</v>
      </c>
      <c r="N5729" s="12"/>
      <c r="O5729" s="10" t="str">
        <f>HYPERLINK("https://pbs.twimg.com/profile_images/508713944819957762/PmgOmWa9_normal.jpeg","View")</f>
        <v>View</v>
      </c>
      <c r="P5729" s="11"/>
    </row>
    <row r="5730" spans="1:16" ht="12.75" x14ac:dyDescent="0.35">
      <c r="A5730" s="7">
        <v>42483.652986111112</v>
      </c>
      <c r="B5730" s="8" t="str">
        <f>HYPERLINK("https://twitter.com/FensomesUK","@FensomesUK")</f>
        <v>@FensomesUK</v>
      </c>
      <c r="C5730" s="9" t="s">
        <v>13119</v>
      </c>
      <c r="D5730" s="9" t="s">
        <v>13120</v>
      </c>
      <c r="E5730" s="10" t="str">
        <f>HYPERLINK("https://twitter.com/FensomesUK/status/723816259138260992","723816259138260992")</f>
        <v>723816259138260992</v>
      </c>
      <c r="F5730" s="11" t="s">
        <v>152</v>
      </c>
      <c r="G5730" s="11">
        <v>33</v>
      </c>
      <c r="H5730" s="11">
        <v>87</v>
      </c>
      <c r="I5730" s="11">
        <v>0</v>
      </c>
      <c r="J5730" s="11">
        <v>0</v>
      </c>
      <c r="K5730" s="11" t="s">
        <v>21</v>
      </c>
      <c r="L5730" s="7">
        <v>41913.790243055555</v>
      </c>
      <c r="M5730" s="12" t="s">
        <v>13121</v>
      </c>
      <c r="N5730" s="12" t="s">
        <v>13122</v>
      </c>
      <c r="O5730" s="10" t="str">
        <f>HYPERLINK("https://pbs.twimg.com/profile_images/519135326258733057/ZcvPfZJ__normal.jpeg","View")</f>
        <v>View</v>
      </c>
      <c r="P5730" s="11"/>
    </row>
    <row r="5731" spans="1:16" ht="12.75" x14ac:dyDescent="0.35">
      <c r="A5731" s="7">
        <v>42483.653240740736</v>
      </c>
      <c r="B5731" s="8" t="str">
        <f>HYPERLINK("https://twitter.com/PipSterling","@PipSterling")</f>
        <v>@PipSterling</v>
      </c>
      <c r="C5731" s="9" t="s">
        <v>13123</v>
      </c>
      <c r="D5731" s="9" t="s">
        <v>13124</v>
      </c>
      <c r="E5731" s="10" t="str">
        <f>HYPERLINK("https://twitter.com/PipSterling/status/723816352398626816","723816352398626816")</f>
        <v>723816352398626816</v>
      </c>
      <c r="F5731" s="11" t="s">
        <v>13125</v>
      </c>
      <c r="G5731" s="11">
        <v>39</v>
      </c>
      <c r="H5731" s="11">
        <v>60</v>
      </c>
      <c r="I5731" s="11">
        <v>0</v>
      </c>
      <c r="J5731" s="11">
        <v>0</v>
      </c>
      <c r="K5731" s="11" t="s">
        <v>21</v>
      </c>
      <c r="L5731" s="7">
        <v>40747.121481481481</v>
      </c>
      <c r="M5731" s="12"/>
      <c r="N5731" s="12"/>
      <c r="O5731" s="10" t="str">
        <f>HYPERLINK("https://pbs.twimg.com/profile_images/656139604026724353/FTB6saBQ_normal.jpg","View")</f>
        <v>View</v>
      </c>
      <c r="P5731" s="11"/>
    </row>
    <row r="5732" spans="1:16" ht="12.75" x14ac:dyDescent="0.35">
      <c r="A5732" s="7">
        <v>42483.654027777782</v>
      </c>
      <c r="B5732" s="8" t="str">
        <f>HYPERLINK("https://twitter.com/moteking25","@moteking25")</f>
        <v>@moteking25</v>
      </c>
      <c r="C5732" s="9" t="s">
        <v>295</v>
      </c>
      <c r="D5732" s="9" t="s">
        <v>13126</v>
      </c>
      <c r="E5732" s="10" t="str">
        <f>HYPERLINK("https://twitter.com/moteking25/status/723816635044253697","723816635044253697")</f>
        <v>723816635044253697</v>
      </c>
      <c r="F5732" s="11" t="s">
        <v>114</v>
      </c>
      <c r="G5732" s="11">
        <v>155</v>
      </c>
      <c r="H5732" s="11">
        <v>261</v>
      </c>
      <c r="I5732" s="11">
        <v>0</v>
      </c>
      <c r="J5732" s="11">
        <v>0</v>
      </c>
      <c r="K5732" s="11" t="s">
        <v>21</v>
      </c>
      <c r="L5732" s="7">
        <v>40656.812789351854</v>
      </c>
      <c r="M5732" s="12" t="s">
        <v>297</v>
      </c>
      <c r="N5732" s="12" t="s">
        <v>298</v>
      </c>
      <c r="O5732" s="10" t="str">
        <f>HYPERLINK("https://pbs.twimg.com/profile_images/695836169418899456/Z9ohOFD9_normal.jpg","View")</f>
        <v>View</v>
      </c>
      <c r="P5732" s="11"/>
    </row>
    <row r="5733" spans="1:16" ht="12.75" x14ac:dyDescent="0.35">
      <c r="A5733" s="7">
        <v>42483.654293981483</v>
      </c>
      <c r="B5733" s="8" t="str">
        <f>HYPERLINK("https://twitter.com/mmkassem","@mmkassem")</f>
        <v>@mmkassem</v>
      </c>
      <c r="C5733" s="9" t="s">
        <v>13127</v>
      </c>
      <c r="D5733" s="9" t="s">
        <v>13112</v>
      </c>
      <c r="E5733" s="10" t="str">
        <f>HYPERLINK("https://twitter.com/mmkassem/status/723816732561932288","723816732561932288")</f>
        <v>723816732561932288</v>
      </c>
      <c r="F5733" s="11" t="s">
        <v>20</v>
      </c>
      <c r="G5733" s="11">
        <v>315</v>
      </c>
      <c r="H5733" s="11">
        <v>883</v>
      </c>
      <c r="I5733" s="11">
        <v>5</v>
      </c>
      <c r="J5733" s="11">
        <v>0</v>
      </c>
      <c r="K5733" s="11" t="s">
        <v>21</v>
      </c>
      <c r="L5733" s="7">
        <v>39557.713518518518</v>
      </c>
      <c r="M5733" s="12" t="s">
        <v>3809</v>
      </c>
      <c r="N5733" s="12" t="s">
        <v>13128</v>
      </c>
      <c r="O5733" s="10" t="str">
        <f>HYPERLINK("https://pbs.twimg.com/profile_images/467207793661853696/diWZiIik_normal.jpeg","View")</f>
        <v>View</v>
      </c>
      <c r="P5733" s="11"/>
    </row>
    <row r="5734" spans="1:16" ht="12.75" x14ac:dyDescent="0.35">
      <c r="A5734" s="7">
        <v>42483.655023148152</v>
      </c>
      <c r="B5734" s="8" t="str">
        <f>HYPERLINK("https://twitter.com/gengh60","@gengh60")</f>
        <v>@gengh60</v>
      </c>
      <c r="C5734" s="9" t="s">
        <v>10409</v>
      </c>
      <c r="D5734" s="9" t="s">
        <v>13112</v>
      </c>
      <c r="E5734" s="10" t="str">
        <f>HYPERLINK("https://twitter.com/gengh60/status/723816998229172224","723816998229172224")</f>
        <v>723816998229172224</v>
      </c>
      <c r="F5734" s="11" t="s">
        <v>43</v>
      </c>
      <c r="G5734" s="11">
        <v>384</v>
      </c>
      <c r="H5734" s="11">
        <v>1760</v>
      </c>
      <c r="I5734" s="11">
        <v>5</v>
      </c>
      <c r="J5734" s="11">
        <v>0</v>
      </c>
      <c r="K5734" s="11" t="s">
        <v>21</v>
      </c>
      <c r="L5734" s="7">
        <v>41816.72042824074</v>
      </c>
      <c r="M5734" s="12" t="s">
        <v>10411</v>
      </c>
      <c r="N5734" s="12"/>
      <c r="O5734" s="10" t="str">
        <f>HYPERLINK("https://pbs.twimg.com/profile_images/482674748619362305/g-7jPc3m_normal.jpeg","View")</f>
        <v>View</v>
      </c>
      <c r="P5734" s="11"/>
    </row>
    <row r="5735" spans="1:16" ht="12.75" x14ac:dyDescent="0.35">
      <c r="A5735" s="7">
        <v>42483.656354166669</v>
      </c>
      <c r="B5735" s="8" t="str">
        <f>HYPERLINK("https://twitter.com/hddoger","@hddoger")</f>
        <v>@hddoger</v>
      </c>
      <c r="C5735" s="9" t="s">
        <v>7594</v>
      </c>
      <c r="D5735" s="9" t="s">
        <v>13129</v>
      </c>
      <c r="E5735" s="10" t="str">
        <f>HYPERLINK("https://twitter.com/hddoger/status/723817477742956545","723817477742956545")</f>
        <v>723817477742956545</v>
      </c>
      <c r="F5735" s="11" t="s">
        <v>91</v>
      </c>
      <c r="G5735" s="11">
        <v>617</v>
      </c>
      <c r="H5735" s="11">
        <v>509</v>
      </c>
      <c r="I5735" s="11">
        <v>0</v>
      </c>
      <c r="J5735" s="11">
        <v>0</v>
      </c>
      <c r="K5735" s="11" t="s">
        <v>21</v>
      </c>
      <c r="L5735" s="7">
        <v>40914.905057870368</v>
      </c>
      <c r="M5735" s="12"/>
      <c r="N5735" s="12" t="s">
        <v>7596</v>
      </c>
      <c r="O5735" s="10" t="str">
        <f>HYPERLINK("https://pbs.twimg.com/profile_images/3296258792/7852b77f95bc153cf32db2ba07fb879c_normal.jpeg","View")</f>
        <v>View</v>
      </c>
      <c r="P5735" s="11"/>
    </row>
    <row r="5736" spans="1:16" ht="12.75" x14ac:dyDescent="0.35">
      <c r="A5736" s="7">
        <v>42483.656365740739</v>
      </c>
      <c r="B5736" s="8" t="str">
        <f>HYPERLINK("https://twitter.com/StefanDiResta","@StefanDiResta")</f>
        <v>@StefanDiResta</v>
      </c>
      <c r="C5736" s="9" t="s">
        <v>13130</v>
      </c>
      <c r="D5736" s="9" t="s">
        <v>13008</v>
      </c>
      <c r="E5736" s="10" t="str">
        <f>HYPERLINK("https://twitter.com/StefanDiResta/status/723817485036822528","723817485036822528")</f>
        <v>723817485036822528</v>
      </c>
      <c r="F5736" s="11" t="s">
        <v>20</v>
      </c>
      <c r="G5736" s="11">
        <v>1581</v>
      </c>
      <c r="H5736" s="11">
        <v>138</v>
      </c>
      <c r="I5736" s="11">
        <v>3</v>
      </c>
      <c r="J5736" s="11">
        <v>0</v>
      </c>
      <c r="K5736" s="11" t="s">
        <v>21</v>
      </c>
      <c r="L5736" s="7">
        <v>40738.13013888889</v>
      </c>
      <c r="M5736" s="12" t="s">
        <v>13131</v>
      </c>
      <c r="N5736" s="12" t="s">
        <v>13132</v>
      </c>
      <c r="O5736" s="10" t="str">
        <f>HYPERLINK("https://pbs.twimg.com/profile_images/3518949462/7aeba110699c42ab49154931fc3b3e93_normal.jpeg","View")</f>
        <v>View</v>
      </c>
      <c r="P5736" s="11"/>
    </row>
    <row r="5737" spans="1:16" ht="12.75" x14ac:dyDescent="0.35">
      <c r="A5737" s="7">
        <v>42483.65693287037</v>
      </c>
      <c r="B5737" s="8" t="str">
        <f>HYPERLINK("https://twitter.com/TomBergen","@TomBergen")</f>
        <v>@TomBergen</v>
      </c>
      <c r="C5737" s="9" t="s">
        <v>13133</v>
      </c>
      <c r="D5737" s="9" t="s">
        <v>12828</v>
      </c>
      <c r="E5737" s="10" t="str">
        <f>HYPERLINK("https://twitter.com/TomBergen/status/723817690645827584","723817690645827584")</f>
        <v>723817690645827584</v>
      </c>
      <c r="F5737" s="11" t="s">
        <v>20</v>
      </c>
      <c r="G5737" s="11">
        <v>3</v>
      </c>
      <c r="H5737" s="11">
        <v>17</v>
      </c>
      <c r="I5737" s="11">
        <v>18</v>
      </c>
      <c r="J5737" s="11">
        <v>0</v>
      </c>
      <c r="K5737" s="11" t="s">
        <v>21</v>
      </c>
      <c r="L5737" s="7">
        <v>42477.527013888888</v>
      </c>
      <c r="M5737" s="12" t="s">
        <v>10474</v>
      </c>
      <c r="N5737" s="12" t="s">
        <v>13134</v>
      </c>
      <c r="O5737" s="10" t="str">
        <f>HYPERLINK("https://pbs.twimg.com/profile_images/721601549668065280/tkUXV8EY_normal.jpg","View")</f>
        <v>View</v>
      </c>
      <c r="P5737" s="11"/>
    </row>
    <row r="5738" spans="1:16" ht="12.75" x14ac:dyDescent="0.35">
      <c r="A5738" s="7">
        <v>42483.657199074078</v>
      </c>
      <c r="B5738" s="8" t="str">
        <f>HYPERLINK("https://twitter.com/ingridHH","@ingridHH")</f>
        <v>@ingridHH</v>
      </c>
      <c r="C5738" s="9" t="s">
        <v>11850</v>
      </c>
      <c r="D5738" s="9" t="s">
        <v>12828</v>
      </c>
      <c r="E5738" s="10" t="str">
        <f>HYPERLINK("https://twitter.com/ingridHH/status/723817786137546752","723817786137546752")</f>
        <v>723817786137546752</v>
      </c>
      <c r="F5738" s="11" t="s">
        <v>43</v>
      </c>
      <c r="G5738" s="11">
        <v>897</v>
      </c>
      <c r="H5738" s="11">
        <v>1692</v>
      </c>
      <c r="I5738" s="11">
        <v>18</v>
      </c>
      <c r="J5738" s="11">
        <v>0</v>
      </c>
      <c r="K5738" s="11" t="s">
        <v>21</v>
      </c>
      <c r="L5738" s="7">
        <v>40203.851331018523</v>
      </c>
      <c r="M5738" s="12" t="s">
        <v>11852</v>
      </c>
      <c r="N5738" s="12" t="s">
        <v>11853</v>
      </c>
      <c r="O5738" s="10" t="str">
        <f>HYPERLINK("https://pbs.twimg.com/profile_images/714561320918597634/pCq6pGGN_normal.jpg","View")</f>
        <v>View</v>
      </c>
      <c r="P5738" s="11"/>
    </row>
    <row r="5739" spans="1:16" ht="12.75" x14ac:dyDescent="0.35">
      <c r="A5739" s="7">
        <v>42483.658472222218</v>
      </c>
      <c r="B5739" s="8" t="str">
        <f>HYPERLINK("https://twitter.com/AdhieStone","@AdhieStone")</f>
        <v>@AdhieStone</v>
      </c>
      <c r="C5739" s="9" t="s">
        <v>13135</v>
      </c>
      <c r="D5739" s="9" t="s">
        <v>13136</v>
      </c>
      <c r="E5739" s="10" t="str">
        <f>HYPERLINK("https://twitter.com/AdhieStone/status/723818247301283841","723818247301283841")</f>
        <v>723818247301283841</v>
      </c>
      <c r="F5739" s="11" t="s">
        <v>114</v>
      </c>
      <c r="G5739" s="11">
        <v>411</v>
      </c>
      <c r="H5739" s="11">
        <v>310</v>
      </c>
      <c r="I5739" s="11">
        <v>0</v>
      </c>
      <c r="J5739" s="11">
        <v>0</v>
      </c>
      <c r="K5739" s="11" t="s">
        <v>21</v>
      </c>
      <c r="L5739" s="7">
        <v>41061.347731481481</v>
      </c>
      <c r="M5739" s="12" t="s">
        <v>13137</v>
      </c>
      <c r="N5739" s="12" t="s">
        <v>13138</v>
      </c>
      <c r="O5739" s="10" t="str">
        <f>HYPERLINK("https://pbs.twimg.com/profile_images/615392221093736448/ih2ahLZ2_normal.jpg","View")</f>
        <v>View</v>
      </c>
      <c r="P5739" s="11"/>
    </row>
    <row r="5740" spans="1:16" ht="12.75" x14ac:dyDescent="0.35">
      <c r="A5740" s="7">
        <v>42483.660173611112</v>
      </c>
      <c r="B5740" s="8" t="str">
        <f>HYPERLINK("https://twitter.com/Scirocco_Tuning","@Scirocco_Tuning")</f>
        <v>@Scirocco_Tuning</v>
      </c>
      <c r="C5740" s="9" t="s">
        <v>51</v>
      </c>
      <c r="D5740" s="9" t="s">
        <v>13139</v>
      </c>
      <c r="E5740" s="10" t="str">
        <f>HYPERLINK("https://twitter.com/Scirocco_Tuning/status/723818864023375872","723818864023375872")</f>
        <v>723818864023375872</v>
      </c>
      <c r="F5740" s="11" t="s">
        <v>53</v>
      </c>
      <c r="G5740" s="11">
        <v>69</v>
      </c>
      <c r="H5740" s="11">
        <v>215</v>
      </c>
      <c r="I5740" s="11">
        <v>0</v>
      </c>
      <c r="J5740" s="11">
        <v>0</v>
      </c>
      <c r="K5740" s="11" t="s">
        <v>21</v>
      </c>
      <c r="L5740" s="7">
        <v>40844.564722222218</v>
      </c>
      <c r="M5740" s="12"/>
      <c r="N5740" s="12"/>
      <c r="O5740" s="10" t="str">
        <f>HYPERLINK("https://pbs.twimg.com/profile_images/1610421423/Image2_normal.jpg","View")</f>
        <v>View</v>
      </c>
      <c r="P5740" s="11"/>
    </row>
    <row r="5741" spans="1:16" ht="12.75" x14ac:dyDescent="0.35">
      <c r="A5741" s="7">
        <v>42483.660405092596</v>
      </c>
      <c r="B5741" s="8" t="str">
        <f>HYPERLINK("https://twitter.com/Turanlar_2023","@Turanlar_2023")</f>
        <v>@Turanlar_2023</v>
      </c>
      <c r="C5741" s="9" t="s">
        <v>13140</v>
      </c>
      <c r="D5741" s="9" t="s">
        <v>13141</v>
      </c>
      <c r="E5741" s="10" t="str">
        <f>HYPERLINK("https://twitter.com/Turanlar_2023/status/723818947959726080","723818947959726080")</f>
        <v>723818947959726080</v>
      </c>
      <c r="F5741" s="11" t="s">
        <v>43</v>
      </c>
      <c r="G5741" s="11">
        <v>214</v>
      </c>
      <c r="H5741" s="11">
        <v>228</v>
      </c>
      <c r="I5741" s="11">
        <v>0</v>
      </c>
      <c r="J5741" s="11">
        <v>0</v>
      </c>
      <c r="K5741" s="11" t="s">
        <v>21</v>
      </c>
      <c r="L5741" s="7">
        <v>41721.084178240737</v>
      </c>
      <c r="M5741" s="12"/>
      <c r="N5741" s="12" t="s">
        <v>13142</v>
      </c>
      <c r="O5741" s="10" t="str">
        <f>HYPERLINK("https://pbs.twimg.com/profile_images/714918565263118336/WWTsR5W__normal.jpg","View")</f>
        <v>View</v>
      </c>
      <c r="P5741" s="11"/>
    </row>
    <row r="5742" spans="1:16" ht="12.75" x14ac:dyDescent="0.35">
      <c r="A5742" s="7">
        <v>42483.660729166666</v>
      </c>
      <c r="B5742" s="8" t="str">
        <f>HYPERLINK("https://twitter.com/VolkswagenPost","@VolkswagenPost")</f>
        <v>@VolkswagenPost</v>
      </c>
      <c r="C5742" s="9" t="s">
        <v>321</v>
      </c>
      <c r="D5742" s="9" t="s">
        <v>13143</v>
      </c>
      <c r="E5742" s="10" t="str">
        <f>HYPERLINK("https://twitter.com/VolkswagenPost/status/723819063160369152","723819063160369152")</f>
        <v>723819063160369152</v>
      </c>
      <c r="F5742" s="11" t="s">
        <v>34</v>
      </c>
      <c r="G5742" s="11">
        <v>570</v>
      </c>
      <c r="H5742" s="11">
        <v>446</v>
      </c>
      <c r="I5742" s="11">
        <v>0</v>
      </c>
      <c r="J5742" s="11">
        <v>0</v>
      </c>
      <c r="K5742" s="11" t="s">
        <v>21</v>
      </c>
      <c r="L5742" s="7">
        <v>41940.618379629632</v>
      </c>
      <c r="M5742" s="12"/>
      <c r="N5742" s="12"/>
      <c r="O5742" s="10" t="str">
        <f>HYPERLINK("https://pbs.twimg.com/profile_images/530071272881803264/a_jcCmPZ_normal.png","View")</f>
        <v>View</v>
      </c>
      <c r="P5742" s="11"/>
    </row>
    <row r="5743" spans="1:16" ht="12.75" x14ac:dyDescent="0.35">
      <c r="A5743" s="7">
        <v>42483.660833333328</v>
      </c>
      <c r="B5743" s="8" t="str">
        <f>HYPERLINK("https://twitter.com/DubLuvTuning","@DubLuvTuning")</f>
        <v>@DubLuvTuning</v>
      </c>
      <c r="C5743" s="9" t="s">
        <v>299</v>
      </c>
      <c r="D5743" s="9" t="s">
        <v>13144</v>
      </c>
      <c r="E5743" s="10" t="str">
        <f>HYPERLINK("https://twitter.com/DubLuvTuning/status/723819103069298688","723819103069298688")</f>
        <v>723819103069298688</v>
      </c>
      <c r="F5743" s="11" t="s">
        <v>288</v>
      </c>
      <c r="G5743" s="11">
        <v>690</v>
      </c>
      <c r="H5743" s="11">
        <v>431</v>
      </c>
      <c r="I5743" s="11">
        <v>1</v>
      </c>
      <c r="J5743" s="11">
        <v>0</v>
      </c>
      <c r="K5743" s="11" t="s">
        <v>21</v>
      </c>
      <c r="L5743" s="7">
        <v>41549.898287037038</v>
      </c>
      <c r="M5743" s="12" t="s">
        <v>301</v>
      </c>
      <c r="N5743" s="12" t="s">
        <v>302</v>
      </c>
      <c r="O5743" s="10" t="str">
        <f>HYPERLINK("https://pbs.twimg.com/profile_images/378800000572104796/1de43e1cf23efb3f4101c02afad0d3b6_normal.png","View")</f>
        <v>View</v>
      </c>
      <c r="P5743" s="11"/>
    </row>
    <row r="5744" spans="1:16" ht="12.75" x14ac:dyDescent="0.35">
      <c r="A5744" s="7">
        <v>42483.663043981476</v>
      </c>
      <c r="B5744" s="8" t="str">
        <f>HYPERLINK("https://twitter.com/CarWaffle","@CarWaffle")</f>
        <v>@CarWaffle</v>
      </c>
      <c r="C5744" s="9" t="s">
        <v>13145</v>
      </c>
      <c r="D5744" s="9" t="s">
        <v>13146</v>
      </c>
      <c r="E5744" s="10" t="str">
        <f>HYPERLINK("https://twitter.com/CarWaffle/status/723819901874515968","723819901874515968")</f>
        <v>723819901874515968</v>
      </c>
      <c r="F5744" s="11" t="s">
        <v>43</v>
      </c>
      <c r="G5744" s="11">
        <v>71208</v>
      </c>
      <c r="H5744" s="11">
        <v>55981</v>
      </c>
      <c r="I5744" s="11">
        <v>5</v>
      </c>
      <c r="J5744" s="11">
        <v>8</v>
      </c>
      <c r="K5744" s="11" t="s">
        <v>21</v>
      </c>
      <c r="L5744" s="7">
        <v>41105.067164351851</v>
      </c>
      <c r="M5744" s="12" t="s">
        <v>13147</v>
      </c>
      <c r="N5744" s="12" t="s">
        <v>13148</v>
      </c>
      <c r="O5744" s="10" t="str">
        <f>HYPERLINK("https://pbs.twimg.com/profile_images/572420601340366848/9FNFcUKK_normal.jpeg","View")</f>
        <v>View</v>
      </c>
      <c r="P5744" s="11"/>
    </row>
    <row r="5745" spans="1:16" ht="12.75" x14ac:dyDescent="0.35">
      <c r="A5745" s="7">
        <v>42483.664918981478</v>
      </c>
      <c r="B5745" s="8" t="str">
        <f>HYPERLINK("https://twitter.com/AnthonyIsCool21","@AnthonyIsCool21")</f>
        <v>@AnthonyIsCool21</v>
      </c>
      <c r="C5745" s="9" t="s">
        <v>13149</v>
      </c>
      <c r="D5745" s="9" t="s">
        <v>13150</v>
      </c>
      <c r="E5745" s="10" t="str">
        <f>HYPERLINK("https://twitter.com/AnthonyIsCool21/status/723820583897710594","723820583897710594")</f>
        <v>723820583897710594</v>
      </c>
      <c r="F5745" s="11" t="s">
        <v>725</v>
      </c>
      <c r="G5745" s="11">
        <v>2</v>
      </c>
      <c r="H5745" s="11">
        <v>23</v>
      </c>
      <c r="I5745" s="11">
        <v>5</v>
      </c>
      <c r="J5745" s="11">
        <v>0</v>
      </c>
      <c r="K5745" s="11" t="s">
        <v>21</v>
      </c>
      <c r="L5745" s="7">
        <v>42441.740416666667</v>
      </c>
      <c r="M5745" s="12"/>
      <c r="N5745" s="12"/>
      <c r="O5745" s="10" t="str">
        <f>HYPERLINK("https://pbs.twimg.com/profile_images/708628572718686208/RDKaoPTR_normal.jpg","View")</f>
        <v>View</v>
      </c>
      <c r="P5745" s="11"/>
    </row>
    <row r="5746" spans="1:16" ht="12.75" x14ac:dyDescent="0.35">
      <c r="A5746" s="7">
        <v>42483.664953703701</v>
      </c>
      <c r="B5746" s="8" t="str">
        <f>HYPERLINK("https://twitter.com/daretobarebride","@daretobarebride")</f>
        <v>@daretobarebride</v>
      </c>
      <c r="C5746" s="9" t="s">
        <v>13151</v>
      </c>
      <c r="D5746" s="9" t="s">
        <v>13152</v>
      </c>
      <c r="E5746" s="10" t="str">
        <f>HYPERLINK("https://twitter.com/daretobarebride/status/723820594437992449","723820594437992449")</f>
        <v>723820594437992449</v>
      </c>
      <c r="F5746" s="11" t="s">
        <v>114</v>
      </c>
      <c r="G5746" s="11">
        <v>224</v>
      </c>
      <c r="H5746" s="11">
        <v>607</v>
      </c>
      <c r="I5746" s="11">
        <v>0</v>
      </c>
      <c r="J5746" s="11">
        <v>0</v>
      </c>
      <c r="K5746" s="11" t="s">
        <v>21</v>
      </c>
      <c r="L5746" s="7">
        <v>42207.073472222226</v>
      </c>
      <c r="M5746" s="12" t="s">
        <v>13153</v>
      </c>
      <c r="N5746" s="12" t="s">
        <v>13154</v>
      </c>
      <c r="O5746" s="10" t="str">
        <f>HYPERLINK("https://pbs.twimg.com/profile_images/633523835166433280/JHOCIWIs_normal.jpg","View")</f>
        <v>View</v>
      </c>
      <c r="P5746" s="11"/>
    </row>
    <row r="5747" spans="1:16" ht="12.75" x14ac:dyDescent="0.35">
      <c r="A5747" s="7">
        <v>42483.665439814809</v>
      </c>
      <c r="B5747" s="8" t="str">
        <f>HYPERLINK("https://twitter.com/RA762","@RA762")</f>
        <v>@RA762</v>
      </c>
      <c r="C5747" s="9" t="s">
        <v>8212</v>
      </c>
      <c r="D5747" s="9" t="s">
        <v>13112</v>
      </c>
      <c r="E5747" s="10" t="str">
        <f>HYPERLINK("https://twitter.com/RA762/status/723820772112752640","723820772112752640")</f>
        <v>723820772112752640</v>
      </c>
      <c r="F5747" s="11" t="s">
        <v>48</v>
      </c>
      <c r="G5747" s="11">
        <v>389</v>
      </c>
      <c r="H5747" s="11">
        <v>164</v>
      </c>
      <c r="I5747" s="11">
        <v>6</v>
      </c>
      <c r="J5747" s="11">
        <v>0</v>
      </c>
      <c r="K5747" s="11" t="s">
        <v>21</v>
      </c>
      <c r="L5747" s="7">
        <v>40965.062662037039</v>
      </c>
      <c r="M5747" s="12" t="s">
        <v>8213</v>
      </c>
      <c r="N5747" s="12" t="s">
        <v>8214</v>
      </c>
      <c r="O5747" s="10" t="str">
        <f>HYPERLINK("https://pbs.twimg.com/profile_images/573831072540033025/_s73MpGg_normal.jpeg","View")</f>
        <v>View</v>
      </c>
      <c r="P5747" s="11"/>
    </row>
    <row r="5748" spans="1:16" ht="12.75" x14ac:dyDescent="0.35">
      <c r="A5748" s="7">
        <v>42483.665532407409</v>
      </c>
      <c r="B5748" s="8" t="str">
        <f>HYPERLINK("https://twitter.com/VivaParess","@VivaParess")</f>
        <v>@VivaParess</v>
      </c>
      <c r="C5748" s="9" t="s">
        <v>13155</v>
      </c>
      <c r="D5748" s="9" t="s">
        <v>13156</v>
      </c>
      <c r="E5748" s="10" t="str">
        <f>HYPERLINK("https://twitter.com/VivaParess/status/723820805914808321","723820805914808321")</f>
        <v>723820805914808321</v>
      </c>
      <c r="F5748" s="11" t="s">
        <v>20</v>
      </c>
      <c r="G5748" s="11">
        <v>103</v>
      </c>
      <c r="H5748" s="11">
        <v>217</v>
      </c>
      <c r="I5748" s="11">
        <v>0</v>
      </c>
      <c r="J5748" s="11">
        <v>0</v>
      </c>
      <c r="K5748" s="11" t="s">
        <v>21</v>
      </c>
      <c r="L5748" s="7">
        <v>40915.890231481484</v>
      </c>
      <c r="M5748" s="12" t="s">
        <v>13157</v>
      </c>
      <c r="N5748" s="12" t="s">
        <v>13158</v>
      </c>
      <c r="O5748" s="10" t="str">
        <f>HYPERLINK("https://pbs.twimg.com/profile_images/526171583657041920/7uIzdVbX_normal.jpeg","View")</f>
        <v>View</v>
      </c>
      <c r="P5748" s="11"/>
    </row>
    <row r="5749" spans="1:16" ht="12.75" x14ac:dyDescent="0.35">
      <c r="A5749" s="7">
        <v>42483.665879629625</v>
      </c>
      <c r="B5749" s="8" t="str">
        <f>HYPERLINK("https://twitter.com/tradecar_ie","@tradecar_ie")</f>
        <v>@tradecar_ie</v>
      </c>
      <c r="C5749" s="8" t="s">
        <v>13088</v>
      </c>
      <c r="D5749" s="9" t="s">
        <v>13150</v>
      </c>
      <c r="E5749" s="10" t="str">
        <f>HYPERLINK("https://twitter.com/tradecar_ie/status/723820932691841024","723820932691841024")</f>
        <v>723820932691841024</v>
      </c>
      <c r="F5749" s="11" t="s">
        <v>48</v>
      </c>
      <c r="G5749" s="11">
        <v>152</v>
      </c>
      <c r="H5749" s="11">
        <v>669</v>
      </c>
      <c r="I5749" s="11">
        <v>5</v>
      </c>
      <c r="J5749" s="11">
        <v>0</v>
      </c>
      <c r="K5749" s="11" t="s">
        <v>21</v>
      </c>
      <c r="L5749" s="7">
        <v>42424.799490740741</v>
      </c>
      <c r="M5749" s="12"/>
      <c r="N5749" s="12" t="s">
        <v>13089</v>
      </c>
      <c r="O5749" s="10" t="str">
        <f>HYPERLINK("https://pbs.twimg.com/profile_images/702501103846494209/PNsFF5XB_normal.jpg","View")</f>
        <v>View</v>
      </c>
      <c r="P5749" s="11"/>
    </row>
    <row r="5750" spans="1:16" ht="12.75" x14ac:dyDescent="0.35">
      <c r="A5750" s="7">
        <v>42483.665925925925</v>
      </c>
      <c r="B5750" s="8" t="str">
        <f>HYPERLINK("https://twitter.com/Tokyogame","@Tokyogame")</f>
        <v>@Tokyogame</v>
      </c>
      <c r="C5750" s="9" t="s">
        <v>13159</v>
      </c>
      <c r="D5750" s="9" t="s">
        <v>13150</v>
      </c>
      <c r="E5750" s="10" t="str">
        <f>HYPERLINK("https://twitter.com/Tokyogame/status/723820947766054912","723820947766054912")</f>
        <v>723820947766054912</v>
      </c>
      <c r="F5750" s="11" t="s">
        <v>43</v>
      </c>
      <c r="G5750" s="11">
        <v>381</v>
      </c>
      <c r="H5750" s="11">
        <v>474</v>
      </c>
      <c r="I5750" s="11">
        <v>5</v>
      </c>
      <c r="J5750" s="11">
        <v>0</v>
      </c>
      <c r="K5750" s="11" t="s">
        <v>21</v>
      </c>
      <c r="L5750" s="7">
        <v>40322.874085648145</v>
      </c>
      <c r="M5750" s="12" t="s">
        <v>13160</v>
      </c>
      <c r="N5750" s="12" t="s">
        <v>13161</v>
      </c>
      <c r="O5750" s="10" t="str">
        <f>HYPERLINK("https://pbs.twimg.com/profile_images/608500317831856128/_Iku0GwR_normal.jpg","View")</f>
        <v>View</v>
      </c>
      <c r="P5750" s="11"/>
    </row>
    <row r="5751" spans="1:16" ht="12.75" x14ac:dyDescent="0.35">
      <c r="A5751" s="7">
        <v>42483.665949074071</v>
      </c>
      <c r="B5751" s="8" t="str">
        <f>HYPERLINK("https://twitter.com/tytanic727","@tytanic727")</f>
        <v>@tytanic727</v>
      </c>
      <c r="C5751" s="9" t="s">
        <v>13162</v>
      </c>
      <c r="D5751" s="9" t="s">
        <v>13150</v>
      </c>
      <c r="E5751" s="10" t="str">
        <f>HYPERLINK("https://twitter.com/tytanic727/status/723820954254737409","723820954254737409")</f>
        <v>723820954254737409</v>
      </c>
      <c r="F5751" s="11" t="s">
        <v>48</v>
      </c>
      <c r="G5751" s="11">
        <v>811</v>
      </c>
      <c r="H5751" s="11">
        <v>2213</v>
      </c>
      <c r="I5751" s="11">
        <v>5</v>
      </c>
      <c r="J5751" s="11">
        <v>0</v>
      </c>
      <c r="K5751" s="11" t="s">
        <v>21</v>
      </c>
      <c r="L5751" s="7">
        <v>41118.004386574074</v>
      </c>
      <c r="M5751" s="12" t="s">
        <v>13163</v>
      </c>
      <c r="N5751" s="12" t="s">
        <v>13164</v>
      </c>
      <c r="O5751" s="10" t="str">
        <f>HYPERLINK("https://pbs.twimg.com/profile_images/723496520000131072/5vGhOomI_normal.jpg","View")</f>
        <v>View</v>
      </c>
      <c r="P5751" s="11"/>
    </row>
    <row r="5752" spans="1:16" ht="12.75" x14ac:dyDescent="0.35">
      <c r="A5752" s="7">
        <v>42483.666215277779</v>
      </c>
      <c r="B5752" s="8" t="str">
        <f>HYPERLINK("https://twitter.com/nobuhusababa","@nobuhusababa")</f>
        <v>@nobuhusababa</v>
      </c>
      <c r="C5752" s="9" t="s">
        <v>13165</v>
      </c>
      <c r="D5752" s="9" t="s">
        <v>13150</v>
      </c>
      <c r="E5752" s="10" t="str">
        <f>HYPERLINK("https://twitter.com/nobuhusababa/status/723821050388049920","723821050388049920")</f>
        <v>723821050388049920</v>
      </c>
      <c r="F5752" s="11" t="s">
        <v>63</v>
      </c>
      <c r="G5752" s="11">
        <v>1384</v>
      </c>
      <c r="H5752" s="11">
        <v>1575</v>
      </c>
      <c r="I5752" s="11">
        <v>5</v>
      </c>
      <c r="J5752" s="11">
        <v>0</v>
      </c>
      <c r="K5752" s="11" t="s">
        <v>21</v>
      </c>
      <c r="L5752" s="7">
        <v>40084.628368055557</v>
      </c>
      <c r="M5752" s="12" t="s">
        <v>13166</v>
      </c>
      <c r="N5752" s="12" t="s">
        <v>13167</v>
      </c>
      <c r="O5752" s="10" t="str">
        <f>HYPERLINK("https://pbs.twimg.com/profile_images/450834272803241984/vlcIO6UH_normal.jpeg","View")</f>
        <v>View</v>
      </c>
      <c r="P5752" s="11"/>
    </row>
    <row r="5753" spans="1:16" ht="12.75" x14ac:dyDescent="0.35">
      <c r="A5753" s="7">
        <v>42483.666261574079</v>
      </c>
      <c r="B5753" s="8" t="str">
        <f>HYPERLINK("https://twitter.com/Insta_VWT","@Insta_VWT")</f>
        <v>@Insta_VWT</v>
      </c>
      <c r="C5753" s="9" t="s">
        <v>181</v>
      </c>
      <c r="D5753" s="9" t="s">
        <v>13168</v>
      </c>
      <c r="E5753" s="10" t="str">
        <f>HYPERLINK("https://twitter.com/Insta_VWT/status/723821070109794304","723821070109794304")</f>
        <v>723821070109794304</v>
      </c>
      <c r="F5753" s="11" t="s">
        <v>68</v>
      </c>
      <c r="G5753" s="11">
        <v>481</v>
      </c>
      <c r="H5753" s="11">
        <v>0</v>
      </c>
      <c r="I5753" s="11">
        <v>0</v>
      </c>
      <c r="J5753" s="11">
        <v>0</v>
      </c>
      <c r="K5753" s="11" t="s">
        <v>21</v>
      </c>
      <c r="L5753" s="7">
        <v>41658.782800925925</v>
      </c>
      <c r="M5753" s="12" t="s">
        <v>183</v>
      </c>
      <c r="N5753" s="12" t="s">
        <v>184</v>
      </c>
      <c r="O5753" s="10" t="str">
        <f>HYPERLINK("https://pbs.twimg.com/profile_images/424893967197433858/iQ86NktX_normal.jpeg","View")</f>
        <v>View</v>
      </c>
      <c r="P5753" s="11"/>
    </row>
    <row r="5754" spans="1:16" ht="12.75" x14ac:dyDescent="0.35">
      <c r="A5754" s="7">
        <v>42483.666284722218</v>
      </c>
      <c r="B5754" s="8" t="str">
        <f>HYPERLINK("https://twitter.com/oldcar_photo","@oldcar_photo")</f>
        <v>@oldcar_photo</v>
      </c>
      <c r="C5754" s="9" t="s">
        <v>1046</v>
      </c>
      <c r="D5754" s="9" t="s">
        <v>13169</v>
      </c>
      <c r="E5754" s="10" t="str">
        <f>HYPERLINK("https://twitter.com/oldcar_photo/status/723821078141894656","723821078141894656")</f>
        <v>723821078141894656</v>
      </c>
      <c r="F5754" s="11" t="s">
        <v>68</v>
      </c>
      <c r="G5754" s="11">
        <v>1991</v>
      </c>
      <c r="H5754" s="11">
        <v>0</v>
      </c>
      <c r="I5754" s="11">
        <v>1</v>
      </c>
      <c r="J5754" s="11">
        <v>0</v>
      </c>
      <c r="K5754" s="11" t="s">
        <v>21</v>
      </c>
      <c r="L5754" s="7">
        <v>42184.7341087963</v>
      </c>
      <c r="M5754" s="12"/>
      <c r="N5754" s="12"/>
      <c r="O5754" s="10" t="str">
        <f>HYPERLINK("https://pbs.twimg.com/profile_images/615493650785660928/XHUh6HOk_normal.jpg","View")</f>
        <v>View</v>
      </c>
      <c r="P5754" s="11"/>
    </row>
    <row r="5755" spans="1:16" ht="12.75" x14ac:dyDescent="0.35">
      <c r="A5755" s="7">
        <v>42483.666377314818</v>
      </c>
      <c r="B5755" s="8" t="str">
        <f>HYPERLINK("https://twitter.com/VeeDubMk1_","@VeeDubMk1_")</f>
        <v>@VeeDubMk1_</v>
      </c>
      <c r="C5755" s="9" t="s">
        <v>185</v>
      </c>
      <c r="D5755" s="9" t="s">
        <v>13170</v>
      </c>
      <c r="E5755" s="10" t="str">
        <f>HYPERLINK("https://twitter.com/VeeDubMk1_/status/723821112547794944","723821112547794944")</f>
        <v>723821112547794944</v>
      </c>
      <c r="F5755" s="11" t="s">
        <v>68</v>
      </c>
      <c r="G5755" s="11">
        <v>548</v>
      </c>
      <c r="H5755" s="11">
        <v>3527</v>
      </c>
      <c r="I5755" s="11">
        <v>0</v>
      </c>
      <c r="J5755" s="11">
        <v>0</v>
      </c>
      <c r="K5755" s="11" t="s">
        <v>21</v>
      </c>
      <c r="L5755" s="7">
        <v>42343.063356481478</v>
      </c>
      <c r="M5755" s="12"/>
      <c r="N5755" s="12"/>
      <c r="O5755" s="10" t="str">
        <f>HYPERLINK("https://pbs.twimg.com/profile_images/672878354127839232/M7OYc-zx_normal.jpg","View")</f>
        <v>View</v>
      </c>
      <c r="P5755" s="11"/>
    </row>
    <row r="5756" spans="1:16" ht="12.75" x14ac:dyDescent="0.35">
      <c r="A5756" s="7">
        <v>42483.666967592595</v>
      </c>
      <c r="B5756" s="8" t="str">
        <f>HYPERLINK("https://twitter.com/FuscaWorld","@FuscaWorld")</f>
        <v>@FuscaWorld</v>
      </c>
      <c r="C5756" s="9" t="s">
        <v>74</v>
      </c>
      <c r="D5756" s="9" t="s">
        <v>13171</v>
      </c>
      <c r="E5756" s="10" t="str">
        <f>HYPERLINK("https://twitter.com/FuscaWorld/status/723821325404504064","723821325404504064")</f>
        <v>723821325404504064</v>
      </c>
      <c r="F5756" s="11" t="s">
        <v>76</v>
      </c>
      <c r="G5756" s="11">
        <v>50</v>
      </c>
      <c r="H5756" s="11">
        <v>1</v>
      </c>
      <c r="I5756" s="11">
        <v>1</v>
      </c>
      <c r="J5756" s="11">
        <v>0</v>
      </c>
      <c r="K5756" s="11" t="s">
        <v>21</v>
      </c>
      <c r="L5756" s="7">
        <v>42433.880914351852</v>
      </c>
      <c r="M5756" s="12"/>
      <c r="N5756" s="12" t="s">
        <v>77</v>
      </c>
      <c r="O5756" s="10" t="str">
        <f>HYPERLINK("https://pbs.twimg.com/profile_images/705780107844067328/e7O4UBNb_normal.jpg","View")</f>
        <v>View</v>
      </c>
      <c r="P5756" s="11"/>
    </row>
    <row r="5757" spans="1:16" ht="12.75" x14ac:dyDescent="0.35">
      <c r="A5757" s="7">
        <v>42483.66706018518</v>
      </c>
      <c r="B5757" s="8" t="str">
        <f>HYPERLINK("https://twitter.com/VWCamperSales","@VWCamperSales")</f>
        <v>@VWCamperSales</v>
      </c>
      <c r="C5757" s="9" t="s">
        <v>216</v>
      </c>
      <c r="D5757" s="9" t="s">
        <v>13172</v>
      </c>
      <c r="E5757" s="10" t="str">
        <f>HYPERLINK("https://twitter.com/VWCamperSales/status/723821357520158720","723821357520158720")</f>
        <v>723821357520158720</v>
      </c>
      <c r="F5757" s="10" t="s">
        <v>124</v>
      </c>
      <c r="G5757" s="11">
        <v>621</v>
      </c>
      <c r="H5757" s="11">
        <v>580</v>
      </c>
      <c r="I5757" s="11">
        <v>0</v>
      </c>
      <c r="J5757" s="11">
        <v>0</v>
      </c>
      <c r="K5757" s="11" t="s">
        <v>21</v>
      </c>
      <c r="L5757" s="7">
        <v>42215.98809027778</v>
      </c>
      <c r="M5757" s="12" t="s">
        <v>129</v>
      </c>
      <c r="N5757" s="12" t="s">
        <v>218</v>
      </c>
      <c r="O5757" s="10" t="str">
        <f>HYPERLINK("https://pbs.twimg.com/profile_images/627949001179037696/skEBkS05_normal.jpg","View")</f>
        <v>View</v>
      </c>
      <c r="P5757" s="11"/>
    </row>
    <row r="5758" spans="1:16" ht="12.75" x14ac:dyDescent="0.35">
      <c r="A5758" s="7">
        <v>42483.668287037042</v>
      </c>
      <c r="B5758" s="8" t="str">
        <f>HYPERLINK("https://twitter.com/richgoodingcom","@richgoodingcom")</f>
        <v>@richgoodingcom</v>
      </c>
      <c r="C5758" s="9" t="s">
        <v>8497</v>
      </c>
      <c r="D5758" s="9" t="s">
        <v>13173</v>
      </c>
      <c r="E5758" s="10" t="str">
        <f>HYPERLINK("https://twitter.com/richgoodingcom/status/723821804893167620","723821804893167620")</f>
        <v>723821804893167620</v>
      </c>
      <c r="F5758" s="11" t="s">
        <v>63</v>
      </c>
      <c r="G5758" s="11">
        <v>611</v>
      </c>
      <c r="H5758" s="11">
        <v>315</v>
      </c>
      <c r="I5758" s="11">
        <v>0</v>
      </c>
      <c r="J5758" s="11">
        <v>0</v>
      </c>
      <c r="K5758" s="11" t="s">
        <v>21</v>
      </c>
      <c r="L5758" s="7">
        <v>40511.873553240745</v>
      </c>
      <c r="M5758" s="12" t="s">
        <v>8499</v>
      </c>
      <c r="N5758" s="12" t="s">
        <v>8500</v>
      </c>
      <c r="O5758" s="10" t="str">
        <f>HYPERLINK("https://pbs.twimg.com/profile_images/626150798590902273/qUbM1D-g_normal.jpg","View")</f>
        <v>View</v>
      </c>
      <c r="P5758" s="11"/>
    </row>
    <row r="5759" spans="1:16" ht="12.75" x14ac:dyDescent="0.35">
      <c r="A5759" s="7">
        <v>42483.669016203705</v>
      </c>
      <c r="B5759" s="8" t="str">
        <f>HYPERLINK("https://twitter.com/LuxuryLivng","@LuxuryLivng")</f>
        <v>@LuxuryLivng</v>
      </c>
      <c r="C5759" s="9" t="s">
        <v>13174</v>
      </c>
      <c r="D5759" s="9" t="s">
        <v>13175</v>
      </c>
      <c r="E5759" s="10" t="str">
        <f>HYPERLINK("https://twitter.com/LuxuryLivng/status/723822065929846784","723822065929846784")</f>
        <v>723822065929846784</v>
      </c>
      <c r="F5759" s="11" t="s">
        <v>68</v>
      </c>
      <c r="G5759" s="11">
        <v>714</v>
      </c>
      <c r="H5759" s="11">
        <v>2033</v>
      </c>
      <c r="I5759" s="11">
        <v>0</v>
      </c>
      <c r="J5759" s="11">
        <v>0</v>
      </c>
      <c r="K5759" s="11" t="s">
        <v>21</v>
      </c>
      <c r="L5759" s="7">
        <v>42118.76090277778</v>
      </c>
      <c r="M5759" s="12" t="s">
        <v>431</v>
      </c>
      <c r="N5759" s="12" t="s">
        <v>13176</v>
      </c>
      <c r="O5759" s="10" t="str">
        <f>HYPERLINK("https://pbs.twimg.com/profile_images/591593624594317312/1fcFGRHy_normal.jpg","View")</f>
        <v>View</v>
      </c>
      <c r="P5759" s="11"/>
    </row>
    <row r="5760" spans="1:16" ht="12.75" x14ac:dyDescent="0.35">
      <c r="A5760" s="7">
        <v>42483.669016203705</v>
      </c>
      <c r="B5760" s="8" t="str">
        <f t="shared" ref="B5760:B5761" si="495">HYPERLINK("https://twitter.com/carlsten_leif","@carlsten_leif")</f>
        <v>@carlsten_leif</v>
      </c>
      <c r="C5760" s="9" t="s">
        <v>13177</v>
      </c>
      <c r="D5760" s="9" t="s">
        <v>13107</v>
      </c>
      <c r="E5760" s="10" t="str">
        <f>HYPERLINK("https://twitter.com/carlsten_leif/status/723822066328285188","723822066328285188")</f>
        <v>723822066328285188</v>
      </c>
      <c r="F5760" s="11" t="s">
        <v>48</v>
      </c>
      <c r="G5760" s="11">
        <v>870</v>
      </c>
      <c r="H5760" s="11">
        <v>775</v>
      </c>
      <c r="I5760" s="11">
        <v>2</v>
      </c>
      <c r="J5760" s="11">
        <v>0</v>
      </c>
      <c r="K5760" s="11" t="s">
        <v>21</v>
      </c>
      <c r="L5760" s="7">
        <v>42473.667962962965</v>
      </c>
      <c r="M5760" s="12" t="s">
        <v>13178</v>
      </c>
      <c r="N5760" s="12" t="s">
        <v>13179</v>
      </c>
      <c r="O5760" s="10" t="str">
        <f t="shared" ref="O5760:O5761" si="496">HYPERLINK("https://pbs.twimg.com/profile_images/723649839221891072/b9ZWtdVv_normal.jpg","View")</f>
        <v>View</v>
      </c>
      <c r="P5760" s="11"/>
    </row>
    <row r="5761" spans="1:16" ht="12.75" x14ac:dyDescent="0.35">
      <c r="A5761" s="7">
        <v>42483.669351851851</v>
      </c>
      <c r="B5761" s="8" t="str">
        <f t="shared" si="495"/>
        <v>@carlsten_leif</v>
      </c>
      <c r="C5761" s="9" t="s">
        <v>13177</v>
      </c>
      <c r="D5761" s="9" t="s">
        <v>12715</v>
      </c>
      <c r="E5761" s="10" t="str">
        <f>HYPERLINK("https://twitter.com/carlsten_leif/status/723822190152585216","723822190152585216")</f>
        <v>723822190152585216</v>
      </c>
      <c r="F5761" s="11" t="s">
        <v>48</v>
      </c>
      <c r="G5761" s="11">
        <v>870</v>
      </c>
      <c r="H5761" s="11">
        <v>775</v>
      </c>
      <c r="I5761" s="11">
        <v>2</v>
      </c>
      <c r="J5761" s="11">
        <v>0</v>
      </c>
      <c r="K5761" s="11" t="s">
        <v>21</v>
      </c>
      <c r="L5761" s="7">
        <v>42473.667962962965</v>
      </c>
      <c r="M5761" s="12" t="s">
        <v>13178</v>
      </c>
      <c r="N5761" s="12" t="s">
        <v>13179</v>
      </c>
      <c r="O5761" s="10" t="str">
        <f t="shared" si="496"/>
        <v>View</v>
      </c>
      <c r="P5761" s="11"/>
    </row>
    <row r="5762" spans="1:16" ht="12.75" x14ac:dyDescent="0.35">
      <c r="A5762" s="7">
        <v>42483.66978009259</v>
      </c>
      <c r="B5762" s="8" t="str">
        <f>HYPERLINK("https://twitter.com/murr_max","@murr_max")</f>
        <v>@murr_max</v>
      </c>
      <c r="C5762" s="9" t="s">
        <v>13180</v>
      </c>
      <c r="D5762" s="9" t="s">
        <v>13181</v>
      </c>
      <c r="E5762" s="10" t="str">
        <f>HYPERLINK("https://twitter.com/murr_max/status/723822344448409600","723822344448409600")</f>
        <v>723822344448409600</v>
      </c>
      <c r="F5762" s="11" t="s">
        <v>43</v>
      </c>
      <c r="G5762" s="11">
        <v>72</v>
      </c>
      <c r="H5762" s="11">
        <v>119</v>
      </c>
      <c r="I5762" s="11">
        <v>0</v>
      </c>
      <c r="J5762" s="11">
        <v>0</v>
      </c>
      <c r="K5762" s="11" t="s">
        <v>21</v>
      </c>
      <c r="L5762" s="7">
        <v>41956.049155092594</v>
      </c>
      <c r="M5762" s="12"/>
      <c r="N5762" s="12" t="s">
        <v>13182</v>
      </c>
      <c r="O5762" s="10" t="str">
        <f>HYPERLINK("https://pbs.twimg.com/profile_images/532621719169548289/VzIKh2mL_normal.jpeg","View")</f>
        <v>View</v>
      </c>
      <c r="P5762" s="11"/>
    </row>
    <row r="5763" spans="1:16" ht="12.75" x14ac:dyDescent="0.35">
      <c r="A5763" s="7">
        <v>42483.669837962967</v>
      </c>
      <c r="B5763" s="8" t="str">
        <f t="shared" ref="B5763:B5764" si="497">HYPERLINK("https://twitter.com/jayne_stackp","@jayne_stackp")</f>
        <v>@jayne_stackp</v>
      </c>
      <c r="C5763" s="9" t="s">
        <v>13183</v>
      </c>
      <c r="D5763" s="9" t="s">
        <v>5590</v>
      </c>
      <c r="E5763" s="10" t="str">
        <f>HYPERLINK("https://twitter.com/jayne_stackp/status/723822366602698753","723822366602698753")</f>
        <v>723822366602698753</v>
      </c>
      <c r="F5763" s="11" t="s">
        <v>43</v>
      </c>
      <c r="G5763" s="11">
        <v>190</v>
      </c>
      <c r="H5763" s="11">
        <v>731</v>
      </c>
      <c r="I5763" s="11">
        <v>4</v>
      </c>
      <c r="J5763" s="11">
        <v>0</v>
      </c>
      <c r="K5763" s="11" t="s">
        <v>21</v>
      </c>
      <c r="L5763" s="7">
        <v>42466.879155092596</v>
      </c>
      <c r="M5763" s="12" t="s">
        <v>13184</v>
      </c>
      <c r="N5763" s="12" t="s">
        <v>13185</v>
      </c>
      <c r="O5763" s="10" t="str">
        <f t="shared" ref="O5763:O5764" si="498">HYPERLINK("https://pbs.twimg.com/profile_images/717738032267395072/SEHS-S39_normal.jpg","View")</f>
        <v>View</v>
      </c>
      <c r="P5763" s="11"/>
    </row>
    <row r="5764" spans="1:16" ht="12.75" x14ac:dyDescent="0.35">
      <c r="A5764" s="7">
        <v>42483.670034722221</v>
      </c>
      <c r="B5764" s="8" t="str">
        <f t="shared" si="497"/>
        <v>@jayne_stackp</v>
      </c>
      <c r="C5764" s="9" t="s">
        <v>13183</v>
      </c>
      <c r="D5764" s="9" t="s">
        <v>13186</v>
      </c>
      <c r="E5764" s="10" t="str">
        <f>HYPERLINK("https://twitter.com/jayne_stackp/status/723822435271888896","723822435271888896")</f>
        <v>723822435271888896</v>
      </c>
      <c r="F5764" s="11" t="s">
        <v>43</v>
      </c>
      <c r="G5764" s="11">
        <v>190</v>
      </c>
      <c r="H5764" s="11">
        <v>731</v>
      </c>
      <c r="I5764" s="11">
        <v>0</v>
      </c>
      <c r="J5764" s="11">
        <v>0</v>
      </c>
      <c r="K5764" s="11" t="s">
        <v>21</v>
      </c>
      <c r="L5764" s="7">
        <v>42466.879155092596</v>
      </c>
      <c r="M5764" s="12" t="s">
        <v>13184</v>
      </c>
      <c r="N5764" s="12" t="s">
        <v>13185</v>
      </c>
      <c r="O5764" s="10" t="str">
        <f t="shared" si="498"/>
        <v>View</v>
      </c>
      <c r="P5764" s="11"/>
    </row>
    <row r="5765" spans="1:16" ht="12.75" x14ac:dyDescent="0.35">
      <c r="A5765" s="7">
        <v>42483.67086805556</v>
      </c>
      <c r="B5765" s="8" t="str">
        <f>HYPERLINK("https://twitter.com/hamdanhamdun","@hamdanhamdun")</f>
        <v>@hamdanhamdun</v>
      </c>
      <c r="C5765" s="9" t="s">
        <v>13187</v>
      </c>
      <c r="D5765" s="9" t="s">
        <v>13150</v>
      </c>
      <c r="E5765" s="10" t="str">
        <f>HYPERLINK("https://twitter.com/hamdanhamdun/status/723822740482854912","723822740482854912")</f>
        <v>723822740482854912</v>
      </c>
      <c r="F5765" s="11" t="s">
        <v>20</v>
      </c>
      <c r="G5765" s="11">
        <v>115</v>
      </c>
      <c r="H5765" s="11">
        <v>205</v>
      </c>
      <c r="I5765" s="11">
        <v>7</v>
      </c>
      <c r="J5765" s="11">
        <v>0</v>
      </c>
      <c r="K5765" s="11" t="s">
        <v>21</v>
      </c>
      <c r="L5765" s="7">
        <v>40174.906469907408</v>
      </c>
      <c r="M5765" s="12" t="s">
        <v>13188</v>
      </c>
      <c r="N5765" s="12" t="s">
        <v>13189</v>
      </c>
      <c r="O5765" s="10" t="str">
        <f>HYPERLINK("https://pbs.twimg.com/profile_images/716292045904547840/U_rBOhol_normal.jpg","View")</f>
        <v>View</v>
      </c>
      <c r="P5765" s="11"/>
    </row>
    <row r="5766" spans="1:16" ht="12.75" x14ac:dyDescent="0.35">
      <c r="A5766" s="7">
        <v>42483.671099537038</v>
      </c>
      <c r="B5766" s="8" t="str">
        <f>HYPERLINK("https://twitter.com/tazo157","@tazo157")</f>
        <v>@tazo157</v>
      </c>
      <c r="C5766" s="9" t="s">
        <v>13190</v>
      </c>
      <c r="D5766" s="9" t="s">
        <v>5590</v>
      </c>
      <c r="E5766" s="10" t="str">
        <f>HYPERLINK("https://twitter.com/tazo157/status/723822822120914944","723822822120914944")</f>
        <v>723822822120914944</v>
      </c>
      <c r="F5766" s="11" t="s">
        <v>13191</v>
      </c>
      <c r="G5766" s="11">
        <v>1073</v>
      </c>
      <c r="H5766" s="11">
        <v>3012</v>
      </c>
      <c r="I5766" s="11">
        <v>4</v>
      </c>
      <c r="J5766" s="11">
        <v>0</v>
      </c>
      <c r="K5766" s="11" t="s">
        <v>21</v>
      </c>
      <c r="L5766" s="7">
        <v>39738.021099537036</v>
      </c>
      <c r="M5766" s="12"/>
      <c r="N5766" s="12"/>
      <c r="O5766" s="10" t="str">
        <f>HYPERLINK("https://pbs.twimg.com/profile_images/696888675548983296/8JSr1_Bb_normal.jpg","View")</f>
        <v>View</v>
      </c>
      <c r="P5766" s="11"/>
    </row>
    <row r="5767" spans="1:16" ht="12.75" x14ac:dyDescent="0.35">
      <c r="A5767" s="7">
        <v>42483.67150462963</v>
      </c>
      <c r="B5767" s="8" t="str">
        <f>HYPERLINK("https://twitter.com/Tweet_auto_com","@Tweet_auto_com")</f>
        <v>@Tweet_auto_com</v>
      </c>
      <c r="C5767" s="9" t="s">
        <v>13192</v>
      </c>
      <c r="D5767" s="9" t="s">
        <v>13193</v>
      </c>
      <c r="E5767" s="10" t="str">
        <f>HYPERLINK("https://twitter.com/Tweet_auto_com/status/723822968942546944","723822968942546944")</f>
        <v>723822968942546944</v>
      </c>
      <c r="F5767" s="11" t="s">
        <v>43</v>
      </c>
      <c r="G5767" s="11">
        <v>295</v>
      </c>
      <c r="H5767" s="11">
        <v>480</v>
      </c>
      <c r="I5767" s="11">
        <v>0</v>
      </c>
      <c r="J5767" s="11">
        <v>0</v>
      </c>
      <c r="K5767" s="11" t="s">
        <v>21</v>
      </c>
      <c r="L5767" s="7">
        <v>41219.780798611115</v>
      </c>
      <c r="M5767" s="12" t="s">
        <v>1827</v>
      </c>
      <c r="N5767" s="12" t="s">
        <v>13194</v>
      </c>
      <c r="O5767" s="10" t="str">
        <f>HYPERLINK("https://pbs.twimg.com/profile_images/704679832874053632/MaJRG7nY_normal.jpg","View")</f>
        <v>View</v>
      </c>
      <c r="P5767" s="11"/>
    </row>
    <row r="5768" spans="1:16" ht="12.75" x14ac:dyDescent="0.35">
      <c r="A5768" s="7">
        <v>42483.671527777777</v>
      </c>
      <c r="B5768" s="8" t="str">
        <f>HYPERLINK("https://twitter.com/marcomausf","@marcomausf")</f>
        <v>@marcomausf</v>
      </c>
      <c r="C5768" s="9" t="s">
        <v>13195</v>
      </c>
      <c r="D5768" s="9" t="s">
        <v>12828</v>
      </c>
      <c r="E5768" s="10" t="str">
        <f>HYPERLINK("https://twitter.com/marcomausf/status/723822978165776384","723822978165776384")</f>
        <v>723822978165776384</v>
      </c>
      <c r="F5768" s="11" t="s">
        <v>13196</v>
      </c>
      <c r="G5768" s="11">
        <v>59</v>
      </c>
      <c r="H5768" s="11">
        <v>61</v>
      </c>
      <c r="I5768" s="11">
        <v>19</v>
      </c>
      <c r="J5768" s="11">
        <v>0</v>
      </c>
      <c r="K5768" s="11" t="s">
        <v>21</v>
      </c>
      <c r="L5768" s="7">
        <v>40066.133993055555</v>
      </c>
      <c r="M5768" s="12" t="s">
        <v>13197</v>
      </c>
      <c r="N5768" s="12" t="s">
        <v>13198</v>
      </c>
      <c r="O5768" s="10" t="str">
        <f>HYPERLINK("https://pbs.twimg.com/profile_images/429750966/mausf_normal.jpg","View")</f>
        <v>View</v>
      </c>
      <c r="P5768" s="11"/>
    </row>
    <row r="5769" spans="1:16" ht="12.75" x14ac:dyDescent="0.35">
      <c r="A5769" s="7">
        <v>42483.674502314811</v>
      </c>
      <c r="B5769" s="8" t="str">
        <f>HYPERLINK("https://twitter.com/SJB6991","@SJB6991")</f>
        <v>@SJB6991</v>
      </c>
      <c r="C5769" s="9" t="s">
        <v>13199</v>
      </c>
      <c r="D5769" s="9" t="s">
        <v>5590</v>
      </c>
      <c r="E5769" s="10" t="str">
        <f>HYPERLINK("https://twitter.com/SJB6991/status/723824056072548352","723824056072548352")</f>
        <v>723824056072548352</v>
      </c>
      <c r="F5769" s="11" t="s">
        <v>13200</v>
      </c>
      <c r="G5769" s="11">
        <v>5320</v>
      </c>
      <c r="H5769" s="11">
        <v>5851</v>
      </c>
      <c r="I5769" s="11">
        <v>4</v>
      </c>
      <c r="J5769" s="11">
        <v>0</v>
      </c>
      <c r="K5769" s="11" t="s">
        <v>21</v>
      </c>
      <c r="L5769" s="7">
        <v>42373.830208333333</v>
      </c>
      <c r="M5769" s="12" t="s">
        <v>129</v>
      </c>
      <c r="N5769" s="12" t="s">
        <v>13201</v>
      </c>
      <c r="O5769" s="10" t="str">
        <f>HYPERLINK("https://pbs.twimg.com/profile_images/709373815126622208/WvQF6M5j_normal.jpg","View")</f>
        <v>View</v>
      </c>
      <c r="P5769" s="11"/>
    </row>
    <row r="5770" spans="1:16" ht="12.75" x14ac:dyDescent="0.35">
      <c r="A5770" s="7">
        <v>42483.674513888887</v>
      </c>
      <c r="B5770" s="8" t="str">
        <f>HYPERLINK("https://twitter.com/ciocirlans","@ciocirlans")</f>
        <v>@ciocirlans</v>
      </c>
      <c r="C5770" s="9" t="s">
        <v>2193</v>
      </c>
      <c r="D5770" s="9" t="s">
        <v>13202</v>
      </c>
      <c r="E5770" s="10" t="str">
        <f>HYPERLINK("https://twitter.com/ciocirlans/status/723824059331567616","723824059331567616")</f>
        <v>723824059331567616</v>
      </c>
      <c r="F5770" s="11" t="s">
        <v>53</v>
      </c>
      <c r="G5770" s="11">
        <v>115</v>
      </c>
      <c r="H5770" s="11">
        <v>786</v>
      </c>
      <c r="I5770" s="11">
        <v>0</v>
      </c>
      <c r="J5770" s="11">
        <v>0</v>
      </c>
      <c r="K5770" s="11" t="s">
        <v>21</v>
      </c>
      <c r="L5770" s="7">
        <v>40959.108414351853</v>
      </c>
      <c r="M5770" s="12" t="s">
        <v>2195</v>
      </c>
      <c r="N5770" s="12" t="s">
        <v>2196</v>
      </c>
      <c r="O5770" s="10" t="str">
        <f>HYPERLINK("https://pbs.twimg.com/profile_images/477029152441110528/11WmXfGi_normal.jpeg","View")</f>
        <v>View</v>
      </c>
      <c r="P5770" s="11"/>
    </row>
    <row r="5771" spans="1:16" ht="12.75" x14ac:dyDescent="0.35">
      <c r="A5771" s="7">
        <v>42483.675729166665</v>
      </c>
      <c r="B5771" s="8" t="str">
        <f>HYPERLINK("https://twitter.com/bryanRis","@bryanRis")</f>
        <v>@bryanRis</v>
      </c>
      <c r="C5771" s="9" t="s">
        <v>11443</v>
      </c>
      <c r="D5771" s="9" t="s">
        <v>13150</v>
      </c>
      <c r="E5771" s="10" t="str">
        <f>HYPERLINK("https://twitter.com/bryanRis/status/723824502174425088","723824502174425088")</f>
        <v>723824502174425088</v>
      </c>
      <c r="F5771" s="11" t="s">
        <v>288</v>
      </c>
      <c r="G5771" s="11">
        <v>5234</v>
      </c>
      <c r="H5771" s="11">
        <v>5220</v>
      </c>
      <c r="I5771" s="11">
        <v>7</v>
      </c>
      <c r="J5771" s="11">
        <v>0</v>
      </c>
      <c r="K5771" s="11" t="s">
        <v>21</v>
      </c>
      <c r="L5771" s="7">
        <v>41238.942048611112</v>
      </c>
      <c r="M5771" s="12" t="s">
        <v>11445</v>
      </c>
      <c r="N5771" s="12" t="s">
        <v>11446</v>
      </c>
      <c r="O5771" s="10" t="str">
        <f>HYPERLINK("https://pbs.twimg.com/profile_images/378800000333683495/1b735d7df89d5667eeeb3eaa48617f9d_normal.jpeg","View")</f>
        <v>View</v>
      </c>
      <c r="P5771" s="11"/>
    </row>
    <row r="5772" spans="1:16" ht="12.75" x14ac:dyDescent="0.35">
      <c r="A5772" s="7">
        <v>42483.675856481481</v>
      </c>
      <c r="B5772" s="8" t="str">
        <f>HYPERLINK("https://twitter.com/automotiveml","@automotiveml")</f>
        <v>@automotiveml</v>
      </c>
      <c r="C5772" s="9" t="s">
        <v>13203</v>
      </c>
      <c r="D5772" s="9" t="s">
        <v>13204</v>
      </c>
      <c r="E5772" s="10" t="str">
        <f>HYPERLINK("https://twitter.com/automotiveml/status/723824545103138816","723824545103138816")</f>
        <v>723824545103138816</v>
      </c>
      <c r="F5772" s="11" t="s">
        <v>43</v>
      </c>
      <c r="G5772" s="11">
        <v>6869</v>
      </c>
      <c r="H5772" s="11">
        <v>6539</v>
      </c>
      <c r="I5772" s="11">
        <v>0</v>
      </c>
      <c r="J5772" s="11">
        <v>0</v>
      </c>
      <c r="K5772" s="11" t="s">
        <v>21</v>
      </c>
      <c r="L5772" s="7">
        <v>42080.538124999999</v>
      </c>
      <c r="M5772" s="12" t="s">
        <v>10000</v>
      </c>
      <c r="N5772" s="12" t="s">
        <v>13205</v>
      </c>
      <c r="O5772" s="10" t="str">
        <f>HYPERLINK("https://pbs.twimg.com/profile_images/679154013011582976/1dS_RwuC_normal.jpg","View")</f>
        <v>View</v>
      </c>
      <c r="P5772" s="11"/>
    </row>
    <row r="5773" spans="1:16" ht="12.75" x14ac:dyDescent="0.35">
      <c r="A5773" s="7">
        <v>42483.676122685181</v>
      </c>
      <c r="B5773" s="8" t="str">
        <f>HYPERLINK("https://twitter.com/Automotiveampl","@Automotiveampl")</f>
        <v>@Automotiveampl</v>
      </c>
      <c r="C5773" s="9" t="s">
        <v>13206</v>
      </c>
      <c r="D5773" s="9" t="s">
        <v>13207</v>
      </c>
      <c r="E5773" s="10" t="str">
        <f>HYPERLINK("https://twitter.com/Automotiveampl/status/723824640842301440","723824640842301440")</f>
        <v>723824640842301440</v>
      </c>
      <c r="F5773" s="11" t="s">
        <v>43</v>
      </c>
      <c r="G5773" s="11">
        <v>61</v>
      </c>
      <c r="H5773" s="11">
        <v>384</v>
      </c>
      <c r="I5773" s="11">
        <v>0</v>
      </c>
      <c r="J5773" s="11">
        <v>0</v>
      </c>
      <c r="K5773" s="11" t="s">
        <v>21</v>
      </c>
      <c r="L5773" s="7">
        <v>42450.705879629633</v>
      </c>
      <c r="M5773" s="12" t="s">
        <v>13208</v>
      </c>
      <c r="N5773" s="12" t="s">
        <v>13205</v>
      </c>
      <c r="O5773" s="10" t="str">
        <f>HYPERLINK("https://pbs.twimg.com/profile_images/711877455682752513/3RSuHOjc_normal.jpg","View")</f>
        <v>View</v>
      </c>
      <c r="P5773" s="11"/>
    </row>
    <row r="5774" spans="1:16" ht="12.75" x14ac:dyDescent="0.35">
      <c r="A5774" s="7">
        <v>42483.676319444443</v>
      </c>
      <c r="B5774" s="8" t="str">
        <f>HYPERLINK("https://twitter.com/russmini","@russmini")</f>
        <v>@russmini</v>
      </c>
      <c r="C5774" s="9" t="s">
        <v>13209</v>
      </c>
      <c r="D5774" s="9" t="s">
        <v>13210</v>
      </c>
      <c r="E5774" s="10" t="str">
        <f>HYPERLINK("https://twitter.com/russmini/status/723824714712506368","723824714712506368")</f>
        <v>723824714712506368</v>
      </c>
      <c r="F5774" s="11" t="s">
        <v>20</v>
      </c>
      <c r="G5774" s="11">
        <v>394</v>
      </c>
      <c r="H5774" s="11">
        <v>1247</v>
      </c>
      <c r="I5774" s="11">
        <v>1</v>
      </c>
      <c r="J5774" s="11">
        <v>0</v>
      </c>
      <c r="K5774" s="11" t="s">
        <v>21</v>
      </c>
      <c r="L5774" s="7">
        <v>40557.701331018521</v>
      </c>
      <c r="M5774" s="12" t="s">
        <v>13211</v>
      </c>
      <c r="N5774" s="12" t="s">
        <v>13212</v>
      </c>
      <c r="O5774" s="10" t="str">
        <f>HYPERLINK("https://pbs.twimg.com/profile_images/647146919098232832/0SPoyMyg_normal.jpg","View")</f>
        <v>View</v>
      </c>
      <c r="P5774" s="11"/>
    </row>
    <row r="5775" spans="1:16" ht="12.75" x14ac:dyDescent="0.35">
      <c r="A5775" s="7">
        <v>42483.678831018522</v>
      </c>
      <c r="B5775" s="8" t="str">
        <f>HYPERLINK("https://twitter.com/Closed404","@Closed404")</f>
        <v>@Closed404</v>
      </c>
      <c r="C5775" s="9" t="s">
        <v>13213</v>
      </c>
      <c r="D5775" s="9" t="s">
        <v>13112</v>
      </c>
      <c r="E5775" s="10" t="str">
        <f>HYPERLINK("https://twitter.com/Closed404/status/723825622842257408","723825622842257408")</f>
        <v>723825622842257408</v>
      </c>
      <c r="F5775" s="11" t="s">
        <v>43</v>
      </c>
      <c r="G5775" s="11">
        <v>9101</v>
      </c>
      <c r="H5775" s="11">
        <v>9882</v>
      </c>
      <c r="I5775" s="11">
        <v>7</v>
      </c>
      <c r="J5775" s="11">
        <v>0</v>
      </c>
      <c r="K5775" s="11" t="s">
        <v>21</v>
      </c>
      <c r="L5775" s="7">
        <v>41616.204884259263</v>
      </c>
      <c r="M5775" s="12" t="s">
        <v>13214</v>
      </c>
      <c r="N5775" s="12" t="s">
        <v>13215</v>
      </c>
      <c r="O5775" s="10" t="str">
        <f>HYPERLINK("https://pbs.twimg.com/profile_images/709739067857113088/rpApXjKW_normal.jpg","View")</f>
        <v>View</v>
      </c>
      <c r="P5775" s="11"/>
    </row>
    <row r="5776" spans="1:16" ht="12.75" x14ac:dyDescent="0.35">
      <c r="A5776" s="7">
        <v>42483.680127314816</v>
      </c>
      <c r="B5776" s="8" t="str">
        <f>HYPERLINK("https://twitter.com/devangelista647","@devangelista647")</f>
        <v>@devangelista647</v>
      </c>
      <c r="C5776" s="9" t="s">
        <v>13216</v>
      </c>
      <c r="D5776" s="9" t="s">
        <v>13150</v>
      </c>
      <c r="E5776" s="10" t="str">
        <f>HYPERLINK("https://twitter.com/devangelista647/status/723826093975719937","723826093975719937")</f>
        <v>723826093975719937</v>
      </c>
      <c r="F5776" s="11" t="s">
        <v>48</v>
      </c>
      <c r="G5776" s="11">
        <v>98</v>
      </c>
      <c r="H5776" s="11">
        <v>414</v>
      </c>
      <c r="I5776" s="11">
        <v>10</v>
      </c>
      <c r="J5776" s="11">
        <v>0</v>
      </c>
      <c r="K5776" s="11" t="s">
        <v>21</v>
      </c>
      <c r="L5776" s="7">
        <v>42007.773622685185</v>
      </c>
      <c r="M5776" s="12"/>
      <c r="N5776" s="12"/>
      <c r="O5776" s="10" t="str">
        <f>HYPERLINK("https://pbs.twimg.com/profile_images/584325151564537857/gURNr4OQ_normal.jpg","View")</f>
        <v>View</v>
      </c>
      <c r="P5776" s="11"/>
    </row>
    <row r="5777" spans="1:16" ht="12.75" x14ac:dyDescent="0.35">
      <c r="A5777" s="7">
        <v>42483.680451388893</v>
      </c>
      <c r="B5777" s="8" t="str">
        <f>HYPERLINK("https://twitter.com/JClaesz","@JClaesz")</f>
        <v>@JClaesz</v>
      </c>
      <c r="C5777" s="9" t="s">
        <v>1340</v>
      </c>
      <c r="D5777" s="9" t="s">
        <v>12851</v>
      </c>
      <c r="E5777" s="10" t="str">
        <f>HYPERLINK("https://twitter.com/JClaesz/status/723826213446406144","723826213446406144")</f>
        <v>723826213446406144</v>
      </c>
      <c r="F5777" s="11" t="s">
        <v>43</v>
      </c>
      <c r="G5777" s="11">
        <v>144</v>
      </c>
      <c r="H5777" s="11">
        <v>546</v>
      </c>
      <c r="I5777" s="11">
        <v>7</v>
      </c>
      <c r="J5777" s="11">
        <v>0</v>
      </c>
      <c r="K5777" s="11" t="s">
        <v>21</v>
      </c>
      <c r="L5777" s="7">
        <v>42389.290254629625</v>
      </c>
      <c r="M5777" s="12" t="s">
        <v>1342</v>
      </c>
      <c r="N5777" s="12" t="s">
        <v>1343</v>
      </c>
      <c r="O5777" s="10" t="str">
        <f>HYPERLINK("https://pbs.twimg.com/profile_images/695000806655811584/7lC1MdUr_normal.png","View")</f>
        <v>View</v>
      </c>
      <c r="P5777" s="11"/>
    </row>
    <row r="5778" spans="1:16" ht="12.75" x14ac:dyDescent="0.35">
      <c r="A5778" s="7">
        <v>42483.68069444444</v>
      </c>
      <c r="B5778" s="8" t="str">
        <f>HYPERLINK("https://twitter.com/NetzwerkggS21","@NetzwerkggS21")</f>
        <v>@NetzwerkggS21</v>
      </c>
      <c r="C5778" s="9" t="s">
        <v>2359</v>
      </c>
      <c r="D5778" s="9" t="s">
        <v>13217</v>
      </c>
      <c r="E5778" s="10" t="str">
        <f>HYPERLINK("https://twitter.com/NetzwerkggS21/status/723826301216415744","723826301216415744")</f>
        <v>723826301216415744</v>
      </c>
      <c r="F5778" s="11" t="s">
        <v>43</v>
      </c>
      <c r="G5778" s="11">
        <v>855</v>
      </c>
      <c r="H5778" s="11">
        <v>2113</v>
      </c>
      <c r="I5778" s="11">
        <v>0</v>
      </c>
      <c r="J5778" s="11">
        <v>0</v>
      </c>
      <c r="K5778" s="11" t="s">
        <v>21</v>
      </c>
      <c r="L5778" s="7">
        <v>41326.709363425922</v>
      </c>
      <c r="M5778" s="13" t="s">
        <v>2361</v>
      </c>
      <c r="N5778" s="12" t="s">
        <v>2362</v>
      </c>
      <c r="O5778" s="10" t="str">
        <f>HYPERLINK("https://pbs.twimg.com/profile_images/378800000528765970/3ab9f2a00010e9cac08d5ca1638926e9_normal.png","View")</f>
        <v>View</v>
      </c>
      <c r="P5778" s="11"/>
    </row>
    <row r="5779" spans="1:16" ht="12.75" x14ac:dyDescent="0.35">
      <c r="A5779" s="7">
        <v>42483.68104166667</v>
      </c>
      <c r="B5779" s="8" t="str">
        <f>HYPERLINK("https://twitter.com/WWidiwici","@WWidiwici")</f>
        <v>@WWidiwici</v>
      </c>
      <c r="C5779" s="9" t="s">
        <v>13218</v>
      </c>
      <c r="D5779" s="9" t="s">
        <v>12659</v>
      </c>
      <c r="E5779" s="10" t="str">
        <f>HYPERLINK("https://twitter.com/WWidiwici/status/723826425908879360","723826425908879360")</f>
        <v>723826425908879360</v>
      </c>
      <c r="F5779" s="11" t="s">
        <v>13219</v>
      </c>
      <c r="G5779" s="11">
        <v>192</v>
      </c>
      <c r="H5779" s="11">
        <v>143</v>
      </c>
      <c r="I5779" s="11">
        <v>13</v>
      </c>
      <c r="J5779" s="11">
        <v>0</v>
      </c>
      <c r="K5779" s="11" t="s">
        <v>21</v>
      </c>
      <c r="L5779" s="7">
        <v>40743.048379629632</v>
      </c>
      <c r="M5779" s="12" t="s">
        <v>13220</v>
      </c>
      <c r="N5779" s="12" t="s">
        <v>13221</v>
      </c>
      <c r="O5779" s="10" t="str">
        <f>HYPERLINK("https://pbs.twimg.com/profile_images/455038456746352640/Yx84ud5Z_normal.jpeg","View")</f>
        <v>View</v>
      </c>
      <c r="P5779" s="11"/>
    </row>
    <row r="5780" spans="1:16" ht="12.75" x14ac:dyDescent="0.35">
      <c r="A5780" s="7">
        <v>42483.683599537035</v>
      </c>
      <c r="B5780" s="8" t="str">
        <f>HYPERLINK("https://twitter.com/FellianTsuyoshi","@FellianTsuyoshi")</f>
        <v>@FellianTsuyoshi</v>
      </c>
      <c r="C5780" s="9" t="s">
        <v>13222</v>
      </c>
      <c r="D5780" s="9" t="s">
        <v>13150</v>
      </c>
      <c r="E5780" s="10" t="str">
        <f>HYPERLINK("https://twitter.com/FellianTsuyoshi/status/723827354284511232","723827354284511232")</f>
        <v>723827354284511232</v>
      </c>
      <c r="F5780" s="11" t="s">
        <v>43</v>
      </c>
      <c r="G5780" s="11">
        <v>44</v>
      </c>
      <c r="H5780" s="11">
        <v>174</v>
      </c>
      <c r="I5780" s="11">
        <v>10</v>
      </c>
      <c r="J5780" s="11">
        <v>0</v>
      </c>
      <c r="K5780" s="11" t="s">
        <v>21</v>
      </c>
      <c r="L5780" s="7">
        <v>41689.927916666667</v>
      </c>
      <c r="M5780" s="12" t="s">
        <v>13223</v>
      </c>
      <c r="N5780" s="12" t="s">
        <v>13224</v>
      </c>
      <c r="O5780" s="10" t="str">
        <f>HYPERLINK("https://pbs.twimg.com/profile_images/436183298696425472/YLbEiNAM_normal.jpeg","View")</f>
        <v>View</v>
      </c>
      <c r="P5780" s="11"/>
    </row>
    <row r="5781" spans="1:16" ht="12.75" x14ac:dyDescent="0.35">
      <c r="A5781" s="7">
        <v>42483.68377314815</v>
      </c>
      <c r="B5781" s="8" t="str">
        <f>HYPERLINK("https://twitter.com/clachaf","@clachaf")</f>
        <v>@clachaf</v>
      </c>
      <c r="C5781" s="9" t="s">
        <v>13225</v>
      </c>
      <c r="D5781" s="9" t="s">
        <v>13226</v>
      </c>
      <c r="E5781" s="10" t="str">
        <f>HYPERLINK("https://twitter.com/clachaf/status/723827416741892096","723827416741892096")</f>
        <v>723827416741892096</v>
      </c>
      <c r="F5781" s="11" t="s">
        <v>43</v>
      </c>
      <c r="G5781" s="11">
        <v>1214</v>
      </c>
      <c r="H5781" s="11">
        <v>917</v>
      </c>
      <c r="I5781" s="11">
        <v>0</v>
      </c>
      <c r="J5781" s="11">
        <v>1</v>
      </c>
      <c r="K5781" s="11" t="s">
        <v>21</v>
      </c>
      <c r="L5781" s="7">
        <v>39896.888275462959</v>
      </c>
      <c r="M5781" s="12" t="s">
        <v>13227</v>
      </c>
      <c r="N5781" s="12" t="s">
        <v>13228</v>
      </c>
      <c r="O5781" s="10" t="str">
        <f>HYPERLINK("https://pbs.twimg.com/profile_images/458963386147934208/n6yx4LOp_normal.jpeg","View")</f>
        <v>View</v>
      </c>
      <c r="P5781" s="11"/>
    </row>
    <row r="5782" spans="1:16" ht="12.75" x14ac:dyDescent="0.35">
      <c r="A5782" s="7">
        <v>42483.684803240743</v>
      </c>
      <c r="B5782" s="8" t="str">
        <f>HYPERLINK("https://twitter.com/VWCamperSales","@VWCamperSales")</f>
        <v>@VWCamperSales</v>
      </c>
      <c r="C5782" s="9" t="s">
        <v>216</v>
      </c>
      <c r="D5782" s="9" t="s">
        <v>13229</v>
      </c>
      <c r="E5782" s="10" t="str">
        <f>HYPERLINK("https://twitter.com/VWCamperSales/status/723827788289986561","723827788289986561")</f>
        <v>723827788289986561</v>
      </c>
      <c r="F5782" s="10" t="s">
        <v>124</v>
      </c>
      <c r="G5782" s="11">
        <v>621</v>
      </c>
      <c r="H5782" s="11">
        <v>580</v>
      </c>
      <c r="I5782" s="11">
        <v>0</v>
      </c>
      <c r="J5782" s="11">
        <v>0</v>
      </c>
      <c r="K5782" s="11" t="s">
        <v>21</v>
      </c>
      <c r="L5782" s="7">
        <v>42215.98809027778</v>
      </c>
      <c r="M5782" s="12" t="s">
        <v>129</v>
      </c>
      <c r="N5782" s="12" t="s">
        <v>218</v>
      </c>
      <c r="O5782" s="10" t="str">
        <f>HYPERLINK("https://pbs.twimg.com/profile_images/627949001179037696/skEBkS05_normal.jpg","View")</f>
        <v>View</v>
      </c>
      <c r="P5782" s="11"/>
    </row>
    <row r="5783" spans="1:16" ht="12.75" x14ac:dyDescent="0.35">
      <c r="A5783" s="7">
        <v>42483.687106481477</v>
      </c>
      <c r="B5783" s="8" t="str">
        <f>HYPERLINK("https://twitter.com/rickfr01","@rickfr01")</f>
        <v>@rickfr01</v>
      </c>
      <c r="C5783" s="9" t="s">
        <v>13230</v>
      </c>
      <c r="D5783" s="9" t="s">
        <v>13231</v>
      </c>
      <c r="E5783" s="10" t="str">
        <f>HYPERLINK("https://twitter.com/rickfr01/status/723828623657033730","723828623657033730")</f>
        <v>723828623657033730</v>
      </c>
      <c r="F5783" s="11" t="s">
        <v>114</v>
      </c>
      <c r="G5783" s="11">
        <v>1054</v>
      </c>
      <c r="H5783" s="11">
        <v>1887</v>
      </c>
      <c r="I5783" s="11">
        <v>0</v>
      </c>
      <c r="J5783" s="11">
        <v>0</v>
      </c>
      <c r="K5783" s="11" t="s">
        <v>21</v>
      </c>
      <c r="L5783" s="7">
        <v>40690.903032407405</v>
      </c>
      <c r="M5783" s="12" t="s">
        <v>13232</v>
      </c>
      <c r="N5783" s="12" t="s">
        <v>13233</v>
      </c>
      <c r="O5783" s="10" t="str">
        <f>HYPERLINK("https://pbs.twimg.com/profile_images/713654769571725313/46CFIy5d_normal.jpg","View")</f>
        <v>View</v>
      </c>
      <c r="P5783" s="11"/>
    </row>
    <row r="5784" spans="1:16" ht="12.75" x14ac:dyDescent="0.35">
      <c r="A5784" s="7">
        <v>42483.6872337963</v>
      </c>
      <c r="B5784" s="8" t="str">
        <f>HYPERLINK("https://twitter.com/DeeCzee","@DeeCzee")</f>
        <v>@DeeCzee</v>
      </c>
      <c r="C5784" s="9" t="s">
        <v>13234</v>
      </c>
      <c r="D5784" s="9" t="s">
        <v>13235</v>
      </c>
      <c r="E5784" s="10" t="str">
        <f>HYPERLINK("https://twitter.com/DeeCzee/status/723828669676937217","723828669676937217")</f>
        <v>723828669676937217</v>
      </c>
      <c r="F5784" s="11" t="s">
        <v>20</v>
      </c>
      <c r="G5784" s="11">
        <v>984</v>
      </c>
      <c r="H5784" s="11">
        <v>1850</v>
      </c>
      <c r="I5784" s="11">
        <v>0</v>
      </c>
      <c r="J5784" s="11">
        <v>0</v>
      </c>
      <c r="K5784" s="11" t="s">
        <v>21</v>
      </c>
      <c r="L5784" s="7">
        <v>39875.982986111107</v>
      </c>
      <c r="M5784" s="12" t="s">
        <v>13236</v>
      </c>
      <c r="N5784" s="12" t="s">
        <v>13237</v>
      </c>
      <c r="O5784" s="10" t="str">
        <f>HYPERLINK("https://pbs.twimg.com/profile_images/676002361320587264/lm_t9gJo_normal.jpg","View")</f>
        <v>View</v>
      </c>
      <c r="P5784" s="11"/>
    </row>
    <row r="5785" spans="1:16" ht="12.75" x14ac:dyDescent="0.35">
      <c r="A5785" s="7">
        <v>42483.68748842593</v>
      </c>
      <c r="B5785" s="8" t="str">
        <f>HYPERLINK("https://twitter.com/wortjongleur","@wortjongleur")</f>
        <v>@wortjongleur</v>
      </c>
      <c r="C5785" s="9" t="s">
        <v>13238</v>
      </c>
      <c r="D5785" s="9" t="s">
        <v>13239</v>
      </c>
      <c r="E5785" s="10" t="str">
        <f>HYPERLINK("https://twitter.com/wortjongleur/status/723828762526289920","723828762526289920")</f>
        <v>723828762526289920</v>
      </c>
      <c r="F5785" s="11" t="s">
        <v>43</v>
      </c>
      <c r="G5785" s="11">
        <v>282</v>
      </c>
      <c r="H5785" s="11">
        <v>93</v>
      </c>
      <c r="I5785" s="11">
        <v>0</v>
      </c>
      <c r="J5785" s="11">
        <v>0</v>
      </c>
      <c r="K5785" s="11" t="s">
        <v>21</v>
      </c>
      <c r="L5785" s="7">
        <v>39824.814513888887</v>
      </c>
      <c r="M5785" s="12" t="s">
        <v>13240</v>
      </c>
      <c r="N5785" s="12" t="s">
        <v>13241</v>
      </c>
      <c r="O5785" s="10" t="str">
        <f>HYPERLINK("https://pbs.twimg.com/profile_images/657253244968828929/MTJyb-ma_normal.jpg","View")</f>
        <v>View</v>
      </c>
      <c r="P5785" s="11"/>
    </row>
    <row r="5786" spans="1:16" ht="12.75" x14ac:dyDescent="0.35">
      <c r="A5786" s="7">
        <v>42483.688101851847</v>
      </c>
      <c r="B5786" s="8" t="str">
        <f>HYPERLINK("https://twitter.com/vwpress_de","@vwpress_de")</f>
        <v>@vwpress_de</v>
      </c>
      <c r="C5786" s="9" t="s">
        <v>1685</v>
      </c>
      <c r="D5786" s="9" t="s">
        <v>13242</v>
      </c>
      <c r="E5786" s="10" t="str">
        <f>HYPERLINK("https://twitter.com/vwpress_de/status/723828984698511360","723828984698511360")</f>
        <v>723828984698511360</v>
      </c>
      <c r="F5786" s="11" t="s">
        <v>152</v>
      </c>
      <c r="G5786" s="11">
        <v>5817</v>
      </c>
      <c r="H5786" s="11">
        <v>610</v>
      </c>
      <c r="I5786" s="11">
        <v>1</v>
      </c>
      <c r="J5786" s="11">
        <v>0</v>
      </c>
      <c r="K5786" s="11" t="s">
        <v>21</v>
      </c>
      <c r="L5786" s="7">
        <v>42041.830381944441</v>
      </c>
      <c r="M5786" s="12" t="s">
        <v>1690</v>
      </c>
      <c r="N5786" s="12" t="s">
        <v>1691</v>
      </c>
      <c r="O5786" s="10" t="str">
        <f>HYPERLINK("https://pbs.twimg.com/profile_images/682117656502222848/Ge7YeAF3_normal.png","View")</f>
        <v>View</v>
      </c>
      <c r="P5786" s="11"/>
    </row>
    <row r="5787" spans="1:16" ht="12.75" x14ac:dyDescent="0.35">
      <c r="A5787" s="7">
        <v>42483.688171296293</v>
      </c>
      <c r="B5787" s="8" t="str">
        <f>HYPERLINK("https://twitter.com/VolkswagenCZ","@VolkswagenCZ")</f>
        <v>@VolkswagenCZ</v>
      </c>
      <c r="C5787" s="9" t="s">
        <v>2120</v>
      </c>
      <c r="D5787" s="9" t="s">
        <v>13243</v>
      </c>
      <c r="E5787" s="10" t="str">
        <f>HYPERLINK("https://twitter.com/VolkswagenCZ/status/723829008991948800","723829008991948800")</f>
        <v>723829008991948800</v>
      </c>
      <c r="F5787" s="11" t="s">
        <v>2122</v>
      </c>
      <c r="G5787" s="11">
        <v>397</v>
      </c>
      <c r="H5787" s="11">
        <v>42</v>
      </c>
      <c r="I5787" s="11">
        <v>0</v>
      </c>
      <c r="J5787" s="11">
        <v>0</v>
      </c>
      <c r="K5787" s="11" t="s">
        <v>21</v>
      </c>
      <c r="L5787" s="7">
        <v>40853.005983796298</v>
      </c>
      <c r="M5787" s="12" t="s">
        <v>2123</v>
      </c>
      <c r="N5787" s="12"/>
      <c r="O5787" s="10" t="str">
        <f>HYPERLINK("https://pbs.twimg.com/profile_images/689102170717839360/y5b-XDuX_normal.jpg","View")</f>
        <v>View</v>
      </c>
      <c r="P5787" s="11"/>
    </row>
    <row r="5788" spans="1:16" ht="12.75" x14ac:dyDescent="0.35">
      <c r="A5788" s="7">
        <v>42483.688275462962</v>
      </c>
      <c r="B5788" s="8" t="str">
        <f>HYPERLINK("https://twitter.com/Banane0711","@Banane0711")</f>
        <v>@Banane0711</v>
      </c>
      <c r="C5788" s="9" t="s">
        <v>8730</v>
      </c>
      <c r="D5788" s="9" t="s">
        <v>13244</v>
      </c>
      <c r="E5788" s="10" t="str">
        <f>HYPERLINK("https://twitter.com/Banane0711/status/723829046522601472","723829046522601472")</f>
        <v>723829046522601472</v>
      </c>
      <c r="F5788" s="11" t="s">
        <v>43</v>
      </c>
      <c r="G5788" s="11">
        <v>346</v>
      </c>
      <c r="H5788" s="11">
        <v>33</v>
      </c>
      <c r="I5788" s="11">
        <v>0</v>
      </c>
      <c r="J5788" s="11">
        <v>0</v>
      </c>
      <c r="K5788" s="11" t="s">
        <v>21</v>
      </c>
      <c r="L5788" s="7">
        <v>40766.10491898148</v>
      </c>
      <c r="M5788" s="12"/>
      <c r="N5788" s="12"/>
      <c r="O5788" s="10" t="str">
        <f>HYPERLINK("https://pbs.twimg.com/profile_images/1488674331/schofer4_normal.jpg","View")</f>
        <v>View</v>
      </c>
      <c r="P5788" s="11"/>
    </row>
    <row r="5789" spans="1:16" ht="12.75" x14ac:dyDescent="0.35">
      <c r="A5789" s="7">
        <v>42483.68885416667</v>
      </c>
      <c r="B5789" s="8" t="str">
        <f>HYPERLINK("https://twitter.com/misa7231kbear","@misa7231kbear")</f>
        <v>@misa7231kbear</v>
      </c>
      <c r="C5789" s="9" t="s">
        <v>13245</v>
      </c>
      <c r="D5789" s="9" t="s">
        <v>13246</v>
      </c>
      <c r="E5789" s="10" t="str">
        <f>HYPERLINK("https://twitter.com/misa7231kbear/status/723829257579843584","723829257579843584")</f>
        <v>723829257579843584</v>
      </c>
      <c r="F5789" s="11" t="s">
        <v>114</v>
      </c>
      <c r="G5789" s="11">
        <v>45</v>
      </c>
      <c r="H5789" s="11">
        <v>113</v>
      </c>
      <c r="I5789" s="11">
        <v>0</v>
      </c>
      <c r="J5789" s="11">
        <v>1</v>
      </c>
      <c r="K5789" s="11" t="s">
        <v>21</v>
      </c>
      <c r="L5789" s="7">
        <v>40301.489537037036</v>
      </c>
      <c r="M5789" s="12">
        <v>291</v>
      </c>
      <c r="N5789" s="12" t="s">
        <v>13247</v>
      </c>
      <c r="O5789" s="10" t="str">
        <f>HYPERLINK("https://pbs.twimg.com/profile_images/417537341046018051/EcJNiMR2_normal.jpeg","View")</f>
        <v>View</v>
      </c>
      <c r="P5789" s="11"/>
    </row>
    <row r="5790" spans="1:16" ht="12.75" x14ac:dyDescent="0.35">
      <c r="A5790" s="7">
        <v>42483.688900462963</v>
      </c>
      <c r="B5790" s="8" t="str">
        <f>HYPERLINK("https://twitter.com/crewevw","@crewevw")</f>
        <v>@crewevw</v>
      </c>
      <c r="C5790" s="9" t="s">
        <v>2562</v>
      </c>
      <c r="D5790" s="9" t="s">
        <v>13248</v>
      </c>
      <c r="E5790" s="10" t="str">
        <f>HYPERLINK("https://twitter.com/crewevw/status/723829271194570752","723829271194570752")</f>
        <v>723829271194570752</v>
      </c>
      <c r="F5790" s="11" t="s">
        <v>140</v>
      </c>
      <c r="G5790" s="11">
        <v>2782</v>
      </c>
      <c r="H5790" s="11">
        <v>2269</v>
      </c>
      <c r="I5790" s="11">
        <v>1</v>
      </c>
      <c r="J5790" s="11">
        <v>0</v>
      </c>
      <c r="K5790" s="11" t="s">
        <v>21</v>
      </c>
      <c r="L5790" s="7">
        <v>40240.83458333333</v>
      </c>
      <c r="M5790" s="12" t="s">
        <v>2564</v>
      </c>
      <c r="N5790" s="12" t="s">
        <v>2565</v>
      </c>
      <c r="O5790" s="10" t="str">
        <f>HYPERLINK("https://pbs.twimg.com/profile_images/488678354338324481/_qtBruR6_normal.jpeg","View")</f>
        <v>View</v>
      </c>
      <c r="P5790" s="11"/>
    </row>
    <row r="5791" spans="1:16" ht="12.75" x14ac:dyDescent="0.35">
      <c r="A5791" s="7">
        <v>42483.688900462963</v>
      </c>
      <c r="B5791" s="8" t="str">
        <f>HYPERLINK("https://twitter.com/swanswaygroup","@swanswaygroup")</f>
        <v>@swanswaygroup</v>
      </c>
      <c r="C5791" s="9" t="s">
        <v>2558</v>
      </c>
      <c r="D5791" s="9" t="s">
        <v>13249</v>
      </c>
      <c r="E5791" s="10" t="str">
        <f>HYPERLINK("https://twitter.com/swanswaygroup/status/723829272138240001","723829272138240001")</f>
        <v>723829272138240001</v>
      </c>
      <c r="F5791" s="11" t="s">
        <v>140</v>
      </c>
      <c r="G5791" s="11">
        <v>6199</v>
      </c>
      <c r="H5791" s="11">
        <v>4457</v>
      </c>
      <c r="I5791" s="11">
        <v>1</v>
      </c>
      <c r="J5791" s="11">
        <v>0</v>
      </c>
      <c r="K5791" s="11" t="s">
        <v>21</v>
      </c>
      <c r="L5791" s="7">
        <v>40137.651365740741</v>
      </c>
      <c r="M5791" s="12" t="s">
        <v>2560</v>
      </c>
      <c r="N5791" s="12" t="s">
        <v>2561</v>
      </c>
      <c r="O5791" s="10" t="str">
        <f>HYPERLINK("https://pbs.twimg.com/profile_images/552037189328982016/r65JRGTS_normal.jpeg","View")</f>
        <v>View</v>
      </c>
      <c r="P5791" s="11"/>
    </row>
    <row r="5792" spans="1:16" ht="12.75" x14ac:dyDescent="0.35">
      <c r="A5792" s="7">
        <v>42483.689826388887</v>
      </c>
      <c r="B5792" s="8" t="str">
        <f>HYPERLINK("https://twitter.com/ebaycampervans","@ebaycampervans")</f>
        <v>@ebaycampervans</v>
      </c>
      <c r="C5792" s="9" t="s">
        <v>682</v>
      </c>
      <c r="D5792" s="9" t="s">
        <v>13250</v>
      </c>
      <c r="E5792" s="10" t="str">
        <f>HYPERLINK("https://twitter.com/ebaycampervans/status/723829608873750529","723829608873750529")</f>
        <v>723829608873750529</v>
      </c>
      <c r="F5792" s="11" t="s">
        <v>34</v>
      </c>
      <c r="G5792" s="11">
        <v>379</v>
      </c>
      <c r="H5792" s="11">
        <v>1002</v>
      </c>
      <c r="I5792" s="11">
        <v>0</v>
      </c>
      <c r="J5792" s="11">
        <v>0</v>
      </c>
      <c r="K5792" s="11" t="s">
        <v>21</v>
      </c>
      <c r="L5792" s="7">
        <v>42140.207604166666</v>
      </c>
      <c r="M5792" s="12"/>
      <c r="N5792" s="12" t="s">
        <v>684</v>
      </c>
      <c r="O5792" s="10" t="str">
        <f>HYPERLINK("https://pbs.twimg.com/profile_images/599357023407464449/BL9Bpo6T_normal.jpg","View")</f>
        <v>View</v>
      </c>
      <c r="P5792" s="11"/>
    </row>
    <row r="5793" spans="1:16" ht="12.75" x14ac:dyDescent="0.35">
      <c r="A5793" s="7">
        <v>42483.690300925926</v>
      </c>
      <c r="B5793" s="8" t="str">
        <f>HYPERLINK("https://twitter.com/AutoExpress","@AutoExpress")</f>
        <v>@AutoExpress</v>
      </c>
      <c r="C5793" s="9" t="s">
        <v>1973</v>
      </c>
      <c r="D5793" s="9" t="s">
        <v>13251</v>
      </c>
      <c r="E5793" s="10" t="str">
        <f>HYPERLINK("https://twitter.com/AutoExpress/status/723829782031421440","723829782031421440")</f>
        <v>723829782031421440</v>
      </c>
      <c r="F5793" s="11" t="s">
        <v>63</v>
      </c>
      <c r="G5793" s="11">
        <v>93162</v>
      </c>
      <c r="H5793" s="11">
        <v>776</v>
      </c>
      <c r="I5793" s="11">
        <v>0</v>
      </c>
      <c r="J5793" s="11">
        <v>0</v>
      </c>
      <c r="K5793" s="11" t="s">
        <v>21</v>
      </c>
      <c r="L5793" s="7">
        <v>39869.653437499997</v>
      </c>
      <c r="M5793" s="12" t="s">
        <v>638</v>
      </c>
      <c r="N5793" s="12" t="s">
        <v>1975</v>
      </c>
      <c r="O5793" s="10" t="str">
        <f>HYPERLINK("https://pbs.twimg.com/profile_images/378800000673633859/9729e4c280465095c6f835c9f6b36378_normal.jpeg","View")</f>
        <v>View</v>
      </c>
      <c r="P5793" s="11"/>
    </row>
    <row r="5794" spans="1:16" ht="12.75" x14ac:dyDescent="0.35">
      <c r="A5794" s="7">
        <v>42483.691712962958</v>
      </c>
      <c r="B5794" s="8" t="str">
        <f t="shared" ref="B5794:B5795" si="499">HYPERLINK("https://twitter.com/VolkswagenPost","@VolkswagenPost")</f>
        <v>@VolkswagenPost</v>
      </c>
      <c r="C5794" s="9" t="s">
        <v>321</v>
      </c>
      <c r="D5794" s="9" t="s">
        <v>13252</v>
      </c>
      <c r="E5794" s="10" t="str">
        <f>HYPERLINK("https://twitter.com/VolkswagenPost/status/723830291412975616","723830291412975616")</f>
        <v>723830291412975616</v>
      </c>
      <c r="F5794" s="11" t="s">
        <v>288</v>
      </c>
      <c r="G5794" s="11">
        <v>570</v>
      </c>
      <c r="H5794" s="11">
        <v>446</v>
      </c>
      <c r="I5794" s="11">
        <v>1</v>
      </c>
      <c r="J5794" s="11">
        <v>0</v>
      </c>
      <c r="K5794" s="11" t="s">
        <v>21</v>
      </c>
      <c r="L5794" s="7">
        <v>41940.618379629632</v>
      </c>
      <c r="M5794" s="12"/>
      <c r="N5794" s="12"/>
      <c r="O5794" s="10" t="str">
        <f t="shared" ref="O5794:O5795" si="500">HYPERLINK("https://pbs.twimg.com/profile_images/530071272881803264/a_jcCmPZ_normal.png","View")</f>
        <v>View</v>
      </c>
      <c r="P5794" s="11"/>
    </row>
    <row r="5795" spans="1:16" ht="12.75" x14ac:dyDescent="0.35">
      <c r="A5795" s="7">
        <v>42483.691712962958</v>
      </c>
      <c r="B5795" s="8" t="str">
        <f t="shared" si="499"/>
        <v>@VolkswagenPost</v>
      </c>
      <c r="C5795" s="9" t="s">
        <v>321</v>
      </c>
      <c r="D5795" s="9" t="s">
        <v>13253</v>
      </c>
      <c r="E5795" s="10" t="str">
        <f>HYPERLINK("https://twitter.com/VolkswagenPost/status/723830292356685824","723830292356685824")</f>
        <v>723830292356685824</v>
      </c>
      <c r="F5795" s="11" t="s">
        <v>288</v>
      </c>
      <c r="G5795" s="11">
        <v>570</v>
      </c>
      <c r="H5795" s="11">
        <v>446</v>
      </c>
      <c r="I5795" s="11">
        <v>1</v>
      </c>
      <c r="J5795" s="11">
        <v>0</v>
      </c>
      <c r="K5795" s="11" t="s">
        <v>21</v>
      </c>
      <c r="L5795" s="7">
        <v>41940.618379629632</v>
      </c>
      <c r="M5795" s="12"/>
      <c r="N5795" s="12"/>
      <c r="O5795" s="10" t="str">
        <f t="shared" si="500"/>
        <v>View</v>
      </c>
      <c r="P5795" s="11"/>
    </row>
    <row r="5796" spans="1:16" ht="12.75" x14ac:dyDescent="0.35">
      <c r="A5796" s="7">
        <v>42483.692372685182</v>
      </c>
      <c r="B5796" s="8" t="str">
        <f>HYPERLINK("https://twitter.com/swanswaygroup","@swanswaygroup")</f>
        <v>@swanswaygroup</v>
      </c>
      <c r="C5796" s="9" t="s">
        <v>2558</v>
      </c>
      <c r="D5796" s="9" t="s">
        <v>13254</v>
      </c>
      <c r="E5796" s="10" t="str">
        <f>HYPERLINK("https://twitter.com/swanswaygroup/status/723830531964719104","723830531964719104")</f>
        <v>723830531964719104</v>
      </c>
      <c r="F5796" s="11" t="s">
        <v>140</v>
      </c>
      <c r="G5796" s="11">
        <v>6199</v>
      </c>
      <c r="H5796" s="11">
        <v>4457</v>
      </c>
      <c r="I5796" s="11">
        <v>1</v>
      </c>
      <c r="J5796" s="11">
        <v>0</v>
      </c>
      <c r="K5796" s="11" t="s">
        <v>21</v>
      </c>
      <c r="L5796" s="7">
        <v>40137.651365740741</v>
      </c>
      <c r="M5796" s="12" t="s">
        <v>2560</v>
      </c>
      <c r="N5796" s="12" t="s">
        <v>2561</v>
      </c>
      <c r="O5796" s="10" t="str">
        <f>HYPERLINK("https://pbs.twimg.com/profile_images/552037189328982016/r65JRGTS_normal.jpeg","View")</f>
        <v>View</v>
      </c>
      <c r="P5796" s="11"/>
    </row>
    <row r="5797" spans="1:16" ht="12.75" x14ac:dyDescent="0.35">
      <c r="A5797" s="7">
        <v>42483.692372685182</v>
      </c>
      <c r="B5797" s="8" t="str">
        <f>HYPERLINK("https://twitter.com/RochdaleHonda","@RochdaleHonda")</f>
        <v>@RochdaleHonda</v>
      </c>
      <c r="C5797" s="9" t="s">
        <v>13255</v>
      </c>
      <c r="D5797" s="9" t="s">
        <v>13256</v>
      </c>
      <c r="E5797" s="10" t="str">
        <f>HYPERLINK("https://twitter.com/RochdaleHonda/status/723830532023279617","723830532023279617")</f>
        <v>723830532023279617</v>
      </c>
      <c r="F5797" s="11" t="s">
        <v>140</v>
      </c>
      <c r="G5797" s="11">
        <v>866</v>
      </c>
      <c r="H5797" s="11">
        <v>701</v>
      </c>
      <c r="I5797" s="11">
        <v>0</v>
      </c>
      <c r="J5797" s="11">
        <v>0</v>
      </c>
      <c r="K5797" s="11" t="s">
        <v>21</v>
      </c>
      <c r="L5797" s="7">
        <v>40547.741655092592</v>
      </c>
      <c r="M5797" s="12" t="s">
        <v>13257</v>
      </c>
      <c r="N5797" s="12" t="s">
        <v>13258</v>
      </c>
      <c r="O5797" s="10" t="str">
        <f>HYPERLINK("https://pbs.twimg.com/profile_images/488709218304663552/ImY8iitu_normal.jpeg","View")</f>
        <v>View</v>
      </c>
      <c r="P5797" s="11"/>
    </row>
    <row r="5798" spans="1:16" ht="12.75" x14ac:dyDescent="0.35">
      <c r="A5798" s="7">
        <v>42483.692407407405</v>
      </c>
      <c r="B5798" s="8" t="str">
        <f>HYPERLINK("https://twitter.com/Fat4y","@Fat4y")</f>
        <v>@Fat4y</v>
      </c>
      <c r="C5798" s="9" t="s">
        <v>3221</v>
      </c>
      <c r="D5798" s="9" t="s">
        <v>13259</v>
      </c>
      <c r="E5798" s="10" t="str">
        <f>HYPERLINK("https://twitter.com/Fat4y/status/723830542685351936","723830542685351936")</f>
        <v>723830542685351936</v>
      </c>
      <c r="F5798" s="11" t="s">
        <v>68</v>
      </c>
      <c r="G5798" s="11">
        <v>232</v>
      </c>
      <c r="H5798" s="11">
        <v>233</v>
      </c>
      <c r="I5798" s="11">
        <v>0</v>
      </c>
      <c r="J5798" s="11">
        <v>0</v>
      </c>
      <c r="K5798" s="11" t="s">
        <v>21</v>
      </c>
      <c r="L5798" s="7">
        <v>41092.757604166669</v>
      </c>
      <c r="M5798" s="12" t="s">
        <v>3223</v>
      </c>
      <c r="N5798" s="12" t="s">
        <v>3224</v>
      </c>
      <c r="O5798" s="10" t="str">
        <f>HYPERLINK("https://pbs.twimg.com/profile_images/701348099290218496/iXTmp1jH_normal.jpg","View")</f>
        <v>View</v>
      </c>
      <c r="P5798" s="11"/>
    </row>
    <row r="5799" spans="1:16" ht="12.75" x14ac:dyDescent="0.35">
      <c r="A5799" s="7">
        <v>42483.69467592593</v>
      </c>
      <c r="B5799" s="8" t="str">
        <f>HYPERLINK("https://twitter.com/ABshekB","@ABshekB")</f>
        <v>@ABshekB</v>
      </c>
      <c r="C5799" s="9" t="s">
        <v>13260</v>
      </c>
      <c r="D5799" s="9" t="s">
        <v>13150</v>
      </c>
      <c r="E5799" s="10" t="str">
        <f>HYPERLINK("https://twitter.com/ABshekB/status/723831364861198336","723831364861198336")</f>
        <v>723831364861198336</v>
      </c>
      <c r="F5799" s="11" t="s">
        <v>20</v>
      </c>
      <c r="G5799" s="11">
        <v>291</v>
      </c>
      <c r="H5799" s="11">
        <v>704</v>
      </c>
      <c r="I5799" s="11">
        <v>11</v>
      </c>
      <c r="J5799" s="11">
        <v>0</v>
      </c>
      <c r="K5799" s="11" t="s">
        <v>21</v>
      </c>
      <c r="L5799" s="7">
        <v>39972.392557870371</v>
      </c>
      <c r="M5799" s="12" t="s">
        <v>13261</v>
      </c>
      <c r="N5799" s="12" t="s">
        <v>13262</v>
      </c>
      <c r="O5799" s="10" t="str">
        <f>HYPERLINK("https://pbs.twimg.com/profile_images/710482038583767041/5SUfHRAA_normal.jpg","View")</f>
        <v>View</v>
      </c>
      <c r="P5799" s="11"/>
    </row>
    <row r="5800" spans="1:16" ht="12.75" x14ac:dyDescent="0.35">
      <c r="A5800" s="7">
        <v>42483.695914351847</v>
      </c>
      <c r="B5800" s="8" t="str">
        <f>HYPERLINK("https://twitter.com/VWCamperSales","@VWCamperSales")</f>
        <v>@VWCamperSales</v>
      </c>
      <c r="C5800" s="9" t="s">
        <v>216</v>
      </c>
      <c r="D5800" s="9" t="s">
        <v>13263</v>
      </c>
      <c r="E5800" s="10" t="str">
        <f>HYPERLINK("https://twitter.com/VWCamperSales/status/723831813358018560","723831813358018560")</f>
        <v>723831813358018560</v>
      </c>
      <c r="F5800" s="10" t="s">
        <v>124</v>
      </c>
      <c r="G5800" s="11">
        <v>621</v>
      </c>
      <c r="H5800" s="11">
        <v>580</v>
      </c>
      <c r="I5800" s="11">
        <v>0</v>
      </c>
      <c r="J5800" s="11">
        <v>0</v>
      </c>
      <c r="K5800" s="11" t="s">
        <v>21</v>
      </c>
      <c r="L5800" s="7">
        <v>42215.98809027778</v>
      </c>
      <c r="M5800" s="12" t="s">
        <v>129</v>
      </c>
      <c r="N5800" s="12" t="s">
        <v>218</v>
      </c>
      <c r="O5800" s="10" t="str">
        <f>HYPERLINK("https://pbs.twimg.com/profile_images/627949001179037696/skEBkS05_normal.jpg","View")</f>
        <v>View</v>
      </c>
      <c r="P5800" s="11"/>
    </row>
    <row r="5801" spans="1:16" ht="12.75" x14ac:dyDescent="0.35">
      <c r="A5801" s="7">
        <v>42483.696018518516</v>
      </c>
      <c r="B5801" s="8" t="str">
        <f>HYPERLINK("https://twitter.com/garage777uk","@garage777uk")</f>
        <v>@garage777uk</v>
      </c>
      <c r="C5801" s="9" t="s">
        <v>13264</v>
      </c>
      <c r="D5801" s="9" t="s">
        <v>13265</v>
      </c>
      <c r="E5801" s="10" t="str">
        <f>HYPERLINK("https://twitter.com/garage777uk/status/723831853367566336","723831853367566336")</f>
        <v>723831853367566336</v>
      </c>
      <c r="F5801" s="11" t="s">
        <v>43</v>
      </c>
      <c r="G5801" s="11">
        <v>10</v>
      </c>
      <c r="H5801" s="11">
        <v>29</v>
      </c>
      <c r="I5801" s="11">
        <v>0</v>
      </c>
      <c r="J5801" s="11">
        <v>0</v>
      </c>
      <c r="K5801" s="11" t="s">
        <v>21</v>
      </c>
      <c r="L5801" s="7">
        <v>42207.649247685185</v>
      </c>
      <c r="M5801" s="12" t="s">
        <v>13266</v>
      </c>
      <c r="N5801" s="12" t="s">
        <v>13267</v>
      </c>
      <c r="O5801" s="10" t="str">
        <f>HYPERLINK("https://pbs.twimg.com/profile_images/631026118951211008/-Kh_VtK-_normal.jpg","View")</f>
        <v>View</v>
      </c>
      <c r="P5801" s="11"/>
    </row>
    <row r="5802" spans="1:16" ht="12.75" x14ac:dyDescent="0.35">
      <c r="A5802" s="7">
        <v>42483.696412037039</v>
      </c>
      <c r="B5802" s="8" t="str">
        <f>HYPERLINK("https://twitter.com/mycomfor","@mycomfor")</f>
        <v>@mycomfor</v>
      </c>
      <c r="C5802" s="9" t="s">
        <v>5331</v>
      </c>
      <c r="D5802" s="9" t="s">
        <v>13268</v>
      </c>
      <c r="E5802" s="10" t="str">
        <f>HYPERLINK("https://twitter.com/mycomfor/status/723831994145202176","723831994145202176")</f>
        <v>723831994145202176</v>
      </c>
      <c r="F5802" s="11" t="s">
        <v>5333</v>
      </c>
      <c r="G5802" s="11">
        <v>496</v>
      </c>
      <c r="H5802" s="11">
        <v>152</v>
      </c>
      <c r="I5802" s="11">
        <v>0</v>
      </c>
      <c r="J5802" s="11">
        <v>0</v>
      </c>
      <c r="K5802" s="11" t="s">
        <v>21</v>
      </c>
      <c r="L5802" s="7">
        <v>40598.987986111111</v>
      </c>
      <c r="M5802" s="12" t="s">
        <v>5334</v>
      </c>
      <c r="N5802" s="12" t="s">
        <v>5335</v>
      </c>
      <c r="O5802" s="10" t="str">
        <f>HYPERLINK("https://pbs.twimg.com/profile_images/1254132835/3com_normal.jpg","View")</f>
        <v>View</v>
      </c>
      <c r="P5802" s="11"/>
    </row>
    <row r="5803" spans="1:16" ht="12.75" x14ac:dyDescent="0.35">
      <c r="A5803" s="7">
        <v>42483.696412037039</v>
      </c>
      <c r="B5803" s="8" t="str">
        <f>HYPERLINK("https://twitter.com/Stadtpirat","@Stadtpirat")</f>
        <v>@Stadtpirat</v>
      </c>
      <c r="C5803" s="9" t="s">
        <v>1163</v>
      </c>
      <c r="D5803" s="9" t="s">
        <v>13269</v>
      </c>
      <c r="E5803" s="10" t="str">
        <f>HYPERLINK("https://twitter.com/Stadtpirat/status/723831996946980864","723831996946980864")</f>
        <v>723831996946980864</v>
      </c>
      <c r="F5803" s="11" t="s">
        <v>160</v>
      </c>
      <c r="G5803" s="11">
        <v>118</v>
      </c>
      <c r="H5803" s="11">
        <v>138</v>
      </c>
      <c r="I5803" s="11">
        <v>0</v>
      </c>
      <c r="J5803" s="11">
        <v>0</v>
      </c>
      <c r="K5803" s="11" t="s">
        <v>21</v>
      </c>
      <c r="L5803" s="7">
        <v>40306.158900462964</v>
      </c>
      <c r="M5803" s="12"/>
      <c r="N5803" s="12" t="s">
        <v>1164</v>
      </c>
      <c r="O5803" s="10" t="str">
        <f>HYPERLINK("https://pbs.twimg.com/profile_images/883241100/_LQ_normal.png","View")</f>
        <v>View</v>
      </c>
      <c r="P5803" s="11"/>
    </row>
    <row r="5804" spans="1:16" ht="12.75" x14ac:dyDescent="0.35">
      <c r="A5804" s="7">
        <v>42483.697291666671</v>
      </c>
      <c r="B5804" s="8" t="str">
        <f>HYPERLINK("https://twitter.com/Turanlar_2023","@Turanlar_2023")</f>
        <v>@Turanlar_2023</v>
      </c>
      <c r="C5804" s="9" t="s">
        <v>13140</v>
      </c>
      <c r="D5804" s="9" t="s">
        <v>13270</v>
      </c>
      <c r="E5804" s="10" t="str">
        <f>HYPERLINK("https://twitter.com/Turanlar_2023/status/723832316162899968","723832316162899968")</f>
        <v>723832316162899968</v>
      </c>
      <c r="F5804" s="11" t="s">
        <v>2154</v>
      </c>
      <c r="G5804" s="11">
        <v>214</v>
      </c>
      <c r="H5804" s="11">
        <v>229</v>
      </c>
      <c r="I5804" s="11">
        <v>0</v>
      </c>
      <c r="J5804" s="11">
        <v>0</v>
      </c>
      <c r="K5804" s="11" t="s">
        <v>21</v>
      </c>
      <c r="L5804" s="7">
        <v>41721.084178240737</v>
      </c>
      <c r="M5804" s="12"/>
      <c r="N5804" s="12" t="s">
        <v>13142</v>
      </c>
      <c r="O5804" s="10" t="str">
        <f>HYPERLINK("https://pbs.twimg.com/profile_images/714918565263118336/WWTsR5W__normal.jpg","View")</f>
        <v>View</v>
      </c>
      <c r="P5804" s="11"/>
    </row>
    <row r="5805" spans="1:16" ht="12.75" x14ac:dyDescent="0.35">
      <c r="A5805" s="7">
        <v>42483.697662037041</v>
      </c>
      <c r="B5805" s="8" t="str">
        <f>HYPERLINK("https://twitter.com/VolkswagenPost","@VolkswagenPost")</f>
        <v>@VolkswagenPost</v>
      </c>
      <c r="C5805" s="9" t="s">
        <v>321</v>
      </c>
      <c r="D5805" s="9" t="s">
        <v>13271</v>
      </c>
      <c r="E5805" s="10" t="str">
        <f>HYPERLINK("https://twitter.com/VolkswagenPost/status/723832450368065536","723832450368065536")</f>
        <v>723832450368065536</v>
      </c>
      <c r="F5805" s="11" t="s">
        <v>288</v>
      </c>
      <c r="G5805" s="11">
        <v>570</v>
      </c>
      <c r="H5805" s="11">
        <v>446</v>
      </c>
      <c r="I5805" s="11">
        <v>1</v>
      </c>
      <c r="J5805" s="11">
        <v>0</v>
      </c>
      <c r="K5805" s="11" t="s">
        <v>21</v>
      </c>
      <c r="L5805" s="7">
        <v>41940.618379629632</v>
      </c>
      <c r="M5805" s="12"/>
      <c r="N5805" s="12"/>
      <c r="O5805" s="10" t="str">
        <f>HYPERLINK("https://pbs.twimg.com/profile_images/530071272881803264/a_jcCmPZ_normal.png","View")</f>
        <v>View</v>
      </c>
      <c r="P5805" s="11"/>
    </row>
    <row r="5806" spans="1:16" ht="12.75" x14ac:dyDescent="0.35">
      <c r="A5806" s="7">
        <v>42483.698599537034</v>
      </c>
      <c r="B5806" s="8" t="str">
        <f>HYPERLINK("https://twitter.com/AskingDerek","@AskingDerek")</f>
        <v>@AskingDerek</v>
      </c>
      <c r="C5806" s="9" t="s">
        <v>13272</v>
      </c>
      <c r="D5806" s="9" t="s">
        <v>13273</v>
      </c>
      <c r="E5806" s="10" t="str">
        <f>HYPERLINK("https://twitter.com/AskingDerek/status/723832786440704000","723832786440704000")</f>
        <v>723832786440704000</v>
      </c>
      <c r="F5806" s="11" t="s">
        <v>114</v>
      </c>
      <c r="G5806" s="11">
        <v>339</v>
      </c>
      <c r="H5806" s="11">
        <v>281</v>
      </c>
      <c r="I5806" s="11">
        <v>0</v>
      </c>
      <c r="J5806" s="11">
        <v>0</v>
      </c>
      <c r="K5806" s="11" t="s">
        <v>21</v>
      </c>
      <c r="L5806" s="7">
        <v>41357.043981481482</v>
      </c>
      <c r="M5806" s="12" t="s">
        <v>13274</v>
      </c>
      <c r="N5806" s="12" t="s">
        <v>13275</v>
      </c>
      <c r="O5806" s="10" t="str">
        <f>HYPERLINK("https://pbs.twimg.com/profile_images/683706859648319492/_QGItkLA_normal.jpg","View")</f>
        <v>View</v>
      </c>
      <c r="P5806" s="11"/>
    </row>
    <row r="5807" spans="1:16" ht="12.75" x14ac:dyDescent="0.35">
      <c r="A5807" s="7">
        <v>42483.699004629627</v>
      </c>
      <c r="B5807" s="8" t="str">
        <f>HYPERLINK("https://twitter.com/solarpolis","@solarpolis")</f>
        <v>@solarpolis</v>
      </c>
      <c r="C5807" s="9" t="s">
        <v>13276</v>
      </c>
      <c r="D5807" s="9" t="s">
        <v>13277</v>
      </c>
      <c r="E5807" s="10" t="str">
        <f>HYPERLINK("https://twitter.com/solarpolis/status/723832933971271680","723832933971271680")</f>
        <v>723832933971271680</v>
      </c>
      <c r="F5807" s="11" t="s">
        <v>43</v>
      </c>
      <c r="G5807" s="11">
        <v>965</v>
      </c>
      <c r="H5807" s="11">
        <v>959</v>
      </c>
      <c r="I5807" s="11">
        <v>0</v>
      </c>
      <c r="J5807" s="11">
        <v>0</v>
      </c>
      <c r="K5807" s="11" t="s">
        <v>21</v>
      </c>
      <c r="L5807" s="7">
        <v>40427.743634259255</v>
      </c>
      <c r="M5807" s="12" t="s">
        <v>8040</v>
      </c>
      <c r="N5807" s="12" t="s">
        <v>13278</v>
      </c>
      <c r="O5807" s="10" t="str">
        <f>HYPERLINK("https://pbs.twimg.com/profile_images/1326803950/DSC_00680001_normal.JPG","View")</f>
        <v>View</v>
      </c>
      <c r="P5807" s="11"/>
    </row>
    <row r="5808" spans="1:16" ht="12.75" x14ac:dyDescent="0.35">
      <c r="A5808" s="7">
        <v>42483.702141203699</v>
      </c>
      <c r="B5808" s="8" t="str">
        <f>HYPERLINK("https://twitter.com/VWBeetleSales","@VWBeetleSales")</f>
        <v>@VWBeetleSales</v>
      </c>
      <c r="C5808" s="9" t="s">
        <v>127</v>
      </c>
      <c r="D5808" s="9" t="s">
        <v>13279</v>
      </c>
      <c r="E5808" s="10" t="str">
        <f>HYPERLINK("https://twitter.com/VWBeetleSales/status/723834073584521220","723834073584521220")</f>
        <v>723834073584521220</v>
      </c>
      <c r="F5808" s="10" t="s">
        <v>124</v>
      </c>
      <c r="G5808" s="11">
        <v>36</v>
      </c>
      <c r="H5808" s="11">
        <v>32</v>
      </c>
      <c r="I5808" s="11">
        <v>0</v>
      </c>
      <c r="J5808" s="11">
        <v>0</v>
      </c>
      <c r="K5808" s="11" t="s">
        <v>21</v>
      </c>
      <c r="L5808" s="7">
        <v>42427.019756944443</v>
      </c>
      <c r="M5808" s="12" t="s">
        <v>129</v>
      </c>
      <c r="N5808" s="12" t="s">
        <v>130</v>
      </c>
      <c r="O5808" s="10" t="str">
        <f>HYPERLINK("https://pbs.twimg.com/profile_images/703294545195307008/qeCvrX86_normal.jpg","View")</f>
        <v>View</v>
      </c>
      <c r="P5808" s="11"/>
    </row>
    <row r="5809" spans="1:16" ht="12.75" x14ac:dyDescent="0.35">
      <c r="A5809" s="7">
        <v>42483.702453703707</v>
      </c>
      <c r="B5809" s="8" t="str">
        <f>HYPERLINK("https://twitter.com/ThurlesTown","@ThurlesTown")</f>
        <v>@ThurlesTown</v>
      </c>
      <c r="C5809" s="9" t="s">
        <v>13280</v>
      </c>
      <c r="D5809" s="9" t="s">
        <v>13281</v>
      </c>
      <c r="E5809" s="10" t="str">
        <f>HYPERLINK("https://twitter.com/ThurlesTown/status/723834186000437248","723834186000437248")</f>
        <v>723834186000437248</v>
      </c>
      <c r="F5809" s="11" t="s">
        <v>43</v>
      </c>
      <c r="G5809" s="11">
        <v>910</v>
      </c>
      <c r="H5809" s="11">
        <v>821</v>
      </c>
      <c r="I5809" s="11">
        <v>0</v>
      </c>
      <c r="J5809" s="11">
        <v>0</v>
      </c>
      <c r="K5809" s="11" t="s">
        <v>21</v>
      </c>
      <c r="L5809" s="7">
        <v>42119.627488425926</v>
      </c>
      <c r="M5809" s="12" t="s">
        <v>13282</v>
      </c>
      <c r="N5809" s="12" t="s">
        <v>13283</v>
      </c>
      <c r="O5809" s="10" t="str">
        <f>HYPERLINK("https://pbs.twimg.com/profile_images/674370430694739972/w8axnsYU_normal.jpg","View")</f>
        <v>View</v>
      </c>
      <c r="P5809" s="11"/>
    </row>
    <row r="5810" spans="1:16" ht="12.75" x14ac:dyDescent="0.35">
      <c r="A5810" s="7">
        <v>42483.704976851848</v>
      </c>
      <c r="B5810" s="8" t="str">
        <f>HYPERLINK("https://twitter.com/GonZaa_mdq","@GonZaa_mdq")</f>
        <v>@GonZaa_mdq</v>
      </c>
      <c r="C5810" s="9" t="s">
        <v>13284</v>
      </c>
      <c r="D5810" s="9" t="s">
        <v>13285</v>
      </c>
      <c r="E5810" s="10" t="str">
        <f>HYPERLINK("https://twitter.com/GonZaa_mdq/status/723835097858891776","723835097858891776")</f>
        <v>723835097858891776</v>
      </c>
      <c r="F5810" s="11" t="s">
        <v>114</v>
      </c>
      <c r="G5810" s="11">
        <v>664</v>
      </c>
      <c r="H5810" s="11">
        <v>722</v>
      </c>
      <c r="I5810" s="11">
        <v>0</v>
      </c>
      <c r="J5810" s="11">
        <v>0</v>
      </c>
      <c r="K5810" s="11" t="s">
        <v>21</v>
      </c>
      <c r="L5810" s="7">
        <v>40836.893530092595</v>
      </c>
      <c r="M5810" s="12"/>
      <c r="N5810" s="12" t="s">
        <v>13286</v>
      </c>
      <c r="O5810" s="10" t="str">
        <f>HYPERLINK("https://pbs.twimg.com/profile_images/527434322018828289/g65cRkt5_normal.jpeg","View")</f>
        <v>View</v>
      </c>
      <c r="P5810" s="11"/>
    </row>
    <row r="5811" spans="1:16" ht="12.75" x14ac:dyDescent="0.35">
      <c r="A5811" s="7">
        <v>42483.706562499996</v>
      </c>
      <c r="B5811" s="8" t="str">
        <f>HYPERLINK("https://twitter.com/MinnieMelville","@MinnieMelville")</f>
        <v>@MinnieMelville</v>
      </c>
      <c r="C5811" s="9" t="s">
        <v>13287</v>
      </c>
      <c r="D5811" s="9" t="s">
        <v>13150</v>
      </c>
      <c r="E5811" s="10" t="str">
        <f>HYPERLINK("https://twitter.com/MinnieMelville/status/723835673149579264","723835673149579264")</f>
        <v>723835673149579264</v>
      </c>
      <c r="F5811" s="11" t="s">
        <v>20</v>
      </c>
      <c r="G5811" s="11">
        <v>287</v>
      </c>
      <c r="H5811" s="11">
        <v>456</v>
      </c>
      <c r="I5811" s="11">
        <v>12</v>
      </c>
      <c r="J5811" s="11">
        <v>0</v>
      </c>
      <c r="K5811" s="11" t="s">
        <v>21</v>
      </c>
      <c r="L5811" s="7">
        <v>41281.828506944446</v>
      </c>
      <c r="M5811" s="12"/>
      <c r="N5811" s="12" t="s">
        <v>13288</v>
      </c>
      <c r="O5811" s="10" t="str">
        <f>HYPERLINK("https://pbs.twimg.com/profile_images/526402558789976065/eXjXgASI_normal.jpeg","View")</f>
        <v>View</v>
      </c>
      <c r="P5811" s="11"/>
    </row>
    <row r="5812" spans="1:16" ht="12.75" x14ac:dyDescent="0.35">
      <c r="A5812" s="7">
        <v>42483.707303240742</v>
      </c>
      <c r="B5812" s="8" t="str">
        <f>HYPERLINK("https://twitter.com/Banane0711","@Banane0711")</f>
        <v>@Banane0711</v>
      </c>
      <c r="C5812" s="9" t="s">
        <v>8730</v>
      </c>
      <c r="D5812" s="9" t="s">
        <v>13289</v>
      </c>
      <c r="E5812" s="10" t="str">
        <f>HYPERLINK("https://twitter.com/Banane0711/status/723835943803867136","723835943803867136")</f>
        <v>723835943803867136</v>
      </c>
      <c r="F5812" s="11" t="s">
        <v>43</v>
      </c>
      <c r="G5812" s="11">
        <v>346</v>
      </c>
      <c r="H5812" s="11">
        <v>33</v>
      </c>
      <c r="I5812" s="11">
        <v>0</v>
      </c>
      <c r="J5812" s="11">
        <v>0</v>
      </c>
      <c r="K5812" s="11" t="s">
        <v>21</v>
      </c>
      <c r="L5812" s="7">
        <v>40766.10491898148</v>
      </c>
      <c r="M5812" s="12"/>
      <c r="N5812" s="12"/>
      <c r="O5812" s="10" t="str">
        <f>HYPERLINK("https://pbs.twimg.com/profile_images/1488674331/schofer4_normal.jpg","View")</f>
        <v>View</v>
      </c>
      <c r="P5812" s="11"/>
    </row>
    <row r="5813" spans="1:16" ht="12.75" x14ac:dyDescent="0.35">
      <c r="A5813" s="7">
        <v>42483.707337962958</v>
      </c>
      <c r="B5813" s="8" t="str">
        <f>HYPERLINK("https://twitter.com/arnopaulus","@arnopaulus")</f>
        <v>@arnopaulus</v>
      </c>
      <c r="C5813" s="9" t="s">
        <v>13290</v>
      </c>
      <c r="D5813" s="9" t="s">
        <v>13291</v>
      </c>
      <c r="E5813" s="10" t="str">
        <f>HYPERLINK("https://twitter.com/arnopaulus/status/723835954595794944","723835954595794944")</f>
        <v>723835954595794944</v>
      </c>
      <c r="F5813" s="11" t="s">
        <v>43</v>
      </c>
      <c r="G5813" s="11">
        <v>297</v>
      </c>
      <c r="H5813" s="11">
        <v>275</v>
      </c>
      <c r="I5813" s="11">
        <v>0</v>
      </c>
      <c r="J5813" s="11">
        <v>0</v>
      </c>
      <c r="K5813" s="11" t="s">
        <v>21</v>
      </c>
      <c r="L5813" s="7">
        <v>40662.037962962961</v>
      </c>
      <c r="M5813" s="12" t="s">
        <v>1359</v>
      </c>
      <c r="N5813" s="12" t="s">
        <v>13292</v>
      </c>
      <c r="O5813" s="10" t="str">
        <f>HYPERLINK("https://pbs.twimg.com/profile_images/456327738928791552/jgHfF8lW_normal.png","View")</f>
        <v>View</v>
      </c>
      <c r="P5813" s="11"/>
    </row>
    <row r="5814" spans="1:16" ht="12.75" x14ac:dyDescent="0.35">
      <c r="A5814" s="7">
        <v>42483.707557870366</v>
      </c>
      <c r="B5814" s="8" t="str">
        <f>HYPERLINK("https://twitter.com/unlmtdsmarttech","@unlmtdsmarttech")</f>
        <v>@unlmtdsmarttech</v>
      </c>
      <c r="C5814" s="9" t="s">
        <v>7901</v>
      </c>
      <c r="D5814" s="9" t="s">
        <v>13293</v>
      </c>
      <c r="E5814" s="10" t="str">
        <f>HYPERLINK("https://twitter.com/unlmtdsmarttech/status/723836033952047104","723836033952047104")</f>
        <v>723836033952047104</v>
      </c>
      <c r="F5814" s="11" t="s">
        <v>68</v>
      </c>
      <c r="G5814" s="11">
        <v>2222</v>
      </c>
      <c r="H5814" s="11">
        <v>4</v>
      </c>
      <c r="I5814" s="11">
        <v>0</v>
      </c>
      <c r="J5814" s="11">
        <v>0</v>
      </c>
      <c r="K5814" s="11" t="s">
        <v>21</v>
      </c>
      <c r="L5814" s="7">
        <v>42339.340740740736</v>
      </c>
      <c r="M5814" s="12"/>
      <c r="N5814" s="12"/>
      <c r="O5814" s="10" t="str">
        <f>HYPERLINK("https://pbs.twimg.com/profile_images/671525031948652544/gPRky3nV_normal.jpg","View")</f>
        <v>View</v>
      </c>
      <c r="P5814" s="11"/>
    </row>
    <row r="5815" spans="1:16" ht="12.75" x14ac:dyDescent="0.35">
      <c r="A5815" s="7">
        <v>42483.708020833335</v>
      </c>
      <c r="B5815" s="8" t="str">
        <f t="shared" ref="B5815:B5816" si="501">HYPERLINK("https://twitter.com/VeeDubMk1_","@VeeDubMk1_")</f>
        <v>@VeeDubMk1_</v>
      </c>
      <c r="C5815" s="9" t="s">
        <v>185</v>
      </c>
      <c r="D5815" s="9" t="s">
        <v>13294</v>
      </c>
      <c r="E5815" s="10" t="str">
        <f>HYPERLINK("https://twitter.com/VeeDubMk1_/status/723836201967456257","723836201967456257")</f>
        <v>723836201967456257</v>
      </c>
      <c r="F5815" s="11" t="s">
        <v>68</v>
      </c>
      <c r="G5815" s="11">
        <v>549</v>
      </c>
      <c r="H5815" s="11">
        <v>3527</v>
      </c>
      <c r="I5815" s="11">
        <v>0</v>
      </c>
      <c r="J5815" s="11">
        <v>0</v>
      </c>
      <c r="K5815" s="11" t="s">
        <v>21</v>
      </c>
      <c r="L5815" s="7">
        <v>42343.063356481478</v>
      </c>
      <c r="M5815" s="12"/>
      <c r="N5815" s="12"/>
      <c r="O5815" s="10" t="str">
        <f t="shared" ref="O5815:O5816" si="502">HYPERLINK("https://pbs.twimg.com/profile_images/672878354127839232/M7OYc-zx_normal.jpg","View")</f>
        <v>View</v>
      </c>
      <c r="P5815" s="11"/>
    </row>
    <row r="5816" spans="1:16" ht="12.75" x14ac:dyDescent="0.35">
      <c r="A5816" s="7">
        <v>42483.708067129628</v>
      </c>
      <c r="B5816" s="8" t="str">
        <f t="shared" si="501"/>
        <v>@VeeDubMk1_</v>
      </c>
      <c r="C5816" s="9" t="s">
        <v>185</v>
      </c>
      <c r="D5816" s="9" t="s">
        <v>13295</v>
      </c>
      <c r="E5816" s="10" t="str">
        <f>HYPERLINK("https://twitter.com/VeeDubMk1_/status/723836219055046656","723836219055046656")</f>
        <v>723836219055046656</v>
      </c>
      <c r="F5816" s="11" t="s">
        <v>68</v>
      </c>
      <c r="G5816" s="11">
        <v>549</v>
      </c>
      <c r="H5816" s="11">
        <v>3527</v>
      </c>
      <c r="I5816" s="11">
        <v>0</v>
      </c>
      <c r="J5816" s="11">
        <v>0</v>
      </c>
      <c r="K5816" s="11" t="s">
        <v>21</v>
      </c>
      <c r="L5816" s="7">
        <v>42343.063356481478</v>
      </c>
      <c r="M5816" s="12"/>
      <c r="N5816" s="12"/>
      <c r="O5816" s="10" t="str">
        <f t="shared" si="502"/>
        <v>View</v>
      </c>
      <c r="P5816" s="11"/>
    </row>
    <row r="5817" spans="1:16" ht="12.75" x14ac:dyDescent="0.35">
      <c r="A5817" s="7">
        <v>42483.708449074074</v>
      </c>
      <c r="B5817" s="8" t="str">
        <f t="shared" ref="B5817:B5818" si="503">HYPERLINK("https://twitter.com/VWCamperSales","@VWCamperSales")</f>
        <v>@VWCamperSales</v>
      </c>
      <c r="C5817" s="9" t="s">
        <v>216</v>
      </c>
      <c r="D5817" s="9" t="s">
        <v>13296</v>
      </c>
      <c r="E5817" s="10" t="str">
        <f>HYPERLINK("https://twitter.com/VWCamperSales/status/723836359027216384","723836359027216384")</f>
        <v>723836359027216384</v>
      </c>
      <c r="F5817" s="10" t="s">
        <v>124</v>
      </c>
      <c r="G5817" s="11">
        <v>621</v>
      </c>
      <c r="H5817" s="11">
        <v>580</v>
      </c>
      <c r="I5817" s="11">
        <v>0</v>
      </c>
      <c r="J5817" s="11">
        <v>0</v>
      </c>
      <c r="K5817" s="11" t="s">
        <v>21</v>
      </c>
      <c r="L5817" s="7">
        <v>42215.98809027778</v>
      </c>
      <c r="M5817" s="12" t="s">
        <v>129</v>
      </c>
      <c r="N5817" s="12" t="s">
        <v>218</v>
      </c>
      <c r="O5817" s="10" t="str">
        <f t="shared" ref="O5817:O5818" si="504">HYPERLINK("https://pbs.twimg.com/profile_images/627949001179037696/skEBkS05_normal.jpg","View")</f>
        <v>View</v>
      </c>
      <c r="P5817" s="11"/>
    </row>
    <row r="5818" spans="1:16" ht="12.75" x14ac:dyDescent="0.35">
      <c r="A5818" s="7">
        <v>42483.708472222221</v>
      </c>
      <c r="B5818" s="8" t="str">
        <f t="shared" si="503"/>
        <v>@VWCamperSales</v>
      </c>
      <c r="C5818" s="9" t="s">
        <v>216</v>
      </c>
      <c r="D5818" s="9" t="s">
        <v>13297</v>
      </c>
      <c r="E5818" s="10" t="str">
        <f>HYPERLINK("https://twitter.com/VWCamperSales/status/723836366153388032","723836366153388032")</f>
        <v>723836366153388032</v>
      </c>
      <c r="F5818" s="10" t="s">
        <v>124</v>
      </c>
      <c r="G5818" s="11">
        <v>621</v>
      </c>
      <c r="H5818" s="11">
        <v>580</v>
      </c>
      <c r="I5818" s="11">
        <v>0</v>
      </c>
      <c r="J5818" s="11">
        <v>0</v>
      </c>
      <c r="K5818" s="11" t="s">
        <v>21</v>
      </c>
      <c r="L5818" s="7">
        <v>42215.98809027778</v>
      </c>
      <c r="M5818" s="12" t="s">
        <v>129</v>
      </c>
      <c r="N5818" s="12" t="s">
        <v>218</v>
      </c>
      <c r="O5818" s="10" t="str">
        <f t="shared" si="504"/>
        <v>View</v>
      </c>
      <c r="P5818" s="11"/>
    </row>
    <row r="5819" spans="1:16" ht="12.75" x14ac:dyDescent="0.35">
      <c r="A5819" s="7">
        <v>42483.709108796298</v>
      </c>
      <c r="B5819" s="8" t="str">
        <f>HYPERLINK("https://twitter.com/lordsinclair70","@lordsinclair70")</f>
        <v>@lordsinclair70</v>
      </c>
      <c r="C5819" s="9" t="s">
        <v>13298</v>
      </c>
      <c r="D5819" s="9" t="s">
        <v>13299</v>
      </c>
      <c r="E5819" s="10" t="str">
        <f>HYPERLINK("https://twitter.com/lordsinclair70/status/723836595179282438","723836595179282438")</f>
        <v>723836595179282438</v>
      </c>
      <c r="F5819" s="11" t="s">
        <v>20</v>
      </c>
      <c r="G5819" s="11">
        <v>13</v>
      </c>
      <c r="H5819" s="11">
        <v>26</v>
      </c>
      <c r="I5819" s="11">
        <v>0</v>
      </c>
      <c r="J5819" s="11">
        <v>0</v>
      </c>
      <c r="K5819" s="11" t="s">
        <v>21</v>
      </c>
      <c r="L5819" s="7">
        <v>40163.785798611112</v>
      </c>
      <c r="M5819" s="12"/>
      <c r="N5819" s="12"/>
      <c r="O5819" s="10" t="str">
        <f>HYPERLINK("https://pbs.twimg.com/profile_images/3677650507/e310667f83e2740eaa9aeed33afb0e6b_normal.jpeg","View")</f>
        <v>View</v>
      </c>
      <c r="P5819" s="11"/>
    </row>
    <row r="5820" spans="1:16" ht="12.75" x14ac:dyDescent="0.35">
      <c r="A5820" s="7">
        <v>42483.712824074071</v>
      </c>
      <c r="B5820" s="8" t="str">
        <f>HYPERLINK("https://twitter.com/Braulio_Urresti","@Braulio_Urresti")</f>
        <v>@Braulio_Urresti</v>
      </c>
      <c r="C5820" s="9" t="s">
        <v>7915</v>
      </c>
      <c r="D5820" s="9" t="s">
        <v>13300</v>
      </c>
      <c r="E5820" s="10" t="str">
        <f>HYPERLINK("https://twitter.com/Braulio_Urresti/status/723837944033849344","723837944033849344")</f>
        <v>723837944033849344</v>
      </c>
      <c r="F5820" s="11" t="s">
        <v>68</v>
      </c>
      <c r="G5820" s="11">
        <v>58</v>
      </c>
      <c r="H5820" s="11">
        <v>93</v>
      </c>
      <c r="I5820" s="11">
        <v>0</v>
      </c>
      <c r="J5820" s="11">
        <v>0</v>
      </c>
      <c r="K5820" s="11" t="s">
        <v>21</v>
      </c>
      <c r="L5820" s="7">
        <v>42474.937349537038</v>
      </c>
      <c r="M5820" s="12"/>
      <c r="N5820" s="12"/>
      <c r="O5820" s="10" t="str">
        <f>HYPERLINK("https://abs.twimg.com/sticky/default_profile_images/default_profile_5_normal.png","View")</f>
        <v>View</v>
      </c>
      <c r="P5820" s="11"/>
    </row>
    <row r="5821" spans="1:16" ht="12.75" x14ac:dyDescent="0.35">
      <c r="A5821" s="7">
        <v>42483.71361111111</v>
      </c>
      <c r="B5821" s="8" t="str">
        <f>HYPERLINK("https://twitter.com/NetzwerkggS21","@NetzwerkggS21")</f>
        <v>@NetzwerkggS21</v>
      </c>
      <c r="C5821" s="9" t="s">
        <v>2359</v>
      </c>
      <c r="D5821" s="9" t="s">
        <v>13301</v>
      </c>
      <c r="E5821" s="10" t="str">
        <f>HYPERLINK("https://twitter.com/NetzwerkggS21/status/723838228126679040","723838228126679040")</f>
        <v>723838228126679040</v>
      </c>
      <c r="F5821" s="11" t="s">
        <v>43</v>
      </c>
      <c r="G5821" s="11">
        <v>855</v>
      </c>
      <c r="H5821" s="11">
        <v>2114</v>
      </c>
      <c r="I5821" s="11">
        <v>1</v>
      </c>
      <c r="J5821" s="11">
        <v>0</v>
      </c>
      <c r="K5821" s="11" t="s">
        <v>21</v>
      </c>
      <c r="L5821" s="7">
        <v>41326.709363425922</v>
      </c>
      <c r="M5821" s="13" t="s">
        <v>2361</v>
      </c>
      <c r="N5821" s="12" t="s">
        <v>2362</v>
      </c>
      <c r="O5821" s="10" t="str">
        <f>HYPERLINK("https://pbs.twimg.com/profile_images/378800000528765970/3ab9f2a00010e9cac08d5ca1638926e9_normal.png","View")</f>
        <v>View</v>
      </c>
      <c r="P5821" s="11"/>
    </row>
    <row r="5822" spans="1:16" ht="12.75" x14ac:dyDescent="0.35">
      <c r="A5822" s="7">
        <v>42483.714108796295</v>
      </c>
      <c r="B5822" s="8" t="str">
        <f>HYPERLINK("https://twitter.com/thecottagelmore","@thecottagelmore")</f>
        <v>@thecottagelmore</v>
      </c>
      <c r="C5822" s="9" t="s">
        <v>13302</v>
      </c>
      <c r="D5822" s="9" t="s">
        <v>13303</v>
      </c>
      <c r="E5822" s="10" t="str">
        <f>HYPERLINK("https://twitter.com/thecottagelmore/status/723838406963412992","723838406963412992")</f>
        <v>723838406963412992</v>
      </c>
      <c r="F5822" s="11" t="s">
        <v>48</v>
      </c>
      <c r="G5822" s="11">
        <v>216</v>
      </c>
      <c r="H5822" s="11">
        <v>205</v>
      </c>
      <c r="I5822" s="11">
        <v>1</v>
      </c>
      <c r="J5822" s="11">
        <v>0</v>
      </c>
      <c r="K5822" s="11" t="s">
        <v>21</v>
      </c>
      <c r="L5822" s="7">
        <v>41118.634097222224</v>
      </c>
      <c r="M5822" s="12" t="s">
        <v>13304</v>
      </c>
      <c r="N5822" s="12" t="s">
        <v>13305</v>
      </c>
      <c r="O5822" s="10" t="str">
        <f>HYPERLINK("https://pbs.twimg.com/profile_images/509471961303371776/dg3kiGiI_normal.jpeg","View")</f>
        <v>View</v>
      </c>
      <c r="P5822" s="11"/>
    </row>
    <row r="5823" spans="1:16" ht="12.75" x14ac:dyDescent="0.35">
      <c r="A5823" s="7">
        <v>42483.714837962965</v>
      </c>
      <c r="B5823" s="8" t="str">
        <f>HYPERLINK("https://twitter.com/krazykayjun","@krazykayjun")</f>
        <v>@krazykayjun</v>
      </c>
      <c r="C5823" s="9" t="s">
        <v>13306</v>
      </c>
      <c r="D5823" s="9" t="s">
        <v>13307</v>
      </c>
      <c r="E5823" s="10" t="str">
        <f>HYPERLINK("https://twitter.com/krazykayjun/status/723838673867837440","723838673867837440")</f>
        <v>723838673867837440</v>
      </c>
      <c r="F5823" s="11" t="s">
        <v>91</v>
      </c>
      <c r="G5823" s="11">
        <v>171</v>
      </c>
      <c r="H5823" s="11">
        <v>573</v>
      </c>
      <c r="I5823" s="11">
        <v>0</v>
      </c>
      <c r="J5823" s="11">
        <v>0</v>
      </c>
      <c r="K5823" s="11" t="s">
        <v>21</v>
      </c>
      <c r="L5823" s="7">
        <v>39964.92392361111</v>
      </c>
      <c r="M5823" s="12" t="s">
        <v>13308</v>
      </c>
      <c r="N5823" s="12" t="s">
        <v>13309</v>
      </c>
      <c r="O5823" s="10" t="str">
        <f>HYPERLINK("https://pbs.twimg.com/profile_images/475463102277091328/MvEJwQyx_normal.jpeg","View")</f>
        <v>View</v>
      </c>
      <c r="P5823" s="11"/>
    </row>
    <row r="5824" spans="1:16" ht="12.75" x14ac:dyDescent="0.35">
      <c r="A5824" s="7">
        <v>42483.716006944444</v>
      </c>
      <c r="B5824" s="8" t="str">
        <f>HYPERLINK("https://twitter.com/JohnPinkGTi","@JohnPinkGTi")</f>
        <v>@JohnPinkGTi</v>
      </c>
      <c r="C5824" s="9" t="s">
        <v>13310</v>
      </c>
      <c r="D5824" s="9" t="s">
        <v>13311</v>
      </c>
      <c r="E5824" s="10" t="str">
        <f>HYPERLINK("https://twitter.com/JohnPinkGTi/status/723839094342725632","723839094342725632")</f>
        <v>723839094342725632</v>
      </c>
      <c r="F5824" s="11" t="s">
        <v>48</v>
      </c>
      <c r="G5824" s="11">
        <v>150</v>
      </c>
      <c r="H5824" s="11">
        <v>337</v>
      </c>
      <c r="I5824" s="11">
        <v>0</v>
      </c>
      <c r="J5824" s="11">
        <v>0</v>
      </c>
      <c r="K5824" s="11" t="s">
        <v>21</v>
      </c>
      <c r="L5824" s="7">
        <v>41638.155671296292</v>
      </c>
      <c r="M5824" s="12" t="s">
        <v>13312</v>
      </c>
      <c r="N5824" s="12"/>
      <c r="O5824" s="10" t="str">
        <f>HYPERLINK("https://pbs.twimg.com/profile_images/717430776573403136/n-S0k2X0_normal.jpg","View")</f>
        <v>View</v>
      </c>
      <c r="P5824" s="11"/>
    </row>
    <row r="5825" spans="1:16" ht="12.75" x14ac:dyDescent="0.35">
      <c r="A5825" s="7">
        <v>42483.716087962966</v>
      </c>
      <c r="B5825" s="8" t="str">
        <f>HYPERLINK("https://twitter.com/PaulMillerAG","@PaulMillerAG")</f>
        <v>@PaulMillerAG</v>
      </c>
      <c r="C5825" s="9" t="s">
        <v>2405</v>
      </c>
      <c r="D5825" s="9" t="s">
        <v>13313</v>
      </c>
      <c r="E5825" s="10" t="str">
        <f>HYPERLINK("https://twitter.com/PaulMillerAG/status/723839125929881602","723839125929881602")</f>
        <v>723839125929881602</v>
      </c>
      <c r="F5825" s="11" t="s">
        <v>2407</v>
      </c>
      <c r="G5825" s="11">
        <v>963</v>
      </c>
      <c r="H5825" s="11">
        <v>1997</v>
      </c>
      <c r="I5825" s="11">
        <v>0</v>
      </c>
      <c r="J5825" s="11">
        <v>0</v>
      </c>
      <c r="K5825" s="11" t="s">
        <v>21</v>
      </c>
      <c r="L5825" s="7">
        <v>41131.403356481482</v>
      </c>
      <c r="M5825" s="12" t="s">
        <v>2408</v>
      </c>
      <c r="N5825" s="12" t="s">
        <v>2409</v>
      </c>
      <c r="O5825" s="10" t="str">
        <f>HYPERLINK("https://pbs.twimg.com/profile_images/441617884725276672/SnZtRMvP_normal.jpeg","View")</f>
        <v>View</v>
      </c>
      <c r="P5825" s="11"/>
    </row>
    <row r="5826" spans="1:16" ht="12.75" x14ac:dyDescent="0.35">
      <c r="A5826" s="7">
        <v>42483.71739583333</v>
      </c>
      <c r="B5826" s="8" t="str">
        <f>HYPERLINK("https://twitter.com/dosummitgood","@dosummitgood")</f>
        <v>@dosummitgood</v>
      </c>
      <c r="C5826" s="9" t="s">
        <v>13314</v>
      </c>
      <c r="D5826" s="9" t="s">
        <v>13315</v>
      </c>
      <c r="E5826" s="10" t="str">
        <f>HYPERLINK("https://twitter.com/dosummitgood/status/723839598485491712","723839598485491712")</f>
        <v>723839598485491712</v>
      </c>
      <c r="F5826" s="11" t="s">
        <v>20</v>
      </c>
      <c r="G5826" s="11">
        <v>815</v>
      </c>
      <c r="H5826" s="11">
        <v>620</v>
      </c>
      <c r="I5826" s="11">
        <v>0</v>
      </c>
      <c r="J5826" s="11">
        <v>0</v>
      </c>
      <c r="K5826" s="11" t="s">
        <v>21</v>
      </c>
      <c r="L5826" s="7">
        <v>40559.659085648149</v>
      </c>
      <c r="M5826" s="12" t="s">
        <v>35</v>
      </c>
      <c r="N5826" s="12" t="s">
        <v>13316</v>
      </c>
      <c r="O5826" s="10" t="str">
        <f>HYPERLINK("https://pbs.twimg.com/profile_images/378800000674642483/4bcb1ac988f8e83031fc49c885ea124f_normal.jpeg","View")</f>
        <v>View</v>
      </c>
      <c r="P5826" s="11"/>
    </row>
    <row r="5827" spans="1:16" ht="12.75" x14ac:dyDescent="0.35">
      <c r="A5827" s="7">
        <v>42483.717847222222</v>
      </c>
      <c r="B5827" s="8" t="str">
        <f>HYPERLINK("https://twitter.com/NetzwerkggS21","@NetzwerkggS21")</f>
        <v>@NetzwerkggS21</v>
      </c>
      <c r="C5827" s="9" t="s">
        <v>2359</v>
      </c>
      <c r="D5827" s="9" t="s">
        <v>10698</v>
      </c>
      <c r="E5827" s="10" t="str">
        <f>HYPERLINK("https://twitter.com/NetzwerkggS21/status/723839764223406080","723839764223406080")</f>
        <v>723839764223406080</v>
      </c>
      <c r="F5827" s="11" t="s">
        <v>43</v>
      </c>
      <c r="G5827" s="11">
        <v>855</v>
      </c>
      <c r="H5827" s="11">
        <v>2114</v>
      </c>
      <c r="I5827" s="11">
        <v>2</v>
      </c>
      <c r="J5827" s="11">
        <v>0</v>
      </c>
      <c r="K5827" s="11" t="s">
        <v>21</v>
      </c>
      <c r="L5827" s="7">
        <v>41326.709363425922</v>
      </c>
      <c r="M5827" s="13" t="s">
        <v>2361</v>
      </c>
      <c r="N5827" s="12" t="s">
        <v>2362</v>
      </c>
      <c r="O5827" s="10" t="str">
        <f>HYPERLINK("https://pbs.twimg.com/profile_images/378800000528765970/3ab9f2a00010e9cac08d5ca1638926e9_normal.png","View")</f>
        <v>View</v>
      </c>
      <c r="P5827" s="11"/>
    </row>
    <row r="5828" spans="1:16" ht="12.75" x14ac:dyDescent="0.35">
      <c r="A5828" s="7">
        <v>42483.717928240745</v>
      </c>
      <c r="B5828" s="8" t="str">
        <f>HYPERLINK("https://twitter.com/Scirocco_Tuning","@Scirocco_Tuning")</f>
        <v>@Scirocco_Tuning</v>
      </c>
      <c r="C5828" s="9" t="s">
        <v>51</v>
      </c>
      <c r="D5828" s="9" t="s">
        <v>13317</v>
      </c>
      <c r="E5828" s="10" t="str">
        <f>HYPERLINK("https://twitter.com/Scirocco_Tuning/status/723839793470255104","723839793470255104")</f>
        <v>723839793470255104</v>
      </c>
      <c r="F5828" s="11" t="s">
        <v>53</v>
      </c>
      <c r="G5828" s="11">
        <v>69</v>
      </c>
      <c r="H5828" s="11">
        <v>215</v>
      </c>
      <c r="I5828" s="11">
        <v>0</v>
      </c>
      <c r="J5828" s="11">
        <v>0</v>
      </c>
      <c r="K5828" s="11" t="s">
        <v>21</v>
      </c>
      <c r="L5828" s="7">
        <v>40844.564722222218</v>
      </c>
      <c r="M5828" s="12"/>
      <c r="N5828" s="12"/>
      <c r="O5828" s="10" t="str">
        <f>HYPERLINK("https://pbs.twimg.com/profile_images/1610421423/Image2_normal.jpg","View")</f>
        <v>View</v>
      </c>
      <c r="P5828" s="11"/>
    </row>
    <row r="5829" spans="1:16" ht="12.75" x14ac:dyDescent="0.35">
      <c r="A5829" s="7">
        <v>42483.718240740738</v>
      </c>
      <c r="B5829" s="8" t="str">
        <f>HYPERLINK("https://twitter.com/04Francene","@04Francene")</f>
        <v>@04Francene</v>
      </c>
      <c r="C5829" s="9" t="s">
        <v>13318</v>
      </c>
      <c r="D5829" s="9" t="s">
        <v>9970</v>
      </c>
      <c r="E5829" s="10" t="str">
        <f>HYPERLINK("https://twitter.com/04Francene/status/723839905298685952","723839905298685952")</f>
        <v>723839905298685952</v>
      </c>
      <c r="F5829" s="11" t="s">
        <v>48</v>
      </c>
      <c r="G5829" s="11">
        <v>7287</v>
      </c>
      <c r="H5829" s="11">
        <v>2193</v>
      </c>
      <c r="I5829" s="11">
        <v>3</v>
      </c>
      <c r="J5829" s="11">
        <v>0</v>
      </c>
      <c r="K5829" s="11" t="s">
        <v>21</v>
      </c>
      <c r="L5829" s="7">
        <v>41823.637407407405</v>
      </c>
      <c r="M5829" s="12" t="s">
        <v>529</v>
      </c>
      <c r="N5829" s="12" t="s">
        <v>13319</v>
      </c>
      <c r="O5829" s="10" t="str">
        <f>HYPERLINK("https://pbs.twimg.com/profile_images/555469100181233664/N58lleuy_normal.png","View")</f>
        <v>View</v>
      </c>
      <c r="P5829" s="11"/>
    </row>
    <row r="5830" spans="1:16" ht="12.75" x14ac:dyDescent="0.35">
      <c r="A5830" s="7">
        <v>42483.719872685186</v>
      </c>
      <c r="B5830" s="8" t="str">
        <f>HYPERLINK("https://twitter.com/DubLuvTuning","@DubLuvTuning")</f>
        <v>@DubLuvTuning</v>
      </c>
      <c r="C5830" s="9" t="s">
        <v>299</v>
      </c>
      <c r="D5830" s="9" t="s">
        <v>13320</v>
      </c>
      <c r="E5830" s="10" t="str">
        <f>HYPERLINK("https://twitter.com/DubLuvTuning/status/723840496137809921","723840496137809921")</f>
        <v>723840496137809921</v>
      </c>
      <c r="F5830" s="11" t="s">
        <v>288</v>
      </c>
      <c r="G5830" s="11">
        <v>690</v>
      </c>
      <c r="H5830" s="11">
        <v>431</v>
      </c>
      <c r="I5830" s="11">
        <v>1</v>
      </c>
      <c r="J5830" s="11">
        <v>0</v>
      </c>
      <c r="K5830" s="11" t="s">
        <v>21</v>
      </c>
      <c r="L5830" s="7">
        <v>41549.898287037038</v>
      </c>
      <c r="M5830" s="12" t="s">
        <v>301</v>
      </c>
      <c r="N5830" s="12" t="s">
        <v>302</v>
      </c>
      <c r="O5830" s="10" t="str">
        <f>HYPERLINK("https://pbs.twimg.com/profile_images/378800000572104796/1de43e1cf23efb3f4101c02afad0d3b6_normal.png","View")</f>
        <v>View</v>
      </c>
      <c r="P5830" s="11"/>
    </row>
    <row r="5831" spans="1:16" ht="12.75" x14ac:dyDescent="0.35">
      <c r="A5831" s="7">
        <v>42483.720787037033</v>
      </c>
      <c r="B5831" s="8" t="str">
        <f>HYPERLINK("https://twitter.com/maximarquezok","@maximarquezok")</f>
        <v>@maximarquezok</v>
      </c>
      <c r="C5831" s="9" t="s">
        <v>13321</v>
      </c>
      <c r="D5831" s="9" t="s">
        <v>13322</v>
      </c>
      <c r="E5831" s="10" t="str">
        <f>HYPERLINK("https://twitter.com/maximarquezok/status/723840826611212288","723840826611212288")</f>
        <v>723840826611212288</v>
      </c>
      <c r="F5831" s="11" t="s">
        <v>114</v>
      </c>
      <c r="G5831" s="11">
        <v>629</v>
      </c>
      <c r="H5831" s="11">
        <v>869</v>
      </c>
      <c r="I5831" s="11">
        <v>0</v>
      </c>
      <c r="J5831" s="11">
        <v>0</v>
      </c>
      <c r="K5831" s="11" t="s">
        <v>21</v>
      </c>
      <c r="L5831" s="7">
        <v>40420.709930555553</v>
      </c>
      <c r="M5831" s="12" t="s">
        <v>13323</v>
      </c>
      <c r="N5831" s="12" t="s">
        <v>13324</v>
      </c>
      <c r="O5831" s="10" t="str">
        <f>HYPERLINK("https://pbs.twimg.com/profile_images/718895725715787777/qYqpsLvX_normal.jpg","View")</f>
        <v>View</v>
      </c>
      <c r="P5831" s="11"/>
    </row>
    <row r="5832" spans="1:16" ht="12.75" x14ac:dyDescent="0.35">
      <c r="A5832" s="7">
        <v>42483.720891203702</v>
      </c>
      <c r="B5832" s="8" t="str">
        <f>HYPERLINK("https://twitter.com/OnlyHypercar","@OnlyHypercar")</f>
        <v>@OnlyHypercar</v>
      </c>
      <c r="C5832" s="9" t="s">
        <v>13325</v>
      </c>
      <c r="D5832" s="9" t="s">
        <v>13326</v>
      </c>
      <c r="E5832" s="10" t="str">
        <f>HYPERLINK("https://twitter.com/OnlyHypercar/status/723840868373942272","723840868373942272")</f>
        <v>723840868373942272</v>
      </c>
      <c r="F5832" s="11" t="s">
        <v>68</v>
      </c>
      <c r="G5832" s="11">
        <v>12508</v>
      </c>
      <c r="H5832" s="11">
        <v>10460</v>
      </c>
      <c r="I5832" s="11">
        <v>0</v>
      </c>
      <c r="J5832" s="11">
        <v>0</v>
      </c>
      <c r="K5832" s="11" t="s">
        <v>21</v>
      </c>
      <c r="L5832" s="7">
        <v>41977.425115740742</v>
      </c>
      <c r="M5832" s="12"/>
      <c r="N5832" s="12" t="s">
        <v>13327</v>
      </c>
      <c r="O5832" s="10" t="str">
        <f>HYPERLINK("https://pbs.twimg.com/profile_images/540367961584709632/flFdoN-4_normal.jpeg","View")</f>
        <v>View</v>
      </c>
      <c r="P5832" s="11"/>
    </row>
    <row r="5833" spans="1:16" ht="12.75" x14ac:dyDescent="0.35">
      <c r="A5833" s="7">
        <v>42483.721712962964</v>
      </c>
      <c r="B5833" s="8" t="str">
        <f>HYPERLINK("https://twitter.com/Tipperaryphotos","@Tipperaryphotos")</f>
        <v>@Tipperaryphotos</v>
      </c>
      <c r="C5833" s="9" t="s">
        <v>13328</v>
      </c>
      <c r="D5833" s="9" t="s">
        <v>13303</v>
      </c>
      <c r="E5833" s="10" t="str">
        <f>HYPERLINK("https://twitter.com/Tipperaryphotos/status/723841165385175040","723841165385175040")</f>
        <v>723841165385175040</v>
      </c>
      <c r="F5833" s="11" t="s">
        <v>20</v>
      </c>
      <c r="G5833" s="11">
        <v>1708</v>
      </c>
      <c r="H5833" s="11">
        <v>1051</v>
      </c>
      <c r="I5833" s="11">
        <v>2</v>
      </c>
      <c r="J5833" s="11">
        <v>0</v>
      </c>
      <c r="K5833" s="11" t="s">
        <v>21</v>
      </c>
      <c r="L5833" s="7">
        <v>40267.723483796297</v>
      </c>
      <c r="M5833" s="12" t="s">
        <v>13329</v>
      </c>
      <c r="N5833" s="12" t="s">
        <v>13330</v>
      </c>
      <c r="O5833" s="10" t="str">
        <f>HYPERLINK("https://pbs.twimg.com/profile_images/468388723357278208/ffmBn-pp_normal.jpeg","View")</f>
        <v>View</v>
      </c>
      <c r="P5833" s="11"/>
    </row>
    <row r="5834" spans="1:16" ht="12.75" x14ac:dyDescent="0.35">
      <c r="A5834" s="7">
        <v>42483.722800925927</v>
      </c>
      <c r="B5834" s="8" t="str">
        <f>HYPERLINK("https://twitter.com/BI_Neckartor","@BI_Neckartor")</f>
        <v>@BI_Neckartor</v>
      </c>
      <c r="C5834" s="9" t="s">
        <v>13331</v>
      </c>
      <c r="D5834" s="9" t="s">
        <v>13332</v>
      </c>
      <c r="E5834" s="10" t="str">
        <f>HYPERLINK("https://twitter.com/BI_Neckartor/status/723841556533358592","723841556533358592")</f>
        <v>723841556533358592</v>
      </c>
      <c r="F5834" s="11" t="s">
        <v>43</v>
      </c>
      <c r="G5834" s="11">
        <v>163</v>
      </c>
      <c r="H5834" s="11">
        <v>65</v>
      </c>
      <c r="I5834" s="11">
        <v>4</v>
      </c>
      <c r="J5834" s="11">
        <v>0</v>
      </c>
      <c r="K5834" s="11" t="s">
        <v>21</v>
      </c>
      <c r="L5834" s="7">
        <v>40806.85564814815</v>
      </c>
      <c r="M5834" s="12" t="s">
        <v>1169</v>
      </c>
      <c r="N5834" s="12" t="s">
        <v>13333</v>
      </c>
      <c r="O5834" s="10" t="str">
        <f>HYPERLINK("https://pbs.twimg.com/profile_images/691295347436552194/n11nMbJK_normal.jpg","View")</f>
        <v>View</v>
      </c>
      <c r="P5834" s="11"/>
    </row>
    <row r="5835" spans="1:16" ht="12.75" x14ac:dyDescent="0.35">
      <c r="A5835" s="7">
        <v>42483.722858796296</v>
      </c>
      <c r="B5835" s="8" t="str">
        <f>HYPERLINK("https://twitter.com/BecksNutt","@BecksNutt")</f>
        <v>@BecksNutt</v>
      </c>
      <c r="C5835" s="9" t="s">
        <v>13334</v>
      </c>
      <c r="D5835" s="9" t="s">
        <v>13335</v>
      </c>
      <c r="E5835" s="10" t="str">
        <f>HYPERLINK("https://twitter.com/BecksNutt/status/723841580998791171","723841580998791171")</f>
        <v>723841580998791171</v>
      </c>
      <c r="F5835" s="11" t="s">
        <v>20</v>
      </c>
      <c r="G5835" s="11">
        <v>200</v>
      </c>
      <c r="H5835" s="11">
        <v>396</v>
      </c>
      <c r="I5835" s="11">
        <v>1</v>
      </c>
      <c r="J5835" s="11">
        <v>0</v>
      </c>
      <c r="K5835" s="11" t="s">
        <v>21</v>
      </c>
      <c r="L5835" s="7">
        <v>39954.940995370373</v>
      </c>
      <c r="M5835" s="12" t="s">
        <v>11498</v>
      </c>
      <c r="N5835" s="12" t="s">
        <v>13336</v>
      </c>
      <c r="O5835" s="10" t="str">
        <f>HYPERLINK("https://pbs.twimg.com/profile_images/621761611175469056/b89EkOYM_normal.jpg","View")</f>
        <v>View</v>
      </c>
      <c r="P5835" s="11"/>
    </row>
    <row r="5836" spans="1:16" ht="12.75" x14ac:dyDescent="0.35">
      <c r="A5836" s="7">
        <v>42483.722974537042</v>
      </c>
      <c r="B5836" s="8" t="str">
        <f>HYPERLINK("https://twitter.com/vonuntendrunter","@vonuntendrunter")</f>
        <v>@vonuntendrunter</v>
      </c>
      <c r="C5836" s="9" t="s">
        <v>13337</v>
      </c>
      <c r="D5836" s="9" t="s">
        <v>7189</v>
      </c>
      <c r="E5836" s="10" t="str">
        <f>HYPERLINK("https://twitter.com/vonuntendrunter/status/723841621884866560","723841621884866560")</f>
        <v>723841621884866560</v>
      </c>
      <c r="F5836" s="11" t="s">
        <v>48</v>
      </c>
      <c r="G5836" s="11">
        <v>291</v>
      </c>
      <c r="H5836" s="11">
        <v>530</v>
      </c>
      <c r="I5836" s="11">
        <v>16</v>
      </c>
      <c r="J5836" s="11">
        <v>0</v>
      </c>
      <c r="K5836" s="11" t="s">
        <v>21</v>
      </c>
      <c r="L5836" s="7">
        <v>42080.185787037037</v>
      </c>
      <c r="M5836" s="12" t="s">
        <v>13338</v>
      </c>
      <c r="N5836" s="12" t="s">
        <v>13339</v>
      </c>
      <c r="O5836" s="10" t="str">
        <f>HYPERLINK("https://pbs.twimg.com/profile_images/717109195561152512/mv8-ZiHd_normal.jpg","View")</f>
        <v>View</v>
      </c>
      <c r="P5836" s="11"/>
    </row>
    <row r="5837" spans="1:16" ht="12.75" x14ac:dyDescent="0.35">
      <c r="A5837" s="7">
        <v>42483.723009259258</v>
      </c>
      <c r="B5837" s="8" t="str">
        <f>HYPERLINK("https://twitter.com/BI_Neckartor","@BI_Neckartor")</f>
        <v>@BI_Neckartor</v>
      </c>
      <c r="C5837" s="9" t="s">
        <v>13331</v>
      </c>
      <c r="D5837" s="9" t="s">
        <v>10698</v>
      </c>
      <c r="E5837" s="10" t="str">
        <f>HYPERLINK("https://twitter.com/BI_Neckartor/status/723841634455158785","723841634455158785")</f>
        <v>723841634455158785</v>
      </c>
      <c r="F5837" s="11" t="s">
        <v>43</v>
      </c>
      <c r="G5837" s="11">
        <v>163</v>
      </c>
      <c r="H5837" s="11">
        <v>65</v>
      </c>
      <c r="I5837" s="11">
        <v>3</v>
      </c>
      <c r="J5837" s="11">
        <v>0</v>
      </c>
      <c r="K5837" s="11" t="s">
        <v>21</v>
      </c>
      <c r="L5837" s="7">
        <v>40806.85564814815</v>
      </c>
      <c r="M5837" s="12" t="s">
        <v>1169</v>
      </c>
      <c r="N5837" s="12" t="s">
        <v>13333</v>
      </c>
      <c r="O5837" s="10" t="str">
        <f>HYPERLINK("https://pbs.twimg.com/profile_images/691295347436552194/n11nMbJK_normal.jpg","View")</f>
        <v>View</v>
      </c>
      <c r="P5837" s="11"/>
    </row>
    <row r="5838" spans="1:16" ht="12.75" x14ac:dyDescent="0.35">
      <c r="A5838" s="7">
        <v>42483.723263888889</v>
      </c>
      <c r="B5838" s="8" t="str">
        <f>HYPERLINK("https://twitter.com/fys_yukio","@fys_yukio")</f>
        <v>@fys_yukio</v>
      </c>
      <c r="C5838" s="9" t="s">
        <v>13340</v>
      </c>
      <c r="D5838" s="9" t="s">
        <v>13341</v>
      </c>
      <c r="E5838" s="10" t="str">
        <f>HYPERLINK("https://twitter.com/fys_yukio/status/723841727161737216","723841727161737216")</f>
        <v>723841727161737216</v>
      </c>
      <c r="F5838" s="11" t="s">
        <v>114</v>
      </c>
      <c r="G5838" s="11">
        <v>45</v>
      </c>
      <c r="H5838" s="11">
        <v>277</v>
      </c>
      <c r="I5838" s="11">
        <v>0</v>
      </c>
      <c r="J5838" s="11">
        <v>0</v>
      </c>
      <c r="K5838" s="11" t="s">
        <v>21</v>
      </c>
      <c r="L5838" s="7">
        <v>41863.899236111109</v>
      </c>
      <c r="M5838" s="12" t="s">
        <v>13342</v>
      </c>
      <c r="N5838" s="12" t="s">
        <v>13343</v>
      </c>
      <c r="O5838" s="10" t="str">
        <f>HYPERLINK("https://pbs.twimg.com/profile_images/568149263889096704/BO2L4CN5_normal.jpeg","View")</f>
        <v>View</v>
      </c>
      <c r="P5838" s="10" t="str">
        <f>HYPERLINK("http://ctrlq.org/maps/address/#-23.63794103,-47.19913405","Map")</f>
        <v>Map</v>
      </c>
    </row>
    <row r="5839" spans="1:16" ht="12.75" x14ac:dyDescent="0.35">
      <c r="A5839" s="7">
        <v>42483.723391203705</v>
      </c>
      <c r="B5839" s="8" t="str">
        <f>HYPERLINK("https://twitter.com/DingosPDR","@DingosPDR")</f>
        <v>@DingosPDR</v>
      </c>
      <c r="C5839" s="9" t="s">
        <v>11658</v>
      </c>
      <c r="D5839" s="9" t="s">
        <v>13344</v>
      </c>
      <c r="E5839" s="10" t="str">
        <f>HYPERLINK("https://twitter.com/DingosPDR/status/723841773202771968","723841773202771968")</f>
        <v>723841773202771968</v>
      </c>
      <c r="F5839" s="11" t="s">
        <v>20</v>
      </c>
      <c r="G5839" s="11">
        <v>411</v>
      </c>
      <c r="H5839" s="11">
        <v>83</v>
      </c>
      <c r="I5839" s="11">
        <v>0</v>
      </c>
      <c r="J5839" s="11">
        <v>0</v>
      </c>
      <c r="K5839" s="11" t="s">
        <v>21</v>
      </c>
      <c r="L5839" s="7">
        <v>40073.104861111111</v>
      </c>
      <c r="M5839" s="12" t="s">
        <v>11660</v>
      </c>
      <c r="N5839" s="12" t="s">
        <v>11661</v>
      </c>
      <c r="O5839" s="10" t="str">
        <f>HYPERLINK("https://pbs.twimg.com/profile_images/2777446765/3a79c1e9433e5fd3f5b82dcba18e9c95_normal.jpeg","View")</f>
        <v>View</v>
      </c>
      <c r="P5839" s="11"/>
    </row>
    <row r="5840" spans="1:16" ht="12.75" x14ac:dyDescent="0.35">
      <c r="A5840" s="7">
        <v>42483.72655092593</v>
      </c>
      <c r="B5840" s="8" t="str">
        <f>HYPERLINK("https://twitter.com/ORAC_2200","@ORAC_2200")</f>
        <v>@ORAC_2200</v>
      </c>
      <c r="C5840" s="9" t="s">
        <v>13345</v>
      </c>
      <c r="D5840" s="9" t="s">
        <v>13332</v>
      </c>
      <c r="E5840" s="10" t="str">
        <f>HYPERLINK("https://twitter.com/ORAC_2200/status/723842918524526592","723842918524526592")</f>
        <v>723842918524526592</v>
      </c>
      <c r="F5840" s="11" t="s">
        <v>2645</v>
      </c>
      <c r="G5840" s="11">
        <v>423</v>
      </c>
      <c r="H5840" s="11">
        <v>1342</v>
      </c>
      <c r="I5840" s="11">
        <v>4</v>
      </c>
      <c r="J5840" s="11">
        <v>0</v>
      </c>
      <c r="K5840" s="11" t="s">
        <v>21</v>
      </c>
      <c r="L5840" s="7">
        <v>40455.520844907405</v>
      </c>
      <c r="M5840" s="12" t="s">
        <v>13346</v>
      </c>
      <c r="N5840" s="12" t="s">
        <v>13347</v>
      </c>
      <c r="O5840" s="10" t="str">
        <f>HYPERLINK("https://pbs.twimg.com/profile_images/1562972132/e4656889-cfc3-4844-b2ee-86e9ca2ca683_normal.png","View")</f>
        <v>View</v>
      </c>
      <c r="P5840" s="11"/>
    </row>
    <row r="5841" spans="1:16" ht="12.75" x14ac:dyDescent="0.35">
      <c r="A5841" s="7">
        <v>42483.726851851854</v>
      </c>
      <c r="B5841" s="8" t="str">
        <f t="shared" ref="B5841:B5842" si="505">HYPERLINK("https://twitter.com/voosvoos","@voosvoos")</f>
        <v>@voosvoos</v>
      </c>
      <c r="C5841" s="9" t="s">
        <v>13348</v>
      </c>
      <c r="D5841" s="9" t="s">
        <v>13349</v>
      </c>
      <c r="E5841" s="10" t="str">
        <f>HYPERLINK("https://twitter.com/voosvoos/status/723843025257021440","723843025257021440")</f>
        <v>723843025257021440</v>
      </c>
      <c r="F5841" s="11" t="s">
        <v>48</v>
      </c>
      <c r="G5841" s="11">
        <v>2578</v>
      </c>
      <c r="H5841" s="11">
        <v>1</v>
      </c>
      <c r="I5841" s="11">
        <v>1</v>
      </c>
      <c r="J5841" s="11">
        <v>0</v>
      </c>
      <c r="K5841" s="11" t="s">
        <v>21</v>
      </c>
      <c r="L5841" s="7">
        <v>41654.069351851853</v>
      </c>
      <c r="M5841" s="12" t="s">
        <v>13350</v>
      </c>
      <c r="N5841" s="12"/>
      <c r="O5841" s="10" t="str">
        <f t="shared" ref="O5841:O5842" si="506">HYPERLINK("https://pbs.twimg.com/profile_images/668437116981018625/BA3Ui4qQ_normal.jpg","View")</f>
        <v>View</v>
      </c>
      <c r="P5841" s="11"/>
    </row>
    <row r="5842" spans="1:16" ht="12.75" x14ac:dyDescent="0.35">
      <c r="A5842" s="7">
        <v>42483.727106481485</v>
      </c>
      <c r="B5842" s="8" t="str">
        <f t="shared" si="505"/>
        <v>@voosvoos</v>
      </c>
      <c r="C5842" s="9" t="s">
        <v>13348</v>
      </c>
      <c r="D5842" s="9" t="s">
        <v>13351</v>
      </c>
      <c r="E5842" s="10" t="str">
        <f>HYPERLINK("https://twitter.com/voosvoos/status/723843120727764992","723843120727764992")</f>
        <v>723843120727764992</v>
      </c>
      <c r="F5842" s="11" t="s">
        <v>48</v>
      </c>
      <c r="G5842" s="11">
        <v>2578</v>
      </c>
      <c r="H5842" s="11">
        <v>1</v>
      </c>
      <c r="I5842" s="11">
        <v>1</v>
      </c>
      <c r="J5842" s="11">
        <v>0</v>
      </c>
      <c r="K5842" s="11" t="s">
        <v>21</v>
      </c>
      <c r="L5842" s="7">
        <v>41654.069351851853</v>
      </c>
      <c r="M5842" s="12" t="s">
        <v>13350</v>
      </c>
      <c r="N5842" s="12"/>
      <c r="O5842" s="10" t="str">
        <f t="shared" si="506"/>
        <v>View</v>
      </c>
      <c r="P5842" s="11"/>
    </row>
    <row r="5843" spans="1:16" ht="12.75" x14ac:dyDescent="0.35">
      <c r="A5843" s="7">
        <v>42483.727175925931</v>
      </c>
      <c r="B5843" s="8" t="str">
        <f>HYPERLINK("https://twitter.com/CalumWebster","@CalumWebster")</f>
        <v>@CalumWebster</v>
      </c>
      <c r="C5843" s="9" t="s">
        <v>13352</v>
      </c>
      <c r="D5843" s="9" t="s">
        <v>13353</v>
      </c>
      <c r="E5843" s="10" t="str">
        <f>HYPERLINK("https://twitter.com/CalumWebster/status/723843144035475457","723843144035475457")</f>
        <v>723843144035475457</v>
      </c>
      <c r="F5843" s="11" t="s">
        <v>43</v>
      </c>
      <c r="G5843" s="11">
        <v>142</v>
      </c>
      <c r="H5843" s="11">
        <v>187</v>
      </c>
      <c r="I5843" s="11">
        <v>0</v>
      </c>
      <c r="J5843" s="11">
        <v>1</v>
      </c>
      <c r="K5843" s="11" t="s">
        <v>21</v>
      </c>
      <c r="L5843" s="7">
        <v>40162.944247685184</v>
      </c>
      <c r="M5843" s="12"/>
      <c r="N5843" s="12" t="s">
        <v>13354</v>
      </c>
      <c r="O5843" s="10" t="str">
        <f>HYPERLINK("https://pbs.twimg.com/profile_images/1244194437/DSC00094__Medium__normal.JPG","View")</f>
        <v>View</v>
      </c>
      <c r="P5843" s="11"/>
    </row>
    <row r="5844" spans="1:16" ht="12.75" x14ac:dyDescent="0.35">
      <c r="A5844" s="7">
        <v>42483.727418981478</v>
      </c>
      <c r="B5844" s="8" t="str">
        <f>HYPERLINK("https://twitter.com/voosvoos","@voosvoos")</f>
        <v>@voosvoos</v>
      </c>
      <c r="C5844" s="9" t="s">
        <v>13348</v>
      </c>
      <c r="D5844" s="9" t="s">
        <v>13355</v>
      </c>
      <c r="E5844" s="10" t="str">
        <f>HYPERLINK("https://twitter.com/voosvoos/status/723843230689800192","723843230689800192")</f>
        <v>723843230689800192</v>
      </c>
      <c r="F5844" s="11" t="s">
        <v>48</v>
      </c>
      <c r="G5844" s="11">
        <v>2578</v>
      </c>
      <c r="H5844" s="11">
        <v>1</v>
      </c>
      <c r="I5844" s="11">
        <v>1</v>
      </c>
      <c r="J5844" s="11">
        <v>0</v>
      </c>
      <c r="K5844" s="11" t="s">
        <v>21</v>
      </c>
      <c r="L5844" s="7">
        <v>41654.069351851853</v>
      </c>
      <c r="M5844" s="12" t="s">
        <v>13350</v>
      </c>
      <c r="N5844" s="12"/>
      <c r="O5844" s="10" t="str">
        <f>HYPERLINK("https://pbs.twimg.com/profile_images/668437116981018625/BA3Ui4qQ_normal.jpg","View")</f>
        <v>View</v>
      </c>
      <c r="P5844" s="11"/>
    </row>
    <row r="5845" spans="1:16" ht="12.75" x14ac:dyDescent="0.35">
      <c r="A5845" s="7">
        <v>42483.727847222224</v>
      </c>
      <c r="B5845" s="8" t="str">
        <f t="shared" ref="B5845:B5847" si="507">HYPERLINK("https://twitter.com/FuscaWorld","@FuscaWorld")</f>
        <v>@FuscaWorld</v>
      </c>
      <c r="C5845" s="9" t="s">
        <v>74</v>
      </c>
      <c r="D5845" s="9" t="s">
        <v>13356</v>
      </c>
      <c r="E5845" s="10" t="str">
        <f>HYPERLINK("https://twitter.com/FuscaWorld/status/723843385434488832","723843385434488832")</f>
        <v>723843385434488832</v>
      </c>
      <c r="F5845" s="11" t="s">
        <v>76</v>
      </c>
      <c r="G5845" s="11">
        <v>50</v>
      </c>
      <c r="H5845" s="11">
        <v>1</v>
      </c>
      <c r="I5845" s="11">
        <v>1</v>
      </c>
      <c r="J5845" s="11">
        <v>0</v>
      </c>
      <c r="K5845" s="11" t="s">
        <v>21</v>
      </c>
      <c r="L5845" s="7">
        <v>42433.880914351852</v>
      </c>
      <c r="M5845" s="12"/>
      <c r="N5845" s="12" t="s">
        <v>77</v>
      </c>
      <c r="O5845" s="10" t="str">
        <f t="shared" ref="O5845:O5847" si="508">HYPERLINK("https://pbs.twimg.com/profile_images/705780107844067328/e7O4UBNb_normal.jpg","View")</f>
        <v>View</v>
      </c>
      <c r="P5845" s="11"/>
    </row>
    <row r="5846" spans="1:16" ht="12.75" x14ac:dyDescent="0.35">
      <c r="A5846" s="7">
        <v>42483.727847222224</v>
      </c>
      <c r="B5846" s="8" t="str">
        <f t="shared" si="507"/>
        <v>@FuscaWorld</v>
      </c>
      <c r="C5846" s="9" t="s">
        <v>74</v>
      </c>
      <c r="D5846" s="9" t="s">
        <v>13356</v>
      </c>
      <c r="E5846" s="10" t="str">
        <f>HYPERLINK("https://twitter.com/FuscaWorld/status/723843387892338689","723843387892338689")</f>
        <v>723843387892338689</v>
      </c>
      <c r="F5846" s="11" t="s">
        <v>76</v>
      </c>
      <c r="G5846" s="11">
        <v>50</v>
      </c>
      <c r="H5846" s="11">
        <v>1</v>
      </c>
      <c r="I5846" s="11">
        <v>1</v>
      </c>
      <c r="J5846" s="11">
        <v>0</v>
      </c>
      <c r="K5846" s="11" t="s">
        <v>21</v>
      </c>
      <c r="L5846" s="7">
        <v>42433.880914351852</v>
      </c>
      <c r="M5846" s="12"/>
      <c r="N5846" s="12" t="s">
        <v>77</v>
      </c>
      <c r="O5846" s="10" t="str">
        <f t="shared" si="508"/>
        <v>View</v>
      </c>
      <c r="P5846" s="11"/>
    </row>
    <row r="5847" spans="1:16" ht="12.75" x14ac:dyDescent="0.35">
      <c r="A5847" s="7">
        <v>42483.727858796294</v>
      </c>
      <c r="B5847" s="8" t="str">
        <f t="shared" si="507"/>
        <v>@FuscaWorld</v>
      </c>
      <c r="C5847" s="9" t="s">
        <v>74</v>
      </c>
      <c r="D5847" s="9" t="s">
        <v>13356</v>
      </c>
      <c r="E5847" s="10" t="str">
        <f>HYPERLINK("https://twitter.com/FuscaWorld/status/723843389872021505","723843389872021505")</f>
        <v>723843389872021505</v>
      </c>
      <c r="F5847" s="11" t="s">
        <v>76</v>
      </c>
      <c r="G5847" s="11">
        <v>50</v>
      </c>
      <c r="H5847" s="11">
        <v>1</v>
      </c>
      <c r="I5847" s="11">
        <v>1</v>
      </c>
      <c r="J5847" s="11">
        <v>0</v>
      </c>
      <c r="K5847" s="11" t="s">
        <v>21</v>
      </c>
      <c r="L5847" s="7">
        <v>42433.880914351852</v>
      </c>
      <c r="M5847" s="12"/>
      <c r="N5847" s="12" t="s">
        <v>77</v>
      </c>
      <c r="O5847" s="10" t="str">
        <f t="shared" si="508"/>
        <v>View</v>
      </c>
      <c r="P5847" s="11"/>
    </row>
    <row r="5848" spans="1:16" ht="12.75" x14ac:dyDescent="0.35">
      <c r="A5848" s="7">
        <v>42483.728206018517</v>
      </c>
      <c r="B5848" s="8" t="str">
        <f t="shared" ref="B5848:B5851" si="509">HYPERLINK("https://twitter.com/voosvoos","@voosvoos")</f>
        <v>@voosvoos</v>
      </c>
      <c r="C5848" s="9" t="s">
        <v>13348</v>
      </c>
      <c r="D5848" s="9" t="s">
        <v>13357</v>
      </c>
      <c r="E5848" s="10" t="str">
        <f>HYPERLINK("https://twitter.com/voosvoos/status/723843519211773952","723843519211773952")</f>
        <v>723843519211773952</v>
      </c>
      <c r="F5848" s="11" t="s">
        <v>48</v>
      </c>
      <c r="G5848" s="11">
        <v>2578</v>
      </c>
      <c r="H5848" s="11">
        <v>1</v>
      </c>
      <c r="I5848" s="11">
        <v>0</v>
      </c>
      <c r="J5848" s="11">
        <v>0</v>
      </c>
      <c r="K5848" s="11" t="s">
        <v>21</v>
      </c>
      <c r="L5848" s="7">
        <v>41654.069351851853</v>
      </c>
      <c r="M5848" s="12" t="s">
        <v>13350</v>
      </c>
      <c r="N5848" s="12"/>
      <c r="O5848" s="10" t="str">
        <f t="shared" ref="O5848:O5851" si="510">HYPERLINK("https://pbs.twimg.com/profile_images/668437116981018625/BA3Ui4qQ_normal.jpg","View")</f>
        <v>View</v>
      </c>
      <c r="P5848" s="11"/>
    </row>
    <row r="5849" spans="1:16" ht="12.75" x14ac:dyDescent="0.35">
      <c r="A5849" s="7">
        <v>42483.728506944448</v>
      </c>
      <c r="B5849" s="8" t="str">
        <f t="shared" si="509"/>
        <v>@voosvoos</v>
      </c>
      <c r="C5849" s="9" t="s">
        <v>13348</v>
      </c>
      <c r="D5849" s="9" t="s">
        <v>13358</v>
      </c>
      <c r="E5849" s="10" t="str">
        <f>HYPERLINK("https://twitter.com/voosvoos/status/723843625562562560","723843625562562560")</f>
        <v>723843625562562560</v>
      </c>
      <c r="F5849" s="11" t="s">
        <v>48</v>
      </c>
      <c r="G5849" s="11">
        <v>2578</v>
      </c>
      <c r="H5849" s="11">
        <v>1</v>
      </c>
      <c r="I5849" s="11">
        <v>1</v>
      </c>
      <c r="J5849" s="11">
        <v>0</v>
      </c>
      <c r="K5849" s="11" t="s">
        <v>21</v>
      </c>
      <c r="L5849" s="7">
        <v>41654.069351851853</v>
      </c>
      <c r="M5849" s="12" t="s">
        <v>13350</v>
      </c>
      <c r="N5849" s="12"/>
      <c r="O5849" s="10" t="str">
        <f t="shared" si="510"/>
        <v>View</v>
      </c>
      <c r="P5849" s="11"/>
    </row>
    <row r="5850" spans="1:16" ht="12.75" x14ac:dyDescent="0.35">
      <c r="A5850" s="7">
        <v>42483.728761574079</v>
      </c>
      <c r="B5850" s="8" t="str">
        <f t="shared" si="509"/>
        <v>@voosvoos</v>
      </c>
      <c r="C5850" s="9" t="s">
        <v>13348</v>
      </c>
      <c r="D5850" s="9" t="s">
        <v>13359</v>
      </c>
      <c r="E5850" s="10" t="str">
        <f>HYPERLINK("https://twitter.com/voosvoos/status/723843718554501120","723843718554501120")</f>
        <v>723843718554501120</v>
      </c>
      <c r="F5850" s="11" t="s">
        <v>48</v>
      </c>
      <c r="G5850" s="11">
        <v>2578</v>
      </c>
      <c r="H5850" s="11">
        <v>1</v>
      </c>
      <c r="I5850" s="11">
        <v>0</v>
      </c>
      <c r="J5850" s="11">
        <v>0</v>
      </c>
      <c r="K5850" s="11" t="s">
        <v>21</v>
      </c>
      <c r="L5850" s="7">
        <v>41654.069351851853</v>
      </c>
      <c r="M5850" s="12" t="s">
        <v>13350</v>
      </c>
      <c r="N5850" s="12"/>
      <c r="O5850" s="10" t="str">
        <f t="shared" si="510"/>
        <v>View</v>
      </c>
      <c r="P5850" s="11"/>
    </row>
    <row r="5851" spans="1:16" ht="12.75" x14ac:dyDescent="0.35">
      <c r="A5851" s="7">
        <v>42483.729097222225</v>
      </c>
      <c r="B5851" s="8" t="str">
        <f t="shared" si="509"/>
        <v>@voosvoos</v>
      </c>
      <c r="C5851" s="9" t="s">
        <v>13348</v>
      </c>
      <c r="D5851" s="9" t="s">
        <v>13360</v>
      </c>
      <c r="E5851" s="10" t="str">
        <f>HYPERLINK("https://twitter.com/voosvoos/status/723843841325993984","723843841325993984")</f>
        <v>723843841325993984</v>
      </c>
      <c r="F5851" s="11" t="s">
        <v>48</v>
      </c>
      <c r="G5851" s="11">
        <v>2578</v>
      </c>
      <c r="H5851" s="11">
        <v>1</v>
      </c>
      <c r="I5851" s="11">
        <v>0</v>
      </c>
      <c r="J5851" s="11">
        <v>0</v>
      </c>
      <c r="K5851" s="11" t="s">
        <v>21</v>
      </c>
      <c r="L5851" s="7">
        <v>41654.069351851853</v>
      </c>
      <c r="M5851" s="12" t="s">
        <v>13350</v>
      </c>
      <c r="N5851" s="12"/>
      <c r="O5851" s="10" t="str">
        <f t="shared" si="510"/>
        <v>View</v>
      </c>
      <c r="P5851" s="11"/>
    </row>
    <row r="5852" spans="1:16" ht="12.75" x14ac:dyDescent="0.35">
      <c r="A5852" s="7">
        <v>42483.729189814811</v>
      </c>
      <c r="B5852" s="8" t="str">
        <f>HYPERLINK("https://twitter.com/Elitet5","@Elitet5")</f>
        <v>@Elitet5</v>
      </c>
      <c r="C5852" s="9" t="s">
        <v>2807</v>
      </c>
      <c r="D5852" s="9" t="s">
        <v>13361</v>
      </c>
      <c r="E5852" s="10" t="str">
        <f>HYPERLINK("https://twitter.com/Elitet5/status/723843875199156226","723843875199156226")</f>
        <v>723843875199156226</v>
      </c>
      <c r="F5852" s="11" t="s">
        <v>20</v>
      </c>
      <c r="G5852" s="11">
        <v>414</v>
      </c>
      <c r="H5852" s="11">
        <v>581</v>
      </c>
      <c r="I5852" s="11">
        <v>0</v>
      </c>
      <c r="J5852" s="11">
        <v>0</v>
      </c>
      <c r="K5852" s="11" t="s">
        <v>21</v>
      </c>
      <c r="L5852" s="7">
        <v>41566.857361111113</v>
      </c>
      <c r="M5852" s="12" t="s">
        <v>2809</v>
      </c>
      <c r="N5852" s="12" t="s">
        <v>2810</v>
      </c>
      <c r="O5852" s="10" t="str">
        <f>HYPERLINK("https://pbs.twimg.com/profile_images/431166006807904256/QQuD9iZE_normal.jpeg","View")</f>
        <v>View</v>
      </c>
      <c r="P5852" s="11"/>
    </row>
    <row r="5853" spans="1:16" ht="12.75" x14ac:dyDescent="0.35">
      <c r="A5853" s="7">
        <v>42483.729513888888</v>
      </c>
      <c r="B5853" s="8" t="str">
        <f>HYPERLINK("https://twitter.com/zoomit_ir","@zoomit_ir")</f>
        <v>@zoomit_ir</v>
      </c>
      <c r="C5853" s="9" t="s">
        <v>13362</v>
      </c>
      <c r="D5853" s="9" t="s">
        <v>13363</v>
      </c>
      <c r="E5853" s="10" t="str">
        <f>HYPERLINK("https://twitter.com/zoomit_ir/status/723843992715165697","723843992715165697")</f>
        <v>723843992715165697</v>
      </c>
      <c r="F5853" s="11" t="s">
        <v>80</v>
      </c>
      <c r="G5853" s="11">
        <v>5100</v>
      </c>
      <c r="H5853" s="11">
        <v>82</v>
      </c>
      <c r="I5853" s="11">
        <v>0</v>
      </c>
      <c r="J5853" s="11">
        <v>0</v>
      </c>
      <c r="K5853" s="11" t="s">
        <v>21</v>
      </c>
      <c r="L5853" s="7">
        <v>40434.463356481479</v>
      </c>
      <c r="M5853" s="12" t="s">
        <v>13364</v>
      </c>
      <c r="N5853" s="12" t="s">
        <v>13365</v>
      </c>
      <c r="O5853" s="10" t="str">
        <f>HYPERLINK("https://pbs.twimg.com/profile_images/504930723967418369/-5Q-e2N6_normal.png","View")</f>
        <v>View</v>
      </c>
      <c r="P5853" s="11"/>
    </row>
    <row r="5854" spans="1:16" ht="12.75" x14ac:dyDescent="0.35">
      <c r="A5854" s="7">
        <v>42483.729722222226</v>
      </c>
      <c r="B5854" s="8" t="str">
        <f>HYPERLINK("https://twitter.com/eoguzbey1","@eoguzbey1")</f>
        <v>@eoguzbey1</v>
      </c>
      <c r="C5854" s="9" t="s">
        <v>13366</v>
      </c>
      <c r="D5854" s="9" t="s">
        <v>13356</v>
      </c>
      <c r="E5854" s="10" t="str">
        <f>HYPERLINK("https://twitter.com/eoguzbey1/status/723844066820005888","723844066820005888")</f>
        <v>723844066820005888</v>
      </c>
      <c r="F5854" s="11" t="s">
        <v>2060</v>
      </c>
      <c r="G5854" s="11">
        <v>238</v>
      </c>
      <c r="H5854" s="11">
        <v>105</v>
      </c>
      <c r="I5854" s="11">
        <v>2</v>
      </c>
      <c r="J5854" s="11">
        <v>0</v>
      </c>
      <c r="K5854" s="11" t="s">
        <v>21</v>
      </c>
      <c r="L5854" s="7">
        <v>41622.977743055555</v>
      </c>
      <c r="M5854" s="12"/>
      <c r="N5854" s="12"/>
      <c r="O5854" s="10" t="str">
        <f>HYPERLINK("https://pbs.twimg.com/profile_images/715931676803731456/Xc8P_p5g_normal.jpg","View")</f>
        <v>View</v>
      </c>
      <c r="P5854" s="11"/>
    </row>
    <row r="5855" spans="1:16" ht="12.75" x14ac:dyDescent="0.35">
      <c r="A5855" s="7">
        <v>42483.729733796295</v>
      </c>
      <c r="B5855" s="8" t="str">
        <f>HYPERLINK("https://twitter.com/indianautos","@indianautos")</f>
        <v>@indianautos</v>
      </c>
      <c r="C5855" s="9" t="s">
        <v>13367</v>
      </c>
      <c r="D5855" s="9" t="s">
        <v>13368</v>
      </c>
      <c r="E5855" s="10" t="str">
        <f>HYPERLINK("https://twitter.com/indianautos/status/723844070636937216","723844070636937216")</f>
        <v>723844070636937216</v>
      </c>
      <c r="F5855" s="11" t="s">
        <v>80</v>
      </c>
      <c r="G5855" s="11">
        <v>16471</v>
      </c>
      <c r="H5855" s="11">
        <v>2620</v>
      </c>
      <c r="I5855" s="11">
        <v>0</v>
      </c>
      <c r="J5855" s="11">
        <v>0</v>
      </c>
      <c r="K5855" s="11" t="s">
        <v>21</v>
      </c>
      <c r="L5855" s="7">
        <v>39564.947430555556</v>
      </c>
      <c r="M5855" s="12" t="s">
        <v>10000</v>
      </c>
      <c r="N5855" s="12" t="s">
        <v>13369</v>
      </c>
      <c r="O5855" s="10" t="str">
        <f>HYPERLINK("https://pbs.twimg.com/profile_images/2122824468/IAB_normal.png","View")</f>
        <v>View</v>
      </c>
      <c r="P5855" s="11"/>
    </row>
    <row r="5856" spans="1:16" ht="12.75" x14ac:dyDescent="0.35">
      <c r="A5856" s="7">
        <v>42483.729907407411</v>
      </c>
      <c r="B5856" s="8" t="str">
        <f>HYPERLINK("https://twitter.com/voosvoos","@voosvoos")</f>
        <v>@voosvoos</v>
      </c>
      <c r="C5856" s="9" t="s">
        <v>13348</v>
      </c>
      <c r="D5856" s="9" t="s">
        <v>13370</v>
      </c>
      <c r="E5856" s="10" t="str">
        <f>HYPERLINK("https://twitter.com/voosvoos/status/723844133056569344","723844133056569344")</f>
        <v>723844133056569344</v>
      </c>
      <c r="F5856" s="11" t="s">
        <v>48</v>
      </c>
      <c r="G5856" s="11">
        <v>2578</v>
      </c>
      <c r="H5856" s="11">
        <v>1</v>
      </c>
      <c r="I5856" s="11">
        <v>1</v>
      </c>
      <c r="J5856" s="11">
        <v>1</v>
      </c>
      <c r="K5856" s="11" t="s">
        <v>21</v>
      </c>
      <c r="L5856" s="7">
        <v>41654.069351851853</v>
      </c>
      <c r="M5856" s="12" t="s">
        <v>13350</v>
      </c>
      <c r="N5856" s="12"/>
      <c r="O5856" s="10" t="str">
        <f>HYPERLINK("https://pbs.twimg.com/profile_images/668437116981018625/BA3Ui4qQ_normal.jpg","View")</f>
        <v>View</v>
      </c>
      <c r="P5856" s="11"/>
    </row>
    <row r="5857" spans="1:16" ht="12.75" x14ac:dyDescent="0.35">
      <c r="A5857" s="7">
        <v>42483.730046296296</v>
      </c>
      <c r="B5857" s="8" t="str">
        <f>HYPERLINK("https://twitter.com/GianMarcoSolas","@GianMarcoSolas")</f>
        <v>@GianMarcoSolas</v>
      </c>
      <c r="C5857" s="9" t="s">
        <v>2049</v>
      </c>
      <c r="D5857" s="9" t="s">
        <v>12855</v>
      </c>
      <c r="E5857" s="10" t="str">
        <f>HYPERLINK("https://twitter.com/GianMarcoSolas/status/723844183702802432","723844183702802432")</f>
        <v>723844183702802432</v>
      </c>
      <c r="F5857" s="11" t="s">
        <v>20</v>
      </c>
      <c r="G5857" s="11">
        <v>49</v>
      </c>
      <c r="H5857" s="11">
        <v>40</v>
      </c>
      <c r="I5857" s="11">
        <v>4</v>
      </c>
      <c r="J5857" s="11">
        <v>0</v>
      </c>
      <c r="K5857" s="11" t="s">
        <v>21</v>
      </c>
      <c r="L5857" s="7">
        <v>40475.862083333333</v>
      </c>
      <c r="M5857" s="12"/>
      <c r="N5857" s="12" t="s">
        <v>2050</v>
      </c>
      <c r="O5857" s="10" t="str">
        <f>HYPERLINK("https://pbs.twimg.com/profile_images/717791489737232385/xRQsxjNT_normal.jpg","View")</f>
        <v>View</v>
      </c>
      <c r="P5857" s="11"/>
    </row>
    <row r="5858" spans="1:16" ht="12.75" x14ac:dyDescent="0.35">
      <c r="A5858" s="7">
        <v>42483.730821759258</v>
      </c>
      <c r="B5858" s="8" t="str">
        <f>HYPERLINK("https://twitter.com/yunusemrkaraman","@yunusemrkaraman")</f>
        <v>@yunusemrkaraman</v>
      </c>
      <c r="C5858" s="9" t="s">
        <v>13371</v>
      </c>
      <c r="D5858" s="9" t="s">
        <v>13372</v>
      </c>
      <c r="E5858" s="10" t="str">
        <f>HYPERLINK("https://twitter.com/yunusemrkaraman/status/723844464716963840","723844464716963840")</f>
        <v>723844464716963840</v>
      </c>
      <c r="F5858" s="11" t="s">
        <v>48</v>
      </c>
      <c r="G5858" s="11">
        <v>192</v>
      </c>
      <c r="H5858" s="11">
        <v>59</v>
      </c>
      <c r="I5858" s="11">
        <v>2</v>
      </c>
      <c r="J5858" s="11">
        <v>2</v>
      </c>
      <c r="K5858" s="11" t="s">
        <v>21</v>
      </c>
      <c r="L5858" s="7">
        <v>42290.6721875</v>
      </c>
      <c r="M5858" s="12" t="s">
        <v>1988</v>
      </c>
      <c r="N5858" s="12" t="s">
        <v>13373</v>
      </c>
      <c r="O5858" s="10" t="str">
        <f>HYPERLINK("https://pbs.twimg.com/profile_images/684637471917883392/edHMl99a_normal.jpg","View")</f>
        <v>View</v>
      </c>
      <c r="P5858" s="11"/>
    </row>
    <row r="5859" spans="1:16" ht="12.75" x14ac:dyDescent="0.35">
      <c r="A5859" s="7">
        <v>42483.730902777781</v>
      </c>
      <c r="B5859" s="8" t="str">
        <f>HYPERLINK("https://twitter.com/miraclemedia","@miraclemedia")</f>
        <v>@miraclemedia</v>
      </c>
      <c r="C5859" s="9" t="s">
        <v>13374</v>
      </c>
      <c r="D5859" s="9" t="s">
        <v>13375</v>
      </c>
      <c r="E5859" s="10" t="str">
        <f>HYPERLINK("https://twitter.com/miraclemedia/status/723844493909352448","723844493909352448")</f>
        <v>723844493909352448</v>
      </c>
      <c r="F5859" s="11" t="s">
        <v>114</v>
      </c>
      <c r="G5859" s="11">
        <v>200</v>
      </c>
      <c r="H5859" s="11">
        <v>231</v>
      </c>
      <c r="I5859" s="11">
        <v>0</v>
      </c>
      <c r="J5859" s="11">
        <v>0</v>
      </c>
      <c r="K5859" s="11" t="s">
        <v>21</v>
      </c>
      <c r="L5859" s="7">
        <v>40324.505104166667</v>
      </c>
      <c r="M5859" s="12" t="s">
        <v>13376</v>
      </c>
      <c r="N5859" s="12"/>
      <c r="O5859" s="10" t="str">
        <f>HYPERLINK("https://pbs.twimg.com/profile_images/492989753374281728/8UiYOUo7_normal.jpeg","View")</f>
        <v>View</v>
      </c>
      <c r="P5859" s="10" t="str">
        <f>HYPERLINK("http://ctrlq.org/maps/address/#52.36666667,4.53333333","Map")</f>
        <v>Map</v>
      </c>
    </row>
    <row r="5860" spans="1:16" ht="12.75" x14ac:dyDescent="0.35">
      <c r="A5860" s="7">
        <v>42483.731192129635</v>
      </c>
      <c r="B5860" s="8" t="str">
        <f>HYPERLINK("https://twitter.com/voosvoos","@voosvoos")</f>
        <v>@voosvoos</v>
      </c>
      <c r="C5860" s="9" t="s">
        <v>13348</v>
      </c>
      <c r="D5860" s="9" t="s">
        <v>13377</v>
      </c>
      <c r="E5860" s="10" t="str">
        <f>HYPERLINK("https://twitter.com/voosvoos/status/723844599421276160","723844599421276160")</f>
        <v>723844599421276160</v>
      </c>
      <c r="F5860" s="11" t="s">
        <v>43</v>
      </c>
      <c r="G5860" s="11">
        <v>2578</v>
      </c>
      <c r="H5860" s="11">
        <v>1</v>
      </c>
      <c r="I5860" s="11">
        <v>2</v>
      </c>
      <c r="J5860" s="11">
        <v>0</v>
      </c>
      <c r="K5860" s="11" t="s">
        <v>21</v>
      </c>
      <c r="L5860" s="7">
        <v>41654.069351851853</v>
      </c>
      <c r="M5860" s="12" t="s">
        <v>13350</v>
      </c>
      <c r="N5860" s="12"/>
      <c r="O5860" s="10" t="str">
        <f>HYPERLINK("https://pbs.twimg.com/profile_images/668437116981018625/BA3Ui4qQ_normal.jpg","View")</f>
        <v>View</v>
      </c>
      <c r="P5860" s="11"/>
    </row>
    <row r="5861" spans="1:16" ht="12.75" x14ac:dyDescent="0.35">
      <c r="A5861" s="7">
        <v>42483.73133101852</v>
      </c>
      <c r="B5861" s="8" t="str">
        <f>HYPERLINK("https://twitter.com/mattdownstch1","@mattdownstch1")</f>
        <v>@mattdownstch1</v>
      </c>
      <c r="C5861" s="9" t="s">
        <v>13378</v>
      </c>
      <c r="D5861" s="9" t="s">
        <v>13150</v>
      </c>
      <c r="E5861" s="10" t="str">
        <f>HYPERLINK("https://twitter.com/mattdownstch1/status/723844649400582144","723844649400582144")</f>
        <v>723844649400582144</v>
      </c>
      <c r="F5861" s="11" t="s">
        <v>20</v>
      </c>
      <c r="G5861" s="11">
        <v>25</v>
      </c>
      <c r="H5861" s="11">
        <v>156</v>
      </c>
      <c r="I5861" s="11">
        <v>13</v>
      </c>
      <c r="J5861" s="11">
        <v>0</v>
      </c>
      <c r="K5861" s="11" t="s">
        <v>21</v>
      </c>
      <c r="L5861" s="7">
        <v>42478.793703703705</v>
      </c>
      <c r="M5861" s="12" t="s">
        <v>13379</v>
      </c>
      <c r="N5861" s="12" t="s">
        <v>13380</v>
      </c>
      <c r="O5861" s="10" t="str">
        <f>HYPERLINK("https://pbs.twimg.com/profile_images/722061901673447424/Dg_EuKrF_normal.jpg","View")</f>
        <v>View</v>
      </c>
      <c r="P5861" s="11"/>
    </row>
    <row r="5862" spans="1:16" ht="12.75" x14ac:dyDescent="0.35">
      <c r="A5862" s="7">
        <v>42483.731747685189</v>
      </c>
      <c r="B5862" s="8" t="str">
        <f>HYPERLINK("https://twitter.com/DubLuvTuning","@DubLuvTuning")</f>
        <v>@DubLuvTuning</v>
      </c>
      <c r="C5862" s="9" t="s">
        <v>299</v>
      </c>
      <c r="D5862" s="9" t="s">
        <v>13381</v>
      </c>
      <c r="E5862" s="10" t="str">
        <f>HYPERLINK("https://twitter.com/DubLuvTuning/status/723844799481188352","723844799481188352")</f>
        <v>723844799481188352</v>
      </c>
      <c r="F5862" s="11" t="s">
        <v>288</v>
      </c>
      <c r="G5862" s="11">
        <v>690</v>
      </c>
      <c r="H5862" s="11">
        <v>431</v>
      </c>
      <c r="I5862" s="11">
        <v>1</v>
      </c>
      <c r="J5862" s="11">
        <v>0</v>
      </c>
      <c r="K5862" s="11" t="s">
        <v>21</v>
      </c>
      <c r="L5862" s="7">
        <v>41549.898287037038</v>
      </c>
      <c r="M5862" s="12" t="s">
        <v>301</v>
      </c>
      <c r="N5862" s="12" t="s">
        <v>302</v>
      </c>
      <c r="O5862" s="10" t="str">
        <f>HYPERLINK("https://pbs.twimg.com/profile_images/378800000572104796/1de43e1cf23efb3f4101c02afad0d3b6_normal.png","View")</f>
        <v>View</v>
      </c>
      <c r="P5862" s="11"/>
    </row>
    <row r="5863" spans="1:16" ht="12.75" x14ac:dyDescent="0.35">
      <c r="A5863" s="7">
        <v>42483.731770833328</v>
      </c>
      <c r="B5863" s="8" t="str">
        <f t="shared" ref="B5863:B5865" si="511">HYPERLINK("https://twitter.com/Exvtra_uk","@Exvtra_uk")</f>
        <v>@Exvtra_uk</v>
      </c>
      <c r="C5863" s="8" t="s">
        <v>13382</v>
      </c>
      <c r="D5863" s="9" t="s">
        <v>13271</v>
      </c>
      <c r="E5863" s="10" t="str">
        <f>HYPERLINK("https://twitter.com/Exvtra_uk/status/723844807337119748","723844807337119748")</f>
        <v>723844807337119748</v>
      </c>
      <c r="F5863" s="11" t="s">
        <v>43</v>
      </c>
      <c r="G5863" s="11">
        <v>7374</v>
      </c>
      <c r="H5863" s="11">
        <v>2650</v>
      </c>
      <c r="I5863" s="11">
        <v>2</v>
      </c>
      <c r="J5863" s="11">
        <v>0</v>
      </c>
      <c r="K5863" s="11" t="s">
        <v>21</v>
      </c>
      <c r="L5863" s="7">
        <v>41528.158055555556</v>
      </c>
      <c r="M5863" s="12" t="s">
        <v>129</v>
      </c>
      <c r="N5863" s="12" t="s">
        <v>13383</v>
      </c>
      <c r="O5863" s="10" t="str">
        <f t="shared" ref="O5863:O5865" si="512">HYPERLINK("https://pbs.twimg.com/profile_images/524531569906565120/Noxq66xP_normal.jpeg","View")</f>
        <v>View</v>
      </c>
      <c r="P5863" s="11"/>
    </row>
    <row r="5864" spans="1:16" ht="12.75" x14ac:dyDescent="0.35">
      <c r="A5864" s="7">
        <v>42483.731840277775</v>
      </c>
      <c r="B5864" s="8" t="str">
        <f t="shared" si="511"/>
        <v>@Exvtra_uk</v>
      </c>
      <c r="C5864" s="8" t="s">
        <v>13382</v>
      </c>
      <c r="D5864" s="9" t="s">
        <v>13253</v>
      </c>
      <c r="E5864" s="10" t="str">
        <f>HYPERLINK("https://twitter.com/Exvtra_uk/status/723844836131016706","723844836131016706")</f>
        <v>723844836131016706</v>
      </c>
      <c r="F5864" s="11" t="s">
        <v>43</v>
      </c>
      <c r="G5864" s="11">
        <v>7374</v>
      </c>
      <c r="H5864" s="11">
        <v>2650</v>
      </c>
      <c r="I5864" s="11">
        <v>2</v>
      </c>
      <c r="J5864" s="11">
        <v>0</v>
      </c>
      <c r="K5864" s="11" t="s">
        <v>21</v>
      </c>
      <c r="L5864" s="7">
        <v>41528.158055555556</v>
      </c>
      <c r="M5864" s="12" t="s">
        <v>129</v>
      </c>
      <c r="N5864" s="12" t="s">
        <v>13383</v>
      </c>
      <c r="O5864" s="10" t="str">
        <f t="shared" si="512"/>
        <v>View</v>
      </c>
      <c r="P5864" s="11"/>
    </row>
    <row r="5865" spans="1:16" ht="12.75" x14ac:dyDescent="0.35">
      <c r="A5865" s="7">
        <v>42483.731979166667</v>
      </c>
      <c r="B5865" s="8" t="str">
        <f t="shared" si="511"/>
        <v>@Exvtra_uk</v>
      </c>
      <c r="C5865" s="8" t="s">
        <v>13382</v>
      </c>
      <c r="D5865" s="9" t="s">
        <v>12942</v>
      </c>
      <c r="E5865" s="10" t="str">
        <f>HYPERLINK("https://twitter.com/Exvtra_uk/status/723844883920859136","723844883920859136")</f>
        <v>723844883920859136</v>
      </c>
      <c r="F5865" s="11" t="s">
        <v>43</v>
      </c>
      <c r="G5865" s="11">
        <v>7374</v>
      </c>
      <c r="H5865" s="11">
        <v>2650</v>
      </c>
      <c r="I5865" s="11">
        <v>2</v>
      </c>
      <c r="J5865" s="11">
        <v>0</v>
      </c>
      <c r="K5865" s="11" t="s">
        <v>21</v>
      </c>
      <c r="L5865" s="7">
        <v>41528.158055555556</v>
      </c>
      <c r="M5865" s="12" t="s">
        <v>129</v>
      </c>
      <c r="N5865" s="12" t="s">
        <v>13383</v>
      </c>
      <c r="O5865" s="10" t="str">
        <f t="shared" si="512"/>
        <v>View</v>
      </c>
      <c r="P5865" s="11"/>
    </row>
    <row r="5866" spans="1:16" ht="12.75" x14ac:dyDescent="0.35">
      <c r="A5866" s="7">
        <v>42483.732037037036</v>
      </c>
      <c r="B5866" s="8" t="str">
        <f>HYPERLINK("https://twitter.com/Shereen_Shabnam","@Shereen_Shabnam")</f>
        <v>@Shereen_Shabnam</v>
      </c>
      <c r="C5866" s="9" t="s">
        <v>13384</v>
      </c>
      <c r="D5866" s="9" t="s">
        <v>13385</v>
      </c>
      <c r="E5866" s="10" t="str">
        <f>HYPERLINK("https://twitter.com/Shereen_Shabnam/status/723844905462800384","723844905462800384")</f>
        <v>723844905462800384</v>
      </c>
      <c r="F5866" s="11" t="s">
        <v>20</v>
      </c>
      <c r="G5866" s="11">
        <v>2970</v>
      </c>
      <c r="H5866" s="11">
        <v>3253</v>
      </c>
      <c r="I5866" s="11">
        <v>2</v>
      </c>
      <c r="J5866" s="11">
        <v>0</v>
      </c>
      <c r="K5866" s="11" t="s">
        <v>21</v>
      </c>
      <c r="L5866" s="7">
        <v>39880.634641203702</v>
      </c>
      <c r="M5866" s="12" t="s">
        <v>13386</v>
      </c>
      <c r="N5866" s="12" t="s">
        <v>13387</v>
      </c>
      <c r="O5866" s="10" t="str">
        <f>HYPERLINK("https://pbs.twimg.com/profile_images/521400664019050497/hWGhy89F_normal.jpeg","View")</f>
        <v>View</v>
      </c>
      <c r="P5866" s="11"/>
    </row>
    <row r="5867" spans="1:16" ht="12.75" x14ac:dyDescent="0.35">
      <c r="A5867" s="7">
        <v>42483.732881944445</v>
      </c>
      <c r="B5867" s="8" t="str">
        <f>HYPERLINK("https://twitter.com/Aboutwheels","@Aboutwheels")</f>
        <v>@Aboutwheels</v>
      </c>
      <c r="C5867" s="9" t="s">
        <v>13388</v>
      </c>
      <c r="D5867" s="9" t="s">
        <v>13385</v>
      </c>
      <c r="E5867" s="10" t="str">
        <f>HYPERLINK("https://twitter.com/Aboutwheels/status/723845211382767616","723845211382767616")</f>
        <v>723845211382767616</v>
      </c>
      <c r="F5867" s="11" t="s">
        <v>20</v>
      </c>
      <c r="G5867" s="11">
        <v>182</v>
      </c>
      <c r="H5867" s="11">
        <v>721</v>
      </c>
      <c r="I5867" s="11">
        <v>2</v>
      </c>
      <c r="J5867" s="11">
        <v>0</v>
      </c>
      <c r="K5867" s="11" t="s">
        <v>21</v>
      </c>
      <c r="L5867" s="7">
        <v>41659.118842592594</v>
      </c>
      <c r="M5867" s="12" t="s">
        <v>13389</v>
      </c>
      <c r="N5867" s="12" t="s">
        <v>13390</v>
      </c>
      <c r="O5867" s="10" t="str">
        <f>HYPERLINK("https://pbs.twimg.com/profile_images/425018361852854272/odnnWFLd_normal.jpeg","View")</f>
        <v>View</v>
      </c>
      <c r="P5867" s="11"/>
    </row>
    <row r="5868" spans="1:16" ht="12.75" x14ac:dyDescent="0.35">
      <c r="A5868" s="7">
        <v>42483.734074074076</v>
      </c>
      <c r="B5868" s="8" t="str">
        <f>HYPERLINK("https://twitter.com/InstaHotNow1","@InstaHotNow1")</f>
        <v>@InstaHotNow1</v>
      </c>
      <c r="C5868" s="9" t="s">
        <v>13391</v>
      </c>
      <c r="D5868" s="9" t="s">
        <v>13392</v>
      </c>
      <c r="E5868" s="10" t="str">
        <f>HYPERLINK("https://twitter.com/InstaHotNow1/status/723845645350498304","723845645350498304")</f>
        <v>723845645350498304</v>
      </c>
      <c r="F5868" s="11" t="s">
        <v>34</v>
      </c>
      <c r="G5868" s="11">
        <v>577</v>
      </c>
      <c r="H5868" s="11">
        <v>200</v>
      </c>
      <c r="I5868" s="11">
        <v>0</v>
      </c>
      <c r="J5868" s="11">
        <v>0</v>
      </c>
      <c r="K5868" s="11" t="s">
        <v>21</v>
      </c>
      <c r="L5868" s="7">
        <v>42399.891377314816</v>
      </c>
      <c r="M5868" s="12"/>
      <c r="N5868" s="12" t="s">
        <v>13393</v>
      </c>
      <c r="O5868" s="10" t="str">
        <f>HYPERLINK("https://pbs.twimg.com/profile_images/701822960152096768/0A3w9j0k_normal.jpg","View")</f>
        <v>View</v>
      </c>
      <c r="P5868" s="11"/>
    </row>
    <row r="5869" spans="1:16" ht="12.75" x14ac:dyDescent="0.35">
      <c r="A5869" s="7">
        <v>42483.73542824074</v>
      </c>
      <c r="B5869" s="8" t="str">
        <f t="shared" ref="B5869:B5874" si="513">HYPERLINK("https://twitter.com/FuscaWorld","@FuscaWorld")</f>
        <v>@FuscaWorld</v>
      </c>
      <c r="C5869" s="9" t="s">
        <v>74</v>
      </c>
      <c r="D5869" s="9" t="s">
        <v>13377</v>
      </c>
      <c r="E5869" s="10" t="str">
        <f>HYPERLINK("https://twitter.com/FuscaWorld/status/723846132837834752","723846132837834752")</f>
        <v>723846132837834752</v>
      </c>
      <c r="F5869" s="11" t="s">
        <v>76</v>
      </c>
      <c r="G5869" s="11">
        <v>50</v>
      </c>
      <c r="H5869" s="11">
        <v>1</v>
      </c>
      <c r="I5869" s="11">
        <v>2</v>
      </c>
      <c r="J5869" s="11">
        <v>0</v>
      </c>
      <c r="K5869" s="11" t="s">
        <v>21</v>
      </c>
      <c r="L5869" s="7">
        <v>42433.880914351852</v>
      </c>
      <c r="M5869" s="12"/>
      <c r="N5869" s="12" t="s">
        <v>77</v>
      </c>
      <c r="O5869" s="10" t="str">
        <f t="shared" ref="O5869:O5874" si="514">HYPERLINK("https://pbs.twimg.com/profile_images/705780107844067328/e7O4UBNb_normal.jpg","View")</f>
        <v>View</v>
      </c>
      <c r="P5869" s="11"/>
    </row>
    <row r="5870" spans="1:16" ht="12.75" x14ac:dyDescent="0.35">
      <c r="A5870" s="7">
        <v>42483.735439814816</v>
      </c>
      <c r="B5870" s="8" t="str">
        <f t="shared" si="513"/>
        <v>@FuscaWorld</v>
      </c>
      <c r="C5870" s="9" t="s">
        <v>74</v>
      </c>
      <c r="D5870" s="9" t="s">
        <v>13356</v>
      </c>
      <c r="E5870" s="10" t="str">
        <f>HYPERLINK("https://twitter.com/FuscaWorld/status/723846137736736769","723846137736736769")</f>
        <v>723846137736736769</v>
      </c>
      <c r="F5870" s="11" t="s">
        <v>76</v>
      </c>
      <c r="G5870" s="11">
        <v>50</v>
      </c>
      <c r="H5870" s="11">
        <v>1</v>
      </c>
      <c r="I5870" s="11">
        <v>1</v>
      </c>
      <c r="J5870" s="11">
        <v>0</v>
      </c>
      <c r="K5870" s="11" t="s">
        <v>21</v>
      </c>
      <c r="L5870" s="7">
        <v>42433.880914351852</v>
      </c>
      <c r="M5870" s="12"/>
      <c r="N5870" s="12" t="s">
        <v>77</v>
      </c>
      <c r="O5870" s="10" t="str">
        <f t="shared" si="514"/>
        <v>View</v>
      </c>
      <c r="P5870" s="11"/>
    </row>
    <row r="5871" spans="1:16" ht="12.75" x14ac:dyDescent="0.35">
      <c r="A5871" s="7">
        <v>42483.735439814816</v>
      </c>
      <c r="B5871" s="8" t="str">
        <f t="shared" si="513"/>
        <v>@FuscaWorld</v>
      </c>
      <c r="C5871" s="9" t="s">
        <v>74</v>
      </c>
      <c r="D5871" s="9" t="s">
        <v>13356</v>
      </c>
      <c r="E5871" s="10" t="str">
        <f>HYPERLINK("https://twitter.com/FuscaWorld/status/723846139817132033","723846139817132033")</f>
        <v>723846139817132033</v>
      </c>
      <c r="F5871" s="11" t="s">
        <v>76</v>
      </c>
      <c r="G5871" s="11">
        <v>50</v>
      </c>
      <c r="H5871" s="11">
        <v>1</v>
      </c>
      <c r="I5871" s="11">
        <v>2</v>
      </c>
      <c r="J5871" s="11">
        <v>0</v>
      </c>
      <c r="K5871" s="11" t="s">
        <v>21</v>
      </c>
      <c r="L5871" s="7">
        <v>42433.880914351852</v>
      </c>
      <c r="M5871" s="12"/>
      <c r="N5871" s="12" t="s">
        <v>77</v>
      </c>
      <c r="O5871" s="10" t="str">
        <f t="shared" si="514"/>
        <v>View</v>
      </c>
      <c r="P5871" s="11"/>
    </row>
    <row r="5872" spans="1:16" ht="12.75" x14ac:dyDescent="0.35">
      <c r="A5872" s="7">
        <v>42483.735451388886</v>
      </c>
      <c r="B5872" s="8" t="str">
        <f t="shared" si="513"/>
        <v>@FuscaWorld</v>
      </c>
      <c r="C5872" s="9" t="s">
        <v>74</v>
      </c>
      <c r="D5872" s="9" t="s">
        <v>13356</v>
      </c>
      <c r="E5872" s="10" t="str">
        <f>HYPERLINK("https://twitter.com/FuscaWorld/status/723846141683597312","723846141683597312")</f>
        <v>723846141683597312</v>
      </c>
      <c r="F5872" s="11" t="s">
        <v>76</v>
      </c>
      <c r="G5872" s="11">
        <v>50</v>
      </c>
      <c r="H5872" s="11">
        <v>1</v>
      </c>
      <c r="I5872" s="11">
        <v>1</v>
      </c>
      <c r="J5872" s="11">
        <v>0</v>
      </c>
      <c r="K5872" s="11" t="s">
        <v>21</v>
      </c>
      <c r="L5872" s="7">
        <v>42433.880914351852</v>
      </c>
      <c r="M5872" s="12"/>
      <c r="N5872" s="12" t="s">
        <v>77</v>
      </c>
      <c r="O5872" s="10" t="str">
        <f t="shared" si="514"/>
        <v>View</v>
      </c>
      <c r="P5872" s="11"/>
    </row>
    <row r="5873" spans="1:16" ht="12.75" x14ac:dyDescent="0.35">
      <c r="A5873" s="7">
        <v>42483.735451388886</v>
      </c>
      <c r="B5873" s="8" t="str">
        <f t="shared" si="513"/>
        <v>@FuscaWorld</v>
      </c>
      <c r="C5873" s="9" t="s">
        <v>74</v>
      </c>
      <c r="D5873" s="9" t="s">
        <v>13356</v>
      </c>
      <c r="E5873" s="10" t="str">
        <f>HYPERLINK("https://twitter.com/FuscaWorld/status/723846143717838848","723846143717838848")</f>
        <v>723846143717838848</v>
      </c>
      <c r="F5873" s="11" t="s">
        <v>76</v>
      </c>
      <c r="G5873" s="11">
        <v>50</v>
      </c>
      <c r="H5873" s="11">
        <v>1</v>
      </c>
      <c r="I5873" s="11">
        <v>1</v>
      </c>
      <c r="J5873" s="11">
        <v>0</v>
      </c>
      <c r="K5873" s="11" t="s">
        <v>21</v>
      </c>
      <c r="L5873" s="7">
        <v>42433.880914351852</v>
      </c>
      <c r="M5873" s="12"/>
      <c r="N5873" s="12" t="s">
        <v>77</v>
      </c>
      <c r="O5873" s="10" t="str">
        <f t="shared" si="514"/>
        <v>View</v>
      </c>
      <c r="P5873" s="11"/>
    </row>
    <row r="5874" spans="1:16" ht="12.75" x14ac:dyDescent="0.35">
      <c r="A5874" s="7">
        <v>42483.735462962963</v>
      </c>
      <c r="B5874" s="8" t="str">
        <f t="shared" si="513"/>
        <v>@FuscaWorld</v>
      </c>
      <c r="C5874" s="9" t="s">
        <v>74</v>
      </c>
      <c r="D5874" s="9" t="s">
        <v>13356</v>
      </c>
      <c r="E5874" s="10" t="str">
        <f>HYPERLINK("https://twitter.com/FuscaWorld/status/723846147350122496","723846147350122496")</f>
        <v>723846147350122496</v>
      </c>
      <c r="F5874" s="11" t="s">
        <v>76</v>
      </c>
      <c r="G5874" s="11">
        <v>50</v>
      </c>
      <c r="H5874" s="11">
        <v>1</v>
      </c>
      <c r="I5874" s="11">
        <v>2</v>
      </c>
      <c r="J5874" s="11">
        <v>0</v>
      </c>
      <c r="K5874" s="11" t="s">
        <v>21</v>
      </c>
      <c r="L5874" s="7">
        <v>42433.880914351852</v>
      </c>
      <c r="M5874" s="12"/>
      <c r="N5874" s="12" t="s">
        <v>77</v>
      </c>
      <c r="O5874" s="10" t="str">
        <f t="shared" si="514"/>
        <v>View</v>
      </c>
      <c r="P5874" s="11"/>
    </row>
    <row r="5875" spans="1:16" ht="12.75" x14ac:dyDescent="0.35">
      <c r="A5875" s="7">
        <v>42483.735868055555</v>
      </c>
      <c r="B5875" s="8" t="str">
        <f>HYPERLINK("https://twitter.com/manfredelsner","@manfredelsner")</f>
        <v>@manfredelsner</v>
      </c>
      <c r="C5875" s="9" t="s">
        <v>13394</v>
      </c>
      <c r="D5875" s="9" t="s">
        <v>13395</v>
      </c>
      <c r="E5875" s="10" t="str">
        <f>HYPERLINK("https://twitter.com/manfredelsner/status/723846295333511168","723846295333511168")</f>
        <v>723846295333511168</v>
      </c>
      <c r="F5875" s="11" t="s">
        <v>1838</v>
      </c>
      <c r="G5875" s="11">
        <v>488</v>
      </c>
      <c r="H5875" s="11">
        <v>1317</v>
      </c>
      <c r="I5875" s="11">
        <v>1</v>
      </c>
      <c r="J5875" s="11">
        <v>0</v>
      </c>
      <c r="K5875" s="11" t="s">
        <v>21</v>
      </c>
      <c r="L5875" s="7">
        <v>41058.660150462965</v>
      </c>
      <c r="M5875" s="12" t="s">
        <v>13396</v>
      </c>
      <c r="N5875" s="12" t="s">
        <v>13397</v>
      </c>
      <c r="O5875" s="10" t="str">
        <f>HYPERLINK("https://pbs.twimg.com/profile_images/2605614780/n4nhv76ydkxd1bgav4sa_normal.jpeg","View")</f>
        <v>View</v>
      </c>
      <c r="P5875" s="11"/>
    </row>
    <row r="5876" spans="1:16" ht="12.75" x14ac:dyDescent="0.35">
      <c r="A5876" s="7">
        <v>42483.736250000002</v>
      </c>
      <c r="B5876" s="8" t="str">
        <f>HYPERLINK("https://twitter.com/MarkCSchneider","@MarkCSchneider")</f>
        <v>@MarkCSchneider</v>
      </c>
      <c r="C5876" s="9" t="s">
        <v>952</v>
      </c>
      <c r="D5876" s="9" t="s">
        <v>13398</v>
      </c>
      <c r="E5876" s="10" t="str">
        <f>HYPERLINK("https://twitter.com/MarkCSchneider/status/723846430662754304","723846430662754304")</f>
        <v>723846430662754304</v>
      </c>
      <c r="F5876" s="11" t="s">
        <v>43</v>
      </c>
      <c r="G5876" s="11">
        <v>370</v>
      </c>
      <c r="H5876" s="11">
        <v>336</v>
      </c>
      <c r="I5876" s="11">
        <v>0</v>
      </c>
      <c r="J5876" s="11">
        <v>0</v>
      </c>
      <c r="K5876" s="11" t="s">
        <v>21</v>
      </c>
      <c r="L5876" s="7">
        <v>41495.558136574073</v>
      </c>
      <c r="M5876" s="12" t="s">
        <v>953</v>
      </c>
      <c r="N5876" s="12"/>
      <c r="O5876" s="10" t="str">
        <f>HYPERLINK("https://pbs.twimg.com/profile_images/706784695795769345/XGXgdjww_normal.jpg","View")</f>
        <v>View</v>
      </c>
      <c r="P5876" s="11"/>
    </row>
    <row r="5877" spans="1:16" ht="12.75" x14ac:dyDescent="0.35">
      <c r="A5877" s="7">
        <v>42483.736898148149</v>
      </c>
      <c r="B5877" s="8" t="str">
        <f>HYPERLINK("https://twitter.com/Dandii","@Dandii")</f>
        <v>@Dandii</v>
      </c>
      <c r="C5877" s="9" t="s">
        <v>13399</v>
      </c>
      <c r="D5877" s="9" t="s">
        <v>12828</v>
      </c>
      <c r="E5877" s="10" t="str">
        <f>HYPERLINK("https://twitter.com/Dandii/status/723846668744056833","723846668744056833")</f>
        <v>723846668744056833</v>
      </c>
      <c r="F5877" s="11" t="s">
        <v>160</v>
      </c>
      <c r="G5877" s="11">
        <v>438</v>
      </c>
      <c r="H5877" s="11">
        <v>846</v>
      </c>
      <c r="I5877" s="11">
        <v>20</v>
      </c>
      <c r="J5877" s="11">
        <v>0</v>
      </c>
      <c r="K5877" s="11" t="s">
        <v>21</v>
      </c>
      <c r="L5877" s="7">
        <v>39857.977743055555</v>
      </c>
      <c r="M5877" s="12" t="s">
        <v>846</v>
      </c>
      <c r="N5877" s="12" t="s">
        <v>13400</v>
      </c>
      <c r="O5877" s="10" t="str">
        <f>HYPERLINK("https://pbs.twimg.com/profile_images/454742454743609344/phoHOZ9h_normal.jpeg","View")</f>
        <v>View</v>
      </c>
      <c r="P5877" s="11"/>
    </row>
    <row r="5878" spans="1:16" ht="12.75" x14ac:dyDescent="0.35">
      <c r="A5878" s="7">
        <v>42483.737719907411</v>
      </c>
      <c r="B5878" s="8" t="str">
        <f>HYPERLINK("https://twitter.com/CBSDetroit","@CBSDetroit")</f>
        <v>@CBSDetroit</v>
      </c>
      <c r="C5878" s="9" t="s">
        <v>13401</v>
      </c>
      <c r="D5878" s="9" t="s">
        <v>13402</v>
      </c>
      <c r="E5878" s="10" t="str">
        <f>HYPERLINK("https://twitter.com/CBSDetroit/status/723846964601716737","723846964601716737")</f>
        <v>723846964601716737</v>
      </c>
      <c r="F5878" s="11" t="s">
        <v>3375</v>
      </c>
      <c r="G5878" s="11">
        <v>22092</v>
      </c>
      <c r="H5878" s="11">
        <v>6011</v>
      </c>
      <c r="I5878" s="11">
        <v>0</v>
      </c>
      <c r="J5878" s="11">
        <v>0</v>
      </c>
      <c r="K5878" s="11" t="s">
        <v>21</v>
      </c>
      <c r="L5878" s="7">
        <v>40504.882870370369</v>
      </c>
      <c r="M5878" s="12"/>
      <c r="N5878" s="12" t="s">
        <v>13403</v>
      </c>
      <c r="O5878" s="10" t="str">
        <f>HYPERLINK("https://pbs.twimg.com/profile_images/3495327835/97a74b07f81dbe41b12b527f8c7fc52c_normal.jpeg","View")</f>
        <v>View</v>
      </c>
      <c r="P5878" s="11"/>
    </row>
    <row r="5879" spans="1:16" ht="12.75" x14ac:dyDescent="0.35">
      <c r="A5879" s="7">
        <v>42483.737719907411</v>
      </c>
      <c r="B5879" s="8" t="str">
        <f>HYPERLINK("https://twitter.com/WWJ950","@WWJ950")</f>
        <v>@WWJ950</v>
      </c>
      <c r="C5879" s="9" t="s">
        <v>13404</v>
      </c>
      <c r="D5879" s="9" t="s">
        <v>13405</v>
      </c>
      <c r="E5879" s="10" t="str">
        <f>HYPERLINK("https://twitter.com/WWJ950/status/723846965864189952","723846965864189952")</f>
        <v>723846965864189952</v>
      </c>
      <c r="F5879" s="11" t="s">
        <v>3375</v>
      </c>
      <c r="G5879" s="11">
        <v>27703</v>
      </c>
      <c r="H5879" s="11">
        <v>1581</v>
      </c>
      <c r="I5879" s="11">
        <v>0</v>
      </c>
      <c r="J5879" s="11">
        <v>0</v>
      </c>
      <c r="K5879" s="11" t="s">
        <v>21</v>
      </c>
      <c r="L5879" s="7">
        <v>39484.844398148147</v>
      </c>
      <c r="M5879" s="12" t="s">
        <v>3441</v>
      </c>
      <c r="N5879" s="12" t="s">
        <v>13406</v>
      </c>
      <c r="O5879" s="10" t="str">
        <f>HYPERLINK("https://pbs.twimg.com/profile_images/2652043886/466bedb70eab21210898bbb81cbcd08f_normal.png","View")</f>
        <v>View</v>
      </c>
      <c r="P5879" s="11"/>
    </row>
    <row r="5880" spans="1:16" ht="12.75" x14ac:dyDescent="0.35">
      <c r="A5880" s="7">
        <v>42483.738865740743</v>
      </c>
      <c r="B5880" s="8" t="str">
        <f>HYPERLINK("https://twitter.com/Marina_Ilona","@Marina_Ilona")</f>
        <v>@Marina_Ilona</v>
      </c>
      <c r="C5880" s="9" t="s">
        <v>1681</v>
      </c>
      <c r="D5880" s="9" t="s">
        <v>13068</v>
      </c>
      <c r="E5880" s="10" t="str">
        <f>HYPERLINK("https://twitter.com/Marina_Ilona/status/723847378499964928","723847378499964928")</f>
        <v>723847378499964928</v>
      </c>
      <c r="F5880" s="11" t="s">
        <v>20</v>
      </c>
      <c r="G5880" s="11">
        <v>425</v>
      </c>
      <c r="H5880" s="11">
        <v>152</v>
      </c>
      <c r="I5880" s="11">
        <v>3</v>
      </c>
      <c r="J5880" s="11">
        <v>0</v>
      </c>
      <c r="K5880" s="11" t="s">
        <v>21</v>
      </c>
      <c r="L5880" s="7">
        <v>41131.625451388885</v>
      </c>
      <c r="M5880" s="12" t="s">
        <v>1683</v>
      </c>
      <c r="N5880" s="12" t="s">
        <v>1684</v>
      </c>
      <c r="O5880" s="10" t="str">
        <f>HYPERLINK("https://pbs.twimg.com/profile_images/692310744122179588/mSQOWSau_normal.jpg","View")</f>
        <v>View</v>
      </c>
      <c r="P5880" s="11"/>
    </row>
    <row r="5881" spans="1:16" ht="12.75" x14ac:dyDescent="0.35">
      <c r="A5881" s="7">
        <v>42483.739004629635</v>
      </c>
      <c r="B5881" s="8" t="str">
        <f>HYPERLINK("https://twitter.com/81Vosvos","@81Vosvos")</f>
        <v>@81Vosvos</v>
      </c>
      <c r="C5881" s="9" t="s">
        <v>13407</v>
      </c>
      <c r="D5881" s="9" t="s">
        <v>13356</v>
      </c>
      <c r="E5881" s="10" t="str">
        <f>HYPERLINK("https://twitter.com/81Vosvos/status/723847431671132160","723847431671132160")</f>
        <v>723847431671132160</v>
      </c>
      <c r="F5881" s="11" t="s">
        <v>48</v>
      </c>
      <c r="G5881" s="11">
        <v>283</v>
      </c>
      <c r="H5881" s="11">
        <v>100</v>
      </c>
      <c r="I5881" s="11">
        <v>2</v>
      </c>
      <c r="J5881" s="11">
        <v>0</v>
      </c>
      <c r="K5881" s="11" t="s">
        <v>21</v>
      </c>
      <c r="L5881" s="7">
        <v>42307.855231481481</v>
      </c>
      <c r="M5881" s="12" t="s">
        <v>13408</v>
      </c>
      <c r="N5881" s="12" t="s">
        <v>13409</v>
      </c>
      <c r="O5881" s="10" t="str">
        <f>HYPERLINK("https://pbs.twimg.com/profile_images/723564585509371905/ahjvupSE_normal.jpg","View")</f>
        <v>View</v>
      </c>
      <c r="P5881" s="11"/>
    </row>
    <row r="5882" spans="1:16" ht="12.75" x14ac:dyDescent="0.35">
      <c r="A5882" s="7">
        <v>42483.739340277782</v>
      </c>
      <c r="B5882" s="8" t="str">
        <f>HYPERLINK("https://twitter.com/imtheweatherguy","@imtheweatherguy")</f>
        <v>@imtheweatherguy</v>
      </c>
      <c r="C5882" s="9" t="s">
        <v>13410</v>
      </c>
      <c r="D5882" s="9" t="s">
        <v>13411</v>
      </c>
      <c r="E5882" s="10" t="str">
        <f>HYPERLINK("https://twitter.com/imtheweatherguy/status/723847554069356545","723847554069356545")</f>
        <v>723847554069356545</v>
      </c>
      <c r="F5882" s="11" t="s">
        <v>68</v>
      </c>
      <c r="G5882" s="11">
        <v>2827</v>
      </c>
      <c r="H5882" s="11">
        <v>3</v>
      </c>
      <c r="I5882" s="11">
        <v>0</v>
      </c>
      <c r="J5882" s="11">
        <v>0</v>
      </c>
      <c r="K5882" s="11" t="s">
        <v>21</v>
      </c>
      <c r="L5882" s="7">
        <v>41855.101226851853</v>
      </c>
      <c r="M5882" s="12"/>
      <c r="N5882" s="12" t="s">
        <v>13412</v>
      </c>
      <c r="O5882" s="10" t="str">
        <f>HYPERLINK("https://pbs.twimg.com/profile_images/592053404303826944/dFGzjd4i_normal.jpg","View")</f>
        <v>View</v>
      </c>
      <c r="P5882" s="11"/>
    </row>
    <row r="5883" spans="1:16" ht="12.75" x14ac:dyDescent="0.35">
      <c r="A5883" s="7">
        <v>42483.739606481482</v>
      </c>
      <c r="B5883" s="8" t="str">
        <f>HYPERLINK("https://twitter.com/shochi_hh","@shochi_hh")</f>
        <v>@shochi_hh</v>
      </c>
      <c r="C5883" s="9" t="s">
        <v>13413</v>
      </c>
      <c r="D5883" s="9" t="s">
        <v>13414</v>
      </c>
      <c r="E5883" s="10" t="str">
        <f>HYPERLINK("https://twitter.com/shochi_hh/status/723847648835293184","723847648835293184")</f>
        <v>723847648835293184</v>
      </c>
      <c r="F5883" s="11" t="s">
        <v>43</v>
      </c>
      <c r="G5883" s="11">
        <v>444</v>
      </c>
      <c r="H5883" s="11">
        <v>116</v>
      </c>
      <c r="I5883" s="11">
        <v>0</v>
      </c>
      <c r="J5883" s="11">
        <v>0</v>
      </c>
      <c r="K5883" s="11" t="s">
        <v>21</v>
      </c>
      <c r="L5883" s="7">
        <v>40058.569027777776</v>
      </c>
      <c r="M5883" s="12" t="s">
        <v>13415</v>
      </c>
      <c r="N5883" s="12" t="s">
        <v>13416</v>
      </c>
      <c r="O5883" s="10" t="str">
        <f>HYPERLINK("https://pbs.twimg.com/profile_images/378800000566208652/10a58f54013f0c319b1253d4b4c7dc5f_normal.jpeg","View")</f>
        <v>View</v>
      </c>
      <c r="P5883" s="11"/>
    </row>
    <row r="5884" spans="1:16" ht="12.75" x14ac:dyDescent="0.35">
      <c r="A5884" s="7">
        <v>42483.740266203706</v>
      </c>
      <c r="B5884" s="8" t="str">
        <f>HYPERLINK("https://twitter.com/asriehasnie","@asriehasnie")</f>
        <v>@asriehasnie</v>
      </c>
      <c r="C5884" s="9" t="s">
        <v>13417</v>
      </c>
      <c r="D5884" s="9" t="s">
        <v>13150</v>
      </c>
      <c r="E5884" s="10" t="str">
        <f>HYPERLINK("https://twitter.com/asriehasnie/status/723847888762114048","723847888762114048")</f>
        <v>723847888762114048</v>
      </c>
      <c r="F5884" s="11" t="s">
        <v>48</v>
      </c>
      <c r="G5884" s="11">
        <v>396</v>
      </c>
      <c r="H5884" s="11">
        <v>397</v>
      </c>
      <c r="I5884" s="11">
        <v>20</v>
      </c>
      <c r="J5884" s="11">
        <v>0</v>
      </c>
      <c r="K5884" s="11" t="s">
        <v>21</v>
      </c>
      <c r="L5884" s="7">
        <v>40647.648425925923</v>
      </c>
      <c r="M5884" s="12"/>
      <c r="N5884" s="12"/>
      <c r="O5884" s="10" t="str">
        <f>HYPERLINK("https://pbs.twimg.com/profile_images/718453650218061824/qMyM9nm2_normal.jpg","View")</f>
        <v>View</v>
      </c>
      <c r="P5884" s="11"/>
    </row>
    <row r="5885" spans="1:16" ht="12.75" x14ac:dyDescent="0.35">
      <c r="A5885" s="7">
        <v>42483.740300925929</v>
      </c>
      <c r="B5885" s="8" t="str">
        <f>HYPERLINK("https://twitter.com/HeadBistro","@HeadBistro")</f>
        <v>@HeadBistro</v>
      </c>
      <c r="C5885" s="9" t="s">
        <v>13418</v>
      </c>
      <c r="D5885" s="9" t="s">
        <v>13419</v>
      </c>
      <c r="E5885" s="10" t="str">
        <f>HYPERLINK("https://twitter.com/HeadBistro/status/723847902016233472","723847902016233472")</f>
        <v>723847902016233472</v>
      </c>
      <c r="F5885" s="11" t="s">
        <v>20</v>
      </c>
      <c r="G5885" s="11">
        <v>33</v>
      </c>
      <c r="H5885" s="11">
        <v>49</v>
      </c>
      <c r="I5885" s="11">
        <v>0</v>
      </c>
      <c r="J5885" s="11">
        <v>0</v>
      </c>
      <c r="K5885" s="11" t="s">
        <v>21</v>
      </c>
      <c r="L5885" s="7">
        <v>42455.848969907413</v>
      </c>
      <c r="M5885" s="12" t="s">
        <v>13420</v>
      </c>
      <c r="N5885" s="12" t="s">
        <v>13421</v>
      </c>
      <c r="O5885" s="10" t="str">
        <f>HYPERLINK("https://pbs.twimg.com/profile_images/723248256629788673/K_ud_lgL_normal.jpg","View")</f>
        <v>View</v>
      </c>
      <c r="P5885" s="11"/>
    </row>
    <row r="5886" spans="1:16" ht="12.75" x14ac:dyDescent="0.35">
      <c r="A5886" s="7">
        <v>42483.74046296296</v>
      </c>
      <c r="B5886" s="8" t="str">
        <f>HYPERLINK("https://twitter.com/Exvtra_uk","@Exvtra_uk")</f>
        <v>@Exvtra_uk</v>
      </c>
      <c r="C5886" s="8" t="s">
        <v>13382</v>
      </c>
      <c r="D5886" s="9" t="s">
        <v>13422</v>
      </c>
      <c r="E5886" s="10" t="str">
        <f>HYPERLINK("https://twitter.com/Exvtra_uk/status/723847960774217730","723847960774217730")</f>
        <v>723847960774217730</v>
      </c>
      <c r="F5886" s="11" t="s">
        <v>43</v>
      </c>
      <c r="G5886" s="11">
        <v>7374</v>
      </c>
      <c r="H5886" s="11">
        <v>2650</v>
      </c>
      <c r="I5886" s="11">
        <v>1</v>
      </c>
      <c r="J5886" s="11">
        <v>0</v>
      </c>
      <c r="K5886" s="11" t="s">
        <v>21</v>
      </c>
      <c r="L5886" s="7">
        <v>41528.158055555556</v>
      </c>
      <c r="M5886" s="12" t="s">
        <v>129</v>
      </c>
      <c r="N5886" s="12" t="s">
        <v>13383</v>
      </c>
      <c r="O5886" s="10" t="str">
        <f>HYPERLINK("https://pbs.twimg.com/profile_images/524531569906565120/Noxq66xP_normal.jpeg","View")</f>
        <v>View</v>
      </c>
      <c r="P5886" s="11"/>
    </row>
    <row r="5887" spans="1:16" ht="12.75" x14ac:dyDescent="0.35">
      <c r="A5887" s="7">
        <v>42483.741597222222</v>
      </c>
      <c r="B5887" s="8" t="str">
        <f>HYPERLINK("https://twitter.com/mark_tipp","@mark_tipp")</f>
        <v>@mark_tipp</v>
      </c>
      <c r="C5887" s="9" t="s">
        <v>13423</v>
      </c>
      <c r="D5887" s="9" t="s">
        <v>13303</v>
      </c>
      <c r="E5887" s="10" t="str">
        <f>HYPERLINK("https://twitter.com/mark_tipp/status/723848371413372929","723848371413372929")</f>
        <v>723848371413372929</v>
      </c>
      <c r="F5887" s="11" t="s">
        <v>48</v>
      </c>
      <c r="G5887" s="11">
        <v>80</v>
      </c>
      <c r="H5887" s="11">
        <v>182</v>
      </c>
      <c r="I5887" s="11">
        <v>3</v>
      </c>
      <c r="J5887" s="11">
        <v>0</v>
      </c>
      <c r="K5887" s="11" t="s">
        <v>21</v>
      </c>
      <c r="L5887" s="7">
        <v>40832.8050462963</v>
      </c>
      <c r="M5887" s="12" t="s">
        <v>13424</v>
      </c>
      <c r="N5887" s="12"/>
      <c r="O5887" s="10" t="str">
        <f>HYPERLINK("https://pbs.twimg.com/profile_images/1794026974/Image0298_normal.jpg","View")</f>
        <v>View</v>
      </c>
      <c r="P5887" s="11"/>
    </row>
    <row r="5888" spans="1:16" ht="12.75" x14ac:dyDescent="0.35">
      <c r="A5888" s="7">
        <v>42483.741759259261</v>
      </c>
      <c r="B5888" s="8" t="str">
        <f>HYPERLINK("https://twitter.com/Twitchin888","@Twitchin888")</f>
        <v>@Twitchin888</v>
      </c>
      <c r="C5888" s="9" t="s">
        <v>13425</v>
      </c>
      <c r="D5888" s="9" t="s">
        <v>13150</v>
      </c>
      <c r="E5888" s="10" t="str">
        <f>HYPERLINK("https://twitter.com/Twitchin888/status/723848427663052805","723848427663052805")</f>
        <v>723848427663052805</v>
      </c>
      <c r="F5888" s="11" t="s">
        <v>48</v>
      </c>
      <c r="G5888" s="11">
        <v>106</v>
      </c>
      <c r="H5888" s="11">
        <v>108</v>
      </c>
      <c r="I5888" s="11">
        <v>20</v>
      </c>
      <c r="J5888" s="11">
        <v>0</v>
      </c>
      <c r="K5888" s="11" t="s">
        <v>21</v>
      </c>
      <c r="L5888" s="7">
        <v>40788.085243055553</v>
      </c>
      <c r="M5888" s="12" t="s">
        <v>13426</v>
      </c>
      <c r="N5888" s="12"/>
      <c r="O5888" s="10" t="str">
        <f>HYPERLINK("https://pbs.twimg.com/profile_images/549662230048804864/0zcWWKDp_normal.jpeg","View")</f>
        <v>View</v>
      </c>
      <c r="P5888" s="11"/>
    </row>
    <row r="5889" spans="1:16" ht="12.75" x14ac:dyDescent="0.35">
      <c r="A5889" s="7">
        <v>42483.742592592593</v>
      </c>
      <c r="B5889" s="8" t="str">
        <f>HYPERLINK("https://twitter.com/CornwallBzForum","@CornwallBzForum")</f>
        <v>@CornwallBzForum</v>
      </c>
      <c r="C5889" s="9" t="s">
        <v>4015</v>
      </c>
      <c r="D5889" s="9" t="s">
        <v>13381</v>
      </c>
      <c r="E5889" s="10" t="str">
        <f>HYPERLINK("https://twitter.com/CornwallBzForum/status/723848731351781376","723848731351781376")</f>
        <v>723848731351781376</v>
      </c>
      <c r="F5889" s="11" t="s">
        <v>43</v>
      </c>
      <c r="G5889" s="11">
        <v>7889</v>
      </c>
      <c r="H5889" s="11">
        <v>6404</v>
      </c>
      <c r="I5889" s="11">
        <v>2</v>
      </c>
      <c r="J5889" s="11">
        <v>0</v>
      </c>
      <c r="K5889" s="11" t="s">
        <v>21</v>
      </c>
      <c r="L5889" s="7">
        <v>40623.805</v>
      </c>
      <c r="M5889" s="12" t="s">
        <v>4017</v>
      </c>
      <c r="N5889" s="12" t="s">
        <v>4018</v>
      </c>
      <c r="O5889" s="10" t="str">
        <f>HYPERLINK("https://pbs.twimg.com/profile_images/3120330421/18166a7606798b1cd07c5596ffc4001f_normal.png","View")</f>
        <v>View</v>
      </c>
      <c r="P5889" s="11"/>
    </row>
    <row r="5890" spans="1:16" ht="12.75" x14ac:dyDescent="0.35">
      <c r="A5890" s="7">
        <v>42483.742627314816</v>
      </c>
      <c r="B5890" s="8" t="str">
        <f>HYPERLINK("https://twitter.com/M_Draeger","@M_Draeger")</f>
        <v>@M_Draeger</v>
      </c>
      <c r="C5890" s="9" t="s">
        <v>13427</v>
      </c>
      <c r="D5890" s="9" t="s">
        <v>13428</v>
      </c>
      <c r="E5890" s="10" t="str">
        <f>HYPERLINK("https://twitter.com/M_Draeger/status/723848743842394112","723848743842394112")</f>
        <v>723848743842394112</v>
      </c>
      <c r="F5890" s="11" t="s">
        <v>43</v>
      </c>
      <c r="G5890" s="11">
        <v>404</v>
      </c>
      <c r="H5890" s="11">
        <v>401</v>
      </c>
      <c r="I5890" s="11">
        <v>0</v>
      </c>
      <c r="J5890" s="11">
        <v>0</v>
      </c>
      <c r="K5890" s="11" t="s">
        <v>21</v>
      </c>
      <c r="L5890" s="7">
        <v>41560.613194444442</v>
      </c>
      <c r="M5890" s="12" t="s">
        <v>953</v>
      </c>
      <c r="N5890" s="12" t="s">
        <v>13429</v>
      </c>
      <c r="O5890" s="10" t="str">
        <f>HYPERLINK("https://pbs.twimg.com/profile_images/466231140588605440/LpEqV7bj_normal.jpeg","View")</f>
        <v>View</v>
      </c>
      <c r="P5890" s="11"/>
    </row>
    <row r="5891" spans="1:16" ht="12.75" x14ac:dyDescent="0.35">
      <c r="A5891" s="7">
        <v>42483.742939814816</v>
      </c>
      <c r="B5891" s="8" t="str">
        <f>HYPERLINK("https://twitter.com/grazynagintner","@grazynagintner")</f>
        <v>@grazynagintner</v>
      </c>
      <c r="C5891" s="9" t="s">
        <v>13430</v>
      </c>
      <c r="D5891" s="9" t="s">
        <v>10402</v>
      </c>
      <c r="E5891" s="10" t="str">
        <f>HYPERLINK("https://twitter.com/grazynagintner/status/723848857860378624","723848857860378624")</f>
        <v>723848857860378624</v>
      </c>
      <c r="F5891" s="11" t="s">
        <v>43</v>
      </c>
      <c r="G5891" s="11">
        <v>645</v>
      </c>
      <c r="H5891" s="11">
        <v>699</v>
      </c>
      <c r="I5891" s="11">
        <v>2</v>
      </c>
      <c r="J5891" s="11">
        <v>0</v>
      </c>
      <c r="K5891" s="11" t="s">
        <v>21</v>
      </c>
      <c r="L5891" s="7">
        <v>41448.678495370368</v>
      </c>
      <c r="M5891" s="12" t="s">
        <v>13431</v>
      </c>
      <c r="N5891" s="12" t="s">
        <v>13432</v>
      </c>
      <c r="O5891" s="10" t="str">
        <f>HYPERLINK("https://pbs.twimg.com/profile_images/681874926140284932/pL8_tZ_F_normal.jpg","View")</f>
        <v>View</v>
      </c>
      <c r="P5891" s="11"/>
    </row>
    <row r="5892" spans="1:16" ht="12.75" x14ac:dyDescent="0.35">
      <c r="A5892" s="7">
        <v>42483.745289351849</v>
      </c>
      <c r="B5892" s="8" t="str">
        <f>HYPERLINK("https://twitter.com/nope75440125","@nope75440125")</f>
        <v>@nope75440125</v>
      </c>
      <c r="C5892" s="9" t="s">
        <v>13433</v>
      </c>
      <c r="D5892" s="9" t="s">
        <v>13434</v>
      </c>
      <c r="E5892" s="10" t="str">
        <f>HYPERLINK("https://twitter.com/nope75440125/status/723849706137391104","723849706137391104")</f>
        <v>723849706137391104</v>
      </c>
      <c r="F5892" s="11" t="s">
        <v>91</v>
      </c>
      <c r="G5892" s="11">
        <v>311</v>
      </c>
      <c r="H5892" s="11">
        <v>200</v>
      </c>
      <c r="I5892" s="11">
        <v>1</v>
      </c>
      <c r="J5892" s="11">
        <v>0</v>
      </c>
      <c r="K5892" s="11" t="s">
        <v>21</v>
      </c>
      <c r="L5892" s="7">
        <v>42073.915509259255</v>
      </c>
      <c r="M5892" s="12" t="s">
        <v>13435</v>
      </c>
      <c r="N5892" s="12" t="s">
        <v>13436</v>
      </c>
      <c r="O5892" s="10" t="str">
        <f>HYPERLINK("https://pbs.twimg.com/profile_images/590257090796597248/p6AfDYxV_normal.jpg","View")</f>
        <v>View</v>
      </c>
      <c r="P5892" s="11"/>
    </row>
    <row r="5893" spans="1:16" ht="12.75" x14ac:dyDescent="0.35">
      <c r="A5893" s="7">
        <v>42483.746620370366</v>
      </c>
      <c r="B5893" s="8" t="str">
        <f>HYPERLINK("https://twitter.com/CARS_MMcLay","@CARS_MMcLay")</f>
        <v>@CARS_MMcLay</v>
      </c>
      <c r="C5893" s="9" t="s">
        <v>13437</v>
      </c>
      <c r="D5893" s="9" t="s">
        <v>13438</v>
      </c>
      <c r="E5893" s="10" t="str">
        <f>HYPERLINK("https://twitter.com/CARS_MMcLay/status/723850190751412224","723850190751412224")</f>
        <v>723850190751412224</v>
      </c>
      <c r="F5893" s="11" t="s">
        <v>80</v>
      </c>
      <c r="G5893" s="11">
        <v>403</v>
      </c>
      <c r="H5893" s="11">
        <v>615</v>
      </c>
      <c r="I5893" s="11">
        <v>0</v>
      </c>
      <c r="J5893" s="11">
        <v>0</v>
      </c>
      <c r="K5893" s="11" t="s">
        <v>21</v>
      </c>
      <c r="L5893" s="7">
        <v>41786.859120370369</v>
      </c>
      <c r="M5893" s="12" t="s">
        <v>13439</v>
      </c>
      <c r="N5893" s="12" t="s">
        <v>13440</v>
      </c>
      <c r="O5893" s="10" t="str">
        <f>HYPERLINK("https://pbs.twimg.com/profile_images/603944903572267008/opS_TgdQ_normal.png","View")</f>
        <v>View</v>
      </c>
      <c r="P5893" s="11"/>
    </row>
    <row r="5894" spans="1:16" ht="12.75" x14ac:dyDescent="0.35">
      <c r="A5894" s="7">
        <v>42483.746631944443</v>
      </c>
      <c r="B5894" s="8" t="str">
        <f>HYPERLINK("https://twitter.com/ContemporaryHan","@ContemporaryHan")</f>
        <v>@ContemporaryHan</v>
      </c>
      <c r="C5894" s="9" t="s">
        <v>13441</v>
      </c>
      <c r="D5894" s="9" t="s">
        <v>13150</v>
      </c>
      <c r="E5894" s="10" t="str">
        <f>HYPERLINK("https://twitter.com/ContemporaryHan/status/723850194459213824","723850194459213824")</f>
        <v>723850194459213824</v>
      </c>
      <c r="F5894" s="11" t="s">
        <v>20</v>
      </c>
      <c r="G5894" s="11">
        <v>499</v>
      </c>
      <c r="H5894" s="11">
        <v>585</v>
      </c>
      <c r="I5894" s="11">
        <v>20</v>
      </c>
      <c r="J5894" s="11">
        <v>0</v>
      </c>
      <c r="K5894" s="11" t="s">
        <v>21</v>
      </c>
      <c r="L5894" s="7">
        <v>41413.021064814813</v>
      </c>
      <c r="M5894" s="12" t="s">
        <v>13442</v>
      </c>
      <c r="N5894" s="12" t="s">
        <v>13443</v>
      </c>
      <c r="O5894" s="10" t="str">
        <f>HYPERLINK("https://pbs.twimg.com/profile_images/689057873352085505/ITqw1MRX_normal.jpg","View")</f>
        <v>View</v>
      </c>
      <c r="P5894" s="11"/>
    </row>
    <row r="5895" spans="1:16" ht="12.75" x14ac:dyDescent="0.35">
      <c r="A5895" s="7">
        <v>42483.747974537036</v>
      </c>
      <c r="B5895" s="8" t="str">
        <f>HYPERLINK("https://twitter.com/peterlfoster","@peterlfoster")</f>
        <v>@peterlfoster</v>
      </c>
      <c r="C5895" s="9" t="s">
        <v>13444</v>
      </c>
      <c r="D5895" s="9" t="s">
        <v>13150</v>
      </c>
      <c r="E5895" s="10" t="str">
        <f>HYPERLINK("https://twitter.com/peterlfoster/status/723850681656958977","723850681656958977")</f>
        <v>723850681656958977</v>
      </c>
      <c r="F5895" s="11" t="s">
        <v>20</v>
      </c>
      <c r="G5895" s="11">
        <v>1398</v>
      </c>
      <c r="H5895" s="11">
        <v>1252</v>
      </c>
      <c r="I5895" s="11">
        <v>20</v>
      </c>
      <c r="J5895" s="11">
        <v>0</v>
      </c>
      <c r="K5895" s="11" t="s">
        <v>21</v>
      </c>
      <c r="L5895" s="7">
        <v>39958.167384259257</v>
      </c>
      <c r="M5895" s="12" t="s">
        <v>13445</v>
      </c>
      <c r="N5895" s="12" t="s">
        <v>13446</v>
      </c>
      <c r="O5895" s="10" t="str">
        <f>HYPERLINK("https://pbs.twimg.com/profile_images/2999449482/b2656ef7bb2deb53c433a514f80848aa_normal.jpeg","View")</f>
        <v>View</v>
      </c>
      <c r="P5895" s="11"/>
    </row>
    <row r="5896" spans="1:16" ht="12.75" x14ac:dyDescent="0.35">
      <c r="A5896" s="7">
        <v>42483.748298611114</v>
      </c>
      <c r="B5896" s="8" t="str">
        <f>HYPERLINK("https://twitter.com/nbjustin","@nbjustin")</f>
        <v>@nbjustin</v>
      </c>
      <c r="C5896" s="9" t="s">
        <v>13447</v>
      </c>
      <c r="D5896" s="9" t="s">
        <v>13150</v>
      </c>
      <c r="E5896" s="10" t="str">
        <f>HYPERLINK("https://twitter.com/nbjustin/status/723850797948219392","723850797948219392")</f>
        <v>723850797948219392</v>
      </c>
      <c r="F5896" s="11" t="s">
        <v>91</v>
      </c>
      <c r="G5896" s="11">
        <v>1204</v>
      </c>
      <c r="H5896" s="11">
        <v>2324</v>
      </c>
      <c r="I5896" s="11">
        <v>20</v>
      </c>
      <c r="J5896" s="11">
        <v>0</v>
      </c>
      <c r="K5896" s="11" t="s">
        <v>21</v>
      </c>
      <c r="L5896" s="7">
        <v>40964.154733796298</v>
      </c>
      <c r="M5896" s="12" t="s">
        <v>13448</v>
      </c>
      <c r="N5896" s="12" t="s">
        <v>13449</v>
      </c>
      <c r="O5896" s="10" t="str">
        <f>HYPERLINK("https://pbs.twimg.com/profile_images/649588042655748096/kSJoPtyb_normal.jpg","View")</f>
        <v>View</v>
      </c>
      <c r="P5896" s="11"/>
    </row>
    <row r="5897" spans="1:16" ht="12.75" x14ac:dyDescent="0.35">
      <c r="A5897" s="7">
        <v>42483.748599537037</v>
      </c>
      <c r="B5897" s="8" t="str">
        <f>HYPERLINK("https://twitter.com/OnlineCarReview","@OnlineCarReview")</f>
        <v>@OnlineCarReview</v>
      </c>
      <c r="C5897" s="9" t="s">
        <v>176</v>
      </c>
      <c r="D5897" s="9" t="s">
        <v>13450</v>
      </c>
      <c r="E5897" s="10" t="str">
        <f>HYPERLINK("https://twitter.com/OnlineCarReview/status/723850907578834953","723850907578834953")</f>
        <v>723850907578834953</v>
      </c>
      <c r="F5897" s="11" t="s">
        <v>34</v>
      </c>
      <c r="G5897" s="11">
        <v>840</v>
      </c>
      <c r="H5897" s="11">
        <v>568</v>
      </c>
      <c r="I5897" s="11">
        <v>0</v>
      </c>
      <c r="J5897" s="11">
        <v>0</v>
      </c>
      <c r="K5897" s="11" t="s">
        <v>21</v>
      </c>
      <c r="L5897" s="7">
        <v>42282.979201388887</v>
      </c>
      <c r="M5897" s="12"/>
      <c r="N5897" s="12" t="s">
        <v>178</v>
      </c>
      <c r="O5897" s="10" t="str">
        <f>HYPERLINK("https://pbs.twimg.com/profile_images/652871584131092480/QA_B6SBO_normal.jpg","View")</f>
        <v>View</v>
      </c>
      <c r="P5897" s="11"/>
    </row>
    <row r="5898" spans="1:16" ht="12.75" x14ac:dyDescent="0.35">
      <c r="A5898" s="7">
        <v>42483.749178240745</v>
      </c>
      <c r="B5898" s="8" t="str">
        <f>HYPERLINK("https://twitter.com/stephen08293226","@stephen08293226")</f>
        <v>@stephen08293226</v>
      </c>
      <c r="C5898" s="9" t="s">
        <v>13451</v>
      </c>
      <c r="D5898" s="9" t="s">
        <v>13150</v>
      </c>
      <c r="E5898" s="10" t="str">
        <f>HYPERLINK("https://twitter.com/stephen08293226/status/723851116212043778","723851116212043778")</f>
        <v>723851116212043778</v>
      </c>
      <c r="F5898" s="11" t="s">
        <v>91</v>
      </c>
      <c r="G5898" s="11">
        <v>123</v>
      </c>
      <c r="H5898" s="11">
        <v>587</v>
      </c>
      <c r="I5898" s="11">
        <v>20</v>
      </c>
      <c r="J5898" s="11">
        <v>0</v>
      </c>
      <c r="K5898" s="11" t="s">
        <v>21</v>
      </c>
      <c r="L5898" s="7">
        <v>41653.968796296293</v>
      </c>
      <c r="M5898" s="12"/>
      <c r="N5898" s="12"/>
      <c r="O5898" s="10" t="str">
        <f>HYPERLINK("https://abs.twimg.com/sticky/default_profile_images/default_profile_6_normal.png","View")</f>
        <v>View</v>
      </c>
      <c r="P5898" s="11"/>
    </row>
    <row r="5899" spans="1:16" ht="12.75" x14ac:dyDescent="0.35">
      <c r="A5899" s="7">
        <v>42483.7496875</v>
      </c>
      <c r="B5899" s="8" t="str">
        <f>HYPERLINK("https://twitter.com/VeeDubMk1_","@VeeDubMk1_")</f>
        <v>@VeeDubMk1_</v>
      </c>
      <c r="C5899" s="9" t="s">
        <v>185</v>
      </c>
      <c r="D5899" s="9" t="s">
        <v>13452</v>
      </c>
      <c r="E5899" s="10" t="str">
        <f>HYPERLINK("https://twitter.com/VeeDubMk1_/status/723851300857892864","723851300857892864")</f>
        <v>723851300857892864</v>
      </c>
      <c r="F5899" s="11" t="s">
        <v>68</v>
      </c>
      <c r="G5899" s="11">
        <v>549</v>
      </c>
      <c r="H5899" s="11">
        <v>3527</v>
      </c>
      <c r="I5899" s="11">
        <v>0</v>
      </c>
      <c r="J5899" s="11">
        <v>0</v>
      </c>
      <c r="K5899" s="11" t="s">
        <v>21</v>
      </c>
      <c r="L5899" s="7">
        <v>42343.063356481478</v>
      </c>
      <c r="M5899" s="12"/>
      <c r="N5899" s="12"/>
      <c r="O5899" s="10" t="str">
        <f>HYPERLINK("https://pbs.twimg.com/profile_images/672878354127839232/M7OYc-zx_normal.jpg","View")</f>
        <v>View</v>
      </c>
      <c r="P5899" s="11"/>
    </row>
    <row r="5900" spans="1:16" ht="12.75" x14ac:dyDescent="0.35">
      <c r="A5900" s="7">
        <v>42483.749861111108</v>
      </c>
      <c r="B5900" s="8" t="str">
        <f>HYPERLINK("https://twitter.com/VolkswagenPost","@VolkswagenPost")</f>
        <v>@VolkswagenPost</v>
      </c>
      <c r="C5900" s="9" t="s">
        <v>321</v>
      </c>
      <c r="D5900" s="9" t="s">
        <v>13453</v>
      </c>
      <c r="E5900" s="10" t="str">
        <f>HYPERLINK("https://twitter.com/VolkswagenPost/status/723851366611881984","723851366611881984")</f>
        <v>723851366611881984</v>
      </c>
      <c r="F5900" s="11" t="s">
        <v>34</v>
      </c>
      <c r="G5900" s="11">
        <v>570</v>
      </c>
      <c r="H5900" s="11">
        <v>446</v>
      </c>
      <c r="I5900" s="11">
        <v>0</v>
      </c>
      <c r="J5900" s="11">
        <v>0</v>
      </c>
      <c r="K5900" s="11" t="s">
        <v>21</v>
      </c>
      <c r="L5900" s="7">
        <v>41940.618379629632</v>
      </c>
      <c r="M5900" s="12"/>
      <c r="N5900" s="12"/>
      <c r="O5900" s="10" t="str">
        <f>HYPERLINK("https://pbs.twimg.com/profile_images/530071272881803264/a_jcCmPZ_normal.png","View")</f>
        <v>View</v>
      </c>
      <c r="P5900" s="11"/>
    </row>
    <row r="5901" spans="1:16" ht="12.75" x14ac:dyDescent="0.35">
      <c r="A5901" s="7">
        <v>42483.749918981484</v>
      </c>
      <c r="B5901" s="8" t="str">
        <f>HYPERLINK("https://twitter.com/FindingDhimo","@FindingDhimo")</f>
        <v>@FindingDhimo</v>
      </c>
      <c r="C5901" s="9" t="s">
        <v>13454</v>
      </c>
      <c r="D5901" s="9" t="s">
        <v>13150</v>
      </c>
      <c r="E5901" s="10" t="str">
        <f>HYPERLINK("https://twitter.com/FindingDhimo/status/723851385566056448","723851385566056448")</f>
        <v>723851385566056448</v>
      </c>
      <c r="F5901" s="11" t="s">
        <v>20</v>
      </c>
      <c r="G5901" s="11">
        <v>160</v>
      </c>
      <c r="H5901" s="11">
        <v>141</v>
      </c>
      <c r="I5901" s="11">
        <v>20</v>
      </c>
      <c r="J5901" s="11">
        <v>0</v>
      </c>
      <c r="K5901" s="11" t="s">
        <v>21</v>
      </c>
      <c r="L5901" s="7">
        <v>42383.925011574072</v>
      </c>
      <c r="M5901" s="12" t="s">
        <v>13455</v>
      </c>
      <c r="N5901" s="12" t="s">
        <v>13456</v>
      </c>
      <c r="O5901" s="10" t="str">
        <f>HYPERLINK("https://pbs.twimg.com/profile_images/687676353450217472/nPh8M5dG_normal.jpg","View")</f>
        <v>View</v>
      </c>
      <c r="P5901" s="11"/>
    </row>
    <row r="5902" spans="1:16" ht="12.75" x14ac:dyDescent="0.35">
      <c r="A5902" s="7">
        <v>42483.74998842593</v>
      </c>
      <c r="B5902" s="8" t="str">
        <f>HYPERLINK("https://twitter.com/Insta_VWT","@Insta_VWT")</f>
        <v>@Insta_VWT</v>
      </c>
      <c r="C5902" s="9" t="s">
        <v>181</v>
      </c>
      <c r="D5902" s="9" t="s">
        <v>13457</v>
      </c>
      <c r="E5902" s="10" t="str">
        <f>HYPERLINK("https://twitter.com/Insta_VWT/status/723851411491053568","723851411491053568")</f>
        <v>723851411491053568</v>
      </c>
      <c r="F5902" s="11" t="s">
        <v>68</v>
      </c>
      <c r="G5902" s="11">
        <v>482</v>
      </c>
      <c r="H5902" s="11">
        <v>0</v>
      </c>
      <c r="I5902" s="11">
        <v>0</v>
      </c>
      <c r="J5902" s="11">
        <v>0</v>
      </c>
      <c r="K5902" s="11" t="s">
        <v>21</v>
      </c>
      <c r="L5902" s="7">
        <v>41658.782800925925</v>
      </c>
      <c r="M5902" s="12" t="s">
        <v>183</v>
      </c>
      <c r="N5902" s="12" t="s">
        <v>184</v>
      </c>
      <c r="O5902" s="10" t="str">
        <f>HYPERLINK("https://pbs.twimg.com/profile_images/424893967197433858/iQ86NktX_normal.jpeg","View")</f>
        <v>View</v>
      </c>
      <c r="P5902" s="11"/>
    </row>
    <row r="5903" spans="1:16" ht="12.75" x14ac:dyDescent="0.35">
      <c r="A5903" s="7">
        <v>42483.751087962963</v>
      </c>
      <c r="B5903" s="8" t="str">
        <f>HYPERLINK("https://twitter.com/motorhappy","@motorhappy")</f>
        <v>@motorhappy</v>
      </c>
      <c r="C5903" s="9" t="s">
        <v>13458</v>
      </c>
      <c r="D5903" s="9" t="s">
        <v>13459</v>
      </c>
      <c r="E5903" s="10" t="str">
        <f>HYPERLINK("https://twitter.com/motorhappy/status/723851808444178432","723851808444178432")</f>
        <v>723851808444178432</v>
      </c>
      <c r="F5903" s="11" t="s">
        <v>13460</v>
      </c>
      <c r="G5903" s="11">
        <v>8971</v>
      </c>
      <c r="H5903" s="11">
        <v>7604</v>
      </c>
      <c r="I5903" s="11">
        <v>2</v>
      </c>
      <c r="J5903" s="11">
        <v>0</v>
      </c>
      <c r="K5903" s="11" t="s">
        <v>21</v>
      </c>
      <c r="L5903" s="7">
        <v>41656.987442129626</v>
      </c>
      <c r="M5903" s="12" t="s">
        <v>129</v>
      </c>
      <c r="N5903" s="12" t="s">
        <v>13461</v>
      </c>
      <c r="O5903" s="10" t="str">
        <f>HYPERLINK("https://pbs.twimg.com/profile_images/552042888666705921/TxWAPB36_normal.png","View")</f>
        <v>View</v>
      </c>
      <c r="P5903" s="11"/>
    </row>
    <row r="5904" spans="1:16" ht="12.75" x14ac:dyDescent="0.35">
      <c r="A5904" s="7">
        <v>42483.751099537039</v>
      </c>
      <c r="B5904" s="8" t="str">
        <f>HYPERLINK("https://twitter.com/VCT_Tweets","@VCT_Tweets")</f>
        <v>@VCT_Tweets</v>
      </c>
      <c r="C5904" s="9" t="s">
        <v>199</v>
      </c>
      <c r="D5904" s="9" t="s">
        <v>13462</v>
      </c>
      <c r="E5904" s="10" t="str">
        <f>HYPERLINK("https://twitter.com/VCT_Tweets/status/723851813129203713","723851813129203713")</f>
        <v>723851813129203713</v>
      </c>
      <c r="F5904" s="11" t="s">
        <v>68</v>
      </c>
      <c r="G5904" s="11">
        <v>891</v>
      </c>
      <c r="H5904" s="11">
        <v>211</v>
      </c>
      <c r="I5904" s="11">
        <v>0</v>
      </c>
      <c r="J5904" s="11">
        <v>0</v>
      </c>
      <c r="K5904" s="11" t="s">
        <v>21</v>
      </c>
      <c r="L5904" s="7">
        <v>40744.914837962962</v>
      </c>
      <c r="M5904" s="12" t="s">
        <v>201</v>
      </c>
      <c r="N5904" s="12" t="s">
        <v>202</v>
      </c>
      <c r="O5904" s="10" t="str">
        <f>HYPERLINK("https://pbs.twimg.com/profile_images/569800899141177344/nVFLMSdb_normal.png","View")</f>
        <v>View</v>
      </c>
      <c r="P5904" s="11"/>
    </row>
    <row r="5905" spans="1:16" ht="12.75" x14ac:dyDescent="0.35">
      <c r="A5905" s="7">
        <v>42483.751875000002</v>
      </c>
      <c r="B5905" s="8" t="str">
        <f>HYPERLINK("https://twitter.com/MotorHour","@MotorHour")</f>
        <v>@MotorHour</v>
      </c>
      <c r="C5905" s="9" t="s">
        <v>13463</v>
      </c>
      <c r="D5905" s="9" t="s">
        <v>13459</v>
      </c>
      <c r="E5905" s="10" t="str">
        <f>HYPERLINK("https://twitter.com/MotorHour/status/723852094034329600","723852094034329600")</f>
        <v>723852094034329600</v>
      </c>
      <c r="F5905" s="11" t="s">
        <v>13460</v>
      </c>
      <c r="G5905" s="11">
        <v>7951</v>
      </c>
      <c r="H5905" s="11">
        <v>7099</v>
      </c>
      <c r="I5905" s="11">
        <v>2</v>
      </c>
      <c r="J5905" s="11">
        <v>0</v>
      </c>
      <c r="K5905" s="11" t="s">
        <v>21</v>
      </c>
      <c r="L5905" s="7">
        <v>41624.563159722224</v>
      </c>
      <c r="M5905" s="12" t="s">
        <v>129</v>
      </c>
      <c r="N5905" s="12" t="s">
        <v>13464</v>
      </c>
      <c r="O5905" s="10" t="str">
        <f>HYPERLINK("https://pbs.twimg.com/profile_images/552044021774700544/M3FC3arM_normal.jpeg","View")</f>
        <v>View</v>
      </c>
      <c r="P5905" s="11"/>
    </row>
    <row r="5906" spans="1:16" ht="12.75" x14ac:dyDescent="0.35">
      <c r="A5906" s="7">
        <v>42483.752476851849</v>
      </c>
      <c r="B5906" s="8" t="str">
        <f>HYPERLINK("https://twitter.com/VWCamperSales","@VWCamperSales")</f>
        <v>@VWCamperSales</v>
      </c>
      <c r="C5906" s="9" t="s">
        <v>216</v>
      </c>
      <c r="D5906" s="9" t="s">
        <v>13465</v>
      </c>
      <c r="E5906" s="10" t="str">
        <f>HYPERLINK("https://twitter.com/VWCamperSales/status/723852311525658624","723852311525658624")</f>
        <v>723852311525658624</v>
      </c>
      <c r="F5906" s="10" t="s">
        <v>124</v>
      </c>
      <c r="G5906" s="11">
        <v>622</v>
      </c>
      <c r="H5906" s="11">
        <v>580</v>
      </c>
      <c r="I5906" s="11">
        <v>0</v>
      </c>
      <c r="J5906" s="11">
        <v>0</v>
      </c>
      <c r="K5906" s="11" t="s">
        <v>21</v>
      </c>
      <c r="L5906" s="7">
        <v>42215.98809027778</v>
      </c>
      <c r="M5906" s="12" t="s">
        <v>129</v>
      </c>
      <c r="N5906" s="12" t="s">
        <v>218</v>
      </c>
      <c r="O5906" s="10" t="str">
        <f>HYPERLINK("https://pbs.twimg.com/profile_images/627949001179037696/skEBkS05_normal.jpg","View")</f>
        <v>View</v>
      </c>
      <c r="P5906" s="11"/>
    </row>
    <row r="5907" spans="1:16" ht="12.75" x14ac:dyDescent="0.35">
      <c r="A5907" s="7">
        <v>42483.752638888887</v>
      </c>
      <c r="B5907" s="8" t="str">
        <f>HYPERLINK("https://twitter.com/Onlydriving1","@Onlydriving1")</f>
        <v>@Onlydriving1</v>
      </c>
      <c r="C5907" s="9" t="s">
        <v>13466</v>
      </c>
      <c r="D5907" s="9" t="s">
        <v>13467</v>
      </c>
      <c r="E5907" s="10" t="str">
        <f>HYPERLINK("https://twitter.com/Onlydriving1/status/723852369600106496","723852369600106496")</f>
        <v>723852369600106496</v>
      </c>
      <c r="F5907" s="11" t="s">
        <v>43</v>
      </c>
      <c r="G5907" s="11">
        <v>274</v>
      </c>
      <c r="H5907" s="11">
        <v>652</v>
      </c>
      <c r="I5907" s="11">
        <v>0</v>
      </c>
      <c r="J5907" s="11">
        <v>0</v>
      </c>
      <c r="K5907" s="11" t="s">
        <v>21</v>
      </c>
      <c r="L5907" s="7">
        <v>41570.642708333333</v>
      </c>
      <c r="M5907" s="12" t="s">
        <v>13468</v>
      </c>
      <c r="N5907" s="12" t="s">
        <v>13469</v>
      </c>
      <c r="O5907" s="10" t="str">
        <f>HYPERLINK("https://pbs.twimg.com/profile_images/494041717373300736/H07jZb4u_normal.jpeg","View")</f>
        <v>View</v>
      </c>
      <c r="P5907" s="11"/>
    </row>
    <row r="5908" spans="1:16" ht="12.75" x14ac:dyDescent="0.35">
      <c r="A5908" s="7">
        <v>42483.752905092595</v>
      </c>
      <c r="B5908" s="8" t="str">
        <f>HYPERLINK("https://twitter.com/Shereen_Shabnam","@Shereen_Shabnam")</f>
        <v>@Shereen_Shabnam</v>
      </c>
      <c r="C5908" s="9" t="s">
        <v>13384</v>
      </c>
      <c r="D5908" s="9" t="s">
        <v>13470</v>
      </c>
      <c r="E5908" s="10" t="str">
        <f>HYPERLINK("https://twitter.com/Shereen_Shabnam/status/723852465997799425","723852465997799425")</f>
        <v>723852465997799425</v>
      </c>
      <c r="F5908" s="11" t="s">
        <v>20</v>
      </c>
      <c r="G5908" s="11">
        <v>2971</v>
      </c>
      <c r="H5908" s="11">
        <v>3254</v>
      </c>
      <c r="I5908" s="11">
        <v>0</v>
      </c>
      <c r="J5908" s="11">
        <v>0</v>
      </c>
      <c r="K5908" s="11" t="s">
        <v>21</v>
      </c>
      <c r="L5908" s="7">
        <v>39880.634641203702</v>
      </c>
      <c r="M5908" s="12" t="s">
        <v>13386</v>
      </c>
      <c r="N5908" s="12" t="s">
        <v>13387</v>
      </c>
      <c r="O5908" s="10" t="str">
        <f>HYPERLINK("https://pbs.twimg.com/profile_images/521400664019050497/hWGhy89F_normal.jpeg","View")</f>
        <v>View</v>
      </c>
      <c r="P5908" s="11"/>
    </row>
    <row r="5909" spans="1:16" ht="12.75" x14ac:dyDescent="0.35">
      <c r="A5909" s="7">
        <v>42483.754687499997</v>
      </c>
      <c r="B5909" s="8" t="str">
        <f>HYPERLINK("https://twitter.com/BootsBrothers","@BootsBrothers")</f>
        <v>@BootsBrothers</v>
      </c>
      <c r="C5909" s="9" t="s">
        <v>13471</v>
      </c>
      <c r="D5909" s="9" t="s">
        <v>13472</v>
      </c>
      <c r="E5909" s="10" t="str">
        <f>HYPERLINK("https://twitter.com/BootsBrothers/status/723853112117723136","723853112117723136")</f>
        <v>723853112117723136</v>
      </c>
      <c r="F5909" s="11" t="s">
        <v>114</v>
      </c>
      <c r="G5909" s="11">
        <v>381</v>
      </c>
      <c r="H5909" s="11">
        <v>293</v>
      </c>
      <c r="I5909" s="11">
        <v>0</v>
      </c>
      <c r="J5909" s="11">
        <v>0</v>
      </c>
      <c r="K5909" s="11" t="s">
        <v>21</v>
      </c>
      <c r="L5909" s="7">
        <v>40614.482199074075</v>
      </c>
      <c r="M5909" s="12" t="s">
        <v>13473</v>
      </c>
      <c r="N5909" s="12" t="s">
        <v>13474</v>
      </c>
      <c r="O5909" s="10" t="str">
        <f>HYPERLINK("https://pbs.twimg.com/profile_images/623002118480224256/a4_TT0iV_normal.jpg","View")</f>
        <v>View</v>
      </c>
      <c r="P5909" s="11"/>
    </row>
    <row r="5910" spans="1:16" ht="12.75" x14ac:dyDescent="0.35">
      <c r="A5910" s="7">
        <v>42483.756053240737</v>
      </c>
      <c r="B5910" s="8" t="str">
        <f>HYPERLINK("https://twitter.com/charlieemma","@charlieemma")</f>
        <v>@charlieemma</v>
      </c>
      <c r="C5910" s="9" t="s">
        <v>2126</v>
      </c>
      <c r="D5910" s="9" t="s">
        <v>13008</v>
      </c>
      <c r="E5910" s="10" t="str">
        <f>HYPERLINK("https://twitter.com/charlieemma/status/723853609843175425","723853609843175425")</f>
        <v>723853609843175425</v>
      </c>
      <c r="F5910" s="11" t="s">
        <v>91</v>
      </c>
      <c r="G5910" s="11">
        <v>242</v>
      </c>
      <c r="H5910" s="11">
        <v>278</v>
      </c>
      <c r="I5910" s="11">
        <v>4</v>
      </c>
      <c r="J5910" s="11">
        <v>0</v>
      </c>
      <c r="K5910" s="11" t="s">
        <v>21</v>
      </c>
      <c r="L5910" s="7">
        <v>39858.958587962959</v>
      </c>
      <c r="M5910" s="12" t="s">
        <v>1534</v>
      </c>
      <c r="N5910" s="12" t="s">
        <v>13475</v>
      </c>
      <c r="O5910" s="10" t="str">
        <f>HYPERLINK("https://pbs.twimg.com/profile_images/630521424529203200/BI1XLLRq_normal.jpg","View")</f>
        <v>View</v>
      </c>
      <c r="P5910" s="11"/>
    </row>
    <row r="5911" spans="1:16" ht="12.75" x14ac:dyDescent="0.35">
      <c r="A5911" s="7">
        <v>42483.757939814815</v>
      </c>
      <c r="B5911" s="8" t="str">
        <f>HYPERLINK("https://twitter.com/KinsaleOnline","@KinsaleOnline")</f>
        <v>@KinsaleOnline</v>
      </c>
      <c r="C5911" s="9" t="s">
        <v>13476</v>
      </c>
      <c r="D5911" s="9" t="s">
        <v>13477</v>
      </c>
      <c r="E5911" s="10" t="str">
        <f>HYPERLINK("https://twitter.com/KinsaleOnline/status/723854292822687745","723854292822687745")</f>
        <v>723854292822687745</v>
      </c>
      <c r="F5911" s="11" t="s">
        <v>48</v>
      </c>
      <c r="G5911" s="11">
        <v>2177</v>
      </c>
      <c r="H5911" s="11">
        <v>1833</v>
      </c>
      <c r="I5911" s="11">
        <v>1</v>
      </c>
      <c r="J5911" s="11">
        <v>0</v>
      </c>
      <c r="K5911" s="11" t="s">
        <v>21</v>
      </c>
      <c r="L5911" s="7">
        <v>41420.991631944446</v>
      </c>
      <c r="M5911" s="12" t="s">
        <v>13478</v>
      </c>
      <c r="N5911" s="12" t="s">
        <v>13479</v>
      </c>
      <c r="O5911" s="10" t="str">
        <f>HYPERLINK("https://pbs.twimg.com/profile_images/718804114780655616/RVH524-G_normal.jpg","View")</f>
        <v>View</v>
      </c>
      <c r="P5911" s="11"/>
    </row>
    <row r="5912" spans="1:16" ht="12.75" x14ac:dyDescent="0.35">
      <c r="A5912" s="7">
        <v>42483.765821759254</v>
      </c>
      <c r="B5912" s="8" t="str">
        <f>HYPERLINK("https://twitter.com/krankspinatra","@krankspinatra")</f>
        <v>@krankspinatra</v>
      </c>
      <c r="C5912" s="9" t="s">
        <v>13480</v>
      </c>
      <c r="D5912" s="9" t="s">
        <v>13481</v>
      </c>
      <c r="E5912" s="10" t="str">
        <f>HYPERLINK("https://twitter.com/krankspinatra/status/723857146610343936","723857146610343936")</f>
        <v>723857146610343936</v>
      </c>
      <c r="F5912" s="11" t="s">
        <v>114</v>
      </c>
      <c r="G5912" s="11">
        <v>11</v>
      </c>
      <c r="H5912" s="11">
        <v>51</v>
      </c>
      <c r="I5912" s="11">
        <v>0</v>
      </c>
      <c r="J5912" s="11">
        <v>0</v>
      </c>
      <c r="K5912" s="11" t="s">
        <v>21</v>
      </c>
      <c r="L5912" s="7">
        <v>42387.254444444443</v>
      </c>
      <c r="M5912" s="12" t="s">
        <v>13482</v>
      </c>
      <c r="N5912" s="12" t="s">
        <v>13483</v>
      </c>
      <c r="O5912" s="10" t="str">
        <f>HYPERLINK("https://pbs.twimg.com/profile_images/688893787205074944/EvYVmDGM_normal.jpg","View")</f>
        <v>View</v>
      </c>
      <c r="P5912" s="11"/>
    </row>
    <row r="5913" spans="1:16" ht="12.75" x14ac:dyDescent="0.35">
      <c r="A5913" s="7">
        <v>42483.766145833331</v>
      </c>
      <c r="B5913" s="8" t="str">
        <f>HYPERLINK("https://twitter.com/Soullehhin","@Soullehhin")</f>
        <v>@Soullehhin</v>
      </c>
      <c r="C5913" s="9" t="s">
        <v>13484</v>
      </c>
      <c r="D5913" s="9" t="s">
        <v>13150</v>
      </c>
      <c r="E5913" s="10" t="str">
        <f>HYPERLINK("https://twitter.com/Soullehhin/status/723857264491134977","723857264491134977")</f>
        <v>723857264491134977</v>
      </c>
      <c r="F5913" s="11" t="s">
        <v>48</v>
      </c>
      <c r="G5913" s="11">
        <v>386</v>
      </c>
      <c r="H5913" s="11">
        <v>343</v>
      </c>
      <c r="I5913" s="11">
        <v>21</v>
      </c>
      <c r="J5913" s="11">
        <v>0</v>
      </c>
      <c r="K5913" s="11" t="s">
        <v>21</v>
      </c>
      <c r="L5913" s="7">
        <v>40232.646296296298</v>
      </c>
      <c r="M5913" s="12"/>
      <c r="N5913" s="12" t="s">
        <v>13485</v>
      </c>
      <c r="O5913" s="10" t="str">
        <f>HYPERLINK("https://pbs.twimg.com/profile_images/675828432056352768/HeAvTTHu_normal.jpg","View")</f>
        <v>View</v>
      </c>
      <c r="P5913" s="11"/>
    </row>
    <row r="5914" spans="1:16" ht="12.75" x14ac:dyDescent="0.35">
      <c r="A5914" s="7">
        <v>42483.770196759258</v>
      </c>
      <c r="B5914" s="8" t="str">
        <f>HYPERLINK("https://twitter.com/Jh0nX","@Jh0nX")</f>
        <v>@Jh0nX</v>
      </c>
      <c r="C5914" s="9" t="s">
        <v>13486</v>
      </c>
      <c r="D5914" s="9" t="s">
        <v>13487</v>
      </c>
      <c r="E5914" s="10" t="str">
        <f>HYPERLINK("https://twitter.com/Jh0nX/status/723858732988375040","723858732988375040")</f>
        <v>723858732988375040</v>
      </c>
      <c r="F5914" s="11" t="s">
        <v>43</v>
      </c>
      <c r="G5914" s="11">
        <v>85</v>
      </c>
      <c r="H5914" s="11">
        <v>142</v>
      </c>
      <c r="I5914" s="11">
        <v>0</v>
      </c>
      <c r="J5914" s="11">
        <v>0</v>
      </c>
      <c r="K5914" s="11" t="s">
        <v>21</v>
      </c>
      <c r="L5914" s="7">
        <v>40760.735289351855</v>
      </c>
      <c r="M5914" s="12"/>
      <c r="N5914" s="12" t="s">
        <v>13488</v>
      </c>
      <c r="O5914" s="10" t="str">
        <f>HYPERLINK("https://pbs.twimg.com/profile_images/703530030010335232/GY0EEAPw_normal.jpg","View")</f>
        <v>View</v>
      </c>
      <c r="P5914" s="11"/>
    </row>
    <row r="5915" spans="1:16" ht="12.75" x14ac:dyDescent="0.35">
      <c r="A5915" s="7">
        <v>42483.770231481481</v>
      </c>
      <c r="B5915" s="8" t="str">
        <f t="shared" ref="B5915:B5916" si="515">HYPERLINK("https://twitter.com/VWCamperSales","@VWCamperSales")</f>
        <v>@VWCamperSales</v>
      </c>
      <c r="C5915" s="9" t="s">
        <v>216</v>
      </c>
      <c r="D5915" s="9" t="s">
        <v>13489</v>
      </c>
      <c r="E5915" s="10" t="str">
        <f>HYPERLINK("https://twitter.com/VWCamperSales/status/723858746191974400","723858746191974400")</f>
        <v>723858746191974400</v>
      </c>
      <c r="F5915" s="10" t="s">
        <v>124</v>
      </c>
      <c r="G5915" s="11">
        <v>622</v>
      </c>
      <c r="H5915" s="11">
        <v>580</v>
      </c>
      <c r="I5915" s="11">
        <v>0</v>
      </c>
      <c r="J5915" s="11">
        <v>0</v>
      </c>
      <c r="K5915" s="11" t="s">
        <v>21</v>
      </c>
      <c r="L5915" s="7">
        <v>42215.98809027778</v>
      </c>
      <c r="M5915" s="12" t="s">
        <v>129</v>
      </c>
      <c r="N5915" s="12" t="s">
        <v>218</v>
      </c>
      <c r="O5915" s="10" t="str">
        <f t="shared" ref="O5915:O5916" si="516">HYPERLINK("https://pbs.twimg.com/profile_images/627949001179037696/skEBkS05_normal.jpg","View")</f>
        <v>View</v>
      </c>
      <c r="P5915" s="11"/>
    </row>
    <row r="5916" spans="1:16" ht="12.75" x14ac:dyDescent="0.35">
      <c r="A5916" s="7">
        <v>42483.770243055551</v>
      </c>
      <c r="B5916" s="8" t="str">
        <f t="shared" si="515"/>
        <v>@VWCamperSales</v>
      </c>
      <c r="C5916" s="9" t="s">
        <v>216</v>
      </c>
      <c r="D5916" s="9" t="s">
        <v>13490</v>
      </c>
      <c r="E5916" s="10" t="str">
        <f>HYPERLINK("https://twitter.com/VWCamperSales/status/723858751422255105","723858751422255105")</f>
        <v>723858751422255105</v>
      </c>
      <c r="F5916" s="10" t="s">
        <v>124</v>
      </c>
      <c r="G5916" s="11">
        <v>622</v>
      </c>
      <c r="H5916" s="11">
        <v>580</v>
      </c>
      <c r="I5916" s="11">
        <v>0</v>
      </c>
      <c r="J5916" s="11">
        <v>0</v>
      </c>
      <c r="K5916" s="11" t="s">
        <v>21</v>
      </c>
      <c r="L5916" s="7">
        <v>42215.98809027778</v>
      </c>
      <c r="M5916" s="12" t="s">
        <v>129</v>
      </c>
      <c r="N5916" s="12" t="s">
        <v>218</v>
      </c>
      <c r="O5916" s="10" t="str">
        <f t="shared" si="516"/>
        <v>View</v>
      </c>
      <c r="P5916" s="11"/>
    </row>
    <row r="5917" spans="1:16" ht="12.75" x14ac:dyDescent="0.35">
      <c r="A5917" s="7">
        <v>42483.77071759259</v>
      </c>
      <c r="B5917" s="8" t="str">
        <f>HYPERLINK("https://twitter.com/AlwaysInTheTaxi","@AlwaysInTheTaxi")</f>
        <v>@AlwaysInTheTaxi</v>
      </c>
      <c r="C5917" s="9" t="s">
        <v>13491</v>
      </c>
      <c r="D5917" s="9" t="s">
        <v>13459</v>
      </c>
      <c r="E5917" s="10" t="str">
        <f>HYPERLINK("https://twitter.com/AlwaysInTheTaxi/status/723858922856165376","723858922856165376")</f>
        <v>723858922856165376</v>
      </c>
      <c r="F5917" s="11" t="s">
        <v>48</v>
      </c>
      <c r="G5917" s="11">
        <v>180</v>
      </c>
      <c r="H5917" s="11">
        <v>242</v>
      </c>
      <c r="I5917" s="11">
        <v>3</v>
      </c>
      <c r="J5917" s="11">
        <v>0</v>
      </c>
      <c r="K5917" s="11" t="s">
        <v>21</v>
      </c>
      <c r="L5917" s="7">
        <v>42026.937986111108</v>
      </c>
      <c r="M5917" s="12" t="s">
        <v>13492</v>
      </c>
      <c r="N5917" s="12" t="s">
        <v>13493</v>
      </c>
      <c r="O5917" s="10" t="str">
        <f>HYPERLINK("https://pbs.twimg.com/profile_images/558311466282270721/qSeyoc7L_normal.jpeg","View")</f>
        <v>View</v>
      </c>
      <c r="P5917" s="11"/>
    </row>
    <row r="5918" spans="1:16" ht="12.75" x14ac:dyDescent="0.35">
      <c r="A5918" s="7">
        <v>42483.770856481482</v>
      </c>
      <c r="B5918" s="8" t="str">
        <f>HYPERLINK("https://twitter.com/swanswaygroup","@swanswaygroup")</f>
        <v>@swanswaygroup</v>
      </c>
      <c r="C5918" s="9" t="s">
        <v>2558</v>
      </c>
      <c r="D5918" s="9" t="s">
        <v>13494</v>
      </c>
      <c r="E5918" s="10" t="str">
        <f>HYPERLINK("https://twitter.com/swanswaygroup/status/723858972516728832","723858972516728832")</f>
        <v>723858972516728832</v>
      </c>
      <c r="F5918" s="11" t="s">
        <v>140</v>
      </c>
      <c r="G5918" s="11">
        <v>6201</v>
      </c>
      <c r="H5918" s="11">
        <v>4451</v>
      </c>
      <c r="I5918" s="11">
        <v>0</v>
      </c>
      <c r="J5918" s="11">
        <v>1</v>
      </c>
      <c r="K5918" s="11" t="s">
        <v>21</v>
      </c>
      <c r="L5918" s="7">
        <v>40137.651365740741</v>
      </c>
      <c r="M5918" s="12" t="s">
        <v>2560</v>
      </c>
      <c r="N5918" s="12" t="s">
        <v>2561</v>
      </c>
      <c r="O5918" s="10" t="str">
        <f>HYPERLINK("https://pbs.twimg.com/profile_images/552037189328982016/r65JRGTS_normal.jpeg","View")</f>
        <v>View</v>
      </c>
      <c r="P5918" s="11"/>
    </row>
    <row r="5919" spans="1:16" ht="12.75" x14ac:dyDescent="0.35">
      <c r="A5919" s="7">
        <v>42483.770868055552</v>
      </c>
      <c r="B5919" s="8" t="str">
        <f>HYPERLINK("https://twitter.com/crewevw","@crewevw")</f>
        <v>@crewevw</v>
      </c>
      <c r="C5919" s="9" t="s">
        <v>2562</v>
      </c>
      <c r="D5919" s="9" t="s">
        <v>13495</v>
      </c>
      <c r="E5919" s="10" t="str">
        <f>HYPERLINK("https://twitter.com/crewevw/status/723858976253849600","723858976253849600")</f>
        <v>723858976253849600</v>
      </c>
      <c r="F5919" s="11" t="s">
        <v>140</v>
      </c>
      <c r="G5919" s="11">
        <v>2782</v>
      </c>
      <c r="H5919" s="11">
        <v>2269</v>
      </c>
      <c r="I5919" s="11">
        <v>0</v>
      </c>
      <c r="J5919" s="11">
        <v>1</v>
      </c>
      <c r="K5919" s="11" t="s">
        <v>21</v>
      </c>
      <c r="L5919" s="7">
        <v>40240.83458333333</v>
      </c>
      <c r="M5919" s="12" t="s">
        <v>2564</v>
      </c>
      <c r="N5919" s="12" t="s">
        <v>2565</v>
      </c>
      <c r="O5919" s="10" t="str">
        <f>HYPERLINK("https://pbs.twimg.com/profile_images/488678354338324481/_qtBruR6_normal.jpeg","View")</f>
        <v>View</v>
      </c>
      <c r="P5919" s="11"/>
    </row>
    <row r="5920" spans="1:16" ht="12.75" x14ac:dyDescent="0.35">
      <c r="A5920" s="7">
        <v>42483.771145833336</v>
      </c>
      <c r="B5920" s="8" t="str">
        <f>HYPERLINK("https://twitter.com/nicetvgermany","@nicetvgermany")</f>
        <v>@nicetvgermany</v>
      </c>
      <c r="C5920" s="9" t="s">
        <v>13496</v>
      </c>
      <c r="D5920" s="9" t="s">
        <v>13068</v>
      </c>
      <c r="E5920" s="10" t="str">
        <f>HYPERLINK("https://twitter.com/nicetvgermany/status/723859080020918272","723859080020918272")</f>
        <v>723859080020918272</v>
      </c>
      <c r="F5920" s="11" t="s">
        <v>43</v>
      </c>
      <c r="G5920" s="11">
        <v>12</v>
      </c>
      <c r="H5920" s="11">
        <v>20</v>
      </c>
      <c r="I5920" s="11">
        <v>4</v>
      </c>
      <c r="J5920" s="11">
        <v>0</v>
      </c>
      <c r="K5920" s="11" t="s">
        <v>21</v>
      </c>
      <c r="L5920" s="7">
        <v>42442.235925925925</v>
      </c>
      <c r="M5920" s="12" t="s">
        <v>1359</v>
      </c>
      <c r="N5920" s="12" t="s">
        <v>13497</v>
      </c>
      <c r="O5920" s="10" t="str">
        <f>HYPERLINK("https://pbs.twimg.com/profile_images/708809206032424960/bdr9jDE-_normal.jpg","View")</f>
        <v>View</v>
      </c>
      <c r="P5920" s="11"/>
    </row>
    <row r="5921" spans="1:16" ht="12.75" x14ac:dyDescent="0.35">
      <c r="A5921" s="7">
        <v>42483.771412037036</v>
      </c>
      <c r="B5921" s="8" t="str">
        <f>HYPERLINK("https://twitter.com/DanpolLodz","@DanpolLodz")</f>
        <v>@DanpolLodz</v>
      </c>
      <c r="C5921" s="9" t="s">
        <v>13498</v>
      </c>
      <c r="D5921" s="9" t="s">
        <v>13499</v>
      </c>
      <c r="E5921" s="10" t="str">
        <f>HYPERLINK("https://twitter.com/DanpolLodz/status/723859173306408960","723859173306408960")</f>
        <v>723859173306408960</v>
      </c>
      <c r="F5921" s="11" t="s">
        <v>13500</v>
      </c>
      <c r="G5921" s="11">
        <v>93</v>
      </c>
      <c r="H5921" s="11">
        <v>189</v>
      </c>
      <c r="I5921" s="11">
        <v>1</v>
      </c>
      <c r="J5921" s="11">
        <v>0</v>
      </c>
      <c r="K5921" s="11" t="s">
        <v>21</v>
      </c>
      <c r="L5921" s="7">
        <v>41855.710462962961</v>
      </c>
      <c r="M5921" s="12" t="s">
        <v>13501</v>
      </c>
      <c r="N5921" s="12" t="s">
        <v>13502</v>
      </c>
      <c r="O5921" s="10" t="str">
        <f>HYPERLINK("https://pbs.twimg.com/profile_images/496641357113331712/epbi56D0_normal.jpeg","View")</f>
        <v>View</v>
      </c>
      <c r="P5921" s="11"/>
    </row>
    <row r="5922" spans="1:16" ht="12.75" x14ac:dyDescent="0.35">
      <c r="A5922" s="7">
        <v>42483.771770833337</v>
      </c>
      <c r="B5922" s="8" t="str">
        <f>HYPERLINK("https://twitter.com/GolfitIt","@GolfitIt")</f>
        <v>@GolfitIt</v>
      </c>
      <c r="C5922" s="9" t="s">
        <v>13503</v>
      </c>
      <c r="D5922" s="9" t="s">
        <v>13504</v>
      </c>
      <c r="E5922" s="10" t="str">
        <f>HYPERLINK("https://twitter.com/GolfitIt/status/723859302964989954","723859302964989954")</f>
        <v>723859302964989954</v>
      </c>
      <c r="F5922" s="11" t="s">
        <v>13505</v>
      </c>
      <c r="G5922" s="11">
        <v>1795</v>
      </c>
      <c r="H5922" s="11">
        <v>10</v>
      </c>
      <c r="I5922" s="11">
        <v>1</v>
      </c>
      <c r="J5922" s="11">
        <v>0</v>
      </c>
      <c r="K5922" s="11" t="s">
        <v>21</v>
      </c>
      <c r="L5922" s="7">
        <v>41501.856377314813</v>
      </c>
      <c r="M5922" s="12"/>
      <c r="N5922" s="12"/>
      <c r="O5922" s="10" t="str">
        <f>HYPERLINK("https://pbs.twimg.com/profile_images/465845159607824386/C2TZw1k6_normal.jpeg","View")</f>
        <v>View</v>
      </c>
      <c r="P5922" s="11"/>
    </row>
    <row r="5923" spans="1:16" ht="12.75" x14ac:dyDescent="0.35">
      <c r="A5923" s="7">
        <v>42483.771874999999</v>
      </c>
      <c r="B5923" s="8" t="str">
        <f>HYPERLINK("https://twitter.com/vwpress_de","@vwpress_de")</f>
        <v>@vwpress_de</v>
      </c>
      <c r="C5923" s="9" t="s">
        <v>1685</v>
      </c>
      <c r="D5923" s="9" t="s">
        <v>13506</v>
      </c>
      <c r="E5923" s="10" t="str">
        <f>HYPERLINK("https://twitter.com/vwpress_de/status/723859340210372608","723859340210372608")</f>
        <v>723859340210372608</v>
      </c>
      <c r="F5923" s="11" t="s">
        <v>152</v>
      </c>
      <c r="G5923" s="11">
        <v>5817</v>
      </c>
      <c r="H5923" s="11">
        <v>610</v>
      </c>
      <c r="I5923" s="11">
        <v>0</v>
      </c>
      <c r="J5923" s="11">
        <v>0</v>
      </c>
      <c r="K5923" s="11" t="s">
        <v>21</v>
      </c>
      <c r="L5923" s="7">
        <v>42041.830381944441</v>
      </c>
      <c r="M5923" s="12" t="s">
        <v>1690</v>
      </c>
      <c r="N5923" s="12" t="s">
        <v>1691</v>
      </c>
      <c r="O5923" s="10" t="str">
        <f>HYPERLINK("https://pbs.twimg.com/profile_images/682117656502222848/Ge7YeAF3_normal.png","View")</f>
        <v>View</v>
      </c>
      <c r="P5923" s="11"/>
    </row>
    <row r="5924" spans="1:16" ht="12.75" x14ac:dyDescent="0.35">
      <c r="A5924" s="7">
        <v>42483.771886574075</v>
      </c>
      <c r="B5924" s="8" t="str">
        <f>HYPERLINK("https://twitter.com/ECC_SouthC","@ECC_SouthC")</f>
        <v>@ECC_SouthC</v>
      </c>
      <c r="C5924" s="9" t="s">
        <v>13507</v>
      </c>
      <c r="D5924" s="9" t="s">
        <v>13508</v>
      </c>
      <c r="E5924" s="10" t="str">
        <f>HYPERLINK("https://twitter.com/ECC_SouthC/status/723859345574891520","723859345574891520")</f>
        <v>723859345574891520</v>
      </c>
      <c r="F5924" s="11" t="s">
        <v>20</v>
      </c>
      <c r="G5924" s="11">
        <v>212</v>
      </c>
      <c r="H5924" s="11">
        <v>518</v>
      </c>
      <c r="I5924" s="11">
        <v>3</v>
      </c>
      <c r="J5924" s="11">
        <v>0</v>
      </c>
      <c r="K5924" s="11" t="s">
        <v>21</v>
      </c>
      <c r="L5924" s="7">
        <v>42209.416608796295</v>
      </c>
      <c r="M5924" s="12" t="s">
        <v>13509</v>
      </c>
      <c r="N5924" s="12"/>
      <c r="O5924" s="10" t="str">
        <f>HYPERLINK("https://pbs.twimg.com/profile_images/624941492038201344/p1XivIQQ_normal.png","View")</f>
        <v>View</v>
      </c>
      <c r="P5924" s="11"/>
    </row>
    <row r="5925" spans="1:16" ht="12.75" x14ac:dyDescent="0.35">
      <c r="A5925" s="7">
        <v>42483.771921296298</v>
      </c>
      <c r="B5925" s="8" t="str">
        <f>HYPERLINK("https://twitter.com/MecGenMC","@MecGenMC")</f>
        <v>@MecGenMC</v>
      </c>
      <c r="C5925" s="9" t="s">
        <v>13510</v>
      </c>
      <c r="D5925" s="9" t="s">
        <v>13511</v>
      </c>
      <c r="E5925" s="10" t="str">
        <f>HYPERLINK("https://twitter.com/MecGenMC/status/723859360401788929","723859360401788929")</f>
        <v>723859360401788929</v>
      </c>
      <c r="F5925" s="11" t="s">
        <v>68</v>
      </c>
      <c r="G5925" s="11">
        <v>38</v>
      </c>
      <c r="H5925" s="11">
        <v>166</v>
      </c>
      <c r="I5925" s="11">
        <v>0</v>
      </c>
      <c r="J5925" s="11">
        <v>0</v>
      </c>
      <c r="K5925" s="11" t="s">
        <v>21</v>
      </c>
      <c r="L5925" s="7">
        <v>42293.591967592598</v>
      </c>
      <c r="M5925" s="12"/>
      <c r="N5925" s="12" t="s">
        <v>13512</v>
      </c>
      <c r="O5925" s="10" t="str">
        <f>HYPERLINK("https://pbs.twimg.com/profile_images/714778426171850752/4lk3oa_x_normal.jpg","View")</f>
        <v>View</v>
      </c>
      <c r="P5925" s="11"/>
    </row>
    <row r="5926" spans="1:16" ht="12.75" x14ac:dyDescent="0.35">
      <c r="A5926" s="7">
        <v>42483.772476851853</v>
      </c>
      <c r="B5926" s="8" t="str">
        <f>HYPERLINK("https://twitter.com/GaryLyford","@GaryLyford")</f>
        <v>@GaryLyford</v>
      </c>
      <c r="C5926" s="9" t="s">
        <v>13513</v>
      </c>
      <c r="D5926" s="9" t="s">
        <v>13514</v>
      </c>
      <c r="E5926" s="10" t="str">
        <f>HYPERLINK("https://twitter.com/GaryLyford/status/723859561409613824","723859561409613824")</f>
        <v>723859561409613824</v>
      </c>
      <c r="F5926" s="11" t="s">
        <v>20</v>
      </c>
      <c r="G5926" s="11">
        <v>24</v>
      </c>
      <c r="H5926" s="11">
        <v>55</v>
      </c>
      <c r="I5926" s="11">
        <v>3</v>
      </c>
      <c r="J5926" s="11">
        <v>0</v>
      </c>
      <c r="K5926" s="11" t="s">
        <v>21</v>
      </c>
      <c r="L5926" s="7">
        <v>41031.701817129629</v>
      </c>
      <c r="M5926" s="12" t="s">
        <v>13515</v>
      </c>
      <c r="N5926" s="12" t="s">
        <v>13516</v>
      </c>
      <c r="O5926" s="10" t="str">
        <f>HYPERLINK("https://pbs.twimg.com/profile_images/2184365538/twtpic_normal.jpg","View")</f>
        <v>View</v>
      </c>
      <c r="P5926" s="11"/>
    </row>
    <row r="5927" spans="1:16" ht="12.75" x14ac:dyDescent="0.35">
      <c r="A5927" s="7">
        <v>42483.772673611107</v>
      </c>
      <c r="B5927" s="8" t="str">
        <f>HYPERLINK("https://twitter.com/vwpress_en","@vwpress_en")</f>
        <v>@vwpress_en</v>
      </c>
      <c r="C5927" s="9" t="s">
        <v>1685</v>
      </c>
      <c r="D5927" s="9" t="s">
        <v>13517</v>
      </c>
      <c r="E5927" s="10" t="str">
        <f>HYPERLINK("https://twitter.com/vwpress_en/status/723859630733045760","723859630733045760")</f>
        <v>723859630733045760</v>
      </c>
      <c r="F5927" s="11" t="s">
        <v>152</v>
      </c>
      <c r="G5927" s="11">
        <v>55342</v>
      </c>
      <c r="H5927" s="11">
        <v>339</v>
      </c>
      <c r="I5927" s="11">
        <v>0</v>
      </c>
      <c r="J5927" s="11">
        <v>0</v>
      </c>
      <c r="K5927" s="11" t="s">
        <v>21</v>
      </c>
      <c r="L5927" s="7">
        <v>42041.83189814815</v>
      </c>
      <c r="M5927" s="12" t="s">
        <v>1687</v>
      </c>
      <c r="N5927" s="12" t="s">
        <v>1688</v>
      </c>
      <c r="O5927" s="10" t="str">
        <f>HYPERLINK("https://pbs.twimg.com/profile_images/682117963349135360/IUfZQy35_normal.png","View")</f>
        <v>View</v>
      </c>
      <c r="P5927" s="11"/>
    </row>
    <row r="5928" spans="1:16" ht="12.75" x14ac:dyDescent="0.35">
      <c r="A5928" s="7">
        <v>42483.773090277777</v>
      </c>
      <c r="B5928" s="8" t="str">
        <f>HYPERLINK("https://twitter.com/TheSnMGroup","@TheSnMGroup")</f>
        <v>@TheSnMGroup</v>
      </c>
      <c r="C5928" s="9" t="s">
        <v>13518</v>
      </c>
      <c r="D5928" s="9" t="s">
        <v>13514</v>
      </c>
      <c r="E5928" s="10" t="str">
        <f>HYPERLINK("https://twitter.com/TheSnMGroup/status/723859781686013952","723859781686013952")</f>
        <v>723859781686013952</v>
      </c>
      <c r="F5928" s="11" t="s">
        <v>20</v>
      </c>
      <c r="G5928" s="11">
        <v>191</v>
      </c>
      <c r="H5928" s="11">
        <v>353</v>
      </c>
      <c r="I5928" s="11">
        <v>3</v>
      </c>
      <c r="J5928" s="11">
        <v>0</v>
      </c>
      <c r="K5928" s="11" t="s">
        <v>21</v>
      </c>
      <c r="L5928" s="7">
        <v>41161.586863425924</v>
      </c>
      <c r="M5928" s="12" t="s">
        <v>13519</v>
      </c>
      <c r="N5928" s="12" t="s">
        <v>13520</v>
      </c>
      <c r="O5928" s="10" t="str">
        <f>HYPERLINK("https://pbs.twimg.com/profile_images/2591894236/gn9sg1939s9e60ie682s_normal.jpeg","View")</f>
        <v>View</v>
      </c>
      <c r="P5928" s="11"/>
    </row>
    <row r="5929" spans="1:16" ht="12.75" x14ac:dyDescent="0.35">
      <c r="A5929" s="7">
        <v>42483.773159722223</v>
      </c>
      <c r="B5929" s="8" t="str">
        <f>HYPERLINK("https://twitter.com/1JulianMartinez","@1JulianMartinez")</f>
        <v>@1JulianMartinez</v>
      </c>
      <c r="C5929" s="9" t="s">
        <v>3950</v>
      </c>
      <c r="D5929" s="9" t="s">
        <v>10808</v>
      </c>
      <c r="E5929" s="10" t="str">
        <f>HYPERLINK("https://twitter.com/1JulianMartinez/status/723859809628499969","723859809628499969")</f>
        <v>723859809628499969</v>
      </c>
      <c r="F5929" s="11" t="s">
        <v>48</v>
      </c>
      <c r="G5929" s="11">
        <v>685</v>
      </c>
      <c r="H5929" s="11">
        <v>584</v>
      </c>
      <c r="I5929" s="11">
        <v>64</v>
      </c>
      <c r="J5929" s="11">
        <v>0</v>
      </c>
      <c r="K5929" s="11" t="s">
        <v>21</v>
      </c>
      <c r="L5929" s="7">
        <v>41026.950648148151</v>
      </c>
      <c r="M5929" s="12"/>
      <c r="N5929" s="12" t="s">
        <v>3951</v>
      </c>
      <c r="O5929" s="10" t="str">
        <f>HYPERLINK("https://pbs.twimg.com/profile_images/722462618556960768/JE-_sTXq_normal.jpg","View")</f>
        <v>View</v>
      </c>
      <c r="P5929" s="11"/>
    </row>
    <row r="5930" spans="1:16" ht="12.75" x14ac:dyDescent="0.35">
      <c r="A5930" s="7">
        <v>42483.773217592592</v>
      </c>
      <c r="B5930" s="8" t="str">
        <f>HYPERLINK("https://twitter.com/fairychav","@fairychav")</f>
        <v>@fairychav</v>
      </c>
      <c r="C5930" s="9" t="s">
        <v>13521</v>
      </c>
      <c r="D5930" s="9" t="s">
        <v>13522</v>
      </c>
      <c r="E5930" s="10" t="str">
        <f>HYPERLINK("https://twitter.com/fairychav/status/723859827332681728","723859827332681728")</f>
        <v>723859827332681728</v>
      </c>
      <c r="F5930" s="11" t="s">
        <v>20</v>
      </c>
      <c r="G5930" s="11">
        <v>634</v>
      </c>
      <c r="H5930" s="11">
        <v>1308</v>
      </c>
      <c r="I5930" s="11">
        <v>0</v>
      </c>
      <c r="J5930" s="11">
        <v>0</v>
      </c>
      <c r="K5930" s="11" t="s">
        <v>21</v>
      </c>
      <c r="L5930" s="7">
        <v>40646.90016203704</v>
      </c>
      <c r="M5930" s="12" t="s">
        <v>13523</v>
      </c>
      <c r="N5930" s="12" t="s">
        <v>13524</v>
      </c>
      <c r="O5930" s="10" t="str">
        <f>HYPERLINK("https://pbs.twimg.com/profile_images/1874724197/me_normal.jpg","View")</f>
        <v>View</v>
      </c>
      <c r="P5930" s="11"/>
    </row>
    <row r="5931" spans="1:16" ht="12.75" x14ac:dyDescent="0.35">
      <c r="A5931" s="7">
        <v>42483.773518518516</v>
      </c>
      <c r="B5931" s="8" t="str">
        <f>HYPERLINK("https://twitter.com/1JulianMartinez","@1JulianMartinez")</f>
        <v>@1JulianMartinez</v>
      </c>
      <c r="C5931" s="9" t="s">
        <v>3950</v>
      </c>
      <c r="D5931" s="9" t="s">
        <v>10440</v>
      </c>
      <c r="E5931" s="10" t="str">
        <f>HYPERLINK("https://twitter.com/1JulianMartinez/status/723859938729181184","723859938729181184")</f>
        <v>723859938729181184</v>
      </c>
      <c r="F5931" s="11" t="s">
        <v>48</v>
      </c>
      <c r="G5931" s="11">
        <v>685</v>
      </c>
      <c r="H5931" s="11">
        <v>584</v>
      </c>
      <c r="I5931" s="11">
        <v>23</v>
      </c>
      <c r="J5931" s="11">
        <v>0</v>
      </c>
      <c r="K5931" s="11" t="s">
        <v>21</v>
      </c>
      <c r="L5931" s="7">
        <v>41026.950648148151</v>
      </c>
      <c r="M5931" s="12"/>
      <c r="N5931" s="12" t="s">
        <v>3951</v>
      </c>
      <c r="O5931" s="10" t="str">
        <f>HYPERLINK("https://pbs.twimg.com/profile_images/722462618556960768/JE-_sTXq_normal.jpg","View")</f>
        <v>View</v>
      </c>
      <c r="P5931" s="11"/>
    </row>
    <row r="5932" spans="1:16" ht="12.75" x14ac:dyDescent="0.35">
      <c r="A5932" s="7">
        <v>42483.774108796293</v>
      </c>
      <c r="B5932" s="8" t="str">
        <f>HYPERLINK("https://twitter.com/lafeecrochete","@lafeecrochete")</f>
        <v>@lafeecrochete</v>
      </c>
      <c r="C5932" s="9" t="s">
        <v>13525</v>
      </c>
      <c r="D5932" s="9" t="s">
        <v>12591</v>
      </c>
      <c r="E5932" s="10" t="str">
        <f>HYPERLINK("https://twitter.com/lafeecrochete/status/723860149920763904","723860149920763904")</f>
        <v>723860149920763904</v>
      </c>
      <c r="F5932" s="11" t="s">
        <v>2645</v>
      </c>
      <c r="G5932" s="11">
        <v>52</v>
      </c>
      <c r="H5932" s="11">
        <v>62</v>
      </c>
      <c r="I5932" s="11">
        <v>3</v>
      </c>
      <c r="J5932" s="11">
        <v>0</v>
      </c>
      <c r="K5932" s="11" t="s">
        <v>21</v>
      </c>
      <c r="L5932" s="7">
        <v>41062.089548611111</v>
      </c>
      <c r="M5932" s="12" t="s">
        <v>13526</v>
      </c>
      <c r="N5932" s="12" t="s">
        <v>13527</v>
      </c>
      <c r="O5932" s="10" t="str">
        <f>HYPERLINK("https://pbs.twimg.com/profile_images/662955103742201857/LPXwBwdt_normal.jpg","View")</f>
        <v>View</v>
      </c>
      <c r="P5932" s="11"/>
    </row>
    <row r="5933" spans="1:16" ht="12.75" x14ac:dyDescent="0.35">
      <c r="A5933" s="7">
        <v>42483.775011574078</v>
      </c>
      <c r="B5933" s="8" t="str">
        <f>HYPERLINK("https://twitter.com/Ikoniclondon","@Ikoniclondon")</f>
        <v>@Ikoniclondon</v>
      </c>
      <c r="C5933" s="9" t="s">
        <v>8416</v>
      </c>
      <c r="D5933" s="9" t="s">
        <v>13528</v>
      </c>
      <c r="E5933" s="10" t="str">
        <f>HYPERLINK("https://twitter.com/Ikoniclondon/status/723860480469528576","723860480469528576")</f>
        <v>723860480469528576</v>
      </c>
      <c r="F5933" s="11" t="s">
        <v>43</v>
      </c>
      <c r="G5933" s="11">
        <v>50690</v>
      </c>
      <c r="H5933" s="11">
        <v>7777</v>
      </c>
      <c r="I5933" s="11">
        <v>0</v>
      </c>
      <c r="J5933" s="11">
        <v>0</v>
      </c>
      <c r="K5933" s="11" t="s">
        <v>21</v>
      </c>
      <c r="L5933" s="7">
        <v>41264.854062500002</v>
      </c>
      <c r="M5933" s="12" t="s">
        <v>638</v>
      </c>
      <c r="N5933" s="12"/>
      <c r="O5933" s="10" t="str">
        <f>HYPERLINK("https://pbs.twimg.com/profile_images/3003211219/5eb0510a3d8f48f25da10db3e595b7a0_normal.png","View")</f>
        <v>View</v>
      </c>
      <c r="P5933" s="11"/>
    </row>
    <row r="5934" spans="1:16" ht="12.75" x14ac:dyDescent="0.35">
      <c r="A5934" s="7">
        <v>42483.775879629626</v>
      </c>
      <c r="B5934" s="8" t="str">
        <f>HYPERLINK("https://twitter.com/boaz_tal","@boaz_tal")</f>
        <v>@boaz_tal</v>
      </c>
      <c r="C5934" s="9" t="s">
        <v>13529</v>
      </c>
      <c r="D5934" s="9" t="s">
        <v>13530</v>
      </c>
      <c r="E5934" s="10" t="str">
        <f>HYPERLINK("https://twitter.com/boaz_tal/status/723860793561899008","723860793561899008")</f>
        <v>723860793561899008</v>
      </c>
      <c r="F5934" s="11" t="s">
        <v>20</v>
      </c>
      <c r="G5934" s="11">
        <v>323</v>
      </c>
      <c r="H5934" s="11">
        <v>547</v>
      </c>
      <c r="I5934" s="11">
        <v>0</v>
      </c>
      <c r="J5934" s="11">
        <v>1</v>
      </c>
      <c r="K5934" s="11" t="s">
        <v>21</v>
      </c>
      <c r="L5934" s="7">
        <v>39844.220752314817</v>
      </c>
      <c r="M5934" s="12" t="s">
        <v>638</v>
      </c>
      <c r="N5934" s="12" t="s">
        <v>13531</v>
      </c>
      <c r="O5934" s="10" t="str">
        <f>HYPERLINK("https://pbs.twimg.com/profile_images/459621743728939009/6xf57Blw_normal.jpeg","View")</f>
        <v>View</v>
      </c>
      <c r="P5934" s="11"/>
    </row>
    <row r="5935" spans="1:16" ht="12.75" x14ac:dyDescent="0.35">
      <c r="A5935" s="7">
        <v>42483.776296296295</v>
      </c>
      <c r="B5935" s="8" t="str">
        <f>HYPERLINK("https://twitter.com/motorhappy","@motorhappy")</f>
        <v>@motorhappy</v>
      </c>
      <c r="C5935" s="9" t="s">
        <v>13458</v>
      </c>
      <c r="D5935" s="9" t="s">
        <v>13514</v>
      </c>
      <c r="E5935" s="10" t="str">
        <f>HYPERLINK("https://twitter.com/motorhappy/status/723860945542459392","723860945542459392")</f>
        <v>723860945542459392</v>
      </c>
      <c r="F5935" s="11" t="s">
        <v>13460</v>
      </c>
      <c r="G5935" s="11">
        <v>8971</v>
      </c>
      <c r="H5935" s="11">
        <v>7604</v>
      </c>
      <c r="I5935" s="11">
        <v>3</v>
      </c>
      <c r="J5935" s="11">
        <v>0</v>
      </c>
      <c r="K5935" s="11" t="s">
        <v>21</v>
      </c>
      <c r="L5935" s="7">
        <v>41656.987442129626</v>
      </c>
      <c r="M5935" s="12" t="s">
        <v>129</v>
      </c>
      <c r="N5935" s="12" t="s">
        <v>13461</v>
      </c>
      <c r="O5935" s="10" t="str">
        <f>HYPERLINK("https://pbs.twimg.com/profile_images/552042888666705921/TxWAPB36_normal.png","View")</f>
        <v>View</v>
      </c>
      <c r="P5935" s="11"/>
    </row>
    <row r="5936" spans="1:16" ht="12.75" x14ac:dyDescent="0.35">
      <c r="A5936" s="7">
        <v>42483.776354166665</v>
      </c>
      <c r="B5936" s="8" t="str">
        <f>HYPERLINK("https://twitter.com/dafLOh","@dafLOh")</f>
        <v>@dafLOh</v>
      </c>
      <c r="C5936" s="9" t="s">
        <v>11669</v>
      </c>
      <c r="D5936" s="9" t="s">
        <v>13532</v>
      </c>
      <c r="E5936" s="10" t="str">
        <f>HYPERLINK("https://twitter.com/dafLOh/status/723860966757285888","723860966757285888")</f>
        <v>723860966757285888</v>
      </c>
      <c r="F5936" s="11" t="s">
        <v>11671</v>
      </c>
      <c r="G5936" s="11">
        <v>382</v>
      </c>
      <c r="H5936" s="11">
        <v>253</v>
      </c>
      <c r="I5936" s="11">
        <v>0</v>
      </c>
      <c r="J5936" s="11">
        <v>0</v>
      </c>
      <c r="K5936" s="11" t="s">
        <v>21</v>
      </c>
      <c r="L5936" s="7">
        <v>40076.159282407403</v>
      </c>
      <c r="M5936" s="12" t="s">
        <v>11672</v>
      </c>
      <c r="N5936" s="12" t="s">
        <v>11673</v>
      </c>
      <c r="O5936" s="10" t="str">
        <f>HYPERLINK("https://pbs.twimg.com/profile_images/595593595459137536/bMPN9gqV_normal.jpg","View")</f>
        <v>View</v>
      </c>
      <c r="P5936" s="11"/>
    </row>
    <row r="5937" spans="1:16" ht="12.75" x14ac:dyDescent="0.35">
      <c r="A5937" s="7">
        <v>42483.776782407411</v>
      </c>
      <c r="B5937" s="8" t="str">
        <f>HYPERLINK("https://twitter.com/yann_drareg","@yann_drareg")</f>
        <v>@yann_drareg</v>
      </c>
      <c r="C5937" s="9" t="s">
        <v>13533</v>
      </c>
      <c r="D5937" s="9" t="s">
        <v>13534</v>
      </c>
      <c r="E5937" s="10" t="str">
        <f>HYPERLINK("https://twitter.com/yann_drareg/status/723861122579869696","723861122579869696")</f>
        <v>723861122579869696</v>
      </c>
      <c r="F5937" s="11" t="s">
        <v>91</v>
      </c>
      <c r="G5937" s="11">
        <v>1193</v>
      </c>
      <c r="H5937" s="11">
        <v>2166</v>
      </c>
      <c r="I5937" s="11">
        <v>1</v>
      </c>
      <c r="J5937" s="11">
        <v>0</v>
      </c>
      <c r="K5937" s="11" t="s">
        <v>21</v>
      </c>
      <c r="L5937" s="7">
        <v>41971.165370370371</v>
      </c>
      <c r="M5937" s="12"/>
      <c r="N5937" s="12" t="s">
        <v>13535</v>
      </c>
      <c r="O5937" s="10" t="str">
        <f>HYPERLINK("https://pbs.twimg.com/profile_images/577742130698915840/ghR4cANb_normal.jpeg","View")</f>
        <v>View</v>
      </c>
      <c r="P5937" s="11"/>
    </row>
    <row r="5938" spans="1:16" ht="12.75" x14ac:dyDescent="0.35">
      <c r="A5938" s="7">
        <v>42483.776921296296</v>
      </c>
      <c r="B5938" s="8" t="str">
        <f>HYPERLINK("https://twitter.com/Hykaaal_","@Hykaaal_")</f>
        <v>@Hykaaal_</v>
      </c>
      <c r="C5938" s="9" t="s">
        <v>13536</v>
      </c>
      <c r="D5938" s="9" t="s">
        <v>13150</v>
      </c>
      <c r="E5938" s="10" t="str">
        <f>HYPERLINK("https://twitter.com/Hykaaal_/status/723861170612891648","723861170612891648")</f>
        <v>723861170612891648</v>
      </c>
      <c r="F5938" s="11" t="s">
        <v>20</v>
      </c>
      <c r="G5938" s="11">
        <v>34</v>
      </c>
      <c r="H5938" s="11">
        <v>32</v>
      </c>
      <c r="I5938" s="11">
        <v>22</v>
      </c>
      <c r="J5938" s="11">
        <v>0</v>
      </c>
      <c r="K5938" s="11" t="s">
        <v>21</v>
      </c>
      <c r="L5938" s="7">
        <v>41905.685960648145</v>
      </c>
      <c r="M5938" s="12"/>
      <c r="N5938" s="12" t="s">
        <v>13537</v>
      </c>
      <c r="O5938" s="10" t="str">
        <f>HYPERLINK("https://pbs.twimg.com/profile_images/682492887909572608/uhnCneqL_normal.jpg","View")</f>
        <v>View</v>
      </c>
      <c r="P5938" s="11"/>
    </row>
    <row r="5939" spans="1:16" ht="12.75" x14ac:dyDescent="0.35">
      <c r="A5939" s="7">
        <v>42483.77915509259</v>
      </c>
      <c r="B5939" s="8" t="str">
        <f>HYPERLINK("https://twitter.com/jochenkiehl2","@jochenkiehl2")</f>
        <v>@jochenkiehl2</v>
      </c>
      <c r="C5939" s="9" t="s">
        <v>13538</v>
      </c>
      <c r="D5939" s="9" t="s">
        <v>13539</v>
      </c>
      <c r="E5939" s="10" t="str">
        <f>HYPERLINK("https://twitter.com/jochenkiehl2/status/723861982089195520","723861982089195520")</f>
        <v>723861982089195520</v>
      </c>
      <c r="F5939" s="11" t="s">
        <v>725</v>
      </c>
      <c r="G5939" s="11">
        <v>0</v>
      </c>
      <c r="H5939" s="11">
        <v>68</v>
      </c>
      <c r="I5939" s="11">
        <v>0</v>
      </c>
      <c r="J5939" s="11">
        <v>0</v>
      </c>
      <c r="K5939" s="11" t="s">
        <v>21</v>
      </c>
      <c r="L5939" s="7">
        <v>42230.770162037035</v>
      </c>
      <c r="M5939" s="12" t="s">
        <v>13540</v>
      </c>
      <c r="N5939" s="12"/>
      <c r="O5939" s="10" t="str">
        <f>HYPERLINK("https://abs.twimg.com/sticky/default_profile_images/default_profile_1_normal.png","View")</f>
        <v>View</v>
      </c>
      <c r="P5939" s="11"/>
    </row>
    <row r="5940" spans="1:16" ht="12.75" x14ac:dyDescent="0.35">
      <c r="A5940" s="7">
        <v>42483.781342592592</v>
      </c>
      <c r="B5940" s="8" t="str">
        <f>HYPERLINK("https://twitter.com/VolkswagenPost","@VolkswagenPost")</f>
        <v>@VolkswagenPost</v>
      </c>
      <c r="C5940" s="9" t="s">
        <v>321</v>
      </c>
      <c r="D5940" s="9" t="s">
        <v>13541</v>
      </c>
      <c r="E5940" s="10" t="str">
        <f>HYPERLINK("https://twitter.com/VolkswagenPost/status/723862772711362560","723862772711362560")</f>
        <v>723862772711362560</v>
      </c>
      <c r="F5940" s="11" t="s">
        <v>288</v>
      </c>
      <c r="G5940" s="11">
        <v>570</v>
      </c>
      <c r="H5940" s="11">
        <v>446</v>
      </c>
      <c r="I5940" s="11">
        <v>1</v>
      </c>
      <c r="J5940" s="11">
        <v>0</v>
      </c>
      <c r="K5940" s="11" t="s">
        <v>21</v>
      </c>
      <c r="L5940" s="7">
        <v>41940.618379629632</v>
      </c>
      <c r="M5940" s="12"/>
      <c r="N5940" s="12"/>
      <c r="O5940" s="10" t="str">
        <f>HYPERLINK("https://pbs.twimg.com/profile_images/530071272881803264/a_jcCmPZ_normal.png","View")</f>
        <v>View</v>
      </c>
      <c r="P5940" s="11"/>
    </row>
    <row r="5941" spans="1:16" ht="12.75" x14ac:dyDescent="0.35">
      <c r="A5941" s="7">
        <v>42483.781481481477</v>
      </c>
      <c r="B5941" s="8" t="str">
        <f>HYPERLINK("https://twitter.com/RoliKlotz","@RoliKlotz")</f>
        <v>@RoliKlotz</v>
      </c>
      <c r="C5941" s="9" t="s">
        <v>13542</v>
      </c>
      <c r="D5941" s="9" t="s">
        <v>13543</v>
      </c>
      <c r="E5941" s="10" t="str">
        <f>HYPERLINK("https://twitter.com/RoliKlotz/status/723862821948280832","723862821948280832")</f>
        <v>723862821948280832</v>
      </c>
      <c r="F5941" s="11" t="s">
        <v>20</v>
      </c>
      <c r="G5941" s="11">
        <v>108</v>
      </c>
      <c r="H5941" s="11">
        <v>86</v>
      </c>
      <c r="I5941" s="11">
        <v>1</v>
      </c>
      <c r="J5941" s="11">
        <v>0</v>
      </c>
      <c r="K5941" s="11" t="s">
        <v>21</v>
      </c>
      <c r="L5941" s="7">
        <v>41912.006192129629</v>
      </c>
      <c r="M5941" s="12"/>
      <c r="N5941" s="12" t="s">
        <v>13544</v>
      </c>
      <c r="O5941" s="10" t="str">
        <f>HYPERLINK("https://pbs.twimg.com/profile_images/619148914692784128/10nel41m_normal.jpg","View")</f>
        <v>View</v>
      </c>
      <c r="P5941" s="11"/>
    </row>
    <row r="5942" spans="1:16" ht="12.75" x14ac:dyDescent="0.35">
      <c r="A5942" s="7">
        <v>42483.783865740741</v>
      </c>
      <c r="B5942" s="8" t="str">
        <f>HYPERLINK("https://twitter.com/cherubimu","@cherubimu")</f>
        <v>@cherubimu</v>
      </c>
      <c r="C5942" s="9" t="s">
        <v>13545</v>
      </c>
      <c r="D5942" s="9" t="s">
        <v>13546</v>
      </c>
      <c r="E5942" s="10" t="str">
        <f>HYPERLINK("https://twitter.com/cherubimu/status/723863688885735424","723863688885735424")</f>
        <v>723863688885735424</v>
      </c>
      <c r="F5942" s="11" t="s">
        <v>43</v>
      </c>
      <c r="G5942" s="11">
        <v>2203</v>
      </c>
      <c r="H5942" s="11">
        <v>646</v>
      </c>
      <c r="I5942" s="11">
        <v>0</v>
      </c>
      <c r="J5942" s="11">
        <v>0</v>
      </c>
      <c r="K5942" s="11" t="s">
        <v>21</v>
      </c>
      <c r="L5942" s="7">
        <v>39965.02957175926</v>
      </c>
      <c r="M5942" s="12" t="s">
        <v>953</v>
      </c>
      <c r="N5942" s="12" t="s">
        <v>13547</v>
      </c>
      <c r="O5942" s="10" t="str">
        <f>HYPERLINK("https://pbs.twimg.com/profile_images/630675955007270912/iceoiWn7_normal.jpg","View")</f>
        <v>View</v>
      </c>
      <c r="P5942" s="11"/>
    </row>
    <row r="5943" spans="1:16" ht="12.75" x14ac:dyDescent="0.35">
      <c r="A5943" s="7">
        <v>42483.784826388888</v>
      </c>
      <c r="B5943" s="8" t="str">
        <f>HYPERLINK("https://twitter.com/VWCamperSales","@VWCamperSales")</f>
        <v>@VWCamperSales</v>
      </c>
      <c r="C5943" s="9" t="s">
        <v>216</v>
      </c>
      <c r="D5943" s="9" t="s">
        <v>13548</v>
      </c>
      <c r="E5943" s="10" t="str">
        <f>HYPERLINK("https://twitter.com/VWCamperSales/status/723864035779874816","723864035779874816")</f>
        <v>723864035779874816</v>
      </c>
      <c r="F5943" s="10" t="s">
        <v>124</v>
      </c>
      <c r="G5943" s="11">
        <v>621</v>
      </c>
      <c r="H5943" s="11">
        <v>580</v>
      </c>
      <c r="I5943" s="11">
        <v>0</v>
      </c>
      <c r="J5943" s="11">
        <v>0</v>
      </c>
      <c r="K5943" s="11" t="s">
        <v>21</v>
      </c>
      <c r="L5943" s="7">
        <v>42215.98809027778</v>
      </c>
      <c r="M5943" s="12" t="s">
        <v>129</v>
      </c>
      <c r="N5943" s="12" t="s">
        <v>218</v>
      </c>
      <c r="O5943" s="10" t="str">
        <f>HYPERLINK("https://pbs.twimg.com/profile_images/627949001179037696/skEBkS05_normal.jpg","View")</f>
        <v>View</v>
      </c>
      <c r="P5943" s="11"/>
    </row>
    <row r="5944" spans="1:16" ht="12.75" x14ac:dyDescent="0.35">
      <c r="A5944" s="7">
        <v>42483.78638888889</v>
      </c>
      <c r="B5944" s="8" t="str">
        <f>HYPERLINK("https://twitter.com/confiafinancial","@confiafinancial")</f>
        <v>@confiafinancial</v>
      </c>
      <c r="C5944" s="9" t="s">
        <v>13549</v>
      </c>
      <c r="D5944" s="9" t="s">
        <v>13550</v>
      </c>
      <c r="E5944" s="10" t="str">
        <f>HYPERLINK("https://twitter.com/confiafinancial/status/723864601050238978","723864601050238978")</f>
        <v>723864601050238978</v>
      </c>
      <c r="F5944" s="11" t="s">
        <v>20</v>
      </c>
      <c r="G5944" s="11">
        <v>71</v>
      </c>
      <c r="H5944" s="11">
        <v>225</v>
      </c>
      <c r="I5944" s="11">
        <v>0</v>
      </c>
      <c r="J5944" s="11">
        <v>0</v>
      </c>
      <c r="K5944" s="11" t="s">
        <v>21</v>
      </c>
      <c r="L5944" s="7">
        <v>41138.111574074072</v>
      </c>
      <c r="M5944" s="12" t="s">
        <v>1604</v>
      </c>
      <c r="N5944" s="12" t="s">
        <v>13551</v>
      </c>
      <c r="O5944" s="10" t="str">
        <f>HYPERLINK("https://pbs.twimg.com/profile_images/552947036555722752/Pjh_pElu_normal.png","View")</f>
        <v>View</v>
      </c>
      <c r="P5944" s="11"/>
    </row>
    <row r="5945" spans="1:16" ht="12.75" x14ac:dyDescent="0.35">
      <c r="A5945" s="7">
        <v>42483.787453703699</v>
      </c>
      <c r="B5945" s="8" t="str">
        <f>HYPERLINK("https://twitter.com/vwdepo","@vwdepo")</f>
        <v>@vwdepo</v>
      </c>
      <c r="C5945" s="9" t="s">
        <v>134</v>
      </c>
      <c r="D5945" s="9" t="s">
        <v>13552</v>
      </c>
      <c r="E5945" s="10" t="str">
        <f>HYPERLINK("https://twitter.com/vwdepo/status/723864988226596864","723864988226596864")</f>
        <v>723864988226596864</v>
      </c>
      <c r="F5945" s="11" t="s">
        <v>53</v>
      </c>
      <c r="G5945" s="11">
        <v>784</v>
      </c>
      <c r="H5945" s="11">
        <v>384</v>
      </c>
      <c r="I5945" s="11">
        <v>0</v>
      </c>
      <c r="J5945" s="11">
        <v>0</v>
      </c>
      <c r="K5945" s="11" t="s">
        <v>21</v>
      </c>
      <c r="L5945" s="7">
        <v>39891.992905092593</v>
      </c>
      <c r="M5945" s="12" t="s">
        <v>136</v>
      </c>
      <c r="N5945" s="12" t="s">
        <v>137</v>
      </c>
      <c r="O5945" s="10" t="str">
        <f>HYPERLINK("https://pbs.twimg.com/profile_images/3378184537/c20ae9a7a410821b4f189c34a63380f7_normal.png","View")</f>
        <v>View</v>
      </c>
      <c r="P5945" s="11"/>
    </row>
    <row r="5946" spans="1:16" ht="12.75" x14ac:dyDescent="0.35">
      <c r="A5946" s="7">
        <v>42483.788159722222</v>
      </c>
      <c r="B5946" s="8" t="str">
        <f>HYPERLINK("https://twitter.com/fatifit","@fatifit")</f>
        <v>@fatifit</v>
      </c>
      <c r="C5946" s="9" t="s">
        <v>13553</v>
      </c>
      <c r="D5946" s="9" t="s">
        <v>13554</v>
      </c>
      <c r="E5946" s="10" t="str">
        <f>HYPERLINK("https://twitter.com/fatifit/status/723865245211566080","723865245211566080")</f>
        <v>723865245211566080</v>
      </c>
      <c r="F5946" s="11" t="s">
        <v>114</v>
      </c>
      <c r="G5946" s="11">
        <v>5067</v>
      </c>
      <c r="H5946" s="11">
        <v>1441</v>
      </c>
      <c r="I5946" s="11">
        <v>0</v>
      </c>
      <c r="J5946" s="11">
        <v>0</v>
      </c>
      <c r="K5946" s="11" t="s">
        <v>21</v>
      </c>
      <c r="L5946" s="7">
        <v>39930.845578703702</v>
      </c>
      <c r="M5946" s="12" t="s">
        <v>13555</v>
      </c>
      <c r="N5946" s="12" t="s">
        <v>13556</v>
      </c>
      <c r="O5946" s="10" t="str">
        <f>HYPERLINK("https://pbs.twimg.com/profile_images/430210521586208768/09mPdrlt_normal.jpeg","View")</f>
        <v>View</v>
      </c>
      <c r="P5946" s="11"/>
    </row>
    <row r="5947" spans="1:16" ht="12.75" x14ac:dyDescent="0.35">
      <c r="A5947" s="7">
        <v>42483.788506944446</v>
      </c>
      <c r="B5947" s="8" t="str">
        <f>HYPERLINK("https://twitter.com/wdanielsen","@wdanielsen")</f>
        <v>@wdanielsen</v>
      </c>
      <c r="C5947" s="9" t="s">
        <v>13557</v>
      </c>
      <c r="D5947" s="9" t="s">
        <v>13558</v>
      </c>
      <c r="E5947" s="10" t="str">
        <f>HYPERLINK("https://twitter.com/wdanielsen/status/723865370277371904","723865370277371904")</f>
        <v>723865370277371904</v>
      </c>
      <c r="F5947" s="11" t="s">
        <v>20</v>
      </c>
      <c r="G5947" s="11">
        <v>1663</v>
      </c>
      <c r="H5947" s="11">
        <v>1206</v>
      </c>
      <c r="I5947" s="11">
        <v>0</v>
      </c>
      <c r="J5947" s="11">
        <v>0</v>
      </c>
      <c r="K5947" s="11" t="s">
        <v>21</v>
      </c>
      <c r="L5947" s="7">
        <v>40035.044930555552</v>
      </c>
      <c r="M5947" s="12" t="s">
        <v>13559</v>
      </c>
      <c r="N5947" s="12" t="s">
        <v>13560</v>
      </c>
      <c r="O5947" s="10" t="str">
        <f>HYPERLINK("https://pbs.twimg.com/profile_images/2943135410/38516e91d9e49960d752aaecb0eb5fed_normal.jpeg","View")</f>
        <v>View</v>
      </c>
      <c r="P5947" s="11"/>
    </row>
    <row r="5948" spans="1:16" ht="12.75" x14ac:dyDescent="0.35">
      <c r="A5948" s="7">
        <v>42483.7894212963</v>
      </c>
      <c r="B5948" s="8" t="str">
        <f>HYPERLINK("https://twitter.com/polodrivercom","@polodrivercom")</f>
        <v>@polodrivercom</v>
      </c>
      <c r="C5948" s="9" t="s">
        <v>8627</v>
      </c>
      <c r="D5948" s="9" t="s">
        <v>13561</v>
      </c>
      <c r="E5948" s="10" t="str">
        <f>HYPERLINK("https://twitter.com/polodrivercom/status/723865700729786369","723865700729786369")</f>
        <v>723865700729786369</v>
      </c>
      <c r="F5948" s="11" t="s">
        <v>63</v>
      </c>
      <c r="G5948" s="11">
        <v>1099</v>
      </c>
      <c r="H5948" s="11">
        <v>52</v>
      </c>
      <c r="I5948" s="11">
        <v>0</v>
      </c>
      <c r="J5948" s="11">
        <v>0</v>
      </c>
      <c r="K5948" s="11" t="s">
        <v>21</v>
      </c>
      <c r="L5948" s="7">
        <v>40055.956909722227</v>
      </c>
      <c r="M5948" s="12" t="s">
        <v>5130</v>
      </c>
      <c r="N5948" s="12" t="s">
        <v>8629</v>
      </c>
      <c r="O5948" s="10" t="str">
        <f>HYPERLINK("https://pbs.twimg.com/profile_images/462266691305488384/nZV5thLJ_normal.jpeg","View")</f>
        <v>View</v>
      </c>
      <c r="P5948" s="11"/>
    </row>
    <row r="5949" spans="1:16" ht="12.75" x14ac:dyDescent="0.35">
      <c r="A5949" s="7">
        <v>42483.7894212963</v>
      </c>
      <c r="B5949" s="8" t="str">
        <f>HYPERLINK("https://twitter.com/richgoodingcom","@richgoodingcom")</f>
        <v>@richgoodingcom</v>
      </c>
      <c r="C5949" s="9" t="s">
        <v>8497</v>
      </c>
      <c r="D5949" s="9" t="s">
        <v>13562</v>
      </c>
      <c r="E5949" s="10" t="str">
        <f>HYPERLINK("https://twitter.com/richgoodingcom/status/723865700767510528","723865700767510528")</f>
        <v>723865700767510528</v>
      </c>
      <c r="F5949" s="11" t="s">
        <v>63</v>
      </c>
      <c r="G5949" s="11">
        <v>610</v>
      </c>
      <c r="H5949" s="11">
        <v>315</v>
      </c>
      <c r="I5949" s="11">
        <v>0</v>
      </c>
      <c r="J5949" s="11">
        <v>0</v>
      </c>
      <c r="K5949" s="11" t="s">
        <v>21</v>
      </c>
      <c r="L5949" s="7">
        <v>40511.873553240745</v>
      </c>
      <c r="M5949" s="12" t="s">
        <v>8499</v>
      </c>
      <c r="N5949" s="12" t="s">
        <v>8500</v>
      </c>
      <c r="O5949" s="10" t="str">
        <f>HYPERLINK("https://pbs.twimg.com/profile_images/626150798590902273/qUbM1D-g_normal.jpg","View")</f>
        <v>View</v>
      </c>
      <c r="P5949" s="11"/>
    </row>
    <row r="5950" spans="1:16" ht="12.75" x14ac:dyDescent="0.35">
      <c r="A5950" s="7">
        <v>42483.789502314816</v>
      </c>
      <c r="B5950" s="8" t="str">
        <f>HYPERLINK("https://twitter.com/VolkswagenPost","@VolkswagenPost")</f>
        <v>@VolkswagenPost</v>
      </c>
      <c r="C5950" s="9" t="s">
        <v>321</v>
      </c>
      <c r="D5950" s="9" t="s">
        <v>13563</v>
      </c>
      <c r="E5950" s="10" t="str">
        <f>HYPERLINK("https://twitter.com/VolkswagenPost/status/723865728244453376","723865728244453376")</f>
        <v>723865728244453376</v>
      </c>
      <c r="F5950" s="11" t="s">
        <v>288</v>
      </c>
      <c r="G5950" s="11">
        <v>570</v>
      </c>
      <c r="H5950" s="11">
        <v>446</v>
      </c>
      <c r="I5950" s="11">
        <v>1</v>
      </c>
      <c r="J5950" s="11">
        <v>0</v>
      </c>
      <c r="K5950" s="11" t="s">
        <v>21</v>
      </c>
      <c r="L5950" s="7">
        <v>41940.618379629632</v>
      </c>
      <c r="M5950" s="12"/>
      <c r="N5950" s="12"/>
      <c r="O5950" s="10" t="str">
        <f>HYPERLINK("https://pbs.twimg.com/profile_images/530071272881803264/a_jcCmPZ_normal.png","View")</f>
        <v>View</v>
      </c>
      <c r="P5950" s="11"/>
    </row>
    <row r="5951" spans="1:16" ht="12.75" x14ac:dyDescent="0.35">
      <c r="A5951" s="7">
        <v>42483.789872685185</v>
      </c>
      <c r="B5951" s="8" t="str">
        <f>HYPERLINK("https://twitter.com/MKIMAYER","@MKIMAYER")</f>
        <v>@MKIMAYER</v>
      </c>
      <c r="C5951" s="9" t="s">
        <v>13564</v>
      </c>
      <c r="D5951" s="9" t="s">
        <v>8183</v>
      </c>
      <c r="E5951" s="10" t="str">
        <f>HYPERLINK("https://twitter.com/MKIMAYER/status/723865864102154240","723865864102154240")</f>
        <v>723865864102154240</v>
      </c>
      <c r="F5951" s="11" t="s">
        <v>20</v>
      </c>
      <c r="G5951" s="11">
        <v>78</v>
      </c>
      <c r="H5951" s="11">
        <v>314</v>
      </c>
      <c r="I5951" s="11">
        <v>11</v>
      </c>
      <c r="J5951" s="11">
        <v>0</v>
      </c>
      <c r="K5951" s="11" t="s">
        <v>21</v>
      </c>
      <c r="L5951" s="7">
        <v>40030.48642361111</v>
      </c>
      <c r="M5951" s="12" t="s">
        <v>13565</v>
      </c>
      <c r="N5951" s="12"/>
      <c r="O5951" s="10" t="str">
        <f>HYPERLINK("https://pbs.twimg.com/profile_images/663825445796913152/rdSB6lkl_normal.jpg","View")</f>
        <v>View</v>
      </c>
      <c r="P5951" s="11"/>
    </row>
    <row r="5952" spans="1:16" ht="12.75" x14ac:dyDescent="0.35">
      <c r="A5952" s="7">
        <v>42483.790231481486</v>
      </c>
      <c r="B5952" s="8" t="str">
        <f>HYPERLINK("https://twitter.com/caryelluk","@caryelluk")</f>
        <v>@caryelluk</v>
      </c>
      <c r="C5952" s="9" t="s">
        <v>13566</v>
      </c>
      <c r="D5952" s="9" t="s">
        <v>13567</v>
      </c>
      <c r="E5952" s="10" t="str">
        <f>HYPERLINK("https://twitter.com/caryelluk/status/723865996121886720","723865996121886720")</f>
        <v>723865996121886720</v>
      </c>
      <c r="F5952" s="11" t="s">
        <v>43</v>
      </c>
      <c r="G5952" s="11">
        <v>255</v>
      </c>
      <c r="H5952" s="11">
        <v>709</v>
      </c>
      <c r="I5952" s="11">
        <v>3</v>
      </c>
      <c r="J5952" s="11">
        <v>0</v>
      </c>
      <c r="K5952" s="11" t="s">
        <v>21</v>
      </c>
      <c r="L5952" s="7">
        <v>42403.345486111109</v>
      </c>
      <c r="M5952" s="12" t="s">
        <v>1072</v>
      </c>
      <c r="N5952" s="12" t="s">
        <v>13568</v>
      </c>
      <c r="O5952" s="10" t="str">
        <f>HYPERLINK("https://pbs.twimg.com/profile_images/715332329019994114/CunHJsKm_normal.jpg","View")</f>
        <v>View</v>
      </c>
      <c r="P5952" s="11"/>
    </row>
    <row r="5953" spans="1:16" ht="12.75" x14ac:dyDescent="0.35">
      <c r="A5953" s="7">
        <v>42483.790405092594</v>
      </c>
      <c r="B5953" s="8" t="str">
        <f>HYPERLINK("https://twitter.com/vwpress_de","@vwpress_de")</f>
        <v>@vwpress_de</v>
      </c>
      <c r="C5953" s="9" t="s">
        <v>1685</v>
      </c>
      <c r="D5953" s="9" t="s">
        <v>13569</v>
      </c>
      <c r="E5953" s="10" t="str">
        <f>HYPERLINK("https://twitter.com/vwpress_de/status/723866056645873664","723866056645873664")</f>
        <v>723866056645873664</v>
      </c>
      <c r="F5953" s="11" t="s">
        <v>152</v>
      </c>
      <c r="G5953" s="11">
        <v>5818</v>
      </c>
      <c r="H5953" s="11">
        <v>610</v>
      </c>
      <c r="I5953" s="11">
        <v>0</v>
      </c>
      <c r="J5953" s="11">
        <v>2</v>
      </c>
      <c r="K5953" s="11" t="s">
        <v>21</v>
      </c>
      <c r="L5953" s="7">
        <v>42041.830381944441</v>
      </c>
      <c r="M5953" s="12" t="s">
        <v>1690</v>
      </c>
      <c r="N5953" s="12" t="s">
        <v>1691</v>
      </c>
      <c r="O5953" s="10" t="str">
        <f>HYPERLINK("https://pbs.twimg.com/profile_images/682117656502222848/Ge7YeAF3_normal.png","View")</f>
        <v>View</v>
      </c>
      <c r="P5953" s="11"/>
    </row>
    <row r="5954" spans="1:16" ht="12.75" x14ac:dyDescent="0.35">
      <c r="A5954" s="7">
        <v>42483.790532407409</v>
      </c>
      <c r="B5954" s="8" t="str">
        <f>HYPERLINK("https://twitter.com/DroppedPictures","@DroppedPictures")</f>
        <v>@DroppedPictures</v>
      </c>
      <c r="C5954" s="9" t="s">
        <v>13570</v>
      </c>
      <c r="D5954" s="9" t="s">
        <v>13571</v>
      </c>
      <c r="E5954" s="10" t="str">
        <f>HYPERLINK("https://twitter.com/DroppedPictures/status/723866104184078337","723866104184078337")</f>
        <v>723866104184078337</v>
      </c>
      <c r="F5954" s="11" t="s">
        <v>48</v>
      </c>
      <c r="G5954" s="11">
        <v>0</v>
      </c>
      <c r="H5954" s="11">
        <v>1</v>
      </c>
      <c r="I5954" s="11">
        <v>0</v>
      </c>
      <c r="J5954" s="11">
        <v>1</v>
      </c>
      <c r="K5954" s="11" t="s">
        <v>21</v>
      </c>
      <c r="L5954" s="7">
        <v>42483.772777777776</v>
      </c>
      <c r="M5954" s="12"/>
      <c r="N5954" s="12" t="s">
        <v>13572</v>
      </c>
      <c r="O5954" s="10" t="str">
        <f>HYPERLINK("https://pbs.twimg.com/profile_images/723860883768774656/auGhykZE_normal.jpg","View")</f>
        <v>View</v>
      </c>
      <c r="P5954" s="11"/>
    </row>
    <row r="5955" spans="1:16" ht="12.75" x14ac:dyDescent="0.35">
      <c r="A5955" s="7">
        <v>42483.791134259256</v>
      </c>
      <c r="B5955" s="8" t="str">
        <f>HYPERLINK("https://twitter.com/GapSecurity2015","@GapSecurity2015")</f>
        <v>@GapSecurity2015</v>
      </c>
      <c r="C5955" s="9" t="s">
        <v>13573</v>
      </c>
      <c r="D5955" s="9" t="s">
        <v>13574</v>
      </c>
      <c r="E5955" s="10" t="str">
        <f>HYPERLINK("https://twitter.com/GapSecurity2015/status/723866321545486336","723866321545486336")</f>
        <v>723866321545486336</v>
      </c>
      <c r="F5955" s="11" t="s">
        <v>43</v>
      </c>
      <c r="G5955" s="11">
        <v>990</v>
      </c>
      <c r="H5955" s="11">
        <v>743</v>
      </c>
      <c r="I5955" s="11">
        <v>0</v>
      </c>
      <c r="J5955" s="11">
        <v>0</v>
      </c>
      <c r="K5955" s="11" t="s">
        <v>21</v>
      </c>
      <c r="L5955" s="7">
        <v>42045.718587962961</v>
      </c>
      <c r="M5955" s="12" t="s">
        <v>12527</v>
      </c>
      <c r="N5955" s="12" t="s">
        <v>13575</v>
      </c>
      <c r="O5955" s="10" t="str">
        <f>HYPERLINK("https://pbs.twimg.com/profile_images/570917883199246336/NuBJA9SP_normal.jpeg","View")</f>
        <v>View</v>
      </c>
      <c r="P5955" s="11"/>
    </row>
    <row r="5956" spans="1:16" ht="12.75" x14ac:dyDescent="0.35">
      <c r="A5956" s="7">
        <v>42483.791261574079</v>
      </c>
      <c r="B5956" s="8" t="str">
        <f>HYPERLINK("https://twitter.com/Insta_VWT","@Insta_VWT")</f>
        <v>@Insta_VWT</v>
      </c>
      <c r="C5956" s="9" t="s">
        <v>181</v>
      </c>
      <c r="D5956" s="9" t="s">
        <v>13576</v>
      </c>
      <c r="E5956" s="10" t="str">
        <f>HYPERLINK("https://twitter.com/Insta_VWT/status/723866366860746754","723866366860746754")</f>
        <v>723866366860746754</v>
      </c>
      <c r="F5956" s="11" t="s">
        <v>68</v>
      </c>
      <c r="G5956" s="11">
        <v>482</v>
      </c>
      <c r="H5956" s="11">
        <v>0</v>
      </c>
      <c r="I5956" s="11">
        <v>0</v>
      </c>
      <c r="J5956" s="11">
        <v>0</v>
      </c>
      <c r="K5956" s="11" t="s">
        <v>21</v>
      </c>
      <c r="L5956" s="7">
        <v>41658.782800925925</v>
      </c>
      <c r="M5956" s="12" t="s">
        <v>183</v>
      </c>
      <c r="N5956" s="12" t="s">
        <v>184</v>
      </c>
      <c r="O5956" s="10" t="str">
        <f>HYPERLINK("https://pbs.twimg.com/profile_images/424893967197433858/iQ86NktX_normal.jpeg","View")</f>
        <v>View</v>
      </c>
      <c r="P5956" s="11"/>
    </row>
    <row r="5957" spans="1:16" ht="12.75" x14ac:dyDescent="0.35">
      <c r="A5957" s="7">
        <v>42483.791307870371</v>
      </c>
      <c r="B5957" s="8" t="str">
        <f>HYPERLINK("https://twitter.com/vwpress_en","@vwpress_en")</f>
        <v>@vwpress_en</v>
      </c>
      <c r="C5957" s="9" t="s">
        <v>1685</v>
      </c>
      <c r="D5957" s="9" t="s">
        <v>13577</v>
      </c>
      <c r="E5957" s="10" t="str">
        <f>HYPERLINK("https://twitter.com/vwpress_en/status/723866383541481472","723866383541481472")</f>
        <v>723866383541481472</v>
      </c>
      <c r="F5957" s="11" t="s">
        <v>152</v>
      </c>
      <c r="G5957" s="11">
        <v>55354</v>
      </c>
      <c r="H5957" s="11">
        <v>339</v>
      </c>
      <c r="I5957" s="11">
        <v>0</v>
      </c>
      <c r="J5957" s="11">
        <v>2</v>
      </c>
      <c r="K5957" s="11" t="s">
        <v>21</v>
      </c>
      <c r="L5957" s="7">
        <v>42041.83189814815</v>
      </c>
      <c r="M5957" s="12" t="s">
        <v>1687</v>
      </c>
      <c r="N5957" s="12" t="s">
        <v>1688</v>
      </c>
      <c r="O5957" s="10" t="str">
        <f>HYPERLINK("https://pbs.twimg.com/profile_images/682117963349135360/IUfZQy35_normal.png","View")</f>
        <v>View</v>
      </c>
      <c r="P5957" s="11"/>
    </row>
    <row r="5958" spans="1:16" ht="12.75" x14ac:dyDescent="0.35">
      <c r="A5958" s="7">
        <v>42483.791724537034</v>
      </c>
      <c r="B5958" s="8" t="str">
        <f>HYPERLINK("https://twitter.com/VeeDubMk1_","@VeeDubMk1_")</f>
        <v>@VeeDubMk1_</v>
      </c>
      <c r="C5958" s="9" t="s">
        <v>185</v>
      </c>
      <c r="D5958" s="9" t="s">
        <v>13578</v>
      </c>
      <c r="E5958" s="10" t="str">
        <f>HYPERLINK("https://twitter.com/VeeDubMk1_/status/723866535543078912","723866535543078912")</f>
        <v>723866535543078912</v>
      </c>
      <c r="F5958" s="11" t="s">
        <v>68</v>
      </c>
      <c r="G5958" s="11">
        <v>549</v>
      </c>
      <c r="H5958" s="11">
        <v>3527</v>
      </c>
      <c r="I5958" s="11">
        <v>0</v>
      </c>
      <c r="J5958" s="11">
        <v>0</v>
      </c>
      <c r="K5958" s="11" t="s">
        <v>21</v>
      </c>
      <c r="L5958" s="7">
        <v>42343.063356481478</v>
      </c>
      <c r="M5958" s="12"/>
      <c r="N5958" s="12"/>
      <c r="O5958" s="10" t="str">
        <f>HYPERLINK("https://pbs.twimg.com/profile_images/672878354127839232/M7OYc-zx_normal.jpg","View")</f>
        <v>View</v>
      </c>
      <c r="P5958" s="11"/>
    </row>
    <row r="5959" spans="1:16" ht="12.75" x14ac:dyDescent="0.35">
      <c r="A5959" s="7">
        <v>42483.792141203703</v>
      </c>
      <c r="B5959" s="8" t="str">
        <f>HYPERLINK("https://twitter.com/dft","@dft")</f>
        <v>@dft</v>
      </c>
      <c r="C5959" s="9" t="s">
        <v>11139</v>
      </c>
      <c r="D5959" s="9" t="s">
        <v>13579</v>
      </c>
      <c r="E5959" s="10" t="str">
        <f>HYPERLINK("https://twitter.com/dft/status/723866685032288256","723866685032288256")</f>
        <v>723866685032288256</v>
      </c>
      <c r="F5959" s="11" t="s">
        <v>43</v>
      </c>
      <c r="G5959" s="11">
        <v>17433</v>
      </c>
      <c r="H5959" s="11">
        <v>394</v>
      </c>
      <c r="I5959" s="11">
        <v>0</v>
      </c>
      <c r="J5959" s="11">
        <v>0</v>
      </c>
      <c r="K5959" s="11" t="s">
        <v>21</v>
      </c>
      <c r="L5959" s="7">
        <v>39171.168344907404</v>
      </c>
      <c r="M5959" s="12"/>
      <c r="N5959" s="12" t="s">
        <v>11141</v>
      </c>
      <c r="O5959" s="10" t="str">
        <f>HYPERLINK("https://pbs.twimg.com/profile_images/519785398566785024/PVYaywMF_normal.jpeg","View")</f>
        <v>View</v>
      </c>
      <c r="P5959" s="11"/>
    </row>
    <row r="5960" spans="1:16" ht="12.75" x14ac:dyDescent="0.35">
      <c r="A5960" s="7">
        <v>42483.792534722219</v>
      </c>
      <c r="B5960" s="8" t="str">
        <f>HYPERLINK("https://twitter.com/Exvtra_uk","@Exvtra_uk")</f>
        <v>@Exvtra_uk</v>
      </c>
      <c r="C5960" s="8" t="s">
        <v>13382</v>
      </c>
      <c r="D5960" s="9" t="s">
        <v>13541</v>
      </c>
      <c r="E5960" s="10" t="str">
        <f>HYPERLINK("https://twitter.com/Exvtra_uk/status/723866830587203584","723866830587203584")</f>
        <v>723866830587203584</v>
      </c>
      <c r="F5960" s="11" t="s">
        <v>43</v>
      </c>
      <c r="G5960" s="11">
        <v>7374</v>
      </c>
      <c r="H5960" s="11">
        <v>2650</v>
      </c>
      <c r="I5960" s="11">
        <v>2</v>
      </c>
      <c r="J5960" s="11">
        <v>0</v>
      </c>
      <c r="K5960" s="11" t="s">
        <v>21</v>
      </c>
      <c r="L5960" s="7">
        <v>41528.158055555556</v>
      </c>
      <c r="M5960" s="12" t="s">
        <v>129</v>
      </c>
      <c r="N5960" s="12" t="s">
        <v>13383</v>
      </c>
      <c r="O5960" s="10" t="str">
        <f>HYPERLINK("https://pbs.twimg.com/profile_images/524531569906565120/Noxq66xP_normal.jpeg","View")</f>
        <v>View</v>
      </c>
      <c r="P5960" s="11"/>
    </row>
    <row r="5961" spans="1:16" ht="12.75" x14ac:dyDescent="0.35">
      <c r="A5961" s="7">
        <v>42483.792743055557</v>
      </c>
      <c r="B5961" s="8" t="str">
        <f>HYPERLINK("https://twitter.com/VCT_Tweets","@VCT_Tweets")</f>
        <v>@VCT_Tweets</v>
      </c>
      <c r="C5961" s="9" t="s">
        <v>199</v>
      </c>
      <c r="D5961" s="9" t="s">
        <v>13580</v>
      </c>
      <c r="E5961" s="10" t="str">
        <f>HYPERLINK("https://twitter.com/VCT_Tweets/status/723866906155950081","723866906155950081")</f>
        <v>723866906155950081</v>
      </c>
      <c r="F5961" s="11" t="s">
        <v>68</v>
      </c>
      <c r="G5961" s="11">
        <v>891</v>
      </c>
      <c r="H5961" s="11">
        <v>211</v>
      </c>
      <c r="I5961" s="11">
        <v>0</v>
      </c>
      <c r="J5961" s="11">
        <v>0</v>
      </c>
      <c r="K5961" s="11" t="s">
        <v>21</v>
      </c>
      <c r="L5961" s="7">
        <v>40744.914837962962</v>
      </c>
      <c r="M5961" s="12" t="s">
        <v>201</v>
      </c>
      <c r="N5961" s="12" t="s">
        <v>202</v>
      </c>
      <c r="O5961" s="10" t="str">
        <f>HYPERLINK("https://pbs.twimg.com/profile_images/569800899141177344/nVFLMSdb_normal.png","View")</f>
        <v>View</v>
      </c>
      <c r="P5961" s="11"/>
    </row>
    <row r="5962" spans="1:16" ht="12.75" x14ac:dyDescent="0.35">
      <c r="A5962" s="7">
        <v>42483.792754629627</v>
      </c>
      <c r="B5962" s="8" t="str">
        <f>HYPERLINK("https://twitter.com/MOSLIM10003","@MOSLIM10003")</f>
        <v>@MOSLIM10003</v>
      </c>
      <c r="C5962" s="9" t="s">
        <v>13581</v>
      </c>
      <c r="D5962" s="9" t="s">
        <v>13582</v>
      </c>
      <c r="E5962" s="10" t="str">
        <f>HYPERLINK("https://twitter.com/MOSLIM10003/status/723866907338780672","723866907338780672")</f>
        <v>723866907338780672</v>
      </c>
      <c r="F5962" s="11" t="s">
        <v>43</v>
      </c>
      <c r="G5962" s="11">
        <v>200</v>
      </c>
      <c r="H5962" s="11">
        <v>1469</v>
      </c>
      <c r="I5962" s="11">
        <v>2</v>
      </c>
      <c r="J5962" s="11">
        <v>0</v>
      </c>
      <c r="K5962" s="11" t="s">
        <v>21</v>
      </c>
      <c r="L5962" s="7">
        <v>42461.694027777776</v>
      </c>
      <c r="M5962" s="12"/>
      <c r="N5962" s="12" t="s">
        <v>13583</v>
      </c>
      <c r="O5962" s="10" t="str">
        <f>HYPERLINK("https://pbs.twimg.com/profile_images/715860076217630721/S35iH7qg_normal.jpg","View")</f>
        <v>View</v>
      </c>
      <c r="P5962" s="11"/>
    </row>
    <row r="5963" spans="1:16" ht="12.75" x14ac:dyDescent="0.35">
      <c r="A5963" s="7">
        <v>42483.793287037042</v>
      </c>
      <c r="B5963" s="8" t="str">
        <f>HYPERLINK("https://twitter.com/vwgroup_de","@vwgroup_de")</f>
        <v>@vwgroup_de</v>
      </c>
      <c r="C5963" s="9" t="s">
        <v>7462</v>
      </c>
      <c r="D5963" s="9" t="s">
        <v>13584</v>
      </c>
      <c r="E5963" s="10" t="str">
        <f>HYPERLINK("https://twitter.com/vwgroup_de/status/723867103741222920","723867103741222920")</f>
        <v>723867103741222920</v>
      </c>
      <c r="F5963" s="11" t="s">
        <v>152</v>
      </c>
      <c r="G5963" s="11">
        <v>7463</v>
      </c>
      <c r="H5963" s="11">
        <v>605</v>
      </c>
      <c r="I5963" s="11">
        <v>2</v>
      </c>
      <c r="J5963" s="11">
        <v>0</v>
      </c>
      <c r="K5963" s="11" t="s">
        <v>21</v>
      </c>
      <c r="L5963" s="7">
        <v>42041.614525462966</v>
      </c>
      <c r="M5963" s="12" t="s">
        <v>1690</v>
      </c>
      <c r="N5963" s="12" t="s">
        <v>7463</v>
      </c>
      <c r="O5963" s="10" t="str">
        <f>HYPERLINK("https://pbs.twimg.com/profile_images/666952128108363777/FL78g9n-_normal.png","View")</f>
        <v>View</v>
      </c>
      <c r="P5963" s="11"/>
    </row>
    <row r="5964" spans="1:16" ht="12.75" x14ac:dyDescent="0.35">
      <c r="A5964" s="7">
        <v>42483.793495370366</v>
      </c>
      <c r="B5964" s="8" t="str">
        <f>HYPERLINK("https://twitter.com/vwgroup_en","@vwgroup_en")</f>
        <v>@vwgroup_en</v>
      </c>
      <c r="C5964" s="9" t="s">
        <v>7462</v>
      </c>
      <c r="D5964" s="9" t="s">
        <v>13585</v>
      </c>
      <c r="E5964" s="10" t="str">
        <f>HYPERLINK("https://twitter.com/vwgroup_en/status/723867177162575872","723867177162575872")</f>
        <v>723867177162575872</v>
      </c>
      <c r="F5964" s="11" t="s">
        <v>152</v>
      </c>
      <c r="G5964" s="11">
        <v>57728</v>
      </c>
      <c r="H5964" s="11">
        <v>366</v>
      </c>
      <c r="I5964" s="11">
        <v>2</v>
      </c>
      <c r="J5964" s="11">
        <v>0</v>
      </c>
      <c r="K5964" s="11" t="s">
        <v>21</v>
      </c>
      <c r="L5964" s="7">
        <v>42041.640034722222</v>
      </c>
      <c r="M5964" s="12" t="s">
        <v>1687</v>
      </c>
      <c r="N5964" s="12" t="s">
        <v>7464</v>
      </c>
      <c r="O5964" s="10" t="str">
        <f>HYPERLINK("https://pbs.twimg.com/profile_images/666952430177935362/T46eVne2_normal.png","View")</f>
        <v>View</v>
      </c>
      <c r="P5964" s="11"/>
    </row>
    <row r="5965" spans="1:16" ht="12.75" x14ac:dyDescent="0.35">
      <c r="A5965" s="7">
        <v>42483.793530092589</v>
      </c>
      <c r="B5965" s="8" t="str">
        <f>HYPERLINK("https://twitter.com/Scirocco_Tuning","@Scirocco_Tuning")</f>
        <v>@Scirocco_Tuning</v>
      </c>
      <c r="C5965" s="9" t="s">
        <v>51</v>
      </c>
      <c r="D5965" s="9" t="s">
        <v>13586</v>
      </c>
      <c r="E5965" s="10" t="str">
        <f>HYPERLINK("https://twitter.com/Scirocco_Tuning/status/723867187916754945","723867187916754945")</f>
        <v>723867187916754945</v>
      </c>
      <c r="F5965" s="11" t="s">
        <v>53</v>
      </c>
      <c r="G5965" s="11">
        <v>69</v>
      </c>
      <c r="H5965" s="11">
        <v>215</v>
      </c>
      <c r="I5965" s="11">
        <v>0</v>
      </c>
      <c r="J5965" s="11">
        <v>0</v>
      </c>
      <c r="K5965" s="11" t="s">
        <v>21</v>
      </c>
      <c r="L5965" s="7">
        <v>40844.564722222218</v>
      </c>
      <c r="M5965" s="12"/>
      <c r="N5965" s="12"/>
      <c r="O5965" s="10" t="str">
        <f>HYPERLINK("https://pbs.twimg.com/profile_images/1610421423/Image2_normal.jpg","View")</f>
        <v>View</v>
      </c>
      <c r="P5965" s="11"/>
    </row>
    <row r="5966" spans="1:16" ht="12.75" x14ac:dyDescent="0.35">
      <c r="A5966" s="7">
        <v>42483.795104166667</v>
      </c>
      <c r="B5966" s="8" t="str">
        <f>HYPERLINK("https://twitter.com/henryrobben","@henryrobben")</f>
        <v>@henryrobben</v>
      </c>
      <c r="C5966" s="9" t="s">
        <v>13587</v>
      </c>
      <c r="D5966" s="9" t="s">
        <v>13588</v>
      </c>
      <c r="E5966" s="10" t="str">
        <f>HYPERLINK("https://twitter.com/henryrobben/status/723867760288235520","723867760288235520")</f>
        <v>723867760288235520</v>
      </c>
      <c r="F5966" s="11" t="s">
        <v>20</v>
      </c>
      <c r="G5966" s="11">
        <v>1707</v>
      </c>
      <c r="H5966" s="11">
        <v>1260</v>
      </c>
      <c r="I5966" s="11">
        <v>0</v>
      </c>
      <c r="J5966" s="11">
        <v>0</v>
      </c>
      <c r="K5966" s="11" t="s">
        <v>21</v>
      </c>
      <c r="L5966" s="7">
        <v>39914.414872685185</v>
      </c>
      <c r="M5966" s="12" t="s">
        <v>13589</v>
      </c>
      <c r="N5966" s="12" t="s">
        <v>13590</v>
      </c>
      <c r="O5966" s="10" t="str">
        <f>HYPERLINK("https://pbs.twimg.com/profile_images/486129197413572608/yz3mWXie_normal.jpeg","View")</f>
        <v>View</v>
      </c>
      <c r="P5966" s="11"/>
    </row>
    <row r="5967" spans="1:16" ht="12.75" x14ac:dyDescent="0.35">
      <c r="A5967" s="7">
        <v>42483.795185185183</v>
      </c>
      <c r="B5967" s="8" t="str">
        <f>HYPERLINK("https://twitter.com/josiah_jurado","@josiah_jurado")</f>
        <v>@josiah_jurado</v>
      </c>
      <c r="C5967" s="9" t="s">
        <v>13591</v>
      </c>
      <c r="D5967" s="9" t="s">
        <v>13585</v>
      </c>
      <c r="E5967" s="10" t="str">
        <f>HYPERLINK("https://twitter.com/josiah_jurado/status/723867787957932032","723867787957932032")</f>
        <v>723867787957932032</v>
      </c>
      <c r="F5967" s="11" t="s">
        <v>48</v>
      </c>
      <c r="G5967" s="11">
        <v>139</v>
      </c>
      <c r="H5967" s="11">
        <v>373</v>
      </c>
      <c r="I5967" s="11">
        <v>2</v>
      </c>
      <c r="J5967" s="11">
        <v>0</v>
      </c>
      <c r="K5967" s="11" t="s">
        <v>21</v>
      </c>
      <c r="L5967" s="7">
        <v>42421.763715277775</v>
      </c>
      <c r="M5967" s="12"/>
      <c r="N5967" s="12"/>
      <c r="O5967" s="10" t="str">
        <f>HYPERLINK("https://pbs.twimg.com/profile_images/701389151199866880/TaZ_Jfoo_normal.png","View")</f>
        <v>View</v>
      </c>
      <c r="P5967" s="11"/>
    </row>
    <row r="5968" spans="1:16" ht="12.75" x14ac:dyDescent="0.35">
      <c r="A5968" s="7">
        <v>42483.795266203699</v>
      </c>
      <c r="B5968" s="8" t="str">
        <f>HYPERLINK("https://twitter.com/VWCamperSales","@VWCamperSales")</f>
        <v>@VWCamperSales</v>
      </c>
      <c r="C5968" s="9" t="s">
        <v>216</v>
      </c>
      <c r="D5968" s="9" t="s">
        <v>13592</v>
      </c>
      <c r="E5968" s="10" t="str">
        <f>HYPERLINK("https://twitter.com/VWCamperSales/status/723867820132442113","723867820132442113")</f>
        <v>723867820132442113</v>
      </c>
      <c r="F5968" s="10" t="s">
        <v>124</v>
      </c>
      <c r="G5968" s="11">
        <v>621</v>
      </c>
      <c r="H5968" s="11">
        <v>580</v>
      </c>
      <c r="I5968" s="11">
        <v>0</v>
      </c>
      <c r="J5968" s="11">
        <v>0</v>
      </c>
      <c r="K5968" s="11" t="s">
        <v>21</v>
      </c>
      <c r="L5968" s="7">
        <v>42215.98809027778</v>
      </c>
      <c r="M5968" s="12" t="s">
        <v>129</v>
      </c>
      <c r="N5968" s="12" t="s">
        <v>218</v>
      </c>
      <c r="O5968" s="10" t="str">
        <f>HYPERLINK("https://pbs.twimg.com/profile_images/627949001179037696/skEBkS05_normal.jpg","View")</f>
        <v>View</v>
      </c>
      <c r="P5968" s="11"/>
    </row>
    <row r="5969" spans="1:16" ht="12.75" x14ac:dyDescent="0.35">
      <c r="A5969" s="7">
        <v>42483.795335648145</v>
      </c>
      <c r="B5969" s="8" t="str">
        <f>HYPERLINK("https://twitter.com/LukasBouwman","@LukasBouwman")</f>
        <v>@LukasBouwman</v>
      </c>
      <c r="C5969" s="9" t="s">
        <v>10121</v>
      </c>
      <c r="D5969" s="9" t="s">
        <v>13593</v>
      </c>
      <c r="E5969" s="10" t="str">
        <f>HYPERLINK("https://twitter.com/LukasBouwman/status/723867843650002944","723867843650002944")</f>
        <v>723867843650002944</v>
      </c>
      <c r="F5969" s="11" t="s">
        <v>48</v>
      </c>
      <c r="G5969" s="11">
        <v>201</v>
      </c>
      <c r="H5969" s="11">
        <v>0</v>
      </c>
      <c r="I5969" s="11">
        <v>0</v>
      </c>
      <c r="J5969" s="11">
        <v>0</v>
      </c>
      <c r="K5969" s="11" t="s">
        <v>21</v>
      </c>
      <c r="L5969" s="7">
        <v>40821.74181712963</v>
      </c>
      <c r="M5969" s="12" t="s">
        <v>10123</v>
      </c>
      <c r="N5969" s="12" t="s">
        <v>10124</v>
      </c>
      <c r="O5969" s="10" t="str">
        <f>HYPERLINK("https://pbs.twimg.com/profile_images/1694897534/LukasBouwman_normal.jpg","View")</f>
        <v>View</v>
      </c>
      <c r="P5969" s="11"/>
    </row>
    <row r="5970" spans="1:16" ht="12.75" x14ac:dyDescent="0.35">
      <c r="A5970" s="7">
        <v>42483.795347222222</v>
      </c>
      <c r="B5970" s="8" t="str">
        <f t="shared" ref="B5970:B5971" si="517">HYPERLINK("https://twitter.com/eRplusP","@eRplusP")</f>
        <v>@eRplusP</v>
      </c>
      <c r="C5970" s="9" t="s">
        <v>13594</v>
      </c>
      <c r="D5970" s="9" t="s">
        <v>13584</v>
      </c>
      <c r="E5970" s="10" t="str">
        <f>HYPERLINK("https://twitter.com/eRplusP/status/723867848486039553","723867848486039553")</f>
        <v>723867848486039553</v>
      </c>
      <c r="F5970" s="11" t="s">
        <v>20</v>
      </c>
      <c r="G5970" s="11">
        <v>6</v>
      </c>
      <c r="H5970" s="11">
        <v>18</v>
      </c>
      <c r="I5970" s="11">
        <v>2</v>
      </c>
      <c r="J5970" s="11">
        <v>0</v>
      </c>
      <c r="K5970" s="11" t="s">
        <v>21</v>
      </c>
      <c r="L5970" s="7">
        <v>42455.943726851852</v>
      </c>
      <c r="M5970" s="12" t="s">
        <v>13595</v>
      </c>
      <c r="N5970" s="12" t="s">
        <v>13596</v>
      </c>
      <c r="O5970" s="10" t="str">
        <f t="shared" ref="O5970:O5971" si="518">HYPERLINK("https://pbs.twimg.com/profile_images/714108792821125120/h6F9y3Al_normal.jpg","View")</f>
        <v>View</v>
      </c>
      <c r="P5970" s="11"/>
    </row>
    <row r="5971" spans="1:16" ht="12.75" x14ac:dyDescent="0.35">
      <c r="A5971" s="7">
        <v>42483.795590277776</v>
      </c>
      <c r="B5971" s="8" t="str">
        <f t="shared" si="517"/>
        <v>@eRplusP</v>
      </c>
      <c r="C5971" s="9" t="s">
        <v>13594</v>
      </c>
      <c r="D5971" s="9" t="s">
        <v>13597</v>
      </c>
      <c r="E5971" s="10" t="str">
        <f>HYPERLINK("https://twitter.com/eRplusP/status/723867935081697280","723867935081697280")</f>
        <v>723867935081697280</v>
      </c>
      <c r="F5971" s="11" t="s">
        <v>20</v>
      </c>
      <c r="G5971" s="11">
        <v>6</v>
      </c>
      <c r="H5971" s="11">
        <v>18</v>
      </c>
      <c r="I5971" s="11">
        <v>1</v>
      </c>
      <c r="J5971" s="11">
        <v>0</v>
      </c>
      <c r="K5971" s="11" t="s">
        <v>21</v>
      </c>
      <c r="L5971" s="7">
        <v>42455.943726851852</v>
      </c>
      <c r="M5971" s="12" t="s">
        <v>13595</v>
      </c>
      <c r="N5971" s="12" t="s">
        <v>13596</v>
      </c>
      <c r="O5971" s="10" t="str">
        <f t="shared" si="518"/>
        <v>View</v>
      </c>
      <c r="P5971" s="11"/>
    </row>
    <row r="5972" spans="1:16" ht="12.75" x14ac:dyDescent="0.35">
      <c r="A5972" s="7">
        <v>42483.796446759261</v>
      </c>
      <c r="B5972" s="8" t="str">
        <f>HYPERLINK("https://twitter.com/ruipinto70","@ruipinto70")</f>
        <v>@ruipinto70</v>
      </c>
      <c r="C5972" s="9" t="s">
        <v>13598</v>
      </c>
      <c r="D5972" s="9" t="s">
        <v>13599</v>
      </c>
      <c r="E5972" s="10" t="str">
        <f>HYPERLINK("https://twitter.com/ruipinto70/status/723868244742930432","723868244742930432")</f>
        <v>723868244742930432</v>
      </c>
      <c r="F5972" s="11" t="s">
        <v>20</v>
      </c>
      <c r="G5972" s="11">
        <v>10</v>
      </c>
      <c r="H5972" s="11">
        <v>45</v>
      </c>
      <c r="I5972" s="11">
        <v>2</v>
      </c>
      <c r="J5972" s="11">
        <v>0</v>
      </c>
      <c r="K5972" s="11" t="s">
        <v>21</v>
      </c>
      <c r="L5972" s="7">
        <v>41145.788634259261</v>
      </c>
      <c r="M5972" s="12" t="s">
        <v>13600</v>
      </c>
      <c r="N5972" s="12"/>
      <c r="O5972" s="10" t="str">
        <f>HYPERLINK("https://pbs.twimg.com/profile_images/719634934403612672/J_8yDQTY_normal.jpg","View")</f>
        <v>View</v>
      </c>
      <c r="P5972" s="11"/>
    </row>
    <row r="5973" spans="1:16" ht="12.75" x14ac:dyDescent="0.35">
      <c r="A5973" s="7">
        <v>42483.796597222223</v>
      </c>
      <c r="B5973" s="8" t="str">
        <f>HYPERLINK("https://twitter.com/VWBeetleSales","@VWBeetleSales")</f>
        <v>@VWBeetleSales</v>
      </c>
      <c r="C5973" s="9" t="s">
        <v>127</v>
      </c>
      <c r="D5973" s="9" t="s">
        <v>13601</v>
      </c>
      <c r="E5973" s="10" t="str">
        <f>HYPERLINK("https://twitter.com/VWBeetleSales/status/723868301294592000","723868301294592000")</f>
        <v>723868301294592000</v>
      </c>
      <c r="F5973" s="10" t="s">
        <v>124</v>
      </c>
      <c r="G5973" s="11">
        <v>36</v>
      </c>
      <c r="H5973" s="11">
        <v>32</v>
      </c>
      <c r="I5973" s="11">
        <v>0</v>
      </c>
      <c r="J5973" s="11">
        <v>0</v>
      </c>
      <c r="K5973" s="11" t="s">
        <v>21</v>
      </c>
      <c r="L5973" s="7">
        <v>42427.019756944443</v>
      </c>
      <c r="M5973" s="12" t="s">
        <v>129</v>
      </c>
      <c r="N5973" s="12" t="s">
        <v>130</v>
      </c>
      <c r="O5973" s="10" t="str">
        <f>HYPERLINK("https://pbs.twimg.com/profile_images/703294545195307008/qeCvrX86_normal.jpg","View")</f>
        <v>View</v>
      </c>
      <c r="P5973" s="11"/>
    </row>
    <row r="5974" spans="1:16" ht="12.75" x14ac:dyDescent="0.35">
      <c r="A5974" s="7">
        <v>42483.797083333338</v>
      </c>
      <c r="B5974" s="8" t="str">
        <f>HYPERLINK("https://twitter.com/Markus_Hoess","@Markus_Hoess")</f>
        <v>@Markus_Hoess</v>
      </c>
      <c r="C5974" s="9" t="s">
        <v>13602</v>
      </c>
      <c r="D5974" s="9" t="s">
        <v>13603</v>
      </c>
      <c r="E5974" s="10" t="str">
        <f>HYPERLINK("https://twitter.com/Markus_Hoess/status/723868475433881601","723868475433881601")</f>
        <v>723868475433881601</v>
      </c>
      <c r="F5974" s="11" t="s">
        <v>20</v>
      </c>
      <c r="G5974" s="11">
        <v>7</v>
      </c>
      <c r="H5974" s="11">
        <v>131</v>
      </c>
      <c r="I5974" s="11">
        <v>0</v>
      </c>
      <c r="J5974" s="11">
        <v>0</v>
      </c>
      <c r="K5974" s="11" t="s">
        <v>21</v>
      </c>
      <c r="L5974" s="7">
        <v>40777.899004629631</v>
      </c>
      <c r="M5974" s="12" t="s">
        <v>13000</v>
      </c>
      <c r="N5974" s="12" t="s">
        <v>13604</v>
      </c>
      <c r="O5974" s="10" t="str">
        <f>HYPERLINK("https://pbs.twimg.com/profile_images/706941537310085120/vfX3aYoO_normal.jpg","View")</f>
        <v>View</v>
      </c>
      <c r="P5974" s="11"/>
    </row>
    <row r="5975" spans="1:16" ht="12.75" x14ac:dyDescent="0.35">
      <c r="A5975" s="7">
        <v>42483.797337962962</v>
      </c>
      <c r="B5975" s="8" t="str">
        <f>HYPERLINK("https://twitter.com/Realvelo","@Realvelo")</f>
        <v>@Realvelo</v>
      </c>
      <c r="C5975" s="9" t="s">
        <v>13605</v>
      </c>
      <c r="D5975" s="9" t="s">
        <v>13606</v>
      </c>
      <c r="E5975" s="10" t="str">
        <f>HYPERLINK("https://twitter.com/Realvelo/status/723868570493571073","723868570493571073")</f>
        <v>723868570493571073</v>
      </c>
      <c r="F5975" s="11" t="s">
        <v>48</v>
      </c>
      <c r="G5975" s="11">
        <v>838</v>
      </c>
      <c r="H5975" s="11">
        <v>2231</v>
      </c>
      <c r="I5975" s="11">
        <v>0</v>
      </c>
      <c r="J5975" s="11">
        <v>0</v>
      </c>
      <c r="K5975" s="11" t="s">
        <v>21</v>
      </c>
      <c r="L5975" s="7">
        <v>39960.801979166667</v>
      </c>
      <c r="M5975" s="12"/>
      <c r="N5975" s="12" t="s">
        <v>13607</v>
      </c>
      <c r="O5975" s="10" t="str">
        <f>HYPERLINK("https://pbs.twimg.com/profile_images/709396884683694080/_ELzZ3WD_normal.jpg","View")</f>
        <v>View</v>
      </c>
      <c r="P5975" s="11"/>
    </row>
    <row r="5976" spans="1:16" ht="12.75" x14ac:dyDescent="0.35">
      <c r="A5976" s="7">
        <v>42483.79755787037</v>
      </c>
      <c r="B5976" s="8" t="str">
        <f>HYPERLINK("https://twitter.com/JamesDerom","@JamesDerom")</f>
        <v>@JamesDerom</v>
      </c>
      <c r="C5976" s="9" t="s">
        <v>13608</v>
      </c>
      <c r="D5976" s="9" t="s">
        <v>13609</v>
      </c>
      <c r="E5976" s="10" t="str">
        <f>HYPERLINK("https://twitter.com/JamesDerom/status/723868647802953730","723868647802953730")</f>
        <v>723868647802953730</v>
      </c>
      <c r="F5976" s="11" t="s">
        <v>43</v>
      </c>
      <c r="G5976" s="11">
        <v>17</v>
      </c>
      <c r="H5976" s="11">
        <v>85</v>
      </c>
      <c r="I5976" s="11">
        <v>0</v>
      </c>
      <c r="J5976" s="11">
        <v>0</v>
      </c>
      <c r="K5976" s="11" t="s">
        <v>21</v>
      </c>
      <c r="L5976" s="7">
        <v>40813.000717592593</v>
      </c>
      <c r="M5976" s="12" t="s">
        <v>13610</v>
      </c>
      <c r="N5976" s="12" t="s">
        <v>13611</v>
      </c>
      <c r="O5976" s="10" t="str">
        <f>HYPERLINK("https://pbs.twimg.com/profile_images/423514424658231296/nyUIYVc2_normal.jpeg","View")</f>
        <v>View</v>
      </c>
      <c r="P5976" s="11"/>
    </row>
    <row r="5977" spans="1:16" ht="12.75" x14ac:dyDescent="0.35">
      <c r="A5977" s="7">
        <v>42483.797835648147</v>
      </c>
      <c r="B5977" s="8" t="str">
        <f>HYPERLINK("https://twitter.com/TraderCrowd","@TraderCrowd")</f>
        <v>@TraderCrowd</v>
      </c>
      <c r="C5977" s="9" t="s">
        <v>13612</v>
      </c>
      <c r="D5977" s="9" t="s">
        <v>13253</v>
      </c>
      <c r="E5977" s="10" t="str">
        <f>HYPERLINK("https://twitter.com/TraderCrowd/status/723868748541759488","723868748541759488")</f>
        <v>723868748541759488</v>
      </c>
      <c r="F5977" s="11" t="s">
        <v>91</v>
      </c>
      <c r="G5977" s="11">
        <v>551</v>
      </c>
      <c r="H5977" s="11">
        <v>1050</v>
      </c>
      <c r="I5977" s="11">
        <v>3</v>
      </c>
      <c r="J5977" s="11">
        <v>0</v>
      </c>
      <c r="K5977" s="11" t="s">
        <v>21</v>
      </c>
      <c r="L5977" s="7">
        <v>40319.12096064815</v>
      </c>
      <c r="M5977" s="12" t="s">
        <v>13613</v>
      </c>
      <c r="N5977" s="12" t="s">
        <v>13614</v>
      </c>
      <c r="O5977" s="10" t="str">
        <f>HYPERLINK("https://pbs.twimg.com/profile_images/670608121887383552/f-Xdw29F_normal.png","View")</f>
        <v>View</v>
      </c>
      <c r="P5977" s="11"/>
    </row>
    <row r="5978" spans="1:16" ht="12.75" x14ac:dyDescent="0.35">
      <c r="A5978" s="7">
        <v>42483.799768518518</v>
      </c>
      <c r="B5978" s="8" t="str">
        <f>HYPERLINK("https://twitter.com/josiah_jurado","@josiah_jurado")</f>
        <v>@josiah_jurado</v>
      </c>
      <c r="C5978" s="9" t="s">
        <v>13591</v>
      </c>
      <c r="D5978" s="9" t="s">
        <v>13582</v>
      </c>
      <c r="E5978" s="10" t="str">
        <f>HYPERLINK("https://twitter.com/josiah_jurado/status/723869450374533120","723869450374533120")</f>
        <v>723869450374533120</v>
      </c>
      <c r="F5978" s="11" t="s">
        <v>48</v>
      </c>
      <c r="G5978" s="11">
        <v>139</v>
      </c>
      <c r="H5978" s="11">
        <v>373</v>
      </c>
      <c r="I5978" s="11">
        <v>2</v>
      </c>
      <c r="J5978" s="11">
        <v>0</v>
      </c>
      <c r="K5978" s="11" t="s">
        <v>21</v>
      </c>
      <c r="L5978" s="7">
        <v>42421.763715277775</v>
      </c>
      <c r="M5978" s="12"/>
      <c r="N5978" s="12"/>
      <c r="O5978" s="10" t="str">
        <f>HYPERLINK("https://pbs.twimg.com/profile_images/701389151199866880/TaZ_Jfoo_normal.png","View")</f>
        <v>View</v>
      </c>
      <c r="P5978" s="11"/>
    </row>
    <row r="5979" spans="1:16" ht="12.75" x14ac:dyDescent="0.35">
      <c r="A5979" s="7">
        <v>42483.800324074073</v>
      </c>
      <c r="B5979" s="8" t="str">
        <f>HYPERLINK("https://twitter.com/Geilowicz23","@Geilowicz23")</f>
        <v>@Geilowicz23</v>
      </c>
      <c r="C5979" s="9" t="s">
        <v>13615</v>
      </c>
      <c r="D5979" s="9" t="s">
        <v>13616</v>
      </c>
      <c r="E5979" s="10" t="str">
        <f>HYPERLINK("https://twitter.com/Geilowicz23/status/723869650447142913","723869650447142913")</f>
        <v>723869650447142913</v>
      </c>
      <c r="F5979" s="11" t="s">
        <v>48</v>
      </c>
      <c r="G5979" s="11">
        <v>12</v>
      </c>
      <c r="H5979" s="11">
        <v>143</v>
      </c>
      <c r="I5979" s="11">
        <v>0</v>
      </c>
      <c r="J5979" s="11">
        <v>0</v>
      </c>
      <c r="K5979" s="11" t="s">
        <v>21</v>
      </c>
      <c r="L5979" s="7">
        <v>42246.939432870371</v>
      </c>
      <c r="M5979" s="12"/>
      <c r="N5979" s="12"/>
      <c r="O5979" s="10" t="str">
        <f>HYPERLINK("https://pbs.twimg.com/profile_images/696722199718322176/kS_l_m8y_normal.jpg","View")</f>
        <v>View</v>
      </c>
      <c r="P5979" s="11"/>
    </row>
    <row r="5980" spans="1:16" ht="12.75" x14ac:dyDescent="0.35">
      <c r="A5980" s="7">
        <v>42483.800729166665</v>
      </c>
      <c r="B5980" s="8" t="str">
        <f>HYPERLINK("https://twitter.com/MotorHour","@MotorHour")</f>
        <v>@MotorHour</v>
      </c>
      <c r="C5980" s="9" t="s">
        <v>13463</v>
      </c>
      <c r="D5980" s="9" t="s">
        <v>13514</v>
      </c>
      <c r="E5980" s="10" t="str">
        <f>HYPERLINK("https://twitter.com/MotorHour/status/723869797969174530","723869797969174530")</f>
        <v>723869797969174530</v>
      </c>
      <c r="F5980" s="11" t="s">
        <v>13460</v>
      </c>
      <c r="G5980" s="11">
        <v>7951</v>
      </c>
      <c r="H5980" s="11">
        <v>7099</v>
      </c>
      <c r="I5980" s="11">
        <v>4</v>
      </c>
      <c r="J5980" s="11">
        <v>0</v>
      </c>
      <c r="K5980" s="11" t="s">
        <v>21</v>
      </c>
      <c r="L5980" s="7">
        <v>41624.563159722224</v>
      </c>
      <c r="M5980" s="12" t="s">
        <v>129</v>
      </c>
      <c r="N5980" s="12" t="s">
        <v>13464</v>
      </c>
      <c r="O5980" s="10" t="str">
        <f>HYPERLINK("https://pbs.twimg.com/profile_images/552044021774700544/M3FC3arM_normal.jpeg","View")</f>
        <v>View</v>
      </c>
      <c r="P5980" s="11"/>
    </row>
    <row r="5981" spans="1:16" ht="12.75" x14ac:dyDescent="0.35">
      <c r="A5981" s="7">
        <v>42483.80097222222</v>
      </c>
      <c r="B5981" s="8" t="str">
        <f>HYPERLINK("https://twitter.com/JeremySpira","@JeremySpira")</f>
        <v>@JeremySpira</v>
      </c>
      <c r="C5981" s="9" t="s">
        <v>13617</v>
      </c>
      <c r="D5981" s="9" t="s">
        <v>13618</v>
      </c>
      <c r="E5981" s="10" t="str">
        <f>HYPERLINK("https://twitter.com/JeremySpira/status/723869885382692864","723869885382692864")</f>
        <v>723869885382692864</v>
      </c>
      <c r="F5981" s="11" t="s">
        <v>48</v>
      </c>
      <c r="G5981" s="11">
        <v>73</v>
      </c>
      <c r="H5981" s="11">
        <v>266</v>
      </c>
      <c r="I5981" s="11">
        <v>0</v>
      </c>
      <c r="J5981" s="11">
        <v>0</v>
      </c>
      <c r="K5981" s="11" t="s">
        <v>21</v>
      </c>
      <c r="L5981" s="7">
        <v>40705.866018518514</v>
      </c>
      <c r="M5981" s="12"/>
      <c r="N5981" s="12"/>
      <c r="O5981" s="10" t="str">
        <f>HYPERLINK("https://pbs.twimg.com/profile_images/702714452991299584/GeaOqstt_normal.jpg","View")</f>
        <v>View</v>
      </c>
      <c r="P5981" s="11"/>
    </row>
    <row r="5982" spans="1:16" ht="12.75" x14ac:dyDescent="0.35">
      <c r="A5982" s="7">
        <v>42483.802048611113</v>
      </c>
      <c r="B5982" s="8" t="str">
        <f>HYPERLINK("https://twitter.com/salzburg_com","@salzburg_com")</f>
        <v>@salzburg_com</v>
      </c>
      <c r="C5982" s="9" t="s">
        <v>13619</v>
      </c>
      <c r="D5982" s="9" t="s">
        <v>13620</v>
      </c>
      <c r="E5982" s="10" t="str">
        <f>HYPERLINK("https://twitter.com/salzburg_com/status/723870278632235010","723870278632235010")</f>
        <v>723870278632235010</v>
      </c>
      <c r="F5982" s="11" t="s">
        <v>13621</v>
      </c>
      <c r="G5982" s="11">
        <v>9271</v>
      </c>
      <c r="H5982" s="11">
        <v>404</v>
      </c>
      <c r="I5982" s="11">
        <v>0</v>
      </c>
      <c r="J5982" s="11">
        <v>0</v>
      </c>
      <c r="K5982" s="11" t="s">
        <v>21</v>
      </c>
      <c r="L5982" s="7">
        <v>39898.926192129627</v>
      </c>
      <c r="M5982" s="12" t="s">
        <v>13622</v>
      </c>
      <c r="N5982" s="12" t="s">
        <v>13623</v>
      </c>
      <c r="O5982" s="10" t="str">
        <f>HYPERLINK("https://pbs.twimg.com/profile_images/1719719523/SN_370_normal.jpg","View")</f>
        <v>View</v>
      </c>
      <c r="P5982" s="11"/>
    </row>
    <row r="5983" spans="1:16" ht="12.75" x14ac:dyDescent="0.35">
      <c r="A5983" s="7">
        <v>42483.803310185191</v>
      </c>
      <c r="B5983" s="8" t="str">
        <f>HYPERLINK("https://twitter.com/Ikoniclondon","@Ikoniclondon")</f>
        <v>@Ikoniclondon</v>
      </c>
      <c r="C5983" s="9" t="s">
        <v>8416</v>
      </c>
      <c r="D5983" s="9" t="s">
        <v>13624</v>
      </c>
      <c r="E5983" s="10" t="str">
        <f>HYPERLINK("https://twitter.com/Ikoniclondon/status/723870733777145856","723870733777145856")</f>
        <v>723870733777145856</v>
      </c>
      <c r="F5983" s="11" t="s">
        <v>43</v>
      </c>
      <c r="G5983" s="11">
        <v>50690</v>
      </c>
      <c r="H5983" s="11">
        <v>7784</v>
      </c>
      <c r="I5983" s="11">
        <v>0</v>
      </c>
      <c r="J5983" s="11">
        <v>0</v>
      </c>
      <c r="K5983" s="11" t="s">
        <v>21</v>
      </c>
      <c r="L5983" s="7">
        <v>41264.854062500002</v>
      </c>
      <c r="M5983" s="12" t="s">
        <v>638</v>
      </c>
      <c r="N5983" s="12"/>
      <c r="O5983" s="10" t="str">
        <f>HYPERLINK("https://pbs.twimg.com/profile_images/3003211219/5eb0510a3d8f48f25da10db3e595b7a0_normal.png","View")</f>
        <v>View</v>
      </c>
      <c r="P5983" s="11"/>
    </row>
    <row r="5984" spans="1:16" ht="12.75" x14ac:dyDescent="0.35">
      <c r="A5984" s="7">
        <v>42483.803460648152</v>
      </c>
      <c r="B5984" s="8" t="str">
        <f>HYPERLINK("https://twitter.com/BurkhardRi","@BurkhardRi")</f>
        <v>@BurkhardRi</v>
      </c>
      <c r="C5984" s="9" t="s">
        <v>13625</v>
      </c>
      <c r="D5984" s="9" t="s">
        <v>10609</v>
      </c>
      <c r="E5984" s="10" t="str">
        <f>HYPERLINK("https://twitter.com/BurkhardRi/status/723870789674635265","723870789674635265")</f>
        <v>723870789674635265</v>
      </c>
      <c r="F5984" s="11" t="s">
        <v>20</v>
      </c>
      <c r="G5984" s="11">
        <v>112</v>
      </c>
      <c r="H5984" s="11">
        <v>93</v>
      </c>
      <c r="I5984" s="11">
        <v>3</v>
      </c>
      <c r="J5984" s="11">
        <v>0</v>
      </c>
      <c r="K5984" s="11" t="s">
        <v>21</v>
      </c>
      <c r="L5984" s="7">
        <v>40779.612372685187</v>
      </c>
      <c r="M5984" s="12" t="s">
        <v>9561</v>
      </c>
      <c r="N5984" s="12" t="s">
        <v>13626</v>
      </c>
      <c r="O5984" s="10" t="str">
        <f>HYPERLINK("https://pbs.twimg.com/profile_images/628914317052743680/zpzonaaQ_normal.jpg","View")</f>
        <v>View</v>
      </c>
      <c r="P5984" s="11"/>
    </row>
    <row r="5985" spans="1:16" ht="12.75" x14ac:dyDescent="0.35">
      <c r="A5985" s="7">
        <v>42483.803715277776</v>
      </c>
      <c r="B5985" s="8" t="str">
        <f>HYPERLINK("https://twitter.com/FuscaWorld","@FuscaWorld")</f>
        <v>@FuscaWorld</v>
      </c>
      <c r="C5985" s="9" t="s">
        <v>74</v>
      </c>
      <c r="D5985" s="9" t="s">
        <v>13599</v>
      </c>
      <c r="E5985" s="10" t="str">
        <f>HYPERLINK("https://twitter.com/FuscaWorld/status/723870882125459456","723870882125459456")</f>
        <v>723870882125459456</v>
      </c>
      <c r="F5985" s="11" t="s">
        <v>76</v>
      </c>
      <c r="G5985" s="11">
        <v>50</v>
      </c>
      <c r="H5985" s="11">
        <v>1</v>
      </c>
      <c r="I5985" s="11">
        <v>3</v>
      </c>
      <c r="J5985" s="11">
        <v>0</v>
      </c>
      <c r="K5985" s="11" t="s">
        <v>21</v>
      </c>
      <c r="L5985" s="7">
        <v>42433.880914351852</v>
      </c>
      <c r="M5985" s="12"/>
      <c r="N5985" s="12" t="s">
        <v>77</v>
      </c>
      <c r="O5985" s="10" t="str">
        <f>HYPERLINK("https://pbs.twimg.com/profile_images/705780107844067328/e7O4UBNb_normal.jpg","View")</f>
        <v>View</v>
      </c>
      <c r="P5985" s="11"/>
    </row>
    <row r="5986" spans="1:16" ht="12.75" x14ac:dyDescent="0.35">
      <c r="A5986" s="7">
        <v>42483.804259259261</v>
      </c>
      <c r="B5986" s="8" t="str">
        <f>HYPERLINK("https://twitter.com/VWCamperSales","@VWCamperSales")</f>
        <v>@VWCamperSales</v>
      </c>
      <c r="C5986" s="9" t="s">
        <v>216</v>
      </c>
      <c r="D5986" s="9" t="s">
        <v>13627</v>
      </c>
      <c r="E5986" s="10" t="str">
        <f>HYPERLINK("https://twitter.com/VWCamperSales/status/723871079521914880","723871079521914880")</f>
        <v>723871079521914880</v>
      </c>
      <c r="F5986" s="10" t="s">
        <v>124</v>
      </c>
      <c r="G5986" s="11">
        <v>621</v>
      </c>
      <c r="H5986" s="11">
        <v>580</v>
      </c>
      <c r="I5986" s="11">
        <v>0</v>
      </c>
      <c r="J5986" s="11">
        <v>0</v>
      </c>
      <c r="K5986" s="11" t="s">
        <v>21</v>
      </c>
      <c r="L5986" s="7">
        <v>42215.98809027778</v>
      </c>
      <c r="M5986" s="12" t="s">
        <v>129</v>
      </c>
      <c r="N5986" s="12" t="s">
        <v>218</v>
      </c>
      <c r="O5986" s="10" t="str">
        <f>HYPERLINK("https://pbs.twimg.com/profile_images/627949001179037696/skEBkS05_normal.jpg","View")</f>
        <v>View</v>
      </c>
      <c r="P5986" s="11"/>
    </row>
    <row r="5987" spans="1:16" ht="12.75" x14ac:dyDescent="0.35">
      <c r="A5987" s="7">
        <v>42483.806030092594</v>
      </c>
      <c r="B5987" s="8" t="str">
        <f>HYPERLINK("https://twitter.com/rudy_rubber","@rudy_rubber")</f>
        <v>@rudy_rubber</v>
      </c>
      <c r="C5987" s="9" t="s">
        <v>13628</v>
      </c>
      <c r="D5987" s="9" t="s">
        <v>13629</v>
      </c>
      <c r="E5987" s="10" t="str">
        <f>HYPERLINK("https://twitter.com/rudy_rubber/status/723871719484583937","723871719484583937")</f>
        <v>723871719484583937</v>
      </c>
      <c r="F5987" s="11" t="s">
        <v>114</v>
      </c>
      <c r="G5987" s="11">
        <v>83</v>
      </c>
      <c r="H5987" s="11">
        <v>14</v>
      </c>
      <c r="I5987" s="11">
        <v>0</v>
      </c>
      <c r="J5987" s="11">
        <v>0</v>
      </c>
      <c r="K5987" s="11" t="s">
        <v>21</v>
      </c>
      <c r="L5987" s="7">
        <v>40951.961273148147</v>
      </c>
      <c r="M5987" s="12" t="s">
        <v>13630</v>
      </c>
      <c r="N5987" s="12" t="s">
        <v>13631</v>
      </c>
      <c r="O5987" s="10" t="str">
        <f>HYPERLINK("https://pbs.twimg.com/profile_images/712451398361714688/lMb1t3cS_normal.jpg","View")</f>
        <v>View</v>
      </c>
      <c r="P5987" s="11"/>
    </row>
    <row r="5988" spans="1:16" ht="12.75" x14ac:dyDescent="0.35">
      <c r="A5988" s="7">
        <v>42483.808194444442</v>
      </c>
      <c r="B5988" s="8" t="str">
        <f>HYPERLINK("https://twitter.com/TDentist","@TDentist")</f>
        <v>@TDentist</v>
      </c>
      <c r="C5988" s="9" t="s">
        <v>13632</v>
      </c>
      <c r="D5988" s="9" t="s">
        <v>10950</v>
      </c>
      <c r="E5988" s="10" t="str">
        <f>HYPERLINK("https://twitter.com/TDentist/status/723872505925111808","723872505925111808")</f>
        <v>723872505925111808</v>
      </c>
      <c r="F5988" s="11" t="s">
        <v>48</v>
      </c>
      <c r="G5988" s="11">
        <v>203</v>
      </c>
      <c r="H5988" s="11">
        <v>790</v>
      </c>
      <c r="I5988" s="11">
        <v>15</v>
      </c>
      <c r="J5988" s="11">
        <v>0</v>
      </c>
      <c r="K5988" s="11" t="s">
        <v>21</v>
      </c>
      <c r="L5988" s="7">
        <v>40707.921736111108</v>
      </c>
      <c r="M5988" s="12"/>
      <c r="N5988" s="12"/>
      <c r="O5988" s="10" t="str">
        <f>HYPERLINK("https://pbs.twimg.com/profile_images/714418680742985728/6B3Bih9b_normal.jpg","View")</f>
        <v>View</v>
      </c>
      <c r="P5988" s="11"/>
    </row>
    <row r="5989" spans="1:16" ht="12.75" x14ac:dyDescent="0.35">
      <c r="A5989" s="7">
        <v>42483.80840277778</v>
      </c>
      <c r="B5989" s="8" t="str">
        <f>HYPERLINK("https://twitter.com/heikolossie","@heikolossie")</f>
        <v>@heikolossie</v>
      </c>
      <c r="C5989" s="9" t="s">
        <v>6659</v>
      </c>
      <c r="D5989" s="9" t="s">
        <v>13633</v>
      </c>
      <c r="E5989" s="10" t="str">
        <f>HYPERLINK("https://twitter.com/heikolossie/status/723872580134948865","723872580134948865")</f>
        <v>723872580134948865</v>
      </c>
      <c r="F5989" s="11" t="s">
        <v>20</v>
      </c>
      <c r="G5989" s="11">
        <v>578</v>
      </c>
      <c r="H5989" s="11">
        <v>601</v>
      </c>
      <c r="I5989" s="11">
        <v>0</v>
      </c>
      <c r="J5989" s="11">
        <v>0</v>
      </c>
      <c r="K5989" s="11" t="s">
        <v>21</v>
      </c>
      <c r="L5989" s="7">
        <v>39857.925844907411</v>
      </c>
      <c r="M5989" s="12" t="s">
        <v>6661</v>
      </c>
      <c r="N5989" s="12" t="s">
        <v>6662</v>
      </c>
      <c r="O5989" s="10" t="str">
        <f>HYPERLINK("https://pbs.twimg.com/profile_images/2586380116/image_normal.jpg","View")</f>
        <v>View</v>
      </c>
      <c r="P5989" s="11"/>
    </row>
    <row r="5990" spans="1:16" ht="12.75" x14ac:dyDescent="0.35">
      <c r="A5990" s="7">
        <v>42483.808622685188</v>
      </c>
      <c r="B5990" s="8" t="str">
        <f>HYPERLINK("https://twitter.com/alfabiszetta","@alfabiszetta")</f>
        <v>@alfabiszetta</v>
      </c>
      <c r="C5990" s="9" t="s">
        <v>13634</v>
      </c>
      <c r="D5990" s="9" t="s">
        <v>13635</v>
      </c>
      <c r="E5990" s="10" t="str">
        <f>HYPERLINK("https://twitter.com/alfabiszetta/status/723872658585165824","723872658585165824")</f>
        <v>723872658585165824</v>
      </c>
      <c r="F5990" s="11" t="s">
        <v>114</v>
      </c>
      <c r="G5990" s="11">
        <v>2</v>
      </c>
      <c r="H5990" s="11">
        <v>16</v>
      </c>
      <c r="I5990" s="11">
        <v>0</v>
      </c>
      <c r="J5990" s="11">
        <v>0</v>
      </c>
      <c r="K5990" s="11" t="s">
        <v>21</v>
      </c>
      <c r="L5990" s="7">
        <v>42479.244537037041</v>
      </c>
      <c r="M5990" s="12" t="s">
        <v>13636</v>
      </c>
      <c r="N5990" s="12"/>
      <c r="O5990" s="10" t="str">
        <f>HYPERLINK("https://pbs.twimg.com/profile_images/722221150957387776/EnN2RL7C_normal.jpg","View")</f>
        <v>View</v>
      </c>
      <c r="P5990" s="11"/>
    </row>
    <row r="5991" spans="1:16" ht="12.75" x14ac:dyDescent="0.35">
      <c r="A5991" s="7">
        <v>42483.809201388889</v>
      </c>
      <c r="B5991" s="8" t="str">
        <f>HYPERLINK("https://twitter.com/SAMBeastDavid","@SAMBeastDavid")</f>
        <v>@SAMBeastDavid</v>
      </c>
      <c r="C5991" s="9" t="s">
        <v>1102</v>
      </c>
      <c r="D5991" s="9" t="s">
        <v>13637</v>
      </c>
      <c r="E5991" s="10" t="str">
        <f>HYPERLINK("https://twitter.com/SAMBeastDavid/status/723872868837240832","723872868837240832")</f>
        <v>723872868837240832</v>
      </c>
      <c r="F5991" s="11" t="s">
        <v>152</v>
      </c>
      <c r="G5991" s="11">
        <v>746</v>
      </c>
      <c r="H5991" s="11">
        <v>67</v>
      </c>
      <c r="I5991" s="11">
        <v>0</v>
      </c>
      <c r="J5991" s="11">
        <v>0</v>
      </c>
      <c r="K5991" s="11" t="s">
        <v>21</v>
      </c>
      <c r="L5991" s="7">
        <v>41587.819421296299</v>
      </c>
      <c r="M5991" s="12" t="s">
        <v>13638</v>
      </c>
      <c r="N5991" s="12" t="s">
        <v>13639</v>
      </c>
      <c r="O5991" s="10" t="str">
        <f>HYPERLINK("https://pbs.twimg.com/profile_images/653304712834469890/V9tqCgWT_normal.jpg","View")</f>
        <v>View</v>
      </c>
      <c r="P5991" s="11"/>
    </row>
    <row r="5992" spans="1:16" ht="12.75" x14ac:dyDescent="0.35">
      <c r="A5992" s="7">
        <v>42483.810428240744</v>
      </c>
      <c r="B5992" s="8" t="str">
        <f>HYPERLINK("https://twitter.com/swanswaygroup","@swanswaygroup")</f>
        <v>@swanswaygroup</v>
      </c>
      <c r="C5992" s="9" t="s">
        <v>2558</v>
      </c>
      <c r="D5992" s="9" t="s">
        <v>13640</v>
      </c>
      <c r="E5992" s="10" t="str">
        <f>HYPERLINK("https://twitter.com/swanswaygroup/status/723873315220148225","723873315220148225")</f>
        <v>723873315220148225</v>
      </c>
      <c r="F5992" s="11" t="s">
        <v>140</v>
      </c>
      <c r="G5992" s="11">
        <v>6201</v>
      </c>
      <c r="H5992" s="11">
        <v>4451</v>
      </c>
      <c r="I5992" s="11">
        <v>0</v>
      </c>
      <c r="J5992" s="11">
        <v>0</v>
      </c>
      <c r="K5992" s="11" t="s">
        <v>21</v>
      </c>
      <c r="L5992" s="7">
        <v>40137.651365740741</v>
      </c>
      <c r="M5992" s="12" t="s">
        <v>2560</v>
      </c>
      <c r="N5992" s="12" t="s">
        <v>2561</v>
      </c>
      <c r="O5992" s="10" t="str">
        <f>HYPERLINK("https://pbs.twimg.com/profile_images/552037189328982016/r65JRGTS_normal.jpeg","View")</f>
        <v>View</v>
      </c>
      <c r="P5992" s="11"/>
    </row>
    <row r="5993" spans="1:16" ht="12.75" x14ac:dyDescent="0.35">
      <c r="A5993" s="7">
        <v>42483.810439814813</v>
      </c>
      <c r="B5993" s="8" t="str">
        <f>HYPERLINK("https://twitter.com/vwvanspreston","@vwvanspreston")</f>
        <v>@vwvanspreston</v>
      </c>
      <c r="C5993" s="9" t="s">
        <v>13641</v>
      </c>
      <c r="D5993" s="9" t="s">
        <v>13642</v>
      </c>
      <c r="E5993" s="10" t="str">
        <f>HYPERLINK("https://twitter.com/vwvanspreston/status/723873317275328514","723873317275328514")</f>
        <v>723873317275328514</v>
      </c>
      <c r="F5993" s="11" t="s">
        <v>140</v>
      </c>
      <c r="G5993" s="11">
        <v>902</v>
      </c>
      <c r="H5993" s="11">
        <v>767</v>
      </c>
      <c r="I5993" s="11">
        <v>0</v>
      </c>
      <c r="J5993" s="11">
        <v>0</v>
      </c>
      <c r="K5993" s="11" t="s">
        <v>21</v>
      </c>
      <c r="L5993" s="7">
        <v>40276.669166666667</v>
      </c>
      <c r="M5993" s="12" t="s">
        <v>129</v>
      </c>
      <c r="N5993" s="12" t="s">
        <v>13643</v>
      </c>
      <c r="O5993" s="10" t="str">
        <f>HYPERLINK("https://pbs.twimg.com/profile_images/488711298692034561/a6Hw8Ko-_normal.jpeg","View")</f>
        <v>View</v>
      </c>
      <c r="P5993" s="11"/>
    </row>
    <row r="5994" spans="1:16" ht="12.75" x14ac:dyDescent="0.35">
      <c r="A5994" s="7">
        <v>42483.811354166668</v>
      </c>
      <c r="B5994" s="8" t="str">
        <f>HYPERLINK("https://twitter.com/PheonixJane","@PheonixJane")</f>
        <v>@PheonixJane</v>
      </c>
      <c r="C5994" s="9" t="s">
        <v>13644</v>
      </c>
      <c r="D5994" s="9" t="s">
        <v>13645</v>
      </c>
      <c r="E5994" s="10" t="str">
        <f>HYPERLINK("https://twitter.com/PheonixJane/status/723873649585971201","723873649585971201")</f>
        <v>723873649585971201</v>
      </c>
      <c r="F5994" s="11" t="s">
        <v>48</v>
      </c>
      <c r="G5994" s="11">
        <v>194</v>
      </c>
      <c r="H5994" s="11">
        <v>230</v>
      </c>
      <c r="I5994" s="11">
        <v>0</v>
      </c>
      <c r="J5994" s="11">
        <v>0</v>
      </c>
      <c r="K5994" s="11" t="s">
        <v>21</v>
      </c>
      <c r="L5994" s="7">
        <v>41601.53396990741</v>
      </c>
      <c r="M5994" s="12" t="s">
        <v>13646</v>
      </c>
      <c r="N5994" s="12" t="s">
        <v>13647</v>
      </c>
      <c r="O5994" s="10" t="str">
        <f>HYPERLINK("https://pbs.twimg.com/profile_images/674456186159276032/s6_5pnsh_normal.jpg","View")</f>
        <v>View</v>
      </c>
      <c r="P5994" s="11"/>
    </row>
    <row r="5995" spans="1:16" ht="12.75" x14ac:dyDescent="0.35">
      <c r="A5995" s="7">
        <v>42483.812962962962</v>
      </c>
      <c r="B5995" s="8" t="str">
        <f>HYPERLINK("https://twitter.com/acvwpassion","@acvwpassion")</f>
        <v>@acvwpassion</v>
      </c>
      <c r="C5995" s="9" t="s">
        <v>4671</v>
      </c>
      <c r="D5995" s="9" t="s">
        <v>13648</v>
      </c>
      <c r="E5995" s="10" t="str">
        <f>HYPERLINK("https://twitter.com/acvwpassion/status/723874232434843648","723874232434843648")</f>
        <v>723874232434843648</v>
      </c>
      <c r="F5995" s="11" t="s">
        <v>152</v>
      </c>
      <c r="G5995" s="11">
        <v>241</v>
      </c>
      <c r="H5995" s="11">
        <v>409</v>
      </c>
      <c r="I5995" s="11">
        <v>0</v>
      </c>
      <c r="J5995" s="11">
        <v>0</v>
      </c>
      <c r="K5995" s="11" t="s">
        <v>21</v>
      </c>
      <c r="L5995" s="7">
        <v>41989.101851851854</v>
      </c>
      <c r="M5995" s="12" t="s">
        <v>4673</v>
      </c>
      <c r="N5995" s="12" t="s">
        <v>4674</v>
      </c>
      <c r="O5995" s="10" t="str">
        <f>HYPERLINK("https://pbs.twimg.com/profile_images/545688359964651520/SF3sJ7lv_normal.jpeg","View")</f>
        <v>View</v>
      </c>
      <c r="P5995" s="11"/>
    </row>
    <row r="5996" spans="1:16" ht="12.75" x14ac:dyDescent="0.35">
      <c r="A5996" s="7">
        <v>42483.813043981485</v>
      </c>
      <c r="B5996" s="8" t="str">
        <f>HYPERLINK("https://twitter.com/carolinepedler","@carolinepedler")</f>
        <v>@carolinepedler</v>
      </c>
      <c r="C5996" s="9" t="s">
        <v>13649</v>
      </c>
      <c r="D5996" s="9" t="s">
        <v>13650</v>
      </c>
      <c r="E5996" s="10" t="str">
        <f>HYPERLINK("https://twitter.com/carolinepedler/status/723874259408420864","723874259408420864")</f>
        <v>723874259408420864</v>
      </c>
      <c r="F5996" s="11" t="s">
        <v>114</v>
      </c>
      <c r="G5996" s="11">
        <v>518</v>
      </c>
      <c r="H5996" s="11">
        <v>424</v>
      </c>
      <c r="I5996" s="11">
        <v>0</v>
      </c>
      <c r="J5996" s="11">
        <v>0</v>
      </c>
      <c r="K5996" s="11" t="s">
        <v>21</v>
      </c>
      <c r="L5996" s="7">
        <v>40834.01222222222</v>
      </c>
      <c r="M5996" s="12" t="s">
        <v>13651</v>
      </c>
      <c r="N5996" s="12" t="s">
        <v>13652</v>
      </c>
      <c r="O5996" s="10" t="str">
        <f>HYPERLINK("https://pbs.twimg.com/profile_images/378800000085640419/5a1f5f1175065b21acf37ad3ded72eaa_normal.png","View")</f>
        <v>View</v>
      </c>
      <c r="P5996" s="11"/>
    </row>
    <row r="5997" spans="1:16" ht="12.75" x14ac:dyDescent="0.35">
      <c r="A5997" s="7">
        <v>42483.813113425931</v>
      </c>
      <c r="B5997" s="8" t="str">
        <f>HYPERLINK("https://twitter.com/whats_live","@whats_live")</f>
        <v>@whats_live</v>
      </c>
      <c r="C5997" s="9" t="s">
        <v>13653</v>
      </c>
      <c r="D5997" s="9" t="s">
        <v>13654</v>
      </c>
      <c r="E5997" s="10" t="str">
        <f>HYPERLINK("https://twitter.com/whats_live/status/723874285429903364","723874285429903364")</f>
        <v>723874285429903364</v>
      </c>
      <c r="F5997" s="11" t="s">
        <v>152</v>
      </c>
      <c r="G5997" s="11">
        <v>277</v>
      </c>
      <c r="H5997" s="11">
        <v>320</v>
      </c>
      <c r="I5997" s="11">
        <v>0</v>
      </c>
      <c r="J5997" s="11">
        <v>0</v>
      </c>
      <c r="K5997" s="11" t="s">
        <v>21</v>
      </c>
      <c r="L5997" s="7">
        <v>42121.851030092592</v>
      </c>
      <c r="M5997" s="12" t="s">
        <v>13655</v>
      </c>
      <c r="N5997" s="12" t="s">
        <v>13656</v>
      </c>
      <c r="O5997" s="10" t="str">
        <f>HYPERLINK("https://pbs.twimg.com/profile_images/600965523518566400/l0bcJH8l_normal.jpg","View")</f>
        <v>View</v>
      </c>
      <c r="P5997" s="11"/>
    </row>
    <row r="5998" spans="1:16" ht="12.75" x14ac:dyDescent="0.35">
      <c r="A5998" s="7">
        <v>42483.813206018516</v>
      </c>
      <c r="B5998" s="8" t="str">
        <f>HYPERLINK("https://twitter.com/FletcherJonesVW","@FletcherJonesVW")</f>
        <v>@FletcherJonesVW</v>
      </c>
      <c r="C5998" s="9" t="s">
        <v>13657</v>
      </c>
      <c r="D5998" s="9" t="s">
        <v>13658</v>
      </c>
      <c r="E5998" s="10" t="str">
        <f>HYPERLINK("https://twitter.com/FletcherJonesVW/status/723874321559617536","723874321559617536")</f>
        <v>723874321559617536</v>
      </c>
      <c r="F5998" s="11" t="s">
        <v>152</v>
      </c>
      <c r="G5998" s="11">
        <v>113</v>
      </c>
      <c r="H5998" s="11">
        <v>195</v>
      </c>
      <c r="I5998" s="11">
        <v>0</v>
      </c>
      <c r="J5998" s="11">
        <v>0</v>
      </c>
      <c r="K5998" s="11" t="s">
        <v>21</v>
      </c>
      <c r="L5998" s="7">
        <v>40731.222824074073</v>
      </c>
      <c r="M5998" s="12" t="s">
        <v>13659</v>
      </c>
      <c r="N5998" s="12" t="s">
        <v>13660</v>
      </c>
      <c r="O5998" s="10" t="str">
        <f>HYPERLINK("https://pbs.twimg.com/profile_images/583306350760984576/2RP-_qOY_normal.jpg","View")</f>
        <v>View</v>
      </c>
      <c r="P5998" s="11"/>
    </row>
    <row r="5999" spans="1:16" ht="12.75" x14ac:dyDescent="0.35">
      <c r="A5999" s="7">
        <v>42483.813252314816</v>
      </c>
      <c r="B5999" s="8" t="str">
        <f>HYPERLINK("https://twitter.com/fjchicago","@fjchicago")</f>
        <v>@fjchicago</v>
      </c>
      <c r="C5999" s="9" t="s">
        <v>13661</v>
      </c>
      <c r="D5999" s="9" t="s">
        <v>13662</v>
      </c>
      <c r="E5999" s="10" t="str">
        <f>HYPERLINK("https://twitter.com/fjchicago/status/723874334817837056","723874334817837056")</f>
        <v>723874334817837056</v>
      </c>
      <c r="F5999" s="11" t="s">
        <v>53</v>
      </c>
      <c r="G5999" s="11">
        <v>72</v>
      </c>
      <c r="H5999" s="11">
        <v>1</v>
      </c>
      <c r="I5999" s="11">
        <v>0</v>
      </c>
      <c r="J5999" s="11">
        <v>0</v>
      </c>
      <c r="K5999" s="11" t="s">
        <v>21</v>
      </c>
      <c r="L5999" s="7">
        <v>40121.945150462961</v>
      </c>
      <c r="M5999" s="12" t="s">
        <v>13663</v>
      </c>
      <c r="N5999" s="12" t="s">
        <v>13664</v>
      </c>
      <c r="O5999" s="10" t="str">
        <f>HYPERLINK("https://pbs.twimg.com/profile_images/510776626/fj_thumb_final_normal.jpg","View")</f>
        <v>View</v>
      </c>
      <c r="P5999" s="11"/>
    </row>
    <row r="6000" spans="1:16" ht="12.75" x14ac:dyDescent="0.35">
      <c r="A6000" s="7">
        <v>42483.813877314809</v>
      </c>
      <c r="B6000" s="8" t="str">
        <f>HYPERLINK("https://twitter.com/PheonixJane","@PheonixJane")</f>
        <v>@PheonixJane</v>
      </c>
      <c r="C6000" s="9" t="s">
        <v>13644</v>
      </c>
      <c r="D6000" s="9" t="s">
        <v>13665</v>
      </c>
      <c r="E6000" s="10" t="str">
        <f>HYPERLINK("https://twitter.com/PheonixJane/status/723874563428331520","723874563428331520")</f>
        <v>723874563428331520</v>
      </c>
      <c r="F6000" s="11" t="s">
        <v>48</v>
      </c>
      <c r="G6000" s="11">
        <v>194</v>
      </c>
      <c r="H6000" s="11">
        <v>230</v>
      </c>
      <c r="I6000" s="11">
        <v>0</v>
      </c>
      <c r="J6000" s="11">
        <v>0</v>
      </c>
      <c r="K6000" s="11" t="s">
        <v>21</v>
      </c>
      <c r="L6000" s="7">
        <v>41601.53396990741</v>
      </c>
      <c r="M6000" s="12" t="s">
        <v>13646</v>
      </c>
      <c r="N6000" s="12" t="s">
        <v>13647</v>
      </c>
      <c r="O6000" s="10" t="str">
        <f>HYPERLINK("https://pbs.twimg.com/profile_images/674456186159276032/s6_5pnsh_normal.jpg","View")</f>
        <v>View</v>
      </c>
      <c r="P6000" s="11"/>
    </row>
    <row r="6001" spans="1:16" ht="12.75" x14ac:dyDescent="0.35">
      <c r="A6001" s="7">
        <v>42483.813981481479</v>
      </c>
      <c r="B6001" s="8" t="str">
        <f>HYPERLINK("https://twitter.com/startmakkelijk","@startmakkelijk")</f>
        <v>@startmakkelijk</v>
      </c>
      <c r="C6001" s="9" t="s">
        <v>4648</v>
      </c>
      <c r="D6001" s="9" t="s">
        <v>13666</v>
      </c>
      <c r="E6001" s="10" t="str">
        <f>HYPERLINK("https://twitter.com/startmakkelijk/status/723874600824643584","723874600824643584")</f>
        <v>723874600824643584</v>
      </c>
      <c r="F6001" s="10" t="s">
        <v>124</v>
      </c>
      <c r="G6001" s="11">
        <v>3832</v>
      </c>
      <c r="H6001" s="11">
        <v>4634</v>
      </c>
      <c r="I6001" s="11">
        <v>0</v>
      </c>
      <c r="J6001" s="11">
        <v>0</v>
      </c>
      <c r="K6001" s="11" t="s">
        <v>21</v>
      </c>
      <c r="L6001" s="7">
        <v>41892.722395833334</v>
      </c>
      <c r="M6001" s="12"/>
      <c r="N6001" s="12" t="s">
        <v>4650</v>
      </c>
      <c r="O6001" s="10" t="str">
        <f>HYPERLINK("https://pbs.twimg.com/profile_images/556562408542445568/pKWad79S_normal.png","View")</f>
        <v>View</v>
      </c>
      <c r="P6001" s="11"/>
    </row>
    <row r="6002" spans="1:16" ht="12.75" x14ac:dyDescent="0.35">
      <c r="A6002" s="7">
        <v>42483.813981481479</v>
      </c>
      <c r="B6002" s="8" t="str">
        <f>HYPERLINK("https://twitter.com/JosBosboom_","@JosBosboom_")</f>
        <v>@JosBosboom_</v>
      </c>
      <c r="C6002" s="9" t="s">
        <v>4644</v>
      </c>
      <c r="D6002" s="9" t="s">
        <v>13667</v>
      </c>
      <c r="E6002" s="10" t="str">
        <f>HYPERLINK("https://twitter.com/JosBosboom_/status/723874601076289542","723874601076289542")</f>
        <v>723874601076289542</v>
      </c>
      <c r="F6002" s="10" t="s">
        <v>124</v>
      </c>
      <c r="G6002" s="11">
        <v>11664</v>
      </c>
      <c r="H6002" s="11">
        <v>10982</v>
      </c>
      <c r="I6002" s="11">
        <v>0</v>
      </c>
      <c r="J6002" s="11">
        <v>0</v>
      </c>
      <c r="K6002" s="11" t="s">
        <v>21</v>
      </c>
      <c r="L6002" s="7">
        <v>40331.550509259258</v>
      </c>
      <c r="M6002" s="12" t="s">
        <v>4646</v>
      </c>
      <c r="N6002" s="12" t="s">
        <v>4647</v>
      </c>
      <c r="O6002" s="10" t="str">
        <f>HYPERLINK("https://pbs.twimg.com/profile_images/570893108095639552/IiOlHTmM_normal.jpeg","View")</f>
        <v>View</v>
      </c>
      <c r="P6002" s="11"/>
    </row>
    <row r="6003" spans="1:16" ht="12.75" x14ac:dyDescent="0.35">
      <c r="A6003" s="7">
        <v>42483.814629629633</v>
      </c>
      <c r="B6003" s="8" t="str">
        <f>HYPERLINK("https://twitter.com/VWBeetleSales","@VWBeetleSales")</f>
        <v>@VWBeetleSales</v>
      </c>
      <c r="C6003" s="9" t="s">
        <v>127</v>
      </c>
      <c r="D6003" s="9" t="s">
        <v>13668</v>
      </c>
      <c r="E6003" s="10" t="str">
        <f>HYPERLINK("https://twitter.com/VWBeetleSales/status/723874835609198594","723874835609198594")</f>
        <v>723874835609198594</v>
      </c>
      <c r="F6003" s="10" t="s">
        <v>124</v>
      </c>
      <c r="G6003" s="11">
        <v>36</v>
      </c>
      <c r="H6003" s="11">
        <v>32</v>
      </c>
      <c r="I6003" s="11">
        <v>0</v>
      </c>
      <c r="J6003" s="11">
        <v>0</v>
      </c>
      <c r="K6003" s="11" t="s">
        <v>21</v>
      </c>
      <c r="L6003" s="7">
        <v>42427.019756944443</v>
      </c>
      <c r="M6003" s="12" t="s">
        <v>129</v>
      </c>
      <c r="N6003" s="12" t="s">
        <v>130</v>
      </c>
      <c r="O6003" s="10" t="str">
        <f>HYPERLINK("https://pbs.twimg.com/profile_images/703294545195307008/qeCvrX86_normal.jpg","View")</f>
        <v>View</v>
      </c>
      <c r="P6003" s="11"/>
    </row>
    <row r="6004" spans="1:16" ht="12.75" x14ac:dyDescent="0.35">
      <c r="A6004" s="7">
        <v>42483.817997685182</v>
      </c>
      <c r="B6004" s="8" t="str">
        <f>HYPERLINK("https://twitter.com/krazykayjun","@krazykayjun")</f>
        <v>@krazykayjun</v>
      </c>
      <c r="C6004" s="9" t="s">
        <v>13306</v>
      </c>
      <c r="D6004" s="9" t="s">
        <v>13669</v>
      </c>
      <c r="E6004" s="10" t="str">
        <f>HYPERLINK("https://twitter.com/krazykayjun/status/723876056801792000","723876056801792000")</f>
        <v>723876056801792000</v>
      </c>
      <c r="F6004" s="11" t="s">
        <v>20</v>
      </c>
      <c r="G6004" s="11">
        <v>171</v>
      </c>
      <c r="H6004" s="11">
        <v>573</v>
      </c>
      <c r="I6004" s="11">
        <v>0</v>
      </c>
      <c r="J6004" s="11">
        <v>0</v>
      </c>
      <c r="K6004" s="11" t="s">
        <v>21</v>
      </c>
      <c r="L6004" s="7">
        <v>39964.92392361111</v>
      </c>
      <c r="M6004" s="12" t="s">
        <v>13308</v>
      </c>
      <c r="N6004" s="12" t="s">
        <v>13309</v>
      </c>
      <c r="O6004" s="10" t="str">
        <f>HYPERLINK("https://pbs.twimg.com/profile_images/475463102277091328/MvEJwQyx_normal.jpeg","View")</f>
        <v>View</v>
      </c>
      <c r="P6004" s="11"/>
    </row>
    <row r="6005" spans="1:16" ht="12.75" x14ac:dyDescent="0.35">
      <c r="A6005" s="7">
        <v>42483.818229166667</v>
      </c>
      <c r="B6005" s="8" t="str">
        <f>HYPERLINK("https://twitter.com/crissshidalgo","@crissshidalgo")</f>
        <v>@crissshidalgo</v>
      </c>
      <c r="C6005" s="9" t="s">
        <v>13670</v>
      </c>
      <c r="D6005" s="9" t="s">
        <v>13671</v>
      </c>
      <c r="E6005" s="10" t="str">
        <f>HYPERLINK("https://twitter.com/crissshidalgo/status/723876141153423360","723876141153423360")</f>
        <v>723876141153423360</v>
      </c>
      <c r="F6005" s="11" t="s">
        <v>114</v>
      </c>
      <c r="G6005" s="11">
        <v>316</v>
      </c>
      <c r="H6005" s="11">
        <v>256</v>
      </c>
      <c r="I6005" s="11">
        <v>0</v>
      </c>
      <c r="J6005" s="11">
        <v>0</v>
      </c>
      <c r="K6005" s="11" t="s">
        <v>21</v>
      </c>
      <c r="L6005" s="7">
        <v>42149.255914351852</v>
      </c>
      <c r="M6005" s="12" t="s">
        <v>13672</v>
      </c>
      <c r="N6005" s="12" t="s">
        <v>13673</v>
      </c>
      <c r="O6005" s="10" t="str">
        <f>HYPERLINK("https://pbs.twimg.com/profile_images/720097053217579008/yUEHosni_normal.jpg","View")</f>
        <v>View</v>
      </c>
      <c r="P6005" s="10" t="str">
        <f>HYPERLINK("http://ctrlq.org/maps/address/#-34.66666667,-58.66666667","Map")</f>
        <v>Map</v>
      </c>
    </row>
    <row r="6006" spans="1:16" ht="12.75" x14ac:dyDescent="0.35">
      <c r="A6006" s="7">
        <v>42483.818923611107</v>
      </c>
      <c r="B6006" s="8" t="str">
        <f>HYPERLINK("https://twitter.com/Adi7r","@Adi7r")</f>
        <v>@Adi7r</v>
      </c>
      <c r="C6006" s="9" t="s">
        <v>13674</v>
      </c>
      <c r="D6006" s="9" t="s">
        <v>13150</v>
      </c>
      <c r="E6006" s="10" t="str">
        <f>HYPERLINK("https://twitter.com/Adi7r/status/723876390643351552","723876390643351552")</f>
        <v>723876390643351552</v>
      </c>
      <c r="F6006" s="11" t="s">
        <v>48</v>
      </c>
      <c r="G6006" s="11">
        <v>202</v>
      </c>
      <c r="H6006" s="11">
        <v>880</v>
      </c>
      <c r="I6006" s="11">
        <v>23</v>
      </c>
      <c r="J6006" s="11">
        <v>0</v>
      </c>
      <c r="K6006" s="11" t="s">
        <v>21</v>
      </c>
      <c r="L6006" s="7">
        <v>39861.59207175926</v>
      </c>
      <c r="M6006" s="12" t="s">
        <v>13675</v>
      </c>
      <c r="N6006" s="12"/>
      <c r="O6006" s="10" t="str">
        <f>HYPERLINK("https://pbs.twimg.com/profile_images/707565238611271682/vuZJROIH_normal.jpg","View")</f>
        <v>View</v>
      </c>
      <c r="P6006" s="11"/>
    </row>
    <row r="6007" spans="1:16" ht="12.75" x14ac:dyDescent="0.35">
      <c r="A6007" s="7">
        <v>42483.819074074076</v>
      </c>
      <c r="B6007" s="8" t="str">
        <f>HYPERLINK("https://twitter.com/WhichUK","@WhichUK")</f>
        <v>@WhichUK</v>
      </c>
      <c r="C6007" s="9" t="s">
        <v>13676</v>
      </c>
      <c r="D6007" s="9" t="s">
        <v>12813</v>
      </c>
      <c r="E6007" s="10" t="str">
        <f>HYPERLINK("https://twitter.com/WhichUK/status/723876448499580929","723876448499580929")</f>
        <v>723876448499580929</v>
      </c>
      <c r="F6007" s="11" t="s">
        <v>20</v>
      </c>
      <c r="G6007" s="11">
        <v>32388</v>
      </c>
      <c r="H6007" s="11">
        <v>838</v>
      </c>
      <c r="I6007" s="11">
        <v>7</v>
      </c>
      <c r="J6007" s="11">
        <v>0</v>
      </c>
      <c r="K6007" s="11" t="s">
        <v>21</v>
      </c>
      <c r="L6007" s="7">
        <v>39856.691493055558</v>
      </c>
      <c r="M6007" s="12" t="s">
        <v>35</v>
      </c>
      <c r="N6007" s="12" t="s">
        <v>13677</v>
      </c>
      <c r="O6007" s="10" t="str">
        <f>HYPERLINK("https://pbs.twimg.com/profile_images/608651059893030912/tjbUr7l5_normal.png","View")</f>
        <v>View</v>
      </c>
      <c r="P6007" s="11"/>
    </row>
    <row r="6008" spans="1:16" ht="12.75" x14ac:dyDescent="0.35">
      <c r="A6008" s="7">
        <v>42483.819120370375</v>
      </c>
      <c r="B6008" s="8" t="str">
        <f>HYPERLINK("https://twitter.com/JayRHenley","@JayRHenley")</f>
        <v>@JayRHenley</v>
      </c>
      <c r="C6008" s="9" t="s">
        <v>13678</v>
      </c>
      <c r="D6008" s="9" t="s">
        <v>13679</v>
      </c>
      <c r="E6008" s="10" t="str">
        <f>HYPERLINK("https://twitter.com/JayRHenley/status/723876462156197888","723876462156197888")</f>
        <v>723876462156197888</v>
      </c>
      <c r="F6008" s="11" t="s">
        <v>80</v>
      </c>
      <c r="G6008" s="11">
        <v>1601</v>
      </c>
      <c r="H6008" s="11">
        <v>2136</v>
      </c>
      <c r="I6008" s="11">
        <v>0</v>
      </c>
      <c r="J6008" s="11">
        <v>0</v>
      </c>
      <c r="K6008" s="11" t="s">
        <v>21</v>
      </c>
      <c r="L6008" s="7">
        <v>40077.107708333337</v>
      </c>
      <c r="M6008" s="12" t="s">
        <v>13680</v>
      </c>
      <c r="N6008" s="12" t="s">
        <v>13681</v>
      </c>
      <c r="O6008" s="10" t="str">
        <f>HYPERLINK("https://pbs.twimg.com/profile_images/683188363030085633/DHnXAkxL_normal.jpg","View")</f>
        <v>View</v>
      </c>
      <c r="P6008" s="11"/>
    </row>
    <row r="6009" spans="1:16" ht="12.75" x14ac:dyDescent="0.35">
      <c r="A6009" s="7">
        <v>42483.821296296301</v>
      </c>
      <c r="B6009" s="8" t="str">
        <f>HYPERLINK("https://twitter.com/VolkswagenPost","@VolkswagenPost")</f>
        <v>@VolkswagenPost</v>
      </c>
      <c r="C6009" s="9" t="s">
        <v>321</v>
      </c>
      <c r="D6009" s="9" t="s">
        <v>13682</v>
      </c>
      <c r="E6009" s="10" t="str">
        <f>HYPERLINK("https://twitter.com/VolkswagenPost/status/723877252535050242","723877252535050242")</f>
        <v>723877252535050242</v>
      </c>
      <c r="F6009" s="11" t="s">
        <v>288</v>
      </c>
      <c r="G6009" s="11">
        <v>570</v>
      </c>
      <c r="H6009" s="11">
        <v>446</v>
      </c>
      <c r="I6009" s="11">
        <v>1</v>
      </c>
      <c r="J6009" s="11">
        <v>0</v>
      </c>
      <c r="K6009" s="11" t="s">
        <v>21</v>
      </c>
      <c r="L6009" s="7">
        <v>41940.618379629632</v>
      </c>
      <c r="M6009" s="12"/>
      <c r="N6009" s="12"/>
      <c r="O6009" s="10" t="str">
        <f>HYPERLINK("https://pbs.twimg.com/profile_images/530071272881803264/a_jcCmPZ_normal.png","View")</f>
        <v>View</v>
      </c>
      <c r="P6009" s="11"/>
    </row>
    <row r="6010" spans="1:16" ht="12.75" x14ac:dyDescent="0.35">
      <c r="A6010" s="7">
        <v>42483.822974537034</v>
      </c>
      <c r="B6010" s="8" t="str">
        <f>HYPERLINK("https://twitter.com/Giustozziauto","@Giustozziauto")</f>
        <v>@Giustozziauto</v>
      </c>
      <c r="C6010" s="9" t="s">
        <v>7433</v>
      </c>
      <c r="D6010" s="9" t="s">
        <v>13683</v>
      </c>
      <c r="E6010" s="10" t="str">
        <f>HYPERLINK("https://twitter.com/Giustozziauto/status/723877861640146945","723877861640146945")</f>
        <v>723877861640146945</v>
      </c>
      <c r="F6010" s="11" t="s">
        <v>63</v>
      </c>
      <c r="G6010" s="11">
        <v>966</v>
      </c>
      <c r="H6010" s="11">
        <v>1383</v>
      </c>
      <c r="I6010" s="11">
        <v>0</v>
      </c>
      <c r="J6010" s="11">
        <v>0</v>
      </c>
      <c r="K6010" s="11" t="s">
        <v>21</v>
      </c>
      <c r="L6010" s="7">
        <v>40132.649050925924</v>
      </c>
      <c r="M6010" s="12" t="s">
        <v>7434</v>
      </c>
      <c r="N6010" s="12" t="s">
        <v>7435</v>
      </c>
      <c r="O6010" s="10" t="str">
        <f>HYPERLINK("https://pbs.twimg.com/profile_images/602784795119190016/VyaVwPXK_normal.jpg","View")</f>
        <v>View</v>
      </c>
      <c r="P6010" s="11"/>
    </row>
    <row r="6011" spans="1:16" ht="12.75" x14ac:dyDescent="0.35">
      <c r="A6011" s="7">
        <v>42483.824178240742</v>
      </c>
      <c r="B6011" s="8" t="str">
        <f>HYPERLINK("https://twitter.com/umitzeyrek","@umitzeyrek")</f>
        <v>@umitzeyrek</v>
      </c>
      <c r="C6011" s="9" t="s">
        <v>13684</v>
      </c>
      <c r="D6011" s="9" t="s">
        <v>13685</v>
      </c>
      <c r="E6011" s="10" t="str">
        <f>HYPERLINK("https://twitter.com/umitzeyrek/status/723878296308580353","723878296308580353")</f>
        <v>723878296308580353</v>
      </c>
      <c r="F6011" s="11" t="s">
        <v>13686</v>
      </c>
      <c r="G6011" s="11">
        <v>444</v>
      </c>
      <c r="H6011" s="11">
        <v>1626</v>
      </c>
      <c r="I6011" s="11">
        <v>0</v>
      </c>
      <c r="J6011" s="11">
        <v>0</v>
      </c>
      <c r="K6011" s="11" t="s">
        <v>21</v>
      </c>
      <c r="L6011" s="7">
        <v>40308.545451388891</v>
      </c>
      <c r="M6011" s="12"/>
      <c r="N6011" s="12" t="s">
        <v>13687</v>
      </c>
      <c r="O6011" s="10" t="str">
        <f>HYPERLINK("https://pbs.twimg.com/profile_images/521442539287506945/Sq9vADfR_normal.jpeg","View")</f>
        <v>View</v>
      </c>
      <c r="P6011" s="11"/>
    </row>
    <row r="6012" spans="1:16" ht="12.75" x14ac:dyDescent="0.35">
      <c r="A6012" s="7">
        <v>42483.826006944444</v>
      </c>
      <c r="B6012" s="8" t="str">
        <f>HYPERLINK("https://twitter.com/StephanKrull","@StephanKrull")</f>
        <v>@StephanKrull</v>
      </c>
      <c r="C6012" s="9" t="s">
        <v>8307</v>
      </c>
      <c r="D6012" s="9" t="s">
        <v>13688</v>
      </c>
      <c r="E6012" s="10" t="str">
        <f>HYPERLINK("https://twitter.com/StephanKrull/status/723878960078159872","723878960078159872")</f>
        <v>723878960078159872</v>
      </c>
      <c r="F6012" s="11" t="s">
        <v>48</v>
      </c>
      <c r="G6012" s="11">
        <v>91</v>
      </c>
      <c r="H6012" s="11">
        <v>129</v>
      </c>
      <c r="I6012" s="11">
        <v>1</v>
      </c>
      <c r="J6012" s="11">
        <v>0</v>
      </c>
      <c r="K6012" s="11" t="s">
        <v>21</v>
      </c>
      <c r="L6012" s="7">
        <v>41721.974525462967</v>
      </c>
      <c r="M6012" s="12"/>
      <c r="N6012" s="12" t="s">
        <v>8308</v>
      </c>
      <c r="O6012" s="10" t="str">
        <f>HYPERLINK("https://pbs.twimg.com/profile_images/561650835038298112/jX4E_neH_normal.jpeg","View")</f>
        <v>View</v>
      </c>
      <c r="P6012" s="11"/>
    </row>
    <row r="6013" spans="1:16" ht="12.75" x14ac:dyDescent="0.35">
      <c r="A6013" s="7">
        <v>42483.82603009259</v>
      </c>
      <c r="B6013" s="8" t="str">
        <f>HYPERLINK("https://twitter.com/AlpinumIm","@AlpinumIm")</f>
        <v>@AlpinumIm</v>
      </c>
      <c r="C6013" s="9" t="s">
        <v>13689</v>
      </c>
      <c r="D6013" s="9" t="s">
        <v>13690</v>
      </c>
      <c r="E6013" s="10" t="str">
        <f>HYPERLINK("https://twitter.com/AlpinumIm/status/723878965564321792","723878965564321792")</f>
        <v>723878965564321792</v>
      </c>
      <c r="F6013" s="11" t="s">
        <v>20</v>
      </c>
      <c r="G6013" s="11">
        <v>370</v>
      </c>
      <c r="H6013" s="11">
        <v>471</v>
      </c>
      <c r="I6013" s="11">
        <v>0</v>
      </c>
      <c r="J6013" s="11">
        <v>0</v>
      </c>
      <c r="K6013" s="11" t="s">
        <v>21</v>
      </c>
      <c r="L6013" s="7">
        <v>42371.644085648149</v>
      </c>
      <c r="M6013" s="12" t="s">
        <v>13691</v>
      </c>
      <c r="N6013" s="12" t="s">
        <v>13692</v>
      </c>
      <c r="O6013" s="10" t="str">
        <f>HYPERLINK("https://pbs.twimg.com/profile_images/697011934466420739/Y3xIOWMo_normal.png","View")</f>
        <v>View</v>
      </c>
      <c r="P6013" s="11"/>
    </row>
    <row r="6014" spans="1:16" ht="12.75" x14ac:dyDescent="0.35">
      <c r="A6014" s="7">
        <v>42483.826631944445</v>
      </c>
      <c r="B6014" s="8" t="str">
        <f>HYPERLINK("https://twitter.com/chrispillennews","@chrispillennews")</f>
        <v>@chrispillennews</v>
      </c>
      <c r="C6014" s="9" t="s">
        <v>259</v>
      </c>
      <c r="D6014" s="9" t="s">
        <v>260</v>
      </c>
      <c r="E6014" s="10" t="str">
        <f>HYPERLINK("https://twitter.com/chrispillennews/status/723879186482475008","723879186482475008")</f>
        <v>723879186482475008</v>
      </c>
      <c r="F6014" s="11" t="s">
        <v>261</v>
      </c>
      <c r="G6014" s="11">
        <v>149</v>
      </c>
      <c r="H6014" s="11">
        <v>35</v>
      </c>
      <c r="I6014" s="11">
        <v>0</v>
      </c>
      <c r="J6014" s="11">
        <v>0</v>
      </c>
      <c r="K6014" s="11" t="s">
        <v>21</v>
      </c>
      <c r="L6014" s="7">
        <v>40945.596898148149</v>
      </c>
      <c r="M6014" s="12" t="s">
        <v>262</v>
      </c>
      <c r="N6014" s="12" t="s">
        <v>263</v>
      </c>
      <c r="O6014" s="10" t="str">
        <f>HYPERLINK("https://pbs.twimg.com/profile_images/589041144027357185/LMeiK-X6_normal.jpg","View")</f>
        <v>View</v>
      </c>
      <c r="P6014" s="11"/>
    </row>
    <row r="6015" spans="1:16" ht="12.75" x14ac:dyDescent="0.35">
      <c r="A6015" s="7">
        <v>42483.827083333337</v>
      </c>
      <c r="B6015" s="8" t="str">
        <f>HYPERLINK("https://twitter.com/ClassActionsLaw","@ClassActionsLaw")</f>
        <v>@ClassActionsLaw</v>
      </c>
      <c r="C6015" s="9" t="s">
        <v>13693</v>
      </c>
      <c r="D6015" s="9" t="s">
        <v>13694</v>
      </c>
      <c r="E6015" s="10" t="str">
        <f>HYPERLINK("https://twitter.com/ClassActionsLaw/status/723879347682156544","723879347682156544")</f>
        <v>723879347682156544</v>
      </c>
      <c r="F6015" s="11" t="s">
        <v>13695</v>
      </c>
      <c r="G6015" s="11">
        <v>33640</v>
      </c>
      <c r="H6015" s="11">
        <v>7572</v>
      </c>
      <c r="I6015" s="11">
        <v>0</v>
      </c>
      <c r="J6015" s="11">
        <v>0</v>
      </c>
      <c r="K6015" s="11" t="s">
        <v>21</v>
      </c>
      <c r="L6015" s="7">
        <v>41691.258472222224</v>
      </c>
      <c r="M6015" s="12" t="s">
        <v>172</v>
      </c>
      <c r="N6015" s="12" t="s">
        <v>13696</v>
      </c>
      <c r="O6015" s="10" t="str">
        <f>HYPERLINK("https://pbs.twimg.com/profile_images/471351230212501504/x8Z0ncVJ_normal.jpeg","View")</f>
        <v>View</v>
      </c>
      <c r="P6015" s="11"/>
    </row>
    <row r="6016" spans="1:16" ht="12.75" x14ac:dyDescent="0.35">
      <c r="A6016" s="7">
        <v>42483.829884259263</v>
      </c>
      <c r="B6016" s="8" t="str">
        <f>HYPERLINK("https://twitter.com/PheonixJane","@PheonixJane")</f>
        <v>@PheonixJane</v>
      </c>
      <c r="C6016" s="9" t="s">
        <v>13644</v>
      </c>
      <c r="D6016" s="9" t="s">
        <v>13697</v>
      </c>
      <c r="E6016" s="10" t="str">
        <f>HYPERLINK("https://twitter.com/PheonixJane/status/723880363391631360","723880363391631360")</f>
        <v>723880363391631360</v>
      </c>
      <c r="F6016" s="11" t="s">
        <v>48</v>
      </c>
      <c r="G6016" s="11">
        <v>194</v>
      </c>
      <c r="H6016" s="11">
        <v>230</v>
      </c>
      <c r="I6016" s="11">
        <v>0</v>
      </c>
      <c r="J6016" s="11">
        <v>0</v>
      </c>
      <c r="K6016" s="11" t="s">
        <v>21</v>
      </c>
      <c r="L6016" s="7">
        <v>41601.53396990741</v>
      </c>
      <c r="M6016" s="12" t="s">
        <v>13646</v>
      </c>
      <c r="N6016" s="12" t="s">
        <v>13647</v>
      </c>
      <c r="O6016" s="10" t="str">
        <f>HYPERLINK("https://pbs.twimg.com/profile_images/674456186159276032/s6_5pnsh_normal.jpg","View")</f>
        <v>View</v>
      </c>
      <c r="P6016" s="11"/>
    </row>
    <row r="6017" spans="1:16" ht="12.75" x14ac:dyDescent="0.35">
      <c r="A6017" s="7">
        <v>42483.829942129625</v>
      </c>
      <c r="B6017" s="8" t="str">
        <f>HYPERLINK("https://twitter.com/caryelluk","@caryelluk")</f>
        <v>@caryelluk</v>
      </c>
      <c r="C6017" s="9" t="s">
        <v>13566</v>
      </c>
      <c r="D6017" s="9" t="s">
        <v>13698</v>
      </c>
      <c r="E6017" s="10" t="str">
        <f>HYPERLINK("https://twitter.com/caryelluk/status/723880383717101573","723880383717101573")</f>
        <v>723880383717101573</v>
      </c>
      <c r="F6017" s="11" t="s">
        <v>43</v>
      </c>
      <c r="G6017" s="11">
        <v>256</v>
      </c>
      <c r="H6017" s="11">
        <v>709</v>
      </c>
      <c r="I6017" s="11">
        <v>1</v>
      </c>
      <c r="J6017" s="11">
        <v>0</v>
      </c>
      <c r="K6017" s="11" t="s">
        <v>21</v>
      </c>
      <c r="L6017" s="7">
        <v>42403.345486111109</v>
      </c>
      <c r="M6017" s="12" t="s">
        <v>1072</v>
      </c>
      <c r="N6017" s="12" t="s">
        <v>13568</v>
      </c>
      <c r="O6017" s="10" t="str">
        <f>HYPERLINK("https://pbs.twimg.com/profile_images/715332329019994114/CunHJsKm_normal.jpg","View")</f>
        <v>View</v>
      </c>
      <c r="P6017" s="11"/>
    </row>
    <row r="6018" spans="1:16" ht="12.75" x14ac:dyDescent="0.35">
      <c r="A6018" s="7">
        <v>42483.831539351857</v>
      </c>
      <c r="B6018" s="8" t="str">
        <f>HYPERLINK("https://twitter.com/CriistiaanBj","@CriistiaanBj")</f>
        <v>@CriistiaanBj</v>
      </c>
      <c r="C6018" s="9" t="s">
        <v>13699</v>
      </c>
      <c r="D6018" s="9" t="s">
        <v>11951</v>
      </c>
      <c r="E6018" s="10" t="str">
        <f>HYPERLINK("https://twitter.com/CriistiaanBj/status/723880964078866432","723880964078866432")</f>
        <v>723880964078866432</v>
      </c>
      <c r="F6018" s="11" t="s">
        <v>48</v>
      </c>
      <c r="G6018" s="11">
        <v>315</v>
      </c>
      <c r="H6018" s="11">
        <v>302</v>
      </c>
      <c r="I6018" s="11">
        <v>24</v>
      </c>
      <c r="J6018" s="11">
        <v>0</v>
      </c>
      <c r="K6018" s="11" t="s">
        <v>21</v>
      </c>
      <c r="L6018" s="7">
        <v>41912.711446759262</v>
      </c>
      <c r="M6018" s="12" t="s">
        <v>494</v>
      </c>
      <c r="N6018" s="12" t="s">
        <v>13700</v>
      </c>
      <c r="O6018" s="10" t="str">
        <f>HYPERLINK("https://pbs.twimg.com/profile_images/700930853837414401/S-A5_8ub_normal.jpg","View")</f>
        <v>View</v>
      </c>
      <c r="P6018" s="11"/>
    </row>
    <row r="6019" spans="1:16" ht="12.75" x14ac:dyDescent="0.35">
      <c r="A6019" s="7">
        <v>42483.831909722227</v>
      </c>
      <c r="B6019" s="8" t="str">
        <f>HYPERLINK("https://twitter.com/a_cologne","@a_cologne")</f>
        <v>@a_cologne</v>
      </c>
      <c r="C6019" s="9" t="s">
        <v>13701</v>
      </c>
      <c r="D6019" s="9" t="s">
        <v>13702</v>
      </c>
      <c r="E6019" s="10" t="str">
        <f>HYPERLINK("https://twitter.com/a_cologne/status/723881096115544064","723881096115544064")</f>
        <v>723881096115544064</v>
      </c>
      <c r="F6019" s="11" t="s">
        <v>43</v>
      </c>
      <c r="G6019" s="11">
        <v>43</v>
      </c>
      <c r="H6019" s="11">
        <v>167</v>
      </c>
      <c r="I6019" s="11">
        <v>0</v>
      </c>
      <c r="J6019" s="11">
        <v>0</v>
      </c>
      <c r="K6019" s="11" t="s">
        <v>21</v>
      </c>
      <c r="L6019" s="7">
        <v>39961.478275462963</v>
      </c>
      <c r="M6019" s="12" t="s">
        <v>7037</v>
      </c>
      <c r="N6019" s="12" t="s">
        <v>13703</v>
      </c>
      <c r="O6019" s="10" t="str">
        <f>HYPERLINK("https://pbs.twimg.com/profile_images/665794155369668608/801u7DY1_normal.png","View")</f>
        <v>View</v>
      </c>
      <c r="P6019" s="11"/>
    </row>
    <row r="6020" spans="1:16" ht="12.75" x14ac:dyDescent="0.35">
      <c r="A6020" s="7">
        <v>42483.832627314812</v>
      </c>
      <c r="B6020" s="8" t="str">
        <f>HYPERLINK("https://twitter.com/chantaljcs","@chantaljcs")</f>
        <v>@chantaljcs</v>
      </c>
      <c r="C6020" s="9" t="s">
        <v>13704</v>
      </c>
      <c r="D6020" s="9" t="s">
        <v>13705</v>
      </c>
      <c r="E6020" s="10" t="str">
        <f>HYPERLINK("https://twitter.com/chantaljcs/status/723881357693333504","723881357693333504")</f>
        <v>723881357693333504</v>
      </c>
      <c r="F6020" s="11" t="s">
        <v>48</v>
      </c>
      <c r="G6020" s="11">
        <v>716</v>
      </c>
      <c r="H6020" s="11">
        <v>1392</v>
      </c>
      <c r="I6020" s="11">
        <v>0</v>
      </c>
      <c r="J6020" s="11">
        <v>0</v>
      </c>
      <c r="K6020" s="11" t="s">
        <v>21</v>
      </c>
      <c r="L6020" s="7">
        <v>41693.763761574075</v>
      </c>
      <c r="M6020" s="12" t="s">
        <v>2805</v>
      </c>
      <c r="N6020" s="12" t="s">
        <v>13706</v>
      </c>
      <c r="O6020" s="10" t="str">
        <f>HYPERLINK("https://pbs.twimg.com/profile_images/664794741444317184/MDYXkgPB_normal.jpg","View")</f>
        <v>View</v>
      </c>
      <c r="P6020" s="11"/>
    </row>
    <row r="6021" spans="1:16" ht="12.75" x14ac:dyDescent="0.35">
      <c r="A6021" s="7">
        <v>42483.832974537036</v>
      </c>
      <c r="B6021" s="8" t="str">
        <f>HYPERLINK("https://twitter.com/Insta_VWT","@Insta_VWT")</f>
        <v>@Insta_VWT</v>
      </c>
      <c r="C6021" s="9" t="s">
        <v>181</v>
      </c>
      <c r="D6021" s="9" t="s">
        <v>13707</v>
      </c>
      <c r="E6021" s="10" t="str">
        <f>HYPERLINK("https://twitter.com/Insta_VWT/status/723881482415169537","723881482415169537")</f>
        <v>723881482415169537</v>
      </c>
      <c r="F6021" s="11" t="s">
        <v>68</v>
      </c>
      <c r="G6021" s="11">
        <v>483</v>
      </c>
      <c r="H6021" s="11">
        <v>0</v>
      </c>
      <c r="I6021" s="11">
        <v>0</v>
      </c>
      <c r="J6021" s="11">
        <v>0</v>
      </c>
      <c r="K6021" s="11" t="s">
        <v>21</v>
      </c>
      <c r="L6021" s="7">
        <v>41658.782800925925</v>
      </c>
      <c r="M6021" s="12" t="s">
        <v>183</v>
      </c>
      <c r="N6021" s="12" t="s">
        <v>184</v>
      </c>
      <c r="O6021" s="10" t="str">
        <f>HYPERLINK("https://pbs.twimg.com/profile_images/424893967197433858/iQ86NktX_normal.jpeg","View")</f>
        <v>View</v>
      </c>
      <c r="P6021" s="11"/>
    </row>
    <row r="6022" spans="1:16" ht="12.75" x14ac:dyDescent="0.35">
      <c r="A6022" s="7">
        <v>42483.834039351852</v>
      </c>
      <c r="B6022" s="8" t="str">
        <f>HYPERLINK("https://twitter.com/hashtagvanlife","@hashtagvanlife")</f>
        <v>@hashtagvanlife</v>
      </c>
      <c r="C6022" s="9" t="s">
        <v>187</v>
      </c>
      <c r="D6022" s="9" t="s">
        <v>13708</v>
      </c>
      <c r="E6022" s="10" t="str">
        <f>HYPERLINK("https://twitter.com/hashtagvanlife/status/723881868370817024","723881868370817024")</f>
        <v>723881868370817024</v>
      </c>
      <c r="F6022" s="11" t="s">
        <v>189</v>
      </c>
      <c r="G6022" s="11">
        <v>1024</v>
      </c>
      <c r="H6022" s="11">
        <v>29</v>
      </c>
      <c r="I6022" s="11">
        <v>1</v>
      </c>
      <c r="J6022" s="11">
        <v>0</v>
      </c>
      <c r="K6022" s="11" t="s">
        <v>21</v>
      </c>
      <c r="L6022" s="7">
        <v>42289.994583333333</v>
      </c>
      <c r="M6022" s="12"/>
      <c r="N6022" s="12" t="s">
        <v>190</v>
      </c>
      <c r="O6022" s="10" t="str">
        <f>HYPERLINK("https://pbs.twimg.com/profile_images/653637535545995264/gHuXQ5Bt_normal.jpg","View")</f>
        <v>View</v>
      </c>
      <c r="P6022" s="11"/>
    </row>
    <row r="6023" spans="1:16" ht="12.75" x14ac:dyDescent="0.35">
      <c r="A6023" s="7">
        <v>42483.83494212963</v>
      </c>
      <c r="B6023" s="8" t="str">
        <f>HYPERLINK("https://twitter.com/OnlineCarReview","@OnlineCarReview")</f>
        <v>@OnlineCarReview</v>
      </c>
      <c r="C6023" s="9" t="s">
        <v>176</v>
      </c>
      <c r="D6023" s="9" t="s">
        <v>13709</v>
      </c>
      <c r="E6023" s="10" t="str">
        <f>HYPERLINK("https://twitter.com/OnlineCarReview/status/723882199070580738","723882199070580738")</f>
        <v>723882199070580738</v>
      </c>
      <c r="F6023" s="11" t="s">
        <v>34</v>
      </c>
      <c r="G6023" s="11">
        <v>840</v>
      </c>
      <c r="H6023" s="11">
        <v>568</v>
      </c>
      <c r="I6023" s="11">
        <v>0</v>
      </c>
      <c r="J6023" s="11">
        <v>0</v>
      </c>
      <c r="K6023" s="11" t="s">
        <v>21</v>
      </c>
      <c r="L6023" s="7">
        <v>42282.979201388887</v>
      </c>
      <c r="M6023" s="12"/>
      <c r="N6023" s="12" t="s">
        <v>178</v>
      </c>
      <c r="O6023" s="10" t="str">
        <f>HYPERLINK("https://pbs.twimg.com/profile_images/652871584131092480/QA_B6SBO_normal.jpg","View")</f>
        <v>View</v>
      </c>
      <c r="P6023" s="11"/>
    </row>
    <row r="6024" spans="1:16" ht="12.75" x14ac:dyDescent="0.35">
      <c r="A6024" s="7">
        <v>42483.835972222223</v>
      </c>
      <c r="B6024" s="8" t="str">
        <f>HYPERLINK("https://twitter.com/mokshaamm","@mokshaamm")</f>
        <v>@mokshaamm</v>
      </c>
      <c r="C6024" s="9" t="s">
        <v>13710</v>
      </c>
      <c r="D6024" s="9" t="s">
        <v>13711</v>
      </c>
      <c r="E6024" s="10" t="str">
        <f>HYPERLINK("https://twitter.com/mokshaamm/status/723882569368932353","723882569368932353")</f>
        <v>723882569368932353</v>
      </c>
      <c r="F6024" s="11" t="s">
        <v>48</v>
      </c>
      <c r="G6024" s="11">
        <v>37</v>
      </c>
      <c r="H6024" s="11">
        <v>33</v>
      </c>
      <c r="I6024" s="11">
        <v>0</v>
      </c>
      <c r="J6024" s="11">
        <v>0</v>
      </c>
      <c r="K6024" s="11" t="s">
        <v>21</v>
      </c>
      <c r="L6024" s="7">
        <v>40554.438263888893</v>
      </c>
      <c r="M6024" s="12" t="s">
        <v>13712</v>
      </c>
      <c r="N6024" s="12" t="s">
        <v>13713</v>
      </c>
      <c r="O6024" s="10" t="str">
        <f>HYPERLINK("https://abs.twimg.com/sticky/default_profile_images/default_profile_0_normal.png","View")</f>
        <v>View</v>
      </c>
      <c r="P6024" s="11"/>
    </row>
    <row r="6025" spans="1:16" ht="12.75" x14ac:dyDescent="0.35">
      <c r="A6025" s="7">
        <v>42483.836388888885</v>
      </c>
      <c r="B6025" s="8" t="str">
        <f t="shared" ref="B6025:B6026" si="519">HYPERLINK("https://twitter.com/VolkswagenPost","@VolkswagenPost")</f>
        <v>@VolkswagenPost</v>
      </c>
      <c r="C6025" s="9" t="s">
        <v>321</v>
      </c>
      <c r="D6025" s="9" t="s">
        <v>13714</v>
      </c>
      <c r="E6025" s="10" t="str">
        <f>HYPERLINK("https://twitter.com/VolkswagenPost/status/723882719713722369","723882719713722369")</f>
        <v>723882719713722369</v>
      </c>
      <c r="F6025" s="11" t="s">
        <v>34</v>
      </c>
      <c r="G6025" s="11">
        <v>570</v>
      </c>
      <c r="H6025" s="11">
        <v>446</v>
      </c>
      <c r="I6025" s="11">
        <v>0</v>
      </c>
      <c r="J6025" s="11">
        <v>0</v>
      </c>
      <c r="K6025" s="11" t="s">
        <v>21</v>
      </c>
      <c r="L6025" s="7">
        <v>41940.618379629632</v>
      </c>
      <c r="M6025" s="12"/>
      <c r="N6025" s="12"/>
      <c r="O6025" s="10" t="str">
        <f t="shared" ref="O6025:O6026" si="520">HYPERLINK("https://pbs.twimg.com/profile_images/530071272881803264/a_jcCmPZ_normal.png","View")</f>
        <v>View</v>
      </c>
      <c r="P6025" s="11"/>
    </row>
    <row r="6026" spans="1:16" ht="12.75" x14ac:dyDescent="0.35">
      <c r="A6026" s="7">
        <v>42483.836388888885</v>
      </c>
      <c r="B6026" s="8" t="str">
        <f t="shared" si="519"/>
        <v>@VolkswagenPost</v>
      </c>
      <c r="C6026" s="9" t="s">
        <v>321</v>
      </c>
      <c r="D6026" s="9" t="s">
        <v>13715</v>
      </c>
      <c r="E6026" s="10" t="str">
        <f>HYPERLINK("https://twitter.com/VolkswagenPost/status/723882721458556931","723882721458556931")</f>
        <v>723882721458556931</v>
      </c>
      <c r="F6026" s="11" t="s">
        <v>34</v>
      </c>
      <c r="G6026" s="11">
        <v>570</v>
      </c>
      <c r="H6026" s="11">
        <v>446</v>
      </c>
      <c r="I6026" s="11">
        <v>0</v>
      </c>
      <c r="J6026" s="11">
        <v>0</v>
      </c>
      <c r="K6026" s="11" t="s">
        <v>21</v>
      </c>
      <c r="L6026" s="7">
        <v>41940.618379629632</v>
      </c>
      <c r="M6026" s="12"/>
      <c r="N6026" s="12"/>
      <c r="O6026" s="10" t="str">
        <f t="shared" si="520"/>
        <v>View</v>
      </c>
      <c r="P6026" s="11"/>
    </row>
    <row r="6027" spans="1:16" ht="12.75" x14ac:dyDescent="0.35">
      <c r="A6027" s="7">
        <v>42483.836655092593</v>
      </c>
      <c r="B6027" s="8" t="str">
        <f>HYPERLINK("https://twitter.com/juliawimbush","@juliawimbush")</f>
        <v>@juliawimbush</v>
      </c>
      <c r="C6027" s="9" t="s">
        <v>13716</v>
      </c>
      <c r="D6027" s="9" t="s">
        <v>13717</v>
      </c>
      <c r="E6027" s="10" t="str">
        <f>HYPERLINK("https://twitter.com/juliawimbush/status/723882817696980994","723882817696980994")</f>
        <v>723882817696980994</v>
      </c>
      <c r="F6027" s="11" t="s">
        <v>20</v>
      </c>
      <c r="G6027" s="11">
        <v>2055</v>
      </c>
      <c r="H6027" s="11">
        <v>1546</v>
      </c>
      <c r="I6027" s="11">
        <v>0</v>
      </c>
      <c r="J6027" s="11">
        <v>0</v>
      </c>
      <c r="K6027" s="11" t="s">
        <v>21</v>
      </c>
      <c r="L6027" s="7">
        <v>40709.009108796294</v>
      </c>
      <c r="M6027" s="12" t="s">
        <v>13718</v>
      </c>
      <c r="N6027" s="12" t="s">
        <v>13719</v>
      </c>
      <c r="O6027" s="10" t="str">
        <f>HYPERLINK("https://pbs.twimg.com/profile_images/2263204940/188249_1921812926589_4888950_n_normal.jpg","View")</f>
        <v>View</v>
      </c>
      <c r="P6027" s="11"/>
    </row>
    <row r="6028" spans="1:16" ht="12.75" x14ac:dyDescent="0.35">
      <c r="A6028" s="7">
        <v>42483.837361111116</v>
      </c>
      <c r="B6028" s="8" t="str">
        <f>HYPERLINK("https://twitter.com/ebaycampervans","@ebaycampervans")</f>
        <v>@ebaycampervans</v>
      </c>
      <c r="C6028" s="9" t="s">
        <v>682</v>
      </c>
      <c r="D6028" s="9" t="s">
        <v>13720</v>
      </c>
      <c r="E6028" s="10" t="str">
        <f>HYPERLINK("https://twitter.com/ebaycampervans/status/723883072903507970","723883072903507970")</f>
        <v>723883072903507970</v>
      </c>
      <c r="F6028" s="11" t="s">
        <v>34</v>
      </c>
      <c r="G6028" s="11">
        <v>379</v>
      </c>
      <c r="H6028" s="11">
        <v>1002</v>
      </c>
      <c r="I6028" s="11">
        <v>0</v>
      </c>
      <c r="J6028" s="11">
        <v>0</v>
      </c>
      <c r="K6028" s="11" t="s">
        <v>21</v>
      </c>
      <c r="L6028" s="7">
        <v>42140.207604166666</v>
      </c>
      <c r="M6028" s="12"/>
      <c r="N6028" s="12" t="s">
        <v>684</v>
      </c>
      <c r="O6028" s="10" t="str">
        <f>HYPERLINK("https://pbs.twimg.com/profile_images/599357023407464449/BL9Bpo6T_normal.jpg","View")</f>
        <v>View</v>
      </c>
      <c r="P6028" s="11"/>
    </row>
    <row r="6029" spans="1:16" ht="12.75" x14ac:dyDescent="0.35">
      <c r="A6029" s="7">
        <v>42483.838287037041</v>
      </c>
      <c r="B6029" s="8" t="str">
        <f>HYPERLINK("https://twitter.com/VWBeetleSales","@VWBeetleSales")</f>
        <v>@VWBeetleSales</v>
      </c>
      <c r="C6029" s="9" t="s">
        <v>127</v>
      </c>
      <c r="D6029" s="9" t="s">
        <v>13721</v>
      </c>
      <c r="E6029" s="10" t="str">
        <f>HYPERLINK("https://twitter.com/VWBeetleSales/status/723883411069231104","723883411069231104")</f>
        <v>723883411069231104</v>
      </c>
      <c r="F6029" s="10" t="s">
        <v>124</v>
      </c>
      <c r="G6029" s="11">
        <v>36</v>
      </c>
      <c r="H6029" s="11">
        <v>32</v>
      </c>
      <c r="I6029" s="11">
        <v>0</v>
      </c>
      <c r="J6029" s="11">
        <v>0</v>
      </c>
      <c r="K6029" s="11" t="s">
        <v>21</v>
      </c>
      <c r="L6029" s="7">
        <v>42427.019756944443</v>
      </c>
      <c r="M6029" s="12" t="s">
        <v>129</v>
      </c>
      <c r="N6029" s="12" t="s">
        <v>130</v>
      </c>
      <c r="O6029" s="10" t="str">
        <f>HYPERLINK("https://pbs.twimg.com/profile_images/703294545195307008/qeCvrX86_normal.jpg","View")</f>
        <v>View</v>
      </c>
      <c r="P6029" s="11"/>
    </row>
    <row r="6030" spans="1:16" ht="12.75" x14ac:dyDescent="0.35">
      <c r="A6030" s="7">
        <v>42483.840879629628</v>
      </c>
      <c r="B6030" s="8" t="str">
        <f>HYPERLINK("https://twitter.com/manumuncki","@manumuncki")</f>
        <v>@manumuncki</v>
      </c>
      <c r="C6030" s="9" t="s">
        <v>13722</v>
      </c>
      <c r="D6030" s="9" t="s">
        <v>9782</v>
      </c>
      <c r="E6030" s="10" t="str">
        <f>HYPERLINK("https://twitter.com/manumuncki/status/723884346592092161","723884346592092161")</f>
        <v>723884346592092161</v>
      </c>
      <c r="F6030" s="11" t="s">
        <v>20</v>
      </c>
      <c r="G6030" s="11">
        <v>19</v>
      </c>
      <c r="H6030" s="11">
        <v>152</v>
      </c>
      <c r="I6030" s="11">
        <v>10</v>
      </c>
      <c r="J6030" s="11">
        <v>0</v>
      </c>
      <c r="K6030" s="11" t="s">
        <v>21</v>
      </c>
      <c r="L6030" s="7">
        <v>39944.816446759258</v>
      </c>
      <c r="M6030" s="12" t="s">
        <v>1359</v>
      </c>
      <c r="N6030" s="12" t="s">
        <v>13723</v>
      </c>
      <c r="O6030" s="10" t="str">
        <f>HYPERLINK("https://pbs.twimg.com/profile_images/423811151109976064/7Vsor0Pi_normal.png","View")</f>
        <v>View</v>
      </c>
      <c r="P6030" s="11"/>
    </row>
    <row r="6031" spans="1:16" ht="12.75" x14ac:dyDescent="0.35">
      <c r="A6031" s="7">
        <v>42483.841122685189</v>
      </c>
      <c r="B6031" s="8" t="str">
        <f>HYPERLINK("https://twitter.com/Ramon500v","@Ramon500v")</f>
        <v>@Ramon500v</v>
      </c>
      <c r="C6031" s="9" t="s">
        <v>13724</v>
      </c>
      <c r="D6031" s="9" t="s">
        <v>13725</v>
      </c>
      <c r="E6031" s="10" t="str">
        <f>HYPERLINK("https://twitter.com/Ramon500v/status/723884436924829698","723884436924829698")</f>
        <v>723884436924829698</v>
      </c>
      <c r="F6031" s="11" t="s">
        <v>48</v>
      </c>
      <c r="G6031" s="11">
        <v>138</v>
      </c>
      <c r="H6031" s="11">
        <v>361</v>
      </c>
      <c r="I6031" s="11">
        <v>1</v>
      </c>
      <c r="J6031" s="11">
        <v>0</v>
      </c>
      <c r="K6031" s="11" t="s">
        <v>21</v>
      </c>
      <c r="L6031" s="7">
        <v>41898.044062499997</v>
      </c>
      <c r="M6031" s="12" t="s">
        <v>13726</v>
      </c>
      <c r="N6031" s="12" t="s">
        <v>13727</v>
      </c>
      <c r="O6031" s="10" t="str">
        <f>HYPERLINK("https://pbs.twimg.com/profile_images/590138055014670337/F8_y0IBj_normal.jpg","View")</f>
        <v>View</v>
      </c>
      <c r="P6031" s="11"/>
    </row>
    <row r="6032" spans="1:16" ht="12.75" x14ac:dyDescent="0.35">
      <c r="A6032" s="7">
        <v>42483.841840277775</v>
      </c>
      <c r="B6032" s="8" t="str">
        <f>HYPERLINK("https://twitter.com/manumuncki","@manumuncki")</f>
        <v>@manumuncki</v>
      </c>
      <c r="C6032" s="9" t="s">
        <v>13722</v>
      </c>
      <c r="D6032" s="9" t="s">
        <v>2330</v>
      </c>
      <c r="E6032" s="10" t="str">
        <f>HYPERLINK("https://twitter.com/manumuncki/status/723884695864381441","723884695864381441")</f>
        <v>723884695864381441</v>
      </c>
      <c r="F6032" s="11" t="s">
        <v>20</v>
      </c>
      <c r="G6032" s="11">
        <v>19</v>
      </c>
      <c r="H6032" s="11">
        <v>152</v>
      </c>
      <c r="I6032" s="11">
        <v>6</v>
      </c>
      <c r="J6032" s="11">
        <v>0</v>
      </c>
      <c r="K6032" s="11" t="s">
        <v>21</v>
      </c>
      <c r="L6032" s="7">
        <v>39944.816446759258</v>
      </c>
      <c r="M6032" s="12" t="s">
        <v>1359</v>
      </c>
      <c r="N6032" s="12" t="s">
        <v>13723</v>
      </c>
      <c r="O6032" s="10" t="str">
        <f>HYPERLINK("https://pbs.twimg.com/profile_images/423811151109976064/7Vsor0Pi_normal.png","View")</f>
        <v>View</v>
      </c>
      <c r="P6032" s="11"/>
    </row>
    <row r="6033" spans="1:16" ht="12.75" x14ac:dyDescent="0.35">
      <c r="A6033" s="7">
        <v>42483.842789351853</v>
      </c>
      <c r="B6033" s="8" t="str">
        <f>HYPERLINK("https://twitter.com/danny_macaskill","@danny_macaskill")</f>
        <v>@danny_macaskill</v>
      </c>
      <c r="C6033" s="9" t="s">
        <v>13728</v>
      </c>
      <c r="D6033" s="9" t="s">
        <v>13729</v>
      </c>
      <c r="E6033" s="10" t="str">
        <f>HYPERLINK("https://twitter.com/danny_macaskill/status/723885040191430658","723885040191430658")</f>
        <v>723885040191430658</v>
      </c>
      <c r="F6033" s="11" t="s">
        <v>53</v>
      </c>
      <c r="G6033" s="11">
        <v>84208</v>
      </c>
      <c r="H6033" s="11">
        <v>146</v>
      </c>
      <c r="I6033" s="11">
        <v>0</v>
      </c>
      <c r="J6033" s="11">
        <v>5</v>
      </c>
      <c r="K6033" s="11" t="s">
        <v>21</v>
      </c>
      <c r="L6033" s="7">
        <v>40414.819756944446</v>
      </c>
      <c r="M6033" s="12" t="s">
        <v>3113</v>
      </c>
      <c r="N6033" s="12" t="s">
        <v>13730</v>
      </c>
      <c r="O6033" s="10" t="str">
        <f>HYPERLINK("https://pbs.twimg.com/profile_images/675288954808238080/bhh-agl2_normal.jpg","View")</f>
        <v>View</v>
      </c>
      <c r="P6033" s="11"/>
    </row>
    <row r="6034" spans="1:16" ht="12.75" x14ac:dyDescent="0.35">
      <c r="A6034" s="7">
        <v>42483.844548611116</v>
      </c>
      <c r="B6034" s="8" t="str">
        <f>HYPERLINK("https://twitter.com/AtahanKLNC","@AtahanKLNC")</f>
        <v>@AtahanKLNC</v>
      </c>
      <c r="C6034" s="9" t="s">
        <v>13731</v>
      </c>
      <c r="D6034" s="9" t="s">
        <v>13732</v>
      </c>
      <c r="E6034" s="10" t="str">
        <f>HYPERLINK("https://twitter.com/AtahanKLNC/status/723885677981495296","723885677981495296")</f>
        <v>723885677981495296</v>
      </c>
      <c r="F6034" s="11" t="s">
        <v>114</v>
      </c>
      <c r="G6034" s="11">
        <v>56</v>
      </c>
      <c r="H6034" s="11">
        <v>88</v>
      </c>
      <c r="I6034" s="11">
        <v>0</v>
      </c>
      <c r="J6034" s="11">
        <v>0</v>
      </c>
      <c r="K6034" s="11" t="s">
        <v>21</v>
      </c>
      <c r="L6034" s="7">
        <v>41422.952476851853</v>
      </c>
      <c r="M6034" s="12"/>
      <c r="N6034" s="12" t="s">
        <v>13733</v>
      </c>
      <c r="O6034" s="10" t="str">
        <f>HYPERLINK("https://pbs.twimg.com/profile_images/627234217840246784/fdpcdjnW_normal.jpg","View")</f>
        <v>View</v>
      </c>
      <c r="P6034" s="10" t="str">
        <f>HYPERLINK("http://ctrlq.org/maps/address/#40.99552,28.85033","Map")</f>
        <v>Map</v>
      </c>
    </row>
    <row r="6035" spans="1:16" ht="12.75" x14ac:dyDescent="0.35">
      <c r="A6035" s="7">
        <v>42483.844664351855</v>
      </c>
      <c r="B6035" s="8" t="str">
        <f>HYPERLINK("https://twitter.com/Mrhemicuda360","@Mrhemicuda360")</f>
        <v>@Mrhemicuda360</v>
      </c>
      <c r="C6035" s="9" t="s">
        <v>13734</v>
      </c>
      <c r="D6035" s="9" t="s">
        <v>13150</v>
      </c>
      <c r="E6035" s="10" t="str">
        <f>HYPERLINK("https://twitter.com/Mrhemicuda360/status/723885718985183232","723885718985183232")</f>
        <v>723885718985183232</v>
      </c>
      <c r="F6035" s="11" t="s">
        <v>48</v>
      </c>
      <c r="G6035" s="11">
        <v>72</v>
      </c>
      <c r="H6035" s="11">
        <v>136</v>
      </c>
      <c r="I6035" s="11">
        <v>24</v>
      </c>
      <c r="J6035" s="11">
        <v>0</v>
      </c>
      <c r="K6035" s="11" t="s">
        <v>21</v>
      </c>
      <c r="L6035" s="7">
        <v>41043.049479166664</v>
      </c>
      <c r="M6035" s="12" t="s">
        <v>13735</v>
      </c>
      <c r="N6035" s="12" t="s">
        <v>13736</v>
      </c>
      <c r="O6035" s="10" t="str">
        <f>HYPERLINK("https://pbs.twimg.com/profile_images/723628966578393088/A7-vmc68_normal.jpg","View")</f>
        <v>View</v>
      </c>
      <c r="P6035" s="11"/>
    </row>
    <row r="6036" spans="1:16" ht="12.75" x14ac:dyDescent="0.35">
      <c r="A6036" s="7">
        <v>42483.844849537039</v>
      </c>
      <c r="B6036" s="8" t="str">
        <f>HYPERLINK("https://twitter.com/danny_macaskill","@danny_macaskill")</f>
        <v>@danny_macaskill</v>
      </c>
      <c r="C6036" s="9" t="s">
        <v>13728</v>
      </c>
      <c r="D6036" s="9" t="s">
        <v>13737</v>
      </c>
      <c r="E6036" s="10" t="str">
        <f>HYPERLINK("https://twitter.com/danny_macaskill/status/723885788019187712","723885788019187712")</f>
        <v>723885788019187712</v>
      </c>
      <c r="F6036" s="11" t="s">
        <v>53</v>
      </c>
      <c r="G6036" s="11">
        <v>84208</v>
      </c>
      <c r="H6036" s="11">
        <v>146</v>
      </c>
      <c r="I6036" s="11">
        <v>1</v>
      </c>
      <c r="J6036" s="11">
        <v>5</v>
      </c>
      <c r="K6036" s="11" t="s">
        <v>21</v>
      </c>
      <c r="L6036" s="7">
        <v>40414.819756944446</v>
      </c>
      <c r="M6036" s="12" t="s">
        <v>3113</v>
      </c>
      <c r="N6036" s="12" t="s">
        <v>13730</v>
      </c>
      <c r="O6036" s="10" t="str">
        <f>HYPERLINK("https://pbs.twimg.com/profile_images/675288954808238080/bhh-agl2_normal.jpg","View")</f>
        <v>View</v>
      </c>
      <c r="P6036" s="11"/>
    </row>
    <row r="6037" spans="1:16" ht="12.75" x14ac:dyDescent="0.35">
      <c r="A6037" s="7">
        <v>42483.845914351856</v>
      </c>
      <c r="B6037" s="8" t="str">
        <f>HYPERLINK("https://twitter.com/nurdersven","@nurdersven")</f>
        <v>@nurdersven</v>
      </c>
      <c r="C6037" s="9" t="s">
        <v>13738</v>
      </c>
      <c r="D6037" s="9" t="s">
        <v>13739</v>
      </c>
      <c r="E6037" s="10" t="str">
        <f>HYPERLINK("https://twitter.com/nurdersven/status/723886174528483331","723886174528483331")</f>
        <v>723886174528483331</v>
      </c>
      <c r="F6037" s="11" t="s">
        <v>63</v>
      </c>
      <c r="G6037" s="11">
        <v>470</v>
      </c>
      <c r="H6037" s="11">
        <v>627</v>
      </c>
      <c r="I6037" s="11">
        <v>0</v>
      </c>
      <c r="J6037" s="11">
        <v>1</v>
      </c>
      <c r="K6037" s="11" t="s">
        <v>21</v>
      </c>
      <c r="L6037" s="7">
        <v>41599.960925925923</v>
      </c>
      <c r="M6037" s="12" t="s">
        <v>1443</v>
      </c>
      <c r="N6037" s="12" t="s">
        <v>13740</v>
      </c>
      <c r="O6037" s="10" t="str">
        <f>HYPERLINK("https://pbs.twimg.com/profile_images/490872931334254592/bn6LDMXT_normal.jpeg","View")</f>
        <v>View</v>
      </c>
      <c r="P6037" s="11"/>
    </row>
    <row r="6038" spans="1:16" ht="12.75" x14ac:dyDescent="0.35">
      <c r="A6038" s="7">
        <v>42483.846620370372</v>
      </c>
      <c r="B6038" s="8" t="str">
        <f>HYPERLINK("https://twitter.com/wintonsauto","@wintonsauto")</f>
        <v>@wintonsauto</v>
      </c>
      <c r="C6038" s="9" t="s">
        <v>2094</v>
      </c>
      <c r="D6038" s="9" t="s">
        <v>13741</v>
      </c>
      <c r="E6038" s="10" t="str">
        <f>HYPERLINK("https://twitter.com/wintonsauto/status/723886429936476160","723886429936476160")</f>
        <v>723886429936476160</v>
      </c>
      <c r="F6038" s="11" t="s">
        <v>43</v>
      </c>
      <c r="G6038" s="11">
        <v>416</v>
      </c>
      <c r="H6038" s="11">
        <v>988</v>
      </c>
      <c r="I6038" s="11">
        <v>0</v>
      </c>
      <c r="J6038" s="11">
        <v>0</v>
      </c>
      <c r="K6038" s="11" t="s">
        <v>21</v>
      </c>
      <c r="L6038" s="7">
        <v>41434.998460648145</v>
      </c>
      <c r="M6038" s="12"/>
      <c r="N6038" s="12" t="s">
        <v>2096</v>
      </c>
      <c r="O6038" s="10" t="str">
        <f>HYPERLINK("https://pbs.twimg.com/profile_images/436538745232568320/WdIrwRnz_normal.jpeg","View")</f>
        <v>View</v>
      </c>
      <c r="P6038" s="11"/>
    </row>
    <row r="6039" spans="1:16" ht="12.75" x14ac:dyDescent="0.35">
      <c r="A6039" s="7">
        <v>42483.846828703703</v>
      </c>
      <c r="B6039" s="8" t="str">
        <f>HYPERLINK("https://twitter.com/LVIaLondres","@LVIaLondres")</f>
        <v>@LVIaLondres</v>
      </c>
      <c r="C6039" s="9" t="s">
        <v>2623</v>
      </c>
      <c r="D6039" s="9" t="s">
        <v>13742</v>
      </c>
      <c r="E6039" s="10" t="str">
        <f>HYPERLINK("https://twitter.com/LVIaLondres/status/723886504251133952","723886504251133952")</f>
        <v>723886504251133952</v>
      </c>
      <c r="F6039" s="11" t="s">
        <v>20</v>
      </c>
      <c r="G6039" s="11">
        <v>246</v>
      </c>
      <c r="H6039" s="11">
        <v>715</v>
      </c>
      <c r="I6039" s="11">
        <v>0</v>
      </c>
      <c r="J6039" s="11">
        <v>0</v>
      </c>
      <c r="K6039" s="11" t="s">
        <v>21</v>
      </c>
      <c r="L6039" s="7">
        <v>42168.849282407406</v>
      </c>
      <c r="M6039" s="12"/>
      <c r="N6039" s="12" t="s">
        <v>2625</v>
      </c>
      <c r="O6039" s="10" t="str">
        <f>HYPERLINK("https://pbs.twimg.com/profile_images/620156890274766848/QTu02poy_normal.jpg","View")</f>
        <v>View</v>
      </c>
      <c r="P6039" s="11"/>
    </row>
    <row r="6040" spans="1:16" ht="12.75" x14ac:dyDescent="0.35">
      <c r="A6040" s="7">
        <v>42483.848611111112</v>
      </c>
      <c r="B6040" s="8" t="str">
        <f>HYPERLINK("https://twitter.com/RobsterRound","@RobsterRound")</f>
        <v>@RobsterRound</v>
      </c>
      <c r="C6040" s="9" t="s">
        <v>1816</v>
      </c>
      <c r="D6040" s="9" t="s">
        <v>13743</v>
      </c>
      <c r="E6040" s="10" t="str">
        <f>HYPERLINK("https://twitter.com/RobsterRound/status/723887149964242945","723887149964242945")</f>
        <v>723887149964242945</v>
      </c>
      <c r="F6040" s="11" t="s">
        <v>20</v>
      </c>
      <c r="G6040" s="11">
        <v>1602</v>
      </c>
      <c r="H6040" s="11">
        <v>660</v>
      </c>
      <c r="I6040" s="11">
        <v>0</v>
      </c>
      <c r="J6040" s="11">
        <v>0</v>
      </c>
      <c r="K6040" s="11" t="s">
        <v>21</v>
      </c>
      <c r="L6040" s="7">
        <v>41158.840648148151</v>
      </c>
      <c r="M6040" s="12" t="s">
        <v>1818</v>
      </c>
      <c r="N6040" s="12" t="s">
        <v>1819</v>
      </c>
      <c r="O6040" s="10" t="str">
        <f>HYPERLINK("https://pbs.twimg.com/profile_images/719093309738770432/-ot7iGIC_normal.jpg","View")</f>
        <v>View</v>
      </c>
      <c r="P6040" s="11"/>
    </row>
    <row r="6041" spans="1:16" ht="12.75" x14ac:dyDescent="0.35">
      <c r="A6041" s="7">
        <v>42483.849525462967</v>
      </c>
      <c r="B6041" s="8" t="str">
        <f>HYPERLINK("https://twitter.com/Danny5140","@Danny5140")</f>
        <v>@Danny5140</v>
      </c>
      <c r="C6041" s="9" t="s">
        <v>13744</v>
      </c>
      <c r="D6041" s="9" t="s">
        <v>13745</v>
      </c>
      <c r="E6041" s="10" t="str">
        <f>HYPERLINK("https://twitter.com/Danny5140/status/723887480953536513","723887480953536513")</f>
        <v>723887480953536513</v>
      </c>
      <c r="F6041" s="11" t="s">
        <v>48</v>
      </c>
      <c r="G6041" s="11">
        <v>807</v>
      </c>
      <c r="H6041" s="11">
        <v>1215</v>
      </c>
      <c r="I6041" s="11">
        <v>1</v>
      </c>
      <c r="J6041" s="11">
        <v>0</v>
      </c>
      <c r="K6041" s="11" t="s">
        <v>21</v>
      </c>
      <c r="L6041" s="7">
        <v>39886.923634259263</v>
      </c>
      <c r="M6041" s="12" t="s">
        <v>13746</v>
      </c>
      <c r="N6041" s="12" t="s">
        <v>13747</v>
      </c>
      <c r="O6041" s="10" t="str">
        <f>HYPERLINK("https://pbs.twimg.com/profile_images/687000839517528064/Uss1jMXJ_normal.jpg","View")</f>
        <v>View</v>
      </c>
      <c r="P6041" s="11"/>
    </row>
    <row r="6042" spans="1:16" ht="12.75" x14ac:dyDescent="0.35">
      <c r="A6042" s="7">
        <v>42483.849641203706</v>
      </c>
      <c r="B6042" s="8" t="str">
        <f>HYPERLINK("https://twitter.com/rheinhessenulf","@rheinhessenulf")</f>
        <v>@rheinhessenulf</v>
      </c>
      <c r="C6042" s="9" t="s">
        <v>13748</v>
      </c>
      <c r="D6042" s="9" t="s">
        <v>13749</v>
      </c>
      <c r="E6042" s="10" t="str">
        <f>HYPERLINK("https://twitter.com/rheinhessenulf/status/723887522951094273","723887522951094273")</f>
        <v>723887522951094273</v>
      </c>
      <c r="F6042" s="11" t="s">
        <v>48</v>
      </c>
      <c r="G6042" s="11">
        <v>507</v>
      </c>
      <c r="H6042" s="11">
        <v>921</v>
      </c>
      <c r="I6042" s="11">
        <v>3</v>
      </c>
      <c r="J6042" s="11">
        <v>6</v>
      </c>
      <c r="K6042" s="11" t="s">
        <v>21</v>
      </c>
      <c r="L6042" s="7">
        <v>41044.993402777778</v>
      </c>
      <c r="M6042" s="12" t="s">
        <v>262</v>
      </c>
      <c r="N6042" s="12" t="s">
        <v>13750</v>
      </c>
      <c r="O6042" s="10" t="str">
        <f>HYPERLINK("https://pbs.twimg.com/profile_images/635899193148600320/JKHbj8eH_normal.png","View")</f>
        <v>View</v>
      </c>
      <c r="P6042" s="11"/>
    </row>
    <row r="6043" spans="1:16" ht="12.75" x14ac:dyDescent="0.35">
      <c r="A6043" s="7">
        <v>42483.849722222221</v>
      </c>
      <c r="B6043" s="8" t="str">
        <f>HYPERLINK("https://twitter.com/DerLuggas","@DerLuggas")</f>
        <v>@DerLuggas</v>
      </c>
      <c r="C6043" s="9" t="s">
        <v>13751</v>
      </c>
      <c r="D6043" s="9" t="s">
        <v>13752</v>
      </c>
      <c r="E6043" s="10" t="str">
        <f>HYPERLINK("https://twitter.com/DerLuggas/status/723887554496442368","723887554496442368")</f>
        <v>723887554496442368</v>
      </c>
      <c r="F6043" s="11" t="s">
        <v>48</v>
      </c>
      <c r="G6043" s="11">
        <v>81</v>
      </c>
      <c r="H6043" s="11">
        <v>158</v>
      </c>
      <c r="I6043" s="11">
        <v>0</v>
      </c>
      <c r="J6043" s="11">
        <v>1</v>
      </c>
      <c r="K6043" s="11" t="s">
        <v>21</v>
      </c>
      <c r="L6043" s="7">
        <v>39948.867719907408</v>
      </c>
      <c r="M6043" s="12" t="s">
        <v>9368</v>
      </c>
      <c r="N6043" s="12" t="s">
        <v>13753</v>
      </c>
      <c r="O6043" s="10" t="str">
        <f>HYPERLINK("https://pbs.twimg.com/profile_images/662325037396041728/8Tf0awpH_normal.jpg","View")</f>
        <v>View</v>
      </c>
      <c r="P6043" s="11"/>
    </row>
    <row r="6044" spans="1:16" ht="12.75" x14ac:dyDescent="0.35">
      <c r="A6044" s="7">
        <v>42483.849745370375</v>
      </c>
      <c r="B6044" s="8" t="str">
        <f>HYPERLINK("https://twitter.com/KK_aus_K","@KK_aus_K")</f>
        <v>@KK_aus_K</v>
      </c>
      <c r="C6044" s="9" t="s">
        <v>13754</v>
      </c>
      <c r="D6044" s="9" t="s">
        <v>13755</v>
      </c>
      <c r="E6044" s="10" t="str">
        <f>HYPERLINK("https://twitter.com/KK_aus_K/status/723887561303810048","723887561303810048")</f>
        <v>723887561303810048</v>
      </c>
      <c r="F6044" s="11" t="s">
        <v>48</v>
      </c>
      <c r="G6044" s="11">
        <v>141</v>
      </c>
      <c r="H6044" s="11">
        <v>740</v>
      </c>
      <c r="I6044" s="11">
        <v>0</v>
      </c>
      <c r="J6044" s="11">
        <v>0</v>
      </c>
      <c r="K6044" s="11" t="s">
        <v>21</v>
      </c>
      <c r="L6044" s="7">
        <v>41943.802187499998</v>
      </c>
      <c r="M6044" s="12" t="s">
        <v>13756</v>
      </c>
      <c r="N6044" s="12" t="s">
        <v>13757</v>
      </c>
      <c r="O6044" s="10" t="str">
        <f>HYPERLINK("https://pbs.twimg.com/profile_images/562580411692220416/2NE-rvNb_normal.jpeg","View")</f>
        <v>View</v>
      </c>
      <c r="P6044" s="11"/>
    </row>
    <row r="6045" spans="1:16" ht="12.75" x14ac:dyDescent="0.35">
      <c r="A6045" s="7">
        <v>42483.850752314815</v>
      </c>
      <c r="B6045" s="8" t="str">
        <f>HYPERLINK("https://twitter.com/TralalaBarb","@TralalaBarb")</f>
        <v>@TralalaBarb</v>
      </c>
      <c r="C6045" s="9" t="s">
        <v>13758</v>
      </c>
      <c r="D6045" s="9" t="s">
        <v>13759</v>
      </c>
      <c r="E6045" s="10" t="str">
        <f>HYPERLINK("https://twitter.com/TralalaBarb/status/723887925524611072","723887925524611072")</f>
        <v>723887925524611072</v>
      </c>
      <c r="F6045" s="11" t="s">
        <v>68</v>
      </c>
      <c r="G6045" s="11">
        <v>258</v>
      </c>
      <c r="H6045" s="11">
        <v>304</v>
      </c>
      <c r="I6045" s="11">
        <v>0</v>
      </c>
      <c r="J6045" s="11">
        <v>0</v>
      </c>
      <c r="K6045" s="11" t="s">
        <v>21</v>
      </c>
      <c r="L6045" s="7">
        <v>40342.742233796293</v>
      </c>
      <c r="M6045" s="12" t="s">
        <v>2263</v>
      </c>
      <c r="N6045" s="12"/>
      <c r="O6045" s="10" t="str">
        <f>HYPERLINK("https://pbs.twimg.com/profile_images/460856641206759424/FVPr1nt2_normal.jpeg","View")</f>
        <v>View</v>
      </c>
      <c r="P6045" s="11"/>
    </row>
    <row r="6046" spans="1:16" ht="12.75" x14ac:dyDescent="0.35">
      <c r="A6046" s="7">
        <v>42483.851099537038</v>
      </c>
      <c r="B6046" s="8" t="str">
        <f>HYPERLINK("https://twitter.com/VWCamperSales","@VWCamperSales")</f>
        <v>@VWCamperSales</v>
      </c>
      <c r="C6046" s="9" t="s">
        <v>216</v>
      </c>
      <c r="D6046" s="9" t="s">
        <v>13760</v>
      </c>
      <c r="E6046" s="10" t="str">
        <f>HYPERLINK("https://twitter.com/VWCamperSales/status/723888051630428160","723888051630428160")</f>
        <v>723888051630428160</v>
      </c>
      <c r="F6046" s="10" t="s">
        <v>124</v>
      </c>
      <c r="G6046" s="11">
        <v>621</v>
      </c>
      <c r="H6046" s="11">
        <v>580</v>
      </c>
      <c r="I6046" s="11">
        <v>0</v>
      </c>
      <c r="J6046" s="11">
        <v>0</v>
      </c>
      <c r="K6046" s="11" t="s">
        <v>21</v>
      </c>
      <c r="L6046" s="7">
        <v>42215.98809027778</v>
      </c>
      <c r="M6046" s="12" t="s">
        <v>129</v>
      </c>
      <c r="N6046" s="12" t="s">
        <v>218</v>
      </c>
      <c r="O6046" s="10" t="str">
        <f>HYPERLINK("https://pbs.twimg.com/profile_images/627949001179037696/skEBkS05_normal.jpg","View")</f>
        <v>View</v>
      </c>
      <c r="P6046" s="11"/>
    </row>
    <row r="6047" spans="1:16" ht="12.75" x14ac:dyDescent="0.35">
      <c r="A6047" s="7">
        <v>42483.851111111115</v>
      </c>
      <c r="B6047" s="8" t="str">
        <f>HYPERLINK("https://twitter.com/Onkel_Homie","@Onkel_Homie")</f>
        <v>@Onkel_Homie</v>
      </c>
      <c r="C6047" s="9" t="s">
        <v>13761</v>
      </c>
      <c r="D6047" s="9" t="s">
        <v>13762</v>
      </c>
      <c r="E6047" s="10" t="str">
        <f>HYPERLINK("https://twitter.com/Onkel_Homie/status/723888058408513536","723888058408513536")</f>
        <v>723888058408513536</v>
      </c>
      <c r="F6047" s="11" t="s">
        <v>91</v>
      </c>
      <c r="G6047" s="11">
        <v>289</v>
      </c>
      <c r="H6047" s="11">
        <v>201</v>
      </c>
      <c r="I6047" s="11">
        <v>3</v>
      </c>
      <c r="J6047" s="11">
        <v>0</v>
      </c>
      <c r="K6047" s="11" t="s">
        <v>21</v>
      </c>
      <c r="L6047" s="7">
        <v>42436.21162037037</v>
      </c>
      <c r="M6047" s="12" t="s">
        <v>13763</v>
      </c>
      <c r="N6047" s="12" t="s">
        <v>13764</v>
      </c>
      <c r="O6047" s="10" t="str">
        <f>HYPERLINK("https://pbs.twimg.com/profile_images/723597456596979714/1a2Onsh-_normal.jpg","View")</f>
        <v>View</v>
      </c>
      <c r="P6047" s="11"/>
    </row>
    <row r="6048" spans="1:16" ht="12.75" x14ac:dyDescent="0.35">
      <c r="A6048" s="7">
        <v>42483.851412037038</v>
      </c>
      <c r="B6048" s="8" t="str">
        <f>HYPERLINK("https://twitter.com/TheWhiskyLynx","@TheWhiskyLynx")</f>
        <v>@TheWhiskyLynx</v>
      </c>
      <c r="C6048" s="9" t="s">
        <v>13765</v>
      </c>
      <c r="D6048" s="9" t="s">
        <v>13762</v>
      </c>
      <c r="E6048" s="10" t="str">
        <f>HYPERLINK("https://twitter.com/TheWhiskyLynx/status/723888166097305600","723888166097305600")</f>
        <v>723888166097305600</v>
      </c>
      <c r="F6048" s="11" t="s">
        <v>48</v>
      </c>
      <c r="G6048" s="11">
        <v>274</v>
      </c>
      <c r="H6048" s="11">
        <v>286</v>
      </c>
      <c r="I6048" s="11">
        <v>3</v>
      </c>
      <c r="J6048" s="11">
        <v>0</v>
      </c>
      <c r="K6048" s="11" t="s">
        <v>21</v>
      </c>
      <c r="L6048" s="7">
        <v>41091.056435185186</v>
      </c>
      <c r="M6048" s="12" t="s">
        <v>13766</v>
      </c>
      <c r="N6048" s="12" t="s">
        <v>13767</v>
      </c>
      <c r="O6048" s="10" t="str">
        <f>HYPERLINK("https://pbs.twimg.com/profile_images/701050474045251585/RSM5NM6y_normal.jpg","View")</f>
        <v>View</v>
      </c>
      <c r="P6048" s="11"/>
    </row>
    <row r="6049" spans="1:16" ht="12.75" x14ac:dyDescent="0.35">
      <c r="A6049" s="7">
        <v>42483.85157407407</v>
      </c>
      <c r="B6049" s="8" t="str">
        <f>HYPERLINK("https://twitter.com/MorSvinka_83","@MorSvinka_83")</f>
        <v>@MorSvinka_83</v>
      </c>
      <c r="C6049" s="9" t="s">
        <v>9071</v>
      </c>
      <c r="D6049" s="9" t="s">
        <v>13768</v>
      </c>
      <c r="E6049" s="10" t="str">
        <f>HYPERLINK("https://twitter.com/MorSvinka_83/status/723888223173394432","723888223173394432")</f>
        <v>723888223173394432</v>
      </c>
      <c r="F6049" s="11" t="s">
        <v>63</v>
      </c>
      <c r="G6049" s="11">
        <v>81</v>
      </c>
      <c r="H6049" s="11">
        <v>127</v>
      </c>
      <c r="I6049" s="11">
        <v>0</v>
      </c>
      <c r="J6049" s="11">
        <v>0</v>
      </c>
      <c r="K6049" s="11" t="s">
        <v>21</v>
      </c>
      <c r="L6049" s="7">
        <v>40900.763842592591</v>
      </c>
      <c r="M6049" s="12" t="s">
        <v>9073</v>
      </c>
      <c r="N6049" s="12"/>
      <c r="O6049" s="10" t="str">
        <f>HYPERLINK("https://pbs.twimg.com/profile_images/2208847688/Untitled-2_normal.jpg","View")</f>
        <v>View</v>
      </c>
      <c r="P6049" s="11"/>
    </row>
    <row r="6050" spans="1:16" ht="12.75" x14ac:dyDescent="0.35">
      <c r="A6050" s="7">
        <v>42483.852627314816</v>
      </c>
      <c r="B6050" s="8" t="str">
        <f>HYPERLINK("https://twitter.com/ggracing11","@ggracing11")</f>
        <v>@ggracing11</v>
      </c>
      <c r="C6050" s="9" t="s">
        <v>13769</v>
      </c>
      <c r="D6050" s="9" t="s">
        <v>13770</v>
      </c>
      <c r="E6050" s="10" t="str">
        <f>HYPERLINK("https://twitter.com/ggracing11/status/723888607677820928","723888607677820928")</f>
        <v>723888607677820928</v>
      </c>
      <c r="F6050" s="11" t="s">
        <v>114</v>
      </c>
      <c r="G6050" s="11">
        <v>92</v>
      </c>
      <c r="H6050" s="11">
        <v>264</v>
      </c>
      <c r="I6050" s="11">
        <v>0</v>
      </c>
      <c r="J6050" s="11">
        <v>0</v>
      </c>
      <c r="K6050" s="11" t="s">
        <v>21</v>
      </c>
      <c r="L6050" s="7">
        <v>40683.365231481483</v>
      </c>
      <c r="M6050" s="12" t="s">
        <v>13771</v>
      </c>
      <c r="N6050" s="12" t="s">
        <v>13772</v>
      </c>
      <c r="O6050" s="10" t="str">
        <f>HYPERLINK("https://pbs.twimg.com/profile_images/632993235552587776/7N1mu_tb_normal.jpg","View")</f>
        <v>View</v>
      </c>
      <c r="P6050" s="10" t="str">
        <f>HYPERLINK("http://ctrlq.org/maps/address/#-23.48367234,-46.60681257","Map")</f>
        <v>Map</v>
      </c>
    </row>
    <row r="6051" spans="1:16" ht="12.75" x14ac:dyDescent="0.35">
      <c r="A6051" s="7">
        <v>42483.853113425925</v>
      </c>
      <c r="B6051" s="8" t="str">
        <f>HYPERLINK("https://twitter.com/BLONDIE24699","@BLONDIE24699")</f>
        <v>@BLONDIE24699</v>
      </c>
      <c r="C6051" s="9" t="s">
        <v>13773</v>
      </c>
      <c r="D6051" s="9" t="s">
        <v>13774</v>
      </c>
      <c r="E6051" s="10" t="str">
        <f>HYPERLINK("https://twitter.com/BLONDIE24699/status/723888783616278528","723888783616278528")</f>
        <v>723888783616278528</v>
      </c>
      <c r="F6051" s="11" t="s">
        <v>20</v>
      </c>
      <c r="G6051" s="11">
        <v>112</v>
      </c>
      <c r="H6051" s="11">
        <v>251</v>
      </c>
      <c r="I6051" s="11">
        <v>1</v>
      </c>
      <c r="J6051" s="11">
        <v>0</v>
      </c>
      <c r="K6051" s="11" t="s">
        <v>21</v>
      </c>
      <c r="L6051" s="7">
        <v>42388.695497685185</v>
      </c>
      <c r="M6051" s="12"/>
      <c r="N6051" s="12" t="s">
        <v>13775</v>
      </c>
      <c r="O6051" s="10" t="str">
        <f>HYPERLINK("https://pbs.twimg.com/profile_images/707712324312961024/oIuosl6x_normal.jpg","View")</f>
        <v>View</v>
      </c>
      <c r="P6051" s="11"/>
    </row>
    <row r="6052" spans="1:16" ht="12.75" x14ac:dyDescent="0.35">
      <c r="A6052" s="7">
        <v>42483.85319444444</v>
      </c>
      <c r="B6052" s="8" t="str">
        <f>HYPERLINK("https://twitter.com/AhmadAlZ","@AhmadAlZ")</f>
        <v>@AhmadAlZ</v>
      </c>
      <c r="C6052" s="9" t="s">
        <v>13776</v>
      </c>
      <c r="D6052" s="9" t="s">
        <v>13777</v>
      </c>
      <c r="E6052" s="10" t="str">
        <f>HYPERLINK("https://twitter.com/AhmadAlZ/status/723888809591578626","723888809591578626")</f>
        <v>723888809591578626</v>
      </c>
      <c r="F6052" s="11" t="s">
        <v>43</v>
      </c>
      <c r="G6052" s="11">
        <v>614</v>
      </c>
      <c r="H6052" s="11">
        <v>397</v>
      </c>
      <c r="I6052" s="11">
        <v>0</v>
      </c>
      <c r="J6052" s="11">
        <v>0</v>
      </c>
      <c r="K6052" s="11" t="s">
        <v>21</v>
      </c>
      <c r="L6052" s="7">
        <v>39890.724872685183</v>
      </c>
      <c r="M6052" s="12"/>
      <c r="N6052" s="12" t="s">
        <v>13778</v>
      </c>
      <c r="O6052" s="10" t="str">
        <f>HYPERLINK("https://pbs.twimg.com/profile_images/268749427/Bild_061__2__normal.jpg","View")</f>
        <v>View</v>
      </c>
      <c r="P6052" s="11"/>
    </row>
    <row r="6053" spans="1:16" ht="12.75" x14ac:dyDescent="0.35">
      <c r="A6053" s="7">
        <v>42483.853784722218</v>
      </c>
      <c r="B6053" s="8" t="str">
        <f>HYPERLINK("https://twitter.com/Dex_Morgan96","@Dex_Morgan96")</f>
        <v>@Dex_Morgan96</v>
      </c>
      <c r="C6053" s="9" t="s">
        <v>13779</v>
      </c>
      <c r="D6053" s="9" t="s">
        <v>13762</v>
      </c>
      <c r="E6053" s="10" t="str">
        <f>HYPERLINK("https://twitter.com/Dex_Morgan96/status/723889023224274944","723889023224274944")</f>
        <v>723889023224274944</v>
      </c>
      <c r="F6053" s="11" t="s">
        <v>48</v>
      </c>
      <c r="G6053" s="11">
        <v>553</v>
      </c>
      <c r="H6053" s="11">
        <v>808</v>
      </c>
      <c r="I6053" s="11">
        <v>3</v>
      </c>
      <c r="J6053" s="11">
        <v>0</v>
      </c>
      <c r="K6053" s="11" t="s">
        <v>21</v>
      </c>
      <c r="L6053" s="7">
        <v>41999.848935185189</v>
      </c>
      <c r="M6053" s="12" t="s">
        <v>10619</v>
      </c>
      <c r="N6053" s="12" t="s">
        <v>13780</v>
      </c>
      <c r="O6053" s="10" t="str">
        <f>HYPERLINK("https://pbs.twimg.com/profile_images/711135089388818432/uvAjv_9K_normal.jpg","View")</f>
        <v>View</v>
      </c>
      <c r="P6053" s="11"/>
    </row>
    <row r="6054" spans="1:16" ht="12.75" x14ac:dyDescent="0.35">
      <c r="A6054" s="7">
        <v>42483.854259259257</v>
      </c>
      <c r="B6054" s="8" t="str">
        <f>HYPERLINK("https://twitter.com/CarterVW","@CarterVW")</f>
        <v>@CarterVW</v>
      </c>
      <c r="C6054" s="9" t="s">
        <v>4771</v>
      </c>
      <c r="D6054" s="9" t="s">
        <v>13781</v>
      </c>
      <c r="E6054" s="10" t="str">
        <f>HYPERLINK("https://twitter.com/CarterVW/status/723889198231486464","723889198231486464")</f>
        <v>723889198231486464</v>
      </c>
      <c r="F6054" s="11" t="s">
        <v>140</v>
      </c>
      <c r="G6054" s="11">
        <v>2029</v>
      </c>
      <c r="H6054" s="11">
        <v>1292</v>
      </c>
      <c r="I6054" s="11">
        <v>0</v>
      </c>
      <c r="J6054" s="11">
        <v>0</v>
      </c>
      <c r="K6054" s="11" t="s">
        <v>21</v>
      </c>
      <c r="L6054" s="7">
        <v>40002.494502314818</v>
      </c>
      <c r="M6054" s="12" t="s">
        <v>355</v>
      </c>
      <c r="N6054" s="12" t="s">
        <v>4773</v>
      </c>
      <c r="O6054" s="10" t="str">
        <f>HYPERLINK("https://pbs.twimg.com/profile_images/693260133237809152/JUVeKYdq_normal.jpg","View")</f>
        <v>View</v>
      </c>
      <c r="P6054" s="11"/>
    </row>
    <row r="6055" spans="1:16" ht="12.75" x14ac:dyDescent="0.35">
      <c r="A6055" s="7">
        <v>42483.854907407411</v>
      </c>
      <c r="B6055" s="8" t="str">
        <f>HYPERLINK("https://twitter.com/B83ART","@B83ART")</f>
        <v>@B83ART</v>
      </c>
      <c r="C6055" s="9" t="s">
        <v>13782</v>
      </c>
      <c r="D6055" s="9" t="s">
        <v>13783</v>
      </c>
      <c r="E6055" s="10" t="str">
        <f>HYPERLINK("https://twitter.com/B83ART/status/723889431728513024","723889431728513024")</f>
        <v>723889431728513024</v>
      </c>
      <c r="F6055" s="11" t="s">
        <v>20</v>
      </c>
      <c r="G6055" s="11">
        <v>1442</v>
      </c>
      <c r="H6055" s="11">
        <v>2104</v>
      </c>
      <c r="I6055" s="11">
        <v>0</v>
      </c>
      <c r="J6055" s="11">
        <v>0</v>
      </c>
      <c r="K6055" s="11" t="s">
        <v>21</v>
      </c>
      <c r="L6055" s="7">
        <v>41520.601886574077</v>
      </c>
      <c r="M6055" s="12" t="s">
        <v>13784</v>
      </c>
      <c r="N6055" s="12" t="s">
        <v>13785</v>
      </c>
      <c r="O6055" s="10" t="str">
        <f>HYPERLINK("https://pbs.twimg.com/profile_images/722201032479088641/gDpR-6wN_normal.jpg","View")</f>
        <v>View</v>
      </c>
      <c r="P6055" s="11"/>
    </row>
    <row r="6056" spans="1:16" ht="12.75" x14ac:dyDescent="0.35">
      <c r="A6056" s="7">
        <v>42483.85491898148</v>
      </c>
      <c r="B6056" s="8" t="str">
        <f>HYPERLINK("https://twitter.com/Volkswagen_T25","@Volkswagen_T25")</f>
        <v>@Volkswagen_T25</v>
      </c>
      <c r="C6056" s="8" t="s">
        <v>13786</v>
      </c>
      <c r="D6056" s="9" t="s">
        <v>13787</v>
      </c>
      <c r="E6056" s="10" t="str">
        <f>HYPERLINK("https://twitter.com/Volkswagen_T25/status/723889436052885504","723889436052885504")</f>
        <v>723889436052885504</v>
      </c>
      <c r="F6056" s="11" t="s">
        <v>748</v>
      </c>
      <c r="G6056" s="11">
        <v>1165</v>
      </c>
      <c r="H6056" s="11">
        <v>530</v>
      </c>
      <c r="I6056" s="11">
        <v>1</v>
      </c>
      <c r="J6056" s="11">
        <v>1</v>
      </c>
      <c r="K6056" s="11" t="s">
        <v>21</v>
      </c>
      <c r="L6056" s="7">
        <v>41353.668263888889</v>
      </c>
      <c r="M6056" s="12"/>
      <c r="N6056" s="12" t="s">
        <v>13788</v>
      </c>
      <c r="O6056" s="10" t="str">
        <f>HYPERLINK("https://pbs.twimg.com/profile_images/522805756736057344/m7B0nHpz_normal.jpeg","View")</f>
        <v>View</v>
      </c>
      <c r="P6056" s="11"/>
    </row>
    <row r="6057" spans="1:16" ht="12.75" x14ac:dyDescent="0.35">
      <c r="A6057" s="7">
        <v>42483.855358796296</v>
      </c>
      <c r="B6057" s="8" t="str">
        <f>HYPERLINK("https://twitter.com/daniel1820815","@daniel1820815")</f>
        <v>@daniel1820815</v>
      </c>
      <c r="C6057" s="9" t="s">
        <v>13789</v>
      </c>
      <c r="D6057" s="9" t="s">
        <v>13790</v>
      </c>
      <c r="E6057" s="10" t="str">
        <f>HYPERLINK("https://twitter.com/daniel1820815/status/723889595612565504","723889595612565504")</f>
        <v>723889595612565504</v>
      </c>
      <c r="F6057" s="11" t="s">
        <v>20</v>
      </c>
      <c r="G6057" s="11">
        <v>34</v>
      </c>
      <c r="H6057" s="11">
        <v>67</v>
      </c>
      <c r="I6057" s="11">
        <v>0</v>
      </c>
      <c r="J6057" s="11">
        <v>1</v>
      </c>
      <c r="K6057" s="11" t="s">
        <v>21</v>
      </c>
      <c r="L6057" s="7">
        <v>40264.564641203702</v>
      </c>
      <c r="M6057" s="12" t="s">
        <v>13791</v>
      </c>
      <c r="N6057" s="12" t="s">
        <v>13792</v>
      </c>
      <c r="O6057" s="10" t="str">
        <f>HYPERLINK("https://pbs.twimg.com/profile_images/679621667774164992/o2iiV0R3_normal.jpg","View")</f>
        <v>View</v>
      </c>
      <c r="P6057" s="11"/>
    </row>
    <row r="6058" spans="1:16" ht="12.75" x14ac:dyDescent="0.35">
      <c r="A6058" s="7">
        <v>42483.85564814815</v>
      </c>
      <c r="B6058" s="8" t="str">
        <f>HYPERLINK("https://twitter.com/VWCamperSales","@VWCamperSales")</f>
        <v>@VWCamperSales</v>
      </c>
      <c r="C6058" s="9" t="s">
        <v>216</v>
      </c>
      <c r="D6058" s="9" t="s">
        <v>13793</v>
      </c>
      <c r="E6058" s="10" t="str">
        <f>HYPERLINK("https://twitter.com/VWCamperSales/status/723889702495883265","723889702495883265")</f>
        <v>723889702495883265</v>
      </c>
      <c r="F6058" s="10" t="s">
        <v>124</v>
      </c>
      <c r="G6058" s="11">
        <v>621</v>
      </c>
      <c r="H6058" s="11">
        <v>580</v>
      </c>
      <c r="I6058" s="11">
        <v>0</v>
      </c>
      <c r="J6058" s="11">
        <v>0</v>
      </c>
      <c r="K6058" s="11" t="s">
        <v>21</v>
      </c>
      <c r="L6058" s="7">
        <v>42215.98809027778</v>
      </c>
      <c r="M6058" s="12" t="s">
        <v>129</v>
      </c>
      <c r="N6058" s="12" t="s">
        <v>218</v>
      </c>
      <c r="O6058" s="10" t="str">
        <f>HYPERLINK("https://pbs.twimg.com/profile_images/627949001179037696/skEBkS05_normal.jpg","View")</f>
        <v>View</v>
      </c>
      <c r="P6058" s="11"/>
    </row>
    <row r="6059" spans="1:16" ht="12.75" x14ac:dyDescent="0.35">
      <c r="A6059" s="7">
        <v>42483.855671296296</v>
      </c>
      <c r="B6059" s="8" t="str">
        <f>HYPERLINK("https://twitter.com/hirokigb","@hirokigb")</f>
        <v>@hirokigb</v>
      </c>
      <c r="C6059" s="9" t="s">
        <v>13794</v>
      </c>
      <c r="D6059" s="9" t="s">
        <v>13745</v>
      </c>
      <c r="E6059" s="10" t="str">
        <f>HYPERLINK("https://twitter.com/hirokigb/status/723889707382243328","723889707382243328")</f>
        <v>723889707382243328</v>
      </c>
      <c r="F6059" s="11" t="s">
        <v>20</v>
      </c>
      <c r="G6059" s="11">
        <v>305</v>
      </c>
      <c r="H6059" s="11">
        <v>356</v>
      </c>
      <c r="I6059" s="11">
        <v>1</v>
      </c>
      <c r="J6059" s="11">
        <v>0</v>
      </c>
      <c r="K6059" s="11" t="s">
        <v>21</v>
      </c>
      <c r="L6059" s="7">
        <v>41425.907592592594</v>
      </c>
      <c r="M6059" s="12"/>
      <c r="N6059" s="12" t="s">
        <v>13795</v>
      </c>
      <c r="O6059" s="10" t="str">
        <f>HYPERLINK("https://pbs.twimg.com/profile_images/721754944324239361/D_NZR4B1_normal.jpg","View")</f>
        <v>View</v>
      </c>
      <c r="P6059" s="11"/>
    </row>
    <row r="6060" spans="1:16" ht="12.75" x14ac:dyDescent="0.35">
      <c r="A6060" s="7">
        <v>42483.856574074074</v>
      </c>
      <c r="B6060" s="8" t="str">
        <f>HYPERLINK("https://twitter.com/SouthCentreVW","@SouthCentreVW")</f>
        <v>@SouthCentreVW</v>
      </c>
      <c r="C6060" s="9" t="s">
        <v>13796</v>
      </c>
      <c r="D6060" s="9" t="s">
        <v>13797</v>
      </c>
      <c r="E6060" s="10" t="str">
        <f>HYPERLINK("https://twitter.com/SouthCentreVW/status/723890036513509376","723890036513509376")</f>
        <v>723890036513509376</v>
      </c>
      <c r="F6060" s="11" t="s">
        <v>43</v>
      </c>
      <c r="G6060" s="11">
        <v>564</v>
      </c>
      <c r="H6060" s="11">
        <v>209</v>
      </c>
      <c r="I6060" s="11">
        <v>0</v>
      </c>
      <c r="J6060" s="11">
        <v>0</v>
      </c>
      <c r="K6060" s="11" t="s">
        <v>21</v>
      </c>
      <c r="L6060" s="7">
        <v>39962.286979166667</v>
      </c>
      <c r="M6060" s="12" t="s">
        <v>59</v>
      </c>
      <c r="N6060" s="12" t="s">
        <v>13798</v>
      </c>
      <c r="O6060" s="10" t="str">
        <f>HYPERLINK("https://pbs.twimg.com/profile_images/420634034830454784/G0XYnB5o_normal.jpeg","View")</f>
        <v>View</v>
      </c>
      <c r="P6060" s="11"/>
    </row>
    <row r="6061" spans="1:16" ht="12.75" x14ac:dyDescent="0.35">
      <c r="A6061" s="7">
        <v>42483.856759259259</v>
      </c>
      <c r="B6061" s="8" t="str">
        <f>HYPERLINK("https://twitter.com/JoJagiello","@JoJagiello")</f>
        <v>@JoJagiello</v>
      </c>
      <c r="C6061" s="9" t="s">
        <v>12908</v>
      </c>
      <c r="D6061" s="9" t="s">
        <v>13799</v>
      </c>
      <c r="E6061" s="10" t="str">
        <f>HYPERLINK("https://twitter.com/JoJagiello/status/723890104394256384","723890104394256384")</f>
        <v>723890104394256384</v>
      </c>
      <c r="F6061" s="11" t="s">
        <v>48</v>
      </c>
      <c r="G6061" s="11">
        <v>1536</v>
      </c>
      <c r="H6061" s="11">
        <v>2024</v>
      </c>
      <c r="I6061" s="11">
        <v>0</v>
      </c>
      <c r="J6061" s="11">
        <v>0</v>
      </c>
      <c r="K6061" s="11" t="s">
        <v>21</v>
      </c>
      <c r="L6061" s="7">
        <v>39994.827094907407</v>
      </c>
      <c r="M6061" s="12" t="s">
        <v>12910</v>
      </c>
      <c r="N6061" s="12" t="s">
        <v>12911</v>
      </c>
      <c r="O6061" s="10" t="str">
        <f>HYPERLINK("https://pbs.twimg.com/profile_images/701477016030289921/prD-N92q_normal.jpg","View")</f>
        <v>View</v>
      </c>
      <c r="P6061" s="11"/>
    </row>
    <row r="6062" spans="1:16" ht="12.75" x14ac:dyDescent="0.35">
      <c r="A6062" s="7">
        <v>42483.857349537036</v>
      </c>
      <c r="B6062" s="8" t="str">
        <f>HYPERLINK("https://twitter.com/thecurtis76","@thecurtis76")</f>
        <v>@thecurtis76</v>
      </c>
      <c r="C6062" s="9" t="s">
        <v>13800</v>
      </c>
      <c r="D6062" s="9" t="s">
        <v>13801</v>
      </c>
      <c r="E6062" s="10" t="str">
        <f>HYPERLINK("https://twitter.com/thecurtis76/status/723890316495970304","723890316495970304")</f>
        <v>723890316495970304</v>
      </c>
      <c r="F6062" s="11" t="s">
        <v>114</v>
      </c>
      <c r="G6062" s="11">
        <v>518</v>
      </c>
      <c r="H6062" s="11">
        <v>794</v>
      </c>
      <c r="I6062" s="11">
        <v>0</v>
      </c>
      <c r="J6062" s="11">
        <v>0</v>
      </c>
      <c r="K6062" s="11" t="s">
        <v>21</v>
      </c>
      <c r="L6062" s="7">
        <v>39270.093229166669</v>
      </c>
      <c r="M6062" s="12" t="s">
        <v>13802</v>
      </c>
      <c r="N6062" s="12" t="s">
        <v>13803</v>
      </c>
      <c r="O6062" s="10" t="str">
        <f>HYPERLINK("https://pbs.twimg.com/profile_images/1148670077/5073089178_ac68a0ace7_o_normal.jpeg","View")</f>
        <v>View</v>
      </c>
      <c r="P6062" s="11"/>
    </row>
    <row r="6063" spans="1:16" ht="12.75" x14ac:dyDescent="0.35">
      <c r="A6063" s="7">
        <v>42483.858344907407</v>
      </c>
      <c r="B6063" s="8" t="str">
        <f>HYPERLINK("https://twitter.com/swanswaygroup","@swanswaygroup")</f>
        <v>@swanswaygroup</v>
      </c>
      <c r="C6063" s="9" t="s">
        <v>2558</v>
      </c>
      <c r="D6063" s="9" t="s">
        <v>13804</v>
      </c>
      <c r="E6063" s="10" t="str">
        <f>HYPERLINK("https://twitter.com/swanswaygroup/status/723890678854377473","723890678854377473")</f>
        <v>723890678854377473</v>
      </c>
      <c r="F6063" s="11" t="s">
        <v>140</v>
      </c>
      <c r="G6063" s="11">
        <v>6199</v>
      </c>
      <c r="H6063" s="11">
        <v>4457</v>
      </c>
      <c r="I6063" s="11">
        <v>0</v>
      </c>
      <c r="J6063" s="11">
        <v>0</v>
      </c>
      <c r="K6063" s="11" t="s">
        <v>21</v>
      </c>
      <c r="L6063" s="7">
        <v>40137.651365740741</v>
      </c>
      <c r="M6063" s="12" t="s">
        <v>2560</v>
      </c>
      <c r="N6063" s="12" t="s">
        <v>2561</v>
      </c>
      <c r="O6063" s="10" t="str">
        <f>HYPERLINK("https://pbs.twimg.com/profile_images/552037189328982016/r65JRGTS_normal.jpeg","View")</f>
        <v>View</v>
      </c>
      <c r="P6063" s="11"/>
    </row>
    <row r="6064" spans="1:16" ht="12.75" x14ac:dyDescent="0.35">
      <c r="A6064" s="7">
        <v>42483.858344907407</v>
      </c>
      <c r="B6064" s="8" t="str">
        <f>HYPERLINK("https://twitter.com/WrexhamVW","@WrexhamVW")</f>
        <v>@WrexhamVW</v>
      </c>
      <c r="C6064" s="9" t="s">
        <v>4038</v>
      </c>
      <c r="D6064" s="9" t="s">
        <v>13805</v>
      </c>
      <c r="E6064" s="10" t="str">
        <f>HYPERLINK("https://twitter.com/WrexhamVW/status/723890678950817793","723890678950817793")</f>
        <v>723890678950817793</v>
      </c>
      <c r="F6064" s="11" t="s">
        <v>140</v>
      </c>
      <c r="G6064" s="11">
        <v>3132</v>
      </c>
      <c r="H6064" s="11">
        <v>2900</v>
      </c>
      <c r="I6064" s="11">
        <v>0</v>
      </c>
      <c r="J6064" s="11">
        <v>0</v>
      </c>
      <c r="K6064" s="11" t="s">
        <v>21</v>
      </c>
      <c r="L6064" s="7">
        <v>41057.694652777776</v>
      </c>
      <c r="M6064" s="12" t="s">
        <v>4040</v>
      </c>
      <c r="N6064" s="12" t="s">
        <v>4041</v>
      </c>
      <c r="O6064" s="10" t="str">
        <f>HYPERLINK("https://pbs.twimg.com/profile_images/488719995401027584/VzWWQNs__normal.jpeg","View")</f>
        <v>View</v>
      </c>
      <c r="P6064" s="11"/>
    </row>
    <row r="6065" spans="1:16" ht="12.75" x14ac:dyDescent="0.35">
      <c r="A6065" s="7">
        <v>42483.85837962963</v>
      </c>
      <c r="B6065" s="8" t="str">
        <f>HYPERLINK("https://twitter.com/Nyck_frank","@Nyck_frank")</f>
        <v>@Nyck_frank</v>
      </c>
      <c r="C6065" s="9" t="s">
        <v>13806</v>
      </c>
      <c r="D6065" s="9" t="s">
        <v>13150</v>
      </c>
      <c r="E6065" s="10" t="str">
        <f>HYPERLINK("https://twitter.com/Nyck_frank/status/723890689101045760","723890689101045760")</f>
        <v>723890689101045760</v>
      </c>
      <c r="F6065" s="11" t="s">
        <v>20</v>
      </c>
      <c r="G6065" s="11">
        <v>403</v>
      </c>
      <c r="H6065" s="11">
        <v>369</v>
      </c>
      <c r="I6065" s="11">
        <v>25</v>
      </c>
      <c r="J6065" s="11">
        <v>0</v>
      </c>
      <c r="K6065" s="11" t="s">
        <v>21</v>
      </c>
      <c r="L6065" s="7">
        <v>41855.501585648148</v>
      </c>
      <c r="M6065" s="12"/>
      <c r="N6065" s="12" t="s">
        <v>13807</v>
      </c>
      <c r="O6065" s="10" t="str">
        <f>HYPERLINK("https://pbs.twimg.com/profile_images/713869890470486020/kPjXKpBg_normal.jpg","View")</f>
        <v>View</v>
      </c>
      <c r="P6065" s="11"/>
    </row>
    <row r="6066" spans="1:16" ht="12.75" x14ac:dyDescent="0.35">
      <c r="A6066" s="7">
        <v>42483.858518518522</v>
      </c>
      <c r="B6066" s="8" t="str">
        <f>HYPERLINK("https://twitter.com/joergeickhoff","@joergeickhoff")</f>
        <v>@joergeickhoff</v>
      </c>
      <c r="C6066" s="9" t="s">
        <v>13808</v>
      </c>
      <c r="D6066" s="9" t="s">
        <v>13809</v>
      </c>
      <c r="E6066" s="10" t="str">
        <f>HYPERLINK("https://twitter.com/joergeickhoff/status/723890740590419969","723890740590419969")</f>
        <v>723890740590419969</v>
      </c>
      <c r="F6066" s="11" t="s">
        <v>43</v>
      </c>
      <c r="G6066" s="11">
        <v>79</v>
      </c>
      <c r="H6066" s="11">
        <v>78</v>
      </c>
      <c r="I6066" s="11">
        <v>0</v>
      </c>
      <c r="J6066" s="11">
        <v>0</v>
      </c>
      <c r="K6066" s="11" t="s">
        <v>21</v>
      </c>
      <c r="L6066" s="7">
        <v>40653.950208333335</v>
      </c>
      <c r="M6066" s="12"/>
      <c r="N6066" s="12" t="s">
        <v>13810</v>
      </c>
      <c r="O6066" s="10" t="str">
        <f>HYPERLINK("https://pbs.twimg.com/profile_images/512117524813467648/G656Oqmx_normal.jpeg","View")</f>
        <v>View</v>
      </c>
      <c r="P6066" s="11"/>
    </row>
    <row r="6067" spans="1:16" ht="12.75" x14ac:dyDescent="0.35">
      <c r="A6067" s="7">
        <v>42483.859131944446</v>
      </c>
      <c r="B6067" s="8" t="str">
        <f>HYPERLINK("https://twitter.com/rfreuden","@rfreuden")</f>
        <v>@rfreuden</v>
      </c>
      <c r="C6067" s="9" t="s">
        <v>13811</v>
      </c>
      <c r="D6067" s="9" t="s">
        <v>13812</v>
      </c>
      <c r="E6067" s="10" t="str">
        <f>HYPERLINK("https://twitter.com/rfreuden/status/723890961001136128","723890961001136128")</f>
        <v>723890961001136128</v>
      </c>
      <c r="F6067" s="11" t="s">
        <v>114</v>
      </c>
      <c r="G6067" s="11">
        <v>143</v>
      </c>
      <c r="H6067" s="11">
        <v>502</v>
      </c>
      <c r="I6067" s="11">
        <v>0</v>
      </c>
      <c r="J6067" s="11">
        <v>0</v>
      </c>
      <c r="K6067" s="11" t="s">
        <v>21</v>
      </c>
      <c r="L6067" s="7">
        <v>39695.979363425926</v>
      </c>
      <c r="M6067" s="12" t="s">
        <v>13813</v>
      </c>
      <c r="N6067" s="12" t="s">
        <v>13814</v>
      </c>
      <c r="O6067" s="10" t="str">
        <f>HYPERLINK("https://pbs.twimg.com/profile_images/1261747552/photo_normal.JPG","View")</f>
        <v>View</v>
      </c>
      <c r="P6067" s="10" t="str">
        <f>HYPERLINK("http://ctrlq.org/maps/address/#35.96013836,-78.95991139","Map")</f>
        <v>Map</v>
      </c>
    </row>
    <row r="6068" spans="1:16" ht="12.75" x14ac:dyDescent="0.35">
      <c r="A6068" s="7">
        <v>42483.860706018517</v>
      </c>
      <c r="B6068" s="8" t="str">
        <f>HYPERLINK("https://twitter.com/jeremyjudkins","@jeremyjudkins")</f>
        <v>@jeremyjudkins</v>
      </c>
      <c r="C6068" s="9" t="s">
        <v>13815</v>
      </c>
      <c r="D6068" s="9" t="s">
        <v>13816</v>
      </c>
      <c r="E6068" s="10" t="str">
        <f>HYPERLINK("https://twitter.com/jeremyjudkins/status/723891532026273792","723891532026273792")</f>
        <v>723891532026273792</v>
      </c>
      <c r="F6068" s="11" t="s">
        <v>114</v>
      </c>
      <c r="G6068" s="11">
        <v>372</v>
      </c>
      <c r="H6068" s="11">
        <v>511</v>
      </c>
      <c r="I6068" s="11">
        <v>0</v>
      </c>
      <c r="J6068" s="11">
        <v>0</v>
      </c>
      <c r="K6068" s="11" t="s">
        <v>21</v>
      </c>
      <c r="L6068" s="7">
        <v>40110.934050925927</v>
      </c>
      <c r="M6068" s="12" t="s">
        <v>517</v>
      </c>
      <c r="N6068" s="12" t="s">
        <v>13817</v>
      </c>
      <c r="O6068" s="10" t="str">
        <f>HYPERLINK("https://pbs.twimg.com/profile_images/703731714225512448/L6xzIxC6_normal.jpg","View")</f>
        <v>View</v>
      </c>
      <c r="P6068" s="10" t="str">
        <f>HYPERLINK("http://ctrlq.org/maps/address/#31.63448381,-83.58424846","Map")</f>
        <v>Map</v>
      </c>
    </row>
    <row r="6069" spans="1:16" ht="12.75" x14ac:dyDescent="0.35">
      <c r="A6069" s="7">
        <v>42483.860856481479</v>
      </c>
      <c r="B6069" s="8" t="str">
        <f>HYPERLINK("https://twitter.com/hashtagvanlife","@hashtagvanlife")</f>
        <v>@hashtagvanlife</v>
      </c>
      <c r="C6069" s="9" t="s">
        <v>187</v>
      </c>
      <c r="D6069" s="9" t="s">
        <v>13818</v>
      </c>
      <c r="E6069" s="10" t="str">
        <f>HYPERLINK("https://twitter.com/hashtagvanlife/status/723891588045385728","723891588045385728")</f>
        <v>723891588045385728</v>
      </c>
      <c r="F6069" s="11" t="s">
        <v>189</v>
      </c>
      <c r="G6069" s="11">
        <v>1025</v>
      </c>
      <c r="H6069" s="11">
        <v>29</v>
      </c>
      <c r="I6069" s="11">
        <v>1</v>
      </c>
      <c r="J6069" s="11">
        <v>0</v>
      </c>
      <c r="K6069" s="11" t="s">
        <v>21</v>
      </c>
      <c r="L6069" s="7">
        <v>42289.994583333333</v>
      </c>
      <c r="M6069" s="12"/>
      <c r="N6069" s="12" t="s">
        <v>190</v>
      </c>
      <c r="O6069" s="10" t="str">
        <f>HYPERLINK("https://pbs.twimg.com/profile_images/653637535545995264/gHuXQ5Bt_normal.jpg","View")</f>
        <v>View</v>
      </c>
      <c r="P6069" s="11"/>
    </row>
    <row r="6070" spans="1:16" ht="12.75" x14ac:dyDescent="0.35">
      <c r="A6070" s="7">
        <v>42483.861851851849</v>
      </c>
      <c r="B6070" s="8" t="str">
        <f>HYPERLINK("https://twitter.com/VWBeetleSales","@VWBeetleSales")</f>
        <v>@VWBeetleSales</v>
      </c>
      <c r="C6070" s="9" t="s">
        <v>127</v>
      </c>
      <c r="D6070" s="9" t="s">
        <v>13819</v>
      </c>
      <c r="E6070" s="10" t="str">
        <f>HYPERLINK("https://twitter.com/VWBeetleSales/status/723891947765538817","723891947765538817")</f>
        <v>723891947765538817</v>
      </c>
      <c r="F6070" s="10" t="s">
        <v>124</v>
      </c>
      <c r="G6070" s="11">
        <v>36</v>
      </c>
      <c r="H6070" s="11">
        <v>32</v>
      </c>
      <c r="I6070" s="11">
        <v>0</v>
      </c>
      <c r="J6070" s="11">
        <v>0</v>
      </c>
      <c r="K6070" s="11" t="s">
        <v>21</v>
      </c>
      <c r="L6070" s="7">
        <v>42427.019756944443</v>
      </c>
      <c r="M6070" s="12" t="s">
        <v>129</v>
      </c>
      <c r="N6070" s="12" t="s">
        <v>130</v>
      </c>
      <c r="O6070" s="10" t="str">
        <f>HYPERLINK("https://pbs.twimg.com/profile_images/703294545195307008/qeCvrX86_normal.jpg","View")</f>
        <v>View</v>
      </c>
      <c r="P6070" s="11"/>
    </row>
    <row r="6071" spans="1:16" ht="12.75" x14ac:dyDescent="0.35">
      <c r="A6071" s="7">
        <v>42483.863217592589</v>
      </c>
      <c r="B6071" s="8" t="str">
        <f>HYPERLINK("https://twitter.com/SD2MUC","@SD2MUC")</f>
        <v>@SD2MUC</v>
      </c>
      <c r="C6071" s="9" t="s">
        <v>13820</v>
      </c>
      <c r="D6071" s="9" t="s">
        <v>13762</v>
      </c>
      <c r="E6071" s="10" t="str">
        <f>HYPERLINK("https://twitter.com/SD2MUC/status/723892443985379328","723892443985379328")</f>
        <v>723892443985379328</v>
      </c>
      <c r="F6071" s="11" t="s">
        <v>20</v>
      </c>
      <c r="G6071" s="11">
        <v>506</v>
      </c>
      <c r="H6071" s="11">
        <v>1084</v>
      </c>
      <c r="I6071" s="11">
        <v>4</v>
      </c>
      <c r="J6071" s="11">
        <v>0</v>
      </c>
      <c r="K6071" s="11" t="s">
        <v>21</v>
      </c>
      <c r="L6071" s="7">
        <v>40287.464374999996</v>
      </c>
      <c r="M6071" s="12" t="s">
        <v>13821</v>
      </c>
      <c r="N6071" s="12" t="s">
        <v>13822</v>
      </c>
      <c r="O6071" s="10" t="str">
        <f>HYPERLINK("https://pbs.twimg.com/profile_images/553716949738590209/8hcEcDmI_normal.jpeg","View")</f>
        <v>View</v>
      </c>
      <c r="P6071" s="11"/>
    </row>
    <row r="6072" spans="1:16" ht="12.75" x14ac:dyDescent="0.35">
      <c r="A6072" s="7">
        <v>42483.863483796296</v>
      </c>
      <c r="B6072" s="8" t="str">
        <f>HYPERLINK("https://twitter.com/goatandkettle","@goatandkettle")</f>
        <v>@goatandkettle</v>
      </c>
      <c r="C6072" s="9" t="s">
        <v>13823</v>
      </c>
      <c r="D6072" s="9" t="s">
        <v>13824</v>
      </c>
      <c r="E6072" s="10" t="str">
        <f>HYPERLINK("https://twitter.com/goatandkettle/status/723892540701691904","723892540701691904")</f>
        <v>723892540701691904</v>
      </c>
      <c r="F6072" s="11" t="s">
        <v>43</v>
      </c>
      <c r="G6072" s="11">
        <v>292</v>
      </c>
      <c r="H6072" s="11">
        <v>282</v>
      </c>
      <c r="I6072" s="11">
        <v>0</v>
      </c>
      <c r="J6072" s="11">
        <v>0</v>
      </c>
      <c r="K6072" s="11" t="s">
        <v>21</v>
      </c>
      <c r="L6072" s="7">
        <v>41050.006006944444</v>
      </c>
      <c r="M6072" s="12" t="s">
        <v>13825</v>
      </c>
      <c r="N6072" s="12" t="s">
        <v>13826</v>
      </c>
      <c r="O6072" s="10" t="str">
        <f>HYPERLINK("https://pbs.twimg.com/profile_images/448225399399411712/3vBzIwmK_normal.jpeg","View")</f>
        <v>View</v>
      </c>
      <c r="P6072" s="11"/>
    </row>
    <row r="6073" spans="1:16" ht="12.75" x14ac:dyDescent="0.35">
      <c r="A6073" s="7">
        <v>42483.864224537036</v>
      </c>
      <c r="B6073" s="8" t="str">
        <f>HYPERLINK("https://twitter.com/Insta_VWT","@Insta_VWT")</f>
        <v>@Insta_VWT</v>
      </c>
      <c r="C6073" s="9" t="s">
        <v>181</v>
      </c>
      <c r="D6073" s="9" t="s">
        <v>13827</v>
      </c>
      <c r="E6073" s="10" t="str">
        <f>HYPERLINK("https://twitter.com/Insta_VWT/status/723892807115640833","723892807115640833")</f>
        <v>723892807115640833</v>
      </c>
      <c r="F6073" s="11" t="s">
        <v>68</v>
      </c>
      <c r="G6073" s="11">
        <v>484</v>
      </c>
      <c r="H6073" s="11">
        <v>0</v>
      </c>
      <c r="I6073" s="11">
        <v>0</v>
      </c>
      <c r="J6073" s="11">
        <v>0</v>
      </c>
      <c r="K6073" s="11" t="s">
        <v>21</v>
      </c>
      <c r="L6073" s="7">
        <v>41658.782800925925</v>
      </c>
      <c r="M6073" s="12" t="s">
        <v>183</v>
      </c>
      <c r="N6073" s="12" t="s">
        <v>184</v>
      </c>
      <c r="O6073" s="10" t="str">
        <f>HYPERLINK("https://pbs.twimg.com/profile_images/424893967197433858/iQ86NktX_normal.jpeg","View")</f>
        <v>View</v>
      </c>
      <c r="P6073" s="11"/>
    </row>
    <row r="6074" spans="1:16" ht="12.75" x14ac:dyDescent="0.35">
      <c r="A6074" s="7">
        <v>42483.864259259259</v>
      </c>
      <c r="B6074" s="8" t="str">
        <f>HYPERLINK("https://twitter.com/RWFleetServices","@RWFleetServices")</f>
        <v>@RWFleetServices</v>
      </c>
      <c r="C6074" s="9" t="s">
        <v>2602</v>
      </c>
      <c r="D6074" s="9" t="s">
        <v>13828</v>
      </c>
      <c r="E6074" s="10" t="str">
        <f>HYPERLINK("https://twitter.com/RWFleetServices/status/723892820545835009","723892820545835009")</f>
        <v>723892820545835009</v>
      </c>
      <c r="F6074" s="11" t="s">
        <v>2604</v>
      </c>
      <c r="G6074" s="11">
        <v>287</v>
      </c>
      <c r="H6074" s="11">
        <v>261</v>
      </c>
      <c r="I6074" s="11">
        <v>0</v>
      </c>
      <c r="J6074" s="11">
        <v>0</v>
      </c>
      <c r="K6074" s="11" t="s">
        <v>21</v>
      </c>
      <c r="L6074" s="7">
        <v>41607.82476851852</v>
      </c>
      <c r="M6074" s="12" t="s">
        <v>2605</v>
      </c>
      <c r="N6074" s="12" t="s">
        <v>2606</v>
      </c>
      <c r="O6074" s="10" t="str">
        <f>HYPERLINK("https://pbs.twimg.com/profile_images/710902676310134784/rj4E7WD1_normal.jpg","View")</f>
        <v>View</v>
      </c>
      <c r="P6074" s="11"/>
    </row>
    <row r="6075" spans="1:16" ht="12.75" x14ac:dyDescent="0.35">
      <c r="A6075" s="7">
        <v>42483.867488425924</v>
      </c>
      <c r="B6075" s="8" t="str">
        <f>HYPERLINK("https://twitter.com/Burtbros","@Burtbros")</f>
        <v>@Burtbros</v>
      </c>
      <c r="C6075" s="9" t="s">
        <v>13829</v>
      </c>
      <c r="D6075" s="9" t="s">
        <v>13830</v>
      </c>
      <c r="E6075" s="10" t="str">
        <f>HYPERLINK("https://twitter.com/Burtbros/status/723893992820224001","723893992820224001")</f>
        <v>723893992820224001</v>
      </c>
      <c r="F6075" s="11" t="s">
        <v>53</v>
      </c>
      <c r="G6075" s="11">
        <v>267</v>
      </c>
      <c r="H6075" s="11">
        <v>320</v>
      </c>
      <c r="I6075" s="11">
        <v>0</v>
      </c>
      <c r="J6075" s="11">
        <v>0</v>
      </c>
      <c r="K6075" s="11" t="s">
        <v>21</v>
      </c>
      <c r="L6075" s="7">
        <v>41375.903657407405</v>
      </c>
      <c r="M6075" s="12" t="s">
        <v>4642</v>
      </c>
      <c r="N6075" s="12" t="s">
        <v>13831</v>
      </c>
      <c r="O6075" s="10" t="str">
        <f>HYPERLINK("https://pbs.twimg.com/profile_images/443500704578031616/l1PNCdBj_normal.jpeg","View")</f>
        <v>View</v>
      </c>
      <c r="P6075" s="11"/>
    </row>
    <row r="6076" spans="1:16" ht="12.75" x14ac:dyDescent="0.35">
      <c r="A6076" s="7">
        <v>42483.867581018523</v>
      </c>
      <c r="B6076" s="8" t="str">
        <f>HYPERLINK("https://twitter.com/GPAssetFinance","@GPAssetFinance")</f>
        <v>@GPAssetFinance</v>
      </c>
      <c r="C6076" s="9" t="s">
        <v>13832</v>
      </c>
      <c r="D6076" s="9" t="s">
        <v>13833</v>
      </c>
      <c r="E6076" s="10" t="str">
        <f>HYPERLINK("https://twitter.com/GPAssetFinance/status/723894024080396288","723894024080396288")</f>
        <v>723894024080396288</v>
      </c>
      <c r="F6076" s="11" t="s">
        <v>43</v>
      </c>
      <c r="G6076" s="11">
        <v>5889</v>
      </c>
      <c r="H6076" s="11">
        <v>6478</v>
      </c>
      <c r="I6076" s="11">
        <v>1</v>
      </c>
      <c r="J6076" s="11">
        <v>0</v>
      </c>
      <c r="K6076" s="11" t="s">
        <v>21</v>
      </c>
      <c r="L6076" s="7">
        <v>40868.751944444448</v>
      </c>
      <c r="M6076" s="12" t="s">
        <v>13834</v>
      </c>
      <c r="N6076" s="12" t="s">
        <v>13835</v>
      </c>
      <c r="O6076" s="10" t="str">
        <f>HYPERLINK("https://pbs.twimg.com/profile_images/486130541037494272/gLuQGrk0_normal.jpeg","View")</f>
        <v>View</v>
      </c>
      <c r="P6076" s="11"/>
    </row>
    <row r="6077" spans="1:16" ht="12.75" x14ac:dyDescent="0.35">
      <c r="A6077" s="7">
        <v>42483.868206018524</v>
      </c>
      <c r="B6077" s="8" t="str">
        <f>HYPERLINK("https://twitter.com/DonnaCBoehme","@DonnaCBoehme")</f>
        <v>@DonnaCBoehme</v>
      </c>
      <c r="C6077" s="9" t="s">
        <v>13836</v>
      </c>
      <c r="D6077" s="9" t="s">
        <v>13837</v>
      </c>
      <c r="E6077" s="10" t="str">
        <f>HYPERLINK("https://twitter.com/DonnaCBoehme/status/723894249385811968","723894249385811968")</f>
        <v>723894249385811968</v>
      </c>
      <c r="F6077" s="11" t="s">
        <v>43</v>
      </c>
      <c r="G6077" s="11">
        <v>2775</v>
      </c>
      <c r="H6077" s="11">
        <v>2394</v>
      </c>
      <c r="I6077" s="11">
        <v>0</v>
      </c>
      <c r="J6077" s="11">
        <v>0</v>
      </c>
      <c r="K6077" s="11" t="s">
        <v>21</v>
      </c>
      <c r="L6077" s="7">
        <v>40929.905335648145</v>
      </c>
      <c r="M6077" s="12" t="s">
        <v>7817</v>
      </c>
      <c r="N6077" s="12" t="s">
        <v>13838</v>
      </c>
      <c r="O6077" s="10" t="str">
        <f>HYPERLINK("https://pbs.twimg.com/profile_images/459344691729661953/ivwQqiW6_normal.jpeg","View")</f>
        <v>View</v>
      </c>
      <c r="P6077" s="11"/>
    </row>
    <row r="6078" spans="1:16" ht="12.75" x14ac:dyDescent="0.35">
      <c r="A6078" s="7">
        <v>42483.868530092594</v>
      </c>
      <c r="B6078" s="8" t="str">
        <f>HYPERLINK("https://twitter.com/peabee72","@peabee72")</f>
        <v>@peabee72</v>
      </c>
      <c r="C6078" s="9" t="s">
        <v>13839</v>
      </c>
      <c r="D6078" s="9" t="s">
        <v>13840</v>
      </c>
      <c r="E6078" s="10" t="str">
        <f>HYPERLINK("https://twitter.com/peabee72/status/723894369934295040","723894369934295040")</f>
        <v>723894369934295040</v>
      </c>
      <c r="F6078" s="11" t="s">
        <v>114</v>
      </c>
      <c r="G6078" s="11">
        <v>2287</v>
      </c>
      <c r="H6078" s="11">
        <v>1222</v>
      </c>
      <c r="I6078" s="11">
        <v>0</v>
      </c>
      <c r="J6078" s="11">
        <v>0</v>
      </c>
      <c r="K6078" s="11" t="s">
        <v>21</v>
      </c>
      <c r="L6078" s="7">
        <v>39770.82739583333</v>
      </c>
      <c r="M6078" s="12" t="s">
        <v>13841</v>
      </c>
      <c r="N6078" s="12" t="s">
        <v>13842</v>
      </c>
      <c r="O6078" s="10" t="str">
        <f>HYPERLINK("https://pbs.twimg.com/profile_images/710382978891964420/bDtudOu8_normal.jpg","View")</f>
        <v>View</v>
      </c>
      <c r="P6078" s="11"/>
    </row>
    <row r="6079" spans="1:16" ht="12.75" x14ac:dyDescent="0.35">
      <c r="A6079" s="7">
        <v>42483.869479166664</v>
      </c>
      <c r="B6079" s="8" t="str">
        <f>HYPERLINK("https://twitter.com/Scirocco_Tuning","@Scirocco_Tuning")</f>
        <v>@Scirocco_Tuning</v>
      </c>
      <c r="C6079" s="9" t="s">
        <v>51</v>
      </c>
      <c r="D6079" s="9" t="s">
        <v>13843</v>
      </c>
      <c r="E6079" s="10" t="str">
        <f>HYPERLINK("https://twitter.com/Scirocco_Tuning/status/723894714349568001","723894714349568001")</f>
        <v>723894714349568001</v>
      </c>
      <c r="F6079" s="11" t="s">
        <v>53</v>
      </c>
      <c r="G6079" s="11">
        <v>69</v>
      </c>
      <c r="H6079" s="11">
        <v>215</v>
      </c>
      <c r="I6079" s="11">
        <v>0</v>
      </c>
      <c r="J6079" s="11">
        <v>0</v>
      </c>
      <c r="K6079" s="11" t="s">
        <v>21</v>
      </c>
      <c r="L6079" s="7">
        <v>40844.564722222218</v>
      </c>
      <c r="M6079" s="12"/>
      <c r="N6079" s="12"/>
      <c r="O6079" s="10" t="str">
        <f>HYPERLINK("https://pbs.twimg.com/profile_images/1610421423/Image2_normal.jpg","View")</f>
        <v>View</v>
      </c>
      <c r="P6079" s="11"/>
    </row>
    <row r="6080" spans="1:16" ht="12.75" x14ac:dyDescent="0.35">
      <c r="A6080" s="7">
        <v>42483.870821759258</v>
      </c>
      <c r="B6080" s="8" t="str">
        <f>HYPERLINK("https://twitter.com/DonnaCBoehme","@DonnaCBoehme")</f>
        <v>@DonnaCBoehme</v>
      </c>
      <c r="C6080" s="9" t="s">
        <v>13836</v>
      </c>
      <c r="D6080" s="9" t="s">
        <v>13844</v>
      </c>
      <c r="E6080" s="10" t="str">
        <f>HYPERLINK("https://twitter.com/DonnaCBoehme/status/723895200301649920","723895200301649920")</f>
        <v>723895200301649920</v>
      </c>
      <c r="F6080" s="11" t="s">
        <v>43</v>
      </c>
      <c r="G6080" s="11">
        <v>2775</v>
      </c>
      <c r="H6080" s="11">
        <v>2394</v>
      </c>
      <c r="I6080" s="11">
        <v>0</v>
      </c>
      <c r="J6080" s="11">
        <v>1</v>
      </c>
      <c r="K6080" s="11" t="s">
        <v>21</v>
      </c>
      <c r="L6080" s="7">
        <v>40929.905335648145</v>
      </c>
      <c r="M6080" s="12" t="s">
        <v>7817</v>
      </c>
      <c r="N6080" s="12" t="s">
        <v>13838</v>
      </c>
      <c r="O6080" s="10" t="str">
        <f>HYPERLINK("https://pbs.twimg.com/profile_images/459344691729661953/ivwQqiW6_normal.jpeg","View")</f>
        <v>View</v>
      </c>
      <c r="P6080" s="11"/>
    </row>
    <row r="6081" spans="1:16" ht="12.75" x14ac:dyDescent="0.35">
      <c r="A6081" s="7">
        <v>42483.871215277773</v>
      </c>
      <c r="B6081" s="8" t="str">
        <f>HYPERLINK("https://twitter.com/VWBeetleSales","@VWBeetleSales")</f>
        <v>@VWBeetleSales</v>
      </c>
      <c r="C6081" s="9" t="s">
        <v>127</v>
      </c>
      <c r="D6081" s="9" t="s">
        <v>13845</v>
      </c>
      <c r="E6081" s="10" t="str">
        <f>HYPERLINK("https://twitter.com/VWBeetleSales/status/723895340919705600","723895340919705600")</f>
        <v>723895340919705600</v>
      </c>
      <c r="F6081" s="10" t="s">
        <v>124</v>
      </c>
      <c r="G6081" s="11">
        <v>36</v>
      </c>
      <c r="H6081" s="11">
        <v>32</v>
      </c>
      <c r="I6081" s="11">
        <v>0</v>
      </c>
      <c r="J6081" s="11">
        <v>0</v>
      </c>
      <c r="K6081" s="11" t="s">
        <v>21</v>
      </c>
      <c r="L6081" s="7">
        <v>42427.019756944443</v>
      </c>
      <c r="M6081" s="12" t="s">
        <v>129</v>
      </c>
      <c r="N6081" s="12" t="s">
        <v>130</v>
      </c>
      <c r="O6081" s="10" t="str">
        <f>HYPERLINK("https://pbs.twimg.com/profile_images/703294545195307008/qeCvrX86_normal.jpg","View")</f>
        <v>View</v>
      </c>
      <c r="P6081" s="11"/>
    </row>
    <row r="6082" spans="1:16" ht="12.75" x14ac:dyDescent="0.35">
      <c r="A6082" s="7">
        <v>42483.87228009259</v>
      </c>
      <c r="B6082" s="8" t="str">
        <f>HYPERLINK("https://twitter.com/Germanbsfan","@Germanbsfan")</f>
        <v>@Germanbsfan</v>
      </c>
      <c r="C6082" s="9" t="s">
        <v>13846</v>
      </c>
      <c r="D6082" s="9" t="s">
        <v>13762</v>
      </c>
      <c r="E6082" s="10" t="str">
        <f>HYPERLINK("https://twitter.com/Germanbsfan/status/723895727164915712","723895727164915712")</f>
        <v>723895727164915712</v>
      </c>
      <c r="F6082" s="11" t="s">
        <v>48</v>
      </c>
      <c r="G6082" s="11">
        <v>1685</v>
      </c>
      <c r="H6082" s="11">
        <v>1614</v>
      </c>
      <c r="I6082" s="11">
        <v>6</v>
      </c>
      <c r="J6082" s="11">
        <v>0</v>
      </c>
      <c r="K6082" s="11" t="s">
        <v>21</v>
      </c>
      <c r="L6082" s="7">
        <v>40942.296168981484</v>
      </c>
      <c r="M6082" s="12" t="s">
        <v>13847</v>
      </c>
      <c r="N6082" s="12" t="s">
        <v>13848</v>
      </c>
      <c r="O6082" s="10" t="str">
        <f>HYPERLINK("https://pbs.twimg.com/profile_images/720670609282351104/5UrLey3s_normal.jpg","View")</f>
        <v>View</v>
      </c>
      <c r="P6082" s="11"/>
    </row>
    <row r="6083" spans="1:16" ht="12.75" x14ac:dyDescent="0.35">
      <c r="A6083" s="7">
        <v>42483.873055555552</v>
      </c>
      <c r="B6083" s="8" t="str">
        <f>HYPERLINK("https://twitter.com/KK24990","@KK24990")</f>
        <v>@KK24990</v>
      </c>
      <c r="C6083" s="9" t="s">
        <v>13849</v>
      </c>
      <c r="D6083" s="9" t="s">
        <v>13762</v>
      </c>
      <c r="E6083" s="10" t="str">
        <f>HYPERLINK("https://twitter.com/KK24990/status/723896007264768000","723896007264768000")</f>
        <v>723896007264768000</v>
      </c>
      <c r="F6083" s="11" t="s">
        <v>20</v>
      </c>
      <c r="G6083" s="11">
        <v>312</v>
      </c>
      <c r="H6083" s="11">
        <v>228</v>
      </c>
      <c r="I6083" s="11">
        <v>6</v>
      </c>
      <c r="J6083" s="11">
        <v>0</v>
      </c>
      <c r="K6083" s="11" t="s">
        <v>21</v>
      </c>
      <c r="L6083" s="7">
        <v>40787.066400462965</v>
      </c>
      <c r="M6083" s="12" t="s">
        <v>13850</v>
      </c>
      <c r="N6083" s="12" t="s">
        <v>13851</v>
      </c>
      <c r="O6083" s="10" t="str">
        <f>HYPERLINK("https://pbs.twimg.com/profile_images/721726455420424195/1sADDwx8_normal.jpg","View")</f>
        <v>View</v>
      </c>
      <c r="P6083" s="11"/>
    </row>
    <row r="6084" spans="1:16" ht="12.75" x14ac:dyDescent="0.35">
      <c r="A6084" s="7">
        <v>42483.87400462963</v>
      </c>
      <c r="B6084" s="8" t="str">
        <f t="shared" ref="B6084:B6085" si="521">HYPERLINK("https://twitter.com/VolkswagenPost","@VolkswagenPost")</f>
        <v>@VolkswagenPost</v>
      </c>
      <c r="C6084" s="9" t="s">
        <v>321</v>
      </c>
      <c r="D6084" s="9" t="s">
        <v>13852</v>
      </c>
      <c r="E6084" s="10" t="str">
        <f>HYPERLINK("https://twitter.com/VolkswagenPost/status/723896352862801921","723896352862801921")</f>
        <v>723896352862801921</v>
      </c>
      <c r="F6084" s="11" t="s">
        <v>288</v>
      </c>
      <c r="G6084" s="11">
        <v>570</v>
      </c>
      <c r="H6084" s="11">
        <v>446</v>
      </c>
      <c r="I6084" s="11">
        <v>1</v>
      </c>
      <c r="J6084" s="11">
        <v>0</v>
      </c>
      <c r="K6084" s="11" t="s">
        <v>21</v>
      </c>
      <c r="L6084" s="7">
        <v>41940.618379629632</v>
      </c>
      <c r="M6084" s="12"/>
      <c r="N6084" s="12"/>
      <c r="O6084" s="10" t="str">
        <f t="shared" ref="O6084:O6085" si="522">HYPERLINK("https://pbs.twimg.com/profile_images/530071272881803264/a_jcCmPZ_normal.png","View")</f>
        <v>View</v>
      </c>
      <c r="P6084" s="11"/>
    </row>
    <row r="6085" spans="1:16" ht="12.75" x14ac:dyDescent="0.35">
      <c r="A6085" s="7">
        <v>42483.87400462963</v>
      </c>
      <c r="B6085" s="8" t="str">
        <f t="shared" si="521"/>
        <v>@VolkswagenPost</v>
      </c>
      <c r="C6085" s="9" t="s">
        <v>321</v>
      </c>
      <c r="D6085" s="9" t="s">
        <v>13853</v>
      </c>
      <c r="E6085" s="10" t="str">
        <f>HYPERLINK("https://twitter.com/VolkswagenPost/status/723896353928175618","723896353928175618")</f>
        <v>723896353928175618</v>
      </c>
      <c r="F6085" s="11" t="s">
        <v>288</v>
      </c>
      <c r="G6085" s="11">
        <v>570</v>
      </c>
      <c r="H6085" s="11">
        <v>446</v>
      </c>
      <c r="I6085" s="11">
        <v>1</v>
      </c>
      <c r="J6085" s="11">
        <v>0</v>
      </c>
      <c r="K6085" s="11" t="s">
        <v>21</v>
      </c>
      <c r="L6085" s="7">
        <v>41940.618379629632</v>
      </c>
      <c r="M6085" s="12"/>
      <c r="N6085" s="12"/>
      <c r="O6085" s="10" t="str">
        <f t="shared" si="522"/>
        <v>View</v>
      </c>
      <c r="P6085" s="11"/>
    </row>
    <row r="6086" spans="1:16" ht="12.75" x14ac:dyDescent="0.35">
      <c r="A6086" s="7">
        <v>42483.874699074076</v>
      </c>
      <c r="B6086" s="8" t="str">
        <f>HYPERLINK("https://twitter.com/VeeDubMk1_","@VeeDubMk1_")</f>
        <v>@VeeDubMk1_</v>
      </c>
      <c r="C6086" s="9" t="s">
        <v>185</v>
      </c>
      <c r="D6086" s="9" t="s">
        <v>13854</v>
      </c>
      <c r="E6086" s="10" t="str">
        <f>HYPERLINK("https://twitter.com/VeeDubMk1_/status/723896604684619776","723896604684619776")</f>
        <v>723896604684619776</v>
      </c>
      <c r="F6086" s="11" t="s">
        <v>68</v>
      </c>
      <c r="G6086" s="11">
        <v>548</v>
      </c>
      <c r="H6086" s="11">
        <v>3527</v>
      </c>
      <c r="I6086" s="11">
        <v>0</v>
      </c>
      <c r="J6086" s="11">
        <v>0</v>
      </c>
      <c r="K6086" s="11" t="s">
        <v>21</v>
      </c>
      <c r="L6086" s="7">
        <v>42343.063356481478</v>
      </c>
      <c r="M6086" s="12"/>
      <c r="N6086" s="12"/>
      <c r="O6086" s="10" t="str">
        <f>HYPERLINK("https://pbs.twimg.com/profile_images/672878354127839232/M7OYc-zx_normal.jpg","View")</f>
        <v>View</v>
      </c>
      <c r="P6086" s="11"/>
    </row>
    <row r="6087" spans="1:16" ht="12.75" x14ac:dyDescent="0.35">
      <c r="A6087" s="7">
        <v>42483.875243055554</v>
      </c>
      <c r="B6087" s="8" t="str">
        <f>HYPERLINK("https://twitter.com/a_majid99","@a_majid99")</f>
        <v>@a_majid99</v>
      </c>
      <c r="C6087" s="9" t="s">
        <v>13855</v>
      </c>
      <c r="D6087" s="9" t="s">
        <v>13112</v>
      </c>
      <c r="E6087" s="10" t="str">
        <f>HYPERLINK("https://twitter.com/a_majid99/status/723896800319512576","723896800319512576")</f>
        <v>723896800319512576</v>
      </c>
      <c r="F6087" s="11" t="s">
        <v>20</v>
      </c>
      <c r="G6087" s="11">
        <v>158</v>
      </c>
      <c r="H6087" s="11">
        <v>252</v>
      </c>
      <c r="I6087" s="11">
        <v>10</v>
      </c>
      <c r="J6087" s="11">
        <v>0</v>
      </c>
      <c r="K6087" s="11" t="s">
        <v>21</v>
      </c>
      <c r="L6087" s="7">
        <v>41484.980937500004</v>
      </c>
      <c r="M6087" s="12"/>
      <c r="N6087" s="12"/>
      <c r="O6087" s="10" t="str">
        <f>HYPERLINK("https://abs.twimg.com/sticky/default_profile_images/default_profile_5_normal.png","View")</f>
        <v>View</v>
      </c>
      <c r="P6087" s="11"/>
    </row>
    <row r="6088" spans="1:16" ht="12.75" x14ac:dyDescent="0.35">
      <c r="A6088" s="7">
        <v>42483.876284722224</v>
      </c>
      <c r="B6088" s="8" t="str">
        <f>HYPERLINK("https://twitter.com/DevinPierson","@DevinPierson")</f>
        <v>@DevinPierson</v>
      </c>
      <c r="C6088" s="9" t="s">
        <v>13856</v>
      </c>
      <c r="D6088" s="9" t="s">
        <v>13857</v>
      </c>
      <c r="E6088" s="10" t="str">
        <f>HYPERLINK("https://twitter.com/DevinPierson/status/723897179828531201","723897179828531201")</f>
        <v>723897179828531201</v>
      </c>
      <c r="F6088" s="11" t="s">
        <v>48</v>
      </c>
      <c r="G6088" s="11">
        <v>173</v>
      </c>
      <c r="H6088" s="11">
        <v>323</v>
      </c>
      <c r="I6088" s="11">
        <v>1</v>
      </c>
      <c r="J6088" s="11">
        <v>0</v>
      </c>
      <c r="K6088" s="11" t="s">
        <v>21</v>
      </c>
      <c r="L6088" s="7">
        <v>41298.916712962964</v>
      </c>
      <c r="M6088" s="12" t="s">
        <v>13858</v>
      </c>
      <c r="N6088" s="12" t="s">
        <v>13859</v>
      </c>
      <c r="O6088" s="10" t="str">
        <f>HYPERLINK("https://pbs.twimg.com/profile_images/705074350152556544/DuuTJ6bR_normal.jpg","View")</f>
        <v>View</v>
      </c>
      <c r="P6088" s="11"/>
    </row>
    <row r="6089" spans="1:16" ht="12.75" x14ac:dyDescent="0.35">
      <c r="A6089" s="7">
        <v>42483.876655092594</v>
      </c>
      <c r="B6089" s="8" t="str">
        <f>HYPERLINK("https://twitter.com/TheRoadClowns","@TheRoadClowns")</f>
        <v>@TheRoadClowns</v>
      </c>
      <c r="C6089" s="9" t="s">
        <v>13860</v>
      </c>
      <c r="D6089" s="9" t="s">
        <v>13861</v>
      </c>
      <c r="E6089" s="10" t="str">
        <f>HYPERLINK("https://twitter.com/TheRoadClowns/status/723897314729963520","723897314729963520")</f>
        <v>723897314729963520</v>
      </c>
      <c r="F6089" s="11" t="s">
        <v>367</v>
      </c>
      <c r="G6089" s="11">
        <v>38</v>
      </c>
      <c r="H6089" s="11">
        <v>33</v>
      </c>
      <c r="I6089" s="11">
        <v>0</v>
      </c>
      <c r="J6089" s="11">
        <v>0</v>
      </c>
      <c r="K6089" s="11" t="s">
        <v>21</v>
      </c>
      <c r="L6089" s="7">
        <v>40738.750335648147</v>
      </c>
      <c r="M6089" s="12" t="s">
        <v>35</v>
      </c>
      <c r="N6089" s="12" t="s">
        <v>13862</v>
      </c>
      <c r="O6089" s="10" t="str">
        <f>HYPERLINK("https://pbs.twimg.com/profile_images/1442070195/ClownCar_normal.png","View")</f>
        <v>View</v>
      </c>
      <c r="P6089" s="11"/>
    </row>
    <row r="6090" spans="1:16" ht="12.75" x14ac:dyDescent="0.35">
      <c r="A6090" s="7">
        <v>42483.877233796295</v>
      </c>
      <c r="B6090" s="8" t="str">
        <f>HYPERLINK("https://twitter.com/dubtoberfest","@dubtoberfest")</f>
        <v>@dubtoberfest</v>
      </c>
      <c r="C6090" s="9" t="s">
        <v>10202</v>
      </c>
      <c r="D6090" s="9" t="s">
        <v>13863</v>
      </c>
      <c r="E6090" s="10" t="str">
        <f>HYPERLINK("https://twitter.com/dubtoberfest/status/723897523971219457","723897523971219457")</f>
        <v>723897523971219457</v>
      </c>
      <c r="F6090" s="11" t="s">
        <v>48</v>
      </c>
      <c r="G6090" s="11">
        <v>707</v>
      </c>
      <c r="H6090" s="11">
        <v>865</v>
      </c>
      <c r="I6090" s="11">
        <v>0</v>
      </c>
      <c r="J6090" s="11">
        <v>0</v>
      </c>
      <c r="K6090" s="11" t="s">
        <v>21</v>
      </c>
      <c r="L6090" s="7">
        <v>42072.945543981477</v>
      </c>
      <c r="M6090" s="12" t="s">
        <v>10204</v>
      </c>
      <c r="N6090" s="12" t="s">
        <v>10205</v>
      </c>
      <c r="O6090" s="10" t="str">
        <f>HYPERLINK("https://pbs.twimg.com/profile_images/582903436158586880/9BOOA3zQ_normal.jpg","View")</f>
        <v>View</v>
      </c>
      <c r="P6090" s="11"/>
    </row>
    <row r="6091" spans="1:16" ht="12.75" x14ac:dyDescent="0.35">
      <c r="A6091" s="7">
        <v>42483.87799768518</v>
      </c>
      <c r="B6091" s="8" t="str">
        <f>HYPERLINK("https://twitter.com/brandywineap","@brandywineap")</f>
        <v>@brandywineap</v>
      </c>
      <c r="C6091" s="9" t="s">
        <v>13864</v>
      </c>
      <c r="D6091" s="9" t="s">
        <v>13865</v>
      </c>
      <c r="E6091" s="10" t="str">
        <f>HYPERLINK("https://twitter.com/brandywineap/status/723897800421834752","723897800421834752")</f>
        <v>723897800421834752</v>
      </c>
      <c r="F6091" s="11" t="s">
        <v>43</v>
      </c>
      <c r="G6091" s="11">
        <v>849</v>
      </c>
      <c r="H6091" s="11">
        <v>2323</v>
      </c>
      <c r="I6091" s="11">
        <v>0</v>
      </c>
      <c r="J6091" s="11">
        <v>0</v>
      </c>
      <c r="K6091" s="11" t="s">
        <v>21</v>
      </c>
      <c r="L6091" s="7">
        <v>41934.939166666663</v>
      </c>
      <c r="M6091" s="12" t="s">
        <v>13866</v>
      </c>
      <c r="N6091" s="12" t="s">
        <v>13867</v>
      </c>
      <c r="O6091" s="10" t="str">
        <f>HYPERLINK("https://pbs.twimg.com/profile_images/524970986840412160/t0GfzRDD_normal.jpeg","View")</f>
        <v>View</v>
      </c>
      <c r="P6091" s="11"/>
    </row>
    <row r="6092" spans="1:16" ht="12.75" x14ac:dyDescent="0.35">
      <c r="A6092" s="7">
        <v>42483.878136574072</v>
      </c>
      <c r="B6092" s="8" t="str">
        <f>HYPERLINK("https://twitter.com/twamateur","@twamateur")</f>
        <v>@twamateur</v>
      </c>
      <c r="C6092" s="9" t="s">
        <v>13868</v>
      </c>
      <c r="D6092" s="9" t="s">
        <v>7947</v>
      </c>
      <c r="E6092" s="10" t="str">
        <f>HYPERLINK("https://twitter.com/twamateur/status/723897848190918658","723897848190918658")</f>
        <v>723897848190918658</v>
      </c>
      <c r="F6092" s="11" t="s">
        <v>91</v>
      </c>
      <c r="G6092" s="11">
        <v>97</v>
      </c>
      <c r="H6092" s="11">
        <v>123</v>
      </c>
      <c r="I6092" s="11">
        <v>3</v>
      </c>
      <c r="J6092" s="11">
        <v>0</v>
      </c>
      <c r="K6092" s="11" t="s">
        <v>21</v>
      </c>
      <c r="L6092" s="7">
        <v>40294.907997685186</v>
      </c>
      <c r="M6092" s="12" t="s">
        <v>13869</v>
      </c>
      <c r="N6092" s="12" t="s">
        <v>13870</v>
      </c>
      <c r="O6092" s="10" t="str">
        <f>HYPERLINK("https://pbs.twimg.com/profile_images/668467583675457537/B5dG-jc6_normal.jpg","View")</f>
        <v>View</v>
      </c>
      <c r="P6092" s="11"/>
    </row>
    <row r="6093" spans="1:16" ht="12.75" x14ac:dyDescent="0.35">
      <c r="A6093" s="7">
        <v>42483.879247685181</v>
      </c>
      <c r="B6093" s="8" t="str">
        <f>HYPERLINK("https://twitter.com/Braulio_Urresti","@Braulio_Urresti")</f>
        <v>@Braulio_Urresti</v>
      </c>
      <c r="C6093" s="9" t="s">
        <v>7915</v>
      </c>
      <c r="D6093" s="9" t="s">
        <v>13871</v>
      </c>
      <c r="E6093" s="10" t="str">
        <f>HYPERLINK("https://twitter.com/Braulio_Urresti/status/723898253633310721","723898253633310721")</f>
        <v>723898253633310721</v>
      </c>
      <c r="F6093" s="11" t="s">
        <v>68</v>
      </c>
      <c r="G6093" s="11">
        <v>61</v>
      </c>
      <c r="H6093" s="11">
        <v>93</v>
      </c>
      <c r="I6093" s="11">
        <v>0</v>
      </c>
      <c r="J6093" s="11">
        <v>0</v>
      </c>
      <c r="K6093" s="11" t="s">
        <v>21</v>
      </c>
      <c r="L6093" s="7">
        <v>42474.937349537038</v>
      </c>
      <c r="M6093" s="12"/>
      <c r="N6093" s="12"/>
      <c r="O6093" s="10" t="str">
        <f>HYPERLINK("https://abs.twimg.com/sticky/default_profile_images/default_profile_5_normal.png","View")</f>
        <v>View</v>
      </c>
      <c r="P6093" s="11"/>
    </row>
    <row r="6094" spans="1:16" ht="12.75" x14ac:dyDescent="0.35">
      <c r="A6094" s="7">
        <v>42483.879270833335</v>
      </c>
      <c r="B6094" s="8" t="str">
        <f>HYPERLINK("https://twitter.com/VWCamperSales","@VWCamperSales")</f>
        <v>@VWCamperSales</v>
      </c>
      <c r="C6094" s="9" t="s">
        <v>216</v>
      </c>
      <c r="D6094" s="9" t="s">
        <v>13872</v>
      </c>
      <c r="E6094" s="10" t="str">
        <f>HYPERLINK("https://twitter.com/VWCamperSales/status/723898261614944256","723898261614944256")</f>
        <v>723898261614944256</v>
      </c>
      <c r="F6094" s="10" t="s">
        <v>124</v>
      </c>
      <c r="G6094" s="11">
        <v>621</v>
      </c>
      <c r="H6094" s="11">
        <v>580</v>
      </c>
      <c r="I6094" s="11">
        <v>0</v>
      </c>
      <c r="J6094" s="11">
        <v>0</v>
      </c>
      <c r="K6094" s="11" t="s">
        <v>21</v>
      </c>
      <c r="L6094" s="7">
        <v>42215.98809027778</v>
      </c>
      <c r="M6094" s="12" t="s">
        <v>129</v>
      </c>
      <c r="N6094" s="12" t="s">
        <v>218</v>
      </c>
      <c r="O6094" s="10" t="str">
        <f>HYPERLINK("https://pbs.twimg.com/profile_images/627949001179037696/skEBkS05_normal.jpg","View")</f>
        <v>View</v>
      </c>
      <c r="P6094" s="11"/>
    </row>
    <row r="6095" spans="1:16" ht="12.75" x14ac:dyDescent="0.35">
      <c r="A6095" s="7">
        <v>42483.880023148144</v>
      </c>
      <c r="B6095" s="8" t="str">
        <f>HYPERLINK("https://twitter.com/meerkatus71","@meerkatus71")</f>
        <v>@meerkatus71</v>
      </c>
      <c r="C6095" s="9" t="s">
        <v>13873</v>
      </c>
      <c r="D6095" s="9" t="s">
        <v>13874</v>
      </c>
      <c r="E6095" s="10" t="str">
        <f>HYPERLINK("https://twitter.com/meerkatus71/status/723898532407562241","723898532407562241")</f>
        <v>723898532407562241</v>
      </c>
      <c r="F6095" s="11" t="s">
        <v>20</v>
      </c>
      <c r="G6095" s="11">
        <v>49</v>
      </c>
      <c r="H6095" s="11">
        <v>38</v>
      </c>
      <c r="I6095" s="11">
        <v>0</v>
      </c>
      <c r="J6095" s="11">
        <v>0</v>
      </c>
      <c r="K6095" s="11" t="s">
        <v>21</v>
      </c>
      <c r="L6095" s="7">
        <v>41940.41002314815</v>
      </c>
      <c r="M6095" s="12"/>
      <c r="N6095" s="12" t="s">
        <v>13875</v>
      </c>
      <c r="O6095" s="10" t="str">
        <f>HYPERLINK("https://pbs.twimg.com/profile_images/581968617006243840/EDrS5JLM_normal.jpg","View")</f>
        <v>View</v>
      </c>
      <c r="P6095" s="11"/>
    </row>
    <row r="6096" spans="1:16" ht="12.75" x14ac:dyDescent="0.35">
      <c r="A6096" s="7">
        <v>42483.880069444444</v>
      </c>
      <c r="B6096" s="8" t="str">
        <f>HYPERLINK("https://twitter.com/bundes_car","@bundes_car")</f>
        <v>@bundes_car</v>
      </c>
      <c r="C6096" s="9" t="s">
        <v>13876</v>
      </c>
      <c r="D6096" s="9" t="s">
        <v>13877</v>
      </c>
      <c r="E6096" s="10" t="str">
        <f>HYPERLINK("https://twitter.com/bundes_car/status/723898552607473665","723898552607473665")</f>
        <v>723898552607473665</v>
      </c>
      <c r="F6096" s="11" t="s">
        <v>13878</v>
      </c>
      <c r="G6096" s="11">
        <v>130</v>
      </c>
      <c r="H6096" s="11">
        <v>51</v>
      </c>
      <c r="I6096" s="11">
        <v>0</v>
      </c>
      <c r="J6096" s="11">
        <v>0</v>
      </c>
      <c r="K6096" s="11" t="s">
        <v>21</v>
      </c>
      <c r="L6096" s="7">
        <v>42437.599490740744</v>
      </c>
      <c r="M6096" s="12" t="s">
        <v>13879</v>
      </c>
      <c r="N6096" s="12" t="s">
        <v>13880</v>
      </c>
      <c r="O6096" s="10" t="str">
        <f>HYPERLINK("https://pbs.twimg.com/profile_images/707127715581849600/zPs3f0nI_normal.jpg","View")</f>
        <v>View</v>
      </c>
      <c r="P6096" s="11"/>
    </row>
    <row r="6097" spans="1:16" ht="12.75" x14ac:dyDescent="0.35">
      <c r="A6097" s="7">
        <v>42483.881099537037</v>
      </c>
      <c r="B6097" s="8" t="str">
        <f>HYPERLINK("https://twitter.com/Joh_Amarok","@Joh_Amarok")</f>
        <v>@Joh_Amarok</v>
      </c>
      <c r="C6097" s="9" t="s">
        <v>13881</v>
      </c>
      <c r="D6097" s="9" t="s">
        <v>13882</v>
      </c>
      <c r="E6097" s="10" t="str">
        <f>HYPERLINK("https://twitter.com/Joh_Amarok/status/723898922985463808","723898922985463808")</f>
        <v>723898922985463808</v>
      </c>
      <c r="F6097" s="11" t="s">
        <v>43</v>
      </c>
      <c r="G6097" s="11">
        <v>119</v>
      </c>
      <c r="H6097" s="11">
        <v>206</v>
      </c>
      <c r="I6097" s="11">
        <v>0</v>
      </c>
      <c r="J6097" s="11">
        <v>0</v>
      </c>
      <c r="K6097" s="11" t="s">
        <v>21</v>
      </c>
      <c r="L6097" s="7">
        <v>40323.013622685183</v>
      </c>
      <c r="M6097" s="12" t="s">
        <v>1116</v>
      </c>
      <c r="N6097" s="12" t="s">
        <v>13883</v>
      </c>
      <c r="O6097" s="10" t="str">
        <f>HYPERLINK("https://pbs.twimg.com/profile_images/723885547924672512/Zs63ZdSQ_normal.jpg","View")</f>
        <v>View</v>
      </c>
      <c r="P6097" s="11"/>
    </row>
    <row r="6098" spans="1:16" ht="12.75" x14ac:dyDescent="0.35">
      <c r="A6098" s="7">
        <v>42483.881851851853</v>
      </c>
      <c r="B6098" s="8" t="str">
        <f>HYPERLINK("https://twitter.com/OnlineCarReview","@OnlineCarReview")</f>
        <v>@OnlineCarReview</v>
      </c>
      <c r="C6098" s="9" t="s">
        <v>176</v>
      </c>
      <c r="D6098" s="9" t="s">
        <v>13884</v>
      </c>
      <c r="E6098" s="10" t="str">
        <f>HYPERLINK("https://twitter.com/OnlineCarReview/status/723899196940509184","723899196940509184")</f>
        <v>723899196940509184</v>
      </c>
      <c r="F6098" s="11" t="s">
        <v>34</v>
      </c>
      <c r="G6098" s="11">
        <v>839</v>
      </c>
      <c r="H6098" s="11">
        <v>568</v>
      </c>
      <c r="I6098" s="11">
        <v>0</v>
      </c>
      <c r="J6098" s="11">
        <v>0</v>
      </c>
      <c r="K6098" s="11" t="s">
        <v>21</v>
      </c>
      <c r="L6098" s="7">
        <v>42282.979201388887</v>
      </c>
      <c r="M6098" s="12"/>
      <c r="N6098" s="12" t="s">
        <v>178</v>
      </c>
      <c r="O6098" s="10" t="str">
        <f>HYPERLINK("https://pbs.twimg.com/profile_images/652871584131092480/QA_B6SBO_normal.jpg","View")</f>
        <v>View</v>
      </c>
      <c r="P6098" s="11"/>
    </row>
    <row r="6099" spans="1:16" ht="12.75" x14ac:dyDescent="0.35">
      <c r="A6099" s="7">
        <v>42483.882071759261</v>
      </c>
      <c r="B6099" s="8" t="str">
        <f>HYPERLINK("https://twitter.com/Floppii_Chiara","@Floppii_Chiara")</f>
        <v>@Floppii_Chiara</v>
      </c>
      <c r="C6099" s="9" t="s">
        <v>13885</v>
      </c>
      <c r="D6099" s="9" t="s">
        <v>11951</v>
      </c>
      <c r="E6099" s="10" t="str">
        <f>HYPERLINK("https://twitter.com/Floppii_Chiara/status/723899277152534528","723899277152534528")</f>
        <v>723899277152534528</v>
      </c>
      <c r="F6099" s="11" t="s">
        <v>48</v>
      </c>
      <c r="G6099" s="11">
        <v>2053</v>
      </c>
      <c r="H6099" s="11">
        <v>1817</v>
      </c>
      <c r="I6099" s="11">
        <v>25</v>
      </c>
      <c r="J6099" s="11">
        <v>0</v>
      </c>
      <c r="K6099" s="11" t="s">
        <v>21</v>
      </c>
      <c r="L6099" s="7">
        <v>41739.011296296296</v>
      </c>
      <c r="M6099" s="12" t="s">
        <v>13886</v>
      </c>
      <c r="N6099" s="12" t="s">
        <v>13887</v>
      </c>
      <c r="O6099" s="10" t="str">
        <f>HYPERLINK("https://pbs.twimg.com/profile_images/721334921982296065/-8sj1MgA_normal.jpg","View")</f>
        <v>View</v>
      </c>
      <c r="P6099" s="11"/>
    </row>
    <row r="6100" spans="1:16" ht="12.75" x14ac:dyDescent="0.35">
      <c r="A6100" s="7">
        <v>42483.882592592592</v>
      </c>
      <c r="B6100" s="8" t="str">
        <f>HYPERLINK("https://twitter.com/carsten290666","@carsten290666")</f>
        <v>@carsten290666</v>
      </c>
      <c r="C6100" s="9" t="s">
        <v>13888</v>
      </c>
      <c r="D6100" s="9" t="s">
        <v>13597</v>
      </c>
      <c r="E6100" s="10" t="str">
        <f>HYPERLINK("https://twitter.com/carsten290666/status/723899464717615104","723899464717615104")</f>
        <v>723899464717615104</v>
      </c>
      <c r="F6100" s="11" t="s">
        <v>43</v>
      </c>
      <c r="G6100" s="11">
        <v>18</v>
      </c>
      <c r="H6100" s="11">
        <v>63</v>
      </c>
      <c r="I6100" s="11">
        <v>2</v>
      </c>
      <c r="J6100" s="11">
        <v>0</v>
      </c>
      <c r="K6100" s="11" t="s">
        <v>21</v>
      </c>
      <c r="L6100" s="7">
        <v>40049.041041666671</v>
      </c>
      <c r="M6100" s="12" t="s">
        <v>13889</v>
      </c>
      <c r="N6100" s="12"/>
      <c r="O6100" s="10" t="str">
        <f>HYPERLINK("https://pbs.twimg.com/profile_images/657659695319154688/DkZotiSO_normal.jpg","View")</f>
        <v>View</v>
      </c>
      <c r="P6100" s="11"/>
    </row>
    <row r="6101" spans="1:16" ht="12.75" x14ac:dyDescent="0.35">
      <c r="A6101" s="7">
        <v>42483.883113425924</v>
      </c>
      <c r="B6101" s="8" t="str">
        <f>HYPERLINK("https://twitter.com/SocialAutos","@SocialAutos")</f>
        <v>@SocialAutos</v>
      </c>
      <c r="C6101" s="9" t="s">
        <v>3504</v>
      </c>
      <c r="D6101" s="9" t="s">
        <v>13890</v>
      </c>
      <c r="E6101" s="10" t="str">
        <f>HYPERLINK("https://twitter.com/SocialAutos/status/723899655453589505","723899655453589505")</f>
        <v>723899655453589505</v>
      </c>
      <c r="F6101" s="10" t="s">
        <v>3506</v>
      </c>
      <c r="G6101" s="11">
        <v>75</v>
      </c>
      <c r="H6101" s="11">
        <v>72</v>
      </c>
      <c r="I6101" s="11">
        <v>0</v>
      </c>
      <c r="J6101" s="11">
        <v>0</v>
      </c>
      <c r="K6101" s="11" t="s">
        <v>21</v>
      </c>
      <c r="L6101" s="7">
        <v>41613.191724537035</v>
      </c>
      <c r="M6101" s="12" t="s">
        <v>3507</v>
      </c>
      <c r="N6101" s="12" t="s">
        <v>3508</v>
      </c>
      <c r="O6101" s="10" t="str">
        <f>HYPERLINK("https://pbs.twimg.com/profile_images/378800000830360955/5fb295e74c438beb9dd7777a56295953_normal.jpeg","View")</f>
        <v>View</v>
      </c>
      <c r="P6101" s="11"/>
    </row>
    <row r="6102" spans="1:16" ht="12.75" x14ac:dyDescent="0.35">
      <c r="A6102" s="7">
        <v>42483.883310185185</v>
      </c>
      <c r="B6102" s="8" t="str">
        <f>HYPERLINK("https://twitter.com/johnmac17","@johnmac17")</f>
        <v>@johnmac17</v>
      </c>
      <c r="C6102" s="9" t="s">
        <v>13891</v>
      </c>
      <c r="D6102" s="9" t="s">
        <v>13853</v>
      </c>
      <c r="E6102" s="10" t="str">
        <f>HYPERLINK("https://twitter.com/johnmac17/status/723899725481709568","723899725481709568")</f>
        <v>723899725481709568</v>
      </c>
      <c r="F6102" s="11" t="s">
        <v>20</v>
      </c>
      <c r="G6102" s="11">
        <v>466</v>
      </c>
      <c r="H6102" s="11">
        <v>462</v>
      </c>
      <c r="I6102" s="11">
        <v>2</v>
      </c>
      <c r="J6102" s="11">
        <v>0</v>
      </c>
      <c r="K6102" s="11" t="s">
        <v>21</v>
      </c>
      <c r="L6102" s="7">
        <v>40382.148402777777</v>
      </c>
      <c r="M6102" s="12" t="s">
        <v>13892</v>
      </c>
      <c r="N6102" s="12" t="s">
        <v>13893</v>
      </c>
      <c r="O6102" s="10" t="str">
        <f>HYPERLINK("https://pbs.twimg.com/profile_images/720902665379659776/3AQo3tuF_normal.jpg","View")</f>
        <v>View</v>
      </c>
      <c r="P6102" s="11"/>
    </row>
    <row r="6103" spans="1:16" ht="12.75" x14ac:dyDescent="0.35">
      <c r="A6103" s="7">
        <v>42483.883379629631</v>
      </c>
      <c r="B6103" s="8" t="str">
        <f>HYPERLINK("https://twitter.com/IrelandGuide","@IrelandGuide")</f>
        <v>@IrelandGuide</v>
      </c>
      <c r="C6103" s="9" t="s">
        <v>13894</v>
      </c>
      <c r="D6103" s="9" t="s">
        <v>13477</v>
      </c>
      <c r="E6103" s="10" t="str">
        <f>HYPERLINK("https://twitter.com/IrelandGuide/status/723899750425174016","723899750425174016")</f>
        <v>723899750425174016</v>
      </c>
      <c r="F6103" s="11" t="s">
        <v>20</v>
      </c>
      <c r="G6103" s="11">
        <v>6843</v>
      </c>
      <c r="H6103" s="11">
        <v>1785</v>
      </c>
      <c r="I6103" s="11">
        <v>2</v>
      </c>
      <c r="J6103" s="11">
        <v>0</v>
      </c>
      <c r="K6103" s="11" t="s">
        <v>21</v>
      </c>
      <c r="L6103" s="7">
        <v>40156.799502314811</v>
      </c>
      <c r="M6103" s="12" t="s">
        <v>5641</v>
      </c>
      <c r="N6103" s="12" t="s">
        <v>13895</v>
      </c>
      <c r="O6103" s="10" t="str">
        <f>HYPERLINK("https://pbs.twimg.com/profile_images/720940325179650048/RXNUe3fZ_normal.jpg","View")</f>
        <v>View</v>
      </c>
      <c r="P6103" s="11"/>
    </row>
    <row r="6104" spans="1:16" ht="12.75" x14ac:dyDescent="0.35">
      <c r="A6104" s="7">
        <v>42483.884432870371</v>
      </c>
      <c r="B6104" s="8" t="str">
        <f>HYPERLINK("https://twitter.com/SAGutah","@SAGutah")</f>
        <v>@SAGutah</v>
      </c>
      <c r="C6104" s="9" t="s">
        <v>13896</v>
      </c>
      <c r="D6104" s="9" t="s">
        <v>13897</v>
      </c>
      <c r="E6104" s="10" t="str">
        <f>HYPERLINK("https://twitter.com/SAGutah/status/723900130349309952","723900130349309952")</f>
        <v>723900130349309952</v>
      </c>
      <c r="F6104" s="11" t="s">
        <v>43</v>
      </c>
      <c r="G6104" s="11">
        <v>31</v>
      </c>
      <c r="H6104" s="11">
        <v>34</v>
      </c>
      <c r="I6104" s="11">
        <v>0</v>
      </c>
      <c r="J6104" s="11">
        <v>0</v>
      </c>
      <c r="K6104" s="11" t="s">
        <v>21</v>
      </c>
      <c r="L6104" s="7">
        <v>42360.501527777778</v>
      </c>
      <c r="M6104" s="12" t="s">
        <v>13898</v>
      </c>
      <c r="N6104" s="12" t="s">
        <v>13899</v>
      </c>
      <c r="O6104" s="10" t="str">
        <f>HYPERLINK("https://pbs.twimg.com/profile_images/679188249303056384/oPqJ4ctf_normal.jpg","View")</f>
        <v>View</v>
      </c>
      <c r="P6104" s="11"/>
    </row>
    <row r="6105" spans="1:16" ht="12.75" x14ac:dyDescent="0.35">
      <c r="A6105" s="7">
        <v>42483.884479166663</v>
      </c>
      <c r="B6105" s="8" t="str">
        <f>HYPERLINK("https://twitter.com/JRehwald","@JRehwald")</f>
        <v>@JRehwald</v>
      </c>
      <c r="C6105" s="9" t="s">
        <v>13900</v>
      </c>
      <c r="D6105" s="9" t="s">
        <v>13901</v>
      </c>
      <c r="E6105" s="10" t="str">
        <f>HYPERLINK("https://twitter.com/JRehwald/status/723900147348963328","723900147348963328")</f>
        <v>723900147348963328</v>
      </c>
      <c r="F6105" s="11" t="s">
        <v>114</v>
      </c>
      <c r="G6105" s="11">
        <v>113</v>
      </c>
      <c r="H6105" s="11">
        <v>317</v>
      </c>
      <c r="I6105" s="11">
        <v>0</v>
      </c>
      <c r="J6105" s="11">
        <v>0</v>
      </c>
      <c r="K6105" s="11" t="s">
        <v>21</v>
      </c>
      <c r="L6105" s="7">
        <v>41077.842037037037</v>
      </c>
      <c r="M6105" s="12"/>
      <c r="N6105" s="12" t="s">
        <v>13902</v>
      </c>
      <c r="O6105" s="10" t="str">
        <f>HYPERLINK("https://pbs.twimg.com/profile_images/567520162409365504/HSx0xrJm_normal.jpeg","View")</f>
        <v>View</v>
      </c>
      <c r="P6105" s="11"/>
    </row>
    <row r="6106" spans="1:16" ht="12.75" x14ac:dyDescent="0.35">
      <c r="A6106" s="7">
        <v>42483.88486111111</v>
      </c>
      <c r="B6106" s="8" t="str">
        <f>HYPERLINK("https://twitter.com/Maaaaarrri","@Maaaaarrri")</f>
        <v>@Maaaaarrri</v>
      </c>
      <c r="C6106" s="9" t="s">
        <v>13903</v>
      </c>
      <c r="D6106" s="9" t="s">
        <v>2825</v>
      </c>
      <c r="E6106" s="10" t="str">
        <f>HYPERLINK("https://twitter.com/Maaaaarrri/status/723900286935379969","723900286935379969")</f>
        <v>723900286935379969</v>
      </c>
      <c r="F6106" s="11" t="s">
        <v>48</v>
      </c>
      <c r="G6106" s="11">
        <v>564</v>
      </c>
      <c r="H6106" s="11">
        <v>2106</v>
      </c>
      <c r="I6106" s="11">
        <v>57</v>
      </c>
      <c r="J6106" s="11">
        <v>0</v>
      </c>
      <c r="K6106" s="11" t="s">
        <v>21</v>
      </c>
      <c r="L6106" s="7">
        <v>40365.229432870372</v>
      </c>
      <c r="M6106" s="12" t="s">
        <v>13904</v>
      </c>
      <c r="N6106" s="12" t="s">
        <v>13905</v>
      </c>
      <c r="O6106" s="10" t="str">
        <f>HYPERLINK("https://pbs.twimg.com/profile_images/714203979828367360/L8fzYPdU_normal.jpg","View")</f>
        <v>View</v>
      </c>
      <c r="P6106" s="11"/>
    </row>
    <row r="6107" spans="1:16" ht="12.75" x14ac:dyDescent="0.35">
      <c r="A6107" s="7">
        <v>42483.887974537036</v>
      </c>
      <c r="B6107" s="8" t="str">
        <f>HYPERLINK("https://twitter.com/Citlali_Gaitan","@Citlali_Gaitan")</f>
        <v>@Citlali_Gaitan</v>
      </c>
      <c r="C6107" s="9" t="s">
        <v>13906</v>
      </c>
      <c r="D6107" s="9" t="s">
        <v>13907</v>
      </c>
      <c r="E6107" s="10" t="str">
        <f>HYPERLINK("https://twitter.com/Citlali_Gaitan/status/723901414162968576","723901414162968576")</f>
        <v>723901414162968576</v>
      </c>
      <c r="F6107" s="11" t="s">
        <v>68</v>
      </c>
      <c r="G6107" s="11">
        <v>91</v>
      </c>
      <c r="H6107" s="11">
        <v>106</v>
      </c>
      <c r="I6107" s="11">
        <v>1</v>
      </c>
      <c r="J6107" s="11">
        <v>0</v>
      </c>
      <c r="K6107" s="11" t="s">
        <v>21</v>
      </c>
      <c r="L6107" s="7">
        <v>42472.908668981487</v>
      </c>
      <c r="M6107" s="12"/>
      <c r="N6107" s="12"/>
      <c r="O6107" s="10" t="str">
        <f>HYPERLINK("https://abs.twimg.com/sticky/default_profile_images/default_profile_0_normal.png","View")</f>
        <v>View</v>
      </c>
      <c r="P6107" s="11"/>
    </row>
    <row r="6108" spans="1:16" ht="12.75" x14ac:dyDescent="0.35">
      <c r="A6108" s="7">
        <v>42483.88826388889</v>
      </c>
      <c r="B6108" s="8" t="str">
        <f>HYPERLINK("https://twitter.com/Hoots_mon","@Hoots_mon")</f>
        <v>@Hoots_mon</v>
      </c>
      <c r="C6108" s="9" t="s">
        <v>13908</v>
      </c>
      <c r="D6108" s="9" t="s">
        <v>13909</v>
      </c>
      <c r="E6108" s="10" t="str">
        <f>HYPERLINK("https://twitter.com/Hoots_mon/status/723901518064300035","723901518064300035")</f>
        <v>723901518064300035</v>
      </c>
      <c r="F6108" s="11" t="s">
        <v>13910</v>
      </c>
      <c r="G6108" s="11">
        <v>783</v>
      </c>
      <c r="H6108" s="11">
        <v>1094</v>
      </c>
      <c r="I6108" s="11">
        <v>1</v>
      </c>
      <c r="J6108" s="11">
        <v>0</v>
      </c>
      <c r="K6108" s="11" t="s">
        <v>21</v>
      </c>
      <c r="L6108" s="7">
        <v>41391.635995370372</v>
      </c>
      <c r="M6108" s="12" t="s">
        <v>1827</v>
      </c>
      <c r="N6108" s="12" t="s">
        <v>13911</v>
      </c>
      <c r="O6108" s="10" t="str">
        <f>HYPERLINK("https://pbs.twimg.com/profile_images/709087090550689792/ICYFENhR_normal.jpg","View")</f>
        <v>View</v>
      </c>
      <c r="P6108" s="11"/>
    </row>
    <row r="6109" spans="1:16" ht="12.75" x14ac:dyDescent="0.35">
      <c r="A6109" s="7">
        <v>42483.88862268519</v>
      </c>
      <c r="B6109" s="8" t="str">
        <f>HYPERLINK("https://twitter.com/p88nmg","@p88nmg")</f>
        <v>@p88nmg</v>
      </c>
      <c r="C6109" s="9" t="s">
        <v>13912</v>
      </c>
      <c r="D6109" s="9" t="s">
        <v>13913</v>
      </c>
      <c r="E6109" s="10" t="str">
        <f>HYPERLINK("https://twitter.com/p88nmg/status/723901648167428097","723901648167428097")</f>
        <v>723901648167428097</v>
      </c>
      <c r="F6109" s="11" t="s">
        <v>48</v>
      </c>
      <c r="G6109" s="11">
        <v>55</v>
      </c>
      <c r="H6109" s="11">
        <v>219</v>
      </c>
      <c r="I6109" s="11">
        <v>0</v>
      </c>
      <c r="J6109" s="11">
        <v>0</v>
      </c>
      <c r="K6109" s="11" t="s">
        <v>21</v>
      </c>
      <c r="L6109" s="7">
        <v>41507.662812499999</v>
      </c>
      <c r="M6109" s="12"/>
      <c r="N6109" s="12" t="s">
        <v>13914</v>
      </c>
      <c r="O6109" s="10" t="str">
        <f>HYPERLINK("https://pbs.twimg.com/profile_images/682245507620683776/B3w9Ij5R_normal.jpg","View")</f>
        <v>View</v>
      </c>
      <c r="P6109" s="11"/>
    </row>
    <row r="6110" spans="1:16" ht="12.75" x14ac:dyDescent="0.35">
      <c r="A6110" s="7">
        <v>42483.888726851852</v>
      </c>
      <c r="B6110" s="8" t="str">
        <f>HYPERLINK("https://twitter.com/Danielberryman_","@Danielberryman_")</f>
        <v>@Danielberryman_</v>
      </c>
      <c r="C6110" s="9" t="s">
        <v>13915</v>
      </c>
      <c r="D6110" s="9" t="s">
        <v>13335</v>
      </c>
      <c r="E6110" s="10" t="str">
        <f>HYPERLINK("https://twitter.com/Danielberryman_/status/723901688550182912","723901688550182912")</f>
        <v>723901688550182912</v>
      </c>
      <c r="F6110" s="11" t="s">
        <v>20</v>
      </c>
      <c r="G6110" s="11">
        <v>21</v>
      </c>
      <c r="H6110" s="11">
        <v>418</v>
      </c>
      <c r="I6110" s="11">
        <v>2</v>
      </c>
      <c r="J6110" s="11">
        <v>0</v>
      </c>
      <c r="K6110" s="11" t="s">
        <v>21</v>
      </c>
      <c r="L6110" s="7">
        <v>40721.861145833333</v>
      </c>
      <c r="M6110" s="12" t="s">
        <v>13916</v>
      </c>
      <c r="N6110" s="12"/>
      <c r="O6110" s="10" t="str">
        <f>HYPERLINK("https://pbs.twimg.com/profile_images/3649681243/9f25e8e5f30d14c88d6ab8535050ac8e_normal.jpeg","View")</f>
        <v>View</v>
      </c>
      <c r="P6110" s="11"/>
    </row>
    <row r="6111" spans="1:16" ht="12.75" x14ac:dyDescent="0.35">
      <c r="A6111" s="7">
        <v>42483.889687499999</v>
      </c>
      <c r="B6111" s="8" t="str">
        <f t="shared" ref="B6111:B6112" si="523">HYPERLINK("https://twitter.com/DeichCruiser","@DeichCruiser")</f>
        <v>@DeichCruiser</v>
      </c>
      <c r="C6111" s="9" t="s">
        <v>13917</v>
      </c>
      <c r="D6111" s="9" t="s">
        <v>13918</v>
      </c>
      <c r="E6111" s="10" t="str">
        <f>HYPERLINK("https://twitter.com/DeichCruiser/status/723902034370543616","723902034370543616")</f>
        <v>723902034370543616</v>
      </c>
      <c r="F6111" s="11" t="s">
        <v>43</v>
      </c>
      <c r="G6111" s="11">
        <v>1606</v>
      </c>
      <c r="H6111" s="11">
        <v>268</v>
      </c>
      <c r="I6111" s="11">
        <v>3</v>
      </c>
      <c r="J6111" s="11">
        <v>0</v>
      </c>
      <c r="K6111" s="11" t="s">
        <v>21</v>
      </c>
      <c r="L6111" s="7">
        <v>41420.921805555554</v>
      </c>
      <c r="M6111" s="12" t="s">
        <v>13919</v>
      </c>
      <c r="N6111" s="12" t="s">
        <v>13920</v>
      </c>
      <c r="O6111" s="10" t="str">
        <f t="shared" ref="O6111:O6112" si="524">HYPERLINK("https://pbs.twimg.com/profile_images/723565619958943744/jqjaD8Kn_normal.jpg","View")</f>
        <v>View</v>
      </c>
      <c r="P6111" s="11"/>
    </row>
    <row r="6112" spans="1:16" ht="12.75" x14ac:dyDescent="0.35">
      <c r="A6112" s="7">
        <v>42483.890555555554</v>
      </c>
      <c r="B6112" s="8" t="str">
        <f t="shared" si="523"/>
        <v>@DeichCruiser</v>
      </c>
      <c r="C6112" s="9" t="s">
        <v>13917</v>
      </c>
      <c r="D6112" s="9" t="s">
        <v>13921</v>
      </c>
      <c r="E6112" s="10" t="str">
        <f>HYPERLINK("https://twitter.com/DeichCruiser/status/723902350600081408","723902350600081408")</f>
        <v>723902350600081408</v>
      </c>
      <c r="F6112" s="11" t="s">
        <v>43</v>
      </c>
      <c r="G6112" s="11">
        <v>1606</v>
      </c>
      <c r="H6112" s="11">
        <v>268</v>
      </c>
      <c r="I6112" s="11">
        <v>4</v>
      </c>
      <c r="J6112" s="11">
        <v>0</v>
      </c>
      <c r="K6112" s="11" t="s">
        <v>21</v>
      </c>
      <c r="L6112" s="7">
        <v>41420.921805555554</v>
      </c>
      <c r="M6112" s="12" t="s">
        <v>13919</v>
      </c>
      <c r="N6112" s="12" t="s">
        <v>13920</v>
      </c>
      <c r="O6112" s="10" t="str">
        <f t="shared" si="524"/>
        <v>View</v>
      </c>
      <c r="P6112" s="11"/>
    </row>
    <row r="6113" spans="1:16" ht="12.75" x14ac:dyDescent="0.35">
      <c r="A6113" s="7">
        <v>42483.891712962963</v>
      </c>
      <c r="B6113" s="8" t="str">
        <f>HYPERLINK("https://twitter.com/_Logistra_","@_Logistra_")</f>
        <v>@_Logistra_</v>
      </c>
      <c r="C6113" s="9" t="s">
        <v>13922</v>
      </c>
      <c r="D6113" s="9" t="s">
        <v>13584</v>
      </c>
      <c r="E6113" s="10" t="str">
        <f>HYPERLINK("https://twitter.com/_Logistra_/status/723902769854328833","723902769854328833")</f>
        <v>723902769854328833</v>
      </c>
      <c r="F6113" s="11" t="s">
        <v>20</v>
      </c>
      <c r="G6113" s="11">
        <v>1298</v>
      </c>
      <c r="H6113" s="11">
        <v>907</v>
      </c>
      <c r="I6113" s="11">
        <v>3</v>
      </c>
      <c r="J6113" s="11">
        <v>0</v>
      </c>
      <c r="K6113" s="11" t="s">
        <v>21</v>
      </c>
      <c r="L6113" s="7">
        <v>40919.833009259259</v>
      </c>
      <c r="M6113" s="12"/>
      <c r="N6113" s="12" t="s">
        <v>13923</v>
      </c>
      <c r="O6113" s="10" t="str">
        <f>HYPERLINK("https://pbs.twimg.com/profile_images/560808349239746560/NJEwEVs5_normal.png","View")</f>
        <v>View</v>
      </c>
      <c r="P6113" s="11"/>
    </row>
    <row r="6114" spans="1:16" ht="12.75" x14ac:dyDescent="0.35">
      <c r="A6114" s="7">
        <v>42483.892175925925</v>
      </c>
      <c r="B6114" s="8" t="str">
        <f>HYPERLINK("https://twitter.com/simonthurlow71","@simonthurlow71")</f>
        <v>@simonthurlow71</v>
      </c>
      <c r="C6114" s="9" t="s">
        <v>13924</v>
      </c>
      <c r="D6114" s="9" t="s">
        <v>13925</v>
      </c>
      <c r="E6114" s="10" t="str">
        <f>HYPERLINK("https://twitter.com/simonthurlow71/status/723902936049438720","723902936049438720")</f>
        <v>723902936049438720</v>
      </c>
      <c r="F6114" s="11" t="s">
        <v>114</v>
      </c>
      <c r="G6114" s="11">
        <v>463</v>
      </c>
      <c r="H6114" s="11">
        <v>663</v>
      </c>
      <c r="I6114" s="11">
        <v>0</v>
      </c>
      <c r="J6114" s="11">
        <v>0</v>
      </c>
      <c r="K6114" s="11" t="s">
        <v>21</v>
      </c>
      <c r="L6114" s="7">
        <v>40836.957430555558</v>
      </c>
      <c r="M6114" s="12"/>
      <c r="N6114" s="12" t="s">
        <v>13926</v>
      </c>
      <c r="O6114" s="10" t="str">
        <f>HYPERLINK("https://pbs.twimg.com/profile_images/654907317943668737/YsHV2Z3n_normal.jpg","View")</f>
        <v>View</v>
      </c>
      <c r="P6114" s="11"/>
    </row>
    <row r="6115" spans="1:16" ht="12.75" x14ac:dyDescent="0.35">
      <c r="A6115" s="7">
        <v>42483.892557870371</v>
      </c>
      <c r="B6115" s="8" t="str">
        <f>HYPERLINK("https://twitter.com/APA_LEMONAID","@APA_LEMONAID")</f>
        <v>@APA_LEMONAID</v>
      </c>
      <c r="C6115" s="9" t="s">
        <v>8069</v>
      </c>
      <c r="D6115" s="9" t="s">
        <v>13927</v>
      </c>
      <c r="E6115" s="10" t="str">
        <f>HYPERLINK("https://twitter.com/APA_LEMONAID/status/723903075359043584","723903075359043584")</f>
        <v>723903075359043584</v>
      </c>
      <c r="F6115" s="11" t="s">
        <v>152</v>
      </c>
      <c r="G6115" s="11">
        <v>419</v>
      </c>
      <c r="H6115" s="11">
        <v>120</v>
      </c>
      <c r="I6115" s="11">
        <v>0</v>
      </c>
      <c r="J6115" s="11">
        <v>0</v>
      </c>
      <c r="K6115" s="11" t="s">
        <v>21</v>
      </c>
      <c r="L6115" s="7">
        <v>40795.772233796299</v>
      </c>
      <c r="M6115" s="12" t="s">
        <v>715</v>
      </c>
      <c r="N6115" s="12" t="s">
        <v>8071</v>
      </c>
      <c r="O6115" s="10" t="str">
        <f>HYPERLINK("https://pbs.twimg.com/profile_images/1535844911/Logo_normal.png","View")</f>
        <v>View</v>
      </c>
      <c r="P6115" s="11"/>
    </row>
    <row r="6116" spans="1:16" ht="12.75" x14ac:dyDescent="0.35">
      <c r="A6116" s="7">
        <v>42483.892766203702</v>
      </c>
      <c r="B6116" s="8" t="str">
        <f>HYPERLINK("https://twitter.com/fraenkySG","@fraenkySG")</f>
        <v>@fraenkySG</v>
      </c>
      <c r="C6116" s="9" t="s">
        <v>13928</v>
      </c>
      <c r="D6116" s="9" t="s">
        <v>13921</v>
      </c>
      <c r="E6116" s="10" t="str">
        <f>HYPERLINK("https://twitter.com/fraenkySG/status/723903153129807873","723903153129807873")</f>
        <v>723903153129807873</v>
      </c>
      <c r="F6116" s="11" t="s">
        <v>43</v>
      </c>
      <c r="G6116" s="11">
        <v>725</v>
      </c>
      <c r="H6116" s="11">
        <v>632</v>
      </c>
      <c r="I6116" s="11">
        <v>4</v>
      </c>
      <c r="J6116" s="11">
        <v>0</v>
      </c>
      <c r="K6116" s="11" t="s">
        <v>21</v>
      </c>
      <c r="L6116" s="7">
        <v>41443.947002314817</v>
      </c>
      <c r="M6116" s="12" t="s">
        <v>13929</v>
      </c>
      <c r="N6116" s="12" t="s">
        <v>13930</v>
      </c>
      <c r="O6116" s="10" t="str">
        <f>HYPERLINK("https://pbs.twimg.com/profile_images/668483614884130817/liZwIH1X_normal.jpg","View")</f>
        <v>View</v>
      </c>
      <c r="P6116" s="11"/>
    </row>
    <row r="6117" spans="1:16" ht="12.75" x14ac:dyDescent="0.35">
      <c r="A6117" s="7">
        <v>42483.893113425926</v>
      </c>
      <c r="B6117" s="8" t="str">
        <f>HYPERLINK("https://twitter.com/VWCamperSales","@VWCamperSales")</f>
        <v>@VWCamperSales</v>
      </c>
      <c r="C6117" s="9" t="s">
        <v>216</v>
      </c>
      <c r="D6117" s="9" t="s">
        <v>13931</v>
      </c>
      <c r="E6117" s="10" t="str">
        <f>HYPERLINK("https://twitter.com/VWCamperSales/status/723903278887538688","723903278887538688")</f>
        <v>723903278887538688</v>
      </c>
      <c r="F6117" s="10" t="s">
        <v>124</v>
      </c>
      <c r="G6117" s="11">
        <v>621</v>
      </c>
      <c r="H6117" s="11">
        <v>580</v>
      </c>
      <c r="I6117" s="11">
        <v>0</v>
      </c>
      <c r="J6117" s="11">
        <v>0</v>
      </c>
      <c r="K6117" s="11" t="s">
        <v>21</v>
      </c>
      <c r="L6117" s="7">
        <v>42215.98809027778</v>
      </c>
      <c r="M6117" s="12" t="s">
        <v>129</v>
      </c>
      <c r="N6117" s="12" t="s">
        <v>218</v>
      </c>
      <c r="O6117" s="10" t="str">
        <f>HYPERLINK("https://pbs.twimg.com/profile_images/627949001179037696/skEBkS05_normal.jpg","View")</f>
        <v>View</v>
      </c>
      <c r="P6117" s="11"/>
    </row>
    <row r="6118" spans="1:16" ht="12.75" x14ac:dyDescent="0.35">
      <c r="A6118" s="7">
        <v>42483.89435185185</v>
      </c>
      <c r="B6118" s="8" t="str">
        <f>HYPERLINK("https://twitter.com/vagmenhq","@vagmenhq")</f>
        <v>@vagmenhq</v>
      </c>
      <c r="C6118" s="9" t="s">
        <v>2492</v>
      </c>
      <c r="D6118" s="9" t="s">
        <v>13932</v>
      </c>
      <c r="E6118" s="10" t="str">
        <f>HYPERLINK("https://twitter.com/vagmenhq/status/723903727602675712","723903727602675712")</f>
        <v>723903727602675712</v>
      </c>
      <c r="F6118" s="11" t="s">
        <v>53</v>
      </c>
      <c r="G6118" s="11">
        <v>157</v>
      </c>
      <c r="H6118" s="11">
        <v>92</v>
      </c>
      <c r="I6118" s="11">
        <v>0</v>
      </c>
      <c r="J6118" s="11">
        <v>0</v>
      </c>
      <c r="K6118" s="11" t="s">
        <v>21</v>
      </c>
      <c r="L6118" s="7">
        <v>41401.814722222218</v>
      </c>
      <c r="M6118" s="12" t="s">
        <v>2494</v>
      </c>
      <c r="N6118" s="12" t="s">
        <v>2495</v>
      </c>
      <c r="O6118" s="10" t="str">
        <f>HYPERLINK("https://pbs.twimg.com/profile_images/446781974452371456/rqBZF-KN_normal.jpeg","View")</f>
        <v>View</v>
      </c>
      <c r="P6118" s="11"/>
    </row>
    <row r="6119" spans="1:16" ht="12.75" x14ac:dyDescent="0.35">
      <c r="A6119" s="7">
        <v>42483.895625000005</v>
      </c>
      <c r="B6119" s="8" t="str">
        <f>HYPERLINK("https://twitter.com/Pedroluise","@Pedroluise")</f>
        <v>@Pedroluise</v>
      </c>
      <c r="C6119" s="9" t="s">
        <v>13933</v>
      </c>
      <c r="D6119" s="9" t="s">
        <v>13112</v>
      </c>
      <c r="E6119" s="10" t="str">
        <f>HYPERLINK("https://twitter.com/Pedroluise/status/723904187910770688","723904187910770688")</f>
        <v>723904187910770688</v>
      </c>
      <c r="F6119" s="11" t="s">
        <v>20</v>
      </c>
      <c r="G6119" s="11">
        <v>1290</v>
      </c>
      <c r="H6119" s="11">
        <v>311</v>
      </c>
      <c r="I6119" s="11">
        <v>11</v>
      </c>
      <c r="J6119" s="11">
        <v>0</v>
      </c>
      <c r="K6119" s="11" t="s">
        <v>21</v>
      </c>
      <c r="L6119" s="7">
        <v>40394.220370370371</v>
      </c>
      <c r="M6119" s="12" t="s">
        <v>13934</v>
      </c>
      <c r="N6119" s="12" t="s">
        <v>13935</v>
      </c>
      <c r="O6119" s="10" t="str">
        <f>HYPERLINK("https://pbs.twimg.com/profile_images/1261310428/twitter_normal.JPG","View")</f>
        <v>View</v>
      </c>
      <c r="P6119" s="11"/>
    </row>
    <row r="6120" spans="1:16" ht="12.75" x14ac:dyDescent="0.35">
      <c r="A6120" s="7">
        <v>42483.895891203705</v>
      </c>
      <c r="B6120" s="8" t="str">
        <f>HYPERLINK("https://twitter.com/tuningblog_eu","@tuningblog_eu")</f>
        <v>@tuningblog_eu</v>
      </c>
      <c r="C6120" s="9" t="s">
        <v>13936</v>
      </c>
      <c r="D6120" s="9" t="s">
        <v>13937</v>
      </c>
      <c r="E6120" s="10" t="str">
        <f>HYPERLINK("https://twitter.com/tuningblog_eu/status/723904283398250496","723904283398250496")</f>
        <v>723904283398250496</v>
      </c>
      <c r="F6120" s="11" t="s">
        <v>53</v>
      </c>
      <c r="G6120" s="11">
        <v>186</v>
      </c>
      <c r="H6120" s="11">
        <v>133</v>
      </c>
      <c r="I6120" s="11">
        <v>0</v>
      </c>
      <c r="J6120" s="11">
        <v>0</v>
      </c>
      <c r="K6120" s="11" t="s">
        <v>21</v>
      </c>
      <c r="L6120" s="7">
        <v>41724.770092592589</v>
      </c>
      <c r="M6120" s="12" t="s">
        <v>13938</v>
      </c>
      <c r="N6120" s="12" t="s">
        <v>13939</v>
      </c>
      <c r="O6120" s="10" t="str">
        <f>HYPERLINK("https://pbs.twimg.com/profile_images/690404245024174084/pS8IAyFZ_normal.png","View")</f>
        <v>View</v>
      </c>
      <c r="P6120" s="11"/>
    </row>
    <row r="6121" spans="1:16" ht="12.75" x14ac:dyDescent="0.35">
      <c r="A6121" s="7">
        <v>42483.895914351851</v>
      </c>
      <c r="B6121" s="8" t="str">
        <f>HYPERLINK("https://twitter.com/LookersVW","@LookersVW")</f>
        <v>@LookersVW</v>
      </c>
      <c r="C6121" s="9" t="s">
        <v>13940</v>
      </c>
      <c r="D6121" s="9" t="s">
        <v>13941</v>
      </c>
      <c r="E6121" s="10" t="str">
        <f>HYPERLINK("https://twitter.com/LookersVW/status/723904293137354752","723904293137354752")</f>
        <v>723904293137354752</v>
      </c>
      <c r="F6121" s="11" t="s">
        <v>2886</v>
      </c>
      <c r="G6121" s="11">
        <v>1170</v>
      </c>
      <c r="H6121" s="11">
        <v>726</v>
      </c>
      <c r="I6121" s="11">
        <v>0</v>
      </c>
      <c r="J6121" s="11">
        <v>0</v>
      </c>
      <c r="K6121" s="11" t="s">
        <v>21</v>
      </c>
      <c r="L6121" s="7">
        <v>40184.817118055558</v>
      </c>
      <c r="M6121" s="12" t="s">
        <v>129</v>
      </c>
      <c r="N6121" s="12" t="s">
        <v>13942</v>
      </c>
      <c r="O6121" s="10" t="str">
        <f>HYPERLINK("https://pbs.twimg.com/profile_images/707179840491884544/LWEI-p6Z_normal.jpg","View")</f>
        <v>View</v>
      </c>
      <c r="P6121" s="11"/>
    </row>
    <row r="6122" spans="1:16" ht="12.75" x14ac:dyDescent="0.35">
      <c r="A6122" s="7">
        <v>42483.896412037036</v>
      </c>
      <c r="B6122" s="8" t="str">
        <f>HYPERLINK("https://twitter.com/acvwpassion","@acvwpassion")</f>
        <v>@acvwpassion</v>
      </c>
      <c r="C6122" s="9" t="s">
        <v>4671</v>
      </c>
      <c r="D6122" s="9" t="s">
        <v>13943</v>
      </c>
      <c r="E6122" s="10" t="str">
        <f>HYPERLINK("https://twitter.com/acvwpassion/status/723904473584832513","723904473584832513")</f>
        <v>723904473584832513</v>
      </c>
      <c r="F6122" s="11" t="s">
        <v>152</v>
      </c>
      <c r="G6122" s="11">
        <v>242</v>
      </c>
      <c r="H6122" s="11">
        <v>409</v>
      </c>
      <c r="I6122" s="11">
        <v>0</v>
      </c>
      <c r="J6122" s="11">
        <v>0</v>
      </c>
      <c r="K6122" s="11" t="s">
        <v>21</v>
      </c>
      <c r="L6122" s="7">
        <v>41989.101851851854</v>
      </c>
      <c r="M6122" s="12" t="s">
        <v>4673</v>
      </c>
      <c r="N6122" s="12" t="s">
        <v>4674</v>
      </c>
      <c r="O6122" s="10" t="str">
        <f>HYPERLINK("https://pbs.twimg.com/profile_images/545688359964651520/SF3sJ7lv_normal.jpeg","View")</f>
        <v>View</v>
      </c>
      <c r="P6122" s="11"/>
    </row>
    <row r="6123" spans="1:16" ht="12.75" x14ac:dyDescent="0.35">
      <c r="A6123" s="7">
        <v>42483.897129629629</v>
      </c>
      <c r="B6123" s="8" t="str">
        <f>HYPERLINK("https://twitter.com/VolkswagenPost","@VolkswagenPost")</f>
        <v>@VolkswagenPost</v>
      </c>
      <c r="C6123" s="9" t="s">
        <v>321</v>
      </c>
      <c r="D6123" s="9" t="s">
        <v>13944</v>
      </c>
      <c r="E6123" s="10" t="str">
        <f>HYPERLINK("https://twitter.com/VolkswagenPost/status/723904732088164352","723904732088164352")</f>
        <v>723904732088164352</v>
      </c>
      <c r="F6123" s="11" t="s">
        <v>288</v>
      </c>
      <c r="G6123" s="11">
        <v>570</v>
      </c>
      <c r="H6123" s="11">
        <v>446</v>
      </c>
      <c r="I6123" s="11">
        <v>1</v>
      </c>
      <c r="J6123" s="11">
        <v>0</v>
      </c>
      <c r="K6123" s="11" t="s">
        <v>21</v>
      </c>
      <c r="L6123" s="7">
        <v>41940.618379629632</v>
      </c>
      <c r="M6123" s="12"/>
      <c r="N6123" s="12"/>
      <c r="O6123" s="10" t="str">
        <f>HYPERLINK("https://pbs.twimg.com/profile_images/530071272881803264/a_jcCmPZ_normal.png","View")</f>
        <v>View</v>
      </c>
      <c r="P6123" s="11"/>
    </row>
    <row r="6124" spans="1:16" ht="12.75" x14ac:dyDescent="0.35">
      <c r="A6124" s="7">
        <v>42483.898055555561</v>
      </c>
      <c r="B6124" s="8" t="str">
        <f>HYPERLINK("https://twitter.com/Syrupshits","@Syrupshits")</f>
        <v>@Syrupshits</v>
      </c>
      <c r="C6124" s="9" t="s">
        <v>13945</v>
      </c>
      <c r="D6124" s="9" t="s">
        <v>13946</v>
      </c>
      <c r="E6124" s="10" t="str">
        <f>HYPERLINK("https://twitter.com/Syrupshits/status/723905067007369216","723905067007369216")</f>
        <v>723905067007369216</v>
      </c>
      <c r="F6124" s="11" t="s">
        <v>114</v>
      </c>
      <c r="G6124" s="11">
        <v>129</v>
      </c>
      <c r="H6124" s="11">
        <v>104</v>
      </c>
      <c r="I6124" s="11">
        <v>0</v>
      </c>
      <c r="J6124" s="11">
        <v>0</v>
      </c>
      <c r="K6124" s="11" t="s">
        <v>21</v>
      </c>
      <c r="L6124" s="7">
        <v>41275.231053240743</v>
      </c>
      <c r="M6124" s="12" t="s">
        <v>13947</v>
      </c>
      <c r="N6124" s="12" t="s">
        <v>13948</v>
      </c>
      <c r="O6124" s="10" t="str">
        <f>HYPERLINK("https://pbs.twimg.com/profile_images/537978095392022528/6T9M1UwY_normal.jpeg","View")</f>
        <v>View</v>
      </c>
      <c r="P6124" s="10" t="str">
        <f>HYPERLINK("http://ctrlq.org/maps/address/#52.5167,1.01667","Map")</f>
        <v>Map</v>
      </c>
    </row>
    <row r="6125" spans="1:16" ht="12.75" x14ac:dyDescent="0.35">
      <c r="A6125" s="7">
        <v>42483.899016203708</v>
      </c>
      <c r="B6125" s="8" t="str">
        <f>HYPERLINK("https://twitter.com/Benk109","@Benk109")</f>
        <v>@Benk109</v>
      </c>
      <c r="C6125" s="9" t="s">
        <v>13949</v>
      </c>
      <c r="D6125" s="9" t="s">
        <v>13950</v>
      </c>
      <c r="E6125" s="10" t="str">
        <f>HYPERLINK("https://twitter.com/Benk109/status/723905414673358848","723905414673358848")</f>
        <v>723905414673358848</v>
      </c>
      <c r="F6125" s="11" t="s">
        <v>20</v>
      </c>
      <c r="G6125" s="11">
        <v>374</v>
      </c>
      <c r="H6125" s="11">
        <v>558</v>
      </c>
      <c r="I6125" s="11">
        <v>0</v>
      </c>
      <c r="J6125" s="11">
        <v>0</v>
      </c>
      <c r="K6125" s="11" t="s">
        <v>21</v>
      </c>
      <c r="L6125" s="7">
        <v>39906.934849537036</v>
      </c>
      <c r="M6125" s="12"/>
      <c r="N6125" s="12" t="s">
        <v>13951</v>
      </c>
      <c r="O6125" s="10" t="str">
        <f>HYPERLINK("https://pbs.twimg.com/profile_images/677425209725579264/LwR8Gd1t_normal.jpg","View")</f>
        <v>View</v>
      </c>
      <c r="P6125" s="11"/>
    </row>
    <row r="6126" spans="1:16" ht="12.75" x14ac:dyDescent="0.35">
      <c r="A6126" s="7">
        <v>42483.899027777778</v>
      </c>
      <c r="B6126" s="8" t="str">
        <f>HYPERLINK("https://twitter.com/Blackzaza243","@Blackzaza243")</f>
        <v>@Blackzaza243</v>
      </c>
      <c r="C6126" s="9" t="s">
        <v>13952</v>
      </c>
      <c r="D6126" s="9" t="s">
        <v>13953</v>
      </c>
      <c r="E6126" s="10" t="str">
        <f>HYPERLINK("https://twitter.com/Blackzaza243/status/723905422869049344","723905422869049344")</f>
        <v>723905422869049344</v>
      </c>
      <c r="F6126" s="11" t="s">
        <v>20</v>
      </c>
      <c r="G6126" s="11">
        <v>1762</v>
      </c>
      <c r="H6126" s="11">
        <v>2133</v>
      </c>
      <c r="I6126" s="11">
        <v>0</v>
      </c>
      <c r="J6126" s="11">
        <v>3</v>
      </c>
      <c r="K6126" s="11" t="s">
        <v>21</v>
      </c>
      <c r="L6126" s="7">
        <v>41116.767025462963</v>
      </c>
      <c r="M6126" s="12"/>
      <c r="N6126" s="12" t="s">
        <v>13954</v>
      </c>
      <c r="O6126" s="10" t="str">
        <f>HYPERLINK("https://pbs.twimg.com/profile_images/625601731204915200/oAMR0Cpo_normal.jpg","View")</f>
        <v>View</v>
      </c>
      <c r="P6126" s="11"/>
    </row>
    <row r="6127" spans="1:16" ht="12.75" x14ac:dyDescent="0.35">
      <c r="A6127" s="7">
        <v>42483.899664351848</v>
      </c>
      <c r="B6127" s="8" t="str">
        <f>HYPERLINK("https://twitter.com/dianaclaire","@dianaclaire")</f>
        <v>@dianaclaire</v>
      </c>
      <c r="C6127" s="9" t="s">
        <v>13955</v>
      </c>
      <c r="D6127" s="9" t="s">
        <v>13956</v>
      </c>
      <c r="E6127" s="10" t="str">
        <f>HYPERLINK("https://twitter.com/dianaclaire/status/723905650103824384","723905650103824384")</f>
        <v>723905650103824384</v>
      </c>
      <c r="F6127" s="11" t="s">
        <v>20</v>
      </c>
      <c r="G6127" s="11">
        <v>73</v>
      </c>
      <c r="H6127" s="11">
        <v>64</v>
      </c>
      <c r="I6127" s="11">
        <v>0</v>
      </c>
      <c r="J6127" s="11">
        <v>0</v>
      </c>
      <c r="K6127" s="11" t="s">
        <v>21</v>
      </c>
      <c r="L6127" s="7">
        <v>39437.970081018517</v>
      </c>
      <c r="M6127" s="12"/>
      <c r="N6127" s="12" t="s">
        <v>13957</v>
      </c>
      <c r="O6127" s="10" t="str">
        <f>HYPERLINK("https://pbs.twimg.com/profile_images/459358138043355136/zOl5UAF2_normal.jpeg","View")</f>
        <v>View</v>
      </c>
      <c r="P6127" s="11"/>
    </row>
    <row r="6128" spans="1:16" ht="12.75" x14ac:dyDescent="0.35">
      <c r="A6128" s="7">
        <v>42483.899988425925</v>
      </c>
      <c r="B6128" s="8" t="str">
        <f>HYPERLINK("https://twitter.com/stasikasper","@stasikasper")</f>
        <v>@stasikasper</v>
      </c>
      <c r="C6128" s="9" t="s">
        <v>4731</v>
      </c>
      <c r="D6128" s="9" t="s">
        <v>13958</v>
      </c>
      <c r="E6128" s="10" t="str">
        <f>HYPERLINK("https://twitter.com/stasikasper/status/723905767221399554","723905767221399554")</f>
        <v>723905767221399554</v>
      </c>
      <c r="F6128" s="11" t="s">
        <v>43</v>
      </c>
      <c r="G6128" s="11">
        <v>3118</v>
      </c>
      <c r="H6128" s="11">
        <v>2300</v>
      </c>
      <c r="I6128" s="11">
        <v>0</v>
      </c>
      <c r="J6128" s="11">
        <v>1</v>
      </c>
      <c r="K6128" s="11" t="s">
        <v>21</v>
      </c>
      <c r="L6128" s="7">
        <v>41482.713680555556</v>
      </c>
      <c r="M6128" s="12"/>
      <c r="N6128" s="12"/>
      <c r="O6128" s="10" t="str">
        <f>HYPERLINK("https://pbs.twimg.com/profile_images/552903437407371264/35UQ9wsB_normal.jpeg","View")</f>
        <v>View</v>
      </c>
      <c r="P6128" s="11"/>
    </row>
    <row r="6129" spans="1:16" ht="12.75" x14ac:dyDescent="0.35">
      <c r="A6129" s="7">
        <v>42483.900081018517</v>
      </c>
      <c r="B6129" s="8" t="str">
        <f>HYPERLINK("https://twitter.com/VWBeetleSales","@VWBeetleSales")</f>
        <v>@VWBeetleSales</v>
      </c>
      <c r="C6129" s="9" t="s">
        <v>127</v>
      </c>
      <c r="D6129" s="9" t="s">
        <v>13959</v>
      </c>
      <c r="E6129" s="10" t="str">
        <f>HYPERLINK("https://twitter.com/VWBeetleSales/status/723905804374396929","723905804374396929")</f>
        <v>723905804374396929</v>
      </c>
      <c r="F6129" s="10" t="s">
        <v>124</v>
      </c>
      <c r="G6129" s="11">
        <v>36</v>
      </c>
      <c r="H6129" s="11">
        <v>32</v>
      </c>
      <c r="I6129" s="11">
        <v>0</v>
      </c>
      <c r="J6129" s="11">
        <v>0</v>
      </c>
      <c r="K6129" s="11" t="s">
        <v>21</v>
      </c>
      <c r="L6129" s="7">
        <v>42427.019756944443</v>
      </c>
      <c r="M6129" s="12" t="s">
        <v>129</v>
      </c>
      <c r="N6129" s="12" t="s">
        <v>130</v>
      </c>
      <c r="O6129" s="10" t="str">
        <f>HYPERLINK("https://pbs.twimg.com/profile_images/703294545195307008/qeCvrX86_normal.jpg","View")</f>
        <v>View</v>
      </c>
      <c r="P6129" s="11"/>
    </row>
    <row r="6130" spans="1:16" ht="12.75" x14ac:dyDescent="0.35">
      <c r="A6130" s="7">
        <v>42483.901261574079</v>
      </c>
      <c r="B6130" s="8" t="str">
        <f>HYPERLINK("https://twitter.com/alex32stepanov","@alex32stepanov")</f>
        <v>@alex32stepanov</v>
      </c>
      <c r="C6130" s="9" t="s">
        <v>13960</v>
      </c>
      <c r="D6130" s="9" t="s">
        <v>13961</v>
      </c>
      <c r="E6130" s="10" t="str">
        <f>HYPERLINK("https://twitter.com/alex32stepanov/status/723906231966916608","723906231966916608")</f>
        <v>723906231966916608</v>
      </c>
      <c r="F6130" s="11" t="s">
        <v>114</v>
      </c>
      <c r="G6130" s="11">
        <v>61</v>
      </c>
      <c r="H6130" s="11">
        <v>24</v>
      </c>
      <c r="I6130" s="11">
        <v>0</v>
      </c>
      <c r="J6130" s="11">
        <v>0</v>
      </c>
      <c r="K6130" s="11" t="s">
        <v>21</v>
      </c>
      <c r="L6130" s="7">
        <v>40284.965416666666</v>
      </c>
      <c r="M6130" s="12"/>
      <c r="N6130" s="12" t="s">
        <v>13962</v>
      </c>
      <c r="O6130" s="10" t="str">
        <f>HYPERLINK("https://pbs.twimg.com/profile_images/1351796085/59140e_normal.jpg","View")</f>
        <v>View</v>
      </c>
      <c r="P6130" s="10" t="str">
        <f>HYPERLINK("http://ctrlq.org/maps/address/#53.26399,34.3615799","Map")</f>
        <v>Map</v>
      </c>
    </row>
    <row r="6131" spans="1:16" ht="12.75" x14ac:dyDescent="0.35">
      <c r="A6131" s="7">
        <v>42483.902141203704</v>
      </c>
      <c r="B6131" s="8" t="str">
        <f>HYPERLINK("https://twitter.com/worcpic","@worcpic")</f>
        <v>@worcpic</v>
      </c>
      <c r="C6131" s="9" t="s">
        <v>13963</v>
      </c>
      <c r="D6131" s="9" t="s">
        <v>13774</v>
      </c>
      <c r="E6131" s="10" t="str">
        <f>HYPERLINK("https://twitter.com/worcpic/status/723906551187181568","723906551187181568")</f>
        <v>723906551187181568</v>
      </c>
      <c r="F6131" s="11" t="s">
        <v>48</v>
      </c>
      <c r="G6131" s="11">
        <v>1681</v>
      </c>
      <c r="H6131" s="11">
        <v>1585</v>
      </c>
      <c r="I6131" s="11">
        <v>2</v>
      </c>
      <c r="J6131" s="11">
        <v>0</v>
      </c>
      <c r="K6131" s="11" t="s">
        <v>21</v>
      </c>
      <c r="L6131" s="7">
        <v>42029.046331018515</v>
      </c>
      <c r="M6131" s="12" t="s">
        <v>13964</v>
      </c>
      <c r="N6131" s="12" t="s">
        <v>13965</v>
      </c>
      <c r="O6131" s="10" t="str">
        <f>HYPERLINK("https://pbs.twimg.com/profile_images/684112090534129664/WS5GkOt1_normal.png","View")</f>
        <v>View</v>
      </c>
      <c r="P6131" s="11"/>
    </row>
    <row r="6132" spans="1:16" ht="12.75" x14ac:dyDescent="0.35">
      <c r="A6132" s="7">
        <v>42483.90357638889</v>
      </c>
      <c r="B6132" s="8" t="str">
        <f>HYPERLINK("https://twitter.com/CastrolArg","@CastrolArg")</f>
        <v>@CastrolArg</v>
      </c>
      <c r="C6132" s="9" t="s">
        <v>13966</v>
      </c>
      <c r="D6132" s="9" t="s">
        <v>13967</v>
      </c>
      <c r="E6132" s="10" t="str">
        <f>HYPERLINK("https://twitter.com/CastrolArg/status/723907068193845248","723907068193845248")</f>
        <v>723907068193845248</v>
      </c>
      <c r="F6132" s="11" t="s">
        <v>43</v>
      </c>
      <c r="G6132" s="11">
        <v>996</v>
      </c>
      <c r="H6132" s="11">
        <v>178</v>
      </c>
      <c r="I6132" s="11">
        <v>0</v>
      </c>
      <c r="J6132" s="11">
        <v>1</v>
      </c>
      <c r="K6132" s="11" t="s">
        <v>21</v>
      </c>
      <c r="L6132" s="7">
        <v>40948.781759259262</v>
      </c>
      <c r="M6132" s="12" t="s">
        <v>866</v>
      </c>
      <c r="N6132" s="12" t="s">
        <v>13968</v>
      </c>
      <c r="O6132" s="10" t="str">
        <f>HYPERLINK("https://pbs.twimg.com/profile_images/558308052848238592/7sNWS5Zp_normal.png","View")</f>
        <v>View</v>
      </c>
      <c r="P6132" s="11"/>
    </row>
    <row r="6133" spans="1:16" ht="12.75" x14ac:dyDescent="0.35">
      <c r="A6133" s="7">
        <v>42483.904293981483</v>
      </c>
      <c r="B6133" s="8" t="str">
        <f>HYPERLINK("https://twitter.com/MorSvinka_83","@MorSvinka_83")</f>
        <v>@MorSvinka_83</v>
      </c>
      <c r="C6133" s="9" t="s">
        <v>9071</v>
      </c>
      <c r="D6133" s="9" t="s">
        <v>13969</v>
      </c>
      <c r="E6133" s="10" t="str">
        <f>HYPERLINK("https://twitter.com/MorSvinka_83/status/723907329343774720","723907329343774720")</f>
        <v>723907329343774720</v>
      </c>
      <c r="F6133" s="11" t="s">
        <v>63</v>
      </c>
      <c r="G6133" s="11">
        <v>81</v>
      </c>
      <c r="H6133" s="11">
        <v>127</v>
      </c>
      <c r="I6133" s="11">
        <v>0</v>
      </c>
      <c r="J6133" s="11">
        <v>0</v>
      </c>
      <c r="K6133" s="11" t="s">
        <v>21</v>
      </c>
      <c r="L6133" s="7">
        <v>40900.763842592591</v>
      </c>
      <c r="M6133" s="12" t="s">
        <v>9073</v>
      </c>
      <c r="N6133" s="12"/>
      <c r="O6133" s="10" t="str">
        <f>HYPERLINK("https://pbs.twimg.com/profile_images/2208847688/Untitled-2_normal.jpg","View")</f>
        <v>View</v>
      </c>
      <c r="P6133" s="11"/>
    </row>
    <row r="6134" spans="1:16" ht="12.75" x14ac:dyDescent="0.35">
      <c r="A6134" s="7">
        <v>42483.904340277775</v>
      </c>
      <c r="B6134" s="8" t="str">
        <f>HYPERLINK("https://twitter.com/Hanningkannnix","@Hanningkannnix")</f>
        <v>@Hanningkannnix</v>
      </c>
      <c r="C6134" s="9" t="s">
        <v>3483</v>
      </c>
      <c r="D6134" s="9" t="s">
        <v>13970</v>
      </c>
      <c r="E6134" s="10" t="str">
        <f>HYPERLINK("https://twitter.com/Hanningkannnix/status/723907346439757825","723907346439757825")</f>
        <v>723907346439757825</v>
      </c>
      <c r="F6134" s="11" t="s">
        <v>13971</v>
      </c>
      <c r="G6134" s="11">
        <v>509</v>
      </c>
      <c r="H6134" s="11">
        <v>515</v>
      </c>
      <c r="I6134" s="11">
        <v>0</v>
      </c>
      <c r="J6134" s="11">
        <v>0</v>
      </c>
      <c r="K6134" s="11" t="s">
        <v>21</v>
      </c>
      <c r="L6134" s="7">
        <v>40209.003831018519</v>
      </c>
      <c r="M6134" s="12"/>
      <c r="N6134" s="12" t="s">
        <v>13972</v>
      </c>
      <c r="O6134" s="10" t="str">
        <f>HYPERLINK("https://pbs.twimg.com/profile_images/723894363349213184/6V-yivMR_normal.jpg","View")</f>
        <v>View</v>
      </c>
      <c r="P6134" s="11"/>
    </row>
    <row r="6135" spans="1:16" ht="12.75" x14ac:dyDescent="0.35">
      <c r="A6135" s="7">
        <v>42483.904548611114</v>
      </c>
      <c r="B6135" s="8" t="str">
        <f>HYPERLINK("https://twitter.com/VWBeetleSales","@VWBeetleSales")</f>
        <v>@VWBeetleSales</v>
      </c>
      <c r="C6135" s="9" t="s">
        <v>127</v>
      </c>
      <c r="D6135" s="9" t="s">
        <v>13973</v>
      </c>
      <c r="E6135" s="10" t="str">
        <f>HYPERLINK("https://twitter.com/VWBeetleSales/status/723907423451238400","723907423451238400")</f>
        <v>723907423451238400</v>
      </c>
      <c r="F6135" s="10" t="s">
        <v>124</v>
      </c>
      <c r="G6135" s="11">
        <v>36</v>
      </c>
      <c r="H6135" s="11">
        <v>32</v>
      </c>
      <c r="I6135" s="11">
        <v>0</v>
      </c>
      <c r="J6135" s="11">
        <v>0</v>
      </c>
      <c r="K6135" s="11" t="s">
        <v>21</v>
      </c>
      <c r="L6135" s="7">
        <v>42427.019756944443</v>
      </c>
      <c r="M6135" s="12" t="s">
        <v>129</v>
      </c>
      <c r="N6135" s="12" t="s">
        <v>130</v>
      </c>
      <c r="O6135" s="10" t="str">
        <f>HYPERLINK("https://pbs.twimg.com/profile_images/703294545195307008/qeCvrX86_normal.jpg","View")</f>
        <v>View</v>
      </c>
      <c r="P6135" s="11"/>
    </row>
    <row r="6136" spans="1:16" ht="12.75" x14ac:dyDescent="0.35">
      <c r="A6136" s="7">
        <v>42483.906666666662</v>
      </c>
      <c r="B6136" s="8" t="str">
        <f>HYPERLINK("https://twitter.com/about_an_hour","@about_an_hour")</f>
        <v>@about_an_hour</v>
      </c>
      <c r="C6136" s="9" t="s">
        <v>13974</v>
      </c>
      <c r="D6136" s="9" t="s">
        <v>13150</v>
      </c>
      <c r="E6136" s="10" t="str">
        <f>HYPERLINK("https://twitter.com/about_an_hour/status/723908188756549632","723908188756549632")</f>
        <v>723908188756549632</v>
      </c>
      <c r="F6136" s="11" t="s">
        <v>20</v>
      </c>
      <c r="G6136" s="11">
        <v>140</v>
      </c>
      <c r="H6136" s="11">
        <v>433</v>
      </c>
      <c r="I6136" s="11">
        <v>26</v>
      </c>
      <c r="J6136" s="11">
        <v>0</v>
      </c>
      <c r="K6136" s="11" t="s">
        <v>21</v>
      </c>
      <c r="L6136" s="7">
        <v>42227.408055555556</v>
      </c>
      <c r="M6136" s="12" t="s">
        <v>13975</v>
      </c>
      <c r="N6136" s="12" t="s">
        <v>13976</v>
      </c>
      <c r="O6136" s="10" t="str">
        <f>HYPERLINK("https://pbs.twimg.com/profile_images/630957953588137984/-wxD0vGV_normal.jpg","View")</f>
        <v>View</v>
      </c>
      <c r="P6136" s="11"/>
    </row>
    <row r="6137" spans="1:16" ht="12.75" x14ac:dyDescent="0.35">
      <c r="A6137" s="7">
        <v>42483.907268518524</v>
      </c>
      <c r="B6137" s="8" t="str">
        <f>HYPERLINK("https://twitter.com/autofrei_leben","@autofrei_leben")</f>
        <v>@autofrei_leben</v>
      </c>
      <c r="C6137" s="9" t="s">
        <v>13977</v>
      </c>
      <c r="D6137" s="9" t="s">
        <v>9477</v>
      </c>
      <c r="E6137" s="10" t="str">
        <f>HYPERLINK("https://twitter.com/autofrei_leben/status/723908408991199233","723908408991199233")</f>
        <v>723908408991199233</v>
      </c>
      <c r="F6137" s="11" t="s">
        <v>48</v>
      </c>
      <c r="G6137" s="11">
        <v>690</v>
      </c>
      <c r="H6137" s="11">
        <v>36</v>
      </c>
      <c r="I6137" s="11">
        <v>10</v>
      </c>
      <c r="J6137" s="11">
        <v>0</v>
      </c>
      <c r="K6137" s="11" t="s">
        <v>21</v>
      </c>
      <c r="L6137" s="7">
        <v>40556.859363425923</v>
      </c>
      <c r="M6137" s="12" t="s">
        <v>1359</v>
      </c>
      <c r="N6137" s="12" t="s">
        <v>13978</v>
      </c>
      <c r="O6137" s="10" t="str">
        <f>HYPERLINK("https://pbs.twimg.com/profile_images/3502680582/d095888cf8391807ed1f4ead731fe4ee_normal.jpeg","View")</f>
        <v>View</v>
      </c>
      <c r="P6137" s="11"/>
    </row>
    <row r="6138" spans="1:16" ht="12.75" x14ac:dyDescent="0.35">
      <c r="A6138" s="7">
        <v>42483.909120370372</v>
      </c>
      <c r="B6138" s="8" t="str">
        <f>HYPERLINK("https://twitter.com/GeorgAlbrecht1","@GeorgAlbrecht1")</f>
        <v>@GeorgAlbrecht1</v>
      </c>
      <c r="C6138" s="9" t="s">
        <v>10791</v>
      </c>
      <c r="D6138" s="9" t="s">
        <v>13979</v>
      </c>
      <c r="E6138" s="10" t="str">
        <f>HYPERLINK("https://twitter.com/GeorgAlbrecht1/status/723909077626134530","723909077626134530")</f>
        <v>723909077626134530</v>
      </c>
      <c r="F6138" s="11" t="s">
        <v>91</v>
      </c>
      <c r="G6138" s="11">
        <v>483</v>
      </c>
      <c r="H6138" s="11">
        <v>450</v>
      </c>
      <c r="I6138" s="11">
        <v>0</v>
      </c>
      <c r="J6138" s="11">
        <v>0</v>
      </c>
      <c r="K6138" s="11" t="s">
        <v>21</v>
      </c>
      <c r="L6138" s="7">
        <v>41961.23065972222</v>
      </c>
      <c r="M6138" s="12" t="s">
        <v>10793</v>
      </c>
      <c r="N6138" s="12" t="s">
        <v>10794</v>
      </c>
      <c r="O6138" s="10" t="str">
        <f>HYPERLINK("https://pbs.twimg.com/profile_images/624857513989701632/nGTBvzYR_normal.jpg","View")</f>
        <v>View</v>
      </c>
      <c r="P6138" s="11"/>
    </row>
    <row r="6139" spans="1:16" ht="12.75" x14ac:dyDescent="0.35">
      <c r="A6139" s="7">
        <v>42483.910057870366</v>
      </c>
      <c r="B6139" s="8" t="str">
        <f>HYPERLINK("https://twitter.com/ScruffyDogSteph","@ScruffyDogSteph")</f>
        <v>@ScruffyDogSteph</v>
      </c>
      <c r="C6139" s="9" t="s">
        <v>13980</v>
      </c>
      <c r="D6139" s="9" t="s">
        <v>13981</v>
      </c>
      <c r="E6139" s="10" t="str">
        <f>HYPERLINK("https://twitter.com/ScruffyDogSteph/status/723909417821999104","723909417821999104")</f>
        <v>723909417821999104</v>
      </c>
      <c r="F6139" s="11" t="s">
        <v>114</v>
      </c>
      <c r="G6139" s="11">
        <v>200</v>
      </c>
      <c r="H6139" s="11">
        <v>202</v>
      </c>
      <c r="I6139" s="11">
        <v>0</v>
      </c>
      <c r="J6139" s="11">
        <v>0</v>
      </c>
      <c r="K6139" s="11" t="s">
        <v>21</v>
      </c>
      <c r="L6139" s="7">
        <v>41333.067152777774</v>
      </c>
      <c r="M6139" s="12" t="s">
        <v>13982</v>
      </c>
      <c r="N6139" s="12"/>
      <c r="O6139" s="10" t="str">
        <f>HYPERLINK("https://pbs.twimg.com/profile_images/3316532991/eec263fafa1e013aa39dc95e789dcd0b_normal.jpeg","View")</f>
        <v>View</v>
      </c>
      <c r="P6139" s="11"/>
    </row>
    <row r="6140" spans="1:16" ht="12.75" x14ac:dyDescent="0.35">
      <c r="A6140" s="7">
        <v>42483.910127314812</v>
      </c>
      <c r="B6140" s="8" t="str">
        <f>HYPERLINK("https://twitter.com/marcus_philipp1","@marcus_philipp1")</f>
        <v>@marcus_philipp1</v>
      </c>
      <c r="C6140" s="9" t="s">
        <v>687</v>
      </c>
      <c r="D6140" s="9" t="s">
        <v>13983</v>
      </c>
      <c r="E6140" s="10" t="str">
        <f>HYPERLINK("https://twitter.com/marcus_philipp1/status/723909441335103488","723909441335103488")</f>
        <v>723909441335103488</v>
      </c>
      <c r="F6140" s="11" t="s">
        <v>91</v>
      </c>
      <c r="G6140" s="11">
        <v>30</v>
      </c>
      <c r="H6140" s="11">
        <v>74</v>
      </c>
      <c r="I6140" s="11">
        <v>0</v>
      </c>
      <c r="J6140" s="11">
        <v>0</v>
      </c>
      <c r="K6140" s="11" t="s">
        <v>21</v>
      </c>
      <c r="L6140" s="7">
        <v>42431.469398148147</v>
      </c>
      <c r="M6140" s="12" t="s">
        <v>688</v>
      </c>
      <c r="N6140" s="12" t="s">
        <v>689</v>
      </c>
      <c r="O6140" s="10" t="str">
        <f>HYPERLINK("https://pbs.twimg.com/profile_images/715030110844362754/PC9gDSCU_normal.jpg","View")</f>
        <v>View</v>
      </c>
      <c r="P6140" s="11"/>
    </row>
    <row r="6141" spans="1:16" ht="12.75" x14ac:dyDescent="0.35">
      <c r="A6141" s="7">
        <v>42483.911377314813</v>
      </c>
      <c r="B6141" s="8" t="str">
        <f>HYPERLINK("https://twitter.com/yann_drareg","@yann_drareg")</f>
        <v>@yann_drareg</v>
      </c>
      <c r="C6141" s="9" t="s">
        <v>13533</v>
      </c>
      <c r="D6141" s="9" t="s">
        <v>13984</v>
      </c>
      <c r="E6141" s="10" t="str">
        <f>HYPERLINK("https://twitter.com/yann_drareg/status/723909895490310144","723909895490310144")</f>
        <v>723909895490310144</v>
      </c>
      <c r="F6141" s="11" t="s">
        <v>91</v>
      </c>
      <c r="G6141" s="11">
        <v>1199</v>
      </c>
      <c r="H6141" s="11">
        <v>2174</v>
      </c>
      <c r="I6141" s="11">
        <v>1</v>
      </c>
      <c r="J6141" s="11">
        <v>0</v>
      </c>
      <c r="K6141" s="11" t="s">
        <v>21</v>
      </c>
      <c r="L6141" s="7">
        <v>41971.165370370371</v>
      </c>
      <c r="M6141" s="12"/>
      <c r="N6141" s="12" t="s">
        <v>13535</v>
      </c>
      <c r="O6141" s="10" t="str">
        <f>HYPERLINK("https://pbs.twimg.com/profile_images/577742130698915840/ghR4cANb_normal.jpeg","View")</f>
        <v>View</v>
      </c>
      <c r="P6141" s="11"/>
    </row>
    <row r="6142" spans="1:16" ht="12.75" x14ac:dyDescent="0.35">
      <c r="A6142" s="7">
        <v>42483.911805555559</v>
      </c>
      <c r="B6142" s="8" t="str">
        <f>HYPERLINK("https://twitter.com/RobsterRound","@RobsterRound")</f>
        <v>@RobsterRound</v>
      </c>
      <c r="C6142" s="9" t="s">
        <v>1816</v>
      </c>
      <c r="D6142" s="9" t="s">
        <v>13985</v>
      </c>
      <c r="E6142" s="10" t="str">
        <f>HYPERLINK("https://twitter.com/RobsterRound/status/723910050494984192","723910050494984192")</f>
        <v>723910050494984192</v>
      </c>
      <c r="F6142" s="11" t="s">
        <v>20</v>
      </c>
      <c r="G6142" s="11">
        <v>1602</v>
      </c>
      <c r="H6142" s="11">
        <v>661</v>
      </c>
      <c r="I6142" s="11">
        <v>0</v>
      </c>
      <c r="J6142" s="11">
        <v>1</v>
      </c>
      <c r="K6142" s="11" t="s">
        <v>21</v>
      </c>
      <c r="L6142" s="7">
        <v>41158.840648148151</v>
      </c>
      <c r="M6142" s="12" t="s">
        <v>1818</v>
      </c>
      <c r="N6142" s="12" t="s">
        <v>1819</v>
      </c>
      <c r="O6142" s="10" t="str">
        <f>HYPERLINK("https://pbs.twimg.com/profile_images/719093309738770432/-ot7iGIC_normal.jpg","View")</f>
        <v>View</v>
      </c>
      <c r="P6142" s="11"/>
    </row>
    <row r="6143" spans="1:16" ht="12.75" x14ac:dyDescent="0.35">
      <c r="A6143" s="7">
        <v>42483.912118055552</v>
      </c>
      <c r="B6143" s="8" t="str">
        <f>HYPERLINK("https://twitter.com/BoxesRadio","@BoxesRadio")</f>
        <v>@BoxesRadio</v>
      </c>
      <c r="C6143" s="9" t="s">
        <v>13986</v>
      </c>
      <c r="D6143" s="9" t="s">
        <v>13987</v>
      </c>
      <c r="E6143" s="10" t="str">
        <f>HYPERLINK("https://twitter.com/BoxesRadio/status/723910162520657921","723910162520657921")</f>
        <v>723910162520657921</v>
      </c>
      <c r="F6143" s="11" t="s">
        <v>20</v>
      </c>
      <c r="G6143" s="11">
        <v>1349</v>
      </c>
      <c r="H6143" s="11">
        <v>398</v>
      </c>
      <c r="I6143" s="11">
        <v>2</v>
      </c>
      <c r="J6143" s="11">
        <v>0</v>
      </c>
      <c r="K6143" s="11" t="s">
        <v>21</v>
      </c>
      <c r="L6143" s="7">
        <v>41562.813333333332</v>
      </c>
      <c r="M6143" s="12" t="s">
        <v>4440</v>
      </c>
      <c r="N6143" s="12" t="s">
        <v>13988</v>
      </c>
      <c r="O6143" s="10" t="str">
        <f>HYPERLINK("https://pbs.twimg.com/profile_images/606430797743157249/nFnSTZud_normal.jpg","View")</f>
        <v>View</v>
      </c>
      <c r="P6143" s="11"/>
    </row>
    <row r="6144" spans="1:16" ht="12.75" x14ac:dyDescent="0.35">
      <c r="A6144" s="7">
        <v>42483.912164351852</v>
      </c>
      <c r="B6144" s="8" t="str">
        <f>HYPERLINK("https://twitter.com/AlmendraJuN","@AlmendraJuN")</f>
        <v>@AlmendraJuN</v>
      </c>
      <c r="C6144" s="9" t="s">
        <v>13989</v>
      </c>
      <c r="D6144" s="9" t="s">
        <v>13990</v>
      </c>
      <c r="E6144" s="10" t="str">
        <f>HYPERLINK("https://twitter.com/AlmendraJuN/status/723910181541785601","723910181541785601")</f>
        <v>723910181541785601</v>
      </c>
      <c r="F6144" s="11" t="s">
        <v>114</v>
      </c>
      <c r="G6144" s="11">
        <v>304</v>
      </c>
      <c r="H6144" s="11">
        <v>494</v>
      </c>
      <c r="I6144" s="11">
        <v>0</v>
      </c>
      <c r="J6144" s="11">
        <v>0</v>
      </c>
      <c r="K6144" s="11" t="s">
        <v>21</v>
      </c>
      <c r="L6144" s="7">
        <v>40013.355763888889</v>
      </c>
      <c r="M6144" s="12" t="s">
        <v>12466</v>
      </c>
      <c r="N6144" s="12" t="s">
        <v>13991</v>
      </c>
      <c r="O6144" s="10" t="str">
        <f>HYPERLINK("https://pbs.twimg.com/profile_images/684032553855000576/VmwdLyw8_normal.jpg","View")</f>
        <v>View</v>
      </c>
      <c r="P6144" s="11"/>
    </row>
    <row r="6145" spans="1:16" ht="12.75" x14ac:dyDescent="0.35">
      <c r="A6145" s="7">
        <v>42483.912534722222</v>
      </c>
      <c r="B6145" s="8" t="str">
        <f>HYPERLINK("https://twitter.com/Litardo_GermanC","@Litardo_GermanC")</f>
        <v>@Litardo_GermanC</v>
      </c>
      <c r="C6145" s="9" t="s">
        <v>13992</v>
      </c>
      <c r="D6145" s="9" t="s">
        <v>13987</v>
      </c>
      <c r="E6145" s="10" t="str">
        <f>HYPERLINK("https://twitter.com/Litardo_GermanC/status/723910315608576000","723910315608576000")</f>
        <v>723910315608576000</v>
      </c>
      <c r="F6145" s="11" t="s">
        <v>20</v>
      </c>
      <c r="G6145" s="11">
        <v>2251</v>
      </c>
      <c r="H6145" s="11">
        <v>1484</v>
      </c>
      <c r="I6145" s="11">
        <v>2</v>
      </c>
      <c r="J6145" s="11">
        <v>0</v>
      </c>
      <c r="K6145" s="11" t="s">
        <v>21</v>
      </c>
      <c r="L6145" s="7">
        <v>40729.104178240741</v>
      </c>
      <c r="M6145" s="12" t="s">
        <v>13993</v>
      </c>
      <c r="N6145" s="12" t="s">
        <v>13994</v>
      </c>
      <c r="O6145" s="10" t="str">
        <f>HYPERLINK("https://pbs.twimg.com/profile_images/560585672508342272/DPrc_Yxv_normal.jpeg","View")</f>
        <v>View</v>
      </c>
      <c r="P6145" s="11"/>
    </row>
    <row r="6146" spans="1:16" ht="12.75" x14ac:dyDescent="0.35">
      <c r="A6146" s="7">
        <v>42483.913576388892</v>
      </c>
      <c r="B6146" s="8" t="str">
        <f>HYPERLINK("https://twitter.com/AndyRArmstrong","@AndyRArmstrong")</f>
        <v>@AndyRArmstrong</v>
      </c>
      <c r="C6146" s="9" t="s">
        <v>13995</v>
      </c>
      <c r="D6146" s="9" t="s">
        <v>13150</v>
      </c>
      <c r="E6146" s="10" t="str">
        <f>HYPERLINK("https://twitter.com/AndyRArmstrong/status/723910691036372992","723910691036372992")</f>
        <v>723910691036372992</v>
      </c>
      <c r="F6146" s="11" t="s">
        <v>43</v>
      </c>
      <c r="G6146" s="11">
        <v>36796</v>
      </c>
      <c r="H6146" s="11">
        <v>1959</v>
      </c>
      <c r="I6146" s="11">
        <v>27</v>
      </c>
      <c r="J6146" s="11">
        <v>0</v>
      </c>
      <c r="K6146" s="11" t="s">
        <v>21</v>
      </c>
      <c r="L6146" s="7">
        <v>40691.893229166664</v>
      </c>
      <c r="M6146" s="12" t="s">
        <v>13996</v>
      </c>
      <c r="N6146" s="13" t="s">
        <v>13997</v>
      </c>
      <c r="O6146" s="10" t="str">
        <f>HYPERLINK("https://pbs.twimg.com/profile_images/2631993850/f768400fb066a4b3f1b00e29657f9e4b_normal.jpeg","View")</f>
        <v>View</v>
      </c>
      <c r="P6146" s="11"/>
    </row>
    <row r="6147" spans="1:16" ht="12.75" x14ac:dyDescent="0.35">
      <c r="A6147" s="7">
        <v>42483.914479166662</v>
      </c>
      <c r="B6147" s="8" t="str">
        <f>HYPERLINK("https://twitter.com/iksa1009","@iksa1009")</f>
        <v>@iksa1009</v>
      </c>
      <c r="C6147" s="9" t="s">
        <v>13998</v>
      </c>
      <c r="D6147" s="9" t="s">
        <v>13999</v>
      </c>
      <c r="E6147" s="10" t="str">
        <f>HYPERLINK("https://twitter.com/iksa1009/status/723911021388156928","723911021388156928")</f>
        <v>723911021388156928</v>
      </c>
      <c r="F6147" s="11" t="s">
        <v>20</v>
      </c>
      <c r="G6147" s="11">
        <v>5</v>
      </c>
      <c r="H6147" s="11">
        <v>5</v>
      </c>
      <c r="I6147" s="11">
        <v>0</v>
      </c>
      <c r="J6147" s="11">
        <v>0</v>
      </c>
      <c r="K6147" s="11" t="s">
        <v>21</v>
      </c>
      <c r="L6147" s="7">
        <v>42469.313310185185</v>
      </c>
      <c r="M6147" s="12"/>
      <c r="N6147" s="12" t="s">
        <v>14000</v>
      </c>
      <c r="O6147" s="10" t="str">
        <f>HYPERLINK("https://pbs.twimg.com/profile_images/718624022561300480/OI27YgLi_normal.jpg","View")</f>
        <v>View</v>
      </c>
      <c r="P6147" s="11"/>
    </row>
    <row r="6148" spans="1:16" ht="12.75" x14ac:dyDescent="0.35">
      <c r="A6148" s="7">
        <v>42483.914733796293</v>
      </c>
      <c r="B6148" s="8" t="str">
        <f>HYPERLINK("https://twitter.com/G5xbk","@G5xbk")</f>
        <v>@G5xbk</v>
      </c>
      <c r="C6148" s="9" t="s">
        <v>14001</v>
      </c>
      <c r="D6148" s="9" t="s">
        <v>14002</v>
      </c>
      <c r="E6148" s="10" t="str">
        <f>HYPERLINK("https://twitter.com/G5xbk/status/723911112828301312","723911112828301312")</f>
        <v>723911112828301312</v>
      </c>
      <c r="F6148" s="11" t="s">
        <v>20</v>
      </c>
      <c r="G6148" s="11">
        <v>20</v>
      </c>
      <c r="H6148" s="11">
        <v>67</v>
      </c>
      <c r="I6148" s="11">
        <v>2</v>
      </c>
      <c r="J6148" s="11">
        <v>0</v>
      </c>
      <c r="K6148" s="11" t="s">
        <v>21</v>
      </c>
      <c r="L6148" s="7">
        <v>42180.103622685187</v>
      </c>
      <c r="M6148" s="12" t="s">
        <v>14003</v>
      </c>
      <c r="N6148" s="12" t="s">
        <v>14004</v>
      </c>
      <c r="O6148" s="10" t="str">
        <f>HYPERLINK("https://pbs.twimg.com/profile_images/613820119349903360/ujZriYrP_normal.jpg","View")</f>
        <v>View</v>
      </c>
      <c r="P6148" s="11"/>
    </row>
    <row r="6149" spans="1:16" ht="12.75" x14ac:dyDescent="0.35">
      <c r="A6149" s="7">
        <v>42483.916319444441</v>
      </c>
      <c r="B6149" s="8" t="str">
        <f t="shared" ref="B6149:B6150" si="525">HYPERLINK("https://twitter.com/VeeDubMk1_","@VeeDubMk1_")</f>
        <v>@VeeDubMk1_</v>
      </c>
      <c r="C6149" s="9" t="s">
        <v>185</v>
      </c>
      <c r="D6149" s="9" t="s">
        <v>14005</v>
      </c>
      <c r="E6149" s="10" t="str">
        <f>HYPERLINK("https://twitter.com/VeeDubMk1_/status/723911685917016064","723911685917016064")</f>
        <v>723911685917016064</v>
      </c>
      <c r="F6149" s="11" t="s">
        <v>68</v>
      </c>
      <c r="G6149" s="11">
        <v>549</v>
      </c>
      <c r="H6149" s="11">
        <v>3527</v>
      </c>
      <c r="I6149" s="11">
        <v>0</v>
      </c>
      <c r="J6149" s="11">
        <v>0</v>
      </c>
      <c r="K6149" s="11" t="s">
        <v>21</v>
      </c>
      <c r="L6149" s="7">
        <v>42343.063356481478</v>
      </c>
      <c r="M6149" s="12"/>
      <c r="N6149" s="12"/>
      <c r="O6149" s="10" t="str">
        <f t="shared" ref="O6149:O6150" si="526">HYPERLINK("https://pbs.twimg.com/profile_images/672878354127839232/M7OYc-zx_normal.jpg","View")</f>
        <v>View</v>
      </c>
      <c r="P6149" s="11"/>
    </row>
    <row r="6150" spans="1:16" ht="12.75" x14ac:dyDescent="0.35">
      <c r="A6150" s="7">
        <v>42483.916331018518</v>
      </c>
      <c r="B6150" s="8" t="str">
        <f t="shared" si="525"/>
        <v>@VeeDubMk1_</v>
      </c>
      <c r="C6150" s="9" t="s">
        <v>185</v>
      </c>
      <c r="D6150" s="9" t="s">
        <v>14006</v>
      </c>
      <c r="E6150" s="10" t="str">
        <f>HYPERLINK("https://twitter.com/VeeDubMk1_/status/723911692938305536","723911692938305536")</f>
        <v>723911692938305536</v>
      </c>
      <c r="F6150" s="11" t="s">
        <v>68</v>
      </c>
      <c r="G6150" s="11">
        <v>549</v>
      </c>
      <c r="H6150" s="11">
        <v>3527</v>
      </c>
      <c r="I6150" s="11">
        <v>0</v>
      </c>
      <c r="J6150" s="11">
        <v>0</v>
      </c>
      <c r="K6150" s="11" t="s">
        <v>21</v>
      </c>
      <c r="L6150" s="7">
        <v>42343.063356481478</v>
      </c>
      <c r="M6150" s="12"/>
      <c r="N6150" s="12"/>
      <c r="O6150" s="10" t="str">
        <f t="shared" si="526"/>
        <v>View</v>
      </c>
      <c r="P6150" s="11"/>
    </row>
    <row r="6151" spans="1:16" ht="12.75" x14ac:dyDescent="0.35">
      <c r="A6151" s="7">
        <v>42483.916354166664</v>
      </c>
      <c r="B6151" s="8" t="str">
        <f>HYPERLINK("https://twitter.com/Insta_VWT","@Insta_VWT")</f>
        <v>@Insta_VWT</v>
      </c>
      <c r="C6151" s="9" t="s">
        <v>181</v>
      </c>
      <c r="D6151" s="9" t="s">
        <v>14007</v>
      </c>
      <c r="E6151" s="10" t="str">
        <f>HYPERLINK("https://twitter.com/Insta_VWT/status/723911699812720641","723911699812720641")</f>
        <v>723911699812720641</v>
      </c>
      <c r="F6151" s="11" t="s">
        <v>68</v>
      </c>
      <c r="G6151" s="11">
        <v>485</v>
      </c>
      <c r="H6151" s="11">
        <v>0</v>
      </c>
      <c r="I6151" s="11">
        <v>0</v>
      </c>
      <c r="J6151" s="11">
        <v>0</v>
      </c>
      <c r="K6151" s="11" t="s">
        <v>21</v>
      </c>
      <c r="L6151" s="7">
        <v>41658.782800925925</v>
      </c>
      <c r="M6151" s="12" t="s">
        <v>183</v>
      </c>
      <c r="N6151" s="12" t="s">
        <v>184</v>
      </c>
      <c r="O6151" s="10" t="str">
        <f>HYPERLINK("https://pbs.twimg.com/profile_images/424893967197433858/iQ86NktX_normal.jpeg","View")</f>
        <v>View</v>
      </c>
      <c r="P6151" s="11"/>
    </row>
    <row r="6152" spans="1:16" ht="12.75" x14ac:dyDescent="0.35">
      <c r="A6152" s="7">
        <v>42483.916747685187</v>
      </c>
      <c r="B6152" s="8" t="str">
        <f>HYPERLINK("https://twitter.com/VWCamperSales","@VWCamperSales")</f>
        <v>@VWCamperSales</v>
      </c>
      <c r="C6152" s="9" t="s">
        <v>216</v>
      </c>
      <c r="D6152" s="9" t="s">
        <v>14008</v>
      </c>
      <c r="E6152" s="10" t="str">
        <f>HYPERLINK("https://twitter.com/VWCamperSales/status/723911842414747648","723911842414747648")</f>
        <v>723911842414747648</v>
      </c>
      <c r="F6152" s="10" t="s">
        <v>124</v>
      </c>
      <c r="G6152" s="11">
        <v>621</v>
      </c>
      <c r="H6152" s="11">
        <v>580</v>
      </c>
      <c r="I6152" s="11">
        <v>0</v>
      </c>
      <c r="J6152" s="11">
        <v>0</v>
      </c>
      <c r="K6152" s="11" t="s">
        <v>21</v>
      </c>
      <c r="L6152" s="7">
        <v>42215.98809027778</v>
      </c>
      <c r="M6152" s="12" t="s">
        <v>129</v>
      </c>
      <c r="N6152" s="12" t="s">
        <v>218</v>
      </c>
      <c r="O6152" s="10" t="str">
        <f>HYPERLINK("https://pbs.twimg.com/profile_images/627949001179037696/skEBkS05_normal.jpg","View")</f>
        <v>View</v>
      </c>
      <c r="P6152" s="11"/>
    </row>
    <row r="6153" spans="1:16" ht="12.75" x14ac:dyDescent="0.35">
      <c r="A6153" s="7">
        <v>42483.917256944449</v>
      </c>
      <c r="B6153" s="8" t="str">
        <f>HYPERLINK("https://twitter.com/NetzwerkggS21","@NetzwerkggS21")</f>
        <v>@NetzwerkggS21</v>
      </c>
      <c r="C6153" s="9" t="s">
        <v>2359</v>
      </c>
      <c r="D6153" s="9" t="s">
        <v>14009</v>
      </c>
      <c r="E6153" s="10" t="str">
        <f>HYPERLINK("https://twitter.com/NetzwerkggS21/status/723912027387904000","723912027387904000")</f>
        <v>723912027387904000</v>
      </c>
      <c r="F6153" s="11" t="s">
        <v>43</v>
      </c>
      <c r="G6153" s="11">
        <v>857</v>
      </c>
      <c r="H6153" s="11">
        <v>2115</v>
      </c>
      <c r="I6153" s="11">
        <v>29</v>
      </c>
      <c r="J6153" s="11">
        <v>0</v>
      </c>
      <c r="K6153" s="11" t="s">
        <v>21</v>
      </c>
      <c r="L6153" s="7">
        <v>41326.709363425922</v>
      </c>
      <c r="M6153" s="13" t="s">
        <v>2361</v>
      </c>
      <c r="N6153" s="12" t="s">
        <v>2362</v>
      </c>
      <c r="O6153" s="10" t="str">
        <f>HYPERLINK("https://pbs.twimg.com/profile_images/378800000528765970/3ab9f2a00010e9cac08d5ca1638926e9_normal.png","View")</f>
        <v>View</v>
      </c>
      <c r="P6153" s="11"/>
    </row>
    <row r="6154" spans="1:16" ht="12.75" x14ac:dyDescent="0.35">
      <c r="A6154" s="7">
        <v>42483.918599537035</v>
      </c>
      <c r="B6154" s="8" t="str">
        <f>HYPERLINK("https://twitter.com/TitilayoOjes1","@TitilayoOjes1")</f>
        <v>@TitilayoOjes1</v>
      </c>
      <c r="C6154" s="9" t="s">
        <v>14010</v>
      </c>
      <c r="D6154" s="9" t="s">
        <v>14011</v>
      </c>
      <c r="E6154" s="10" t="str">
        <f>HYPERLINK("https://twitter.com/TitilayoOjes1/status/723912512270393344","723912512270393344")</f>
        <v>723912512270393344</v>
      </c>
      <c r="F6154" s="11" t="s">
        <v>48</v>
      </c>
      <c r="G6154" s="11">
        <v>11</v>
      </c>
      <c r="H6154" s="11">
        <v>86</v>
      </c>
      <c r="I6154" s="11">
        <v>6</v>
      </c>
      <c r="J6154" s="11">
        <v>0</v>
      </c>
      <c r="K6154" s="11" t="s">
        <v>21</v>
      </c>
      <c r="L6154" s="7">
        <v>42382.70685185185</v>
      </c>
      <c r="M6154" s="12" t="s">
        <v>14012</v>
      </c>
      <c r="N6154" s="12" t="s">
        <v>14013</v>
      </c>
      <c r="O6154" s="10" t="str">
        <f>HYPERLINK("https://pbs.twimg.com/profile_images/687235732889546752/wBZdkiLY_normal.jpg","View")</f>
        <v>View</v>
      </c>
      <c r="P6154" s="11"/>
    </row>
    <row r="6155" spans="1:16" ht="12.75" x14ac:dyDescent="0.35">
      <c r="A6155" s="7">
        <v>42483.918692129635</v>
      </c>
      <c r="B6155" s="8" t="str">
        <f>HYPERLINK("https://twitter.com/CastleCoastCamp","@CastleCoastCamp")</f>
        <v>@CastleCoastCamp</v>
      </c>
      <c r="C6155" s="9" t="s">
        <v>11199</v>
      </c>
      <c r="D6155" s="9" t="s">
        <v>14014</v>
      </c>
      <c r="E6155" s="10" t="str">
        <f>HYPERLINK("https://twitter.com/CastleCoastCamp/status/723912545686433792","723912545686433792")</f>
        <v>723912545686433792</v>
      </c>
      <c r="F6155" s="11" t="s">
        <v>43</v>
      </c>
      <c r="G6155" s="11">
        <v>4922</v>
      </c>
      <c r="H6155" s="11">
        <v>4544</v>
      </c>
      <c r="I6155" s="11">
        <v>1</v>
      </c>
      <c r="J6155" s="11">
        <v>2</v>
      </c>
      <c r="K6155" s="11" t="s">
        <v>21</v>
      </c>
      <c r="L6155" s="7">
        <v>41119.874444444446</v>
      </c>
      <c r="M6155" s="12" t="s">
        <v>11201</v>
      </c>
      <c r="N6155" s="12" t="s">
        <v>11202</v>
      </c>
      <c r="O6155" s="10" t="str">
        <f>HYPERLINK("https://pbs.twimg.com/profile_images/610401931501137920/c0qYTPr__normal.jpg","View")</f>
        <v>View</v>
      </c>
      <c r="P6155" s="11"/>
    </row>
    <row r="6156" spans="1:16" ht="12.75" x14ac:dyDescent="0.35">
      <c r="A6156" s="7">
        <v>42483.918865740736</v>
      </c>
      <c r="B6156" s="8" t="str">
        <f>HYPERLINK("https://twitter.com/Rob_der_Waelder","@Rob_der_Waelder")</f>
        <v>@Rob_der_Waelder</v>
      </c>
      <c r="C6156" s="9" t="s">
        <v>14015</v>
      </c>
      <c r="D6156" s="9" t="s">
        <v>14016</v>
      </c>
      <c r="E6156" s="10" t="str">
        <f>HYPERLINK("https://twitter.com/Rob_der_Waelder/status/723912609880268801","723912609880268801")</f>
        <v>723912609880268801</v>
      </c>
      <c r="F6156" s="11" t="s">
        <v>43</v>
      </c>
      <c r="G6156" s="11">
        <v>78</v>
      </c>
      <c r="H6156" s="11">
        <v>223</v>
      </c>
      <c r="I6156" s="11">
        <v>0</v>
      </c>
      <c r="J6156" s="11">
        <v>0</v>
      </c>
      <c r="K6156" s="11" t="s">
        <v>21</v>
      </c>
      <c r="L6156" s="7">
        <v>41552.797986111109</v>
      </c>
      <c r="M6156" s="12"/>
      <c r="N6156" s="12" t="s">
        <v>14017</v>
      </c>
      <c r="O6156" s="10" t="str">
        <f>HYPERLINK("https://pbs.twimg.com/profile_images/378800000556673342/6f2f945a7e34f9ede6f4e200ccb89af2_normal.jpeg","View")</f>
        <v>View</v>
      </c>
      <c r="P6156" s="11"/>
    </row>
    <row r="6157" spans="1:16" ht="12.75" x14ac:dyDescent="0.35">
      <c r="A6157" s="7">
        <v>42483.919641203705</v>
      </c>
      <c r="B6157" s="8" t="str">
        <f>HYPERLINK("https://twitter.com/vismonvan","@vismonvan")</f>
        <v>@vismonvan</v>
      </c>
      <c r="C6157" s="9" t="s">
        <v>14018</v>
      </c>
      <c r="D6157" s="9" t="s">
        <v>14019</v>
      </c>
      <c r="E6157" s="10" t="str">
        <f>HYPERLINK("https://twitter.com/vismonvan/status/723912892605673472","723912892605673472")</f>
        <v>723912892605673472</v>
      </c>
      <c r="F6157" s="11" t="s">
        <v>20</v>
      </c>
      <c r="G6157" s="11">
        <v>69</v>
      </c>
      <c r="H6157" s="11">
        <v>105</v>
      </c>
      <c r="I6157" s="11">
        <v>0</v>
      </c>
      <c r="J6157" s="11">
        <v>0</v>
      </c>
      <c r="K6157" s="11" t="s">
        <v>21</v>
      </c>
      <c r="L6157" s="7">
        <v>42195.95821759259</v>
      </c>
      <c r="M6157" s="12" t="s">
        <v>12780</v>
      </c>
      <c r="N6157" s="12" t="s">
        <v>14020</v>
      </c>
      <c r="O6157" s="10" t="str">
        <f>HYPERLINK("https://pbs.twimg.com/profile_images/619560038714241025/Os9w2k0g_normal.jpg","View")</f>
        <v>View</v>
      </c>
      <c r="P6157" s="11"/>
    </row>
    <row r="6158" spans="1:16" ht="12.75" x14ac:dyDescent="0.35">
      <c r="A6158" s="7">
        <v>42483.920289351852</v>
      </c>
      <c r="B6158" s="8" t="str">
        <f>HYPERLINK("https://twitter.com/FerMan076","@FerMan076")</f>
        <v>@FerMan076</v>
      </c>
      <c r="C6158" s="9" t="s">
        <v>14021</v>
      </c>
      <c r="D6158" s="9" t="s">
        <v>14022</v>
      </c>
      <c r="E6158" s="10" t="str">
        <f>HYPERLINK("https://twitter.com/FerMan076/status/723913123778969600","723913123778969600")</f>
        <v>723913123778969600</v>
      </c>
      <c r="F6158" s="11" t="s">
        <v>114</v>
      </c>
      <c r="G6158" s="11">
        <v>55</v>
      </c>
      <c r="H6158" s="11">
        <v>54</v>
      </c>
      <c r="I6158" s="11">
        <v>0</v>
      </c>
      <c r="J6158" s="11">
        <v>0</v>
      </c>
      <c r="K6158" s="11" t="s">
        <v>21</v>
      </c>
      <c r="L6158" s="7">
        <v>40134.49423611111</v>
      </c>
      <c r="M6158" s="12" t="s">
        <v>14023</v>
      </c>
      <c r="N6158" s="12"/>
      <c r="O6158" s="10" t="str">
        <f>HYPERLINK("https://pbs.twimg.com/profile_images/1649649893/vacaloca_normal.jpg","View")</f>
        <v>View</v>
      </c>
      <c r="P6158" s="10" t="str">
        <f>HYPERLINK("http://ctrlq.org/maps/address/#33.38395,-84.3128","Map")</f>
        <v>Map</v>
      </c>
    </row>
    <row r="6159" spans="1:16" ht="12.75" x14ac:dyDescent="0.35">
      <c r="A6159" s="7">
        <v>42483.921585648146</v>
      </c>
      <c r="B6159" s="8" t="str">
        <f>HYPERLINK("https://twitter.com/groovytrip","@groovytrip")</f>
        <v>@groovytrip</v>
      </c>
      <c r="C6159" s="9" t="s">
        <v>14024</v>
      </c>
      <c r="D6159" s="9" t="s">
        <v>14025</v>
      </c>
      <c r="E6159" s="10" t="str">
        <f>HYPERLINK("https://twitter.com/groovytrip/status/723913595738832896","723913595738832896")</f>
        <v>723913595738832896</v>
      </c>
      <c r="F6159" s="11" t="s">
        <v>80</v>
      </c>
      <c r="G6159" s="11">
        <v>1737</v>
      </c>
      <c r="H6159" s="11">
        <v>63</v>
      </c>
      <c r="I6159" s="11">
        <v>0</v>
      </c>
      <c r="J6159" s="11">
        <v>0</v>
      </c>
      <c r="K6159" s="11" t="s">
        <v>21</v>
      </c>
      <c r="L6159" s="7">
        <v>39917.861967592595</v>
      </c>
      <c r="M6159" s="12" t="s">
        <v>3608</v>
      </c>
      <c r="N6159" s="12" t="s">
        <v>14026</v>
      </c>
      <c r="O6159" s="10" t="str">
        <f>HYPERLINK("https://pbs.twimg.com/profile_images/712069686192549889/bykYsdPj_normal.jpg","View")</f>
        <v>View</v>
      </c>
      <c r="P6159" s="11"/>
    </row>
    <row r="6160" spans="1:16" ht="12.75" x14ac:dyDescent="0.35">
      <c r="A6160" s="7">
        <v>42483.922314814816</v>
      </c>
      <c r="B6160" s="8" t="str">
        <f>HYPERLINK("https://twitter.com/Lunatique11","@Lunatique11")</f>
        <v>@Lunatique11</v>
      </c>
      <c r="C6160" s="9" t="s">
        <v>11424</v>
      </c>
      <c r="D6160" s="9" t="s">
        <v>14027</v>
      </c>
      <c r="E6160" s="10" t="str">
        <f>HYPERLINK("https://twitter.com/Lunatique11/status/723913857882710016","723913857882710016")</f>
        <v>723913857882710016</v>
      </c>
      <c r="F6160" s="11" t="s">
        <v>114</v>
      </c>
      <c r="G6160" s="11">
        <v>174</v>
      </c>
      <c r="H6160" s="11">
        <v>461</v>
      </c>
      <c r="I6160" s="11">
        <v>0</v>
      </c>
      <c r="J6160" s="11">
        <v>0</v>
      </c>
      <c r="K6160" s="11" t="s">
        <v>21</v>
      </c>
      <c r="L6160" s="7">
        <v>41368.858854166669</v>
      </c>
      <c r="M6160" s="12" t="s">
        <v>11426</v>
      </c>
      <c r="N6160" s="12" t="s">
        <v>11427</v>
      </c>
      <c r="O6160" s="10" t="str">
        <f>HYPERLINK("https://pbs.twimg.com/profile_images/704318460814364672/WLDosunw_normal.jpg","View")</f>
        <v>View</v>
      </c>
      <c r="P6160" s="11"/>
    </row>
    <row r="6161" spans="1:16" ht="12.75" x14ac:dyDescent="0.35">
      <c r="A6161" s="7">
        <v>42483.922708333332</v>
      </c>
      <c r="B6161" s="8" t="str">
        <f>HYPERLINK("https://twitter.com/Jaygrimbo","@Jaygrimbo")</f>
        <v>@Jaygrimbo</v>
      </c>
      <c r="C6161" s="9" t="s">
        <v>14028</v>
      </c>
      <c r="D6161" s="9" t="s">
        <v>14029</v>
      </c>
      <c r="E6161" s="10" t="str">
        <f>HYPERLINK("https://twitter.com/Jaygrimbo/status/723914002271707136","723914002271707136")</f>
        <v>723914002271707136</v>
      </c>
      <c r="F6161" s="11" t="s">
        <v>114</v>
      </c>
      <c r="G6161" s="11">
        <v>212</v>
      </c>
      <c r="H6161" s="11">
        <v>420</v>
      </c>
      <c r="I6161" s="11">
        <v>0</v>
      </c>
      <c r="J6161" s="11">
        <v>0</v>
      </c>
      <c r="K6161" s="11" t="s">
        <v>21</v>
      </c>
      <c r="L6161" s="7">
        <v>40525.013912037037</v>
      </c>
      <c r="M6161" s="12" t="s">
        <v>638</v>
      </c>
      <c r="N6161" s="12" t="s">
        <v>14030</v>
      </c>
      <c r="O6161" s="10" t="str">
        <f>HYPERLINK("https://pbs.twimg.com/profile_images/686988633224654849/PaFzDiqe_normal.jpg","View")</f>
        <v>View</v>
      </c>
      <c r="P6161" s="11"/>
    </row>
    <row r="6162" spans="1:16" ht="12.75" x14ac:dyDescent="0.35">
      <c r="A6162" s="7">
        <v>42483.922893518524</v>
      </c>
      <c r="B6162" s="8" t="str">
        <f>HYPERLINK("https://twitter.com/felix_pig","@felix_pig")</f>
        <v>@felix_pig</v>
      </c>
      <c r="C6162" s="9" t="s">
        <v>14031</v>
      </c>
      <c r="D6162" s="9" t="s">
        <v>14032</v>
      </c>
      <c r="E6162" s="10" t="str">
        <f>HYPERLINK("https://twitter.com/felix_pig/status/723914067795152896","723914067795152896")</f>
        <v>723914067795152896</v>
      </c>
      <c r="F6162" s="11" t="s">
        <v>43</v>
      </c>
      <c r="G6162" s="11">
        <v>915</v>
      </c>
      <c r="H6162" s="11">
        <v>1196</v>
      </c>
      <c r="I6162" s="11">
        <v>0</v>
      </c>
      <c r="J6162" s="11">
        <v>0</v>
      </c>
      <c r="K6162" s="11" t="s">
        <v>21</v>
      </c>
      <c r="L6162" s="7">
        <v>41609.890428240738</v>
      </c>
      <c r="M6162" s="12" t="s">
        <v>1359</v>
      </c>
      <c r="N6162" s="12" t="s">
        <v>14033</v>
      </c>
      <c r="O6162" s="10" t="str">
        <f>HYPERLINK("https://pbs.twimg.com/profile_images/378800000817281664/8d452fa185db6be015743c4f6da0e6e1_normal.jpeg","View")</f>
        <v>View</v>
      </c>
      <c r="P6162" s="11"/>
    </row>
    <row r="6163" spans="1:16" ht="12.75" x14ac:dyDescent="0.35">
      <c r="A6163" s="7">
        <v>42483.92454861111</v>
      </c>
      <c r="B6163" s="8" t="str">
        <f>HYPERLINK("https://twitter.com/dejbanlaw","@dejbanlaw")</f>
        <v>@dejbanlaw</v>
      </c>
      <c r="C6163" s="9" t="s">
        <v>500</v>
      </c>
      <c r="D6163" s="9" t="s">
        <v>14034</v>
      </c>
      <c r="E6163" s="10" t="str">
        <f>HYPERLINK("https://twitter.com/dejbanlaw/status/723914670382284800","723914670382284800")</f>
        <v>723914670382284800</v>
      </c>
      <c r="F6163" s="11" t="s">
        <v>91</v>
      </c>
      <c r="G6163" s="11">
        <v>22065</v>
      </c>
      <c r="H6163" s="11">
        <v>271</v>
      </c>
      <c r="I6163" s="11">
        <v>0</v>
      </c>
      <c r="J6163" s="11">
        <v>0</v>
      </c>
      <c r="K6163" s="11" t="s">
        <v>21</v>
      </c>
      <c r="L6163" s="7">
        <v>42350.2659837963</v>
      </c>
      <c r="M6163" s="12" t="s">
        <v>502</v>
      </c>
      <c r="N6163" s="12" t="s">
        <v>503</v>
      </c>
      <c r="O6163" s="10" t="str">
        <f>HYPERLINK("https://pbs.twimg.com/profile_images/676465930424082432/zT-RyXf4_normal.jpg","View")</f>
        <v>View</v>
      </c>
      <c r="P6163" s="11"/>
    </row>
    <row r="6164" spans="1:16" ht="12.75" x14ac:dyDescent="0.35">
      <c r="A6164" s="7">
        <v>42483.925034722226</v>
      </c>
      <c r="B6164" s="8" t="str">
        <f>HYPERLINK("https://twitter.com/aucklandcastle","@aucklandcastle")</f>
        <v>@aucklandcastle</v>
      </c>
      <c r="C6164" s="9" t="s">
        <v>14035</v>
      </c>
      <c r="D6164" s="9" t="s">
        <v>14036</v>
      </c>
      <c r="E6164" s="10" t="str">
        <f>HYPERLINK("https://twitter.com/aucklandcastle/status/723914845121331200","723914845121331200")</f>
        <v>723914845121331200</v>
      </c>
      <c r="F6164" s="11" t="s">
        <v>20</v>
      </c>
      <c r="G6164" s="11">
        <v>4092</v>
      </c>
      <c r="H6164" s="11">
        <v>4944</v>
      </c>
      <c r="I6164" s="11">
        <v>1</v>
      </c>
      <c r="J6164" s="11">
        <v>0</v>
      </c>
      <c r="K6164" s="11" t="s">
        <v>21</v>
      </c>
      <c r="L6164" s="7">
        <v>40954.115300925929</v>
      </c>
      <c r="M6164" s="12" t="s">
        <v>14037</v>
      </c>
      <c r="N6164" s="12" t="s">
        <v>14038</v>
      </c>
      <c r="O6164" s="10" t="str">
        <f>HYPERLINK("https://pbs.twimg.com/profile_images/2149603906/logo_normal.jpg","View")</f>
        <v>View</v>
      </c>
      <c r="P6164" s="11"/>
    </row>
    <row r="6165" spans="1:16" ht="12.75" x14ac:dyDescent="0.35">
      <c r="A6165" s="7">
        <v>42483.925625000003</v>
      </c>
      <c r="B6165" s="8" t="str">
        <f>HYPERLINK("https://twitter.com/belluxprod","@belluxprod")</f>
        <v>@belluxprod</v>
      </c>
      <c r="C6165" s="9" t="s">
        <v>14039</v>
      </c>
      <c r="D6165" s="9" t="s">
        <v>14040</v>
      </c>
      <c r="E6165" s="10" t="str">
        <f>HYPERLINK("https://twitter.com/belluxprod/status/723915060188352512","723915060188352512")</f>
        <v>723915060188352512</v>
      </c>
      <c r="F6165" s="11" t="s">
        <v>114</v>
      </c>
      <c r="G6165" s="11">
        <v>94</v>
      </c>
      <c r="H6165" s="11">
        <v>105</v>
      </c>
      <c r="I6165" s="11">
        <v>0</v>
      </c>
      <c r="J6165" s="11">
        <v>0</v>
      </c>
      <c r="K6165" s="11" t="s">
        <v>21</v>
      </c>
      <c r="L6165" s="7">
        <v>40709.196967592594</v>
      </c>
      <c r="M6165" s="12" t="s">
        <v>12664</v>
      </c>
      <c r="N6165" s="12" t="s">
        <v>14041</v>
      </c>
      <c r="O6165" s="10" t="str">
        <f>HYPERLINK("https://pbs.twimg.com/profile_images/2920846445/e34a37ddab890f16b88086d930e5a566_normal.jpeg","View")</f>
        <v>View</v>
      </c>
      <c r="P6165" s="11"/>
    </row>
    <row r="6166" spans="1:16" ht="12.75" x14ac:dyDescent="0.35">
      <c r="A6166" s="7">
        <v>42483.926099537042</v>
      </c>
      <c r="B6166" s="8" t="str">
        <f>HYPERLINK("https://twitter.com/yogafitter","@yogafitter")</f>
        <v>@yogafitter</v>
      </c>
      <c r="C6166" s="9" t="s">
        <v>9427</v>
      </c>
      <c r="D6166" s="9" t="s">
        <v>14042</v>
      </c>
      <c r="E6166" s="10" t="str">
        <f>HYPERLINK("https://twitter.com/yogafitter/status/723915231190126602","723915231190126602")</f>
        <v>723915231190126602</v>
      </c>
      <c r="F6166" s="11" t="s">
        <v>114</v>
      </c>
      <c r="G6166" s="11">
        <v>41</v>
      </c>
      <c r="H6166" s="11">
        <v>242</v>
      </c>
      <c r="I6166" s="11">
        <v>0</v>
      </c>
      <c r="J6166" s="11">
        <v>0</v>
      </c>
      <c r="K6166" s="11" t="s">
        <v>21</v>
      </c>
      <c r="L6166" s="7">
        <v>41667.642708333333</v>
      </c>
      <c r="M6166" s="12"/>
      <c r="N6166" s="12"/>
      <c r="O6166" s="10" t="str">
        <f>HYPERLINK("https://pbs.twimg.com/profile_images/722835603255992321/BBAQvavV_normal.jpg","View")</f>
        <v>View</v>
      </c>
      <c r="P6166" s="10" t="str">
        <f>HYPERLINK("http://ctrlq.org/maps/address/#32.07350377,-81.10070656","Map")</f>
        <v>Map</v>
      </c>
    </row>
    <row r="6167" spans="1:16" ht="12.75" x14ac:dyDescent="0.35">
      <c r="A6167" s="7">
        <v>42483.927928240737</v>
      </c>
      <c r="B6167" s="8" t="str">
        <f>HYPERLINK("https://twitter.com/dejbanlaw","@dejbanlaw")</f>
        <v>@dejbanlaw</v>
      </c>
      <c r="C6167" s="9" t="s">
        <v>500</v>
      </c>
      <c r="D6167" s="9" t="s">
        <v>14043</v>
      </c>
      <c r="E6167" s="10" t="str">
        <f>HYPERLINK("https://twitter.com/dejbanlaw/status/723915893655240704","723915893655240704")</f>
        <v>723915893655240704</v>
      </c>
      <c r="F6167" s="11" t="s">
        <v>91</v>
      </c>
      <c r="G6167" s="11">
        <v>22067</v>
      </c>
      <c r="H6167" s="11">
        <v>271</v>
      </c>
      <c r="I6167" s="11">
        <v>2</v>
      </c>
      <c r="J6167" s="11">
        <v>7</v>
      </c>
      <c r="K6167" s="11" t="s">
        <v>21</v>
      </c>
      <c r="L6167" s="7">
        <v>42350.2659837963</v>
      </c>
      <c r="M6167" s="12" t="s">
        <v>502</v>
      </c>
      <c r="N6167" s="12" t="s">
        <v>503</v>
      </c>
      <c r="O6167" s="10" t="str">
        <f>HYPERLINK("https://pbs.twimg.com/profile_images/676465930424082432/zT-RyXf4_normal.jpg","View")</f>
        <v>View</v>
      </c>
      <c r="P6167" s="11"/>
    </row>
    <row r="6168" spans="1:16" ht="12.75" x14ac:dyDescent="0.35">
      <c r="A6168" s="7">
        <v>42483.928252314814</v>
      </c>
      <c r="B6168" s="8" t="str">
        <f>HYPERLINK("https://twitter.com/VotelTravels","@VotelTravels")</f>
        <v>@VotelTravels</v>
      </c>
      <c r="C6168" s="9" t="s">
        <v>14044</v>
      </c>
      <c r="D6168" s="9" t="s">
        <v>14045</v>
      </c>
      <c r="E6168" s="10" t="str">
        <f>HYPERLINK("https://twitter.com/VotelTravels/status/723916011158798337","723916011158798337")</f>
        <v>723916011158798337</v>
      </c>
      <c r="F6168" s="11" t="s">
        <v>20</v>
      </c>
      <c r="G6168" s="11">
        <v>9296</v>
      </c>
      <c r="H6168" s="11">
        <v>9238</v>
      </c>
      <c r="I6168" s="11">
        <v>1</v>
      </c>
      <c r="J6168" s="11">
        <v>1</v>
      </c>
      <c r="K6168" s="11" t="s">
        <v>21</v>
      </c>
      <c r="L6168" s="7">
        <v>42290.750208333338</v>
      </c>
      <c r="M6168" s="12" t="s">
        <v>125</v>
      </c>
      <c r="N6168" s="12" t="s">
        <v>14046</v>
      </c>
      <c r="O6168" s="10" t="str">
        <f>HYPERLINK("https://pbs.twimg.com/profile_images/653912667745333248/8Bvff339_normal.jpg","View")</f>
        <v>View</v>
      </c>
      <c r="P6168" s="11"/>
    </row>
    <row r="6169" spans="1:16" ht="12.75" x14ac:dyDescent="0.35">
      <c r="A6169" s="7">
        <v>42483.928518518514</v>
      </c>
      <c r="B6169" s="8" t="str">
        <f>HYPERLINK("https://twitter.com/CapeCoralgroup","@CapeCoralgroup")</f>
        <v>@CapeCoralgroup</v>
      </c>
      <c r="C6169" s="9" t="s">
        <v>14047</v>
      </c>
      <c r="D6169" s="9" t="s">
        <v>14048</v>
      </c>
      <c r="E6169" s="10" t="str">
        <f>HYPERLINK("https://twitter.com/CapeCoralgroup/status/723916109418749952","723916109418749952")</f>
        <v>723916109418749952</v>
      </c>
      <c r="F6169" s="11" t="s">
        <v>91</v>
      </c>
      <c r="G6169" s="11">
        <v>13293</v>
      </c>
      <c r="H6169" s="11">
        <v>14519</v>
      </c>
      <c r="I6169" s="11">
        <v>0</v>
      </c>
      <c r="J6169" s="11">
        <v>1</v>
      </c>
      <c r="K6169" s="11" t="s">
        <v>21</v>
      </c>
      <c r="L6169" s="7">
        <v>40564.783958333333</v>
      </c>
      <c r="M6169" s="12" t="s">
        <v>10882</v>
      </c>
      <c r="N6169" s="12" t="s">
        <v>14049</v>
      </c>
      <c r="O6169" s="10" t="str">
        <f>HYPERLINK("https://pbs.twimg.com/profile_images/702118645221236736/UsrwZfWh_normal.jpg","View")</f>
        <v>View</v>
      </c>
      <c r="P6169" s="11"/>
    </row>
    <row r="6170" spans="1:16" ht="12.75" x14ac:dyDescent="0.35">
      <c r="A6170" s="7">
        <v>42483.928877314815</v>
      </c>
      <c r="B6170" s="8" t="str">
        <f>HYPERLINK("https://twitter.com/LottowinFlorida","@LottowinFlorida")</f>
        <v>@LottowinFlorida</v>
      </c>
      <c r="C6170" s="9" t="s">
        <v>14050</v>
      </c>
      <c r="D6170" s="9" t="s">
        <v>14051</v>
      </c>
      <c r="E6170" s="10" t="str">
        <f>HYPERLINK("https://twitter.com/LottowinFlorida/status/723916239974862849","723916239974862849")</f>
        <v>723916239974862849</v>
      </c>
      <c r="F6170" s="11" t="s">
        <v>91</v>
      </c>
      <c r="G6170" s="11">
        <v>18836</v>
      </c>
      <c r="H6170" s="11">
        <v>19290</v>
      </c>
      <c r="I6170" s="11">
        <v>0</v>
      </c>
      <c r="J6170" s="11">
        <v>1</v>
      </c>
      <c r="K6170" s="11" t="s">
        <v>21</v>
      </c>
      <c r="L6170" s="7">
        <v>40553.299166666664</v>
      </c>
      <c r="M6170" s="12" t="s">
        <v>1359</v>
      </c>
      <c r="N6170" s="12" t="s">
        <v>14052</v>
      </c>
      <c r="O6170" s="10" t="str">
        <f>HYPERLINK("https://pbs.twimg.com/profile_images/1646905092/Frau_Women_normal.jpg","View")</f>
        <v>View</v>
      </c>
      <c r="P6170" s="11"/>
    </row>
    <row r="6171" spans="1:16" ht="12.75" x14ac:dyDescent="0.35">
      <c r="A6171" s="7">
        <v>42483.931273148148</v>
      </c>
      <c r="B6171" s="8" t="str">
        <f>HYPERLINK("https://twitter.com/j0edraper_","@j0edraper_")</f>
        <v>@j0edraper_</v>
      </c>
      <c r="C6171" s="9" t="s">
        <v>14053</v>
      </c>
      <c r="D6171" s="9" t="s">
        <v>14054</v>
      </c>
      <c r="E6171" s="10" t="str">
        <f>HYPERLINK("https://twitter.com/j0edraper_/status/723917104240578561","723917104240578561")</f>
        <v>723917104240578561</v>
      </c>
      <c r="F6171" s="11" t="s">
        <v>48</v>
      </c>
      <c r="G6171" s="11">
        <v>181</v>
      </c>
      <c r="H6171" s="11">
        <v>250</v>
      </c>
      <c r="I6171" s="11">
        <v>2</v>
      </c>
      <c r="J6171" s="11">
        <v>0</v>
      </c>
      <c r="K6171" s="11" t="s">
        <v>21</v>
      </c>
      <c r="L6171" s="7">
        <v>41568.097534722227</v>
      </c>
      <c r="M6171" s="12" t="s">
        <v>14055</v>
      </c>
      <c r="N6171" s="12" t="s">
        <v>14056</v>
      </c>
      <c r="O6171" s="10" t="str">
        <f>HYPERLINK("https://pbs.twimg.com/profile_images/541554437656158208/ryXJEi6c_normal.jpeg","View")</f>
        <v>View</v>
      </c>
      <c r="P6171" s="11"/>
    </row>
    <row r="6172" spans="1:16" ht="12.75" x14ac:dyDescent="0.35">
      <c r="A6172" s="7">
        <v>42483.932546296295</v>
      </c>
      <c r="B6172" s="8" t="str">
        <f>HYPERLINK("https://twitter.com/MetindevrikHot","@MetindevrikHot")</f>
        <v>@MetindevrikHot</v>
      </c>
      <c r="C6172" s="9" t="s">
        <v>14057</v>
      </c>
      <c r="D6172" s="9" t="s">
        <v>14058</v>
      </c>
      <c r="E6172" s="10" t="str">
        <f>HYPERLINK("https://twitter.com/MetindevrikHot/status/723917567946006530","723917567946006530")</f>
        <v>723917567946006530</v>
      </c>
      <c r="F6172" s="11" t="s">
        <v>14059</v>
      </c>
      <c r="G6172" s="11">
        <v>39</v>
      </c>
      <c r="H6172" s="11">
        <v>31</v>
      </c>
      <c r="I6172" s="11">
        <v>0</v>
      </c>
      <c r="J6172" s="11">
        <v>0</v>
      </c>
      <c r="K6172" s="11" t="s">
        <v>21</v>
      </c>
      <c r="L6172" s="7">
        <v>41247.758680555555</v>
      </c>
      <c r="M6172" s="12" t="s">
        <v>14060</v>
      </c>
      <c r="N6172" s="12" t="s">
        <v>14061</v>
      </c>
      <c r="O6172" s="10" t="str">
        <f>HYPERLINK("https://pbs.twimg.com/profile_images/681212978528649216/CCxhjhHP_normal.jpg","View")</f>
        <v>View</v>
      </c>
      <c r="P6172" s="10" t="str">
        <f>HYPERLINK("http://ctrlq.org/maps/address/#41.09191691,28.79504052","Map")</f>
        <v>Map</v>
      </c>
    </row>
    <row r="6173" spans="1:16" ht="12.75" x14ac:dyDescent="0.35">
      <c r="A6173" s="7">
        <v>42483.932916666672</v>
      </c>
      <c r="B6173" s="8" t="str">
        <f>HYPERLINK("https://twitter.com/Capricillo","@Capricillo")</f>
        <v>@Capricillo</v>
      </c>
      <c r="C6173" s="9" t="s">
        <v>14062</v>
      </c>
      <c r="D6173" s="9" t="s">
        <v>14063</v>
      </c>
      <c r="E6173" s="10" t="str">
        <f>HYPERLINK("https://twitter.com/Capricillo/status/723917703640174592","723917703640174592")</f>
        <v>723917703640174592</v>
      </c>
      <c r="F6173" s="11" t="s">
        <v>114</v>
      </c>
      <c r="G6173" s="11">
        <v>55</v>
      </c>
      <c r="H6173" s="11">
        <v>111</v>
      </c>
      <c r="I6173" s="11">
        <v>0</v>
      </c>
      <c r="J6173" s="11">
        <v>0</v>
      </c>
      <c r="K6173" s="11" t="s">
        <v>21</v>
      </c>
      <c r="L6173" s="7">
        <v>40508.86440972222</v>
      </c>
      <c r="M6173" s="12" t="s">
        <v>5902</v>
      </c>
      <c r="N6173" s="12" t="s">
        <v>14064</v>
      </c>
      <c r="O6173" s="10" t="str">
        <f>HYPERLINK("https://pbs.twimg.com/profile_images/650778349535633410/5nUr5aU0_normal.jpg","View")</f>
        <v>View</v>
      </c>
      <c r="P6173" s="11"/>
    </row>
    <row r="6174" spans="1:16" ht="12.75" x14ac:dyDescent="0.35">
      <c r="A6174" s="7">
        <v>42483.933831018519</v>
      </c>
      <c r="B6174" s="8" t="str">
        <f>HYPERLINK("https://twitter.com/_Natchlko","@_Natchlko")</f>
        <v>@_Natchlko</v>
      </c>
      <c r="C6174" s="9" t="s">
        <v>14065</v>
      </c>
      <c r="D6174" s="9" t="s">
        <v>14054</v>
      </c>
      <c r="E6174" s="10" t="str">
        <f>HYPERLINK("https://twitter.com/_Natchlko/status/723918033962590208","723918033962590208")</f>
        <v>723918033962590208</v>
      </c>
      <c r="F6174" s="11" t="s">
        <v>48</v>
      </c>
      <c r="G6174" s="11">
        <v>321</v>
      </c>
      <c r="H6174" s="11">
        <v>1707</v>
      </c>
      <c r="I6174" s="11">
        <v>2</v>
      </c>
      <c r="J6174" s="11">
        <v>0</v>
      </c>
      <c r="K6174" s="11" t="s">
        <v>21</v>
      </c>
      <c r="L6174" s="7">
        <v>41567.429641203707</v>
      </c>
      <c r="M6174" s="12" t="s">
        <v>6221</v>
      </c>
      <c r="N6174" s="12" t="s">
        <v>14066</v>
      </c>
      <c r="O6174" s="10" t="str">
        <f>HYPERLINK("https://pbs.twimg.com/profile_images/540385316100923392/3OdFDiWd_normal.jpeg","View")</f>
        <v>View</v>
      </c>
      <c r="P6174" s="11"/>
    </row>
    <row r="6175" spans="1:16" ht="12.75" x14ac:dyDescent="0.35">
      <c r="A6175" s="7">
        <v>42483.934537037036</v>
      </c>
      <c r="B6175" s="8" t="str">
        <f>HYPERLINK("https://twitter.com/VWCamperSales","@VWCamperSales")</f>
        <v>@VWCamperSales</v>
      </c>
      <c r="C6175" s="9" t="s">
        <v>216</v>
      </c>
      <c r="D6175" s="9" t="s">
        <v>14067</v>
      </c>
      <c r="E6175" s="10" t="str">
        <f>HYPERLINK("https://twitter.com/VWCamperSales/status/723918287235506176","723918287235506176")</f>
        <v>723918287235506176</v>
      </c>
      <c r="F6175" s="10" t="s">
        <v>124</v>
      </c>
      <c r="G6175" s="11">
        <v>621</v>
      </c>
      <c r="H6175" s="11">
        <v>580</v>
      </c>
      <c r="I6175" s="11">
        <v>0</v>
      </c>
      <c r="J6175" s="11">
        <v>0</v>
      </c>
      <c r="K6175" s="11" t="s">
        <v>21</v>
      </c>
      <c r="L6175" s="7">
        <v>42215.98809027778</v>
      </c>
      <c r="M6175" s="12" t="s">
        <v>129</v>
      </c>
      <c r="N6175" s="12" t="s">
        <v>218</v>
      </c>
      <c r="O6175" s="10" t="str">
        <f>HYPERLINK("https://pbs.twimg.com/profile_images/627949001179037696/skEBkS05_normal.jpg","View")</f>
        <v>View</v>
      </c>
      <c r="P6175" s="11"/>
    </row>
    <row r="6176" spans="1:16" ht="12.75" x14ac:dyDescent="0.35">
      <c r="A6176" s="7">
        <v>42483.934664351851</v>
      </c>
      <c r="B6176" s="8" t="str">
        <f>HYPERLINK("https://twitter.com/brankocovic","@brankocovic")</f>
        <v>@brankocovic</v>
      </c>
      <c r="C6176" s="9" t="s">
        <v>14068</v>
      </c>
      <c r="D6176" s="9" t="s">
        <v>14069</v>
      </c>
      <c r="E6176" s="10" t="str">
        <f>HYPERLINK("https://twitter.com/brankocovic/status/723918334719348736","723918334719348736")</f>
        <v>723918334719348736</v>
      </c>
      <c r="F6176" s="11" t="s">
        <v>119</v>
      </c>
      <c r="G6176" s="11">
        <v>463</v>
      </c>
      <c r="H6176" s="11">
        <v>361</v>
      </c>
      <c r="I6176" s="11">
        <v>0</v>
      </c>
      <c r="J6176" s="11">
        <v>0</v>
      </c>
      <c r="K6176" s="11" t="s">
        <v>21</v>
      </c>
      <c r="L6176" s="7">
        <v>40213.918495370366</v>
      </c>
      <c r="M6176" s="12" t="s">
        <v>14070</v>
      </c>
      <c r="N6176" s="12" t="s">
        <v>14071</v>
      </c>
      <c r="O6176" s="10" t="str">
        <f>HYPERLINK("https://pbs.twimg.com/profile_images/514757892290134017/oINplEn2_normal.jpeg","View")</f>
        <v>View</v>
      </c>
      <c r="P6176" s="11"/>
    </row>
    <row r="6177" spans="1:16" ht="12.75" x14ac:dyDescent="0.35">
      <c r="A6177" s="7">
        <v>42483.935601851852</v>
      </c>
      <c r="B6177" s="8" t="str">
        <f>HYPERLINK("https://twitter.com/steaithpooch","@steaithpooch")</f>
        <v>@steaithpooch</v>
      </c>
      <c r="C6177" s="9" t="s">
        <v>14072</v>
      </c>
      <c r="D6177" s="9" t="s">
        <v>14073</v>
      </c>
      <c r="E6177" s="10" t="str">
        <f>HYPERLINK("https://twitter.com/steaithpooch/status/723918675267473408","723918675267473408")</f>
        <v>723918675267473408</v>
      </c>
      <c r="F6177" s="11" t="s">
        <v>48</v>
      </c>
      <c r="G6177" s="11">
        <v>342</v>
      </c>
      <c r="H6177" s="11">
        <v>111</v>
      </c>
      <c r="I6177" s="11">
        <v>2</v>
      </c>
      <c r="J6177" s="11">
        <v>0</v>
      </c>
      <c r="K6177" s="11" t="s">
        <v>21</v>
      </c>
      <c r="L6177" s="7">
        <v>41567.704664351855</v>
      </c>
      <c r="M6177" s="12" t="s">
        <v>14074</v>
      </c>
      <c r="N6177" s="12" t="s">
        <v>14075</v>
      </c>
      <c r="O6177" s="10" t="str">
        <f>HYPERLINK("https://pbs.twimg.com/profile_images/540345345029701632/41M7HyZS_normal.jpeg","View")</f>
        <v>View</v>
      </c>
      <c r="P6177" s="11"/>
    </row>
    <row r="6178" spans="1:16" ht="12.75" x14ac:dyDescent="0.35">
      <c r="A6178" s="7">
        <v>42483.935925925922</v>
      </c>
      <c r="B6178" s="8" t="str">
        <f>HYPERLINK("https://twitter.com/gjPandaBouseKe","@gjPandaBouseKe")</f>
        <v>@gjPandaBouseKe</v>
      </c>
      <c r="C6178" s="9" t="s">
        <v>14076</v>
      </c>
      <c r="D6178" s="9" t="s">
        <v>14073</v>
      </c>
      <c r="E6178" s="10" t="str">
        <f>HYPERLINK("https://twitter.com/gjPandaBouseKe/status/723918791386779648","723918791386779648")</f>
        <v>723918791386779648</v>
      </c>
      <c r="F6178" s="11" t="s">
        <v>43</v>
      </c>
      <c r="G6178" s="11">
        <v>33</v>
      </c>
      <c r="H6178" s="11">
        <v>1272</v>
      </c>
      <c r="I6178" s="11">
        <v>2</v>
      </c>
      <c r="J6178" s="11">
        <v>0</v>
      </c>
      <c r="K6178" s="11" t="s">
        <v>21</v>
      </c>
      <c r="L6178" s="7">
        <v>42063.590613425928</v>
      </c>
      <c r="M6178" s="12"/>
      <c r="N6178" s="12" t="s">
        <v>14077</v>
      </c>
      <c r="O6178" s="10" t="str">
        <f>HYPERLINK("https://pbs.twimg.com/profile_images/575760063651934208/JWKGrBNI_normal.jpeg","View")</f>
        <v>View</v>
      </c>
      <c r="P6178" s="11"/>
    </row>
    <row r="6179" spans="1:16" ht="12.75" x14ac:dyDescent="0.35">
      <c r="A6179" s="7">
        <v>42483.936238425929</v>
      </c>
      <c r="B6179" s="8" t="str">
        <f>HYPERLINK("https://twitter.com/Turnervwkelowna","@Turnervwkelowna")</f>
        <v>@Turnervwkelowna</v>
      </c>
      <c r="C6179" s="9" t="s">
        <v>14078</v>
      </c>
      <c r="D6179" s="9" t="s">
        <v>14079</v>
      </c>
      <c r="E6179" s="10" t="str">
        <f>HYPERLINK("https://twitter.com/Turnervwkelowna/status/723918903605383168","723918903605383168")</f>
        <v>723918903605383168</v>
      </c>
      <c r="F6179" s="11" t="s">
        <v>114</v>
      </c>
      <c r="G6179" s="11">
        <v>28</v>
      </c>
      <c r="H6179" s="11">
        <v>106</v>
      </c>
      <c r="I6179" s="11">
        <v>0</v>
      </c>
      <c r="J6179" s="11">
        <v>0</v>
      </c>
      <c r="K6179" s="11" t="s">
        <v>21</v>
      </c>
      <c r="L6179" s="7">
        <v>42454.152962962966</v>
      </c>
      <c r="M6179" s="12"/>
      <c r="N6179" s="12"/>
      <c r="O6179" s="10" t="str">
        <f>HYPERLINK("https://pbs.twimg.com/profile_images/713126574036377600/SToYnSGD_normal.jpg","View")</f>
        <v>View</v>
      </c>
      <c r="P6179" s="11"/>
    </row>
    <row r="6180" spans="1:16" ht="12.75" x14ac:dyDescent="0.35">
      <c r="A6180" s="7">
        <v>42483.936840277776</v>
      </c>
      <c r="B6180" s="8" t="str">
        <f>HYPERLINK("https://twitter.com/VolkerVotsmeier","@VolkerVotsmeier")</f>
        <v>@VolkerVotsmeier</v>
      </c>
      <c r="C6180" s="9" t="s">
        <v>1220</v>
      </c>
      <c r="D6180" s="9" t="s">
        <v>14080</v>
      </c>
      <c r="E6180" s="10" t="str">
        <f>HYPERLINK("https://twitter.com/VolkerVotsmeier/status/723919125647642625","723919125647642625")</f>
        <v>723919125647642625</v>
      </c>
      <c r="F6180" s="11" t="s">
        <v>20</v>
      </c>
      <c r="G6180" s="11">
        <v>1734</v>
      </c>
      <c r="H6180" s="11">
        <v>819</v>
      </c>
      <c r="I6180" s="11">
        <v>0</v>
      </c>
      <c r="J6180" s="11">
        <v>0</v>
      </c>
      <c r="K6180" s="11" t="s">
        <v>21</v>
      </c>
      <c r="L6180" s="7">
        <v>41289.594131944446</v>
      </c>
      <c r="M6180" s="12" t="s">
        <v>975</v>
      </c>
      <c r="N6180" s="12" t="s">
        <v>1222</v>
      </c>
      <c r="O6180" s="10" t="str">
        <f>HYPERLINK("https://pbs.twimg.com/profile_images/507897198911053824/7OqYAonJ_normal.jpeg","View")</f>
        <v>View</v>
      </c>
      <c r="P6180" s="11"/>
    </row>
    <row r="6181" spans="1:16" ht="12.75" x14ac:dyDescent="0.35">
      <c r="A6181" s="7">
        <v>42483.937638888892</v>
      </c>
      <c r="B6181" s="8" t="str">
        <f>HYPERLINK("https://twitter.com/tywcc","@tywcc")</f>
        <v>@tywcc</v>
      </c>
      <c r="C6181" s="9" t="s">
        <v>14081</v>
      </c>
      <c r="D6181" s="9" t="s">
        <v>14082</v>
      </c>
      <c r="E6181" s="10" t="str">
        <f>HYPERLINK("https://twitter.com/tywcc/status/723919412261167104","723919412261167104")</f>
        <v>723919412261167104</v>
      </c>
      <c r="F6181" s="11" t="s">
        <v>20</v>
      </c>
      <c r="G6181" s="11">
        <v>437</v>
      </c>
      <c r="H6181" s="11">
        <v>696</v>
      </c>
      <c r="I6181" s="11">
        <v>0</v>
      </c>
      <c r="J6181" s="11">
        <v>0</v>
      </c>
      <c r="K6181" s="11" t="s">
        <v>21</v>
      </c>
      <c r="L6181" s="7">
        <v>41184.088622685187</v>
      </c>
      <c r="M6181" s="12" t="s">
        <v>14083</v>
      </c>
      <c r="N6181" s="12" t="s">
        <v>14084</v>
      </c>
      <c r="O6181" s="10" t="str">
        <f>HYPERLINK("https://pbs.twimg.com/profile_images/702271663644286976/bOsxJtiK_normal.png","View")</f>
        <v>View</v>
      </c>
      <c r="P6181" s="11"/>
    </row>
    <row r="6182" spans="1:16" ht="12.75" x14ac:dyDescent="0.35">
      <c r="A6182" s="7">
        <v>42483.938645833332</v>
      </c>
      <c r="B6182" s="8" t="str">
        <f>HYPERLINK("https://twitter.com/igmybiga","@igmybiga")</f>
        <v>@igmybiga</v>
      </c>
      <c r="C6182" s="9" t="s">
        <v>14085</v>
      </c>
      <c r="D6182" s="9" t="s">
        <v>14086</v>
      </c>
      <c r="E6182" s="10" t="str">
        <f>HYPERLINK("https://twitter.com/igmybiga/status/723919776523911168","723919776523911168")</f>
        <v>723919776523911168</v>
      </c>
      <c r="F6182" s="11" t="s">
        <v>114</v>
      </c>
      <c r="G6182" s="11">
        <v>6</v>
      </c>
      <c r="H6182" s="11">
        <v>8</v>
      </c>
      <c r="I6182" s="11">
        <v>0</v>
      </c>
      <c r="J6182" s="11">
        <v>0</v>
      </c>
      <c r="K6182" s="11" t="s">
        <v>21</v>
      </c>
      <c r="L6182" s="7">
        <v>42355.066203703704</v>
      </c>
      <c r="M6182" s="12" t="s">
        <v>14087</v>
      </c>
      <c r="N6182" s="12" t="s">
        <v>14088</v>
      </c>
      <c r="O6182" s="10" t="str">
        <f>HYPERLINK("https://pbs.twimg.com/profile_images/677218792473272320/D3XJHjN8_normal.jpg","View")</f>
        <v>View</v>
      </c>
      <c r="P6182" s="11"/>
    </row>
    <row r="6183" spans="1:16" ht="12.75" x14ac:dyDescent="0.35">
      <c r="A6183" s="7">
        <v>42483.938668981486</v>
      </c>
      <c r="B6183" s="8" t="str">
        <f>HYPERLINK("https://twitter.com/crozen1","@crozen1")</f>
        <v>@crozen1</v>
      </c>
      <c r="C6183" s="9" t="s">
        <v>14089</v>
      </c>
      <c r="D6183" s="9" t="s">
        <v>14090</v>
      </c>
      <c r="E6183" s="10" t="str">
        <f>HYPERLINK("https://twitter.com/crozen1/status/723919786640596993","723919786640596993")</f>
        <v>723919786640596993</v>
      </c>
      <c r="F6183" s="10" t="s">
        <v>2083</v>
      </c>
      <c r="G6183" s="11">
        <v>1126</v>
      </c>
      <c r="H6183" s="11">
        <v>1592</v>
      </c>
      <c r="I6183" s="11">
        <v>0</v>
      </c>
      <c r="J6183" s="11">
        <v>0</v>
      </c>
      <c r="K6183" s="11" t="s">
        <v>21</v>
      </c>
      <c r="L6183" s="7">
        <v>40153.312002314815</v>
      </c>
      <c r="M6183" s="12" t="s">
        <v>10671</v>
      </c>
      <c r="N6183" s="12" t="s">
        <v>14091</v>
      </c>
      <c r="O6183" s="10" t="str">
        <f>HYPERLINK("https://pbs.twimg.com/profile_images/1886560867/rozen_normal.jpg","View")</f>
        <v>View</v>
      </c>
      <c r="P6183" s="11"/>
    </row>
    <row r="6184" spans="1:16" ht="12.75" x14ac:dyDescent="0.35">
      <c r="A6184" s="7">
        <v>42483.938819444447</v>
      </c>
      <c r="B6184" s="8" t="str">
        <f>HYPERLINK("https://twitter.com/VWCamperSales","@VWCamperSales")</f>
        <v>@VWCamperSales</v>
      </c>
      <c r="C6184" s="9" t="s">
        <v>216</v>
      </c>
      <c r="D6184" s="9" t="s">
        <v>14092</v>
      </c>
      <c r="E6184" s="10" t="str">
        <f>HYPERLINK("https://twitter.com/VWCamperSales/status/723919839882936320","723919839882936320")</f>
        <v>723919839882936320</v>
      </c>
      <c r="F6184" s="10" t="s">
        <v>124</v>
      </c>
      <c r="G6184" s="11">
        <v>621</v>
      </c>
      <c r="H6184" s="11">
        <v>580</v>
      </c>
      <c r="I6184" s="11">
        <v>0</v>
      </c>
      <c r="J6184" s="11">
        <v>0</v>
      </c>
      <c r="K6184" s="11" t="s">
        <v>21</v>
      </c>
      <c r="L6184" s="7">
        <v>42215.98809027778</v>
      </c>
      <c r="M6184" s="12" t="s">
        <v>129</v>
      </c>
      <c r="N6184" s="12" t="s">
        <v>218</v>
      </c>
      <c r="O6184" s="10" t="str">
        <f>HYPERLINK("https://pbs.twimg.com/profile_images/627949001179037696/skEBkS05_normal.jpg","View")</f>
        <v>View</v>
      </c>
      <c r="P6184" s="11"/>
    </row>
    <row r="6185" spans="1:16" ht="12.75" x14ac:dyDescent="0.35">
      <c r="A6185" s="7">
        <v>42483.939421296294</v>
      </c>
      <c r="B6185" s="8" t="str">
        <f>HYPERLINK("https://twitter.com/tywcc","@tywcc")</f>
        <v>@tywcc</v>
      </c>
      <c r="C6185" s="9" t="s">
        <v>14081</v>
      </c>
      <c r="D6185" s="9" t="s">
        <v>14093</v>
      </c>
      <c r="E6185" s="10" t="str">
        <f>HYPERLINK("https://twitter.com/tywcc/status/723920057856856064","723920057856856064")</f>
        <v>723920057856856064</v>
      </c>
      <c r="F6185" s="11" t="s">
        <v>20</v>
      </c>
      <c r="G6185" s="11">
        <v>437</v>
      </c>
      <c r="H6185" s="11">
        <v>696</v>
      </c>
      <c r="I6185" s="11">
        <v>0</v>
      </c>
      <c r="J6185" s="11">
        <v>0</v>
      </c>
      <c r="K6185" s="11" t="s">
        <v>21</v>
      </c>
      <c r="L6185" s="7">
        <v>41184.088622685187</v>
      </c>
      <c r="M6185" s="12" t="s">
        <v>14083</v>
      </c>
      <c r="N6185" s="12" t="s">
        <v>14084</v>
      </c>
      <c r="O6185" s="10" t="str">
        <f>HYPERLINK("https://pbs.twimg.com/profile_images/702271663644286976/bOsxJtiK_normal.png","View")</f>
        <v>View</v>
      </c>
      <c r="P6185" s="11"/>
    </row>
    <row r="6186" spans="1:16" ht="12.75" x14ac:dyDescent="0.35">
      <c r="A6186" s="7">
        <v>42483.939537037033</v>
      </c>
      <c r="B6186" s="8" t="str">
        <f>HYPERLINK("https://twitter.com/VWCrystalLake","@VWCrystalLake")</f>
        <v>@VWCrystalLake</v>
      </c>
      <c r="C6186" s="9" t="s">
        <v>14094</v>
      </c>
      <c r="D6186" s="9" t="s">
        <v>14095</v>
      </c>
      <c r="E6186" s="10" t="str">
        <f>HYPERLINK("https://twitter.com/VWCrystalLake/status/723920102551379968","723920102551379968")</f>
        <v>723920102551379968</v>
      </c>
      <c r="F6186" s="11" t="s">
        <v>2694</v>
      </c>
      <c r="G6186" s="11">
        <v>9</v>
      </c>
      <c r="H6186" s="11">
        <v>18</v>
      </c>
      <c r="I6186" s="11">
        <v>0</v>
      </c>
      <c r="J6186" s="11">
        <v>0</v>
      </c>
      <c r="K6186" s="11" t="s">
        <v>21</v>
      </c>
      <c r="L6186" s="7">
        <v>41900.087546296294</v>
      </c>
      <c r="M6186" s="12" t="s">
        <v>14096</v>
      </c>
      <c r="N6186" s="12" t="s">
        <v>14097</v>
      </c>
      <c r="O6186" s="10" t="str">
        <f>HYPERLINK("https://pbs.twimg.com/profile_images/512340161149927424/q1C4j2Jn_normal.jpeg","View")</f>
        <v>View</v>
      </c>
      <c r="P6186" s="11"/>
    </row>
    <row r="6187" spans="1:16" ht="12.75" x14ac:dyDescent="0.35">
      <c r="A6187" s="7">
        <v>42483.939745370371</v>
      </c>
      <c r="B6187" s="8" t="str">
        <f>HYPERLINK("https://twitter.com/Tmmlnne","@Tmmlnne")</f>
        <v>@Tmmlnne</v>
      </c>
      <c r="C6187" s="9" t="s">
        <v>14098</v>
      </c>
      <c r="D6187" s="9" t="s">
        <v>14073</v>
      </c>
      <c r="E6187" s="10" t="str">
        <f>HYPERLINK("https://twitter.com/Tmmlnne/status/723920176551333889","723920176551333889")</f>
        <v>723920176551333889</v>
      </c>
      <c r="F6187" s="11" t="s">
        <v>48</v>
      </c>
      <c r="G6187" s="11">
        <v>27</v>
      </c>
      <c r="H6187" s="11">
        <v>72</v>
      </c>
      <c r="I6187" s="11">
        <v>10</v>
      </c>
      <c r="J6187" s="11">
        <v>0</v>
      </c>
      <c r="K6187" s="11" t="s">
        <v>21</v>
      </c>
      <c r="L6187" s="7">
        <v>42060.4059837963</v>
      </c>
      <c r="M6187" s="12" t="s">
        <v>14099</v>
      </c>
      <c r="N6187" s="12"/>
      <c r="O6187" s="10" t="str">
        <f>HYPERLINK("https://pbs.twimg.com/profile_images/594567984447787008/EsQtwO2b_normal.jpg","View")</f>
        <v>View</v>
      </c>
      <c r="P6187" s="11"/>
    </row>
    <row r="6188" spans="1:16" ht="12.75" x14ac:dyDescent="0.35">
      <c r="A6188" s="7">
        <v>42483.940196759257</v>
      </c>
      <c r="B6188" s="8" t="str">
        <f>HYPERLINK("https://twitter.com/CamperSpotting","@CamperSpotting")</f>
        <v>@CamperSpotting</v>
      </c>
      <c r="C6188" s="9" t="s">
        <v>14100</v>
      </c>
      <c r="D6188" s="9" t="s">
        <v>14101</v>
      </c>
      <c r="E6188" s="10" t="str">
        <f>HYPERLINK("https://twitter.com/CamperSpotting/status/723920338531299330","723920338531299330")</f>
        <v>723920338531299330</v>
      </c>
      <c r="F6188" s="11" t="s">
        <v>48</v>
      </c>
      <c r="G6188" s="11">
        <v>5387</v>
      </c>
      <c r="H6188" s="11">
        <v>3991</v>
      </c>
      <c r="I6188" s="11">
        <v>3</v>
      </c>
      <c r="J6188" s="11">
        <v>0</v>
      </c>
      <c r="K6188" s="11" t="s">
        <v>21</v>
      </c>
      <c r="L6188" s="7">
        <v>41534.015682870369</v>
      </c>
      <c r="M6188" s="12" t="s">
        <v>14102</v>
      </c>
      <c r="N6188" s="12" t="s">
        <v>14103</v>
      </c>
      <c r="O6188" s="10" t="str">
        <f>HYPERLINK("https://pbs.twimg.com/profile_images/714175709950910472/F7n1bWGY_normal.jpg","View")</f>
        <v>View</v>
      </c>
      <c r="P6188" s="11"/>
    </row>
    <row r="6189" spans="1:16" ht="12.75" x14ac:dyDescent="0.35">
      <c r="A6189" s="7">
        <v>42483.940208333333</v>
      </c>
      <c r="B6189" s="8" t="str">
        <f>HYPERLINK("https://twitter.com/_forelgnsavage_","@_forelgnsavage_")</f>
        <v>@_forelgnsavage_</v>
      </c>
      <c r="C6189" s="9" t="s">
        <v>14104</v>
      </c>
      <c r="D6189" s="9" t="s">
        <v>14054</v>
      </c>
      <c r="E6189" s="10" t="str">
        <f>HYPERLINK("https://twitter.com/_forelgnsavage_/status/723920346018111488","723920346018111488")</f>
        <v>723920346018111488</v>
      </c>
      <c r="F6189" s="11" t="s">
        <v>48</v>
      </c>
      <c r="G6189" s="11">
        <v>352</v>
      </c>
      <c r="H6189" s="11">
        <v>117</v>
      </c>
      <c r="I6189" s="11">
        <v>7</v>
      </c>
      <c r="J6189" s="11">
        <v>0</v>
      </c>
      <c r="K6189" s="11" t="s">
        <v>21</v>
      </c>
      <c r="L6189" s="7">
        <v>41566.032418981486</v>
      </c>
      <c r="M6189" s="12" t="s">
        <v>14105</v>
      </c>
      <c r="N6189" s="12" t="s">
        <v>14106</v>
      </c>
      <c r="O6189" s="10" t="str">
        <f>HYPERLINK("https://pbs.twimg.com/profile_images/534291201810530304/JWs1t6r9_normal.jpeg","View")</f>
        <v>View</v>
      </c>
      <c r="P6189" s="11"/>
    </row>
    <row r="6190" spans="1:16" ht="12.75" x14ac:dyDescent="0.35">
      <c r="A6190" s="7">
        <v>42483.940567129626</v>
      </c>
      <c r="B6190" s="8" t="str">
        <f>HYPERLINK("https://twitter.com/handelsblatt","@handelsblatt")</f>
        <v>@handelsblatt</v>
      </c>
      <c r="C6190" s="9" t="s">
        <v>973</v>
      </c>
      <c r="D6190" s="9" t="s">
        <v>14107</v>
      </c>
      <c r="E6190" s="10" t="str">
        <f>HYPERLINK("https://twitter.com/handelsblatt/status/723920475387236352","723920475387236352")</f>
        <v>723920475387236352</v>
      </c>
      <c r="F6190" s="11" t="s">
        <v>288</v>
      </c>
      <c r="G6190" s="11">
        <v>240082</v>
      </c>
      <c r="H6190" s="11">
        <v>535</v>
      </c>
      <c r="I6190" s="11">
        <v>2</v>
      </c>
      <c r="J6190" s="11">
        <v>0</v>
      </c>
      <c r="K6190" s="11" t="s">
        <v>21</v>
      </c>
      <c r="L6190" s="7">
        <v>39207.128182870372</v>
      </c>
      <c r="M6190" s="12" t="s">
        <v>975</v>
      </c>
      <c r="N6190" s="12" t="s">
        <v>976</v>
      </c>
      <c r="O6190" s="10" t="str">
        <f>HYPERLINK("https://pbs.twimg.com/profile_images/562563461171798017/AkHF4keI_normal.png","View")</f>
        <v>View</v>
      </c>
      <c r="P6190" s="11"/>
    </row>
    <row r="6191" spans="1:16" ht="12.75" x14ac:dyDescent="0.35">
      <c r="A6191" s="7">
        <v>42483.940798611111</v>
      </c>
      <c r="B6191" s="8" t="str">
        <f>HYPERLINK("https://twitter.com/Mayerllssernac","@Mayerllssernac")</f>
        <v>@Mayerllssernac</v>
      </c>
      <c r="C6191" s="9" t="s">
        <v>14108</v>
      </c>
      <c r="D6191" s="9" t="s">
        <v>14073</v>
      </c>
      <c r="E6191" s="10" t="str">
        <f>HYPERLINK("https://twitter.com/Mayerllssernac/status/723920559050993668","723920559050993668")</f>
        <v>723920559050993668</v>
      </c>
      <c r="F6191" s="11" t="s">
        <v>48</v>
      </c>
      <c r="G6191" s="11">
        <v>277</v>
      </c>
      <c r="H6191" s="11">
        <v>868</v>
      </c>
      <c r="I6191" s="11">
        <v>10</v>
      </c>
      <c r="J6191" s="11">
        <v>0</v>
      </c>
      <c r="K6191" s="11" t="s">
        <v>21</v>
      </c>
      <c r="L6191" s="7">
        <v>41566.629479166666</v>
      </c>
      <c r="M6191" s="12" t="s">
        <v>14109</v>
      </c>
      <c r="N6191" s="12" t="s">
        <v>14110</v>
      </c>
      <c r="O6191" s="10" t="str">
        <f>HYPERLINK("https://pbs.twimg.com/profile_images/539619100654571520/pWLTBAUN_normal.jpeg","View")</f>
        <v>View</v>
      </c>
      <c r="P6191" s="11"/>
    </row>
    <row r="6192" spans="1:16" ht="12.75" x14ac:dyDescent="0.35">
      <c r="A6192" s="7">
        <v>42483.941296296296</v>
      </c>
      <c r="B6192" s="8" t="str">
        <f>HYPERLINK("https://twitter.com/ThatBoy_Fergle","@ThatBoy_Fergle")</f>
        <v>@ThatBoy_Fergle</v>
      </c>
      <c r="C6192" s="9" t="s">
        <v>14111</v>
      </c>
      <c r="D6192" s="9" t="s">
        <v>14073</v>
      </c>
      <c r="E6192" s="10" t="str">
        <f>HYPERLINK("https://twitter.com/ThatBoy_Fergle/status/723920736419762176","723920736419762176")</f>
        <v>723920736419762176</v>
      </c>
      <c r="F6192" s="11" t="s">
        <v>48</v>
      </c>
      <c r="G6192" s="11">
        <v>369</v>
      </c>
      <c r="H6192" s="11">
        <v>115</v>
      </c>
      <c r="I6192" s="11">
        <v>10</v>
      </c>
      <c r="J6192" s="11">
        <v>0</v>
      </c>
      <c r="K6192" s="11" t="s">
        <v>21</v>
      </c>
      <c r="L6192" s="7">
        <v>41566.094780092593</v>
      </c>
      <c r="M6192" s="12" t="s">
        <v>14112</v>
      </c>
      <c r="N6192" s="12" t="s">
        <v>14113</v>
      </c>
      <c r="O6192" s="10" t="str">
        <f>HYPERLINK("https://pbs.twimg.com/profile_images/534281940015525888/7xkdXwOq_normal.jpeg","View")</f>
        <v>View</v>
      </c>
      <c r="P6192" s="11"/>
    </row>
    <row r="6193" spans="1:16" ht="12.75" x14ac:dyDescent="0.35">
      <c r="A6193" s="7">
        <v>42483.941932870366</v>
      </c>
      <c r="B6193" s="8" t="str">
        <f>HYPERLINK("https://twitter.com/iuukeCampbell","@iuukeCampbell")</f>
        <v>@iuukeCampbell</v>
      </c>
      <c r="C6193" s="9" t="s">
        <v>14114</v>
      </c>
      <c r="D6193" s="9" t="s">
        <v>14054</v>
      </c>
      <c r="E6193" s="10" t="str">
        <f>HYPERLINK("https://twitter.com/iuukeCampbell/status/723920969019101184","723920969019101184")</f>
        <v>723920969019101184</v>
      </c>
      <c r="F6193" s="11" t="s">
        <v>48</v>
      </c>
      <c r="G6193" s="11">
        <v>316</v>
      </c>
      <c r="H6193" s="11">
        <v>118</v>
      </c>
      <c r="I6193" s="11">
        <v>7</v>
      </c>
      <c r="J6193" s="11">
        <v>0</v>
      </c>
      <c r="K6193" s="11" t="s">
        <v>21</v>
      </c>
      <c r="L6193" s="7">
        <v>41566.224189814813</v>
      </c>
      <c r="M6193" s="12"/>
      <c r="N6193" s="12" t="s">
        <v>14115</v>
      </c>
      <c r="O6193" s="10" t="str">
        <f>HYPERLINK("https://pbs.twimg.com/profile_images/534268534876954625/CEX5LuWX_normal.jpeg","View")</f>
        <v>View</v>
      </c>
      <c r="P6193" s="11"/>
    </row>
    <row r="6194" spans="1:16" ht="12.75" x14ac:dyDescent="0.35">
      <c r="A6194" s="7">
        <v>42483.941932870366</v>
      </c>
      <c r="B6194" s="8" t="str">
        <f>HYPERLINK("https://twitter.com/DlmeFerd","@DlmeFerd")</f>
        <v>@DlmeFerd</v>
      </c>
      <c r="C6194" s="9" t="s">
        <v>14116</v>
      </c>
      <c r="D6194" s="9" t="s">
        <v>14054</v>
      </c>
      <c r="E6194" s="10" t="str">
        <f>HYPERLINK("https://twitter.com/DlmeFerd/status/723920970126340097","723920970126340097")</f>
        <v>723920970126340097</v>
      </c>
      <c r="F6194" s="11" t="s">
        <v>48</v>
      </c>
      <c r="G6194" s="11">
        <v>342</v>
      </c>
      <c r="H6194" s="11">
        <v>119</v>
      </c>
      <c r="I6194" s="11">
        <v>7</v>
      </c>
      <c r="J6194" s="11">
        <v>0</v>
      </c>
      <c r="K6194" s="11" t="s">
        <v>21</v>
      </c>
      <c r="L6194" s="7">
        <v>41566.673368055555</v>
      </c>
      <c r="M6194" s="12" t="s">
        <v>14117</v>
      </c>
      <c r="N6194" s="12" t="s">
        <v>14118</v>
      </c>
      <c r="O6194" s="10" t="str">
        <f>HYPERLINK("https://pbs.twimg.com/profile_images/539624694534901760/QEJR_4Xl_normal.jpeg","View")</f>
        <v>View</v>
      </c>
      <c r="P6194" s="11"/>
    </row>
    <row r="6195" spans="1:16" ht="12.75" x14ac:dyDescent="0.35">
      <c r="A6195" s="7">
        <v>42483.94195601852</v>
      </c>
      <c r="B6195" s="8" t="str">
        <f>HYPERLINK("https://twitter.com/_sea_fox_","@_sea_fox_")</f>
        <v>@_sea_fox_</v>
      </c>
      <c r="C6195" s="9" t="s">
        <v>14119</v>
      </c>
      <c r="D6195" s="9" t="s">
        <v>14120</v>
      </c>
      <c r="E6195" s="10" t="str">
        <f>HYPERLINK("https://twitter.com/_sea_fox_/status/723920977256701952","723920977256701952")</f>
        <v>723920977256701952</v>
      </c>
      <c r="F6195" s="11" t="s">
        <v>114</v>
      </c>
      <c r="G6195" s="11">
        <v>34</v>
      </c>
      <c r="H6195" s="11">
        <v>143</v>
      </c>
      <c r="I6195" s="11">
        <v>0</v>
      </c>
      <c r="J6195" s="11">
        <v>0</v>
      </c>
      <c r="K6195" s="11" t="s">
        <v>21</v>
      </c>
      <c r="L6195" s="7">
        <v>41499.912824074076</v>
      </c>
      <c r="M6195" s="12"/>
      <c r="N6195" s="12"/>
      <c r="O6195" s="10" t="str">
        <f>HYPERLINK("https://pbs.twimg.com/profile_images/644897595442241536/62y226Ai_normal.jpg","View")</f>
        <v>View</v>
      </c>
      <c r="P6195" s="10" t="str">
        <f>HYPERLINK("http://ctrlq.org/maps/address/#52.51677,13.38987","Map")</f>
        <v>Map</v>
      </c>
    </row>
    <row r="6196" spans="1:16" ht="12.75" x14ac:dyDescent="0.35">
      <c r="A6196" s="7">
        <v>42483.942083333328</v>
      </c>
      <c r="B6196" s="8" t="str">
        <f>HYPERLINK("https://twitter.com/pathgirl888","@pathgirl888")</f>
        <v>@pathgirl888</v>
      </c>
      <c r="C6196" s="9" t="s">
        <v>14121</v>
      </c>
      <c r="D6196" s="9" t="s">
        <v>14122</v>
      </c>
      <c r="E6196" s="10" t="str">
        <f>HYPERLINK("https://twitter.com/pathgirl888/status/723921025294016513","723921025294016513")</f>
        <v>723921025294016513</v>
      </c>
      <c r="F6196" s="11" t="s">
        <v>43</v>
      </c>
      <c r="G6196" s="11">
        <v>164</v>
      </c>
      <c r="H6196" s="11">
        <v>169</v>
      </c>
      <c r="I6196" s="11">
        <v>0</v>
      </c>
      <c r="J6196" s="11">
        <v>0</v>
      </c>
      <c r="K6196" s="11" t="s">
        <v>21</v>
      </c>
      <c r="L6196" s="7">
        <v>40625.359537037039</v>
      </c>
      <c r="M6196" s="12"/>
      <c r="N6196" s="12"/>
      <c r="O6196" s="10" t="str">
        <f>HYPERLINK("https://pbs.twimg.com/profile_images/693415892085006337/yVYlfDuM_normal.jpg","View")</f>
        <v>View</v>
      </c>
      <c r="P6196" s="11"/>
    </row>
    <row r="6197" spans="1:16" ht="12.75" x14ac:dyDescent="0.35">
      <c r="A6197" s="7">
        <v>42483.942928240736</v>
      </c>
      <c r="B6197" s="8" t="str">
        <f>HYPERLINK("https://twitter.com/_sea_fox_","@_sea_fox_")</f>
        <v>@_sea_fox_</v>
      </c>
      <c r="C6197" s="9" t="s">
        <v>14119</v>
      </c>
      <c r="D6197" s="9" t="s">
        <v>14123</v>
      </c>
      <c r="E6197" s="10" t="str">
        <f>HYPERLINK("https://twitter.com/_sea_fox_/status/723921329091686401","723921329091686401")</f>
        <v>723921329091686401</v>
      </c>
      <c r="F6197" s="11" t="s">
        <v>114</v>
      </c>
      <c r="G6197" s="11">
        <v>34</v>
      </c>
      <c r="H6197" s="11">
        <v>143</v>
      </c>
      <c r="I6197" s="11">
        <v>0</v>
      </c>
      <c r="J6197" s="11">
        <v>0</v>
      </c>
      <c r="K6197" s="11" t="s">
        <v>21</v>
      </c>
      <c r="L6197" s="7">
        <v>41499.912824074076</v>
      </c>
      <c r="M6197" s="12"/>
      <c r="N6197" s="12"/>
      <c r="O6197" s="10" t="str">
        <f>HYPERLINK("https://pbs.twimg.com/profile_images/644897595442241536/62y226Ai_normal.jpg","View")</f>
        <v>View</v>
      </c>
      <c r="P6197" s="10" t="str">
        <f>HYPERLINK("http://ctrlq.org/maps/address/#52.51677,13.38987","Map")</f>
        <v>Map</v>
      </c>
    </row>
    <row r="6198" spans="1:16" ht="12.75" x14ac:dyDescent="0.35">
      <c r="A6198" s="7">
        <v>42483.943206018521</v>
      </c>
      <c r="B6198" s="8" t="str">
        <f>HYPERLINK("https://twitter.com/aiqaserjeddah","@aiqaserjeddah")</f>
        <v>@aiqaserjeddah</v>
      </c>
      <c r="C6198" s="9" t="s">
        <v>14124</v>
      </c>
      <c r="D6198" s="9" t="s">
        <v>14054</v>
      </c>
      <c r="E6198" s="10" t="str">
        <f>HYPERLINK("https://twitter.com/aiqaserjeddah/status/723921430547709953","723921430547709953")</f>
        <v>723921430547709953</v>
      </c>
      <c r="F6198" s="11" t="s">
        <v>48</v>
      </c>
      <c r="G6198" s="11">
        <v>377</v>
      </c>
      <c r="H6198" s="11">
        <v>121</v>
      </c>
      <c r="I6198" s="11">
        <v>7</v>
      </c>
      <c r="J6198" s="11">
        <v>0</v>
      </c>
      <c r="K6198" s="11" t="s">
        <v>21</v>
      </c>
      <c r="L6198" s="7">
        <v>41567.161840277782</v>
      </c>
      <c r="M6198" s="12"/>
      <c r="N6198" s="12" t="s">
        <v>14125</v>
      </c>
      <c r="O6198" s="10" t="str">
        <f>HYPERLINK("https://pbs.twimg.com/profile_images/539548703082967040/_s9lInnH_normal.jpeg","View")</f>
        <v>View</v>
      </c>
      <c r="P6198" s="11"/>
    </row>
    <row r="6199" spans="1:16" ht="12.75" x14ac:dyDescent="0.35">
      <c r="A6199" s="7">
        <v>42483.943541666667</v>
      </c>
      <c r="B6199" s="8" t="str">
        <f>HYPERLINK("https://twitter.com/_sea_fox_","@_sea_fox_")</f>
        <v>@_sea_fox_</v>
      </c>
      <c r="C6199" s="9" t="s">
        <v>14119</v>
      </c>
      <c r="D6199" s="9" t="s">
        <v>14126</v>
      </c>
      <c r="E6199" s="10" t="str">
        <f>HYPERLINK("https://twitter.com/_sea_fox_/status/723921553893797888","723921553893797888")</f>
        <v>723921553893797888</v>
      </c>
      <c r="F6199" s="11" t="s">
        <v>114</v>
      </c>
      <c r="G6199" s="11">
        <v>34</v>
      </c>
      <c r="H6199" s="11">
        <v>143</v>
      </c>
      <c r="I6199" s="11">
        <v>0</v>
      </c>
      <c r="J6199" s="11">
        <v>0</v>
      </c>
      <c r="K6199" s="11" t="s">
        <v>21</v>
      </c>
      <c r="L6199" s="7">
        <v>41499.912824074076</v>
      </c>
      <c r="M6199" s="12"/>
      <c r="N6199" s="12"/>
      <c r="O6199" s="10" t="str">
        <f>HYPERLINK("https://pbs.twimg.com/profile_images/644897595442241536/62y226Ai_normal.jpg","View")</f>
        <v>View</v>
      </c>
      <c r="P6199" s="10" t="str">
        <f>HYPERLINK("http://ctrlq.org/maps/address/#52.5006,13.3989","Map")</f>
        <v>Map</v>
      </c>
    </row>
    <row r="6200" spans="1:16" ht="12.75" x14ac:dyDescent="0.35">
      <c r="A6200" s="7">
        <v>42483.943564814814</v>
      </c>
      <c r="B6200" s="8" t="str">
        <f>HYPERLINK("https://twitter.com/StaceyJane212","@StaceyJane212")</f>
        <v>@StaceyJane212</v>
      </c>
      <c r="C6200" s="9" t="s">
        <v>14127</v>
      </c>
      <c r="D6200" s="9" t="s">
        <v>14128</v>
      </c>
      <c r="E6200" s="10" t="str">
        <f>HYPERLINK("https://twitter.com/StaceyJane212/status/723921559748907011","723921559748907011")</f>
        <v>723921559748907011</v>
      </c>
      <c r="F6200" s="11" t="s">
        <v>20</v>
      </c>
      <c r="G6200" s="11">
        <v>126</v>
      </c>
      <c r="H6200" s="11">
        <v>277</v>
      </c>
      <c r="I6200" s="11">
        <v>0</v>
      </c>
      <c r="J6200" s="11">
        <v>0</v>
      </c>
      <c r="K6200" s="11" t="s">
        <v>21</v>
      </c>
      <c r="L6200" s="7">
        <v>42419.108726851853</v>
      </c>
      <c r="M6200" s="12" t="s">
        <v>14129</v>
      </c>
      <c r="N6200" s="12" t="s">
        <v>14130</v>
      </c>
      <c r="O6200" s="10" t="str">
        <f>HYPERLINK("https://pbs.twimg.com/profile_images/722148212153430017/NaDKflSD_normal.jpg","View")</f>
        <v>View</v>
      </c>
      <c r="P6200" s="11"/>
    </row>
    <row r="6201" spans="1:16" ht="12.75" x14ac:dyDescent="0.35">
      <c r="A6201" s="7">
        <v>42483.943865740745</v>
      </c>
      <c r="B6201" s="8" t="str">
        <f>HYPERLINK("https://twitter.com/VWCamperSales","@VWCamperSales")</f>
        <v>@VWCamperSales</v>
      </c>
      <c r="C6201" s="9" t="s">
        <v>216</v>
      </c>
      <c r="D6201" s="9" t="s">
        <v>14131</v>
      </c>
      <c r="E6201" s="10" t="str">
        <f>HYPERLINK("https://twitter.com/VWCamperSales/status/723921671678087168","723921671678087168")</f>
        <v>723921671678087168</v>
      </c>
      <c r="F6201" s="10" t="s">
        <v>124</v>
      </c>
      <c r="G6201" s="11">
        <v>621</v>
      </c>
      <c r="H6201" s="11">
        <v>580</v>
      </c>
      <c r="I6201" s="11">
        <v>0</v>
      </c>
      <c r="J6201" s="11">
        <v>0</v>
      </c>
      <c r="K6201" s="11" t="s">
        <v>21</v>
      </c>
      <c r="L6201" s="7">
        <v>42215.98809027778</v>
      </c>
      <c r="M6201" s="12" t="s">
        <v>129</v>
      </c>
      <c r="N6201" s="12" t="s">
        <v>218</v>
      </c>
      <c r="O6201" s="10" t="str">
        <f>HYPERLINK("https://pbs.twimg.com/profile_images/627949001179037696/skEBkS05_normal.jpg","View")</f>
        <v>View</v>
      </c>
      <c r="P6201" s="11"/>
    </row>
    <row r="6202" spans="1:16" ht="12.75" x14ac:dyDescent="0.35">
      <c r="A6202" s="7">
        <v>42483.943993055553</v>
      </c>
      <c r="B6202" s="8" t="str">
        <f>HYPERLINK("https://twitter.com/_sea_fox_","@_sea_fox_")</f>
        <v>@_sea_fox_</v>
      </c>
      <c r="C6202" s="9" t="s">
        <v>14119</v>
      </c>
      <c r="D6202" s="9" t="s">
        <v>14132</v>
      </c>
      <c r="E6202" s="10" t="str">
        <f>HYPERLINK("https://twitter.com/_sea_fox_/status/723921713742917635","723921713742917635")</f>
        <v>723921713742917635</v>
      </c>
      <c r="F6202" s="11" t="s">
        <v>114</v>
      </c>
      <c r="G6202" s="11">
        <v>34</v>
      </c>
      <c r="H6202" s="11">
        <v>143</v>
      </c>
      <c r="I6202" s="11">
        <v>0</v>
      </c>
      <c r="J6202" s="11">
        <v>0</v>
      </c>
      <c r="K6202" s="11" t="s">
        <v>21</v>
      </c>
      <c r="L6202" s="7">
        <v>41499.912824074076</v>
      </c>
      <c r="M6202" s="12"/>
      <c r="N6202" s="12"/>
      <c r="O6202" s="10" t="str">
        <f>HYPERLINK("https://pbs.twimg.com/profile_images/644897595442241536/62y226Ai_normal.jpg","View")</f>
        <v>View</v>
      </c>
      <c r="P6202" s="10" t="str">
        <f>HYPERLINK("http://ctrlq.org/maps/address/#52.5006,13.3989","Map")</f>
        <v>Map</v>
      </c>
    </row>
    <row r="6203" spans="1:16" ht="12.75" x14ac:dyDescent="0.35">
      <c r="A6203" s="7">
        <v>42483.944097222222</v>
      </c>
      <c r="B6203" s="8" t="str">
        <f>HYPERLINK("https://twitter.com/mobiliteit_BIZ","@mobiliteit_BIZ")</f>
        <v>@mobiliteit_BIZ</v>
      </c>
      <c r="C6203" s="8" t="s">
        <v>14133</v>
      </c>
      <c r="D6203" s="9" t="s">
        <v>7426</v>
      </c>
      <c r="E6203" s="10" t="str">
        <f>HYPERLINK("https://twitter.com/mobiliteit_BIZ/status/723921752028512256","723921752028512256")</f>
        <v>723921752028512256</v>
      </c>
      <c r="F6203" s="11" t="s">
        <v>20</v>
      </c>
      <c r="G6203" s="11">
        <v>916</v>
      </c>
      <c r="H6203" s="11">
        <v>2343</v>
      </c>
      <c r="I6203" s="11">
        <v>22</v>
      </c>
      <c r="J6203" s="11">
        <v>0</v>
      </c>
      <c r="K6203" s="11" t="s">
        <v>21</v>
      </c>
      <c r="L6203" s="7">
        <v>41552.986967592595</v>
      </c>
      <c r="M6203" s="12" t="s">
        <v>14134</v>
      </c>
      <c r="N6203" s="12" t="s">
        <v>14135</v>
      </c>
      <c r="O6203" s="10" t="str">
        <f>HYPERLINK("https://pbs.twimg.com/profile_images/378800000556304348/f945479287bcda37b179af016ec463b2_normal.png","View")</f>
        <v>View</v>
      </c>
      <c r="P6203" s="11"/>
    </row>
    <row r="6204" spans="1:16" ht="12.75" x14ac:dyDescent="0.35">
      <c r="A6204" s="7">
        <v>42483.944212962961</v>
      </c>
      <c r="B6204" s="8" t="str">
        <f>HYPERLINK("https://twitter.com/St0psch1ld","@St0psch1ld")</f>
        <v>@St0psch1ld</v>
      </c>
      <c r="C6204" s="9" t="s">
        <v>14136</v>
      </c>
      <c r="D6204" s="9" t="s">
        <v>14137</v>
      </c>
      <c r="E6204" s="10" t="str">
        <f>HYPERLINK("https://twitter.com/St0psch1ld/status/723921796009975808","723921796009975808")</f>
        <v>723921796009975808</v>
      </c>
      <c r="F6204" s="11" t="s">
        <v>68</v>
      </c>
      <c r="G6204" s="11">
        <v>41</v>
      </c>
      <c r="H6204" s="11">
        <v>33</v>
      </c>
      <c r="I6204" s="11">
        <v>0</v>
      </c>
      <c r="J6204" s="11">
        <v>0</v>
      </c>
      <c r="K6204" s="11" t="s">
        <v>21</v>
      </c>
      <c r="L6204" s="7">
        <v>42397.604872685188</v>
      </c>
      <c r="M6204" s="12"/>
      <c r="N6204" s="12"/>
      <c r="O6204" s="10" t="str">
        <f>HYPERLINK("https://pbs.twimg.com/profile_images/695663013412630535/XgD9AbrJ_normal.jpg","View")</f>
        <v>View</v>
      </c>
      <c r="P6204" s="11"/>
    </row>
    <row r="6205" spans="1:16" ht="12.75" x14ac:dyDescent="0.35">
      <c r="A6205" s="7">
        <v>42483.944421296299</v>
      </c>
      <c r="B6205" s="8" t="str">
        <f>HYPERLINK("https://twitter.com/franccco6","@franccco6")</f>
        <v>@franccco6</v>
      </c>
      <c r="C6205" s="9" t="s">
        <v>14138</v>
      </c>
      <c r="D6205" s="9" t="s">
        <v>14054</v>
      </c>
      <c r="E6205" s="10" t="str">
        <f>HYPERLINK("https://twitter.com/franccco6/status/723921871926923270","723921871926923270")</f>
        <v>723921871926923270</v>
      </c>
      <c r="F6205" s="11" t="s">
        <v>48</v>
      </c>
      <c r="G6205" s="11">
        <v>322</v>
      </c>
      <c r="H6205" s="11">
        <v>120</v>
      </c>
      <c r="I6205" s="11">
        <v>7</v>
      </c>
      <c r="J6205" s="11">
        <v>0</v>
      </c>
      <c r="K6205" s="11" t="s">
        <v>21</v>
      </c>
      <c r="L6205" s="7">
        <v>41566.564270833333</v>
      </c>
      <c r="M6205" s="12"/>
      <c r="N6205" s="12"/>
      <c r="O6205" s="10" t="str">
        <f>HYPERLINK("https://pbs.twimg.com/profile_images/539607518365089793/9nksGDzp_normal.jpeg","View")</f>
        <v>View</v>
      </c>
      <c r="P6205" s="11"/>
    </row>
    <row r="6206" spans="1:16" ht="12.75" x14ac:dyDescent="0.35">
      <c r="A6206" s="7">
        <v>42483.944560185184</v>
      </c>
      <c r="B6206" s="8" t="str">
        <f>HYPERLINK("https://twitter.com/haymansafc","@haymansafc")</f>
        <v>@haymansafc</v>
      </c>
      <c r="C6206" s="9" t="s">
        <v>14139</v>
      </c>
      <c r="D6206" s="9" t="s">
        <v>14140</v>
      </c>
      <c r="E6206" s="10" t="str">
        <f>HYPERLINK("https://twitter.com/haymansafc/status/723921920169631746","723921920169631746")</f>
        <v>723921920169631746</v>
      </c>
      <c r="F6206" s="11" t="s">
        <v>63</v>
      </c>
      <c r="G6206" s="11">
        <v>203</v>
      </c>
      <c r="H6206" s="11">
        <v>94</v>
      </c>
      <c r="I6206" s="11">
        <v>0</v>
      </c>
      <c r="J6206" s="11">
        <v>0</v>
      </c>
      <c r="K6206" s="11" t="s">
        <v>21</v>
      </c>
      <c r="L6206" s="7">
        <v>40885.685347222221</v>
      </c>
      <c r="M6206" s="12" t="s">
        <v>129</v>
      </c>
      <c r="N6206" s="12" t="s">
        <v>14141</v>
      </c>
      <c r="O6206" s="10" t="str">
        <f>HYPERLINK("https://pbs.twimg.com/profile_images/1681261394/095_normal.JPG","View")</f>
        <v>View</v>
      </c>
      <c r="P6206" s="11"/>
    </row>
    <row r="6207" spans="1:16" ht="12.75" x14ac:dyDescent="0.35">
      <c r="A6207" s="7">
        <v>42483.944571759261</v>
      </c>
      <c r="B6207" s="8" t="str">
        <f>HYPERLINK("https://twitter.com/Scirocco_Tuning","@Scirocco_Tuning")</f>
        <v>@Scirocco_Tuning</v>
      </c>
      <c r="C6207" s="9" t="s">
        <v>51</v>
      </c>
      <c r="D6207" s="9" t="s">
        <v>14142</v>
      </c>
      <c r="E6207" s="10" t="str">
        <f>HYPERLINK("https://twitter.com/Scirocco_Tuning/status/723921925483966465","723921925483966465")</f>
        <v>723921925483966465</v>
      </c>
      <c r="F6207" s="11" t="s">
        <v>53</v>
      </c>
      <c r="G6207" s="11">
        <v>69</v>
      </c>
      <c r="H6207" s="11">
        <v>215</v>
      </c>
      <c r="I6207" s="11">
        <v>0</v>
      </c>
      <c r="J6207" s="11">
        <v>0</v>
      </c>
      <c r="K6207" s="11" t="s">
        <v>21</v>
      </c>
      <c r="L6207" s="7">
        <v>40844.564722222218</v>
      </c>
      <c r="M6207" s="12"/>
      <c r="N6207" s="12"/>
      <c r="O6207" s="10" t="str">
        <f>HYPERLINK("https://pbs.twimg.com/profile_images/1610421423/Image2_normal.jpg","View")</f>
        <v>View</v>
      </c>
      <c r="P6207" s="11"/>
    </row>
    <row r="6208" spans="1:16" ht="12.75" x14ac:dyDescent="0.35">
      <c r="A6208" s="7">
        <v>42483.944733796292</v>
      </c>
      <c r="B6208" s="8" t="str">
        <f>HYPERLINK("https://twitter.com/_sea_fox_","@_sea_fox_")</f>
        <v>@_sea_fox_</v>
      </c>
      <c r="C6208" s="9" t="s">
        <v>14119</v>
      </c>
      <c r="D6208" s="9" t="s">
        <v>14143</v>
      </c>
      <c r="E6208" s="10" t="str">
        <f>HYPERLINK("https://twitter.com/_sea_fox_/status/723921982174171137","723921982174171137")</f>
        <v>723921982174171137</v>
      </c>
      <c r="F6208" s="11" t="s">
        <v>114</v>
      </c>
      <c r="G6208" s="11">
        <v>34</v>
      </c>
      <c r="H6208" s="11">
        <v>143</v>
      </c>
      <c r="I6208" s="11">
        <v>0</v>
      </c>
      <c r="J6208" s="11">
        <v>0</v>
      </c>
      <c r="K6208" s="11" t="s">
        <v>21</v>
      </c>
      <c r="L6208" s="7">
        <v>41499.912824074076</v>
      </c>
      <c r="M6208" s="12"/>
      <c r="N6208" s="12"/>
      <c r="O6208" s="10" t="str">
        <f>HYPERLINK("https://pbs.twimg.com/profile_images/644897595442241536/62y226Ai_normal.jpg","View")</f>
        <v>View</v>
      </c>
      <c r="P6208" s="10" t="str">
        <f>HYPERLINK("http://ctrlq.org/maps/address/#52.51677,13.38987","Map")</f>
        <v>Map</v>
      </c>
    </row>
    <row r="6209" spans="1:16" ht="12.75" x14ac:dyDescent="0.35">
      <c r="A6209" s="7">
        <v>42483.945081018523</v>
      </c>
      <c r="B6209" s="8" t="str">
        <f>HYPERLINK("https://twitter.com/hashtagvanlife","@hashtagvanlife")</f>
        <v>@hashtagvanlife</v>
      </c>
      <c r="C6209" s="9" t="s">
        <v>187</v>
      </c>
      <c r="D6209" s="9" t="s">
        <v>14144</v>
      </c>
      <c r="E6209" s="10" t="str">
        <f>HYPERLINK("https://twitter.com/hashtagvanlife/status/723922111518105600","723922111518105600")</f>
        <v>723922111518105600</v>
      </c>
      <c r="F6209" s="11" t="s">
        <v>189</v>
      </c>
      <c r="G6209" s="11">
        <v>1024</v>
      </c>
      <c r="H6209" s="11">
        <v>29</v>
      </c>
      <c r="I6209" s="11">
        <v>2</v>
      </c>
      <c r="J6209" s="11">
        <v>0</v>
      </c>
      <c r="K6209" s="11" t="s">
        <v>21</v>
      </c>
      <c r="L6209" s="7">
        <v>42289.994583333333</v>
      </c>
      <c r="M6209" s="12"/>
      <c r="N6209" s="12" t="s">
        <v>190</v>
      </c>
      <c r="O6209" s="10" t="str">
        <f>HYPERLINK("https://pbs.twimg.com/profile_images/653637535545995264/gHuXQ5Bt_normal.jpg","View")</f>
        <v>View</v>
      </c>
      <c r="P6209" s="11"/>
    </row>
    <row r="6210" spans="1:16" ht="12.75" x14ac:dyDescent="0.35">
      <c r="A6210" s="7">
        <v>42483.945104166662</v>
      </c>
      <c r="B6210" s="8" t="str">
        <f>HYPERLINK("https://twitter.com/SYirmi","@SYirmi")</f>
        <v>@SYirmi</v>
      </c>
      <c r="C6210" s="9" t="s">
        <v>5485</v>
      </c>
      <c r="D6210" s="9" t="s">
        <v>14107</v>
      </c>
      <c r="E6210" s="10" t="str">
        <f>HYPERLINK("https://twitter.com/SYirmi/status/723922119655055360","723922119655055360")</f>
        <v>723922119655055360</v>
      </c>
      <c r="F6210" s="11" t="s">
        <v>43</v>
      </c>
      <c r="G6210" s="11">
        <v>495</v>
      </c>
      <c r="H6210" s="11">
        <v>349</v>
      </c>
      <c r="I6210" s="11">
        <v>2</v>
      </c>
      <c r="J6210" s="11">
        <v>0</v>
      </c>
      <c r="K6210" s="11" t="s">
        <v>21</v>
      </c>
      <c r="L6210" s="7">
        <v>41784.074525462966</v>
      </c>
      <c r="M6210" s="12"/>
      <c r="N6210" s="12" t="s">
        <v>5487</v>
      </c>
      <c r="O6210" s="10" t="str">
        <f>HYPERLINK("https://pbs.twimg.com/profile_images/509071000122982400/X7VfGKLE_normal.jpeg","View")</f>
        <v>View</v>
      </c>
      <c r="P6210" s="11"/>
    </row>
    <row r="6211" spans="1:16" ht="12.75" x14ac:dyDescent="0.35">
      <c r="A6211" s="7">
        <v>42483.945115740746</v>
      </c>
      <c r="B6211" s="8" t="str">
        <f>HYPERLINK("https://twitter.com/OnlyCarrera","@OnlyCarrera")</f>
        <v>@OnlyCarrera</v>
      </c>
      <c r="C6211" s="9" t="s">
        <v>12748</v>
      </c>
      <c r="D6211" s="9" t="s">
        <v>14145</v>
      </c>
      <c r="E6211" s="10" t="str">
        <f>HYPERLINK("https://twitter.com/OnlyCarrera/status/723922121009803265","723922121009803265")</f>
        <v>723922121009803265</v>
      </c>
      <c r="F6211" s="11" t="s">
        <v>68</v>
      </c>
      <c r="G6211" s="11">
        <v>3195</v>
      </c>
      <c r="H6211" s="11">
        <v>296</v>
      </c>
      <c r="I6211" s="11">
        <v>0</v>
      </c>
      <c r="J6211" s="11">
        <v>0</v>
      </c>
      <c r="K6211" s="11" t="s">
        <v>21</v>
      </c>
      <c r="L6211" s="7">
        <v>41976.876180555555</v>
      </c>
      <c r="M6211" s="12"/>
      <c r="N6211" s="12" t="s">
        <v>12750</v>
      </c>
      <c r="O6211" s="10" t="str">
        <f>HYPERLINK("https://pbs.twimg.com/profile_images/542918171158511617/A72BLdkG_normal.png","View")</f>
        <v>View</v>
      </c>
      <c r="P6211" s="11"/>
    </row>
    <row r="6212" spans="1:16" ht="12.75" x14ac:dyDescent="0.35">
      <c r="A6212" s="7">
        <v>42483.945138888885</v>
      </c>
      <c r="B6212" s="8" t="str">
        <f>HYPERLINK("https://twitter.com/NeisonOE_","@NeisonOE_")</f>
        <v>@NeisonOE_</v>
      </c>
      <c r="C6212" s="9" t="s">
        <v>14146</v>
      </c>
      <c r="D6212" s="9" t="s">
        <v>14073</v>
      </c>
      <c r="E6212" s="10" t="str">
        <f>HYPERLINK("https://twitter.com/NeisonOE_/status/723922131311034368","723922131311034368")</f>
        <v>723922131311034368</v>
      </c>
      <c r="F6212" s="11" t="s">
        <v>48</v>
      </c>
      <c r="G6212" s="11">
        <v>278</v>
      </c>
      <c r="H6212" s="11">
        <v>925</v>
      </c>
      <c r="I6212" s="11">
        <v>10</v>
      </c>
      <c r="J6212" s="11">
        <v>0</v>
      </c>
      <c r="K6212" s="11" t="s">
        <v>21</v>
      </c>
      <c r="L6212" s="7">
        <v>41568.003750000003</v>
      </c>
      <c r="M6212" s="12" t="s">
        <v>14147</v>
      </c>
      <c r="N6212" s="12" t="s">
        <v>14148</v>
      </c>
      <c r="O6212" s="10" t="str">
        <f>HYPERLINK("https://pbs.twimg.com/profile_images/541516773234061312/2vokEsnJ_normal.jpeg","View")</f>
        <v>View</v>
      </c>
      <c r="P6212" s="11"/>
    </row>
    <row r="6213" spans="1:16" ht="12.75" x14ac:dyDescent="0.35">
      <c r="A6213" s="7">
        <v>42483.945150462961</v>
      </c>
      <c r="B6213" s="8" t="str">
        <f t="shared" ref="B6213:B6215" si="527">HYPERLINK("https://twitter.com/OnlyCarrera","@OnlyCarrera")</f>
        <v>@OnlyCarrera</v>
      </c>
      <c r="C6213" s="9" t="s">
        <v>12748</v>
      </c>
      <c r="D6213" s="9" t="s">
        <v>14149</v>
      </c>
      <c r="E6213" s="10" t="str">
        <f>HYPERLINK("https://twitter.com/OnlyCarrera/status/723922136763645952","723922136763645952")</f>
        <v>723922136763645952</v>
      </c>
      <c r="F6213" s="11" t="s">
        <v>68</v>
      </c>
      <c r="G6213" s="11">
        <v>3195</v>
      </c>
      <c r="H6213" s="11">
        <v>296</v>
      </c>
      <c r="I6213" s="11">
        <v>0</v>
      </c>
      <c r="J6213" s="11">
        <v>0</v>
      </c>
      <c r="K6213" s="11" t="s">
        <v>21</v>
      </c>
      <c r="L6213" s="7">
        <v>41976.876180555555</v>
      </c>
      <c r="M6213" s="12"/>
      <c r="N6213" s="12" t="s">
        <v>12750</v>
      </c>
      <c r="O6213" s="10" t="str">
        <f t="shared" ref="O6213:O6215" si="528">HYPERLINK("https://pbs.twimg.com/profile_images/542918171158511617/A72BLdkG_normal.png","View")</f>
        <v>View</v>
      </c>
      <c r="P6213" s="11"/>
    </row>
    <row r="6214" spans="1:16" ht="12.75" x14ac:dyDescent="0.35">
      <c r="A6214" s="7">
        <v>42483.945196759261</v>
      </c>
      <c r="B6214" s="8" t="str">
        <f t="shared" si="527"/>
        <v>@OnlyCarrera</v>
      </c>
      <c r="C6214" s="9" t="s">
        <v>12748</v>
      </c>
      <c r="D6214" s="9" t="s">
        <v>14150</v>
      </c>
      <c r="E6214" s="10" t="str">
        <f>HYPERLINK("https://twitter.com/OnlyCarrera/status/723922151741501440","723922151741501440")</f>
        <v>723922151741501440</v>
      </c>
      <c r="F6214" s="11" t="s">
        <v>68</v>
      </c>
      <c r="G6214" s="11">
        <v>3195</v>
      </c>
      <c r="H6214" s="11">
        <v>296</v>
      </c>
      <c r="I6214" s="11">
        <v>0</v>
      </c>
      <c r="J6214" s="11">
        <v>0</v>
      </c>
      <c r="K6214" s="11" t="s">
        <v>21</v>
      </c>
      <c r="L6214" s="7">
        <v>41976.876180555555</v>
      </c>
      <c r="M6214" s="12"/>
      <c r="N6214" s="12" t="s">
        <v>12750</v>
      </c>
      <c r="O6214" s="10" t="str">
        <f t="shared" si="528"/>
        <v>View</v>
      </c>
      <c r="P6214" s="11"/>
    </row>
    <row r="6215" spans="1:16" ht="12.75" x14ac:dyDescent="0.35">
      <c r="A6215" s="7">
        <v>42483.945219907408</v>
      </c>
      <c r="B6215" s="8" t="str">
        <f t="shared" si="527"/>
        <v>@OnlyCarrera</v>
      </c>
      <c r="C6215" s="9" t="s">
        <v>12748</v>
      </c>
      <c r="D6215" s="9" t="s">
        <v>14151</v>
      </c>
      <c r="E6215" s="10" t="str">
        <f>HYPERLINK("https://twitter.com/OnlyCarrera/status/723922162227253248","723922162227253248")</f>
        <v>723922162227253248</v>
      </c>
      <c r="F6215" s="11" t="s">
        <v>68</v>
      </c>
      <c r="G6215" s="11">
        <v>3195</v>
      </c>
      <c r="H6215" s="11">
        <v>296</v>
      </c>
      <c r="I6215" s="11">
        <v>0</v>
      </c>
      <c r="J6215" s="11">
        <v>0</v>
      </c>
      <c r="K6215" s="11" t="s">
        <v>21</v>
      </c>
      <c r="L6215" s="7">
        <v>41976.876180555555</v>
      </c>
      <c r="M6215" s="12"/>
      <c r="N6215" s="12" t="s">
        <v>12750</v>
      </c>
      <c r="O6215" s="10" t="str">
        <f t="shared" si="528"/>
        <v>View</v>
      </c>
      <c r="P6215" s="11"/>
    </row>
    <row r="6216" spans="1:16" ht="12.75" x14ac:dyDescent="0.35">
      <c r="A6216" s="7">
        <v>42483.945451388892</v>
      </c>
      <c r="B6216" s="8" t="str">
        <f>HYPERLINK("https://twitter.com/_sea_fox_","@_sea_fox_")</f>
        <v>@_sea_fox_</v>
      </c>
      <c r="C6216" s="9" t="s">
        <v>14119</v>
      </c>
      <c r="D6216" s="9" t="s">
        <v>14152</v>
      </c>
      <c r="E6216" s="10" t="str">
        <f>HYPERLINK("https://twitter.com/_sea_fox_/status/723922246083985408","723922246083985408")</f>
        <v>723922246083985408</v>
      </c>
      <c r="F6216" s="11" t="s">
        <v>114</v>
      </c>
      <c r="G6216" s="11">
        <v>34</v>
      </c>
      <c r="H6216" s="11">
        <v>143</v>
      </c>
      <c r="I6216" s="11">
        <v>0</v>
      </c>
      <c r="J6216" s="11">
        <v>0</v>
      </c>
      <c r="K6216" s="11" t="s">
        <v>21</v>
      </c>
      <c r="L6216" s="7">
        <v>41499.912824074076</v>
      </c>
      <c r="M6216" s="12"/>
      <c r="N6216" s="12"/>
      <c r="O6216" s="10" t="str">
        <f>HYPERLINK("https://pbs.twimg.com/profile_images/644897595442241536/62y226Ai_normal.jpg","View")</f>
        <v>View</v>
      </c>
      <c r="P6216" s="10" t="str">
        <f>HYPERLINK("http://ctrlq.org/maps/address/#52.5006,13.3989","Map")</f>
        <v>Map</v>
      </c>
    </row>
    <row r="6217" spans="1:16" ht="12.75" x14ac:dyDescent="0.35">
      <c r="A6217" s="7">
        <v>42483.945706018523</v>
      </c>
      <c r="B6217" s="8" t="str">
        <f>HYPERLINK("https://twitter.com/likehealthyfood","@likehealthyfood")</f>
        <v>@likehealthyfood</v>
      </c>
      <c r="C6217" s="9" t="s">
        <v>14153</v>
      </c>
      <c r="D6217" s="9" t="s">
        <v>14154</v>
      </c>
      <c r="E6217" s="10" t="str">
        <f>HYPERLINK("https://twitter.com/likehealthyfood/status/723922337716965376","723922337716965376")</f>
        <v>723922337716965376</v>
      </c>
      <c r="F6217" s="11" t="s">
        <v>43</v>
      </c>
      <c r="G6217" s="11">
        <v>14</v>
      </c>
      <c r="H6217" s="11">
        <v>38</v>
      </c>
      <c r="I6217" s="11">
        <v>0</v>
      </c>
      <c r="J6217" s="11">
        <v>0</v>
      </c>
      <c r="K6217" s="11" t="s">
        <v>21</v>
      </c>
      <c r="L6217" s="7">
        <v>42251.829143518524</v>
      </c>
      <c r="M6217" s="12" t="s">
        <v>14155</v>
      </c>
      <c r="N6217" s="12"/>
      <c r="O6217" s="10" t="str">
        <f>HYPERLINK("https://pbs.twimg.com/profile_images/682538822219923456/2__NXhqj_normal.png","View")</f>
        <v>View</v>
      </c>
      <c r="P6217" s="11"/>
    </row>
    <row r="6218" spans="1:16" ht="12.75" x14ac:dyDescent="0.35">
      <c r="A6218" s="7">
        <v>42483.945937500001</v>
      </c>
      <c r="B6218" s="8" t="str">
        <f>HYPERLINK("https://twitter.com/VWBeetleSales","@VWBeetleSales")</f>
        <v>@VWBeetleSales</v>
      </c>
      <c r="C6218" s="9" t="s">
        <v>127</v>
      </c>
      <c r="D6218" s="9" t="s">
        <v>14156</v>
      </c>
      <c r="E6218" s="10" t="str">
        <f>HYPERLINK("https://twitter.com/VWBeetleSales/status/723922419073712128","723922419073712128")</f>
        <v>723922419073712128</v>
      </c>
      <c r="F6218" s="10" t="s">
        <v>124</v>
      </c>
      <c r="G6218" s="11">
        <v>36</v>
      </c>
      <c r="H6218" s="11">
        <v>32</v>
      </c>
      <c r="I6218" s="11">
        <v>0</v>
      </c>
      <c r="J6218" s="11">
        <v>0</v>
      </c>
      <c r="K6218" s="11" t="s">
        <v>21</v>
      </c>
      <c r="L6218" s="7">
        <v>42427.019756944443</v>
      </c>
      <c r="M6218" s="12" t="s">
        <v>129</v>
      </c>
      <c r="N6218" s="12" t="s">
        <v>130</v>
      </c>
      <c r="O6218" s="10" t="str">
        <f>HYPERLINK("https://pbs.twimg.com/profile_images/703294545195307008/qeCvrX86_normal.jpg","View")</f>
        <v>View</v>
      </c>
      <c r="P6218" s="11"/>
    </row>
    <row r="6219" spans="1:16" ht="12.75" x14ac:dyDescent="0.35">
      <c r="A6219" s="7">
        <v>42483.94594907407</v>
      </c>
      <c r="B6219" s="8" t="str">
        <f>HYPERLINK("https://twitter.com/RlCO_DA_MAC","@RlCO_DA_MAC")</f>
        <v>@RlCO_DA_MAC</v>
      </c>
      <c r="C6219" s="9" t="s">
        <v>14157</v>
      </c>
      <c r="D6219" s="9" t="s">
        <v>14073</v>
      </c>
      <c r="E6219" s="10" t="str">
        <f>HYPERLINK("https://twitter.com/RlCO_DA_MAC/status/723922425650511873","723922425650511873")</f>
        <v>723922425650511873</v>
      </c>
      <c r="F6219" s="11" t="s">
        <v>48</v>
      </c>
      <c r="G6219" s="11">
        <v>327</v>
      </c>
      <c r="H6219" s="11">
        <v>502</v>
      </c>
      <c r="I6219" s="11">
        <v>10</v>
      </c>
      <c r="J6219" s="11">
        <v>0</v>
      </c>
      <c r="K6219" s="11" t="s">
        <v>21</v>
      </c>
      <c r="L6219" s="7">
        <v>41566.092407407406</v>
      </c>
      <c r="M6219" s="12" t="s">
        <v>14158</v>
      </c>
      <c r="N6219" s="12" t="s">
        <v>14159</v>
      </c>
      <c r="O6219" s="10" t="str">
        <f>HYPERLINK("https://pbs.twimg.com/profile_images/534282231364071424/_PjPLYMo_normal.jpeg","View")</f>
        <v>View</v>
      </c>
      <c r="P6219" s="11"/>
    </row>
    <row r="6220" spans="1:16" ht="12.75" x14ac:dyDescent="0.35">
      <c r="A6220" s="7">
        <v>42483.946018518516</v>
      </c>
      <c r="B6220" s="8" t="str">
        <f t="shared" ref="B6220:B6221" si="529">HYPERLINK("https://twitter.com/_sea_fox_","@_sea_fox_")</f>
        <v>@_sea_fox_</v>
      </c>
      <c r="C6220" s="9" t="s">
        <v>14119</v>
      </c>
      <c r="D6220" s="9" t="s">
        <v>14160</v>
      </c>
      <c r="E6220" s="10" t="str">
        <f>HYPERLINK("https://twitter.com/_sea_fox_/status/723922449142845440","723922449142845440")</f>
        <v>723922449142845440</v>
      </c>
      <c r="F6220" s="11" t="s">
        <v>114</v>
      </c>
      <c r="G6220" s="11">
        <v>34</v>
      </c>
      <c r="H6220" s="11">
        <v>143</v>
      </c>
      <c r="I6220" s="11">
        <v>0</v>
      </c>
      <c r="J6220" s="11">
        <v>0</v>
      </c>
      <c r="K6220" s="11" t="s">
        <v>21</v>
      </c>
      <c r="L6220" s="7">
        <v>41499.912824074076</v>
      </c>
      <c r="M6220" s="12"/>
      <c r="N6220" s="12"/>
      <c r="O6220" s="10" t="str">
        <f t="shared" ref="O6220:O6221" si="530">HYPERLINK("https://pbs.twimg.com/profile_images/644897595442241536/62y226Ai_normal.jpg","View")</f>
        <v>View</v>
      </c>
      <c r="P6220" s="11"/>
    </row>
    <row r="6221" spans="1:16" ht="12.75" x14ac:dyDescent="0.35">
      <c r="A6221" s="7">
        <v>42483.946446759262</v>
      </c>
      <c r="B6221" s="8" t="str">
        <f t="shared" si="529"/>
        <v>@_sea_fox_</v>
      </c>
      <c r="C6221" s="9" t="s">
        <v>14119</v>
      </c>
      <c r="D6221" s="9" t="s">
        <v>14161</v>
      </c>
      <c r="E6221" s="10" t="str">
        <f>HYPERLINK("https://twitter.com/_sea_fox_/status/723922605338705921","723922605338705921")</f>
        <v>723922605338705921</v>
      </c>
      <c r="F6221" s="11" t="s">
        <v>114</v>
      </c>
      <c r="G6221" s="11">
        <v>34</v>
      </c>
      <c r="H6221" s="11">
        <v>143</v>
      </c>
      <c r="I6221" s="11">
        <v>0</v>
      </c>
      <c r="J6221" s="11">
        <v>0</v>
      </c>
      <c r="K6221" s="11" t="s">
        <v>21</v>
      </c>
      <c r="L6221" s="7">
        <v>41499.912824074076</v>
      </c>
      <c r="M6221" s="12"/>
      <c r="N6221" s="12"/>
      <c r="O6221" s="10" t="str">
        <f t="shared" si="530"/>
        <v>View</v>
      </c>
      <c r="P6221" s="11"/>
    </row>
    <row r="6222" spans="1:16" ht="12.75" x14ac:dyDescent="0.35">
      <c r="A6222" s="7">
        <v>42483.947418981479</v>
      </c>
      <c r="B6222" s="8" t="str">
        <f>HYPERLINK("https://twitter.com/NickJB0721","@NickJB0721")</f>
        <v>@NickJB0721</v>
      </c>
      <c r="C6222" s="9" t="s">
        <v>14162</v>
      </c>
      <c r="D6222" s="9" t="s">
        <v>14073</v>
      </c>
      <c r="E6222" s="10" t="str">
        <f>HYPERLINK("https://twitter.com/NickJB0721/status/723922955353251844","723922955353251844")</f>
        <v>723922955353251844</v>
      </c>
      <c r="F6222" s="11" t="s">
        <v>48</v>
      </c>
      <c r="G6222" s="11">
        <v>23</v>
      </c>
      <c r="H6222" s="11">
        <v>82</v>
      </c>
      <c r="I6222" s="11">
        <v>10</v>
      </c>
      <c r="J6222" s="11">
        <v>0</v>
      </c>
      <c r="K6222" s="11" t="s">
        <v>21</v>
      </c>
      <c r="L6222" s="7">
        <v>42060.123657407406</v>
      </c>
      <c r="M6222" s="12" t="s">
        <v>14163</v>
      </c>
      <c r="N6222" s="12" t="s">
        <v>14164</v>
      </c>
      <c r="O6222" s="10" t="str">
        <f>HYPERLINK("https://pbs.twimg.com/profile_images/594579852851712001/6ZsYN6xx_normal.jpg","View")</f>
        <v>View</v>
      </c>
      <c r="P6222" s="11"/>
    </row>
    <row r="6223" spans="1:16" ht="12.75" x14ac:dyDescent="0.35">
      <c r="A6223" s="7">
        <v>42483.947662037041</v>
      </c>
      <c r="B6223" s="8" t="str">
        <f>HYPERLINK("https://twitter.com/_sea_fox_","@_sea_fox_")</f>
        <v>@_sea_fox_</v>
      </c>
      <c r="C6223" s="9" t="s">
        <v>14119</v>
      </c>
      <c r="D6223" s="9" t="s">
        <v>14165</v>
      </c>
      <c r="E6223" s="10" t="str">
        <f>HYPERLINK("https://twitter.com/_sea_fox_/status/723923046894043136","723923046894043136")</f>
        <v>723923046894043136</v>
      </c>
      <c r="F6223" s="11" t="s">
        <v>114</v>
      </c>
      <c r="G6223" s="11">
        <v>34</v>
      </c>
      <c r="H6223" s="11">
        <v>143</v>
      </c>
      <c r="I6223" s="11">
        <v>0</v>
      </c>
      <c r="J6223" s="11">
        <v>0</v>
      </c>
      <c r="K6223" s="11" t="s">
        <v>21</v>
      </c>
      <c r="L6223" s="7">
        <v>41499.912824074076</v>
      </c>
      <c r="M6223" s="12"/>
      <c r="N6223" s="12"/>
      <c r="O6223" s="10" t="str">
        <f>HYPERLINK("https://pbs.twimg.com/profile_images/644897595442241536/62y226Ai_normal.jpg","View")</f>
        <v>View</v>
      </c>
      <c r="P6223" s="11"/>
    </row>
    <row r="6224" spans="1:16" ht="12.75" x14ac:dyDescent="0.35">
      <c r="A6224" s="7">
        <v>42483.948020833333</v>
      </c>
      <c r="B6224" s="8" t="str">
        <f>HYPERLINK("https://twitter.com/onelllmate","@onelllmate")</f>
        <v>@onelllmate</v>
      </c>
      <c r="C6224" s="9" t="s">
        <v>14166</v>
      </c>
      <c r="D6224" s="9" t="s">
        <v>14073</v>
      </c>
      <c r="E6224" s="10" t="str">
        <f>HYPERLINK("https://twitter.com/onelllmate/status/723923173528473600","723923173528473600")</f>
        <v>723923173528473600</v>
      </c>
      <c r="F6224" s="11" t="s">
        <v>48</v>
      </c>
      <c r="G6224" s="11">
        <v>337</v>
      </c>
      <c r="H6224" s="11">
        <v>86</v>
      </c>
      <c r="I6224" s="11">
        <v>10</v>
      </c>
      <c r="J6224" s="11">
        <v>0</v>
      </c>
      <c r="K6224" s="11" t="s">
        <v>21</v>
      </c>
      <c r="L6224" s="7">
        <v>41541.746180555558</v>
      </c>
      <c r="M6224" s="12" t="s">
        <v>14167</v>
      </c>
      <c r="N6224" s="12"/>
      <c r="O6224" s="10" t="str">
        <f>HYPERLINK("https://pbs.twimg.com/profile_images/541532182955982848/hQBKsm6U_normal.jpeg","View")</f>
        <v>View</v>
      </c>
      <c r="P6224" s="11"/>
    </row>
    <row r="6225" spans="1:16" ht="12.75" x14ac:dyDescent="0.35">
      <c r="A6225" s="7">
        <v>42483.948194444441</v>
      </c>
      <c r="B6225" s="8" t="str">
        <f>HYPERLINK("https://twitter.com/carbrosusedcars","@carbrosusedcars")</f>
        <v>@carbrosusedcars</v>
      </c>
      <c r="C6225" s="9" t="s">
        <v>14168</v>
      </c>
      <c r="D6225" s="9" t="s">
        <v>14169</v>
      </c>
      <c r="E6225" s="10" t="str">
        <f>HYPERLINK("https://twitter.com/carbrosusedcars/status/723923237256704001","723923237256704001")</f>
        <v>723923237256704001</v>
      </c>
      <c r="F6225" s="11" t="s">
        <v>152</v>
      </c>
      <c r="G6225" s="11">
        <v>30</v>
      </c>
      <c r="H6225" s="11">
        <v>56</v>
      </c>
      <c r="I6225" s="11">
        <v>0</v>
      </c>
      <c r="J6225" s="11">
        <v>0</v>
      </c>
      <c r="K6225" s="11" t="s">
        <v>21</v>
      </c>
      <c r="L6225" s="7">
        <v>42472.427500000005</v>
      </c>
      <c r="M6225" s="12" t="s">
        <v>12527</v>
      </c>
      <c r="N6225" s="12" t="s">
        <v>14170</v>
      </c>
      <c r="O6225" s="10" t="str">
        <f>HYPERLINK("https://pbs.twimg.com/profile_images/719787002346938368/lHiRs900_normal.jpg","View")</f>
        <v>View</v>
      </c>
      <c r="P6225" s="11"/>
    </row>
    <row r="6226" spans="1:16" ht="12.75" x14ac:dyDescent="0.35">
      <c r="A6226" s="7">
        <v>42483.948368055557</v>
      </c>
      <c r="B6226" s="8" t="str">
        <f>HYPERLINK("https://twitter.com/AbruMuiler","@AbruMuiler")</f>
        <v>@AbruMuiler</v>
      </c>
      <c r="C6226" s="9" t="s">
        <v>14171</v>
      </c>
      <c r="D6226" s="9" t="s">
        <v>14073</v>
      </c>
      <c r="E6226" s="10" t="str">
        <f>HYPERLINK("https://twitter.com/AbruMuiler/status/723923300494266368","723923300494266368")</f>
        <v>723923300494266368</v>
      </c>
      <c r="F6226" s="11" t="s">
        <v>48</v>
      </c>
      <c r="G6226" s="11">
        <v>327</v>
      </c>
      <c r="H6226" s="11">
        <v>113</v>
      </c>
      <c r="I6226" s="11">
        <v>16</v>
      </c>
      <c r="J6226" s="11">
        <v>0</v>
      </c>
      <c r="K6226" s="11" t="s">
        <v>21</v>
      </c>
      <c r="L6226" s="7">
        <v>41566.472858796296</v>
      </c>
      <c r="M6226" s="12" t="s">
        <v>14172</v>
      </c>
      <c r="N6226" s="12" t="s">
        <v>14173</v>
      </c>
      <c r="O6226" s="10" t="str">
        <f>HYPERLINK("https://pbs.twimg.com/profile_images/539582537400844288/V0O1qkdR_normal.jpeg","View")</f>
        <v>View</v>
      </c>
      <c r="P6226" s="11"/>
    </row>
    <row r="6227" spans="1:16" ht="12.75" x14ac:dyDescent="0.35">
      <c r="A6227" s="7">
        <v>42483.948645833334</v>
      </c>
      <c r="B6227" s="8" t="str">
        <f>HYPERLINK("https://twitter.com/sami19981","@sami19981")</f>
        <v>@sami19981</v>
      </c>
      <c r="C6227" s="9" t="s">
        <v>14174</v>
      </c>
      <c r="D6227" s="9" t="s">
        <v>13150</v>
      </c>
      <c r="E6227" s="10" t="str">
        <f>HYPERLINK("https://twitter.com/sami19981/status/723923401329414144","723923401329414144")</f>
        <v>723923401329414144</v>
      </c>
      <c r="F6227" s="11" t="s">
        <v>20</v>
      </c>
      <c r="G6227" s="11">
        <v>9</v>
      </c>
      <c r="H6227" s="11">
        <v>119</v>
      </c>
      <c r="I6227" s="11">
        <v>31</v>
      </c>
      <c r="J6227" s="11">
        <v>0</v>
      </c>
      <c r="K6227" s="11" t="s">
        <v>21</v>
      </c>
      <c r="L6227" s="7">
        <v>41602.930891203701</v>
      </c>
      <c r="M6227" s="12"/>
      <c r="N6227" s="12" t="s">
        <v>14175</v>
      </c>
      <c r="O6227" s="10" t="str">
        <f>HYPERLINK("https://pbs.twimg.com/profile_images/697165847840698370/-u-vLqUa_normal.jpg","View")</f>
        <v>View</v>
      </c>
      <c r="P6227" s="11"/>
    </row>
    <row r="6228" spans="1:16" ht="12.75" x14ac:dyDescent="0.35">
      <c r="A6228" s="7">
        <v>42483.949050925927</v>
      </c>
      <c r="B6228" s="8" t="str">
        <f>HYPERLINK("https://twitter.com/autoboomer","@autoboomer")</f>
        <v>@autoboomer</v>
      </c>
      <c r="C6228" s="9" t="s">
        <v>14176</v>
      </c>
      <c r="D6228" s="9" t="s">
        <v>14177</v>
      </c>
      <c r="E6228" s="10" t="str">
        <f>HYPERLINK("https://twitter.com/autoboomer/status/723923547966447616","723923547966447616")</f>
        <v>723923547966447616</v>
      </c>
      <c r="F6228" s="11" t="s">
        <v>43</v>
      </c>
      <c r="G6228" s="11">
        <v>206</v>
      </c>
      <c r="H6228" s="11">
        <v>264</v>
      </c>
      <c r="I6228" s="11">
        <v>0</v>
      </c>
      <c r="J6228" s="11">
        <v>0</v>
      </c>
      <c r="K6228" s="11" t="s">
        <v>21</v>
      </c>
      <c r="L6228" s="7">
        <v>40790.053831018522</v>
      </c>
      <c r="M6228" s="12" t="s">
        <v>14178</v>
      </c>
      <c r="N6228" s="12" t="s">
        <v>14179</v>
      </c>
      <c r="O6228" s="10" t="str">
        <f>HYPERLINK("https://pbs.twimg.com/profile_images/706220345850597376/oEXfTeCE_normal.jpg","View")</f>
        <v>View</v>
      </c>
      <c r="P6228" s="11"/>
    </row>
    <row r="6229" spans="1:16" ht="12.75" x14ac:dyDescent="0.35">
      <c r="A6229" s="7">
        <v>42483.949270833335</v>
      </c>
      <c r="B6229" s="8" t="str">
        <f>HYPERLINK("https://twitter.com/DiegoUrquiolaG","@DiegoUrquiolaG")</f>
        <v>@DiegoUrquiolaG</v>
      </c>
      <c r="C6229" s="9" t="s">
        <v>14180</v>
      </c>
      <c r="D6229" s="9" t="s">
        <v>13150</v>
      </c>
      <c r="E6229" s="10" t="str">
        <f>HYPERLINK("https://twitter.com/DiegoUrquiolaG/status/723923626471350272","723923626471350272")</f>
        <v>723923626471350272</v>
      </c>
      <c r="F6229" s="11" t="s">
        <v>43</v>
      </c>
      <c r="G6229" s="11">
        <v>328</v>
      </c>
      <c r="H6229" s="11">
        <v>808</v>
      </c>
      <c r="I6229" s="11">
        <v>31</v>
      </c>
      <c r="J6229" s="11">
        <v>0</v>
      </c>
      <c r="K6229" s="11" t="s">
        <v>21</v>
      </c>
      <c r="L6229" s="7">
        <v>42140.100810185184</v>
      </c>
      <c r="M6229" s="12"/>
      <c r="N6229" s="12"/>
      <c r="O6229" s="10" t="str">
        <f>HYPERLINK("https://pbs.twimg.com/profile_images/712885807732957185/2anjbS1Y_normal.jpg","View")</f>
        <v>View</v>
      </c>
      <c r="P6229" s="11"/>
    </row>
    <row r="6230" spans="1:16" ht="12.75" x14ac:dyDescent="0.35">
      <c r="A6230" s="7">
        <v>42483.950821759259</v>
      </c>
      <c r="B6230" s="8" t="str">
        <f>HYPERLINK("https://twitter.com/cartes_roci","@cartes_roci")</f>
        <v>@cartes_roci</v>
      </c>
      <c r="C6230" s="9" t="s">
        <v>14181</v>
      </c>
      <c r="D6230" s="9" t="s">
        <v>14182</v>
      </c>
      <c r="E6230" s="10" t="str">
        <f>HYPERLINK("https://twitter.com/cartes_roci/status/723924190227795968","723924190227795968")</f>
        <v>723924190227795968</v>
      </c>
      <c r="F6230" s="11" t="s">
        <v>43</v>
      </c>
      <c r="G6230" s="11">
        <v>1102</v>
      </c>
      <c r="H6230" s="11">
        <v>2657</v>
      </c>
      <c r="I6230" s="11">
        <v>12</v>
      </c>
      <c r="J6230" s="11">
        <v>0</v>
      </c>
      <c r="K6230" s="11" t="s">
        <v>21</v>
      </c>
      <c r="L6230" s="7">
        <v>41651.047476851854</v>
      </c>
      <c r="M6230" s="12" t="s">
        <v>14183</v>
      </c>
      <c r="N6230" s="12" t="s">
        <v>14184</v>
      </c>
      <c r="O6230" s="10" t="str">
        <f>HYPERLINK("https://pbs.twimg.com/profile_images/721895506729922561/MzfGOzG8_normal.jpg","View")</f>
        <v>View</v>
      </c>
      <c r="P6230" s="11"/>
    </row>
    <row r="6231" spans="1:16" ht="12.75" x14ac:dyDescent="0.35">
      <c r="A6231" s="7">
        <v>42483.951006944444</v>
      </c>
      <c r="B6231" s="8" t="str">
        <f>HYPERLINK("https://twitter.com/amln_aboharb","@amln_aboharb")</f>
        <v>@amln_aboharb</v>
      </c>
      <c r="C6231" s="9" t="s">
        <v>14185</v>
      </c>
      <c r="D6231" s="9" t="s">
        <v>14054</v>
      </c>
      <c r="E6231" s="10" t="str">
        <f>HYPERLINK("https://twitter.com/amln_aboharb/status/723924257080770560","723924257080770560")</f>
        <v>723924257080770560</v>
      </c>
      <c r="F6231" s="11" t="s">
        <v>48</v>
      </c>
      <c r="G6231" s="11">
        <v>198</v>
      </c>
      <c r="H6231" s="11">
        <v>127</v>
      </c>
      <c r="I6231" s="11">
        <v>11</v>
      </c>
      <c r="J6231" s="11">
        <v>0</v>
      </c>
      <c r="K6231" s="11" t="s">
        <v>21</v>
      </c>
      <c r="L6231" s="7">
        <v>41567.061493055553</v>
      </c>
      <c r="M6231" s="12" t="s">
        <v>14186</v>
      </c>
      <c r="N6231" s="12" t="s">
        <v>14187</v>
      </c>
      <c r="O6231" s="10" t="str">
        <f>HYPERLINK("https://pbs.twimg.com/profile_images/539541707155845120/pGoqzoxE_normal.jpeg","View")</f>
        <v>View</v>
      </c>
      <c r="P6231" s="11"/>
    </row>
    <row r="6232" spans="1:16" ht="12.75" x14ac:dyDescent="0.35">
      <c r="A6232" s="7">
        <v>42483.95140046296</v>
      </c>
      <c r="B6232" s="8" t="str">
        <f>HYPERLINK("https://twitter.com/VolkswagenofWin","@VolkswagenofWin")</f>
        <v>@VolkswagenofWin</v>
      </c>
      <c r="C6232" s="9" t="s">
        <v>14188</v>
      </c>
      <c r="D6232" s="9" t="s">
        <v>14189</v>
      </c>
      <c r="E6232" s="10" t="str">
        <f>HYPERLINK("https://twitter.com/VolkswagenofWin/status/723924400383254528","723924400383254528")</f>
        <v>723924400383254528</v>
      </c>
      <c r="F6232" s="11" t="s">
        <v>140</v>
      </c>
      <c r="G6232" s="11">
        <v>178</v>
      </c>
      <c r="H6232" s="11">
        <v>198</v>
      </c>
      <c r="I6232" s="11">
        <v>0</v>
      </c>
      <c r="J6232" s="11">
        <v>0</v>
      </c>
      <c r="K6232" s="11" t="s">
        <v>21</v>
      </c>
      <c r="L6232" s="7">
        <v>40852.036307870367</v>
      </c>
      <c r="M6232" s="12" t="s">
        <v>14190</v>
      </c>
      <c r="N6232" s="12" t="s">
        <v>14191</v>
      </c>
      <c r="O6232" s="10" t="str">
        <f>HYPERLINK("https://pbs.twimg.com/profile_images/705746830928117760/59j-NWpU_normal.jpg","View")</f>
        <v>View</v>
      </c>
      <c r="P6232" s="11"/>
    </row>
    <row r="6233" spans="1:16" ht="12.75" x14ac:dyDescent="0.35">
      <c r="A6233" s="7">
        <v>42483.951747685191</v>
      </c>
      <c r="B6233" s="8" t="str">
        <f>HYPERLINK("https://twitter.com/Ct2peteMX","@Ct2peteMX")</f>
        <v>@Ct2peteMX</v>
      </c>
      <c r="C6233" s="9" t="s">
        <v>14192</v>
      </c>
      <c r="D6233" s="9" t="s">
        <v>14073</v>
      </c>
      <c r="E6233" s="10" t="str">
        <f>HYPERLINK("https://twitter.com/Ct2peteMX/status/723924526350897152","723924526350897152")</f>
        <v>723924526350897152</v>
      </c>
      <c r="F6233" s="11" t="s">
        <v>43</v>
      </c>
      <c r="G6233" s="11">
        <v>11</v>
      </c>
      <c r="H6233" s="11">
        <v>254</v>
      </c>
      <c r="I6233" s="11">
        <v>16</v>
      </c>
      <c r="J6233" s="11">
        <v>0</v>
      </c>
      <c r="K6233" s="11" t="s">
        <v>21</v>
      </c>
      <c r="L6233" s="7">
        <v>42064.810173611113</v>
      </c>
      <c r="M6233" s="12"/>
      <c r="N6233" s="12" t="s">
        <v>14193</v>
      </c>
      <c r="O6233" s="10" t="str">
        <f>HYPERLINK("https://pbs.twimg.com/profile_images/575845956521844736/NfPxpwnE_normal.jpeg","View")</f>
        <v>View</v>
      </c>
      <c r="P6233" s="11"/>
    </row>
    <row r="6234" spans="1:16" ht="12.75" x14ac:dyDescent="0.35">
      <c r="A6234" s="7">
        <v>42483.952615740738</v>
      </c>
      <c r="B6234" s="8" t="str">
        <f>HYPERLINK("https://twitter.com/Hoeferle","@Hoeferle")</f>
        <v>@Hoeferle</v>
      </c>
      <c r="C6234" s="9" t="s">
        <v>14194</v>
      </c>
      <c r="D6234" s="9" t="s">
        <v>14195</v>
      </c>
      <c r="E6234" s="10" t="str">
        <f>HYPERLINK("https://twitter.com/Hoeferle/status/723924839308746752","723924839308746752")</f>
        <v>723924839308746752</v>
      </c>
      <c r="F6234" s="11" t="s">
        <v>63</v>
      </c>
      <c r="G6234" s="11">
        <v>3599</v>
      </c>
      <c r="H6234" s="11">
        <v>2073</v>
      </c>
      <c r="I6234" s="11">
        <v>0</v>
      </c>
      <c r="J6234" s="11">
        <v>0</v>
      </c>
      <c r="K6234" s="11" t="s">
        <v>21</v>
      </c>
      <c r="L6234" s="7">
        <v>39879.04886574074</v>
      </c>
      <c r="M6234" s="12" t="s">
        <v>14196</v>
      </c>
      <c r="N6234" s="12" t="s">
        <v>14197</v>
      </c>
      <c r="O6234" s="10" t="str">
        <f>HYPERLINK("https://pbs.twimg.com/profile_images/534229277072314368/CGP57Wf8_normal.jpeg","View")</f>
        <v>View</v>
      </c>
      <c r="P6234" s="11"/>
    </row>
    <row r="6235" spans="1:16" ht="12.75" x14ac:dyDescent="0.35">
      <c r="A6235" s="7">
        <v>42483.95311342593</v>
      </c>
      <c r="B6235" s="8" t="str">
        <f>HYPERLINK("https://twitter.com/TheC0ntentQ","@TheC0ntentQ")</f>
        <v>@TheC0ntentQ</v>
      </c>
      <c r="C6235" s="9" t="s">
        <v>14198</v>
      </c>
      <c r="D6235" s="9" t="s">
        <v>14054</v>
      </c>
      <c r="E6235" s="10" t="str">
        <f>HYPERLINK("https://twitter.com/TheC0ntentQ/status/723925021849194497","723925021849194497")</f>
        <v>723925021849194497</v>
      </c>
      <c r="F6235" s="11" t="s">
        <v>48</v>
      </c>
      <c r="G6235" s="11">
        <v>218</v>
      </c>
      <c r="H6235" s="11">
        <v>108</v>
      </c>
      <c r="I6235" s="11">
        <v>11</v>
      </c>
      <c r="J6235" s="11">
        <v>0</v>
      </c>
      <c r="K6235" s="11" t="s">
        <v>21</v>
      </c>
      <c r="L6235" s="7">
        <v>41567.523182870369</v>
      </c>
      <c r="M6235" s="12" t="s">
        <v>5471</v>
      </c>
      <c r="N6235" s="12" t="s">
        <v>14199</v>
      </c>
      <c r="O6235" s="10" t="str">
        <f>HYPERLINK("https://pbs.twimg.com/profile_images/540376116683632641/KBoJ9dBH_normal.jpeg","View")</f>
        <v>View</v>
      </c>
      <c r="P6235" s="11"/>
    </row>
    <row r="6236" spans="1:16" ht="12.75" x14ac:dyDescent="0.35">
      <c r="A6236" s="7">
        <v>42483.953194444446</v>
      </c>
      <c r="B6236" s="8" t="str">
        <f>HYPERLINK("https://twitter.com/VWCamperSales","@VWCamperSales")</f>
        <v>@VWCamperSales</v>
      </c>
      <c r="C6236" s="9" t="s">
        <v>216</v>
      </c>
      <c r="D6236" s="9" t="s">
        <v>14200</v>
      </c>
      <c r="E6236" s="10" t="str">
        <f>HYPERLINK("https://twitter.com/VWCamperSales/status/723925049028141056","723925049028141056")</f>
        <v>723925049028141056</v>
      </c>
      <c r="F6236" s="10" t="s">
        <v>124</v>
      </c>
      <c r="G6236" s="11">
        <v>621</v>
      </c>
      <c r="H6236" s="11">
        <v>580</v>
      </c>
      <c r="I6236" s="11">
        <v>0</v>
      </c>
      <c r="J6236" s="11">
        <v>0</v>
      </c>
      <c r="K6236" s="11" t="s">
        <v>21</v>
      </c>
      <c r="L6236" s="7">
        <v>42215.98809027778</v>
      </c>
      <c r="M6236" s="12" t="s">
        <v>129</v>
      </c>
      <c r="N6236" s="12" t="s">
        <v>218</v>
      </c>
      <c r="O6236" s="10" t="str">
        <f>HYPERLINK("https://pbs.twimg.com/profile_images/627949001179037696/skEBkS05_normal.jpg","View")</f>
        <v>View</v>
      </c>
      <c r="P6236" s="11"/>
    </row>
    <row r="6237" spans="1:16" ht="12.75" x14ac:dyDescent="0.35">
      <c r="A6237" s="7">
        <v>42483.954687500001</v>
      </c>
      <c r="B6237" s="8" t="str">
        <f>HYPERLINK("https://twitter.com/CHAELlNXI","@CHAELlNXI")</f>
        <v>@CHAELlNXI</v>
      </c>
      <c r="C6237" s="9" t="s">
        <v>14201</v>
      </c>
      <c r="D6237" s="9" t="s">
        <v>14054</v>
      </c>
      <c r="E6237" s="10" t="str">
        <f>HYPERLINK("https://twitter.com/CHAELlNXI/status/723925592295411712","723925592295411712")</f>
        <v>723925592295411712</v>
      </c>
      <c r="F6237" s="11" t="s">
        <v>48</v>
      </c>
      <c r="G6237" s="11">
        <v>329</v>
      </c>
      <c r="H6237" s="11">
        <v>116</v>
      </c>
      <c r="I6237" s="11">
        <v>11</v>
      </c>
      <c r="J6237" s="11">
        <v>0</v>
      </c>
      <c r="K6237" s="11" t="s">
        <v>21</v>
      </c>
      <c r="L6237" s="7">
        <v>41566.336562500001</v>
      </c>
      <c r="M6237" s="12"/>
      <c r="N6237" s="12" t="s">
        <v>14202</v>
      </c>
      <c r="O6237" s="10" t="str">
        <f>HYPERLINK("https://pbs.twimg.com/profile_images/534255093902614528/5lsOxWj6_normal.jpeg","View")</f>
        <v>View</v>
      </c>
      <c r="P6237" s="11"/>
    </row>
    <row r="6238" spans="1:16" ht="12.75" x14ac:dyDescent="0.35">
      <c r="A6238" s="7">
        <v>42483.955138888894</v>
      </c>
      <c r="B6238" s="8" t="str">
        <f>HYPERLINK("https://twitter.com/dazvw","@dazvw")</f>
        <v>@dazvw</v>
      </c>
      <c r="C6238" s="9" t="s">
        <v>14203</v>
      </c>
      <c r="D6238" s="9" t="s">
        <v>14204</v>
      </c>
      <c r="E6238" s="10" t="str">
        <f>HYPERLINK("https://twitter.com/dazvw/status/723925754732371969","723925754732371969")</f>
        <v>723925754732371969</v>
      </c>
      <c r="F6238" s="11" t="s">
        <v>114</v>
      </c>
      <c r="G6238" s="11">
        <v>117</v>
      </c>
      <c r="H6238" s="11">
        <v>170</v>
      </c>
      <c r="I6238" s="11">
        <v>0</v>
      </c>
      <c r="J6238" s="11">
        <v>0</v>
      </c>
      <c r="K6238" s="11" t="s">
        <v>21</v>
      </c>
      <c r="L6238" s="7">
        <v>40797.195451388892</v>
      </c>
      <c r="M6238" s="12" t="s">
        <v>14205</v>
      </c>
      <c r="N6238" s="12"/>
      <c r="O6238" s="10" t="str">
        <f>HYPERLINK("https://pbs.twimg.com/profile_images/3095803063/6d0b0cd10bd2f076a374a11a88bb7c2e_normal.jpeg","View")</f>
        <v>View</v>
      </c>
      <c r="P6238" s="11"/>
    </row>
    <row r="6239" spans="1:16" ht="12.75" x14ac:dyDescent="0.35">
      <c r="A6239" s="7">
        <v>42483.955162037033</v>
      </c>
      <c r="B6239" s="8" t="str">
        <f>HYPERLINK("https://twitter.com/GuyMahomlie","@GuyMahomlie")</f>
        <v>@GuyMahomlie</v>
      </c>
      <c r="C6239" s="9" t="s">
        <v>14206</v>
      </c>
      <c r="D6239" s="9" t="s">
        <v>14054</v>
      </c>
      <c r="E6239" s="10" t="str">
        <f>HYPERLINK("https://twitter.com/GuyMahomlie/status/723925762525519872","723925762525519872")</f>
        <v>723925762525519872</v>
      </c>
      <c r="F6239" s="11" t="s">
        <v>48</v>
      </c>
      <c r="G6239" s="11">
        <v>244</v>
      </c>
      <c r="H6239" s="11">
        <v>295</v>
      </c>
      <c r="I6239" s="11">
        <v>11</v>
      </c>
      <c r="J6239" s="11">
        <v>0</v>
      </c>
      <c r="K6239" s="11" t="s">
        <v>21</v>
      </c>
      <c r="L6239" s="7">
        <v>41566.346493055556</v>
      </c>
      <c r="M6239" s="12" t="s">
        <v>14207</v>
      </c>
      <c r="N6239" s="12" t="s">
        <v>14208</v>
      </c>
      <c r="O6239" s="10" t="str">
        <f>HYPERLINK("https://pbs.twimg.com/profile_images/534251848681537536/QZ941BSB_normal.jpeg","View")</f>
        <v>View</v>
      </c>
      <c r="P6239" s="11"/>
    </row>
    <row r="6240" spans="1:16" ht="12.75" x14ac:dyDescent="0.35">
      <c r="A6240" s="7">
        <v>42483.955185185187</v>
      </c>
      <c r="B6240" s="8" t="str">
        <f t="shared" ref="B6240:B6241" si="531">HYPERLINK("https://twitter.com/beetle_pics","@beetle_pics")</f>
        <v>@beetle_pics</v>
      </c>
      <c r="C6240" s="9" t="s">
        <v>14209</v>
      </c>
      <c r="D6240" s="9" t="s">
        <v>14210</v>
      </c>
      <c r="E6240" s="10" t="str">
        <f>HYPERLINK("https://twitter.com/beetle_pics/status/723925771048218625","723925771048218625")</f>
        <v>723925771048218625</v>
      </c>
      <c r="F6240" s="11" t="s">
        <v>20</v>
      </c>
      <c r="G6240" s="11">
        <v>769</v>
      </c>
      <c r="H6240" s="11">
        <v>37</v>
      </c>
      <c r="I6240" s="11">
        <v>6</v>
      </c>
      <c r="J6240" s="11">
        <v>0</v>
      </c>
      <c r="K6240" s="11" t="s">
        <v>21</v>
      </c>
      <c r="L6240" s="7">
        <v>41453.713020833333</v>
      </c>
      <c r="M6240" s="12"/>
      <c r="N6240" s="12" t="s">
        <v>14211</v>
      </c>
      <c r="O6240" s="10" t="str">
        <f t="shared" ref="O6240:O6241" si="532">HYPERLINK("https://pbs.twimg.com/profile_images/441621274356240384/b9pRyHTU_normal.jpeg","View")</f>
        <v>View</v>
      </c>
      <c r="P6240" s="11"/>
    </row>
    <row r="6241" spans="1:16" ht="12.75" x14ac:dyDescent="0.35">
      <c r="A6241" s="7">
        <v>42483.955578703702</v>
      </c>
      <c r="B6241" s="8" t="str">
        <f t="shared" si="531"/>
        <v>@beetle_pics</v>
      </c>
      <c r="C6241" s="9" t="s">
        <v>14209</v>
      </c>
      <c r="D6241" s="9" t="s">
        <v>14212</v>
      </c>
      <c r="E6241" s="10" t="str">
        <f>HYPERLINK("https://twitter.com/beetle_pics/status/723925912647962624","723925912647962624")</f>
        <v>723925912647962624</v>
      </c>
      <c r="F6241" s="11" t="s">
        <v>20</v>
      </c>
      <c r="G6241" s="11">
        <v>769</v>
      </c>
      <c r="H6241" s="11">
        <v>37</v>
      </c>
      <c r="I6241" s="11">
        <v>2</v>
      </c>
      <c r="J6241" s="11">
        <v>0</v>
      </c>
      <c r="K6241" s="11" t="s">
        <v>21</v>
      </c>
      <c r="L6241" s="7">
        <v>41453.713020833333</v>
      </c>
      <c r="M6241" s="12"/>
      <c r="N6241" s="12" t="s">
        <v>14211</v>
      </c>
      <c r="O6241" s="10" t="str">
        <f t="shared" si="532"/>
        <v>View</v>
      </c>
      <c r="P6241" s="11"/>
    </row>
    <row r="6242" spans="1:16" ht="12.75" x14ac:dyDescent="0.35">
      <c r="A6242" s="7">
        <v>42483.95585648148</v>
      </c>
      <c r="B6242" s="8" t="str">
        <f>HYPERLINK("https://twitter.com/SevenDw4rf_TH","@SevenDw4rf_TH")</f>
        <v>@SevenDw4rf_TH</v>
      </c>
      <c r="C6242" s="9" t="s">
        <v>14213</v>
      </c>
      <c r="D6242" s="9" t="s">
        <v>14073</v>
      </c>
      <c r="E6242" s="10" t="str">
        <f>HYPERLINK("https://twitter.com/SevenDw4rf_TH/status/723926014443831296","723926014443831296")</f>
        <v>723926014443831296</v>
      </c>
      <c r="F6242" s="11" t="s">
        <v>48</v>
      </c>
      <c r="G6242" s="11">
        <v>350</v>
      </c>
      <c r="H6242" s="11">
        <v>158</v>
      </c>
      <c r="I6242" s="11">
        <v>16</v>
      </c>
      <c r="J6242" s="11">
        <v>0</v>
      </c>
      <c r="K6242" s="11" t="s">
        <v>21</v>
      </c>
      <c r="L6242" s="7">
        <v>41565.989768518521</v>
      </c>
      <c r="M6242" s="12" t="s">
        <v>14214</v>
      </c>
      <c r="N6242" s="12" t="s">
        <v>14215</v>
      </c>
      <c r="O6242" s="10" t="str">
        <f>HYPERLINK("https://pbs.twimg.com/profile_images/534296310221131777/trQtVXmB_normal.jpeg","View")</f>
        <v>View</v>
      </c>
      <c r="P6242" s="11"/>
    </row>
    <row r="6243" spans="1:16" ht="12.75" x14ac:dyDescent="0.35">
      <c r="A6243" s="7">
        <v>42483.956157407403</v>
      </c>
      <c r="B6243" s="8" t="str">
        <f>HYPERLINK("https://twitter.com/OriginalRadi","@OriginalRadi")</f>
        <v>@OriginalRadi</v>
      </c>
      <c r="C6243" s="9" t="s">
        <v>14216</v>
      </c>
      <c r="D6243" s="9" t="s">
        <v>14217</v>
      </c>
      <c r="E6243" s="10" t="str">
        <f>HYPERLINK("https://twitter.com/OriginalRadi/status/723926122782687234","723926122782687234")</f>
        <v>723926122782687234</v>
      </c>
      <c r="F6243" s="11" t="s">
        <v>43</v>
      </c>
      <c r="G6243" s="11">
        <v>457</v>
      </c>
      <c r="H6243" s="11">
        <v>713</v>
      </c>
      <c r="I6243" s="11">
        <v>1</v>
      </c>
      <c r="J6243" s="11">
        <v>0</v>
      </c>
      <c r="K6243" s="11" t="s">
        <v>21</v>
      </c>
      <c r="L6243" s="7">
        <v>41217.674814814818</v>
      </c>
      <c r="M6243" s="12" t="s">
        <v>14218</v>
      </c>
      <c r="N6243" s="12" t="s">
        <v>14219</v>
      </c>
      <c r="O6243" s="10" t="str">
        <f>HYPERLINK("https://pbs.twimg.com/profile_images/378800000596512650/cc5e665134d5974580c24c8b4433bc4f_normal.jpeg","View")</f>
        <v>View</v>
      </c>
      <c r="P6243" s="11"/>
    </row>
    <row r="6244" spans="1:16" ht="12.75" x14ac:dyDescent="0.35">
      <c r="A6244" s="7">
        <v>42483.956226851849</v>
      </c>
      <c r="B6244" s="8" t="str">
        <f>HYPERLINK("https://twitter.com/mexlbrony","@mexlbrony")</f>
        <v>@mexlbrony</v>
      </c>
      <c r="C6244" s="9" t="s">
        <v>14220</v>
      </c>
      <c r="D6244" s="9" t="s">
        <v>14073</v>
      </c>
      <c r="E6244" s="10" t="str">
        <f>HYPERLINK("https://twitter.com/mexlbrony/status/723926149034840064","723926149034840064")</f>
        <v>723926149034840064</v>
      </c>
      <c r="F6244" s="11" t="s">
        <v>48</v>
      </c>
      <c r="G6244" s="11">
        <v>231</v>
      </c>
      <c r="H6244" s="11">
        <v>117</v>
      </c>
      <c r="I6244" s="11">
        <v>16</v>
      </c>
      <c r="J6244" s="11">
        <v>0</v>
      </c>
      <c r="K6244" s="11" t="s">
        <v>21</v>
      </c>
      <c r="L6244" s="7">
        <v>41566.200567129628</v>
      </c>
      <c r="M6244" s="12" t="s">
        <v>14221</v>
      </c>
      <c r="N6244" s="12" t="s">
        <v>14222</v>
      </c>
      <c r="O6244" s="10" t="str">
        <f>HYPERLINK("https://pbs.twimg.com/profile_images/534268443399569408/_nft_q_M_normal.jpeg","View")</f>
        <v>View</v>
      </c>
      <c r="P6244" s="11"/>
    </row>
    <row r="6245" spans="1:16" ht="12.75" x14ac:dyDescent="0.35">
      <c r="A6245" s="7">
        <v>42483.956793981481</v>
      </c>
      <c r="B6245" s="8" t="str">
        <f>HYPERLINK("https://twitter.com/iaurajaynesays","@iaurajaynesays")</f>
        <v>@iaurajaynesays</v>
      </c>
      <c r="C6245" s="9" t="s">
        <v>14223</v>
      </c>
      <c r="D6245" s="9" t="s">
        <v>14073</v>
      </c>
      <c r="E6245" s="10" t="str">
        <f>HYPERLINK("https://twitter.com/iaurajaynesays/status/723926352865447936","723926352865447936")</f>
        <v>723926352865447936</v>
      </c>
      <c r="F6245" s="11" t="s">
        <v>48</v>
      </c>
      <c r="G6245" s="11">
        <v>290</v>
      </c>
      <c r="H6245" s="11">
        <v>96</v>
      </c>
      <c r="I6245" s="11">
        <v>16</v>
      </c>
      <c r="J6245" s="11">
        <v>0</v>
      </c>
      <c r="K6245" s="11" t="s">
        <v>21</v>
      </c>
      <c r="L6245" s="7">
        <v>41541.1403587963</v>
      </c>
      <c r="M6245" s="12" t="s">
        <v>14224</v>
      </c>
      <c r="N6245" s="12" t="s">
        <v>14225</v>
      </c>
      <c r="O6245" s="10" t="str">
        <f>HYPERLINK("https://pbs.twimg.com/profile_images/541529452568928256/3Z0TvgjV_normal.jpeg","View")</f>
        <v>View</v>
      </c>
      <c r="P6245" s="11"/>
    </row>
    <row r="6246" spans="1:16" ht="12.75" x14ac:dyDescent="0.35">
      <c r="A6246" s="7">
        <v>42483.956909722227</v>
      </c>
      <c r="B6246" s="8" t="str">
        <f>HYPERLINK("https://twitter.com/premchandc87","@premchandc87")</f>
        <v>@premchandc87</v>
      </c>
      <c r="C6246" s="9" t="s">
        <v>14226</v>
      </c>
      <c r="D6246" s="9" t="s">
        <v>14227</v>
      </c>
      <c r="E6246" s="10" t="str">
        <f>HYPERLINK("https://twitter.com/premchandc87/status/723926398193160193","723926398193160193")</f>
        <v>723926398193160193</v>
      </c>
      <c r="F6246" s="11" t="s">
        <v>20</v>
      </c>
      <c r="G6246" s="11">
        <v>400</v>
      </c>
      <c r="H6246" s="11">
        <v>1082</v>
      </c>
      <c r="I6246" s="11">
        <v>1</v>
      </c>
      <c r="J6246" s="11">
        <v>0</v>
      </c>
      <c r="K6246" s="11" t="s">
        <v>21</v>
      </c>
      <c r="L6246" s="7">
        <v>40306.989652777775</v>
      </c>
      <c r="M6246" s="12" t="s">
        <v>14228</v>
      </c>
      <c r="N6246" s="12" t="s">
        <v>14229</v>
      </c>
      <c r="O6246" s="10" t="str">
        <f>HYPERLINK("https://pbs.twimg.com/profile_images/716336361507164160/LUJx9Ive_normal.jpg","View")</f>
        <v>View</v>
      </c>
      <c r="P6246" s="11"/>
    </row>
    <row r="6247" spans="1:16" ht="12.75" x14ac:dyDescent="0.35">
      <c r="A6247" s="7">
        <v>42483.956956018519</v>
      </c>
      <c r="B6247" s="8" t="str">
        <f>HYPERLINK("https://twitter.com/oldcar_photo","@oldcar_photo")</f>
        <v>@oldcar_photo</v>
      </c>
      <c r="C6247" s="9" t="s">
        <v>1046</v>
      </c>
      <c r="D6247" s="9" t="s">
        <v>14230</v>
      </c>
      <c r="E6247" s="10" t="str">
        <f>HYPERLINK("https://twitter.com/oldcar_photo/status/723926413804470272","723926413804470272")</f>
        <v>723926413804470272</v>
      </c>
      <c r="F6247" s="11" t="s">
        <v>68</v>
      </c>
      <c r="G6247" s="11">
        <v>1993</v>
      </c>
      <c r="H6247" s="11">
        <v>0</v>
      </c>
      <c r="I6247" s="11">
        <v>0</v>
      </c>
      <c r="J6247" s="11">
        <v>0</v>
      </c>
      <c r="K6247" s="11" t="s">
        <v>21</v>
      </c>
      <c r="L6247" s="7">
        <v>42184.7341087963</v>
      </c>
      <c r="M6247" s="12"/>
      <c r="N6247" s="12"/>
      <c r="O6247" s="10" t="str">
        <f>HYPERLINK("https://pbs.twimg.com/profile_images/615493650785660928/XHUh6HOk_normal.jpg","View")</f>
        <v>View</v>
      </c>
      <c r="P6247" s="11"/>
    </row>
    <row r="6248" spans="1:16" ht="12.75" x14ac:dyDescent="0.35">
      <c r="A6248" s="7">
        <v>42483.956967592589</v>
      </c>
      <c r="B6248" s="8" t="str">
        <f>HYPERLINK("https://twitter.com/SolchuCarretero","@SolchuCarretero")</f>
        <v>@SolchuCarretero</v>
      </c>
      <c r="C6248" s="9" t="s">
        <v>14231</v>
      </c>
      <c r="D6248" s="9" t="s">
        <v>2825</v>
      </c>
      <c r="E6248" s="10" t="str">
        <f>HYPERLINK("https://twitter.com/SolchuCarretero/status/723926419403845632","723926419403845632")</f>
        <v>723926419403845632</v>
      </c>
      <c r="F6248" s="11" t="s">
        <v>48</v>
      </c>
      <c r="G6248" s="11">
        <v>448</v>
      </c>
      <c r="H6248" s="11">
        <v>527</v>
      </c>
      <c r="I6248" s="11">
        <v>57</v>
      </c>
      <c r="J6248" s="11">
        <v>0</v>
      </c>
      <c r="K6248" s="11" t="s">
        <v>21</v>
      </c>
      <c r="L6248" s="7">
        <v>41789.932719907403</v>
      </c>
      <c r="M6248" s="12" t="s">
        <v>866</v>
      </c>
      <c r="N6248" s="12" t="s">
        <v>14232</v>
      </c>
      <c r="O6248" s="10" t="str">
        <f>HYPERLINK("https://pbs.twimg.com/profile_images/723338322098196480/TDOAiazl_normal.jpg","View")</f>
        <v>View</v>
      </c>
      <c r="P6248" s="11"/>
    </row>
    <row r="6249" spans="1:16" ht="12.75" x14ac:dyDescent="0.35">
      <c r="A6249" s="7">
        <v>42483.957025462965</v>
      </c>
      <c r="B6249" s="8" t="str">
        <f>HYPERLINK("https://twitter.com/DigitalFuehrung","@DigitalFuehrung")</f>
        <v>@DigitalFuehrung</v>
      </c>
      <c r="C6249" s="9" t="s">
        <v>14233</v>
      </c>
      <c r="D6249" s="9" t="s">
        <v>14234</v>
      </c>
      <c r="E6249" s="10" t="str">
        <f>HYPERLINK("https://twitter.com/DigitalFuehrung/status/723926440287166466","723926440287166466")</f>
        <v>723926440287166466</v>
      </c>
      <c r="F6249" s="11" t="s">
        <v>48</v>
      </c>
      <c r="G6249" s="11">
        <v>868</v>
      </c>
      <c r="H6249" s="11">
        <v>2983</v>
      </c>
      <c r="I6249" s="11">
        <v>0</v>
      </c>
      <c r="J6249" s="11">
        <v>0</v>
      </c>
      <c r="K6249" s="11" t="s">
        <v>21</v>
      </c>
      <c r="L6249" s="7">
        <v>42198.959548611107</v>
      </c>
      <c r="M6249" s="12"/>
      <c r="N6249" s="12" t="s">
        <v>14235</v>
      </c>
      <c r="O6249" s="10" t="str">
        <f>HYPERLINK("https://pbs.twimg.com/profile_images/671009336282497024/TudQkBna_normal.jpg","View")</f>
        <v>View</v>
      </c>
      <c r="P6249" s="11"/>
    </row>
    <row r="6250" spans="1:16" ht="12.75" x14ac:dyDescent="0.35">
      <c r="A6250" s="7">
        <v>42483.957060185188</v>
      </c>
      <c r="B6250" s="8" t="str">
        <f t="shared" ref="B6250:B6253" si="533">HYPERLINK("https://twitter.com/oldcar_photo","@oldcar_photo")</f>
        <v>@oldcar_photo</v>
      </c>
      <c r="C6250" s="9" t="s">
        <v>1046</v>
      </c>
      <c r="D6250" s="9" t="s">
        <v>14236</v>
      </c>
      <c r="E6250" s="10" t="str">
        <f>HYPERLINK("https://twitter.com/oldcar_photo/status/723926450919841792","723926450919841792")</f>
        <v>723926450919841792</v>
      </c>
      <c r="F6250" s="11" t="s">
        <v>68</v>
      </c>
      <c r="G6250" s="11">
        <v>1993</v>
      </c>
      <c r="H6250" s="11">
        <v>0</v>
      </c>
      <c r="I6250" s="11">
        <v>0</v>
      </c>
      <c r="J6250" s="11">
        <v>0</v>
      </c>
      <c r="K6250" s="11" t="s">
        <v>21</v>
      </c>
      <c r="L6250" s="7">
        <v>42184.7341087963</v>
      </c>
      <c r="M6250" s="12"/>
      <c r="N6250" s="12"/>
      <c r="O6250" s="10" t="str">
        <f t="shared" ref="O6250:O6253" si="534">HYPERLINK("https://pbs.twimg.com/profile_images/615493650785660928/XHUh6HOk_normal.jpg","View")</f>
        <v>View</v>
      </c>
      <c r="P6250" s="11"/>
    </row>
    <row r="6251" spans="1:16" ht="12.75" x14ac:dyDescent="0.35">
      <c r="A6251" s="7">
        <v>42483.957083333335</v>
      </c>
      <c r="B6251" s="8" t="str">
        <f t="shared" si="533"/>
        <v>@oldcar_photo</v>
      </c>
      <c r="C6251" s="9" t="s">
        <v>1046</v>
      </c>
      <c r="D6251" s="9" t="s">
        <v>14237</v>
      </c>
      <c r="E6251" s="10" t="str">
        <f>HYPERLINK("https://twitter.com/oldcar_photo/status/723926458603835392","723926458603835392")</f>
        <v>723926458603835392</v>
      </c>
      <c r="F6251" s="11" t="s">
        <v>68</v>
      </c>
      <c r="G6251" s="11">
        <v>1993</v>
      </c>
      <c r="H6251" s="11">
        <v>0</v>
      </c>
      <c r="I6251" s="11">
        <v>0</v>
      </c>
      <c r="J6251" s="11">
        <v>0</v>
      </c>
      <c r="K6251" s="11" t="s">
        <v>21</v>
      </c>
      <c r="L6251" s="7">
        <v>42184.7341087963</v>
      </c>
      <c r="M6251" s="12"/>
      <c r="N6251" s="12"/>
      <c r="O6251" s="10" t="str">
        <f t="shared" si="534"/>
        <v>View</v>
      </c>
      <c r="P6251" s="11"/>
    </row>
    <row r="6252" spans="1:16" ht="12.75" x14ac:dyDescent="0.35">
      <c r="A6252" s="7">
        <v>42483.957141203704</v>
      </c>
      <c r="B6252" s="8" t="str">
        <f t="shared" si="533"/>
        <v>@oldcar_photo</v>
      </c>
      <c r="C6252" s="9" t="s">
        <v>1046</v>
      </c>
      <c r="D6252" s="9" t="s">
        <v>14238</v>
      </c>
      <c r="E6252" s="10" t="str">
        <f>HYPERLINK("https://twitter.com/oldcar_photo/status/723926478505816064","723926478505816064")</f>
        <v>723926478505816064</v>
      </c>
      <c r="F6252" s="11" t="s">
        <v>68</v>
      </c>
      <c r="G6252" s="11">
        <v>1993</v>
      </c>
      <c r="H6252" s="11">
        <v>0</v>
      </c>
      <c r="I6252" s="11">
        <v>0</v>
      </c>
      <c r="J6252" s="11">
        <v>0</v>
      </c>
      <c r="K6252" s="11" t="s">
        <v>21</v>
      </c>
      <c r="L6252" s="7">
        <v>42184.7341087963</v>
      </c>
      <c r="M6252" s="12"/>
      <c r="N6252" s="12"/>
      <c r="O6252" s="10" t="str">
        <f t="shared" si="534"/>
        <v>View</v>
      </c>
      <c r="P6252" s="11"/>
    </row>
    <row r="6253" spans="1:16" ht="12.75" x14ac:dyDescent="0.35">
      <c r="A6253" s="7">
        <v>42483.957175925927</v>
      </c>
      <c r="B6253" s="8" t="str">
        <f t="shared" si="533"/>
        <v>@oldcar_photo</v>
      </c>
      <c r="C6253" s="9" t="s">
        <v>1046</v>
      </c>
      <c r="D6253" s="9" t="s">
        <v>14239</v>
      </c>
      <c r="E6253" s="10" t="str">
        <f>HYPERLINK("https://twitter.com/oldcar_photo/status/723926494993616896","723926494993616896")</f>
        <v>723926494993616896</v>
      </c>
      <c r="F6253" s="11" t="s">
        <v>68</v>
      </c>
      <c r="G6253" s="11">
        <v>1993</v>
      </c>
      <c r="H6253" s="11">
        <v>0</v>
      </c>
      <c r="I6253" s="11">
        <v>0</v>
      </c>
      <c r="J6253" s="11">
        <v>0</v>
      </c>
      <c r="K6253" s="11" t="s">
        <v>21</v>
      </c>
      <c r="L6253" s="7">
        <v>42184.7341087963</v>
      </c>
      <c r="M6253" s="12"/>
      <c r="N6253" s="12"/>
      <c r="O6253" s="10" t="str">
        <f t="shared" si="534"/>
        <v>View</v>
      </c>
      <c r="P6253" s="11"/>
    </row>
    <row r="6254" spans="1:16" ht="12.75" x14ac:dyDescent="0.35">
      <c r="A6254" s="7">
        <v>42483.957465277781</v>
      </c>
      <c r="B6254" s="8" t="str">
        <f>HYPERLINK("https://twitter.com/VeeDubMk1_","@VeeDubMk1_")</f>
        <v>@VeeDubMk1_</v>
      </c>
      <c r="C6254" s="9" t="s">
        <v>185</v>
      </c>
      <c r="D6254" s="9" t="s">
        <v>14240</v>
      </c>
      <c r="E6254" s="10" t="str">
        <f>HYPERLINK("https://twitter.com/VeeDubMk1_/status/723926599482093568","723926599482093568")</f>
        <v>723926599482093568</v>
      </c>
      <c r="F6254" s="11" t="s">
        <v>68</v>
      </c>
      <c r="G6254" s="11">
        <v>549</v>
      </c>
      <c r="H6254" s="11">
        <v>3528</v>
      </c>
      <c r="I6254" s="11">
        <v>0</v>
      </c>
      <c r="J6254" s="11">
        <v>0</v>
      </c>
      <c r="K6254" s="11" t="s">
        <v>21</v>
      </c>
      <c r="L6254" s="7">
        <v>42343.063356481478</v>
      </c>
      <c r="M6254" s="12"/>
      <c r="N6254" s="12"/>
      <c r="O6254" s="10" t="str">
        <f>HYPERLINK("https://pbs.twimg.com/profile_images/672878354127839232/M7OYc-zx_normal.jpg","View")</f>
        <v>View</v>
      </c>
      <c r="P6254" s="11"/>
    </row>
    <row r="6255" spans="1:16" ht="12.75" x14ac:dyDescent="0.35">
      <c r="A6255" s="7">
        <v>42483.957546296297</v>
      </c>
      <c r="B6255" s="8" t="str">
        <f t="shared" ref="B6255:B6256" si="535">HYPERLINK("https://twitter.com/Insta_VWT","@Insta_VWT")</f>
        <v>@Insta_VWT</v>
      </c>
      <c r="C6255" s="9" t="s">
        <v>181</v>
      </c>
      <c r="D6255" s="9" t="s">
        <v>14241</v>
      </c>
      <c r="E6255" s="10" t="str">
        <f>HYPERLINK("https://twitter.com/Insta_VWT/status/723926626896101379","723926626896101379")</f>
        <v>723926626896101379</v>
      </c>
      <c r="F6255" s="11" t="s">
        <v>68</v>
      </c>
      <c r="G6255" s="11">
        <v>485</v>
      </c>
      <c r="H6255" s="11">
        <v>0</v>
      </c>
      <c r="I6255" s="11">
        <v>0</v>
      </c>
      <c r="J6255" s="11">
        <v>0</v>
      </c>
      <c r="K6255" s="11" t="s">
        <v>21</v>
      </c>
      <c r="L6255" s="7">
        <v>41658.782800925925</v>
      </c>
      <c r="M6255" s="12" t="s">
        <v>183</v>
      </c>
      <c r="N6255" s="12" t="s">
        <v>184</v>
      </c>
      <c r="O6255" s="10" t="str">
        <f t="shared" ref="O6255:O6256" si="536">HYPERLINK("https://pbs.twimg.com/profile_images/424893967197433858/iQ86NktX_normal.jpeg","View")</f>
        <v>View</v>
      </c>
      <c r="P6255" s="11"/>
    </row>
    <row r="6256" spans="1:16" ht="12.75" x14ac:dyDescent="0.35">
      <c r="A6256" s="7">
        <v>42483.957615740743</v>
      </c>
      <c r="B6256" s="8" t="str">
        <f t="shared" si="535"/>
        <v>@Insta_VWT</v>
      </c>
      <c r="C6256" s="9" t="s">
        <v>181</v>
      </c>
      <c r="D6256" s="9" t="s">
        <v>14242</v>
      </c>
      <c r="E6256" s="10" t="str">
        <f>HYPERLINK("https://twitter.com/Insta_VWT/status/723926650677764098","723926650677764098")</f>
        <v>723926650677764098</v>
      </c>
      <c r="F6256" s="11" t="s">
        <v>68</v>
      </c>
      <c r="G6256" s="11">
        <v>485</v>
      </c>
      <c r="H6256" s="11">
        <v>0</v>
      </c>
      <c r="I6256" s="11">
        <v>0</v>
      </c>
      <c r="J6256" s="11">
        <v>0</v>
      </c>
      <c r="K6256" s="11" t="s">
        <v>21</v>
      </c>
      <c r="L6256" s="7">
        <v>41658.782800925925</v>
      </c>
      <c r="M6256" s="12" t="s">
        <v>183</v>
      </c>
      <c r="N6256" s="12" t="s">
        <v>184</v>
      </c>
      <c r="O6256" s="10" t="str">
        <f t="shared" si="536"/>
        <v>View</v>
      </c>
      <c r="P6256" s="11"/>
    </row>
    <row r="6257" spans="1:16" ht="12.75" x14ac:dyDescent="0.35">
      <c r="A6257" s="7">
        <v>42483.957928240736</v>
      </c>
      <c r="B6257" s="8" t="str">
        <f>HYPERLINK("https://twitter.com/4kathaksbreaks","@4kathaksbreaks")</f>
        <v>@4kathaksbreaks</v>
      </c>
      <c r="C6257" s="9" t="s">
        <v>14243</v>
      </c>
      <c r="D6257" s="9" t="s">
        <v>14073</v>
      </c>
      <c r="E6257" s="10" t="str">
        <f>HYPERLINK("https://twitter.com/4kathaksbreaks/status/723926763764617216","723926763764617216")</f>
        <v>723926763764617216</v>
      </c>
      <c r="F6257" s="11" t="s">
        <v>48</v>
      </c>
      <c r="G6257" s="11">
        <v>246</v>
      </c>
      <c r="H6257" s="11">
        <v>612</v>
      </c>
      <c r="I6257" s="11">
        <v>16</v>
      </c>
      <c r="J6257" s="11">
        <v>0</v>
      </c>
      <c r="K6257" s="11" t="s">
        <v>21</v>
      </c>
      <c r="L6257" s="7">
        <v>41566.118148148147</v>
      </c>
      <c r="M6257" s="12">
        <v>18704</v>
      </c>
      <c r="N6257" s="12" t="s">
        <v>14244</v>
      </c>
      <c r="O6257" s="10" t="str">
        <f>HYPERLINK("https://pbs.twimg.com/profile_images/534267387835449344/9OZA4aXp_normal.png","View")</f>
        <v>View</v>
      </c>
      <c r="P6257" s="11"/>
    </row>
    <row r="6258" spans="1:16" ht="12.75" x14ac:dyDescent="0.35">
      <c r="A6258" s="7">
        <v>42483.95821759259</v>
      </c>
      <c r="B6258" s="8" t="str">
        <f>HYPERLINK("https://twitter.com/rawcomme","@rawcomme")</f>
        <v>@rawcomme</v>
      </c>
      <c r="C6258" s="9" t="s">
        <v>14245</v>
      </c>
      <c r="D6258" s="9" t="s">
        <v>14101</v>
      </c>
      <c r="E6258" s="10" t="str">
        <f>HYPERLINK("https://twitter.com/rawcomme/status/723926869356191744","723926869356191744")</f>
        <v>723926869356191744</v>
      </c>
      <c r="F6258" s="11" t="s">
        <v>367</v>
      </c>
      <c r="G6258" s="11">
        <v>202</v>
      </c>
      <c r="H6258" s="11">
        <v>293</v>
      </c>
      <c r="I6258" s="11">
        <v>4</v>
      </c>
      <c r="J6258" s="11">
        <v>0</v>
      </c>
      <c r="K6258" s="11" t="s">
        <v>21</v>
      </c>
      <c r="L6258" s="7">
        <v>40775.074062500003</v>
      </c>
      <c r="M6258" s="12" t="s">
        <v>9085</v>
      </c>
      <c r="N6258" s="12"/>
      <c r="O6258" s="10" t="str">
        <f>HYPERLINK("https://pbs.twimg.com/profile_images/630785330690568192/ZD946uS6_normal.jpg","View")</f>
        <v>View</v>
      </c>
      <c r="P6258" s="11"/>
    </row>
    <row r="6259" spans="1:16" ht="12.75" x14ac:dyDescent="0.35">
      <c r="A6259" s="7">
        <v>42483.958831018521</v>
      </c>
      <c r="B6259" s="8" t="str">
        <f>HYPERLINK("https://twitter.com/Just_Dr0z","@Just_Dr0z")</f>
        <v>@Just_Dr0z</v>
      </c>
      <c r="C6259" s="9" t="s">
        <v>14246</v>
      </c>
      <c r="D6259" s="9" t="s">
        <v>14073</v>
      </c>
      <c r="E6259" s="10" t="str">
        <f>HYPERLINK("https://twitter.com/Just_Dr0z/status/723927092438560768","723927092438560768")</f>
        <v>723927092438560768</v>
      </c>
      <c r="F6259" s="11" t="s">
        <v>48</v>
      </c>
      <c r="G6259" s="11">
        <v>34</v>
      </c>
      <c r="H6259" s="11">
        <v>118</v>
      </c>
      <c r="I6259" s="11">
        <v>19</v>
      </c>
      <c r="J6259" s="11">
        <v>0</v>
      </c>
      <c r="K6259" s="11" t="s">
        <v>21</v>
      </c>
      <c r="L6259" s="7">
        <v>42057.000451388885</v>
      </c>
      <c r="M6259" s="12" t="s">
        <v>14247</v>
      </c>
      <c r="N6259" s="12" t="s">
        <v>14248</v>
      </c>
      <c r="O6259" s="10" t="str">
        <f>HYPERLINK("https://pbs.twimg.com/profile_images/594571313521430529/BKEe1qRC_normal.jpg","View")</f>
        <v>View</v>
      </c>
      <c r="P6259" s="11"/>
    </row>
    <row r="6260" spans="1:16" ht="12.75" x14ac:dyDescent="0.35">
      <c r="A6260" s="7">
        <v>42483.958912037036</v>
      </c>
      <c r="B6260" s="8" t="str">
        <f t="shared" ref="B6260:B6261" si="537">HYPERLINK("https://twitter.com/VCT_Tweets","@VCT_Tweets")</f>
        <v>@VCT_Tweets</v>
      </c>
      <c r="C6260" s="9" t="s">
        <v>199</v>
      </c>
      <c r="D6260" s="9" t="s">
        <v>14249</v>
      </c>
      <c r="E6260" s="10" t="str">
        <f>HYPERLINK("https://twitter.com/VCT_Tweets/status/723927123900162049","723927123900162049")</f>
        <v>723927123900162049</v>
      </c>
      <c r="F6260" s="11" t="s">
        <v>68</v>
      </c>
      <c r="G6260" s="11">
        <v>892</v>
      </c>
      <c r="H6260" s="11">
        <v>211</v>
      </c>
      <c r="I6260" s="11">
        <v>0</v>
      </c>
      <c r="J6260" s="11">
        <v>0</v>
      </c>
      <c r="K6260" s="11" t="s">
        <v>21</v>
      </c>
      <c r="L6260" s="7">
        <v>40744.914837962962</v>
      </c>
      <c r="M6260" s="12" t="s">
        <v>201</v>
      </c>
      <c r="N6260" s="12" t="s">
        <v>202</v>
      </c>
      <c r="O6260" s="10" t="str">
        <f t="shared" ref="O6260:O6261" si="538">HYPERLINK("https://pbs.twimg.com/profile_images/569800899141177344/nVFLMSdb_normal.png","View")</f>
        <v>View</v>
      </c>
      <c r="P6260" s="11"/>
    </row>
    <row r="6261" spans="1:16" ht="12.75" x14ac:dyDescent="0.35">
      <c r="A6261" s="7">
        <v>42483.959027777775</v>
      </c>
      <c r="B6261" s="8" t="str">
        <f t="shared" si="537"/>
        <v>@VCT_Tweets</v>
      </c>
      <c r="C6261" s="9" t="s">
        <v>199</v>
      </c>
      <c r="D6261" s="9" t="s">
        <v>14250</v>
      </c>
      <c r="E6261" s="10" t="str">
        <f>HYPERLINK("https://twitter.com/VCT_Tweets/status/723927163750211584","723927163750211584")</f>
        <v>723927163750211584</v>
      </c>
      <c r="F6261" s="11" t="s">
        <v>68</v>
      </c>
      <c r="G6261" s="11">
        <v>892</v>
      </c>
      <c r="H6261" s="11">
        <v>211</v>
      </c>
      <c r="I6261" s="11">
        <v>0</v>
      </c>
      <c r="J6261" s="11">
        <v>0</v>
      </c>
      <c r="K6261" s="11" t="s">
        <v>21</v>
      </c>
      <c r="L6261" s="7">
        <v>40744.914837962962</v>
      </c>
      <c r="M6261" s="12" t="s">
        <v>201</v>
      </c>
      <c r="N6261" s="12" t="s">
        <v>202</v>
      </c>
      <c r="O6261" s="10" t="str">
        <f t="shared" si="538"/>
        <v>View</v>
      </c>
      <c r="P6261" s="11"/>
    </row>
    <row r="6262" spans="1:16" ht="12.75" x14ac:dyDescent="0.35">
      <c r="A6262" s="7">
        <v>42483.959062499998</v>
      </c>
      <c r="B6262" s="8" t="str">
        <f>HYPERLINK("https://twitter.com/ArtlstLucyChen","@ArtlstLucyChen")</f>
        <v>@ArtlstLucyChen</v>
      </c>
      <c r="C6262" s="9" t="s">
        <v>14251</v>
      </c>
      <c r="D6262" s="9" t="s">
        <v>14073</v>
      </c>
      <c r="E6262" s="10" t="str">
        <f>HYPERLINK("https://twitter.com/ArtlstLucyChen/status/723927177377525760","723927177377525760")</f>
        <v>723927177377525760</v>
      </c>
      <c r="F6262" s="11" t="s">
        <v>48</v>
      </c>
      <c r="G6262" s="11">
        <v>236</v>
      </c>
      <c r="H6262" s="11">
        <v>809</v>
      </c>
      <c r="I6262" s="11">
        <v>19</v>
      </c>
      <c r="J6262" s="11">
        <v>0</v>
      </c>
      <c r="K6262" s="11" t="s">
        <v>21</v>
      </c>
      <c r="L6262" s="7">
        <v>41567.712233796294</v>
      </c>
      <c r="M6262" s="12" t="s">
        <v>543</v>
      </c>
      <c r="N6262" s="12" t="s">
        <v>14252</v>
      </c>
      <c r="O6262" s="10" t="str">
        <f>HYPERLINK("https://pbs.twimg.com/profile_images/540358356645736450/Ap5Rcr8O_normal.jpeg","View")</f>
        <v>View</v>
      </c>
      <c r="P6262" s="11"/>
    </row>
    <row r="6263" spans="1:16" ht="12.75" x14ac:dyDescent="0.35">
      <c r="A6263" s="7">
        <v>42483.959097222221</v>
      </c>
      <c r="B6263" s="8" t="str">
        <f>HYPERLINK("https://twitter.com/NalfOsal","@NalfOsal")</f>
        <v>@NalfOsal</v>
      </c>
      <c r="C6263" s="9" t="s">
        <v>14253</v>
      </c>
      <c r="D6263" s="9" t="s">
        <v>14073</v>
      </c>
      <c r="E6263" s="10" t="str">
        <f>HYPERLINK("https://twitter.com/NalfOsal/status/723927190711222272","723927190711222272")</f>
        <v>723927190711222272</v>
      </c>
      <c r="F6263" s="11" t="s">
        <v>48</v>
      </c>
      <c r="G6263" s="11">
        <v>352</v>
      </c>
      <c r="H6263" s="11">
        <v>109</v>
      </c>
      <c r="I6263" s="11">
        <v>19</v>
      </c>
      <c r="J6263" s="11">
        <v>0</v>
      </c>
      <c r="K6263" s="11" t="s">
        <v>21</v>
      </c>
      <c r="L6263" s="7">
        <v>41566.947094907409</v>
      </c>
      <c r="M6263" s="12"/>
      <c r="N6263" s="12"/>
      <c r="O6263" s="10" t="str">
        <f>HYPERLINK("https://pbs.twimg.com/profile_images/539535772429606912/-qBokwtT_normal.jpeg","View")</f>
        <v>View</v>
      </c>
      <c r="P6263" s="11"/>
    </row>
    <row r="6264" spans="1:16" ht="12.75" x14ac:dyDescent="0.35">
      <c r="A6264" s="7">
        <v>42483.95921296296</v>
      </c>
      <c r="B6264" s="8" t="str">
        <f>HYPERLINK("https://twitter.com/shekhah969","@shekhah969")</f>
        <v>@shekhah969</v>
      </c>
      <c r="C6264" s="9" t="s">
        <v>14254</v>
      </c>
      <c r="D6264" s="9" t="s">
        <v>14073</v>
      </c>
      <c r="E6264" s="10" t="str">
        <f>HYPERLINK("https://twitter.com/shekhah969/status/723927230871666689","723927230871666689")</f>
        <v>723927230871666689</v>
      </c>
      <c r="F6264" s="11" t="s">
        <v>48</v>
      </c>
      <c r="G6264" s="11">
        <v>290</v>
      </c>
      <c r="H6264" s="11">
        <v>408</v>
      </c>
      <c r="I6264" s="11">
        <v>19</v>
      </c>
      <c r="J6264" s="11">
        <v>0</v>
      </c>
      <c r="K6264" s="11" t="s">
        <v>21</v>
      </c>
      <c r="L6264" s="7">
        <v>41567.177060185189</v>
      </c>
      <c r="M6264" s="12" t="s">
        <v>14255</v>
      </c>
      <c r="N6264" s="12" t="s">
        <v>14256</v>
      </c>
      <c r="O6264" s="10" t="str">
        <f>HYPERLINK("https://pbs.twimg.com/profile_images/539551577435299842/yct65cY5_normal.jpeg","View")</f>
        <v>View</v>
      </c>
      <c r="P6264" s="11"/>
    </row>
    <row r="6265" spans="1:16" ht="12.75" x14ac:dyDescent="0.35">
      <c r="A6265" s="7">
        <v>42483.959421296298</v>
      </c>
      <c r="B6265" s="8" t="str">
        <f>HYPERLINK("https://twitter.com/VWBeetleSales","@VWBeetleSales")</f>
        <v>@VWBeetleSales</v>
      </c>
      <c r="C6265" s="9" t="s">
        <v>127</v>
      </c>
      <c r="D6265" s="9" t="s">
        <v>14257</v>
      </c>
      <c r="E6265" s="10" t="str">
        <f>HYPERLINK("https://twitter.com/VWBeetleSales/status/723927307325296640","723927307325296640")</f>
        <v>723927307325296640</v>
      </c>
      <c r="F6265" s="10" t="s">
        <v>124</v>
      </c>
      <c r="G6265" s="11">
        <v>36</v>
      </c>
      <c r="H6265" s="11">
        <v>32</v>
      </c>
      <c r="I6265" s="11">
        <v>0</v>
      </c>
      <c r="J6265" s="11">
        <v>0</v>
      </c>
      <c r="K6265" s="11" t="s">
        <v>21</v>
      </c>
      <c r="L6265" s="7">
        <v>42427.019756944443</v>
      </c>
      <c r="M6265" s="12" t="s">
        <v>129</v>
      </c>
      <c r="N6265" s="12" t="s">
        <v>130</v>
      </c>
      <c r="O6265" s="10" t="str">
        <f>HYPERLINK("https://pbs.twimg.com/profile_images/703294545195307008/qeCvrX86_normal.jpg","View")</f>
        <v>View</v>
      </c>
      <c r="P6265" s="11"/>
    </row>
    <row r="6266" spans="1:16" ht="12.75" x14ac:dyDescent="0.35">
      <c r="A6266" s="7">
        <v>42483.959618055553</v>
      </c>
      <c r="B6266" s="8" t="str">
        <f>HYPERLINK("https://twitter.com/FEWOcapecoral","@FEWOcapecoral")</f>
        <v>@FEWOcapecoral</v>
      </c>
      <c r="C6266" s="9" t="s">
        <v>14258</v>
      </c>
      <c r="D6266" s="9" t="s">
        <v>14259</v>
      </c>
      <c r="E6266" s="10" t="str">
        <f>HYPERLINK("https://twitter.com/FEWOcapecoral/status/723927376753790976","723927376753790976")</f>
        <v>723927376753790976</v>
      </c>
      <c r="F6266" s="11" t="s">
        <v>91</v>
      </c>
      <c r="G6266" s="11">
        <v>16938</v>
      </c>
      <c r="H6266" s="11">
        <v>17930</v>
      </c>
      <c r="I6266" s="11">
        <v>0</v>
      </c>
      <c r="J6266" s="11">
        <v>0</v>
      </c>
      <c r="K6266" s="11" t="s">
        <v>21</v>
      </c>
      <c r="L6266" s="7">
        <v>40312.971597222218</v>
      </c>
      <c r="M6266" s="12" t="s">
        <v>3770</v>
      </c>
      <c r="N6266" s="12" t="s">
        <v>14260</v>
      </c>
      <c r="O6266" s="10" t="str">
        <f>HYPERLINK("https://pbs.twimg.com/profile_images/3521940270/1347ff6f18e2de72bfacc03eb83abe89_normal.jpeg","View")</f>
        <v>View</v>
      </c>
      <c r="P6266" s="11"/>
    </row>
    <row r="6267" spans="1:16" ht="12.75" x14ac:dyDescent="0.35">
      <c r="A6267" s="7">
        <v>42483.959699074076</v>
      </c>
      <c r="B6267" s="8" t="str">
        <f>HYPERLINK("https://twitter.com/officewerk","@officewerk")</f>
        <v>@officewerk</v>
      </c>
      <c r="C6267" s="9" t="s">
        <v>14261</v>
      </c>
      <c r="D6267" s="9" t="s">
        <v>14262</v>
      </c>
      <c r="E6267" s="10" t="str">
        <f>HYPERLINK("https://twitter.com/officewerk/status/723927405522497537","723927405522497537")</f>
        <v>723927405522497537</v>
      </c>
      <c r="F6267" s="11" t="s">
        <v>48</v>
      </c>
      <c r="G6267" s="11">
        <v>176</v>
      </c>
      <c r="H6267" s="11">
        <v>335</v>
      </c>
      <c r="I6267" s="11">
        <v>1</v>
      </c>
      <c r="J6267" s="11">
        <v>0</v>
      </c>
      <c r="K6267" s="11" t="s">
        <v>21</v>
      </c>
      <c r="L6267" s="7">
        <v>40404.951319444444</v>
      </c>
      <c r="M6267" s="12" t="s">
        <v>14263</v>
      </c>
      <c r="N6267" s="12" t="s">
        <v>14264</v>
      </c>
      <c r="O6267" s="10" t="str">
        <f>HYPERLINK("https://pbs.twimg.com/profile_images/718082158351499264/nfM-uS81_normal.jpg","View")</f>
        <v>View</v>
      </c>
      <c r="P6267" s="11"/>
    </row>
    <row r="6268" spans="1:16" ht="12.75" x14ac:dyDescent="0.35">
      <c r="A6268" s="7">
        <v>42483.959768518514</v>
      </c>
      <c r="B6268" s="8" t="str">
        <f>HYPERLINK("https://twitter.com/brandonmkeller","@brandonmkeller")</f>
        <v>@brandonmkeller</v>
      </c>
      <c r="C6268" s="9" t="s">
        <v>14265</v>
      </c>
      <c r="D6268" s="9" t="s">
        <v>14266</v>
      </c>
      <c r="E6268" s="10" t="str">
        <f>HYPERLINK("https://twitter.com/brandonmkeller/status/723927432584114176","723927432584114176")</f>
        <v>723927432584114176</v>
      </c>
      <c r="F6268" s="11" t="s">
        <v>114</v>
      </c>
      <c r="G6268" s="11">
        <v>229</v>
      </c>
      <c r="H6268" s="11">
        <v>205</v>
      </c>
      <c r="I6268" s="11">
        <v>0</v>
      </c>
      <c r="J6268" s="11">
        <v>0</v>
      </c>
      <c r="K6268" s="11" t="s">
        <v>21</v>
      </c>
      <c r="L6268" s="7">
        <v>40459.159780092596</v>
      </c>
      <c r="M6268" s="12" t="s">
        <v>14267</v>
      </c>
      <c r="N6268" s="12" t="s">
        <v>14268</v>
      </c>
      <c r="O6268" s="10" t="str">
        <f>HYPERLINK("https://pbs.twimg.com/profile_images/714476941072592896/m2fe4VI4_normal.jpg","View")</f>
        <v>View</v>
      </c>
      <c r="P6268" s="11"/>
    </row>
    <row r="6269" spans="1:16" ht="12.75" x14ac:dyDescent="0.35">
      <c r="A6269" s="7">
        <v>42483.960046296299</v>
      </c>
      <c r="B6269" s="8" t="str">
        <f>HYPERLINK("https://twitter.com/Miguel_SndvlA","@Miguel_SndvlA")</f>
        <v>@Miguel_SndvlA</v>
      </c>
      <c r="C6269" s="9" t="s">
        <v>14269</v>
      </c>
      <c r="D6269" s="9" t="s">
        <v>14270</v>
      </c>
      <c r="E6269" s="10" t="str">
        <f>HYPERLINK("https://twitter.com/Miguel_SndvlA/status/723927533780127744","723927533780127744")</f>
        <v>723927533780127744</v>
      </c>
      <c r="F6269" s="11" t="s">
        <v>68</v>
      </c>
      <c r="G6269" s="11">
        <v>67</v>
      </c>
      <c r="H6269" s="11">
        <v>45</v>
      </c>
      <c r="I6269" s="11">
        <v>0</v>
      </c>
      <c r="J6269" s="11">
        <v>0</v>
      </c>
      <c r="K6269" s="11" t="s">
        <v>21</v>
      </c>
      <c r="L6269" s="7">
        <v>42469.372696759259</v>
      </c>
      <c r="M6269" s="12"/>
      <c r="N6269" s="12"/>
      <c r="O6269" s="10" t="str">
        <f>HYPERLINK("https://abs.twimg.com/sticky/default_profile_images/default_profile_1_normal.png","View")</f>
        <v>View</v>
      </c>
      <c r="P6269" s="11"/>
    </row>
    <row r="6270" spans="1:16" ht="12.75" x14ac:dyDescent="0.35">
      <c r="A6270" s="7">
        <v>42483.96030092593</v>
      </c>
      <c r="B6270" s="8" t="str">
        <f>HYPERLINK("https://twitter.com/LottowinFlorida","@LottowinFlorida")</f>
        <v>@LottowinFlorida</v>
      </c>
      <c r="C6270" s="9" t="s">
        <v>14050</v>
      </c>
      <c r="D6270" s="9" t="s">
        <v>14271</v>
      </c>
      <c r="E6270" s="10" t="str">
        <f>HYPERLINK("https://twitter.com/LottowinFlorida/status/723927623408205824","723927623408205824")</f>
        <v>723927623408205824</v>
      </c>
      <c r="F6270" s="11" t="s">
        <v>91</v>
      </c>
      <c r="G6270" s="11">
        <v>18837</v>
      </c>
      <c r="H6270" s="11">
        <v>19290</v>
      </c>
      <c r="I6270" s="11">
        <v>0</v>
      </c>
      <c r="J6270" s="11">
        <v>0</v>
      </c>
      <c r="K6270" s="11" t="s">
        <v>21</v>
      </c>
      <c r="L6270" s="7">
        <v>40553.299166666664</v>
      </c>
      <c r="M6270" s="12" t="s">
        <v>1359</v>
      </c>
      <c r="N6270" s="12" t="s">
        <v>14052</v>
      </c>
      <c r="O6270" s="10" t="str">
        <f>HYPERLINK("https://pbs.twimg.com/profile_images/1646905092/Frau_Women_normal.jpg","View")</f>
        <v>View</v>
      </c>
      <c r="P6270" s="11"/>
    </row>
    <row r="6271" spans="1:16" ht="12.75" x14ac:dyDescent="0.35">
      <c r="A6271" s="7">
        <v>42483.961516203708</v>
      </c>
      <c r="B6271" s="8" t="str">
        <f>HYPERLINK("https://twitter.com/Beonpush_CH","@Beonpush_CH")</f>
        <v>@Beonpush_CH</v>
      </c>
      <c r="C6271" s="9" t="s">
        <v>14272</v>
      </c>
      <c r="D6271" s="9" t="s">
        <v>14273</v>
      </c>
      <c r="E6271" s="10" t="str">
        <f>HYPERLINK("https://twitter.com/Beonpush_CH/status/723928066033094656","723928066033094656")</f>
        <v>723928066033094656</v>
      </c>
      <c r="F6271" s="11" t="s">
        <v>91</v>
      </c>
      <c r="G6271" s="11">
        <v>11767</v>
      </c>
      <c r="H6271" s="11">
        <v>12463</v>
      </c>
      <c r="I6271" s="11">
        <v>0</v>
      </c>
      <c r="J6271" s="11">
        <v>0</v>
      </c>
      <c r="K6271" s="11" t="s">
        <v>21</v>
      </c>
      <c r="L6271" s="7">
        <v>40705.125219907408</v>
      </c>
      <c r="M6271" s="12" t="s">
        <v>8294</v>
      </c>
      <c r="N6271" s="12" t="s">
        <v>14274</v>
      </c>
      <c r="O6271" s="10" t="str">
        <f>HYPERLINK("https://pbs.twimg.com/profile_images/693418389054869505/M_fqp-rD_normal.png","View")</f>
        <v>View</v>
      </c>
      <c r="P6271" s="11"/>
    </row>
    <row r="6272" spans="1:16" ht="12.75" x14ac:dyDescent="0.35">
      <c r="A6272" s="7">
        <v>42483.963136574079</v>
      </c>
      <c r="B6272" s="8" t="str">
        <f>HYPERLINK("https://twitter.com/vwpress_de","@vwpress_de")</f>
        <v>@vwpress_de</v>
      </c>
      <c r="C6272" s="9" t="s">
        <v>1685</v>
      </c>
      <c r="D6272" s="9" t="s">
        <v>14275</v>
      </c>
      <c r="E6272" s="10" t="str">
        <f>HYPERLINK("https://twitter.com/vwpress_de/status/723928654384910336","723928654384910336")</f>
        <v>723928654384910336</v>
      </c>
      <c r="F6272" s="11" t="s">
        <v>152</v>
      </c>
      <c r="G6272" s="11">
        <v>5824</v>
      </c>
      <c r="H6272" s="11">
        <v>610</v>
      </c>
      <c r="I6272" s="11">
        <v>0</v>
      </c>
      <c r="J6272" s="11">
        <v>2</v>
      </c>
      <c r="K6272" s="11" t="s">
        <v>21</v>
      </c>
      <c r="L6272" s="7">
        <v>42041.830381944441</v>
      </c>
      <c r="M6272" s="12" t="s">
        <v>1690</v>
      </c>
      <c r="N6272" s="12" t="s">
        <v>1691</v>
      </c>
      <c r="O6272" s="10" t="str">
        <f>HYPERLINK("https://pbs.twimg.com/profile_images/682117656502222848/Ge7YeAF3_normal.png","View")</f>
        <v>View</v>
      </c>
      <c r="P6272" s="11"/>
    </row>
    <row r="6273" spans="1:16" ht="12.75" x14ac:dyDescent="0.35">
      <c r="A6273" s="7">
        <v>42483.963958333334</v>
      </c>
      <c r="B6273" s="8" t="str">
        <f>HYPERLINK("https://twitter.com/VWCamperSales","@VWCamperSales")</f>
        <v>@VWCamperSales</v>
      </c>
      <c r="C6273" s="9" t="s">
        <v>216</v>
      </c>
      <c r="D6273" s="9" t="s">
        <v>14276</v>
      </c>
      <c r="E6273" s="10" t="str">
        <f>HYPERLINK("https://twitter.com/VWCamperSales/status/723928949978357761","723928949978357761")</f>
        <v>723928949978357761</v>
      </c>
      <c r="F6273" s="10" t="s">
        <v>124</v>
      </c>
      <c r="G6273" s="11">
        <v>621</v>
      </c>
      <c r="H6273" s="11">
        <v>580</v>
      </c>
      <c r="I6273" s="11">
        <v>0</v>
      </c>
      <c r="J6273" s="11">
        <v>0</v>
      </c>
      <c r="K6273" s="11" t="s">
        <v>21</v>
      </c>
      <c r="L6273" s="7">
        <v>42215.98809027778</v>
      </c>
      <c r="M6273" s="12" t="s">
        <v>129</v>
      </c>
      <c r="N6273" s="12" t="s">
        <v>218</v>
      </c>
      <c r="O6273" s="10" t="str">
        <f>HYPERLINK("https://pbs.twimg.com/profile_images/627949001179037696/skEBkS05_normal.jpg","View")</f>
        <v>View</v>
      </c>
      <c r="P6273" s="11"/>
    </row>
    <row r="6274" spans="1:16" ht="12.75" x14ac:dyDescent="0.35">
      <c r="A6274" s="7">
        <v>42483.964537037042</v>
      </c>
      <c r="B6274" s="8" t="str">
        <f>HYPERLINK("https://twitter.com/ZuritaJ2s","@ZuritaJ2s")</f>
        <v>@ZuritaJ2s</v>
      </c>
      <c r="C6274" s="9" t="s">
        <v>14277</v>
      </c>
      <c r="D6274" s="9" t="s">
        <v>14278</v>
      </c>
      <c r="E6274" s="10" t="str">
        <f>HYPERLINK("https://twitter.com/ZuritaJ2s/status/723929159798427648","723929159798427648")</f>
        <v>723929159798427648</v>
      </c>
      <c r="F6274" s="11" t="s">
        <v>48</v>
      </c>
      <c r="G6274" s="11">
        <v>17</v>
      </c>
      <c r="H6274" s="11">
        <v>95</v>
      </c>
      <c r="I6274" s="11">
        <v>0</v>
      </c>
      <c r="J6274" s="11">
        <v>0</v>
      </c>
      <c r="K6274" s="11" t="s">
        <v>21</v>
      </c>
      <c r="L6274" s="7">
        <v>41032.978530092594</v>
      </c>
      <c r="M6274" s="12"/>
      <c r="N6274" s="12"/>
      <c r="O6274" s="10" t="str">
        <f>HYPERLINK("https://pbs.twimg.com/profile_images/723176446781329410/Li_8Nnpl_normal.jpg","View")</f>
        <v>View</v>
      </c>
      <c r="P6274" s="11"/>
    </row>
    <row r="6275" spans="1:16" ht="12.75" x14ac:dyDescent="0.35">
      <c r="A6275" s="7">
        <v>42483.964629629627</v>
      </c>
      <c r="B6275" s="8" t="str">
        <f t="shared" ref="B6275:B6277" si="539">HYPERLINK("https://twitter.com/FuscaWorld","@FuscaWorld")</f>
        <v>@FuscaWorld</v>
      </c>
      <c r="C6275" s="9" t="s">
        <v>74</v>
      </c>
      <c r="D6275" s="9" t="s">
        <v>11944</v>
      </c>
      <c r="E6275" s="10" t="str">
        <f>HYPERLINK("https://twitter.com/FuscaWorld/status/723929192283381760","723929192283381760")</f>
        <v>723929192283381760</v>
      </c>
      <c r="F6275" s="11" t="s">
        <v>76</v>
      </c>
      <c r="G6275" s="11">
        <v>50</v>
      </c>
      <c r="H6275" s="11">
        <v>1</v>
      </c>
      <c r="I6275" s="11">
        <v>1</v>
      </c>
      <c r="J6275" s="11">
        <v>0</v>
      </c>
      <c r="K6275" s="11" t="s">
        <v>21</v>
      </c>
      <c r="L6275" s="7">
        <v>42433.880914351852</v>
      </c>
      <c r="M6275" s="12"/>
      <c r="N6275" s="12" t="s">
        <v>77</v>
      </c>
      <c r="O6275" s="10" t="str">
        <f t="shared" ref="O6275:O6277" si="540">HYPERLINK("https://pbs.twimg.com/profile_images/705780107844067328/e7O4UBNb_normal.jpg","View")</f>
        <v>View</v>
      </c>
      <c r="P6275" s="11"/>
    </row>
    <row r="6276" spans="1:16" ht="12.75" x14ac:dyDescent="0.35">
      <c r="A6276" s="7">
        <v>42483.964629629627</v>
      </c>
      <c r="B6276" s="8" t="str">
        <f t="shared" si="539"/>
        <v>@FuscaWorld</v>
      </c>
      <c r="C6276" s="9" t="s">
        <v>74</v>
      </c>
      <c r="D6276" s="9" t="s">
        <v>11944</v>
      </c>
      <c r="E6276" s="10" t="str">
        <f>HYPERLINK("https://twitter.com/FuscaWorld/status/723929194380595201","723929194380595201")</f>
        <v>723929194380595201</v>
      </c>
      <c r="F6276" s="11" t="s">
        <v>76</v>
      </c>
      <c r="G6276" s="11">
        <v>50</v>
      </c>
      <c r="H6276" s="11">
        <v>1</v>
      </c>
      <c r="I6276" s="11">
        <v>1</v>
      </c>
      <c r="J6276" s="11">
        <v>0</v>
      </c>
      <c r="K6276" s="11" t="s">
        <v>21</v>
      </c>
      <c r="L6276" s="7">
        <v>42433.880914351852</v>
      </c>
      <c r="M6276" s="12"/>
      <c r="N6276" s="12" t="s">
        <v>77</v>
      </c>
      <c r="O6276" s="10" t="str">
        <f t="shared" si="540"/>
        <v>View</v>
      </c>
      <c r="P6276" s="11"/>
    </row>
    <row r="6277" spans="1:16" ht="12.75" x14ac:dyDescent="0.35">
      <c r="A6277" s="7">
        <v>42483.964641203704</v>
      </c>
      <c r="B6277" s="8" t="str">
        <f t="shared" si="539"/>
        <v>@FuscaWorld</v>
      </c>
      <c r="C6277" s="9" t="s">
        <v>74</v>
      </c>
      <c r="D6277" s="9" t="s">
        <v>11944</v>
      </c>
      <c r="E6277" s="10" t="str">
        <f>HYPERLINK("https://twitter.com/FuscaWorld/status/723929196419026944","723929196419026944")</f>
        <v>723929196419026944</v>
      </c>
      <c r="F6277" s="11" t="s">
        <v>76</v>
      </c>
      <c r="G6277" s="11">
        <v>50</v>
      </c>
      <c r="H6277" s="11">
        <v>1</v>
      </c>
      <c r="I6277" s="11">
        <v>1</v>
      </c>
      <c r="J6277" s="11">
        <v>0</v>
      </c>
      <c r="K6277" s="11" t="s">
        <v>21</v>
      </c>
      <c r="L6277" s="7">
        <v>42433.880914351852</v>
      </c>
      <c r="M6277" s="12"/>
      <c r="N6277" s="12" t="s">
        <v>77</v>
      </c>
      <c r="O6277" s="10" t="str">
        <f t="shared" si="540"/>
        <v>View</v>
      </c>
      <c r="P6277" s="11"/>
    </row>
    <row r="6278" spans="1:16" ht="12.75" x14ac:dyDescent="0.35">
      <c r="A6278" s="7">
        <v>42483.964641203704</v>
      </c>
      <c r="B6278" s="8" t="str">
        <f>HYPERLINK("https://twitter.com/Kw0aT","@Kw0aT")</f>
        <v>@Kw0aT</v>
      </c>
      <c r="C6278" s="9" t="s">
        <v>14279</v>
      </c>
      <c r="D6278" s="9" t="s">
        <v>14144</v>
      </c>
      <c r="E6278" s="10" t="str">
        <f>HYPERLINK("https://twitter.com/Kw0aT/status/723929198004305920","723929198004305920")</f>
        <v>723929198004305920</v>
      </c>
      <c r="F6278" s="11" t="s">
        <v>43</v>
      </c>
      <c r="G6278" s="11">
        <v>2700</v>
      </c>
      <c r="H6278" s="11">
        <v>2815</v>
      </c>
      <c r="I6278" s="11">
        <v>3</v>
      </c>
      <c r="J6278" s="11">
        <v>0</v>
      </c>
      <c r="K6278" s="11" t="s">
        <v>21</v>
      </c>
      <c r="L6278" s="7">
        <v>40362.848009259258</v>
      </c>
      <c r="M6278" s="12" t="s">
        <v>8380</v>
      </c>
      <c r="N6278" s="12" t="s">
        <v>14280</v>
      </c>
      <c r="O6278" s="10" t="str">
        <f>HYPERLINK("https://pbs.twimg.com/profile_images/683743044038868992/YVOYW93l_normal.png","View")</f>
        <v>View</v>
      </c>
      <c r="P6278" s="11"/>
    </row>
    <row r="6279" spans="1:16" ht="12.75" x14ac:dyDescent="0.35">
      <c r="A6279" s="7">
        <v>42483.964641203704</v>
      </c>
      <c r="B6279" s="8" t="str">
        <f>HYPERLINK("https://twitter.com/FuscaWorld","@FuscaWorld")</f>
        <v>@FuscaWorld</v>
      </c>
      <c r="C6279" s="9" t="s">
        <v>74</v>
      </c>
      <c r="D6279" s="9" t="s">
        <v>11944</v>
      </c>
      <c r="E6279" s="10" t="str">
        <f>HYPERLINK("https://twitter.com/FuscaWorld/status/723929198520328192","723929198520328192")</f>
        <v>723929198520328192</v>
      </c>
      <c r="F6279" s="11" t="s">
        <v>76</v>
      </c>
      <c r="G6279" s="11">
        <v>50</v>
      </c>
      <c r="H6279" s="11">
        <v>1</v>
      </c>
      <c r="I6279" s="11">
        <v>1</v>
      </c>
      <c r="J6279" s="11">
        <v>0</v>
      </c>
      <c r="K6279" s="11" t="s">
        <v>21</v>
      </c>
      <c r="L6279" s="7">
        <v>42433.880914351852</v>
      </c>
      <c r="M6279" s="12"/>
      <c r="N6279" s="12" t="s">
        <v>77</v>
      </c>
      <c r="O6279" s="10" t="str">
        <f>HYPERLINK("https://pbs.twimg.com/profile_images/705780107844067328/e7O4UBNb_normal.jpg","View")</f>
        <v>View</v>
      </c>
      <c r="P6279" s="11"/>
    </row>
    <row r="6280" spans="1:16" ht="12.75" x14ac:dyDescent="0.35">
      <c r="A6280" s="7">
        <v>42483.964641203704</v>
      </c>
      <c r="B6280" s="8" t="str">
        <f>HYPERLINK("https://twitter.com/VWBeetleSales","@VWBeetleSales")</f>
        <v>@VWBeetleSales</v>
      </c>
      <c r="C6280" s="9" t="s">
        <v>127</v>
      </c>
      <c r="D6280" s="9" t="s">
        <v>14281</v>
      </c>
      <c r="E6280" s="10" t="str">
        <f>HYPERLINK("https://twitter.com/VWBeetleSales/status/723929198566338560","723929198566338560")</f>
        <v>723929198566338560</v>
      </c>
      <c r="F6280" s="10" t="s">
        <v>124</v>
      </c>
      <c r="G6280" s="11">
        <v>36</v>
      </c>
      <c r="H6280" s="11">
        <v>32</v>
      </c>
      <c r="I6280" s="11">
        <v>0</v>
      </c>
      <c r="J6280" s="11">
        <v>0</v>
      </c>
      <c r="K6280" s="11" t="s">
        <v>21</v>
      </c>
      <c r="L6280" s="7">
        <v>42427.019756944443</v>
      </c>
      <c r="M6280" s="12" t="s">
        <v>129</v>
      </c>
      <c r="N6280" s="12" t="s">
        <v>130</v>
      </c>
      <c r="O6280" s="10" t="str">
        <f>HYPERLINK("https://pbs.twimg.com/profile_images/703294545195307008/qeCvrX86_normal.jpg","View")</f>
        <v>View</v>
      </c>
      <c r="P6280" s="11"/>
    </row>
    <row r="6281" spans="1:16" ht="12.75" x14ac:dyDescent="0.35">
      <c r="A6281" s="7">
        <v>42483.964641203704</v>
      </c>
      <c r="B6281" s="8" t="str">
        <f>HYPERLINK("https://twitter.com/FuscaWorld","@FuscaWorld")</f>
        <v>@FuscaWorld</v>
      </c>
      <c r="C6281" s="9" t="s">
        <v>74</v>
      </c>
      <c r="D6281" s="9" t="s">
        <v>11944</v>
      </c>
      <c r="E6281" s="10" t="str">
        <f>HYPERLINK("https://twitter.com/FuscaWorld/status/723929200411947010","723929200411947010")</f>
        <v>723929200411947010</v>
      </c>
      <c r="F6281" s="11" t="s">
        <v>76</v>
      </c>
      <c r="G6281" s="11">
        <v>50</v>
      </c>
      <c r="H6281" s="11">
        <v>1</v>
      </c>
      <c r="I6281" s="11">
        <v>1</v>
      </c>
      <c r="J6281" s="11">
        <v>0</v>
      </c>
      <c r="K6281" s="11" t="s">
        <v>21</v>
      </c>
      <c r="L6281" s="7">
        <v>42433.880914351852</v>
      </c>
      <c r="M6281" s="12"/>
      <c r="N6281" s="12" t="s">
        <v>77</v>
      </c>
      <c r="O6281" s="10" t="str">
        <f>HYPERLINK("https://pbs.twimg.com/profile_images/705780107844067328/e7O4UBNb_normal.jpg","View")</f>
        <v>View</v>
      </c>
      <c r="P6281" s="11"/>
    </row>
    <row r="6282" spans="1:16" ht="12.75" x14ac:dyDescent="0.35">
      <c r="A6282" s="7">
        <v>42483.965115740742</v>
      </c>
      <c r="B6282" s="8" t="str">
        <f>HYPERLINK("https://twitter.com/cardealsdirect","@cardealsdirect")</f>
        <v>@cardealsdirect</v>
      </c>
      <c r="C6282" s="9" t="s">
        <v>14282</v>
      </c>
      <c r="D6282" s="9" t="s">
        <v>14283</v>
      </c>
      <c r="E6282" s="10" t="str">
        <f>HYPERLINK("https://twitter.com/cardealsdirect/status/723929369652158466","723929369652158466")</f>
        <v>723929369652158466</v>
      </c>
      <c r="F6282" s="11" t="s">
        <v>43</v>
      </c>
      <c r="G6282" s="11">
        <v>14</v>
      </c>
      <c r="H6282" s="11">
        <v>34</v>
      </c>
      <c r="I6282" s="11">
        <v>0</v>
      </c>
      <c r="J6282" s="11">
        <v>1</v>
      </c>
      <c r="K6282" s="11" t="s">
        <v>21</v>
      </c>
      <c r="L6282" s="7">
        <v>41319.877569444448</v>
      </c>
      <c r="M6282" s="12" t="s">
        <v>14284</v>
      </c>
      <c r="N6282" s="12" t="s">
        <v>14285</v>
      </c>
      <c r="O6282" s="10" t="str">
        <f>HYPERLINK("https://pbs.twimg.com/profile_images/704704242603433985/0feQZB2N_normal.jpg","View")</f>
        <v>View</v>
      </c>
      <c r="P6282" s="11"/>
    </row>
    <row r="6283" spans="1:16" ht="12.75" x14ac:dyDescent="0.35">
      <c r="A6283" s="7">
        <v>42483.966145833328</v>
      </c>
      <c r="B6283" s="8" t="str">
        <f>HYPERLINK("https://twitter.com/Decocalcos","@Decocalcos")</f>
        <v>@Decocalcos</v>
      </c>
      <c r="C6283" s="9" t="s">
        <v>4740</v>
      </c>
      <c r="D6283" s="9" t="s">
        <v>14286</v>
      </c>
      <c r="E6283" s="10" t="str">
        <f>HYPERLINK("https://twitter.com/Decocalcos/status/723929743763116037","723929743763116037")</f>
        <v>723929743763116037</v>
      </c>
      <c r="F6283" s="11" t="s">
        <v>43</v>
      </c>
      <c r="G6283" s="11">
        <v>46</v>
      </c>
      <c r="H6283" s="11">
        <v>35</v>
      </c>
      <c r="I6283" s="11">
        <v>0</v>
      </c>
      <c r="J6283" s="11">
        <v>0</v>
      </c>
      <c r="K6283" s="11" t="s">
        <v>21</v>
      </c>
      <c r="L6283" s="7">
        <v>40523.296469907407</v>
      </c>
      <c r="M6283" s="12" t="s">
        <v>4742</v>
      </c>
      <c r="N6283" s="12"/>
      <c r="O6283" s="10" t="str">
        <f>HYPERLINK("https://pbs.twimg.com/profile_images/716028030175600642/XLe3HmvA_normal.jpg","View")</f>
        <v>View</v>
      </c>
      <c r="P6283" s="11"/>
    </row>
    <row r="6284" spans="1:16" ht="12.75" x14ac:dyDescent="0.35">
      <c r="A6284" s="7">
        <v>42483.967245370368</v>
      </c>
      <c r="B6284" s="8" t="str">
        <f>HYPERLINK("https://twitter.com/Tbonds69","@Tbonds69")</f>
        <v>@Tbonds69</v>
      </c>
      <c r="C6284" s="9" t="s">
        <v>14287</v>
      </c>
      <c r="D6284" s="9" t="s">
        <v>14288</v>
      </c>
      <c r="E6284" s="10" t="str">
        <f>HYPERLINK("https://twitter.com/Tbonds69/status/723930143656448000","723930143656448000")</f>
        <v>723930143656448000</v>
      </c>
      <c r="F6284" s="11" t="s">
        <v>114</v>
      </c>
      <c r="G6284" s="11">
        <v>287</v>
      </c>
      <c r="H6284" s="11">
        <v>252</v>
      </c>
      <c r="I6284" s="11">
        <v>0</v>
      </c>
      <c r="J6284" s="11">
        <v>0</v>
      </c>
      <c r="K6284" s="11" t="s">
        <v>21</v>
      </c>
      <c r="L6284" s="7">
        <v>40710.94767361111</v>
      </c>
      <c r="M6284" s="12" t="s">
        <v>14289</v>
      </c>
      <c r="N6284" s="12" t="s">
        <v>14290</v>
      </c>
      <c r="O6284" s="10" t="str">
        <f>HYPERLINK("https://pbs.twimg.com/profile_images/720256156069814272/xwSW5czP_normal.jpg","View")</f>
        <v>View</v>
      </c>
      <c r="P6284" s="11"/>
    </row>
    <row r="6285" spans="1:16" ht="12.75" x14ac:dyDescent="0.35">
      <c r="A6285" s="7">
        <v>42483.968090277776</v>
      </c>
      <c r="B6285" s="8" t="str">
        <f>HYPERLINK("https://twitter.com/Lindsay_VW","@Lindsay_VW")</f>
        <v>@Lindsay_VW</v>
      </c>
      <c r="C6285" s="9" t="s">
        <v>211</v>
      </c>
      <c r="D6285" s="9" t="s">
        <v>5977</v>
      </c>
      <c r="E6285" s="10" t="str">
        <f>HYPERLINK("https://twitter.com/Lindsay_VW/status/723930447739248641","723930447739248641")</f>
        <v>723930447739248641</v>
      </c>
      <c r="F6285" s="11" t="s">
        <v>213</v>
      </c>
      <c r="G6285" s="11">
        <v>4667</v>
      </c>
      <c r="H6285" s="11">
        <v>4338</v>
      </c>
      <c r="I6285" s="11">
        <v>0</v>
      </c>
      <c r="J6285" s="11">
        <v>0</v>
      </c>
      <c r="K6285" s="11" t="s">
        <v>21</v>
      </c>
      <c r="L6285" s="7">
        <v>39872.963599537034</v>
      </c>
      <c r="M6285" s="12" t="s">
        <v>214</v>
      </c>
      <c r="N6285" s="12" t="s">
        <v>215</v>
      </c>
      <c r="O6285" s="10" t="str">
        <f>HYPERLINK("https://pbs.twimg.com/profile_images/716020780899807232/fnaRfVpE_normal.jpg","View")</f>
        <v>View</v>
      </c>
      <c r="P6285" s="11"/>
    </row>
    <row r="6286" spans="1:16" ht="12.75" x14ac:dyDescent="0.35">
      <c r="A6286" s="7">
        <v>42483.9690162037</v>
      </c>
      <c r="B6286" s="8" t="str">
        <f>HYPERLINK("https://twitter.com/SerraTVC","@SerraTVC")</f>
        <v>@SerraTVC</v>
      </c>
      <c r="C6286" s="9" t="s">
        <v>4096</v>
      </c>
      <c r="D6286" s="9" t="s">
        <v>4097</v>
      </c>
      <c r="E6286" s="10" t="str">
        <f>HYPERLINK("https://twitter.com/SerraTVC/status/723930783572983808","723930783572983808")</f>
        <v>723930783572983808</v>
      </c>
      <c r="F6286" s="11" t="s">
        <v>152</v>
      </c>
      <c r="G6286" s="11">
        <v>644</v>
      </c>
      <c r="H6286" s="11">
        <v>968</v>
      </c>
      <c r="I6286" s="11">
        <v>0</v>
      </c>
      <c r="J6286" s="11">
        <v>0</v>
      </c>
      <c r="K6286" s="11" t="s">
        <v>21</v>
      </c>
      <c r="L6286" s="7">
        <v>39982.977719907409</v>
      </c>
      <c r="M6286" s="12" t="s">
        <v>4098</v>
      </c>
      <c r="N6286" s="12" t="s">
        <v>4099</v>
      </c>
      <c r="O6286" s="10" t="str">
        <f>HYPERLINK("https://pbs.twimg.com/profile_images/719611202129625088/XNXG8FpF_normal.jpg","View")</f>
        <v>View</v>
      </c>
      <c r="P6286" s="11"/>
    </row>
    <row r="6287" spans="1:16" ht="12.75" x14ac:dyDescent="0.35">
      <c r="A6287" s="7">
        <v>42483.969664351855</v>
      </c>
      <c r="B6287" s="8" t="str">
        <f>HYPERLINK("https://twitter.com/AAECOMPLIANCE","@AAECOMPLIANCE")</f>
        <v>@AAECOMPLIANCE</v>
      </c>
      <c r="C6287" s="9" t="s">
        <v>14291</v>
      </c>
      <c r="D6287" s="9" t="s">
        <v>14292</v>
      </c>
      <c r="E6287" s="10" t="str">
        <f>HYPERLINK("https://twitter.com/AAECOMPLIANCE/status/723931018277859328","723931018277859328")</f>
        <v>723931018277859328</v>
      </c>
      <c r="F6287" s="11" t="s">
        <v>48</v>
      </c>
      <c r="G6287" s="11">
        <v>420</v>
      </c>
      <c r="H6287" s="11">
        <v>600</v>
      </c>
      <c r="I6287" s="11">
        <v>1</v>
      </c>
      <c r="J6287" s="11">
        <v>0</v>
      </c>
      <c r="K6287" s="11" t="s">
        <v>21</v>
      </c>
      <c r="L6287" s="7">
        <v>42202.012881944444</v>
      </c>
      <c r="M6287" s="12" t="s">
        <v>866</v>
      </c>
      <c r="N6287" s="12" t="s">
        <v>14293</v>
      </c>
      <c r="O6287" s="10" t="str">
        <f>HYPERLINK("https://pbs.twimg.com/profile_images/633806302960054272/PKtob7Ja_normal.jpg","View")</f>
        <v>View</v>
      </c>
      <c r="P6287" s="11"/>
    </row>
    <row r="6288" spans="1:16" ht="12.75" x14ac:dyDescent="0.35">
      <c r="A6288" s="7">
        <v>42483.97011574074</v>
      </c>
      <c r="B6288" s="8" t="str">
        <f>HYPERLINK("https://twitter.com/commutador","@commutador")</f>
        <v>@commutador</v>
      </c>
      <c r="C6288" s="9" t="s">
        <v>14294</v>
      </c>
      <c r="D6288" s="9" t="s">
        <v>14295</v>
      </c>
      <c r="E6288" s="10" t="str">
        <f>HYPERLINK("https://twitter.com/commutador/status/723931182765903872","723931182765903872")</f>
        <v>723931182765903872</v>
      </c>
      <c r="F6288" s="11" t="s">
        <v>114</v>
      </c>
      <c r="G6288" s="11">
        <v>29</v>
      </c>
      <c r="H6288" s="11">
        <v>33</v>
      </c>
      <c r="I6288" s="11">
        <v>0</v>
      </c>
      <c r="J6288" s="11">
        <v>0</v>
      </c>
      <c r="K6288" s="11" t="s">
        <v>21</v>
      </c>
      <c r="L6288" s="7">
        <v>40173.625763888893</v>
      </c>
      <c r="M6288" s="12"/>
      <c r="N6288" s="12"/>
      <c r="O6288" s="10" t="str">
        <f>HYPERLINK("https://pbs.twimg.com/profile_images/1175575617/IMG_0526_normal.JPG","View")</f>
        <v>View</v>
      </c>
      <c r="P6288" s="11"/>
    </row>
    <row r="6289" spans="1:16" ht="12.75" x14ac:dyDescent="0.35">
      <c r="A6289" s="7">
        <v>42483.970497685186</v>
      </c>
      <c r="B6289" s="8" t="str">
        <f>HYPERLINK("https://twitter.com/OnlineCarReview","@OnlineCarReview")</f>
        <v>@OnlineCarReview</v>
      </c>
      <c r="C6289" s="9" t="s">
        <v>176</v>
      </c>
      <c r="D6289" s="9" t="s">
        <v>14296</v>
      </c>
      <c r="E6289" s="10" t="str">
        <f>HYPERLINK("https://twitter.com/OnlineCarReview/status/723931319839776769","723931319839776769")</f>
        <v>723931319839776769</v>
      </c>
      <c r="F6289" s="11" t="s">
        <v>34</v>
      </c>
      <c r="G6289" s="11">
        <v>838</v>
      </c>
      <c r="H6289" s="11">
        <v>568</v>
      </c>
      <c r="I6289" s="11">
        <v>0</v>
      </c>
      <c r="J6289" s="11">
        <v>0</v>
      </c>
      <c r="K6289" s="11" t="s">
        <v>21</v>
      </c>
      <c r="L6289" s="7">
        <v>42282.979201388887</v>
      </c>
      <c r="M6289" s="12"/>
      <c r="N6289" s="12" t="s">
        <v>178</v>
      </c>
      <c r="O6289" s="10" t="str">
        <f>HYPERLINK("https://pbs.twimg.com/profile_images/652871584131092480/QA_B6SBO_normal.jpg","View")</f>
        <v>View</v>
      </c>
      <c r="P6289" s="11"/>
    </row>
    <row r="6290" spans="1:16" ht="12.75" x14ac:dyDescent="0.35">
      <c r="A6290" s="7">
        <v>42483.971342592587</v>
      </c>
      <c r="B6290" s="8" t="str">
        <f>HYPERLINK("https://twitter.com/Mphilpot1","@Mphilpot1")</f>
        <v>@Mphilpot1</v>
      </c>
      <c r="C6290" s="9" t="s">
        <v>1280</v>
      </c>
      <c r="D6290" s="9" t="s">
        <v>14297</v>
      </c>
      <c r="E6290" s="10" t="str">
        <f>HYPERLINK("https://twitter.com/Mphilpot1/status/723931625768120320","723931625768120320")</f>
        <v>723931625768120320</v>
      </c>
      <c r="F6290" s="11" t="s">
        <v>34</v>
      </c>
      <c r="G6290" s="11">
        <v>115</v>
      </c>
      <c r="H6290" s="11">
        <v>141</v>
      </c>
      <c r="I6290" s="11">
        <v>0</v>
      </c>
      <c r="J6290" s="11">
        <v>0</v>
      </c>
      <c r="K6290" s="11" t="s">
        <v>21</v>
      </c>
      <c r="L6290" s="7">
        <v>41137.855208333334</v>
      </c>
      <c r="M6290" s="12"/>
      <c r="N6290" s="12"/>
      <c r="O6290" s="10" t="str">
        <f>HYPERLINK("https://pbs.twimg.com/profile_images/422164778639839234/LVnS1q1c_normal.jpeg","View")</f>
        <v>View</v>
      </c>
      <c r="P6290" s="11"/>
    </row>
    <row r="6291" spans="1:16" ht="12.75" x14ac:dyDescent="0.35">
      <c r="A6291" s="7">
        <v>42483.972974537042</v>
      </c>
      <c r="B6291" s="8" t="str">
        <f>HYPERLINK("https://twitter.com/Htee28","@Htee28")</f>
        <v>@Htee28</v>
      </c>
      <c r="C6291" s="9" t="s">
        <v>14298</v>
      </c>
      <c r="D6291" s="9" t="s">
        <v>14299</v>
      </c>
      <c r="E6291" s="10" t="str">
        <f>HYPERLINK("https://twitter.com/Htee28/status/723932217232228353","723932217232228353")</f>
        <v>723932217232228353</v>
      </c>
      <c r="F6291" s="11" t="s">
        <v>114</v>
      </c>
      <c r="G6291" s="11">
        <v>1285</v>
      </c>
      <c r="H6291" s="11">
        <v>1112</v>
      </c>
      <c r="I6291" s="11">
        <v>0</v>
      </c>
      <c r="J6291" s="11">
        <v>0</v>
      </c>
      <c r="K6291" s="11" t="s">
        <v>21</v>
      </c>
      <c r="L6291" s="7">
        <v>40577.36550925926</v>
      </c>
      <c r="M6291" s="12" t="s">
        <v>14300</v>
      </c>
      <c r="N6291" s="12" t="s">
        <v>14301</v>
      </c>
      <c r="O6291" s="10" t="str">
        <f>HYPERLINK("https://pbs.twimg.com/profile_images/699604492849954816/mEYf4W7P_normal.jpg","View")</f>
        <v>View</v>
      </c>
      <c r="P6291" s="10" t="str">
        <f>HYPERLINK("http://ctrlq.org/maps/address/#-23.95,31.1167","Map")</f>
        <v>Map</v>
      </c>
    </row>
    <row r="6292" spans="1:16" ht="12.75" x14ac:dyDescent="0.35">
      <c r="A6292" s="7">
        <v>42483.973356481481</v>
      </c>
      <c r="B6292" s="8" t="str">
        <f>HYPERLINK("https://twitter.com/VWCamperSales","@VWCamperSales")</f>
        <v>@VWCamperSales</v>
      </c>
      <c r="C6292" s="9" t="s">
        <v>216</v>
      </c>
      <c r="D6292" s="9" t="s">
        <v>14302</v>
      </c>
      <c r="E6292" s="10" t="str">
        <f>HYPERLINK("https://twitter.com/VWCamperSales/status/723932356201967616","723932356201967616")</f>
        <v>723932356201967616</v>
      </c>
      <c r="F6292" s="10" t="s">
        <v>124</v>
      </c>
      <c r="G6292" s="11">
        <v>621</v>
      </c>
      <c r="H6292" s="11">
        <v>580</v>
      </c>
      <c r="I6292" s="11">
        <v>0</v>
      </c>
      <c r="J6292" s="11">
        <v>0</v>
      </c>
      <c r="K6292" s="11" t="s">
        <v>21</v>
      </c>
      <c r="L6292" s="7">
        <v>42215.98809027778</v>
      </c>
      <c r="M6292" s="12" t="s">
        <v>129</v>
      </c>
      <c r="N6292" s="12" t="s">
        <v>218</v>
      </c>
      <c r="O6292" s="10" t="str">
        <f>HYPERLINK("https://pbs.twimg.com/profile_images/627949001179037696/skEBkS05_normal.jpg","View")</f>
        <v>View</v>
      </c>
      <c r="P6292" s="11"/>
    </row>
    <row r="6293" spans="1:16" ht="12.75" x14ac:dyDescent="0.35">
      <c r="A6293" s="7">
        <v>42483.97378472222</v>
      </c>
      <c r="B6293" s="8" t="str">
        <f t="shared" ref="B6293:B6294" si="541">HYPERLINK("https://twitter.com/BrightonVW","@BrightonVW")</f>
        <v>@BrightonVW</v>
      </c>
      <c r="C6293" s="9" t="s">
        <v>14303</v>
      </c>
      <c r="D6293" s="9" t="s">
        <v>14304</v>
      </c>
      <c r="E6293" s="10" t="str">
        <f>HYPERLINK("https://twitter.com/BrightonVW/status/723932511030661120","723932511030661120")</f>
        <v>723932511030661120</v>
      </c>
      <c r="F6293" s="11" t="s">
        <v>48</v>
      </c>
      <c r="G6293" s="11">
        <v>991</v>
      </c>
      <c r="H6293" s="11">
        <v>711</v>
      </c>
      <c r="I6293" s="11">
        <v>0</v>
      </c>
      <c r="J6293" s="11">
        <v>0</v>
      </c>
      <c r="K6293" s="11" t="s">
        <v>21</v>
      </c>
      <c r="L6293" s="7">
        <v>41178.822731481479</v>
      </c>
      <c r="M6293" s="12" t="s">
        <v>14305</v>
      </c>
      <c r="N6293" s="12" t="s">
        <v>14306</v>
      </c>
      <c r="O6293" s="10" t="str">
        <f t="shared" ref="O6293:O6294" si="542">HYPERLINK("https://pbs.twimg.com/profile_images/475566543200591872/LlXTxHkb_normal.jpeg","View")</f>
        <v>View</v>
      </c>
      <c r="P6293" s="11"/>
    </row>
    <row r="6294" spans="1:16" ht="12.75" x14ac:dyDescent="0.35">
      <c r="A6294" s="7">
        <v>42483.975254629629</v>
      </c>
      <c r="B6294" s="8" t="str">
        <f t="shared" si="541"/>
        <v>@BrightonVW</v>
      </c>
      <c r="C6294" s="9" t="s">
        <v>14303</v>
      </c>
      <c r="D6294" s="9" t="s">
        <v>14307</v>
      </c>
      <c r="E6294" s="10" t="str">
        <f>HYPERLINK("https://twitter.com/BrightonVW/status/723933046085419008","723933046085419008")</f>
        <v>723933046085419008</v>
      </c>
      <c r="F6294" s="11" t="s">
        <v>48</v>
      </c>
      <c r="G6294" s="11">
        <v>991</v>
      </c>
      <c r="H6294" s="11">
        <v>711</v>
      </c>
      <c r="I6294" s="11">
        <v>0</v>
      </c>
      <c r="J6294" s="11">
        <v>0</v>
      </c>
      <c r="K6294" s="11" t="s">
        <v>21</v>
      </c>
      <c r="L6294" s="7">
        <v>41178.822731481479</v>
      </c>
      <c r="M6294" s="12" t="s">
        <v>14305</v>
      </c>
      <c r="N6294" s="12" t="s">
        <v>14306</v>
      </c>
      <c r="O6294" s="10" t="str">
        <f t="shared" si="542"/>
        <v>View</v>
      </c>
      <c r="P6294" s="11"/>
    </row>
    <row r="6295" spans="1:16" ht="12.75" x14ac:dyDescent="0.35">
      <c r="A6295" s="7">
        <v>42483.975300925929</v>
      </c>
      <c r="B6295" s="8" t="str">
        <f>HYPERLINK("https://twitter.com/Feliher6Felipe","@Feliher6Felipe")</f>
        <v>@Feliher6Felipe</v>
      </c>
      <c r="C6295" s="9" t="s">
        <v>14308</v>
      </c>
      <c r="D6295" s="9" t="s">
        <v>14309</v>
      </c>
      <c r="E6295" s="10" t="str">
        <f>HYPERLINK("https://twitter.com/Feliher6Felipe/status/723933061038006272","723933061038006272")</f>
        <v>723933061038006272</v>
      </c>
      <c r="F6295" s="11" t="s">
        <v>48</v>
      </c>
      <c r="G6295" s="11">
        <v>205</v>
      </c>
      <c r="H6295" s="11">
        <v>180</v>
      </c>
      <c r="I6295" s="11">
        <v>8</v>
      </c>
      <c r="J6295" s="11">
        <v>0</v>
      </c>
      <c r="K6295" s="11" t="s">
        <v>21</v>
      </c>
      <c r="L6295" s="7">
        <v>41500.448136574072</v>
      </c>
      <c r="M6295" s="12"/>
      <c r="N6295" s="12"/>
      <c r="O6295" s="10" t="str">
        <f>HYPERLINK("https://pbs.twimg.com/profile_images/684728793500487680/Z8zQkEhj_normal.jpg","View")</f>
        <v>View</v>
      </c>
      <c r="P6295" s="11"/>
    </row>
    <row r="6296" spans="1:16" ht="12.75" x14ac:dyDescent="0.35">
      <c r="A6296" s="7">
        <v>42483.976886574077</v>
      </c>
      <c r="B6296" s="8" t="str">
        <f>HYPERLINK("https://twitter.com/ev_charging_","@ev_charging_")</f>
        <v>@ev_charging_</v>
      </c>
      <c r="C6296" s="9" t="s">
        <v>14310</v>
      </c>
      <c r="D6296" s="9" t="s">
        <v>5650</v>
      </c>
      <c r="E6296" s="10" t="str">
        <f>HYPERLINK("https://twitter.com/ev_charging_/status/723933633996673024","723933633996673024")</f>
        <v>723933633996673024</v>
      </c>
      <c r="F6296" s="11" t="s">
        <v>43</v>
      </c>
      <c r="G6296" s="11">
        <v>4813</v>
      </c>
      <c r="H6296" s="11">
        <v>2010</v>
      </c>
      <c r="I6296" s="11">
        <v>7</v>
      </c>
      <c r="J6296" s="11">
        <v>0</v>
      </c>
      <c r="K6296" s="11" t="s">
        <v>21</v>
      </c>
      <c r="L6296" s="7">
        <v>42312.528865740736</v>
      </c>
      <c r="M6296" s="12" t="s">
        <v>14311</v>
      </c>
      <c r="N6296" s="12" t="s">
        <v>5652</v>
      </c>
      <c r="O6296" s="10" t="str">
        <f>HYPERLINK("https://pbs.twimg.com/profile_images/669331676661575680/dgW50ccx_normal.png","View")</f>
        <v>View</v>
      </c>
      <c r="P6296" s="11"/>
    </row>
    <row r="6297" spans="1:16" ht="12.75" x14ac:dyDescent="0.35">
      <c r="A6297" s="7">
        <v>42483.977361111116</v>
      </c>
      <c r="B6297" s="8" t="str">
        <f>HYPERLINK("https://twitter.com/anjelicasjogren","@anjelicasjogren")</f>
        <v>@anjelicasjogren</v>
      </c>
      <c r="C6297" s="9" t="s">
        <v>14312</v>
      </c>
      <c r="D6297" s="9" t="s">
        <v>14313</v>
      </c>
      <c r="E6297" s="10" t="str">
        <f>HYPERLINK("https://twitter.com/anjelicasjogren/status/723933806361743360","723933806361743360")</f>
        <v>723933806361743360</v>
      </c>
      <c r="F6297" s="11" t="s">
        <v>114</v>
      </c>
      <c r="G6297" s="11">
        <v>20</v>
      </c>
      <c r="H6297" s="11">
        <v>132</v>
      </c>
      <c r="I6297" s="11">
        <v>0</v>
      </c>
      <c r="J6297" s="11">
        <v>0</v>
      </c>
      <c r="K6297" s="11" t="s">
        <v>21</v>
      </c>
      <c r="L6297" s="7">
        <v>42251.881666666668</v>
      </c>
      <c r="M6297" s="12" t="s">
        <v>14314</v>
      </c>
      <c r="N6297" s="12" t="s">
        <v>14315</v>
      </c>
      <c r="O6297" s="10" t="str">
        <f>HYPERLINK("https://pbs.twimg.com/profile_images/639825675428478976/lYkKqb5E_normal.jpg","View")</f>
        <v>View</v>
      </c>
      <c r="P6297" s="11"/>
    </row>
    <row r="6298" spans="1:16" ht="12.75" x14ac:dyDescent="0.35">
      <c r="A6298" s="7">
        <v>42483.977662037039</v>
      </c>
      <c r="B6298" s="8" t="str">
        <f>HYPERLINK("https://twitter.com/TaxiPSMPSOE","@TaxiPSMPSOE")</f>
        <v>@TaxiPSMPSOE</v>
      </c>
      <c r="C6298" s="9" t="s">
        <v>14316</v>
      </c>
      <c r="D6298" s="9" t="s">
        <v>1612</v>
      </c>
      <c r="E6298" s="10" t="str">
        <f>HYPERLINK("https://twitter.com/TaxiPSMPSOE/status/723933916437032960","723933916437032960")</f>
        <v>723933916437032960</v>
      </c>
      <c r="F6298" s="11" t="s">
        <v>48</v>
      </c>
      <c r="G6298" s="11">
        <v>598</v>
      </c>
      <c r="H6298" s="11">
        <v>711</v>
      </c>
      <c r="I6298" s="11">
        <v>4</v>
      </c>
      <c r="J6298" s="11">
        <v>0</v>
      </c>
      <c r="K6298" s="11" t="s">
        <v>21</v>
      </c>
      <c r="L6298" s="7">
        <v>41187.889861111107</v>
      </c>
      <c r="M6298" s="12"/>
      <c r="N6298" s="12" t="s">
        <v>14317</v>
      </c>
      <c r="O6298" s="10" t="str">
        <f>HYPERLINK("https://pbs.twimg.com/profile_images/457447746375409664/XSHXPCNa_normal.png","View")</f>
        <v>View</v>
      </c>
      <c r="P6298" s="11"/>
    </row>
    <row r="6299" spans="1:16" ht="12.75" x14ac:dyDescent="0.35">
      <c r="A6299" s="7">
        <v>42483.979537037041</v>
      </c>
      <c r="B6299" s="8" t="str">
        <f>HYPERLINK("https://twitter.com/ronymc_","@ronymc_")</f>
        <v>@ronymc_</v>
      </c>
      <c r="C6299" s="9" t="s">
        <v>14318</v>
      </c>
      <c r="D6299" s="9" t="s">
        <v>14319</v>
      </c>
      <c r="E6299" s="10" t="str">
        <f>HYPERLINK("https://twitter.com/ronymc_/status/723934595217907712","723934595217907712")</f>
        <v>723934595217907712</v>
      </c>
      <c r="F6299" s="11" t="s">
        <v>114</v>
      </c>
      <c r="G6299" s="11">
        <v>396</v>
      </c>
      <c r="H6299" s="11">
        <v>325</v>
      </c>
      <c r="I6299" s="11">
        <v>0</v>
      </c>
      <c r="J6299" s="11">
        <v>0</v>
      </c>
      <c r="K6299" s="11" t="s">
        <v>21</v>
      </c>
      <c r="L6299" s="7">
        <v>40743.099780092591</v>
      </c>
      <c r="M6299" s="12" t="s">
        <v>14320</v>
      </c>
      <c r="N6299" s="12"/>
      <c r="O6299" s="10" t="str">
        <f>HYPERLINK("https://pbs.twimg.com/profile_images/647165170939240448/7EurWj_A_normal.jpg","View")</f>
        <v>View</v>
      </c>
      <c r="P6299" s="11"/>
    </row>
    <row r="6300" spans="1:16" ht="12.75" x14ac:dyDescent="0.35">
      <c r="A6300" s="7">
        <v>42483.979733796295</v>
      </c>
      <c r="B6300" s="8" t="str">
        <f>HYPERLINK("https://twitter.com/acvwpassion","@acvwpassion")</f>
        <v>@acvwpassion</v>
      </c>
      <c r="C6300" s="9" t="s">
        <v>4671</v>
      </c>
      <c r="D6300" s="9" t="s">
        <v>14321</v>
      </c>
      <c r="E6300" s="10" t="str">
        <f>HYPERLINK("https://twitter.com/acvwpassion/status/723934666932277249","723934666932277249")</f>
        <v>723934666932277249</v>
      </c>
      <c r="F6300" s="11" t="s">
        <v>152</v>
      </c>
      <c r="G6300" s="11">
        <v>242</v>
      </c>
      <c r="H6300" s="11">
        <v>409</v>
      </c>
      <c r="I6300" s="11">
        <v>0</v>
      </c>
      <c r="J6300" s="11">
        <v>0</v>
      </c>
      <c r="K6300" s="11" t="s">
        <v>21</v>
      </c>
      <c r="L6300" s="7">
        <v>41989.101851851854</v>
      </c>
      <c r="M6300" s="12" t="s">
        <v>4673</v>
      </c>
      <c r="N6300" s="12" t="s">
        <v>4674</v>
      </c>
      <c r="O6300" s="10" t="str">
        <f>HYPERLINK("https://pbs.twimg.com/profile_images/545688359964651520/SF3sJ7lv_normal.jpeg","View")</f>
        <v>View</v>
      </c>
      <c r="P6300" s="11"/>
    </row>
    <row r="6301" spans="1:16" ht="12.75" x14ac:dyDescent="0.35">
      <c r="A6301" s="7">
        <v>42483.981562500005</v>
      </c>
      <c r="B6301" s="8" t="str">
        <f>HYPERLINK("https://twitter.com/ChrisJ0404","@ChrisJ0404")</f>
        <v>@ChrisJ0404</v>
      </c>
      <c r="C6301" s="9" t="s">
        <v>14322</v>
      </c>
      <c r="D6301" s="9" t="s">
        <v>14323</v>
      </c>
      <c r="E6301" s="10" t="str">
        <f>HYPERLINK("https://twitter.com/ChrisJ0404/status/723935330089357312","723935330089357312")</f>
        <v>723935330089357312</v>
      </c>
      <c r="F6301" s="11" t="s">
        <v>114</v>
      </c>
      <c r="G6301" s="11">
        <v>45</v>
      </c>
      <c r="H6301" s="11">
        <v>182</v>
      </c>
      <c r="I6301" s="11">
        <v>0</v>
      </c>
      <c r="J6301" s="11">
        <v>0</v>
      </c>
      <c r="K6301" s="11" t="s">
        <v>21</v>
      </c>
      <c r="L6301" s="7">
        <v>40401.31689814815</v>
      </c>
      <c r="M6301" s="12" t="s">
        <v>14324</v>
      </c>
      <c r="N6301" s="12" t="s">
        <v>14325</v>
      </c>
      <c r="O6301" s="10" t="str">
        <f>HYPERLINK("https://pbs.twimg.com/profile_images/475726558120775680/ogymSgLG_normal.jpeg","View")</f>
        <v>View</v>
      </c>
      <c r="P6301" s="10" t="str">
        <f>HYPERLINK("http://ctrlq.org/maps/address/#27.4005337,-80.3256302","Map")</f>
        <v>Map</v>
      </c>
    </row>
    <row r="6302" spans="1:16" ht="12.75" x14ac:dyDescent="0.35">
      <c r="A6302" s="7">
        <v>42483.982673611114</v>
      </c>
      <c r="B6302" s="8" t="str">
        <f>HYPERLINK("https://twitter.com/anjelicasjogren","@anjelicasjogren")</f>
        <v>@anjelicasjogren</v>
      </c>
      <c r="C6302" s="9" t="s">
        <v>14312</v>
      </c>
      <c r="D6302" s="9" t="s">
        <v>14326</v>
      </c>
      <c r="E6302" s="10" t="str">
        <f>HYPERLINK("https://twitter.com/anjelicasjogren/status/723935731899609089","723935731899609089")</f>
        <v>723935731899609089</v>
      </c>
      <c r="F6302" s="11" t="s">
        <v>114</v>
      </c>
      <c r="G6302" s="11">
        <v>20</v>
      </c>
      <c r="H6302" s="11">
        <v>132</v>
      </c>
      <c r="I6302" s="11">
        <v>0</v>
      </c>
      <c r="J6302" s="11">
        <v>0</v>
      </c>
      <c r="K6302" s="11" t="s">
        <v>21</v>
      </c>
      <c r="L6302" s="7">
        <v>42251.881666666668</v>
      </c>
      <c r="M6302" s="12" t="s">
        <v>14314</v>
      </c>
      <c r="N6302" s="12" t="s">
        <v>14315</v>
      </c>
      <c r="O6302" s="10" t="str">
        <f>HYPERLINK("https://pbs.twimg.com/profile_images/639825675428478976/lYkKqb5E_normal.jpg","View")</f>
        <v>View</v>
      </c>
      <c r="P6302" s="11"/>
    </row>
    <row r="6303" spans="1:16" ht="12.75" x14ac:dyDescent="0.35">
      <c r="A6303" s="7">
        <v>42483.982731481483</v>
      </c>
      <c r="B6303" s="8" t="str">
        <f>HYPERLINK("https://twitter.com/vwpress_de","@vwpress_de")</f>
        <v>@vwpress_de</v>
      </c>
      <c r="C6303" s="9" t="s">
        <v>1685</v>
      </c>
      <c r="D6303" s="9" t="s">
        <v>14327</v>
      </c>
      <c r="E6303" s="10" t="str">
        <f>HYPERLINK("https://twitter.com/vwpress_de/status/723935752061607936","723935752061607936")</f>
        <v>723935752061607936</v>
      </c>
      <c r="F6303" s="11" t="s">
        <v>152</v>
      </c>
      <c r="G6303" s="11">
        <v>5828</v>
      </c>
      <c r="H6303" s="11">
        <v>610</v>
      </c>
      <c r="I6303" s="11">
        <v>0</v>
      </c>
      <c r="J6303" s="11">
        <v>2</v>
      </c>
      <c r="K6303" s="11" t="s">
        <v>21</v>
      </c>
      <c r="L6303" s="7">
        <v>42041.830381944441</v>
      </c>
      <c r="M6303" s="12" t="s">
        <v>1690</v>
      </c>
      <c r="N6303" s="12" t="s">
        <v>1691</v>
      </c>
      <c r="O6303" s="10" t="str">
        <f>HYPERLINK("https://pbs.twimg.com/profile_images/682117656502222848/Ge7YeAF3_normal.png","View")</f>
        <v>View</v>
      </c>
      <c r="P6303" s="11"/>
    </row>
    <row r="6304" spans="1:16" ht="12.75" x14ac:dyDescent="0.35">
      <c r="A6304" s="7">
        <v>42483.982731481483</v>
      </c>
      <c r="B6304" s="8" t="str">
        <f t="shared" ref="B6304:B6305" si="543">HYPERLINK("https://twitter.com/VWCamperSales","@VWCamperSales")</f>
        <v>@VWCamperSales</v>
      </c>
      <c r="C6304" s="9" t="s">
        <v>216</v>
      </c>
      <c r="D6304" s="9" t="s">
        <v>14328</v>
      </c>
      <c r="E6304" s="10" t="str">
        <f>HYPERLINK("https://twitter.com/VWCamperSales/status/723935754783576065","723935754783576065")</f>
        <v>723935754783576065</v>
      </c>
      <c r="F6304" s="10" t="s">
        <v>124</v>
      </c>
      <c r="G6304" s="11">
        <v>621</v>
      </c>
      <c r="H6304" s="11">
        <v>580</v>
      </c>
      <c r="I6304" s="11">
        <v>0</v>
      </c>
      <c r="J6304" s="11">
        <v>0</v>
      </c>
      <c r="K6304" s="11" t="s">
        <v>21</v>
      </c>
      <c r="L6304" s="7">
        <v>42215.98809027778</v>
      </c>
      <c r="M6304" s="12" t="s">
        <v>129</v>
      </c>
      <c r="N6304" s="12" t="s">
        <v>218</v>
      </c>
      <c r="O6304" s="10" t="str">
        <f t="shared" ref="O6304:O6305" si="544">HYPERLINK("https://pbs.twimg.com/profile_images/627949001179037696/skEBkS05_normal.jpg","View")</f>
        <v>View</v>
      </c>
      <c r="P6304" s="11"/>
    </row>
    <row r="6305" spans="1:16" ht="12.75" x14ac:dyDescent="0.35">
      <c r="A6305" s="7">
        <v>42483.98274305556</v>
      </c>
      <c r="B6305" s="8" t="str">
        <f t="shared" si="543"/>
        <v>@VWCamperSales</v>
      </c>
      <c r="C6305" s="9" t="s">
        <v>216</v>
      </c>
      <c r="D6305" s="9" t="s">
        <v>14329</v>
      </c>
      <c r="E6305" s="10" t="str">
        <f>HYPERLINK("https://twitter.com/VWCamperSales/status/723935759024029696","723935759024029696")</f>
        <v>723935759024029696</v>
      </c>
      <c r="F6305" s="10" t="s">
        <v>124</v>
      </c>
      <c r="G6305" s="11">
        <v>621</v>
      </c>
      <c r="H6305" s="11">
        <v>580</v>
      </c>
      <c r="I6305" s="11">
        <v>0</v>
      </c>
      <c r="J6305" s="11">
        <v>0</v>
      </c>
      <c r="K6305" s="11" t="s">
        <v>21</v>
      </c>
      <c r="L6305" s="7">
        <v>42215.98809027778</v>
      </c>
      <c r="M6305" s="12" t="s">
        <v>129</v>
      </c>
      <c r="N6305" s="12" t="s">
        <v>218</v>
      </c>
      <c r="O6305" s="10" t="str">
        <f t="shared" si="544"/>
        <v>View</v>
      </c>
      <c r="P6305" s="11"/>
    </row>
    <row r="6306" spans="1:16" ht="12.75" x14ac:dyDescent="0.35">
      <c r="A6306" s="7">
        <v>42483.983032407406</v>
      </c>
      <c r="B6306" s="8" t="str">
        <f>HYPERLINK("https://twitter.com/SAHotwheels","@SAHotwheels")</f>
        <v>@SAHotwheels</v>
      </c>
      <c r="C6306" s="9" t="s">
        <v>14330</v>
      </c>
      <c r="D6306" s="9" t="s">
        <v>14331</v>
      </c>
      <c r="E6306" s="10" t="str">
        <f>HYPERLINK("https://twitter.com/SAHotwheels/status/723935863210528768","723935863210528768")</f>
        <v>723935863210528768</v>
      </c>
      <c r="F6306" s="11" t="s">
        <v>114</v>
      </c>
      <c r="G6306" s="11">
        <v>18</v>
      </c>
      <c r="H6306" s="11">
        <v>49</v>
      </c>
      <c r="I6306" s="11">
        <v>0</v>
      </c>
      <c r="J6306" s="11">
        <v>0</v>
      </c>
      <c r="K6306" s="11" t="s">
        <v>21</v>
      </c>
      <c r="L6306" s="7">
        <v>40228.520694444444</v>
      </c>
      <c r="M6306" s="12" t="s">
        <v>14332</v>
      </c>
      <c r="N6306" s="12" t="s">
        <v>14333</v>
      </c>
      <c r="O6306" s="10" t="str">
        <f>HYPERLINK("https://pbs.twimg.com/profile_images/1287389763/2244003_high_res_320x480_normal.jpg","View")</f>
        <v>View</v>
      </c>
      <c r="P6306" s="10" t="str">
        <f>HYPERLINK("http://ctrlq.org/maps/address/#29.4167,-98.5","Map")</f>
        <v>Map</v>
      </c>
    </row>
    <row r="6307" spans="1:16" ht="12.75" x14ac:dyDescent="0.35">
      <c r="A6307" s="7">
        <v>42483.986076388886</v>
      </c>
      <c r="B6307" s="8" t="str">
        <f>HYPERLINK("https://twitter.com/ebaycampervans","@ebaycampervans")</f>
        <v>@ebaycampervans</v>
      </c>
      <c r="C6307" s="9" t="s">
        <v>682</v>
      </c>
      <c r="D6307" s="9" t="s">
        <v>14334</v>
      </c>
      <c r="E6307" s="10" t="str">
        <f>HYPERLINK("https://twitter.com/ebaycampervans/status/723936967709192193","723936967709192193")</f>
        <v>723936967709192193</v>
      </c>
      <c r="F6307" s="11" t="s">
        <v>34</v>
      </c>
      <c r="G6307" s="11">
        <v>380</v>
      </c>
      <c r="H6307" s="11">
        <v>1002</v>
      </c>
      <c r="I6307" s="11">
        <v>0</v>
      </c>
      <c r="J6307" s="11">
        <v>0</v>
      </c>
      <c r="K6307" s="11" t="s">
        <v>21</v>
      </c>
      <c r="L6307" s="7">
        <v>42140.207604166666</v>
      </c>
      <c r="M6307" s="12"/>
      <c r="N6307" s="12" t="s">
        <v>684</v>
      </c>
      <c r="O6307" s="10" t="str">
        <f>HYPERLINK("https://pbs.twimg.com/profile_images/599357023407464449/BL9Bpo6T_normal.jpg","View")</f>
        <v>View</v>
      </c>
      <c r="P6307" s="11"/>
    </row>
    <row r="6308" spans="1:16" ht="12.75" x14ac:dyDescent="0.35">
      <c r="A6308" s="7">
        <v>42483.986215277779</v>
      </c>
      <c r="B6308" s="8" t="str">
        <f>HYPERLINK("https://twitter.com/dddddyang","@dddddyang")</f>
        <v>@dddddyang</v>
      </c>
      <c r="C6308" s="9" t="s">
        <v>14335</v>
      </c>
      <c r="D6308" s="9" t="s">
        <v>13150</v>
      </c>
      <c r="E6308" s="10" t="str">
        <f>HYPERLINK("https://twitter.com/dddddyang/status/723937018049232897","723937018049232897")</f>
        <v>723937018049232897</v>
      </c>
      <c r="F6308" s="11" t="s">
        <v>20</v>
      </c>
      <c r="G6308" s="11">
        <v>72</v>
      </c>
      <c r="H6308" s="11">
        <v>157</v>
      </c>
      <c r="I6308" s="11">
        <v>32</v>
      </c>
      <c r="J6308" s="11">
        <v>0</v>
      </c>
      <c r="K6308" s="11" t="s">
        <v>21</v>
      </c>
      <c r="L6308" s="7">
        <v>41133.40184027778</v>
      </c>
      <c r="M6308" s="12" t="s">
        <v>14336</v>
      </c>
      <c r="N6308" s="12" t="s">
        <v>14337</v>
      </c>
      <c r="O6308" s="10" t="str">
        <f>HYPERLINK("https://pbs.twimg.com/profile_images/700729790219685888/GtA-rM1j_normal.jpg","View")</f>
        <v>View</v>
      </c>
      <c r="P6308" s="11"/>
    </row>
    <row r="6309" spans="1:16" ht="12.75" x14ac:dyDescent="0.35">
      <c r="A6309" s="7">
        <v>42483.986990740741</v>
      </c>
      <c r="B6309" s="8" t="str">
        <f t="shared" ref="B6309:B6312" si="545">HYPERLINK("https://twitter.com/dubbusses","@dubbusses")</f>
        <v>@dubbusses</v>
      </c>
      <c r="C6309" s="9" t="s">
        <v>14338</v>
      </c>
      <c r="D6309" s="9" t="s">
        <v>14339</v>
      </c>
      <c r="E6309" s="10" t="str">
        <f>HYPERLINK("https://twitter.com/dubbusses/status/723937295624220672","723937295624220672")</f>
        <v>723937295624220672</v>
      </c>
      <c r="F6309" s="11" t="s">
        <v>68</v>
      </c>
      <c r="G6309" s="11">
        <v>415</v>
      </c>
      <c r="H6309" s="11">
        <v>2369</v>
      </c>
      <c r="I6309" s="11">
        <v>0</v>
      </c>
      <c r="J6309" s="11">
        <v>0</v>
      </c>
      <c r="K6309" s="11" t="s">
        <v>21</v>
      </c>
      <c r="L6309" s="7">
        <v>42469.905393518522</v>
      </c>
      <c r="M6309" s="12" t="s">
        <v>14340</v>
      </c>
      <c r="N6309" s="12"/>
      <c r="O6309" s="10" t="str">
        <f t="shared" ref="O6309:O6312" si="546">HYPERLINK("https://pbs.twimg.com/profile_images/718835727027580928/1ssyQ67y_normal.jpg","View")</f>
        <v>View</v>
      </c>
      <c r="P6309" s="11"/>
    </row>
    <row r="6310" spans="1:16" ht="12.75" x14ac:dyDescent="0.35">
      <c r="A6310" s="7">
        <v>42483.987060185187</v>
      </c>
      <c r="B6310" s="8" t="str">
        <f t="shared" si="545"/>
        <v>@dubbusses</v>
      </c>
      <c r="C6310" s="9" t="s">
        <v>14338</v>
      </c>
      <c r="D6310" s="9" t="s">
        <v>14341</v>
      </c>
      <c r="E6310" s="10" t="str">
        <f>HYPERLINK("https://twitter.com/dubbusses/status/723937324715913217","723937324715913217")</f>
        <v>723937324715913217</v>
      </c>
      <c r="F6310" s="11" t="s">
        <v>68</v>
      </c>
      <c r="G6310" s="11">
        <v>415</v>
      </c>
      <c r="H6310" s="11">
        <v>2369</v>
      </c>
      <c r="I6310" s="11">
        <v>0</v>
      </c>
      <c r="J6310" s="11">
        <v>0</v>
      </c>
      <c r="K6310" s="11" t="s">
        <v>21</v>
      </c>
      <c r="L6310" s="7">
        <v>42469.905393518522</v>
      </c>
      <c r="M6310" s="12" t="s">
        <v>14340</v>
      </c>
      <c r="N6310" s="12"/>
      <c r="O6310" s="10" t="str">
        <f t="shared" si="546"/>
        <v>View</v>
      </c>
      <c r="P6310" s="11"/>
    </row>
    <row r="6311" spans="1:16" ht="12.75" x14ac:dyDescent="0.35">
      <c r="A6311" s="7">
        <v>42483.98715277778</v>
      </c>
      <c r="B6311" s="8" t="str">
        <f t="shared" si="545"/>
        <v>@dubbusses</v>
      </c>
      <c r="C6311" s="9" t="s">
        <v>14338</v>
      </c>
      <c r="D6311" s="9" t="s">
        <v>14342</v>
      </c>
      <c r="E6311" s="10" t="str">
        <f>HYPERLINK("https://twitter.com/dubbusses/status/723937357225988096","723937357225988096")</f>
        <v>723937357225988096</v>
      </c>
      <c r="F6311" s="11" t="s">
        <v>68</v>
      </c>
      <c r="G6311" s="11">
        <v>415</v>
      </c>
      <c r="H6311" s="11">
        <v>2369</v>
      </c>
      <c r="I6311" s="11">
        <v>0</v>
      </c>
      <c r="J6311" s="11">
        <v>0</v>
      </c>
      <c r="K6311" s="11" t="s">
        <v>21</v>
      </c>
      <c r="L6311" s="7">
        <v>42469.905393518522</v>
      </c>
      <c r="M6311" s="12" t="s">
        <v>14340</v>
      </c>
      <c r="N6311" s="12"/>
      <c r="O6311" s="10" t="str">
        <f t="shared" si="546"/>
        <v>View</v>
      </c>
      <c r="P6311" s="11"/>
    </row>
    <row r="6312" spans="1:16" ht="12.75" x14ac:dyDescent="0.35">
      <c r="A6312" s="7">
        <v>42483.987233796295</v>
      </c>
      <c r="B6312" s="8" t="str">
        <f t="shared" si="545"/>
        <v>@dubbusses</v>
      </c>
      <c r="C6312" s="9" t="s">
        <v>14338</v>
      </c>
      <c r="D6312" s="9" t="s">
        <v>14343</v>
      </c>
      <c r="E6312" s="10" t="str">
        <f>HYPERLINK("https://twitter.com/dubbusses/status/723937387450085376","723937387450085376")</f>
        <v>723937387450085376</v>
      </c>
      <c r="F6312" s="11" t="s">
        <v>68</v>
      </c>
      <c r="G6312" s="11">
        <v>415</v>
      </c>
      <c r="H6312" s="11">
        <v>2369</v>
      </c>
      <c r="I6312" s="11">
        <v>0</v>
      </c>
      <c r="J6312" s="11">
        <v>0</v>
      </c>
      <c r="K6312" s="11" t="s">
        <v>21</v>
      </c>
      <c r="L6312" s="7">
        <v>42469.905393518522</v>
      </c>
      <c r="M6312" s="12" t="s">
        <v>14340</v>
      </c>
      <c r="N6312" s="12"/>
      <c r="O6312" s="10" t="str">
        <f t="shared" si="546"/>
        <v>View</v>
      </c>
      <c r="P6312" s="11"/>
    </row>
    <row r="6313" spans="1:16" ht="12.75" x14ac:dyDescent="0.35">
      <c r="A6313" s="7">
        <v>42483.987812499996</v>
      </c>
      <c r="B6313" s="8" t="str">
        <f>HYPERLINK("https://twitter.com/2stew22","@2stew22")</f>
        <v>@2stew22</v>
      </c>
      <c r="C6313" s="9" t="s">
        <v>14344</v>
      </c>
      <c r="D6313" s="9" t="s">
        <v>14345</v>
      </c>
      <c r="E6313" s="10" t="str">
        <f>HYPERLINK("https://twitter.com/2stew22/status/723937596238340096","723937596238340096")</f>
        <v>723937596238340096</v>
      </c>
      <c r="F6313" s="11" t="s">
        <v>114</v>
      </c>
      <c r="G6313" s="11">
        <v>35</v>
      </c>
      <c r="H6313" s="11">
        <v>124</v>
      </c>
      <c r="I6313" s="11">
        <v>0</v>
      </c>
      <c r="J6313" s="11">
        <v>0</v>
      </c>
      <c r="K6313" s="11" t="s">
        <v>21</v>
      </c>
      <c r="L6313" s="7">
        <v>40501.024606481486</v>
      </c>
      <c r="M6313" s="12" t="s">
        <v>14346</v>
      </c>
      <c r="N6313" s="12" t="s">
        <v>14347</v>
      </c>
      <c r="O6313" s="10" t="str">
        <f>HYPERLINK("https://pbs.twimg.com/profile_images/421938414871937024/zFnDBbTQ_normal.jpeg","View")</f>
        <v>View</v>
      </c>
      <c r="P6313" s="11"/>
    </row>
    <row r="6314" spans="1:16" ht="12.75" x14ac:dyDescent="0.35">
      <c r="A6314" s="7">
        <v>42483.988009259258</v>
      </c>
      <c r="B6314" s="8" t="str">
        <f>HYPERLINK("https://twitter.com/Lindsay_VW","@Lindsay_VW")</f>
        <v>@Lindsay_VW</v>
      </c>
      <c r="C6314" s="9" t="s">
        <v>211</v>
      </c>
      <c r="D6314" s="9" t="s">
        <v>14348</v>
      </c>
      <c r="E6314" s="10" t="str">
        <f>HYPERLINK("https://twitter.com/Lindsay_VW/status/723937666979471360","723937666979471360")</f>
        <v>723937666979471360</v>
      </c>
      <c r="F6314" s="11" t="s">
        <v>213</v>
      </c>
      <c r="G6314" s="11">
        <v>4668</v>
      </c>
      <c r="H6314" s="11">
        <v>4338</v>
      </c>
      <c r="I6314" s="11">
        <v>0</v>
      </c>
      <c r="J6314" s="11">
        <v>0</v>
      </c>
      <c r="K6314" s="11" t="s">
        <v>21</v>
      </c>
      <c r="L6314" s="7">
        <v>39872.963599537034</v>
      </c>
      <c r="M6314" s="12" t="s">
        <v>214</v>
      </c>
      <c r="N6314" s="12" t="s">
        <v>215</v>
      </c>
      <c r="O6314" s="10" t="str">
        <f>HYPERLINK("https://pbs.twimg.com/profile_images/716020780899807232/fnaRfVpE_normal.jpg","View")</f>
        <v>View</v>
      </c>
      <c r="P6314" s="11"/>
    </row>
    <row r="6315" spans="1:16" ht="12.75" x14ac:dyDescent="0.35">
      <c r="A6315" s="7">
        <v>42483.98810185185</v>
      </c>
      <c r="B6315" s="8" t="str">
        <f>HYPERLINK("https://twitter.com/Liese_Mueller","@Liese_Mueller")</f>
        <v>@Liese_Mueller</v>
      </c>
      <c r="C6315" s="9" t="s">
        <v>14349</v>
      </c>
      <c r="D6315" s="9" t="s">
        <v>14350</v>
      </c>
      <c r="E6315" s="10" t="str">
        <f>HYPERLINK("https://twitter.com/Liese_Mueller/status/723937701968379904","723937701968379904")</f>
        <v>723937701968379904</v>
      </c>
      <c r="F6315" s="11" t="s">
        <v>43</v>
      </c>
      <c r="G6315" s="11">
        <v>617</v>
      </c>
      <c r="H6315" s="11">
        <v>1001</v>
      </c>
      <c r="I6315" s="11">
        <v>0</v>
      </c>
      <c r="J6315" s="11">
        <v>0</v>
      </c>
      <c r="K6315" s="11" t="s">
        <v>21</v>
      </c>
      <c r="L6315" s="7">
        <v>41660.049398148149</v>
      </c>
      <c r="M6315" s="12" t="s">
        <v>14351</v>
      </c>
      <c r="N6315" s="12" t="s">
        <v>14352</v>
      </c>
      <c r="O6315" s="10" t="str">
        <f>HYPERLINK("https://pbs.twimg.com/profile_images/704411171059867649/GDcERPLT_normal.jpg","View")</f>
        <v>View</v>
      </c>
      <c r="P6315" s="11"/>
    </row>
    <row r="6316" spans="1:16" ht="12.75" x14ac:dyDescent="0.35">
      <c r="A6316" s="7">
        <v>42483.989756944444</v>
      </c>
      <c r="B6316" s="8" t="str">
        <f>HYPERLINK("https://twitter.com/Lindsay_VW","@Lindsay_VW")</f>
        <v>@Lindsay_VW</v>
      </c>
      <c r="C6316" s="9" t="s">
        <v>211</v>
      </c>
      <c r="D6316" s="9" t="s">
        <v>14353</v>
      </c>
      <c r="E6316" s="10" t="str">
        <f>HYPERLINK("https://twitter.com/Lindsay_VW/status/723938299576987648","723938299576987648")</f>
        <v>723938299576987648</v>
      </c>
      <c r="F6316" s="11" t="s">
        <v>213</v>
      </c>
      <c r="G6316" s="11">
        <v>4668</v>
      </c>
      <c r="H6316" s="11">
        <v>4338</v>
      </c>
      <c r="I6316" s="11">
        <v>0</v>
      </c>
      <c r="J6316" s="11">
        <v>0</v>
      </c>
      <c r="K6316" s="11" t="s">
        <v>21</v>
      </c>
      <c r="L6316" s="7">
        <v>39872.963599537034</v>
      </c>
      <c r="M6316" s="12" t="s">
        <v>214</v>
      </c>
      <c r="N6316" s="12" t="s">
        <v>215</v>
      </c>
      <c r="O6316" s="10" t="str">
        <f>HYPERLINK("https://pbs.twimg.com/profile_images/716020780899807232/fnaRfVpE_normal.jpg","View")</f>
        <v>View</v>
      </c>
      <c r="P6316" s="11"/>
    </row>
    <row r="6317" spans="1:16" ht="12.75" x14ac:dyDescent="0.35">
      <c r="A6317" s="7">
        <v>42483.990254629629</v>
      </c>
      <c r="B6317" s="8" t="str">
        <f>HYPERLINK("https://twitter.com/RaphaelGonzaga","@RaphaelGonzaga")</f>
        <v>@RaphaelGonzaga</v>
      </c>
      <c r="C6317" s="9" t="s">
        <v>14354</v>
      </c>
      <c r="D6317" s="9" t="s">
        <v>14355</v>
      </c>
      <c r="E6317" s="10" t="str">
        <f>HYPERLINK("https://twitter.com/RaphaelGonzaga/status/723938481072910336","723938481072910336")</f>
        <v>723938481072910336</v>
      </c>
      <c r="F6317" s="11" t="s">
        <v>114</v>
      </c>
      <c r="G6317" s="11">
        <v>274</v>
      </c>
      <c r="H6317" s="11">
        <v>165</v>
      </c>
      <c r="I6317" s="11">
        <v>0</v>
      </c>
      <c r="J6317" s="11">
        <v>1</v>
      </c>
      <c r="K6317" s="11" t="s">
        <v>21</v>
      </c>
      <c r="L6317" s="7">
        <v>40232.44159722222</v>
      </c>
      <c r="M6317" s="12" t="s">
        <v>14356</v>
      </c>
      <c r="N6317" s="12" t="s">
        <v>14357</v>
      </c>
      <c r="O6317" s="10" t="str">
        <f>HYPERLINK("https://pbs.twimg.com/profile_images/378800000102139594/245ffca726e4dda0c3ed9eb7bfdb91e7_normal.jpeg","View")</f>
        <v>View</v>
      </c>
      <c r="P6317" s="11"/>
    </row>
    <row r="6318" spans="1:16" ht="12.75" x14ac:dyDescent="0.35">
      <c r="A6318" s="7">
        <v>42483.990335648152</v>
      </c>
      <c r="B6318" s="8" t="str">
        <f t="shared" ref="B6318:B6319" si="547">HYPERLINK("https://twitter.com/DubLuvTuning","@DubLuvTuning")</f>
        <v>@DubLuvTuning</v>
      </c>
      <c r="C6318" s="9" t="s">
        <v>299</v>
      </c>
      <c r="D6318" s="9" t="s">
        <v>14358</v>
      </c>
      <c r="E6318" s="10" t="str">
        <f>HYPERLINK("https://twitter.com/DubLuvTuning/status/723938508608540674","723938508608540674")</f>
        <v>723938508608540674</v>
      </c>
      <c r="F6318" s="11" t="s">
        <v>288</v>
      </c>
      <c r="G6318" s="11">
        <v>690</v>
      </c>
      <c r="H6318" s="11">
        <v>430</v>
      </c>
      <c r="I6318" s="11">
        <v>1</v>
      </c>
      <c r="J6318" s="11">
        <v>0</v>
      </c>
      <c r="K6318" s="11" t="s">
        <v>21</v>
      </c>
      <c r="L6318" s="7">
        <v>41549.898287037038</v>
      </c>
      <c r="M6318" s="12" t="s">
        <v>301</v>
      </c>
      <c r="N6318" s="12" t="s">
        <v>302</v>
      </c>
      <c r="O6318" s="10" t="str">
        <f t="shared" ref="O6318:O6319" si="548">HYPERLINK("https://pbs.twimg.com/profile_images/378800000572104796/1de43e1cf23efb3f4101c02afad0d3b6_normal.png","View")</f>
        <v>View</v>
      </c>
      <c r="P6318" s="11"/>
    </row>
    <row r="6319" spans="1:16" ht="12.75" x14ac:dyDescent="0.35">
      <c r="A6319" s="7">
        <v>42483.990335648152</v>
      </c>
      <c r="B6319" s="8" t="str">
        <f t="shared" si="547"/>
        <v>@DubLuvTuning</v>
      </c>
      <c r="C6319" s="9" t="s">
        <v>299</v>
      </c>
      <c r="D6319" s="9" t="s">
        <v>14359</v>
      </c>
      <c r="E6319" s="10" t="str">
        <f>HYPERLINK("https://twitter.com/DubLuvTuning/status/723938509459992576","723938509459992576")</f>
        <v>723938509459992576</v>
      </c>
      <c r="F6319" s="11" t="s">
        <v>288</v>
      </c>
      <c r="G6319" s="11">
        <v>690</v>
      </c>
      <c r="H6319" s="11">
        <v>430</v>
      </c>
      <c r="I6319" s="11">
        <v>1</v>
      </c>
      <c r="J6319" s="11">
        <v>0</v>
      </c>
      <c r="K6319" s="11" t="s">
        <v>21</v>
      </c>
      <c r="L6319" s="7">
        <v>41549.898287037038</v>
      </c>
      <c r="M6319" s="12" t="s">
        <v>301</v>
      </c>
      <c r="N6319" s="12" t="s">
        <v>302</v>
      </c>
      <c r="O6319" s="10" t="str">
        <f t="shared" si="548"/>
        <v>View</v>
      </c>
      <c r="P6319" s="11"/>
    </row>
    <row r="6320" spans="1:16" ht="12.75" x14ac:dyDescent="0.35">
      <c r="A6320" s="7">
        <v>42483.991724537038</v>
      </c>
      <c r="B6320" s="8" t="str">
        <f>HYPERLINK("https://twitter.com/VWCamperSales","@VWCamperSales")</f>
        <v>@VWCamperSales</v>
      </c>
      <c r="C6320" s="9" t="s">
        <v>216</v>
      </c>
      <c r="D6320" s="9" t="s">
        <v>14360</v>
      </c>
      <c r="E6320" s="10" t="str">
        <f>HYPERLINK("https://twitter.com/VWCamperSales/status/723939013552279552","723939013552279552")</f>
        <v>723939013552279552</v>
      </c>
      <c r="F6320" s="10" t="s">
        <v>124</v>
      </c>
      <c r="G6320" s="11">
        <v>621</v>
      </c>
      <c r="H6320" s="11">
        <v>580</v>
      </c>
      <c r="I6320" s="11">
        <v>0</v>
      </c>
      <c r="J6320" s="11">
        <v>0</v>
      </c>
      <c r="K6320" s="11" t="s">
        <v>21</v>
      </c>
      <c r="L6320" s="7">
        <v>42215.98809027778</v>
      </c>
      <c r="M6320" s="12" t="s">
        <v>129</v>
      </c>
      <c r="N6320" s="12" t="s">
        <v>218</v>
      </c>
      <c r="O6320" s="10" t="str">
        <f>HYPERLINK("https://pbs.twimg.com/profile_images/627949001179037696/skEBkS05_normal.jpg","View")</f>
        <v>View</v>
      </c>
      <c r="P6320" s="11"/>
    </row>
    <row r="6321" spans="1:16" ht="12.75" x14ac:dyDescent="0.35">
      <c r="A6321" s="7">
        <v>42483.991736111115</v>
      </c>
      <c r="B6321" s="8" t="str">
        <f>HYPERLINK("https://twitter.com/VWsightings","@VWsightings")</f>
        <v>@VWsightings</v>
      </c>
      <c r="C6321" s="9" t="s">
        <v>893</v>
      </c>
      <c r="D6321" s="9" t="s">
        <v>14361</v>
      </c>
      <c r="E6321" s="10" t="str">
        <f>HYPERLINK("https://twitter.com/VWsightings/status/723939017310482432","723939017310482432")</f>
        <v>723939017310482432</v>
      </c>
      <c r="F6321" s="11" t="s">
        <v>91</v>
      </c>
      <c r="G6321" s="11">
        <v>4856</v>
      </c>
      <c r="H6321" s="11">
        <v>4856</v>
      </c>
      <c r="I6321" s="11">
        <v>2</v>
      </c>
      <c r="J6321" s="11">
        <v>0</v>
      </c>
      <c r="K6321" s="11" t="s">
        <v>21</v>
      </c>
      <c r="L6321" s="7">
        <v>41589.461446759262</v>
      </c>
      <c r="M6321" s="12" t="s">
        <v>895</v>
      </c>
      <c r="N6321" s="12" t="s">
        <v>896</v>
      </c>
      <c r="O6321" s="10" t="str">
        <f>HYPERLINK("https://pbs.twimg.com/profile_images/378800000854855954/0d555726054b01e3c9d6b5241432dc4a_normal.jpeg","View")</f>
        <v>View</v>
      </c>
      <c r="P6321" s="11"/>
    </row>
    <row r="6322" spans="1:16" ht="12.75" x14ac:dyDescent="0.35">
      <c r="A6322" s="7">
        <v>42483.991851851853</v>
      </c>
      <c r="B6322" s="8" t="str">
        <f>HYPERLINK("https://twitter.com/diesellibrarian","@diesellibrarian")</f>
        <v>@diesellibrarian</v>
      </c>
      <c r="C6322" s="9" t="s">
        <v>14362</v>
      </c>
      <c r="D6322" s="9" t="s">
        <v>14363</v>
      </c>
      <c r="E6322" s="10" t="str">
        <f>HYPERLINK("https://twitter.com/diesellibrarian/status/723939057516965891","723939057516965891")</f>
        <v>723939057516965891</v>
      </c>
      <c r="F6322" s="11" t="s">
        <v>20</v>
      </c>
      <c r="G6322" s="11">
        <v>663</v>
      </c>
      <c r="H6322" s="11">
        <v>574</v>
      </c>
      <c r="I6322" s="11">
        <v>0</v>
      </c>
      <c r="J6322" s="11">
        <v>0</v>
      </c>
      <c r="K6322" s="11" t="s">
        <v>21</v>
      </c>
      <c r="L6322" s="7">
        <v>39672.883101851854</v>
      </c>
      <c r="M6322" s="12" t="s">
        <v>14364</v>
      </c>
      <c r="N6322" s="12" t="s">
        <v>14365</v>
      </c>
      <c r="O6322" s="10" t="str">
        <f>HYPERLINK("https://pbs.twimg.com/profile_images/648991159876890625/XgxPumHq_normal.png","View")</f>
        <v>View</v>
      </c>
      <c r="P6322" s="11"/>
    </row>
    <row r="6323" spans="1:16" ht="12.75" x14ac:dyDescent="0.35">
      <c r="A6323" s="7">
        <v>42483.992523148147</v>
      </c>
      <c r="B6323" s="8" t="str">
        <f t="shared" ref="B6323:B6326" si="549">HYPERLINK("https://twitter.com/VWsightings","@VWsightings")</f>
        <v>@VWsightings</v>
      </c>
      <c r="C6323" s="9" t="s">
        <v>893</v>
      </c>
      <c r="D6323" s="9" t="s">
        <v>14366</v>
      </c>
      <c r="E6323" s="10" t="str">
        <f>HYPERLINK("https://twitter.com/VWsightings/status/723939301583667200","723939301583667200")</f>
        <v>723939301583667200</v>
      </c>
      <c r="F6323" s="11" t="s">
        <v>91</v>
      </c>
      <c r="G6323" s="11">
        <v>4856</v>
      </c>
      <c r="H6323" s="11">
        <v>4856</v>
      </c>
      <c r="I6323" s="11">
        <v>1</v>
      </c>
      <c r="J6323" s="11">
        <v>0</v>
      </c>
      <c r="K6323" s="11" t="s">
        <v>21</v>
      </c>
      <c r="L6323" s="7">
        <v>41589.461446759262</v>
      </c>
      <c r="M6323" s="12" t="s">
        <v>895</v>
      </c>
      <c r="N6323" s="12" t="s">
        <v>896</v>
      </c>
      <c r="O6323" s="10" t="str">
        <f t="shared" ref="O6323:O6326" si="550">HYPERLINK("https://pbs.twimg.com/profile_images/378800000854855954/0d555726054b01e3c9d6b5241432dc4a_normal.jpeg","View")</f>
        <v>View</v>
      </c>
      <c r="P6323" s="11"/>
    </row>
    <row r="6324" spans="1:16" ht="12.75" x14ac:dyDescent="0.35">
      <c r="A6324" s="7">
        <v>42483.9925462963</v>
      </c>
      <c r="B6324" s="8" t="str">
        <f t="shared" si="549"/>
        <v>@VWsightings</v>
      </c>
      <c r="C6324" s="9" t="s">
        <v>893</v>
      </c>
      <c r="D6324" s="9" t="s">
        <v>14367</v>
      </c>
      <c r="E6324" s="10" t="str">
        <f>HYPERLINK("https://twitter.com/VWsightings/status/723939311134117891","723939311134117891")</f>
        <v>723939311134117891</v>
      </c>
      <c r="F6324" s="11" t="s">
        <v>91</v>
      </c>
      <c r="G6324" s="11">
        <v>4856</v>
      </c>
      <c r="H6324" s="11">
        <v>4856</v>
      </c>
      <c r="I6324" s="11">
        <v>1</v>
      </c>
      <c r="J6324" s="11">
        <v>0</v>
      </c>
      <c r="K6324" s="11" t="s">
        <v>21</v>
      </c>
      <c r="L6324" s="7">
        <v>41589.461446759262</v>
      </c>
      <c r="M6324" s="12" t="s">
        <v>895</v>
      </c>
      <c r="N6324" s="12" t="s">
        <v>896</v>
      </c>
      <c r="O6324" s="10" t="str">
        <f t="shared" si="550"/>
        <v>View</v>
      </c>
      <c r="P6324" s="11"/>
    </row>
    <row r="6325" spans="1:16" ht="12.75" x14ac:dyDescent="0.35">
      <c r="A6325" s="7">
        <v>42483.992766203708</v>
      </c>
      <c r="B6325" s="8" t="str">
        <f t="shared" si="549"/>
        <v>@VWsightings</v>
      </c>
      <c r="C6325" s="9" t="s">
        <v>893</v>
      </c>
      <c r="D6325" s="9" t="s">
        <v>14368</v>
      </c>
      <c r="E6325" s="10" t="str">
        <f>HYPERLINK("https://twitter.com/VWsightings/status/723939392281255936","723939392281255936")</f>
        <v>723939392281255936</v>
      </c>
      <c r="F6325" s="11" t="s">
        <v>91</v>
      </c>
      <c r="G6325" s="11">
        <v>4856</v>
      </c>
      <c r="H6325" s="11">
        <v>4856</v>
      </c>
      <c r="I6325" s="11">
        <v>1</v>
      </c>
      <c r="J6325" s="11">
        <v>0</v>
      </c>
      <c r="K6325" s="11" t="s">
        <v>21</v>
      </c>
      <c r="L6325" s="7">
        <v>41589.461446759262</v>
      </c>
      <c r="M6325" s="12" t="s">
        <v>895</v>
      </c>
      <c r="N6325" s="12" t="s">
        <v>896</v>
      </c>
      <c r="O6325" s="10" t="str">
        <f t="shared" si="550"/>
        <v>View</v>
      </c>
      <c r="P6325" s="11"/>
    </row>
    <row r="6326" spans="1:16" ht="12.75" x14ac:dyDescent="0.35">
      <c r="A6326" s="7">
        <v>42483.993009259255</v>
      </c>
      <c r="B6326" s="8" t="str">
        <f t="shared" si="549"/>
        <v>@VWsightings</v>
      </c>
      <c r="C6326" s="9" t="s">
        <v>893</v>
      </c>
      <c r="D6326" s="9" t="s">
        <v>14369</v>
      </c>
      <c r="E6326" s="10" t="str">
        <f>HYPERLINK("https://twitter.com/VWsightings/status/723939476804919296","723939476804919296")</f>
        <v>723939476804919296</v>
      </c>
      <c r="F6326" s="11" t="s">
        <v>91</v>
      </c>
      <c r="G6326" s="11">
        <v>4856</v>
      </c>
      <c r="H6326" s="11">
        <v>4856</v>
      </c>
      <c r="I6326" s="11">
        <v>1</v>
      </c>
      <c r="J6326" s="11">
        <v>0</v>
      </c>
      <c r="K6326" s="11" t="s">
        <v>21</v>
      </c>
      <c r="L6326" s="7">
        <v>41589.461446759262</v>
      </c>
      <c r="M6326" s="12" t="s">
        <v>895</v>
      </c>
      <c r="N6326" s="12" t="s">
        <v>896</v>
      </c>
      <c r="O6326" s="10" t="str">
        <f t="shared" si="550"/>
        <v>View</v>
      </c>
      <c r="P6326" s="11"/>
    </row>
    <row r="6327" spans="1:16" ht="12.75" x14ac:dyDescent="0.35">
      <c r="A6327" s="7">
        <v>42483.993067129632</v>
      </c>
      <c r="B6327" s="8" t="str">
        <f>HYPERLINK("https://twitter.com/PaulMIllerVW","@PaulMIllerVW")</f>
        <v>@PaulMIllerVW</v>
      </c>
      <c r="C6327" s="9" t="s">
        <v>9327</v>
      </c>
      <c r="D6327" s="9" t="s">
        <v>14370</v>
      </c>
      <c r="E6327" s="10" t="str">
        <f>HYPERLINK("https://twitter.com/PaulMIllerVW/status/723939498627735552","723939498627735552")</f>
        <v>723939498627735552</v>
      </c>
      <c r="F6327" s="11" t="s">
        <v>140</v>
      </c>
      <c r="G6327" s="11">
        <v>1555</v>
      </c>
      <c r="H6327" s="11">
        <v>2999</v>
      </c>
      <c r="I6327" s="11">
        <v>1</v>
      </c>
      <c r="J6327" s="11">
        <v>0</v>
      </c>
      <c r="K6327" s="11" t="s">
        <v>21</v>
      </c>
      <c r="L6327" s="7">
        <v>41395.856944444444</v>
      </c>
      <c r="M6327" s="12" t="s">
        <v>9329</v>
      </c>
      <c r="N6327" s="12" t="s">
        <v>9330</v>
      </c>
      <c r="O6327" s="10" t="str">
        <f>HYPERLINK("https://pbs.twimg.com/profile_images/606538524934807552/brKPBufq_normal.jpg","View")</f>
        <v>View</v>
      </c>
      <c r="P6327" s="11"/>
    </row>
    <row r="6328" spans="1:16" ht="12.75" x14ac:dyDescent="0.35">
      <c r="A6328" s="7">
        <v>42483.994699074072</v>
      </c>
      <c r="B6328" s="8" t="str">
        <f>HYPERLINK("https://twitter.com/LRDValeting","@LRDValeting")</f>
        <v>@LRDValeting</v>
      </c>
      <c r="C6328" s="9" t="s">
        <v>13049</v>
      </c>
      <c r="D6328" s="9" t="s">
        <v>14371</v>
      </c>
      <c r="E6328" s="10" t="str">
        <f>HYPERLINK("https://twitter.com/LRDValeting/status/723940092390289409","723940092390289409")</f>
        <v>723940092390289409</v>
      </c>
      <c r="F6328" s="11" t="s">
        <v>20</v>
      </c>
      <c r="G6328" s="11">
        <v>89</v>
      </c>
      <c r="H6328" s="11">
        <v>153</v>
      </c>
      <c r="I6328" s="11">
        <v>0</v>
      </c>
      <c r="J6328" s="11">
        <v>0</v>
      </c>
      <c r="K6328" s="11" t="s">
        <v>21</v>
      </c>
      <c r="L6328" s="7">
        <v>39979.839189814811</v>
      </c>
      <c r="M6328" s="12"/>
      <c r="N6328" s="12" t="s">
        <v>13051</v>
      </c>
      <c r="O6328" s="10" t="str">
        <f>HYPERLINK("https://pbs.twimg.com/profile_images/644448469177008129/NawOBHy6_normal.jpg","View")</f>
        <v>View</v>
      </c>
      <c r="P6328" s="11"/>
    </row>
    <row r="6329" spans="1:16" ht="12.75" x14ac:dyDescent="0.35">
      <c r="A6329" s="7">
        <v>42483.995057870372</v>
      </c>
      <c r="B6329" s="8" t="str">
        <f>HYPERLINK("https://twitter.com/re_keogh","@re_keogh")</f>
        <v>@re_keogh</v>
      </c>
      <c r="C6329" s="9" t="s">
        <v>14372</v>
      </c>
      <c r="D6329" s="9" t="s">
        <v>14373</v>
      </c>
      <c r="E6329" s="10" t="str">
        <f>HYPERLINK("https://twitter.com/re_keogh/status/723940218928291840","723940218928291840")</f>
        <v>723940218928291840</v>
      </c>
      <c r="F6329" s="11" t="s">
        <v>20</v>
      </c>
      <c r="G6329" s="11">
        <v>140</v>
      </c>
      <c r="H6329" s="11">
        <v>364</v>
      </c>
      <c r="I6329" s="11">
        <v>0</v>
      </c>
      <c r="J6329" s="11">
        <v>0</v>
      </c>
      <c r="K6329" s="11" t="s">
        <v>21</v>
      </c>
      <c r="L6329" s="7">
        <v>41404.650092592594</v>
      </c>
      <c r="M6329" s="12" t="s">
        <v>14374</v>
      </c>
      <c r="N6329" s="12" t="s">
        <v>14375</v>
      </c>
      <c r="O6329" s="10" t="str">
        <f>HYPERLINK("https://pbs.twimg.com/profile_images/3639476653/e621be3172dde8d88a0c612870493ba9_normal.jpeg","View")</f>
        <v>View</v>
      </c>
      <c r="P6329" s="11"/>
    </row>
    <row r="6330" spans="1:16" ht="12.75" x14ac:dyDescent="0.35">
      <c r="A6330" s="7">
        <v>42483.995092592595</v>
      </c>
      <c r="B6330" s="8" t="str">
        <f>HYPERLINK("https://twitter.com/VWsightings","@VWsightings")</f>
        <v>@VWsightings</v>
      </c>
      <c r="C6330" s="9" t="s">
        <v>893</v>
      </c>
      <c r="D6330" s="9" t="s">
        <v>14376</v>
      </c>
      <c r="E6330" s="10" t="str">
        <f>HYPERLINK("https://twitter.com/VWsightings/status/723940233541238784","723940233541238784")</f>
        <v>723940233541238784</v>
      </c>
      <c r="F6330" s="11" t="s">
        <v>91</v>
      </c>
      <c r="G6330" s="11">
        <v>4856</v>
      </c>
      <c r="H6330" s="11">
        <v>4856</v>
      </c>
      <c r="I6330" s="11">
        <v>1</v>
      </c>
      <c r="J6330" s="11">
        <v>0</v>
      </c>
      <c r="K6330" s="11" t="s">
        <v>21</v>
      </c>
      <c r="L6330" s="7">
        <v>41589.461446759262</v>
      </c>
      <c r="M6330" s="12" t="s">
        <v>895</v>
      </c>
      <c r="N6330" s="12" t="s">
        <v>896</v>
      </c>
      <c r="O6330" s="10" t="str">
        <f>HYPERLINK("https://pbs.twimg.com/profile_images/378800000854855954/0d555726054b01e3c9d6b5241432dc4a_normal.jpeg","View")</f>
        <v>View</v>
      </c>
      <c r="P6330" s="11"/>
    </row>
    <row r="6331" spans="1:16" ht="12.75" x14ac:dyDescent="0.35">
      <c r="A6331" s="7">
        <v>42483.995358796295</v>
      </c>
      <c r="B6331" s="8" t="str">
        <f>HYPERLINK("https://twitter.com/DomestcPlatypus","@DomestcPlatypus")</f>
        <v>@DomestcPlatypus</v>
      </c>
      <c r="C6331" s="9" t="s">
        <v>14377</v>
      </c>
      <c r="D6331" s="9" t="s">
        <v>14378</v>
      </c>
      <c r="E6331" s="10" t="str">
        <f>HYPERLINK("https://twitter.com/DomestcPlatypus/status/723940328282177537","723940328282177537")</f>
        <v>723940328282177537</v>
      </c>
      <c r="F6331" s="11" t="s">
        <v>63</v>
      </c>
      <c r="G6331" s="11">
        <v>346</v>
      </c>
      <c r="H6331" s="11">
        <v>102</v>
      </c>
      <c r="I6331" s="11">
        <v>0</v>
      </c>
      <c r="J6331" s="11">
        <v>0</v>
      </c>
      <c r="K6331" s="11" t="s">
        <v>21</v>
      </c>
      <c r="L6331" s="7">
        <v>40144.927604166667</v>
      </c>
      <c r="M6331" s="12" t="s">
        <v>14379</v>
      </c>
      <c r="N6331" s="12" t="s">
        <v>14380</v>
      </c>
      <c r="O6331" s="10" t="str">
        <f>HYPERLINK("https://pbs.twimg.com/profile_images/1474461181/platypus2_normal.jpg","View")</f>
        <v>View</v>
      </c>
      <c r="P6331" s="11"/>
    </row>
    <row r="6332" spans="1:16" ht="12.75" x14ac:dyDescent="0.35">
      <c r="A6332" s="7">
        <v>42483.995682870373</v>
      </c>
      <c r="B6332" s="8" t="str">
        <f>HYPERLINK("https://twitter.com/BEVENUTO","@BEVENUTO")</f>
        <v>@BEVENUTO</v>
      </c>
      <c r="C6332" s="9" t="s">
        <v>14381</v>
      </c>
      <c r="D6332" s="9" t="s">
        <v>14382</v>
      </c>
      <c r="E6332" s="10" t="str">
        <f>HYPERLINK("https://twitter.com/BEVENUTO/status/723940448067293184","723940448067293184")</f>
        <v>723940448067293184</v>
      </c>
      <c r="F6332" s="11" t="s">
        <v>114</v>
      </c>
      <c r="G6332" s="11">
        <v>831</v>
      </c>
      <c r="H6332" s="11">
        <v>2001</v>
      </c>
      <c r="I6332" s="11">
        <v>0</v>
      </c>
      <c r="J6332" s="11">
        <v>0</v>
      </c>
      <c r="K6332" s="11" t="s">
        <v>21</v>
      </c>
      <c r="L6332" s="7">
        <v>40038.810277777782</v>
      </c>
      <c r="M6332" s="12" t="s">
        <v>14383</v>
      </c>
      <c r="N6332" s="12"/>
      <c r="O6332" s="10" t="str">
        <f>HYPERLINK("https://pbs.twimg.com/profile_images/1372304064/DSC04986_normal.JPG","View")</f>
        <v>View</v>
      </c>
      <c r="P6332" s="11"/>
    </row>
    <row r="6333" spans="1:16" ht="12.75" x14ac:dyDescent="0.35">
      <c r="A6333" s="7">
        <v>42483.995821759258</v>
      </c>
      <c r="B6333" s="8" t="str">
        <f>HYPERLINK("https://twitter.com/buran63","@buran63")</f>
        <v>@buran63</v>
      </c>
      <c r="C6333" s="9" t="s">
        <v>5473</v>
      </c>
      <c r="D6333" s="9" t="s">
        <v>14384</v>
      </c>
      <c r="E6333" s="10" t="str">
        <f>HYPERLINK("https://twitter.com/buran63/status/723940496339513346","723940496339513346")</f>
        <v>723940496339513346</v>
      </c>
      <c r="F6333" s="11" t="s">
        <v>20</v>
      </c>
      <c r="G6333" s="11">
        <v>1194</v>
      </c>
      <c r="H6333" s="11">
        <v>887</v>
      </c>
      <c r="I6333" s="11">
        <v>0</v>
      </c>
      <c r="J6333" s="11">
        <v>2</v>
      </c>
      <c r="K6333" s="11" t="s">
        <v>21</v>
      </c>
      <c r="L6333" s="7">
        <v>40497.488715277781</v>
      </c>
      <c r="M6333" s="12" t="s">
        <v>5475</v>
      </c>
      <c r="N6333" s="12" t="s">
        <v>5476</v>
      </c>
      <c r="O6333" s="10" t="str">
        <f>HYPERLINK("https://pbs.twimg.com/profile_images/645328399834181632/rWu1bHrC_normal.jpg","View")</f>
        <v>View</v>
      </c>
      <c r="P6333" s="11"/>
    </row>
    <row r="6334" spans="1:16" ht="12.75" x14ac:dyDescent="0.35">
      <c r="A6334" s="7">
        <v>42483.996319444443</v>
      </c>
      <c r="B6334" s="8" t="str">
        <f>HYPERLINK("https://twitter.com/ldnsecuritysynd","@ldnsecuritysynd")</f>
        <v>@ldnsecuritysynd</v>
      </c>
      <c r="C6334" s="9" t="s">
        <v>1091</v>
      </c>
      <c r="D6334" s="9" t="s">
        <v>14385</v>
      </c>
      <c r="E6334" s="10" t="str">
        <f>HYPERLINK("https://twitter.com/ldnsecuritysynd/status/723940680263962624","723940680263962624")</f>
        <v>723940680263962624</v>
      </c>
      <c r="F6334" s="11" t="s">
        <v>114</v>
      </c>
      <c r="G6334" s="11">
        <v>389</v>
      </c>
      <c r="H6334" s="11">
        <v>1903</v>
      </c>
      <c r="I6334" s="11">
        <v>0</v>
      </c>
      <c r="J6334" s="11">
        <v>0</v>
      </c>
      <c r="K6334" s="11" t="s">
        <v>21</v>
      </c>
      <c r="L6334" s="7">
        <v>41683.63422453704</v>
      </c>
      <c r="M6334" s="12" t="s">
        <v>1093</v>
      </c>
      <c r="N6334" s="12" t="s">
        <v>1094</v>
      </c>
      <c r="O6334" s="10" t="str">
        <f>HYPERLINK("https://pbs.twimg.com/profile_images/593454474041102336/YZAKB69P_normal.jpg","View")</f>
        <v>View</v>
      </c>
      <c r="P6334" s="11"/>
    </row>
    <row r="6335" spans="1:16" ht="12.75" x14ac:dyDescent="0.35">
      <c r="A6335" s="7">
        <v>42483.996620370366</v>
      </c>
      <c r="B6335" s="8" t="str">
        <f>HYPERLINK("https://twitter.com/MirrorFinish","@MirrorFinish")</f>
        <v>@MirrorFinish</v>
      </c>
      <c r="C6335" s="9" t="s">
        <v>14386</v>
      </c>
      <c r="D6335" s="9" t="s">
        <v>14387</v>
      </c>
      <c r="E6335" s="10" t="str">
        <f>HYPERLINK("https://twitter.com/MirrorFinish/status/723940788460216320","723940788460216320")</f>
        <v>723940788460216320</v>
      </c>
      <c r="F6335" s="11" t="s">
        <v>43</v>
      </c>
      <c r="G6335" s="11">
        <v>14743</v>
      </c>
      <c r="H6335" s="11">
        <v>14446</v>
      </c>
      <c r="I6335" s="11">
        <v>0</v>
      </c>
      <c r="J6335" s="11">
        <v>0</v>
      </c>
      <c r="K6335" s="11" t="s">
        <v>21</v>
      </c>
      <c r="L6335" s="7">
        <v>39825.97896990741</v>
      </c>
      <c r="M6335" s="12" t="s">
        <v>14388</v>
      </c>
      <c r="N6335" s="12" t="s">
        <v>14389</v>
      </c>
      <c r="O6335" s="10" t="str">
        <f>HYPERLINK("https://pbs.twimg.com/profile_images/713544356381245440/0_b-xJXi_normal.jpg","View")</f>
        <v>View</v>
      </c>
      <c r="P6335" s="11"/>
    </row>
    <row r="6336" spans="1:16" ht="12.75" x14ac:dyDescent="0.35">
      <c r="A6336" s="7">
        <v>42483.996678240743</v>
      </c>
      <c r="B6336" s="8" t="str">
        <f>HYPERLINK("https://twitter.com/B83ART","@B83ART")</f>
        <v>@B83ART</v>
      </c>
      <c r="C6336" s="9" t="s">
        <v>13782</v>
      </c>
      <c r="D6336" s="9" t="s">
        <v>14390</v>
      </c>
      <c r="E6336" s="10" t="str">
        <f>HYPERLINK("https://twitter.com/B83ART/status/723940808680984576","723940808680984576")</f>
        <v>723940808680984576</v>
      </c>
      <c r="F6336" s="11" t="s">
        <v>20</v>
      </c>
      <c r="G6336" s="11">
        <v>1442</v>
      </c>
      <c r="H6336" s="11">
        <v>2104</v>
      </c>
      <c r="I6336" s="11">
        <v>0</v>
      </c>
      <c r="J6336" s="11">
        <v>0</v>
      </c>
      <c r="K6336" s="11" t="s">
        <v>21</v>
      </c>
      <c r="L6336" s="7">
        <v>41520.601886574077</v>
      </c>
      <c r="M6336" s="12" t="s">
        <v>13784</v>
      </c>
      <c r="N6336" s="12" t="s">
        <v>13785</v>
      </c>
      <c r="O6336" s="10" t="str">
        <f>HYPERLINK("https://pbs.twimg.com/profile_images/722201032479088641/gDpR-6wN_normal.jpg","View")</f>
        <v>View</v>
      </c>
      <c r="P6336" s="11"/>
    </row>
    <row r="6337" spans="1:16" ht="12.75" x14ac:dyDescent="0.35">
      <c r="A6337" s="7">
        <v>42483.997499999998</v>
      </c>
      <c r="B6337" s="8" t="str">
        <f>HYPERLINK("https://twitter.com/ldnsecuritysynd","@ldnsecuritysynd")</f>
        <v>@ldnsecuritysynd</v>
      </c>
      <c r="C6337" s="9" t="s">
        <v>1091</v>
      </c>
      <c r="D6337" s="9" t="s">
        <v>14391</v>
      </c>
      <c r="E6337" s="10" t="str">
        <f>HYPERLINK("https://twitter.com/ldnsecuritysynd/status/723941107126689792","723941107126689792")</f>
        <v>723941107126689792</v>
      </c>
      <c r="F6337" s="11" t="s">
        <v>114</v>
      </c>
      <c r="G6337" s="11">
        <v>389</v>
      </c>
      <c r="H6337" s="11">
        <v>1903</v>
      </c>
      <c r="I6337" s="11">
        <v>0</v>
      </c>
      <c r="J6337" s="11">
        <v>0</v>
      </c>
      <c r="K6337" s="11" t="s">
        <v>21</v>
      </c>
      <c r="L6337" s="7">
        <v>41683.63422453704</v>
      </c>
      <c r="M6337" s="12" t="s">
        <v>1093</v>
      </c>
      <c r="N6337" s="12" t="s">
        <v>1094</v>
      </c>
      <c r="O6337" s="10" t="str">
        <f>HYPERLINK("https://pbs.twimg.com/profile_images/593454474041102336/YZAKB69P_normal.jpg","View")</f>
        <v>View</v>
      </c>
      <c r="P6337" s="11"/>
    </row>
    <row r="6338" spans="1:16" ht="12.75" x14ac:dyDescent="0.35">
      <c r="A6338" s="7">
        <v>42483.997557870374</v>
      </c>
      <c r="B6338" s="8" t="str">
        <f>HYPERLINK("https://twitter.com/DubLuvTuning","@DubLuvTuning")</f>
        <v>@DubLuvTuning</v>
      </c>
      <c r="C6338" s="9" t="s">
        <v>299</v>
      </c>
      <c r="D6338" s="9" t="s">
        <v>14392</v>
      </c>
      <c r="E6338" s="10" t="str">
        <f>HYPERLINK("https://twitter.com/DubLuvTuning/status/723941126743416832","723941126743416832")</f>
        <v>723941126743416832</v>
      </c>
      <c r="F6338" s="11" t="s">
        <v>288</v>
      </c>
      <c r="G6338" s="11">
        <v>690</v>
      </c>
      <c r="H6338" s="11">
        <v>430</v>
      </c>
      <c r="I6338" s="11">
        <v>1</v>
      </c>
      <c r="J6338" s="11">
        <v>0</v>
      </c>
      <c r="K6338" s="11" t="s">
        <v>21</v>
      </c>
      <c r="L6338" s="7">
        <v>41549.898287037038</v>
      </c>
      <c r="M6338" s="12" t="s">
        <v>301</v>
      </c>
      <c r="N6338" s="12" t="s">
        <v>302</v>
      </c>
      <c r="O6338" s="10" t="str">
        <f>HYPERLINK("https://pbs.twimg.com/profile_images/378800000572104796/1de43e1cf23efb3f4101c02afad0d3b6_normal.png","View")</f>
        <v>View</v>
      </c>
      <c r="P6338" s="11"/>
    </row>
    <row r="6339" spans="1:16" ht="12.75" x14ac:dyDescent="0.35">
      <c r="A6339" s="7">
        <v>42483.997893518521</v>
      </c>
      <c r="B6339" s="8" t="str">
        <f t="shared" ref="B6339:B6340" si="551">HYPERLINK("https://twitter.com/VolkswagenPost","@VolkswagenPost")</f>
        <v>@VolkswagenPost</v>
      </c>
      <c r="C6339" s="9" t="s">
        <v>321</v>
      </c>
      <c r="D6339" s="9" t="s">
        <v>14393</v>
      </c>
      <c r="E6339" s="10" t="str">
        <f>HYPERLINK("https://twitter.com/VolkswagenPost/status/723941246574694400","723941246574694400")</f>
        <v>723941246574694400</v>
      </c>
      <c r="F6339" s="11" t="s">
        <v>288</v>
      </c>
      <c r="G6339" s="11">
        <v>570</v>
      </c>
      <c r="H6339" s="11">
        <v>446</v>
      </c>
      <c r="I6339" s="11">
        <v>1</v>
      </c>
      <c r="J6339" s="11">
        <v>0</v>
      </c>
      <c r="K6339" s="11" t="s">
        <v>21</v>
      </c>
      <c r="L6339" s="7">
        <v>41940.618379629632</v>
      </c>
      <c r="M6339" s="12"/>
      <c r="N6339" s="12"/>
      <c r="O6339" s="10" t="str">
        <f t="shared" ref="O6339:O6340" si="552">HYPERLINK("https://pbs.twimg.com/profile_images/530071272881803264/a_jcCmPZ_normal.png","View")</f>
        <v>View</v>
      </c>
      <c r="P6339" s="11"/>
    </row>
    <row r="6340" spans="1:16" ht="12.75" x14ac:dyDescent="0.35">
      <c r="A6340" s="7">
        <v>42483.997893518521</v>
      </c>
      <c r="B6340" s="8" t="str">
        <f t="shared" si="551"/>
        <v>@VolkswagenPost</v>
      </c>
      <c r="C6340" s="9" t="s">
        <v>321</v>
      </c>
      <c r="D6340" s="9" t="s">
        <v>14394</v>
      </c>
      <c r="E6340" s="10" t="str">
        <f>HYPERLINK("https://twitter.com/VolkswagenPost/status/723941247661051904","723941247661051904")</f>
        <v>723941247661051904</v>
      </c>
      <c r="F6340" s="11" t="s">
        <v>288</v>
      </c>
      <c r="G6340" s="11">
        <v>570</v>
      </c>
      <c r="H6340" s="11">
        <v>446</v>
      </c>
      <c r="I6340" s="11">
        <v>1</v>
      </c>
      <c r="J6340" s="11">
        <v>0</v>
      </c>
      <c r="K6340" s="11" t="s">
        <v>21</v>
      </c>
      <c r="L6340" s="7">
        <v>41940.618379629632</v>
      </c>
      <c r="M6340" s="12"/>
      <c r="N6340" s="12"/>
      <c r="O6340" s="10" t="str">
        <f t="shared" si="552"/>
        <v>View</v>
      </c>
      <c r="P6340" s="11"/>
    </row>
    <row r="6341" spans="1:16" ht="12.75" x14ac:dyDescent="0.35">
      <c r="A6341" s="7">
        <v>42483.998692129629</v>
      </c>
      <c r="B6341" s="8" t="str">
        <f>HYPERLINK("https://twitter.com/FennellMarcus","@FennellMarcus")</f>
        <v>@FennellMarcus</v>
      </c>
      <c r="C6341" s="9" t="s">
        <v>12912</v>
      </c>
      <c r="D6341" s="9" t="s">
        <v>14361</v>
      </c>
      <c r="E6341" s="10" t="str">
        <f>HYPERLINK("https://twitter.com/FennellMarcus/status/723941539022540800","723941539022540800")</f>
        <v>723941539022540800</v>
      </c>
      <c r="F6341" s="11" t="s">
        <v>20</v>
      </c>
      <c r="G6341" s="11">
        <v>1885</v>
      </c>
      <c r="H6341" s="11">
        <v>2061</v>
      </c>
      <c r="I6341" s="11">
        <v>2</v>
      </c>
      <c r="J6341" s="11">
        <v>0</v>
      </c>
      <c r="K6341" s="11" t="s">
        <v>21</v>
      </c>
      <c r="L6341" s="7">
        <v>40873.95621527778</v>
      </c>
      <c r="M6341" s="12" t="s">
        <v>12913</v>
      </c>
      <c r="N6341" s="12" t="s">
        <v>12914</v>
      </c>
      <c r="O6341" s="10" t="str">
        <f>HYPERLINK("https://pbs.twimg.com/profile_images/689135486544293889/vPAeUEzo_normal.jpg","View")</f>
        <v>View</v>
      </c>
      <c r="P6341" s="11"/>
    </row>
    <row r="6342" spans="1:16" ht="12.75" x14ac:dyDescent="0.35">
      <c r="A6342" s="7">
        <v>42483.998900462961</v>
      </c>
      <c r="B6342" s="8" t="str">
        <f>HYPERLINK("https://twitter.com/Insta_VWT","@Insta_VWT")</f>
        <v>@Insta_VWT</v>
      </c>
      <c r="C6342" s="9" t="s">
        <v>181</v>
      </c>
      <c r="D6342" s="9" t="s">
        <v>14395</v>
      </c>
      <c r="E6342" s="10" t="str">
        <f>HYPERLINK("https://twitter.com/Insta_VWT/status/723941615128174593","723941615128174593")</f>
        <v>723941615128174593</v>
      </c>
      <c r="F6342" s="11" t="s">
        <v>68</v>
      </c>
      <c r="G6342" s="11">
        <v>485</v>
      </c>
      <c r="H6342" s="11">
        <v>0</v>
      </c>
      <c r="I6342" s="11">
        <v>0</v>
      </c>
      <c r="J6342" s="11">
        <v>0</v>
      </c>
      <c r="K6342" s="11" t="s">
        <v>21</v>
      </c>
      <c r="L6342" s="7">
        <v>41658.782800925925</v>
      </c>
      <c r="M6342" s="12" t="s">
        <v>183</v>
      </c>
      <c r="N6342" s="12" t="s">
        <v>184</v>
      </c>
      <c r="O6342" s="10" t="str">
        <f>HYPERLINK("https://pbs.twimg.com/profile_images/424893967197433858/iQ86NktX_normal.jpeg","View")</f>
        <v>View</v>
      </c>
      <c r="P6342" s="11"/>
    </row>
    <row r="6343" spans="1:16" ht="12.75" x14ac:dyDescent="0.35">
      <c r="A6343" s="7">
        <v>42483.999050925922</v>
      </c>
      <c r="B6343" s="8" t="str">
        <f>HYPERLINK("https://twitter.com/oldcar_photo","@oldcar_photo")</f>
        <v>@oldcar_photo</v>
      </c>
      <c r="C6343" s="9" t="s">
        <v>1046</v>
      </c>
      <c r="D6343" s="9" t="s">
        <v>14396</v>
      </c>
      <c r="E6343" s="10" t="str">
        <f>HYPERLINK("https://twitter.com/oldcar_photo/status/723941666252558336","723941666252558336")</f>
        <v>723941666252558336</v>
      </c>
      <c r="F6343" s="11" t="s">
        <v>68</v>
      </c>
      <c r="G6343" s="11">
        <v>1994</v>
      </c>
      <c r="H6343" s="11">
        <v>0</v>
      </c>
      <c r="I6343" s="11">
        <v>0</v>
      </c>
      <c r="J6343" s="11">
        <v>0</v>
      </c>
      <c r="K6343" s="11" t="s">
        <v>21</v>
      </c>
      <c r="L6343" s="7">
        <v>42184.7341087963</v>
      </c>
      <c r="M6343" s="12"/>
      <c r="N6343" s="12"/>
      <c r="O6343" s="10" t="str">
        <f>HYPERLINK("https://pbs.twimg.com/profile_images/615493650785660928/XHUh6HOk_normal.jpg","View")</f>
        <v>View</v>
      </c>
      <c r="P6343" s="11"/>
    </row>
    <row r="6344" spans="1:16" ht="12.75" x14ac:dyDescent="0.35">
      <c r="A6344" s="7">
        <v>42483.999155092592</v>
      </c>
      <c r="B6344" s="8" t="str">
        <f t="shared" ref="B6344:B6345" si="553">HYPERLINK("https://twitter.com/VeeDubMk1_","@VeeDubMk1_")</f>
        <v>@VeeDubMk1_</v>
      </c>
      <c r="C6344" s="9" t="s">
        <v>185</v>
      </c>
      <c r="D6344" s="9" t="s">
        <v>14397</v>
      </c>
      <c r="E6344" s="10" t="str">
        <f>HYPERLINK("https://twitter.com/VeeDubMk1_/status/723941707289636864","723941707289636864")</f>
        <v>723941707289636864</v>
      </c>
      <c r="F6344" s="11" t="s">
        <v>68</v>
      </c>
      <c r="G6344" s="11">
        <v>550</v>
      </c>
      <c r="H6344" s="11">
        <v>3528</v>
      </c>
      <c r="I6344" s="11">
        <v>0</v>
      </c>
      <c r="J6344" s="11">
        <v>0</v>
      </c>
      <c r="K6344" s="11" t="s">
        <v>21</v>
      </c>
      <c r="L6344" s="7">
        <v>42343.063356481478</v>
      </c>
      <c r="M6344" s="12"/>
      <c r="N6344" s="12"/>
      <c r="O6344" s="10" t="str">
        <f t="shared" ref="O6344:O6345" si="554">HYPERLINK("https://pbs.twimg.com/profile_images/672878354127839232/M7OYc-zx_normal.jpg","View")</f>
        <v>View</v>
      </c>
      <c r="P6344" s="11"/>
    </row>
    <row r="6345" spans="1:16" ht="12.75" x14ac:dyDescent="0.35">
      <c r="A6345" s="7">
        <v>42483.999178240745</v>
      </c>
      <c r="B6345" s="8" t="str">
        <f t="shared" si="553"/>
        <v>@VeeDubMk1_</v>
      </c>
      <c r="C6345" s="9" t="s">
        <v>185</v>
      </c>
      <c r="D6345" s="9" t="s">
        <v>14398</v>
      </c>
      <c r="E6345" s="10" t="str">
        <f>HYPERLINK("https://twitter.com/VeeDubMk1_/status/723941712876412928","723941712876412928")</f>
        <v>723941712876412928</v>
      </c>
      <c r="F6345" s="11" t="s">
        <v>68</v>
      </c>
      <c r="G6345" s="11">
        <v>550</v>
      </c>
      <c r="H6345" s="11">
        <v>3528</v>
      </c>
      <c r="I6345" s="11">
        <v>0</v>
      </c>
      <c r="J6345" s="11">
        <v>0</v>
      </c>
      <c r="K6345" s="11" t="s">
        <v>21</v>
      </c>
      <c r="L6345" s="7">
        <v>42343.063356481478</v>
      </c>
      <c r="M6345" s="12"/>
      <c r="N6345" s="12"/>
      <c r="O6345" s="10" t="str">
        <f t="shared" si="554"/>
        <v>View</v>
      </c>
      <c r="P6345" s="11"/>
    </row>
    <row r="6346" spans="1:16" ht="12.75" x14ac:dyDescent="0.35">
      <c r="A6346" s="7">
        <v>42483.999444444446</v>
      </c>
      <c r="B6346" s="8" t="str">
        <f>HYPERLINK("https://twitter.com/Kittyh21","@Kittyh21")</f>
        <v>@Kittyh21</v>
      </c>
      <c r="C6346" s="9" t="s">
        <v>14399</v>
      </c>
      <c r="D6346" s="9" t="s">
        <v>14400</v>
      </c>
      <c r="E6346" s="10" t="str">
        <f>HYPERLINK("https://twitter.com/Kittyh21/status/723941810230464513","723941810230464513")</f>
        <v>723941810230464513</v>
      </c>
      <c r="F6346" s="11" t="s">
        <v>114</v>
      </c>
      <c r="G6346" s="11">
        <v>137</v>
      </c>
      <c r="H6346" s="11">
        <v>111</v>
      </c>
      <c r="I6346" s="11">
        <v>0</v>
      </c>
      <c r="J6346" s="11">
        <v>0</v>
      </c>
      <c r="K6346" s="11" t="s">
        <v>21</v>
      </c>
      <c r="L6346" s="7">
        <v>39927.09883101852</v>
      </c>
      <c r="M6346" s="12" t="s">
        <v>14401</v>
      </c>
      <c r="N6346" s="12" t="s">
        <v>14402</v>
      </c>
      <c r="O6346" s="10" t="str">
        <f>HYPERLINK("https://pbs.twimg.com/profile_images/566973113330860032/NoKIjbWz_normal.jpeg","View")</f>
        <v>View</v>
      </c>
      <c r="P6346" s="11"/>
    </row>
    <row r="6347" spans="1:16" ht="12.75" x14ac:dyDescent="0.35">
      <c r="A6347" s="7">
        <v>42484.000254629631</v>
      </c>
      <c r="B6347" s="8" t="str">
        <f>HYPERLINK("https://twitter.com/B83ART","@B83ART")</f>
        <v>@B83ART</v>
      </c>
      <c r="C6347" s="9" t="s">
        <v>13782</v>
      </c>
      <c r="D6347" s="9" t="s">
        <v>14403</v>
      </c>
      <c r="E6347" s="10" t="str">
        <f>HYPERLINK("https://twitter.com/B83ART/status/723942105475850240","723942105475850240")</f>
        <v>723942105475850240</v>
      </c>
      <c r="F6347" s="11" t="s">
        <v>20</v>
      </c>
      <c r="G6347" s="11">
        <v>1442</v>
      </c>
      <c r="H6347" s="11">
        <v>2104</v>
      </c>
      <c r="I6347" s="11">
        <v>0</v>
      </c>
      <c r="J6347" s="11">
        <v>0</v>
      </c>
      <c r="K6347" s="11" t="s">
        <v>21</v>
      </c>
      <c r="L6347" s="7">
        <v>41520.601886574077</v>
      </c>
      <c r="M6347" s="12" t="s">
        <v>13784</v>
      </c>
      <c r="N6347" s="12" t="s">
        <v>13785</v>
      </c>
      <c r="O6347" s="10" t="str">
        <f>HYPERLINK("https://pbs.twimg.com/profile_images/722201032479088641/gDpR-6wN_normal.jpg","View")</f>
        <v>View</v>
      </c>
      <c r="P6347" s="11"/>
    </row>
    <row r="6348" spans="1:16" ht="12.75" x14ac:dyDescent="0.35">
      <c r="A6348" s="7">
        <v>42484.000879629632</v>
      </c>
      <c r="B6348" s="8" t="str">
        <f>HYPERLINK("https://twitter.com/MorSvinka_83","@MorSvinka_83")</f>
        <v>@MorSvinka_83</v>
      </c>
      <c r="C6348" s="9" t="s">
        <v>9071</v>
      </c>
      <c r="D6348" s="9" t="s">
        <v>14404</v>
      </c>
      <c r="E6348" s="10" t="str">
        <f>HYPERLINK("https://twitter.com/MorSvinka_83/status/723942332723302401","723942332723302401")</f>
        <v>723942332723302401</v>
      </c>
      <c r="F6348" s="11" t="s">
        <v>63</v>
      </c>
      <c r="G6348" s="11">
        <v>81</v>
      </c>
      <c r="H6348" s="11">
        <v>127</v>
      </c>
      <c r="I6348" s="11">
        <v>0</v>
      </c>
      <c r="J6348" s="11">
        <v>0</v>
      </c>
      <c r="K6348" s="11" t="s">
        <v>21</v>
      </c>
      <c r="L6348" s="7">
        <v>40900.763842592591</v>
      </c>
      <c r="M6348" s="12" t="s">
        <v>9073</v>
      </c>
      <c r="N6348" s="12"/>
      <c r="O6348" s="10" t="str">
        <f>HYPERLINK("https://pbs.twimg.com/profile_images/2208847688/Untitled-2_normal.jpg","View")</f>
        <v>View</v>
      </c>
      <c r="P6348" s="11"/>
    </row>
    <row r="6349" spans="1:16" ht="12.75" x14ac:dyDescent="0.35">
      <c r="A6349" s="7">
        <v>42484.002974537041</v>
      </c>
      <c r="B6349" s="8" t="str">
        <f>HYPERLINK("https://twitter.com/TheHippieVanMan","@TheHippieVanMan")</f>
        <v>@TheHippieVanMan</v>
      </c>
      <c r="C6349" s="9" t="s">
        <v>14405</v>
      </c>
      <c r="D6349" s="9" t="s">
        <v>14406</v>
      </c>
      <c r="E6349" s="10" t="str">
        <f>HYPERLINK("https://twitter.com/TheHippieVanMan/status/723943088411017216","723943088411017216")</f>
        <v>723943088411017216</v>
      </c>
      <c r="F6349" s="11" t="s">
        <v>114</v>
      </c>
      <c r="G6349" s="11">
        <v>1646</v>
      </c>
      <c r="H6349" s="11">
        <v>1556</v>
      </c>
      <c r="I6349" s="11">
        <v>2</v>
      </c>
      <c r="J6349" s="11">
        <v>1</v>
      </c>
      <c r="K6349" s="11" t="s">
        <v>21</v>
      </c>
      <c r="L6349" s="7">
        <v>41253.419062499997</v>
      </c>
      <c r="M6349" s="12" t="s">
        <v>3097</v>
      </c>
      <c r="N6349" s="12" t="s">
        <v>14407</v>
      </c>
      <c r="O6349" s="10" t="str">
        <f>HYPERLINK("https://pbs.twimg.com/profile_images/3247035045/9844e9d67157e05905c827333dbfa0ee_normal.jpeg","View")</f>
        <v>View</v>
      </c>
      <c r="P6349" s="11"/>
    </row>
    <row r="6350" spans="1:16" ht="12.75" x14ac:dyDescent="0.35">
      <c r="A6350" s="7">
        <v>42484.003761574073</v>
      </c>
      <c r="B6350" s="8" t="str">
        <f>HYPERLINK("https://twitter.com/CalixtoVallejos","@CalixtoVallejos")</f>
        <v>@CalixtoVallejos</v>
      </c>
      <c r="C6350" s="9" t="s">
        <v>14408</v>
      </c>
      <c r="D6350" s="9" t="s">
        <v>14409</v>
      </c>
      <c r="E6350" s="10" t="str">
        <f>HYPERLINK("https://twitter.com/CalixtoVallejos/status/723943376853282817","723943376853282817")</f>
        <v>723943376853282817</v>
      </c>
      <c r="F6350" s="11" t="s">
        <v>68</v>
      </c>
      <c r="G6350" s="11">
        <v>84</v>
      </c>
      <c r="H6350" s="11">
        <v>152</v>
      </c>
      <c r="I6350" s="11">
        <v>1</v>
      </c>
      <c r="J6350" s="11">
        <v>1</v>
      </c>
      <c r="K6350" s="11" t="s">
        <v>21</v>
      </c>
      <c r="L6350" s="7">
        <v>42474.938900462963</v>
      </c>
      <c r="M6350" s="12"/>
      <c r="N6350" s="12"/>
      <c r="O6350" s="10" t="str">
        <f>HYPERLINK("https://abs.twimg.com/sticky/default_profile_images/default_profile_1_normal.png","View")</f>
        <v>View</v>
      </c>
      <c r="P6350" s="11"/>
    </row>
    <row r="6351" spans="1:16" ht="12.75" x14ac:dyDescent="0.35">
      <c r="A6351" s="7">
        <v>42484.004548611112</v>
      </c>
      <c r="B6351" s="8" t="str">
        <f>HYPERLINK("https://twitter.com/VWCamperSales","@VWCamperSales")</f>
        <v>@VWCamperSales</v>
      </c>
      <c r="C6351" s="9" t="s">
        <v>216</v>
      </c>
      <c r="D6351" s="9" t="s">
        <v>14410</v>
      </c>
      <c r="E6351" s="10" t="str">
        <f>HYPERLINK("https://twitter.com/VWCamperSales/status/723943659532509187","723943659532509187")</f>
        <v>723943659532509187</v>
      </c>
      <c r="F6351" s="10" t="s">
        <v>124</v>
      </c>
      <c r="G6351" s="11">
        <v>621</v>
      </c>
      <c r="H6351" s="11">
        <v>580</v>
      </c>
      <c r="I6351" s="11">
        <v>0</v>
      </c>
      <c r="J6351" s="11">
        <v>0</v>
      </c>
      <c r="K6351" s="11" t="s">
        <v>21</v>
      </c>
      <c r="L6351" s="7">
        <v>42215.98809027778</v>
      </c>
      <c r="M6351" s="12" t="s">
        <v>129</v>
      </c>
      <c r="N6351" s="12" t="s">
        <v>218</v>
      </c>
      <c r="O6351" s="10" t="str">
        <f>HYPERLINK("https://pbs.twimg.com/profile_images/627949001179037696/skEBkS05_normal.jpg","View")</f>
        <v>View</v>
      </c>
      <c r="P6351" s="11"/>
    </row>
    <row r="6352" spans="1:16" ht="12.75" x14ac:dyDescent="0.35">
      <c r="A6352" s="7">
        <v>42484.004618055551</v>
      </c>
      <c r="B6352" s="8" t="str">
        <f>HYPERLINK("https://twitter.com/TheHippieVanMan","@TheHippieVanMan")</f>
        <v>@TheHippieVanMan</v>
      </c>
      <c r="C6352" s="9" t="s">
        <v>14405</v>
      </c>
      <c r="D6352" s="9" t="s">
        <v>14411</v>
      </c>
      <c r="E6352" s="10" t="str">
        <f>HYPERLINK("https://twitter.com/TheHippieVanMan/status/723943684153155585","723943684153155585")</f>
        <v>723943684153155585</v>
      </c>
      <c r="F6352" s="11" t="s">
        <v>114</v>
      </c>
      <c r="G6352" s="11">
        <v>1646</v>
      </c>
      <c r="H6352" s="11">
        <v>1556</v>
      </c>
      <c r="I6352" s="11">
        <v>1</v>
      </c>
      <c r="J6352" s="11">
        <v>1</v>
      </c>
      <c r="K6352" s="11" t="s">
        <v>21</v>
      </c>
      <c r="L6352" s="7">
        <v>41253.419062499997</v>
      </c>
      <c r="M6352" s="12" t="s">
        <v>3097</v>
      </c>
      <c r="N6352" s="12" t="s">
        <v>14407</v>
      </c>
      <c r="O6352" s="10" t="str">
        <f>HYPERLINK("https://pbs.twimg.com/profile_images/3247035045/9844e9d67157e05905c827333dbfa0ee_normal.jpeg","View")</f>
        <v>View</v>
      </c>
      <c r="P6352" s="11"/>
    </row>
    <row r="6353" spans="1:16" ht="12.75" x14ac:dyDescent="0.35">
      <c r="A6353" s="7">
        <v>42484.004803240736</v>
      </c>
      <c r="B6353" s="8" t="str">
        <f>HYPERLINK("https://twitter.com/DubLuvTuning","@DubLuvTuning")</f>
        <v>@DubLuvTuning</v>
      </c>
      <c r="C6353" s="9" t="s">
        <v>299</v>
      </c>
      <c r="D6353" s="9" t="s">
        <v>14412</v>
      </c>
      <c r="E6353" s="10" t="str">
        <f>HYPERLINK("https://twitter.com/DubLuvTuning/status/723943752004460544","723943752004460544")</f>
        <v>723943752004460544</v>
      </c>
      <c r="F6353" s="11" t="s">
        <v>288</v>
      </c>
      <c r="G6353" s="11">
        <v>690</v>
      </c>
      <c r="H6353" s="11">
        <v>430</v>
      </c>
      <c r="I6353" s="11">
        <v>2</v>
      </c>
      <c r="J6353" s="11">
        <v>0</v>
      </c>
      <c r="K6353" s="11" t="s">
        <v>21</v>
      </c>
      <c r="L6353" s="7">
        <v>41549.898287037038</v>
      </c>
      <c r="M6353" s="12" t="s">
        <v>301</v>
      </c>
      <c r="N6353" s="12" t="s">
        <v>302</v>
      </c>
      <c r="O6353" s="10" t="str">
        <f>HYPERLINK("https://pbs.twimg.com/profile_images/378800000572104796/1de43e1cf23efb3f4101c02afad0d3b6_normal.png","View")</f>
        <v>View</v>
      </c>
      <c r="P6353" s="11"/>
    </row>
    <row r="6354" spans="1:16" ht="12.75" x14ac:dyDescent="0.35">
      <c r="A6354" s="7">
        <v>42484.006331018521</v>
      </c>
      <c r="B6354" s="8" t="str">
        <f>HYPERLINK("https://twitter.com/AutosRivada","@AutosRivada")</f>
        <v>@AutosRivada</v>
      </c>
      <c r="C6354" s="9" t="s">
        <v>14413</v>
      </c>
      <c r="D6354" s="9" t="s">
        <v>14414</v>
      </c>
      <c r="E6354" s="10" t="str">
        <f>HYPERLINK("https://twitter.com/AutosRivada/status/723944306822811648","723944306822811648")</f>
        <v>723944306822811648</v>
      </c>
      <c r="F6354" s="11" t="s">
        <v>114</v>
      </c>
      <c r="G6354" s="11">
        <v>57</v>
      </c>
      <c r="H6354" s="11">
        <v>109</v>
      </c>
      <c r="I6354" s="11">
        <v>0</v>
      </c>
      <c r="J6354" s="11">
        <v>0</v>
      </c>
      <c r="K6354" s="11" t="s">
        <v>21</v>
      </c>
      <c r="L6354" s="7">
        <v>41057.945879629631</v>
      </c>
      <c r="M6354" s="12" t="s">
        <v>14415</v>
      </c>
      <c r="N6354" s="12" t="s">
        <v>14416</v>
      </c>
      <c r="O6354" s="10" t="str">
        <f>HYPERLINK("https://pbs.twimg.com/profile_images/685389634898128896/xiku8joF_normal.jpg","View")</f>
        <v>View</v>
      </c>
      <c r="P6354" s="10" t="str">
        <f>HYPERLINK("http://ctrlq.org/maps/address/#42.1713091,-8.6190843","Map")</f>
        <v>Map</v>
      </c>
    </row>
    <row r="6355" spans="1:16" ht="12.75" x14ac:dyDescent="0.35">
      <c r="A6355" s="7">
        <v>42484.006689814814</v>
      </c>
      <c r="B6355" s="8" t="str">
        <f>HYPERLINK("https://twitter.com/hashtagvanlife","@hashtagvanlife")</f>
        <v>@hashtagvanlife</v>
      </c>
      <c r="C6355" s="9" t="s">
        <v>187</v>
      </c>
      <c r="D6355" s="9" t="s">
        <v>14412</v>
      </c>
      <c r="E6355" s="10" t="str">
        <f>HYPERLINK("https://twitter.com/hashtagvanlife/status/723944437626339328","723944437626339328")</f>
        <v>723944437626339328</v>
      </c>
      <c r="F6355" s="11" t="s">
        <v>189</v>
      </c>
      <c r="G6355" s="11">
        <v>1024</v>
      </c>
      <c r="H6355" s="11">
        <v>29</v>
      </c>
      <c r="I6355" s="11">
        <v>2</v>
      </c>
      <c r="J6355" s="11">
        <v>0</v>
      </c>
      <c r="K6355" s="11" t="s">
        <v>21</v>
      </c>
      <c r="L6355" s="7">
        <v>42289.994583333333</v>
      </c>
      <c r="M6355" s="12"/>
      <c r="N6355" s="12" t="s">
        <v>190</v>
      </c>
      <c r="O6355" s="10" t="str">
        <f>HYPERLINK("https://pbs.twimg.com/profile_images/653637535545995264/gHuXQ5Bt_normal.jpg","View")</f>
        <v>View</v>
      </c>
      <c r="P6355" s="11"/>
    </row>
    <row r="6356" spans="1:16" ht="12.75" x14ac:dyDescent="0.35">
      <c r="A6356" s="7">
        <v>42484.007118055553</v>
      </c>
      <c r="B6356" s="8" t="str">
        <f>HYPERLINK("https://twitter.com/EverCharge","@EverCharge")</f>
        <v>@EverCharge</v>
      </c>
      <c r="C6356" s="9" t="s">
        <v>256</v>
      </c>
      <c r="D6356" s="9" t="s">
        <v>14417</v>
      </c>
      <c r="E6356" s="10" t="str">
        <f>HYPERLINK("https://twitter.com/EverCharge/status/723944590403899392","723944590403899392")</f>
        <v>723944590403899392</v>
      </c>
      <c r="F6356" s="11" t="s">
        <v>80</v>
      </c>
      <c r="G6356" s="11">
        <v>10740</v>
      </c>
      <c r="H6356" s="11">
        <v>5363</v>
      </c>
      <c r="I6356" s="11">
        <v>0</v>
      </c>
      <c r="J6356" s="11">
        <v>1</v>
      </c>
      <c r="K6356" s="11" t="s">
        <v>21</v>
      </c>
      <c r="L6356" s="7">
        <v>40967.35564814815</v>
      </c>
      <c r="M6356" s="12" t="s">
        <v>244</v>
      </c>
      <c r="N6356" s="12" t="s">
        <v>14418</v>
      </c>
      <c r="O6356" s="10" t="str">
        <f>HYPERLINK("https://pbs.twimg.com/profile_images/662690618221555712/8SCotH6T_normal.jpg","View")</f>
        <v>View</v>
      </c>
      <c r="P6356" s="11"/>
    </row>
    <row r="6357" spans="1:16" ht="12.75" x14ac:dyDescent="0.35">
      <c r="A6357" s="7">
        <v>42484.0075462963</v>
      </c>
      <c r="B6357" s="8" t="str">
        <f>HYPERLINK("https://twitter.com/hashtagvanlife","@hashtagvanlife")</f>
        <v>@hashtagvanlife</v>
      </c>
      <c r="C6357" s="9" t="s">
        <v>187</v>
      </c>
      <c r="D6357" s="9" t="s">
        <v>14419</v>
      </c>
      <c r="E6357" s="10" t="str">
        <f>HYPERLINK("https://twitter.com/hashtagvanlife/status/723944748688543744","723944748688543744")</f>
        <v>723944748688543744</v>
      </c>
      <c r="F6357" s="11" t="s">
        <v>189</v>
      </c>
      <c r="G6357" s="11">
        <v>1024</v>
      </c>
      <c r="H6357" s="11">
        <v>29</v>
      </c>
      <c r="I6357" s="11">
        <v>1</v>
      </c>
      <c r="J6357" s="11">
        <v>0</v>
      </c>
      <c r="K6357" s="11" t="s">
        <v>21</v>
      </c>
      <c r="L6357" s="7">
        <v>42289.994583333333</v>
      </c>
      <c r="M6357" s="12"/>
      <c r="N6357" s="12" t="s">
        <v>190</v>
      </c>
      <c r="O6357" s="10" t="str">
        <f>HYPERLINK("https://pbs.twimg.com/profile_images/653637535545995264/gHuXQ5Bt_normal.jpg","View")</f>
        <v>View</v>
      </c>
      <c r="P6357" s="11"/>
    </row>
    <row r="6358" spans="1:16" ht="12.75" x14ac:dyDescent="0.35">
      <c r="A6358" s="7">
        <v>42484.007581018523</v>
      </c>
      <c r="B6358" s="8" t="str">
        <f>HYPERLINK("https://twitter.com/TheHippieVanMan","@TheHippieVanMan")</f>
        <v>@TheHippieVanMan</v>
      </c>
      <c r="C6358" s="9" t="s">
        <v>14405</v>
      </c>
      <c r="D6358" s="9" t="s">
        <v>14420</v>
      </c>
      <c r="E6358" s="10" t="str">
        <f>HYPERLINK("https://twitter.com/TheHippieVanMan/status/723944757265874944","723944757265874944")</f>
        <v>723944757265874944</v>
      </c>
      <c r="F6358" s="11" t="s">
        <v>114</v>
      </c>
      <c r="G6358" s="11">
        <v>1646</v>
      </c>
      <c r="H6358" s="11">
        <v>1556</v>
      </c>
      <c r="I6358" s="11">
        <v>0</v>
      </c>
      <c r="J6358" s="11">
        <v>0</v>
      </c>
      <c r="K6358" s="11" t="s">
        <v>21</v>
      </c>
      <c r="L6358" s="7">
        <v>41253.419062499997</v>
      </c>
      <c r="M6358" s="12" t="s">
        <v>3097</v>
      </c>
      <c r="N6358" s="12" t="s">
        <v>14407</v>
      </c>
      <c r="O6358" s="10" t="str">
        <f>HYPERLINK("https://pbs.twimg.com/profile_images/3247035045/9844e9d67157e05905c827333dbfa0ee_normal.jpeg","View")</f>
        <v>View</v>
      </c>
      <c r="P6358" s="11"/>
    </row>
    <row r="6359" spans="1:16" ht="12.75" x14ac:dyDescent="0.35">
      <c r="A6359" s="7">
        <v>42484.007743055554</v>
      </c>
      <c r="B6359" s="8" t="str">
        <f>HYPERLINK("https://twitter.com/ukoepke","@ukoepke")</f>
        <v>@ukoepke</v>
      </c>
      <c r="C6359" s="9" t="s">
        <v>10099</v>
      </c>
      <c r="D6359" s="9" t="s">
        <v>7144</v>
      </c>
      <c r="E6359" s="10" t="str">
        <f>HYPERLINK("https://twitter.com/ukoepke/status/723944819505139712","723944819505139712")</f>
        <v>723944819505139712</v>
      </c>
      <c r="F6359" s="11" t="s">
        <v>43</v>
      </c>
      <c r="G6359" s="11">
        <v>150</v>
      </c>
      <c r="H6359" s="11">
        <v>440</v>
      </c>
      <c r="I6359" s="11">
        <v>7</v>
      </c>
      <c r="J6359" s="11">
        <v>0</v>
      </c>
      <c r="K6359" s="11" t="s">
        <v>21</v>
      </c>
      <c r="L6359" s="7">
        <v>39984.897511574076</v>
      </c>
      <c r="M6359" s="12" t="s">
        <v>1359</v>
      </c>
      <c r="N6359" s="12"/>
      <c r="O6359" s="10" t="str">
        <f>HYPERLINK("https://pbs.twimg.com/profile_images/617758971861037056/Nj6rNKM3_normal.jpg","View")</f>
        <v>View</v>
      </c>
      <c r="P6359" s="11"/>
    </row>
    <row r="6360" spans="1:16" ht="12.75" x14ac:dyDescent="0.35">
      <c r="A6360" s="7">
        <v>42484.008506944447</v>
      </c>
      <c r="B6360" s="8" t="str">
        <f>HYPERLINK("https://twitter.com/hashtagvanlife","@hashtagvanlife")</f>
        <v>@hashtagvanlife</v>
      </c>
      <c r="C6360" s="9" t="s">
        <v>187</v>
      </c>
      <c r="D6360" s="9" t="s">
        <v>14421</v>
      </c>
      <c r="E6360" s="10" t="str">
        <f>HYPERLINK("https://twitter.com/hashtagvanlife/status/723945096828321792","723945096828321792")</f>
        <v>723945096828321792</v>
      </c>
      <c r="F6360" s="11" t="s">
        <v>189</v>
      </c>
      <c r="G6360" s="11">
        <v>1024</v>
      </c>
      <c r="H6360" s="11">
        <v>29</v>
      </c>
      <c r="I6360" s="11">
        <v>1</v>
      </c>
      <c r="J6360" s="11">
        <v>0</v>
      </c>
      <c r="K6360" s="11" t="s">
        <v>21</v>
      </c>
      <c r="L6360" s="7">
        <v>42289.994583333333</v>
      </c>
      <c r="M6360" s="12"/>
      <c r="N6360" s="12" t="s">
        <v>190</v>
      </c>
      <c r="O6360" s="10" t="str">
        <f>HYPERLINK("https://pbs.twimg.com/profile_images/653637535545995264/gHuXQ5Bt_normal.jpg","View")</f>
        <v>View</v>
      </c>
      <c r="P6360" s="11"/>
    </row>
    <row r="6361" spans="1:16" ht="12.75" x14ac:dyDescent="0.35">
      <c r="A6361" s="7">
        <v>42484.009189814809</v>
      </c>
      <c r="B6361" s="8" t="str">
        <f>HYPERLINK("https://twitter.com/khilogram","@khilogram")</f>
        <v>@khilogram</v>
      </c>
      <c r="C6361" s="9" t="s">
        <v>28</v>
      </c>
      <c r="D6361" s="9" t="s">
        <v>14422</v>
      </c>
      <c r="E6361" s="10" t="str">
        <f>HYPERLINK("https://twitter.com/khilogram/status/723945340177645569","723945340177645569")</f>
        <v>723945340177645569</v>
      </c>
      <c r="F6361" s="11" t="s">
        <v>20</v>
      </c>
      <c r="G6361" s="11">
        <v>867</v>
      </c>
      <c r="H6361" s="11">
        <v>363</v>
      </c>
      <c r="I6361" s="11">
        <v>1</v>
      </c>
      <c r="J6361" s="11">
        <v>0</v>
      </c>
      <c r="K6361" s="11" t="s">
        <v>21</v>
      </c>
      <c r="L6361" s="7">
        <v>40344.445416666669</v>
      </c>
      <c r="M6361" s="12" t="s">
        <v>30</v>
      </c>
      <c r="N6361" s="12" t="s">
        <v>31</v>
      </c>
      <c r="O6361" s="10" t="str">
        <f>HYPERLINK("https://pbs.twimg.com/profile_images/721573146306830337/ZW0NIcS2_normal.jpg","View")</f>
        <v>View</v>
      </c>
      <c r="P6361" s="11"/>
    </row>
    <row r="6362" spans="1:16" ht="12.75" x14ac:dyDescent="0.35">
      <c r="A6362" s="7">
        <v>42484.009583333333</v>
      </c>
      <c r="B6362" s="8" t="str">
        <f>HYPERLINK("https://twitter.com/Kudos_To_You","@Kudos_To_You")</f>
        <v>@Kudos_To_You</v>
      </c>
      <c r="C6362" s="9" t="s">
        <v>14423</v>
      </c>
      <c r="D6362" s="9" t="s">
        <v>14424</v>
      </c>
      <c r="E6362" s="10" t="str">
        <f>HYPERLINK("https://twitter.com/Kudos_To_You/status/723945484826599425","723945484826599425")</f>
        <v>723945484826599425</v>
      </c>
      <c r="F6362" s="11" t="s">
        <v>48</v>
      </c>
      <c r="G6362" s="11">
        <v>307</v>
      </c>
      <c r="H6362" s="11">
        <v>300</v>
      </c>
      <c r="I6362" s="11">
        <v>1</v>
      </c>
      <c r="J6362" s="11">
        <v>0</v>
      </c>
      <c r="K6362" s="11" t="s">
        <v>21</v>
      </c>
      <c r="L6362" s="7">
        <v>41644.279282407406</v>
      </c>
      <c r="M6362" s="12"/>
      <c r="N6362" s="12" t="s">
        <v>14425</v>
      </c>
      <c r="O6362" s="10" t="str">
        <f>HYPERLINK("https://pbs.twimg.com/profile_images/722885411622690818/9xe1mfDl_normal.jpg","View")</f>
        <v>View</v>
      </c>
      <c r="P6362" s="11"/>
    </row>
    <row r="6363" spans="1:16" ht="12.75" x14ac:dyDescent="0.35">
      <c r="A6363" s="7">
        <v>42484.009942129633</v>
      </c>
      <c r="B6363" s="8" t="str">
        <f>HYPERLINK("https://twitter.com/AliSco72","@AliSco72")</f>
        <v>@AliSco72</v>
      </c>
      <c r="C6363" s="9" t="s">
        <v>14426</v>
      </c>
      <c r="D6363" s="9" t="s">
        <v>14427</v>
      </c>
      <c r="E6363" s="10" t="str">
        <f>HYPERLINK("https://twitter.com/AliSco72/status/723945615256891393","723945615256891393")</f>
        <v>723945615256891393</v>
      </c>
      <c r="F6363" s="11" t="s">
        <v>43</v>
      </c>
      <c r="G6363" s="11">
        <v>36</v>
      </c>
      <c r="H6363" s="11">
        <v>103</v>
      </c>
      <c r="I6363" s="11">
        <v>0</v>
      </c>
      <c r="J6363" s="11">
        <v>0</v>
      </c>
      <c r="K6363" s="11" t="s">
        <v>21</v>
      </c>
      <c r="L6363" s="7">
        <v>42423.659803240742</v>
      </c>
      <c r="M6363" s="12"/>
      <c r="N6363" s="12"/>
      <c r="O6363" s="10" t="str">
        <f>HYPERLINK("https://pbs.twimg.com/profile_images/702076247141122048/w-ws0Q67_normal.jpg","View")</f>
        <v>View</v>
      </c>
      <c r="P6363" s="11"/>
    </row>
    <row r="6364" spans="1:16" ht="12.75" x14ac:dyDescent="0.35">
      <c r="A6364" s="7">
        <v>42484.010671296295</v>
      </c>
      <c r="B6364" s="8" t="str">
        <f>HYPERLINK("https://twitter.com/spicyfknrob","@spicyfknrob")</f>
        <v>@spicyfknrob</v>
      </c>
      <c r="C6364" s="9" t="s">
        <v>14428</v>
      </c>
      <c r="D6364" s="9" t="s">
        <v>14429</v>
      </c>
      <c r="E6364" s="10" t="str">
        <f>HYPERLINK("https://twitter.com/spicyfknrob/status/723945881054121985","723945881054121985")</f>
        <v>723945881054121985</v>
      </c>
      <c r="F6364" s="11" t="s">
        <v>114</v>
      </c>
      <c r="G6364" s="11">
        <v>347</v>
      </c>
      <c r="H6364" s="11">
        <v>534</v>
      </c>
      <c r="I6364" s="11">
        <v>0</v>
      </c>
      <c r="J6364" s="11">
        <v>0</v>
      </c>
      <c r="K6364" s="11" t="s">
        <v>21</v>
      </c>
      <c r="L6364" s="7">
        <v>40119.226678240739</v>
      </c>
      <c r="M6364" s="12"/>
      <c r="N6364" s="12" t="s">
        <v>14430</v>
      </c>
      <c r="O6364" s="10" t="str">
        <f>HYPERLINK("https://pbs.twimg.com/profile_images/412739817621831680/jImjKPLq_normal.jpeg","View")</f>
        <v>View</v>
      </c>
      <c r="P6364" s="11"/>
    </row>
    <row r="6365" spans="1:16" ht="12.75" x14ac:dyDescent="0.35">
      <c r="A6365" s="7">
        <v>42484.011238425926</v>
      </c>
      <c r="B6365" s="8" t="str">
        <f>HYPERLINK("https://twitter.com/HueySupreme_","@HueySupreme_")</f>
        <v>@HueySupreme_</v>
      </c>
      <c r="C6365" s="9" t="s">
        <v>14431</v>
      </c>
      <c r="D6365" s="9" t="s">
        <v>14424</v>
      </c>
      <c r="E6365" s="10" t="str">
        <f>HYPERLINK("https://twitter.com/HueySupreme_/status/723946086197542912","723946086197542912")</f>
        <v>723946086197542912</v>
      </c>
      <c r="F6365" s="11" t="s">
        <v>20</v>
      </c>
      <c r="G6365" s="11">
        <v>1480</v>
      </c>
      <c r="H6365" s="11">
        <v>426</v>
      </c>
      <c r="I6365" s="11">
        <v>3</v>
      </c>
      <c r="J6365" s="11">
        <v>0</v>
      </c>
      <c r="K6365" s="11" t="s">
        <v>21</v>
      </c>
      <c r="L6365" s="7">
        <v>40190.200208333335</v>
      </c>
      <c r="M6365" s="12" t="s">
        <v>14432</v>
      </c>
      <c r="N6365" s="12" t="s">
        <v>14433</v>
      </c>
      <c r="O6365" s="10" t="str">
        <f>HYPERLINK("https://pbs.twimg.com/profile_images/722272615197446144/dz1hIDzD_normal.jpg","View")</f>
        <v>View</v>
      </c>
      <c r="P6365" s="11"/>
    </row>
    <row r="6366" spans="1:16" ht="12.75" x14ac:dyDescent="0.35">
      <c r="A6366" s="7">
        <v>42484.011817129634</v>
      </c>
      <c r="B6366" s="8" t="str">
        <f>HYPERLINK("https://twitter.com/wob_zwoelfter","@wob_zwoelfter")</f>
        <v>@wob_zwoelfter</v>
      </c>
      <c r="C6366" s="9" t="s">
        <v>14434</v>
      </c>
      <c r="D6366" s="9" t="s">
        <v>14435</v>
      </c>
      <c r="E6366" s="10" t="str">
        <f>HYPERLINK("https://twitter.com/wob_zwoelfter/status/723946294767706112","723946294767706112")</f>
        <v>723946294767706112</v>
      </c>
      <c r="F6366" s="11" t="s">
        <v>152</v>
      </c>
      <c r="G6366" s="11">
        <v>88</v>
      </c>
      <c r="H6366" s="11">
        <v>728</v>
      </c>
      <c r="I6366" s="11">
        <v>0</v>
      </c>
      <c r="J6366" s="11">
        <v>0</v>
      </c>
      <c r="K6366" s="11" t="s">
        <v>21</v>
      </c>
      <c r="L6366" s="7">
        <v>42436.862268518518</v>
      </c>
      <c r="M6366" s="12" t="s">
        <v>2907</v>
      </c>
      <c r="N6366" s="12" t="s">
        <v>14436</v>
      </c>
      <c r="O6366" s="10" t="str">
        <f>HYPERLINK("https://pbs.twimg.com/profile_images/706860886208684032/10d4xY0F_normal.jpg","View")</f>
        <v>View</v>
      </c>
      <c r="P6366" s="11"/>
    </row>
    <row r="6367" spans="1:16" ht="12.75" x14ac:dyDescent="0.35">
      <c r="A6367" s="7">
        <v>42484.011874999997</v>
      </c>
      <c r="B6367" s="8" t="str">
        <f t="shared" ref="B6367:B6368" si="555">HYPERLINK("https://twitter.com/DubLuvTuning","@DubLuvTuning")</f>
        <v>@DubLuvTuning</v>
      </c>
      <c r="C6367" s="9" t="s">
        <v>299</v>
      </c>
      <c r="D6367" s="9" t="s">
        <v>14419</v>
      </c>
      <c r="E6367" s="10" t="str">
        <f>HYPERLINK("https://twitter.com/DubLuvTuning/status/723946316502585345","723946316502585345")</f>
        <v>723946316502585345</v>
      </c>
      <c r="F6367" s="11" t="s">
        <v>288</v>
      </c>
      <c r="G6367" s="11">
        <v>690</v>
      </c>
      <c r="H6367" s="11">
        <v>430</v>
      </c>
      <c r="I6367" s="11">
        <v>2</v>
      </c>
      <c r="J6367" s="11">
        <v>0</v>
      </c>
      <c r="K6367" s="11" t="s">
        <v>21</v>
      </c>
      <c r="L6367" s="7">
        <v>41549.898287037038</v>
      </c>
      <c r="M6367" s="12" t="s">
        <v>301</v>
      </c>
      <c r="N6367" s="12" t="s">
        <v>302</v>
      </c>
      <c r="O6367" s="10" t="str">
        <f t="shared" ref="O6367:O6368" si="556">HYPERLINK("https://pbs.twimg.com/profile_images/378800000572104796/1de43e1cf23efb3f4101c02afad0d3b6_normal.png","View")</f>
        <v>View</v>
      </c>
      <c r="P6367" s="11"/>
    </row>
    <row r="6368" spans="1:16" ht="12.75" x14ac:dyDescent="0.35">
      <c r="A6368" s="7">
        <v>42484.011886574073</v>
      </c>
      <c r="B6368" s="8" t="str">
        <f t="shared" si="555"/>
        <v>@DubLuvTuning</v>
      </c>
      <c r="C6368" s="9" t="s">
        <v>299</v>
      </c>
      <c r="D6368" s="9" t="s">
        <v>14437</v>
      </c>
      <c r="E6368" s="10" t="str">
        <f>HYPERLINK("https://twitter.com/DubLuvTuning/status/723946318293512193","723946318293512193")</f>
        <v>723946318293512193</v>
      </c>
      <c r="F6368" s="11" t="s">
        <v>288</v>
      </c>
      <c r="G6368" s="11">
        <v>690</v>
      </c>
      <c r="H6368" s="11">
        <v>430</v>
      </c>
      <c r="I6368" s="11">
        <v>1</v>
      </c>
      <c r="J6368" s="11">
        <v>0</v>
      </c>
      <c r="K6368" s="11" t="s">
        <v>21</v>
      </c>
      <c r="L6368" s="7">
        <v>41549.898287037038</v>
      </c>
      <c r="M6368" s="12" t="s">
        <v>301</v>
      </c>
      <c r="N6368" s="12" t="s">
        <v>302</v>
      </c>
      <c r="O6368" s="10" t="str">
        <f t="shared" si="556"/>
        <v>View</v>
      </c>
      <c r="P6368" s="11"/>
    </row>
    <row r="6369" spans="1:16" ht="12.75" x14ac:dyDescent="0.35">
      <c r="A6369" s="7">
        <v>42484.01189814815</v>
      </c>
      <c r="B6369" s="8" t="str">
        <f>HYPERLINK("https://twitter.com/VWsightings","@VWsightings")</f>
        <v>@VWsightings</v>
      </c>
      <c r="C6369" s="9" t="s">
        <v>893</v>
      </c>
      <c r="D6369" s="9" t="s">
        <v>14438</v>
      </c>
      <c r="E6369" s="10" t="str">
        <f>HYPERLINK("https://twitter.com/VWsightings/status/723946322483642368","723946322483642368")</f>
        <v>723946322483642368</v>
      </c>
      <c r="F6369" s="11" t="s">
        <v>91</v>
      </c>
      <c r="G6369" s="11">
        <v>4856</v>
      </c>
      <c r="H6369" s="11">
        <v>4856</v>
      </c>
      <c r="I6369" s="11">
        <v>1</v>
      </c>
      <c r="J6369" s="11">
        <v>0</v>
      </c>
      <c r="K6369" s="11" t="s">
        <v>21</v>
      </c>
      <c r="L6369" s="7">
        <v>41589.461446759262</v>
      </c>
      <c r="M6369" s="12" t="s">
        <v>895</v>
      </c>
      <c r="N6369" s="12" t="s">
        <v>896</v>
      </c>
      <c r="O6369" s="10" t="str">
        <f>HYPERLINK("https://pbs.twimg.com/profile_images/378800000854855954/0d555726054b01e3c9d6b5241432dc4a_normal.jpeg","View")</f>
        <v>View</v>
      </c>
      <c r="P6369" s="11"/>
    </row>
    <row r="6370" spans="1:16" ht="12.75" x14ac:dyDescent="0.35">
      <c r="A6370" s="7">
        <v>42484.014027777783</v>
      </c>
      <c r="B6370" s="8" t="str">
        <f>HYPERLINK("https://twitter.com/jallen1299","@jallen1299")</f>
        <v>@jallen1299</v>
      </c>
      <c r="C6370" s="9" t="s">
        <v>14439</v>
      </c>
      <c r="D6370" s="9" t="s">
        <v>14073</v>
      </c>
      <c r="E6370" s="10" t="str">
        <f>HYPERLINK("https://twitter.com/jallen1299/status/723947094554238976","723947094554238976")</f>
        <v>723947094554238976</v>
      </c>
      <c r="F6370" s="11" t="s">
        <v>48</v>
      </c>
      <c r="G6370" s="11">
        <v>20</v>
      </c>
      <c r="H6370" s="11">
        <v>66</v>
      </c>
      <c r="I6370" s="11">
        <v>20</v>
      </c>
      <c r="J6370" s="11">
        <v>0</v>
      </c>
      <c r="K6370" s="11" t="s">
        <v>21</v>
      </c>
      <c r="L6370" s="7">
        <v>41475.065960648149</v>
      </c>
      <c r="M6370" s="12" t="s">
        <v>14440</v>
      </c>
      <c r="N6370" s="12"/>
      <c r="O6370" s="10" t="str">
        <f>HYPERLINK("https://abs.twimg.com/sticky/default_profile_images/default_profile_1_normal.png","View")</f>
        <v>View</v>
      </c>
      <c r="P6370" s="11"/>
    </row>
    <row r="6371" spans="1:16" ht="12.75" x14ac:dyDescent="0.35">
      <c r="A6371" s="7">
        <v>42484.014340277776</v>
      </c>
      <c r="B6371" s="8" t="str">
        <f>HYPERLINK("https://twitter.com/AL_DOMS","@AL_DOMS")</f>
        <v>@AL_DOMS</v>
      </c>
      <c r="C6371" s="9" t="s">
        <v>14441</v>
      </c>
      <c r="D6371" s="9" t="s">
        <v>14424</v>
      </c>
      <c r="E6371" s="10" t="str">
        <f>HYPERLINK("https://twitter.com/AL_DOMS/status/723947207783792640","723947207783792640")</f>
        <v>723947207783792640</v>
      </c>
      <c r="F6371" s="11" t="s">
        <v>20</v>
      </c>
      <c r="G6371" s="11">
        <v>2231</v>
      </c>
      <c r="H6371" s="11">
        <v>803</v>
      </c>
      <c r="I6371" s="11">
        <v>3</v>
      </c>
      <c r="J6371" s="11">
        <v>0</v>
      </c>
      <c r="K6371" s="11" t="s">
        <v>21</v>
      </c>
      <c r="L6371" s="7">
        <v>40494.382060185184</v>
      </c>
      <c r="M6371" s="12" t="s">
        <v>14442</v>
      </c>
      <c r="N6371" s="12" t="s">
        <v>14443</v>
      </c>
      <c r="O6371" s="10" t="str">
        <f>HYPERLINK("https://pbs.twimg.com/profile_images/710803755902607360/IGxD4V0u_normal.jpg","View")</f>
        <v>View</v>
      </c>
      <c r="P6371" s="11"/>
    </row>
    <row r="6372" spans="1:16" ht="12.75" x14ac:dyDescent="0.35">
      <c r="A6372" s="7">
        <v>42484.015902777777</v>
      </c>
      <c r="B6372" s="8" t="str">
        <f t="shared" ref="B6372:B6373" si="557">HYPERLINK("https://twitter.com/VolkswagenPost","@VolkswagenPost")</f>
        <v>@VolkswagenPost</v>
      </c>
      <c r="C6372" s="9" t="s">
        <v>321</v>
      </c>
      <c r="D6372" s="9" t="s">
        <v>14444</v>
      </c>
      <c r="E6372" s="10" t="str">
        <f>HYPERLINK("https://twitter.com/VolkswagenPost/status/723947774106988546","723947774106988546")</f>
        <v>723947774106988546</v>
      </c>
      <c r="F6372" s="11" t="s">
        <v>34</v>
      </c>
      <c r="G6372" s="11">
        <v>570</v>
      </c>
      <c r="H6372" s="11">
        <v>446</v>
      </c>
      <c r="I6372" s="11">
        <v>0</v>
      </c>
      <c r="J6372" s="11">
        <v>0</v>
      </c>
      <c r="K6372" s="11" t="s">
        <v>21</v>
      </c>
      <c r="L6372" s="7">
        <v>41940.618379629632</v>
      </c>
      <c r="M6372" s="12"/>
      <c r="N6372" s="12"/>
      <c r="O6372" s="10" t="str">
        <f t="shared" ref="O6372:O6373" si="558">HYPERLINK("https://pbs.twimg.com/profile_images/530071272881803264/a_jcCmPZ_normal.png","View")</f>
        <v>View</v>
      </c>
      <c r="P6372" s="11"/>
    </row>
    <row r="6373" spans="1:16" ht="12.75" x14ac:dyDescent="0.35">
      <c r="A6373" s="7">
        <v>42484.015902777777</v>
      </c>
      <c r="B6373" s="8" t="str">
        <f t="shared" si="557"/>
        <v>@VolkswagenPost</v>
      </c>
      <c r="C6373" s="9" t="s">
        <v>321</v>
      </c>
      <c r="D6373" s="9" t="s">
        <v>14445</v>
      </c>
      <c r="E6373" s="10" t="str">
        <f>HYPERLINK("https://twitter.com/VolkswagenPost/status/723947775004549120","723947775004549120")</f>
        <v>723947775004549120</v>
      </c>
      <c r="F6373" s="11" t="s">
        <v>34</v>
      </c>
      <c r="G6373" s="11">
        <v>570</v>
      </c>
      <c r="H6373" s="11">
        <v>446</v>
      </c>
      <c r="I6373" s="11">
        <v>0</v>
      </c>
      <c r="J6373" s="11">
        <v>0</v>
      </c>
      <c r="K6373" s="11" t="s">
        <v>21</v>
      </c>
      <c r="L6373" s="7">
        <v>41940.618379629632</v>
      </c>
      <c r="M6373" s="12"/>
      <c r="N6373" s="12"/>
      <c r="O6373" s="10" t="str">
        <f t="shared" si="558"/>
        <v>View</v>
      </c>
      <c r="P6373" s="11"/>
    </row>
    <row r="6374" spans="1:16" ht="12.75" x14ac:dyDescent="0.35">
      <c r="A6374" s="7">
        <v>42484.01829861111</v>
      </c>
      <c r="B6374" s="8" t="str">
        <f>HYPERLINK("https://twitter.com/TheHippieVanMan","@TheHippieVanMan")</f>
        <v>@TheHippieVanMan</v>
      </c>
      <c r="C6374" s="9" t="s">
        <v>14405</v>
      </c>
      <c r="D6374" s="9" t="s">
        <v>14446</v>
      </c>
      <c r="E6374" s="10" t="str">
        <f>HYPERLINK("https://twitter.com/TheHippieVanMan/status/723948641682112512","723948641682112512")</f>
        <v>723948641682112512</v>
      </c>
      <c r="F6374" s="11" t="s">
        <v>114</v>
      </c>
      <c r="G6374" s="11">
        <v>1646</v>
      </c>
      <c r="H6374" s="11">
        <v>1560</v>
      </c>
      <c r="I6374" s="11">
        <v>1</v>
      </c>
      <c r="J6374" s="11">
        <v>0</v>
      </c>
      <c r="K6374" s="11" t="s">
        <v>21</v>
      </c>
      <c r="L6374" s="7">
        <v>41253.419062499997</v>
      </c>
      <c r="M6374" s="12" t="s">
        <v>3097</v>
      </c>
      <c r="N6374" s="12" t="s">
        <v>14407</v>
      </c>
      <c r="O6374" s="10" t="str">
        <f>HYPERLINK("https://pbs.twimg.com/profile_images/3247035045/9844e9d67157e05905c827333dbfa0ee_normal.jpeg","View")</f>
        <v>View</v>
      </c>
      <c r="P6374" s="11"/>
    </row>
    <row r="6375" spans="1:16" ht="12.75" x14ac:dyDescent="0.35">
      <c r="A6375" s="7">
        <v>42484.019328703704</v>
      </c>
      <c r="B6375" s="8" t="str">
        <f>HYPERLINK("https://twitter.com/LulubelleLimoVW","@LulubelleLimoVW")</f>
        <v>@LulubelleLimoVW</v>
      </c>
      <c r="C6375" s="9" t="s">
        <v>14447</v>
      </c>
      <c r="D6375" s="9" t="s">
        <v>14448</v>
      </c>
      <c r="E6375" s="10" t="str">
        <f>HYPERLINK("https://twitter.com/LulubelleLimoVW/status/723949014740295680","723949014740295680")</f>
        <v>723949014740295680</v>
      </c>
      <c r="F6375" s="11" t="s">
        <v>48</v>
      </c>
      <c r="G6375" s="11">
        <v>838</v>
      </c>
      <c r="H6375" s="11">
        <v>2707</v>
      </c>
      <c r="I6375" s="11">
        <v>0</v>
      </c>
      <c r="J6375" s="11">
        <v>0</v>
      </c>
      <c r="K6375" s="11" t="s">
        <v>21</v>
      </c>
      <c r="L6375" s="7">
        <v>42411.141666666663</v>
      </c>
      <c r="M6375" s="12" t="s">
        <v>14449</v>
      </c>
      <c r="N6375" s="12" t="s">
        <v>14450</v>
      </c>
      <c r="O6375" s="10" t="str">
        <f>HYPERLINK("https://pbs.twimg.com/profile_images/697539834840268800/fIANhnLA_normal.jpg","View")</f>
        <v>View</v>
      </c>
      <c r="P6375" s="11"/>
    </row>
    <row r="6376" spans="1:16" ht="12.75" x14ac:dyDescent="0.35">
      <c r="A6376" s="7">
        <v>42484.019432870366</v>
      </c>
      <c r="B6376" s="8" t="str">
        <f>HYPERLINK("https://twitter.com/DubLuvTuning","@DubLuvTuning")</f>
        <v>@DubLuvTuning</v>
      </c>
      <c r="C6376" s="9" t="s">
        <v>299</v>
      </c>
      <c r="D6376" s="9" t="s">
        <v>14451</v>
      </c>
      <c r="E6376" s="10" t="str">
        <f>HYPERLINK("https://twitter.com/DubLuvTuning/status/723949056142225408","723949056142225408")</f>
        <v>723949056142225408</v>
      </c>
      <c r="F6376" s="11" t="s">
        <v>288</v>
      </c>
      <c r="G6376" s="11">
        <v>690</v>
      </c>
      <c r="H6376" s="11">
        <v>430</v>
      </c>
      <c r="I6376" s="11">
        <v>1</v>
      </c>
      <c r="J6376" s="11">
        <v>0</v>
      </c>
      <c r="K6376" s="11" t="s">
        <v>21</v>
      </c>
      <c r="L6376" s="7">
        <v>41549.898287037038</v>
      </c>
      <c r="M6376" s="12" t="s">
        <v>301</v>
      </c>
      <c r="N6376" s="12" t="s">
        <v>302</v>
      </c>
      <c r="O6376" s="10" t="str">
        <f>HYPERLINK("https://pbs.twimg.com/profile_images/378800000572104796/1de43e1cf23efb3f4101c02afad0d3b6_normal.png","View")</f>
        <v>View</v>
      </c>
      <c r="P6376" s="11"/>
    </row>
    <row r="6377" spans="1:16" ht="12.75" x14ac:dyDescent="0.35">
      <c r="A6377" s="7">
        <v>42484.020462962959</v>
      </c>
      <c r="B6377" s="8" t="str">
        <f t="shared" ref="B6377:B6378" si="559">HYPERLINK("https://twitter.com/dapper013","@dapper013")</f>
        <v>@dapper013</v>
      </c>
      <c r="C6377" s="9" t="s">
        <v>1567</v>
      </c>
      <c r="D6377" s="9" t="s">
        <v>14452</v>
      </c>
      <c r="E6377" s="10" t="str">
        <f>HYPERLINK("https://twitter.com/dapper013/status/723949427375878145","723949427375878145")</f>
        <v>723949427375878145</v>
      </c>
      <c r="F6377" s="11" t="s">
        <v>48</v>
      </c>
      <c r="G6377" s="11">
        <v>291</v>
      </c>
      <c r="H6377" s="11">
        <v>304</v>
      </c>
      <c r="I6377" s="11">
        <v>0</v>
      </c>
      <c r="J6377" s="11">
        <v>0</v>
      </c>
      <c r="K6377" s="11" t="s">
        <v>21</v>
      </c>
      <c r="L6377" s="7">
        <v>40871.767500000002</v>
      </c>
      <c r="M6377" s="12" t="s">
        <v>1569</v>
      </c>
      <c r="N6377" s="12" t="s">
        <v>1570</v>
      </c>
      <c r="O6377" s="10" t="str">
        <f t="shared" ref="O6377:O6378" si="560">HYPERLINK("https://pbs.twimg.com/profile_images/704424786777280513/YQVkJF57_normal.jpg","View")</f>
        <v>View</v>
      </c>
      <c r="P6377" s="11"/>
    </row>
    <row r="6378" spans="1:16" ht="12.75" x14ac:dyDescent="0.35">
      <c r="A6378" s="7">
        <v>42484.020787037036</v>
      </c>
      <c r="B6378" s="8" t="str">
        <f t="shared" si="559"/>
        <v>@dapper013</v>
      </c>
      <c r="C6378" s="9" t="s">
        <v>1567</v>
      </c>
      <c r="D6378" s="9" t="s">
        <v>14453</v>
      </c>
      <c r="E6378" s="10" t="str">
        <f>HYPERLINK("https://twitter.com/dapper013/status/723949546716422144","723949546716422144")</f>
        <v>723949546716422144</v>
      </c>
      <c r="F6378" s="11" t="s">
        <v>48</v>
      </c>
      <c r="G6378" s="11">
        <v>291</v>
      </c>
      <c r="H6378" s="11">
        <v>304</v>
      </c>
      <c r="I6378" s="11">
        <v>0</v>
      </c>
      <c r="J6378" s="11">
        <v>0</v>
      </c>
      <c r="K6378" s="11" t="s">
        <v>21</v>
      </c>
      <c r="L6378" s="7">
        <v>40871.767500000002</v>
      </c>
      <c r="M6378" s="12" t="s">
        <v>1569</v>
      </c>
      <c r="N6378" s="12" t="s">
        <v>1570</v>
      </c>
      <c r="O6378" s="10" t="str">
        <f t="shared" si="560"/>
        <v>View</v>
      </c>
      <c r="P6378" s="11"/>
    </row>
    <row r="6379" spans="1:16" ht="12.75" x14ac:dyDescent="0.35">
      <c r="A6379" s="7">
        <v>42484.021041666667</v>
      </c>
      <c r="B6379" s="8" t="str">
        <f>HYPERLINK("https://twitter.com/beakersblog","@beakersblog")</f>
        <v>@beakersblog</v>
      </c>
      <c r="C6379" s="9" t="s">
        <v>14454</v>
      </c>
      <c r="D6379" s="9" t="s">
        <v>14455</v>
      </c>
      <c r="E6379" s="10" t="str">
        <f>HYPERLINK("https://twitter.com/beakersblog/status/723949636134817792","723949636134817792")</f>
        <v>723949636134817792</v>
      </c>
      <c r="F6379" s="11" t="s">
        <v>48</v>
      </c>
      <c r="G6379" s="11">
        <v>463</v>
      </c>
      <c r="H6379" s="11">
        <v>125</v>
      </c>
      <c r="I6379" s="11">
        <v>0</v>
      </c>
      <c r="J6379" s="11">
        <v>0</v>
      </c>
      <c r="K6379" s="11" t="s">
        <v>21</v>
      </c>
      <c r="L6379" s="7">
        <v>40449.217569444445</v>
      </c>
      <c r="M6379" s="12"/>
      <c r="N6379" s="13" t="s">
        <v>14456</v>
      </c>
      <c r="O6379" s="10" t="str">
        <f>HYPERLINK("https://pbs.twimg.com/profile_images/1187478980/avabeaks_normal.jpg","View")</f>
        <v>View</v>
      </c>
      <c r="P6379" s="11"/>
    </row>
    <row r="6380" spans="1:16" ht="12.75" x14ac:dyDescent="0.35">
      <c r="A6380" s="7">
        <v>42484.021215277782</v>
      </c>
      <c r="B6380" s="8" t="str">
        <f>HYPERLINK("https://twitter.com/dapper013","@dapper013")</f>
        <v>@dapper013</v>
      </c>
      <c r="C6380" s="9" t="s">
        <v>1567</v>
      </c>
      <c r="D6380" s="9" t="s">
        <v>14457</v>
      </c>
      <c r="E6380" s="10" t="str">
        <f>HYPERLINK("https://twitter.com/dapper013/status/723949701410729984","723949701410729984")</f>
        <v>723949701410729984</v>
      </c>
      <c r="F6380" s="11" t="s">
        <v>48</v>
      </c>
      <c r="G6380" s="11">
        <v>291</v>
      </c>
      <c r="H6380" s="11">
        <v>304</v>
      </c>
      <c r="I6380" s="11">
        <v>0</v>
      </c>
      <c r="J6380" s="11">
        <v>0</v>
      </c>
      <c r="K6380" s="11" t="s">
        <v>21</v>
      </c>
      <c r="L6380" s="7">
        <v>40871.767500000002</v>
      </c>
      <c r="M6380" s="12" t="s">
        <v>1569</v>
      </c>
      <c r="N6380" s="12" t="s">
        <v>1570</v>
      </c>
      <c r="O6380" s="10" t="str">
        <f>HYPERLINK("https://pbs.twimg.com/profile_images/704424786777280513/YQVkJF57_normal.jpg","View")</f>
        <v>View</v>
      </c>
      <c r="P6380" s="11"/>
    </row>
    <row r="6381" spans="1:16" ht="12.75" x14ac:dyDescent="0.35">
      <c r="A6381" s="7">
        <v>42484.021354166667</v>
      </c>
      <c r="B6381" s="8" t="str">
        <f>HYPERLINK("https://twitter.com/dendryad","@dendryad")</f>
        <v>@dendryad</v>
      </c>
      <c r="C6381" s="9" t="s">
        <v>14458</v>
      </c>
      <c r="D6381" s="9" t="s">
        <v>14459</v>
      </c>
      <c r="E6381" s="10" t="str">
        <f>HYPERLINK("https://twitter.com/dendryad/status/723949750463160321","723949750463160321")</f>
        <v>723949750463160321</v>
      </c>
      <c r="F6381" s="11" t="s">
        <v>80</v>
      </c>
      <c r="G6381" s="11">
        <v>398</v>
      </c>
      <c r="H6381" s="11">
        <v>352</v>
      </c>
      <c r="I6381" s="11">
        <v>0</v>
      </c>
      <c r="J6381" s="11">
        <v>0</v>
      </c>
      <c r="K6381" s="11" t="s">
        <v>21</v>
      </c>
      <c r="L6381" s="7">
        <v>41826.629212962966</v>
      </c>
      <c r="M6381" s="12" t="s">
        <v>14460</v>
      </c>
      <c r="N6381" s="12" t="s">
        <v>14461</v>
      </c>
      <c r="O6381" s="10" t="str">
        <f>HYPERLINK("https://pbs.twimg.com/profile_images/526657704433967104/Qpjvnhkn_normal.png","View")</f>
        <v>View</v>
      </c>
      <c r="P6381" s="11"/>
    </row>
    <row r="6382" spans="1:16" ht="12.75" x14ac:dyDescent="0.35">
      <c r="A6382" s="7">
        <v>42484.021736111114</v>
      </c>
      <c r="B6382" s="8" t="str">
        <f>HYPERLINK("https://twitter.com/GolfitIt","@GolfitIt")</f>
        <v>@GolfitIt</v>
      </c>
      <c r="C6382" s="9" t="s">
        <v>13503</v>
      </c>
      <c r="D6382" s="9" t="s">
        <v>14462</v>
      </c>
      <c r="E6382" s="10" t="str">
        <f>HYPERLINK("https://twitter.com/GolfitIt/status/723949890418683904","723949890418683904")</f>
        <v>723949890418683904</v>
      </c>
      <c r="F6382" s="11" t="s">
        <v>13505</v>
      </c>
      <c r="G6382" s="11">
        <v>1795</v>
      </c>
      <c r="H6382" s="11">
        <v>10</v>
      </c>
      <c r="I6382" s="11">
        <v>1</v>
      </c>
      <c r="J6382" s="11">
        <v>0</v>
      </c>
      <c r="K6382" s="11" t="s">
        <v>21</v>
      </c>
      <c r="L6382" s="7">
        <v>41501.856377314813</v>
      </c>
      <c r="M6382" s="12"/>
      <c r="N6382" s="12"/>
      <c r="O6382" s="10" t="str">
        <f>HYPERLINK("https://pbs.twimg.com/profile_images/465845159607824386/C2TZw1k6_normal.jpeg","View")</f>
        <v>View</v>
      </c>
      <c r="P6382" s="11"/>
    </row>
    <row r="6383" spans="1:16" ht="12.75" x14ac:dyDescent="0.35">
      <c r="A6383" s="7">
        <v>42484.022523148145</v>
      </c>
      <c r="B6383" s="8" t="str">
        <f>HYPERLINK("https://twitter.com/hashtagvanlife","@hashtagvanlife")</f>
        <v>@hashtagvanlife</v>
      </c>
      <c r="C6383" s="9" t="s">
        <v>187</v>
      </c>
      <c r="D6383" s="9" t="s">
        <v>14437</v>
      </c>
      <c r="E6383" s="10" t="str">
        <f>HYPERLINK("https://twitter.com/hashtagvanlife/status/723950176063348737","723950176063348737")</f>
        <v>723950176063348737</v>
      </c>
      <c r="F6383" s="11" t="s">
        <v>189</v>
      </c>
      <c r="G6383" s="11">
        <v>1024</v>
      </c>
      <c r="H6383" s="11">
        <v>29</v>
      </c>
      <c r="I6383" s="11">
        <v>2</v>
      </c>
      <c r="J6383" s="11">
        <v>0</v>
      </c>
      <c r="K6383" s="11" t="s">
        <v>21</v>
      </c>
      <c r="L6383" s="7">
        <v>42289.994583333333</v>
      </c>
      <c r="M6383" s="12"/>
      <c r="N6383" s="12" t="s">
        <v>190</v>
      </c>
      <c r="O6383" s="10" t="str">
        <f>HYPERLINK("https://pbs.twimg.com/profile_images/653637535545995264/gHuXQ5Bt_normal.jpg","View")</f>
        <v>View</v>
      </c>
      <c r="P6383" s="11"/>
    </row>
    <row r="6384" spans="1:16" ht="12.75" x14ac:dyDescent="0.35">
      <c r="A6384" s="7">
        <v>42484.022534722222</v>
      </c>
      <c r="B6384" s="8" t="str">
        <f>HYPERLINK("https://twitter.com/CatherineE1973","@CatherineE1973")</f>
        <v>@CatherineE1973</v>
      </c>
      <c r="C6384" s="9" t="s">
        <v>14463</v>
      </c>
      <c r="D6384" s="9" t="s">
        <v>14464</v>
      </c>
      <c r="E6384" s="10" t="str">
        <f>HYPERLINK("https://twitter.com/CatherineE1973/status/723950179594985472","723950179594985472")</f>
        <v>723950179594985472</v>
      </c>
      <c r="F6384" s="11" t="s">
        <v>903</v>
      </c>
      <c r="G6384" s="11">
        <v>1137</v>
      </c>
      <c r="H6384" s="11">
        <v>1596</v>
      </c>
      <c r="I6384" s="11">
        <v>1</v>
      </c>
      <c r="J6384" s="11">
        <v>0</v>
      </c>
      <c r="K6384" s="11" t="s">
        <v>21</v>
      </c>
      <c r="L6384" s="7">
        <v>41237.77715277778</v>
      </c>
      <c r="M6384" s="12" t="s">
        <v>14465</v>
      </c>
      <c r="N6384" s="12" t="s">
        <v>14466</v>
      </c>
      <c r="O6384" s="10" t="str">
        <f>HYPERLINK("https://pbs.twimg.com/profile_images/720600659599482880/wXsZWa4I_normal.jpg","View")</f>
        <v>View</v>
      </c>
      <c r="P6384" s="11"/>
    </row>
    <row r="6385" spans="1:16" ht="12.75" x14ac:dyDescent="0.35">
      <c r="A6385" s="7">
        <v>42484.023761574077</v>
      </c>
      <c r="B6385" s="8" t="str">
        <f>HYPERLINK("https://twitter.com/santi_lopezz30","@santi_lopezz30")</f>
        <v>@santi_lopezz30</v>
      </c>
      <c r="C6385" s="9" t="s">
        <v>9844</v>
      </c>
      <c r="D6385" s="9" t="s">
        <v>10808</v>
      </c>
      <c r="E6385" s="10" t="str">
        <f>HYPERLINK("https://twitter.com/santi_lopezz30/status/723950624669310976","723950624669310976")</f>
        <v>723950624669310976</v>
      </c>
      <c r="F6385" s="11" t="s">
        <v>48</v>
      </c>
      <c r="G6385" s="11">
        <v>371</v>
      </c>
      <c r="H6385" s="11">
        <v>342</v>
      </c>
      <c r="I6385" s="11">
        <v>65</v>
      </c>
      <c r="J6385" s="11">
        <v>0</v>
      </c>
      <c r="K6385" s="11" t="s">
        <v>21</v>
      </c>
      <c r="L6385" s="7">
        <v>41271.915138888886</v>
      </c>
      <c r="M6385" s="12"/>
      <c r="N6385" s="12" t="s">
        <v>14467</v>
      </c>
      <c r="O6385" s="10" t="str">
        <f>HYPERLINK("https://pbs.twimg.com/profile_images/710675920013692928/zisdubTr_normal.jpg","View")</f>
        <v>View</v>
      </c>
      <c r="P6385" s="11"/>
    </row>
    <row r="6386" spans="1:16" ht="12.75" x14ac:dyDescent="0.35">
      <c r="A6386" s="7">
        <v>42484.024016203708</v>
      </c>
      <c r="B6386" s="8" t="str">
        <f>HYPERLINK("https://twitter.com/VWBeetleSales","@VWBeetleSales")</f>
        <v>@VWBeetleSales</v>
      </c>
      <c r="C6386" s="9" t="s">
        <v>127</v>
      </c>
      <c r="D6386" s="9" t="s">
        <v>14468</v>
      </c>
      <c r="E6386" s="10" t="str">
        <f>HYPERLINK("https://twitter.com/VWBeetleSales/status/723950714834182145","723950714834182145")</f>
        <v>723950714834182145</v>
      </c>
      <c r="F6386" s="10" t="s">
        <v>124</v>
      </c>
      <c r="G6386" s="11">
        <v>36</v>
      </c>
      <c r="H6386" s="11">
        <v>32</v>
      </c>
      <c r="I6386" s="11">
        <v>0</v>
      </c>
      <c r="J6386" s="11">
        <v>0</v>
      </c>
      <c r="K6386" s="11" t="s">
        <v>21</v>
      </c>
      <c r="L6386" s="7">
        <v>42427.019756944443</v>
      </c>
      <c r="M6386" s="12" t="s">
        <v>129</v>
      </c>
      <c r="N6386" s="12" t="s">
        <v>130</v>
      </c>
      <c r="O6386" s="10" t="str">
        <f>HYPERLINK("https://pbs.twimg.com/profile_images/703294545195307008/qeCvrX86_normal.jpg","View")</f>
        <v>View</v>
      </c>
      <c r="P6386" s="11"/>
    </row>
    <row r="6387" spans="1:16" ht="12.75" x14ac:dyDescent="0.35">
      <c r="A6387" s="7">
        <v>42484.024131944447</v>
      </c>
      <c r="B6387" s="8" t="str">
        <f>HYPERLINK("https://twitter.com/Scirocco_Tuning","@Scirocco_Tuning")</f>
        <v>@Scirocco_Tuning</v>
      </c>
      <c r="C6387" s="9" t="s">
        <v>51</v>
      </c>
      <c r="D6387" s="9" t="s">
        <v>14469</v>
      </c>
      <c r="E6387" s="10" t="str">
        <f>HYPERLINK("https://twitter.com/Scirocco_Tuning/status/723950755170926592","723950755170926592")</f>
        <v>723950755170926592</v>
      </c>
      <c r="F6387" s="11" t="s">
        <v>53</v>
      </c>
      <c r="G6387" s="11">
        <v>70</v>
      </c>
      <c r="H6387" s="11">
        <v>215</v>
      </c>
      <c r="I6387" s="11">
        <v>0</v>
      </c>
      <c r="J6387" s="11">
        <v>0</v>
      </c>
      <c r="K6387" s="11" t="s">
        <v>21</v>
      </c>
      <c r="L6387" s="7">
        <v>40844.564722222218</v>
      </c>
      <c r="M6387" s="12"/>
      <c r="N6387" s="12"/>
      <c r="O6387" s="10" t="str">
        <f>HYPERLINK("https://pbs.twimg.com/profile_images/1610421423/Image2_normal.jpg","View")</f>
        <v>View</v>
      </c>
      <c r="P6387" s="11"/>
    </row>
    <row r="6388" spans="1:16" ht="12.75" x14ac:dyDescent="0.35">
      <c r="A6388" s="7">
        <v>42484.028668981482</v>
      </c>
      <c r="B6388" s="8" t="str">
        <f t="shared" ref="B6388:B6391" si="561">HYPERLINK("https://twitter.com/dubbusses","@dubbusses")</f>
        <v>@dubbusses</v>
      </c>
      <c r="C6388" s="9" t="s">
        <v>14338</v>
      </c>
      <c r="D6388" s="9" t="s">
        <v>14470</v>
      </c>
      <c r="E6388" s="10" t="str">
        <f>HYPERLINK("https://twitter.com/dubbusses/status/723952402378940416","723952402378940416")</f>
        <v>723952402378940416</v>
      </c>
      <c r="F6388" s="11" t="s">
        <v>68</v>
      </c>
      <c r="G6388" s="11">
        <v>416</v>
      </c>
      <c r="H6388" s="11">
        <v>2369</v>
      </c>
      <c r="I6388" s="11">
        <v>0</v>
      </c>
      <c r="J6388" s="11">
        <v>0</v>
      </c>
      <c r="K6388" s="11" t="s">
        <v>21</v>
      </c>
      <c r="L6388" s="7">
        <v>42469.905393518522</v>
      </c>
      <c r="M6388" s="12" t="s">
        <v>14340</v>
      </c>
      <c r="N6388" s="12"/>
      <c r="O6388" s="10" t="str">
        <f t="shared" ref="O6388:O6391" si="562">HYPERLINK("https://pbs.twimg.com/profile_images/718835727027580928/1ssyQ67y_normal.jpg","View")</f>
        <v>View</v>
      </c>
      <c r="P6388" s="11"/>
    </row>
    <row r="6389" spans="1:16" ht="12.75" x14ac:dyDescent="0.35">
      <c r="A6389" s="7">
        <v>42484.028749999998</v>
      </c>
      <c r="B6389" s="8" t="str">
        <f t="shared" si="561"/>
        <v>@dubbusses</v>
      </c>
      <c r="C6389" s="9" t="s">
        <v>14338</v>
      </c>
      <c r="D6389" s="9" t="s">
        <v>14471</v>
      </c>
      <c r="E6389" s="10" t="str">
        <f>HYPERLINK("https://twitter.com/dubbusses/status/723952429600006144","723952429600006144")</f>
        <v>723952429600006144</v>
      </c>
      <c r="F6389" s="11" t="s">
        <v>68</v>
      </c>
      <c r="G6389" s="11">
        <v>416</v>
      </c>
      <c r="H6389" s="11">
        <v>2369</v>
      </c>
      <c r="I6389" s="11">
        <v>0</v>
      </c>
      <c r="J6389" s="11">
        <v>0</v>
      </c>
      <c r="K6389" s="11" t="s">
        <v>21</v>
      </c>
      <c r="L6389" s="7">
        <v>42469.905393518522</v>
      </c>
      <c r="M6389" s="12" t="s">
        <v>14340</v>
      </c>
      <c r="N6389" s="12"/>
      <c r="O6389" s="10" t="str">
        <f t="shared" si="562"/>
        <v>View</v>
      </c>
      <c r="P6389" s="11"/>
    </row>
    <row r="6390" spans="1:16" ht="12.75" x14ac:dyDescent="0.35">
      <c r="A6390" s="7">
        <v>42484.028773148151</v>
      </c>
      <c r="B6390" s="8" t="str">
        <f t="shared" si="561"/>
        <v>@dubbusses</v>
      </c>
      <c r="C6390" s="9" t="s">
        <v>14338</v>
      </c>
      <c r="D6390" s="9" t="s">
        <v>14472</v>
      </c>
      <c r="E6390" s="10" t="str">
        <f>HYPERLINK("https://twitter.com/dubbusses/status/723952438940717060","723952438940717060")</f>
        <v>723952438940717060</v>
      </c>
      <c r="F6390" s="11" t="s">
        <v>68</v>
      </c>
      <c r="G6390" s="11">
        <v>416</v>
      </c>
      <c r="H6390" s="11">
        <v>2369</v>
      </c>
      <c r="I6390" s="11">
        <v>0</v>
      </c>
      <c r="J6390" s="11">
        <v>0</v>
      </c>
      <c r="K6390" s="11" t="s">
        <v>21</v>
      </c>
      <c r="L6390" s="7">
        <v>42469.905393518522</v>
      </c>
      <c r="M6390" s="12" t="s">
        <v>14340</v>
      </c>
      <c r="N6390" s="12"/>
      <c r="O6390" s="10" t="str">
        <f t="shared" si="562"/>
        <v>View</v>
      </c>
      <c r="P6390" s="11"/>
    </row>
    <row r="6391" spans="1:16" ht="12.75" x14ac:dyDescent="0.35">
      <c r="A6391" s="7">
        <v>42484.028831018513</v>
      </c>
      <c r="B6391" s="8" t="str">
        <f t="shared" si="561"/>
        <v>@dubbusses</v>
      </c>
      <c r="C6391" s="9" t="s">
        <v>14338</v>
      </c>
      <c r="D6391" s="9" t="s">
        <v>14473</v>
      </c>
      <c r="E6391" s="10" t="str">
        <f>HYPERLINK("https://twitter.com/dubbusses/status/723952458456829952","723952458456829952")</f>
        <v>723952458456829952</v>
      </c>
      <c r="F6391" s="11" t="s">
        <v>68</v>
      </c>
      <c r="G6391" s="11">
        <v>416</v>
      </c>
      <c r="H6391" s="11">
        <v>2369</v>
      </c>
      <c r="I6391" s="11">
        <v>0</v>
      </c>
      <c r="J6391" s="11">
        <v>0</v>
      </c>
      <c r="K6391" s="11" t="s">
        <v>21</v>
      </c>
      <c r="L6391" s="7">
        <v>42469.905393518522</v>
      </c>
      <c r="M6391" s="12" t="s">
        <v>14340</v>
      </c>
      <c r="N6391" s="12"/>
      <c r="O6391" s="10" t="str">
        <f t="shared" si="562"/>
        <v>View</v>
      </c>
      <c r="P6391" s="11"/>
    </row>
    <row r="6392" spans="1:16" ht="12.75" x14ac:dyDescent="0.35">
      <c r="A6392" s="7">
        <v>42484.031956018516</v>
      </c>
      <c r="B6392" s="8" t="str">
        <f>HYPERLINK("https://twitter.com/swanswaygroup","@swanswaygroup")</f>
        <v>@swanswaygroup</v>
      </c>
      <c r="C6392" s="9" t="s">
        <v>2558</v>
      </c>
      <c r="D6392" s="9" t="s">
        <v>14474</v>
      </c>
      <c r="E6392" s="10" t="str">
        <f>HYPERLINK("https://twitter.com/swanswaygroup/status/723953592319647745","723953592319647745")</f>
        <v>723953592319647745</v>
      </c>
      <c r="F6392" s="11" t="s">
        <v>140</v>
      </c>
      <c r="G6392" s="11">
        <v>6199</v>
      </c>
      <c r="H6392" s="11">
        <v>4451</v>
      </c>
      <c r="I6392" s="11">
        <v>0</v>
      </c>
      <c r="J6392" s="11">
        <v>0</v>
      </c>
      <c r="K6392" s="11" t="s">
        <v>21</v>
      </c>
      <c r="L6392" s="7">
        <v>40137.651365740741</v>
      </c>
      <c r="M6392" s="12" t="s">
        <v>2560</v>
      </c>
      <c r="N6392" s="12" t="s">
        <v>2561</v>
      </c>
      <c r="O6392" s="10" t="str">
        <f>HYPERLINK("https://pbs.twimg.com/profile_images/552037189328982016/r65JRGTS_normal.jpeg","View")</f>
        <v>View</v>
      </c>
      <c r="P6392" s="11"/>
    </row>
    <row r="6393" spans="1:16" ht="12.75" x14ac:dyDescent="0.35">
      <c r="A6393" s="7">
        <v>42484.031956018516</v>
      </c>
      <c r="B6393" s="8" t="str">
        <f>HYPERLINK("https://twitter.com/crewevw","@crewevw")</f>
        <v>@crewevw</v>
      </c>
      <c r="C6393" s="9" t="s">
        <v>2562</v>
      </c>
      <c r="D6393" s="9" t="s">
        <v>14475</v>
      </c>
      <c r="E6393" s="10" t="str">
        <f>HYPERLINK("https://twitter.com/crewevw/status/723953592374161408","723953592374161408")</f>
        <v>723953592374161408</v>
      </c>
      <c r="F6393" s="11" t="s">
        <v>140</v>
      </c>
      <c r="G6393" s="11">
        <v>2784</v>
      </c>
      <c r="H6393" s="11">
        <v>2269</v>
      </c>
      <c r="I6393" s="11">
        <v>0</v>
      </c>
      <c r="J6393" s="11">
        <v>0</v>
      </c>
      <c r="K6393" s="11" t="s">
        <v>21</v>
      </c>
      <c r="L6393" s="7">
        <v>40240.83458333333</v>
      </c>
      <c r="M6393" s="12" t="s">
        <v>2564</v>
      </c>
      <c r="N6393" s="12" t="s">
        <v>2565</v>
      </c>
      <c r="O6393" s="10" t="str">
        <f>HYPERLINK("https://pbs.twimg.com/profile_images/488678354338324481/_qtBruR6_normal.jpeg","View")</f>
        <v>View</v>
      </c>
      <c r="P6393" s="11"/>
    </row>
    <row r="6394" spans="1:16" ht="12.75" x14ac:dyDescent="0.35">
      <c r="A6394" s="7">
        <v>42484.033437499995</v>
      </c>
      <c r="B6394" s="8" t="str">
        <f>HYPERLINK("https://twitter.com/pagiduk","@pagiduk")</f>
        <v>@pagiduk</v>
      </c>
      <c r="C6394" s="9" t="s">
        <v>14476</v>
      </c>
      <c r="D6394" s="9" t="s">
        <v>14477</v>
      </c>
      <c r="E6394" s="10" t="str">
        <f>HYPERLINK("https://twitter.com/pagiduk/status/723954129513664513","723954129513664513")</f>
        <v>723954129513664513</v>
      </c>
      <c r="F6394" s="11" t="s">
        <v>80</v>
      </c>
      <c r="G6394" s="11">
        <v>213</v>
      </c>
      <c r="H6394" s="11">
        <v>225</v>
      </c>
      <c r="I6394" s="11">
        <v>0</v>
      </c>
      <c r="J6394" s="11">
        <v>0</v>
      </c>
      <c r="K6394" s="11" t="s">
        <v>21</v>
      </c>
      <c r="L6394" s="7">
        <v>41976.867893518516</v>
      </c>
      <c r="M6394" s="12" t="s">
        <v>35</v>
      </c>
      <c r="N6394" s="12" t="s">
        <v>14478</v>
      </c>
      <c r="O6394" s="10" t="str">
        <f>HYPERLINK("https://pbs.twimg.com/profile_images/540185455459696640/aWvVXgOD_normal.jpeg","View")</f>
        <v>View</v>
      </c>
      <c r="P6394" s="11"/>
    </row>
    <row r="6395" spans="1:16" ht="12.75" x14ac:dyDescent="0.35">
      <c r="A6395" s="7">
        <v>42484.035081018519</v>
      </c>
      <c r="B6395" s="8" t="str">
        <f>HYPERLINK("https://twitter.com/Harry_Hammer84","@Harry_Hammer84")</f>
        <v>@Harry_Hammer84</v>
      </c>
      <c r="C6395" s="9" t="s">
        <v>14479</v>
      </c>
      <c r="D6395" s="9" t="s">
        <v>14480</v>
      </c>
      <c r="E6395" s="10" t="str">
        <f>HYPERLINK("https://twitter.com/Harry_Hammer84/status/723954725188673536","723954725188673536")</f>
        <v>723954725188673536</v>
      </c>
      <c r="F6395" s="11" t="s">
        <v>20</v>
      </c>
      <c r="G6395" s="11">
        <v>89</v>
      </c>
      <c r="H6395" s="11">
        <v>51</v>
      </c>
      <c r="I6395" s="11">
        <v>0</v>
      </c>
      <c r="J6395" s="11">
        <v>1</v>
      </c>
      <c r="K6395" s="11" t="s">
        <v>21</v>
      </c>
      <c r="L6395" s="7">
        <v>42353.937210648146</v>
      </c>
      <c r="M6395" s="12"/>
      <c r="N6395" s="12"/>
      <c r="O6395" s="10" t="str">
        <f>HYPERLINK("https://pbs.twimg.com/profile_images/698975675609444353/OL5xE0gm_normal.jpg","View")</f>
        <v>View</v>
      </c>
      <c r="P6395" s="11"/>
    </row>
    <row r="6396" spans="1:16" ht="12.75" x14ac:dyDescent="0.35">
      <c r="A6396" s="7">
        <v>42484.035983796297</v>
      </c>
      <c r="B6396" s="8" t="str">
        <f>HYPERLINK("https://twitter.com/TheRealBusman73","@TheRealBusman73")</f>
        <v>@TheRealBusman73</v>
      </c>
      <c r="C6396" s="9" t="s">
        <v>14481</v>
      </c>
      <c r="D6396" s="9" t="s">
        <v>14482</v>
      </c>
      <c r="E6396" s="10" t="str">
        <f>HYPERLINK("https://twitter.com/TheRealBusman73/status/723955051857907714","723955051857907714")</f>
        <v>723955051857907714</v>
      </c>
      <c r="F6396" s="11" t="s">
        <v>114</v>
      </c>
      <c r="G6396" s="11">
        <v>765</v>
      </c>
      <c r="H6396" s="11">
        <v>881</v>
      </c>
      <c r="I6396" s="11">
        <v>0</v>
      </c>
      <c r="J6396" s="11">
        <v>0</v>
      </c>
      <c r="K6396" s="11" t="s">
        <v>21</v>
      </c>
      <c r="L6396" s="7">
        <v>40803.544479166667</v>
      </c>
      <c r="M6396" s="12" t="s">
        <v>14483</v>
      </c>
      <c r="N6396" s="12" t="s">
        <v>14484</v>
      </c>
      <c r="O6396" s="10" t="str">
        <f>HYPERLINK("https://pbs.twimg.com/profile_images/1821898729/image_normal.jpg","View")</f>
        <v>View</v>
      </c>
      <c r="P6396" s="11"/>
    </row>
    <row r="6397" spans="1:16" ht="12.75" x14ac:dyDescent="0.35">
      <c r="A6397" s="7">
        <v>42484.040243055555</v>
      </c>
      <c r="B6397" s="8" t="str">
        <f>HYPERLINK("https://twitter.com/Syrupshits","@Syrupshits")</f>
        <v>@Syrupshits</v>
      </c>
      <c r="C6397" s="9" t="s">
        <v>13945</v>
      </c>
      <c r="D6397" s="9" t="s">
        <v>14485</v>
      </c>
      <c r="E6397" s="10" t="str">
        <f>HYPERLINK("https://twitter.com/Syrupshits/status/723956597475536896","723956597475536896")</f>
        <v>723956597475536896</v>
      </c>
      <c r="F6397" s="11" t="s">
        <v>114</v>
      </c>
      <c r="G6397" s="11">
        <v>128</v>
      </c>
      <c r="H6397" s="11">
        <v>104</v>
      </c>
      <c r="I6397" s="11">
        <v>0</v>
      </c>
      <c r="J6397" s="11">
        <v>0</v>
      </c>
      <c r="K6397" s="11" t="s">
        <v>21</v>
      </c>
      <c r="L6397" s="7">
        <v>41275.231053240743</v>
      </c>
      <c r="M6397" s="12" t="s">
        <v>13947</v>
      </c>
      <c r="N6397" s="12" t="s">
        <v>13948</v>
      </c>
      <c r="O6397" s="10" t="str">
        <f>HYPERLINK("https://pbs.twimg.com/profile_images/537978095392022528/6T9M1UwY_normal.jpeg","View")</f>
        <v>View</v>
      </c>
      <c r="P6397" s="10" t="str">
        <f>HYPERLINK("http://ctrlq.org/maps/address/#52.46403634,0.94627617","Map")</f>
        <v>Map</v>
      </c>
    </row>
    <row r="6398" spans="1:16" ht="12.75" x14ac:dyDescent="0.35">
      <c r="A6398" s="7">
        <v>42484.040648148148</v>
      </c>
      <c r="B6398" s="8" t="str">
        <f t="shared" ref="B6398:B6400" si="563">HYPERLINK("https://twitter.com/Insta_VWT","@Insta_VWT")</f>
        <v>@Insta_VWT</v>
      </c>
      <c r="C6398" s="9" t="s">
        <v>181</v>
      </c>
      <c r="D6398" s="9" t="s">
        <v>14486</v>
      </c>
      <c r="E6398" s="10" t="str">
        <f>HYPERLINK("https://twitter.com/Insta_VWT/status/723956742342774784","723956742342774784")</f>
        <v>723956742342774784</v>
      </c>
      <c r="F6398" s="11" t="s">
        <v>68</v>
      </c>
      <c r="G6398" s="11">
        <v>484</v>
      </c>
      <c r="H6398" s="11">
        <v>0</v>
      </c>
      <c r="I6398" s="11">
        <v>0</v>
      </c>
      <c r="J6398" s="11">
        <v>0</v>
      </c>
      <c r="K6398" s="11" t="s">
        <v>21</v>
      </c>
      <c r="L6398" s="7">
        <v>41658.782800925925</v>
      </c>
      <c r="M6398" s="12" t="s">
        <v>183</v>
      </c>
      <c r="N6398" s="12" t="s">
        <v>184</v>
      </c>
      <c r="O6398" s="10" t="str">
        <f t="shared" ref="O6398:O6400" si="564">HYPERLINK("https://pbs.twimg.com/profile_images/424893967197433858/iQ86NktX_normal.jpeg","View")</f>
        <v>View</v>
      </c>
      <c r="P6398" s="11"/>
    </row>
    <row r="6399" spans="1:16" ht="12.75" x14ac:dyDescent="0.35">
      <c r="A6399" s="7">
        <v>42484.04069444444</v>
      </c>
      <c r="B6399" s="8" t="str">
        <f t="shared" si="563"/>
        <v>@Insta_VWT</v>
      </c>
      <c r="C6399" s="9" t="s">
        <v>181</v>
      </c>
      <c r="D6399" s="9" t="s">
        <v>14487</v>
      </c>
      <c r="E6399" s="10" t="str">
        <f>HYPERLINK("https://twitter.com/Insta_VWT/status/723956760604737536","723956760604737536")</f>
        <v>723956760604737536</v>
      </c>
      <c r="F6399" s="11" t="s">
        <v>68</v>
      </c>
      <c r="G6399" s="11">
        <v>484</v>
      </c>
      <c r="H6399" s="11">
        <v>0</v>
      </c>
      <c r="I6399" s="11">
        <v>0</v>
      </c>
      <c r="J6399" s="11">
        <v>0</v>
      </c>
      <c r="K6399" s="11" t="s">
        <v>21</v>
      </c>
      <c r="L6399" s="7">
        <v>41658.782800925925</v>
      </c>
      <c r="M6399" s="12" t="s">
        <v>183</v>
      </c>
      <c r="N6399" s="12" t="s">
        <v>184</v>
      </c>
      <c r="O6399" s="10" t="str">
        <f t="shared" si="564"/>
        <v>View</v>
      </c>
      <c r="P6399" s="11"/>
    </row>
    <row r="6400" spans="1:16" ht="12.75" x14ac:dyDescent="0.35">
      <c r="A6400" s="7">
        <v>42484.040717592594</v>
      </c>
      <c r="B6400" s="8" t="str">
        <f t="shared" si="563"/>
        <v>@Insta_VWT</v>
      </c>
      <c r="C6400" s="9" t="s">
        <v>181</v>
      </c>
      <c r="D6400" s="9" t="s">
        <v>14488</v>
      </c>
      <c r="E6400" s="10" t="str">
        <f>HYPERLINK("https://twitter.com/Insta_VWT/status/723956766539702273","723956766539702273")</f>
        <v>723956766539702273</v>
      </c>
      <c r="F6400" s="11" t="s">
        <v>68</v>
      </c>
      <c r="G6400" s="11">
        <v>484</v>
      </c>
      <c r="H6400" s="11">
        <v>0</v>
      </c>
      <c r="I6400" s="11">
        <v>0</v>
      </c>
      <c r="J6400" s="11">
        <v>0</v>
      </c>
      <c r="K6400" s="11" t="s">
        <v>21</v>
      </c>
      <c r="L6400" s="7">
        <v>41658.782800925925</v>
      </c>
      <c r="M6400" s="12" t="s">
        <v>183</v>
      </c>
      <c r="N6400" s="12" t="s">
        <v>184</v>
      </c>
      <c r="O6400" s="10" t="str">
        <f t="shared" si="564"/>
        <v>View</v>
      </c>
      <c r="P6400" s="11"/>
    </row>
    <row r="6401" spans="1:16" ht="12.75" x14ac:dyDescent="0.35">
      <c r="A6401" s="7">
        <v>42484.040717592594</v>
      </c>
      <c r="B6401" s="8" t="str">
        <f t="shared" ref="B6401:B6402" si="565">HYPERLINK("https://twitter.com/VeeDubMk1_","@VeeDubMk1_")</f>
        <v>@VeeDubMk1_</v>
      </c>
      <c r="C6401" s="9" t="s">
        <v>185</v>
      </c>
      <c r="D6401" s="9" t="s">
        <v>14489</v>
      </c>
      <c r="E6401" s="10" t="str">
        <f>HYPERLINK("https://twitter.com/VeeDubMk1_/status/723956767269478401","723956767269478401")</f>
        <v>723956767269478401</v>
      </c>
      <c r="F6401" s="11" t="s">
        <v>68</v>
      </c>
      <c r="G6401" s="11">
        <v>550</v>
      </c>
      <c r="H6401" s="11">
        <v>3528</v>
      </c>
      <c r="I6401" s="11">
        <v>0</v>
      </c>
      <c r="J6401" s="11">
        <v>0</v>
      </c>
      <c r="K6401" s="11" t="s">
        <v>21</v>
      </c>
      <c r="L6401" s="7">
        <v>42343.063356481478</v>
      </c>
      <c r="M6401" s="12"/>
      <c r="N6401" s="12"/>
      <c r="O6401" s="10" t="str">
        <f t="shared" ref="O6401:O6402" si="566">HYPERLINK("https://pbs.twimg.com/profile_images/672878354127839232/M7OYc-zx_normal.jpg","View")</f>
        <v>View</v>
      </c>
      <c r="P6401" s="11"/>
    </row>
    <row r="6402" spans="1:16" ht="12.75" x14ac:dyDescent="0.35">
      <c r="A6402" s="7">
        <v>42484.040729166663</v>
      </c>
      <c r="B6402" s="8" t="str">
        <f t="shared" si="565"/>
        <v>@VeeDubMk1_</v>
      </c>
      <c r="C6402" s="9" t="s">
        <v>185</v>
      </c>
      <c r="D6402" s="9" t="s">
        <v>14490</v>
      </c>
      <c r="E6402" s="10" t="str">
        <f>HYPERLINK("https://twitter.com/VeeDubMk1_/status/723956771983888384","723956771983888384")</f>
        <v>723956771983888384</v>
      </c>
      <c r="F6402" s="11" t="s">
        <v>68</v>
      </c>
      <c r="G6402" s="11">
        <v>550</v>
      </c>
      <c r="H6402" s="11">
        <v>3528</v>
      </c>
      <c r="I6402" s="11">
        <v>0</v>
      </c>
      <c r="J6402" s="11">
        <v>0</v>
      </c>
      <c r="K6402" s="11" t="s">
        <v>21</v>
      </c>
      <c r="L6402" s="7">
        <v>42343.063356481478</v>
      </c>
      <c r="M6402" s="12"/>
      <c r="N6402" s="12"/>
      <c r="O6402" s="10" t="str">
        <f t="shared" si="566"/>
        <v>View</v>
      </c>
      <c r="P6402" s="11"/>
    </row>
    <row r="6403" spans="1:16" ht="12.75" x14ac:dyDescent="0.35">
      <c r="A6403" s="7">
        <v>42484.040775462963</v>
      </c>
      <c r="B6403" s="8" t="str">
        <f>HYPERLINK("https://twitter.com/Insta_VWT","@Insta_VWT")</f>
        <v>@Insta_VWT</v>
      </c>
      <c r="C6403" s="9" t="s">
        <v>181</v>
      </c>
      <c r="D6403" s="9" t="s">
        <v>14491</v>
      </c>
      <c r="E6403" s="10" t="str">
        <f>HYPERLINK("https://twitter.com/Insta_VWT/status/723956788513611776","723956788513611776")</f>
        <v>723956788513611776</v>
      </c>
      <c r="F6403" s="11" t="s">
        <v>68</v>
      </c>
      <c r="G6403" s="11">
        <v>484</v>
      </c>
      <c r="H6403" s="11">
        <v>0</v>
      </c>
      <c r="I6403" s="11">
        <v>0</v>
      </c>
      <c r="J6403" s="11">
        <v>0</v>
      </c>
      <c r="K6403" s="11" t="s">
        <v>21</v>
      </c>
      <c r="L6403" s="7">
        <v>41658.782800925925</v>
      </c>
      <c r="M6403" s="12" t="s">
        <v>183</v>
      </c>
      <c r="N6403" s="12" t="s">
        <v>184</v>
      </c>
      <c r="O6403" s="10" t="str">
        <f>HYPERLINK("https://pbs.twimg.com/profile_images/424893967197433858/iQ86NktX_normal.jpeg","View")</f>
        <v>View</v>
      </c>
      <c r="P6403" s="11"/>
    </row>
    <row r="6404" spans="1:16" ht="12.75" x14ac:dyDescent="0.35">
      <c r="A6404" s="7">
        <v>42484.040868055556</v>
      </c>
      <c r="B6404" s="8" t="str">
        <f>HYPERLINK("https://twitter.com/FennellMarcus","@FennellMarcus")</f>
        <v>@FennellMarcus</v>
      </c>
      <c r="C6404" s="9" t="s">
        <v>12912</v>
      </c>
      <c r="D6404" s="9" t="s">
        <v>14492</v>
      </c>
      <c r="E6404" s="10" t="str">
        <f>HYPERLINK("https://twitter.com/FennellMarcus/status/723956820801392640","723956820801392640")</f>
        <v>723956820801392640</v>
      </c>
      <c r="F6404" s="11" t="s">
        <v>20</v>
      </c>
      <c r="G6404" s="11">
        <v>1886</v>
      </c>
      <c r="H6404" s="11">
        <v>2061</v>
      </c>
      <c r="I6404" s="11">
        <v>1</v>
      </c>
      <c r="J6404" s="11">
        <v>0</v>
      </c>
      <c r="K6404" s="11" t="s">
        <v>21</v>
      </c>
      <c r="L6404" s="7">
        <v>40873.95621527778</v>
      </c>
      <c r="M6404" s="12" t="s">
        <v>12913</v>
      </c>
      <c r="N6404" s="12" t="s">
        <v>12914</v>
      </c>
      <c r="O6404" s="10" t="str">
        <f>HYPERLINK("https://pbs.twimg.com/profile_images/689135486544293889/vPAeUEzo_normal.jpg","View")</f>
        <v>View</v>
      </c>
      <c r="P6404" s="11"/>
    </row>
    <row r="6405" spans="1:16" ht="12.75" x14ac:dyDescent="0.35">
      <c r="A6405" s="7">
        <v>42484.041261574079</v>
      </c>
      <c r="B6405" s="8" t="str">
        <f>HYPERLINK("https://twitter.com/eastgodjelani","@eastgodjelani")</f>
        <v>@eastgodjelani</v>
      </c>
      <c r="C6405" s="9" t="s">
        <v>14493</v>
      </c>
      <c r="D6405" s="9" t="s">
        <v>14494</v>
      </c>
      <c r="E6405" s="10" t="str">
        <f>HYPERLINK("https://twitter.com/eastgodjelani/status/723956963885867008","723956963885867008")</f>
        <v>723956963885867008</v>
      </c>
      <c r="F6405" s="11" t="s">
        <v>48</v>
      </c>
      <c r="G6405" s="11">
        <v>5774</v>
      </c>
      <c r="H6405" s="11">
        <v>1747</v>
      </c>
      <c r="I6405" s="11">
        <v>0</v>
      </c>
      <c r="J6405" s="11">
        <v>0</v>
      </c>
      <c r="K6405" s="11" t="s">
        <v>21</v>
      </c>
      <c r="L6405" s="7">
        <v>40310.375601851854</v>
      </c>
      <c r="M6405" s="12" t="s">
        <v>14495</v>
      </c>
      <c r="N6405" s="12" t="s">
        <v>14496</v>
      </c>
      <c r="O6405" s="10" t="str">
        <f>HYPERLINK("https://pbs.twimg.com/profile_images/717246812072099840/c74lY1eg_normal.jpg","View")</f>
        <v>View</v>
      </c>
      <c r="P6405" s="11"/>
    </row>
    <row r="6406" spans="1:16" ht="12.75" x14ac:dyDescent="0.35">
      <c r="A6406" s="7">
        <v>42484.041932870372</v>
      </c>
      <c r="B6406" s="8" t="str">
        <f>HYPERLINK("https://twitter.com/nectechkey","@nectechkey")</f>
        <v>@nectechkey</v>
      </c>
      <c r="C6406" s="9" t="s">
        <v>14497</v>
      </c>
      <c r="D6406" s="9" t="s">
        <v>14498</v>
      </c>
      <c r="E6406" s="10" t="str">
        <f>HYPERLINK("https://twitter.com/nectechkey/status/723957206715109376","723957206715109376")</f>
        <v>723957206715109376</v>
      </c>
      <c r="F6406" s="11" t="s">
        <v>152</v>
      </c>
      <c r="G6406" s="11">
        <v>86</v>
      </c>
      <c r="H6406" s="11">
        <v>358</v>
      </c>
      <c r="I6406" s="11">
        <v>0</v>
      </c>
      <c r="J6406" s="11">
        <v>0</v>
      </c>
      <c r="K6406" s="11" t="s">
        <v>21</v>
      </c>
      <c r="L6406" s="7">
        <v>42342.426979166667</v>
      </c>
      <c r="M6406" s="12" t="s">
        <v>3553</v>
      </c>
      <c r="N6406" s="12" t="s">
        <v>14499</v>
      </c>
      <c r="O6406" s="10" t="str">
        <f>HYPERLINK("https://pbs.twimg.com/profile_images/677916554684719104/lr12_1bS_normal.jpg","View")</f>
        <v>View</v>
      </c>
      <c r="P6406" s="11"/>
    </row>
    <row r="6407" spans="1:16" ht="12.75" x14ac:dyDescent="0.35">
      <c r="A6407" s="7">
        <v>42484.042488425926</v>
      </c>
      <c r="B6407" s="8" t="str">
        <f>HYPERLINK("https://twitter.com/VolkswagenPost","@VolkswagenPost")</f>
        <v>@VolkswagenPost</v>
      </c>
      <c r="C6407" s="9" t="s">
        <v>321</v>
      </c>
      <c r="D6407" s="9" t="s">
        <v>14500</v>
      </c>
      <c r="E6407" s="10" t="str">
        <f>HYPERLINK("https://twitter.com/VolkswagenPost/status/723957407597113344","723957407597113344")</f>
        <v>723957407597113344</v>
      </c>
      <c r="F6407" s="11" t="s">
        <v>288</v>
      </c>
      <c r="G6407" s="11">
        <v>570</v>
      </c>
      <c r="H6407" s="11">
        <v>446</v>
      </c>
      <c r="I6407" s="11">
        <v>1</v>
      </c>
      <c r="J6407" s="11">
        <v>0</v>
      </c>
      <c r="K6407" s="11" t="s">
        <v>21</v>
      </c>
      <c r="L6407" s="7">
        <v>41940.618379629632</v>
      </c>
      <c r="M6407" s="12"/>
      <c r="N6407" s="12"/>
      <c r="O6407" s="10" t="str">
        <f>HYPERLINK("https://pbs.twimg.com/profile_images/530071272881803264/a_jcCmPZ_normal.png","View")</f>
        <v>View</v>
      </c>
      <c r="P6407" s="11"/>
    </row>
    <row r="6408" spans="1:16" ht="12.75" x14ac:dyDescent="0.35">
      <c r="A6408" s="7">
        <v>42484.043773148151</v>
      </c>
      <c r="B6408" s="8" t="str">
        <f>HYPERLINK("https://twitter.com/AutoExpress","@AutoExpress")</f>
        <v>@AutoExpress</v>
      </c>
      <c r="C6408" s="9" t="s">
        <v>1973</v>
      </c>
      <c r="D6408" s="9" t="s">
        <v>14501</v>
      </c>
      <c r="E6408" s="10" t="str">
        <f>HYPERLINK("https://twitter.com/AutoExpress/status/723957875815538689","723957875815538689")</f>
        <v>723957875815538689</v>
      </c>
      <c r="F6408" s="11" t="s">
        <v>63</v>
      </c>
      <c r="G6408" s="11">
        <v>93186</v>
      </c>
      <c r="H6408" s="11">
        <v>776</v>
      </c>
      <c r="I6408" s="11">
        <v>2</v>
      </c>
      <c r="J6408" s="11">
        <v>3</v>
      </c>
      <c r="K6408" s="11" t="s">
        <v>21</v>
      </c>
      <c r="L6408" s="7">
        <v>39869.653437499997</v>
      </c>
      <c r="M6408" s="12" t="s">
        <v>638</v>
      </c>
      <c r="N6408" s="12" t="s">
        <v>1975</v>
      </c>
      <c r="O6408" s="10" t="str">
        <f>HYPERLINK("https://pbs.twimg.com/profile_images/378800000673633859/9729e4c280465095c6f835c9f6b36378_normal.jpeg","View")</f>
        <v>View</v>
      </c>
      <c r="P6408" s="11"/>
    </row>
    <row r="6409" spans="1:16" ht="12.75" x14ac:dyDescent="0.35">
      <c r="A6409" s="7">
        <v>42484.044351851851</v>
      </c>
      <c r="B6409" s="8" t="str">
        <f>HYPERLINK("https://twitter.com/JCristianGF","@JCristianGF")</f>
        <v>@JCristianGF</v>
      </c>
      <c r="C6409" s="9" t="s">
        <v>14502</v>
      </c>
      <c r="D6409" s="9" t="s">
        <v>3265</v>
      </c>
      <c r="E6409" s="10" t="str">
        <f>HYPERLINK("https://twitter.com/JCristianGF/status/723958085367123969","723958085367123969")</f>
        <v>723958085367123969</v>
      </c>
      <c r="F6409" s="11" t="s">
        <v>367</v>
      </c>
      <c r="G6409" s="11">
        <v>526</v>
      </c>
      <c r="H6409" s="11">
        <v>661</v>
      </c>
      <c r="I6409" s="11">
        <v>2</v>
      </c>
      <c r="J6409" s="11">
        <v>0</v>
      </c>
      <c r="K6409" s="11" t="s">
        <v>21</v>
      </c>
      <c r="L6409" s="7">
        <v>42032.241898148146</v>
      </c>
      <c r="M6409" s="12" t="s">
        <v>14503</v>
      </c>
      <c r="N6409" s="12" t="s">
        <v>14504</v>
      </c>
      <c r="O6409" s="10" t="str">
        <f>HYPERLINK("https://pbs.twimg.com/profile_images/683097267247554560/mO-D6l-F_normal.png","View")</f>
        <v>View</v>
      </c>
      <c r="P6409" s="11"/>
    </row>
    <row r="6410" spans="1:16" ht="12.75" x14ac:dyDescent="0.35">
      <c r="A6410" s="7">
        <v>42484.045925925922</v>
      </c>
      <c r="B6410" s="8" t="str">
        <f>HYPERLINK("https://twitter.com/VWCamperSales","@VWCamperSales")</f>
        <v>@VWCamperSales</v>
      </c>
      <c r="C6410" s="9" t="s">
        <v>216</v>
      </c>
      <c r="D6410" s="9" t="s">
        <v>14505</v>
      </c>
      <c r="E6410" s="10" t="str">
        <f>HYPERLINK("https://twitter.com/VWCamperSales/status/723958653309456385","723958653309456385")</f>
        <v>723958653309456385</v>
      </c>
      <c r="F6410" s="10" t="s">
        <v>124</v>
      </c>
      <c r="G6410" s="11">
        <v>621</v>
      </c>
      <c r="H6410" s="11">
        <v>580</v>
      </c>
      <c r="I6410" s="11">
        <v>0</v>
      </c>
      <c r="J6410" s="11">
        <v>0</v>
      </c>
      <c r="K6410" s="11" t="s">
        <v>21</v>
      </c>
      <c r="L6410" s="7">
        <v>42215.98809027778</v>
      </c>
      <c r="M6410" s="12" t="s">
        <v>129</v>
      </c>
      <c r="N6410" s="12" t="s">
        <v>218</v>
      </c>
      <c r="O6410" s="10" t="str">
        <f>HYPERLINK("https://pbs.twimg.com/profile_images/627949001179037696/skEBkS05_normal.jpg","View")</f>
        <v>View</v>
      </c>
      <c r="P6410" s="11"/>
    </row>
    <row r="6411" spans="1:16" ht="12.75" x14ac:dyDescent="0.35">
      <c r="A6411" s="7">
        <v>42484.047164351854</v>
      </c>
      <c r="B6411" s="8" t="str">
        <f>HYPERLINK("https://twitter.com/Srry_I_ddnt_kno","@Srry_I_ddnt_kno")</f>
        <v>@Srry_I_ddnt_kno</v>
      </c>
      <c r="C6411" s="9" t="s">
        <v>4279</v>
      </c>
      <c r="D6411" s="9" t="s">
        <v>14506</v>
      </c>
      <c r="E6411" s="10" t="str">
        <f>HYPERLINK("https://twitter.com/Srry_I_ddnt_kno/status/723959102288875520","723959102288875520")</f>
        <v>723959102288875520</v>
      </c>
      <c r="F6411" s="11" t="s">
        <v>43</v>
      </c>
      <c r="G6411" s="11">
        <v>79</v>
      </c>
      <c r="H6411" s="11">
        <v>308</v>
      </c>
      <c r="I6411" s="11">
        <v>1</v>
      </c>
      <c r="J6411" s="11">
        <v>0</v>
      </c>
      <c r="K6411" s="11" t="s">
        <v>21</v>
      </c>
      <c r="L6411" s="7">
        <v>42278.040949074071</v>
      </c>
      <c r="M6411" s="12" t="s">
        <v>4281</v>
      </c>
      <c r="N6411" s="12" t="s">
        <v>4282</v>
      </c>
      <c r="O6411" s="10" t="str">
        <f>HYPERLINK("https://pbs.twimg.com/profile_images/654379371449421825/wDuXHoqa_normal.jpg","View")</f>
        <v>View</v>
      </c>
      <c r="P6411" s="11"/>
    </row>
    <row r="6412" spans="1:16" ht="12.75" x14ac:dyDescent="0.35">
      <c r="A6412" s="7">
        <v>42484.048611111109</v>
      </c>
      <c r="B6412" s="8" t="str">
        <f>HYPERLINK("https://twitter.com/hashtagvanlife","@hashtagvanlife")</f>
        <v>@hashtagvanlife</v>
      </c>
      <c r="C6412" s="9" t="s">
        <v>187</v>
      </c>
      <c r="D6412" s="9" t="s">
        <v>14507</v>
      </c>
      <c r="E6412" s="10" t="str">
        <f>HYPERLINK("https://twitter.com/hashtagvanlife/status/723959627671580672","723959627671580672")</f>
        <v>723959627671580672</v>
      </c>
      <c r="F6412" s="11" t="s">
        <v>189</v>
      </c>
      <c r="G6412" s="11">
        <v>1025</v>
      </c>
      <c r="H6412" s="11">
        <v>29</v>
      </c>
      <c r="I6412" s="11">
        <v>1</v>
      </c>
      <c r="J6412" s="11">
        <v>0</v>
      </c>
      <c r="K6412" s="11" t="s">
        <v>21</v>
      </c>
      <c r="L6412" s="7">
        <v>42289.994583333333</v>
      </c>
      <c r="M6412" s="12"/>
      <c r="N6412" s="12" t="s">
        <v>190</v>
      </c>
      <c r="O6412" s="10" t="str">
        <f>HYPERLINK("https://pbs.twimg.com/profile_images/653637535545995264/gHuXQ5Bt_normal.jpg","View")</f>
        <v>View</v>
      </c>
      <c r="P6412" s="11"/>
    </row>
    <row r="6413" spans="1:16" ht="12.75" x14ac:dyDescent="0.35">
      <c r="A6413" s="7">
        <v>42484.04987268518</v>
      </c>
      <c r="B6413" s="8" t="str">
        <f t="shared" ref="B6413:B6414" si="567">HYPERLINK("https://twitter.com/VolkswagenPost","@VolkswagenPost")</f>
        <v>@VolkswagenPost</v>
      </c>
      <c r="C6413" s="9" t="s">
        <v>321</v>
      </c>
      <c r="D6413" s="9" t="s">
        <v>14508</v>
      </c>
      <c r="E6413" s="10" t="str">
        <f>HYPERLINK("https://twitter.com/VolkswagenPost/status/723960086574575616","723960086574575616")</f>
        <v>723960086574575616</v>
      </c>
      <c r="F6413" s="11" t="s">
        <v>288</v>
      </c>
      <c r="G6413" s="11">
        <v>570</v>
      </c>
      <c r="H6413" s="11">
        <v>446</v>
      </c>
      <c r="I6413" s="11">
        <v>1</v>
      </c>
      <c r="J6413" s="11">
        <v>0</v>
      </c>
      <c r="K6413" s="11" t="s">
        <v>21</v>
      </c>
      <c r="L6413" s="7">
        <v>41940.618379629632</v>
      </c>
      <c r="M6413" s="12"/>
      <c r="N6413" s="12"/>
      <c r="O6413" s="10" t="str">
        <f t="shared" ref="O6413:O6414" si="568">HYPERLINK("https://pbs.twimg.com/profile_images/530071272881803264/a_jcCmPZ_normal.png","View")</f>
        <v>View</v>
      </c>
      <c r="P6413" s="11"/>
    </row>
    <row r="6414" spans="1:16" ht="12.75" x14ac:dyDescent="0.35">
      <c r="A6414" s="7">
        <v>42484.049884259264</v>
      </c>
      <c r="B6414" s="8" t="str">
        <f t="shared" si="567"/>
        <v>@VolkswagenPost</v>
      </c>
      <c r="C6414" s="9" t="s">
        <v>321</v>
      </c>
      <c r="D6414" s="9" t="s">
        <v>14509</v>
      </c>
      <c r="E6414" s="10" t="str">
        <f>HYPERLINK("https://twitter.com/VolkswagenPost/status/723960087866429440","723960087866429440")</f>
        <v>723960087866429440</v>
      </c>
      <c r="F6414" s="11" t="s">
        <v>288</v>
      </c>
      <c r="G6414" s="11">
        <v>570</v>
      </c>
      <c r="H6414" s="11">
        <v>446</v>
      </c>
      <c r="I6414" s="11">
        <v>1</v>
      </c>
      <c r="J6414" s="11">
        <v>0</v>
      </c>
      <c r="K6414" s="11" t="s">
        <v>21</v>
      </c>
      <c r="L6414" s="7">
        <v>41940.618379629632</v>
      </c>
      <c r="M6414" s="12"/>
      <c r="N6414" s="12"/>
      <c r="O6414" s="10" t="str">
        <f t="shared" si="568"/>
        <v>View</v>
      </c>
      <c r="P6414" s="11"/>
    </row>
    <row r="6415" spans="1:16" ht="12.75" x14ac:dyDescent="0.35">
      <c r="A6415" s="7">
        <v>42484.051145833335</v>
      </c>
      <c r="B6415" s="8" t="str">
        <f>HYPERLINK("https://twitter.com/berlinhabercom","@berlinhabercom")</f>
        <v>@berlinhabercom</v>
      </c>
      <c r="C6415" s="8" t="s">
        <v>14510</v>
      </c>
      <c r="D6415" s="9" t="s">
        <v>14511</v>
      </c>
      <c r="E6415" s="10" t="str">
        <f>HYPERLINK("https://twitter.com/berlinhabercom/status/723960548258394113","723960548258394113")</f>
        <v>723960548258394113</v>
      </c>
      <c r="F6415" s="11" t="s">
        <v>43</v>
      </c>
      <c r="G6415" s="11">
        <v>2727</v>
      </c>
      <c r="H6415" s="11">
        <v>334</v>
      </c>
      <c r="I6415" s="11">
        <v>0</v>
      </c>
      <c r="J6415" s="11">
        <v>0</v>
      </c>
      <c r="K6415" s="11" t="s">
        <v>21</v>
      </c>
      <c r="L6415" s="7">
        <v>41793.053182870368</v>
      </c>
      <c r="M6415" s="12"/>
      <c r="N6415" s="12"/>
      <c r="O6415" s="10" t="str">
        <f>HYPERLINK("https://pbs.twimg.com/profile_images/473555745741344768/83uhhxQy_normal.jpeg","View")</f>
        <v>View</v>
      </c>
      <c r="P6415" s="11"/>
    </row>
    <row r="6416" spans="1:16" ht="12.75" x14ac:dyDescent="0.35">
      <c r="A6416" s="7">
        <v>42484.052048611113</v>
      </c>
      <c r="B6416" s="8" t="str">
        <f>HYPERLINK("https://twitter.com/rallyargentina","@rallyargentina")</f>
        <v>@rallyargentina</v>
      </c>
      <c r="C6416" s="9" t="s">
        <v>14512</v>
      </c>
      <c r="D6416" s="9" t="s">
        <v>14513</v>
      </c>
      <c r="E6416" s="10" t="str">
        <f>HYPERLINK("https://twitter.com/rallyargentina/status/723960875393101824","723960875393101824")</f>
        <v>723960875393101824</v>
      </c>
      <c r="F6416" s="11" t="s">
        <v>43</v>
      </c>
      <c r="G6416" s="11">
        <v>17127</v>
      </c>
      <c r="H6416" s="11">
        <v>269</v>
      </c>
      <c r="I6416" s="11">
        <v>4</v>
      </c>
      <c r="J6416" s="11">
        <v>0</v>
      </c>
      <c r="K6416" s="11" t="s">
        <v>21</v>
      </c>
      <c r="L6416" s="7">
        <v>40581.989583333336</v>
      </c>
      <c r="M6416" s="12" t="s">
        <v>2867</v>
      </c>
      <c r="N6416" s="12" t="s">
        <v>14514</v>
      </c>
      <c r="O6416" s="10" t="str">
        <f>HYPERLINK("https://pbs.twimg.com/profile_images/715939545305505792/puyqE4PS_normal.jpg","View")</f>
        <v>View</v>
      </c>
      <c r="P6416" s="11"/>
    </row>
    <row r="6417" spans="1:16" ht="12.75" x14ac:dyDescent="0.35">
      <c r="A6417" s="7">
        <v>42484.052060185189</v>
      </c>
      <c r="B6417" s="8" t="str">
        <f>HYPERLINK("https://twitter.com/ThaiQashqaiClub","@ThaiQashqaiClub")</f>
        <v>@ThaiQashqaiClub</v>
      </c>
      <c r="C6417" s="9" t="s">
        <v>14515</v>
      </c>
      <c r="D6417" s="9" t="s">
        <v>3265</v>
      </c>
      <c r="E6417" s="10" t="str">
        <f>HYPERLINK("https://twitter.com/ThaiQashqaiClub/status/723960878077480961","723960878077480961")</f>
        <v>723960878077480961</v>
      </c>
      <c r="F6417" s="11" t="s">
        <v>14516</v>
      </c>
      <c r="G6417" s="11">
        <v>114</v>
      </c>
      <c r="H6417" s="11">
        <v>196</v>
      </c>
      <c r="I6417" s="11">
        <v>2</v>
      </c>
      <c r="J6417" s="11">
        <v>0</v>
      </c>
      <c r="K6417" s="11" t="s">
        <v>21</v>
      </c>
      <c r="L6417" s="7">
        <v>41625.627060185187</v>
      </c>
      <c r="M6417" s="12"/>
      <c r="N6417" s="12"/>
      <c r="O6417" s="10" t="str">
        <f>HYPERLINK("https://pbs.twimg.com/profile_images/414218985224142848/lFUdEAne_normal.jpeg","View")</f>
        <v>View</v>
      </c>
      <c r="P6417" s="11"/>
    </row>
    <row r="6418" spans="1:16" ht="12.75" x14ac:dyDescent="0.35">
      <c r="A6418" s="7">
        <v>42484.052384259259</v>
      </c>
      <c r="B6418" s="8" t="str">
        <f>HYPERLINK("https://twitter.com/elmatirusso","@elmatirusso")</f>
        <v>@elmatirusso</v>
      </c>
      <c r="C6418" s="9" t="s">
        <v>14517</v>
      </c>
      <c r="D6418" s="9" t="s">
        <v>14518</v>
      </c>
      <c r="E6418" s="10" t="str">
        <f>HYPERLINK("https://twitter.com/elmatirusso/status/723960995241164801","723960995241164801")</f>
        <v>723960995241164801</v>
      </c>
      <c r="F6418" s="11" t="s">
        <v>20</v>
      </c>
      <c r="G6418" s="11">
        <v>1297</v>
      </c>
      <c r="H6418" s="11">
        <v>267</v>
      </c>
      <c r="I6418" s="11">
        <v>4</v>
      </c>
      <c r="J6418" s="11">
        <v>0</v>
      </c>
      <c r="K6418" s="11" t="s">
        <v>21</v>
      </c>
      <c r="L6418" s="7">
        <v>40389.924224537041</v>
      </c>
      <c r="M6418" s="12" t="s">
        <v>13323</v>
      </c>
      <c r="N6418" s="12" t="s">
        <v>14519</v>
      </c>
      <c r="O6418" s="10" t="str">
        <f>HYPERLINK("https://pbs.twimg.com/profile_images/1630887720/foto_rally_normal.jpg","View")</f>
        <v>View</v>
      </c>
      <c r="P6418" s="11"/>
    </row>
    <row r="6419" spans="1:16" ht="12.75" x14ac:dyDescent="0.35">
      <c r="A6419" s="7">
        <v>42484.052442129629</v>
      </c>
      <c r="B6419" s="8" t="str">
        <f>HYPERLINK("https://twitter.com/BaCuadros","@BaCuadros")</f>
        <v>@BaCuadros</v>
      </c>
      <c r="C6419" s="9" t="s">
        <v>14520</v>
      </c>
      <c r="D6419" s="9" t="s">
        <v>14518</v>
      </c>
      <c r="E6419" s="10" t="str">
        <f>HYPERLINK("https://twitter.com/BaCuadros/status/723961016510480385","723961016510480385")</f>
        <v>723961016510480385</v>
      </c>
      <c r="F6419" s="11" t="s">
        <v>63</v>
      </c>
      <c r="G6419" s="11">
        <v>4695</v>
      </c>
      <c r="H6419" s="11">
        <v>1509</v>
      </c>
      <c r="I6419" s="11">
        <v>4</v>
      </c>
      <c r="J6419" s="11">
        <v>0</v>
      </c>
      <c r="K6419" s="11" t="s">
        <v>21</v>
      </c>
      <c r="L6419" s="7">
        <v>40754.687847222223</v>
      </c>
      <c r="M6419" s="12"/>
      <c r="N6419" s="12" t="s">
        <v>14521</v>
      </c>
      <c r="O6419" s="10" t="str">
        <f>HYPERLINK("https://pbs.twimg.com/profile_images/3440349262/59758fc2d4ef13f0864497716fa9d8e3_normal.jpeg","View")</f>
        <v>View</v>
      </c>
      <c r="P6419" s="11"/>
    </row>
    <row r="6420" spans="1:16" ht="12.75" x14ac:dyDescent="0.35">
      <c r="A6420" s="7">
        <v>42484.05263888889</v>
      </c>
      <c r="B6420" s="8" t="str">
        <f>HYPERLINK("https://twitter.com/LeoDesimone6","@LeoDesimone6")</f>
        <v>@LeoDesimone6</v>
      </c>
      <c r="C6420" s="9" t="s">
        <v>14522</v>
      </c>
      <c r="D6420" s="9" t="s">
        <v>14518</v>
      </c>
      <c r="E6420" s="10" t="str">
        <f>HYPERLINK("https://twitter.com/LeoDesimone6/status/723961086999969792","723961086999969792")</f>
        <v>723961086999969792</v>
      </c>
      <c r="F6420" s="11" t="s">
        <v>48</v>
      </c>
      <c r="G6420" s="11">
        <v>211</v>
      </c>
      <c r="H6420" s="11">
        <v>186</v>
      </c>
      <c r="I6420" s="11">
        <v>33</v>
      </c>
      <c r="J6420" s="11">
        <v>0</v>
      </c>
      <c r="K6420" s="11" t="s">
        <v>21</v>
      </c>
      <c r="L6420" s="7">
        <v>41884.354537037041</v>
      </c>
      <c r="M6420" s="12" t="s">
        <v>14523</v>
      </c>
      <c r="N6420" s="12" t="s">
        <v>14524</v>
      </c>
      <c r="O6420" s="10" t="str">
        <f>HYPERLINK("https://pbs.twimg.com/profile_images/506640892044656640/9hLA6C7l_normal.jpeg","View")</f>
        <v>View</v>
      </c>
      <c r="P6420" s="11"/>
    </row>
    <row r="6421" spans="1:16" ht="12.75" x14ac:dyDescent="0.35">
      <c r="A6421" s="7">
        <v>42484.052650462967</v>
      </c>
      <c r="B6421" s="8" t="str">
        <f>HYPERLINK("https://twitter.com/gustaricar2013","@gustaricar2013")</f>
        <v>@gustaricar2013</v>
      </c>
      <c r="C6421" s="9" t="s">
        <v>14525</v>
      </c>
      <c r="D6421" s="9" t="s">
        <v>14518</v>
      </c>
      <c r="E6421" s="10" t="str">
        <f>HYPERLINK("https://twitter.com/gustaricar2013/status/723961092817428480","723961092817428480")</f>
        <v>723961092817428480</v>
      </c>
      <c r="F6421" s="11" t="s">
        <v>43</v>
      </c>
      <c r="G6421" s="11">
        <v>2047</v>
      </c>
      <c r="H6421" s="11">
        <v>3016</v>
      </c>
      <c r="I6421" s="11">
        <v>33</v>
      </c>
      <c r="J6421" s="11">
        <v>0</v>
      </c>
      <c r="K6421" s="11" t="s">
        <v>21</v>
      </c>
      <c r="L6421" s="7">
        <v>41463.939097222225</v>
      </c>
      <c r="M6421" s="12" t="s">
        <v>14526</v>
      </c>
      <c r="N6421" s="12" t="s">
        <v>14527</v>
      </c>
      <c r="O6421" s="10" t="str">
        <f>HYPERLINK("https://pbs.twimg.com/profile_images/711890317448904704/wabvMcxR_normal.jpg","View")</f>
        <v>View</v>
      </c>
      <c r="P6421" s="11"/>
    </row>
    <row r="6422" spans="1:16" ht="12.75" x14ac:dyDescent="0.35">
      <c r="A6422" s="7">
        <v>42484.052731481483</v>
      </c>
      <c r="B6422" s="8" t="str">
        <f>HYPERLINK("https://twitter.com/probusol","@probusol")</f>
        <v>@probusol</v>
      </c>
      <c r="C6422" s="9" t="s">
        <v>14528</v>
      </c>
      <c r="D6422" s="9" t="s">
        <v>14518</v>
      </c>
      <c r="E6422" s="10" t="str">
        <f>HYPERLINK("https://twitter.com/probusol/status/723961120655069185","723961120655069185")</f>
        <v>723961120655069185</v>
      </c>
      <c r="F6422" s="11" t="s">
        <v>48</v>
      </c>
      <c r="G6422" s="11">
        <v>1048</v>
      </c>
      <c r="H6422" s="11">
        <v>1070</v>
      </c>
      <c r="I6422" s="11">
        <v>33</v>
      </c>
      <c r="J6422" s="11">
        <v>0</v>
      </c>
      <c r="K6422" s="11" t="s">
        <v>21</v>
      </c>
      <c r="L6422" s="7">
        <v>41379.849351851852</v>
      </c>
      <c r="M6422" s="12" t="s">
        <v>14529</v>
      </c>
      <c r="N6422" s="12" t="s">
        <v>14530</v>
      </c>
      <c r="O6422" s="10" t="str">
        <f>HYPERLINK("https://pbs.twimg.com/profile_images/659418025528029184/qxDTeU_Q_normal.jpg","View")</f>
        <v>View</v>
      </c>
      <c r="P6422" s="11"/>
    </row>
    <row r="6423" spans="1:16" ht="12.75" x14ac:dyDescent="0.35">
      <c r="A6423" s="7">
        <v>42484.052997685183</v>
      </c>
      <c r="B6423" s="8" t="str">
        <f>HYPERLINK("https://twitter.com/BerniWan","@BerniWan")</f>
        <v>@BerniWan</v>
      </c>
      <c r="C6423" s="9" t="s">
        <v>14531</v>
      </c>
      <c r="D6423" s="9" t="s">
        <v>14518</v>
      </c>
      <c r="E6423" s="10" t="str">
        <f>HYPERLINK("https://twitter.com/BerniWan/status/723961217174351872","723961217174351872")</f>
        <v>723961217174351872</v>
      </c>
      <c r="F6423" s="11" t="s">
        <v>48</v>
      </c>
      <c r="G6423" s="11">
        <v>172</v>
      </c>
      <c r="H6423" s="11">
        <v>597</v>
      </c>
      <c r="I6423" s="11">
        <v>33</v>
      </c>
      <c r="J6423" s="11">
        <v>0</v>
      </c>
      <c r="K6423" s="11" t="s">
        <v>21</v>
      </c>
      <c r="L6423" s="7">
        <v>40605.964942129627</v>
      </c>
      <c r="M6423" s="12" t="s">
        <v>14532</v>
      </c>
      <c r="N6423" s="12" t="s">
        <v>14533</v>
      </c>
      <c r="O6423" s="10" t="str">
        <f>HYPERLINK("https://pbs.twimg.com/profile_images/462080171680358400/6kbeHuCz_normal.jpeg","View")</f>
        <v>View</v>
      </c>
      <c r="P6423" s="11"/>
    </row>
    <row r="6424" spans="1:16" ht="12.75" x14ac:dyDescent="0.35">
      <c r="A6424" s="7">
        <v>42484.053217592591</v>
      </c>
      <c r="B6424" s="8" t="str">
        <f>HYPERLINK("https://twitter.com/RTLRally","@RTLRally")</f>
        <v>@RTLRally</v>
      </c>
      <c r="C6424" s="9" t="s">
        <v>10712</v>
      </c>
      <c r="D6424" s="9" t="s">
        <v>14534</v>
      </c>
      <c r="E6424" s="10" t="str">
        <f>HYPERLINK("https://twitter.com/RTLRally/status/723961297050714112","723961297050714112")</f>
        <v>723961297050714112</v>
      </c>
      <c r="F6424" s="11" t="s">
        <v>43</v>
      </c>
      <c r="G6424" s="11">
        <v>2535</v>
      </c>
      <c r="H6424" s="11">
        <v>1</v>
      </c>
      <c r="I6424" s="11">
        <v>0</v>
      </c>
      <c r="J6424" s="11">
        <v>0</v>
      </c>
      <c r="K6424" s="11" t="s">
        <v>21</v>
      </c>
      <c r="L6424" s="7">
        <v>40628.658171296294</v>
      </c>
      <c r="M6424" s="12" t="s">
        <v>10714</v>
      </c>
      <c r="N6424" s="12" t="s">
        <v>10715</v>
      </c>
      <c r="O6424" s="10" t="str">
        <f>HYPERLINK("https://pbs.twimg.com/profile_images/711506516294041600/1fr0IryT_normal.jpg","View")</f>
        <v>View</v>
      </c>
      <c r="P6424" s="11"/>
    </row>
    <row r="6425" spans="1:16" ht="12.75" x14ac:dyDescent="0.35">
      <c r="A6425" s="7">
        <v>42484.053379629629</v>
      </c>
      <c r="B6425" s="8" t="str">
        <f>HYPERLINK("https://twitter.com/anlofa","@anlofa")</f>
        <v>@anlofa</v>
      </c>
      <c r="C6425" s="9" t="s">
        <v>14535</v>
      </c>
      <c r="D6425" s="9" t="s">
        <v>14518</v>
      </c>
      <c r="E6425" s="10" t="str">
        <f>HYPERLINK("https://twitter.com/anlofa/status/723961355884175360","723961355884175360")</f>
        <v>723961355884175360</v>
      </c>
      <c r="F6425" s="11" t="s">
        <v>48</v>
      </c>
      <c r="G6425" s="11">
        <v>282</v>
      </c>
      <c r="H6425" s="11">
        <v>784</v>
      </c>
      <c r="I6425" s="11">
        <v>33</v>
      </c>
      <c r="J6425" s="11">
        <v>0</v>
      </c>
      <c r="K6425" s="11" t="s">
        <v>21</v>
      </c>
      <c r="L6425" s="7">
        <v>40297.898564814815</v>
      </c>
      <c r="M6425" s="12" t="s">
        <v>14536</v>
      </c>
      <c r="N6425" s="12" t="s">
        <v>14537</v>
      </c>
      <c r="O6425" s="10" t="str">
        <f>HYPERLINK("https://pbs.twimg.com/profile_images/378800000547911829/e37e652d6980801bbc7cd7346e1a8510_normal.png","View")</f>
        <v>View</v>
      </c>
      <c r="P6425" s="11"/>
    </row>
    <row r="6426" spans="1:16" ht="12.75" x14ac:dyDescent="0.35">
      <c r="A6426" s="7">
        <v>42484.053379629629</v>
      </c>
      <c r="B6426" s="8" t="str">
        <f>HYPERLINK("https://twitter.com/retodiariomx","@retodiariomx")</f>
        <v>@retodiariomx</v>
      </c>
      <c r="C6426" s="9" t="s">
        <v>14538</v>
      </c>
      <c r="D6426" s="9" t="s">
        <v>14539</v>
      </c>
      <c r="E6426" s="10" t="str">
        <f>HYPERLINK("https://twitter.com/retodiariomx/status/723961357951856640","723961357951856640")</f>
        <v>723961357951856640</v>
      </c>
      <c r="F6426" s="11" t="s">
        <v>43</v>
      </c>
      <c r="G6426" s="11">
        <v>4122</v>
      </c>
      <c r="H6426" s="11">
        <v>1207</v>
      </c>
      <c r="I6426" s="11">
        <v>0</v>
      </c>
      <c r="J6426" s="11">
        <v>0</v>
      </c>
      <c r="K6426" s="11" t="s">
        <v>21</v>
      </c>
      <c r="L6426" s="7">
        <v>40252.485046296293</v>
      </c>
      <c r="M6426" s="12" t="s">
        <v>3359</v>
      </c>
      <c r="N6426" s="12" t="s">
        <v>14540</v>
      </c>
      <c r="O6426" s="10" t="str">
        <f>HYPERLINK("https://pbs.twimg.com/profile_images/665618632802615297/ejRWRQP7_normal.jpg","View")</f>
        <v>View</v>
      </c>
      <c r="P6426" s="11"/>
    </row>
    <row r="6427" spans="1:16" ht="12.75" x14ac:dyDescent="0.35">
      <c r="A6427" s="7">
        <v>42484.053402777776</v>
      </c>
      <c r="B6427" s="8" t="str">
        <f>HYPERLINK("https://twitter.com/FabryB_","@FabryB_")</f>
        <v>@FabryB_</v>
      </c>
      <c r="C6427" s="9" t="s">
        <v>14541</v>
      </c>
      <c r="D6427" s="9" t="s">
        <v>14518</v>
      </c>
      <c r="E6427" s="10" t="str">
        <f>HYPERLINK("https://twitter.com/FabryB_/status/723961364985856000","723961364985856000")</f>
        <v>723961364985856000</v>
      </c>
      <c r="F6427" s="11" t="s">
        <v>48</v>
      </c>
      <c r="G6427" s="11">
        <v>823</v>
      </c>
      <c r="H6427" s="11">
        <v>439</v>
      </c>
      <c r="I6427" s="11">
        <v>33</v>
      </c>
      <c r="J6427" s="11">
        <v>0</v>
      </c>
      <c r="K6427" s="11" t="s">
        <v>21</v>
      </c>
      <c r="L6427" s="7">
        <v>41371.245555555557</v>
      </c>
      <c r="M6427" s="12" t="s">
        <v>14542</v>
      </c>
      <c r="N6427" s="12" t="s">
        <v>14543</v>
      </c>
      <c r="O6427" s="10" t="str">
        <f>HYPERLINK("https://pbs.twimg.com/profile_images/670833711500382208/ZJIS351m_normal.jpg","View")</f>
        <v>View</v>
      </c>
      <c r="P6427" s="11"/>
    </row>
    <row r="6428" spans="1:16" ht="12.75" x14ac:dyDescent="0.35">
      <c r="A6428" s="7">
        <v>42484.054131944446</v>
      </c>
      <c r="B6428" s="8" t="str">
        <f>HYPERLINK("https://twitter.com/RallyLatam","@RallyLatam")</f>
        <v>@RallyLatam</v>
      </c>
      <c r="C6428" s="9" t="s">
        <v>14544</v>
      </c>
      <c r="D6428" s="9" t="s">
        <v>14545</v>
      </c>
      <c r="E6428" s="10" t="str">
        <f>HYPERLINK("https://twitter.com/RallyLatam/status/723961627972870149","723961627972870149")</f>
        <v>723961627972870149</v>
      </c>
      <c r="F6428" s="11" t="s">
        <v>68</v>
      </c>
      <c r="G6428" s="11">
        <v>299</v>
      </c>
      <c r="H6428" s="11">
        <v>351</v>
      </c>
      <c r="I6428" s="11">
        <v>0</v>
      </c>
      <c r="J6428" s="11">
        <v>0</v>
      </c>
      <c r="K6428" s="11" t="s">
        <v>21</v>
      </c>
      <c r="L6428" s="7">
        <v>42093.980995370366</v>
      </c>
      <c r="M6428" s="12" t="s">
        <v>14546</v>
      </c>
      <c r="N6428" s="12" t="s">
        <v>14547</v>
      </c>
      <c r="O6428" s="10" t="str">
        <f>HYPERLINK("https://pbs.twimg.com/profile_images/582604276679249920/tYpGG9aP_normal.jpg","View")</f>
        <v>View</v>
      </c>
      <c r="P6428" s="11"/>
    </row>
    <row r="6429" spans="1:16" ht="12.75" x14ac:dyDescent="0.35">
      <c r="A6429" s="7">
        <v>42484.054143518515</v>
      </c>
      <c r="B6429" s="8" t="str">
        <f>HYPERLINK("https://twitter.com/j_a_n_30","@j_a_n_30")</f>
        <v>@j_a_n_30</v>
      </c>
      <c r="C6429" s="9" t="s">
        <v>14548</v>
      </c>
      <c r="D6429" s="9" t="s">
        <v>14518</v>
      </c>
      <c r="E6429" s="10" t="str">
        <f>HYPERLINK("https://twitter.com/j_a_n_30/status/723961633870102528","723961633870102528")</f>
        <v>723961633870102528</v>
      </c>
      <c r="F6429" s="11" t="s">
        <v>43</v>
      </c>
      <c r="G6429" s="11">
        <v>44</v>
      </c>
      <c r="H6429" s="11">
        <v>382</v>
      </c>
      <c r="I6429" s="11">
        <v>33</v>
      </c>
      <c r="J6429" s="11">
        <v>0</v>
      </c>
      <c r="K6429" s="11" t="s">
        <v>21</v>
      </c>
      <c r="L6429" s="7">
        <v>41141.016099537039</v>
      </c>
      <c r="M6429" s="12" t="s">
        <v>14549</v>
      </c>
      <c r="N6429" s="12"/>
      <c r="O6429" s="10" t="str">
        <f>HYPERLINK("https://pbs.twimg.com/profile_images/585052636052881409/sX3eccwq_normal.jpg","View")</f>
        <v>View</v>
      </c>
      <c r="P6429" s="11"/>
    </row>
    <row r="6430" spans="1:16" ht="12.75" x14ac:dyDescent="0.35">
      <c r="A6430" s="7">
        <v>42484.054467592592</v>
      </c>
      <c r="B6430" s="8" t="str">
        <f>HYPERLINK("https://twitter.com/Gandalfwasme","@Gandalfwasme")</f>
        <v>@Gandalfwasme</v>
      </c>
      <c r="C6430" s="9" t="s">
        <v>14550</v>
      </c>
      <c r="D6430" s="9" t="s">
        <v>14518</v>
      </c>
      <c r="E6430" s="10" t="str">
        <f>HYPERLINK("https://twitter.com/Gandalfwasme/status/723961749918101506","723961749918101506")</f>
        <v>723961749918101506</v>
      </c>
      <c r="F6430" s="11" t="s">
        <v>91</v>
      </c>
      <c r="G6430" s="11">
        <v>1378</v>
      </c>
      <c r="H6430" s="11">
        <v>1978</v>
      </c>
      <c r="I6430" s="11">
        <v>33</v>
      </c>
      <c r="J6430" s="11">
        <v>0</v>
      </c>
      <c r="K6430" s="11" t="s">
        <v>21</v>
      </c>
      <c r="L6430" s="7">
        <v>40976.941041666665</v>
      </c>
      <c r="M6430" s="12"/>
      <c r="N6430" s="12" t="s">
        <v>14551</v>
      </c>
      <c r="O6430" s="10" t="str">
        <f>HYPERLINK("https://pbs.twimg.com/profile_images/2633049619/5553f14b2531e78260c667ecc0ecc3eb_normal.jpeg","View")</f>
        <v>View</v>
      </c>
      <c r="P6430" s="11"/>
    </row>
    <row r="6431" spans="1:16" ht="12.75" x14ac:dyDescent="0.35">
      <c r="A6431" s="7">
        <v>42484.055277777778</v>
      </c>
      <c r="B6431" s="8" t="str">
        <f>HYPERLINK("https://twitter.com/VWBeetleSales","@VWBeetleSales")</f>
        <v>@VWBeetleSales</v>
      </c>
      <c r="C6431" s="9" t="s">
        <v>127</v>
      </c>
      <c r="D6431" s="9" t="s">
        <v>14552</v>
      </c>
      <c r="E6431" s="10" t="str">
        <f>HYPERLINK("https://twitter.com/VWBeetleSales/status/723962042969821184","723962042969821184")</f>
        <v>723962042969821184</v>
      </c>
      <c r="F6431" s="10" t="s">
        <v>124</v>
      </c>
      <c r="G6431" s="11">
        <v>36</v>
      </c>
      <c r="H6431" s="11">
        <v>32</v>
      </c>
      <c r="I6431" s="11">
        <v>1</v>
      </c>
      <c r="J6431" s="11">
        <v>0</v>
      </c>
      <c r="K6431" s="11" t="s">
        <v>21</v>
      </c>
      <c r="L6431" s="7">
        <v>42427.019756944443</v>
      </c>
      <c r="M6431" s="12" t="s">
        <v>129</v>
      </c>
      <c r="N6431" s="12" t="s">
        <v>130</v>
      </c>
      <c r="O6431" s="10" t="str">
        <f>HYPERLINK("https://pbs.twimg.com/profile_images/703294545195307008/qeCvrX86_normal.jpg","View")</f>
        <v>View</v>
      </c>
      <c r="P6431" s="11"/>
    </row>
    <row r="6432" spans="1:16" ht="12.75" x14ac:dyDescent="0.35">
      <c r="A6432" s="7">
        <v>42484.055833333332</v>
      </c>
      <c r="B6432" s="8" t="str">
        <f>HYPERLINK("https://twitter.com/Cris_Lagos","@Cris_Lagos")</f>
        <v>@Cris_Lagos</v>
      </c>
      <c r="C6432" s="9" t="s">
        <v>14553</v>
      </c>
      <c r="D6432" s="9" t="s">
        <v>14518</v>
      </c>
      <c r="E6432" s="10" t="str">
        <f>HYPERLINK("https://twitter.com/Cris_Lagos/status/723962243948392448","723962243948392448")</f>
        <v>723962243948392448</v>
      </c>
      <c r="F6432" s="11" t="s">
        <v>43</v>
      </c>
      <c r="G6432" s="11">
        <v>525</v>
      </c>
      <c r="H6432" s="11">
        <v>374</v>
      </c>
      <c r="I6432" s="11">
        <v>33</v>
      </c>
      <c r="J6432" s="11">
        <v>0</v>
      </c>
      <c r="K6432" s="11" t="s">
        <v>21</v>
      </c>
      <c r="L6432" s="7">
        <v>40040.306458333333</v>
      </c>
      <c r="M6432" s="12" t="s">
        <v>5902</v>
      </c>
      <c r="N6432" s="12" t="s">
        <v>14554</v>
      </c>
      <c r="O6432" s="10" t="str">
        <f>HYPERLINK("https://pbs.twimg.com/profile_images/634753238768689152/WdxhkVNO_normal.jpg","View")</f>
        <v>View</v>
      </c>
      <c r="P6432" s="11"/>
    </row>
    <row r="6433" spans="1:16" ht="12.75" x14ac:dyDescent="0.35">
      <c r="A6433" s="7">
        <v>42484.056064814809</v>
      </c>
      <c r="B6433" s="8" t="str">
        <f>HYPERLINK("https://twitter.com/RallyCuenca","@RallyCuenca")</f>
        <v>@RallyCuenca</v>
      </c>
      <c r="C6433" s="9" t="s">
        <v>14555</v>
      </c>
      <c r="D6433" s="9" t="s">
        <v>14518</v>
      </c>
      <c r="E6433" s="10" t="str">
        <f>HYPERLINK("https://twitter.com/RallyCuenca/status/723962328186818560","723962328186818560")</f>
        <v>723962328186818560</v>
      </c>
      <c r="F6433" s="11" t="s">
        <v>20</v>
      </c>
      <c r="G6433" s="11">
        <v>19</v>
      </c>
      <c r="H6433" s="11">
        <v>32</v>
      </c>
      <c r="I6433" s="11">
        <v>33</v>
      </c>
      <c r="J6433" s="11">
        <v>0</v>
      </c>
      <c r="K6433" s="11" t="s">
        <v>21</v>
      </c>
      <c r="L6433" s="7">
        <v>42321.780405092592</v>
      </c>
      <c r="M6433" s="12"/>
      <c r="N6433" s="12" t="s">
        <v>14556</v>
      </c>
      <c r="O6433" s="10" t="str">
        <f>HYPERLINK("https://pbs.twimg.com/profile_images/711042006823387137/YnqVfTfq_normal.jpg","View")</f>
        <v>View</v>
      </c>
      <c r="P6433" s="11"/>
    </row>
    <row r="6434" spans="1:16" ht="12.75" x14ac:dyDescent="0.35">
      <c r="A6434" s="7">
        <v>42484.056087962963</v>
      </c>
      <c r="B6434" s="8" t="str">
        <f>HYPERLINK("https://twitter.com/Marilynnavas1","@Marilynnavas1")</f>
        <v>@Marilynnavas1</v>
      </c>
      <c r="C6434" s="9" t="s">
        <v>14557</v>
      </c>
      <c r="D6434" s="9" t="s">
        <v>14518</v>
      </c>
      <c r="E6434" s="10" t="str">
        <f>HYPERLINK("https://twitter.com/Marilynnavas1/status/723962338764791809","723962338764791809")</f>
        <v>723962338764791809</v>
      </c>
      <c r="F6434" s="11" t="s">
        <v>91</v>
      </c>
      <c r="G6434" s="11">
        <v>108</v>
      </c>
      <c r="H6434" s="11">
        <v>561</v>
      </c>
      <c r="I6434" s="11">
        <v>33</v>
      </c>
      <c r="J6434" s="11">
        <v>0</v>
      </c>
      <c r="K6434" s="11" t="s">
        <v>21</v>
      </c>
      <c r="L6434" s="7">
        <v>41251.147731481484</v>
      </c>
      <c r="M6434" s="12"/>
      <c r="N6434" s="12" t="s">
        <v>14558</v>
      </c>
      <c r="O6434" s="10" t="str">
        <f>HYPERLINK("https://pbs.twimg.com/profile_images/446753975371853825/Mbe_Q1qL_normal.jpeg","View")</f>
        <v>View</v>
      </c>
      <c r="P6434" s="11"/>
    </row>
    <row r="6435" spans="1:16" ht="12.75" x14ac:dyDescent="0.35">
      <c r="A6435" s="7">
        <v>42484.056446759263</v>
      </c>
      <c r="B6435" s="8" t="str">
        <f>HYPERLINK("https://twitter.com/JoMoWRC","@JoMoWRC")</f>
        <v>@JoMoWRC</v>
      </c>
      <c r="C6435" s="9" t="s">
        <v>14559</v>
      </c>
      <c r="D6435" s="9" t="s">
        <v>14518</v>
      </c>
      <c r="E6435" s="10" t="str">
        <f>HYPERLINK("https://twitter.com/JoMoWRC/status/723962465504116736","723962465504116736")</f>
        <v>723962465504116736</v>
      </c>
      <c r="F6435" s="11" t="s">
        <v>43</v>
      </c>
      <c r="G6435" s="11">
        <v>1236</v>
      </c>
      <c r="H6435" s="11">
        <v>1556</v>
      </c>
      <c r="I6435" s="11">
        <v>33</v>
      </c>
      <c r="J6435" s="11">
        <v>0</v>
      </c>
      <c r="K6435" s="11" t="s">
        <v>21</v>
      </c>
      <c r="L6435" s="7">
        <v>40695.167557870373</v>
      </c>
      <c r="M6435" s="12" t="s">
        <v>14560</v>
      </c>
      <c r="N6435" s="12" t="s">
        <v>14561</v>
      </c>
      <c r="O6435" s="10" t="str">
        <f>HYPERLINK("https://pbs.twimg.com/profile_images/688319995579887616/aJ58T7Ve_normal.jpg","View")</f>
        <v>View</v>
      </c>
      <c r="P6435" s="11"/>
    </row>
    <row r="6436" spans="1:16" ht="12.75" x14ac:dyDescent="0.35">
      <c r="A6436" s="7">
        <v>42484.057118055556</v>
      </c>
      <c r="B6436" s="8" t="str">
        <f>HYPERLINK("https://twitter.com/andym1908","@andym1908")</f>
        <v>@andym1908</v>
      </c>
      <c r="C6436" s="9" t="s">
        <v>3264</v>
      </c>
      <c r="D6436" s="9" t="s">
        <v>3265</v>
      </c>
      <c r="E6436" s="10" t="str">
        <f>HYPERLINK("https://twitter.com/andym1908/status/723962709641973768","723962709641973768")</f>
        <v>723962709641973768</v>
      </c>
      <c r="F6436" s="11" t="s">
        <v>48</v>
      </c>
      <c r="G6436" s="11">
        <v>612</v>
      </c>
      <c r="H6436" s="11">
        <v>1015</v>
      </c>
      <c r="I6436" s="11">
        <v>3</v>
      </c>
      <c r="J6436" s="11">
        <v>0</v>
      </c>
      <c r="K6436" s="11" t="s">
        <v>21</v>
      </c>
      <c r="L6436" s="7">
        <v>41177.013437499998</v>
      </c>
      <c r="M6436" s="12" t="s">
        <v>3266</v>
      </c>
      <c r="N6436" s="12" t="s">
        <v>3267</v>
      </c>
      <c r="O6436" s="10" t="str">
        <f>HYPERLINK("https://pbs.twimg.com/profile_images/499178356295094272/IWQKuDTS_normal.jpeg","View")</f>
        <v>View</v>
      </c>
      <c r="P6436" s="11"/>
    </row>
    <row r="6437" spans="1:16" ht="12.75" x14ac:dyDescent="0.35">
      <c r="A6437" s="7">
        <v>42484.057268518518</v>
      </c>
      <c r="B6437" s="8" t="str">
        <f>HYPERLINK("https://twitter.com/choyo_aguero","@choyo_aguero")</f>
        <v>@choyo_aguero</v>
      </c>
      <c r="C6437" s="9" t="s">
        <v>14562</v>
      </c>
      <c r="D6437" s="9" t="s">
        <v>14518</v>
      </c>
      <c r="E6437" s="10" t="str">
        <f>HYPERLINK("https://twitter.com/choyo_aguero/status/723962765023559680","723962765023559680")</f>
        <v>723962765023559680</v>
      </c>
      <c r="F6437" s="11" t="s">
        <v>48</v>
      </c>
      <c r="G6437" s="11">
        <v>811</v>
      </c>
      <c r="H6437" s="11">
        <v>1466</v>
      </c>
      <c r="I6437" s="11">
        <v>33</v>
      </c>
      <c r="J6437" s="11">
        <v>0</v>
      </c>
      <c r="K6437" s="11" t="s">
        <v>21</v>
      </c>
      <c r="L6437" s="7">
        <v>41580.081296296295</v>
      </c>
      <c r="M6437" s="12" t="s">
        <v>14563</v>
      </c>
      <c r="N6437" s="12" t="s">
        <v>14564</v>
      </c>
      <c r="O6437" s="10" t="str">
        <f>HYPERLINK("https://pbs.twimg.com/profile_images/537308468362108928/xAH3zfbV_normal.jpeg","View")</f>
        <v>View</v>
      </c>
      <c r="P6437" s="11"/>
    </row>
    <row r="6438" spans="1:16" ht="12.75" x14ac:dyDescent="0.35">
      <c r="A6438" s="7">
        <v>42484.057476851856</v>
      </c>
      <c r="B6438" s="8" t="str">
        <f>HYPERLINK("https://twitter.com/Miau21Rally","@Miau21Rally")</f>
        <v>@Miau21Rally</v>
      </c>
      <c r="C6438" s="9" t="s">
        <v>14565</v>
      </c>
      <c r="D6438" s="9" t="s">
        <v>14566</v>
      </c>
      <c r="E6438" s="10" t="str">
        <f>HYPERLINK("https://twitter.com/Miau21Rally/status/723962842274254848","723962842274254848")</f>
        <v>723962842274254848</v>
      </c>
      <c r="F6438" s="11" t="s">
        <v>43</v>
      </c>
      <c r="G6438" s="11">
        <v>154</v>
      </c>
      <c r="H6438" s="11">
        <v>1601</v>
      </c>
      <c r="I6438" s="11">
        <v>0</v>
      </c>
      <c r="J6438" s="11">
        <v>0</v>
      </c>
      <c r="K6438" s="11" t="s">
        <v>21</v>
      </c>
      <c r="L6438" s="7">
        <v>42318.529212962967</v>
      </c>
      <c r="M6438" s="12" t="s">
        <v>1089</v>
      </c>
      <c r="N6438" s="12" t="s">
        <v>14567</v>
      </c>
      <c r="O6438" s="10" t="str">
        <f>HYPERLINK("https://pbs.twimg.com/profile_images/690102462921990144/IwQRKCQg_normal.png","View")</f>
        <v>View</v>
      </c>
      <c r="P6438" s="11"/>
    </row>
    <row r="6439" spans="1:16" ht="12.75" x14ac:dyDescent="0.35">
      <c r="A6439" s="7">
        <v>42484.057511574079</v>
      </c>
      <c r="B6439" s="8" t="str">
        <f>HYPERLINK("https://twitter.com/esoto2605","@esoto2605")</f>
        <v>@esoto2605</v>
      </c>
      <c r="C6439" s="9" t="s">
        <v>14568</v>
      </c>
      <c r="D6439" s="9" t="s">
        <v>14518</v>
      </c>
      <c r="E6439" s="10" t="str">
        <f>HYPERLINK("https://twitter.com/esoto2605/status/723962855364632576","723962855364632576")</f>
        <v>723962855364632576</v>
      </c>
      <c r="F6439" s="11" t="s">
        <v>43</v>
      </c>
      <c r="G6439" s="11">
        <v>281</v>
      </c>
      <c r="H6439" s="11">
        <v>790</v>
      </c>
      <c r="I6439" s="11">
        <v>33</v>
      </c>
      <c r="J6439" s="11">
        <v>0</v>
      </c>
      <c r="K6439" s="11" t="s">
        <v>21</v>
      </c>
      <c r="L6439" s="7">
        <v>41490.069097222222</v>
      </c>
      <c r="M6439" s="12"/>
      <c r="N6439" s="12" t="s">
        <v>14569</v>
      </c>
      <c r="O6439" s="10" t="str">
        <f>HYPERLINK("https://pbs.twimg.com/profile_images/681129306446258176/SCn8_tXF_normal.jpg","View")</f>
        <v>View</v>
      </c>
      <c r="P6439" s="11"/>
    </row>
    <row r="6440" spans="1:16" ht="12.75" x14ac:dyDescent="0.35">
      <c r="A6440" s="7">
        <v>42484.057650462964</v>
      </c>
      <c r="B6440" s="8" t="str">
        <f>HYPERLINK("https://twitter.com/Panchi_Ferraro","@Panchi_Ferraro")</f>
        <v>@Panchi_Ferraro</v>
      </c>
      <c r="C6440" s="9" t="s">
        <v>14570</v>
      </c>
      <c r="D6440" s="9" t="s">
        <v>14518</v>
      </c>
      <c r="E6440" s="10" t="str">
        <f>HYPERLINK("https://twitter.com/Panchi_Ferraro/status/723962902089179137","723962902089179137")</f>
        <v>723962902089179137</v>
      </c>
      <c r="F6440" s="11" t="s">
        <v>48</v>
      </c>
      <c r="G6440" s="11">
        <v>133</v>
      </c>
      <c r="H6440" s="11">
        <v>487</v>
      </c>
      <c r="I6440" s="11">
        <v>33</v>
      </c>
      <c r="J6440" s="11">
        <v>0</v>
      </c>
      <c r="K6440" s="11" t="s">
        <v>21</v>
      </c>
      <c r="L6440" s="7">
        <v>41311.019201388888</v>
      </c>
      <c r="M6440" s="12" t="s">
        <v>14571</v>
      </c>
      <c r="N6440" s="12" t="s">
        <v>14572</v>
      </c>
      <c r="O6440" s="10" t="str">
        <f>HYPERLINK("https://pbs.twimg.com/profile_images/454797576051511296/Bgp8_NVp_normal.jpeg","View")</f>
        <v>View</v>
      </c>
      <c r="P6440" s="11"/>
    </row>
    <row r="6441" spans="1:16" ht="12.75" x14ac:dyDescent="0.35">
      <c r="A6441" s="7">
        <v>42484.057951388888</v>
      </c>
      <c r="B6441" s="8" t="str">
        <f>HYPERLINK("https://twitter.com/mrodrireus","@mrodrireus")</f>
        <v>@mrodrireus</v>
      </c>
      <c r="C6441" s="9" t="s">
        <v>14573</v>
      </c>
      <c r="D6441" s="9" t="s">
        <v>14518</v>
      </c>
      <c r="E6441" s="10" t="str">
        <f>HYPERLINK("https://twitter.com/mrodrireus/status/723963013171150848","723963013171150848")</f>
        <v>723963013171150848</v>
      </c>
      <c r="F6441" s="11" t="s">
        <v>48</v>
      </c>
      <c r="G6441" s="11">
        <v>302</v>
      </c>
      <c r="H6441" s="11">
        <v>465</v>
      </c>
      <c r="I6441" s="11">
        <v>33</v>
      </c>
      <c r="J6441" s="11">
        <v>0</v>
      </c>
      <c r="K6441" s="11" t="s">
        <v>21</v>
      </c>
      <c r="L6441" s="7">
        <v>41067.795300925922</v>
      </c>
      <c r="M6441" s="12" t="s">
        <v>4808</v>
      </c>
      <c r="N6441" s="12" t="s">
        <v>14574</v>
      </c>
      <c r="O6441" s="10" t="str">
        <f>HYPERLINK("https://pbs.twimg.com/profile_images/666290978303696898/QbmF7kVR_normal.jpg","View")</f>
        <v>View</v>
      </c>
      <c r="P6441" s="11"/>
    </row>
    <row r="6442" spans="1:16" ht="12.75" x14ac:dyDescent="0.35">
      <c r="A6442" s="7">
        <v>42484.058275462958</v>
      </c>
      <c r="B6442" s="8" t="str">
        <f>HYPERLINK("https://twitter.com/lauriky78","@lauriky78")</f>
        <v>@lauriky78</v>
      </c>
      <c r="C6442" s="9" t="s">
        <v>14575</v>
      </c>
      <c r="D6442" s="9" t="s">
        <v>14518</v>
      </c>
      <c r="E6442" s="10" t="str">
        <f>HYPERLINK("https://twitter.com/lauriky78/status/723963131152728064","723963131152728064")</f>
        <v>723963131152728064</v>
      </c>
      <c r="F6442" s="11" t="s">
        <v>20</v>
      </c>
      <c r="G6442" s="11">
        <v>1946</v>
      </c>
      <c r="H6442" s="11">
        <v>1496</v>
      </c>
      <c r="I6442" s="11">
        <v>33</v>
      </c>
      <c r="J6442" s="11">
        <v>0</v>
      </c>
      <c r="K6442" s="11" t="s">
        <v>21</v>
      </c>
      <c r="L6442" s="7">
        <v>40282.838460648149</v>
      </c>
      <c r="M6442" s="12" t="s">
        <v>14576</v>
      </c>
      <c r="N6442" s="12" t="s">
        <v>14577</v>
      </c>
      <c r="O6442" s="10" t="str">
        <f>HYPERLINK("https://pbs.twimg.com/profile_images/706238230367244288/v80wwtFx_normal.jpg","View")</f>
        <v>View</v>
      </c>
      <c r="P6442" s="11"/>
    </row>
    <row r="6443" spans="1:16" ht="12.75" x14ac:dyDescent="0.35">
      <c r="A6443" s="7">
        <v>42484.058356481481</v>
      </c>
      <c r="B6443" s="8" t="str">
        <f>HYPERLINK("https://twitter.com/majkStyle","@majkStyle")</f>
        <v>@majkStyle</v>
      </c>
      <c r="C6443" s="9" t="s">
        <v>14578</v>
      </c>
      <c r="D6443" s="9" t="s">
        <v>14579</v>
      </c>
      <c r="E6443" s="10" t="str">
        <f>HYPERLINK("https://twitter.com/majkStyle/status/723963158038233088","723963158038233088")</f>
        <v>723963158038233088</v>
      </c>
      <c r="F6443" s="11" t="s">
        <v>20</v>
      </c>
      <c r="G6443" s="11">
        <v>26</v>
      </c>
      <c r="H6443" s="11">
        <v>63</v>
      </c>
      <c r="I6443" s="11">
        <v>0</v>
      </c>
      <c r="J6443" s="11">
        <v>0</v>
      </c>
      <c r="K6443" s="11" t="s">
        <v>21</v>
      </c>
      <c r="L6443" s="7">
        <v>42295.792581018519</v>
      </c>
      <c r="M6443" s="12"/>
      <c r="N6443" s="12" t="s">
        <v>14580</v>
      </c>
      <c r="O6443" s="10" t="str">
        <f>HYPERLINK("https://pbs.twimg.com/profile_images/655740677121310724/P1rtaUl__normal.jpg","View")</f>
        <v>View</v>
      </c>
      <c r="P6443" s="11"/>
    </row>
    <row r="6444" spans="1:16" ht="12.75" x14ac:dyDescent="0.35">
      <c r="A6444" s="7">
        <v>42484.058391203704</v>
      </c>
      <c r="B6444" s="8" t="str">
        <f>HYPERLINK("https://twitter.com/daniel19makau","@daniel19makau")</f>
        <v>@daniel19makau</v>
      </c>
      <c r="C6444" s="9" t="s">
        <v>2973</v>
      </c>
      <c r="D6444" s="9" t="s">
        <v>14518</v>
      </c>
      <c r="E6444" s="10" t="str">
        <f>HYPERLINK("https://twitter.com/daniel19makau/status/723963174194548741","723963174194548741")</f>
        <v>723963174194548741</v>
      </c>
      <c r="F6444" s="11" t="s">
        <v>91</v>
      </c>
      <c r="G6444" s="11">
        <v>45</v>
      </c>
      <c r="H6444" s="11">
        <v>175</v>
      </c>
      <c r="I6444" s="11">
        <v>33</v>
      </c>
      <c r="J6444" s="11">
        <v>0</v>
      </c>
      <c r="K6444" s="11" t="s">
        <v>21</v>
      </c>
      <c r="L6444" s="7">
        <v>41836.729259259257</v>
      </c>
      <c r="M6444" s="12" t="s">
        <v>14581</v>
      </c>
      <c r="N6444" s="12" t="s">
        <v>14582</v>
      </c>
      <c r="O6444" s="10" t="str">
        <f>HYPERLINK("https://pbs.twimg.com/profile_images/723604054102798337/7hKrk6TJ_normal.jpg","View")</f>
        <v>View</v>
      </c>
      <c r="P6444" s="11"/>
    </row>
    <row r="6445" spans="1:16" ht="12.75" x14ac:dyDescent="0.35">
      <c r="A6445" s="7">
        <v>42484.058553240742</v>
      </c>
      <c r="B6445" s="8" t="str">
        <f>HYPERLINK("https://twitter.com/FranNafarrate","@FranNafarrate")</f>
        <v>@FranNafarrate</v>
      </c>
      <c r="C6445" s="9" t="s">
        <v>14583</v>
      </c>
      <c r="D6445" s="9" t="s">
        <v>14518</v>
      </c>
      <c r="E6445" s="10" t="str">
        <f>HYPERLINK("https://twitter.com/FranNafarrate/status/723963229559463937","723963229559463937")</f>
        <v>723963229559463937</v>
      </c>
      <c r="F6445" s="11" t="s">
        <v>48</v>
      </c>
      <c r="G6445" s="11">
        <v>570</v>
      </c>
      <c r="H6445" s="11">
        <v>407</v>
      </c>
      <c r="I6445" s="11">
        <v>33</v>
      </c>
      <c r="J6445" s="11">
        <v>0</v>
      </c>
      <c r="K6445" s="11" t="s">
        <v>21</v>
      </c>
      <c r="L6445" s="7">
        <v>40790.178379629629</v>
      </c>
      <c r="M6445" s="12" t="s">
        <v>2867</v>
      </c>
      <c r="N6445" s="12" t="s">
        <v>14584</v>
      </c>
      <c r="O6445" s="10" t="str">
        <f>HYPERLINK("https://pbs.twimg.com/profile_images/703982704417701890/fM-ekylE_normal.jpg","View")</f>
        <v>View</v>
      </c>
      <c r="P6445" s="11"/>
    </row>
    <row r="6446" spans="1:16" ht="12.75" x14ac:dyDescent="0.35">
      <c r="A6446" s="7">
        <v>42484.058703703704</v>
      </c>
      <c r="B6446" s="8" t="str">
        <f>HYPERLINK("https://twitter.com/RALLY_PRIMERA","@RALLY_PRIMERA")</f>
        <v>@RALLY_PRIMERA</v>
      </c>
      <c r="C6446" s="9" t="s">
        <v>14585</v>
      </c>
      <c r="D6446" s="9" t="s">
        <v>14518</v>
      </c>
      <c r="E6446" s="10" t="str">
        <f>HYPERLINK("https://twitter.com/RALLY_PRIMERA/status/723963285490556928","723963285490556928")</f>
        <v>723963285490556928</v>
      </c>
      <c r="F6446" s="11" t="s">
        <v>48</v>
      </c>
      <c r="G6446" s="11">
        <v>98</v>
      </c>
      <c r="H6446" s="11">
        <v>96</v>
      </c>
      <c r="I6446" s="11">
        <v>33</v>
      </c>
      <c r="J6446" s="11">
        <v>0</v>
      </c>
      <c r="K6446" s="11" t="s">
        <v>21</v>
      </c>
      <c r="L6446" s="7">
        <v>42069.98609953704</v>
      </c>
      <c r="M6446" s="12"/>
      <c r="N6446" s="12"/>
      <c r="O6446" s="10" t="str">
        <f>HYPERLINK("https://pbs.twimg.com/profile_images/714507195304517639/UIfr3nS-_normal.jpg","View")</f>
        <v>View</v>
      </c>
      <c r="P6446" s="11"/>
    </row>
    <row r="6447" spans="1:16" ht="12.75" x14ac:dyDescent="0.35">
      <c r="A6447" s="7">
        <v>42484.059074074074</v>
      </c>
      <c r="B6447" s="8" t="str">
        <f>HYPERLINK("https://twitter.com/SobreRuedasLT9","@SobreRuedasLT9")</f>
        <v>@SobreRuedasLT9</v>
      </c>
      <c r="C6447" s="9" t="s">
        <v>14586</v>
      </c>
      <c r="D6447" s="9" t="s">
        <v>14518</v>
      </c>
      <c r="E6447" s="10" t="str">
        <f>HYPERLINK("https://twitter.com/SobreRuedasLT9/status/723963421436317696","723963421436317696")</f>
        <v>723963421436317696</v>
      </c>
      <c r="F6447" s="11" t="s">
        <v>48</v>
      </c>
      <c r="G6447" s="11">
        <v>4022</v>
      </c>
      <c r="H6447" s="11">
        <v>2268</v>
      </c>
      <c r="I6447" s="11">
        <v>33</v>
      </c>
      <c r="J6447" s="11">
        <v>0</v>
      </c>
      <c r="K6447" s="11" t="s">
        <v>21</v>
      </c>
      <c r="L6447" s="7">
        <v>41156.954189814816</v>
      </c>
      <c r="M6447" s="12" t="s">
        <v>14587</v>
      </c>
      <c r="N6447" s="12" t="s">
        <v>14588</v>
      </c>
      <c r="O6447" s="10" t="str">
        <f>HYPERLINK("https://pbs.twimg.com/profile_images/378800000410719313/96dad96032234dd8c1a40c5ada7ce5ed_normal.jpeg","View")</f>
        <v>View</v>
      </c>
      <c r="P6447" s="11"/>
    </row>
    <row r="6448" spans="1:16" ht="12.75" x14ac:dyDescent="0.35">
      <c r="A6448" s="7">
        <v>42484.059733796297</v>
      </c>
      <c r="B6448" s="8" t="str">
        <f>HYPERLINK("https://twitter.com/nunezjuanc","@nunezjuanc")</f>
        <v>@nunezjuanc</v>
      </c>
      <c r="C6448" s="9" t="s">
        <v>14589</v>
      </c>
      <c r="D6448" s="9" t="s">
        <v>14518</v>
      </c>
      <c r="E6448" s="10" t="str">
        <f>HYPERLINK("https://twitter.com/nunezjuanc/status/723963659840569344","723963659840569344")</f>
        <v>723963659840569344</v>
      </c>
      <c r="F6448" s="11" t="s">
        <v>48</v>
      </c>
      <c r="G6448" s="11">
        <v>484</v>
      </c>
      <c r="H6448" s="11">
        <v>459</v>
      </c>
      <c r="I6448" s="11">
        <v>33</v>
      </c>
      <c r="J6448" s="11">
        <v>0</v>
      </c>
      <c r="K6448" s="11" t="s">
        <v>21</v>
      </c>
      <c r="L6448" s="7">
        <v>40874.305150462962</v>
      </c>
      <c r="M6448" s="12" t="s">
        <v>14590</v>
      </c>
      <c r="N6448" s="12" t="s">
        <v>14591</v>
      </c>
      <c r="O6448" s="10" t="str">
        <f>HYPERLINK("https://pbs.twimg.com/profile_images/629451247087714305/Uq5bS8GX_normal.jpg","View")</f>
        <v>View</v>
      </c>
      <c r="P6448" s="11"/>
    </row>
    <row r="6449" spans="1:16" ht="12.75" x14ac:dyDescent="0.35">
      <c r="A6449" s="7">
        <v>42484.059895833328</v>
      </c>
      <c r="B6449" s="8" t="str">
        <f>HYPERLINK("https://twitter.com/SamuuNieto22","@SamuuNieto22")</f>
        <v>@SamuuNieto22</v>
      </c>
      <c r="C6449" s="9" t="s">
        <v>14592</v>
      </c>
      <c r="D6449" s="9" t="s">
        <v>14518</v>
      </c>
      <c r="E6449" s="10" t="str">
        <f>HYPERLINK("https://twitter.com/SamuuNieto22/status/723963719437418497","723963719437418497")</f>
        <v>723963719437418497</v>
      </c>
      <c r="F6449" s="11" t="s">
        <v>43</v>
      </c>
      <c r="G6449" s="11">
        <v>28788</v>
      </c>
      <c r="H6449" s="11">
        <v>22389</v>
      </c>
      <c r="I6449" s="11">
        <v>33</v>
      </c>
      <c r="J6449" s="11">
        <v>0</v>
      </c>
      <c r="K6449" s="11" t="s">
        <v>21</v>
      </c>
      <c r="L6449" s="7">
        <v>41254.028344907405</v>
      </c>
      <c r="M6449" s="12" t="s">
        <v>866</v>
      </c>
      <c r="N6449" s="12" t="s">
        <v>14593</v>
      </c>
      <c r="O6449" s="10" t="str">
        <f>HYPERLINK("https://pbs.twimg.com/profile_images/706945389505744896/JCIK9T_N_normal.jpg","View")</f>
        <v>View</v>
      </c>
      <c r="P6449" s="11"/>
    </row>
    <row r="6450" spans="1:16" ht="12.75" x14ac:dyDescent="0.35">
      <c r="A6450" s="7">
        <v>42484.059976851851</v>
      </c>
      <c r="B6450" s="8" t="str">
        <f>HYPERLINK("https://twitter.com/frank_wrc","@frank_wrc")</f>
        <v>@frank_wrc</v>
      </c>
      <c r="C6450" s="9" t="s">
        <v>10497</v>
      </c>
      <c r="D6450" s="9" t="s">
        <v>14518</v>
      </c>
      <c r="E6450" s="10" t="str">
        <f>HYPERLINK("https://twitter.com/frank_wrc/status/723963747837071361","723963747837071361")</f>
        <v>723963747837071361</v>
      </c>
      <c r="F6450" s="11" t="s">
        <v>48</v>
      </c>
      <c r="G6450" s="11">
        <v>1354</v>
      </c>
      <c r="H6450" s="11">
        <v>552</v>
      </c>
      <c r="I6450" s="11">
        <v>33</v>
      </c>
      <c r="J6450" s="11">
        <v>0</v>
      </c>
      <c r="K6450" s="11" t="s">
        <v>21</v>
      </c>
      <c r="L6450" s="7">
        <v>41369.230868055558</v>
      </c>
      <c r="M6450" s="12" t="s">
        <v>10498</v>
      </c>
      <c r="N6450" s="12" t="s">
        <v>10499</v>
      </c>
      <c r="O6450" s="10" t="str">
        <f>HYPERLINK("https://pbs.twimg.com/profile_images/556669044300853248/dIL6Pm-3_normal.jpeg","View")</f>
        <v>View</v>
      </c>
      <c r="P6450" s="11"/>
    </row>
    <row r="6451" spans="1:16" ht="12.75" x14ac:dyDescent="0.35">
      <c r="A6451" s="7">
        <v>42484.061064814814</v>
      </c>
      <c r="B6451" s="8" t="str">
        <f>HYPERLINK("https://twitter.com/OseaesO","@OseaesO")</f>
        <v>@OseaesO</v>
      </c>
      <c r="C6451" s="9" t="s">
        <v>11137</v>
      </c>
      <c r="D6451" s="9" t="s">
        <v>14594</v>
      </c>
      <c r="E6451" s="10" t="str">
        <f>HYPERLINK("https://twitter.com/OseaesO/status/723964140964974593","723964140964974593")</f>
        <v>723964140964974593</v>
      </c>
      <c r="F6451" s="11" t="s">
        <v>48</v>
      </c>
      <c r="G6451" s="11">
        <v>72</v>
      </c>
      <c r="H6451" s="11">
        <v>99</v>
      </c>
      <c r="I6451" s="11">
        <v>1</v>
      </c>
      <c r="J6451" s="11">
        <v>0</v>
      </c>
      <c r="K6451" s="11" t="s">
        <v>21</v>
      </c>
      <c r="L6451" s="7">
        <v>40640.157766203702</v>
      </c>
      <c r="M6451" s="12"/>
      <c r="N6451" s="12"/>
      <c r="O6451" s="10" t="str">
        <f>HYPERLINK("https://pbs.twimg.com/profile_images/2170953039/Gargola_normal.jpeg","View")</f>
        <v>View</v>
      </c>
      <c r="P6451" s="11"/>
    </row>
    <row r="6452" spans="1:16" ht="12.75" x14ac:dyDescent="0.35">
      <c r="A6452" s="7">
        <v>42484.061122685191</v>
      </c>
      <c r="B6452" s="8" t="str">
        <f>HYPERLINK("https://twitter.com/DanielKalan","@DanielKalan")</f>
        <v>@DanielKalan</v>
      </c>
      <c r="C6452" s="9" t="s">
        <v>14595</v>
      </c>
      <c r="D6452" s="9" t="s">
        <v>14518</v>
      </c>
      <c r="E6452" s="10" t="str">
        <f>HYPERLINK("https://twitter.com/DanielKalan/status/723964161840058368","723964161840058368")</f>
        <v>723964161840058368</v>
      </c>
      <c r="F6452" s="11" t="s">
        <v>48</v>
      </c>
      <c r="G6452" s="11">
        <v>640</v>
      </c>
      <c r="H6452" s="11">
        <v>742</v>
      </c>
      <c r="I6452" s="11">
        <v>33</v>
      </c>
      <c r="J6452" s="11">
        <v>0</v>
      </c>
      <c r="K6452" s="11" t="s">
        <v>21</v>
      </c>
      <c r="L6452" s="7">
        <v>40105.956562499996</v>
      </c>
      <c r="M6452" s="12" t="s">
        <v>14596</v>
      </c>
      <c r="N6452" s="12"/>
      <c r="O6452" s="10" t="str">
        <f>HYPERLINK("https://pbs.twimg.com/profile_images/479939110/desni-bek_normal.jpg","View")</f>
        <v>View</v>
      </c>
      <c r="P6452" s="11"/>
    </row>
    <row r="6453" spans="1:16" ht="12.75" x14ac:dyDescent="0.35">
      <c r="A6453" s="7">
        <v>42484.06144675926</v>
      </c>
      <c r="B6453" s="8" t="str">
        <f>HYPERLINK("https://twitter.com/JoaquinCantelmi","@JoaquinCantelmi")</f>
        <v>@JoaquinCantelmi</v>
      </c>
      <c r="C6453" s="9" t="s">
        <v>14597</v>
      </c>
      <c r="D6453" s="9" t="s">
        <v>14518</v>
      </c>
      <c r="E6453" s="10" t="str">
        <f>HYPERLINK("https://twitter.com/JoaquinCantelmi/status/723964279351853056","723964279351853056")</f>
        <v>723964279351853056</v>
      </c>
      <c r="F6453" s="11" t="s">
        <v>48</v>
      </c>
      <c r="G6453" s="11">
        <v>396</v>
      </c>
      <c r="H6453" s="11">
        <v>285</v>
      </c>
      <c r="I6453" s="11">
        <v>33</v>
      </c>
      <c r="J6453" s="11">
        <v>0</v>
      </c>
      <c r="K6453" s="11" t="s">
        <v>21</v>
      </c>
      <c r="L6453" s="7">
        <v>40720.096354166664</v>
      </c>
      <c r="M6453" s="12"/>
      <c r="N6453" s="12" t="s">
        <v>14598</v>
      </c>
      <c r="O6453" s="10" t="str">
        <f>HYPERLINK("https://pbs.twimg.com/profile_images/712305493759434752/vTv8-04u_normal.jpg","View")</f>
        <v>View</v>
      </c>
      <c r="P6453" s="11"/>
    </row>
    <row r="6454" spans="1:16" ht="12.75" x14ac:dyDescent="0.35">
      <c r="A6454" s="7">
        <v>42484.061712962968</v>
      </c>
      <c r="B6454" s="8" t="str">
        <f>HYPERLINK("https://twitter.com/Cari_Leiva","@Cari_Leiva")</f>
        <v>@Cari_Leiva</v>
      </c>
      <c r="C6454" s="9" t="s">
        <v>14599</v>
      </c>
      <c r="D6454" s="9" t="s">
        <v>14518</v>
      </c>
      <c r="E6454" s="10" t="str">
        <f>HYPERLINK("https://twitter.com/Cari_Leiva/status/723964374294138882","723964374294138882")</f>
        <v>723964374294138882</v>
      </c>
      <c r="F6454" s="11" t="s">
        <v>43</v>
      </c>
      <c r="G6454" s="11">
        <v>618</v>
      </c>
      <c r="H6454" s="11">
        <v>1419</v>
      </c>
      <c r="I6454" s="11">
        <v>33</v>
      </c>
      <c r="J6454" s="11">
        <v>0</v>
      </c>
      <c r="K6454" s="11" t="s">
        <v>21</v>
      </c>
      <c r="L6454" s="7">
        <v>40131.124016203699</v>
      </c>
      <c r="M6454" s="12" t="s">
        <v>866</v>
      </c>
      <c r="N6454" s="12" t="s">
        <v>14600</v>
      </c>
      <c r="O6454" s="10" t="str">
        <f>HYPERLINK("https://pbs.twimg.com/profile_images/692144043954978818/xEphL9kI_normal.jpg","View")</f>
        <v>View</v>
      </c>
      <c r="P6454" s="11"/>
    </row>
    <row r="6455" spans="1:16" ht="12.75" x14ac:dyDescent="0.35">
      <c r="A6455" s="7">
        <v>42484.061874999999</v>
      </c>
      <c r="B6455" s="8" t="str">
        <f>HYPERLINK("https://twitter.com/VWsightings","@VWsightings")</f>
        <v>@VWsightings</v>
      </c>
      <c r="C6455" s="9" t="s">
        <v>893</v>
      </c>
      <c r="D6455" s="9" t="s">
        <v>14601</v>
      </c>
      <c r="E6455" s="10" t="str">
        <f>HYPERLINK("https://twitter.com/VWsightings/status/723964434637578240","723964434637578240")</f>
        <v>723964434637578240</v>
      </c>
      <c r="F6455" s="11" t="s">
        <v>91</v>
      </c>
      <c r="G6455" s="11">
        <v>4857</v>
      </c>
      <c r="H6455" s="11">
        <v>4857</v>
      </c>
      <c r="I6455" s="11">
        <v>1</v>
      </c>
      <c r="J6455" s="11">
        <v>0</v>
      </c>
      <c r="K6455" s="11" t="s">
        <v>21</v>
      </c>
      <c r="L6455" s="7">
        <v>41589.461446759262</v>
      </c>
      <c r="M6455" s="12" t="s">
        <v>895</v>
      </c>
      <c r="N6455" s="12" t="s">
        <v>896</v>
      </c>
      <c r="O6455" s="10" t="str">
        <f>HYPERLINK("https://pbs.twimg.com/profile_images/378800000854855954/0d555726054b01e3c9d6b5241432dc4a_normal.jpeg","View")</f>
        <v>View</v>
      </c>
      <c r="P6455" s="11"/>
    </row>
    <row r="6456" spans="1:16" ht="12.75" x14ac:dyDescent="0.35">
      <c r="A6456" s="7">
        <v>42484.062395833331</v>
      </c>
      <c r="B6456" s="8" t="str">
        <f>HYPERLINK("https://twitter.com/CooperOffroad","@CooperOffroad")</f>
        <v>@CooperOffroad</v>
      </c>
      <c r="C6456" s="9" t="s">
        <v>14602</v>
      </c>
      <c r="D6456" s="9" t="s">
        <v>14518</v>
      </c>
      <c r="E6456" s="10" t="str">
        <f>HYPERLINK("https://twitter.com/CooperOffroad/status/723964621837754368","723964621837754368")</f>
        <v>723964621837754368</v>
      </c>
      <c r="F6456" s="11" t="s">
        <v>20</v>
      </c>
      <c r="G6456" s="11">
        <v>809</v>
      </c>
      <c r="H6456" s="11">
        <v>2014</v>
      </c>
      <c r="I6456" s="11">
        <v>33</v>
      </c>
      <c r="J6456" s="11">
        <v>0</v>
      </c>
      <c r="K6456" s="11" t="s">
        <v>21</v>
      </c>
      <c r="L6456" s="7">
        <v>41127.497106481482</v>
      </c>
      <c r="M6456" s="12" t="s">
        <v>14603</v>
      </c>
      <c r="N6456" s="12" t="s">
        <v>14604</v>
      </c>
      <c r="O6456" s="10" t="str">
        <f>HYPERLINK("https://pbs.twimg.com/profile_images/672615786909929472/B_PlRu77_normal.jpg","View")</f>
        <v>View</v>
      </c>
      <c r="P6456" s="11"/>
    </row>
    <row r="6457" spans="1:16" ht="12.75" x14ac:dyDescent="0.35">
      <c r="A6457" s="7">
        <v>42484.0628125</v>
      </c>
      <c r="B6457" s="8" t="str">
        <f>HYPERLINK("https://twitter.com/bneilbel","@bneilbel")</f>
        <v>@bneilbel</v>
      </c>
      <c r="C6457" s="9" t="s">
        <v>14605</v>
      </c>
      <c r="D6457" s="9" t="s">
        <v>14451</v>
      </c>
      <c r="E6457" s="10" t="str">
        <f>HYPERLINK("https://twitter.com/bneilbel/status/723964773487005696","723964773487005696")</f>
        <v>723964773487005696</v>
      </c>
      <c r="F6457" s="11" t="s">
        <v>20</v>
      </c>
      <c r="G6457" s="11">
        <v>190</v>
      </c>
      <c r="H6457" s="11">
        <v>742</v>
      </c>
      <c r="I6457" s="11">
        <v>2</v>
      </c>
      <c r="J6457" s="11">
        <v>0</v>
      </c>
      <c r="K6457" s="11" t="s">
        <v>21</v>
      </c>
      <c r="L6457" s="7">
        <v>39745.804525462961</v>
      </c>
      <c r="M6457" s="12"/>
      <c r="N6457" s="12"/>
      <c r="O6457" s="10" t="str">
        <f>HYPERLINK("https://pbs.twimg.com/profile_images/391720090/Copy_of_Put-in-BAy_004_normal.jpg","View")</f>
        <v>View</v>
      </c>
      <c r="P6457" s="11"/>
    </row>
    <row r="6458" spans="1:16" ht="12.75" x14ac:dyDescent="0.35">
      <c r="A6458" s="7">
        <v>42484.063067129631</v>
      </c>
      <c r="B6458" s="8" t="str">
        <f>HYPERLINK("https://twitter.com/acvwpassion","@acvwpassion")</f>
        <v>@acvwpassion</v>
      </c>
      <c r="C6458" s="9" t="s">
        <v>4671</v>
      </c>
      <c r="D6458" s="9" t="s">
        <v>14606</v>
      </c>
      <c r="E6458" s="10" t="str">
        <f>HYPERLINK("https://twitter.com/acvwpassion/status/723964864683712512","723964864683712512")</f>
        <v>723964864683712512</v>
      </c>
      <c r="F6458" s="11" t="s">
        <v>152</v>
      </c>
      <c r="G6458" s="11">
        <v>242</v>
      </c>
      <c r="H6458" s="11">
        <v>409</v>
      </c>
      <c r="I6458" s="11">
        <v>0</v>
      </c>
      <c r="J6458" s="11">
        <v>0</v>
      </c>
      <c r="K6458" s="11" t="s">
        <v>21</v>
      </c>
      <c r="L6458" s="7">
        <v>41989.101851851854</v>
      </c>
      <c r="M6458" s="12" t="s">
        <v>4673</v>
      </c>
      <c r="N6458" s="12" t="s">
        <v>4674</v>
      </c>
      <c r="O6458" s="10" t="str">
        <f>HYPERLINK("https://pbs.twimg.com/profile_images/545688359964651520/SF3sJ7lv_normal.jpeg","View")</f>
        <v>View</v>
      </c>
      <c r="P6458" s="11"/>
    </row>
    <row r="6459" spans="1:16" ht="12.75" x14ac:dyDescent="0.35">
      <c r="A6459" s="7">
        <v>42484.063217592593</v>
      </c>
      <c r="B6459" s="8" t="str">
        <f>HYPERLINK("https://twitter.com/bneilbel","@bneilbel")</f>
        <v>@bneilbel</v>
      </c>
      <c r="C6459" s="9" t="s">
        <v>14605</v>
      </c>
      <c r="D6459" s="9" t="s">
        <v>14412</v>
      </c>
      <c r="E6459" s="10" t="str">
        <f>HYPERLINK("https://twitter.com/bneilbel/status/723964921004871681","723964921004871681")</f>
        <v>723964921004871681</v>
      </c>
      <c r="F6459" s="11" t="s">
        <v>20</v>
      </c>
      <c r="G6459" s="11">
        <v>190</v>
      </c>
      <c r="H6459" s="11">
        <v>742</v>
      </c>
      <c r="I6459" s="11">
        <v>3</v>
      </c>
      <c r="J6459" s="11">
        <v>0</v>
      </c>
      <c r="K6459" s="11" t="s">
        <v>21</v>
      </c>
      <c r="L6459" s="7">
        <v>39745.804525462961</v>
      </c>
      <c r="M6459" s="12"/>
      <c r="N6459" s="12"/>
      <c r="O6459" s="10" t="str">
        <f>HYPERLINK("https://pbs.twimg.com/profile_images/391720090/Copy_of_Put-in-BAy_004_normal.jpg","View")</f>
        <v>View</v>
      </c>
      <c r="P6459" s="11"/>
    </row>
    <row r="6460" spans="1:16" ht="12.75" x14ac:dyDescent="0.35">
      <c r="A6460" s="7">
        <v>42484.063437500001</v>
      </c>
      <c r="B6460" s="8" t="str">
        <f>HYPERLINK("https://twitter.com/ctrangoni","@ctrangoni")</f>
        <v>@ctrangoni</v>
      </c>
      <c r="C6460" s="9" t="s">
        <v>14607</v>
      </c>
      <c r="D6460" s="9" t="s">
        <v>14518</v>
      </c>
      <c r="E6460" s="10" t="str">
        <f>HYPERLINK("https://twitter.com/ctrangoni/status/723965000314966017","723965000314966017")</f>
        <v>723965000314966017</v>
      </c>
      <c r="F6460" s="11" t="s">
        <v>48</v>
      </c>
      <c r="G6460" s="11">
        <v>146</v>
      </c>
      <c r="H6460" s="11">
        <v>316</v>
      </c>
      <c r="I6460" s="11">
        <v>39</v>
      </c>
      <c r="J6460" s="11">
        <v>0</v>
      </c>
      <c r="K6460" s="11" t="s">
        <v>21</v>
      </c>
      <c r="L6460" s="7">
        <v>41441.303726851853</v>
      </c>
      <c r="M6460" s="12" t="s">
        <v>14608</v>
      </c>
      <c r="N6460" s="12" t="s">
        <v>14609</v>
      </c>
      <c r="O6460" s="10" t="str">
        <f>HYPERLINK("https://pbs.twimg.com/profile_images/692558623059415041/wLucfN4M_normal.jpg","View")</f>
        <v>View</v>
      </c>
      <c r="P6460" s="11"/>
    </row>
    <row r="6461" spans="1:16" ht="12.75" x14ac:dyDescent="0.35">
      <c r="A6461" s="7">
        <v>42484.063460648147</v>
      </c>
      <c r="B6461" s="8" t="str">
        <f>HYPERLINK("https://twitter.com/bneilbel","@bneilbel")</f>
        <v>@bneilbel</v>
      </c>
      <c r="C6461" s="9" t="s">
        <v>14605</v>
      </c>
      <c r="D6461" s="9" t="s">
        <v>14419</v>
      </c>
      <c r="E6461" s="10" t="str">
        <f>HYPERLINK("https://twitter.com/bneilbel/status/723965009622110211","723965009622110211")</f>
        <v>723965009622110211</v>
      </c>
      <c r="F6461" s="11" t="s">
        <v>20</v>
      </c>
      <c r="G6461" s="11">
        <v>190</v>
      </c>
      <c r="H6461" s="11">
        <v>742</v>
      </c>
      <c r="I6461" s="11">
        <v>3</v>
      </c>
      <c r="J6461" s="11">
        <v>0</v>
      </c>
      <c r="K6461" s="11" t="s">
        <v>21</v>
      </c>
      <c r="L6461" s="7">
        <v>39745.804525462961</v>
      </c>
      <c r="M6461" s="12"/>
      <c r="N6461" s="12"/>
      <c r="O6461" s="10" t="str">
        <f>HYPERLINK("https://pbs.twimg.com/profile_images/391720090/Copy_of_Put-in-BAy_004_normal.jpg","View")</f>
        <v>View</v>
      </c>
      <c r="P6461" s="11"/>
    </row>
    <row r="6462" spans="1:16" ht="12.75" x14ac:dyDescent="0.35">
      <c r="A6462" s="7">
        <v>42484.063784722224</v>
      </c>
      <c r="B6462" s="8" t="str">
        <f>HYPERLINK("https://twitter.com/SPAGartner","@SPAGartner")</f>
        <v>@SPAGartner</v>
      </c>
      <c r="C6462" s="9" t="s">
        <v>14610</v>
      </c>
      <c r="D6462" s="9" t="s">
        <v>14611</v>
      </c>
      <c r="E6462" s="10" t="str">
        <f>HYPERLINK("https://twitter.com/SPAGartner/status/723965127939248128","723965127939248128")</f>
        <v>723965127939248128</v>
      </c>
      <c r="F6462" s="11" t="s">
        <v>193</v>
      </c>
      <c r="G6462" s="11">
        <v>87</v>
      </c>
      <c r="H6462" s="11">
        <v>335</v>
      </c>
      <c r="I6462" s="11">
        <v>0</v>
      </c>
      <c r="J6462" s="11">
        <v>0</v>
      </c>
      <c r="K6462" s="11" t="s">
        <v>21</v>
      </c>
      <c r="L6462" s="7">
        <v>42014.92560185185</v>
      </c>
      <c r="M6462" s="12" t="s">
        <v>14612</v>
      </c>
      <c r="N6462" s="12" t="s">
        <v>14613</v>
      </c>
      <c r="O6462" s="10" t="str">
        <f>HYPERLINK("https://pbs.twimg.com/profile_images/661266283556655104/HKDE-JBV_normal.jpg","View")</f>
        <v>View</v>
      </c>
      <c r="P6462" s="11"/>
    </row>
    <row r="6463" spans="1:16" ht="12.75" x14ac:dyDescent="0.35">
      <c r="A6463" s="7">
        <v>42484.064456018517</v>
      </c>
      <c r="B6463" s="8" t="str">
        <f>HYPERLINK("https://twitter.com/PanchoName","@PanchoName")</f>
        <v>@PanchoName</v>
      </c>
      <c r="C6463" s="9" t="s">
        <v>14614</v>
      </c>
      <c r="D6463" s="9" t="s">
        <v>14518</v>
      </c>
      <c r="E6463" s="10" t="str">
        <f>HYPERLINK("https://twitter.com/PanchoName/status/723965368050454528","723965368050454528")</f>
        <v>723965368050454528</v>
      </c>
      <c r="F6463" s="11" t="s">
        <v>43</v>
      </c>
      <c r="G6463" s="11">
        <v>2548</v>
      </c>
      <c r="H6463" s="11">
        <v>604</v>
      </c>
      <c r="I6463" s="11">
        <v>39</v>
      </c>
      <c r="J6463" s="11">
        <v>0</v>
      </c>
      <c r="K6463" s="11" t="s">
        <v>21</v>
      </c>
      <c r="L6463" s="7">
        <v>40416.237766203703</v>
      </c>
      <c r="M6463" s="12"/>
      <c r="N6463" s="12" t="s">
        <v>14615</v>
      </c>
      <c r="O6463" s="10" t="str">
        <f>HYPERLINK("https://pbs.twimg.com/profile_images/1171030197/DSCF3093_normal.JPG","View")</f>
        <v>View</v>
      </c>
      <c r="P6463" s="11"/>
    </row>
    <row r="6464" spans="1:16" ht="12.75" x14ac:dyDescent="0.35">
      <c r="A6464" s="7">
        <v>42484.06450231481</v>
      </c>
      <c r="B6464" s="8" t="str">
        <f>HYPERLINK("https://twitter.com/_clairdelune","@_clairdelune")</f>
        <v>@_clairdelune</v>
      </c>
      <c r="C6464" s="9" t="s">
        <v>14616</v>
      </c>
      <c r="D6464" s="9" t="s">
        <v>14617</v>
      </c>
      <c r="E6464" s="10" t="str">
        <f>HYPERLINK("https://twitter.com/_clairdelune/status/723965384727007232","723965384727007232")</f>
        <v>723965384727007232</v>
      </c>
      <c r="F6464" s="11" t="s">
        <v>114</v>
      </c>
      <c r="G6464" s="11">
        <v>124</v>
      </c>
      <c r="H6464" s="11">
        <v>793</v>
      </c>
      <c r="I6464" s="11">
        <v>0</v>
      </c>
      <c r="J6464" s="11">
        <v>0</v>
      </c>
      <c r="K6464" s="11" t="s">
        <v>21</v>
      </c>
      <c r="L6464" s="7">
        <v>39794.315520833334</v>
      </c>
      <c r="M6464" s="12" t="s">
        <v>14618</v>
      </c>
      <c r="N6464" s="12"/>
      <c r="O6464" s="10" t="str">
        <f>HYPERLINK("https://pbs.twimg.com/profile_images/720080378602631172/6vgsuvEQ_normal.jpg","View")</f>
        <v>View</v>
      </c>
      <c r="P6464" s="11"/>
    </row>
    <row r="6465" spans="1:16" ht="12.75" x14ac:dyDescent="0.35">
      <c r="A6465" s="7">
        <v>42484.06459490741</v>
      </c>
      <c r="B6465" s="8" t="str">
        <f>HYPERLINK("https://twitter.com/bneilbel","@bneilbel")</f>
        <v>@bneilbel</v>
      </c>
      <c r="C6465" s="9" t="s">
        <v>14605</v>
      </c>
      <c r="D6465" s="9" t="s">
        <v>14437</v>
      </c>
      <c r="E6465" s="10" t="str">
        <f>HYPERLINK("https://twitter.com/bneilbel/status/723965421750243332","723965421750243332")</f>
        <v>723965421750243332</v>
      </c>
      <c r="F6465" s="11" t="s">
        <v>20</v>
      </c>
      <c r="G6465" s="11">
        <v>190</v>
      </c>
      <c r="H6465" s="11">
        <v>742</v>
      </c>
      <c r="I6465" s="11">
        <v>3</v>
      </c>
      <c r="J6465" s="11">
        <v>0</v>
      </c>
      <c r="K6465" s="11" t="s">
        <v>21</v>
      </c>
      <c r="L6465" s="7">
        <v>39745.804525462961</v>
      </c>
      <c r="M6465" s="12"/>
      <c r="N6465" s="12"/>
      <c r="O6465" s="10" t="str">
        <f>HYPERLINK("https://pbs.twimg.com/profile_images/391720090/Copy_of_Put-in-BAy_004_normal.jpg","View")</f>
        <v>View</v>
      </c>
      <c r="P6465" s="11"/>
    </row>
    <row r="6466" spans="1:16" ht="12.75" x14ac:dyDescent="0.35">
      <c r="A6466" s="7">
        <v>42484.066562499997</v>
      </c>
      <c r="B6466" s="8" t="str">
        <f>HYPERLINK("https://twitter.com/fedealcaraz14","@fedealcaraz14")</f>
        <v>@fedealcaraz14</v>
      </c>
      <c r="C6466" s="9" t="s">
        <v>14619</v>
      </c>
      <c r="D6466" s="9" t="s">
        <v>14518</v>
      </c>
      <c r="E6466" s="10" t="str">
        <f>HYPERLINK("https://twitter.com/fedealcaraz14/status/723966131350966278","723966131350966278")</f>
        <v>723966131350966278</v>
      </c>
      <c r="F6466" s="11" t="s">
        <v>48</v>
      </c>
      <c r="G6466" s="11">
        <v>191</v>
      </c>
      <c r="H6466" s="11">
        <v>662</v>
      </c>
      <c r="I6466" s="11">
        <v>39</v>
      </c>
      <c r="J6466" s="11">
        <v>0</v>
      </c>
      <c r="K6466" s="11" t="s">
        <v>21</v>
      </c>
      <c r="L6466" s="7">
        <v>41628.355416666665</v>
      </c>
      <c r="M6466" s="12" t="s">
        <v>14620</v>
      </c>
      <c r="N6466" s="12" t="s">
        <v>14621</v>
      </c>
      <c r="O6466" s="10" t="str">
        <f>HYPERLINK("https://pbs.twimg.com/profile_images/672467636874289153/M8cmumpE_normal.jpg","View")</f>
        <v>View</v>
      </c>
      <c r="P6466" s="11"/>
    </row>
    <row r="6467" spans="1:16" ht="12.75" x14ac:dyDescent="0.35">
      <c r="A6467" s="7">
        <v>42484.067476851851</v>
      </c>
      <c r="B6467" s="8" t="str">
        <f>HYPERLINK("https://twitter.com/Scirocco_Tuning","@Scirocco_Tuning")</f>
        <v>@Scirocco_Tuning</v>
      </c>
      <c r="C6467" s="9" t="s">
        <v>51</v>
      </c>
      <c r="D6467" s="9" t="s">
        <v>14622</v>
      </c>
      <c r="E6467" s="10" t="str">
        <f>HYPERLINK("https://twitter.com/Scirocco_Tuning/status/723966462822592513","723966462822592513")</f>
        <v>723966462822592513</v>
      </c>
      <c r="F6467" s="11" t="s">
        <v>53</v>
      </c>
      <c r="G6467" s="11">
        <v>70</v>
      </c>
      <c r="H6467" s="11">
        <v>215</v>
      </c>
      <c r="I6467" s="11">
        <v>0</v>
      </c>
      <c r="J6467" s="11">
        <v>0</v>
      </c>
      <c r="K6467" s="11" t="s">
        <v>21</v>
      </c>
      <c r="L6467" s="7">
        <v>40844.564722222218</v>
      </c>
      <c r="M6467" s="12"/>
      <c r="N6467" s="12"/>
      <c r="O6467" s="10" t="str">
        <f>HYPERLINK("https://pbs.twimg.com/profile_images/1610421423/Image2_normal.jpg","View")</f>
        <v>View</v>
      </c>
      <c r="P6467" s="11"/>
    </row>
    <row r="6468" spans="1:16" ht="12.75" x14ac:dyDescent="0.35">
      <c r="A6468" s="7">
        <v>42484.068645833337</v>
      </c>
      <c r="B6468" s="8" t="str">
        <f>HYPERLINK("https://twitter.com/BenMallie","@BenMallie")</f>
        <v>@BenMallie</v>
      </c>
      <c r="C6468" s="9" t="s">
        <v>14623</v>
      </c>
      <c r="D6468" s="9" t="s">
        <v>14624</v>
      </c>
      <c r="E6468" s="10" t="str">
        <f>HYPERLINK("https://twitter.com/BenMallie/status/723966889995677696","723966889995677696")</f>
        <v>723966889995677696</v>
      </c>
      <c r="F6468" s="11" t="s">
        <v>114</v>
      </c>
      <c r="G6468" s="11">
        <v>206</v>
      </c>
      <c r="H6468" s="11">
        <v>1312</v>
      </c>
      <c r="I6468" s="11">
        <v>0</v>
      </c>
      <c r="J6468" s="11">
        <v>0</v>
      </c>
      <c r="K6468" s="11" t="s">
        <v>21</v>
      </c>
      <c r="L6468" s="7">
        <v>39900.535115740742</v>
      </c>
      <c r="M6468" s="12" t="s">
        <v>14625</v>
      </c>
      <c r="N6468" s="12"/>
      <c r="O6468" s="10" t="str">
        <f>HYPERLINK("https://pbs.twimg.com/profile_images/645945724052500480/Uz2cVEbI_normal.jpg","View")</f>
        <v>View</v>
      </c>
      <c r="P6468" s="11"/>
    </row>
    <row r="6469" spans="1:16" ht="12.75" x14ac:dyDescent="0.35">
      <c r="A6469" s="7">
        <v>42484.069525462968</v>
      </c>
      <c r="B6469" s="8" t="str">
        <f>HYPERLINK("https://twitter.com/VWBeetleSales","@VWBeetleSales")</f>
        <v>@VWBeetleSales</v>
      </c>
      <c r="C6469" s="9" t="s">
        <v>127</v>
      </c>
      <c r="D6469" s="9" t="s">
        <v>14626</v>
      </c>
      <c r="E6469" s="10" t="str">
        <f>HYPERLINK("https://twitter.com/VWBeetleSales/status/723967205956681729","723967205956681729")</f>
        <v>723967205956681729</v>
      </c>
      <c r="F6469" s="10" t="s">
        <v>124</v>
      </c>
      <c r="G6469" s="11">
        <v>36</v>
      </c>
      <c r="H6469" s="11">
        <v>32</v>
      </c>
      <c r="I6469" s="11">
        <v>0</v>
      </c>
      <c r="J6469" s="11">
        <v>0</v>
      </c>
      <c r="K6469" s="11" t="s">
        <v>21</v>
      </c>
      <c r="L6469" s="7">
        <v>42427.019756944443</v>
      </c>
      <c r="M6469" s="12" t="s">
        <v>129</v>
      </c>
      <c r="N6469" s="12" t="s">
        <v>130</v>
      </c>
      <c r="O6469" s="10" t="str">
        <f>HYPERLINK("https://pbs.twimg.com/profile_images/703294545195307008/qeCvrX86_normal.jpg","View")</f>
        <v>View</v>
      </c>
      <c r="P6469" s="11"/>
    </row>
    <row r="6470" spans="1:16" ht="12.75" x14ac:dyDescent="0.35">
      <c r="A6470" s="7">
        <v>42484.070474537039</v>
      </c>
      <c r="B6470" s="8" t="str">
        <f t="shared" ref="B6470:B6472" si="569">HYPERLINK("https://twitter.com/dubbusses","@dubbusses")</f>
        <v>@dubbusses</v>
      </c>
      <c r="C6470" s="9" t="s">
        <v>14338</v>
      </c>
      <c r="D6470" s="9" t="s">
        <v>14627</v>
      </c>
      <c r="E6470" s="10" t="str">
        <f>HYPERLINK("https://twitter.com/dubbusses/status/723967550313377792","723967550313377792")</f>
        <v>723967550313377792</v>
      </c>
      <c r="F6470" s="11" t="s">
        <v>68</v>
      </c>
      <c r="G6470" s="11">
        <v>416</v>
      </c>
      <c r="H6470" s="11">
        <v>2369</v>
      </c>
      <c r="I6470" s="11">
        <v>0</v>
      </c>
      <c r="J6470" s="11">
        <v>0</v>
      </c>
      <c r="K6470" s="11" t="s">
        <v>21</v>
      </c>
      <c r="L6470" s="7">
        <v>42469.905393518522</v>
      </c>
      <c r="M6470" s="12" t="s">
        <v>14340</v>
      </c>
      <c r="N6470" s="12"/>
      <c r="O6470" s="10" t="str">
        <f t="shared" ref="O6470:O6472" si="570">HYPERLINK("https://pbs.twimg.com/profile_images/718835727027580928/1ssyQ67y_normal.jpg","View")</f>
        <v>View</v>
      </c>
      <c r="P6470" s="11"/>
    </row>
    <row r="6471" spans="1:16" ht="12.75" x14ac:dyDescent="0.35">
      <c r="A6471" s="7">
        <v>42484.070555555554</v>
      </c>
      <c r="B6471" s="8" t="str">
        <f t="shared" si="569"/>
        <v>@dubbusses</v>
      </c>
      <c r="C6471" s="9" t="s">
        <v>14338</v>
      </c>
      <c r="D6471" s="9" t="s">
        <v>14628</v>
      </c>
      <c r="E6471" s="10" t="str">
        <f>HYPERLINK("https://twitter.com/dubbusses/status/723967579707064321","723967579707064321")</f>
        <v>723967579707064321</v>
      </c>
      <c r="F6471" s="11" t="s">
        <v>68</v>
      </c>
      <c r="G6471" s="11">
        <v>416</v>
      </c>
      <c r="H6471" s="11">
        <v>2369</v>
      </c>
      <c r="I6471" s="11">
        <v>0</v>
      </c>
      <c r="J6471" s="11">
        <v>0</v>
      </c>
      <c r="K6471" s="11" t="s">
        <v>21</v>
      </c>
      <c r="L6471" s="7">
        <v>42469.905393518522</v>
      </c>
      <c r="M6471" s="12" t="s">
        <v>14340</v>
      </c>
      <c r="N6471" s="12"/>
      <c r="O6471" s="10" t="str">
        <f t="shared" si="570"/>
        <v>View</v>
      </c>
      <c r="P6471" s="11"/>
    </row>
    <row r="6472" spans="1:16" ht="12.75" x14ac:dyDescent="0.35">
      <c r="A6472" s="7">
        <v>42484.070601851854</v>
      </c>
      <c r="B6472" s="8" t="str">
        <f t="shared" si="569"/>
        <v>@dubbusses</v>
      </c>
      <c r="C6472" s="9" t="s">
        <v>14338</v>
      </c>
      <c r="D6472" s="9" t="s">
        <v>14629</v>
      </c>
      <c r="E6472" s="10" t="str">
        <f>HYPERLINK("https://twitter.com/dubbusses/status/723967596014501888","723967596014501888")</f>
        <v>723967596014501888</v>
      </c>
      <c r="F6472" s="11" t="s">
        <v>68</v>
      </c>
      <c r="G6472" s="11">
        <v>416</v>
      </c>
      <c r="H6472" s="11">
        <v>2369</v>
      </c>
      <c r="I6472" s="11">
        <v>0</v>
      </c>
      <c r="J6472" s="11">
        <v>0</v>
      </c>
      <c r="K6472" s="11" t="s">
        <v>21</v>
      </c>
      <c r="L6472" s="7">
        <v>42469.905393518522</v>
      </c>
      <c r="M6472" s="12" t="s">
        <v>14340</v>
      </c>
      <c r="N6472" s="12"/>
      <c r="O6472" s="10" t="str">
        <f t="shared" si="570"/>
        <v>View</v>
      </c>
      <c r="P6472" s="11"/>
    </row>
    <row r="6473" spans="1:16" ht="12.75" x14ac:dyDescent="0.35">
      <c r="A6473" s="7">
        <v>42484.07231481481</v>
      </c>
      <c r="B6473" s="8" t="str">
        <f>HYPERLINK("https://twitter.com/tOrtu_cCp1912","@tOrtu_cCp1912")</f>
        <v>@tOrtu_cCp1912</v>
      </c>
      <c r="C6473" s="9" t="s">
        <v>14630</v>
      </c>
      <c r="D6473" s="9" t="s">
        <v>14518</v>
      </c>
      <c r="E6473" s="10" t="str">
        <f>HYPERLINK("https://twitter.com/tOrtu_cCp1912/status/723968217123827714","723968217123827714")</f>
        <v>723968217123827714</v>
      </c>
      <c r="F6473" s="11" t="s">
        <v>48</v>
      </c>
      <c r="G6473" s="11">
        <v>471</v>
      </c>
      <c r="H6473" s="11">
        <v>310</v>
      </c>
      <c r="I6473" s="11">
        <v>39</v>
      </c>
      <c r="J6473" s="11">
        <v>0</v>
      </c>
      <c r="K6473" s="11" t="s">
        <v>21</v>
      </c>
      <c r="L6473" s="7">
        <v>41229.363229166665</v>
      </c>
      <c r="M6473" s="12" t="s">
        <v>14631</v>
      </c>
      <c r="N6473" s="12" t="s">
        <v>14632</v>
      </c>
      <c r="O6473" s="10" t="str">
        <f>HYPERLINK("https://pbs.twimg.com/profile_images/714764624529383424/0Tbthz18_normal.jpg","View")</f>
        <v>View</v>
      </c>
      <c r="P6473" s="11"/>
    </row>
    <row r="6474" spans="1:16" ht="12.75" x14ac:dyDescent="0.35">
      <c r="A6474" s="7">
        <v>42484.07231481481</v>
      </c>
      <c r="B6474" s="8" t="str">
        <f>HYPERLINK("https://twitter.com/nachofermanelli","@nachofermanelli")</f>
        <v>@nachofermanelli</v>
      </c>
      <c r="C6474" s="9" t="s">
        <v>14633</v>
      </c>
      <c r="D6474" s="9" t="s">
        <v>14518</v>
      </c>
      <c r="E6474" s="10" t="str">
        <f>HYPERLINK("https://twitter.com/nachofermanelli/status/723968217279004673","723968217279004673")</f>
        <v>723968217279004673</v>
      </c>
      <c r="F6474" s="11" t="s">
        <v>367</v>
      </c>
      <c r="G6474" s="11">
        <v>1583</v>
      </c>
      <c r="H6474" s="11">
        <v>1456</v>
      </c>
      <c r="I6474" s="11">
        <v>39</v>
      </c>
      <c r="J6474" s="11">
        <v>0</v>
      </c>
      <c r="K6474" s="11" t="s">
        <v>21</v>
      </c>
      <c r="L6474" s="7">
        <v>40530.034548611111</v>
      </c>
      <c r="M6474" s="12" t="s">
        <v>14634</v>
      </c>
      <c r="N6474" s="12" t="s">
        <v>14635</v>
      </c>
      <c r="O6474" s="10" t="str">
        <f>HYPERLINK("https://pbs.twimg.com/profile_images/688908512638971904/olHswNoP_normal.jpg","View")</f>
        <v>View</v>
      </c>
      <c r="P6474" s="11"/>
    </row>
    <row r="6475" spans="1:16" ht="12.75" x14ac:dyDescent="0.35">
      <c r="A6475" s="7">
        <v>42484.072372685187</v>
      </c>
      <c r="B6475" s="8" t="str">
        <f>HYPERLINK("https://twitter.com/NanoSilveiraOK","@NanoSilveiraOK")</f>
        <v>@NanoSilveiraOK</v>
      </c>
      <c r="C6475" s="9" t="s">
        <v>11617</v>
      </c>
      <c r="D6475" s="9" t="s">
        <v>14636</v>
      </c>
      <c r="E6475" s="10" t="str">
        <f>HYPERLINK("https://twitter.com/NanoSilveiraOK/status/723968240641282049","723968240641282049")</f>
        <v>723968240641282049</v>
      </c>
      <c r="F6475" s="11" t="s">
        <v>114</v>
      </c>
      <c r="G6475" s="11">
        <v>1106</v>
      </c>
      <c r="H6475" s="11">
        <v>1896</v>
      </c>
      <c r="I6475" s="11">
        <v>0</v>
      </c>
      <c r="J6475" s="11">
        <v>0</v>
      </c>
      <c r="K6475" s="11" t="s">
        <v>21</v>
      </c>
      <c r="L6475" s="7">
        <v>40728.673703703702</v>
      </c>
      <c r="M6475" s="12" t="s">
        <v>4440</v>
      </c>
      <c r="N6475" s="12" t="s">
        <v>11619</v>
      </c>
      <c r="O6475" s="10" t="str">
        <f>HYPERLINK("https://pbs.twimg.com/profile_images/678664972382130176/rmyLdGBk_normal.jpg","View")</f>
        <v>View</v>
      </c>
      <c r="P6475" s="10" t="str">
        <f>HYPERLINK("http://ctrlq.org/maps/address/#-34.69579598,-58.46247714","Map")</f>
        <v>Map</v>
      </c>
    </row>
    <row r="6476" spans="1:16" ht="12.75" x14ac:dyDescent="0.35">
      <c r="A6476" s="7">
        <v>42484.07267361111</v>
      </c>
      <c r="B6476" s="8" t="str">
        <f>HYPERLINK("https://twitter.com/EvvoNewBeetles","@EvvoNewBeetles")</f>
        <v>@EvvoNewBeetles</v>
      </c>
      <c r="C6476" s="9" t="s">
        <v>2294</v>
      </c>
      <c r="D6476" s="9" t="s">
        <v>14637</v>
      </c>
      <c r="E6476" s="10" t="str">
        <f>HYPERLINK("https://twitter.com/EvvoNewBeetles/status/723968345914126336","723968345914126336")</f>
        <v>723968345914126336</v>
      </c>
      <c r="F6476" s="11" t="s">
        <v>114</v>
      </c>
      <c r="G6476" s="11">
        <v>51</v>
      </c>
      <c r="H6476" s="11">
        <v>46</v>
      </c>
      <c r="I6476" s="11">
        <v>0</v>
      </c>
      <c r="J6476" s="11">
        <v>0</v>
      </c>
      <c r="K6476" s="11" t="s">
        <v>21</v>
      </c>
      <c r="L6476" s="7">
        <v>41199.473483796297</v>
      </c>
      <c r="M6476" s="12" t="s">
        <v>2296</v>
      </c>
      <c r="N6476" s="12" t="s">
        <v>2297</v>
      </c>
      <c r="O6476" s="10" t="str">
        <f>HYPERLINK("https://pbs.twimg.com/profile_images/633346486823190529/bN4Fxs99_normal.jpg","View")</f>
        <v>View</v>
      </c>
      <c r="P6476" s="11"/>
    </row>
    <row r="6477" spans="1:16" ht="12.75" x14ac:dyDescent="0.35">
      <c r="A6477" s="7">
        <v>42484.073009259257</v>
      </c>
      <c r="B6477" s="8" t="str">
        <f>HYPERLINK("https://twitter.com/BILDamSONNTAG","@BILDamSONNTAG")</f>
        <v>@BILDamSONNTAG</v>
      </c>
      <c r="C6477" s="9" t="s">
        <v>14638</v>
      </c>
      <c r="D6477" s="9" t="s">
        <v>14639</v>
      </c>
      <c r="E6477" s="10" t="str">
        <f>HYPERLINK("https://twitter.com/BILDamSONNTAG/status/723968469880836096","723968469880836096")</f>
        <v>723968469880836096</v>
      </c>
      <c r="F6477" s="11" t="s">
        <v>63</v>
      </c>
      <c r="G6477" s="11">
        <v>18527</v>
      </c>
      <c r="H6477" s="11">
        <v>121</v>
      </c>
      <c r="I6477" s="11">
        <v>0</v>
      </c>
      <c r="J6477" s="11">
        <v>0</v>
      </c>
      <c r="K6477" s="11" t="s">
        <v>21</v>
      </c>
      <c r="L6477" s="7">
        <v>39930.852210648147</v>
      </c>
      <c r="M6477" s="12" t="s">
        <v>1359</v>
      </c>
      <c r="N6477" s="12" t="s">
        <v>14640</v>
      </c>
      <c r="O6477" s="10" t="str">
        <f>HYPERLINK("https://pbs.twimg.com/profile_images/672408750104408064/xmmnmOye_normal.png","View")</f>
        <v>View</v>
      </c>
      <c r="P6477" s="11"/>
    </row>
    <row r="6478" spans="1:16" ht="12.75" x14ac:dyDescent="0.35">
      <c r="A6478" s="7">
        <v>42484.073287037041</v>
      </c>
      <c r="B6478" s="8" t="str">
        <f>HYPERLINK("https://twitter.com/Loeb_Seb1","@Loeb_Seb1")</f>
        <v>@Loeb_Seb1</v>
      </c>
      <c r="C6478" s="9" t="s">
        <v>14641</v>
      </c>
      <c r="D6478" s="9" t="s">
        <v>14518</v>
      </c>
      <c r="E6478" s="10" t="str">
        <f>HYPERLINK("https://twitter.com/Loeb_Seb1/status/723968571257294849","723968571257294849")</f>
        <v>723968571257294849</v>
      </c>
      <c r="F6478" s="11" t="s">
        <v>6681</v>
      </c>
      <c r="G6478" s="11">
        <v>84307</v>
      </c>
      <c r="H6478" s="11">
        <v>206</v>
      </c>
      <c r="I6478" s="11">
        <v>39</v>
      </c>
      <c r="J6478" s="11">
        <v>0</v>
      </c>
      <c r="K6478" s="11" t="s">
        <v>21</v>
      </c>
      <c r="L6478" s="7">
        <v>40595.000671296293</v>
      </c>
      <c r="M6478" s="12" t="s">
        <v>5130</v>
      </c>
      <c r="N6478" s="12" t="s">
        <v>14642</v>
      </c>
      <c r="O6478" s="10" t="str">
        <f>HYPERLINK("https://pbs.twimg.com/profile_images/707943921134018560/JSf0qD5z_normal.jpg","View")</f>
        <v>View</v>
      </c>
      <c r="P6478" s="11"/>
    </row>
    <row r="6479" spans="1:16" ht="12.75" x14ac:dyDescent="0.35">
      <c r="A6479" s="7">
        <v>42484.073634259257</v>
      </c>
      <c r="B6479" s="8" t="str">
        <f>HYPERLINK("https://twitter.com/LifeAtWarpSpeed","@LifeAtWarpSpeed")</f>
        <v>@LifeAtWarpSpeed</v>
      </c>
      <c r="C6479" s="9" t="s">
        <v>14643</v>
      </c>
      <c r="D6479" s="9" t="s">
        <v>14644</v>
      </c>
      <c r="E6479" s="10" t="str">
        <f>HYPERLINK("https://twitter.com/LifeAtWarpSpeed/status/723968697212256256","723968697212256256")</f>
        <v>723968697212256256</v>
      </c>
      <c r="F6479" s="11" t="s">
        <v>68</v>
      </c>
      <c r="G6479" s="11">
        <v>292</v>
      </c>
      <c r="H6479" s="11">
        <v>0</v>
      </c>
      <c r="I6479" s="11">
        <v>0</v>
      </c>
      <c r="J6479" s="11">
        <v>0</v>
      </c>
      <c r="K6479" s="11" t="s">
        <v>21</v>
      </c>
      <c r="L6479" s="7">
        <v>42389.578865740739</v>
      </c>
      <c r="M6479" s="12"/>
      <c r="N6479" s="12"/>
      <c r="O6479" s="10" t="str">
        <f>HYPERLINK("https://pbs.twimg.com/profile_images/689725910224805889/9N3BPvYo_normal.jpg","View")</f>
        <v>View</v>
      </c>
      <c r="P6479" s="11"/>
    </row>
    <row r="6480" spans="1:16" ht="12.75" x14ac:dyDescent="0.35">
      <c r="A6480" s="7">
        <v>42484.074907407412</v>
      </c>
      <c r="B6480" s="8" t="str">
        <f>HYPERLINK("https://twitter.com/_GOLD4MONEY","@_GOLD4MONEY")</f>
        <v>@_GOLD4MONEY</v>
      </c>
      <c r="C6480" s="9" t="s">
        <v>14645</v>
      </c>
      <c r="D6480" s="9" t="s">
        <v>2997</v>
      </c>
      <c r="E6480" s="10" t="str">
        <f>HYPERLINK("https://twitter.com/_GOLD4MONEY/status/723969157482594304","723969157482594304")</f>
        <v>723969157482594304</v>
      </c>
      <c r="F6480" s="11" t="s">
        <v>43</v>
      </c>
      <c r="G6480" s="11">
        <v>1077</v>
      </c>
      <c r="H6480" s="11">
        <v>837</v>
      </c>
      <c r="I6480" s="11">
        <v>4</v>
      </c>
      <c r="J6480" s="11">
        <v>0</v>
      </c>
      <c r="K6480" s="11" t="s">
        <v>21</v>
      </c>
      <c r="L6480" s="7">
        <v>40056.96739583333</v>
      </c>
      <c r="M6480" s="12" t="s">
        <v>14646</v>
      </c>
      <c r="N6480" s="12" t="s">
        <v>14647</v>
      </c>
      <c r="O6480" s="10" t="str">
        <f>HYPERLINK("https://pbs.twimg.com/profile_images/1704921969/avatar_3824_normal.gif","View")</f>
        <v>View</v>
      </c>
      <c r="P6480" s="11"/>
    </row>
    <row r="6481" spans="1:16" ht="12.75" x14ac:dyDescent="0.35">
      <c r="A6481" s="7">
        <v>42484.076018518521</v>
      </c>
      <c r="B6481" s="8" t="str">
        <f>HYPERLINK("https://twitter.com/grannicho","@grannicho")</f>
        <v>@grannicho</v>
      </c>
      <c r="C6481" s="9" t="s">
        <v>14648</v>
      </c>
      <c r="D6481" s="9" t="s">
        <v>14518</v>
      </c>
      <c r="E6481" s="10" t="str">
        <f>HYPERLINK("https://twitter.com/grannicho/status/723969561771413504","723969561771413504")</f>
        <v>723969561771413504</v>
      </c>
      <c r="F6481" s="11" t="s">
        <v>48</v>
      </c>
      <c r="G6481" s="11">
        <v>65</v>
      </c>
      <c r="H6481" s="11">
        <v>419</v>
      </c>
      <c r="I6481" s="11">
        <v>42</v>
      </c>
      <c r="J6481" s="11">
        <v>0</v>
      </c>
      <c r="K6481" s="11" t="s">
        <v>21</v>
      </c>
      <c r="L6481" s="7">
        <v>40740.247696759259</v>
      </c>
      <c r="M6481" s="12" t="s">
        <v>14649</v>
      </c>
      <c r="N6481" s="12"/>
      <c r="O6481" s="10" t="str">
        <f>HYPERLINK("https://pbs.twimg.com/profile_images/539452942617567232/cIlwVj6z_normal.jpeg","View")</f>
        <v>View</v>
      </c>
      <c r="P6481" s="11"/>
    </row>
    <row r="6482" spans="1:16" ht="12.75" x14ac:dyDescent="0.35">
      <c r="A6482" s="7">
        <v>42484.076423611114</v>
      </c>
      <c r="B6482" s="8" t="str">
        <f>HYPERLINK("https://twitter.com/laulijayz","@laulijayz")</f>
        <v>@laulijayz</v>
      </c>
      <c r="C6482" s="9" t="s">
        <v>14650</v>
      </c>
      <c r="D6482" s="9" t="s">
        <v>14518</v>
      </c>
      <c r="E6482" s="10" t="str">
        <f>HYPERLINK("https://twitter.com/laulijayz/status/723969707431346176","723969707431346176")</f>
        <v>723969707431346176</v>
      </c>
      <c r="F6482" s="11" t="s">
        <v>20</v>
      </c>
      <c r="G6482" s="11">
        <v>5843</v>
      </c>
      <c r="H6482" s="11">
        <v>159</v>
      </c>
      <c r="I6482" s="11">
        <v>42</v>
      </c>
      <c r="J6482" s="11">
        <v>0</v>
      </c>
      <c r="K6482" s="11" t="s">
        <v>21</v>
      </c>
      <c r="L6482" s="7">
        <v>40702.592766203699</v>
      </c>
      <c r="M6482" s="12" t="s">
        <v>14651</v>
      </c>
      <c r="N6482" s="12" t="s">
        <v>14652</v>
      </c>
      <c r="O6482" s="10" t="str">
        <f>HYPERLINK("https://pbs.twimg.com/profile_images/714356148984553472/3i1jJYkN_normal.jpg","View")</f>
        <v>View</v>
      </c>
      <c r="P6482" s="11"/>
    </row>
    <row r="6483" spans="1:16" ht="12.75" x14ac:dyDescent="0.35">
      <c r="A6483" s="7">
        <v>42484.076712962968</v>
      </c>
      <c r="B6483" s="8" t="str">
        <f>HYPERLINK("https://twitter.com/maxiavalos3","@maxiavalos3")</f>
        <v>@maxiavalos3</v>
      </c>
      <c r="C6483" s="9" t="s">
        <v>14653</v>
      </c>
      <c r="D6483" s="9" t="s">
        <v>14654</v>
      </c>
      <c r="E6483" s="10" t="str">
        <f>HYPERLINK("https://twitter.com/maxiavalos3/status/723969813442260993","723969813442260993")</f>
        <v>723969813442260993</v>
      </c>
      <c r="F6483" s="11" t="s">
        <v>114</v>
      </c>
      <c r="G6483" s="11">
        <v>224</v>
      </c>
      <c r="H6483" s="11">
        <v>219</v>
      </c>
      <c r="I6483" s="11">
        <v>0</v>
      </c>
      <c r="J6483" s="11">
        <v>0</v>
      </c>
      <c r="K6483" s="11" t="s">
        <v>21</v>
      </c>
      <c r="L6483" s="7">
        <v>41329.131099537037</v>
      </c>
      <c r="M6483" s="12"/>
      <c r="N6483" s="12" t="s">
        <v>14655</v>
      </c>
      <c r="O6483" s="10" t="str">
        <f>HYPERLINK("https://pbs.twimg.com/profile_images/699058627341066240/rAzVbwCe_normal.jpg","View")</f>
        <v>View</v>
      </c>
      <c r="P6483" s="10" t="str">
        <f>HYPERLINK("http://ctrlq.org/maps/address/#-34.69427222,-58.45934722","Map")</f>
        <v>Map</v>
      </c>
    </row>
    <row r="6484" spans="1:16" ht="12.75" x14ac:dyDescent="0.35">
      <c r="A6484" s="7">
        <v>42484.078333333338</v>
      </c>
      <c r="B6484" s="8" t="str">
        <f t="shared" ref="B6484:B6485" si="571">HYPERLINK("https://twitter.com/vwdepo","@vwdepo")</f>
        <v>@vwdepo</v>
      </c>
      <c r="C6484" s="9" t="s">
        <v>134</v>
      </c>
      <c r="D6484" s="9" t="s">
        <v>14656</v>
      </c>
      <c r="E6484" s="10" t="str">
        <f>HYPERLINK("https://twitter.com/vwdepo/status/723970398216290305","723970398216290305")</f>
        <v>723970398216290305</v>
      </c>
      <c r="F6484" s="11" t="s">
        <v>53</v>
      </c>
      <c r="G6484" s="11">
        <v>783</v>
      </c>
      <c r="H6484" s="11">
        <v>384</v>
      </c>
      <c r="I6484" s="11">
        <v>0</v>
      </c>
      <c r="J6484" s="11">
        <v>0</v>
      </c>
      <c r="K6484" s="11" t="s">
        <v>21</v>
      </c>
      <c r="L6484" s="7">
        <v>39891.992905092593</v>
      </c>
      <c r="M6484" s="12" t="s">
        <v>136</v>
      </c>
      <c r="N6484" s="12" t="s">
        <v>137</v>
      </c>
      <c r="O6484" s="10" t="str">
        <f t="shared" ref="O6484:O6485" si="572">HYPERLINK("https://pbs.twimg.com/profile_images/3378184537/c20ae9a7a410821b4f189c34a63380f7_normal.png","View")</f>
        <v>View</v>
      </c>
      <c r="P6484" s="11"/>
    </row>
    <row r="6485" spans="1:16" ht="12.75" x14ac:dyDescent="0.35">
      <c r="A6485" s="7">
        <v>42484.078402777777</v>
      </c>
      <c r="B6485" s="8" t="str">
        <f t="shared" si="571"/>
        <v>@vwdepo</v>
      </c>
      <c r="C6485" s="9" t="s">
        <v>134</v>
      </c>
      <c r="D6485" s="9" t="s">
        <v>14657</v>
      </c>
      <c r="E6485" s="10" t="str">
        <f>HYPERLINK("https://twitter.com/vwdepo/status/723970424929841152","723970424929841152")</f>
        <v>723970424929841152</v>
      </c>
      <c r="F6485" s="11" t="s">
        <v>53</v>
      </c>
      <c r="G6485" s="11">
        <v>783</v>
      </c>
      <c r="H6485" s="11">
        <v>384</v>
      </c>
      <c r="I6485" s="11">
        <v>0</v>
      </c>
      <c r="J6485" s="11">
        <v>0</v>
      </c>
      <c r="K6485" s="11" t="s">
        <v>21</v>
      </c>
      <c r="L6485" s="7">
        <v>39891.992905092593</v>
      </c>
      <c r="M6485" s="12" t="s">
        <v>136</v>
      </c>
      <c r="N6485" s="12" t="s">
        <v>137</v>
      </c>
      <c r="O6485" s="10" t="str">
        <f t="shared" si="572"/>
        <v>View</v>
      </c>
      <c r="P6485" s="11"/>
    </row>
    <row r="6486" spans="1:16" ht="12.75" x14ac:dyDescent="0.35">
      <c r="A6486" s="7">
        <v>42484.078877314816</v>
      </c>
      <c r="B6486" s="8" t="str">
        <f>HYPERLINK("https://twitter.com/Metalingus_RS","@Metalingus_RS")</f>
        <v>@Metalingus_RS</v>
      </c>
      <c r="C6486" s="9" t="s">
        <v>14658</v>
      </c>
      <c r="D6486" s="9" t="s">
        <v>14518</v>
      </c>
      <c r="E6486" s="10" t="str">
        <f>HYPERLINK("https://twitter.com/Metalingus_RS/status/723970595071889408","723970595071889408")</f>
        <v>723970595071889408</v>
      </c>
      <c r="F6486" s="11" t="s">
        <v>48</v>
      </c>
      <c r="G6486" s="11">
        <v>434</v>
      </c>
      <c r="H6486" s="11">
        <v>760</v>
      </c>
      <c r="I6486" s="11">
        <v>42</v>
      </c>
      <c r="J6486" s="11">
        <v>0</v>
      </c>
      <c r="K6486" s="11" t="s">
        <v>21</v>
      </c>
      <c r="L6486" s="7">
        <v>41419.882673611108</v>
      </c>
      <c r="M6486" s="12" t="s">
        <v>862</v>
      </c>
      <c r="N6486" s="12" t="s">
        <v>14659</v>
      </c>
      <c r="O6486" s="10" t="str">
        <f>HYPERLINK("https://pbs.twimg.com/profile_images/508847611441586176/b2Wfj25u_normal.jpeg","View")</f>
        <v>View</v>
      </c>
      <c r="P6486" s="11"/>
    </row>
    <row r="6487" spans="1:16" ht="12.75" x14ac:dyDescent="0.35">
      <c r="A6487" s="7">
        <v>42484.08012731481</v>
      </c>
      <c r="B6487" s="8" t="str">
        <f>HYPERLINK("https://twitter.com/exequielleguiz1","@exequielleguiz1")</f>
        <v>@exequielleguiz1</v>
      </c>
      <c r="C6487" s="9" t="s">
        <v>11142</v>
      </c>
      <c r="D6487" s="9" t="s">
        <v>10440</v>
      </c>
      <c r="E6487" s="10" t="str">
        <f>HYPERLINK("https://twitter.com/exequielleguiz1/status/723971048434180096","723971048434180096")</f>
        <v>723971048434180096</v>
      </c>
      <c r="F6487" s="11" t="s">
        <v>48</v>
      </c>
      <c r="G6487" s="11">
        <v>1125</v>
      </c>
      <c r="H6487" s="11">
        <v>743</v>
      </c>
      <c r="I6487" s="11">
        <v>24</v>
      </c>
      <c r="J6487" s="11">
        <v>0</v>
      </c>
      <c r="K6487" s="11" t="s">
        <v>21</v>
      </c>
      <c r="L6487" s="7">
        <v>41333.248310185183</v>
      </c>
      <c r="M6487" s="12" t="s">
        <v>11143</v>
      </c>
      <c r="N6487" s="12" t="s">
        <v>11144</v>
      </c>
      <c r="O6487" s="10" t="str">
        <f>HYPERLINK("https://pbs.twimg.com/profile_images/722584639395729409/6xOQLAoP_normal.jpg","View")</f>
        <v>View</v>
      </c>
      <c r="P6487" s="11"/>
    </row>
    <row r="6488" spans="1:16" ht="12.75" x14ac:dyDescent="0.35">
      <c r="A6488" s="7">
        <v>42484.080266203702</v>
      </c>
      <c r="B6488" s="8" t="str">
        <f>HYPERLINK("https://twitter.com/rip_curle","@rip_curle")</f>
        <v>@rip_curle</v>
      </c>
      <c r="C6488" s="9" t="s">
        <v>14660</v>
      </c>
      <c r="D6488" s="9" t="s">
        <v>14661</v>
      </c>
      <c r="E6488" s="10" t="str">
        <f>HYPERLINK("https://twitter.com/rip_curle/status/723971101001392130","723971101001392130")</f>
        <v>723971101001392130</v>
      </c>
      <c r="F6488" s="11" t="s">
        <v>53</v>
      </c>
      <c r="G6488" s="11">
        <v>618</v>
      </c>
      <c r="H6488" s="11">
        <v>796</v>
      </c>
      <c r="I6488" s="11">
        <v>0</v>
      </c>
      <c r="J6488" s="11">
        <v>0</v>
      </c>
      <c r="K6488" s="11" t="s">
        <v>21</v>
      </c>
      <c r="L6488" s="7">
        <v>40382.120949074073</v>
      </c>
      <c r="M6488" s="12" t="s">
        <v>14662</v>
      </c>
      <c r="N6488" s="12" t="s">
        <v>14663</v>
      </c>
      <c r="O6488" s="10" t="str">
        <f>HYPERLINK("https://pbs.twimg.com/profile_images/2305348441/42yki2pe2jn619bnwgad_normal.jpeg","View")</f>
        <v>View</v>
      </c>
      <c r="P6488" s="11"/>
    </row>
    <row r="6489" spans="1:16" ht="12.75" x14ac:dyDescent="0.35">
      <c r="A6489" s="7">
        <v>42484.081747685181</v>
      </c>
      <c r="B6489" s="8" t="str">
        <f>HYPERLINK("https://twitter.com/NollyPrott","@NollyPrott")</f>
        <v>@NollyPrott</v>
      </c>
      <c r="C6489" s="9" t="s">
        <v>10088</v>
      </c>
      <c r="D6489" s="9" t="s">
        <v>14664</v>
      </c>
      <c r="E6489" s="10" t="str">
        <f>HYPERLINK("https://twitter.com/NollyPrott/status/723971635401875456","723971635401875456")</f>
        <v>723971635401875456</v>
      </c>
      <c r="F6489" s="11" t="s">
        <v>43</v>
      </c>
      <c r="G6489" s="11">
        <v>1273</v>
      </c>
      <c r="H6489" s="11">
        <v>2150</v>
      </c>
      <c r="I6489" s="11">
        <v>0</v>
      </c>
      <c r="J6489" s="11">
        <v>0</v>
      </c>
      <c r="K6489" s="11" t="s">
        <v>21</v>
      </c>
      <c r="L6489" s="7">
        <v>40887.920648148152</v>
      </c>
      <c r="M6489" s="12" t="s">
        <v>10090</v>
      </c>
      <c r="N6489" s="12" t="s">
        <v>10091</v>
      </c>
      <c r="O6489" s="10" t="str">
        <f>HYPERLINK("https://pbs.twimg.com/profile_images/425599818853912576/kKRiBOc1_normal.jpeg","View")</f>
        <v>View</v>
      </c>
      <c r="P6489" s="11"/>
    </row>
    <row r="6490" spans="1:16" ht="12.75" x14ac:dyDescent="0.35">
      <c r="A6490" s="7">
        <v>42484.081863425927</v>
      </c>
      <c r="B6490" s="8" t="str">
        <f>HYPERLINK("https://twitter.com/exequielleguiz1","@exequielleguiz1")</f>
        <v>@exequielleguiz1</v>
      </c>
      <c r="C6490" s="9" t="s">
        <v>11142</v>
      </c>
      <c r="D6490" s="9" t="s">
        <v>6011</v>
      </c>
      <c r="E6490" s="10" t="str">
        <f>HYPERLINK("https://twitter.com/exequielleguiz1/status/723971677403643904","723971677403643904")</f>
        <v>723971677403643904</v>
      </c>
      <c r="F6490" s="11" t="s">
        <v>48</v>
      </c>
      <c r="G6490" s="11">
        <v>1125</v>
      </c>
      <c r="H6490" s="11">
        <v>743</v>
      </c>
      <c r="I6490" s="11">
        <v>8</v>
      </c>
      <c r="J6490" s="11">
        <v>0</v>
      </c>
      <c r="K6490" s="11" t="s">
        <v>21</v>
      </c>
      <c r="L6490" s="7">
        <v>41333.248310185183</v>
      </c>
      <c r="M6490" s="12" t="s">
        <v>11143</v>
      </c>
      <c r="N6490" s="12" t="s">
        <v>11144</v>
      </c>
      <c r="O6490" s="10" t="str">
        <f>HYPERLINK("https://pbs.twimg.com/profile_images/722584639395729409/6xOQLAoP_normal.jpg","View")</f>
        <v>View</v>
      </c>
      <c r="P6490" s="11"/>
    </row>
    <row r="6491" spans="1:16" ht="12.75" x14ac:dyDescent="0.35">
      <c r="A6491" s="7">
        <v>42484.082488425927</v>
      </c>
      <c r="B6491" s="8" t="str">
        <f t="shared" ref="B6491:B6493" si="573">HYPERLINK("https://twitter.com/Insta_VWT","@Insta_VWT")</f>
        <v>@Insta_VWT</v>
      </c>
      <c r="C6491" s="9" t="s">
        <v>181</v>
      </c>
      <c r="D6491" s="9" t="s">
        <v>14665</v>
      </c>
      <c r="E6491" s="10" t="str">
        <f>HYPERLINK("https://twitter.com/Insta_VWT/status/723971903506006016","723971903506006016")</f>
        <v>723971903506006016</v>
      </c>
      <c r="F6491" s="11" t="s">
        <v>68</v>
      </c>
      <c r="G6491" s="11">
        <v>484</v>
      </c>
      <c r="H6491" s="11">
        <v>0</v>
      </c>
      <c r="I6491" s="11">
        <v>0</v>
      </c>
      <c r="J6491" s="11">
        <v>0</v>
      </c>
      <c r="K6491" s="11" t="s">
        <v>21</v>
      </c>
      <c r="L6491" s="7">
        <v>41658.782800925925</v>
      </c>
      <c r="M6491" s="12" t="s">
        <v>183</v>
      </c>
      <c r="N6491" s="12" t="s">
        <v>184</v>
      </c>
      <c r="O6491" s="10" t="str">
        <f t="shared" ref="O6491:O6493" si="574">HYPERLINK("https://pbs.twimg.com/profile_images/424893967197433858/iQ86NktX_normal.jpeg","View")</f>
        <v>View</v>
      </c>
      <c r="P6491" s="11"/>
    </row>
    <row r="6492" spans="1:16" ht="12.75" x14ac:dyDescent="0.35">
      <c r="A6492" s="7">
        <v>42484.082500000004</v>
      </c>
      <c r="B6492" s="8" t="str">
        <f t="shared" si="573"/>
        <v>@Insta_VWT</v>
      </c>
      <c r="C6492" s="9" t="s">
        <v>181</v>
      </c>
      <c r="D6492" s="9" t="s">
        <v>14666</v>
      </c>
      <c r="E6492" s="10" t="str">
        <f>HYPERLINK("https://twitter.com/Insta_VWT/status/723971909147340801","723971909147340801")</f>
        <v>723971909147340801</v>
      </c>
      <c r="F6492" s="11" t="s">
        <v>68</v>
      </c>
      <c r="G6492" s="11">
        <v>484</v>
      </c>
      <c r="H6492" s="11">
        <v>0</v>
      </c>
      <c r="I6492" s="11">
        <v>0</v>
      </c>
      <c r="J6492" s="11">
        <v>0</v>
      </c>
      <c r="K6492" s="11" t="s">
        <v>21</v>
      </c>
      <c r="L6492" s="7">
        <v>41658.782800925925</v>
      </c>
      <c r="M6492" s="12" t="s">
        <v>183</v>
      </c>
      <c r="N6492" s="12" t="s">
        <v>184</v>
      </c>
      <c r="O6492" s="10" t="str">
        <f t="shared" si="574"/>
        <v>View</v>
      </c>
      <c r="P6492" s="11"/>
    </row>
    <row r="6493" spans="1:16" ht="12.75" x14ac:dyDescent="0.35">
      <c r="A6493" s="7">
        <v>42484.082534722227</v>
      </c>
      <c r="B6493" s="8" t="str">
        <f t="shared" si="573"/>
        <v>@Insta_VWT</v>
      </c>
      <c r="C6493" s="9" t="s">
        <v>181</v>
      </c>
      <c r="D6493" s="9" t="s">
        <v>14667</v>
      </c>
      <c r="E6493" s="10" t="str">
        <f>HYPERLINK("https://twitter.com/Insta_VWT/status/723971922107731968","723971922107731968")</f>
        <v>723971922107731968</v>
      </c>
      <c r="F6493" s="11" t="s">
        <v>68</v>
      </c>
      <c r="G6493" s="11">
        <v>484</v>
      </c>
      <c r="H6493" s="11">
        <v>0</v>
      </c>
      <c r="I6493" s="11">
        <v>0</v>
      </c>
      <c r="J6493" s="11">
        <v>0</v>
      </c>
      <c r="K6493" s="11" t="s">
        <v>21</v>
      </c>
      <c r="L6493" s="7">
        <v>41658.782800925925</v>
      </c>
      <c r="M6493" s="12" t="s">
        <v>183</v>
      </c>
      <c r="N6493" s="12" t="s">
        <v>184</v>
      </c>
      <c r="O6493" s="10" t="str">
        <f t="shared" si="574"/>
        <v>View</v>
      </c>
      <c r="P6493" s="11"/>
    </row>
    <row r="6494" spans="1:16" ht="12.75" x14ac:dyDescent="0.35">
      <c r="A6494" s="7">
        <v>42484.085150462968</v>
      </c>
      <c r="B6494" s="8" t="str">
        <f>HYPERLINK("https://twitter.com/MSM_Marion","@MSM_Marion")</f>
        <v>@MSM_Marion</v>
      </c>
      <c r="C6494" s="9" t="s">
        <v>14668</v>
      </c>
      <c r="D6494" s="9" t="s">
        <v>14518</v>
      </c>
      <c r="E6494" s="10" t="str">
        <f>HYPERLINK("https://twitter.com/MSM_Marion/status/723972870779621376","723972870779621376")</f>
        <v>723972870779621376</v>
      </c>
      <c r="F6494" s="11" t="s">
        <v>43</v>
      </c>
      <c r="G6494" s="11">
        <v>90</v>
      </c>
      <c r="H6494" s="11">
        <v>263</v>
      </c>
      <c r="I6494" s="11">
        <v>46</v>
      </c>
      <c r="J6494" s="11">
        <v>0</v>
      </c>
      <c r="K6494" s="11" t="s">
        <v>21</v>
      </c>
      <c r="L6494" s="7">
        <v>40905.841967592591</v>
      </c>
      <c r="M6494" s="12" t="s">
        <v>2515</v>
      </c>
      <c r="N6494" s="12" t="s">
        <v>14669</v>
      </c>
      <c r="O6494" s="10" t="str">
        <f>HYPERLINK("https://pbs.twimg.com/profile_images/656943622139588608/S62sSdX8_normal.jpg","View")</f>
        <v>View</v>
      </c>
      <c r="P6494" s="11"/>
    </row>
    <row r="6495" spans="1:16" ht="12.75" x14ac:dyDescent="0.35">
      <c r="A6495" s="7">
        <v>42484.085243055553</v>
      </c>
      <c r="B6495" s="8" t="str">
        <f>HYPERLINK("https://twitter.com/Masterpony","@Masterpony")</f>
        <v>@Masterpony</v>
      </c>
      <c r="C6495" s="9" t="s">
        <v>14670</v>
      </c>
      <c r="D6495" s="9" t="s">
        <v>14671</v>
      </c>
      <c r="E6495" s="10" t="str">
        <f>HYPERLINK("https://twitter.com/Masterpony/status/723972901649653760","723972901649653760")</f>
        <v>723972901649653760</v>
      </c>
      <c r="F6495" s="11" t="s">
        <v>114</v>
      </c>
      <c r="G6495" s="11">
        <v>78</v>
      </c>
      <c r="H6495" s="11">
        <v>355</v>
      </c>
      <c r="I6495" s="11">
        <v>0</v>
      </c>
      <c r="J6495" s="11">
        <v>0</v>
      </c>
      <c r="K6495" s="11" t="s">
        <v>21</v>
      </c>
      <c r="L6495" s="7">
        <v>40336.357488425929</v>
      </c>
      <c r="M6495" s="12" t="s">
        <v>688</v>
      </c>
      <c r="N6495" s="12" t="s">
        <v>14672</v>
      </c>
      <c r="O6495" s="10" t="str">
        <f>HYPERLINK("https://pbs.twimg.com/profile_images/719291014582644736/xkObdI1y_normal.jpg","View")</f>
        <v>View</v>
      </c>
      <c r="P6495" s="11"/>
    </row>
    <row r="6496" spans="1:16" ht="12.75" x14ac:dyDescent="0.35">
      <c r="A6496" s="7">
        <v>42484.087453703702</v>
      </c>
      <c r="B6496" s="8" t="str">
        <f>HYPERLINK("https://twitter.com/ahmedhaltas","@ahmedhaltas")</f>
        <v>@ahmedhaltas</v>
      </c>
      <c r="C6496" s="9" t="s">
        <v>4895</v>
      </c>
      <c r="D6496" s="9" t="s">
        <v>14673</v>
      </c>
      <c r="E6496" s="10" t="str">
        <f>HYPERLINK("https://twitter.com/ahmedhaltas/status/723973702082256899","723973702082256899")</f>
        <v>723973702082256899</v>
      </c>
      <c r="F6496" s="11" t="s">
        <v>114</v>
      </c>
      <c r="G6496" s="11">
        <v>330</v>
      </c>
      <c r="H6496" s="11">
        <v>385</v>
      </c>
      <c r="I6496" s="11">
        <v>0</v>
      </c>
      <c r="J6496" s="11">
        <v>0</v>
      </c>
      <c r="K6496" s="11" t="s">
        <v>21</v>
      </c>
      <c r="L6496" s="7">
        <v>41033.981782407405</v>
      </c>
      <c r="M6496" s="12" t="s">
        <v>4897</v>
      </c>
      <c r="N6496" s="12" t="s">
        <v>4898</v>
      </c>
      <c r="O6496" s="10" t="str">
        <f>HYPERLINK("https://pbs.twimg.com/profile_images/707336599898554368/C8k--jj7_normal.jpg","View")</f>
        <v>View</v>
      </c>
      <c r="P6496" s="10" t="str">
        <f>HYPERLINK("http://ctrlq.org/maps/address/#39.9272,32.8644","Map")</f>
        <v>Map</v>
      </c>
    </row>
    <row r="6497" spans="1:16" ht="12.75" x14ac:dyDescent="0.35">
      <c r="A6497" s="7">
        <v>42484.087638888886</v>
      </c>
      <c r="B6497" s="8" t="str">
        <f>HYPERLINK("https://twitter.com/McBassler","@McBassler")</f>
        <v>@McBassler</v>
      </c>
      <c r="C6497" s="9" t="s">
        <v>14674</v>
      </c>
      <c r="D6497" s="9" t="s">
        <v>14675</v>
      </c>
      <c r="E6497" s="10" t="str">
        <f>HYPERLINK("https://twitter.com/McBassler/status/723973771497988096","723973771497988096")</f>
        <v>723973771497988096</v>
      </c>
      <c r="F6497" s="11" t="s">
        <v>48</v>
      </c>
      <c r="G6497" s="11">
        <v>452</v>
      </c>
      <c r="H6497" s="11">
        <v>1046</v>
      </c>
      <c r="I6497" s="11">
        <v>2</v>
      </c>
      <c r="J6497" s="11">
        <v>0</v>
      </c>
      <c r="K6497" s="11" t="s">
        <v>21</v>
      </c>
      <c r="L6497" s="7">
        <v>40372.581238425926</v>
      </c>
      <c r="M6497" s="12" t="s">
        <v>11392</v>
      </c>
      <c r="N6497" s="12" t="s">
        <v>14676</v>
      </c>
      <c r="O6497" s="10" t="str">
        <f>HYPERLINK("https://pbs.twimg.com/profile_images/610176346996764673/OwEtSe7d_normal.jpg","View")</f>
        <v>View</v>
      </c>
      <c r="P6497" s="11"/>
    </row>
    <row r="6498" spans="1:16" ht="12.75" x14ac:dyDescent="0.35">
      <c r="A6498" s="7">
        <v>42484.088738425926</v>
      </c>
      <c r="B6498" s="8" t="str">
        <f>HYPERLINK("https://twitter.com/Harkonen2","@Harkonen2")</f>
        <v>@Harkonen2</v>
      </c>
      <c r="C6498" s="9" t="s">
        <v>14677</v>
      </c>
      <c r="D6498" s="9" t="s">
        <v>14518</v>
      </c>
      <c r="E6498" s="10" t="str">
        <f>HYPERLINK("https://twitter.com/Harkonen2/status/723974168002342914","723974168002342914")</f>
        <v>723974168002342914</v>
      </c>
      <c r="F6498" s="11" t="s">
        <v>63</v>
      </c>
      <c r="G6498" s="11">
        <v>4991</v>
      </c>
      <c r="H6498" s="11">
        <v>4882</v>
      </c>
      <c r="I6498" s="11">
        <v>46</v>
      </c>
      <c r="J6498" s="11">
        <v>0</v>
      </c>
      <c r="K6498" s="11" t="s">
        <v>21</v>
      </c>
      <c r="L6498" s="7">
        <v>40886.990937499999</v>
      </c>
      <c r="M6498" s="12"/>
      <c r="N6498" s="12" t="s">
        <v>14678</v>
      </c>
      <c r="O6498" s="10" t="str">
        <f>HYPERLINK("https://pbs.twimg.com/profile_images/2209657884/Francesc_Ferrer_i_Gu_rdia_normal.jpg","View")</f>
        <v>View</v>
      </c>
      <c r="P6498" s="11"/>
    </row>
    <row r="6499" spans="1:16" ht="12.75" x14ac:dyDescent="0.35">
      <c r="A6499" s="7">
        <v>42484.089699074073</v>
      </c>
      <c r="B6499" s="8" t="str">
        <f>HYPERLINK("https://twitter.com/50Gny","@50Gny")</f>
        <v>@50Gny</v>
      </c>
      <c r="C6499" s="9" t="s">
        <v>14679</v>
      </c>
      <c r="D6499" s="9" t="s">
        <v>14680</v>
      </c>
      <c r="E6499" s="10" t="str">
        <f>HYPERLINK("https://twitter.com/50Gny/status/723974519468228608","723974519468228608")</f>
        <v>723974519468228608</v>
      </c>
      <c r="F6499" s="11" t="s">
        <v>48</v>
      </c>
      <c r="G6499" s="11">
        <v>440</v>
      </c>
      <c r="H6499" s="11">
        <v>203</v>
      </c>
      <c r="I6499" s="11">
        <v>0</v>
      </c>
      <c r="J6499" s="11">
        <v>0</v>
      </c>
      <c r="K6499" s="11" t="s">
        <v>21</v>
      </c>
      <c r="L6499" s="7">
        <v>41283.954409722224</v>
      </c>
      <c r="M6499" s="12"/>
      <c r="N6499" s="12" t="s">
        <v>14681</v>
      </c>
      <c r="O6499" s="10" t="str">
        <f>HYPERLINK("https://pbs.twimg.com/profile_images/615682819499626496/4VXS8ESF_normal.jpg","View")</f>
        <v>View</v>
      </c>
      <c r="P6499" s="11"/>
    </row>
    <row r="6500" spans="1:16" ht="12.75" x14ac:dyDescent="0.35">
      <c r="A6500" s="7">
        <v>42484.089895833335</v>
      </c>
      <c r="B6500" s="8" t="str">
        <f>HYPERLINK("https://twitter.com/KziaSabino","@KziaSabino")</f>
        <v>@KziaSabino</v>
      </c>
      <c r="C6500" s="9" t="s">
        <v>8891</v>
      </c>
      <c r="D6500" s="9" t="s">
        <v>14682</v>
      </c>
      <c r="E6500" s="10" t="str">
        <f>HYPERLINK("https://twitter.com/KziaSabino/status/723974590536507392","723974590536507392")</f>
        <v>723974590536507392</v>
      </c>
      <c r="F6500" s="11" t="s">
        <v>48</v>
      </c>
      <c r="G6500" s="11">
        <v>29</v>
      </c>
      <c r="H6500" s="11">
        <v>102</v>
      </c>
      <c r="I6500" s="11">
        <v>0</v>
      </c>
      <c r="J6500" s="11">
        <v>0</v>
      </c>
      <c r="K6500" s="11" t="s">
        <v>21</v>
      </c>
      <c r="L6500" s="7">
        <v>41525.955671296295</v>
      </c>
      <c r="M6500" s="12" t="s">
        <v>8893</v>
      </c>
      <c r="N6500" s="12" t="s">
        <v>8894</v>
      </c>
      <c r="O6500" s="10" t="str">
        <f>HYPERLINK("https://pbs.twimg.com/profile_images/723116935605542912/YpMAUGCv_normal.jpg","View")</f>
        <v>View</v>
      </c>
      <c r="P6500" s="11"/>
    </row>
    <row r="6501" spans="1:16" ht="12.75" x14ac:dyDescent="0.35">
      <c r="A6501" s="7">
        <v>42484.090115740742</v>
      </c>
      <c r="B6501" s="8" t="str">
        <f>HYPERLINK("https://twitter.com/RodneySargent","@RodneySargent")</f>
        <v>@RodneySargent</v>
      </c>
      <c r="C6501" s="9" t="s">
        <v>14683</v>
      </c>
      <c r="D6501" s="9" t="s">
        <v>14684</v>
      </c>
      <c r="E6501" s="10" t="str">
        <f>HYPERLINK("https://twitter.com/RodneySargent/status/723974667304751104","723974667304751104")</f>
        <v>723974667304751104</v>
      </c>
      <c r="F6501" s="11" t="s">
        <v>114</v>
      </c>
      <c r="G6501" s="11">
        <v>1664</v>
      </c>
      <c r="H6501" s="11">
        <v>283</v>
      </c>
      <c r="I6501" s="11">
        <v>0</v>
      </c>
      <c r="J6501" s="11">
        <v>0</v>
      </c>
      <c r="K6501" s="11" t="s">
        <v>21</v>
      </c>
      <c r="L6501" s="7">
        <v>40188.969178240739</v>
      </c>
      <c r="M6501" s="12" t="s">
        <v>14685</v>
      </c>
      <c r="N6501" s="12" t="s">
        <v>14686</v>
      </c>
      <c r="O6501" s="10" t="str">
        <f>HYPERLINK("https://pbs.twimg.com/profile_images/428375339044069377/ZOSVMyhL_normal.jpeg","View")</f>
        <v>View</v>
      </c>
      <c r="P6501" s="11"/>
    </row>
    <row r="6502" spans="1:16" ht="12.75" x14ac:dyDescent="0.35">
      <c r="A6502" s="7">
        <v>42484.090636574074</v>
      </c>
      <c r="B6502" s="8" t="str">
        <f>HYPERLINK("https://twitter.com/dirroed","@dirroed")</f>
        <v>@dirroed</v>
      </c>
      <c r="C6502" s="9" t="s">
        <v>14687</v>
      </c>
      <c r="D6502" s="9" t="s">
        <v>14688</v>
      </c>
      <c r="E6502" s="10" t="str">
        <f>HYPERLINK("https://twitter.com/dirroed/status/723974859592732672","723974859592732672")</f>
        <v>723974859592732672</v>
      </c>
      <c r="F6502" s="11" t="s">
        <v>48</v>
      </c>
      <c r="G6502" s="11">
        <v>4</v>
      </c>
      <c r="H6502" s="11">
        <v>20</v>
      </c>
      <c r="I6502" s="11">
        <v>0</v>
      </c>
      <c r="J6502" s="11">
        <v>0</v>
      </c>
      <c r="K6502" s="11" t="s">
        <v>21</v>
      </c>
      <c r="L6502" s="7">
        <v>41464.878182870372</v>
      </c>
      <c r="M6502" s="12"/>
      <c r="N6502" s="12" t="s">
        <v>14689</v>
      </c>
      <c r="O6502" s="10" t="str">
        <f>HYPERLINK("https://pbs.twimg.com/profile_images/637035800966885376/qmtOSgmX_normal.jpg","View")</f>
        <v>View</v>
      </c>
      <c r="P6502" s="11"/>
    </row>
    <row r="6503" spans="1:16" ht="12.75" x14ac:dyDescent="0.35">
      <c r="A6503" s="7">
        <v>42484.091585648144</v>
      </c>
      <c r="B6503" s="8" t="str">
        <f>HYPERLINK("https://twitter.com/yeeea66","@yeeea66")</f>
        <v>@yeeea66</v>
      </c>
      <c r="C6503" s="9" t="s">
        <v>14690</v>
      </c>
      <c r="D6503" s="9" t="s">
        <v>14691</v>
      </c>
      <c r="E6503" s="10" t="str">
        <f>HYPERLINK("https://twitter.com/yeeea66/status/723975203533950977","723975203533950977")</f>
        <v>723975203533950977</v>
      </c>
      <c r="F6503" s="11" t="s">
        <v>91</v>
      </c>
      <c r="G6503" s="11">
        <v>1369</v>
      </c>
      <c r="H6503" s="11">
        <v>1277</v>
      </c>
      <c r="I6503" s="11">
        <v>7</v>
      </c>
      <c r="J6503" s="11">
        <v>0</v>
      </c>
      <c r="K6503" s="11" t="s">
        <v>21</v>
      </c>
      <c r="L6503" s="7">
        <v>41605.49732638889</v>
      </c>
      <c r="M6503" s="12" t="s">
        <v>14692</v>
      </c>
      <c r="N6503" s="12" t="s">
        <v>14693</v>
      </c>
      <c r="O6503" s="10" t="str">
        <f>HYPERLINK("https://pbs.twimg.com/profile_images/655401370300739585/29SWPrAt_normal.jpg","View")</f>
        <v>View</v>
      </c>
      <c r="P6503" s="11"/>
    </row>
    <row r="6504" spans="1:16" ht="12.75" x14ac:dyDescent="0.35">
      <c r="A6504" s="7">
        <v>42484.091874999998</v>
      </c>
      <c r="B6504" s="8" t="str">
        <f>HYPERLINK("https://twitter.com/TheLovebusWedCo","@TheLovebusWedCo")</f>
        <v>@TheLovebusWedCo</v>
      </c>
      <c r="C6504" s="9" t="s">
        <v>14694</v>
      </c>
      <c r="D6504" s="9" t="s">
        <v>14695</v>
      </c>
      <c r="E6504" s="10" t="str">
        <f>HYPERLINK("https://twitter.com/TheLovebusWedCo/status/723975306592264193","723975306592264193")</f>
        <v>723975306592264193</v>
      </c>
      <c r="F6504" s="11" t="s">
        <v>20</v>
      </c>
      <c r="G6504" s="11">
        <v>3564</v>
      </c>
      <c r="H6504" s="11">
        <v>2764</v>
      </c>
      <c r="I6504" s="11">
        <v>1</v>
      </c>
      <c r="J6504" s="11">
        <v>1</v>
      </c>
      <c r="K6504" s="11" t="s">
        <v>21</v>
      </c>
      <c r="L6504" s="7">
        <v>41560.148252314815</v>
      </c>
      <c r="M6504" s="12" t="s">
        <v>14696</v>
      </c>
      <c r="N6504" s="12" t="s">
        <v>14697</v>
      </c>
      <c r="O6504" s="10" t="str">
        <f>HYPERLINK("https://pbs.twimg.com/profile_images/467070942460407808/6mlUcaWL_normal.jpeg","View")</f>
        <v>View</v>
      </c>
      <c r="P6504" s="11"/>
    </row>
    <row r="6505" spans="1:16" ht="12.75" x14ac:dyDescent="0.35">
      <c r="A6505" s="7">
        <v>42484.092094907406</v>
      </c>
      <c r="B6505" s="8" t="str">
        <f>HYPERLINK("https://twitter.com/From_Apexhunter","@From_Apexhunter")</f>
        <v>@From_Apexhunter</v>
      </c>
      <c r="C6505" s="9" t="s">
        <v>14698</v>
      </c>
      <c r="D6505" s="9" t="s">
        <v>14699</v>
      </c>
      <c r="E6505" s="10" t="str">
        <f>HYPERLINK("https://twitter.com/From_Apexhunter/status/723975386976104450","723975386976104450")</f>
        <v>723975386976104450</v>
      </c>
      <c r="F6505" s="11" t="s">
        <v>114</v>
      </c>
      <c r="G6505" s="11">
        <v>102</v>
      </c>
      <c r="H6505" s="11">
        <v>275</v>
      </c>
      <c r="I6505" s="11">
        <v>0</v>
      </c>
      <c r="J6505" s="11">
        <v>0</v>
      </c>
      <c r="K6505" s="11" t="s">
        <v>21</v>
      </c>
      <c r="L6505" s="7">
        <v>40581.83966435185</v>
      </c>
      <c r="M6505" s="12" t="s">
        <v>3085</v>
      </c>
      <c r="N6505" s="12" t="s">
        <v>14700</v>
      </c>
      <c r="O6505" s="10" t="str">
        <f>HYPERLINK("https://pbs.twimg.com/profile_images/1734386362/IMG_1391_normal.JPG","View")</f>
        <v>View</v>
      </c>
      <c r="P6505" s="10" t="str">
        <f>HYPERLINK("http://ctrlq.org/maps/address/#30.39384764,-97.73132158","Map")</f>
        <v>Map</v>
      </c>
    </row>
    <row r="6506" spans="1:16" ht="12.75" x14ac:dyDescent="0.35">
      <c r="A6506" s="7">
        <v>42484.092303240745</v>
      </c>
      <c r="B6506" s="8" t="str">
        <f>HYPERLINK("https://twitter.com/Barksyfan","@Barksyfan")</f>
        <v>@Barksyfan</v>
      </c>
      <c r="C6506" s="9" t="s">
        <v>14701</v>
      </c>
      <c r="D6506" s="9" t="s">
        <v>14594</v>
      </c>
      <c r="E6506" s="10" t="str">
        <f>HYPERLINK("https://twitter.com/Barksyfan/status/723975461462638592","723975461462638592")</f>
        <v>723975461462638592</v>
      </c>
      <c r="F6506" s="11" t="s">
        <v>91</v>
      </c>
      <c r="G6506" s="11">
        <v>306</v>
      </c>
      <c r="H6506" s="11">
        <v>150</v>
      </c>
      <c r="I6506" s="11">
        <v>2</v>
      </c>
      <c r="J6506" s="11">
        <v>0</v>
      </c>
      <c r="K6506" s="11" t="s">
        <v>21</v>
      </c>
      <c r="L6506" s="7">
        <v>40866.49658564815</v>
      </c>
      <c r="M6506" s="12"/>
      <c r="N6506" s="12"/>
      <c r="O6506" s="10" t="str">
        <f>HYPERLINK("https://pbs.twimg.com/profile_images/476439198908825600/wfrkk5E1_normal.jpeg","View")</f>
        <v>View</v>
      </c>
      <c r="P6506" s="11"/>
    </row>
    <row r="6507" spans="1:16" ht="12.75" x14ac:dyDescent="0.35">
      <c r="A6507" s="7">
        <v>42484.09302083333</v>
      </c>
      <c r="B6507" s="8" t="str">
        <f>HYPERLINK("https://twitter.com/ErikDurr","@ErikDurr")</f>
        <v>@ErikDurr</v>
      </c>
      <c r="C6507" s="9" t="s">
        <v>8545</v>
      </c>
      <c r="D6507" s="9" t="s">
        <v>14702</v>
      </c>
      <c r="E6507" s="10" t="str">
        <f>HYPERLINK("https://twitter.com/ErikDurr/status/723975719903223808","723975719903223808")</f>
        <v>723975719903223808</v>
      </c>
      <c r="F6507" s="11" t="s">
        <v>114</v>
      </c>
      <c r="G6507" s="11">
        <v>132</v>
      </c>
      <c r="H6507" s="11">
        <v>297</v>
      </c>
      <c r="I6507" s="11">
        <v>0</v>
      </c>
      <c r="J6507" s="11">
        <v>0</v>
      </c>
      <c r="K6507" s="11" t="s">
        <v>21</v>
      </c>
      <c r="L6507" s="7">
        <v>40038.389884259261</v>
      </c>
      <c r="M6507" s="12" t="s">
        <v>8547</v>
      </c>
      <c r="N6507" s="12" t="s">
        <v>8548</v>
      </c>
      <c r="O6507" s="10" t="str">
        <f>HYPERLINK("https://pbs.twimg.com/profile_images/624226571474202624/LucRDb7k_normal.jpg","View")</f>
        <v>View</v>
      </c>
      <c r="P6507" s="11"/>
    </row>
    <row r="6508" spans="1:16" ht="12.75" x14ac:dyDescent="0.35">
      <c r="A6508" s="7">
        <v>42484.09306712963</v>
      </c>
      <c r="B6508" s="8" t="str">
        <f>HYPERLINK("https://twitter.com/StreetFoodUK","@StreetFoodUK")</f>
        <v>@StreetFoodUK</v>
      </c>
      <c r="C6508" s="9" t="s">
        <v>14703</v>
      </c>
      <c r="D6508" s="9" t="s">
        <v>14704</v>
      </c>
      <c r="E6508" s="10" t="str">
        <f>HYPERLINK("https://twitter.com/StreetFoodUK/status/723975736730763266","723975736730763266")</f>
        <v>723975736730763266</v>
      </c>
      <c r="F6508" s="11" t="s">
        <v>43</v>
      </c>
      <c r="G6508" s="11">
        <v>8768</v>
      </c>
      <c r="H6508" s="11">
        <v>8673</v>
      </c>
      <c r="I6508" s="11">
        <v>1</v>
      </c>
      <c r="J6508" s="11">
        <v>0</v>
      </c>
      <c r="K6508" s="11" t="s">
        <v>21</v>
      </c>
      <c r="L6508" s="7">
        <v>40868.620613425926</v>
      </c>
      <c r="M6508" s="12" t="s">
        <v>1397</v>
      </c>
      <c r="N6508" s="12" t="s">
        <v>14705</v>
      </c>
      <c r="O6508" s="10" t="str">
        <f>HYPERLINK("https://pbs.twimg.com/profile_images/705279619977469952/983oprAu_normal.jpg","View")</f>
        <v>View</v>
      </c>
      <c r="P6508" s="11"/>
    </row>
    <row r="6509" spans="1:16" ht="12.75" x14ac:dyDescent="0.35">
      <c r="A6509" s="7">
        <v>42484.093460648146</v>
      </c>
      <c r="B6509" s="8" t="str">
        <f>HYPERLINK("https://twitter.com/momma_rocker","@momma_rocker")</f>
        <v>@momma_rocker</v>
      </c>
      <c r="C6509" s="9" t="s">
        <v>14706</v>
      </c>
      <c r="D6509" s="9" t="s">
        <v>14707</v>
      </c>
      <c r="E6509" s="10" t="str">
        <f>HYPERLINK("https://twitter.com/momma_rocker/status/723975882608644096","723975882608644096")</f>
        <v>723975882608644096</v>
      </c>
      <c r="F6509" s="11" t="s">
        <v>20</v>
      </c>
      <c r="G6509" s="11">
        <v>3758</v>
      </c>
      <c r="H6509" s="11">
        <v>2400</v>
      </c>
      <c r="I6509" s="11">
        <v>1</v>
      </c>
      <c r="J6509" s="11">
        <v>0</v>
      </c>
      <c r="K6509" s="11" t="s">
        <v>21</v>
      </c>
      <c r="L6509" s="7">
        <v>41677.269918981481</v>
      </c>
      <c r="M6509" s="12" t="s">
        <v>12320</v>
      </c>
      <c r="N6509" s="12" t="s">
        <v>14708</v>
      </c>
      <c r="O6509" s="10" t="str">
        <f>HYPERLINK("https://pbs.twimg.com/profile_images/600477454831120384/fBVmrZou_normal.jpg","View")</f>
        <v>View</v>
      </c>
      <c r="P6509" s="11"/>
    </row>
    <row r="6510" spans="1:16" ht="12.75" x14ac:dyDescent="0.35">
      <c r="A6510" s="7">
        <v>42484.093831018516</v>
      </c>
      <c r="B6510" s="8" t="str">
        <f>HYPERLINK("https://twitter.com/StreetFoodUK","@StreetFoodUK")</f>
        <v>@StreetFoodUK</v>
      </c>
      <c r="C6510" s="9" t="s">
        <v>14703</v>
      </c>
      <c r="D6510" s="9" t="s">
        <v>14709</v>
      </c>
      <c r="E6510" s="10" t="str">
        <f>HYPERLINK("https://twitter.com/StreetFoodUK/status/723976014590840833","723976014590840833")</f>
        <v>723976014590840833</v>
      </c>
      <c r="F6510" s="11" t="s">
        <v>43</v>
      </c>
      <c r="G6510" s="11">
        <v>8768</v>
      </c>
      <c r="H6510" s="11">
        <v>8673</v>
      </c>
      <c r="I6510" s="11">
        <v>0</v>
      </c>
      <c r="J6510" s="11">
        <v>0</v>
      </c>
      <c r="K6510" s="11" t="s">
        <v>21</v>
      </c>
      <c r="L6510" s="7">
        <v>40868.620613425926</v>
      </c>
      <c r="M6510" s="12" t="s">
        <v>1397</v>
      </c>
      <c r="N6510" s="12" t="s">
        <v>14705</v>
      </c>
      <c r="O6510" s="10" t="str">
        <f>HYPERLINK("https://pbs.twimg.com/profile_images/705279619977469952/983oprAu_normal.jpg","View")</f>
        <v>View</v>
      </c>
      <c r="P6510" s="11"/>
    </row>
    <row r="6511" spans="1:16" ht="12.75" x14ac:dyDescent="0.35">
      <c r="A6511" s="7">
        <v>42484.093935185185</v>
      </c>
      <c r="B6511" s="8" t="str">
        <f>HYPERLINK("https://twitter.com/ErikDurr","@ErikDurr")</f>
        <v>@ErikDurr</v>
      </c>
      <c r="C6511" s="9" t="s">
        <v>8545</v>
      </c>
      <c r="D6511" s="9" t="s">
        <v>14710</v>
      </c>
      <c r="E6511" s="10" t="str">
        <f>HYPERLINK("https://twitter.com/ErikDurr/status/723976052104675329","723976052104675329")</f>
        <v>723976052104675329</v>
      </c>
      <c r="F6511" s="11" t="s">
        <v>114</v>
      </c>
      <c r="G6511" s="11">
        <v>132</v>
      </c>
      <c r="H6511" s="11">
        <v>297</v>
      </c>
      <c r="I6511" s="11">
        <v>0</v>
      </c>
      <c r="J6511" s="11">
        <v>0</v>
      </c>
      <c r="K6511" s="11" t="s">
        <v>21</v>
      </c>
      <c r="L6511" s="7">
        <v>40038.389884259261</v>
      </c>
      <c r="M6511" s="12" t="s">
        <v>8547</v>
      </c>
      <c r="N6511" s="12" t="s">
        <v>8548</v>
      </c>
      <c r="O6511" s="10" t="str">
        <f>HYPERLINK("https://pbs.twimg.com/profile_images/624226571474202624/LucRDb7k_normal.jpg","View")</f>
        <v>View</v>
      </c>
      <c r="P6511" s="11"/>
    </row>
    <row r="6512" spans="1:16" ht="12.75" x14ac:dyDescent="0.35">
      <c r="A6512" s="7">
        <v>42484.094039351854</v>
      </c>
      <c r="B6512" s="8" t="str">
        <f>HYPERLINK("https://twitter.com/damian_fanelli","@damian_fanelli")</f>
        <v>@damian_fanelli</v>
      </c>
      <c r="C6512" s="9" t="s">
        <v>14711</v>
      </c>
      <c r="D6512" s="9" t="s">
        <v>14518</v>
      </c>
      <c r="E6512" s="10" t="str">
        <f>HYPERLINK("https://twitter.com/damian_fanelli/status/723976090113478657","723976090113478657")</f>
        <v>723976090113478657</v>
      </c>
      <c r="F6512" s="11" t="s">
        <v>63</v>
      </c>
      <c r="G6512" s="11">
        <v>249</v>
      </c>
      <c r="H6512" s="11">
        <v>412</v>
      </c>
      <c r="I6512" s="11">
        <v>46</v>
      </c>
      <c r="J6512" s="11">
        <v>0</v>
      </c>
      <c r="K6512" s="11" t="s">
        <v>21</v>
      </c>
      <c r="L6512" s="7">
        <v>40778.220243055555</v>
      </c>
      <c r="M6512" s="12" t="s">
        <v>10671</v>
      </c>
      <c r="N6512" s="12" t="s">
        <v>14712</v>
      </c>
      <c r="O6512" s="10" t="str">
        <f>HYPERLINK("https://pbs.twimg.com/profile_images/472875847024513024/VGbooNKO_normal.jpeg","View")</f>
        <v>View</v>
      </c>
      <c r="P6512" s="11"/>
    </row>
    <row r="6513" spans="1:16" ht="12.75" x14ac:dyDescent="0.35">
      <c r="A6513" s="7">
        <v>42484.094039351854</v>
      </c>
      <c r="B6513" s="8" t="str">
        <f>HYPERLINK("https://twitter.com/Recta_Principal","@Recta_Principal")</f>
        <v>@Recta_Principal</v>
      </c>
      <c r="C6513" s="9" t="s">
        <v>14713</v>
      </c>
      <c r="D6513" s="9" t="s">
        <v>14518</v>
      </c>
      <c r="E6513" s="10" t="str">
        <f>HYPERLINK("https://twitter.com/Recta_Principal/status/723976090180575232","723976090180575232")</f>
        <v>723976090180575232</v>
      </c>
      <c r="F6513" s="11" t="s">
        <v>63</v>
      </c>
      <c r="G6513" s="11">
        <v>412</v>
      </c>
      <c r="H6513" s="11">
        <v>319</v>
      </c>
      <c r="I6513" s="11">
        <v>46</v>
      </c>
      <c r="J6513" s="11">
        <v>0</v>
      </c>
      <c r="K6513" s="11" t="s">
        <v>21</v>
      </c>
      <c r="L6513" s="7">
        <v>41715.154004629629</v>
      </c>
      <c r="M6513" s="12" t="s">
        <v>13993</v>
      </c>
      <c r="N6513" s="12" t="s">
        <v>14714</v>
      </c>
      <c r="O6513" s="10" t="str">
        <f>HYPERLINK("https://pbs.twimg.com/profile_images/445323548052058112/uxbQAp_w_normal.jpeg","View")</f>
        <v>View</v>
      </c>
      <c r="P6513" s="11"/>
    </row>
    <row r="6514" spans="1:16" ht="12.75" x14ac:dyDescent="0.35">
      <c r="A6514" s="7">
        <v>42484.094085648147</v>
      </c>
      <c r="B6514" s="8" t="str">
        <f>HYPERLINK("https://twitter.com/CastrolArg","@CastrolArg")</f>
        <v>@CastrolArg</v>
      </c>
      <c r="C6514" s="9" t="s">
        <v>13966</v>
      </c>
      <c r="D6514" s="9" t="s">
        <v>14715</v>
      </c>
      <c r="E6514" s="10" t="str">
        <f>HYPERLINK("https://twitter.com/CastrolArg/status/723976106399948800","723976106399948800")</f>
        <v>723976106399948800</v>
      </c>
      <c r="F6514" s="11" t="s">
        <v>43</v>
      </c>
      <c r="G6514" s="11">
        <v>996</v>
      </c>
      <c r="H6514" s="11">
        <v>178</v>
      </c>
      <c r="I6514" s="11">
        <v>0</v>
      </c>
      <c r="J6514" s="11">
        <v>0</v>
      </c>
      <c r="K6514" s="11" t="s">
        <v>21</v>
      </c>
      <c r="L6514" s="7">
        <v>40948.781759259262</v>
      </c>
      <c r="M6514" s="12" t="s">
        <v>866</v>
      </c>
      <c r="N6514" s="12" t="s">
        <v>13968</v>
      </c>
      <c r="O6514" s="10" t="str">
        <f>HYPERLINK("https://pbs.twimg.com/profile_images/558308052848238592/7sNWS5Zp_normal.png","View")</f>
        <v>View</v>
      </c>
      <c r="P6514" s="11"/>
    </row>
    <row r="6515" spans="1:16" ht="12.75" x14ac:dyDescent="0.35">
      <c r="A6515" s="7">
        <v>42484.094212962962</v>
      </c>
      <c r="B6515" s="8" t="str">
        <f>HYPERLINK("https://twitter.com/jukij","@jukij")</f>
        <v>@jukij</v>
      </c>
      <c r="C6515" s="9" t="s">
        <v>14716</v>
      </c>
      <c r="D6515" s="9" t="s">
        <v>14717</v>
      </c>
      <c r="E6515" s="10" t="str">
        <f>HYPERLINK("https://twitter.com/jukij/status/723976152214306816","723976152214306816")</f>
        <v>723976152214306816</v>
      </c>
      <c r="F6515" s="11" t="s">
        <v>20</v>
      </c>
      <c r="G6515" s="11">
        <v>55</v>
      </c>
      <c r="H6515" s="11">
        <v>84</v>
      </c>
      <c r="I6515" s="11">
        <v>0</v>
      </c>
      <c r="J6515" s="11">
        <v>0</v>
      </c>
      <c r="K6515" s="11" t="s">
        <v>21</v>
      </c>
      <c r="L6515" s="7">
        <v>40624.808263888888</v>
      </c>
      <c r="M6515" s="12" t="s">
        <v>14718</v>
      </c>
      <c r="N6515" s="12"/>
      <c r="O6515" s="10" t="str">
        <f>HYPERLINK("https://pbs.twimg.com/profile_images/1319657984/portrait_k_hler_041222_normal.jpg","View")</f>
        <v>View</v>
      </c>
      <c r="P6515" s="11"/>
    </row>
    <row r="6516" spans="1:16" ht="12.75" x14ac:dyDescent="0.35">
      <c r="A6516" s="7">
        <v>42484.094594907408</v>
      </c>
      <c r="B6516" s="8" t="str">
        <f>HYPERLINK("https://twitter.com/pa_bu_ro","@pa_bu_ro")</f>
        <v>@pa_bu_ro</v>
      </c>
      <c r="C6516" s="9" t="s">
        <v>14719</v>
      </c>
      <c r="D6516" s="9" t="s">
        <v>14720</v>
      </c>
      <c r="E6516" s="10" t="str">
        <f>HYPERLINK("https://twitter.com/pa_bu_ro/status/723976291792371712","723976291792371712")</f>
        <v>723976291792371712</v>
      </c>
      <c r="F6516" s="11" t="s">
        <v>63</v>
      </c>
      <c r="G6516" s="11">
        <v>682</v>
      </c>
      <c r="H6516" s="11">
        <v>1858</v>
      </c>
      <c r="I6516" s="11">
        <v>1</v>
      </c>
      <c r="J6516" s="11">
        <v>0</v>
      </c>
      <c r="K6516" s="11" t="s">
        <v>21</v>
      </c>
      <c r="L6516" s="7">
        <v>40066.955312500002</v>
      </c>
      <c r="M6516" s="12" t="s">
        <v>14721</v>
      </c>
      <c r="N6516" s="12" t="s">
        <v>14722</v>
      </c>
      <c r="O6516" s="10" t="str">
        <f>HYPERLINK("https://pbs.twimg.com/profile_images/713946789037142020/KTGceYeg_normal.jpg","View")</f>
        <v>View</v>
      </c>
      <c r="P6516" s="11"/>
    </row>
    <row r="6517" spans="1:16" ht="12.75" x14ac:dyDescent="0.35">
      <c r="A6517" s="7">
        <v>42484.095081018517</v>
      </c>
      <c r="B6517" s="8" t="str">
        <f>HYPERLINK("https://twitter.com/guido_ciocca","@guido_ciocca")</f>
        <v>@guido_ciocca</v>
      </c>
      <c r="C6517" s="9" t="s">
        <v>4132</v>
      </c>
      <c r="D6517" s="9" t="s">
        <v>14518</v>
      </c>
      <c r="E6517" s="10" t="str">
        <f>HYPERLINK("https://twitter.com/guido_ciocca/status/723976469937004544","723976469937004544")</f>
        <v>723976469937004544</v>
      </c>
      <c r="F6517" s="11" t="s">
        <v>20</v>
      </c>
      <c r="G6517" s="11">
        <v>246</v>
      </c>
      <c r="H6517" s="11">
        <v>117</v>
      </c>
      <c r="I6517" s="11">
        <v>50</v>
      </c>
      <c r="J6517" s="11">
        <v>0</v>
      </c>
      <c r="K6517" s="11" t="s">
        <v>21</v>
      </c>
      <c r="L6517" s="7">
        <v>40832.279942129629</v>
      </c>
      <c r="M6517" s="12" t="s">
        <v>866</v>
      </c>
      <c r="N6517" s="12" t="s">
        <v>14723</v>
      </c>
      <c r="O6517" s="10" t="str">
        <f>HYPERLINK("https://pbs.twimg.com/profile_images/705219521892712451/bEsxgzn3_normal.jpg","View")</f>
        <v>View</v>
      </c>
      <c r="P6517" s="11"/>
    </row>
    <row r="6518" spans="1:16" ht="12.75" x14ac:dyDescent="0.35">
      <c r="A6518" s="7">
        <v>42484.095312500001</v>
      </c>
      <c r="B6518" s="8" t="str">
        <f t="shared" ref="B6518:B6519" si="575">HYPERLINK("https://twitter.com/TheLovebusWedCo","@TheLovebusWedCo")</f>
        <v>@TheLovebusWedCo</v>
      </c>
      <c r="C6518" s="9" t="s">
        <v>14694</v>
      </c>
      <c r="D6518" s="9" t="s">
        <v>14724</v>
      </c>
      <c r="E6518" s="10" t="str">
        <f>HYPERLINK("https://twitter.com/TheLovebusWedCo/status/723976552493535232","723976552493535232")</f>
        <v>723976552493535232</v>
      </c>
      <c r="F6518" s="11" t="s">
        <v>20</v>
      </c>
      <c r="G6518" s="11">
        <v>3564</v>
      </c>
      <c r="H6518" s="11">
        <v>2764</v>
      </c>
      <c r="I6518" s="11">
        <v>1</v>
      </c>
      <c r="J6518" s="11">
        <v>0</v>
      </c>
      <c r="K6518" s="11" t="s">
        <v>21</v>
      </c>
      <c r="L6518" s="7">
        <v>41560.148252314815</v>
      </c>
      <c r="M6518" s="12" t="s">
        <v>14696</v>
      </c>
      <c r="N6518" s="12" t="s">
        <v>14697</v>
      </c>
      <c r="O6518" s="10" t="str">
        <f t="shared" ref="O6518:O6519" si="576">HYPERLINK("https://pbs.twimg.com/profile_images/467070942460407808/6mlUcaWL_normal.jpeg","View")</f>
        <v>View</v>
      </c>
      <c r="P6518" s="11"/>
    </row>
    <row r="6519" spans="1:16" ht="12.75" x14ac:dyDescent="0.35">
      <c r="A6519" s="7">
        <v>42484.095405092594</v>
      </c>
      <c r="B6519" s="8" t="str">
        <f t="shared" si="575"/>
        <v>@TheLovebusWedCo</v>
      </c>
      <c r="C6519" s="9" t="s">
        <v>14694</v>
      </c>
      <c r="D6519" s="9" t="s">
        <v>14725</v>
      </c>
      <c r="E6519" s="10" t="str">
        <f>HYPERLINK("https://twitter.com/TheLovebusWedCo/status/723976586974924804","723976586974924804")</f>
        <v>723976586974924804</v>
      </c>
      <c r="F6519" s="11" t="s">
        <v>20</v>
      </c>
      <c r="G6519" s="11">
        <v>3564</v>
      </c>
      <c r="H6519" s="11">
        <v>2764</v>
      </c>
      <c r="I6519" s="11">
        <v>3</v>
      </c>
      <c r="J6519" s="11">
        <v>1</v>
      </c>
      <c r="K6519" s="11" t="s">
        <v>21</v>
      </c>
      <c r="L6519" s="7">
        <v>41560.148252314815</v>
      </c>
      <c r="M6519" s="12" t="s">
        <v>14696</v>
      </c>
      <c r="N6519" s="12" t="s">
        <v>14697</v>
      </c>
      <c r="O6519" s="10" t="str">
        <f t="shared" si="576"/>
        <v>View</v>
      </c>
      <c r="P6519" s="11"/>
    </row>
    <row r="6520" spans="1:16" ht="12.75" x14ac:dyDescent="0.35">
      <c r="A6520" s="7">
        <v>42484.095671296294</v>
      </c>
      <c r="B6520" s="8" t="str">
        <f>HYPERLINK("https://twitter.com/manchester_app","@manchester_app")</f>
        <v>@manchester_app</v>
      </c>
      <c r="C6520" s="9" t="s">
        <v>14726</v>
      </c>
      <c r="D6520" s="9" t="s">
        <v>14727</v>
      </c>
      <c r="E6520" s="10" t="str">
        <f>HYPERLINK("https://twitter.com/manchester_app/status/723976680218472448","723976680218472448")</f>
        <v>723976680218472448</v>
      </c>
      <c r="F6520" s="11" t="s">
        <v>14726</v>
      </c>
      <c r="G6520" s="11">
        <v>2227</v>
      </c>
      <c r="H6520" s="11">
        <v>100</v>
      </c>
      <c r="I6520" s="11">
        <v>3</v>
      </c>
      <c r="J6520" s="11">
        <v>0</v>
      </c>
      <c r="K6520" s="11" t="s">
        <v>21</v>
      </c>
      <c r="L6520" s="7">
        <v>42349.975960648153</v>
      </c>
      <c r="M6520" s="12" t="s">
        <v>2469</v>
      </c>
      <c r="N6520" s="12" t="s">
        <v>14728</v>
      </c>
      <c r="O6520" s="10" t="str">
        <f>HYPERLINK("https://pbs.twimg.com/profile_images/676341218473697280/YXlUP_co_normal.png","View")</f>
        <v>View</v>
      </c>
      <c r="P6520" s="11"/>
    </row>
    <row r="6521" spans="1:16" ht="12.75" x14ac:dyDescent="0.35">
      <c r="A6521" s="7">
        <v>42484.095833333333</v>
      </c>
      <c r="B6521" s="8" t="str">
        <f>HYPERLINK("https://twitter.com/tamara_dumas","@tamara_dumas")</f>
        <v>@tamara_dumas</v>
      </c>
      <c r="C6521" s="9" t="s">
        <v>14729</v>
      </c>
      <c r="D6521" s="9" t="s">
        <v>14730</v>
      </c>
      <c r="E6521" s="10" t="str">
        <f>HYPERLINK("https://twitter.com/tamara_dumas/status/723976741581148161","723976741581148161")</f>
        <v>723976741581148161</v>
      </c>
      <c r="F6521" s="11" t="s">
        <v>1838</v>
      </c>
      <c r="G6521" s="11">
        <v>662</v>
      </c>
      <c r="H6521" s="11">
        <v>466</v>
      </c>
      <c r="I6521" s="11">
        <v>1</v>
      </c>
      <c r="J6521" s="11">
        <v>0</v>
      </c>
      <c r="K6521" s="11" t="s">
        <v>21</v>
      </c>
      <c r="L6521" s="7">
        <v>41960.684085648143</v>
      </c>
      <c r="M6521" s="12" t="s">
        <v>3280</v>
      </c>
      <c r="N6521" s="12" t="s">
        <v>14731</v>
      </c>
      <c r="O6521" s="10" t="str">
        <f>HYPERLINK("https://pbs.twimg.com/profile_images/711584559029227522/5-2TZ7Ao_normal.jpg","View")</f>
        <v>View</v>
      </c>
      <c r="P6521" s="11"/>
    </row>
    <row r="6522" spans="1:16" ht="12.75" x14ac:dyDescent="0.35">
      <c r="A6522" s="7">
        <v>42484.096018518518</v>
      </c>
      <c r="B6522" s="8" t="str">
        <f>HYPERLINK("https://twitter.com/Rustyandroses","@Rustyandroses")</f>
        <v>@Rustyandroses</v>
      </c>
      <c r="C6522" s="9" t="s">
        <v>14732</v>
      </c>
      <c r="D6522" s="9" t="s">
        <v>14733</v>
      </c>
      <c r="E6522" s="10" t="str">
        <f>HYPERLINK("https://twitter.com/Rustyandroses/status/723976809033945089","723976809033945089")</f>
        <v>723976809033945089</v>
      </c>
      <c r="F6522" s="11" t="s">
        <v>20</v>
      </c>
      <c r="G6522" s="11">
        <v>289</v>
      </c>
      <c r="H6522" s="11">
        <v>376</v>
      </c>
      <c r="I6522" s="11">
        <v>0</v>
      </c>
      <c r="J6522" s="11">
        <v>0</v>
      </c>
      <c r="K6522" s="11" t="s">
        <v>21</v>
      </c>
      <c r="L6522" s="7">
        <v>42257.963761574079</v>
      </c>
      <c r="M6522" s="12" t="s">
        <v>14734</v>
      </c>
      <c r="N6522" s="12" t="s">
        <v>14735</v>
      </c>
      <c r="O6522" s="10" t="str">
        <f>HYPERLINK("https://pbs.twimg.com/profile_images/667831305875378177/4ZrgN1Qw_normal.jpg","View")</f>
        <v>View</v>
      </c>
      <c r="P6522" s="11"/>
    </row>
    <row r="6523" spans="1:16" ht="12.75" x14ac:dyDescent="0.35">
      <c r="A6523" s="7">
        <v>42484.09652777778</v>
      </c>
      <c r="B6523" s="8" t="str">
        <f>HYPERLINK("https://twitter.com/tamara_dumas","@tamara_dumas")</f>
        <v>@tamara_dumas</v>
      </c>
      <c r="C6523" s="9" t="s">
        <v>14729</v>
      </c>
      <c r="D6523" s="9" t="s">
        <v>14736</v>
      </c>
      <c r="E6523" s="10" t="str">
        <f>HYPERLINK("https://twitter.com/tamara_dumas/status/723976991104503808","723976991104503808")</f>
        <v>723976991104503808</v>
      </c>
      <c r="F6523" s="11" t="s">
        <v>1838</v>
      </c>
      <c r="G6523" s="11">
        <v>662</v>
      </c>
      <c r="H6523" s="11">
        <v>466</v>
      </c>
      <c r="I6523" s="11">
        <v>1</v>
      </c>
      <c r="J6523" s="11">
        <v>0</v>
      </c>
      <c r="K6523" s="11" t="s">
        <v>21</v>
      </c>
      <c r="L6523" s="7">
        <v>41960.684085648143</v>
      </c>
      <c r="M6523" s="12" t="s">
        <v>3280</v>
      </c>
      <c r="N6523" s="12" t="s">
        <v>14731</v>
      </c>
      <c r="O6523" s="10" t="str">
        <f>HYPERLINK("https://pbs.twimg.com/profile_images/711584559029227522/5-2TZ7Ao_normal.jpg","View")</f>
        <v>View</v>
      </c>
      <c r="P6523" s="11"/>
    </row>
    <row r="6524" spans="1:16" ht="12.75" x14ac:dyDescent="0.35">
      <c r="A6524" s="7">
        <v>42484.097025462965</v>
      </c>
      <c r="B6524" s="8" t="str">
        <f>HYPERLINK("https://twitter.com/LoveUmbrellas","@LoveUmbrellas")</f>
        <v>@LoveUmbrellas</v>
      </c>
      <c r="C6524" s="9" t="s">
        <v>14737</v>
      </c>
      <c r="D6524" s="9" t="s">
        <v>14727</v>
      </c>
      <c r="E6524" s="10" t="str">
        <f>HYPERLINK("https://twitter.com/LoveUmbrellas/status/723977171602149377","723977171602149377")</f>
        <v>723977171602149377</v>
      </c>
      <c r="F6524" s="11" t="s">
        <v>20</v>
      </c>
      <c r="G6524" s="11">
        <v>14797</v>
      </c>
      <c r="H6524" s="11">
        <v>4501</v>
      </c>
      <c r="I6524" s="11">
        <v>3</v>
      </c>
      <c r="J6524" s="11">
        <v>0</v>
      </c>
      <c r="K6524" s="11" t="s">
        <v>21</v>
      </c>
      <c r="L6524" s="7">
        <v>40707.784363425926</v>
      </c>
      <c r="M6524" s="12" t="s">
        <v>14738</v>
      </c>
      <c r="N6524" s="12" t="s">
        <v>14739</v>
      </c>
      <c r="O6524" s="10" t="str">
        <f>HYPERLINK("https://pbs.twimg.com/profile_images/501668076400545793/oZNlobyg_normal.jpeg","View")</f>
        <v>View</v>
      </c>
      <c r="P6524" s="11"/>
    </row>
    <row r="6525" spans="1:16" ht="12.75" x14ac:dyDescent="0.35">
      <c r="A6525" s="7">
        <v>42484.097303240742</v>
      </c>
      <c r="B6525" s="8" t="str">
        <f>HYPERLINK("https://twitter.com/VWCamperSales","@VWCamperSales")</f>
        <v>@VWCamperSales</v>
      </c>
      <c r="C6525" s="9" t="s">
        <v>216</v>
      </c>
      <c r="D6525" s="9" t="s">
        <v>14740</v>
      </c>
      <c r="E6525" s="10" t="str">
        <f>HYPERLINK("https://twitter.com/VWCamperSales/status/723977274060496896","723977274060496896")</f>
        <v>723977274060496896</v>
      </c>
      <c r="F6525" s="10" t="s">
        <v>124</v>
      </c>
      <c r="G6525" s="11">
        <v>622</v>
      </c>
      <c r="H6525" s="11">
        <v>580</v>
      </c>
      <c r="I6525" s="11">
        <v>0</v>
      </c>
      <c r="J6525" s="11">
        <v>0</v>
      </c>
      <c r="K6525" s="11" t="s">
        <v>21</v>
      </c>
      <c r="L6525" s="7">
        <v>42215.98809027778</v>
      </c>
      <c r="M6525" s="12" t="s">
        <v>129</v>
      </c>
      <c r="N6525" s="12" t="s">
        <v>218</v>
      </c>
      <c r="O6525" s="10" t="str">
        <f>HYPERLINK("https://pbs.twimg.com/profile_images/627949001179037696/skEBkS05_normal.jpg","View")</f>
        <v>View</v>
      </c>
      <c r="P6525" s="11"/>
    </row>
    <row r="6526" spans="1:16" ht="12.75" x14ac:dyDescent="0.35">
      <c r="A6526" s="7">
        <v>42484.097858796296</v>
      </c>
      <c r="B6526" s="8" t="str">
        <f>HYPERLINK("https://twitter.com/ALBADERTSCHER","@ALBADERTSCHER")</f>
        <v>@ALBADERTSCHER</v>
      </c>
      <c r="C6526" s="9" t="s">
        <v>14741</v>
      </c>
      <c r="D6526" s="9" t="s">
        <v>14742</v>
      </c>
      <c r="E6526" s="10" t="str">
        <f>HYPERLINK("https://twitter.com/ALBADERTSCHER/status/723977472883200000","723977472883200000")</f>
        <v>723977472883200000</v>
      </c>
      <c r="F6526" s="11" t="s">
        <v>43</v>
      </c>
      <c r="G6526" s="11">
        <v>1193</v>
      </c>
      <c r="H6526" s="11">
        <v>3397</v>
      </c>
      <c r="I6526" s="11">
        <v>0</v>
      </c>
      <c r="J6526" s="11">
        <v>0</v>
      </c>
      <c r="K6526" s="11" t="s">
        <v>21</v>
      </c>
      <c r="L6526" s="7">
        <v>41621.490578703706</v>
      </c>
      <c r="M6526" s="12"/>
      <c r="N6526" s="12" t="s">
        <v>14743</v>
      </c>
      <c r="O6526" s="10" t="str">
        <f>HYPERLINK("https://pbs.twimg.com/profile_images/549908720063234051/r3Mc9VAA_normal.jpeg","View")</f>
        <v>View</v>
      </c>
      <c r="P6526" s="11"/>
    </row>
    <row r="6527" spans="1:16" ht="12.75" x14ac:dyDescent="0.35">
      <c r="A6527" s="7">
        <v>42484.100972222222</v>
      </c>
      <c r="B6527" s="8" t="str">
        <f>HYPERLINK("https://twitter.com/maxrace","@maxrace")</f>
        <v>@maxrace</v>
      </c>
      <c r="C6527" s="9" t="s">
        <v>14744</v>
      </c>
      <c r="D6527" s="9" t="s">
        <v>14518</v>
      </c>
      <c r="E6527" s="10" t="str">
        <f>HYPERLINK("https://twitter.com/maxrace/status/723978604477059072","723978604477059072")</f>
        <v>723978604477059072</v>
      </c>
      <c r="F6527" s="11" t="s">
        <v>48</v>
      </c>
      <c r="G6527" s="11">
        <v>197</v>
      </c>
      <c r="H6527" s="11">
        <v>627</v>
      </c>
      <c r="I6527" s="11">
        <v>50</v>
      </c>
      <c r="J6527" s="11">
        <v>0</v>
      </c>
      <c r="K6527" s="11" t="s">
        <v>21</v>
      </c>
      <c r="L6527" s="7">
        <v>40122.7971412037</v>
      </c>
      <c r="M6527" s="12" t="s">
        <v>12294</v>
      </c>
      <c r="N6527" s="12"/>
      <c r="O6527" s="10" t="str">
        <f>HYPERLINK("https://pbs.twimg.com/profile_images/567734231561166849/UpmaHk-K_normal.jpeg","View")</f>
        <v>View</v>
      </c>
      <c r="P6527" s="11"/>
    </row>
    <row r="6528" spans="1:16" ht="12.75" x14ac:dyDescent="0.35">
      <c r="A6528" s="7">
        <v>42484.102037037039</v>
      </c>
      <c r="B6528" s="8" t="str">
        <f t="shared" ref="B6528:B6530" si="577">HYPERLINK("https://twitter.com/VolkswagenPost","@VolkswagenPost")</f>
        <v>@VolkswagenPost</v>
      </c>
      <c r="C6528" s="9" t="s">
        <v>321</v>
      </c>
      <c r="D6528" s="9" t="s">
        <v>14745</v>
      </c>
      <c r="E6528" s="10" t="str">
        <f>HYPERLINK("https://twitter.com/VolkswagenPost/status/723978988335427585","723978988335427585")</f>
        <v>723978988335427585</v>
      </c>
      <c r="F6528" s="11" t="s">
        <v>34</v>
      </c>
      <c r="G6528" s="11">
        <v>570</v>
      </c>
      <c r="H6528" s="11">
        <v>446</v>
      </c>
      <c r="I6528" s="11">
        <v>0</v>
      </c>
      <c r="J6528" s="11">
        <v>0</v>
      </c>
      <c r="K6528" s="11" t="s">
        <v>21</v>
      </c>
      <c r="L6528" s="7">
        <v>41940.618379629632</v>
      </c>
      <c r="M6528" s="12"/>
      <c r="N6528" s="12"/>
      <c r="O6528" s="10" t="str">
        <f t="shared" ref="O6528:O6530" si="578">HYPERLINK("https://pbs.twimg.com/profile_images/530071272881803264/a_jcCmPZ_normal.png","View")</f>
        <v>View</v>
      </c>
      <c r="P6528" s="11"/>
    </row>
    <row r="6529" spans="1:16" ht="12.75" x14ac:dyDescent="0.35">
      <c r="A6529" s="7">
        <v>42484.102037037039</v>
      </c>
      <c r="B6529" s="8" t="str">
        <f t="shared" si="577"/>
        <v>@VolkswagenPost</v>
      </c>
      <c r="C6529" s="9" t="s">
        <v>321</v>
      </c>
      <c r="D6529" s="9" t="s">
        <v>14746</v>
      </c>
      <c r="E6529" s="10" t="str">
        <f>HYPERLINK("https://twitter.com/VolkswagenPost/status/723978989224660995","723978989224660995")</f>
        <v>723978989224660995</v>
      </c>
      <c r="F6529" s="11" t="s">
        <v>34</v>
      </c>
      <c r="G6529" s="11">
        <v>570</v>
      </c>
      <c r="H6529" s="11">
        <v>446</v>
      </c>
      <c r="I6529" s="11">
        <v>0</v>
      </c>
      <c r="J6529" s="11">
        <v>0</v>
      </c>
      <c r="K6529" s="11" t="s">
        <v>21</v>
      </c>
      <c r="L6529" s="7">
        <v>41940.618379629632</v>
      </c>
      <c r="M6529" s="12"/>
      <c r="N6529" s="12"/>
      <c r="O6529" s="10" t="str">
        <f t="shared" si="578"/>
        <v>View</v>
      </c>
      <c r="P6529" s="11"/>
    </row>
    <row r="6530" spans="1:16" ht="12.75" x14ac:dyDescent="0.35">
      <c r="A6530" s="7">
        <v>42484.102037037039</v>
      </c>
      <c r="B6530" s="8" t="str">
        <f t="shared" si="577"/>
        <v>@VolkswagenPost</v>
      </c>
      <c r="C6530" s="9" t="s">
        <v>321</v>
      </c>
      <c r="D6530" s="9" t="s">
        <v>14747</v>
      </c>
      <c r="E6530" s="10" t="str">
        <f>HYPERLINK("https://twitter.com/VolkswagenPost/status/723978990281576448","723978990281576448")</f>
        <v>723978990281576448</v>
      </c>
      <c r="F6530" s="11" t="s">
        <v>34</v>
      </c>
      <c r="G6530" s="11">
        <v>570</v>
      </c>
      <c r="H6530" s="11">
        <v>446</v>
      </c>
      <c r="I6530" s="11">
        <v>0</v>
      </c>
      <c r="J6530" s="11">
        <v>0</v>
      </c>
      <c r="K6530" s="11" t="s">
        <v>21</v>
      </c>
      <c r="L6530" s="7">
        <v>41940.618379629632</v>
      </c>
      <c r="M6530" s="12"/>
      <c r="N6530" s="12"/>
      <c r="O6530" s="10" t="str">
        <f t="shared" si="578"/>
        <v>View</v>
      </c>
      <c r="P6530" s="11"/>
    </row>
    <row r="6531" spans="1:16" ht="12.75" x14ac:dyDescent="0.35">
      <c r="A6531" s="7">
        <v>42484.10224537037</v>
      </c>
      <c r="B6531" s="8" t="str">
        <f>HYPERLINK("https://twitter.com/ALBADERTSCHER","@ALBADERTSCHER")</f>
        <v>@ALBADERTSCHER</v>
      </c>
      <c r="C6531" s="9" t="s">
        <v>14741</v>
      </c>
      <c r="D6531" s="9" t="s">
        <v>14748</v>
      </c>
      <c r="E6531" s="10" t="str">
        <f>HYPERLINK("https://twitter.com/ALBADERTSCHER/status/723979065598840833","723979065598840833")</f>
        <v>723979065598840833</v>
      </c>
      <c r="F6531" s="11" t="s">
        <v>43</v>
      </c>
      <c r="G6531" s="11">
        <v>1193</v>
      </c>
      <c r="H6531" s="11">
        <v>3397</v>
      </c>
      <c r="I6531" s="11">
        <v>0</v>
      </c>
      <c r="J6531" s="11">
        <v>0</v>
      </c>
      <c r="K6531" s="11" t="s">
        <v>21</v>
      </c>
      <c r="L6531" s="7">
        <v>41621.490578703706</v>
      </c>
      <c r="M6531" s="12"/>
      <c r="N6531" s="12" t="s">
        <v>14743</v>
      </c>
      <c r="O6531" s="10" t="str">
        <f>HYPERLINK("https://pbs.twimg.com/profile_images/549908720063234051/r3Mc9VAA_normal.jpeg","View")</f>
        <v>View</v>
      </c>
      <c r="P6531" s="11"/>
    </row>
    <row r="6532" spans="1:16" ht="12.75" x14ac:dyDescent="0.35">
      <c r="A6532" s="7">
        <v>42484.103472222225</v>
      </c>
      <c r="B6532" s="8" t="str">
        <f>HYPERLINK("https://twitter.com/PokerAlho46","@PokerAlho46")</f>
        <v>@PokerAlho46</v>
      </c>
      <c r="C6532" s="9" t="s">
        <v>14749</v>
      </c>
      <c r="D6532" s="9" t="s">
        <v>14750</v>
      </c>
      <c r="E6532" s="10" t="str">
        <f>HYPERLINK("https://twitter.com/PokerAlho46/status/723979507414249472","723979507414249472")</f>
        <v>723979507414249472</v>
      </c>
      <c r="F6532" s="11" t="s">
        <v>114</v>
      </c>
      <c r="G6532" s="11">
        <v>4362</v>
      </c>
      <c r="H6532" s="11">
        <v>816</v>
      </c>
      <c r="I6532" s="11">
        <v>0</v>
      </c>
      <c r="J6532" s="11">
        <v>0</v>
      </c>
      <c r="K6532" s="11" t="s">
        <v>21</v>
      </c>
      <c r="L6532" s="7">
        <v>40359.787870370368</v>
      </c>
      <c r="M6532" s="12" t="s">
        <v>14751</v>
      </c>
      <c r="N6532" s="12" t="s">
        <v>14752</v>
      </c>
      <c r="O6532" s="10" t="str">
        <f>HYPERLINK("https://pbs.twimg.com/profile_images/711929912421171201/7A3MicSM_normal.jpg","View")</f>
        <v>View</v>
      </c>
      <c r="P6532" s="11"/>
    </row>
    <row r="6533" spans="1:16" ht="12.75" x14ac:dyDescent="0.35">
      <c r="A6533" s="7">
        <v>42484.103622685187</v>
      </c>
      <c r="B6533" s="8" t="str">
        <f>HYPERLINK("https://twitter.com/kagayaki_2012","@kagayaki_2012")</f>
        <v>@kagayaki_2012</v>
      </c>
      <c r="C6533" s="9" t="s">
        <v>14753</v>
      </c>
      <c r="D6533" s="9" t="s">
        <v>14518</v>
      </c>
      <c r="E6533" s="10" t="str">
        <f>HYPERLINK("https://twitter.com/kagayaki_2012/status/723979563517104129","723979563517104129")</f>
        <v>723979563517104129</v>
      </c>
      <c r="F6533" s="11" t="s">
        <v>20</v>
      </c>
      <c r="G6533" s="11">
        <v>2185</v>
      </c>
      <c r="H6533" s="11">
        <v>2096</v>
      </c>
      <c r="I6533" s="11">
        <v>50</v>
      </c>
      <c r="J6533" s="11">
        <v>0</v>
      </c>
      <c r="K6533" s="11" t="s">
        <v>21</v>
      </c>
      <c r="L6533" s="7">
        <v>41484.309988425928</v>
      </c>
      <c r="M6533" s="12"/>
      <c r="N6533" s="12" t="s">
        <v>14754</v>
      </c>
      <c r="O6533" s="10" t="str">
        <f>HYPERLINK("https://pbs.twimg.com/profile_images/718813549254938625/xaXyb8Wb_normal.jpg","View")</f>
        <v>View</v>
      </c>
      <c r="P6533" s="11"/>
    </row>
    <row r="6534" spans="1:16" ht="12.75" x14ac:dyDescent="0.35">
      <c r="A6534" s="7">
        <v>42484.10423611111</v>
      </c>
      <c r="B6534" s="8" t="str">
        <f>HYPERLINK("https://twitter.com/NWFollowers","@NWFollowers")</f>
        <v>@NWFollowers</v>
      </c>
      <c r="C6534" s="9" t="s">
        <v>14755</v>
      </c>
      <c r="D6534" s="9" t="s">
        <v>14727</v>
      </c>
      <c r="E6534" s="10" t="str">
        <f>HYPERLINK("https://twitter.com/NWFollowers/status/723979784225718272","723979784225718272")</f>
        <v>723979784225718272</v>
      </c>
      <c r="F6534" s="11" t="s">
        <v>14756</v>
      </c>
      <c r="G6534" s="11">
        <v>3267</v>
      </c>
      <c r="H6534" s="11">
        <v>1859</v>
      </c>
      <c r="I6534" s="11">
        <v>3</v>
      </c>
      <c r="J6534" s="11">
        <v>0</v>
      </c>
      <c r="K6534" s="11" t="s">
        <v>21</v>
      </c>
      <c r="L6534" s="7">
        <v>40359.784930555557</v>
      </c>
      <c r="M6534" s="12" t="s">
        <v>14757</v>
      </c>
      <c r="N6534" s="12" t="s">
        <v>14758</v>
      </c>
      <c r="O6534" s="10" t="str">
        <f>HYPERLINK("https://pbs.twimg.com/profile_images/460807843591892992/tx13HquV_normal.jpeg","View")</f>
        <v>View</v>
      </c>
      <c r="P6534" s="11"/>
    </row>
    <row r="6535" spans="1:16" ht="12.75" x14ac:dyDescent="0.35">
      <c r="A6535" s="7">
        <v>42484.105162037042</v>
      </c>
      <c r="B6535" s="8" t="str">
        <f>HYPERLINK("https://twitter.com/SCWorks_media","@SCWorks_media")</f>
        <v>@SCWorks_media</v>
      </c>
      <c r="C6535" s="9" t="s">
        <v>14759</v>
      </c>
      <c r="D6535" s="9" t="s">
        <v>14760</v>
      </c>
      <c r="E6535" s="10" t="str">
        <f>HYPERLINK("https://twitter.com/SCWorks_media/status/723980120566980608","723980120566980608")</f>
        <v>723980120566980608</v>
      </c>
      <c r="F6535" s="11" t="s">
        <v>48</v>
      </c>
      <c r="G6535" s="11">
        <v>201</v>
      </c>
      <c r="H6535" s="11">
        <v>422</v>
      </c>
      <c r="I6535" s="11">
        <v>1</v>
      </c>
      <c r="J6535" s="11">
        <v>0</v>
      </c>
      <c r="K6535" s="11" t="s">
        <v>21</v>
      </c>
      <c r="L6535" s="7">
        <v>42374.138981481483</v>
      </c>
      <c r="M6535" s="12" t="s">
        <v>14761</v>
      </c>
      <c r="N6535" s="12" t="s">
        <v>14762</v>
      </c>
      <c r="O6535" s="10" t="str">
        <f>HYPERLINK("https://pbs.twimg.com/profile_images/684135416933515264/CjH20Wjp_normal.jpg","View")</f>
        <v>View</v>
      </c>
      <c r="P6535" s="11"/>
    </row>
    <row r="6536" spans="1:16" ht="12.75" x14ac:dyDescent="0.35">
      <c r="A6536" s="7">
        <v>42484.105810185181</v>
      </c>
      <c r="B6536" s="8" t="str">
        <f>HYPERLINK("https://twitter.com/4x4tirol","@4x4tirol")</f>
        <v>@4x4tirol</v>
      </c>
      <c r="C6536" s="9" t="s">
        <v>14763</v>
      </c>
      <c r="D6536" s="9" t="s">
        <v>14764</v>
      </c>
      <c r="E6536" s="10" t="str">
        <f>HYPERLINK("https://twitter.com/4x4tirol/status/723980356370739200","723980356370739200")</f>
        <v>723980356370739200</v>
      </c>
      <c r="F6536" s="11" t="s">
        <v>53</v>
      </c>
      <c r="G6536" s="11">
        <v>38</v>
      </c>
      <c r="H6536" s="11">
        <v>71</v>
      </c>
      <c r="I6536" s="11">
        <v>0</v>
      </c>
      <c r="J6536" s="11">
        <v>0</v>
      </c>
      <c r="K6536" s="11" t="s">
        <v>21</v>
      </c>
      <c r="L6536" s="7">
        <v>40275.107592592591</v>
      </c>
      <c r="M6536" s="12" t="s">
        <v>14765</v>
      </c>
      <c r="N6536" s="12" t="s">
        <v>14766</v>
      </c>
      <c r="O6536" s="10" t="str">
        <f>HYPERLINK("https://pbs.twimg.com/profile_images/378800000330646969/343958b5e040bb86446ac20869b5ed1a_normal.jpeg","View")</f>
        <v>View</v>
      </c>
      <c r="P6536" s="11"/>
    </row>
    <row r="6537" spans="1:16" ht="12.75" x14ac:dyDescent="0.35">
      <c r="A6537" s="7">
        <v>42484.105810185181</v>
      </c>
      <c r="B6537" s="8" t="str">
        <f>HYPERLINK("https://twitter.com/ALBADERTSCHER","@ALBADERTSCHER")</f>
        <v>@ALBADERTSCHER</v>
      </c>
      <c r="C6537" s="9" t="s">
        <v>14741</v>
      </c>
      <c r="D6537" s="9" t="s">
        <v>14767</v>
      </c>
      <c r="E6537" s="10" t="str">
        <f>HYPERLINK("https://twitter.com/ALBADERTSCHER/status/723980357264130049","723980357264130049")</f>
        <v>723980357264130049</v>
      </c>
      <c r="F6537" s="11" t="s">
        <v>43</v>
      </c>
      <c r="G6537" s="11">
        <v>1193</v>
      </c>
      <c r="H6537" s="11">
        <v>3397</v>
      </c>
      <c r="I6537" s="11">
        <v>0</v>
      </c>
      <c r="J6537" s="11">
        <v>0</v>
      </c>
      <c r="K6537" s="11" t="s">
        <v>21</v>
      </c>
      <c r="L6537" s="7">
        <v>41621.490578703706</v>
      </c>
      <c r="M6537" s="12"/>
      <c r="N6537" s="12" t="s">
        <v>14743</v>
      </c>
      <c r="O6537" s="10" t="str">
        <f>HYPERLINK("https://pbs.twimg.com/profile_images/549908720063234051/r3Mc9VAA_normal.jpeg","View")</f>
        <v>View</v>
      </c>
      <c r="P6537" s="11"/>
    </row>
    <row r="6538" spans="1:16" ht="12.75" x14ac:dyDescent="0.35">
      <c r="A6538" s="7">
        <v>42484.105891203704</v>
      </c>
      <c r="B6538" s="8" t="str">
        <f>HYPERLINK("https://twitter.com/Jeremyhughes20G","@Jeremyhughes20G")</f>
        <v>@Jeremyhughes20G</v>
      </c>
      <c r="C6538" s="9" t="s">
        <v>14768</v>
      </c>
      <c r="D6538" s="9" t="s">
        <v>14518</v>
      </c>
      <c r="E6538" s="10" t="str">
        <f>HYPERLINK("https://twitter.com/Jeremyhughes20G/status/723980386213076993","723980386213076993")</f>
        <v>723980386213076993</v>
      </c>
      <c r="F6538" s="11" t="s">
        <v>48</v>
      </c>
      <c r="G6538" s="11">
        <v>35</v>
      </c>
      <c r="H6538" s="11">
        <v>111</v>
      </c>
      <c r="I6538" s="11">
        <v>53</v>
      </c>
      <c r="J6538" s="11">
        <v>0</v>
      </c>
      <c r="K6538" s="11" t="s">
        <v>21</v>
      </c>
      <c r="L6538" s="7">
        <v>41434.502824074072</v>
      </c>
      <c r="M6538" s="12" t="s">
        <v>14769</v>
      </c>
      <c r="N6538" s="12" t="s">
        <v>14770</v>
      </c>
      <c r="O6538" s="10" t="str">
        <f>HYPERLINK("https://pbs.twimg.com/profile_images/723879215695728640/LAvTTSrs_normal.jpg","View")</f>
        <v>View</v>
      </c>
      <c r="P6538" s="11"/>
    </row>
    <row r="6539" spans="1:16" ht="12.75" x14ac:dyDescent="0.35">
      <c r="A6539" s="7">
        <v>42484.108842592592</v>
      </c>
      <c r="B6539" s="8" t="str">
        <f>HYPERLINK("https://twitter.com/vagmenhq","@vagmenhq")</f>
        <v>@vagmenhq</v>
      </c>
      <c r="C6539" s="9" t="s">
        <v>2492</v>
      </c>
      <c r="D6539" s="9" t="s">
        <v>14771</v>
      </c>
      <c r="E6539" s="10" t="str">
        <f>HYPERLINK("https://twitter.com/vagmenhq/status/723981454359834624","723981454359834624")</f>
        <v>723981454359834624</v>
      </c>
      <c r="F6539" s="11" t="s">
        <v>114</v>
      </c>
      <c r="G6539" s="11">
        <v>157</v>
      </c>
      <c r="H6539" s="11">
        <v>92</v>
      </c>
      <c r="I6539" s="11">
        <v>0</v>
      </c>
      <c r="J6539" s="11">
        <v>0</v>
      </c>
      <c r="K6539" s="11" t="s">
        <v>21</v>
      </c>
      <c r="L6539" s="7">
        <v>41401.814722222218</v>
      </c>
      <c r="M6539" s="12" t="s">
        <v>2494</v>
      </c>
      <c r="N6539" s="12" t="s">
        <v>2495</v>
      </c>
      <c r="O6539" s="10" t="str">
        <f>HYPERLINK("https://pbs.twimg.com/profile_images/446781974452371456/rqBZF-KN_normal.jpeg","View")</f>
        <v>View</v>
      </c>
      <c r="P6539" s="11"/>
    </row>
    <row r="6540" spans="1:16" ht="12.75" x14ac:dyDescent="0.35">
      <c r="A6540" s="7">
        <v>42484.109120370369</v>
      </c>
      <c r="B6540" s="8" t="str">
        <f>HYPERLINK("https://twitter.com/tatymontespr","@tatymontespr")</f>
        <v>@tatymontespr</v>
      </c>
      <c r="C6540" s="9" t="s">
        <v>5816</v>
      </c>
      <c r="D6540" s="9" t="s">
        <v>14772</v>
      </c>
      <c r="E6540" s="10" t="str">
        <f>HYPERLINK("https://twitter.com/tatymontespr/status/723981553928282112","723981553928282112")</f>
        <v>723981553928282112</v>
      </c>
      <c r="F6540" s="11" t="s">
        <v>43</v>
      </c>
      <c r="G6540" s="11">
        <v>224</v>
      </c>
      <c r="H6540" s="11">
        <v>153</v>
      </c>
      <c r="I6540" s="11">
        <v>0</v>
      </c>
      <c r="J6540" s="11">
        <v>0</v>
      </c>
      <c r="K6540" s="11" t="s">
        <v>21</v>
      </c>
      <c r="L6540" s="7">
        <v>40437.296666666669</v>
      </c>
      <c r="M6540" s="12" t="s">
        <v>5818</v>
      </c>
      <c r="N6540" s="12" t="s">
        <v>5819</v>
      </c>
      <c r="O6540" s="10" t="str">
        <f>HYPERLINK("https://pbs.twimg.com/profile_images/1625824638/1dfsf2_normal.jpg","View")</f>
        <v>View</v>
      </c>
      <c r="P6540" s="11"/>
    </row>
    <row r="6541" spans="1:16" ht="12.75" x14ac:dyDescent="0.35">
      <c r="A6541" s="7">
        <v>42484.109270833331</v>
      </c>
      <c r="B6541" s="8" t="str">
        <f>HYPERLINK("https://twitter.com/Eduardo_MejiaV","@Eduardo_MejiaV")</f>
        <v>@Eduardo_MejiaV</v>
      </c>
      <c r="C6541" s="9" t="s">
        <v>14773</v>
      </c>
      <c r="D6541" s="9" t="s">
        <v>14774</v>
      </c>
      <c r="E6541" s="10" t="str">
        <f>HYPERLINK("https://twitter.com/Eduardo_MejiaV/status/723981609872056320","723981609872056320")</f>
        <v>723981609872056320</v>
      </c>
      <c r="F6541" s="11" t="s">
        <v>68</v>
      </c>
      <c r="G6541" s="11">
        <v>151</v>
      </c>
      <c r="H6541" s="11">
        <v>5</v>
      </c>
      <c r="I6541" s="11">
        <v>0</v>
      </c>
      <c r="J6541" s="11">
        <v>0</v>
      </c>
      <c r="K6541" s="11" t="s">
        <v>21</v>
      </c>
      <c r="L6541" s="7">
        <v>41699.341296296298</v>
      </c>
      <c r="M6541" s="12" t="s">
        <v>968</v>
      </c>
      <c r="N6541" s="12" t="s">
        <v>14775</v>
      </c>
      <c r="O6541" s="10" t="str">
        <f>HYPERLINK("https://pbs.twimg.com/profile_images/522875096117960705/xnXKZRyO_normal.jpeg","View")</f>
        <v>View</v>
      </c>
      <c r="P6541" s="11"/>
    </row>
    <row r="6542" spans="1:16" ht="12.75" x14ac:dyDescent="0.35">
      <c r="A6542" s="7">
        <v>42484.109513888892</v>
      </c>
      <c r="B6542" s="8" t="str">
        <f>HYPERLINK("https://twitter.com/vagmenhq","@vagmenhq")</f>
        <v>@vagmenhq</v>
      </c>
      <c r="C6542" s="9" t="s">
        <v>2492</v>
      </c>
      <c r="D6542" s="9" t="s">
        <v>14776</v>
      </c>
      <c r="E6542" s="10" t="str">
        <f>HYPERLINK("https://twitter.com/vagmenhq/status/723981699172995072","723981699172995072")</f>
        <v>723981699172995072</v>
      </c>
      <c r="F6542" s="11" t="s">
        <v>114</v>
      </c>
      <c r="G6542" s="11">
        <v>157</v>
      </c>
      <c r="H6542" s="11">
        <v>92</v>
      </c>
      <c r="I6542" s="11">
        <v>0</v>
      </c>
      <c r="J6542" s="11">
        <v>0</v>
      </c>
      <c r="K6542" s="11" t="s">
        <v>21</v>
      </c>
      <c r="L6542" s="7">
        <v>41401.814722222218</v>
      </c>
      <c r="M6542" s="12" t="s">
        <v>2494</v>
      </c>
      <c r="N6542" s="12" t="s">
        <v>2495</v>
      </c>
      <c r="O6542" s="10" t="str">
        <f>HYPERLINK("https://pbs.twimg.com/profile_images/446781974452371456/rqBZF-KN_normal.jpeg","View")</f>
        <v>View</v>
      </c>
      <c r="P6542" s="11"/>
    </row>
    <row r="6543" spans="1:16" ht="12.75" x14ac:dyDescent="0.35">
      <c r="A6543" s="7">
        <v>42484.109537037039</v>
      </c>
      <c r="B6543" s="8" t="str">
        <f>HYPERLINK("https://twitter.com/dosummitgood","@dosummitgood")</f>
        <v>@dosummitgood</v>
      </c>
      <c r="C6543" s="9" t="s">
        <v>13314</v>
      </c>
      <c r="D6543" s="9" t="s">
        <v>14777</v>
      </c>
      <c r="E6543" s="10" t="str">
        <f>HYPERLINK("https://twitter.com/dosummitgood/status/723981708001959936","723981708001959936")</f>
        <v>723981708001959936</v>
      </c>
      <c r="F6543" s="11" t="s">
        <v>20</v>
      </c>
      <c r="G6543" s="11">
        <v>814</v>
      </c>
      <c r="H6543" s="11">
        <v>620</v>
      </c>
      <c r="I6543" s="11">
        <v>0</v>
      </c>
      <c r="J6543" s="11">
        <v>0</v>
      </c>
      <c r="K6543" s="11" t="s">
        <v>21</v>
      </c>
      <c r="L6543" s="7">
        <v>40559.659085648149</v>
      </c>
      <c r="M6543" s="12" t="s">
        <v>35</v>
      </c>
      <c r="N6543" s="12" t="s">
        <v>13316</v>
      </c>
      <c r="O6543" s="10" t="str">
        <f>HYPERLINK("https://pbs.twimg.com/profile_images/378800000674642483/4bcb1ac988f8e83031fc49c885ea124f_normal.jpeg","View")</f>
        <v>View</v>
      </c>
      <c r="P6543" s="11"/>
    </row>
    <row r="6544" spans="1:16" ht="12.75" x14ac:dyDescent="0.35">
      <c r="A6544" s="7">
        <v>42484.109583333338</v>
      </c>
      <c r="B6544" s="8" t="str">
        <f t="shared" ref="B6544:B6545" si="579">HYPERLINK("https://twitter.com/tatymontespr","@tatymontespr")</f>
        <v>@tatymontespr</v>
      </c>
      <c r="C6544" s="9" t="s">
        <v>5816</v>
      </c>
      <c r="D6544" s="9" t="s">
        <v>14778</v>
      </c>
      <c r="E6544" s="10" t="str">
        <f>HYPERLINK("https://twitter.com/tatymontespr/status/723981725366276096","723981725366276096")</f>
        <v>723981725366276096</v>
      </c>
      <c r="F6544" s="11" t="s">
        <v>43</v>
      </c>
      <c r="G6544" s="11">
        <v>224</v>
      </c>
      <c r="H6544" s="11">
        <v>153</v>
      </c>
      <c r="I6544" s="11">
        <v>0</v>
      </c>
      <c r="J6544" s="11">
        <v>0</v>
      </c>
      <c r="K6544" s="11" t="s">
        <v>21</v>
      </c>
      <c r="L6544" s="7">
        <v>40437.296666666669</v>
      </c>
      <c r="M6544" s="12" t="s">
        <v>5818</v>
      </c>
      <c r="N6544" s="12" t="s">
        <v>5819</v>
      </c>
      <c r="O6544" s="10" t="str">
        <f t="shared" ref="O6544:O6545" si="580">HYPERLINK("https://pbs.twimg.com/profile_images/1625824638/1dfsf2_normal.jpg","View")</f>
        <v>View</v>
      </c>
      <c r="P6544" s="11"/>
    </row>
    <row r="6545" spans="1:16" ht="12.75" x14ac:dyDescent="0.35">
      <c r="A6545" s="7">
        <v>42484.110150462962</v>
      </c>
      <c r="B6545" s="8" t="str">
        <f t="shared" si="579"/>
        <v>@tatymontespr</v>
      </c>
      <c r="C6545" s="9" t="s">
        <v>5816</v>
      </c>
      <c r="D6545" s="9" t="s">
        <v>14779</v>
      </c>
      <c r="E6545" s="10" t="str">
        <f>HYPERLINK("https://twitter.com/tatymontespr/status/723981927833726976","723981927833726976")</f>
        <v>723981927833726976</v>
      </c>
      <c r="F6545" s="11" t="s">
        <v>43</v>
      </c>
      <c r="G6545" s="11">
        <v>224</v>
      </c>
      <c r="H6545" s="11">
        <v>153</v>
      </c>
      <c r="I6545" s="11">
        <v>0</v>
      </c>
      <c r="J6545" s="11">
        <v>0</v>
      </c>
      <c r="K6545" s="11" t="s">
        <v>21</v>
      </c>
      <c r="L6545" s="7">
        <v>40437.296666666669</v>
      </c>
      <c r="M6545" s="12" t="s">
        <v>5818</v>
      </c>
      <c r="N6545" s="12" t="s">
        <v>5819</v>
      </c>
      <c r="O6545" s="10" t="str">
        <f t="shared" si="580"/>
        <v>View</v>
      </c>
      <c r="P6545" s="11"/>
    </row>
    <row r="6546" spans="1:16" ht="12.75" x14ac:dyDescent="0.35">
      <c r="A6546" s="7">
        <v>42484.111412037033</v>
      </c>
      <c r="B6546" s="8" t="str">
        <f>HYPERLINK("https://twitter.com/AlexisContr10","@AlexisContr10")</f>
        <v>@AlexisContr10</v>
      </c>
      <c r="C6546" s="9" t="s">
        <v>14780</v>
      </c>
      <c r="D6546" s="9" t="s">
        <v>14518</v>
      </c>
      <c r="E6546" s="10" t="str">
        <f>HYPERLINK("https://twitter.com/AlexisContr10/status/723982384295755777","723982384295755777")</f>
        <v>723982384295755777</v>
      </c>
      <c r="F6546" s="11" t="s">
        <v>48</v>
      </c>
      <c r="G6546" s="11">
        <v>1209</v>
      </c>
      <c r="H6546" s="11">
        <v>919</v>
      </c>
      <c r="I6546" s="11">
        <v>53</v>
      </c>
      <c r="J6546" s="11">
        <v>0</v>
      </c>
      <c r="K6546" s="11" t="s">
        <v>21</v>
      </c>
      <c r="L6546" s="7">
        <v>41514.882916666669</v>
      </c>
      <c r="M6546" s="12" t="s">
        <v>14781</v>
      </c>
      <c r="N6546" s="12" t="s">
        <v>14782</v>
      </c>
      <c r="O6546" s="10" t="str">
        <f>HYPERLINK("https://pbs.twimg.com/profile_images/711738875463520256/MTfCTGD-_normal.jpg","View")</f>
        <v>View</v>
      </c>
      <c r="P6546" s="11"/>
    </row>
    <row r="6547" spans="1:16" ht="12.75" x14ac:dyDescent="0.35">
      <c r="A6547" s="7">
        <v>42484.11210648148</v>
      </c>
      <c r="B6547" s="8" t="str">
        <f t="shared" ref="B6547:B6548" si="581">HYPERLINK("https://twitter.com/dubbusses","@dubbusses")</f>
        <v>@dubbusses</v>
      </c>
      <c r="C6547" s="9" t="s">
        <v>14338</v>
      </c>
      <c r="D6547" s="9" t="s">
        <v>14783</v>
      </c>
      <c r="E6547" s="10" t="str">
        <f>HYPERLINK("https://twitter.com/dubbusses/status/723982639460397056","723982639460397056")</f>
        <v>723982639460397056</v>
      </c>
      <c r="F6547" s="11" t="s">
        <v>68</v>
      </c>
      <c r="G6547" s="11">
        <v>416</v>
      </c>
      <c r="H6547" s="11">
        <v>2369</v>
      </c>
      <c r="I6547" s="11">
        <v>0</v>
      </c>
      <c r="J6547" s="11">
        <v>0</v>
      </c>
      <c r="K6547" s="11" t="s">
        <v>21</v>
      </c>
      <c r="L6547" s="7">
        <v>42469.905393518522</v>
      </c>
      <c r="M6547" s="12" t="s">
        <v>14340</v>
      </c>
      <c r="N6547" s="12"/>
      <c r="O6547" s="10" t="str">
        <f t="shared" ref="O6547:O6548" si="582">HYPERLINK("https://pbs.twimg.com/profile_images/718835727027580928/1ssyQ67y_normal.jpg","View")</f>
        <v>View</v>
      </c>
      <c r="P6547" s="11"/>
    </row>
    <row r="6548" spans="1:16" ht="12.75" x14ac:dyDescent="0.35">
      <c r="A6548" s="7">
        <v>42484.112175925926</v>
      </c>
      <c r="B6548" s="8" t="str">
        <f t="shared" si="581"/>
        <v>@dubbusses</v>
      </c>
      <c r="C6548" s="9" t="s">
        <v>14338</v>
      </c>
      <c r="D6548" s="9" t="s">
        <v>14784</v>
      </c>
      <c r="E6548" s="10" t="str">
        <f>HYPERLINK("https://twitter.com/dubbusses/status/723982662172610562","723982662172610562")</f>
        <v>723982662172610562</v>
      </c>
      <c r="F6548" s="11" t="s">
        <v>68</v>
      </c>
      <c r="G6548" s="11">
        <v>416</v>
      </c>
      <c r="H6548" s="11">
        <v>2369</v>
      </c>
      <c r="I6548" s="11">
        <v>0</v>
      </c>
      <c r="J6548" s="11">
        <v>0</v>
      </c>
      <c r="K6548" s="11" t="s">
        <v>21</v>
      </c>
      <c r="L6548" s="7">
        <v>42469.905393518522</v>
      </c>
      <c r="M6548" s="12" t="s">
        <v>14340</v>
      </c>
      <c r="N6548" s="12"/>
      <c r="O6548" s="10" t="str">
        <f t="shared" si="582"/>
        <v>View</v>
      </c>
      <c r="P6548" s="11"/>
    </row>
    <row r="6549" spans="1:16" ht="12.75" x14ac:dyDescent="0.35">
      <c r="A6549" s="7">
        <v>42484.112488425926</v>
      </c>
      <c r="B6549" s="8" t="str">
        <f>HYPERLINK("https://twitter.com/tomdrechsler","@tomdrechsler")</f>
        <v>@tomdrechsler</v>
      </c>
      <c r="C6549" s="9" t="s">
        <v>14785</v>
      </c>
      <c r="D6549" s="9" t="s">
        <v>14675</v>
      </c>
      <c r="E6549" s="10" t="str">
        <f>HYPERLINK("https://twitter.com/tomdrechsler/status/723982778476421120","723982778476421120")</f>
        <v>723982778476421120</v>
      </c>
      <c r="F6549" s="11" t="s">
        <v>20</v>
      </c>
      <c r="G6549" s="11">
        <v>928</v>
      </c>
      <c r="H6549" s="11">
        <v>196</v>
      </c>
      <c r="I6549" s="11">
        <v>3</v>
      </c>
      <c r="J6549" s="11">
        <v>0</v>
      </c>
      <c r="K6549" s="11" t="s">
        <v>21</v>
      </c>
      <c r="L6549" s="7">
        <v>41507.834988425922</v>
      </c>
      <c r="M6549" s="12"/>
      <c r="N6549" s="12" t="s">
        <v>14786</v>
      </c>
      <c r="O6549" s="10" t="str">
        <f>HYPERLINK("https://pbs.twimg.com/profile_images/618371711705198592/KWmZG0g7_normal.jpg","View")</f>
        <v>View</v>
      </c>
      <c r="P6549" s="11"/>
    </row>
    <row r="6550" spans="1:16" ht="12.75" x14ac:dyDescent="0.35">
      <c r="A6550" s="7">
        <v>42484.113750000004</v>
      </c>
      <c r="B6550" s="8" t="str">
        <f>HYPERLINK("https://twitter.com/aridonatucci","@aridonatucci")</f>
        <v>@aridonatucci</v>
      </c>
      <c r="C6550" s="9" t="s">
        <v>14787</v>
      </c>
      <c r="D6550" s="9" t="s">
        <v>14720</v>
      </c>
      <c r="E6550" s="10" t="str">
        <f>HYPERLINK("https://twitter.com/aridonatucci/status/723983233269043200","723983233269043200")</f>
        <v>723983233269043200</v>
      </c>
      <c r="F6550" s="11" t="s">
        <v>20</v>
      </c>
      <c r="G6550" s="11">
        <v>5081</v>
      </c>
      <c r="H6550" s="11">
        <v>676</v>
      </c>
      <c r="I6550" s="11">
        <v>2</v>
      </c>
      <c r="J6550" s="11">
        <v>0</v>
      </c>
      <c r="K6550" s="11" t="s">
        <v>21</v>
      </c>
      <c r="L6550" s="7">
        <v>40387.212557870371</v>
      </c>
      <c r="M6550" s="12" t="s">
        <v>14788</v>
      </c>
      <c r="N6550" s="12"/>
      <c r="O6550" s="10" t="str">
        <f>HYPERLINK("https://pbs.twimg.com/profile_images/1090546545/aritwitter_normal.JPG","View")</f>
        <v>View</v>
      </c>
      <c r="P6550" s="11"/>
    </row>
    <row r="6551" spans="1:16" ht="12.75" x14ac:dyDescent="0.35">
      <c r="A6551" s="7">
        <v>42484.114259259259</v>
      </c>
      <c r="B6551" s="8" t="str">
        <f>HYPERLINK("https://twitter.com/Scirocco_Tuning","@Scirocco_Tuning")</f>
        <v>@Scirocco_Tuning</v>
      </c>
      <c r="C6551" s="9" t="s">
        <v>51</v>
      </c>
      <c r="D6551" s="9" t="s">
        <v>14789</v>
      </c>
      <c r="E6551" s="10" t="str">
        <f>HYPERLINK("https://twitter.com/Scirocco_Tuning/status/723983417822576640","723983417822576640")</f>
        <v>723983417822576640</v>
      </c>
      <c r="F6551" s="11" t="s">
        <v>53</v>
      </c>
      <c r="G6551" s="11">
        <v>70</v>
      </c>
      <c r="H6551" s="11">
        <v>215</v>
      </c>
      <c r="I6551" s="11">
        <v>0</v>
      </c>
      <c r="J6551" s="11">
        <v>0</v>
      </c>
      <c r="K6551" s="11" t="s">
        <v>21</v>
      </c>
      <c r="L6551" s="7">
        <v>40844.564722222218</v>
      </c>
      <c r="M6551" s="12"/>
      <c r="N6551" s="12"/>
      <c r="O6551" s="10" t="str">
        <f>HYPERLINK("https://pbs.twimg.com/profile_images/1610421423/Image2_normal.jpg","View")</f>
        <v>View</v>
      </c>
      <c r="P6551" s="11"/>
    </row>
    <row r="6552" spans="1:16" ht="12.75" x14ac:dyDescent="0.35">
      <c r="A6552" s="7">
        <v>42484.114675925928</v>
      </c>
      <c r="B6552" s="8" t="str">
        <f>HYPERLINK("https://twitter.com/MuppetRider","@MuppetRider")</f>
        <v>@MuppetRider</v>
      </c>
      <c r="C6552" s="9" t="s">
        <v>14790</v>
      </c>
      <c r="D6552" s="9" t="s">
        <v>12813</v>
      </c>
      <c r="E6552" s="10" t="str">
        <f>HYPERLINK("https://twitter.com/MuppetRider/status/723983569459265537","723983569459265537")</f>
        <v>723983569459265537</v>
      </c>
      <c r="F6552" s="11" t="s">
        <v>20</v>
      </c>
      <c r="G6552" s="11">
        <v>60</v>
      </c>
      <c r="H6552" s="11">
        <v>233</v>
      </c>
      <c r="I6552" s="11">
        <v>8</v>
      </c>
      <c r="J6552" s="11">
        <v>0</v>
      </c>
      <c r="K6552" s="11" t="s">
        <v>21</v>
      </c>
      <c r="L6552" s="7">
        <v>40468.727997685186</v>
      </c>
      <c r="M6552" s="12" t="s">
        <v>13211</v>
      </c>
      <c r="N6552" s="12" t="s">
        <v>14791</v>
      </c>
      <c r="O6552" s="10" t="str">
        <f>HYPERLINK("https://pbs.twimg.com/profile_images/590940002592415744/9CIdEDQi_normal.jpg","View")</f>
        <v>View</v>
      </c>
      <c r="P6552" s="11"/>
    </row>
    <row r="6553" spans="1:16" ht="12.75" x14ac:dyDescent="0.35">
      <c r="A6553" s="7">
        <v>42484.114699074074</v>
      </c>
      <c r="B6553" s="8" t="str">
        <f>HYPERLINK("https://twitter.com/gdrzewo","@gdrzewo")</f>
        <v>@gdrzewo</v>
      </c>
      <c r="C6553" s="9" t="s">
        <v>14792</v>
      </c>
      <c r="D6553" s="9" t="s">
        <v>14518</v>
      </c>
      <c r="E6553" s="10" t="str">
        <f>HYPERLINK("https://twitter.com/gdrzewo/status/723983577709457409","723983577709457409")</f>
        <v>723983577709457409</v>
      </c>
      <c r="F6553" s="11" t="s">
        <v>48</v>
      </c>
      <c r="G6553" s="11">
        <v>22</v>
      </c>
      <c r="H6553" s="11">
        <v>71</v>
      </c>
      <c r="I6553" s="11">
        <v>53</v>
      </c>
      <c r="J6553" s="11">
        <v>0</v>
      </c>
      <c r="K6553" s="11" t="s">
        <v>21</v>
      </c>
      <c r="L6553" s="7">
        <v>41515.750138888892</v>
      </c>
      <c r="M6553" s="12" t="s">
        <v>14793</v>
      </c>
      <c r="N6553" s="12"/>
      <c r="O6553" s="10" t="str">
        <f>HYPERLINK("https://pbs.twimg.com/profile_images/378800000505143379/8471aaec07a46e484b3ab4df81b2caed_normal.jpeg","View")</f>
        <v>View</v>
      </c>
      <c r="P6553" s="11"/>
    </row>
    <row r="6554" spans="1:16" ht="12.75" x14ac:dyDescent="0.35">
      <c r="A6554" s="7">
        <v>42484.115532407406</v>
      </c>
      <c r="B6554" s="8" t="str">
        <f>HYPERLINK("https://twitter.com/m_mediouni","@m_mediouni")</f>
        <v>@m_mediouni</v>
      </c>
      <c r="C6554" s="9" t="s">
        <v>12996</v>
      </c>
      <c r="D6554" s="9" t="s">
        <v>14794</v>
      </c>
      <c r="E6554" s="10" t="str">
        <f>HYPERLINK("https://twitter.com/m_mediouni/status/723983878935994369","723983878935994369")</f>
        <v>723983878935994369</v>
      </c>
      <c r="F6554" s="11" t="s">
        <v>68</v>
      </c>
      <c r="G6554" s="11">
        <v>2165</v>
      </c>
      <c r="H6554" s="11">
        <v>1896</v>
      </c>
      <c r="I6554" s="11">
        <v>0</v>
      </c>
      <c r="J6554" s="11">
        <v>0</v>
      </c>
      <c r="K6554" s="11" t="s">
        <v>21</v>
      </c>
      <c r="L6554" s="7">
        <v>41061.124374999999</v>
      </c>
      <c r="M6554" s="12"/>
      <c r="N6554" s="12" t="s">
        <v>12998</v>
      </c>
      <c r="O6554" s="10" t="str">
        <f>HYPERLINK("https://pbs.twimg.com/profile_images/589811211778293760/J2sTcb44_normal.jpg","View")</f>
        <v>View</v>
      </c>
      <c r="P6554" s="11"/>
    </row>
    <row r="6555" spans="1:16" ht="12.75" x14ac:dyDescent="0.35">
      <c r="A6555" s="7">
        <v>42484.117476851854</v>
      </c>
      <c r="B6555" s="8" t="str">
        <f>HYPERLINK("https://twitter.com/Yellow_Car_Shop","@Yellow_Car_Shop")</f>
        <v>@Yellow_Car_Shop</v>
      </c>
      <c r="C6555" s="9" t="s">
        <v>14795</v>
      </c>
      <c r="D6555" s="9" t="s">
        <v>14796</v>
      </c>
      <c r="E6555" s="10" t="str">
        <f>HYPERLINK("https://twitter.com/Yellow_Car_Shop/status/723984585655234560","723984585655234560")</f>
        <v>723984585655234560</v>
      </c>
      <c r="F6555" s="11" t="s">
        <v>80</v>
      </c>
      <c r="G6555" s="11">
        <v>752</v>
      </c>
      <c r="H6555" s="11">
        <v>1340</v>
      </c>
      <c r="I6555" s="11">
        <v>0</v>
      </c>
      <c r="J6555" s="11">
        <v>0</v>
      </c>
      <c r="K6555" s="11" t="s">
        <v>21</v>
      </c>
      <c r="L6555" s="7">
        <v>41352.714780092589</v>
      </c>
      <c r="M6555" s="12" t="s">
        <v>14797</v>
      </c>
      <c r="N6555" s="12" t="s">
        <v>14798</v>
      </c>
      <c r="O6555" s="10" t="str">
        <f>HYPERLINK("https://pbs.twimg.com/profile_images/696469407200059395/ymFpE9mj_normal.jpg","View")</f>
        <v>View</v>
      </c>
      <c r="P6555" s="11"/>
    </row>
    <row r="6556" spans="1:16" ht="12.75" x14ac:dyDescent="0.35">
      <c r="A6556" s="7">
        <v>42484.119884259257</v>
      </c>
      <c r="B6556" s="8" t="str">
        <f>HYPERLINK("https://twitter.com/dejbanlaw","@dejbanlaw")</f>
        <v>@dejbanlaw</v>
      </c>
      <c r="C6556" s="9" t="s">
        <v>500</v>
      </c>
      <c r="D6556" s="9" t="s">
        <v>14799</v>
      </c>
      <c r="E6556" s="10" t="str">
        <f>HYPERLINK("https://twitter.com/dejbanlaw/status/723985458447802369","723985458447802369")</f>
        <v>723985458447802369</v>
      </c>
      <c r="F6556" s="11" t="s">
        <v>91</v>
      </c>
      <c r="G6556" s="11">
        <v>22094</v>
      </c>
      <c r="H6556" s="11">
        <v>271</v>
      </c>
      <c r="I6556" s="11">
        <v>0</v>
      </c>
      <c r="J6556" s="11">
        <v>2</v>
      </c>
      <c r="K6556" s="11" t="s">
        <v>21</v>
      </c>
      <c r="L6556" s="7">
        <v>42350.2659837963</v>
      </c>
      <c r="M6556" s="12" t="s">
        <v>502</v>
      </c>
      <c r="N6556" s="12" t="s">
        <v>503</v>
      </c>
      <c r="O6556" s="10" t="str">
        <f>HYPERLINK("https://pbs.twimg.com/profile_images/676465930424082432/zT-RyXf4_normal.jpg","View")</f>
        <v>View</v>
      </c>
      <c r="P6556" s="11"/>
    </row>
    <row r="6557" spans="1:16" ht="12.75" x14ac:dyDescent="0.35">
      <c r="A6557" s="7">
        <v>42484.11991898148</v>
      </c>
      <c r="B6557" s="8" t="str">
        <f>HYPERLINK("https://twitter.com/vwdepo","@vwdepo")</f>
        <v>@vwdepo</v>
      </c>
      <c r="C6557" s="9" t="s">
        <v>134</v>
      </c>
      <c r="D6557" s="9" t="s">
        <v>14800</v>
      </c>
      <c r="E6557" s="10" t="str">
        <f>HYPERLINK("https://twitter.com/vwdepo/status/723985468342329345","723985468342329345")</f>
        <v>723985468342329345</v>
      </c>
      <c r="F6557" s="11" t="s">
        <v>53</v>
      </c>
      <c r="G6557" s="11">
        <v>783</v>
      </c>
      <c r="H6557" s="11">
        <v>384</v>
      </c>
      <c r="I6557" s="11">
        <v>0</v>
      </c>
      <c r="J6557" s="11">
        <v>0</v>
      </c>
      <c r="K6557" s="11" t="s">
        <v>21</v>
      </c>
      <c r="L6557" s="7">
        <v>39891.992905092593</v>
      </c>
      <c r="M6557" s="12" t="s">
        <v>136</v>
      </c>
      <c r="N6557" s="12" t="s">
        <v>137</v>
      </c>
      <c r="O6557" s="10" t="str">
        <f>HYPERLINK("https://pbs.twimg.com/profile_images/3378184537/c20ae9a7a410821b4f189c34a63380f7_normal.png","View")</f>
        <v>View</v>
      </c>
      <c r="P6557" s="11"/>
    </row>
    <row r="6558" spans="1:16" ht="12.75" x14ac:dyDescent="0.35">
      <c r="A6558" s="7">
        <v>42484.121782407412</v>
      </c>
      <c r="B6558" s="8" t="str">
        <f>HYPERLINK("https://twitter.com/madeinsantacruz","@madeinsantacruz")</f>
        <v>@madeinsantacruz</v>
      </c>
      <c r="C6558" s="9" t="s">
        <v>14801</v>
      </c>
      <c r="D6558" s="9" t="s">
        <v>14802</v>
      </c>
      <c r="E6558" s="10" t="str">
        <f>HYPERLINK("https://twitter.com/madeinsantacruz/status/723986144199892992","723986144199892992")</f>
        <v>723986144199892992</v>
      </c>
      <c r="F6558" s="11" t="s">
        <v>53</v>
      </c>
      <c r="G6558" s="11">
        <v>1511</v>
      </c>
      <c r="H6558" s="11">
        <v>121</v>
      </c>
      <c r="I6558" s="11">
        <v>0</v>
      </c>
      <c r="J6558" s="11">
        <v>0</v>
      </c>
      <c r="K6558" s="11" t="s">
        <v>21</v>
      </c>
      <c r="L6558" s="7">
        <v>39972.449861111112</v>
      </c>
      <c r="M6558" s="12" t="s">
        <v>14803</v>
      </c>
      <c r="N6558" s="12" t="s">
        <v>14804</v>
      </c>
      <c r="O6558" s="10" t="str">
        <f>HYPERLINK("https://pbs.twimg.com/profile_images/254110814/DroppedLOGO_jpeg_normal.jpg","View")</f>
        <v>View</v>
      </c>
      <c r="P6558" s="11"/>
    </row>
    <row r="6559" spans="1:16" ht="12.75" x14ac:dyDescent="0.35">
      <c r="A6559" s="7">
        <v>42484.122453703705</v>
      </c>
      <c r="B6559" s="8" t="str">
        <f>HYPERLINK("https://twitter.com/OldFox1789","@OldFox1789")</f>
        <v>@OldFox1789</v>
      </c>
      <c r="C6559" s="9" t="s">
        <v>14805</v>
      </c>
      <c r="D6559" s="9" t="s">
        <v>14806</v>
      </c>
      <c r="E6559" s="10" t="str">
        <f>HYPERLINK("https://twitter.com/OldFox1789/status/723986386009882625","723986386009882625")</f>
        <v>723986386009882625</v>
      </c>
      <c r="F6559" s="11" t="s">
        <v>43</v>
      </c>
      <c r="G6559" s="11">
        <v>26</v>
      </c>
      <c r="H6559" s="11">
        <v>38</v>
      </c>
      <c r="I6559" s="11">
        <v>0</v>
      </c>
      <c r="J6559" s="11">
        <v>0</v>
      </c>
      <c r="K6559" s="11" t="s">
        <v>21</v>
      </c>
      <c r="L6559" s="7">
        <v>42299.553784722222</v>
      </c>
      <c r="M6559" s="12" t="s">
        <v>262</v>
      </c>
      <c r="N6559" s="12" t="s">
        <v>14807</v>
      </c>
      <c r="O6559" s="10" t="str">
        <f>HYPERLINK("https://pbs.twimg.com/profile_images/660172992136224768/kyd2qeq6_normal.jpg","View")</f>
        <v>View</v>
      </c>
      <c r="P6559" s="11"/>
    </row>
    <row r="6560" spans="1:16" ht="12.75" x14ac:dyDescent="0.35">
      <c r="A6560" s="7">
        <v>42484.122546296298</v>
      </c>
      <c r="B6560" s="8" t="str">
        <f>HYPERLINK("https://twitter.com/XimeeCatalan","@XimeeCatalan")</f>
        <v>@XimeeCatalan</v>
      </c>
      <c r="C6560" s="9" t="s">
        <v>14808</v>
      </c>
      <c r="D6560" s="9" t="s">
        <v>10808</v>
      </c>
      <c r="E6560" s="10" t="str">
        <f>HYPERLINK("https://twitter.com/XimeeCatalan/status/723986422026371072","723986422026371072")</f>
        <v>723986422026371072</v>
      </c>
      <c r="F6560" s="11" t="s">
        <v>43</v>
      </c>
      <c r="G6560" s="11">
        <v>2889</v>
      </c>
      <c r="H6560" s="11">
        <v>2110</v>
      </c>
      <c r="I6560" s="11">
        <v>67</v>
      </c>
      <c r="J6560" s="11">
        <v>0</v>
      </c>
      <c r="K6560" s="11" t="s">
        <v>21</v>
      </c>
      <c r="L6560" s="7">
        <v>41142.665844907409</v>
      </c>
      <c r="M6560" s="12" t="s">
        <v>14809</v>
      </c>
      <c r="N6560" s="12" t="s">
        <v>14810</v>
      </c>
      <c r="O6560" s="10" t="str">
        <f>HYPERLINK("https://pbs.twimg.com/profile_images/721557101999439872/_YvtEqhz_normal.jpg","View")</f>
        <v>View</v>
      </c>
      <c r="P6560" s="11"/>
    </row>
    <row r="6561" spans="1:16" ht="12.75" x14ac:dyDescent="0.35">
      <c r="A6561" s="7">
        <v>42484.123414351852</v>
      </c>
      <c r="B6561" s="8" t="str">
        <f>HYPERLINK("https://twitter.com/Joon537","@Joon537")</f>
        <v>@Joon537</v>
      </c>
      <c r="C6561" s="9" t="s">
        <v>14811</v>
      </c>
      <c r="D6561" s="9" t="s">
        <v>14812</v>
      </c>
      <c r="E6561" s="10" t="str">
        <f>HYPERLINK("https://twitter.com/Joon537/status/723986736045539328","723986736045539328")</f>
        <v>723986736045539328</v>
      </c>
      <c r="F6561" s="11" t="s">
        <v>114</v>
      </c>
      <c r="G6561" s="11">
        <v>41</v>
      </c>
      <c r="H6561" s="11">
        <v>95</v>
      </c>
      <c r="I6561" s="11">
        <v>0</v>
      </c>
      <c r="J6561" s="11">
        <v>0</v>
      </c>
      <c r="K6561" s="11" t="s">
        <v>21</v>
      </c>
      <c r="L6561" s="7">
        <v>40060.023414351854</v>
      </c>
      <c r="M6561" s="12" t="s">
        <v>14813</v>
      </c>
      <c r="N6561" s="12" t="s">
        <v>14814</v>
      </c>
      <c r="O6561" s="10" t="str">
        <f>HYPERLINK("https://pbs.twimg.com/profile_images/2327285864/Joon537_normal.jpg","View")</f>
        <v>View</v>
      </c>
      <c r="P6561" s="11"/>
    </row>
    <row r="6562" spans="1:16" ht="12.75" x14ac:dyDescent="0.35">
      <c r="A6562" s="7">
        <v>42484.124074074076</v>
      </c>
      <c r="B6562" s="8" t="str">
        <f>HYPERLINK("https://twitter.com/VeeDubMk1_","@VeeDubMk1_")</f>
        <v>@VeeDubMk1_</v>
      </c>
      <c r="C6562" s="9" t="s">
        <v>185</v>
      </c>
      <c r="D6562" s="9" t="s">
        <v>14815</v>
      </c>
      <c r="E6562" s="10" t="str">
        <f>HYPERLINK("https://twitter.com/VeeDubMk1_/status/723986973573128193","723986973573128193")</f>
        <v>723986973573128193</v>
      </c>
      <c r="F6562" s="11" t="s">
        <v>68</v>
      </c>
      <c r="G6562" s="11">
        <v>550</v>
      </c>
      <c r="H6562" s="11">
        <v>3528</v>
      </c>
      <c r="I6562" s="11">
        <v>0</v>
      </c>
      <c r="J6562" s="11">
        <v>0</v>
      </c>
      <c r="K6562" s="11" t="s">
        <v>21</v>
      </c>
      <c r="L6562" s="7">
        <v>42343.063356481478</v>
      </c>
      <c r="M6562" s="12"/>
      <c r="N6562" s="12"/>
      <c r="O6562" s="10" t="str">
        <f>HYPERLINK("https://pbs.twimg.com/profile_images/672878354127839232/M7OYc-zx_normal.jpg","View")</f>
        <v>View</v>
      </c>
      <c r="P6562" s="11"/>
    </row>
    <row r="6563" spans="1:16" ht="12.75" x14ac:dyDescent="0.35">
      <c r="A6563" s="7">
        <v>42484.124236111107</v>
      </c>
      <c r="B6563" s="8" t="str">
        <f>HYPERLINK("https://twitter.com/Censored0","@Censored0")</f>
        <v>@Censored0</v>
      </c>
      <c r="C6563" s="9" t="s">
        <v>14816</v>
      </c>
      <c r="D6563" s="9" t="s">
        <v>14817</v>
      </c>
      <c r="E6563" s="10" t="str">
        <f>HYPERLINK("https://twitter.com/Censored0/status/723987033316712449","723987033316712449")</f>
        <v>723987033316712449</v>
      </c>
      <c r="F6563" s="11" t="s">
        <v>114</v>
      </c>
      <c r="G6563" s="11">
        <v>33</v>
      </c>
      <c r="H6563" s="11">
        <v>10</v>
      </c>
      <c r="I6563" s="11">
        <v>0</v>
      </c>
      <c r="J6563" s="11">
        <v>0</v>
      </c>
      <c r="K6563" s="11" t="s">
        <v>21</v>
      </c>
      <c r="L6563" s="7">
        <v>40968.000972222224</v>
      </c>
      <c r="M6563" s="12"/>
      <c r="N6563" s="12" t="s">
        <v>14818</v>
      </c>
      <c r="O6563" s="10" t="str">
        <f>HYPERLINK("https://pbs.twimg.com/profile_images/672513876546609152/dIow1bxx_normal.jpg","View")</f>
        <v>View</v>
      </c>
      <c r="P6563" s="11"/>
    </row>
    <row r="6564" spans="1:16" ht="12.75" x14ac:dyDescent="0.35">
      <c r="A6564" s="7">
        <v>42484.124374999999</v>
      </c>
      <c r="B6564" s="8" t="str">
        <f>HYPERLINK("https://twitter.com/unlmtdsmarttech","@unlmtdsmarttech")</f>
        <v>@unlmtdsmarttech</v>
      </c>
      <c r="C6564" s="9" t="s">
        <v>7901</v>
      </c>
      <c r="D6564" s="9" t="s">
        <v>14819</v>
      </c>
      <c r="E6564" s="10" t="str">
        <f>HYPERLINK("https://twitter.com/unlmtdsmarttech/status/723987081974931456","723987081974931456")</f>
        <v>723987081974931456</v>
      </c>
      <c r="F6564" s="11" t="s">
        <v>68</v>
      </c>
      <c r="G6564" s="11">
        <v>2229</v>
      </c>
      <c r="H6564" s="11">
        <v>4</v>
      </c>
      <c r="I6564" s="11">
        <v>0</v>
      </c>
      <c r="J6564" s="11">
        <v>0</v>
      </c>
      <c r="K6564" s="11" t="s">
        <v>21</v>
      </c>
      <c r="L6564" s="7">
        <v>42339.340740740736</v>
      </c>
      <c r="M6564" s="12"/>
      <c r="N6564" s="12"/>
      <c r="O6564" s="10" t="str">
        <f>HYPERLINK("https://pbs.twimg.com/profile_images/671525031948652544/gPRky3nV_normal.jpg","View")</f>
        <v>View</v>
      </c>
      <c r="P6564" s="11"/>
    </row>
    <row r="6565" spans="1:16" ht="12.75" x14ac:dyDescent="0.35">
      <c r="A6565" s="7">
        <v>42484.124583333338</v>
      </c>
      <c r="B6565" s="8" t="str">
        <f>HYPERLINK("https://twitter.com/agusruiz13","@agusruiz13")</f>
        <v>@agusruiz13</v>
      </c>
      <c r="C6565" s="9" t="s">
        <v>14820</v>
      </c>
      <c r="D6565" s="9" t="s">
        <v>14821</v>
      </c>
      <c r="E6565" s="10" t="str">
        <f>HYPERLINK("https://twitter.com/agusruiz13/status/723987157359054849","723987157359054849")</f>
        <v>723987157359054849</v>
      </c>
      <c r="F6565" s="11" t="s">
        <v>114</v>
      </c>
      <c r="G6565" s="11">
        <v>294</v>
      </c>
      <c r="H6565" s="11">
        <v>398</v>
      </c>
      <c r="I6565" s="11">
        <v>0</v>
      </c>
      <c r="J6565" s="11">
        <v>0</v>
      </c>
      <c r="K6565" s="11" t="s">
        <v>21</v>
      </c>
      <c r="L6565" s="7">
        <v>40941.464421296296</v>
      </c>
      <c r="M6565" s="12" t="s">
        <v>14822</v>
      </c>
      <c r="N6565" s="12" t="s">
        <v>14823</v>
      </c>
      <c r="O6565" s="10" t="str">
        <f>HYPERLINK("https://pbs.twimg.com/profile_images/704162153696239616/Ke0WtIWj_normal.jpg","View")</f>
        <v>View</v>
      </c>
      <c r="P6565" s="10" t="str">
        <f>HYPERLINK("http://ctrlq.org/maps/address/#-34.62823056,-58.48138056","Map")</f>
        <v>Map</v>
      </c>
    </row>
    <row r="6566" spans="1:16" ht="12.75" x14ac:dyDescent="0.35">
      <c r="A6566" s="7">
        <v>42484.125127314815</v>
      </c>
      <c r="B6566" s="8" t="str">
        <f>HYPERLINK("https://twitter.com/Losttime_Comics","@Losttime_Comics")</f>
        <v>@Losttime_Comics</v>
      </c>
      <c r="C6566" s="9" t="s">
        <v>14824</v>
      </c>
      <c r="D6566" s="9" t="s">
        <v>14825</v>
      </c>
      <c r="E6566" s="10" t="str">
        <f>HYPERLINK("https://twitter.com/Losttime_Comics/status/723987355703607296","723987355703607296")</f>
        <v>723987355703607296</v>
      </c>
      <c r="F6566" s="11" t="s">
        <v>43</v>
      </c>
      <c r="G6566" s="11">
        <v>282</v>
      </c>
      <c r="H6566" s="11">
        <v>611</v>
      </c>
      <c r="I6566" s="11">
        <v>1</v>
      </c>
      <c r="J6566" s="11">
        <v>0</v>
      </c>
      <c r="K6566" s="11" t="s">
        <v>21</v>
      </c>
      <c r="L6566" s="7">
        <v>42405.220370370371</v>
      </c>
      <c r="M6566" s="12" t="s">
        <v>703</v>
      </c>
      <c r="N6566" s="12" t="s">
        <v>14826</v>
      </c>
      <c r="O6566" s="10" t="str">
        <f>HYPERLINK("https://pbs.twimg.com/profile_images/712885919171395586/DZuldnRH_normal.jpg","View")</f>
        <v>View</v>
      </c>
      <c r="P6566" s="11"/>
    </row>
    <row r="6567" spans="1:16" ht="12.75" x14ac:dyDescent="0.35">
      <c r="A6567" s="7">
        <v>42484.125555555554</v>
      </c>
      <c r="B6567" s="8" t="str">
        <f>HYPERLINK("https://twitter.com/almadabriian","@almadabriian")</f>
        <v>@almadabriian</v>
      </c>
      <c r="C6567" s="9" t="s">
        <v>14827</v>
      </c>
      <c r="D6567" s="9" t="s">
        <v>10808</v>
      </c>
      <c r="E6567" s="10" t="str">
        <f>HYPERLINK("https://twitter.com/almadabriian/status/723987512025354240","723987512025354240")</f>
        <v>723987512025354240</v>
      </c>
      <c r="F6567" s="11" t="s">
        <v>48</v>
      </c>
      <c r="G6567" s="11">
        <v>390</v>
      </c>
      <c r="H6567" s="11">
        <v>366</v>
      </c>
      <c r="I6567" s="11">
        <v>67</v>
      </c>
      <c r="J6567" s="11">
        <v>0</v>
      </c>
      <c r="K6567" s="11" t="s">
        <v>21</v>
      </c>
      <c r="L6567" s="7">
        <v>42006.465300925927</v>
      </c>
      <c r="M6567" s="12"/>
      <c r="N6567" s="12" t="s">
        <v>14828</v>
      </c>
      <c r="O6567" s="10" t="str">
        <f>HYPERLINK("https://pbs.twimg.com/profile_images/722161754839654400/YIH3Kxy7_normal.jpg","View")</f>
        <v>View</v>
      </c>
      <c r="P6567" s="11"/>
    </row>
    <row r="6568" spans="1:16" ht="12.75" x14ac:dyDescent="0.35">
      <c r="A6568" s="7">
        <v>42484.12599537037</v>
      </c>
      <c r="B6568" s="8" t="str">
        <f>HYPERLINK("https://twitter.com/thecoffeebus","@thecoffeebus")</f>
        <v>@thecoffeebus</v>
      </c>
      <c r="C6568" s="9" t="s">
        <v>14829</v>
      </c>
      <c r="D6568" s="9" t="s">
        <v>14830</v>
      </c>
      <c r="E6568" s="10" t="str">
        <f>HYPERLINK("https://twitter.com/thecoffeebus/status/723987669986906112","723987669986906112")</f>
        <v>723987669986906112</v>
      </c>
      <c r="F6568" s="11" t="s">
        <v>20</v>
      </c>
      <c r="G6568" s="11">
        <v>123</v>
      </c>
      <c r="H6568" s="11">
        <v>227</v>
      </c>
      <c r="I6568" s="11">
        <v>0</v>
      </c>
      <c r="J6568" s="11">
        <v>1</v>
      </c>
      <c r="K6568" s="11" t="s">
        <v>21</v>
      </c>
      <c r="L6568" s="7">
        <v>41982.552256944444</v>
      </c>
      <c r="M6568" s="12" t="s">
        <v>274</v>
      </c>
      <c r="N6568" s="12" t="s">
        <v>14831</v>
      </c>
      <c r="O6568" s="10" t="str">
        <f>HYPERLINK("https://pbs.twimg.com/profile_images/561027762144542720/QH4eCkSR_normal.jpeg","View")</f>
        <v>View</v>
      </c>
      <c r="P6568" s="11"/>
    </row>
    <row r="6569" spans="1:16" ht="12.75" x14ac:dyDescent="0.35">
      <c r="A6569" s="7">
        <v>42484.127152777779</v>
      </c>
      <c r="B6569" s="8" t="str">
        <f>HYPERLINK("https://twitter.com/barrydanzig","@barrydanzig")</f>
        <v>@barrydanzig</v>
      </c>
      <c r="C6569" s="9" t="s">
        <v>14832</v>
      </c>
      <c r="D6569" s="9" t="s">
        <v>14833</v>
      </c>
      <c r="E6569" s="10" t="str">
        <f>HYPERLINK("https://twitter.com/barrydanzig/status/723988090600218625","723988090600218625")</f>
        <v>723988090600218625</v>
      </c>
      <c r="F6569" s="11" t="s">
        <v>114</v>
      </c>
      <c r="G6569" s="11">
        <v>363</v>
      </c>
      <c r="H6569" s="11">
        <v>760</v>
      </c>
      <c r="I6569" s="11">
        <v>0</v>
      </c>
      <c r="J6569" s="11">
        <v>0</v>
      </c>
      <c r="K6569" s="11" t="s">
        <v>21</v>
      </c>
      <c r="L6569" s="7">
        <v>39878.218078703707</v>
      </c>
      <c r="M6569" s="12" t="s">
        <v>14834</v>
      </c>
      <c r="N6569" s="12" t="s">
        <v>14835</v>
      </c>
      <c r="O6569" s="10" t="str">
        <f>HYPERLINK("https://pbs.twimg.com/profile_images/452223035278635008/nh74b6X2_normal.jpeg","View")</f>
        <v>View</v>
      </c>
      <c r="P6569" s="11"/>
    </row>
    <row r="6570" spans="1:16" ht="12.75" x14ac:dyDescent="0.35">
      <c r="A6570" s="7">
        <v>42484.128379629634</v>
      </c>
      <c r="B6570" s="8" t="str">
        <f>HYPERLINK("https://twitter.com/resumendelmedio","@resumendelmedio")</f>
        <v>@resumendelmedio</v>
      </c>
      <c r="C6570" s="9" t="s">
        <v>14836</v>
      </c>
      <c r="D6570" s="9" t="s">
        <v>14518</v>
      </c>
      <c r="E6570" s="10" t="str">
        <f>HYPERLINK("https://twitter.com/resumendelmedio/status/723988535938830336","723988535938830336")</f>
        <v>723988535938830336</v>
      </c>
      <c r="F6570" s="11" t="s">
        <v>43</v>
      </c>
      <c r="G6570" s="11">
        <v>8157</v>
      </c>
      <c r="H6570" s="11">
        <v>6</v>
      </c>
      <c r="I6570" s="11">
        <v>55</v>
      </c>
      <c r="J6570" s="11">
        <v>0</v>
      </c>
      <c r="K6570" s="11" t="s">
        <v>21</v>
      </c>
      <c r="L6570" s="7">
        <v>40959.689606481479</v>
      </c>
      <c r="M6570" s="12" t="s">
        <v>866</v>
      </c>
      <c r="N6570" s="12" t="s">
        <v>14837</v>
      </c>
      <c r="O6570" s="10" t="str">
        <f>HYPERLINK("https://pbs.twimg.com/profile_images/3108571378/b62343724ccc97a242a7314747278689_normal.png","View")</f>
        <v>View</v>
      </c>
      <c r="P6570" s="11"/>
    </row>
    <row r="6571" spans="1:16" ht="12.75" x14ac:dyDescent="0.35">
      <c r="A6571" s="7">
        <v>42484.129363425927</v>
      </c>
      <c r="B6571" s="8" t="str">
        <f>HYPERLINK("https://twitter.com/sinanyuz","@sinanyuz")</f>
        <v>@sinanyuz</v>
      </c>
      <c r="C6571" s="9" t="s">
        <v>14838</v>
      </c>
      <c r="D6571" s="9" t="s">
        <v>14839</v>
      </c>
      <c r="E6571" s="10" t="str">
        <f>HYPERLINK("https://twitter.com/sinanyuz/status/723988892249165824","723988892249165824")</f>
        <v>723988892249165824</v>
      </c>
      <c r="F6571" s="11" t="s">
        <v>91</v>
      </c>
      <c r="G6571" s="11">
        <v>1450</v>
      </c>
      <c r="H6571" s="11">
        <v>935</v>
      </c>
      <c r="I6571" s="11">
        <v>0</v>
      </c>
      <c r="J6571" s="11">
        <v>0</v>
      </c>
      <c r="K6571" s="11" t="s">
        <v>21</v>
      </c>
      <c r="L6571" s="7">
        <v>39583.858124999999</v>
      </c>
      <c r="M6571" s="12" t="s">
        <v>14840</v>
      </c>
      <c r="N6571" s="12" t="s">
        <v>14841</v>
      </c>
      <c r="O6571" s="10" t="str">
        <f>HYPERLINK("https://pbs.twimg.com/profile_images/633030122455609344/gcpG_VE7_normal.jpg","View")</f>
        <v>View</v>
      </c>
      <c r="P6571" s="11"/>
    </row>
    <row r="6572" spans="1:16" ht="12.75" x14ac:dyDescent="0.35">
      <c r="A6572" s="7">
        <v>42484.129467592589</v>
      </c>
      <c r="B6572" s="8" t="str">
        <f>HYPERLINK("https://twitter.com/Oqwamjaeger0P","@Oqwamjaeger0P")</f>
        <v>@Oqwamjaeger0P</v>
      </c>
      <c r="C6572" s="9" t="s">
        <v>14842</v>
      </c>
      <c r="D6572" s="9" t="s">
        <v>14843</v>
      </c>
      <c r="E6572" s="10" t="str">
        <f>HYPERLINK("https://twitter.com/Oqwamjaeger0P/status/723988927833579520","723988927833579520")</f>
        <v>723988927833579520</v>
      </c>
      <c r="F6572" s="11" t="s">
        <v>43</v>
      </c>
      <c r="G6572" s="11">
        <v>14</v>
      </c>
      <c r="H6572" s="11">
        <v>476</v>
      </c>
      <c r="I6572" s="11">
        <v>4</v>
      </c>
      <c r="J6572" s="11">
        <v>0</v>
      </c>
      <c r="K6572" s="11" t="s">
        <v>21</v>
      </c>
      <c r="L6572" s="7">
        <v>42064.232222222221</v>
      </c>
      <c r="M6572" s="12" t="s">
        <v>934</v>
      </c>
      <c r="N6572" s="12" t="s">
        <v>14844</v>
      </c>
      <c r="O6572" s="10" t="str">
        <f>HYPERLINK("https://pbs.twimg.com/profile_images/575833403951468544/Zh-Ln_go_normal.jpeg","View")</f>
        <v>View</v>
      </c>
      <c r="P6572" s="11"/>
    </row>
    <row r="6573" spans="1:16" ht="12.75" x14ac:dyDescent="0.35">
      <c r="A6573" s="7">
        <v>42484.130486111113</v>
      </c>
      <c r="B6573" s="8" t="str">
        <f>HYPERLINK("https://twitter.com/69GILLBERTxK","@69GILLBERTxK")</f>
        <v>@69GILLBERTxK</v>
      </c>
      <c r="C6573" s="9" t="s">
        <v>14845</v>
      </c>
      <c r="D6573" s="9" t="s">
        <v>14843</v>
      </c>
      <c r="E6573" s="10" t="str">
        <f>HYPERLINK("https://twitter.com/69GILLBERTxK/status/723989296798130176","723989296798130176")</f>
        <v>723989296798130176</v>
      </c>
      <c r="F6573" s="11" t="s">
        <v>43</v>
      </c>
      <c r="G6573" s="11">
        <v>13</v>
      </c>
      <c r="H6573" s="11">
        <v>514</v>
      </c>
      <c r="I6573" s="11">
        <v>4</v>
      </c>
      <c r="J6573" s="11">
        <v>0</v>
      </c>
      <c r="K6573" s="11" t="s">
        <v>21</v>
      </c>
      <c r="L6573" s="7">
        <v>42065.318391203706</v>
      </c>
      <c r="M6573" s="12" t="s">
        <v>14846</v>
      </c>
      <c r="N6573" s="12" t="s">
        <v>14847</v>
      </c>
      <c r="O6573" s="10" t="str">
        <f>HYPERLINK("https://pbs.twimg.com/profile_images/575854619391172608/iJRbR0AY_normal.jpeg","View")</f>
        <v>View</v>
      </c>
      <c r="P6573" s="11"/>
    </row>
    <row r="6574" spans="1:16" ht="12.75" x14ac:dyDescent="0.35">
      <c r="A6574" s="7">
        <v>42484.13071759259</v>
      </c>
      <c r="B6574" s="8" t="str">
        <f>HYPERLINK("https://twitter.com/Nexovision","@Nexovision")</f>
        <v>@Nexovision</v>
      </c>
      <c r="C6574" s="9" t="s">
        <v>14848</v>
      </c>
      <c r="D6574" s="9" t="s">
        <v>14849</v>
      </c>
      <c r="E6574" s="10" t="str">
        <f>HYPERLINK("https://twitter.com/Nexovision/status/723989381120282624","723989381120282624")</f>
        <v>723989381120282624</v>
      </c>
      <c r="F6574" s="11" t="s">
        <v>20</v>
      </c>
      <c r="G6574" s="11">
        <v>30</v>
      </c>
      <c r="H6574" s="11">
        <v>498</v>
      </c>
      <c r="I6574" s="11">
        <v>0</v>
      </c>
      <c r="J6574" s="11">
        <v>0</v>
      </c>
      <c r="K6574" s="11" t="s">
        <v>21</v>
      </c>
      <c r="L6574" s="7">
        <v>41702.945520833331</v>
      </c>
      <c r="M6574" s="12"/>
      <c r="N6574" s="12" t="s">
        <v>14850</v>
      </c>
      <c r="O6574" s="10" t="str">
        <f>HYPERLINK("https://pbs.twimg.com/profile_images/440902226756632576/9PgGXUUP_normal.jpeg","View")</f>
        <v>View</v>
      </c>
      <c r="P6574" s="11"/>
    </row>
    <row r="6575" spans="1:16" ht="12.75" x14ac:dyDescent="0.35">
      <c r="A6575" s="7">
        <v>42484.131793981476</v>
      </c>
      <c r="B6575" s="8" t="str">
        <f>HYPERLINK("https://twitter.com/wilwardle","@wilwardle")</f>
        <v>@wilwardle</v>
      </c>
      <c r="C6575" s="9" t="s">
        <v>14851</v>
      </c>
      <c r="D6575" s="9" t="s">
        <v>14852</v>
      </c>
      <c r="E6575" s="10" t="str">
        <f>HYPERLINK("https://twitter.com/wilwardle/status/723989771182301184","723989771182301184")</f>
        <v>723989771182301184</v>
      </c>
      <c r="F6575" s="11" t="s">
        <v>43</v>
      </c>
      <c r="G6575" s="11">
        <v>592</v>
      </c>
      <c r="H6575" s="11">
        <v>569</v>
      </c>
      <c r="I6575" s="11">
        <v>0</v>
      </c>
      <c r="J6575" s="11">
        <v>0</v>
      </c>
      <c r="K6575" s="11" t="s">
        <v>21</v>
      </c>
      <c r="L6575" s="7">
        <v>40502.178159722222</v>
      </c>
      <c r="M6575" s="12" t="s">
        <v>14853</v>
      </c>
      <c r="N6575" s="12" t="s">
        <v>14854</v>
      </c>
      <c r="O6575" s="10" t="str">
        <f>HYPERLINK("https://pbs.twimg.com/profile_images/1171075230/heres_looking_at_you_normal.jpg","View")</f>
        <v>View</v>
      </c>
      <c r="P6575" s="11"/>
    </row>
    <row r="6576" spans="1:16" ht="12.75" x14ac:dyDescent="0.35">
      <c r="A6576" s="7">
        <v>42484.132256944446</v>
      </c>
      <c r="B6576" s="8" t="str">
        <f>HYPERLINK("https://twitter.com/RenzoRodriguez_","@RenzoRodriguez_")</f>
        <v>@RenzoRodriguez_</v>
      </c>
      <c r="C6576" s="9" t="s">
        <v>14855</v>
      </c>
      <c r="D6576" s="9" t="s">
        <v>14518</v>
      </c>
      <c r="E6576" s="10" t="str">
        <f>HYPERLINK("https://twitter.com/RenzoRodriguez_/status/723989938509873153","723989938509873153")</f>
        <v>723989938509873153</v>
      </c>
      <c r="F6576" s="11" t="s">
        <v>48</v>
      </c>
      <c r="G6576" s="11">
        <v>1408</v>
      </c>
      <c r="H6576" s="11">
        <v>1044</v>
      </c>
      <c r="I6576" s="11">
        <v>55</v>
      </c>
      <c r="J6576" s="11">
        <v>0</v>
      </c>
      <c r="K6576" s="11" t="s">
        <v>21</v>
      </c>
      <c r="L6576" s="7">
        <v>40748.851087962961</v>
      </c>
      <c r="M6576" s="12" t="s">
        <v>14856</v>
      </c>
      <c r="N6576" s="12" t="s">
        <v>14857</v>
      </c>
      <c r="O6576" s="10" t="str">
        <f>HYPERLINK("https://pbs.twimg.com/profile_images/708289305043734528/fQpuNRU2_normal.jpg","View")</f>
        <v>View</v>
      </c>
      <c r="P6576" s="11"/>
    </row>
    <row r="6577" spans="1:16" ht="12.75" x14ac:dyDescent="0.35">
      <c r="A6577" s="7">
        <v>42484.133101851854</v>
      </c>
      <c r="B6577" s="8" t="str">
        <f>HYPERLINK("https://twitter.com/SophleKeads","@SophleKeads")</f>
        <v>@SophleKeads</v>
      </c>
      <c r="C6577" s="9" t="s">
        <v>14858</v>
      </c>
      <c r="D6577" s="9" t="s">
        <v>14843</v>
      </c>
      <c r="E6577" s="10" t="str">
        <f>HYPERLINK("https://twitter.com/SophleKeads/status/723990244786356224","723990244786356224")</f>
        <v>723990244786356224</v>
      </c>
      <c r="F6577" s="11" t="s">
        <v>48</v>
      </c>
      <c r="G6577" s="11">
        <v>315</v>
      </c>
      <c r="H6577" s="11">
        <v>104</v>
      </c>
      <c r="I6577" s="11">
        <v>4</v>
      </c>
      <c r="J6577" s="11">
        <v>0</v>
      </c>
      <c r="K6577" s="11" t="s">
        <v>21</v>
      </c>
      <c r="L6577" s="7">
        <v>41567.506967592592</v>
      </c>
      <c r="M6577" s="12" t="s">
        <v>14859</v>
      </c>
      <c r="N6577" s="12" t="s">
        <v>14860</v>
      </c>
      <c r="O6577" s="10" t="str">
        <f>HYPERLINK("https://pbs.twimg.com/profile_images/540370001723916288/XeEHR1Go_normal.jpeg","View")</f>
        <v>View</v>
      </c>
      <c r="P6577" s="11"/>
    </row>
    <row r="6578" spans="1:16" ht="12.75" x14ac:dyDescent="0.35">
      <c r="A6578" s="7">
        <v>42484.133275462962</v>
      </c>
      <c r="B6578" s="8" t="str">
        <f>HYPERLINK("https://twitter.com/kelllsohara","@kelllsohara")</f>
        <v>@kelllsohara</v>
      </c>
      <c r="C6578" s="9" t="s">
        <v>14861</v>
      </c>
      <c r="D6578" s="9" t="s">
        <v>14843</v>
      </c>
      <c r="E6578" s="10" t="str">
        <f>HYPERLINK("https://twitter.com/kelllsohara/status/723990309881843712","723990309881843712")</f>
        <v>723990309881843712</v>
      </c>
      <c r="F6578" s="11" t="s">
        <v>48</v>
      </c>
      <c r="G6578" s="11">
        <v>49</v>
      </c>
      <c r="H6578" s="11">
        <v>1909</v>
      </c>
      <c r="I6578" s="11">
        <v>4</v>
      </c>
      <c r="J6578" s="11">
        <v>0</v>
      </c>
      <c r="K6578" s="11" t="s">
        <v>21</v>
      </c>
      <c r="L6578" s="7">
        <v>41083.028182870374</v>
      </c>
      <c r="M6578" s="12"/>
      <c r="N6578" s="12" t="s">
        <v>14862</v>
      </c>
      <c r="O6578" s="10" t="str">
        <f>HYPERLINK("https://pbs.twimg.com/profile_images/594598794114695169/21t2blj3_normal.jpg","View")</f>
        <v>View</v>
      </c>
      <c r="P6578" s="11"/>
    </row>
    <row r="6579" spans="1:16" ht="12.75" x14ac:dyDescent="0.35">
      <c r="A6579" s="7">
        <v>42484.133356481485</v>
      </c>
      <c r="B6579" s="8" t="str">
        <f>HYPERLINK("https://twitter.com/ebaycampervans","@ebaycampervans")</f>
        <v>@ebaycampervans</v>
      </c>
      <c r="C6579" s="9" t="s">
        <v>682</v>
      </c>
      <c r="D6579" s="9" t="s">
        <v>14863</v>
      </c>
      <c r="E6579" s="10" t="str">
        <f>HYPERLINK("https://twitter.com/ebaycampervans/status/723990337669074944","723990337669074944")</f>
        <v>723990337669074944</v>
      </c>
      <c r="F6579" s="11" t="s">
        <v>34</v>
      </c>
      <c r="G6579" s="11">
        <v>382</v>
      </c>
      <c r="H6579" s="11">
        <v>1002</v>
      </c>
      <c r="I6579" s="11">
        <v>0</v>
      </c>
      <c r="J6579" s="11">
        <v>0</v>
      </c>
      <c r="K6579" s="11" t="s">
        <v>21</v>
      </c>
      <c r="L6579" s="7">
        <v>42140.207604166666</v>
      </c>
      <c r="M6579" s="12"/>
      <c r="N6579" s="12" t="s">
        <v>684</v>
      </c>
      <c r="O6579" s="10" t="str">
        <f>HYPERLINK("https://pbs.twimg.com/profile_images/599357023407464449/BL9Bpo6T_normal.jpg","View")</f>
        <v>View</v>
      </c>
      <c r="P6579" s="11"/>
    </row>
    <row r="6580" spans="1:16" ht="12.75" x14ac:dyDescent="0.35">
      <c r="A6580" s="7">
        <v>42484.133483796293</v>
      </c>
      <c r="B6580" s="8" t="str">
        <f>HYPERLINK("https://twitter.com/LeoRogeris","@LeoRogeris")</f>
        <v>@LeoRogeris</v>
      </c>
      <c r="C6580" s="9" t="s">
        <v>14864</v>
      </c>
      <c r="D6580" s="9" t="s">
        <v>14865</v>
      </c>
      <c r="E6580" s="10" t="str">
        <f>HYPERLINK("https://twitter.com/LeoRogeris/status/723990385534603264","723990385534603264")</f>
        <v>723990385534603264</v>
      </c>
      <c r="F6580" s="11" t="s">
        <v>114</v>
      </c>
      <c r="G6580" s="11">
        <v>753</v>
      </c>
      <c r="H6580" s="11">
        <v>859</v>
      </c>
      <c r="I6580" s="11">
        <v>0</v>
      </c>
      <c r="J6580" s="11">
        <v>0</v>
      </c>
      <c r="K6580" s="11" t="s">
        <v>21</v>
      </c>
      <c r="L6580" s="7">
        <v>39951.999166666668</v>
      </c>
      <c r="M6580" s="12"/>
      <c r="N6580" s="12" t="s">
        <v>14866</v>
      </c>
      <c r="O6580" s="10" t="str">
        <f>HYPERLINK("https://pbs.twimg.com/profile_images/695736685959737346/91Zk4k_M_normal.jpg","View")</f>
        <v>View</v>
      </c>
      <c r="P6580" s="11"/>
    </row>
    <row r="6581" spans="1:16" ht="12.75" x14ac:dyDescent="0.35">
      <c r="A6581" s="7">
        <v>42484.136076388888</v>
      </c>
      <c r="B6581" s="8" t="str">
        <f>HYPERLINK("https://twitter.com/PTPTM0","@PTPTM0")</f>
        <v>@PTPTM0</v>
      </c>
      <c r="C6581" s="9" t="s">
        <v>14867</v>
      </c>
      <c r="D6581" s="9" t="s">
        <v>14843</v>
      </c>
      <c r="E6581" s="10" t="str">
        <f>HYPERLINK("https://twitter.com/PTPTM0/status/723991323410231296","723991323410231296")</f>
        <v>723991323410231296</v>
      </c>
      <c r="F6581" s="11" t="s">
        <v>48</v>
      </c>
      <c r="G6581" s="11">
        <v>25</v>
      </c>
      <c r="H6581" s="11">
        <v>64</v>
      </c>
      <c r="I6581" s="11">
        <v>8</v>
      </c>
      <c r="J6581" s="11">
        <v>0</v>
      </c>
      <c r="K6581" s="11" t="s">
        <v>21</v>
      </c>
      <c r="L6581" s="7">
        <v>42060.996354166666</v>
      </c>
      <c r="M6581" s="12" t="s">
        <v>14868</v>
      </c>
      <c r="N6581" s="12" t="s">
        <v>14869</v>
      </c>
      <c r="O6581" s="10" t="str">
        <f>HYPERLINK("https://pbs.twimg.com/profile_images/594600472654184448/pUU50-zM_normal.jpg","View")</f>
        <v>View</v>
      </c>
      <c r="P6581" s="11"/>
    </row>
    <row r="6582" spans="1:16" ht="12.75" x14ac:dyDescent="0.35">
      <c r="A6582" s="7">
        <v>42484.136886574073</v>
      </c>
      <c r="B6582" s="8" t="str">
        <f>HYPERLINK("https://twitter.com/MerlinaAlmendra","@MerlinaAlmendra")</f>
        <v>@MerlinaAlmendra</v>
      </c>
      <c r="C6582" s="9" t="s">
        <v>6823</v>
      </c>
      <c r="D6582" s="9" t="s">
        <v>14870</v>
      </c>
      <c r="E6582" s="10" t="str">
        <f>HYPERLINK("https://twitter.com/MerlinaAlmendra/status/723991619821658116","723991619821658116")</f>
        <v>723991619821658116</v>
      </c>
      <c r="F6582" s="11" t="s">
        <v>20</v>
      </c>
      <c r="G6582" s="11">
        <v>440</v>
      </c>
      <c r="H6582" s="11">
        <v>303</v>
      </c>
      <c r="I6582" s="11">
        <v>0</v>
      </c>
      <c r="J6582" s="11">
        <v>0</v>
      </c>
      <c r="K6582" s="11" t="s">
        <v>21</v>
      </c>
      <c r="L6582" s="7">
        <v>39816.382696759261</v>
      </c>
      <c r="M6582" s="12" t="s">
        <v>6825</v>
      </c>
      <c r="N6582" s="12" t="s">
        <v>6826</v>
      </c>
      <c r="O6582" s="10" t="str">
        <f>HYPERLINK("https://pbs.twimg.com/profile_images/716386262387527680/iXBQikmn_normal.jpg","View")</f>
        <v>View</v>
      </c>
      <c r="P6582" s="11"/>
    </row>
    <row r="6583" spans="1:16" ht="12.75" x14ac:dyDescent="0.35">
      <c r="A6583" s="7">
        <v>42484.137928240743</v>
      </c>
      <c r="B6583" s="8" t="str">
        <f t="shared" ref="B6583:B6584" si="583">HYPERLINK("https://twitter.com/LaurenH51219678","@LaurenH51219678")</f>
        <v>@LaurenH51219678</v>
      </c>
      <c r="C6583" s="9" t="s">
        <v>14871</v>
      </c>
      <c r="D6583" s="9" t="s">
        <v>13853</v>
      </c>
      <c r="E6583" s="10" t="str">
        <f>HYPERLINK("https://twitter.com/LaurenH51219678/status/723991996122206210","723991996122206210")</f>
        <v>723991996122206210</v>
      </c>
      <c r="F6583" s="11" t="s">
        <v>20</v>
      </c>
      <c r="G6583" s="11">
        <v>218</v>
      </c>
      <c r="H6583" s="11">
        <v>252</v>
      </c>
      <c r="I6583" s="11">
        <v>3</v>
      </c>
      <c r="J6583" s="11">
        <v>0</v>
      </c>
      <c r="K6583" s="11" t="s">
        <v>21</v>
      </c>
      <c r="L6583" s="7">
        <v>41245.113587962966</v>
      </c>
      <c r="M6583" s="12"/>
      <c r="N6583" s="12" t="s">
        <v>14872</v>
      </c>
      <c r="O6583" s="10" t="str">
        <f t="shared" ref="O6583:O6584" si="584">HYPERLINK("https://pbs.twimg.com/profile_images/718771637177491456/sQ3Aguzt_normal.jpg","View")</f>
        <v>View</v>
      </c>
      <c r="P6583" s="11"/>
    </row>
    <row r="6584" spans="1:16" ht="12.75" x14ac:dyDescent="0.35">
      <c r="A6584" s="7">
        <v>42484.138032407413</v>
      </c>
      <c r="B6584" s="8" t="str">
        <f t="shared" si="583"/>
        <v>@LaurenH51219678</v>
      </c>
      <c r="C6584" s="9" t="s">
        <v>14871</v>
      </c>
      <c r="D6584" s="9" t="s">
        <v>13852</v>
      </c>
      <c r="E6584" s="10" t="str">
        <f>HYPERLINK("https://twitter.com/LaurenH51219678/status/723992033128505345","723992033128505345")</f>
        <v>723992033128505345</v>
      </c>
      <c r="F6584" s="11" t="s">
        <v>20</v>
      </c>
      <c r="G6584" s="11">
        <v>218</v>
      </c>
      <c r="H6584" s="11">
        <v>252</v>
      </c>
      <c r="I6584" s="11">
        <v>3</v>
      </c>
      <c r="J6584" s="11">
        <v>0</v>
      </c>
      <c r="K6584" s="11" t="s">
        <v>21</v>
      </c>
      <c r="L6584" s="7">
        <v>41245.113587962966</v>
      </c>
      <c r="M6584" s="12"/>
      <c r="N6584" s="12" t="s">
        <v>14872</v>
      </c>
      <c r="O6584" s="10" t="str">
        <f t="shared" si="584"/>
        <v>View</v>
      </c>
      <c r="P6584" s="11"/>
    </row>
    <row r="6585" spans="1:16" ht="12.75" x14ac:dyDescent="0.35">
      <c r="A6585" s="7">
        <v>42484.138541666667</v>
      </c>
      <c r="B6585" s="8" t="str">
        <f>HYPERLINK("https://twitter.com/janekglbbons","@janekglbbons")</f>
        <v>@janekglbbons</v>
      </c>
      <c r="C6585" s="9" t="s">
        <v>14873</v>
      </c>
      <c r="D6585" s="9" t="s">
        <v>14843</v>
      </c>
      <c r="E6585" s="10" t="str">
        <f>HYPERLINK("https://twitter.com/janekglbbons/status/723992216599969792","723992216599969792")</f>
        <v>723992216599969792</v>
      </c>
      <c r="F6585" s="11" t="s">
        <v>48</v>
      </c>
      <c r="G6585" s="11">
        <v>229</v>
      </c>
      <c r="H6585" s="11">
        <v>114</v>
      </c>
      <c r="I6585" s="11">
        <v>8</v>
      </c>
      <c r="J6585" s="11">
        <v>0</v>
      </c>
      <c r="K6585" s="11" t="s">
        <v>21</v>
      </c>
      <c r="L6585" s="7">
        <v>41566.232268518521</v>
      </c>
      <c r="M6585" s="12" t="s">
        <v>14874</v>
      </c>
      <c r="N6585" s="12" t="s">
        <v>575</v>
      </c>
      <c r="O6585" s="10" t="str">
        <f>HYPERLINK("https://pbs.twimg.com/profile_images/534267709093990400/jaRfmyBl_normal.jpeg","View")</f>
        <v>View</v>
      </c>
      <c r="P6585" s="11"/>
    </row>
    <row r="6586" spans="1:16" ht="12.75" x14ac:dyDescent="0.35">
      <c r="A6586" s="7">
        <v>42484.139652777776</v>
      </c>
      <c r="B6586" s="8" t="str">
        <f>HYPERLINK("https://twitter.com/VWCamperSales","@VWCamperSales")</f>
        <v>@VWCamperSales</v>
      </c>
      <c r="C6586" s="9" t="s">
        <v>216</v>
      </c>
      <c r="D6586" s="9" t="s">
        <v>14875</v>
      </c>
      <c r="E6586" s="10" t="str">
        <f>HYPERLINK("https://twitter.com/VWCamperSales/status/723992620280602624","723992620280602624")</f>
        <v>723992620280602624</v>
      </c>
      <c r="F6586" s="10" t="s">
        <v>124</v>
      </c>
      <c r="G6586" s="11">
        <v>622</v>
      </c>
      <c r="H6586" s="11">
        <v>580</v>
      </c>
      <c r="I6586" s="11">
        <v>0</v>
      </c>
      <c r="J6586" s="11">
        <v>0</v>
      </c>
      <c r="K6586" s="11" t="s">
        <v>21</v>
      </c>
      <c r="L6586" s="7">
        <v>42215.98809027778</v>
      </c>
      <c r="M6586" s="12" t="s">
        <v>129</v>
      </c>
      <c r="N6586" s="12" t="s">
        <v>218</v>
      </c>
      <c r="O6586" s="10" t="str">
        <f>HYPERLINK("https://pbs.twimg.com/profile_images/627949001179037696/skEBkS05_normal.jpg","View")</f>
        <v>View</v>
      </c>
      <c r="P6586" s="11"/>
    </row>
    <row r="6587" spans="1:16" ht="12.75" x14ac:dyDescent="0.35">
      <c r="A6587" s="7">
        <v>42484.139710648145</v>
      </c>
      <c r="B6587" s="8" t="str">
        <f>HYPERLINK("https://twitter.com/ckindel","@ckindel")</f>
        <v>@ckindel</v>
      </c>
      <c r="C6587" s="9" t="s">
        <v>14876</v>
      </c>
      <c r="D6587" s="9" t="s">
        <v>14877</v>
      </c>
      <c r="E6587" s="10" t="str">
        <f>HYPERLINK("https://twitter.com/ckindel/status/723992640627331072","723992640627331072")</f>
        <v>723992640627331072</v>
      </c>
      <c r="F6587" s="11" t="s">
        <v>68</v>
      </c>
      <c r="G6587" s="11">
        <v>12111</v>
      </c>
      <c r="H6587" s="11">
        <v>830</v>
      </c>
      <c r="I6587" s="11">
        <v>0</v>
      </c>
      <c r="J6587" s="11">
        <v>0</v>
      </c>
      <c r="K6587" s="11" t="s">
        <v>21</v>
      </c>
      <c r="L6587" s="7">
        <v>39642.943043981482</v>
      </c>
      <c r="M6587" s="12" t="s">
        <v>14878</v>
      </c>
      <c r="N6587" s="12" t="s">
        <v>14879</v>
      </c>
      <c r="O6587" s="10" t="str">
        <f>HYPERLINK("https://pbs.twimg.com/profile_images/695743870223589376/HIfxgvUt_normal.jpg","View")</f>
        <v>View</v>
      </c>
      <c r="P6587" s="11"/>
    </row>
    <row r="6588" spans="1:16" ht="12.75" x14ac:dyDescent="0.35">
      <c r="A6588" s="7">
        <v>42484.139803240745</v>
      </c>
      <c r="B6588" s="8" t="str">
        <f>HYPERLINK("https://twitter.com/jarrodau","@jarrodau")</f>
        <v>@jarrodau</v>
      </c>
      <c r="C6588" s="9" t="s">
        <v>14880</v>
      </c>
      <c r="D6588" s="9" t="s">
        <v>14881</v>
      </c>
      <c r="E6588" s="10" t="str">
        <f>HYPERLINK("https://twitter.com/jarrodau/status/723992673783304192","723992673783304192")</f>
        <v>723992673783304192</v>
      </c>
      <c r="F6588" s="11" t="s">
        <v>68</v>
      </c>
      <c r="G6588" s="11">
        <v>121</v>
      </c>
      <c r="H6588" s="11">
        <v>458</v>
      </c>
      <c r="I6588" s="11">
        <v>0</v>
      </c>
      <c r="J6588" s="11">
        <v>0</v>
      </c>
      <c r="K6588" s="11" t="s">
        <v>21</v>
      </c>
      <c r="L6588" s="7">
        <v>41217.196469907409</v>
      </c>
      <c r="M6588" s="12" t="s">
        <v>14882</v>
      </c>
      <c r="N6588" s="12" t="s">
        <v>14883</v>
      </c>
      <c r="O6588" s="10" t="str">
        <f>HYPERLINK("https://pbs.twimg.com/profile_images/533518254497890305/leQoSDPL_normal.jpeg","View")</f>
        <v>View</v>
      </c>
      <c r="P6588" s="11"/>
    </row>
    <row r="6589" spans="1:16" ht="12.75" x14ac:dyDescent="0.35">
      <c r="A6589" s="7">
        <v>42484.142905092594</v>
      </c>
      <c r="B6589" s="8" t="str">
        <f>HYPERLINK("https://twitter.com/purplehalr_xo","@purplehalr_xo")</f>
        <v>@purplehalr_xo</v>
      </c>
      <c r="C6589" s="9" t="s">
        <v>14884</v>
      </c>
      <c r="D6589" s="9" t="s">
        <v>14843</v>
      </c>
      <c r="E6589" s="10" t="str">
        <f>HYPERLINK("https://twitter.com/purplehalr_xo/status/723993798251044864","723993798251044864")</f>
        <v>723993798251044864</v>
      </c>
      <c r="F6589" s="11" t="s">
        <v>48</v>
      </c>
      <c r="G6589" s="11">
        <v>243</v>
      </c>
      <c r="H6589" s="11">
        <v>121</v>
      </c>
      <c r="I6589" s="11">
        <v>8</v>
      </c>
      <c r="J6589" s="11">
        <v>0</v>
      </c>
      <c r="K6589" s="11" t="s">
        <v>21</v>
      </c>
      <c r="L6589" s="7">
        <v>41568.290486111109</v>
      </c>
      <c r="M6589" s="12" t="s">
        <v>14885</v>
      </c>
      <c r="N6589" s="12">
        <v>18</v>
      </c>
      <c r="O6589" s="10" t="str">
        <f>HYPERLINK("https://pbs.twimg.com/profile_images/541559605290364928/Qmf_JkLj_normal.jpeg","View")</f>
        <v>View</v>
      </c>
      <c r="P6589" s="11"/>
    </row>
    <row r="6590" spans="1:16" ht="12.75" x14ac:dyDescent="0.35">
      <c r="A6590" s="7">
        <v>42484.143703703703</v>
      </c>
      <c r="B6590" s="8" t="str">
        <f t="shared" ref="B6590:B6591" si="585">HYPERLINK("https://twitter.com/OnlineCarReview","@OnlineCarReview")</f>
        <v>@OnlineCarReview</v>
      </c>
      <c r="C6590" s="9" t="s">
        <v>176</v>
      </c>
      <c r="D6590" s="9" t="s">
        <v>14886</v>
      </c>
      <c r="E6590" s="10" t="str">
        <f>HYPERLINK("https://twitter.com/OnlineCarReview/status/723994090405122048","723994090405122048")</f>
        <v>723994090405122048</v>
      </c>
      <c r="F6590" s="11" t="s">
        <v>34</v>
      </c>
      <c r="G6590" s="11">
        <v>838</v>
      </c>
      <c r="H6590" s="11">
        <v>568</v>
      </c>
      <c r="I6590" s="11">
        <v>0</v>
      </c>
      <c r="J6590" s="11">
        <v>0</v>
      </c>
      <c r="K6590" s="11" t="s">
        <v>21</v>
      </c>
      <c r="L6590" s="7">
        <v>42282.979201388887</v>
      </c>
      <c r="M6590" s="12"/>
      <c r="N6590" s="12" t="s">
        <v>178</v>
      </c>
      <c r="O6590" s="10" t="str">
        <f t="shared" ref="O6590:O6591" si="586">HYPERLINK("https://pbs.twimg.com/profile_images/652871584131092480/QA_B6SBO_normal.jpg","View")</f>
        <v>View</v>
      </c>
      <c r="P6590" s="11"/>
    </row>
    <row r="6591" spans="1:16" ht="12.75" x14ac:dyDescent="0.35">
      <c r="A6591" s="7">
        <v>42484.14371527778</v>
      </c>
      <c r="B6591" s="8" t="str">
        <f t="shared" si="585"/>
        <v>@OnlineCarReview</v>
      </c>
      <c r="C6591" s="9" t="s">
        <v>176</v>
      </c>
      <c r="D6591" s="9" t="s">
        <v>14887</v>
      </c>
      <c r="E6591" s="10" t="str">
        <f>HYPERLINK("https://twitter.com/OnlineCarReview/status/723994091298529280","723994091298529280")</f>
        <v>723994091298529280</v>
      </c>
      <c r="F6591" s="11" t="s">
        <v>34</v>
      </c>
      <c r="G6591" s="11">
        <v>838</v>
      </c>
      <c r="H6591" s="11">
        <v>568</v>
      </c>
      <c r="I6591" s="11">
        <v>0</v>
      </c>
      <c r="J6591" s="11">
        <v>0</v>
      </c>
      <c r="K6591" s="11" t="s">
        <v>21</v>
      </c>
      <c r="L6591" s="7">
        <v>42282.979201388887</v>
      </c>
      <c r="M6591" s="12"/>
      <c r="N6591" s="12" t="s">
        <v>178</v>
      </c>
      <c r="O6591" s="10" t="str">
        <f t="shared" si="586"/>
        <v>View</v>
      </c>
      <c r="P6591" s="11"/>
    </row>
    <row r="6592" spans="1:16" ht="12.75" x14ac:dyDescent="0.35">
      <c r="A6592" s="7">
        <v>42484.143831018519</v>
      </c>
      <c r="B6592" s="8" t="str">
        <f>HYPERLINK("https://twitter.com/VWCamperSales","@VWCamperSales")</f>
        <v>@VWCamperSales</v>
      </c>
      <c r="C6592" s="9" t="s">
        <v>216</v>
      </c>
      <c r="D6592" s="9" t="s">
        <v>14888</v>
      </c>
      <c r="E6592" s="10" t="str">
        <f>HYPERLINK("https://twitter.com/VWCamperSales/status/723994134801866753","723994134801866753")</f>
        <v>723994134801866753</v>
      </c>
      <c r="F6592" s="10" t="s">
        <v>124</v>
      </c>
      <c r="G6592" s="11">
        <v>622</v>
      </c>
      <c r="H6592" s="11">
        <v>580</v>
      </c>
      <c r="I6592" s="11">
        <v>0</v>
      </c>
      <c r="J6592" s="11">
        <v>0</v>
      </c>
      <c r="K6592" s="11" t="s">
        <v>21</v>
      </c>
      <c r="L6592" s="7">
        <v>42215.98809027778</v>
      </c>
      <c r="M6592" s="12" t="s">
        <v>129</v>
      </c>
      <c r="N6592" s="12" t="s">
        <v>218</v>
      </c>
      <c r="O6592" s="10" t="str">
        <f>HYPERLINK("https://pbs.twimg.com/profile_images/627949001179037696/skEBkS05_normal.jpg","View")</f>
        <v>View</v>
      </c>
      <c r="P6592" s="11"/>
    </row>
    <row r="6593" spans="1:16" ht="12.75" x14ac:dyDescent="0.35">
      <c r="A6593" s="7">
        <v>42484.143900462965</v>
      </c>
      <c r="B6593" s="8" t="str">
        <f>HYPERLINK("https://twitter.com/Gravantar","@Gravantar")</f>
        <v>@Gravantar</v>
      </c>
      <c r="C6593" s="9" t="s">
        <v>14889</v>
      </c>
      <c r="D6593" s="9" t="s">
        <v>14890</v>
      </c>
      <c r="E6593" s="10" t="str">
        <f>HYPERLINK("https://twitter.com/Gravantar/status/723994161007964161","723994161007964161")</f>
        <v>723994161007964161</v>
      </c>
      <c r="F6593" s="11" t="s">
        <v>43</v>
      </c>
      <c r="G6593" s="11">
        <v>84</v>
      </c>
      <c r="H6593" s="11">
        <v>918</v>
      </c>
      <c r="I6593" s="11">
        <v>0</v>
      </c>
      <c r="J6593" s="11">
        <v>0</v>
      </c>
      <c r="K6593" s="11" t="s">
        <v>21</v>
      </c>
      <c r="L6593" s="7">
        <v>42181.04215277778</v>
      </c>
      <c r="M6593" s="12"/>
      <c r="N6593" s="12" t="s">
        <v>14891</v>
      </c>
      <c r="O6593" s="10" t="str">
        <f>HYPERLINK("https://pbs.twimg.com/profile_images/614154681250656256/TUEyUHnG_normal.jpg","View")</f>
        <v>View</v>
      </c>
      <c r="P6593" s="11"/>
    </row>
    <row r="6594" spans="1:16" ht="12.75" x14ac:dyDescent="0.35">
      <c r="A6594" s="7">
        <v>42484.14439814815</v>
      </c>
      <c r="B6594" s="8" t="str">
        <f>HYPERLINK("https://twitter.com/KKast0rff","@KKast0rff")</f>
        <v>@KKast0rff</v>
      </c>
      <c r="C6594" s="9" t="s">
        <v>14892</v>
      </c>
      <c r="D6594" s="9" t="s">
        <v>14843</v>
      </c>
      <c r="E6594" s="10" t="str">
        <f>HYPERLINK("https://twitter.com/KKast0rff/status/723994342105317377","723994342105317377")</f>
        <v>723994342105317377</v>
      </c>
      <c r="F6594" s="11" t="s">
        <v>48</v>
      </c>
      <c r="G6594" s="11">
        <v>29</v>
      </c>
      <c r="H6594" s="11">
        <v>552</v>
      </c>
      <c r="I6594" s="11">
        <v>8</v>
      </c>
      <c r="J6594" s="11">
        <v>0</v>
      </c>
      <c r="K6594" s="11" t="s">
        <v>21</v>
      </c>
      <c r="L6594" s="7">
        <v>41744.66846064815</v>
      </c>
      <c r="M6594" s="12" t="s">
        <v>14893</v>
      </c>
      <c r="N6594" s="12" t="s">
        <v>14894</v>
      </c>
      <c r="O6594" s="10" t="str">
        <f>HYPERLINK("https://pbs.twimg.com/profile_images/594594462057168896/YfV6rpnt_normal.jpg","View")</f>
        <v>View</v>
      </c>
      <c r="P6594" s="11"/>
    </row>
    <row r="6595" spans="1:16" ht="12.75" x14ac:dyDescent="0.35">
      <c r="A6595" s="7">
        <v>42484.145127314812</v>
      </c>
      <c r="B6595" s="8" t="str">
        <f>HYPERLINK("https://twitter.com/FMX_DBC","@FMX_DBC")</f>
        <v>@FMX_DBC</v>
      </c>
      <c r="C6595" s="9" t="s">
        <v>14895</v>
      </c>
      <c r="D6595" s="9" t="s">
        <v>14896</v>
      </c>
      <c r="E6595" s="10" t="str">
        <f>HYPERLINK("https://twitter.com/FMX_DBC/status/723994605126049793","723994605126049793")</f>
        <v>723994605126049793</v>
      </c>
      <c r="F6595" s="11" t="s">
        <v>114</v>
      </c>
      <c r="G6595" s="11">
        <v>279</v>
      </c>
      <c r="H6595" s="11">
        <v>461</v>
      </c>
      <c r="I6595" s="11">
        <v>0</v>
      </c>
      <c r="J6595" s="11">
        <v>0</v>
      </c>
      <c r="K6595" s="11" t="s">
        <v>21</v>
      </c>
      <c r="L6595" s="7">
        <v>40143.07403935185</v>
      </c>
      <c r="M6595" s="12" t="s">
        <v>14897</v>
      </c>
      <c r="N6595" s="12" t="s">
        <v>14898</v>
      </c>
      <c r="O6595" s="10" t="str">
        <f>HYPERLINK("https://pbs.twimg.com/profile_images/416951767482380288/0F-CgFbE_normal.jpeg","View")</f>
        <v>View</v>
      </c>
      <c r="P6595" s="11"/>
    </row>
    <row r="6596" spans="1:16" ht="12.75" x14ac:dyDescent="0.35">
      <c r="A6596" s="7">
        <v>42484.145138888889</v>
      </c>
      <c r="B6596" s="8" t="str">
        <f>HYPERLINK("https://twitter.com/TroyLangford1","@TroyLangford1")</f>
        <v>@TroyLangford1</v>
      </c>
      <c r="C6596" s="9" t="s">
        <v>14899</v>
      </c>
      <c r="D6596" s="9" t="s">
        <v>14900</v>
      </c>
      <c r="E6596" s="10" t="str">
        <f>HYPERLINK("https://twitter.com/TroyLangford1/status/723994608414429184","723994608414429184")</f>
        <v>723994608414429184</v>
      </c>
      <c r="F6596" s="11" t="s">
        <v>114</v>
      </c>
      <c r="G6596" s="11">
        <v>78</v>
      </c>
      <c r="H6596" s="11">
        <v>282</v>
      </c>
      <c r="I6596" s="11">
        <v>0</v>
      </c>
      <c r="J6596" s="11">
        <v>0</v>
      </c>
      <c r="K6596" s="11" t="s">
        <v>21</v>
      </c>
      <c r="L6596" s="7">
        <v>41686.839999999997</v>
      </c>
      <c r="M6596" s="12" t="s">
        <v>14901</v>
      </c>
      <c r="N6596" s="12" t="s">
        <v>14902</v>
      </c>
      <c r="O6596" s="10" t="str">
        <f>HYPERLINK("https://pbs.twimg.com/profile_images/512791531128750080/twojGp5p_normal.jpeg","View")</f>
        <v>View</v>
      </c>
      <c r="P6596" s="11"/>
    </row>
    <row r="6597" spans="1:16" ht="12.75" x14ac:dyDescent="0.35">
      <c r="A6597" s="7">
        <v>42484.145254629635</v>
      </c>
      <c r="B6597" s="8" t="str">
        <f>HYPERLINK("https://twitter.com/johnmac17","@johnmac17")</f>
        <v>@johnmac17</v>
      </c>
      <c r="C6597" s="9" t="s">
        <v>13891</v>
      </c>
      <c r="D6597" s="9" t="s">
        <v>13852</v>
      </c>
      <c r="E6597" s="10" t="str">
        <f>HYPERLINK("https://twitter.com/johnmac17/status/723994650953048064","723994650953048064")</f>
        <v>723994650953048064</v>
      </c>
      <c r="F6597" s="11" t="s">
        <v>20</v>
      </c>
      <c r="G6597" s="11">
        <v>466</v>
      </c>
      <c r="H6597" s="11">
        <v>465</v>
      </c>
      <c r="I6597" s="11">
        <v>3</v>
      </c>
      <c r="J6597" s="11">
        <v>0</v>
      </c>
      <c r="K6597" s="11" t="s">
        <v>21</v>
      </c>
      <c r="L6597" s="7">
        <v>40382.148402777777</v>
      </c>
      <c r="M6597" s="12" t="s">
        <v>13892</v>
      </c>
      <c r="N6597" s="12" t="s">
        <v>13893</v>
      </c>
      <c r="O6597" s="10" t="str">
        <f>HYPERLINK("https://pbs.twimg.com/profile_images/720902665379659776/3AQo3tuF_normal.jpg","View")</f>
        <v>View</v>
      </c>
      <c r="P6597" s="11"/>
    </row>
    <row r="6598" spans="1:16" ht="12.75" x14ac:dyDescent="0.35">
      <c r="A6598" s="7">
        <v>42484.145532407405</v>
      </c>
      <c r="B6598" s="8" t="str">
        <f>HYPERLINK("https://twitter.com/ValeriaIbanezA","@ValeriaIbanezA")</f>
        <v>@ValeriaIbanezA</v>
      </c>
      <c r="C6598" s="9" t="s">
        <v>14903</v>
      </c>
      <c r="D6598" s="9" t="s">
        <v>14904</v>
      </c>
      <c r="E6598" s="10" t="str">
        <f>HYPERLINK("https://twitter.com/ValeriaIbanezA/status/723994751909933057","723994751909933057")</f>
        <v>723994751909933057</v>
      </c>
      <c r="F6598" s="11" t="s">
        <v>68</v>
      </c>
      <c r="G6598" s="11">
        <v>72</v>
      </c>
      <c r="H6598" s="11">
        <v>126</v>
      </c>
      <c r="I6598" s="11">
        <v>0</v>
      </c>
      <c r="J6598" s="11">
        <v>0</v>
      </c>
      <c r="K6598" s="11" t="s">
        <v>21</v>
      </c>
      <c r="L6598" s="7">
        <v>42469.418981481482</v>
      </c>
      <c r="M6598" s="12"/>
      <c r="N6598" s="12"/>
      <c r="O6598" s="10" t="str">
        <f>HYPERLINK("https://abs.twimg.com/sticky/default_profile_images/default_profile_6_normal.png","View")</f>
        <v>View</v>
      </c>
      <c r="P6598" s="11"/>
    </row>
    <row r="6599" spans="1:16" ht="12.75" x14ac:dyDescent="0.35">
      <c r="A6599" s="7">
        <v>42484.146030092597</v>
      </c>
      <c r="B6599" s="8" t="str">
        <f>HYPERLINK("https://twitter.com/Omar_hola","@Omar_hola")</f>
        <v>@Omar_hola</v>
      </c>
      <c r="C6599" s="9" t="s">
        <v>14905</v>
      </c>
      <c r="D6599" s="9" t="s">
        <v>14906</v>
      </c>
      <c r="E6599" s="10" t="str">
        <f>HYPERLINK("https://twitter.com/Omar_hola/status/723994929953910785","723994929953910785")</f>
        <v>723994929953910785</v>
      </c>
      <c r="F6599" s="11" t="s">
        <v>152</v>
      </c>
      <c r="G6599" s="11">
        <v>267</v>
      </c>
      <c r="H6599" s="11">
        <v>390</v>
      </c>
      <c r="I6599" s="11">
        <v>0</v>
      </c>
      <c r="J6599" s="11">
        <v>0</v>
      </c>
      <c r="K6599" s="11" t="s">
        <v>21</v>
      </c>
      <c r="L6599" s="7">
        <v>40748.431643518517</v>
      </c>
      <c r="M6599" s="12" t="s">
        <v>3359</v>
      </c>
      <c r="N6599" s="12" t="s">
        <v>14907</v>
      </c>
      <c r="O6599" s="10" t="str">
        <f>HYPERLINK("https://pbs.twimg.com/profile_images/564679346342723585/ssVaGFed_normal.jpeg","View")</f>
        <v>View</v>
      </c>
      <c r="P6599" s="11"/>
    </row>
    <row r="6600" spans="1:16" ht="12.75" x14ac:dyDescent="0.35">
      <c r="A6600" s="7">
        <v>42484.146030092597</v>
      </c>
      <c r="B6600" s="8" t="str">
        <f>HYPERLINK("https://twitter.com/robertodesachy","@robertodesachy")</f>
        <v>@robertodesachy</v>
      </c>
      <c r="C6600" s="9" t="s">
        <v>14908</v>
      </c>
      <c r="D6600" s="9" t="s">
        <v>14909</v>
      </c>
      <c r="E6600" s="10" t="str">
        <f>HYPERLINK("https://twitter.com/robertodesachy/status/723994931036065792","723994931036065792")</f>
        <v>723994931036065792</v>
      </c>
      <c r="F6600" s="11" t="s">
        <v>152</v>
      </c>
      <c r="G6600" s="11">
        <v>7032</v>
      </c>
      <c r="H6600" s="11">
        <v>5593</v>
      </c>
      <c r="I6600" s="11">
        <v>0</v>
      </c>
      <c r="J6600" s="11">
        <v>0</v>
      </c>
      <c r="K6600" s="11" t="s">
        <v>21</v>
      </c>
      <c r="L6600" s="7">
        <v>40458.951817129629</v>
      </c>
      <c r="M6600" s="12" t="s">
        <v>3359</v>
      </c>
      <c r="N6600" s="12" t="s">
        <v>14910</v>
      </c>
      <c r="O6600" s="10" t="str">
        <f>HYPERLINK("https://pbs.twimg.com/profile_images/438911154551668736/n6Nlzqp3_normal.jpeg","View")</f>
        <v>View</v>
      </c>
      <c r="P6600" s="11"/>
    </row>
    <row r="6601" spans="1:16" ht="12.75" x14ac:dyDescent="0.35">
      <c r="A6601" s="7">
        <v>42484.146030092597</v>
      </c>
      <c r="B6601" s="8" t="str">
        <f>HYPERLINK("https://twitter.com/desdepuebla1","@desdepuebla1")</f>
        <v>@desdepuebla1</v>
      </c>
      <c r="C6601" s="9" t="s">
        <v>14911</v>
      </c>
      <c r="D6601" s="9" t="s">
        <v>14912</v>
      </c>
      <c r="E6601" s="10" t="str">
        <f>HYPERLINK("https://twitter.com/desdepuebla1/status/723994931094806528","723994931094806528")</f>
        <v>723994931094806528</v>
      </c>
      <c r="F6601" s="11" t="s">
        <v>152</v>
      </c>
      <c r="G6601" s="11">
        <v>2187</v>
      </c>
      <c r="H6601" s="11">
        <v>2396</v>
      </c>
      <c r="I6601" s="11">
        <v>0</v>
      </c>
      <c r="J6601" s="11">
        <v>0</v>
      </c>
      <c r="K6601" s="11" t="s">
        <v>21</v>
      </c>
      <c r="L6601" s="7">
        <v>41755.007789351854</v>
      </c>
      <c r="M6601" s="12" t="s">
        <v>3359</v>
      </c>
      <c r="N6601" s="12" t="s">
        <v>14913</v>
      </c>
      <c r="O6601" s="10" t="str">
        <f>HYPERLINK("https://pbs.twimg.com/profile_images/459765540337119232/b35P2TUL_normal.jpeg","View")</f>
        <v>View</v>
      </c>
      <c r="P6601" s="11"/>
    </row>
    <row r="6602" spans="1:16" ht="12.75" x14ac:dyDescent="0.35">
      <c r="A6602" s="7">
        <v>42484.147199074076</v>
      </c>
      <c r="B6602" s="8" t="str">
        <f>HYPERLINK("https://twitter.com/FuscaWorld","@FuscaWorld")</f>
        <v>@FuscaWorld</v>
      </c>
      <c r="C6602" s="9" t="s">
        <v>74</v>
      </c>
      <c r="D6602" s="9" t="s">
        <v>14914</v>
      </c>
      <c r="E6602" s="10" t="str">
        <f>HYPERLINK("https://twitter.com/FuscaWorld/status/723995354811777026","723995354811777026")</f>
        <v>723995354811777026</v>
      </c>
      <c r="F6602" s="11" t="s">
        <v>76</v>
      </c>
      <c r="G6602" s="11">
        <v>49</v>
      </c>
      <c r="H6602" s="11">
        <v>1</v>
      </c>
      <c r="I6602" s="11">
        <v>1</v>
      </c>
      <c r="J6602" s="11">
        <v>0</v>
      </c>
      <c r="K6602" s="11" t="s">
        <v>21</v>
      </c>
      <c r="L6602" s="7">
        <v>42433.880914351852</v>
      </c>
      <c r="M6602" s="12"/>
      <c r="N6602" s="12" t="s">
        <v>77</v>
      </c>
      <c r="O6602" s="10" t="str">
        <f>HYPERLINK("https://pbs.twimg.com/profile_images/705780107844067328/e7O4UBNb_normal.jpg","View")</f>
        <v>View</v>
      </c>
      <c r="P6602" s="11"/>
    </row>
    <row r="6603" spans="1:16" ht="12.75" x14ac:dyDescent="0.35">
      <c r="A6603" s="7">
        <v>42484.147303240738</v>
      </c>
      <c r="B6603" s="8" t="str">
        <f>HYPERLINK("https://twitter.com/andrewtconway","@andrewtconway")</f>
        <v>@andrewtconway</v>
      </c>
      <c r="C6603" s="9" t="s">
        <v>14915</v>
      </c>
      <c r="D6603" s="9" t="s">
        <v>14916</v>
      </c>
      <c r="E6603" s="10" t="str">
        <f>HYPERLINK("https://twitter.com/andrewtconway/status/723995393256755203","723995393256755203")</f>
        <v>723995393256755203</v>
      </c>
      <c r="F6603" s="11" t="s">
        <v>20</v>
      </c>
      <c r="G6603" s="11">
        <v>141</v>
      </c>
      <c r="H6603" s="11">
        <v>623</v>
      </c>
      <c r="I6603" s="11">
        <v>0</v>
      </c>
      <c r="J6603" s="11">
        <v>0</v>
      </c>
      <c r="K6603" s="11" t="s">
        <v>21</v>
      </c>
      <c r="L6603" s="7">
        <v>40906.675636574073</v>
      </c>
      <c r="M6603" s="12" t="s">
        <v>14917</v>
      </c>
      <c r="N6603" s="12" t="s">
        <v>14918</v>
      </c>
      <c r="O6603" s="10" t="str">
        <f>HYPERLINK("https://pbs.twimg.com/profile_images/663706932805550081/6fH0YlqP_normal.jpg","View")</f>
        <v>View</v>
      </c>
      <c r="P6603" s="11"/>
    </row>
    <row r="6604" spans="1:16" ht="12.75" x14ac:dyDescent="0.35">
      <c r="A6604" s="7">
        <v>42484.147418981476</v>
      </c>
      <c r="B6604" s="8" t="str">
        <f>HYPERLINK("https://twitter.com/autogefuehl","@autogefuehl")</f>
        <v>@autogefuehl</v>
      </c>
      <c r="C6604" s="9" t="s">
        <v>14919</v>
      </c>
      <c r="D6604" s="9" t="s">
        <v>14920</v>
      </c>
      <c r="E6604" s="10" t="str">
        <f>HYPERLINK("https://twitter.com/autogefuehl/status/723995435757625344","723995435757625344")</f>
        <v>723995435757625344</v>
      </c>
      <c r="F6604" s="11" t="s">
        <v>2206</v>
      </c>
      <c r="G6604" s="11">
        <v>1116</v>
      </c>
      <c r="H6604" s="11">
        <v>729</v>
      </c>
      <c r="I6604" s="11">
        <v>0</v>
      </c>
      <c r="J6604" s="11">
        <v>0</v>
      </c>
      <c r="K6604" s="11" t="s">
        <v>21</v>
      </c>
      <c r="L6604" s="7">
        <v>41115.570439814815</v>
      </c>
      <c r="M6604" s="12"/>
      <c r="N6604" s="12" t="s">
        <v>14921</v>
      </c>
      <c r="O6604" s="10" t="str">
        <f>HYPERLINK("https://pbs.twimg.com/profile_images/378800000057574733/abb38e6b9c302ca61c9803fde73cfcd4_normal.jpeg","View")</f>
        <v>View</v>
      </c>
      <c r="P6604" s="11"/>
    </row>
    <row r="6605" spans="1:16" ht="12.75" x14ac:dyDescent="0.35">
      <c r="A6605" s="7">
        <v>42484.148993055554</v>
      </c>
      <c r="B6605" s="8" t="str">
        <f>HYPERLINK("https://twitter.com/SocialMAXorg","@SocialMAXorg")</f>
        <v>@SocialMAXorg</v>
      </c>
      <c r="C6605" s="9" t="s">
        <v>395</v>
      </c>
      <c r="D6605" s="9" t="s">
        <v>2997</v>
      </c>
      <c r="E6605" s="10" t="str">
        <f>HYPERLINK("https://twitter.com/SocialMAXorg/status/723996003729285120","723996003729285120")</f>
        <v>723996003729285120</v>
      </c>
      <c r="F6605" s="11" t="s">
        <v>43</v>
      </c>
      <c r="G6605" s="11">
        <v>34050</v>
      </c>
      <c r="H6605" s="11">
        <v>32688</v>
      </c>
      <c r="I6605" s="11">
        <v>5</v>
      </c>
      <c r="J6605" s="11">
        <v>0</v>
      </c>
      <c r="K6605" s="11" t="s">
        <v>21</v>
      </c>
      <c r="L6605" s="7">
        <v>41122.91946759259</v>
      </c>
      <c r="M6605" s="12" t="s">
        <v>397</v>
      </c>
      <c r="N6605" s="12" t="s">
        <v>398</v>
      </c>
      <c r="O6605" s="10" t="str">
        <f>HYPERLINK("https://pbs.twimg.com/profile_images/675744269617893376/euzFIoRi_normal.png","View")</f>
        <v>View</v>
      </c>
      <c r="P6605" s="11"/>
    </row>
    <row r="6606" spans="1:16" ht="12.75" x14ac:dyDescent="0.35">
      <c r="A6606" s="7">
        <v>42484.149328703701</v>
      </c>
      <c r="B6606" s="8" t="str">
        <f>HYPERLINK("https://twitter.com/ParkwayVW","@ParkwayVW")</f>
        <v>@ParkwayVW</v>
      </c>
      <c r="C6606" s="9" t="s">
        <v>10581</v>
      </c>
      <c r="D6606" s="9" t="s">
        <v>14922</v>
      </c>
      <c r="E6606" s="10" t="str">
        <f>HYPERLINK("https://twitter.com/ParkwayVW/status/723996125842165761","723996125842165761")</f>
        <v>723996125842165761</v>
      </c>
      <c r="F6606" s="11" t="s">
        <v>53</v>
      </c>
      <c r="G6606" s="11">
        <v>726</v>
      </c>
      <c r="H6606" s="11">
        <v>1453</v>
      </c>
      <c r="I6606" s="11">
        <v>0</v>
      </c>
      <c r="J6606" s="11">
        <v>0</v>
      </c>
      <c r="K6606" s="11" t="s">
        <v>21</v>
      </c>
      <c r="L6606" s="7">
        <v>40399.911608796298</v>
      </c>
      <c r="M6606" s="12" t="s">
        <v>209</v>
      </c>
      <c r="N6606" s="12" t="s">
        <v>10583</v>
      </c>
      <c r="O6606" s="10" t="str">
        <f>HYPERLINK("https://pbs.twimg.com/profile_images/2635317758/7c2c4ad3f1a9ec07740a743a22591d59_normal.png","View")</f>
        <v>View</v>
      </c>
      <c r="P6606" s="11"/>
    </row>
    <row r="6607" spans="1:16" ht="12.75" x14ac:dyDescent="0.35">
      <c r="A6607" s="7">
        <v>42484.150879629626</v>
      </c>
      <c r="B6607" s="8" t="str">
        <f>HYPERLINK("https://twitter.com/k__h3nd","@k__h3nd")</f>
        <v>@k__h3nd</v>
      </c>
      <c r="C6607" s="9" t="s">
        <v>14923</v>
      </c>
      <c r="D6607" s="9" t="s">
        <v>14843</v>
      </c>
      <c r="E6607" s="10" t="str">
        <f>HYPERLINK("https://twitter.com/k__h3nd/status/723996688478773248","723996688478773248")</f>
        <v>723996688478773248</v>
      </c>
      <c r="F6607" s="11" t="s">
        <v>48</v>
      </c>
      <c r="G6607" s="11">
        <v>280</v>
      </c>
      <c r="H6607" s="11">
        <v>276</v>
      </c>
      <c r="I6607" s="11">
        <v>11</v>
      </c>
      <c r="J6607" s="11">
        <v>0</v>
      </c>
      <c r="K6607" s="11" t="s">
        <v>21</v>
      </c>
      <c r="L6607" s="7">
        <v>41567.075902777782</v>
      </c>
      <c r="M6607" s="12" t="s">
        <v>14924</v>
      </c>
      <c r="N6607" s="12" t="s">
        <v>14925</v>
      </c>
      <c r="O6607" s="10" t="str">
        <f>HYPERLINK("https://pbs.twimg.com/profile_images/539542069124300800/Nx83VwHR_normal.jpeg","View")</f>
        <v>View</v>
      </c>
      <c r="P6607" s="11"/>
    </row>
    <row r="6608" spans="1:16" ht="12.75" x14ac:dyDescent="0.35">
      <c r="A6608" s="7">
        <v>42484.150902777779</v>
      </c>
      <c r="B6608" s="8" t="str">
        <f>HYPERLINK("https://twitter.com/LDCcreations","@LDCcreations")</f>
        <v>@LDCcreations</v>
      </c>
      <c r="C6608" s="9" t="s">
        <v>5596</v>
      </c>
      <c r="D6608" s="9" t="s">
        <v>14926</v>
      </c>
      <c r="E6608" s="10" t="str">
        <f>HYPERLINK("https://twitter.com/LDCcreations/status/723996698561929216","723996698561929216")</f>
        <v>723996698561929216</v>
      </c>
      <c r="F6608" s="11" t="s">
        <v>43</v>
      </c>
      <c r="G6608" s="11">
        <v>1429</v>
      </c>
      <c r="H6608" s="11">
        <v>1713</v>
      </c>
      <c r="I6608" s="11">
        <v>0</v>
      </c>
      <c r="J6608" s="11">
        <v>0</v>
      </c>
      <c r="K6608" s="11" t="s">
        <v>21</v>
      </c>
      <c r="L6608" s="7">
        <v>41234.2106712963</v>
      </c>
      <c r="M6608" s="12"/>
      <c r="N6608" s="12" t="s">
        <v>5598</v>
      </c>
      <c r="O6608" s="10" t="str">
        <f>HYPERLINK("https://pbs.twimg.com/profile_images/3546807418/358648ceafebcd1bc86c677256332c33_normal.jpeg","View")</f>
        <v>View</v>
      </c>
      <c r="P6608" s="11"/>
    </row>
    <row r="6609" spans="1:16" ht="12.75" x14ac:dyDescent="0.35">
      <c r="A6609" s="7">
        <v>42484.151423611111</v>
      </c>
      <c r="B6609" s="8" t="str">
        <f>HYPERLINK("https://twitter.com/terl_mor","@terl_mor")</f>
        <v>@terl_mor</v>
      </c>
      <c r="C6609" s="9" t="s">
        <v>14927</v>
      </c>
      <c r="D6609" s="9" t="s">
        <v>14843</v>
      </c>
      <c r="E6609" s="10" t="str">
        <f>HYPERLINK("https://twitter.com/terl_mor/status/723996887313973248","723996887313973248")</f>
        <v>723996887313973248</v>
      </c>
      <c r="F6609" s="11" t="s">
        <v>48</v>
      </c>
      <c r="G6609" s="11">
        <v>373</v>
      </c>
      <c r="H6609" s="11">
        <v>75</v>
      </c>
      <c r="I6609" s="11">
        <v>11</v>
      </c>
      <c r="J6609" s="11">
        <v>0</v>
      </c>
      <c r="K6609" s="11" t="s">
        <v>21</v>
      </c>
      <c r="L6609" s="7">
        <v>41568.013807870375</v>
      </c>
      <c r="M6609" s="12" t="s">
        <v>14928</v>
      </c>
      <c r="N6609" s="12" t="s">
        <v>14929</v>
      </c>
      <c r="O6609" s="10" t="str">
        <f>HYPERLINK("https://pbs.twimg.com/profile_images/541516912371707904/H-NvkAOD_normal.jpeg","View")</f>
        <v>View</v>
      </c>
      <c r="P6609" s="11"/>
    </row>
    <row r="6610" spans="1:16" ht="12.75" x14ac:dyDescent="0.35">
      <c r="A6610" s="7">
        <v>42484.153229166666</v>
      </c>
      <c r="B6610" s="8" t="str">
        <f>HYPERLINK("https://twitter.com/Maricofre2","@Maricofre2")</f>
        <v>@Maricofre2</v>
      </c>
      <c r="C6610" s="9" t="s">
        <v>14930</v>
      </c>
      <c r="D6610" s="9" t="s">
        <v>14518</v>
      </c>
      <c r="E6610" s="10" t="str">
        <f>HYPERLINK("https://twitter.com/Maricofre2/status/723997542070013954","723997542070013954")</f>
        <v>723997542070013954</v>
      </c>
      <c r="F6610" s="11" t="s">
        <v>48</v>
      </c>
      <c r="G6610" s="11">
        <v>524</v>
      </c>
      <c r="H6610" s="11">
        <v>866</v>
      </c>
      <c r="I6610" s="11">
        <v>57</v>
      </c>
      <c r="J6610" s="11">
        <v>0</v>
      </c>
      <c r="K6610" s="11" t="s">
        <v>21</v>
      </c>
      <c r="L6610" s="7">
        <v>40492.179629629631</v>
      </c>
      <c r="M6610" s="12" t="s">
        <v>866</v>
      </c>
      <c r="N6610" s="12" t="s">
        <v>14931</v>
      </c>
      <c r="O6610" s="10" t="str">
        <f>HYPERLINK("https://pbs.twimg.com/profile_images/706339835821293568/uyrqrH27_normal.jpg","View")</f>
        <v>View</v>
      </c>
      <c r="P6610" s="11"/>
    </row>
    <row r="6611" spans="1:16" ht="12.75" x14ac:dyDescent="0.35">
      <c r="A6611" s="7">
        <v>42484.153611111113</v>
      </c>
      <c r="B6611" s="8" t="str">
        <f>HYPERLINK("https://twitter.com/speedsoundtech","@speedsoundtech")</f>
        <v>@speedsoundtech</v>
      </c>
      <c r="C6611" s="9" t="s">
        <v>14932</v>
      </c>
      <c r="D6611" s="9" t="s">
        <v>14933</v>
      </c>
      <c r="E6611" s="10" t="str">
        <f>HYPERLINK("https://twitter.com/speedsoundtech/status/723997677306953730","723997677306953730")</f>
        <v>723997677306953730</v>
      </c>
      <c r="F6611" s="11" t="s">
        <v>53</v>
      </c>
      <c r="G6611" s="11">
        <v>23</v>
      </c>
      <c r="H6611" s="11">
        <v>6</v>
      </c>
      <c r="I6611" s="11">
        <v>0</v>
      </c>
      <c r="J6611" s="11">
        <v>0</v>
      </c>
      <c r="K6611" s="11" t="s">
        <v>21</v>
      </c>
      <c r="L6611" s="7">
        <v>40216.12364583333</v>
      </c>
      <c r="M6611" s="12"/>
      <c r="N6611" s="12"/>
      <c r="O6611" s="10" t="str">
        <f>HYPERLINK("https://pbs.twimg.com/profile_images/530009594236370944/9ZNr2jpQ_normal.jpeg","View")</f>
        <v>View</v>
      </c>
      <c r="P6611" s="11"/>
    </row>
    <row r="6612" spans="1:16" ht="12.75" x14ac:dyDescent="0.35">
      <c r="A6612" s="7">
        <v>42484.153854166667</v>
      </c>
      <c r="B6612" s="8" t="str">
        <f t="shared" ref="B6612:B6613" si="587">HYPERLINK("https://twitter.com/dubbusses","@dubbusses")</f>
        <v>@dubbusses</v>
      </c>
      <c r="C6612" s="9" t="s">
        <v>14338</v>
      </c>
      <c r="D6612" s="9" t="s">
        <v>14934</v>
      </c>
      <c r="E6612" s="10" t="str">
        <f>HYPERLINK("https://twitter.com/dubbusses/status/723997766159065088","723997766159065088")</f>
        <v>723997766159065088</v>
      </c>
      <c r="F6612" s="11" t="s">
        <v>68</v>
      </c>
      <c r="G6612" s="11">
        <v>418</v>
      </c>
      <c r="H6612" s="11">
        <v>2369</v>
      </c>
      <c r="I6612" s="11">
        <v>0</v>
      </c>
      <c r="J6612" s="11">
        <v>0</v>
      </c>
      <c r="K6612" s="11" t="s">
        <v>21</v>
      </c>
      <c r="L6612" s="7">
        <v>42469.905393518522</v>
      </c>
      <c r="M6612" s="12" t="s">
        <v>14340</v>
      </c>
      <c r="N6612" s="12"/>
      <c r="O6612" s="10" t="str">
        <f t="shared" ref="O6612:O6613" si="588">HYPERLINK("https://pbs.twimg.com/profile_images/718835727027580928/1ssyQ67y_normal.jpg","View")</f>
        <v>View</v>
      </c>
      <c r="P6612" s="11"/>
    </row>
    <row r="6613" spans="1:16" ht="12.75" x14ac:dyDescent="0.35">
      <c r="A6613" s="7">
        <v>42484.153900462959</v>
      </c>
      <c r="B6613" s="8" t="str">
        <f t="shared" si="587"/>
        <v>@dubbusses</v>
      </c>
      <c r="C6613" s="9" t="s">
        <v>14338</v>
      </c>
      <c r="D6613" s="9" t="s">
        <v>14935</v>
      </c>
      <c r="E6613" s="10" t="str">
        <f>HYPERLINK("https://twitter.com/dubbusses/status/723997785289285632","723997785289285632")</f>
        <v>723997785289285632</v>
      </c>
      <c r="F6613" s="11" t="s">
        <v>68</v>
      </c>
      <c r="G6613" s="11">
        <v>418</v>
      </c>
      <c r="H6613" s="11">
        <v>2369</v>
      </c>
      <c r="I6613" s="11">
        <v>0</v>
      </c>
      <c r="J6613" s="11">
        <v>0</v>
      </c>
      <c r="K6613" s="11" t="s">
        <v>21</v>
      </c>
      <c r="L6613" s="7">
        <v>42469.905393518522</v>
      </c>
      <c r="M6613" s="12" t="s">
        <v>14340</v>
      </c>
      <c r="N6613" s="12"/>
      <c r="O6613" s="10" t="str">
        <f t="shared" si="588"/>
        <v>View</v>
      </c>
      <c r="P6613" s="11"/>
    </row>
    <row r="6614" spans="1:16" ht="12.75" x14ac:dyDescent="0.35">
      <c r="A6614" s="7">
        <v>42484.154236111106</v>
      </c>
      <c r="B6614" s="8" t="str">
        <f>HYPERLINK("https://twitter.com/LusinaMatias","@LusinaMatias")</f>
        <v>@LusinaMatias</v>
      </c>
      <c r="C6614" s="9" t="s">
        <v>14936</v>
      </c>
      <c r="D6614" s="9" t="s">
        <v>14518</v>
      </c>
      <c r="E6614" s="10" t="str">
        <f>HYPERLINK("https://twitter.com/LusinaMatias/status/723997904550150148","723997904550150148")</f>
        <v>723997904550150148</v>
      </c>
      <c r="F6614" s="11" t="s">
        <v>48</v>
      </c>
      <c r="G6614" s="11">
        <v>113</v>
      </c>
      <c r="H6614" s="11">
        <v>317</v>
      </c>
      <c r="I6614" s="11">
        <v>57</v>
      </c>
      <c r="J6614" s="11">
        <v>0</v>
      </c>
      <c r="K6614" s="11" t="s">
        <v>21</v>
      </c>
      <c r="L6614" s="7">
        <v>42017.773576388892</v>
      </c>
      <c r="M6614" s="12" t="s">
        <v>14937</v>
      </c>
      <c r="N6614" s="12" t="s">
        <v>14938</v>
      </c>
      <c r="O6614" s="10" t="str">
        <f>HYPERLINK("https://pbs.twimg.com/profile_images/723340492340121600/YW3LHsNb_normal.jpg","View")</f>
        <v>View</v>
      </c>
      <c r="P6614" s="11"/>
    </row>
    <row r="6615" spans="1:16" ht="12.75" x14ac:dyDescent="0.35">
      <c r="A6615" s="7">
        <v>42484.154456018514</v>
      </c>
      <c r="B6615" s="8" t="str">
        <f>HYPERLINK("https://twitter.com/mk5_jetta","@mk5_jetta")</f>
        <v>@mk5_jetta</v>
      </c>
      <c r="C6615" s="9" t="s">
        <v>14939</v>
      </c>
      <c r="D6615" s="9" t="s">
        <v>14940</v>
      </c>
      <c r="E6615" s="10" t="str">
        <f>HYPERLINK("https://twitter.com/mk5_jetta/status/723997986414436356","723997986414436356")</f>
        <v>723997986414436356</v>
      </c>
      <c r="F6615" s="11" t="s">
        <v>20</v>
      </c>
      <c r="G6615" s="11">
        <v>1</v>
      </c>
      <c r="H6615" s="11">
        <v>5</v>
      </c>
      <c r="I6615" s="11">
        <v>0</v>
      </c>
      <c r="J6615" s="11">
        <v>0</v>
      </c>
      <c r="K6615" s="11" t="s">
        <v>21</v>
      </c>
      <c r="L6615" s="7">
        <v>42484.150787037041</v>
      </c>
      <c r="M6615" s="12"/>
      <c r="N6615" s="12" t="s">
        <v>14941</v>
      </c>
      <c r="O6615" s="10" t="str">
        <f>HYPERLINK("https://pbs.twimg.com/profile_images/723997524051124224/f34alsaD_normal.jpg","View")</f>
        <v>View</v>
      </c>
      <c r="P6615" s="11"/>
    </row>
    <row r="6616" spans="1:16" ht="12.75" x14ac:dyDescent="0.35">
      <c r="A6616" s="7">
        <v>42484.154606481483</v>
      </c>
      <c r="B6616" s="8" t="str">
        <f>HYPERLINK("https://twitter.com/amdonahue92","@amdonahue92")</f>
        <v>@amdonahue92</v>
      </c>
      <c r="C6616" s="9" t="s">
        <v>14942</v>
      </c>
      <c r="D6616" s="9" t="s">
        <v>14843</v>
      </c>
      <c r="E6616" s="10" t="str">
        <f>HYPERLINK("https://twitter.com/amdonahue92/status/723998040227471360","723998040227471360")</f>
        <v>723998040227471360</v>
      </c>
      <c r="F6616" s="11" t="s">
        <v>48</v>
      </c>
      <c r="G6616" s="11">
        <v>277</v>
      </c>
      <c r="H6616" s="11">
        <v>330</v>
      </c>
      <c r="I6616" s="11">
        <v>11</v>
      </c>
      <c r="J6616" s="11">
        <v>0</v>
      </c>
      <c r="K6616" s="11" t="s">
        <v>21</v>
      </c>
      <c r="L6616" s="7">
        <v>41567.540972222225</v>
      </c>
      <c r="M6616" s="12" t="s">
        <v>14943</v>
      </c>
      <c r="N6616" s="12" t="s">
        <v>14944</v>
      </c>
      <c r="O6616" s="10" t="str">
        <f>HYPERLINK("https://pbs.twimg.com/profile_images/540374264990687232/QgGq-XFE_normal.jpeg","View")</f>
        <v>View</v>
      </c>
      <c r="P6616" s="11"/>
    </row>
    <row r="6617" spans="1:16" ht="12.75" x14ac:dyDescent="0.35">
      <c r="A6617" s="7">
        <v>42484.156064814815</v>
      </c>
      <c r="B6617" s="8" t="str">
        <f>HYPERLINK("https://twitter.com/khilogram","@khilogram")</f>
        <v>@khilogram</v>
      </c>
      <c r="C6617" s="9" t="s">
        <v>28</v>
      </c>
      <c r="D6617" s="9" t="s">
        <v>14945</v>
      </c>
      <c r="E6617" s="10" t="str">
        <f>HYPERLINK("https://twitter.com/khilogram/status/723998568168718336","723998568168718336")</f>
        <v>723998568168718336</v>
      </c>
      <c r="F6617" s="11" t="s">
        <v>20</v>
      </c>
      <c r="G6617" s="11">
        <v>866</v>
      </c>
      <c r="H6617" s="11">
        <v>363</v>
      </c>
      <c r="I6617" s="11">
        <v>0</v>
      </c>
      <c r="J6617" s="11">
        <v>0</v>
      </c>
      <c r="K6617" s="11" t="s">
        <v>21</v>
      </c>
      <c r="L6617" s="7">
        <v>40344.445416666669</v>
      </c>
      <c r="M6617" s="12" t="s">
        <v>30</v>
      </c>
      <c r="N6617" s="12" t="s">
        <v>31</v>
      </c>
      <c r="O6617" s="10" t="str">
        <f>HYPERLINK("https://pbs.twimg.com/profile_images/721573146306830337/ZW0NIcS2_normal.jpg","View")</f>
        <v>View</v>
      </c>
      <c r="P6617" s="11"/>
    </row>
    <row r="6618" spans="1:16" ht="12.75" x14ac:dyDescent="0.35">
      <c r="A6618" s="7">
        <v>42484.157129629632</v>
      </c>
      <c r="B6618" s="8" t="str">
        <f>HYPERLINK("https://twitter.com/chezaily","@chezaily")</f>
        <v>@chezaily</v>
      </c>
      <c r="C6618" s="9" t="s">
        <v>14946</v>
      </c>
      <c r="D6618" s="9" t="s">
        <v>14843</v>
      </c>
      <c r="E6618" s="10" t="str">
        <f>HYPERLINK("https://twitter.com/chezaily/status/723998952438247424","723998952438247424")</f>
        <v>723998952438247424</v>
      </c>
      <c r="F6618" s="11" t="s">
        <v>48</v>
      </c>
      <c r="G6618" s="11">
        <v>259</v>
      </c>
      <c r="H6618" s="11">
        <v>299</v>
      </c>
      <c r="I6618" s="11">
        <v>13</v>
      </c>
      <c r="J6618" s="11">
        <v>0</v>
      </c>
      <c r="K6618" s="11" t="s">
        <v>21</v>
      </c>
      <c r="L6618" s="7">
        <v>41567.980254629627</v>
      </c>
      <c r="M6618" s="12" t="s">
        <v>14947</v>
      </c>
      <c r="N6618" s="12" t="s">
        <v>14948</v>
      </c>
      <c r="O6618" s="10" t="str">
        <f>HYPERLINK("https://pbs.twimg.com/profile_images/541516828955385857/e-6vr5Kt_normal.png","View")</f>
        <v>View</v>
      </c>
      <c r="P6618" s="11"/>
    </row>
    <row r="6619" spans="1:16" ht="12.75" x14ac:dyDescent="0.35">
      <c r="A6619" s="7">
        <v>42484.15724537037</v>
      </c>
      <c r="B6619" s="8" t="str">
        <f>HYPERLINK("https://twitter.com/zallshaaaa","@zallshaaaa")</f>
        <v>@zallshaaaa</v>
      </c>
      <c r="C6619" s="9" t="s">
        <v>14949</v>
      </c>
      <c r="D6619" s="9" t="s">
        <v>14843</v>
      </c>
      <c r="E6619" s="10" t="str">
        <f>HYPERLINK("https://twitter.com/zallshaaaa/status/723998997703233537","723998997703233537")</f>
        <v>723998997703233537</v>
      </c>
      <c r="F6619" s="11" t="s">
        <v>48</v>
      </c>
      <c r="G6619" s="11">
        <v>340</v>
      </c>
      <c r="H6619" s="11">
        <v>1081</v>
      </c>
      <c r="I6619" s="11">
        <v>13</v>
      </c>
      <c r="J6619" s="11">
        <v>0</v>
      </c>
      <c r="K6619" s="11" t="s">
        <v>21</v>
      </c>
      <c r="L6619" s="7">
        <v>41568.068067129629</v>
      </c>
      <c r="M6619" s="12" t="s">
        <v>14950</v>
      </c>
      <c r="N6619" s="12" t="s">
        <v>14951</v>
      </c>
      <c r="O6619" s="10" t="str">
        <f>HYPERLINK("https://pbs.twimg.com/profile_images/541539301130240000/0Vmv4HRE_normal.jpeg","View")</f>
        <v>View</v>
      </c>
      <c r="P6619" s="11"/>
    </row>
    <row r="6620" spans="1:16" ht="12.75" x14ac:dyDescent="0.35">
      <c r="A6620" s="7">
        <v>42484.157337962963</v>
      </c>
      <c r="B6620" s="8" t="str">
        <f>HYPERLINK("https://twitter.com/fo_sag","@fo_sag")</f>
        <v>@fo_sag</v>
      </c>
      <c r="C6620" s="9" t="s">
        <v>14952</v>
      </c>
      <c r="D6620" s="9" t="s">
        <v>14953</v>
      </c>
      <c r="E6620" s="10" t="str">
        <f>HYPERLINK("https://twitter.com/fo_sag/status/723999028636205056","723999028636205056")</f>
        <v>723999028636205056</v>
      </c>
      <c r="F6620" s="11" t="s">
        <v>48</v>
      </c>
      <c r="G6620" s="11">
        <v>7156</v>
      </c>
      <c r="H6620" s="11">
        <v>7795</v>
      </c>
      <c r="I6620" s="11">
        <v>0</v>
      </c>
      <c r="J6620" s="11">
        <v>0</v>
      </c>
      <c r="K6620" s="11" t="s">
        <v>21</v>
      </c>
      <c r="L6620" s="7">
        <v>41724.776770833334</v>
      </c>
      <c r="M6620" s="12" t="s">
        <v>14954</v>
      </c>
      <c r="N6620" s="12" t="s">
        <v>14955</v>
      </c>
      <c r="O6620" s="10" t="str">
        <f>HYPERLINK("https://pbs.twimg.com/profile_images/675353964821528576/sHqb9p8B_normal.png","View")</f>
        <v>View</v>
      </c>
      <c r="P6620" s="11"/>
    </row>
    <row r="6621" spans="1:16" ht="12.75" x14ac:dyDescent="0.35">
      <c r="A6621" s="7">
        <v>42484.157685185186</v>
      </c>
      <c r="B6621" s="8" t="str">
        <f>HYPERLINK("https://twitter.com/PodeNaoRecife","@PodeNaoRecife")</f>
        <v>@PodeNaoRecife</v>
      </c>
      <c r="C6621" s="9" t="s">
        <v>14956</v>
      </c>
      <c r="D6621" s="9" t="s">
        <v>14957</v>
      </c>
      <c r="E6621" s="10" t="str">
        <f>HYPERLINK("https://twitter.com/PodeNaoRecife/status/723999153903296512","723999153903296512")</f>
        <v>723999153903296512</v>
      </c>
      <c r="F6621" s="11" t="s">
        <v>114</v>
      </c>
      <c r="G6621" s="11">
        <v>446</v>
      </c>
      <c r="H6621" s="11">
        <v>74</v>
      </c>
      <c r="I6621" s="11">
        <v>0</v>
      </c>
      <c r="J6621" s="11">
        <v>0</v>
      </c>
      <c r="K6621" s="11" t="s">
        <v>21</v>
      </c>
      <c r="L6621" s="7">
        <v>42070.2028587963</v>
      </c>
      <c r="M6621" s="12" t="s">
        <v>14958</v>
      </c>
      <c r="N6621" s="12" t="s">
        <v>14959</v>
      </c>
      <c r="O6621" s="10" t="str">
        <f>HYPERLINK("https://pbs.twimg.com/profile_images/629823420801400832/oTfYgW6F_normal.jpg","View")</f>
        <v>View</v>
      </c>
      <c r="P6621" s="11"/>
    </row>
    <row r="6622" spans="1:16" ht="12.75" x14ac:dyDescent="0.35">
      <c r="A6622" s="7">
        <v>42484.157731481479</v>
      </c>
      <c r="B6622" s="8" t="str">
        <f>HYPERLINK("https://twitter.com/VWCamperSales","@VWCamperSales")</f>
        <v>@VWCamperSales</v>
      </c>
      <c r="C6622" s="9" t="s">
        <v>216</v>
      </c>
      <c r="D6622" s="9" t="s">
        <v>14960</v>
      </c>
      <c r="E6622" s="10" t="str">
        <f>HYPERLINK("https://twitter.com/VWCamperSales/status/723999171603091456","723999171603091456")</f>
        <v>723999171603091456</v>
      </c>
      <c r="F6622" s="10" t="s">
        <v>124</v>
      </c>
      <c r="G6622" s="11">
        <v>622</v>
      </c>
      <c r="H6622" s="11">
        <v>580</v>
      </c>
      <c r="I6622" s="11">
        <v>0</v>
      </c>
      <c r="J6622" s="11">
        <v>0</v>
      </c>
      <c r="K6622" s="11" t="s">
        <v>21</v>
      </c>
      <c r="L6622" s="7">
        <v>42215.98809027778</v>
      </c>
      <c r="M6622" s="12" t="s">
        <v>129</v>
      </c>
      <c r="N6622" s="12" t="s">
        <v>218</v>
      </c>
      <c r="O6622" s="10" t="str">
        <f>HYPERLINK("https://pbs.twimg.com/profile_images/627949001179037696/skEBkS05_normal.jpg","View")</f>
        <v>View</v>
      </c>
      <c r="P6622" s="11"/>
    </row>
    <row r="6623" spans="1:16" ht="12.75" x14ac:dyDescent="0.35">
      <c r="A6623" s="7">
        <v>42484.157800925925</v>
      </c>
      <c r="B6623" s="8" t="str">
        <f>HYPERLINK("https://twitter.com/DosOz42","@DosOz42")</f>
        <v>@DosOz42</v>
      </c>
      <c r="C6623" s="9" t="s">
        <v>14961</v>
      </c>
      <c r="D6623" s="9" t="s">
        <v>10493</v>
      </c>
      <c r="E6623" s="10" t="str">
        <f>HYPERLINK("https://twitter.com/DosOz42/status/723999195418509315","723999195418509315")</f>
        <v>723999195418509315</v>
      </c>
      <c r="F6623" s="11" t="s">
        <v>48</v>
      </c>
      <c r="G6623" s="11">
        <v>3088</v>
      </c>
      <c r="H6623" s="11">
        <v>501</v>
      </c>
      <c r="I6623" s="11">
        <v>5</v>
      </c>
      <c r="J6623" s="11">
        <v>0</v>
      </c>
      <c r="K6623" s="11" t="s">
        <v>21</v>
      </c>
      <c r="L6623" s="7">
        <v>40671.259317129632</v>
      </c>
      <c r="M6623" s="12"/>
      <c r="N6623" s="12" t="s">
        <v>14962</v>
      </c>
      <c r="O6623" s="10" t="str">
        <f>HYPERLINK("https://pbs.twimg.com/profile_images/550418294231273473/jfA3pOoK_normal.jpeg","View")</f>
        <v>View</v>
      </c>
      <c r="P6623" s="11"/>
    </row>
    <row r="6624" spans="1:16" ht="12.75" x14ac:dyDescent="0.35">
      <c r="A6624" s="7">
        <v>42484.158217592594</v>
      </c>
      <c r="B6624" s="8" t="str">
        <f>HYPERLINK("https://twitter.com/gotsomeglas","@gotsomeglas")</f>
        <v>@gotsomeglas</v>
      </c>
      <c r="C6624" s="9" t="s">
        <v>14963</v>
      </c>
      <c r="D6624" s="9" t="s">
        <v>14964</v>
      </c>
      <c r="E6624" s="10" t="str">
        <f>HYPERLINK("https://twitter.com/gotsomeglas/status/723999348376363010","723999348376363010")</f>
        <v>723999348376363010</v>
      </c>
      <c r="F6624" s="11" t="s">
        <v>367</v>
      </c>
      <c r="G6624" s="11">
        <v>61</v>
      </c>
      <c r="H6624" s="11">
        <v>559</v>
      </c>
      <c r="I6624" s="11">
        <v>0</v>
      </c>
      <c r="J6624" s="11">
        <v>0</v>
      </c>
      <c r="K6624" s="11" t="s">
        <v>21</v>
      </c>
      <c r="L6624" s="7">
        <v>40196.811435185184</v>
      </c>
      <c r="M6624" s="12"/>
      <c r="N6624" s="12" t="s">
        <v>14965</v>
      </c>
      <c r="O6624" s="10" t="str">
        <f>HYPERLINK("https://pbs.twimg.com/profile_images/723790749981126656/ed--OLBT_normal.jpg","View")</f>
        <v>View</v>
      </c>
      <c r="P6624" s="11"/>
    </row>
    <row r="6625" spans="1:16" ht="12.75" x14ac:dyDescent="0.35">
      <c r="A6625" s="7">
        <v>42484.158553240741</v>
      </c>
      <c r="B6625" s="8" t="str">
        <f>HYPERLINK("https://twitter.com/Kazimirovic104","@Kazimirovic104")</f>
        <v>@Kazimirovic104</v>
      </c>
      <c r="C6625" s="9" t="s">
        <v>14966</v>
      </c>
      <c r="D6625" s="9" t="s">
        <v>14967</v>
      </c>
      <c r="E6625" s="10" t="str">
        <f>HYPERLINK("https://twitter.com/Kazimirovic104/status/723999470770372610","723999470770372610")</f>
        <v>723999470770372610</v>
      </c>
      <c r="F6625" s="11" t="s">
        <v>43</v>
      </c>
      <c r="G6625" s="11">
        <v>121</v>
      </c>
      <c r="H6625" s="11">
        <v>1009</v>
      </c>
      <c r="I6625" s="11">
        <v>1</v>
      </c>
      <c r="J6625" s="11">
        <v>0</v>
      </c>
      <c r="K6625" s="11" t="s">
        <v>21</v>
      </c>
      <c r="L6625" s="7">
        <v>40585.964814814812</v>
      </c>
      <c r="M6625" s="12" t="s">
        <v>14968</v>
      </c>
      <c r="N6625" s="12" t="s">
        <v>14969</v>
      </c>
      <c r="O6625" s="10" t="str">
        <f>HYPERLINK("https://pbs.twimg.com/profile_images/677572613162536962/UIfN8-NR_normal.jpg","View")</f>
        <v>View</v>
      </c>
      <c r="P6625" s="11"/>
    </row>
    <row r="6626" spans="1:16" ht="12.75" x14ac:dyDescent="0.35">
      <c r="A6626" s="7">
        <v>42484.159849537042</v>
      </c>
      <c r="B6626" s="8" t="str">
        <f>HYPERLINK("https://twitter.com/saki12161114","@saki12161114")</f>
        <v>@saki12161114</v>
      </c>
      <c r="C6626" s="9" t="s">
        <v>14970</v>
      </c>
      <c r="D6626" s="9" t="s">
        <v>8592</v>
      </c>
      <c r="E6626" s="10" t="str">
        <f>HYPERLINK("https://twitter.com/saki12161114/status/723999941392130048","723999941392130048")</f>
        <v>723999941392130048</v>
      </c>
      <c r="F6626" s="11" t="s">
        <v>48</v>
      </c>
      <c r="G6626" s="11">
        <v>566</v>
      </c>
      <c r="H6626" s="11">
        <v>563</v>
      </c>
      <c r="I6626" s="11">
        <v>5</v>
      </c>
      <c r="J6626" s="11">
        <v>0</v>
      </c>
      <c r="K6626" s="11" t="s">
        <v>21</v>
      </c>
      <c r="L6626" s="7">
        <v>42416.116932870369</v>
      </c>
      <c r="M6626" s="12"/>
      <c r="N6626" s="12" t="s">
        <v>14971</v>
      </c>
      <c r="O6626" s="10" t="str">
        <f>HYPERLINK("https://pbs.twimg.com/profile_images/699342477040332801/1lZtxf4o_normal.jpg","View")</f>
        <v>View</v>
      </c>
      <c r="P6626" s="11"/>
    </row>
    <row r="6627" spans="1:16" ht="12.75" x14ac:dyDescent="0.35">
      <c r="A6627" s="7">
        <v>42484.162523148145</v>
      </c>
      <c r="B6627" s="8" t="str">
        <f>HYPERLINK("https://twitter.com/Wheelz_me","@Wheelz_me")</f>
        <v>@Wheelz_me</v>
      </c>
      <c r="C6627" s="8" t="s">
        <v>14972</v>
      </c>
      <c r="D6627" s="9" t="s">
        <v>14973</v>
      </c>
      <c r="E6627" s="10" t="str">
        <f>HYPERLINK("https://twitter.com/Wheelz_me/status/724000908179214336","724000908179214336")</f>
        <v>724000908179214336</v>
      </c>
      <c r="F6627" s="11" t="s">
        <v>43</v>
      </c>
      <c r="G6627" s="11">
        <v>302</v>
      </c>
      <c r="H6627" s="11">
        <v>93</v>
      </c>
      <c r="I6627" s="11">
        <v>0</v>
      </c>
      <c r="J6627" s="11">
        <v>0</v>
      </c>
      <c r="K6627" s="11" t="s">
        <v>21</v>
      </c>
      <c r="L6627" s="7">
        <v>41859.209421296298</v>
      </c>
      <c r="M6627" s="12"/>
      <c r="N6627" s="12" t="s">
        <v>14974</v>
      </c>
      <c r="O6627" s="10" t="str">
        <f>HYPERLINK("https://pbs.twimg.com/profile_images/525020643192885248/IrAFt9kX_normal.jpeg","View")</f>
        <v>View</v>
      </c>
      <c r="P6627" s="11"/>
    </row>
    <row r="6628" spans="1:16" ht="12.75" x14ac:dyDescent="0.35">
      <c r="A6628" s="7">
        <v>42484.165312500001</v>
      </c>
      <c r="B6628" s="8" t="str">
        <f>HYPERLINK("https://twitter.com/Karlomart","@Karlomart")</f>
        <v>@Karlomart</v>
      </c>
      <c r="C6628" s="9" t="s">
        <v>2726</v>
      </c>
      <c r="D6628" s="9" t="s">
        <v>14975</v>
      </c>
      <c r="E6628" s="10" t="str">
        <f>HYPERLINK("https://twitter.com/Karlomart/status/724001917140111361","724001917140111361")</f>
        <v>724001917140111361</v>
      </c>
      <c r="F6628" s="11" t="s">
        <v>43</v>
      </c>
      <c r="G6628" s="11">
        <v>59</v>
      </c>
      <c r="H6628" s="11">
        <v>34</v>
      </c>
      <c r="I6628" s="11">
        <v>0</v>
      </c>
      <c r="J6628" s="11">
        <v>0</v>
      </c>
      <c r="K6628" s="11" t="s">
        <v>21</v>
      </c>
      <c r="L6628" s="7">
        <v>40860.371331018519</v>
      </c>
      <c r="M6628" s="12" t="s">
        <v>2728</v>
      </c>
      <c r="N6628" s="12"/>
      <c r="O6628" s="10" t="str">
        <f>HYPERLINK("https://pbs.twimg.com/profile_images/441017002224660480/wMS_0yBK_normal.jpeg","View")</f>
        <v>View</v>
      </c>
      <c r="P6628" s="11"/>
    </row>
    <row r="6629" spans="1:16" ht="12.75" x14ac:dyDescent="0.35">
      <c r="A6629" s="7">
        <v>42484.165439814809</v>
      </c>
      <c r="B6629" s="8" t="str">
        <f>HYPERLINK("https://twitter.com/oldcar_photo","@oldcar_photo")</f>
        <v>@oldcar_photo</v>
      </c>
      <c r="C6629" s="9" t="s">
        <v>1046</v>
      </c>
      <c r="D6629" s="9" t="s">
        <v>14976</v>
      </c>
      <c r="E6629" s="10" t="str">
        <f>HYPERLINK("https://twitter.com/oldcar_photo/status/724001964367990785","724001964367990785")</f>
        <v>724001964367990785</v>
      </c>
      <c r="F6629" s="11" t="s">
        <v>68</v>
      </c>
      <c r="G6629" s="11">
        <v>1996</v>
      </c>
      <c r="H6629" s="11">
        <v>0</v>
      </c>
      <c r="I6629" s="11">
        <v>0</v>
      </c>
      <c r="J6629" s="11">
        <v>0</v>
      </c>
      <c r="K6629" s="11" t="s">
        <v>21</v>
      </c>
      <c r="L6629" s="7">
        <v>42184.7341087963</v>
      </c>
      <c r="M6629" s="12"/>
      <c r="N6629" s="12"/>
      <c r="O6629" s="10" t="str">
        <f>HYPERLINK("https://pbs.twimg.com/profile_images/615493650785660928/XHUh6HOk_normal.jpg","View")</f>
        <v>View</v>
      </c>
      <c r="P6629" s="11"/>
    </row>
    <row r="6630" spans="1:16" ht="12.75" x14ac:dyDescent="0.35">
      <c r="A6630" s="7">
        <v>42484.165520833332</v>
      </c>
      <c r="B6630" s="8" t="str">
        <f>HYPERLINK("https://twitter.com/AlvaroSPalomino","@AlvaroSPalomino")</f>
        <v>@AlvaroSPalomino</v>
      </c>
      <c r="C6630" s="9" t="s">
        <v>14977</v>
      </c>
      <c r="D6630" s="9" t="s">
        <v>14978</v>
      </c>
      <c r="E6630" s="10" t="str">
        <f>HYPERLINK("https://twitter.com/AlvaroSPalomino/status/724001995384823808","724001995384823808")</f>
        <v>724001995384823808</v>
      </c>
      <c r="F6630" s="11" t="s">
        <v>68</v>
      </c>
      <c r="G6630" s="11">
        <v>104</v>
      </c>
      <c r="H6630" s="11">
        <v>186</v>
      </c>
      <c r="I6630" s="11">
        <v>0</v>
      </c>
      <c r="J6630" s="11">
        <v>0</v>
      </c>
      <c r="K6630" s="11" t="s">
        <v>21</v>
      </c>
      <c r="L6630" s="7">
        <v>42474.933229166665</v>
      </c>
      <c r="M6630" s="12"/>
      <c r="N6630" s="12"/>
      <c r="O6630" s="10" t="str">
        <f>HYPERLINK("https://abs.twimg.com/sticky/default_profile_images/default_profile_0_normal.png","View")</f>
        <v>View</v>
      </c>
      <c r="P6630" s="11"/>
    </row>
    <row r="6631" spans="1:16" ht="12.75" x14ac:dyDescent="0.35">
      <c r="A6631" s="7">
        <v>42484.16578703704</v>
      </c>
      <c r="B6631" s="8" t="str">
        <f>HYPERLINK("https://twitter.com/VeeDubMk1_","@VeeDubMk1_")</f>
        <v>@VeeDubMk1_</v>
      </c>
      <c r="C6631" s="9" t="s">
        <v>185</v>
      </c>
      <c r="D6631" s="9" t="s">
        <v>14979</v>
      </c>
      <c r="E6631" s="10" t="str">
        <f>HYPERLINK("https://twitter.com/VeeDubMk1_/status/724002090436202496","724002090436202496")</f>
        <v>724002090436202496</v>
      </c>
      <c r="F6631" s="11" t="s">
        <v>68</v>
      </c>
      <c r="G6631" s="11">
        <v>550</v>
      </c>
      <c r="H6631" s="11">
        <v>3528</v>
      </c>
      <c r="I6631" s="11">
        <v>0</v>
      </c>
      <c r="J6631" s="11">
        <v>0</v>
      </c>
      <c r="K6631" s="11" t="s">
        <v>21</v>
      </c>
      <c r="L6631" s="7">
        <v>42343.063356481478</v>
      </c>
      <c r="M6631" s="12"/>
      <c r="N6631" s="12"/>
      <c r="O6631" s="10" t="str">
        <f>HYPERLINK("https://pbs.twimg.com/profile_images/672878354127839232/M7OYc-zx_normal.jpg","View")</f>
        <v>View</v>
      </c>
      <c r="P6631" s="11"/>
    </row>
    <row r="6632" spans="1:16" ht="12.75" x14ac:dyDescent="0.35">
      <c r="A6632" s="7">
        <v>42484.166724537034</v>
      </c>
      <c r="B6632" s="8" t="str">
        <f>HYPERLINK("https://twitter.com/vw_escarabajo","@vw_escarabajo")</f>
        <v>@vw_escarabajo</v>
      </c>
      <c r="C6632" s="9" t="s">
        <v>408</v>
      </c>
      <c r="D6632" s="9" t="s">
        <v>409</v>
      </c>
      <c r="E6632" s="10" t="str">
        <f>HYPERLINK("https://twitter.com/vw_escarabajo/status/724002429994426369","724002429994426369")</f>
        <v>724002429994426369</v>
      </c>
      <c r="F6632" s="11" t="s">
        <v>410</v>
      </c>
      <c r="G6632" s="11">
        <v>1475</v>
      </c>
      <c r="H6632" s="11">
        <v>568</v>
      </c>
      <c r="I6632" s="11">
        <v>0</v>
      </c>
      <c r="J6632" s="11">
        <v>0</v>
      </c>
      <c r="K6632" s="11" t="s">
        <v>21</v>
      </c>
      <c r="L6632" s="7">
        <v>40525.011643518519</v>
      </c>
      <c r="M6632" s="12"/>
      <c r="N6632" s="12" t="s">
        <v>411</v>
      </c>
      <c r="O6632" s="10" t="str">
        <f>HYPERLINK("https://pbs.twimg.com/profile_images/2335693624/8d0zkbzviiv8pqpcupyd_normal.jpeg","View")</f>
        <v>View</v>
      </c>
      <c r="P6632" s="11"/>
    </row>
    <row r="6633" spans="1:16" ht="12.75" x14ac:dyDescent="0.35">
      <c r="A6633" s="7">
        <v>42484.167523148149</v>
      </c>
      <c r="B6633" s="8" t="str">
        <f>HYPERLINK("https://twitter.com/hallisky","@hallisky")</f>
        <v>@hallisky</v>
      </c>
      <c r="C6633" s="9" t="s">
        <v>14980</v>
      </c>
      <c r="D6633" s="9" t="s">
        <v>14981</v>
      </c>
      <c r="E6633" s="10" t="str">
        <f>HYPERLINK("https://twitter.com/hallisky/status/724002719527264256","724002719527264256")</f>
        <v>724002719527264256</v>
      </c>
      <c r="F6633" s="11" t="s">
        <v>114</v>
      </c>
      <c r="G6633" s="11">
        <v>98</v>
      </c>
      <c r="H6633" s="11">
        <v>252</v>
      </c>
      <c r="I6633" s="11">
        <v>0</v>
      </c>
      <c r="J6633" s="11">
        <v>0</v>
      </c>
      <c r="K6633" s="11" t="s">
        <v>21</v>
      </c>
      <c r="L6633" s="7">
        <v>39888.389143518521</v>
      </c>
      <c r="M6633" s="12" t="s">
        <v>4265</v>
      </c>
      <c r="N6633" s="12"/>
      <c r="O6633" s="10" t="str">
        <f>HYPERLINK("https://pbs.twimg.com/profile_images/1269473946/image_normal.jpg","View")</f>
        <v>View</v>
      </c>
      <c r="P6633" s="10" t="str">
        <f>HYPERLINK("http://ctrlq.org/maps/address/#34.07367246,-118.26050668","Map")</f>
        <v>Map</v>
      </c>
    </row>
    <row r="6634" spans="1:16" ht="12.75" x14ac:dyDescent="0.35">
      <c r="A6634" s="7">
        <v>42484.16815972222</v>
      </c>
      <c r="B6634" s="8" t="str">
        <f>HYPERLINK("https://twitter.com/bumpers_4bernie","@bumpers_4bernie")</f>
        <v>@bumpers_4bernie</v>
      </c>
      <c r="C6634" s="9" t="s">
        <v>14982</v>
      </c>
      <c r="D6634" s="9" t="s">
        <v>14983</v>
      </c>
      <c r="E6634" s="10" t="str">
        <f>HYPERLINK("https://twitter.com/bumpers_4bernie/status/724002952050921472","724002952050921472")</f>
        <v>724002952050921472</v>
      </c>
      <c r="F6634" s="11" t="s">
        <v>114</v>
      </c>
      <c r="G6634" s="11">
        <v>54</v>
      </c>
      <c r="H6634" s="11">
        <v>47</v>
      </c>
      <c r="I6634" s="11">
        <v>0</v>
      </c>
      <c r="J6634" s="11">
        <v>0</v>
      </c>
      <c r="K6634" s="11" t="s">
        <v>21</v>
      </c>
      <c r="L6634" s="7">
        <v>42383.369606481487</v>
      </c>
      <c r="M6634" s="12"/>
      <c r="N6634" s="12"/>
      <c r="O6634" s="10" t="str">
        <f>HYPERLINK("https://pbs.twimg.com/profile_images/687475724815474688/Rs3BfuNy_normal.jpg","View")</f>
        <v>View</v>
      </c>
      <c r="P6634" s="11"/>
    </row>
    <row r="6635" spans="1:16" ht="12.75" x14ac:dyDescent="0.35">
      <c r="A6635" s="7">
        <v>42484.168703703705</v>
      </c>
      <c r="B6635" s="8" t="str">
        <f>HYPERLINK("https://twitter.com/Logistique01","@Logistique01")</f>
        <v>@Logistique01</v>
      </c>
      <c r="C6635" s="9" t="s">
        <v>1804</v>
      </c>
      <c r="D6635" s="9" t="s">
        <v>14984</v>
      </c>
      <c r="E6635" s="10" t="str">
        <f>HYPERLINK("https://twitter.com/Logistique01/status/724003148981886976","724003148981886976")</f>
        <v>724003148981886976</v>
      </c>
      <c r="F6635" s="11" t="s">
        <v>1806</v>
      </c>
      <c r="G6635" s="11">
        <v>155</v>
      </c>
      <c r="H6635" s="11">
        <v>173</v>
      </c>
      <c r="I6635" s="11">
        <v>0</v>
      </c>
      <c r="J6635" s="11">
        <v>0</v>
      </c>
      <c r="K6635" s="11" t="s">
        <v>21</v>
      </c>
      <c r="L6635" s="7">
        <v>41373.671875</v>
      </c>
      <c r="M6635" s="12" t="s">
        <v>1807</v>
      </c>
      <c r="N6635" s="12" t="s">
        <v>1808</v>
      </c>
      <c r="O6635" s="10" t="str">
        <f>HYPERLINK("https://pbs.twimg.com/profile_images/3497903431/ae95594a00a0817e860e73da8fef6dca_normal.png","View")</f>
        <v>View</v>
      </c>
      <c r="P6635" s="11"/>
    </row>
    <row r="6636" spans="1:16" ht="12.75" x14ac:dyDescent="0.35">
      <c r="A6636" s="7">
        <v>42484.169525462959</v>
      </c>
      <c r="B6636" s="8" t="str">
        <f>HYPERLINK("https://twitter.com/VWBeetleSales","@VWBeetleSales")</f>
        <v>@VWBeetleSales</v>
      </c>
      <c r="C6636" s="9" t="s">
        <v>127</v>
      </c>
      <c r="D6636" s="9" t="s">
        <v>14985</v>
      </c>
      <c r="E6636" s="10" t="str">
        <f>HYPERLINK("https://twitter.com/VWBeetleSales/status/724003446987202560","724003446987202560")</f>
        <v>724003446987202560</v>
      </c>
      <c r="F6636" s="10" t="s">
        <v>124</v>
      </c>
      <c r="G6636" s="11">
        <v>36</v>
      </c>
      <c r="H6636" s="11">
        <v>32</v>
      </c>
      <c r="I6636" s="11">
        <v>0</v>
      </c>
      <c r="J6636" s="11">
        <v>0</v>
      </c>
      <c r="K6636" s="11" t="s">
        <v>21</v>
      </c>
      <c r="L6636" s="7">
        <v>42427.019756944443</v>
      </c>
      <c r="M6636" s="12" t="s">
        <v>129</v>
      </c>
      <c r="N6636" s="12" t="s">
        <v>130</v>
      </c>
      <c r="O6636" s="10" t="str">
        <f>HYPERLINK("https://pbs.twimg.com/profile_images/703294545195307008/qeCvrX86_normal.jpg","View")</f>
        <v>View</v>
      </c>
      <c r="P6636" s="11"/>
    </row>
    <row r="6637" spans="1:16" ht="12.75" x14ac:dyDescent="0.35">
      <c r="A6637" s="7">
        <v>42484.170023148152</v>
      </c>
      <c r="B6637" s="8" t="str">
        <f>HYPERLINK("https://twitter.com/FuscaWorld","@FuscaWorld")</f>
        <v>@FuscaWorld</v>
      </c>
      <c r="C6637" s="9" t="s">
        <v>74</v>
      </c>
      <c r="D6637" s="9" t="s">
        <v>420</v>
      </c>
      <c r="E6637" s="10" t="str">
        <f>HYPERLINK("https://twitter.com/FuscaWorld/status/724003626117636097","724003626117636097")</f>
        <v>724003626117636097</v>
      </c>
      <c r="F6637" s="11" t="s">
        <v>76</v>
      </c>
      <c r="G6637" s="11">
        <v>49</v>
      </c>
      <c r="H6637" s="11">
        <v>1</v>
      </c>
      <c r="I6637" s="11">
        <v>1</v>
      </c>
      <c r="J6637" s="11">
        <v>0</v>
      </c>
      <c r="K6637" s="11" t="s">
        <v>21</v>
      </c>
      <c r="L6637" s="7">
        <v>42433.880914351852</v>
      </c>
      <c r="M6637" s="12"/>
      <c r="N6637" s="12" t="s">
        <v>77</v>
      </c>
      <c r="O6637" s="10" t="str">
        <f>HYPERLINK("https://pbs.twimg.com/profile_images/705780107844067328/e7O4UBNb_normal.jpg","View")</f>
        <v>View</v>
      </c>
      <c r="P6637" s="11"/>
    </row>
    <row r="6638" spans="1:16" ht="12.75" x14ac:dyDescent="0.35">
      <c r="A6638" s="7">
        <v>42484.171203703707</v>
      </c>
      <c r="B6638" s="8" t="str">
        <f>HYPERLINK("https://twitter.com/amsalwajih","@amsalwajih")</f>
        <v>@amsalwajih</v>
      </c>
      <c r="C6638" s="9" t="s">
        <v>6231</v>
      </c>
      <c r="D6638" s="9" t="s">
        <v>14986</v>
      </c>
      <c r="E6638" s="10" t="str">
        <f>HYPERLINK("https://twitter.com/amsalwajih/status/724004053856997376","724004053856997376")</f>
        <v>724004053856997376</v>
      </c>
      <c r="F6638" s="11" t="s">
        <v>114</v>
      </c>
      <c r="G6638" s="11">
        <v>95</v>
      </c>
      <c r="H6638" s="11">
        <v>174</v>
      </c>
      <c r="I6638" s="11">
        <v>0</v>
      </c>
      <c r="J6638" s="11">
        <v>0</v>
      </c>
      <c r="K6638" s="11" t="s">
        <v>21</v>
      </c>
      <c r="L6638" s="7">
        <v>40189.151539351849</v>
      </c>
      <c r="M6638" s="12" t="s">
        <v>6233</v>
      </c>
      <c r="N6638" s="12" t="s">
        <v>6234</v>
      </c>
      <c r="O6638" s="10" t="str">
        <f>HYPERLINK("https://pbs.twimg.com/profile_images/576412362711773184/jZSbDGM2_normal.jpeg","View")</f>
        <v>View</v>
      </c>
      <c r="P6638" s="10" t="str">
        <f>HYPERLINK("http://ctrlq.org/maps/address/#38.92354005,-77.23737033","Map")</f>
        <v>Map</v>
      </c>
    </row>
    <row r="6639" spans="1:16" ht="12.75" x14ac:dyDescent="0.35">
      <c r="A6639" s="7">
        <v>42484.171458333338</v>
      </c>
      <c r="B6639" s="8" t="str">
        <f>HYPERLINK("https://twitter.com/DollysdelightsS","@DollysdelightsS")</f>
        <v>@DollysdelightsS</v>
      </c>
      <c r="C6639" s="9" t="s">
        <v>1329</v>
      </c>
      <c r="D6639" s="9" t="s">
        <v>14704</v>
      </c>
      <c r="E6639" s="10" t="str">
        <f>HYPERLINK("https://twitter.com/DollysdelightsS/status/724004146152673281","724004146152673281")</f>
        <v>724004146152673281</v>
      </c>
      <c r="F6639" s="11" t="s">
        <v>20</v>
      </c>
      <c r="G6639" s="11">
        <v>623</v>
      </c>
      <c r="H6639" s="11">
        <v>460</v>
      </c>
      <c r="I6639" s="11">
        <v>2</v>
      </c>
      <c r="J6639" s="11">
        <v>0</v>
      </c>
      <c r="K6639" s="11" t="s">
        <v>21</v>
      </c>
      <c r="L6639" s="7">
        <v>42131.139560185184</v>
      </c>
      <c r="M6639" s="12" t="s">
        <v>1331</v>
      </c>
      <c r="N6639" s="12" t="s">
        <v>1332</v>
      </c>
      <c r="O6639" s="10" t="str">
        <f>HYPERLINK("https://pbs.twimg.com/profile_images/596082788459257856/4JBjLpzQ_normal.jpg","View")</f>
        <v>View</v>
      </c>
      <c r="P6639" s="11"/>
    </row>
    <row r="6640" spans="1:16" ht="12.75" x14ac:dyDescent="0.35">
      <c r="A6640" s="7">
        <v>42484.171655092592</v>
      </c>
      <c r="B6640" s="8" t="str">
        <f>HYPERLINK("https://twitter.com/HansTheGerman","@HansTheGerman")</f>
        <v>@HansTheGerman</v>
      </c>
      <c r="C6640" s="9" t="s">
        <v>4330</v>
      </c>
      <c r="D6640" s="9" t="s">
        <v>12828</v>
      </c>
      <c r="E6640" s="10" t="str">
        <f>HYPERLINK("https://twitter.com/HansTheGerman/status/724004215903932419","724004215903932419")</f>
        <v>724004215903932419</v>
      </c>
      <c r="F6640" s="11" t="s">
        <v>43</v>
      </c>
      <c r="G6640" s="11">
        <v>315</v>
      </c>
      <c r="H6640" s="11">
        <v>763</v>
      </c>
      <c r="I6640" s="11">
        <v>21</v>
      </c>
      <c r="J6640" s="11">
        <v>0</v>
      </c>
      <c r="K6640" s="11" t="s">
        <v>21</v>
      </c>
      <c r="L6640" s="7">
        <v>39950.572777777779</v>
      </c>
      <c r="M6640" s="12" t="s">
        <v>1116</v>
      </c>
      <c r="N6640" s="12" t="s">
        <v>4332</v>
      </c>
      <c r="O6640" s="10" t="str">
        <f>HYPERLINK("https://pbs.twimg.com/profile_images/3012106875/596e712c99a38ec69b925b7f7ab71986_normal.jpeg","View")</f>
        <v>View</v>
      </c>
      <c r="P6640" s="11"/>
    </row>
    <row r="6641" spans="1:16" ht="12.75" x14ac:dyDescent="0.35">
      <c r="A6641" s="7">
        <v>42484.171678240746</v>
      </c>
      <c r="B6641" s="8" t="str">
        <f>HYPERLINK("https://twitter.com/miss_hairpin","@miss_hairpin")</f>
        <v>@miss_hairpin</v>
      </c>
      <c r="C6641" s="9" t="s">
        <v>14987</v>
      </c>
      <c r="D6641" s="9" t="s">
        <v>14518</v>
      </c>
      <c r="E6641" s="10" t="str">
        <f>HYPERLINK("https://twitter.com/miss_hairpin/status/724004227840937986","724004227840937986")</f>
        <v>724004227840937986</v>
      </c>
      <c r="F6641" s="11" t="s">
        <v>43</v>
      </c>
      <c r="G6641" s="11">
        <v>665</v>
      </c>
      <c r="H6641" s="11">
        <v>654</v>
      </c>
      <c r="I6641" s="11">
        <v>58</v>
      </c>
      <c r="J6641" s="11">
        <v>0</v>
      </c>
      <c r="K6641" s="11" t="s">
        <v>21</v>
      </c>
      <c r="L6641" s="7">
        <v>41492.103483796294</v>
      </c>
      <c r="M6641" s="12" t="s">
        <v>14988</v>
      </c>
      <c r="N6641" s="12" t="s">
        <v>14989</v>
      </c>
      <c r="O6641" s="10" t="str">
        <f>HYPERLINK("https://pbs.twimg.com/profile_images/713945344418164738/F20KdC47_normal.jpg","View")</f>
        <v>View</v>
      </c>
      <c r="P6641" s="11"/>
    </row>
    <row r="6642" spans="1:16" ht="12.75" x14ac:dyDescent="0.35">
      <c r="A6642" s="7">
        <v>42484.1721875</v>
      </c>
      <c r="B6642" s="8" t="str">
        <f>HYPERLINK("https://twitter.com/SantaPodRaceway","@SantaPodRaceway")</f>
        <v>@SantaPodRaceway</v>
      </c>
      <c r="C6642" s="9" t="s">
        <v>3995</v>
      </c>
      <c r="D6642" s="9" t="s">
        <v>14990</v>
      </c>
      <c r="E6642" s="10" t="str">
        <f>HYPERLINK("https://twitter.com/SantaPodRaceway/status/724004408867061760","724004408867061760")</f>
        <v>724004408867061760</v>
      </c>
      <c r="F6642" s="11" t="s">
        <v>20</v>
      </c>
      <c r="G6642" s="11">
        <v>12568</v>
      </c>
      <c r="H6642" s="11">
        <v>222</v>
      </c>
      <c r="I6642" s="11">
        <v>1</v>
      </c>
      <c r="J6642" s="11">
        <v>0</v>
      </c>
      <c r="K6642" s="11" t="s">
        <v>21</v>
      </c>
      <c r="L6642" s="7">
        <v>39909.915972222225</v>
      </c>
      <c r="M6642" s="12" t="s">
        <v>3997</v>
      </c>
      <c r="N6642" s="12" t="s">
        <v>3998</v>
      </c>
      <c r="O6642" s="10" t="str">
        <f>HYPERLINK("https://pbs.twimg.com/profile_images/378800000801365829/e9f28f8996ff7f098d9b8a1840e76f50_normal.png","View")</f>
        <v>View</v>
      </c>
      <c r="P6642" s="11"/>
    </row>
    <row r="6643" spans="1:16" ht="12.75" x14ac:dyDescent="0.35">
      <c r="A6643" s="7">
        <v>42484.175451388888</v>
      </c>
      <c r="B6643" s="8" t="str">
        <f>HYPERLINK("https://twitter.com/VWCamperSales","@VWCamperSales")</f>
        <v>@VWCamperSales</v>
      </c>
      <c r="C6643" s="9" t="s">
        <v>216</v>
      </c>
      <c r="D6643" s="9" t="s">
        <v>14991</v>
      </c>
      <c r="E6643" s="10" t="str">
        <f>HYPERLINK("https://twitter.com/VWCamperSales/status/724005593380352000","724005593380352000")</f>
        <v>724005593380352000</v>
      </c>
      <c r="F6643" s="10" t="s">
        <v>124</v>
      </c>
      <c r="G6643" s="11">
        <v>622</v>
      </c>
      <c r="H6643" s="11">
        <v>580</v>
      </c>
      <c r="I6643" s="11">
        <v>0</v>
      </c>
      <c r="J6643" s="11">
        <v>0</v>
      </c>
      <c r="K6643" s="11" t="s">
        <v>21</v>
      </c>
      <c r="L6643" s="7">
        <v>42215.98809027778</v>
      </c>
      <c r="M6643" s="12" t="s">
        <v>129</v>
      </c>
      <c r="N6643" s="12" t="s">
        <v>218</v>
      </c>
      <c r="O6643" s="10" t="str">
        <f>HYPERLINK("https://pbs.twimg.com/profile_images/627949001179037696/skEBkS05_normal.jpg","View")</f>
        <v>View</v>
      </c>
      <c r="P6643" s="11"/>
    </row>
    <row r="6644" spans="1:16" ht="12.75" x14ac:dyDescent="0.35">
      <c r="A6644" s="7">
        <v>42484.177071759259</v>
      </c>
      <c r="B6644" s="8" t="str">
        <f>HYPERLINK("https://twitter.com/zippi","@zippi")</f>
        <v>@zippi</v>
      </c>
      <c r="C6644" s="8" t="s">
        <v>14992</v>
      </c>
      <c r="D6644" s="9" t="s">
        <v>14993</v>
      </c>
      <c r="E6644" s="10" t="str">
        <f>HYPERLINK("https://twitter.com/zippi/status/724006180138393600","724006180138393600")</f>
        <v>724006180138393600</v>
      </c>
      <c r="F6644" s="11" t="s">
        <v>20</v>
      </c>
      <c r="G6644" s="11">
        <v>1901</v>
      </c>
      <c r="H6644" s="11">
        <v>2264</v>
      </c>
      <c r="I6644" s="11">
        <v>1</v>
      </c>
      <c r="J6644" s="11">
        <v>0</v>
      </c>
      <c r="K6644" s="11" t="s">
        <v>21</v>
      </c>
      <c r="L6644" s="7">
        <v>41710.126388888893</v>
      </c>
      <c r="M6644" s="12" t="s">
        <v>14994</v>
      </c>
      <c r="N6644" s="12" t="s">
        <v>14995</v>
      </c>
      <c r="O6644" s="10" t="str">
        <f>HYPERLINK("https://pbs.twimg.com/profile_images/506450977411440641/ABCV3PnH_normal.png","View")</f>
        <v>View</v>
      </c>
      <c r="P6644" s="11"/>
    </row>
    <row r="6645" spans="1:16" ht="12.75" x14ac:dyDescent="0.35">
      <c r="A6645" s="7">
        <v>42484.178541666668</v>
      </c>
      <c r="B6645" s="8" t="str">
        <f>HYPERLINK("https://twitter.com/uaslansoy","@uaslansoy")</f>
        <v>@uaslansoy</v>
      </c>
      <c r="C6645" s="9" t="s">
        <v>14996</v>
      </c>
      <c r="D6645" s="9" t="s">
        <v>14997</v>
      </c>
      <c r="E6645" s="10" t="str">
        <f>HYPERLINK("https://twitter.com/uaslansoy/status/724006711816785921","724006711816785921")</f>
        <v>724006711816785921</v>
      </c>
      <c r="F6645" s="11" t="s">
        <v>114</v>
      </c>
      <c r="G6645" s="11">
        <v>138</v>
      </c>
      <c r="H6645" s="11">
        <v>155</v>
      </c>
      <c r="I6645" s="11">
        <v>0</v>
      </c>
      <c r="J6645" s="11">
        <v>0</v>
      </c>
      <c r="K6645" s="11" t="s">
        <v>21</v>
      </c>
      <c r="L6645" s="7">
        <v>40767.729687500003</v>
      </c>
      <c r="M6645" s="12"/>
      <c r="N6645" s="12" t="s">
        <v>14998</v>
      </c>
      <c r="O6645" s="10" t="str">
        <f>HYPERLINK("https://pbs.twimg.com/profile_images/378800000566385339/947a76f3e7b24fd5c799e63f1682d25a_normal.jpeg","View")</f>
        <v>View</v>
      </c>
      <c r="P6645" s="11"/>
    </row>
    <row r="6646" spans="1:16" ht="12.75" x14ac:dyDescent="0.35">
      <c r="A6646" s="7">
        <v>42484.179780092592</v>
      </c>
      <c r="B6646" s="8" t="str">
        <f>HYPERLINK("https://twitter.com/greycatsunite","@greycatsunite")</f>
        <v>@greycatsunite</v>
      </c>
      <c r="C6646" s="9" t="s">
        <v>14999</v>
      </c>
      <c r="D6646" s="9" t="s">
        <v>15000</v>
      </c>
      <c r="E6646" s="10" t="str">
        <f>HYPERLINK("https://twitter.com/greycatsunite/status/724007161018327040","724007161018327040")</f>
        <v>724007161018327040</v>
      </c>
      <c r="F6646" s="11" t="s">
        <v>68</v>
      </c>
      <c r="G6646" s="11">
        <v>785</v>
      </c>
      <c r="H6646" s="11">
        <v>6</v>
      </c>
      <c r="I6646" s="11">
        <v>0</v>
      </c>
      <c r="J6646" s="11">
        <v>0</v>
      </c>
      <c r="K6646" s="11" t="s">
        <v>21</v>
      </c>
      <c r="L6646" s="7">
        <v>42148.346550925926</v>
      </c>
      <c r="M6646" s="12"/>
      <c r="N6646" s="12" t="s">
        <v>15001</v>
      </c>
      <c r="O6646" s="10" t="str">
        <f>HYPERLINK("https://pbs.twimg.com/profile_images/602306844804059136/7pyX-l_A_normal.jpg","View")</f>
        <v>View</v>
      </c>
      <c r="P6646" s="11"/>
    </row>
    <row r="6647" spans="1:16" ht="12.75" x14ac:dyDescent="0.35">
      <c r="A6647" s="7">
        <v>42484.180821759262</v>
      </c>
      <c r="B6647" s="8" t="str">
        <f t="shared" ref="B6647:B6648" si="589">HYPERLINK("https://twitter.com/Speak_EV","@Speak_EV")</f>
        <v>@Speak_EV</v>
      </c>
      <c r="C6647" s="9" t="s">
        <v>1223</v>
      </c>
      <c r="D6647" s="9" t="s">
        <v>15002</v>
      </c>
      <c r="E6647" s="10" t="str">
        <f>HYPERLINK("https://twitter.com/Speak_EV/status/724007540456083460","724007540456083460")</f>
        <v>724007540456083460</v>
      </c>
      <c r="F6647" s="11" t="s">
        <v>68</v>
      </c>
      <c r="G6647" s="11">
        <v>3927</v>
      </c>
      <c r="H6647" s="11">
        <v>1295</v>
      </c>
      <c r="I6647" s="11">
        <v>0</v>
      </c>
      <c r="J6647" s="11">
        <v>0</v>
      </c>
      <c r="K6647" s="11" t="s">
        <v>21</v>
      </c>
      <c r="L6647" s="7">
        <v>40738.062361111108</v>
      </c>
      <c r="M6647" s="12" t="s">
        <v>1225</v>
      </c>
      <c r="N6647" s="12" t="s">
        <v>1226</v>
      </c>
      <c r="O6647" s="10" t="str">
        <f t="shared" ref="O6647:O6648" si="590">HYPERLINK("https://pbs.twimg.com/profile_images/378800000383656962/389f4a2062ec3c75e130fd84590d969c_normal.png","View")</f>
        <v>View</v>
      </c>
      <c r="P6647" s="11"/>
    </row>
    <row r="6648" spans="1:16" ht="12.75" x14ac:dyDescent="0.35">
      <c r="A6648" s="7">
        <v>42484.180833333332</v>
      </c>
      <c r="B6648" s="8" t="str">
        <f t="shared" si="589"/>
        <v>@Speak_EV</v>
      </c>
      <c r="C6648" s="9" t="s">
        <v>1223</v>
      </c>
      <c r="D6648" s="9" t="s">
        <v>15003</v>
      </c>
      <c r="E6648" s="10" t="str">
        <f>HYPERLINK("https://twitter.com/Speak_EV/status/724007543945699330","724007543945699330")</f>
        <v>724007543945699330</v>
      </c>
      <c r="F6648" s="11" t="s">
        <v>68</v>
      </c>
      <c r="G6648" s="11">
        <v>3927</v>
      </c>
      <c r="H6648" s="11">
        <v>1295</v>
      </c>
      <c r="I6648" s="11">
        <v>0</v>
      </c>
      <c r="J6648" s="11">
        <v>0</v>
      </c>
      <c r="K6648" s="11" t="s">
        <v>21</v>
      </c>
      <c r="L6648" s="7">
        <v>40738.062361111108</v>
      </c>
      <c r="M6648" s="12" t="s">
        <v>1225</v>
      </c>
      <c r="N6648" s="12" t="s">
        <v>1226</v>
      </c>
      <c r="O6648" s="10" t="str">
        <f t="shared" si="590"/>
        <v>View</v>
      </c>
      <c r="P6648" s="11"/>
    </row>
    <row r="6649" spans="1:16" ht="12.75" x14ac:dyDescent="0.35">
      <c r="A6649" s="7">
        <v>42484.181469907402</v>
      </c>
      <c r="B6649" s="8" t="str">
        <f>HYPERLINK("https://twitter.com/el_wakim","@el_wakim")</f>
        <v>@el_wakim</v>
      </c>
      <c r="C6649" s="9" t="s">
        <v>15004</v>
      </c>
      <c r="D6649" s="9" t="s">
        <v>15005</v>
      </c>
      <c r="E6649" s="10" t="str">
        <f>HYPERLINK("https://twitter.com/el_wakim/status/724007774598750209","724007774598750209")</f>
        <v>724007774598750209</v>
      </c>
      <c r="F6649" s="11" t="s">
        <v>48</v>
      </c>
      <c r="G6649" s="11">
        <v>135</v>
      </c>
      <c r="H6649" s="11">
        <v>87</v>
      </c>
      <c r="I6649" s="11">
        <v>7</v>
      </c>
      <c r="J6649" s="11">
        <v>0</v>
      </c>
      <c r="K6649" s="11" t="s">
        <v>21</v>
      </c>
      <c r="L6649" s="7">
        <v>41637.877604166664</v>
      </c>
      <c r="M6649" s="12"/>
      <c r="N6649" s="12"/>
      <c r="O6649" s="10" t="str">
        <f>HYPERLINK("https://pbs.twimg.com/profile_images/417320786819424256/Gkn4-V24_normal.jpeg","View")</f>
        <v>View</v>
      </c>
      <c r="P6649" s="11"/>
    </row>
    <row r="6650" spans="1:16" ht="12.75" x14ac:dyDescent="0.35">
      <c r="A6650" s="7">
        <v>42484.181562500002</v>
      </c>
      <c r="B6650" s="8" t="str">
        <f>HYPERLINK("https://twitter.com/TinoVinoli","@TinoVinoli")</f>
        <v>@TinoVinoli</v>
      </c>
      <c r="C6650" s="9" t="s">
        <v>15006</v>
      </c>
      <c r="D6650" s="9" t="s">
        <v>15005</v>
      </c>
      <c r="E6650" s="10" t="str">
        <f>HYPERLINK("https://twitter.com/TinoVinoli/status/724007809033990144","724007809033990144")</f>
        <v>724007809033990144</v>
      </c>
      <c r="F6650" s="11" t="s">
        <v>48</v>
      </c>
      <c r="G6650" s="11">
        <v>82</v>
      </c>
      <c r="H6650" s="11">
        <v>30</v>
      </c>
      <c r="I6650" s="11">
        <v>7</v>
      </c>
      <c r="J6650" s="11">
        <v>0</v>
      </c>
      <c r="K6650" s="11" t="s">
        <v>21</v>
      </c>
      <c r="L6650" s="7">
        <v>41585.667928240742</v>
      </c>
      <c r="M6650" s="12"/>
      <c r="N6650" s="12"/>
      <c r="O6650" s="10" t="str">
        <f>HYPERLINK("https://pbs.twimg.com/profile_images/653512901634887680/_04pOChq_normal.jpg","View")</f>
        <v>View</v>
      </c>
      <c r="P6650" s="11"/>
    </row>
    <row r="6651" spans="1:16" ht="12.75" x14ac:dyDescent="0.35">
      <c r="A6651" s="7">
        <v>42484.181805555556</v>
      </c>
      <c r="B6651" s="8" t="str">
        <f>HYPERLINK("https://twitter.com/larittaD","@larittaD")</f>
        <v>@larittaD</v>
      </c>
      <c r="C6651" s="9" t="s">
        <v>15007</v>
      </c>
      <c r="D6651" s="9" t="s">
        <v>15005</v>
      </c>
      <c r="E6651" s="10" t="str">
        <f>HYPERLINK("https://twitter.com/larittaD/status/724007894878818304","724007894878818304")</f>
        <v>724007894878818304</v>
      </c>
      <c r="F6651" s="11" t="s">
        <v>48</v>
      </c>
      <c r="G6651" s="11">
        <v>23</v>
      </c>
      <c r="H6651" s="11">
        <v>13</v>
      </c>
      <c r="I6651" s="11">
        <v>7</v>
      </c>
      <c r="J6651" s="11">
        <v>0</v>
      </c>
      <c r="K6651" s="11" t="s">
        <v>21</v>
      </c>
      <c r="L6651" s="7">
        <v>41853.070925925924</v>
      </c>
      <c r="M6651" s="12"/>
      <c r="N6651" s="12"/>
      <c r="O6651" s="10" t="str">
        <f>HYPERLINK("https://pbs.twimg.com/profile_images/646001933522604032/FKkklGHL_normal.jpg","View")</f>
        <v>View</v>
      </c>
      <c r="P6651" s="11"/>
    </row>
    <row r="6652" spans="1:16" ht="12.75" x14ac:dyDescent="0.35">
      <c r="A6652" s="7">
        <v>42484.182025462964</v>
      </c>
      <c r="B6652" s="8" t="str">
        <f>HYPERLINK("https://twitter.com/Rawy_Saba","@Rawy_Saba")</f>
        <v>@Rawy_Saba</v>
      </c>
      <c r="C6652" s="9" t="s">
        <v>15008</v>
      </c>
      <c r="D6652" s="9" t="s">
        <v>15005</v>
      </c>
      <c r="E6652" s="10" t="str">
        <f>HYPERLINK("https://twitter.com/Rawy_Saba/status/724007975203950592","724007975203950592")</f>
        <v>724007975203950592</v>
      </c>
      <c r="F6652" s="11" t="s">
        <v>48</v>
      </c>
      <c r="G6652" s="11">
        <v>363</v>
      </c>
      <c r="H6652" s="11">
        <v>108</v>
      </c>
      <c r="I6652" s="11">
        <v>7</v>
      </c>
      <c r="J6652" s="11">
        <v>0</v>
      </c>
      <c r="K6652" s="11" t="s">
        <v>21</v>
      </c>
      <c r="L6652" s="7">
        <v>40764.702905092592</v>
      </c>
      <c r="M6652" s="12" t="s">
        <v>5663</v>
      </c>
      <c r="N6652" s="12" t="s">
        <v>15009</v>
      </c>
      <c r="O6652" s="10" t="str">
        <f>HYPERLINK("https://pbs.twimg.com/profile_images/513050073849008128/PKRhFxe3_normal.jpeg","View")</f>
        <v>View</v>
      </c>
      <c r="P6652" s="11"/>
    </row>
    <row r="6653" spans="1:16" ht="12.75" x14ac:dyDescent="0.35">
      <c r="A6653" s="7">
        <v>42484.182152777779</v>
      </c>
      <c r="B6653" s="8" t="str">
        <f>HYPERLINK("https://twitter.com/w_Ame7_NEWs","@w_Ame7_NEWs")</f>
        <v>@w_Ame7_NEWs</v>
      </c>
      <c r="C6653" s="9" t="s">
        <v>15010</v>
      </c>
      <c r="D6653" s="9" t="s">
        <v>15005</v>
      </c>
      <c r="E6653" s="10" t="str">
        <f>HYPERLINK("https://twitter.com/w_Ame7_NEWs/status/724008022012366848","724008022012366848")</f>
        <v>724008022012366848</v>
      </c>
      <c r="F6653" s="11" t="s">
        <v>48</v>
      </c>
      <c r="G6653" s="11">
        <v>48</v>
      </c>
      <c r="H6653" s="11">
        <v>26</v>
      </c>
      <c r="I6653" s="11">
        <v>7</v>
      </c>
      <c r="J6653" s="11">
        <v>0</v>
      </c>
      <c r="K6653" s="11" t="s">
        <v>21</v>
      </c>
      <c r="L6653" s="7">
        <v>40573.917673611111</v>
      </c>
      <c r="M6653" s="12" t="s">
        <v>5663</v>
      </c>
      <c r="N6653" s="12"/>
      <c r="O6653" s="10" t="str">
        <f>HYPERLINK("https://pbs.twimg.com/profile_images/3384121948/287e5df302a18d489e9bce00f83ffd7f_normal.png","View")</f>
        <v>View</v>
      </c>
      <c r="P6653" s="11"/>
    </row>
    <row r="6654" spans="1:16" ht="12.75" x14ac:dyDescent="0.35">
      <c r="A6654" s="7">
        <v>42484.18246527778</v>
      </c>
      <c r="B6654" s="8" t="str">
        <f>HYPERLINK("https://twitter.com/netcarshows","@netcarshows")</f>
        <v>@netcarshows</v>
      </c>
      <c r="C6654" s="9" t="s">
        <v>15011</v>
      </c>
      <c r="D6654" s="9" t="s">
        <v>15005</v>
      </c>
      <c r="E6654" s="10" t="str">
        <f>HYPERLINK("https://twitter.com/netcarshows/status/724008136693018624","724008136693018624")</f>
        <v>724008136693018624</v>
      </c>
      <c r="F6654" s="11" t="s">
        <v>48</v>
      </c>
      <c r="G6654" s="11">
        <v>100</v>
      </c>
      <c r="H6654" s="11">
        <v>43</v>
      </c>
      <c r="I6654" s="11">
        <v>7</v>
      </c>
      <c r="J6654" s="11">
        <v>0</v>
      </c>
      <c r="K6654" s="11" t="s">
        <v>21</v>
      </c>
      <c r="L6654" s="7">
        <v>41585.833344907405</v>
      </c>
      <c r="M6654" s="12"/>
      <c r="N6654" s="12"/>
      <c r="O6654" s="10" t="str">
        <f>HYPERLINK("https://pbs.twimg.com/profile_images/546009283486154752/aoEXLSKj_normal.jpeg","View")</f>
        <v>View</v>
      </c>
      <c r="P6654" s="11"/>
    </row>
    <row r="6655" spans="1:16" ht="12.75" x14ac:dyDescent="0.35">
      <c r="A6655" s="7">
        <v>42484.183124999996</v>
      </c>
      <c r="B6655" s="8" t="str">
        <f>HYPERLINK("https://twitter.com/carlosche94","@carlosche94")</f>
        <v>@carlosche94</v>
      </c>
      <c r="C6655" s="9" t="s">
        <v>15012</v>
      </c>
      <c r="D6655" s="9" t="s">
        <v>15013</v>
      </c>
      <c r="E6655" s="10" t="str">
        <f>HYPERLINK("https://twitter.com/carlosche94/status/724008375240036352","724008375240036352")</f>
        <v>724008375240036352</v>
      </c>
      <c r="F6655" s="11" t="s">
        <v>20</v>
      </c>
      <c r="G6655" s="11">
        <v>17</v>
      </c>
      <c r="H6655" s="11">
        <v>46</v>
      </c>
      <c r="I6655" s="11">
        <v>0</v>
      </c>
      <c r="J6655" s="11">
        <v>0</v>
      </c>
      <c r="K6655" s="11" t="s">
        <v>21</v>
      </c>
      <c r="L6655" s="7">
        <v>41524.202048611114</v>
      </c>
      <c r="M6655" s="12" t="s">
        <v>10997</v>
      </c>
      <c r="N6655" s="12" t="s">
        <v>15014</v>
      </c>
      <c r="O6655" s="10" t="str">
        <f>HYPERLINK("https://pbs.twimg.com/profile_images/613659038253981696/IOmiUWdn_normal.jpg","View")</f>
        <v>View</v>
      </c>
      <c r="P6655" s="11"/>
    </row>
    <row r="6656" spans="1:16" ht="12.75" x14ac:dyDescent="0.35">
      <c r="A6656" s="7">
        <v>42484.183958333335</v>
      </c>
      <c r="B6656" s="8" t="str">
        <f>HYPERLINK("https://twitter.com/fzerfass","@fzerfass")</f>
        <v>@fzerfass</v>
      </c>
      <c r="C6656" s="9" t="s">
        <v>9484</v>
      </c>
      <c r="D6656" s="9" t="s">
        <v>14675</v>
      </c>
      <c r="E6656" s="10" t="str">
        <f>HYPERLINK("https://twitter.com/fzerfass/status/724008677242507264","724008677242507264")</f>
        <v>724008677242507264</v>
      </c>
      <c r="F6656" s="11" t="s">
        <v>1838</v>
      </c>
      <c r="G6656" s="11">
        <v>367</v>
      </c>
      <c r="H6656" s="11">
        <v>201</v>
      </c>
      <c r="I6656" s="11">
        <v>4</v>
      </c>
      <c r="J6656" s="11">
        <v>0</v>
      </c>
      <c r="K6656" s="11" t="s">
        <v>21</v>
      </c>
      <c r="L6656" s="7">
        <v>40551.897499999999</v>
      </c>
      <c r="M6656" s="12" t="s">
        <v>9486</v>
      </c>
      <c r="N6656" s="12" t="s">
        <v>9487</v>
      </c>
      <c r="O6656" s="10" t="str">
        <f>HYPERLINK("https://pbs.twimg.com/profile_images/3121139630/cf49c4a28b490fc2d785123b06e6ae84_normal.jpeg","View")</f>
        <v>View</v>
      </c>
      <c r="P6656" s="11"/>
    </row>
    <row r="6657" spans="1:16" ht="12.75" x14ac:dyDescent="0.35">
      <c r="A6657" s="7">
        <v>42484.184999999998</v>
      </c>
      <c r="B6657" s="8" t="str">
        <f>HYPERLINK("https://twitter.com/_No_Chill_","@_No_Chill_")</f>
        <v>@_No_Chill_</v>
      </c>
      <c r="C6657" s="9" t="s">
        <v>15015</v>
      </c>
      <c r="D6657" s="9" t="s">
        <v>15016</v>
      </c>
      <c r="E6657" s="10" t="str">
        <f>HYPERLINK("https://twitter.com/_No_Chill_/status/724009054599782402","724009054599782402")</f>
        <v>724009054599782402</v>
      </c>
      <c r="F6657" s="11" t="s">
        <v>114</v>
      </c>
      <c r="G6657" s="11">
        <v>280</v>
      </c>
      <c r="H6657" s="11">
        <v>277</v>
      </c>
      <c r="I6657" s="11">
        <v>0</v>
      </c>
      <c r="J6657" s="11">
        <v>0</v>
      </c>
      <c r="K6657" s="11" t="s">
        <v>21</v>
      </c>
      <c r="L6657" s="7">
        <v>40294.073113425926</v>
      </c>
      <c r="M6657" s="12" t="s">
        <v>15017</v>
      </c>
      <c r="N6657" s="12" t="s">
        <v>15018</v>
      </c>
      <c r="O6657" s="10" t="str">
        <f>HYPERLINK("https://pbs.twimg.com/profile_images/624839694933581824/2o5BuK1c_normal.jpg","View")</f>
        <v>View</v>
      </c>
      <c r="P6657" s="11"/>
    </row>
    <row r="6658" spans="1:16" ht="12.75" x14ac:dyDescent="0.35">
      <c r="A6658" s="7">
        <v>42484.187118055561</v>
      </c>
      <c r="B6658" s="8" t="str">
        <f>HYPERLINK("https://twitter.com/andreacora66","@andreacora66")</f>
        <v>@andreacora66</v>
      </c>
      <c r="C6658" s="9" t="s">
        <v>15019</v>
      </c>
      <c r="D6658" s="9" t="s">
        <v>9694</v>
      </c>
      <c r="E6658" s="10" t="str">
        <f>HYPERLINK("https://twitter.com/andreacora66/status/724009819502424064","724009819502424064")</f>
        <v>724009819502424064</v>
      </c>
      <c r="F6658" s="11" t="s">
        <v>20</v>
      </c>
      <c r="G6658" s="11">
        <v>23</v>
      </c>
      <c r="H6658" s="11">
        <v>94</v>
      </c>
      <c r="I6658" s="11">
        <v>12</v>
      </c>
      <c r="J6658" s="11">
        <v>0</v>
      </c>
      <c r="K6658" s="11" t="s">
        <v>21</v>
      </c>
      <c r="L6658" s="7">
        <v>41425.455555555556</v>
      </c>
      <c r="M6658" s="12" t="s">
        <v>15020</v>
      </c>
      <c r="N6658" s="12" t="s">
        <v>15021</v>
      </c>
      <c r="O6658" s="10" t="str">
        <f>HYPERLINK("https://pbs.twimg.com/profile_images/642753638511833088/hQVcoI0Z_normal.jpg","View")</f>
        <v>View</v>
      </c>
      <c r="P6658" s="11"/>
    </row>
    <row r="6659" spans="1:16" ht="12.75" x14ac:dyDescent="0.35">
      <c r="A6659" s="7">
        <v>42484.189537037033</v>
      </c>
      <c r="B6659" s="8" t="str">
        <f>HYPERLINK("https://twitter.com/JustKampers","@JustKampers")</f>
        <v>@JustKampers</v>
      </c>
      <c r="C6659" s="9" t="s">
        <v>15022</v>
      </c>
      <c r="D6659" s="9" t="s">
        <v>15023</v>
      </c>
      <c r="E6659" s="10" t="str">
        <f>HYPERLINK("https://twitter.com/JustKampers/status/724010698527920129","724010698527920129")</f>
        <v>724010698527920129</v>
      </c>
      <c r="F6659" s="11" t="s">
        <v>20</v>
      </c>
      <c r="G6659" s="11">
        <v>8684</v>
      </c>
      <c r="H6659" s="11">
        <v>4039</v>
      </c>
      <c r="I6659" s="11">
        <v>1</v>
      </c>
      <c r="J6659" s="11">
        <v>0</v>
      </c>
      <c r="K6659" s="11" t="s">
        <v>21</v>
      </c>
      <c r="L6659" s="7">
        <v>39917.603368055556</v>
      </c>
      <c r="M6659" s="12" t="s">
        <v>15024</v>
      </c>
      <c r="N6659" s="12" t="s">
        <v>15025</v>
      </c>
      <c r="O6659" s="10" t="str">
        <f>HYPERLINK("https://pbs.twimg.com/profile_images/720976955101851649/4hfxGqqa_normal.jpg","View")</f>
        <v>View</v>
      </c>
      <c r="P6659" s="11"/>
    </row>
    <row r="6660" spans="1:16" ht="12.75" x14ac:dyDescent="0.35">
      <c r="A6660" s="7">
        <v>42484.190011574072</v>
      </c>
      <c r="B6660" s="8" t="str">
        <f>HYPERLINK("https://twitter.com/RickyCrompton","@RickyCrompton")</f>
        <v>@RickyCrompton</v>
      </c>
      <c r="C6660" s="9" t="s">
        <v>15026</v>
      </c>
      <c r="D6660" s="9" t="s">
        <v>15027</v>
      </c>
      <c r="E6660" s="10" t="str">
        <f>HYPERLINK("https://twitter.com/RickyCrompton/status/724010868019724289","724010868019724289")</f>
        <v>724010868019724289</v>
      </c>
      <c r="F6660" s="11" t="s">
        <v>20</v>
      </c>
      <c r="G6660" s="11">
        <v>3927</v>
      </c>
      <c r="H6660" s="11">
        <v>825</v>
      </c>
      <c r="I6660" s="11">
        <v>0</v>
      </c>
      <c r="J6660" s="11">
        <v>3</v>
      </c>
      <c r="K6660" s="11" t="s">
        <v>21</v>
      </c>
      <c r="L6660" s="7">
        <v>40687.804560185185</v>
      </c>
      <c r="M6660" s="12" t="s">
        <v>1534</v>
      </c>
      <c r="N6660" s="12" t="s">
        <v>15028</v>
      </c>
      <c r="O6660" s="10" t="str">
        <f>HYPERLINK("https://pbs.twimg.com/profile_images/435196277085585408/VsCPK4hc_normal.jpeg","View")</f>
        <v>View</v>
      </c>
      <c r="P6660" s="11"/>
    </row>
    <row r="6661" spans="1:16" ht="12.75" x14ac:dyDescent="0.35">
      <c r="A6661" s="7">
        <v>42484.192905092597</v>
      </c>
      <c r="B6661" s="8" t="str">
        <f>HYPERLINK("https://twitter.com/CStrategists","@CStrategists")</f>
        <v>@CStrategists</v>
      </c>
      <c r="C6661" s="9" t="s">
        <v>15029</v>
      </c>
      <c r="D6661" s="9" t="s">
        <v>15030</v>
      </c>
      <c r="E6661" s="10" t="str">
        <f>HYPERLINK("https://twitter.com/CStrategists/status/724011917845618689","724011917845618689")</f>
        <v>724011917845618689</v>
      </c>
      <c r="F6661" s="11" t="s">
        <v>43</v>
      </c>
      <c r="G6661" s="11">
        <v>675</v>
      </c>
      <c r="H6661" s="11">
        <v>517</v>
      </c>
      <c r="I6661" s="11">
        <v>1</v>
      </c>
      <c r="J6661" s="11">
        <v>0</v>
      </c>
      <c r="K6661" s="11" t="s">
        <v>21</v>
      </c>
      <c r="L6661" s="7">
        <v>41560.048750000002</v>
      </c>
      <c r="M6661" s="12" t="s">
        <v>7817</v>
      </c>
      <c r="N6661" s="12" t="s">
        <v>15031</v>
      </c>
      <c r="O6661" s="10" t="str">
        <f>HYPERLINK("https://pbs.twimg.com/profile_images/378800000589384483/5e524f341ec994421f4233f16f91bc6b_normal.jpeg","View")</f>
        <v>View</v>
      </c>
      <c r="P6661" s="11"/>
    </row>
    <row r="6662" spans="1:16" ht="12.75" x14ac:dyDescent="0.35">
      <c r="A6662" s="7">
        <v>42484.193842592591</v>
      </c>
      <c r="B6662" s="8" t="str">
        <f>HYPERLINK("https://twitter.com/motorgiga","@motorgiga")</f>
        <v>@motorgiga</v>
      </c>
      <c r="C6662" s="8" t="s">
        <v>6275</v>
      </c>
      <c r="D6662" s="9" t="s">
        <v>15032</v>
      </c>
      <c r="E6662" s="10" t="str">
        <f>HYPERLINK("https://twitter.com/motorgiga/status/724012259698180096","724012259698180096")</f>
        <v>724012259698180096</v>
      </c>
      <c r="F6662" s="11" t="s">
        <v>6277</v>
      </c>
      <c r="G6662" s="11">
        <v>2713</v>
      </c>
      <c r="H6662" s="11">
        <v>2203</v>
      </c>
      <c r="I6662" s="11">
        <v>0</v>
      </c>
      <c r="J6662" s="11">
        <v>0</v>
      </c>
      <c r="K6662" s="11" t="s">
        <v>21</v>
      </c>
      <c r="L6662" s="7">
        <v>40484.860324074078</v>
      </c>
      <c r="M6662" s="12" t="s">
        <v>1622</v>
      </c>
      <c r="N6662" s="12" t="s">
        <v>6278</v>
      </c>
      <c r="O6662" s="10" t="str">
        <f>HYPERLINK("https://pbs.twimg.com/profile_images/512189796068773888/7GP1qCk4_normal.png","View")</f>
        <v>View</v>
      </c>
      <c r="P6662" s="11"/>
    </row>
    <row r="6663" spans="1:16" ht="12.75" x14ac:dyDescent="0.35">
      <c r="A6663" s="7">
        <v>42484.193969907406</v>
      </c>
      <c r="B6663" s="8" t="str">
        <f>HYPERLINK("https://twitter.com/nitromex","@nitromex")</f>
        <v>@nitromex</v>
      </c>
      <c r="C6663" s="9" t="s">
        <v>15033</v>
      </c>
      <c r="D6663" s="9" t="s">
        <v>15034</v>
      </c>
      <c r="E6663" s="10" t="str">
        <f>HYPERLINK("https://twitter.com/nitromex/status/724012305625825280","724012305625825280")</f>
        <v>724012305625825280</v>
      </c>
      <c r="F6663" s="11" t="s">
        <v>114</v>
      </c>
      <c r="G6663" s="11">
        <v>243</v>
      </c>
      <c r="H6663" s="11">
        <v>390</v>
      </c>
      <c r="I6663" s="11">
        <v>0</v>
      </c>
      <c r="J6663" s="11">
        <v>0</v>
      </c>
      <c r="K6663" s="11" t="s">
        <v>21</v>
      </c>
      <c r="L6663" s="7">
        <v>39750.445243055554</v>
      </c>
      <c r="M6663" s="12" t="s">
        <v>15035</v>
      </c>
      <c r="N6663" s="12" t="s">
        <v>15036</v>
      </c>
      <c r="O6663" s="10" t="str">
        <f>HYPERLINK("https://pbs.twimg.com/profile_images/1385008895/avatar_normal.JPEG","View")</f>
        <v>View</v>
      </c>
      <c r="P6663" s="10" t="str">
        <f>HYPERLINK("http://ctrlq.org/maps/address/#19.28384,-99.59781","Map")</f>
        <v>Map</v>
      </c>
    </row>
    <row r="6664" spans="1:16" ht="12.75" x14ac:dyDescent="0.35">
      <c r="A6664" s="7">
        <v>42484.194236111114</v>
      </c>
      <c r="B6664" s="8" t="str">
        <f>HYPERLINK("https://twitter.com/suhailrahmed","@suhailrahmed")</f>
        <v>@suhailrahmed</v>
      </c>
      <c r="C6664" s="9" t="s">
        <v>15037</v>
      </c>
      <c r="D6664" s="9" t="s">
        <v>15038</v>
      </c>
      <c r="E6664" s="10" t="str">
        <f>HYPERLINK("https://twitter.com/suhailrahmed/status/724012401318854656","724012401318854656")</f>
        <v>724012401318854656</v>
      </c>
      <c r="F6664" s="11" t="s">
        <v>20</v>
      </c>
      <c r="G6664" s="11">
        <v>35</v>
      </c>
      <c r="H6664" s="11">
        <v>67</v>
      </c>
      <c r="I6664" s="11">
        <v>0</v>
      </c>
      <c r="J6664" s="11">
        <v>0</v>
      </c>
      <c r="K6664" s="11" t="s">
        <v>21</v>
      </c>
      <c r="L6664" s="7">
        <v>41292.85261574074</v>
      </c>
      <c r="M6664" s="12"/>
      <c r="N6664" s="12" t="s">
        <v>15039</v>
      </c>
      <c r="O6664" s="10" t="str">
        <f>HYPERLINK("https://pbs.twimg.com/profile_images/655421479073554432/TE2gvtM-_normal.jpg","View")</f>
        <v>View</v>
      </c>
      <c r="P6664" s="11"/>
    </row>
    <row r="6665" spans="1:16" ht="12.75" x14ac:dyDescent="0.35">
      <c r="A6665" s="7">
        <v>42484.194293981476</v>
      </c>
      <c r="B6665" s="8" t="str">
        <f>HYPERLINK("https://twitter.com/HansTheGerman","@HansTheGerman")</f>
        <v>@HansTheGerman</v>
      </c>
      <c r="C6665" s="9" t="s">
        <v>4330</v>
      </c>
      <c r="D6665" s="9" t="s">
        <v>15040</v>
      </c>
      <c r="E6665" s="10" t="str">
        <f>HYPERLINK("https://twitter.com/HansTheGerman/status/724012422969888769","724012422969888769")</f>
        <v>724012422969888769</v>
      </c>
      <c r="F6665" s="11" t="s">
        <v>43</v>
      </c>
      <c r="G6665" s="11">
        <v>315</v>
      </c>
      <c r="H6665" s="11">
        <v>763</v>
      </c>
      <c r="I6665" s="11">
        <v>0</v>
      </c>
      <c r="J6665" s="11">
        <v>0</v>
      </c>
      <c r="K6665" s="11" t="s">
        <v>21</v>
      </c>
      <c r="L6665" s="7">
        <v>39950.572777777779</v>
      </c>
      <c r="M6665" s="12" t="s">
        <v>1116</v>
      </c>
      <c r="N6665" s="12" t="s">
        <v>4332</v>
      </c>
      <c r="O6665" s="10" t="str">
        <f>HYPERLINK("https://pbs.twimg.com/profile_images/3012106875/596e712c99a38ec69b925b7f7ab71986_normal.jpeg","View")</f>
        <v>View</v>
      </c>
      <c r="P6665" s="11"/>
    </row>
    <row r="6666" spans="1:16" ht="12.75" x14ac:dyDescent="0.35">
      <c r="A6666" s="7">
        <v>42484.195150462961</v>
      </c>
      <c r="B6666" s="8" t="str">
        <f t="shared" ref="B6666:B6667" si="591">HYPERLINK("https://twitter.com/dubbusses","@dubbusses")</f>
        <v>@dubbusses</v>
      </c>
      <c r="C6666" s="9" t="s">
        <v>14338</v>
      </c>
      <c r="D6666" s="9" t="s">
        <v>15041</v>
      </c>
      <c r="E6666" s="10" t="str">
        <f>HYPERLINK("https://twitter.com/dubbusses/status/724012730659815424","724012730659815424")</f>
        <v>724012730659815424</v>
      </c>
      <c r="F6666" s="11" t="s">
        <v>68</v>
      </c>
      <c r="G6666" s="11">
        <v>420</v>
      </c>
      <c r="H6666" s="11">
        <v>2369</v>
      </c>
      <c r="I6666" s="11">
        <v>0</v>
      </c>
      <c r="J6666" s="11">
        <v>0</v>
      </c>
      <c r="K6666" s="11" t="s">
        <v>21</v>
      </c>
      <c r="L6666" s="7">
        <v>42469.905393518522</v>
      </c>
      <c r="M6666" s="12" t="s">
        <v>14340</v>
      </c>
      <c r="N6666" s="12"/>
      <c r="O6666" s="10" t="str">
        <f t="shared" ref="O6666:O6667" si="592">HYPERLINK("https://pbs.twimg.com/profile_images/718835727027580928/1ssyQ67y_normal.jpg","View")</f>
        <v>View</v>
      </c>
      <c r="P6666" s="11"/>
    </row>
    <row r="6667" spans="1:16" ht="12.75" x14ac:dyDescent="0.35">
      <c r="A6667" s="7">
        <v>42484.195185185185</v>
      </c>
      <c r="B6667" s="8" t="str">
        <f t="shared" si="591"/>
        <v>@dubbusses</v>
      </c>
      <c r="C6667" s="9" t="s">
        <v>14338</v>
      </c>
      <c r="D6667" s="9" t="s">
        <v>15042</v>
      </c>
      <c r="E6667" s="10" t="str">
        <f>HYPERLINK("https://twitter.com/dubbusses/status/724012744886894592","724012744886894592")</f>
        <v>724012744886894592</v>
      </c>
      <c r="F6667" s="11" t="s">
        <v>68</v>
      </c>
      <c r="G6667" s="11">
        <v>420</v>
      </c>
      <c r="H6667" s="11">
        <v>2369</v>
      </c>
      <c r="I6667" s="11">
        <v>0</v>
      </c>
      <c r="J6667" s="11">
        <v>0</v>
      </c>
      <c r="K6667" s="11" t="s">
        <v>21</v>
      </c>
      <c r="L6667" s="7">
        <v>42469.905393518522</v>
      </c>
      <c r="M6667" s="12" t="s">
        <v>14340</v>
      </c>
      <c r="N6667" s="12"/>
      <c r="O6667" s="10" t="str">
        <f t="shared" si="592"/>
        <v>View</v>
      </c>
      <c r="P6667" s="11"/>
    </row>
    <row r="6668" spans="1:16" ht="12.75" x14ac:dyDescent="0.35">
      <c r="A6668" s="7">
        <v>42484.195196759261</v>
      </c>
      <c r="B6668" s="8" t="str">
        <f>HYPERLINK("https://twitter.com/booksbyjoy","@booksbyjoy")</f>
        <v>@booksbyjoy</v>
      </c>
      <c r="C6668" s="9" t="s">
        <v>15043</v>
      </c>
      <c r="D6668" s="9" t="s">
        <v>15044</v>
      </c>
      <c r="E6668" s="10" t="str">
        <f>HYPERLINK("https://twitter.com/booksbyjoy/status/724012747168448512","724012747168448512")</f>
        <v>724012747168448512</v>
      </c>
      <c r="F6668" s="11" t="s">
        <v>15045</v>
      </c>
      <c r="G6668" s="11">
        <v>37</v>
      </c>
      <c r="H6668" s="11">
        <v>0</v>
      </c>
      <c r="I6668" s="11">
        <v>0</v>
      </c>
      <c r="J6668" s="11">
        <v>0</v>
      </c>
      <c r="K6668" s="11" t="s">
        <v>21</v>
      </c>
      <c r="L6668" s="7">
        <v>42463.882013888884</v>
      </c>
      <c r="M6668" s="12"/>
      <c r="N6668" s="12"/>
      <c r="O6668" s="10" t="str">
        <f>HYPERLINK("https://abs.twimg.com/sticky/default_profile_images/default_profile_2_normal.png","View")</f>
        <v>View</v>
      </c>
      <c r="P6668" s="11"/>
    </row>
    <row r="6669" spans="1:16" ht="12.75" x14ac:dyDescent="0.35">
      <c r="A6669" s="7">
        <v>42484.195219907408</v>
      </c>
      <c r="B6669" s="8" t="str">
        <f t="shared" ref="B6669:B6670" si="593">HYPERLINK("https://twitter.com/dubbusses","@dubbusses")</f>
        <v>@dubbusses</v>
      </c>
      <c r="C6669" s="9" t="s">
        <v>14338</v>
      </c>
      <c r="D6669" s="9" t="s">
        <v>15046</v>
      </c>
      <c r="E6669" s="10" t="str">
        <f>HYPERLINK("https://twitter.com/dubbusses/status/724012757343977473","724012757343977473")</f>
        <v>724012757343977473</v>
      </c>
      <c r="F6669" s="11" t="s">
        <v>68</v>
      </c>
      <c r="G6669" s="11">
        <v>420</v>
      </c>
      <c r="H6669" s="11">
        <v>2369</v>
      </c>
      <c r="I6669" s="11">
        <v>0</v>
      </c>
      <c r="J6669" s="11">
        <v>0</v>
      </c>
      <c r="K6669" s="11" t="s">
        <v>21</v>
      </c>
      <c r="L6669" s="7">
        <v>42469.905393518522</v>
      </c>
      <c r="M6669" s="12" t="s">
        <v>14340</v>
      </c>
      <c r="N6669" s="12"/>
      <c r="O6669" s="10" t="str">
        <f t="shared" ref="O6669:O6670" si="594">HYPERLINK("https://pbs.twimg.com/profile_images/718835727027580928/1ssyQ67y_normal.jpg","View")</f>
        <v>View</v>
      </c>
      <c r="P6669" s="11"/>
    </row>
    <row r="6670" spans="1:16" ht="12.75" x14ac:dyDescent="0.35">
      <c r="A6670" s="7">
        <v>42484.195243055554</v>
      </c>
      <c r="B6670" s="8" t="str">
        <f t="shared" si="593"/>
        <v>@dubbusses</v>
      </c>
      <c r="C6670" s="9" t="s">
        <v>14338</v>
      </c>
      <c r="D6670" s="9" t="s">
        <v>15047</v>
      </c>
      <c r="E6670" s="10" t="str">
        <f>HYPERLINK("https://twitter.com/dubbusses/status/724012766785343488","724012766785343488")</f>
        <v>724012766785343488</v>
      </c>
      <c r="F6670" s="11" t="s">
        <v>68</v>
      </c>
      <c r="G6670" s="11">
        <v>420</v>
      </c>
      <c r="H6670" s="11">
        <v>2369</v>
      </c>
      <c r="I6670" s="11">
        <v>0</v>
      </c>
      <c r="J6670" s="11">
        <v>0</v>
      </c>
      <c r="K6670" s="11" t="s">
        <v>21</v>
      </c>
      <c r="L6670" s="7">
        <v>42469.905393518522</v>
      </c>
      <c r="M6670" s="12" t="s">
        <v>14340</v>
      </c>
      <c r="N6670" s="12"/>
      <c r="O6670" s="10" t="str">
        <f t="shared" si="594"/>
        <v>View</v>
      </c>
      <c r="P6670" s="11"/>
    </row>
    <row r="6671" spans="1:16" ht="12.75" x14ac:dyDescent="0.35">
      <c r="A6671" s="7">
        <v>42484.196006944447</v>
      </c>
      <c r="B6671" s="8" t="str">
        <f>HYPERLINK("https://twitter.com/VolkswagenPost","@VolkswagenPost")</f>
        <v>@VolkswagenPost</v>
      </c>
      <c r="C6671" s="9" t="s">
        <v>321</v>
      </c>
      <c r="D6671" s="9" t="s">
        <v>15048</v>
      </c>
      <c r="E6671" s="10" t="str">
        <f>HYPERLINK("https://twitter.com/VolkswagenPost/status/724013042275520512","724013042275520512")</f>
        <v>724013042275520512</v>
      </c>
      <c r="F6671" s="11" t="s">
        <v>34</v>
      </c>
      <c r="G6671" s="11">
        <v>570</v>
      </c>
      <c r="H6671" s="11">
        <v>446</v>
      </c>
      <c r="I6671" s="11">
        <v>0</v>
      </c>
      <c r="J6671" s="11">
        <v>0</v>
      </c>
      <c r="K6671" s="11" t="s">
        <v>21</v>
      </c>
      <c r="L6671" s="7">
        <v>41940.618379629632</v>
      </c>
      <c r="M6671" s="12"/>
      <c r="N6671" s="12"/>
      <c r="O6671" s="10" t="str">
        <f>HYPERLINK("https://pbs.twimg.com/profile_images/530071272881803264/a_jcCmPZ_normal.png","View")</f>
        <v>View</v>
      </c>
      <c r="P6671" s="11"/>
    </row>
    <row r="6672" spans="1:16" ht="12.75" x14ac:dyDescent="0.35">
      <c r="A6672" s="7">
        <v>42484.196967592594</v>
      </c>
      <c r="B6672" s="8" t="str">
        <f>HYPERLINK("https://twitter.com/Scirocco_Tuning","@Scirocco_Tuning")</f>
        <v>@Scirocco_Tuning</v>
      </c>
      <c r="C6672" s="9" t="s">
        <v>51</v>
      </c>
      <c r="D6672" s="9" t="s">
        <v>15049</v>
      </c>
      <c r="E6672" s="10" t="str">
        <f>HYPERLINK("https://twitter.com/Scirocco_Tuning/status/724013389308125184","724013389308125184")</f>
        <v>724013389308125184</v>
      </c>
      <c r="F6672" s="11" t="s">
        <v>53</v>
      </c>
      <c r="G6672" s="11">
        <v>70</v>
      </c>
      <c r="H6672" s="11">
        <v>215</v>
      </c>
      <c r="I6672" s="11">
        <v>0</v>
      </c>
      <c r="J6672" s="11">
        <v>0</v>
      </c>
      <c r="K6672" s="11" t="s">
        <v>21</v>
      </c>
      <c r="L6672" s="7">
        <v>40844.564722222218</v>
      </c>
      <c r="M6672" s="12"/>
      <c r="N6672" s="12"/>
      <c r="O6672" s="10" t="str">
        <f>HYPERLINK("https://pbs.twimg.com/profile_images/1610421423/Image2_normal.jpg","View")</f>
        <v>View</v>
      </c>
      <c r="P6672" s="11"/>
    </row>
    <row r="6673" spans="1:16" ht="12.75" x14ac:dyDescent="0.35">
      <c r="A6673" s="7">
        <v>42484.201516203699</v>
      </c>
      <c r="B6673" s="8" t="str">
        <f>HYPERLINK("https://twitter.com/d_ariel","@d_ariel")</f>
        <v>@d_ariel</v>
      </c>
      <c r="C6673" s="9" t="s">
        <v>15050</v>
      </c>
      <c r="D6673" s="9" t="s">
        <v>15051</v>
      </c>
      <c r="E6673" s="10" t="str">
        <f>HYPERLINK("https://twitter.com/d_ariel/status/724015039963926528","724015039963926528")</f>
        <v>724015039963926528</v>
      </c>
      <c r="F6673" s="11" t="s">
        <v>114</v>
      </c>
      <c r="G6673" s="11">
        <v>201</v>
      </c>
      <c r="H6673" s="11">
        <v>252</v>
      </c>
      <c r="I6673" s="11">
        <v>0</v>
      </c>
      <c r="J6673" s="11">
        <v>0</v>
      </c>
      <c r="K6673" s="11" t="s">
        <v>21</v>
      </c>
      <c r="L6673" s="7">
        <v>40274.585729166669</v>
      </c>
      <c r="M6673" s="12"/>
      <c r="N6673" s="12" t="s">
        <v>15052</v>
      </c>
      <c r="O6673" s="10" t="str">
        <f>HYPERLINK("https://pbs.twimg.com/profile_images/2876381310/bf84fa6dd2da0ef35fb35b74bbf797ce_normal.jpeg","View")</f>
        <v>View</v>
      </c>
      <c r="P6673" s="11"/>
    </row>
    <row r="6674" spans="1:16" ht="12.75" x14ac:dyDescent="0.35">
      <c r="A6674" s="7">
        <v>42484.202164351853</v>
      </c>
      <c r="B6674" s="8" t="str">
        <f>HYPERLINK("https://twitter.com/thatcurtis619","@thatcurtis619")</f>
        <v>@thatcurtis619</v>
      </c>
      <c r="C6674" s="9" t="s">
        <v>15053</v>
      </c>
      <c r="D6674" s="9" t="s">
        <v>15054</v>
      </c>
      <c r="E6674" s="10" t="str">
        <f>HYPERLINK("https://twitter.com/thatcurtis619/status/724015273150418944","724015273150418944")</f>
        <v>724015273150418944</v>
      </c>
      <c r="F6674" s="11" t="s">
        <v>80</v>
      </c>
      <c r="G6674" s="11">
        <v>3333</v>
      </c>
      <c r="H6674" s="11">
        <v>4596</v>
      </c>
      <c r="I6674" s="11">
        <v>0</v>
      </c>
      <c r="J6674" s="11">
        <v>0</v>
      </c>
      <c r="K6674" s="11" t="s">
        <v>21</v>
      </c>
      <c r="L6674" s="7">
        <v>39895.884814814817</v>
      </c>
      <c r="M6674" s="12" t="s">
        <v>15055</v>
      </c>
      <c r="N6674" s="12" t="s">
        <v>15056</v>
      </c>
      <c r="O6674" s="10" t="str">
        <f>HYPERLINK("https://pbs.twimg.com/profile_images/692102200047357954/BI4soJBN_normal.jpg","View")</f>
        <v>View</v>
      </c>
      <c r="P6674" s="11"/>
    </row>
    <row r="6675" spans="1:16" ht="12.75" x14ac:dyDescent="0.35">
      <c r="A6675" s="7">
        <v>42484.204039351855</v>
      </c>
      <c r="B6675" s="8" t="str">
        <f>HYPERLINK("https://twitter.com/joelharwoodlufc","@joelharwoodlufc")</f>
        <v>@joelharwoodlufc</v>
      </c>
      <c r="C6675" s="9" t="s">
        <v>15057</v>
      </c>
      <c r="D6675" s="9" t="s">
        <v>15058</v>
      </c>
      <c r="E6675" s="10" t="str">
        <f>HYPERLINK("https://twitter.com/joelharwoodlufc/status/724015954976464896","724015954976464896")</f>
        <v>724015954976464896</v>
      </c>
      <c r="F6675" s="11" t="s">
        <v>20</v>
      </c>
      <c r="G6675" s="11">
        <v>410</v>
      </c>
      <c r="H6675" s="11">
        <v>929</v>
      </c>
      <c r="I6675" s="11">
        <v>0</v>
      </c>
      <c r="J6675" s="11">
        <v>0</v>
      </c>
      <c r="K6675" s="11" t="s">
        <v>21</v>
      </c>
      <c r="L6675" s="7">
        <v>40587.738194444442</v>
      </c>
      <c r="M6675" s="12" t="s">
        <v>13058</v>
      </c>
      <c r="N6675" s="12"/>
      <c r="O6675" s="10" t="str">
        <f>HYPERLINK("https://pbs.twimg.com/profile_images/639192854527655942/f6A7MvV__normal.jpg","View")</f>
        <v>View</v>
      </c>
      <c r="P6675" s="11"/>
    </row>
    <row r="6676" spans="1:16" ht="12.75" x14ac:dyDescent="0.35">
      <c r="A6676" s="7">
        <v>42484.204768518517</v>
      </c>
      <c r="B6676" s="8" t="str">
        <f>HYPERLINK("https://twitter.com/DonChocorrol","@DonChocorrol")</f>
        <v>@DonChocorrol</v>
      </c>
      <c r="C6676" s="9" t="s">
        <v>15059</v>
      </c>
      <c r="D6676" s="9" t="s">
        <v>15060</v>
      </c>
      <c r="E6676" s="10" t="str">
        <f>HYPERLINK("https://twitter.com/DonChocorrol/status/724016217602838528","724016217602838528")</f>
        <v>724016217602838528</v>
      </c>
      <c r="F6676" s="11" t="s">
        <v>114</v>
      </c>
      <c r="G6676" s="11">
        <v>130</v>
      </c>
      <c r="H6676" s="11">
        <v>414</v>
      </c>
      <c r="I6676" s="11">
        <v>0</v>
      </c>
      <c r="J6676" s="11">
        <v>0</v>
      </c>
      <c r="K6676" s="11" t="s">
        <v>21</v>
      </c>
      <c r="L6676" s="7">
        <v>41491.316782407404</v>
      </c>
      <c r="M6676" s="12" t="s">
        <v>6152</v>
      </c>
      <c r="N6676" s="12" t="s">
        <v>15061</v>
      </c>
      <c r="O6676" s="10" t="str">
        <f>HYPERLINK("https://pbs.twimg.com/profile_images/654357215520755713/17J9j-LU_normal.jpg","View")</f>
        <v>View</v>
      </c>
      <c r="P6676" s="11"/>
    </row>
    <row r="6677" spans="1:16" ht="12.75" x14ac:dyDescent="0.35">
      <c r="A6677" s="7">
        <v>42484.207152777773</v>
      </c>
      <c r="B6677" s="8" t="str">
        <f>HYPERLINK("https://twitter.com/Insta_VWT","@Insta_VWT")</f>
        <v>@Insta_VWT</v>
      </c>
      <c r="C6677" s="9" t="s">
        <v>181</v>
      </c>
      <c r="D6677" s="9" t="s">
        <v>15062</v>
      </c>
      <c r="E6677" s="10" t="str">
        <f>HYPERLINK("https://twitter.com/Insta_VWT/status/724017082363420673","724017082363420673")</f>
        <v>724017082363420673</v>
      </c>
      <c r="F6677" s="11" t="s">
        <v>68</v>
      </c>
      <c r="G6677" s="11">
        <v>485</v>
      </c>
      <c r="H6677" s="11">
        <v>0</v>
      </c>
      <c r="I6677" s="11">
        <v>0</v>
      </c>
      <c r="J6677" s="11">
        <v>0</v>
      </c>
      <c r="K6677" s="11" t="s">
        <v>21</v>
      </c>
      <c r="L6677" s="7">
        <v>41658.782800925925</v>
      </c>
      <c r="M6677" s="12" t="s">
        <v>183</v>
      </c>
      <c r="N6677" s="12" t="s">
        <v>184</v>
      </c>
      <c r="O6677" s="10" t="str">
        <f>HYPERLINK("https://pbs.twimg.com/profile_images/424893967197433858/iQ86NktX_normal.jpeg","View")</f>
        <v>View</v>
      </c>
      <c r="P6677" s="11"/>
    </row>
    <row r="6678" spans="1:16" ht="12.75" x14ac:dyDescent="0.35">
      <c r="A6678" s="7">
        <v>42484.207187499997</v>
      </c>
      <c r="B6678" s="8" t="str">
        <f>HYPERLINK("https://twitter.com/VeeDubMk1_","@VeeDubMk1_")</f>
        <v>@VeeDubMk1_</v>
      </c>
      <c r="C6678" s="9" t="s">
        <v>185</v>
      </c>
      <c r="D6678" s="9" t="s">
        <v>15063</v>
      </c>
      <c r="E6678" s="10" t="str">
        <f>HYPERLINK("https://twitter.com/VeeDubMk1_/status/724017093822287872","724017093822287872")</f>
        <v>724017093822287872</v>
      </c>
      <c r="F6678" s="11" t="s">
        <v>68</v>
      </c>
      <c r="G6678" s="11">
        <v>550</v>
      </c>
      <c r="H6678" s="11">
        <v>3528</v>
      </c>
      <c r="I6678" s="11">
        <v>0</v>
      </c>
      <c r="J6678" s="11">
        <v>0</v>
      </c>
      <c r="K6678" s="11" t="s">
        <v>21</v>
      </c>
      <c r="L6678" s="7">
        <v>42343.063356481478</v>
      </c>
      <c r="M6678" s="12"/>
      <c r="N6678" s="12"/>
      <c r="O6678" s="10" t="str">
        <f>HYPERLINK("https://pbs.twimg.com/profile_images/672878354127839232/M7OYc-zx_normal.jpg","View")</f>
        <v>View</v>
      </c>
      <c r="P6678" s="11"/>
    </row>
    <row r="6679" spans="1:16" ht="12.75" x14ac:dyDescent="0.35">
      <c r="A6679" s="7">
        <v>42484.207407407404</v>
      </c>
      <c r="B6679" s="8" t="str">
        <f>HYPERLINK("https://twitter.com/ash_echo7","@ash_echo7")</f>
        <v>@ash_echo7</v>
      </c>
      <c r="C6679" s="9" t="s">
        <v>15064</v>
      </c>
      <c r="D6679" s="9" t="s">
        <v>15065</v>
      </c>
      <c r="E6679" s="10" t="str">
        <f>HYPERLINK("https://twitter.com/ash_echo7/status/724017174285848577","724017174285848577")</f>
        <v>724017174285848577</v>
      </c>
      <c r="F6679" s="11" t="s">
        <v>114</v>
      </c>
      <c r="G6679" s="11">
        <v>193</v>
      </c>
      <c r="H6679" s="11">
        <v>371</v>
      </c>
      <c r="I6679" s="11">
        <v>0</v>
      </c>
      <c r="J6679" s="11">
        <v>0</v>
      </c>
      <c r="K6679" s="11" t="s">
        <v>21</v>
      </c>
      <c r="L6679" s="7">
        <v>41441.712002314816</v>
      </c>
      <c r="M6679" s="12" t="s">
        <v>15066</v>
      </c>
      <c r="N6679" s="12" t="s">
        <v>15067</v>
      </c>
      <c r="O6679" s="10" t="str">
        <f>HYPERLINK("https://pbs.twimg.com/profile_images/687996488610365440/k-lgmigD_normal.jpg","View")</f>
        <v>View</v>
      </c>
      <c r="P6679" s="11"/>
    </row>
    <row r="6680" spans="1:16" ht="12.75" x14ac:dyDescent="0.35">
      <c r="A6680" s="7">
        <v>42484.208599537036</v>
      </c>
      <c r="B6680" s="8" t="str">
        <f>HYPERLINK("https://twitter.com/VCT_Tweets","@VCT_Tweets")</f>
        <v>@VCT_Tweets</v>
      </c>
      <c r="C6680" s="9" t="s">
        <v>199</v>
      </c>
      <c r="D6680" s="9" t="s">
        <v>15068</v>
      </c>
      <c r="E6680" s="10" t="str">
        <f>HYPERLINK("https://twitter.com/VCT_Tweets/status/724017605674196995","724017605674196995")</f>
        <v>724017605674196995</v>
      </c>
      <c r="F6680" s="11" t="s">
        <v>68</v>
      </c>
      <c r="G6680" s="11">
        <v>896</v>
      </c>
      <c r="H6680" s="11">
        <v>211</v>
      </c>
      <c r="I6680" s="11">
        <v>0</v>
      </c>
      <c r="J6680" s="11">
        <v>0</v>
      </c>
      <c r="K6680" s="11" t="s">
        <v>21</v>
      </c>
      <c r="L6680" s="7">
        <v>40744.914837962962</v>
      </c>
      <c r="M6680" s="12" t="s">
        <v>201</v>
      </c>
      <c r="N6680" s="12" t="s">
        <v>202</v>
      </c>
      <c r="O6680" s="10" t="str">
        <f>HYPERLINK("https://pbs.twimg.com/profile_images/569800899141177344/nVFLMSdb_normal.png","View")</f>
        <v>View</v>
      </c>
      <c r="P6680" s="11"/>
    </row>
    <row r="6681" spans="1:16" ht="12.75" x14ac:dyDescent="0.35">
      <c r="A6681" s="7">
        <v>42484.209386574075</v>
      </c>
      <c r="B6681" s="8" t="str">
        <f>HYPERLINK("https://twitter.com/AlfredoMaza23","@AlfredoMaza23")</f>
        <v>@AlfredoMaza23</v>
      </c>
      <c r="C6681" s="9" t="s">
        <v>15069</v>
      </c>
      <c r="D6681" s="9" t="s">
        <v>14518</v>
      </c>
      <c r="E6681" s="10" t="str">
        <f>HYPERLINK("https://twitter.com/AlfredoMaza23/status/724017890899402752","724017890899402752")</f>
        <v>724017890899402752</v>
      </c>
      <c r="F6681" s="11" t="s">
        <v>48</v>
      </c>
      <c r="G6681" s="11">
        <v>229</v>
      </c>
      <c r="H6681" s="11">
        <v>324</v>
      </c>
      <c r="I6681" s="11">
        <v>59</v>
      </c>
      <c r="J6681" s="11">
        <v>0</v>
      </c>
      <c r="K6681" s="11" t="s">
        <v>21</v>
      </c>
      <c r="L6681" s="7">
        <v>41358.101550925923</v>
      </c>
      <c r="M6681" s="12"/>
      <c r="N6681" s="12" t="s">
        <v>15070</v>
      </c>
      <c r="O6681" s="10" t="str">
        <f>HYPERLINK("https://pbs.twimg.com/profile_images/562314571428679680/5vkStNXp_normal.jpeg","View")</f>
        <v>View</v>
      </c>
      <c r="P6681" s="11"/>
    </row>
    <row r="6682" spans="1:16" ht="12.75" x14ac:dyDescent="0.35">
      <c r="A6682" s="7">
        <v>42484.209733796291</v>
      </c>
      <c r="B6682" s="8" t="str">
        <f>HYPERLINK("https://twitter.com/CarterVW","@CarterVW")</f>
        <v>@CarterVW</v>
      </c>
      <c r="C6682" s="9" t="s">
        <v>4771</v>
      </c>
      <c r="D6682" s="9" t="s">
        <v>15071</v>
      </c>
      <c r="E6682" s="10" t="str">
        <f>HYPERLINK("https://twitter.com/CarterVW/status/724018018590711808","724018018590711808")</f>
        <v>724018018590711808</v>
      </c>
      <c r="F6682" s="11" t="s">
        <v>140</v>
      </c>
      <c r="G6682" s="11">
        <v>2029</v>
      </c>
      <c r="H6682" s="11">
        <v>1292</v>
      </c>
      <c r="I6682" s="11">
        <v>0</v>
      </c>
      <c r="J6682" s="11">
        <v>0</v>
      </c>
      <c r="K6682" s="11" t="s">
        <v>21</v>
      </c>
      <c r="L6682" s="7">
        <v>40002.494502314818</v>
      </c>
      <c r="M6682" s="12" t="s">
        <v>355</v>
      </c>
      <c r="N6682" s="12" t="s">
        <v>4773</v>
      </c>
      <c r="O6682" s="10" t="str">
        <f>HYPERLINK("https://pbs.twimg.com/profile_images/693260133237809152/JUVeKYdq_normal.jpg","View")</f>
        <v>View</v>
      </c>
      <c r="P6682" s="11"/>
    </row>
    <row r="6683" spans="1:16" ht="12.75" x14ac:dyDescent="0.35">
      <c r="A6683" s="7">
        <v>42484.211828703701</v>
      </c>
      <c r="B6683" s="8" t="str">
        <f>HYPERLINK("https://twitter.com/NicoLeivaOK","@NicoLeivaOK")</f>
        <v>@NicoLeivaOK</v>
      </c>
      <c r="C6683" s="9" t="s">
        <v>15072</v>
      </c>
      <c r="D6683" s="9" t="s">
        <v>15073</v>
      </c>
      <c r="E6683" s="10" t="str">
        <f>HYPERLINK("https://twitter.com/NicoLeivaOK/status/724018775499149312","724018775499149312")</f>
        <v>724018775499149312</v>
      </c>
      <c r="F6683" s="11" t="s">
        <v>114</v>
      </c>
      <c r="G6683" s="11">
        <v>583</v>
      </c>
      <c r="H6683" s="11">
        <v>588</v>
      </c>
      <c r="I6683" s="11">
        <v>0</v>
      </c>
      <c r="J6683" s="11">
        <v>0</v>
      </c>
      <c r="K6683" s="11" t="s">
        <v>21</v>
      </c>
      <c r="L6683" s="7">
        <v>40387.423668981479</v>
      </c>
      <c r="M6683" s="12" t="s">
        <v>15074</v>
      </c>
      <c r="N6683" s="12" t="s">
        <v>15075</v>
      </c>
      <c r="O6683" s="10" t="str">
        <f>HYPERLINK("https://pbs.twimg.com/profile_images/687871650495344640/BaUVEy_3_normal.jpg","View")</f>
        <v>View</v>
      </c>
      <c r="P6683" s="10" t="str">
        <f>HYPERLINK("http://ctrlq.org/maps/address/#-34.69579598,-58.46247714","Map")</f>
        <v>Map</v>
      </c>
    </row>
    <row r="6684" spans="1:16" ht="12.75" x14ac:dyDescent="0.35">
      <c r="A6684" s="7">
        <v>42484.212152777778</v>
      </c>
      <c r="B6684" s="8" t="str">
        <f>HYPERLINK("https://twitter.com/retodiariomx","@retodiariomx")</f>
        <v>@retodiariomx</v>
      </c>
      <c r="C6684" s="9" t="s">
        <v>14538</v>
      </c>
      <c r="D6684" s="9" t="s">
        <v>15076</v>
      </c>
      <c r="E6684" s="10" t="str">
        <f>HYPERLINK("https://twitter.com/retodiariomx/status/724018895548342272","724018895548342272")</f>
        <v>724018895548342272</v>
      </c>
      <c r="F6684" s="11" t="s">
        <v>43</v>
      </c>
      <c r="G6684" s="11">
        <v>4122</v>
      </c>
      <c r="H6684" s="11">
        <v>1207</v>
      </c>
      <c r="I6684" s="11">
        <v>0</v>
      </c>
      <c r="J6684" s="11">
        <v>0</v>
      </c>
      <c r="K6684" s="11" t="s">
        <v>21</v>
      </c>
      <c r="L6684" s="7">
        <v>40252.485046296293</v>
      </c>
      <c r="M6684" s="12" t="s">
        <v>3359</v>
      </c>
      <c r="N6684" s="12" t="s">
        <v>14540</v>
      </c>
      <c r="O6684" s="10" t="str">
        <f>HYPERLINK("https://pbs.twimg.com/profile_images/665618632802615297/ejRWRQP7_normal.jpg","View")</f>
        <v>View</v>
      </c>
      <c r="P6684" s="11"/>
    </row>
    <row r="6685" spans="1:16" ht="12.75" x14ac:dyDescent="0.35">
      <c r="A6685" s="7">
        <v>42484.213437500002</v>
      </c>
      <c r="B6685" s="8" t="str">
        <f t="shared" ref="B6685:B6686" si="595">HYPERLINK("https://twitter.com/thunderdan667","@thunderdan667")</f>
        <v>@thunderdan667</v>
      </c>
      <c r="C6685" s="9" t="s">
        <v>6410</v>
      </c>
      <c r="D6685" s="9" t="s">
        <v>15077</v>
      </c>
      <c r="E6685" s="10" t="str">
        <f>HYPERLINK("https://twitter.com/thunderdan667/status/724019359811772416","724019359811772416")</f>
        <v>724019359811772416</v>
      </c>
      <c r="F6685" s="11" t="s">
        <v>114</v>
      </c>
      <c r="G6685" s="11">
        <v>178</v>
      </c>
      <c r="H6685" s="11">
        <v>226</v>
      </c>
      <c r="I6685" s="11">
        <v>0</v>
      </c>
      <c r="J6685" s="11">
        <v>0</v>
      </c>
      <c r="K6685" s="11" t="s">
        <v>21</v>
      </c>
      <c r="L6685" s="7">
        <v>40618.246574074074</v>
      </c>
      <c r="M6685" s="12" t="s">
        <v>6412</v>
      </c>
      <c r="N6685" s="12"/>
      <c r="O6685" s="10" t="str">
        <f t="shared" ref="O6685:O6686" si="596">HYPERLINK("https://pbs.twimg.com/profile_images/722242822301159424/nrziq21L_normal.jpg","View")</f>
        <v>View</v>
      </c>
      <c r="P6685" s="11"/>
    </row>
    <row r="6686" spans="1:16" ht="12.75" x14ac:dyDescent="0.35">
      <c r="A6686" s="7">
        <v>42484.215219907404</v>
      </c>
      <c r="B6686" s="8" t="str">
        <f t="shared" si="595"/>
        <v>@thunderdan667</v>
      </c>
      <c r="C6686" s="9" t="s">
        <v>6410</v>
      </c>
      <c r="D6686" s="9" t="s">
        <v>15078</v>
      </c>
      <c r="E6686" s="10" t="str">
        <f>HYPERLINK("https://twitter.com/thunderdan667/status/724020006648971265","724020006648971265")</f>
        <v>724020006648971265</v>
      </c>
      <c r="F6686" s="11" t="s">
        <v>114</v>
      </c>
      <c r="G6686" s="11">
        <v>178</v>
      </c>
      <c r="H6686" s="11">
        <v>226</v>
      </c>
      <c r="I6686" s="11">
        <v>0</v>
      </c>
      <c r="J6686" s="11">
        <v>0</v>
      </c>
      <c r="K6686" s="11" t="s">
        <v>21</v>
      </c>
      <c r="L6686" s="7">
        <v>40618.246574074074</v>
      </c>
      <c r="M6686" s="12" t="s">
        <v>6412</v>
      </c>
      <c r="N6686" s="12"/>
      <c r="O6686" s="10" t="str">
        <f t="shared" si="596"/>
        <v>View</v>
      </c>
      <c r="P6686" s="11"/>
    </row>
    <row r="6687" spans="1:16" ht="12.75" x14ac:dyDescent="0.35">
      <c r="A6687" s="7">
        <v>42484.216226851851</v>
      </c>
      <c r="B6687" s="8" t="str">
        <f>HYPERLINK("https://twitter.com/surliergirl","@surliergirl")</f>
        <v>@surliergirl</v>
      </c>
      <c r="C6687" s="9" t="s">
        <v>15079</v>
      </c>
      <c r="D6687" s="9" t="s">
        <v>15080</v>
      </c>
      <c r="E6687" s="10" t="str">
        <f>HYPERLINK("https://twitter.com/surliergirl/status/724020370660052992","724020370660052992")</f>
        <v>724020370660052992</v>
      </c>
      <c r="F6687" s="11" t="s">
        <v>43</v>
      </c>
      <c r="G6687" s="11">
        <v>57</v>
      </c>
      <c r="H6687" s="11">
        <v>78</v>
      </c>
      <c r="I6687" s="11">
        <v>0</v>
      </c>
      <c r="J6687" s="11">
        <v>0</v>
      </c>
      <c r="K6687" s="11" t="s">
        <v>21</v>
      </c>
      <c r="L6687" s="7">
        <v>39912.507928240739</v>
      </c>
      <c r="M6687" s="12"/>
      <c r="N6687" s="12"/>
      <c r="O6687" s="10" t="str">
        <f>HYPERLINK("https://pbs.twimg.com/profile_images/191126702/ridiculous_cat_smile_t_normal.jpg","View")</f>
        <v>View</v>
      </c>
      <c r="P6687" s="11"/>
    </row>
    <row r="6688" spans="1:16" ht="12.75" x14ac:dyDescent="0.35">
      <c r="A6688" s="7">
        <v>42484.218773148154</v>
      </c>
      <c r="B6688" s="8" t="str">
        <f>HYPERLINK("https://twitter.com/metal_fortress","@metal_fortress")</f>
        <v>@metal_fortress</v>
      </c>
      <c r="C6688" s="9" t="s">
        <v>15081</v>
      </c>
      <c r="D6688" s="9" t="s">
        <v>15082</v>
      </c>
      <c r="E6688" s="10" t="str">
        <f>HYPERLINK("https://twitter.com/metal_fortress/status/724021290697408513","724021290697408513")</f>
        <v>724021290697408513</v>
      </c>
      <c r="F6688" s="11" t="s">
        <v>114</v>
      </c>
      <c r="G6688" s="11">
        <v>45</v>
      </c>
      <c r="H6688" s="11">
        <v>109</v>
      </c>
      <c r="I6688" s="11">
        <v>0</v>
      </c>
      <c r="J6688" s="11">
        <v>0</v>
      </c>
      <c r="K6688" s="11" t="s">
        <v>21</v>
      </c>
      <c r="L6688" s="7">
        <v>40056.798078703701</v>
      </c>
      <c r="M6688" s="12"/>
      <c r="N6688" s="12" t="s">
        <v>15083</v>
      </c>
      <c r="O6688" s="10" t="str">
        <f>HYPERLINK("https://pbs.twimg.com/profile_images/2508749289/nyw2zb8fz2mabullk7v1_normal.jpeg","View")</f>
        <v>View</v>
      </c>
      <c r="P6688" s="11"/>
    </row>
    <row r="6689" spans="1:16" ht="12.75" x14ac:dyDescent="0.35">
      <c r="A6689" s="7">
        <v>42484.222824074073</v>
      </c>
      <c r="B6689" s="8" t="str">
        <f>HYPERLINK("https://twitter.com/lety_76","@lety_76")</f>
        <v>@lety_76</v>
      </c>
      <c r="C6689" s="9" t="s">
        <v>15084</v>
      </c>
      <c r="D6689" s="9" t="s">
        <v>15085</v>
      </c>
      <c r="E6689" s="10" t="str">
        <f>HYPERLINK("https://twitter.com/lety_76/status/724022759353925633","724022759353925633")</f>
        <v>724022759353925633</v>
      </c>
      <c r="F6689" s="11" t="s">
        <v>114</v>
      </c>
      <c r="G6689" s="11">
        <v>50</v>
      </c>
      <c r="H6689" s="11">
        <v>191</v>
      </c>
      <c r="I6689" s="11">
        <v>0</v>
      </c>
      <c r="J6689" s="11">
        <v>0</v>
      </c>
      <c r="K6689" s="11" t="s">
        <v>21</v>
      </c>
      <c r="L6689" s="7">
        <v>40532.61613425926</v>
      </c>
      <c r="M6689" s="12"/>
      <c r="N6689" s="12"/>
      <c r="O6689" s="10" t="str">
        <f>HYPERLINK("https://pbs.twimg.com/profile_images/690760579259101184/QpxeCQnU_normal.jpg","View")</f>
        <v>View</v>
      </c>
      <c r="P6689" s="11"/>
    </row>
    <row r="6690" spans="1:16" ht="12.75" x14ac:dyDescent="0.35">
      <c r="A6690" s="7">
        <v>42484.223553240736</v>
      </c>
      <c r="B6690" s="8" t="str">
        <f>HYPERLINK("https://twitter.com/Bionicfog","@Bionicfog")</f>
        <v>@Bionicfog</v>
      </c>
      <c r="C6690" s="9" t="s">
        <v>15086</v>
      </c>
      <c r="D6690" s="9" t="s">
        <v>15087</v>
      </c>
      <c r="E6690" s="10" t="str">
        <f>HYPERLINK("https://twitter.com/Bionicfog/status/724023025478328320","724023025478328320")</f>
        <v>724023025478328320</v>
      </c>
      <c r="F6690" s="11" t="s">
        <v>43</v>
      </c>
      <c r="G6690" s="11">
        <v>114</v>
      </c>
      <c r="H6690" s="11">
        <v>210</v>
      </c>
      <c r="I6690" s="11">
        <v>0</v>
      </c>
      <c r="J6690" s="11">
        <v>1</v>
      </c>
      <c r="K6690" s="11" t="s">
        <v>21</v>
      </c>
      <c r="L6690" s="7">
        <v>42176.03869212963</v>
      </c>
      <c r="M6690" s="12" t="s">
        <v>5057</v>
      </c>
      <c r="N6690" s="12" t="s">
        <v>15088</v>
      </c>
      <c r="O6690" s="10" t="str">
        <f>HYPERLINK("https://pbs.twimg.com/profile_images/612342203269152768/_EEL1wu9_normal.jpg","View")</f>
        <v>View</v>
      </c>
      <c r="P6690" s="11"/>
    </row>
    <row r="6691" spans="1:16" ht="12.75" x14ac:dyDescent="0.35">
      <c r="A6691" s="7">
        <v>42484.22488425926</v>
      </c>
      <c r="B6691" s="8" t="str">
        <f>HYPERLINK("https://twitter.com/StarsStanced","@StarsStanced")</f>
        <v>@StarsStanced</v>
      </c>
      <c r="C6691" s="9" t="s">
        <v>15089</v>
      </c>
      <c r="D6691" s="9" t="s">
        <v>14518</v>
      </c>
      <c r="E6691" s="10" t="str">
        <f>HYPERLINK("https://twitter.com/StarsStanced/status/724023509253513216","724023509253513216")</f>
        <v>724023509253513216</v>
      </c>
      <c r="F6691" s="11" t="s">
        <v>48</v>
      </c>
      <c r="G6691" s="11">
        <v>813</v>
      </c>
      <c r="H6691" s="11">
        <v>237</v>
      </c>
      <c r="I6691" s="11">
        <v>61</v>
      </c>
      <c r="J6691" s="11">
        <v>0</v>
      </c>
      <c r="K6691" s="11" t="s">
        <v>21</v>
      </c>
      <c r="L6691" s="7">
        <v>41978.868981481486</v>
      </c>
      <c r="M6691" s="12"/>
      <c r="N6691" s="12" t="s">
        <v>15090</v>
      </c>
      <c r="O6691" s="10" t="str">
        <f>HYPERLINK("https://pbs.twimg.com/profile_images/723311268904480769/gKfy_hcj_normal.jpg","View")</f>
        <v>View</v>
      </c>
      <c r="P6691" s="11"/>
    </row>
    <row r="6692" spans="1:16" ht="12.75" x14ac:dyDescent="0.35">
      <c r="A6692" s="7">
        <v>42484.225763888884</v>
      </c>
      <c r="B6692" s="8" t="str">
        <f>HYPERLINK("https://twitter.com/APWCares","@APWCares")</f>
        <v>@APWCares</v>
      </c>
      <c r="C6692" s="9" t="s">
        <v>6556</v>
      </c>
      <c r="D6692" s="9" t="s">
        <v>15091</v>
      </c>
      <c r="E6692" s="10" t="str">
        <f>HYPERLINK("https://twitter.com/APWCares/status/724023825881534465","724023825881534465")</f>
        <v>724023825881534465</v>
      </c>
      <c r="F6692" s="11" t="s">
        <v>80</v>
      </c>
      <c r="G6692" s="11">
        <v>3244</v>
      </c>
      <c r="H6692" s="11">
        <v>129</v>
      </c>
      <c r="I6692" s="11">
        <v>0</v>
      </c>
      <c r="J6692" s="11">
        <v>0</v>
      </c>
      <c r="K6692" s="11" t="s">
        <v>21</v>
      </c>
      <c r="L6692" s="7">
        <v>40176.49622685185</v>
      </c>
      <c r="M6692" s="12" t="s">
        <v>6558</v>
      </c>
      <c r="N6692" s="12" t="s">
        <v>6559</v>
      </c>
      <c r="O6692" s="10" t="str">
        <f>HYPERLINK("https://pbs.twimg.com/profile_images/723703082102587392/FUo06oia_normal.jpg","View")</f>
        <v>View</v>
      </c>
      <c r="P6692" s="11"/>
    </row>
    <row r="6693" spans="1:16" ht="12.75" x14ac:dyDescent="0.35">
      <c r="A6693" s="7">
        <v>42484.226944444439</v>
      </c>
      <c r="B6693" s="8" t="str">
        <f>HYPERLINK("https://twitter.com/LcMonoblock","@LcMonoblock")</f>
        <v>@LcMonoblock</v>
      </c>
      <c r="C6693" s="9" t="s">
        <v>15092</v>
      </c>
      <c r="D6693" s="9" t="s">
        <v>15093</v>
      </c>
      <c r="E6693" s="10" t="str">
        <f>HYPERLINK("https://twitter.com/LcMonoblock/status/724024253838987264","724024253838987264")</f>
        <v>724024253838987264</v>
      </c>
      <c r="F6693" s="11" t="s">
        <v>114</v>
      </c>
      <c r="G6693" s="11">
        <v>295</v>
      </c>
      <c r="H6693" s="11">
        <v>405</v>
      </c>
      <c r="I6693" s="11">
        <v>0</v>
      </c>
      <c r="J6693" s="11">
        <v>0</v>
      </c>
      <c r="K6693" s="11" t="s">
        <v>21</v>
      </c>
      <c r="L6693" s="7">
        <v>40703.249618055554</v>
      </c>
      <c r="M6693" s="12"/>
      <c r="N6693" s="12" t="s">
        <v>15094</v>
      </c>
      <c r="O6693" s="10" t="str">
        <f>HYPERLINK("https://pbs.twimg.com/profile_images/699865680582201344/ML8QQWmw_normal.jpg","View")</f>
        <v>View</v>
      </c>
      <c r="P6693" s="11"/>
    </row>
    <row r="6694" spans="1:16" ht="12.75" x14ac:dyDescent="0.35">
      <c r="A6694" s="7">
        <v>42484.227835648147</v>
      </c>
      <c r="B6694" s="8" t="str">
        <f>HYPERLINK("https://twitter.com/VWBeetleSales","@VWBeetleSales")</f>
        <v>@VWBeetleSales</v>
      </c>
      <c r="C6694" s="9" t="s">
        <v>127</v>
      </c>
      <c r="D6694" s="9" t="s">
        <v>15095</v>
      </c>
      <c r="E6694" s="10" t="str">
        <f>HYPERLINK("https://twitter.com/VWBeetleSales/status/724024578029166593","724024578029166593")</f>
        <v>724024578029166593</v>
      </c>
      <c r="F6694" s="10" t="s">
        <v>124</v>
      </c>
      <c r="G6694" s="11">
        <v>36</v>
      </c>
      <c r="H6694" s="11">
        <v>32</v>
      </c>
      <c r="I6694" s="11">
        <v>0</v>
      </c>
      <c r="J6694" s="11">
        <v>0</v>
      </c>
      <c r="K6694" s="11" t="s">
        <v>21</v>
      </c>
      <c r="L6694" s="7">
        <v>42427.019756944443</v>
      </c>
      <c r="M6694" s="12" t="s">
        <v>129</v>
      </c>
      <c r="N6694" s="12" t="s">
        <v>130</v>
      </c>
      <c r="O6694" s="10" t="str">
        <f>HYPERLINK("https://pbs.twimg.com/profile_images/703294545195307008/qeCvrX86_normal.jpg","View")</f>
        <v>View</v>
      </c>
      <c r="P6694" s="11"/>
    </row>
    <row r="6695" spans="1:16" ht="12.75" x14ac:dyDescent="0.35">
      <c r="A6695" s="7">
        <v>42484.230729166666</v>
      </c>
      <c r="B6695" s="8" t="str">
        <f t="shared" ref="B6695:B6696" si="597">HYPERLINK("https://twitter.com/OnlineCarReview","@OnlineCarReview")</f>
        <v>@OnlineCarReview</v>
      </c>
      <c r="C6695" s="9" t="s">
        <v>176</v>
      </c>
      <c r="D6695" s="9" t="s">
        <v>15096</v>
      </c>
      <c r="E6695" s="10" t="str">
        <f>HYPERLINK("https://twitter.com/OnlineCarReview/status/724025627020390401","724025627020390401")</f>
        <v>724025627020390401</v>
      </c>
      <c r="F6695" s="11" t="s">
        <v>34</v>
      </c>
      <c r="G6695" s="11">
        <v>838</v>
      </c>
      <c r="H6695" s="11">
        <v>568</v>
      </c>
      <c r="I6695" s="11">
        <v>0</v>
      </c>
      <c r="J6695" s="11">
        <v>0</v>
      </c>
      <c r="K6695" s="11" t="s">
        <v>21</v>
      </c>
      <c r="L6695" s="7">
        <v>42282.979201388887</v>
      </c>
      <c r="M6695" s="12"/>
      <c r="N6695" s="12" t="s">
        <v>178</v>
      </c>
      <c r="O6695" s="10" t="str">
        <f t="shared" ref="O6695:O6696" si="598">HYPERLINK("https://pbs.twimg.com/profile_images/652871584131092480/QA_B6SBO_normal.jpg","View")</f>
        <v>View</v>
      </c>
      <c r="P6695" s="11"/>
    </row>
    <row r="6696" spans="1:16" ht="12.75" x14ac:dyDescent="0.35">
      <c r="A6696" s="7">
        <v>42484.230740740742</v>
      </c>
      <c r="B6696" s="8" t="str">
        <f t="shared" si="597"/>
        <v>@OnlineCarReview</v>
      </c>
      <c r="C6696" s="9" t="s">
        <v>176</v>
      </c>
      <c r="D6696" s="9" t="s">
        <v>15097</v>
      </c>
      <c r="E6696" s="10" t="str">
        <f>HYPERLINK("https://twitter.com/OnlineCarReview/status/724025628563906560","724025628563906560")</f>
        <v>724025628563906560</v>
      </c>
      <c r="F6696" s="11" t="s">
        <v>34</v>
      </c>
      <c r="G6696" s="11">
        <v>838</v>
      </c>
      <c r="H6696" s="11">
        <v>568</v>
      </c>
      <c r="I6696" s="11">
        <v>0</v>
      </c>
      <c r="J6696" s="11">
        <v>0</v>
      </c>
      <c r="K6696" s="11" t="s">
        <v>21</v>
      </c>
      <c r="L6696" s="7">
        <v>42282.979201388887</v>
      </c>
      <c r="M6696" s="12"/>
      <c r="N6696" s="12" t="s">
        <v>178</v>
      </c>
      <c r="O6696" s="10" t="str">
        <f t="shared" si="598"/>
        <v>View</v>
      </c>
      <c r="P6696" s="11"/>
    </row>
    <row r="6697" spans="1:16" ht="12.75" x14ac:dyDescent="0.35">
      <c r="A6697" s="7">
        <v>42484.234050925923</v>
      </c>
      <c r="B6697" s="8" t="str">
        <f>HYPERLINK("https://twitter.com/celinosouza","@celinosouza")</f>
        <v>@celinosouza</v>
      </c>
      <c r="C6697" s="9" t="s">
        <v>15098</v>
      </c>
      <c r="D6697" s="9" t="s">
        <v>15099</v>
      </c>
      <c r="E6697" s="10" t="str">
        <f>HYPERLINK("https://twitter.com/celinosouza/status/724026830554984449","724026830554984449")</f>
        <v>724026830554984449</v>
      </c>
      <c r="F6697" s="11" t="s">
        <v>114</v>
      </c>
      <c r="G6697" s="11">
        <v>225</v>
      </c>
      <c r="H6697" s="11">
        <v>628</v>
      </c>
      <c r="I6697" s="11">
        <v>0</v>
      </c>
      <c r="J6697" s="11">
        <v>0</v>
      </c>
      <c r="K6697" s="11" t="s">
        <v>21</v>
      </c>
      <c r="L6697" s="7">
        <v>39920.002245370371</v>
      </c>
      <c r="M6697" s="12" t="s">
        <v>15100</v>
      </c>
      <c r="N6697" s="12"/>
      <c r="O6697" s="10" t="str">
        <f>HYPERLINK("https://pbs.twimg.com/profile_images/711991193530269696/FO50W-xr_normal.jpg","View")</f>
        <v>View</v>
      </c>
      <c r="P6697" s="11"/>
    </row>
    <row r="6698" spans="1:16" ht="12.75" x14ac:dyDescent="0.35">
      <c r="A6698" s="7">
        <v>42484.237268518518</v>
      </c>
      <c r="B6698" s="8" t="str">
        <f>HYPERLINK("https://twitter.com/dubbusses","@dubbusses")</f>
        <v>@dubbusses</v>
      </c>
      <c r="C6698" s="9" t="s">
        <v>14338</v>
      </c>
      <c r="D6698" s="9" t="s">
        <v>15101</v>
      </c>
      <c r="E6698" s="10" t="str">
        <f>HYPERLINK("https://twitter.com/dubbusses/status/724027994700959744","724027994700959744")</f>
        <v>724027994700959744</v>
      </c>
      <c r="F6698" s="11" t="s">
        <v>68</v>
      </c>
      <c r="G6698" s="11">
        <v>420</v>
      </c>
      <c r="H6698" s="11">
        <v>2369</v>
      </c>
      <c r="I6698" s="11">
        <v>0</v>
      </c>
      <c r="J6698" s="11">
        <v>0</v>
      </c>
      <c r="K6698" s="11" t="s">
        <v>21</v>
      </c>
      <c r="L6698" s="7">
        <v>42469.905393518522</v>
      </c>
      <c r="M6698" s="12" t="s">
        <v>14340</v>
      </c>
      <c r="N6698" s="12"/>
      <c r="O6698" s="10" t="str">
        <f>HYPERLINK("https://pbs.twimg.com/profile_images/718835727027580928/1ssyQ67y_normal.jpg","View")</f>
        <v>View</v>
      </c>
      <c r="P6698" s="11"/>
    </row>
    <row r="6699" spans="1:16" ht="12.75" x14ac:dyDescent="0.35">
      <c r="A6699" s="7">
        <v>42484.237546296295</v>
      </c>
      <c r="B6699" s="8" t="str">
        <f>HYPERLINK("https://twitter.com/VWBeetleSales","@VWBeetleSales")</f>
        <v>@VWBeetleSales</v>
      </c>
      <c r="C6699" s="9" t="s">
        <v>127</v>
      </c>
      <c r="D6699" s="9" t="s">
        <v>15102</v>
      </c>
      <c r="E6699" s="10" t="str">
        <f>HYPERLINK("https://twitter.com/VWBeetleSales/status/724028096974745601","724028096974745601")</f>
        <v>724028096974745601</v>
      </c>
      <c r="F6699" s="10" t="s">
        <v>124</v>
      </c>
      <c r="G6699" s="11">
        <v>36</v>
      </c>
      <c r="H6699" s="11">
        <v>32</v>
      </c>
      <c r="I6699" s="11">
        <v>0</v>
      </c>
      <c r="J6699" s="11">
        <v>0</v>
      </c>
      <c r="K6699" s="11" t="s">
        <v>21</v>
      </c>
      <c r="L6699" s="7">
        <v>42427.019756944443</v>
      </c>
      <c r="M6699" s="12" t="s">
        <v>129</v>
      </c>
      <c r="N6699" s="12" t="s">
        <v>130</v>
      </c>
      <c r="O6699" s="10" t="str">
        <f>HYPERLINK("https://pbs.twimg.com/profile_images/703294545195307008/qeCvrX86_normal.jpg","View")</f>
        <v>View</v>
      </c>
      <c r="P6699" s="11"/>
    </row>
    <row r="6700" spans="1:16" ht="12.75" x14ac:dyDescent="0.35">
      <c r="A6700" s="7">
        <v>42484.23819444445</v>
      </c>
      <c r="B6700" s="8" t="str">
        <f>HYPERLINK("https://twitter.com/VillagraFranco5","@VillagraFranco5")</f>
        <v>@VillagraFranco5</v>
      </c>
      <c r="C6700" s="9" t="s">
        <v>14138</v>
      </c>
      <c r="D6700" s="9" t="s">
        <v>15103</v>
      </c>
      <c r="E6700" s="10" t="str">
        <f>HYPERLINK("https://twitter.com/VillagraFranco5/status/724028329427390464","724028329427390464")</f>
        <v>724028329427390464</v>
      </c>
      <c r="F6700" s="11" t="s">
        <v>114</v>
      </c>
      <c r="G6700" s="11">
        <v>702</v>
      </c>
      <c r="H6700" s="11">
        <v>935</v>
      </c>
      <c r="I6700" s="11">
        <v>0</v>
      </c>
      <c r="J6700" s="11">
        <v>0</v>
      </c>
      <c r="K6700" s="11" t="s">
        <v>21</v>
      </c>
      <c r="L6700" s="7">
        <v>40937.494629629626</v>
      </c>
      <c r="M6700" s="12" t="s">
        <v>2867</v>
      </c>
      <c r="N6700" s="12" t="s">
        <v>15104</v>
      </c>
      <c r="O6700" s="10" t="str">
        <f>HYPERLINK("https://pbs.twimg.com/profile_images/723014771990224896/-68FTkKq_normal.jpg","View")</f>
        <v>View</v>
      </c>
      <c r="P6700" s="11"/>
    </row>
    <row r="6701" spans="1:16" ht="12.75" x14ac:dyDescent="0.35">
      <c r="A6701" s="7">
        <v>42484.23946759259</v>
      </c>
      <c r="B6701" s="8" t="str">
        <f>HYPERLINK("https://twitter.com/fys_yukio","@fys_yukio")</f>
        <v>@fys_yukio</v>
      </c>
      <c r="C6701" s="9" t="s">
        <v>13340</v>
      </c>
      <c r="D6701" s="9" t="s">
        <v>15105</v>
      </c>
      <c r="E6701" s="10" t="str">
        <f>HYPERLINK("https://twitter.com/fys_yukio/status/724028790741987330","724028790741987330")</f>
        <v>724028790741987330</v>
      </c>
      <c r="F6701" s="11" t="s">
        <v>114</v>
      </c>
      <c r="G6701" s="11">
        <v>45</v>
      </c>
      <c r="H6701" s="11">
        <v>277</v>
      </c>
      <c r="I6701" s="11">
        <v>0</v>
      </c>
      <c r="J6701" s="11">
        <v>0</v>
      </c>
      <c r="K6701" s="11" t="s">
        <v>21</v>
      </c>
      <c r="L6701" s="7">
        <v>41863.899236111109</v>
      </c>
      <c r="M6701" s="12" t="s">
        <v>13342</v>
      </c>
      <c r="N6701" s="12" t="s">
        <v>13343</v>
      </c>
      <c r="O6701" s="10" t="str">
        <f>HYPERLINK("https://pbs.twimg.com/profile_images/568149263889096704/BO2L4CN5_normal.jpeg","View")</f>
        <v>View</v>
      </c>
      <c r="P6701" s="10" t="str">
        <f>HYPERLINK("http://ctrlq.org/maps/address/#-23.6386763,-47.19859905","Map")</f>
        <v>Map</v>
      </c>
    </row>
    <row r="6702" spans="1:16" ht="12.75" x14ac:dyDescent="0.35">
      <c r="A6702" s="7">
        <v>42484.240370370375</v>
      </c>
      <c r="B6702" s="8" t="str">
        <f>HYPERLINK("https://twitter.com/sugru","@sugru")</f>
        <v>@sugru</v>
      </c>
      <c r="C6702" s="9" t="s">
        <v>15106</v>
      </c>
      <c r="D6702" s="9" t="s">
        <v>15107</v>
      </c>
      <c r="E6702" s="10" t="str">
        <f>HYPERLINK("https://twitter.com/sugru/status/724029119021768704","724029119021768704")</f>
        <v>724029119021768704</v>
      </c>
      <c r="F6702" s="11" t="s">
        <v>15108</v>
      </c>
      <c r="G6702" s="11">
        <v>19412</v>
      </c>
      <c r="H6702" s="11">
        <v>2035</v>
      </c>
      <c r="I6702" s="11">
        <v>1</v>
      </c>
      <c r="J6702" s="11">
        <v>4</v>
      </c>
      <c r="K6702" s="11" t="s">
        <v>21</v>
      </c>
      <c r="L6702" s="7">
        <v>40046.765023148146</v>
      </c>
      <c r="M6702" s="12" t="s">
        <v>638</v>
      </c>
      <c r="N6702" s="12" t="s">
        <v>15109</v>
      </c>
      <c r="O6702" s="10" t="str">
        <f>HYPERLINK("https://pbs.twimg.com/profile_images/532608549944193024/dNzQ6r6E_normal.png","View")</f>
        <v>View</v>
      </c>
      <c r="P6702" s="11"/>
    </row>
    <row r="6703" spans="1:16" ht="12.75" x14ac:dyDescent="0.35">
      <c r="A6703" s="7">
        <v>42484.24318287037</v>
      </c>
      <c r="B6703" s="8" t="str">
        <f>HYPERLINK("https://twitter.com/waleoshifowora","@waleoshifowora")</f>
        <v>@waleoshifowora</v>
      </c>
      <c r="C6703" s="9" t="s">
        <v>15110</v>
      </c>
      <c r="D6703" s="9" t="s">
        <v>13150</v>
      </c>
      <c r="E6703" s="10" t="str">
        <f>HYPERLINK("https://twitter.com/waleoshifowora/status/724030139366006784","724030139366006784")</f>
        <v>724030139366006784</v>
      </c>
      <c r="F6703" s="11" t="s">
        <v>48</v>
      </c>
      <c r="G6703" s="11">
        <v>166</v>
      </c>
      <c r="H6703" s="11">
        <v>505</v>
      </c>
      <c r="I6703" s="11">
        <v>34</v>
      </c>
      <c r="J6703" s="11">
        <v>0</v>
      </c>
      <c r="K6703" s="11" t="s">
        <v>21</v>
      </c>
      <c r="L6703" s="7">
        <v>40102.764050925922</v>
      </c>
      <c r="M6703" s="12" t="s">
        <v>1483</v>
      </c>
      <c r="N6703" s="12" t="s">
        <v>15111</v>
      </c>
      <c r="O6703" s="10" t="str">
        <f>HYPERLINK("https://pbs.twimg.com/profile_images/434840517017608192/Ntw9BKy5_normal.jpeg","View")</f>
        <v>View</v>
      </c>
      <c r="P6703" s="11"/>
    </row>
    <row r="6704" spans="1:16" ht="12.75" x14ac:dyDescent="0.35">
      <c r="A6704" s="7">
        <v>42484.244085648148</v>
      </c>
      <c r="B6704" s="8" t="str">
        <f>HYPERLINK("https://twitter.com/SrC_WRC","@SrC_WRC")</f>
        <v>@SrC_WRC</v>
      </c>
      <c r="C6704" s="9" t="s">
        <v>15112</v>
      </c>
      <c r="D6704" s="9" t="s">
        <v>14518</v>
      </c>
      <c r="E6704" s="10" t="str">
        <f>HYPERLINK("https://twitter.com/SrC_WRC/status/724030464332316673","724030464332316673")</f>
        <v>724030464332316673</v>
      </c>
      <c r="F6704" s="11" t="s">
        <v>48</v>
      </c>
      <c r="G6704" s="11">
        <v>22</v>
      </c>
      <c r="H6704" s="11">
        <v>159</v>
      </c>
      <c r="I6704" s="11">
        <v>63</v>
      </c>
      <c r="J6704" s="11">
        <v>0</v>
      </c>
      <c r="K6704" s="11" t="s">
        <v>21</v>
      </c>
      <c r="L6704" s="7">
        <v>42217.837812500002</v>
      </c>
      <c r="M6704" s="12"/>
      <c r="N6704" s="12" t="s">
        <v>15113</v>
      </c>
      <c r="O6704" s="10" t="str">
        <f>HYPERLINK("https://pbs.twimg.com/profile_images/628713032957431808/iIoDMTx0_normal.jpg","View")</f>
        <v>View</v>
      </c>
      <c r="P6704" s="11"/>
    </row>
    <row r="6705" spans="1:16" ht="12.75" x14ac:dyDescent="0.35">
      <c r="A6705" s="7">
        <v>42484.246886574074</v>
      </c>
      <c r="B6705" s="8" t="str">
        <f>HYPERLINK("https://twitter.com/Gaitor62","@Gaitor62")</f>
        <v>@Gaitor62</v>
      </c>
      <c r="C6705" s="9" t="s">
        <v>15114</v>
      </c>
      <c r="D6705" s="9" t="s">
        <v>15115</v>
      </c>
      <c r="E6705" s="10" t="str">
        <f>HYPERLINK("https://twitter.com/Gaitor62/status/724031482105356288","724031482105356288")</f>
        <v>724031482105356288</v>
      </c>
      <c r="F6705" s="11" t="s">
        <v>20</v>
      </c>
      <c r="G6705" s="11">
        <v>192</v>
      </c>
      <c r="H6705" s="11">
        <v>188</v>
      </c>
      <c r="I6705" s="11">
        <v>0</v>
      </c>
      <c r="J6705" s="11">
        <v>0</v>
      </c>
      <c r="K6705" s="11" t="s">
        <v>21</v>
      </c>
      <c r="L6705" s="7">
        <v>41313.159155092595</v>
      </c>
      <c r="M6705" s="12" t="s">
        <v>15116</v>
      </c>
      <c r="N6705" s="12" t="s">
        <v>15117</v>
      </c>
      <c r="O6705" s="10" t="str">
        <f>HYPERLINK("https://pbs.twimg.com/profile_images/720359480702156800/-6g6b6Vu_normal.jpg","View")</f>
        <v>View</v>
      </c>
      <c r="P6705" s="11"/>
    </row>
    <row r="6706" spans="1:16" ht="12.75" x14ac:dyDescent="0.35">
      <c r="A6706" s="7">
        <v>42484.248738425929</v>
      </c>
      <c r="B6706" s="8" t="str">
        <f>HYPERLINK("https://twitter.com/TheSandlings","@TheSandlings")</f>
        <v>@TheSandlings</v>
      </c>
      <c r="C6706" s="9" t="s">
        <v>15118</v>
      </c>
      <c r="D6706" s="9" t="s">
        <v>15119</v>
      </c>
      <c r="E6706" s="10" t="str">
        <f>HYPERLINK("https://twitter.com/TheSandlings/status/724032151243595776","724032151243595776")</f>
        <v>724032151243595776</v>
      </c>
      <c r="F6706" s="11" t="s">
        <v>91</v>
      </c>
      <c r="G6706" s="11">
        <v>1878</v>
      </c>
      <c r="H6706" s="11">
        <v>2175</v>
      </c>
      <c r="I6706" s="11">
        <v>1</v>
      </c>
      <c r="J6706" s="11">
        <v>0</v>
      </c>
      <c r="K6706" s="11" t="s">
        <v>21</v>
      </c>
      <c r="L6706" s="7">
        <v>40601.536377314813</v>
      </c>
      <c r="M6706" s="12" t="s">
        <v>15120</v>
      </c>
      <c r="N6706" s="12" t="s">
        <v>15121</v>
      </c>
      <c r="O6706" s="10" t="str">
        <f>HYPERLINK("https://pbs.twimg.com/profile_images/3256042247/66321c338b84d42d4b14f5766bfb97e3_normal.jpeg","View")</f>
        <v>View</v>
      </c>
      <c r="P6706" s="11"/>
    </row>
    <row r="6707" spans="1:16" ht="12.75" x14ac:dyDescent="0.35">
      <c r="A6707" s="7">
        <v>42484.249039351853</v>
      </c>
      <c r="B6707" s="8" t="str">
        <f t="shared" ref="B6707:B6709" si="599">HYPERLINK("https://twitter.com/Insta_VWT","@Insta_VWT")</f>
        <v>@Insta_VWT</v>
      </c>
      <c r="C6707" s="9" t="s">
        <v>181</v>
      </c>
      <c r="D6707" s="9" t="s">
        <v>15122</v>
      </c>
      <c r="E6707" s="10" t="str">
        <f>HYPERLINK("https://twitter.com/Insta_VWT/status/724032261780172800","724032261780172800")</f>
        <v>724032261780172800</v>
      </c>
      <c r="F6707" s="11" t="s">
        <v>68</v>
      </c>
      <c r="G6707" s="11">
        <v>485</v>
      </c>
      <c r="H6707" s="11">
        <v>0</v>
      </c>
      <c r="I6707" s="11">
        <v>0</v>
      </c>
      <c r="J6707" s="11">
        <v>0</v>
      </c>
      <c r="K6707" s="11" t="s">
        <v>21</v>
      </c>
      <c r="L6707" s="7">
        <v>41658.782800925925</v>
      </c>
      <c r="M6707" s="12" t="s">
        <v>183</v>
      </c>
      <c r="N6707" s="12" t="s">
        <v>184</v>
      </c>
      <c r="O6707" s="10" t="str">
        <f t="shared" ref="O6707:O6709" si="600">HYPERLINK("https://pbs.twimg.com/profile_images/424893967197433858/iQ86NktX_normal.jpeg","View")</f>
        <v>View</v>
      </c>
      <c r="P6707" s="11"/>
    </row>
    <row r="6708" spans="1:16" ht="12.75" x14ac:dyDescent="0.35">
      <c r="A6708" s="7">
        <v>42484.249050925922</v>
      </c>
      <c r="B6708" s="8" t="str">
        <f t="shared" si="599"/>
        <v>@Insta_VWT</v>
      </c>
      <c r="C6708" s="9" t="s">
        <v>181</v>
      </c>
      <c r="D6708" s="9" t="s">
        <v>15123</v>
      </c>
      <c r="E6708" s="10" t="str">
        <f>HYPERLINK("https://twitter.com/Insta_VWT/status/724032266679255040","724032266679255040")</f>
        <v>724032266679255040</v>
      </c>
      <c r="F6708" s="11" t="s">
        <v>68</v>
      </c>
      <c r="G6708" s="11">
        <v>485</v>
      </c>
      <c r="H6708" s="11">
        <v>0</v>
      </c>
      <c r="I6708" s="11">
        <v>0</v>
      </c>
      <c r="J6708" s="11">
        <v>0</v>
      </c>
      <c r="K6708" s="11" t="s">
        <v>21</v>
      </c>
      <c r="L6708" s="7">
        <v>41658.782800925925</v>
      </c>
      <c r="M6708" s="12" t="s">
        <v>183</v>
      </c>
      <c r="N6708" s="12" t="s">
        <v>184</v>
      </c>
      <c r="O6708" s="10" t="str">
        <f t="shared" si="600"/>
        <v>View</v>
      </c>
      <c r="P6708" s="11"/>
    </row>
    <row r="6709" spans="1:16" ht="12.75" x14ac:dyDescent="0.35">
      <c r="A6709" s="7">
        <v>42484.249074074076</v>
      </c>
      <c r="B6709" s="8" t="str">
        <f t="shared" si="599"/>
        <v>@Insta_VWT</v>
      </c>
      <c r="C6709" s="9" t="s">
        <v>181</v>
      </c>
      <c r="D6709" s="9" t="s">
        <v>15124</v>
      </c>
      <c r="E6709" s="10" t="str">
        <f>HYPERLINK("https://twitter.com/Insta_VWT/status/724032272802963456","724032272802963456")</f>
        <v>724032272802963456</v>
      </c>
      <c r="F6709" s="11" t="s">
        <v>68</v>
      </c>
      <c r="G6709" s="11">
        <v>485</v>
      </c>
      <c r="H6709" s="11">
        <v>0</v>
      </c>
      <c r="I6709" s="11">
        <v>0</v>
      </c>
      <c r="J6709" s="11">
        <v>0</v>
      </c>
      <c r="K6709" s="11" t="s">
        <v>21</v>
      </c>
      <c r="L6709" s="7">
        <v>41658.782800925925</v>
      </c>
      <c r="M6709" s="12" t="s">
        <v>183</v>
      </c>
      <c r="N6709" s="12" t="s">
        <v>184</v>
      </c>
      <c r="O6709" s="10" t="str">
        <f t="shared" si="600"/>
        <v>View</v>
      </c>
      <c r="P6709" s="11"/>
    </row>
    <row r="6710" spans="1:16" ht="12.75" x14ac:dyDescent="0.35">
      <c r="A6710" s="7">
        <v>42484.249525462961</v>
      </c>
      <c r="B6710" s="8" t="str">
        <f>HYPERLINK("https://twitter.com/canc27","@canc27")</f>
        <v>@canc27</v>
      </c>
      <c r="C6710" s="9" t="s">
        <v>15125</v>
      </c>
      <c r="D6710" s="9" t="s">
        <v>14518</v>
      </c>
      <c r="E6710" s="10" t="str">
        <f>HYPERLINK("https://twitter.com/canc27/status/724032438968659968","724032438968659968")</f>
        <v>724032438968659968</v>
      </c>
      <c r="F6710" s="11" t="s">
        <v>48</v>
      </c>
      <c r="G6710" s="11">
        <v>134</v>
      </c>
      <c r="H6710" s="11">
        <v>636</v>
      </c>
      <c r="I6710" s="11">
        <v>63</v>
      </c>
      <c r="J6710" s="11">
        <v>0</v>
      </c>
      <c r="K6710" s="11" t="s">
        <v>21</v>
      </c>
      <c r="L6710" s="7">
        <v>40609.785069444442</v>
      </c>
      <c r="M6710" s="12"/>
      <c r="N6710" s="12" t="s">
        <v>15126</v>
      </c>
      <c r="O6710" s="10" t="str">
        <f>HYPERLINK("https://pbs.twimg.com/profile_images/378800000118633857/52e1178875219efcd074fdd66e3957fc_normal.jpeg","View")</f>
        <v>View</v>
      </c>
      <c r="P6710" s="11"/>
    </row>
    <row r="6711" spans="1:16" ht="12.75" x14ac:dyDescent="0.35">
      <c r="A6711" s="7">
        <v>42484.2503587963</v>
      </c>
      <c r="B6711" s="8" t="str">
        <f t="shared" ref="B6711:B6712" si="601">HYPERLINK("https://twitter.com/VCT_Tweets","@VCT_Tweets")</f>
        <v>@VCT_Tweets</v>
      </c>
      <c r="C6711" s="9" t="s">
        <v>199</v>
      </c>
      <c r="D6711" s="9" t="s">
        <v>15127</v>
      </c>
      <c r="E6711" s="10" t="str">
        <f>HYPERLINK("https://twitter.com/VCT_Tweets/status/724032738974642177","724032738974642177")</f>
        <v>724032738974642177</v>
      </c>
      <c r="F6711" s="11" t="s">
        <v>68</v>
      </c>
      <c r="G6711" s="11">
        <v>897</v>
      </c>
      <c r="H6711" s="11">
        <v>211</v>
      </c>
      <c r="I6711" s="11">
        <v>0</v>
      </c>
      <c r="J6711" s="11">
        <v>0</v>
      </c>
      <c r="K6711" s="11" t="s">
        <v>21</v>
      </c>
      <c r="L6711" s="7">
        <v>40744.914837962962</v>
      </c>
      <c r="M6711" s="12" t="s">
        <v>201</v>
      </c>
      <c r="N6711" s="12" t="s">
        <v>202</v>
      </c>
      <c r="O6711" s="10" t="str">
        <f t="shared" ref="O6711:O6712" si="602">HYPERLINK("https://pbs.twimg.com/profile_images/569800899141177344/nVFLMSdb_normal.png","View")</f>
        <v>View</v>
      </c>
      <c r="P6711" s="11"/>
    </row>
    <row r="6712" spans="1:16" ht="12.75" x14ac:dyDescent="0.35">
      <c r="A6712" s="7">
        <v>42484.250393518523</v>
      </c>
      <c r="B6712" s="8" t="str">
        <f t="shared" si="601"/>
        <v>@VCT_Tweets</v>
      </c>
      <c r="C6712" s="9" t="s">
        <v>199</v>
      </c>
      <c r="D6712" s="9" t="s">
        <v>15128</v>
      </c>
      <c r="E6712" s="10" t="str">
        <f>HYPERLINK("https://twitter.com/VCT_Tweets/status/724032750139875329","724032750139875329")</f>
        <v>724032750139875329</v>
      </c>
      <c r="F6712" s="11" t="s">
        <v>68</v>
      </c>
      <c r="G6712" s="11">
        <v>897</v>
      </c>
      <c r="H6712" s="11">
        <v>211</v>
      </c>
      <c r="I6712" s="11">
        <v>0</v>
      </c>
      <c r="J6712" s="11">
        <v>0</v>
      </c>
      <c r="K6712" s="11" t="s">
        <v>21</v>
      </c>
      <c r="L6712" s="7">
        <v>40744.914837962962</v>
      </c>
      <c r="M6712" s="12" t="s">
        <v>201</v>
      </c>
      <c r="N6712" s="12" t="s">
        <v>202</v>
      </c>
      <c r="O6712" s="10" t="str">
        <f t="shared" si="602"/>
        <v>View</v>
      </c>
      <c r="P6712" s="11"/>
    </row>
    <row r="6713" spans="1:16" ht="12.75" x14ac:dyDescent="0.35">
      <c r="A6713" s="7">
        <v>42484.252650462964</v>
      </c>
      <c r="B6713" s="8" t="str">
        <f>HYPERLINK("https://twitter.com/dani_acosta98","@dani_acosta98")</f>
        <v>@dani_acosta98</v>
      </c>
      <c r="C6713" s="9" t="s">
        <v>15129</v>
      </c>
      <c r="D6713" s="9" t="s">
        <v>10808</v>
      </c>
      <c r="E6713" s="10" t="str">
        <f>HYPERLINK("https://twitter.com/dani_acosta98/status/724033568113070080","724033568113070080")</f>
        <v>724033568113070080</v>
      </c>
      <c r="F6713" s="11" t="s">
        <v>48</v>
      </c>
      <c r="G6713" s="11">
        <v>1442</v>
      </c>
      <c r="H6713" s="11">
        <v>939</v>
      </c>
      <c r="I6713" s="11">
        <v>68</v>
      </c>
      <c r="J6713" s="11">
        <v>0</v>
      </c>
      <c r="K6713" s="11" t="s">
        <v>21</v>
      </c>
      <c r="L6713" s="7">
        <v>41789.316296296296</v>
      </c>
      <c r="M6713" s="12" t="s">
        <v>13993</v>
      </c>
      <c r="N6713" s="12" t="s">
        <v>15130</v>
      </c>
      <c r="O6713" s="10" t="str">
        <f>HYPERLINK("https://pbs.twimg.com/profile_images/723999894726434816/9hThIcJo_normal.jpg","View")</f>
        <v>View</v>
      </c>
      <c r="P6713" s="11"/>
    </row>
    <row r="6714" spans="1:16" ht="12.75" x14ac:dyDescent="0.35">
      <c r="A6714" s="7">
        <v>42484.253877314812</v>
      </c>
      <c r="B6714" s="8" t="str">
        <f>HYPERLINK("https://twitter.com/Braulio_Urresti","@Braulio_Urresti")</f>
        <v>@Braulio_Urresti</v>
      </c>
      <c r="C6714" s="9" t="s">
        <v>7915</v>
      </c>
      <c r="D6714" s="9" t="s">
        <v>15131</v>
      </c>
      <c r="E6714" s="10" t="str">
        <f>HYPERLINK("https://twitter.com/Braulio_Urresti/status/724034013300690944","724034013300690944")</f>
        <v>724034013300690944</v>
      </c>
      <c r="F6714" s="11" t="s">
        <v>68</v>
      </c>
      <c r="G6714" s="11">
        <v>81</v>
      </c>
      <c r="H6714" s="11">
        <v>128</v>
      </c>
      <c r="I6714" s="11">
        <v>0</v>
      </c>
      <c r="J6714" s="11">
        <v>0</v>
      </c>
      <c r="K6714" s="11" t="s">
        <v>21</v>
      </c>
      <c r="L6714" s="7">
        <v>42474.937349537038</v>
      </c>
      <c r="M6714" s="12"/>
      <c r="N6714" s="12"/>
      <c r="O6714" s="10" t="str">
        <f>HYPERLINK("https://abs.twimg.com/sticky/default_profile_images/default_profile_5_normal.png","View")</f>
        <v>View</v>
      </c>
      <c r="P6714" s="11"/>
    </row>
    <row r="6715" spans="1:16" ht="12.75" x14ac:dyDescent="0.35">
      <c r="A6715" s="7">
        <v>42484.256388888884</v>
      </c>
      <c r="B6715" s="8" t="str">
        <f>HYPERLINK("https://twitter.com/pblaauw","@pblaauw")</f>
        <v>@pblaauw</v>
      </c>
      <c r="C6715" s="9" t="s">
        <v>15132</v>
      </c>
      <c r="D6715" s="9" t="s">
        <v>15119</v>
      </c>
      <c r="E6715" s="10" t="str">
        <f>HYPERLINK("https://twitter.com/pblaauw/status/724034922365739008","724034922365739008")</f>
        <v>724034922365739008</v>
      </c>
      <c r="F6715" s="11" t="s">
        <v>63</v>
      </c>
      <c r="G6715" s="11">
        <v>866</v>
      </c>
      <c r="H6715" s="11">
        <v>2051</v>
      </c>
      <c r="I6715" s="11">
        <v>2</v>
      </c>
      <c r="J6715" s="11">
        <v>0</v>
      </c>
      <c r="K6715" s="11" t="s">
        <v>21</v>
      </c>
      <c r="L6715" s="7">
        <v>39629.369976851856</v>
      </c>
      <c r="M6715" s="12" t="s">
        <v>15133</v>
      </c>
      <c r="N6715" s="12" t="s">
        <v>15134</v>
      </c>
      <c r="O6715" s="10" t="str">
        <f>HYPERLINK("https://pbs.twimg.com/profile_images/665318136405696512/fauAUINl_normal.jpg","View")</f>
        <v>View</v>
      </c>
      <c r="P6715" s="11"/>
    </row>
    <row r="6716" spans="1:16" ht="12.75" x14ac:dyDescent="0.35">
      <c r="A6716" s="7">
        <v>42484.2575</v>
      </c>
      <c r="B6716" s="8" t="str">
        <f>HYPERLINK("https://twitter.com/Relaxiknwarchie","@Relaxiknwarchie")</f>
        <v>@Relaxiknwarchie</v>
      </c>
      <c r="C6716" s="9" t="s">
        <v>15135</v>
      </c>
      <c r="D6716" s="9" t="s">
        <v>15136</v>
      </c>
      <c r="E6716" s="10" t="str">
        <f>HYPERLINK("https://twitter.com/Relaxiknwarchie/status/724035327824793600","724035327824793600")</f>
        <v>724035327824793600</v>
      </c>
      <c r="F6716" s="11" t="s">
        <v>114</v>
      </c>
      <c r="G6716" s="11">
        <v>229</v>
      </c>
      <c r="H6716" s="11">
        <v>339</v>
      </c>
      <c r="I6716" s="11">
        <v>0</v>
      </c>
      <c r="J6716" s="11">
        <v>0</v>
      </c>
      <c r="K6716" s="11" t="s">
        <v>21</v>
      </c>
      <c r="L6716" s="7">
        <v>39562.763067129628</v>
      </c>
      <c r="M6716" s="12" t="s">
        <v>15137</v>
      </c>
      <c r="N6716" s="12" t="s">
        <v>15138</v>
      </c>
      <c r="O6716" s="10" t="str">
        <f>HYPERLINK("https://pbs.twimg.com/profile_images/683068570926985216/vAf4Alw0_normal.jpg","View")</f>
        <v>View</v>
      </c>
      <c r="P6716" s="11"/>
    </row>
    <row r="6717" spans="1:16" ht="12.75" x14ac:dyDescent="0.35">
      <c r="A6717" s="7">
        <v>42484.26427083333</v>
      </c>
      <c r="B6717" s="8" t="str">
        <f>HYPERLINK("https://twitter.com/emma_flores","@emma_flores")</f>
        <v>@emma_flores</v>
      </c>
      <c r="C6717" s="9" t="s">
        <v>15139</v>
      </c>
      <c r="D6717" s="9" t="s">
        <v>14518</v>
      </c>
      <c r="E6717" s="10" t="str">
        <f>HYPERLINK("https://twitter.com/emma_flores/status/724037780041551872","724037780041551872")</f>
        <v>724037780041551872</v>
      </c>
      <c r="F6717" s="11" t="s">
        <v>48</v>
      </c>
      <c r="G6717" s="11">
        <v>525</v>
      </c>
      <c r="H6717" s="11">
        <v>344</v>
      </c>
      <c r="I6717" s="11">
        <v>65</v>
      </c>
      <c r="J6717" s="11">
        <v>0</v>
      </c>
      <c r="K6717" s="11" t="s">
        <v>21</v>
      </c>
      <c r="L6717" s="7">
        <v>40763.297129629631</v>
      </c>
      <c r="M6717" s="12" t="s">
        <v>15140</v>
      </c>
      <c r="N6717" s="12" t="s">
        <v>15141</v>
      </c>
      <c r="O6717" s="10" t="str">
        <f>HYPERLINK("https://pbs.twimg.com/profile_images/696941279754719233/M3a_sYBU_normal.jpg","View")</f>
        <v>View</v>
      </c>
      <c r="P6717" s="11"/>
    </row>
    <row r="6718" spans="1:16" ht="12.75" x14ac:dyDescent="0.35">
      <c r="A6718" s="7">
        <v>42484.266331018516</v>
      </c>
      <c r="B6718" s="8" t="str">
        <f>HYPERLINK("https://twitter.com/vwpalmspringspr","@vwpalmspringspr")</f>
        <v>@vwpalmspringspr</v>
      </c>
      <c r="C6718" s="9" t="s">
        <v>879</v>
      </c>
      <c r="D6718" s="9" t="s">
        <v>15142</v>
      </c>
      <c r="E6718" s="10" t="str">
        <f>HYPERLINK("https://twitter.com/vwpalmspringspr/status/724038527697195008","724038527697195008")</f>
        <v>724038527697195008</v>
      </c>
      <c r="F6718" s="11" t="s">
        <v>152</v>
      </c>
      <c r="G6718" s="11">
        <v>3</v>
      </c>
      <c r="H6718" s="11">
        <v>44</v>
      </c>
      <c r="I6718" s="11">
        <v>1</v>
      </c>
      <c r="J6718" s="11">
        <v>0</v>
      </c>
      <c r="K6718" s="11" t="s">
        <v>21</v>
      </c>
      <c r="L6718" s="7">
        <v>42480.070057870369</v>
      </c>
      <c r="M6718" s="12" t="s">
        <v>881</v>
      </c>
      <c r="N6718" s="12" t="s">
        <v>882</v>
      </c>
      <c r="O6718" s="10" t="str">
        <f>HYPERLINK("https://pbs.twimg.com/profile_images/722518700427882496/rsO6Da_T_normal.jpg","View")</f>
        <v>View</v>
      </c>
      <c r="P6718" s="11"/>
    </row>
    <row r="6719" spans="1:16" ht="12.75" x14ac:dyDescent="0.35">
      <c r="A6719" s="7">
        <v>42484.267384259263</v>
      </c>
      <c r="B6719" s="8" t="str">
        <f>HYPERLINK("https://twitter.com/sgpragency","@sgpragency")</f>
        <v>@sgpragency</v>
      </c>
      <c r="C6719" s="9" t="s">
        <v>12350</v>
      </c>
      <c r="D6719" s="9" t="s">
        <v>15143</v>
      </c>
      <c r="E6719" s="10" t="str">
        <f>HYPERLINK("https://twitter.com/sgpragency/status/724038908388888576","724038908388888576")</f>
        <v>724038908388888576</v>
      </c>
      <c r="F6719" s="11" t="s">
        <v>20</v>
      </c>
      <c r="G6719" s="11">
        <v>365</v>
      </c>
      <c r="H6719" s="11">
        <v>172</v>
      </c>
      <c r="I6719" s="11">
        <v>1</v>
      </c>
      <c r="J6719" s="11">
        <v>0</v>
      </c>
      <c r="K6719" s="11" t="s">
        <v>21</v>
      </c>
      <c r="L6719" s="7">
        <v>40638.56045138889</v>
      </c>
      <c r="M6719" s="12" t="s">
        <v>12352</v>
      </c>
      <c r="N6719" s="12" t="s">
        <v>12353</v>
      </c>
      <c r="O6719" s="10" t="str">
        <f>HYPERLINK("https://pbs.twimg.com/profile_images/696166674836254720/2dvOBRdF_normal.jpg","View")</f>
        <v>View</v>
      </c>
      <c r="P6719" s="11"/>
    </row>
    <row r="6720" spans="1:16" ht="12.75" x14ac:dyDescent="0.35">
      <c r="A6720" s="7">
        <v>42484.271284722221</v>
      </c>
      <c r="B6720" s="8" t="str">
        <f>HYPERLINK("https://twitter.com/urotuning","@urotuning")</f>
        <v>@urotuning</v>
      </c>
      <c r="C6720" s="9" t="s">
        <v>3134</v>
      </c>
      <c r="D6720" s="9" t="s">
        <v>15144</v>
      </c>
      <c r="E6720" s="10" t="str">
        <f>HYPERLINK("https://twitter.com/urotuning/status/724040320602787840","724040320602787840")</f>
        <v>724040320602787840</v>
      </c>
      <c r="F6720" s="11" t="s">
        <v>53</v>
      </c>
      <c r="G6720" s="11">
        <v>1085</v>
      </c>
      <c r="H6720" s="11">
        <v>226</v>
      </c>
      <c r="I6720" s="11">
        <v>0</v>
      </c>
      <c r="J6720" s="11">
        <v>1</v>
      </c>
      <c r="K6720" s="11" t="s">
        <v>21</v>
      </c>
      <c r="L6720" s="7">
        <v>39905.98065972222</v>
      </c>
      <c r="M6720" s="12" t="s">
        <v>3136</v>
      </c>
      <c r="N6720" s="12" t="s">
        <v>3137</v>
      </c>
      <c r="O6720" s="10" t="str">
        <f>HYPERLINK("https://pbs.twimg.com/profile_images/652593086124527616/onf0J8iL_normal.png","View")</f>
        <v>View</v>
      </c>
      <c r="P6720" s="11"/>
    </row>
    <row r="6721" spans="1:16" ht="12.75" x14ac:dyDescent="0.35">
      <c r="A6721" s="7">
        <v>42484.271354166667</v>
      </c>
      <c r="B6721" s="8" t="str">
        <f>HYPERLINK("https://twitter.com/FletcherJonesVW","@FletcherJonesVW")</f>
        <v>@FletcherJonesVW</v>
      </c>
      <c r="C6721" s="9" t="s">
        <v>13657</v>
      </c>
      <c r="D6721" s="9" t="s">
        <v>15145</v>
      </c>
      <c r="E6721" s="10" t="str">
        <f>HYPERLINK("https://twitter.com/FletcherJonesVW/status/724040349090484225","724040349090484225")</f>
        <v>724040349090484225</v>
      </c>
      <c r="F6721" s="11" t="s">
        <v>152</v>
      </c>
      <c r="G6721" s="11">
        <v>113</v>
      </c>
      <c r="H6721" s="11">
        <v>195</v>
      </c>
      <c r="I6721" s="11">
        <v>0</v>
      </c>
      <c r="J6721" s="11">
        <v>0</v>
      </c>
      <c r="K6721" s="11" t="s">
        <v>21</v>
      </c>
      <c r="L6721" s="7">
        <v>40731.222824074073</v>
      </c>
      <c r="M6721" s="12" t="s">
        <v>13659</v>
      </c>
      <c r="N6721" s="12" t="s">
        <v>13660</v>
      </c>
      <c r="O6721" s="10" t="str">
        <f>HYPERLINK("https://pbs.twimg.com/profile_images/583306350760984576/2RP-_qOY_normal.jpg","View")</f>
        <v>View</v>
      </c>
      <c r="P6721" s="11"/>
    </row>
    <row r="6722" spans="1:16" ht="12.75" x14ac:dyDescent="0.35">
      <c r="A6722" s="7">
        <v>42484.27138888889</v>
      </c>
      <c r="B6722" s="8" t="str">
        <f>HYPERLINK("https://twitter.com/fjchicago","@fjchicago")</f>
        <v>@fjchicago</v>
      </c>
      <c r="C6722" s="9" t="s">
        <v>13661</v>
      </c>
      <c r="D6722" s="9" t="s">
        <v>15146</v>
      </c>
      <c r="E6722" s="10" t="str">
        <f>HYPERLINK("https://twitter.com/fjchicago/status/724040361488855041","724040361488855041")</f>
        <v>724040361488855041</v>
      </c>
      <c r="F6722" s="11" t="s">
        <v>53</v>
      </c>
      <c r="G6722" s="11">
        <v>72</v>
      </c>
      <c r="H6722" s="11">
        <v>1</v>
      </c>
      <c r="I6722" s="11">
        <v>0</v>
      </c>
      <c r="J6722" s="11">
        <v>0</v>
      </c>
      <c r="K6722" s="11" t="s">
        <v>21</v>
      </c>
      <c r="L6722" s="7">
        <v>40121.945150462961</v>
      </c>
      <c r="M6722" s="12" t="s">
        <v>13663</v>
      </c>
      <c r="N6722" s="12" t="s">
        <v>13664</v>
      </c>
      <c r="O6722" s="10" t="str">
        <f>HYPERLINK("https://pbs.twimg.com/profile_images/510776626/fj_thumb_final_normal.jpg","View")</f>
        <v>View</v>
      </c>
      <c r="P6722" s="11"/>
    </row>
    <row r="6723" spans="1:16" ht="12.75" x14ac:dyDescent="0.35">
      <c r="A6723" s="7">
        <v>42484.277488425927</v>
      </c>
      <c r="B6723" s="8" t="str">
        <f>HYPERLINK("https://twitter.com/nurullahonder34","@nurullahonder34")</f>
        <v>@nurullahonder34</v>
      </c>
      <c r="C6723" s="9" t="s">
        <v>15147</v>
      </c>
      <c r="D6723" s="9" t="s">
        <v>15148</v>
      </c>
      <c r="E6723" s="10" t="str">
        <f>HYPERLINK("https://twitter.com/nurullahonder34/status/724042571761238016","724042571761238016")</f>
        <v>724042571761238016</v>
      </c>
      <c r="F6723" s="11" t="s">
        <v>114</v>
      </c>
      <c r="G6723" s="11">
        <v>95</v>
      </c>
      <c r="H6723" s="11">
        <v>428</v>
      </c>
      <c r="I6723" s="11">
        <v>0</v>
      </c>
      <c r="J6723" s="11">
        <v>0</v>
      </c>
      <c r="K6723" s="11" t="s">
        <v>21</v>
      </c>
      <c r="L6723" s="7">
        <v>41887.232800925922</v>
      </c>
      <c r="M6723" s="12" t="s">
        <v>15149</v>
      </c>
      <c r="N6723" s="12" t="s">
        <v>15150</v>
      </c>
      <c r="O6723" s="10" t="str">
        <f>HYPERLINK("https://pbs.twimg.com/profile_images/715343902392324096/2O9aLmb1_normal.jpg","View")</f>
        <v>View</v>
      </c>
      <c r="P6723" s="10" t="str">
        <f>HYPERLINK("http://ctrlq.org/maps/address/#40.99939204,28.64870924","Map")</f>
        <v>Map</v>
      </c>
    </row>
    <row r="6724" spans="1:16" ht="12.75" x14ac:dyDescent="0.35">
      <c r="A6724" s="7">
        <v>42484.278194444443</v>
      </c>
      <c r="B6724" s="8" t="str">
        <f>HYPERLINK("https://twitter.com/VotelTravels","@VotelTravels")</f>
        <v>@VotelTravels</v>
      </c>
      <c r="C6724" s="9" t="s">
        <v>14044</v>
      </c>
      <c r="D6724" s="9" t="s">
        <v>15151</v>
      </c>
      <c r="E6724" s="10" t="str">
        <f>HYPERLINK("https://twitter.com/VotelTravels/status/724042825961189376","724042825961189376")</f>
        <v>724042825961189376</v>
      </c>
      <c r="F6724" s="11" t="s">
        <v>20</v>
      </c>
      <c r="G6724" s="11">
        <v>9317</v>
      </c>
      <c r="H6724" s="11">
        <v>8231</v>
      </c>
      <c r="I6724" s="11">
        <v>0</v>
      </c>
      <c r="J6724" s="11">
        <v>1</v>
      </c>
      <c r="K6724" s="11" t="s">
        <v>21</v>
      </c>
      <c r="L6724" s="7">
        <v>42290.750208333338</v>
      </c>
      <c r="M6724" s="12" t="s">
        <v>125</v>
      </c>
      <c r="N6724" s="12" t="s">
        <v>14046</v>
      </c>
      <c r="O6724" s="10" t="str">
        <f>HYPERLINK("https://pbs.twimg.com/profile_images/653912667745333248/8Bvff339_normal.jpg","View")</f>
        <v>View</v>
      </c>
      <c r="P6724" s="11"/>
    </row>
    <row r="6725" spans="1:16" ht="12.75" x14ac:dyDescent="0.35">
      <c r="A6725" s="7">
        <v>42484.279490740737</v>
      </c>
      <c r="B6725" s="8" t="str">
        <f>HYPERLINK("https://twitter.com/Scirocco_Tuning","@Scirocco_Tuning")</f>
        <v>@Scirocco_Tuning</v>
      </c>
      <c r="C6725" s="9" t="s">
        <v>51</v>
      </c>
      <c r="D6725" s="9" t="s">
        <v>15152</v>
      </c>
      <c r="E6725" s="10" t="str">
        <f>HYPERLINK("https://twitter.com/Scirocco_Tuning/status/724043294104248320","724043294104248320")</f>
        <v>724043294104248320</v>
      </c>
      <c r="F6725" s="11" t="s">
        <v>53</v>
      </c>
      <c r="G6725" s="11">
        <v>70</v>
      </c>
      <c r="H6725" s="11">
        <v>215</v>
      </c>
      <c r="I6725" s="11">
        <v>0</v>
      </c>
      <c r="J6725" s="11">
        <v>0</v>
      </c>
      <c r="K6725" s="11" t="s">
        <v>21</v>
      </c>
      <c r="L6725" s="7">
        <v>40844.564722222218</v>
      </c>
      <c r="M6725" s="12"/>
      <c r="N6725" s="12"/>
      <c r="O6725" s="10" t="str">
        <f>HYPERLINK("https://pbs.twimg.com/profile_images/1610421423/Image2_normal.jpg","View")</f>
        <v>View</v>
      </c>
      <c r="P6725" s="11"/>
    </row>
    <row r="6726" spans="1:16" ht="12.75" x14ac:dyDescent="0.35">
      <c r="A6726" s="7">
        <v>42484.279548611114</v>
      </c>
      <c r="B6726" s="8" t="str">
        <f>HYPERLINK("https://twitter.com/diiribas","@diiribas")</f>
        <v>@diiribas</v>
      </c>
      <c r="C6726" s="9" t="s">
        <v>15153</v>
      </c>
      <c r="D6726" s="9" t="s">
        <v>15154</v>
      </c>
      <c r="E6726" s="10" t="str">
        <f>HYPERLINK("https://twitter.com/diiribas/status/724043317009350656","724043317009350656")</f>
        <v>724043317009350656</v>
      </c>
      <c r="F6726" s="11" t="s">
        <v>20</v>
      </c>
      <c r="G6726" s="11">
        <v>89</v>
      </c>
      <c r="H6726" s="11">
        <v>107</v>
      </c>
      <c r="I6726" s="11">
        <v>0</v>
      </c>
      <c r="J6726" s="11">
        <v>0</v>
      </c>
      <c r="K6726" s="11" t="s">
        <v>21</v>
      </c>
      <c r="L6726" s="7">
        <v>40396.980092592596</v>
      </c>
      <c r="M6726" s="12" t="s">
        <v>15155</v>
      </c>
      <c r="N6726" s="12"/>
      <c r="O6726" s="10" t="str">
        <f>HYPERLINK("https://pbs.twimg.com/profile_images/1105833928/di1_normal.jpg","View")</f>
        <v>View</v>
      </c>
      <c r="P6726" s="11"/>
    </row>
    <row r="6727" spans="1:16" ht="12.75" x14ac:dyDescent="0.35">
      <c r="A6727" s="7">
        <v>42484.279837962968</v>
      </c>
      <c r="B6727" s="8" t="str">
        <f>HYPERLINK("https://twitter.com/jornalistavitor","@jornalistavitor")</f>
        <v>@jornalistavitor</v>
      </c>
      <c r="C6727" s="9" t="s">
        <v>15156</v>
      </c>
      <c r="D6727" s="9" t="s">
        <v>15157</v>
      </c>
      <c r="E6727" s="10" t="str">
        <f>HYPERLINK("https://twitter.com/jornalistavitor/status/724043420537356288","724043420537356288")</f>
        <v>724043420537356288</v>
      </c>
      <c r="F6727" s="11" t="s">
        <v>43</v>
      </c>
      <c r="G6727" s="11">
        <v>28719</v>
      </c>
      <c r="H6727" s="11">
        <v>16359</v>
      </c>
      <c r="I6727" s="11">
        <v>4</v>
      </c>
      <c r="J6727" s="11">
        <v>0</v>
      </c>
      <c r="K6727" s="11" t="s">
        <v>21</v>
      </c>
      <c r="L6727" s="7">
        <v>40220.958229166667</v>
      </c>
      <c r="M6727" s="12" t="s">
        <v>6000</v>
      </c>
      <c r="N6727" s="12" t="s">
        <v>15158</v>
      </c>
      <c r="O6727" s="10" t="str">
        <f>HYPERLINK("https://pbs.twimg.com/profile_images/378800000463633572/8494361443a9361de1017d497c5ee1f2_normal.jpeg","View")</f>
        <v>View</v>
      </c>
      <c r="P6727" s="11"/>
    </row>
    <row r="6728" spans="1:16" ht="12.75" x14ac:dyDescent="0.35">
      <c r="A6728" s="7">
        <v>42484.281284722223</v>
      </c>
      <c r="B6728" s="8" t="str">
        <f>HYPERLINK("https://twitter.com/ebaycampervans","@ebaycampervans")</f>
        <v>@ebaycampervans</v>
      </c>
      <c r="C6728" s="9" t="s">
        <v>682</v>
      </c>
      <c r="D6728" s="9" t="s">
        <v>15159</v>
      </c>
      <c r="E6728" s="10" t="str">
        <f>HYPERLINK("https://twitter.com/ebaycampervans/status/724043946431631363","724043946431631363")</f>
        <v>724043946431631363</v>
      </c>
      <c r="F6728" s="11" t="s">
        <v>34</v>
      </c>
      <c r="G6728" s="11">
        <v>382</v>
      </c>
      <c r="H6728" s="11">
        <v>1002</v>
      </c>
      <c r="I6728" s="11">
        <v>0</v>
      </c>
      <c r="J6728" s="11">
        <v>0</v>
      </c>
      <c r="K6728" s="11" t="s">
        <v>21</v>
      </c>
      <c r="L6728" s="7">
        <v>42140.207604166666</v>
      </c>
      <c r="M6728" s="12"/>
      <c r="N6728" s="12" t="s">
        <v>684</v>
      </c>
      <c r="O6728" s="10" t="str">
        <f>HYPERLINK("https://pbs.twimg.com/profile_images/599357023407464449/BL9Bpo6T_normal.jpg","View")</f>
        <v>View</v>
      </c>
      <c r="P6728" s="11"/>
    </row>
    <row r="6729" spans="1:16" ht="12.75" x14ac:dyDescent="0.35">
      <c r="A6729" s="7">
        <v>42484.282708333332</v>
      </c>
      <c r="B6729" s="8" t="str">
        <f>HYPERLINK("https://twitter.com/FredHagerman","@FredHagerman")</f>
        <v>@FredHagerman</v>
      </c>
      <c r="C6729" s="9" t="s">
        <v>15160</v>
      </c>
      <c r="D6729" s="9" t="s">
        <v>15161</v>
      </c>
      <c r="E6729" s="10" t="str">
        <f>HYPERLINK("https://twitter.com/FredHagerman/status/724044460120805376","724044460120805376")</f>
        <v>724044460120805376</v>
      </c>
      <c r="F6729" s="11" t="s">
        <v>20</v>
      </c>
      <c r="G6729" s="11">
        <v>10589</v>
      </c>
      <c r="H6729" s="11">
        <v>11571</v>
      </c>
      <c r="I6729" s="11">
        <v>0</v>
      </c>
      <c r="J6729" s="11">
        <v>0</v>
      </c>
      <c r="K6729" s="11" t="s">
        <v>21</v>
      </c>
      <c r="L6729" s="7">
        <v>39925.375775462962</v>
      </c>
      <c r="M6729" s="12" t="s">
        <v>15162</v>
      </c>
      <c r="N6729" s="12" t="s">
        <v>15163</v>
      </c>
      <c r="O6729" s="10" t="str">
        <f>HYPERLINK("https://pbs.twimg.com/profile_images/685063099037122560/PsHEpS8i_normal.jpg","View")</f>
        <v>View</v>
      </c>
      <c r="P6729" s="11"/>
    </row>
    <row r="6730" spans="1:16" ht="12.75" x14ac:dyDescent="0.35">
      <c r="A6730" s="7">
        <v>42484.283495370371</v>
      </c>
      <c r="B6730" s="8" t="str">
        <f>HYPERLINK("https://twitter.com/FuscaWorld","@FuscaWorld")</f>
        <v>@FuscaWorld</v>
      </c>
      <c r="C6730" s="9" t="s">
        <v>74</v>
      </c>
      <c r="D6730" s="9" t="s">
        <v>15164</v>
      </c>
      <c r="E6730" s="10" t="str">
        <f>HYPERLINK("https://twitter.com/FuscaWorld/status/724044748244267008","724044748244267008")</f>
        <v>724044748244267008</v>
      </c>
      <c r="F6730" s="11" t="s">
        <v>76</v>
      </c>
      <c r="G6730" s="11">
        <v>49</v>
      </c>
      <c r="H6730" s="11">
        <v>1</v>
      </c>
      <c r="I6730" s="11">
        <v>1</v>
      </c>
      <c r="J6730" s="11">
        <v>0</v>
      </c>
      <c r="K6730" s="11" t="s">
        <v>21</v>
      </c>
      <c r="L6730" s="7">
        <v>42433.880914351852</v>
      </c>
      <c r="M6730" s="12"/>
      <c r="N6730" s="12" t="s">
        <v>77</v>
      </c>
      <c r="O6730" s="10" t="str">
        <f>HYPERLINK("https://pbs.twimg.com/profile_images/705780107844067328/e7O4UBNb_normal.jpg","View")</f>
        <v>View</v>
      </c>
      <c r="P6730" s="11"/>
    </row>
    <row r="6731" spans="1:16" ht="12.75" x14ac:dyDescent="0.35">
      <c r="A6731" s="7">
        <v>42484.284490740742</v>
      </c>
      <c r="B6731" s="8" t="str">
        <f>HYPERLINK("https://twitter.com/jenkspl64","@jenkspl64")</f>
        <v>@jenkspl64</v>
      </c>
      <c r="C6731" s="9" t="s">
        <v>15165</v>
      </c>
      <c r="D6731" s="9" t="s">
        <v>15166</v>
      </c>
      <c r="E6731" s="10" t="str">
        <f>HYPERLINK("https://twitter.com/jenkspl64/status/724045107284971520","724045107284971520")</f>
        <v>724045107284971520</v>
      </c>
      <c r="F6731" s="11" t="s">
        <v>43</v>
      </c>
      <c r="G6731" s="11">
        <v>57</v>
      </c>
      <c r="H6731" s="11">
        <v>1298</v>
      </c>
      <c r="I6731" s="11">
        <v>0</v>
      </c>
      <c r="J6731" s="11">
        <v>0</v>
      </c>
      <c r="K6731" s="11" t="s">
        <v>21</v>
      </c>
      <c r="L6731" s="7">
        <v>41379.474143518521</v>
      </c>
      <c r="M6731" s="12"/>
      <c r="N6731" s="12" t="s">
        <v>15167</v>
      </c>
      <c r="O6731" s="10" t="str">
        <f>HYPERLINK("https://pbs.twimg.com/profile_images/3784739731/6a5718677b0278eae62bd8e44f2f76b2_normal.jpeg","View")</f>
        <v>View</v>
      </c>
      <c r="P6731" s="11"/>
    </row>
    <row r="6732" spans="1:16" ht="12.75" x14ac:dyDescent="0.35">
      <c r="A6732" s="7">
        <v>42484.287083333329</v>
      </c>
      <c r="B6732" s="8" t="str">
        <f>HYPERLINK("https://twitter.com/BethMasck","@BethMasck")</f>
        <v>@BethMasck</v>
      </c>
      <c r="C6732" s="9" t="s">
        <v>15168</v>
      </c>
      <c r="D6732" s="9" t="s">
        <v>14144</v>
      </c>
      <c r="E6732" s="10" t="str">
        <f>HYPERLINK("https://twitter.com/BethMasck/status/724046049455812610","724046049455812610")</f>
        <v>724046049455812610</v>
      </c>
      <c r="F6732" s="11" t="s">
        <v>1838</v>
      </c>
      <c r="G6732" s="11">
        <v>2213</v>
      </c>
      <c r="H6732" s="11">
        <v>2567</v>
      </c>
      <c r="I6732" s="11">
        <v>4</v>
      </c>
      <c r="J6732" s="11">
        <v>0</v>
      </c>
      <c r="K6732" s="11" t="s">
        <v>21</v>
      </c>
      <c r="L6732" s="7">
        <v>42158.483344907407</v>
      </c>
      <c r="M6732" s="12"/>
      <c r="N6732" s="12" t="s">
        <v>15169</v>
      </c>
      <c r="O6732" s="10" t="str">
        <f>HYPERLINK("https://pbs.twimg.com/profile_images/606695011955163136/kB3W0z1x_normal.jpg","View")</f>
        <v>View</v>
      </c>
      <c r="P6732" s="11"/>
    </row>
    <row r="6733" spans="1:16" ht="12.75" x14ac:dyDescent="0.35">
      <c r="A6733" s="7">
        <v>42484.28800925926</v>
      </c>
      <c r="B6733" s="8" t="str">
        <f>HYPERLINK("https://twitter.com/1966evo4g63","@1966evo4g63")</f>
        <v>@1966evo4g63</v>
      </c>
      <c r="C6733" s="9" t="s">
        <v>15170</v>
      </c>
      <c r="D6733" s="9" t="s">
        <v>14518</v>
      </c>
      <c r="E6733" s="10" t="str">
        <f>HYPERLINK("https://twitter.com/1966evo4g63/status/724046384500891648","724046384500891648")</f>
        <v>724046384500891648</v>
      </c>
      <c r="F6733" s="11" t="s">
        <v>20</v>
      </c>
      <c r="G6733" s="11">
        <v>36</v>
      </c>
      <c r="H6733" s="11">
        <v>58</v>
      </c>
      <c r="I6733" s="11">
        <v>67</v>
      </c>
      <c r="J6733" s="11">
        <v>0</v>
      </c>
      <c r="K6733" s="11" t="s">
        <v>21</v>
      </c>
      <c r="L6733" s="7">
        <v>42095.608761574069</v>
      </c>
      <c r="M6733" s="12"/>
      <c r="N6733" s="12" t="s">
        <v>15171</v>
      </c>
      <c r="O6733" s="10" t="str">
        <f>HYPERLINK("https://pbs.twimg.com/profile_images/693728297608282112/hOdvuzhl_normal.jpg","View")</f>
        <v>View</v>
      </c>
      <c r="P6733" s="11"/>
    </row>
    <row r="6734" spans="1:16" ht="12.75" x14ac:dyDescent="0.35">
      <c r="A6734" s="7">
        <v>42484.28969907407</v>
      </c>
      <c r="B6734" s="8" t="str">
        <f>HYPERLINK("https://twitter.com/ozgurcedeniz","@ozgurcedeniz")</f>
        <v>@ozgurcedeniz</v>
      </c>
      <c r="C6734" s="9" t="s">
        <v>15172</v>
      </c>
      <c r="D6734" s="9" t="s">
        <v>15173</v>
      </c>
      <c r="E6734" s="10" t="str">
        <f>HYPERLINK("https://twitter.com/ozgurcedeniz/status/724046995615297539","724046995615297539")</f>
        <v>724046995615297539</v>
      </c>
      <c r="F6734" s="11" t="s">
        <v>43</v>
      </c>
      <c r="G6734" s="11">
        <v>859</v>
      </c>
      <c r="H6734" s="11">
        <v>594</v>
      </c>
      <c r="I6734" s="11">
        <v>0</v>
      </c>
      <c r="J6734" s="11">
        <v>0</v>
      </c>
      <c r="K6734" s="11" t="s">
        <v>21</v>
      </c>
      <c r="L6734" s="7">
        <v>40698.116689814815</v>
      </c>
      <c r="M6734" s="12" t="s">
        <v>15174</v>
      </c>
      <c r="N6734" s="12" t="s">
        <v>15175</v>
      </c>
      <c r="O6734" s="10" t="str">
        <f>HYPERLINK("https://pbs.twimg.com/profile_images/723975994667872256/hFxdGIQV_normal.jpg","View")</f>
        <v>View</v>
      </c>
      <c r="P6734" s="11"/>
    </row>
    <row r="6735" spans="1:16" ht="12.75" x14ac:dyDescent="0.35">
      <c r="A6735" s="7">
        <v>42484.290104166663</v>
      </c>
      <c r="B6735" s="8" t="str">
        <f>HYPERLINK("https://twitter.com/crissshidalgo","@crissshidalgo")</f>
        <v>@crissshidalgo</v>
      </c>
      <c r="C6735" s="9" t="s">
        <v>13670</v>
      </c>
      <c r="D6735" s="9" t="s">
        <v>15176</v>
      </c>
      <c r="E6735" s="10" t="str">
        <f>HYPERLINK("https://twitter.com/crissshidalgo/status/724047141501472768","724047141501472768")</f>
        <v>724047141501472768</v>
      </c>
      <c r="F6735" s="11" t="s">
        <v>114</v>
      </c>
      <c r="G6735" s="11">
        <v>317</v>
      </c>
      <c r="H6735" s="11">
        <v>256</v>
      </c>
      <c r="I6735" s="11">
        <v>0</v>
      </c>
      <c r="J6735" s="11">
        <v>0</v>
      </c>
      <c r="K6735" s="11" t="s">
        <v>21</v>
      </c>
      <c r="L6735" s="7">
        <v>42149.255914351852</v>
      </c>
      <c r="M6735" s="12" t="s">
        <v>13672</v>
      </c>
      <c r="N6735" s="12" t="s">
        <v>13673</v>
      </c>
      <c r="O6735" s="10" t="str">
        <f>HYPERLINK("https://pbs.twimg.com/profile_images/720097053217579008/yUEHosni_normal.jpg","View")</f>
        <v>View</v>
      </c>
      <c r="P6735" s="10" t="str">
        <f>HYPERLINK("http://ctrlq.org/maps/address/#-34.66666667,-58.66666667","Map")</f>
        <v>Map</v>
      </c>
    </row>
    <row r="6736" spans="1:16" ht="12.75" x14ac:dyDescent="0.35">
      <c r="A6736" s="7">
        <v>42484.290578703702</v>
      </c>
      <c r="B6736" s="8" t="str">
        <f>HYPERLINK("https://twitter.com/PicadasArg","@PicadasArg")</f>
        <v>@PicadasArg</v>
      </c>
      <c r="C6736" s="9" t="s">
        <v>11896</v>
      </c>
      <c r="D6736" s="9" t="s">
        <v>15177</v>
      </c>
      <c r="E6736" s="10" t="str">
        <f>HYPERLINK("https://twitter.com/PicadasArg/status/724047316102074368","724047316102074368")</f>
        <v>724047316102074368</v>
      </c>
      <c r="F6736" s="11" t="s">
        <v>48</v>
      </c>
      <c r="G6736" s="11">
        <v>1582</v>
      </c>
      <c r="H6736" s="11">
        <v>4167</v>
      </c>
      <c r="I6736" s="11">
        <v>4</v>
      </c>
      <c r="J6736" s="11">
        <v>6</v>
      </c>
      <c r="K6736" s="11" t="s">
        <v>21</v>
      </c>
      <c r="L6736" s="7">
        <v>42455.340335648143</v>
      </c>
      <c r="M6736" s="12" t="s">
        <v>49</v>
      </c>
      <c r="N6736" s="12" t="s">
        <v>11898</v>
      </c>
      <c r="O6736" s="10" t="str">
        <f>HYPERLINK("https://pbs.twimg.com/profile_images/713573399386259456/JwmrbkVy_normal.jpg","View")</f>
        <v>View</v>
      </c>
      <c r="P6736" s="11"/>
    </row>
    <row r="6737" spans="1:16" ht="12.75" x14ac:dyDescent="0.35">
      <c r="A6737" s="7">
        <v>42484.290856481486</v>
      </c>
      <c r="B6737" s="8" t="str">
        <f>HYPERLINK("https://twitter.com/Lucascanob_","@Lucascanob_")</f>
        <v>@Lucascanob_</v>
      </c>
      <c r="C6737" s="9" t="s">
        <v>10523</v>
      </c>
      <c r="D6737" s="9" t="s">
        <v>15178</v>
      </c>
      <c r="E6737" s="10" t="str">
        <f>HYPERLINK("https://twitter.com/Lucascanob_/status/724047416165564416","724047416165564416")</f>
        <v>724047416165564416</v>
      </c>
      <c r="F6737" s="11" t="s">
        <v>48</v>
      </c>
      <c r="G6737" s="11">
        <v>3020</v>
      </c>
      <c r="H6737" s="11">
        <v>2040</v>
      </c>
      <c r="I6737" s="11">
        <v>4</v>
      </c>
      <c r="J6737" s="11">
        <v>0</v>
      </c>
      <c r="K6737" s="11" t="s">
        <v>21</v>
      </c>
      <c r="L6737" s="7">
        <v>40525.753425925926</v>
      </c>
      <c r="M6737" s="12" t="s">
        <v>494</v>
      </c>
      <c r="N6737" s="12" t="s">
        <v>15179</v>
      </c>
      <c r="O6737" s="10" t="str">
        <f>HYPERLINK("https://pbs.twimg.com/profile_images/723315631039352832/VcTMp6jG_normal.jpg","View")</f>
        <v>View</v>
      </c>
      <c r="P6737" s="11"/>
    </row>
    <row r="6738" spans="1:16" ht="12.75" x14ac:dyDescent="0.35">
      <c r="A6738" s="7">
        <v>42484.291180555556</v>
      </c>
      <c r="B6738" s="8" t="str">
        <f>HYPERLINK("https://twitter.com/Braandon_0","@Braandon_0")</f>
        <v>@Braandon_0</v>
      </c>
      <c r="C6738" s="9" t="s">
        <v>15180</v>
      </c>
      <c r="D6738" s="9" t="s">
        <v>15178</v>
      </c>
      <c r="E6738" s="10" t="str">
        <f>HYPERLINK("https://twitter.com/Braandon_0/status/724047530997256192","724047530997256192")</f>
        <v>724047530997256192</v>
      </c>
      <c r="F6738" s="11" t="s">
        <v>48</v>
      </c>
      <c r="G6738" s="11">
        <v>1135</v>
      </c>
      <c r="H6738" s="11">
        <v>958</v>
      </c>
      <c r="I6738" s="11">
        <v>4</v>
      </c>
      <c r="J6738" s="11">
        <v>0</v>
      </c>
      <c r="K6738" s="11" t="s">
        <v>21</v>
      </c>
      <c r="L6738" s="7">
        <v>41572.957546296297</v>
      </c>
      <c r="M6738" s="12" t="s">
        <v>15181</v>
      </c>
      <c r="N6738" s="12" t="s">
        <v>15182</v>
      </c>
      <c r="O6738" s="10" t="str">
        <f>HYPERLINK("https://pbs.twimg.com/profile_images/717609619967909889/4OLgkFBY_normal.jpg","View")</f>
        <v>View</v>
      </c>
      <c r="P6738" s="11"/>
    </row>
    <row r="6739" spans="1:16" ht="12.75" x14ac:dyDescent="0.35">
      <c r="A6739" s="7">
        <v>42484.291273148148</v>
      </c>
      <c r="B6739" s="8" t="str">
        <f>HYPERLINK("https://twitter.com/VazquezSool","@VazquezSool")</f>
        <v>@VazquezSool</v>
      </c>
      <c r="C6739" s="9" t="s">
        <v>15183</v>
      </c>
      <c r="D6739" s="9" t="s">
        <v>15178</v>
      </c>
      <c r="E6739" s="10" t="str">
        <f>HYPERLINK("https://twitter.com/VazquezSool/status/724047565503733761","724047565503733761")</f>
        <v>724047565503733761</v>
      </c>
      <c r="F6739" s="11" t="s">
        <v>48</v>
      </c>
      <c r="G6739" s="11">
        <v>807</v>
      </c>
      <c r="H6739" s="11">
        <v>633</v>
      </c>
      <c r="I6739" s="11">
        <v>4</v>
      </c>
      <c r="J6739" s="11">
        <v>0</v>
      </c>
      <c r="K6739" s="11" t="s">
        <v>21</v>
      </c>
      <c r="L6739" s="7">
        <v>41063.089363425926</v>
      </c>
      <c r="M6739" s="12" t="s">
        <v>15184</v>
      </c>
      <c r="N6739" s="12" t="s">
        <v>15185</v>
      </c>
      <c r="O6739" s="10" t="str">
        <f>HYPERLINK("https://pbs.twimg.com/profile_images/721373272705773568/2gPhR6nF_normal.jpg","View")</f>
        <v>View</v>
      </c>
      <c r="P6739" s="11"/>
    </row>
    <row r="6740" spans="1:16" ht="12.75" x14ac:dyDescent="0.35">
      <c r="A6740" s="7">
        <v>42484.291365740741</v>
      </c>
      <c r="B6740" s="8" t="str">
        <f>HYPERLINK("https://twitter.com/fercabmoreno","@fercabmoreno")</f>
        <v>@fercabmoreno</v>
      </c>
      <c r="C6740" s="9" t="s">
        <v>15186</v>
      </c>
      <c r="D6740" s="9" t="s">
        <v>14518</v>
      </c>
      <c r="E6740" s="10" t="str">
        <f>HYPERLINK("https://twitter.com/fercabmoreno/status/724047599616036864","724047599616036864")</f>
        <v>724047599616036864</v>
      </c>
      <c r="F6740" s="11" t="s">
        <v>48</v>
      </c>
      <c r="G6740" s="11">
        <v>35</v>
      </c>
      <c r="H6740" s="11">
        <v>256</v>
      </c>
      <c r="I6740" s="11">
        <v>67</v>
      </c>
      <c r="J6740" s="11">
        <v>0</v>
      </c>
      <c r="K6740" s="11" t="s">
        <v>21</v>
      </c>
      <c r="L6740" s="7">
        <v>42120.350104166668</v>
      </c>
      <c r="M6740" s="12" t="s">
        <v>4103</v>
      </c>
      <c r="N6740" s="12" t="s">
        <v>15187</v>
      </c>
      <c r="O6740" s="10" t="str">
        <f>HYPERLINK("https://pbs.twimg.com/profile_images/672644804422037504/SawTdvB2_normal.jpg","View")</f>
        <v>View</v>
      </c>
      <c r="P6740" s="11"/>
    </row>
    <row r="6741" spans="1:16" ht="12.75" x14ac:dyDescent="0.35">
      <c r="A6741" s="7">
        <v>42484.291388888887</v>
      </c>
      <c r="B6741" s="8" t="str">
        <f>HYPERLINK("https://twitter.com/AylenANM","@AylenANM")</f>
        <v>@AylenANM</v>
      </c>
      <c r="C6741" s="9" t="s">
        <v>15188</v>
      </c>
      <c r="D6741" s="9" t="s">
        <v>15178</v>
      </c>
      <c r="E6741" s="10" t="str">
        <f>HYPERLINK("https://twitter.com/AylenANM/status/724047608579239936","724047608579239936")</f>
        <v>724047608579239936</v>
      </c>
      <c r="F6741" s="11" t="s">
        <v>48</v>
      </c>
      <c r="G6741" s="11">
        <v>1172</v>
      </c>
      <c r="H6741" s="11">
        <v>198</v>
      </c>
      <c r="I6741" s="11">
        <v>4</v>
      </c>
      <c r="J6741" s="11">
        <v>0</v>
      </c>
      <c r="K6741" s="11" t="s">
        <v>21</v>
      </c>
      <c r="L6741" s="7">
        <v>40404.093159722222</v>
      </c>
      <c r="M6741" s="12" t="s">
        <v>15189</v>
      </c>
      <c r="N6741" s="12" t="s">
        <v>15190</v>
      </c>
      <c r="O6741" s="10" t="str">
        <f>HYPERLINK("https://pbs.twimg.com/profile_images/723348530883092480/kbMpoaKc_normal.jpg","View")</f>
        <v>View</v>
      </c>
      <c r="P6741" s="11"/>
    </row>
    <row r="6742" spans="1:16" ht="12.75" x14ac:dyDescent="0.35">
      <c r="A6742" s="7">
        <v>42484.292071759264</v>
      </c>
      <c r="B6742" s="8" t="str">
        <f>HYPERLINK("https://twitter.com/VCT_Tweets","@VCT_Tweets")</f>
        <v>@VCT_Tweets</v>
      </c>
      <c r="C6742" s="9" t="s">
        <v>199</v>
      </c>
      <c r="D6742" s="9" t="s">
        <v>15191</v>
      </c>
      <c r="E6742" s="10" t="str">
        <f>HYPERLINK("https://twitter.com/VCT_Tweets/status/724047854122217472","724047854122217472")</f>
        <v>724047854122217472</v>
      </c>
      <c r="F6742" s="11" t="s">
        <v>68</v>
      </c>
      <c r="G6742" s="11">
        <v>897</v>
      </c>
      <c r="H6742" s="11">
        <v>211</v>
      </c>
      <c r="I6742" s="11">
        <v>0</v>
      </c>
      <c r="J6742" s="11">
        <v>0</v>
      </c>
      <c r="K6742" s="11" t="s">
        <v>21</v>
      </c>
      <c r="L6742" s="7">
        <v>40744.914837962962</v>
      </c>
      <c r="M6742" s="12" t="s">
        <v>201</v>
      </c>
      <c r="N6742" s="12" t="s">
        <v>202</v>
      </c>
      <c r="O6742" s="10" t="str">
        <f>HYPERLINK("https://pbs.twimg.com/profile_images/569800899141177344/nVFLMSdb_normal.png","View")</f>
        <v>View</v>
      </c>
      <c r="P6742" s="11"/>
    </row>
    <row r="6743" spans="1:16" ht="12.75" x14ac:dyDescent="0.35">
      <c r="A6743" s="7">
        <v>42484.292962962965</v>
      </c>
      <c r="B6743" s="8" t="str">
        <f>HYPERLINK("https://twitter.com/FrancoAguus","@FrancoAguus")</f>
        <v>@FrancoAguus</v>
      </c>
      <c r="C6743" s="9" t="s">
        <v>15192</v>
      </c>
      <c r="D6743" s="9" t="s">
        <v>15178</v>
      </c>
      <c r="E6743" s="10" t="str">
        <f>HYPERLINK("https://twitter.com/FrancoAguus/status/724048177582714880","724048177582714880")</f>
        <v>724048177582714880</v>
      </c>
      <c r="F6743" s="11" t="s">
        <v>43</v>
      </c>
      <c r="G6743" s="11">
        <v>1031</v>
      </c>
      <c r="H6743" s="11">
        <v>581</v>
      </c>
      <c r="I6743" s="11">
        <v>8</v>
      </c>
      <c r="J6743" s="11">
        <v>0</v>
      </c>
      <c r="K6743" s="11" t="s">
        <v>21</v>
      </c>
      <c r="L6743" s="7">
        <v>41514.009270833332</v>
      </c>
      <c r="M6743" s="12" t="s">
        <v>15193</v>
      </c>
      <c r="N6743" s="12" t="s">
        <v>15194</v>
      </c>
      <c r="O6743" s="10" t="str">
        <f>HYPERLINK("https://pbs.twimg.com/profile_images/721771238360612865/05hmYcad_normal.jpg","View")</f>
        <v>View</v>
      </c>
      <c r="P6743" s="11"/>
    </row>
    <row r="6744" spans="1:16" ht="12.75" x14ac:dyDescent="0.35">
      <c r="A6744" s="7">
        <v>42484.29409722222</v>
      </c>
      <c r="B6744" s="8" t="str">
        <f>HYPERLINK("https://twitter.com/PicadasArg","@PicadasArg")</f>
        <v>@PicadasArg</v>
      </c>
      <c r="C6744" s="9" t="s">
        <v>11896</v>
      </c>
      <c r="D6744" s="9" t="s">
        <v>15195</v>
      </c>
      <c r="E6744" s="10" t="str">
        <f>HYPERLINK("https://twitter.com/PicadasArg/status/724048587416567808","724048587416567808")</f>
        <v>724048587416567808</v>
      </c>
      <c r="F6744" s="11" t="s">
        <v>48</v>
      </c>
      <c r="G6744" s="11">
        <v>1582</v>
      </c>
      <c r="H6744" s="11">
        <v>4167</v>
      </c>
      <c r="I6744" s="11">
        <v>8</v>
      </c>
      <c r="J6744" s="11">
        <v>23</v>
      </c>
      <c r="K6744" s="11" t="s">
        <v>21</v>
      </c>
      <c r="L6744" s="7">
        <v>42455.340335648143</v>
      </c>
      <c r="M6744" s="12" t="s">
        <v>49</v>
      </c>
      <c r="N6744" s="12" t="s">
        <v>11898</v>
      </c>
      <c r="O6744" s="10" t="str">
        <f>HYPERLINK("https://pbs.twimg.com/profile_images/713573399386259456/JwmrbkVy_normal.jpg","View")</f>
        <v>View</v>
      </c>
      <c r="P6744" s="11"/>
    </row>
    <row r="6745" spans="1:16" ht="12.75" x14ac:dyDescent="0.35">
      <c r="A6745" s="7">
        <v>42484.294270833328</v>
      </c>
      <c r="B6745" s="8" t="str">
        <f>HYPERLINK("https://twitter.com/RamsarJrs12","@RamsarJrs12")</f>
        <v>@RamsarJrs12</v>
      </c>
      <c r="C6745" s="9" t="s">
        <v>15196</v>
      </c>
      <c r="D6745" s="9" t="s">
        <v>15197</v>
      </c>
      <c r="E6745" s="10" t="str">
        <f>HYPERLINK("https://twitter.com/RamsarJrs12/status/724048654038896642","724048654038896642")</f>
        <v>724048654038896642</v>
      </c>
      <c r="F6745" s="11" t="s">
        <v>43</v>
      </c>
      <c r="G6745" s="11">
        <v>1921</v>
      </c>
      <c r="H6745" s="11">
        <v>1855</v>
      </c>
      <c r="I6745" s="11">
        <v>8</v>
      </c>
      <c r="J6745" s="11">
        <v>0</v>
      </c>
      <c r="K6745" s="11" t="s">
        <v>21</v>
      </c>
      <c r="L6745" s="7">
        <v>41818.916539351849</v>
      </c>
      <c r="M6745" s="12" t="s">
        <v>11281</v>
      </c>
      <c r="N6745" s="12" t="s">
        <v>15198</v>
      </c>
      <c r="O6745" s="10" t="str">
        <f>HYPERLINK("https://pbs.twimg.com/profile_images/722120496964349954/Sp36T9JP_normal.jpg","View")</f>
        <v>View</v>
      </c>
      <c r="P6745" s="11"/>
    </row>
    <row r="6746" spans="1:16" ht="12.75" x14ac:dyDescent="0.35">
      <c r="A6746" s="7">
        <v>42484.294351851851</v>
      </c>
      <c r="B6746" s="8" t="str">
        <f>HYPERLINK("https://twitter.com/Eze_Marocchi","@Eze_Marocchi")</f>
        <v>@Eze_Marocchi</v>
      </c>
      <c r="C6746" s="9" t="s">
        <v>15199</v>
      </c>
      <c r="D6746" s="9" t="s">
        <v>15197</v>
      </c>
      <c r="E6746" s="10" t="str">
        <f>HYPERLINK("https://twitter.com/Eze_Marocchi/status/724048682539212800","724048682539212800")</f>
        <v>724048682539212800</v>
      </c>
      <c r="F6746" s="11" t="s">
        <v>48</v>
      </c>
      <c r="G6746" s="11">
        <v>522</v>
      </c>
      <c r="H6746" s="11">
        <v>356</v>
      </c>
      <c r="I6746" s="11">
        <v>8</v>
      </c>
      <c r="J6746" s="11">
        <v>0</v>
      </c>
      <c r="K6746" s="11" t="s">
        <v>21</v>
      </c>
      <c r="L6746" s="7">
        <v>40591.19158564815</v>
      </c>
      <c r="M6746" s="12" t="s">
        <v>866</v>
      </c>
      <c r="N6746" s="12" t="s">
        <v>15200</v>
      </c>
      <c r="O6746" s="10" t="str">
        <f>HYPERLINK("https://pbs.twimg.com/profile_images/723355752065175552/lZOfik9L_normal.jpg","View")</f>
        <v>View</v>
      </c>
      <c r="P6746" s="11"/>
    </row>
    <row r="6747" spans="1:16" ht="12.75" x14ac:dyDescent="0.35">
      <c r="A6747" s="7">
        <v>42484.294398148151</v>
      </c>
      <c r="B6747" s="8" t="str">
        <f>HYPERLINK("https://twitter.com/Ros4ri0Central","@Ros4ri0Central")</f>
        <v>@Ros4ri0Central</v>
      </c>
      <c r="C6747" s="9" t="s">
        <v>15201</v>
      </c>
      <c r="D6747" s="9" t="s">
        <v>15197</v>
      </c>
      <c r="E6747" s="10" t="str">
        <f>HYPERLINK("https://twitter.com/Ros4ri0Central/status/724048699895222274","724048699895222274")</f>
        <v>724048699895222274</v>
      </c>
      <c r="F6747" s="11" t="s">
        <v>2060</v>
      </c>
      <c r="G6747" s="11">
        <v>589</v>
      </c>
      <c r="H6747" s="11">
        <v>533</v>
      </c>
      <c r="I6747" s="11">
        <v>8</v>
      </c>
      <c r="J6747" s="11">
        <v>0</v>
      </c>
      <c r="K6747" s="11" t="s">
        <v>21</v>
      </c>
      <c r="L6747" s="7">
        <v>40636.329814814817</v>
      </c>
      <c r="M6747" s="12" t="s">
        <v>15202</v>
      </c>
      <c r="N6747" s="12" t="s">
        <v>15203</v>
      </c>
      <c r="O6747" s="10" t="str">
        <f>HYPERLINK("https://pbs.twimg.com/profile_images/711958058633711616/QR_V7dil_normal.jpg","View")</f>
        <v>View</v>
      </c>
      <c r="P6747" s="11"/>
    </row>
    <row r="6748" spans="1:16" ht="12.75" x14ac:dyDescent="0.35">
      <c r="A6748" s="7">
        <v>42484.294965277775</v>
      </c>
      <c r="B6748" s="8" t="str">
        <f>HYPERLINK("https://twitter.com/LeoSannchez22","@LeoSannchez22")</f>
        <v>@LeoSannchez22</v>
      </c>
      <c r="C6748" s="9" t="s">
        <v>15204</v>
      </c>
      <c r="D6748" s="9" t="s">
        <v>15197</v>
      </c>
      <c r="E6748" s="10" t="str">
        <f>HYPERLINK("https://twitter.com/LeoSannchez22/status/724048905009287168","724048905009287168")</f>
        <v>724048905009287168</v>
      </c>
      <c r="F6748" s="11" t="s">
        <v>43</v>
      </c>
      <c r="G6748" s="11">
        <v>242</v>
      </c>
      <c r="H6748" s="11">
        <v>234</v>
      </c>
      <c r="I6748" s="11">
        <v>8</v>
      </c>
      <c r="J6748" s="11">
        <v>0</v>
      </c>
      <c r="K6748" s="11" t="s">
        <v>21</v>
      </c>
      <c r="L6748" s="7">
        <v>40586.196608796294</v>
      </c>
      <c r="M6748" s="12"/>
      <c r="N6748" s="12" t="s">
        <v>15205</v>
      </c>
      <c r="O6748" s="10" t="str">
        <f>HYPERLINK("https://pbs.twimg.com/profile_images/655809632808603648/Db8WUfss_normal.jpg","View")</f>
        <v>View</v>
      </c>
      <c r="P6748" s="11"/>
    </row>
    <row r="6749" spans="1:16" ht="12.75" x14ac:dyDescent="0.35">
      <c r="A6749" s="7">
        <v>42484.295324074075</v>
      </c>
      <c r="B6749" s="8" t="str">
        <f>HYPERLINK("https://twitter.com/MiqueasC01","@MiqueasC01")</f>
        <v>@MiqueasC01</v>
      </c>
      <c r="C6749" s="9" t="s">
        <v>15206</v>
      </c>
      <c r="D6749" s="9" t="s">
        <v>15197</v>
      </c>
      <c r="E6749" s="10" t="str">
        <f>HYPERLINK("https://twitter.com/MiqueasC01/status/724049033615032321","724049033615032321")</f>
        <v>724049033615032321</v>
      </c>
      <c r="F6749" s="11" t="s">
        <v>48</v>
      </c>
      <c r="G6749" s="11">
        <v>271</v>
      </c>
      <c r="H6749" s="11">
        <v>296</v>
      </c>
      <c r="I6749" s="11">
        <v>8</v>
      </c>
      <c r="J6749" s="11">
        <v>0</v>
      </c>
      <c r="K6749" s="11" t="s">
        <v>21</v>
      </c>
      <c r="L6749" s="7">
        <v>42302.040821759263</v>
      </c>
      <c r="M6749" s="12"/>
      <c r="N6749" s="12" t="s">
        <v>15207</v>
      </c>
      <c r="O6749" s="10" t="str">
        <f>HYPERLINK("https://pbs.twimg.com/profile_images/723508491407728640/fJcvYNZB_normal.jpg","View")</f>
        <v>View</v>
      </c>
      <c r="P6749" s="11"/>
    </row>
    <row r="6750" spans="1:16" ht="12.75" x14ac:dyDescent="0.35">
      <c r="A6750" s="7">
        <v>42484.295347222222</v>
      </c>
      <c r="B6750" s="8" t="str">
        <f>HYPERLINK("https://twitter.com/1alanking","@1alanking")</f>
        <v>@1alanking</v>
      </c>
      <c r="C6750" s="9" t="s">
        <v>15208</v>
      </c>
      <c r="D6750" s="9" t="s">
        <v>15209</v>
      </c>
      <c r="E6750" s="10" t="str">
        <f>HYPERLINK("https://twitter.com/1alanking/status/724049041751965696","724049041751965696")</f>
        <v>724049041751965696</v>
      </c>
      <c r="F6750" s="11" t="s">
        <v>48</v>
      </c>
      <c r="G6750" s="11">
        <v>110</v>
      </c>
      <c r="H6750" s="11">
        <v>353</v>
      </c>
      <c r="I6750" s="11">
        <v>0</v>
      </c>
      <c r="J6750" s="11">
        <v>0</v>
      </c>
      <c r="K6750" s="11" t="s">
        <v>21</v>
      </c>
      <c r="L6750" s="7">
        <v>39816.501284722224</v>
      </c>
      <c r="M6750" s="12" t="s">
        <v>15210</v>
      </c>
      <c r="N6750" s="12" t="s">
        <v>15211</v>
      </c>
      <c r="O6750" s="10" t="str">
        <f>HYPERLINK("https://pbs.twimg.com/profile_images/241235095/Checkendon_normal.jpg","View")</f>
        <v>View</v>
      </c>
      <c r="P6750" s="11"/>
    </row>
    <row r="6751" spans="1:16" ht="12.75" x14ac:dyDescent="0.35">
      <c r="A6751" s="7">
        <v>42484.295648148152</v>
      </c>
      <c r="B6751" s="8" t="str">
        <f>HYPERLINK("https://twitter.com/Agusperez09","@Agusperez09")</f>
        <v>@Agusperez09</v>
      </c>
      <c r="C6751" s="9" t="s">
        <v>15212</v>
      </c>
      <c r="D6751" s="9" t="s">
        <v>15197</v>
      </c>
      <c r="E6751" s="10" t="str">
        <f>HYPERLINK("https://twitter.com/Agusperez09/status/724049153261748225","724049153261748225")</f>
        <v>724049153261748225</v>
      </c>
      <c r="F6751" s="11" t="s">
        <v>48</v>
      </c>
      <c r="G6751" s="11">
        <v>731</v>
      </c>
      <c r="H6751" s="11">
        <v>554</v>
      </c>
      <c r="I6751" s="11">
        <v>8</v>
      </c>
      <c r="J6751" s="11">
        <v>0</v>
      </c>
      <c r="K6751" s="11" t="s">
        <v>21</v>
      </c>
      <c r="L6751" s="7">
        <v>41729.136435185181</v>
      </c>
      <c r="M6751" s="12" t="s">
        <v>14634</v>
      </c>
      <c r="N6751" s="12" t="s">
        <v>15213</v>
      </c>
      <c r="O6751" s="10" t="str">
        <f>HYPERLINK("https://pbs.twimg.com/profile_images/707349972207996928/7-Xj4NwH_normal.jpg","View")</f>
        <v>View</v>
      </c>
      <c r="P6751" s="11"/>
    </row>
    <row r="6752" spans="1:16" ht="12.75" x14ac:dyDescent="0.35">
      <c r="A6752" s="7">
        <v>42484.295995370368</v>
      </c>
      <c r="B6752" s="8" t="str">
        <f>HYPERLINK("https://twitter.com/rebelagenda","@rebelagenda")</f>
        <v>@rebelagenda</v>
      </c>
      <c r="C6752" s="9" t="s">
        <v>15214</v>
      </c>
      <c r="D6752" s="9" t="s">
        <v>15215</v>
      </c>
      <c r="E6752" s="10" t="str">
        <f>HYPERLINK("https://twitter.com/rebelagenda/status/724049277383647232","724049277383647232")</f>
        <v>724049277383647232</v>
      </c>
      <c r="F6752" s="11" t="s">
        <v>43</v>
      </c>
      <c r="G6752" s="11">
        <v>420</v>
      </c>
      <c r="H6752" s="11">
        <v>366</v>
      </c>
      <c r="I6752" s="11">
        <v>0</v>
      </c>
      <c r="J6752" s="11">
        <v>0</v>
      </c>
      <c r="K6752" s="11" t="s">
        <v>21</v>
      </c>
      <c r="L6752" s="7">
        <v>41939.849664351852</v>
      </c>
      <c r="M6752" s="12" t="s">
        <v>2376</v>
      </c>
      <c r="N6752" s="12" t="s">
        <v>15216</v>
      </c>
      <c r="O6752" s="10" t="str">
        <f>HYPERLINK("https://pbs.twimg.com/profile_images/716106066673537025/2-Q6N4oh_normal.jpg","View")</f>
        <v>View</v>
      </c>
      <c r="P6752" s="11"/>
    </row>
    <row r="6753" spans="1:16" ht="12.75" x14ac:dyDescent="0.35">
      <c r="A6753" s="7">
        <v>42484.296979166669</v>
      </c>
      <c r="B6753" s="8" t="str">
        <f>HYPERLINK("https://twitter.com/camiilarommero","@camiilarommero")</f>
        <v>@camiilarommero</v>
      </c>
      <c r="C6753" s="9" t="s">
        <v>15217</v>
      </c>
      <c r="D6753" s="9" t="s">
        <v>15178</v>
      </c>
      <c r="E6753" s="10" t="str">
        <f>HYPERLINK("https://twitter.com/camiilarommero/status/724049632964255746","724049632964255746")</f>
        <v>724049632964255746</v>
      </c>
      <c r="F6753" s="11" t="s">
        <v>48</v>
      </c>
      <c r="G6753" s="11">
        <v>662</v>
      </c>
      <c r="H6753" s="11">
        <v>344</v>
      </c>
      <c r="I6753" s="11">
        <v>8</v>
      </c>
      <c r="J6753" s="11">
        <v>0</v>
      </c>
      <c r="K6753" s="11" t="s">
        <v>21</v>
      </c>
      <c r="L6753" s="7">
        <v>41297.541307870371</v>
      </c>
      <c r="M6753" s="12" t="s">
        <v>15218</v>
      </c>
      <c r="N6753" s="12" t="s">
        <v>15219</v>
      </c>
      <c r="O6753" s="10" t="str">
        <f>HYPERLINK("https://pbs.twimg.com/profile_images/712842542241484800/fYAhmTUq_normal.jpg","View")</f>
        <v>View</v>
      </c>
      <c r="P6753" s="11"/>
    </row>
    <row r="6754" spans="1:16" ht="12.75" x14ac:dyDescent="0.35">
      <c r="A6754" s="7">
        <v>42484.297175925924</v>
      </c>
      <c r="B6754" s="8" t="str">
        <f>HYPERLINK("https://twitter.com/agussnaavaarro","@agussnaavaarro")</f>
        <v>@agussnaavaarro</v>
      </c>
      <c r="C6754" s="9" t="s">
        <v>15220</v>
      </c>
      <c r="D6754" s="9" t="s">
        <v>15178</v>
      </c>
      <c r="E6754" s="10" t="str">
        <f>HYPERLINK("https://twitter.com/agussnaavaarro/status/724049702820429824","724049702820429824")</f>
        <v>724049702820429824</v>
      </c>
      <c r="F6754" s="11" t="s">
        <v>48</v>
      </c>
      <c r="G6754" s="11">
        <v>438</v>
      </c>
      <c r="H6754" s="11">
        <v>249</v>
      </c>
      <c r="I6754" s="11">
        <v>8</v>
      </c>
      <c r="J6754" s="11">
        <v>0</v>
      </c>
      <c r="K6754" s="11" t="s">
        <v>21</v>
      </c>
      <c r="L6754" s="7">
        <v>41854.336504629631</v>
      </c>
      <c r="M6754" s="12" t="s">
        <v>5300</v>
      </c>
      <c r="N6754" s="12" t="s">
        <v>15221</v>
      </c>
      <c r="O6754" s="10" t="str">
        <f>HYPERLINK("https://pbs.twimg.com/profile_images/719992610824302593/gTWo5WQ5_normal.jpg","View")</f>
        <v>View</v>
      </c>
      <c r="P6754" s="11"/>
    </row>
    <row r="6755" spans="1:16" ht="12.75" x14ac:dyDescent="0.35">
      <c r="A6755" s="7">
        <v>42484.298564814817</v>
      </c>
      <c r="B6755" s="8" t="str">
        <f>HYPERLINK("https://twitter.com/gimena_barela","@gimena_barela")</f>
        <v>@gimena_barela</v>
      </c>
      <c r="C6755" s="9" t="s">
        <v>15222</v>
      </c>
      <c r="D6755" s="9" t="s">
        <v>15197</v>
      </c>
      <c r="E6755" s="10" t="str">
        <f>HYPERLINK("https://twitter.com/gimena_barela/status/724050209735626752","724050209735626752")</f>
        <v>724050209735626752</v>
      </c>
      <c r="F6755" s="11" t="s">
        <v>43</v>
      </c>
      <c r="G6755" s="11">
        <v>368</v>
      </c>
      <c r="H6755" s="11">
        <v>411</v>
      </c>
      <c r="I6755" s="11">
        <v>8</v>
      </c>
      <c r="J6755" s="11">
        <v>0</v>
      </c>
      <c r="K6755" s="11" t="s">
        <v>21</v>
      </c>
      <c r="L6755" s="7">
        <v>42387.450833333336</v>
      </c>
      <c r="M6755" s="12" t="s">
        <v>2867</v>
      </c>
      <c r="N6755" s="12" t="s">
        <v>15223</v>
      </c>
      <c r="O6755" s="10" t="str">
        <f>HYPERLINK("https://pbs.twimg.com/profile_images/723352962685345792/A1iPVpyc_normal.jpg","View")</f>
        <v>View</v>
      </c>
      <c r="P6755" s="11"/>
    </row>
    <row r="6756" spans="1:16" ht="12.75" x14ac:dyDescent="0.35">
      <c r="A6756" s="7">
        <v>42484.30059027778</v>
      </c>
      <c r="B6756" s="8" t="str">
        <f>HYPERLINK("https://twitter.com/sateibank","@sateibank")</f>
        <v>@sateibank</v>
      </c>
      <c r="C6756" s="9" t="s">
        <v>519</v>
      </c>
      <c r="D6756" s="9" t="s">
        <v>15224</v>
      </c>
      <c r="E6756" s="10" t="str">
        <f>HYPERLINK("https://twitter.com/sateibank/status/724050941591195649","724050941591195649")</f>
        <v>724050941591195649</v>
      </c>
      <c r="F6756" s="11" t="s">
        <v>43</v>
      </c>
      <c r="G6756" s="11">
        <v>1794</v>
      </c>
      <c r="H6756" s="11">
        <v>1843</v>
      </c>
      <c r="I6756" s="11">
        <v>0</v>
      </c>
      <c r="J6756" s="11">
        <v>0</v>
      </c>
      <c r="K6756" s="11" t="s">
        <v>21</v>
      </c>
      <c r="L6756" s="7">
        <v>41862.289282407408</v>
      </c>
      <c r="M6756" s="12"/>
      <c r="N6756" s="12" t="s">
        <v>521</v>
      </c>
      <c r="O6756" s="10" t="str">
        <f>HYPERLINK("https://pbs.twimg.com/profile_images/498644079387754496/5cUzlSkH_normal.jpeg","View")</f>
        <v>View</v>
      </c>
      <c r="P6756" s="11"/>
    </row>
    <row r="6757" spans="1:16" ht="12.75" x14ac:dyDescent="0.35">
      <c r="A6757" s="7">
        <v>42484.302800925929</v>
      </c>
      <c r="B6757" s="8" t="str">
        <f t="shared" ref="B6757:B6758" si="603">HYPERLINK("https://twitter.com/giulianoctf","@giulianoctf")</f>
        <v>@giulianoctf</v>
      </c>
      <c r="C6757" s="9" t="s">
        <v>15225</v>
      </c>
      <c r="D6757" s="9" t="s">
        <v>15197</v>
      </c>
      <c r="E6757" s="10" t="str">
        <f>HYPERLINK("https://twitter.com/giulianoctf/status/724051742225215488","724051742225215488")</f>
        <v>724051742225215488</v>
      </c>
      <c r="F6757" s="11" t="s">
        <v>43</v>
      </c>
      <c r="G6757" s="11">
        <v>230</v>
      </c>
      <c r="H6757" s="11">
        <v>178</v>
      </c>
      <c r="I6757" s="11">
        <v>10</v>
      </c>
      <c r="J6757" s="11">
        <v>0</v>
      </c>
      <c r="K6757" s="11" t="s">
        <v>21</v>
      </c>
      <c r="L6757" s="7">
        <v>41316.464108796295</v>
      </c>
      <c r="M6757" s="12" t="s">
        <v>15226</v>
      </c>
      <c r="N6757" s="12"/>
      <c r="O6757" s="10" t="str">
        <f t="shared" ref="O6757:O6758" si="604">HYPERLINK("https://pbs.twimg.com/profile_images/641421640748933120/XNuL6wLX_normal.jpg","View")</f>
        <v>View</v>
      </c>
      <c r="P6757" s="11"/>
    </row>
    <row r="6758" spans="1:16" ht="12.75" x14ac:dyDescent="0.35">
      <c r="A6758" s="7">
        <v>42484.302893518514</v>
      </c>
      <c r="B6758" s="8" t="str">
        <f t="shared" si="603"/>
        <v>@giulianoctf</v>
      </c>
      <c r="C6758" s="9" t="s">
        <v>15225</v>
      </c>
      <c r="D6758" s="9" t="s">
        <v>15178</v>
      </c>
      <c r="E6758" s="10" t="str">
        <f>HYPERLINK("https://twitter.com/giulianoctf/status/724051775129567233","724051775129567233")</f>
        <v>724051775129567233</v>
      </c>
      <c r="F6758" s="11" t="s">
        <v>43</v>
      </c>
      <c r="G6758" s="11">
        <v>230</v>
      </c>
      <c r="H6758" s="11">
        <v>178</v>
      </c>
      <c r="I6758" s="11">
        <v>10</v>
      </c>
      <c r="J6758" s="11">
        <v>0</v>
      </c>
      <c r="K6758" s="11" t="s">
        <v>21</v>
      </c>
      <c r="L6758" s="7">
        <v>41316.464108796295</v>
      </c>
      <c r="M6758" s="12" t="s">
        <v>15226</v>
      </c>
      <c r="N6758" s="12"/>
      <c r="O6758" s="10" t="str">
        <f t="shared" si="604"/>
        <v>View</v>
      </c>
      <c r="P6758" s="11"/>
    </row>
    <row r="6759" spans="1:16" ht="12.75" x14ac:dyDescent="0.35">
      <c r="A6759" s="7">
        <v>42484.304826388892</v>
      </c>
      <c r="B6759" s="8" t="str">
        <f>HYPERLINK("https://twitter.com/CastineiraDiego","@CastineiraDiego")</f>
        <v>@CastineiraDiego</v>
      </c>
      <c r="C6759" s="9" t="s">
        <v>15227</v>
      </c>
      <c r="D6759" s="9" t="s">
        <v>15178</v>
      </c>
      <c r="E6759" s="10" t="str">
        <f>HYPERLINK("https://twitter.com/CastineiraDiego/status/724052476232605696","724052476232605696")</f>
        <v>724052476232605696</v>
      </c>
      <c r="F6759" s="11" t="s">
        <v>48</v>
      </c>
      <c r="G6759" s="11">
        <v>261</v>
      </c>
      <c r="H6759" s="11">
        <v>257</v>
      </c>
      <c r="I6759" s="11">
        <v>10</v>
      </c>
      <c r="J6759" s="11">
        <v>0</v>
      </c>
      <c r="K6759" s="11" t="s">
        <v>21</v>
      </c>
      <c r="L6759" s="7">
        <v>42123.396828703699</v>
      </c>
      <c r="M6759" s="12" t="s">
        <v>15228</v>
      </c>
      <c r="N6759" s="12" t="s">
        <v>15229</v>
      </c>
      <c r="O6759" s="10" t="str">
        <f>HYPERLINK("https://pbs.twimg.com/profile_images/716359068965797888/zGBPoYQw_normal.jpg","View")</f>
        <v>View</v>
      </c>
      <c r="P6759" s="11"/>
    </row>
    <row r="6760" spans="1:16" ht="12.75" x14ac:dyDescent="0.35">
      <c r="A6760" s="7">
        <v>42484.308796296296</v>
      </c>
      <c r="B6760" s="8" t="str">
        <f>HYPERLINK("https://twitter.com/davidmanu_98","@davidmanu_98")</f>
        <v>@davidmanu_98</v>
      </c>
      <c r="C6760" s="9" t="s">
        <v>15230</v>
      </c>
      <c r="D6760" s="9" t="s">
        <v>15197</v>
      </c>
      <c r="E6760" s="10" t="str">
        <f>HYPERLINK("https://twitter.com/davidmanu_98/status/724053917835902976","724053917835902976")</f>
        <v>724053917835902976</v>
      </c>
      <c r="F6760" s="11" t="s">
        <v>367</v>
      </c>
      <c r="G6760" s="11">
        <v>144</v>
      </c>
      <c r="H6760" s="11">
        <v>168</v>
      </c>
      <c r="I6760" s="11">
        <v>10</v>
      </c>
      <c r="J6760" s="11">
        <v>0</v>
      </c>
      <c r="K6760" s="11" t="s">
        <v>21</v>
      </c>
      <c r="L6760" s="7">
        <v>42208.018321759257</v>
      </c>
      <c r="M6760" s="12" t="s">
        <v>15231</v>
      </c>
      <c r="N6760" s="12" t="s">
        <v>15232</v>
      </c>
      <c r="O6760" s="10" t="str">
        <f>HYPERLINK("https://pbs.twimg.com/profile_images/704115994780897280/keBSrZX1_normal.jpg","View")</f>
        <v>View</v>
      </c>
      <c r="P6760" s="11"/>
    </row>
    <row r="6761" spans="1:16" ht="12.75" x14ac:dyDescent="0.35">
      <c r="A6761" s="7">
        <v>42484.309421296297</v>
      </c>
      <c r="B6761" s="8" t="str">
        <f>HYPERLINK("https://twitter.com/NickiLetts","@NickiLetts")</f>
        <v>@NickiLetts</v>
      </c>
      <c r="C6761" s="9" t="s">
        <v>15233</v>
      </c>
      <c r="D6761" s="9" t="s">
        <v>15234</v>
      </c>
      <c r="E6761" s="10" t="str">
        <f>HYPERLINK("https://twitter.com/NickiLetts/status/724054143409623040","724054143409623040")</f>
        <v>724054143409623040</v>
      </c>
      <c r="F6761" s="11" t="s">
        <v>20</v>
      </c>
      <c r="G6761" s="11">
        <v>762</v>
      </c>
      <c r="H6761" s="11">
        <v>968</v>
      </c>
      <c r="I6761" s="11">
        <v>0</v>
      </c>
      <c r="J6761" s="11">
        <v>0</v>
      </c>
      <c r="K6761" s="11" t="s">
        <v>21</v>
      </c>
      <c r="L6761" s="7">
        <v>39940.324826388889</v>
      </c>
      <c r="M6761" s="12" t="s">
        <v>1524</v>
      </c>
      <c r="N6761" s="12" t="s">
        <v>15235</v>
      </c>
      <c r="O6761" s="10" t="str">
        <f>HYPERLINK("https://pbs.twimg.com/profile_images/554457656291639297/Q95Z8_au_normal.jpeg","View")</f>
        <v>View</v>
      </c>
      <c r="P6761" s="11"/>
    </row>
    <row r="6762" spans="1:16" ht="12.75" x14ac:dyDescent="0.35">
      <c r="A6762" s="7">
        <v>42484.314583333333</v>
      </c>
      <c r="B6762" s="8" t="str">
        <f>HYPERLINK("https://twitter.com/Pancho_Ragoni","@Pancho_Ragoni")</f>
        <v>@Pancho_Ragoni</v>
      </c>
      <c r="C6762" s="9" t="s">
        <v>15236</v>
      </c>
      <c r="D6762" s="9" t="s">
        <v>15197</v>
      </c>
      <c r="E6762" s="10" t="str">
        <f>HYPERLINK("https://twitter.com/Pancho_Ragoni/status/724056014417465344","724056014417465344")</f>
        <v>724056014417465344</v>
      </c>
      <c r="F6762" s="11" t="s">
        <v>367</v>
      </c>
      <c r="G6762" s="11">
        <v>300</v>
      </c>
      <c r="H6762" s="11">
        <v>302</v>
      </c>
      <c r="I6762" s="11">
        <v>11</v>
      </c>
      <c r="J6762" s="11">
        <v>0</v>
      </c>
      <c r="K6762" s="11" t="s">
        <v>21</v>
      </c>
      <c r="L6762" s="7">
        <v>41752.163715277777</v>
      </c>
      <c r="M6762" s="12" t="s">
        <v>15237</v>
      </c>
      <c r="N6762" s="12" t="s">
        <v>15238</v>
      </c>
      <c r="O6762" s="10" t="str">
        <f>HYPERLINK("https://pbs.twimg.com/profile_images/607335982313160704/-Sgnz7nn_normal.jpg","View")</f>
        <v>View</v>
      </c>
      <c r="P6762" s="11"/>
    </row>
    <row r="6763" spans="1:16" ht="12.75" x14ac:dyDescent="0.35">
      <c r="A6763" s="7">
        <v>42484.316550925927</v>
      </c>
      <c r="B6763" s="8" t="str">
        <f>HYPERLINK("https://twitter.com/Daisho_414","@Daisho_414")</f>
        <v>@Daisho_414</v>
      </c>
      <c r="C6763" s="9" t="s">
        <v>15239</v>
      </c>
      <c r="D6763" s="9" t="s">
        <v>15240</v>
      </c>
      <c r="E6763" s="10" t="str">
        <f>HYPERLINK("https://twitter.com/Daisho_414/status/724056725180043264","724056725180043264")</f>
        <v>724056725180043264</v>
      </c>
      <c r="F6763" s="11" t="s">
        <v>114</v>
      </c>
      <c r="G6763" s="11">
        <v>149</v>
      </c>
      <c r="H6763" s="11">
        <v>169</v>
      </c>
      <c r="I6763" s="11">
        <v>0</v>
      </c>
      <c r="J6763" s="11">
        <v>0</v>
      </c>
      <c r="K6763" s="11" t="s">
        <v>21</v>
      </c>
      <c r="L6763" s="7">
        <v>40876.610162037039</v>
      </c>
      <c r="M6763" s="12"/>
      <c r="N6763" s="12" t="s">
        <v>15241</v>
      </c>
      <c r="O6763" s="10" t="str">
        <f>HYPERLINK("https://pbs.twimg.com/profile_images/538865940159406080/3b3cMwVn_normal.jpeg","View")</f>
        <v>View</v>
      </c>
      <c r="P6763" s="11"/>
    </row>
    <row r="6764" spans="1:16" ht="12.75" x14ac:dyDescent="0.35">
      <c r="A6764" s="7">
        <v>42484.320127314815</v>
      </c>
      <c r="B6764" s="8" t="str">
        <f>HYPERLINK("https://twitter.com/rgtzmercadillo","@rgtzmercadillo")</f>
        <v>@rgtzmercadillo</v>
      </c>
      <c r="C6764" s="9" t="s">
        <v>15242</v>
      </c>
      <c r="D6764" s="9" t="s">
        <v>15243</v>
      </c>
      <c r="E6764" s="10" t="str">
        <f>HYPERLINK("https://twitter.com/rgtzmercadillo/status/724058022947909632","724058022947909632")</f>
        <v>724058022947909632</v>
      </c>
      <c r="F6764" s="11" t="s">
        <v>114</v>
      </c>
      <c r="G6764" s="11">
        <v>518</v>
      </c>
      <c r="H6764" s="11">
        <v>994</v>
      </c>
      <c r="I6764" s="11">
        <v>0</v>
      </c>
      <c r="J6764" s="11">
        <v>0</v>
      </c>
      <c r="K6764" s="11" t="s">
        <v>21</v>
      </c>
      <c r="L6764" s="7">
        <v>40890.478738425925</v>
      </c>
      <c r="M6764" s="12"/>
      <c r="N6764" s="12" t="s">
        <v>15244</v>
      </c>
      <c r="O6764" s="10" t="str">
        <f>HYPERLINK("https://pbs.twimg.com/profile_images/704315581244133376/dKnoDnRB_normal.jpg","View")</f>
        <v>View</v>
      </c>
      <c r="P6764" s="11"/>
    </row>
    <row r="6765" spans="1:16" ht="12.75" x14ac:dyDescent="0.35">
      <c r="A6765" s="7">
        <v>42484.320335648154</v>
      </c>
      <c r="B6765" s="8" t="str">
        <f>HYPERLINK("https://twitter.com/mytweetmark","@mytweetmark")</f>
        <v>@mytweetmark</v>
      </c>
      <c r="C6765" s="9" t="s">
        <v>15245</v>
      </c>
      <c r="D6765" s="9" t="s">
        <v>15246</v>
      </c>
      <c r="E6765" s="10" t="str">
        <f>HYPERLINK("https://twitter.com/mytweetmark/status/724058099280011265","724058099280011265")</f>
        <v>724058099280011265</v>
      </c>
      <c r="F6765" s="11" t="s">
        <v>48</v>
      </c>
      <c r="G6765" s="11">
        <v>11631</v>
      </c>
      <c r="H6765" s="11">
        <v>12471</v>
      </c>
      <c r="I6765" s="11">
        <v>1</v>
      </c>
      <c r="J6765" s="11">
        <v>0</v>
      </c>
      <c r="K6765" s="11" t="s">
        <v>21</v>
      </c>
      <c r="L6765" s="7">
        <v>40039.535856481481</v>
      </c>
      <c r="M6765" s="12" t="s">
        <v>155</v>
      </c>
      <c r="N6765" s="12" t="s">
        <v>15247</v>
      </c>
      <c r="O6765" s="10" t="str">
        <f>HYPERLINK("https://pbs.twimg.com/profile_images/723486812656656384/Gik7F7Wc_normal.jpg","View")</f>
        <v>View</v>
      </c>
      <c r="P6765" s="11"/>
    </row>
    <row r="6766" spans="1:16" ht="12.75" x14ac:dyDescent="0.35">
      <c r="A6766" s="7">
        <v>42484.322106481486</v>
      </c>
      <c r="B6766" s="8" t="str">
        <f>HYPERLINK("https://twitter.com/ChefSweetcrunch","@ChefSweetcrunch")</f>
        <v>@ChefSweetcrunch</v>
      </c>
      <c r="C6766" s="9" t="s">
        <v>15248</v>
      </c>
      <c r="D6766" s="9" t="s">
        <v>15249</v>
      </c>
      <c r="E6766" s="10" t="str">
        <f>HYPERLINK("https://twitter.com/ChefSweetcrunch/status/724058738429157376","724058738429157376")</f>
        <v>724058738429157376</v>
      </c>
      <c r="F6766" s="11" t="s">
        <v>20</v>
      </c>
      <c r="G6766" s="11">
        <v>328</v>
      </c>
      <c r="H6766" s="11">
        <v>487</v>
      </c>
      <c r="I6766" s="11">
        <v>0</v>
      </c>
      <c r="J6766" s="11">
        <v>0</v>
      </c>
      <c r="K6766" s="11" t="s">
        <v>21</v>
      </c>
      <c r="L6766" s="7">
        <v>40489.202060185184</v>
      </c>
      <c r="M6766" s="12" t="s">
        <v>15250</v>
      </c>
      <c r="N6766" s="12" t="s">
        <v>15251</v>
      </c>
      <c r="O6766" s="10" t="str">
        <f>HYPERLINK("https://pbs.twimg.com/profile_images/1373744332/VermontMapleCookieLogoSMALL_normal.jpg","View")</f>
        <v>View</v>
      </c>
      <c r="P6766" s="11"/>
    </row>
    <row r="6767" spans="1:16" ht="12.75" x14ac:dyDescent="0.35">
      <c r="A6767" s="7">
        <v>42484.325682870374</v>
      </c>
      <c r="B6767" s="8" t="str">
        <f>HYPERLINK("https://twitter.com/HunkyAlley","@HunkyAlley")</f>
        <v>@HunkyAlley</v>
      </c>
      <c r="C6767" s="9" t="s">
        <v>12694</v>
      </c>
      <c r="D6767" s="9" t="s">
        <v>15252</v>
      </c>
      <c r="E6767" s="10" t="str">
        <f>HYPERLINK("https://twitter.com/HunkyAlley/status/724060035765161984","724060035765161984")</f>
        <v>724060035765161984</v>
      </c>
      <c r="F6767" s="11" t="s">
        <v>114</v>
      </c>
      <c r="G6767" s="11">
        <v>224</v>
      </c>
      <c r="H6767" s="11">
        <v>176</v>
      </c>
      <c r="I6767" s="11">
        <v>0</v>
      </c>
      <c r="J6767" s="11">
        <v>0</v>
      </c>
      <c r="K6767" s="11" t="s">
        <v>21</v>
      </c>
      <c r="L6767" s="7">
        <v>39885.145601851851</v>
      </c>
      <c r="M6767" s="12" t="s">
        <v>12696</v>
      </c>
      <c r="N6767" s="12" t="s">
        <v>12697</v>
      </c>
      <c r="O6767" s="10" t="str">
        <f>HYPERLINK("https://pbs.twimg.com/profile_images/617967865413525504/y9t3axe3_normal.jpg","View")</f>
        <v>View</v>
      </c>
      <c r="P6767" s="10" t="str">
        <f>HYPERLINK("http://ctrlq.org/maps/address/#34.089323,-118.350243","Map")</f>
        <v>Map</v>
      </c>
    </row>
    <row r="6768" spans="1:16" ht="12.75" x14ac:dyDescent="0.35">
      <c r="A6768" s="7">
        <v>42484.327418981484</v>
      </c>
      <c r="B6768" s="8" t="str">
        <f>HYPERLINK("https://twitter.com/surendergowtham","@surendergowtham")</f>
        <v>@surendergowtham</v>
      </c>
      <c r="C6768" s="9" t="s">
        <v>15253</v>
      </c>
      <c r="D6768" s="9" t="s">
        <v>15254</v>
      </c>
      <c r="E6768" s="10" t="str">
        <f>HYPERLINK("https://twitter.com/surendergowtham/status/724060665279746052","724060665279746052")</f>
        <v>724060665279746052</v>
      </c>
      <c r="F6768" s="11" t="s">
        <v>48</v>
      </c>
      <c r="G6768" s="11">
        <v>42</v>
      </c>
      <c r="H6768" s="11">
        <v>18</v>
      </c>
      <c r="I6768" s="11">
        <v>0</v>
      </c>
      <c r="J6768" s="11">
        <v>0</v>
      </c>
      <c r="K6768" s="11" t="s">
        <v>21</v>
      </c>
      <c r="L6768" s="7">
        <v>41501.503321759257</v>
      </c>
      <c r="M6768" s="12" t="s">
        <v>10000</v>
      </c>
      <c r="N6768" s="12" t="s">
        <v>15255</v>
      </c>
      <c r="O6768" s="10" t="str">
        <f>HYPERLINK("https://pbs.twimg.com/profile_images/713010392692236291/yCM5NCzN_normal.jpg","View")</f>
        <v>View</v>
      </c>
      <c r="P6768" s="11"/>
    </row>
    <row r="6769" spans="1:16" ht="12.75" x14ac:dyDescent="0.35">
      <c r="A6769" s="7">
        <v>42484.332187499997</v>
      </c>
      <c r="B6769" s="8" t="str">
        <f t="shared" ref="B6769:B6770" si="605">HYPERLINK("https://twitter.com/oldcar_photo","@oldcar_photo")</f>
        <v>@oldcar_photo</v>
      </c>
      <c r="C6769" s="9" t="s">
        <v>1046</v>
      </c>
      <c r="D6769" s="9" t="s">
        <v>15256</v>
      </c>
      <c r="E6769" s="10" t="str">
        <f>HYPERLINK("https://twitter.com/oldcar_photo/status/724062394494914561","724062394494914561")</f>
        <v>724062394494914561</v>
      </c>
      <c r="F6769" s="11" t="s">
        <v>68</v>
      </c>
      <c r="G6769" s="11">
        <v>1997</v>
      </c>
      <c r="H6769" s="11">
        <v>0</v>
      </c>
      <c r="I6769" s="11">
        <v>0</v>
      </c>
      <c r="J6769" s="11">
        <v>0</v>
      </c>
      <c r="K6769" s="11" t="s">
        <v>21</v>
      </c>
      <c r="L6769" s="7">
        <v>42184.7341087963</v>
      </c>
      <c r="M6769" s="12"/>
      <c r="N6769" s="12"/>
      <c r="O6769" s="10" t="str">
        <f t="shared" ref="O6769:O6770" si="606">HYPERLINK("https://pbs.twimg.com/profile_images/615493650785660928/XHUh6HOk_normal.jpg","View")</f>
        <v>View</v>
      </c>
      <c r="P6769" s="11"/>
    </row>
    <row r="6770" spans="1:16" ht="12.75" x14ac:dyDescent="0.35">
      <c r="A6770" s="7">
        <v>42484.33221064815</v>
      </c>
      <c r="B6770" s="8" t="str">
        <f t="shared" si="605"/>
        <v>@oldcar_photo</v>
      </c>
      <c r="C6770" s="9" t="s">
        <v>1046</v>
      </c>
      <c r="D6770" s="9" t="s">
        <v>15257</v>
      </c>
      <c r="E6770" s="10" t="str">
        <f>HYPERLINK("https://twitter.com/oldcar_photo/status/724062402032095232","724062402032095232")</f>
        <v>724062402032095232</v>
      </c>
      <c r="F6770" s="11" t="s">
        <v>68</v>
      </c>
      <c r="G6770" s="11">
        <v>1997</v>
      </c>
      <c r="H6770" s="11">
        <v>0</v>
      </c>
      <c r="I6770" s="11">
        <v>0</v>
      </c>
      <c r="J6770" s="11">
        <v>0</v>
      </c>
      <c r="K6770" s="11" t="s">
        <v>21</v>
      </c>
      <c r="L6770" s="7">
        <v>42184.7341087963</v>
      </c>
      <c r="M6770" s="12"/>
      <c r="N6770" s="12"/>
      <c r="O6770" s="10" t="str">
        <f t="shared" si="606"/>
        <v>View</v>
      </c>
      <c r="P6770" s="11"/>
    </row>
    <row r="6771" spans="1:16" ht="12.75" x14ac:dyDescent="0.35">
      <c r="A6771" s="7">
        <v>42484.332546296297</v>
      </c>
      <c r="B6771" s="8" t="str">
        <f>HYPERLINK("https://twitter.com/Popenici","@Popenici")</f>
        <v>@Popenici</v>
      </c>
      <c r="C6771" s="9" t="s">
        <v>15258</v>
      </c>
      <c r="D6771" s="9" t="s">
        <v>15259</v>
      </c>
      <c r="E6771" s="10" t="str">
        <f>HYPERLINK("https://twitter.com/Popenici/status/724062524245598209","724062524245598209")</f>
        <v>724062524245598209</v>
      </c>
      <c r="F6771" s="11" t="s">
        <v>20</v>
      </c>
      <c r="G6771" s="11">
        <v>672</v>
      </c>
      <c r="H6771" s="11">
        <v>213</v>
      </c>
      <c r="I6771" s="11">
        <v>0</v>
      </c>
      <c r="J6771" s="11">
        <v>0</v>
      </c>
      <c r="K6771" s="11" t="s">
        <v>21</v>
      </c>
      <c r="L6771" s="7">
        <v>40614.747696759259</v>
      </c>
      <c r="M6771" s="12" t="s">
        <v>546</v>
      </c>
      <c r="N6771" s="12" t="s">
        <v>15260</v>
      </c>
      <c r="O6771" s="10" t="str">
        <f>HYPERLINK("https://pbs.twimg.com/profile_images/378800000413462416/77238ebae51f5dee8cc6d04cdca98151_normal.jpeg","View")</f>
        <v>View</v>
      </c>
      <c r="P6771" s="11"/>
    </row>
    <row r="6772" spans="1:16" ht="12.75" x14ac:dyDescent="0.35">
      <c r="A6772" s="7">
        <v>42484.336851851855</v>
      </c>
      <c r="B6772" s="8" t="str">
        <f>HYPERLINK("https://twitter.com/happywes","@happywes")</f>
        <v>@happywes</v>
      </c>
      <c r="C6772" s="9" t="s">
        <v>15261</v>
      </c>
      <c r="D6772" s="9" t="s">
        <v>15262</v>
      </c>
      <c r="E6772" s="10" t="str">
        <f>HYPERLINK("https://twitter.com/happywes/status/724064081229967360","724064081229967360")</f>
        <v>724064081229967360</v>
      </c>
      <c r="F6772" s="11" t="s">
        <v>20</v>
      </c>
      <c r="G6772" s="11">
        <v>88</v>
      </c>
      <c r="H6772" s="11">
        <v>106</v>
      </c>
      <c r="I6772" s="11">
        <v>0</v>
      </c>
      <c r="J6772" s="11">
        <v>0</v>
      </c>
      <c r="K6772" s="11" t="s">
        <v>21</v>
      </c>
      <c r="L6772" s="7">
        <v>40027.057476851856</v>
      </c>
      <c r="M6772" s="12" t="s">
        <v>15263</v>
      </c>
      <c r="N6772" s="12" t="s">
        <v>15264</v>
      </c>
      <c r="O6772" s="10" t="str">
        <f>HYPERLINK("https://pbs.twimg.com/profile_images/605139878154625024/JqxtO8c-_normal.jpg","View")</f>
        <v>View</v>
      </c>
      <c r="P6772" s="11"/>
    </row>
    <row r="6773" spans="1:16" ht="12.75" x14ac:dyDescent="0.35">
      <c r="A6773" s="7">
        <v>42484.337025462963</v>
      </c>
      <c r="B6773" s="8" t="str">
        <f>HYPERLINK("https://twitter.com/hgvdriversdiary","@hgvdriversdiary")</f>
        <v>@hgvdriversdiary</v>
      </c>
      <c r="C6773" s="9" t="s">
        <v>15265</v>
      </c>
      <c r="D6773" s="9" t="s">
        <v>14594</v>
      </c>
      <c r="E6773" s="10" t="str">
        <f>HYPERLINK("https://twitter.com/hgvdriversdiary/status/724064145499369473","724064145499369473")</f>
        <v>724064145499369473</v>
      </c>
      <c r="F6773" s="11" t="s">
        <v>43</v>
      </c>
      <c r="G6773" s="11">
        <v>745</v>
      </c>
      <c r="H6773" s="11">
        <v>788</v>
      </c>
      <c r="I6773" s="11">
        <v>3</v>
      </c>
      <c r="J6773" s="11">
        <v>0</v>
      </c>
      <c r="K6773" s="11" t="s">
        <v>21</v>
      </c>
      <c r="L6773" s="7">
        <v>41932.890972222223</v>
      </c>
      <c r="M6773" s="12" t="s">
        <v>35</v>
      </c>
      <c r="N6773" s="12" t="s">
        <v>15266</v>
      </c>
      <c r="O6773" s="10" t="str">
        <f>HYPERLINK("https://pbs.twimg.com/profile_images/524229024550092803/rDciaA1w_normal.jpeg","View")</f>
        <v>View</v>
      </c>
      <c r="P6773" s="11"/>
    </row>
    <row r="6774" spans="1:16" ht="12.75" x14ac:dyDescent="0.35">
      <c r="A6774" s="7">
        <v>42484.338229166664</v>
      </c>
      <c r="B6774" s="8" t="str">
        <f>HYPERLINK("https://twitter.com/seannosoul","@seannosoul")</f>
        <v>@seannosoul</v>
      </c>
      <c r="C6774" s="9" t="s">
        <v>15267</v>
      </c>
      <c r="D6774" s="9" t="s">
        <v>15268</v>
      </c>
      <c r="E6774" s="10" t="str">
        <f>HYPERLINK("https://twitter.com/seannosoul/status/724064582348750848","724064582348750848")</f>
        <v>724064582348750848</v>
      </c>
      <c r="F6774" s="11" t="s">
        <v>20</v>
      </c>
      <c r="G6774" s="11">
        <v>4699</v>
      </c>
      <c r="H6774" s="11">
        <v>1204</v>
      </c>
      <c r="I6774" s="11">
        <v>0</v>
      </c>
      <c r="J6774" s="11">
        <v>0</v>
      </c>
      <c r="K6774" s="11" t="s">
        <v>21</v>
      </c>
      <c r="L6774" s="7">
        <v>39932.219074074077</v>
      </c>
      <c r="M6774" s="12" t="s">
        <v>15269</v>
      </c>
      <c r="N6774" s="12" t="s">
        <v>15270</v>
      </c>
      <c r="O6774" s="10" t="str">
        <f>HYPERLINK("https://pbs.twimg.com/profile_images/709074217153777664/rZPD8L8m_normal.jpg","View")</f>
        <v>View</v>
      </c>
      <c r="P6774" s="11"/>
    </row>
    <row r="6775" spans="1:16" ht="12.75" x14ac:dyDescent="0.35">
      <c r="A6775" s="7">
        <v>42484.340219907404</v>
      </c>
      <c r="B6775" s="8" t="str">
        <f>HYPERLINK("https://twitter.com/_EnanoOK","@_EnanoOK")</f>
        <v>@_EnanoOK</v>
      </c>
      <c r="C6775" s="9" t="s">
        <v>15271</v>
      </c>
      <c r="D6775" s="9" t="s">
        <v>15272</v>
      </c>
      <c r="E6775" s="10" t="str">
        <f>HYPERLINK("https://twitter.com/_EnanoOK/status/724065304628891648","724065304628891648")</f>
        <v>724065304628891648</v>
      </c>
      <c r="F6775" s="11" t="s">
        <v>114</v>
      </c>
      <c r="G6775" s="11">
        <v>310</v>
      </c>
      <c r="H6775" s="11">
        <v>688</v>
      </c>
      <c r="I6775" s="11">
        <v>0</v>
      </c>
      <c r="J6775" s="11">
        <v>0</v>
      </c>
      <c r="K6775" s="11" t="s">
        <v>21</v>
      </c>
      <c r="L6775" s="7">
        <v>40438.346192129626</v>
      </c>
      <c r="M6775" s="12"/>
      <c r="N6775" s="12" t="s">
        <v>15273</v>
      </c>
      <c r="O6775" s="10" t="str">
        <f>HYPERLINK("https://pbs.twimg.com/profile_images/699868269918949376/Cc62FYNS_normal.jpg","View")</f>
        <v>View</v>
      </c>
      <c r="P6775" s="10" t="str">
        <f>HYPERLINK("http://ctrlq.org/maps/address/#-34.69617184,-58.46290485","Map")</f>
        <v>Map</v>
      </c>
    </row>
    <row r="6776" spans="1:16" ht="12.75" x14ac:dyDescent="0.35">
      <c r="A6776" s="7">
        <v>42484.348414351851</v>
      </c>
      <c r="B6776" s="8" t="str">
        <f>HYPERLINK("https://twitter.com/AMDAMORELOS","@AMDAMORELOS")</f>
        <v>@AMDAMORELOS</v>
      </c>
      <c r="C6776" s="9" t="s">
        <v>15274</v>
      </c>
      <c r="D6776" s="9" t="s">
        <v>15275</v>
      </c>
      <c r="E6776" s="10" t="str">
        <f>HYPERLINK("https://twitter.com/AMDAMORELOS/status/724068274997104640","724068274997104640")</f>
        <v>724068274997104640</v>
      </c>
      <c r="F6776" s="11" t="s">
        <v>20</v>
      </c>
      <c r="G6776" s="11">
        <v>201</v>
      </c>
      <c r="H6776" s="11">
        <v>221</v>
      </c>
      <c r="I6776" s="11">
        <v>0</v>
      </c>
      <c r="J6776" s="11">
        <v>0</v>
      </c>
      <c r="K6776" s="11" t="s">
        <v>21</v>
      </c>
      <c r="L6776" s="7">
        <v>40738.026412037041</v>
      </c>
      <c r="M6776" s="12"/>
      <c r="N6776" s="12"/>
      <c r="O6776" s="10" t="str">
        <f>HYPERLINK("https://pbs.twimg.com/profile_images/1441179004/LOGO_AMDA_MORELOS_normal.jpg","View")</f>
        <v>View</v>
      </c>
      <c r="P6776" s="11"/>
    </row>
    <row r="6777" spans="1:16" ht="12.75" x14ac:dyDescent="0.35">
      <c r="A6777" s="7">
        <v>42484.348657407405</v>
      </c>
      <c r="B6777" s="8" t="str">
        <f>HYPERLINK("https://twitter.com/VWBeetleSales","@VWBeetleSales")</f>
        <v>@VWBeetleSales</v>
      </c>
      <c r="C6777" s="9" t="s">
        <v>127</v>
      </c>
      <c r="D6777" s="9" t="s">
        <v>15276</v>
      </c>
      <c r="E6777" s="10" t="str">
        <f>HYPERLINK("https://twitter.com/VWBeetleSales/status/724068363064889344","724068363064889344")</f>
        <v>724068363064889344</v>
      </c>
      <c r="F6777" s="10" t="s">
        <v>124</v>
      </c>
      <c r="G6777" s="11">
        <v>37</v>
      </c>
      <c r="H6777" s="11">
        <v>32</v>
      </c>
      <c r="I6777" s="11">
        <v>0</v>
      </c>
      <c r="J6777" s="11">
        <v>0</v>
      </c>
      <c r="K6777" s="11" t="s">
        <v>21</v>
      </c>
      <c r="L6777" s="7">
        <v>42427.019756944443</v>
      </c>
      <c r="M6777" s="12" t="s">
        <v>129</v>
      </c>
      <c r="N6777" s="12" t="s">
        <v>130</v>
      </c>
      <c r="O6777" s="10" t="str">
        <f>HYPERLINK("https://pbs.twimg.com/profile_images/703294545195307008/qeCvrX86_normal.jpg","View")</f>
        <v>View</v>
      </c>
      <c r="P6777" s="11"/>
    </row>
    <row r="6778" spans="1:16" ht="12.75" x14ac:dyDescent="0.35">
      <c r="A6778" s="7">
        <v>42484.348715277782</v>
      </c>
      <c r="B6778" s="8" t="str">
        <f>HYPERLINK("https://twitter.com/mana__mana","@mana__mana")</f>
        <v>@mana__mana</v>
      </c>
      <c r="C6778" s="9" t="s">
        <v>15277</v>
      </c>
      <c r="D6778" s="9" t="s">
        <v>15278</v>
      </c>
      <c r="E6778" s="10" t="str">
        <f>HYPERLINK("https://twitter.com/mana__mana/status/724068381872279552","724068381872279552")</f>
        <v>724068381872279552</v>
      </c>
      <c r="F6778" s="11" t="s">
        <v>114</v>
      </c>
      <c r="G6778" s="11">
        <v>45</v>
      </c>
      <c r="H6778" s="11">
        <v>56</v>
      </c>
      <c r="I6778" s="11">
        <v>0</v>
      </c>
      <c r="J6778" s="11">
        <v>0</v>
      </c>
      <c r="K6778" s="11" t="s">
        <v>21</v>
      </c>
      <c r="L6778" s="7">
        <v>40178.463460648149</v>
      </c>
      <c r="M6778" s="12" t="s">
        <v>15279</v>
      </c>
      <c r="N6778" s="12" t="s">
        <v>15280</v>
      </c>
      <c r="O6778" s="10" t="str">
        <f>HYPERLINK("https://pbs.twimg.com/profile_images/3308939578/7990942b4eb3b6c54661e62e3f39b0b7_normal.jpeg","View")</f>
        <v>View</v>
      </c>
      <c r="P6778" s="11"/>
    </row>
    <row r="6779" spans="1:16" ht="12.75" x14ac:dyDescent="0.35">
      <c r="A6779" s="7">
        <v>42484.353518518517</v>
      </c>
      <c r="B6779" s="8" t="str">
        <f>HYPERLINK("https://twitter.com/VWBeetleSales","@VWBeetleSales")</f>
        <v>@VWBeetleSales</v>
      </c>
      <c r="C6779" s="9" t="s">
        <v>127</v>
      </c>
      <c r="D6779" s="9" t="s">
        <v>15281</v>
      </c>
      <c r="E6779" s="10" t="str">
        <f>HYPERLINK("https://twitter.com/VWBeetleSales/status/724070122516705280","724070122516705280")</f>
        <v>724070122516705280</v>
      </c>
      <c r="F6779" s="10" t="s">
        <v>124</v>
      </c>
      <c r="G6779" s="11">
        <v>37</v>
      </c>
      <c r="H6779" s="11">
        <v>32</v>
      </c>
      <c r="I6779" s="11">
        <v>0</v>
      </c>
      <c r="J6779" s="11">
        <v>0</v>
      </c>
      <c r="K6779" s="11" t="s">
        <v>21</v>
      </c>
      <c r="L6779" s="7">
        <v>42427.019756944443</v>
      </c>
      <c r="M6779" s="12" t="s">
        <v>129</v>
      </c>
      <c r="N6779" s="12" t="s">
        <v>130</v>
      </c>
      <c r="O6779" s="10" t="str">
        <f>HYPERLINK("https://pbs.twimg.com/profile_images/703294545195307008/qeCvrX86_normal.jpg","View")</f>
        <v>View</v>
      </c>
      <c r="P6779" s="11"/>
    </row>
    <row r="6780" spans="1:16" ht="12.75" x14ac:dyDescent="0.35">
      <c r="A6780" s="7">
        <v>42484.354849537034</v>
      </c>
      <c r="B6780" s="8" t="str">
        <f>HYPERLINK("https://twitter.com/paintedmanican","@paintedmanican")</f>
        <v>@paintedmanican</v>
      </c>
      <c r="C6780" s="9" t="s">
        <v>15282</v>
      </c>
      <c r="D6780" s="9" t="s">
        <v>15283</v>
      </c>
      <c r="E6780" s="10" t="str">
        <f>HYPERLINK("https://twitter.com/paintedmanican/status/724070605981671424","724070605981671424")</f>
        <v>724070605981671424</v>
      </c>
      <c r="F6780" s="11" t="s">
        <v>20</v>
      </c>
      <c r="G6780" s="11">
        <v>134</v>
      </c>
      <c r="H6780" s="11">
        <v>106</v>
      </c>
      <c r="I6780" s="11">
        <v>0</v>
      </c>
      <c r="J6780" s="11">
        <v>0</v>
      </c>
      <c r="K6780" s="11" t="s">
        <v>21</v>
      </c>
      <c r="L6780" s="7">
        <v>42017.381400462968</v>
      </c>
      <c r="M6780" s="12"/>
      <c r="N6780" s="12"/>
      <c r="O6780" s="10" t="str">
        <f>HYPERLINK("https://pbs.twimg.com/profile_images/554845466257805312/7eZldUOH_normal.jpeg","View")</f>
        <v>View</v>
      </c>
      <c r="P6780" s="11"/>
    </row>
    <row r="6781" spans="1:16" ht="12.75" x14ac:dyDescent="0.35">
      <c r="A6781" s="7">
        <v>42484.355763888889</v>
      </c>
      <c r="B6781" s="8" t="str">
        <f>HYPERLINK("https://twitter.com/Scirocco_Tuning","@Scirocco_Tuning")</f>
        <v>@Scirocco_Tuning</v>
      </c>
      <c r="C6781" s="9" t="s">
        <v>51</v>
      </c>
      <c r="D6781" s="9" t="s">
        <v>15284</v>
      </c>
      <c r="E6781" s="10" t="str">
        <f>HYPERLINK("https://twitter.com/Scirocco_Tuning/status/724070937881153537","724070937881153537")</f>
        <v>724070937881153537</v>
      </c>
      <c r="F6781" s="11" t="s">
        <v>53</v>
      </c>
      <c r="G6781" s="11">
        <v>70</v>
      </c>
      <c r="H6781" s="11">
        <v>215</v>
      </c>
      <c r="I6781" s="11">
        <v>0</v>
      </c>
      <c r="J6781" s="11">
        <v>0</v>
      </c>
      <c r="K6781" s="11" t="s">
        <v>21</v>
      </c>
      <c r="L6781" s="7">
        <v>40844.564722222218</v>
      </c>
      <c r="M6781" s="12"/>
      <c r="N6781" s="12"/>
      <c r="O6781" s="10" t="str">
        <f>HYPERLINK("https://pbs.twimg.com/profile_images/1610421423/Image2_normal.jpg","View")</f>
        <v>View</v>
      </c>
      <c r="P6781" s="11"/>
    </row>
    <row r="6782" spans="1:16" ht="12.75" x14ac:dyDescent="0.35">
      <c r="A6782" s="7">
        <v>42484.3596412037</v>
      </c>
      <c r="B6782" s="8" t="str">
        <f>HYPERLINK("https://twitter.com/MrMalky","@MrMalky")</f>
        <v>@MrMalky</v>
      </c>
      <c r="C6782" s="9" t="s">
        <v>15285</v>
      </c>
      <c r="D6782" s="9" t="s">
        <v>15286</v>
      </c>
      <c r="E6782" s="10" t="str">
        <f>HYPERLINK("https://twitter.com/MrMalky/status/724072340078899201","724072340078899201")</f>
        <v>724072340078899201</v>
      </c>
      <c r="F6782" s="11" t="s">
        <v>43</v>
      </c>
      <c r="G6782" s="11">
        <v>10526</v>
      </c>
      <c r="H6782" s="11">
        <v>8473</v>
      </c>
      <c r="I6782" s="11">
        <v>1</v>
      </c>
      <c r="J6782" s="11">
        <v>0</v>
      </c>
      <c r="K6782" s="11" t="s">
        <v>21</v>
      </c>
      <c r="L6782" s="7">
        <v>40032.072175925925</v>
      </c>
      <c r="M6782" s="12" t="s">
        <v>15287</v>
      </c>
      <c r="N6782" s="12" t="s">
        <v>15288</v>
      </c>
      <c r="O6782" s="10" t="str">
        <f>HYPERLINK("https://pbs.twimg.com/profile_images/691736292934184961/CyrC0_Hw_normal.jpg","View")</f>
        <v>View</v>
      </c>
      <c r="P6782" s="11"/>
    </row>
    <row r="6783" spans="1:16" ht="12.75" x14ac:dyDescent="0.35">
      <c r="A6783" s="7">
        <v>42484.359814814816</v>
      </c>
      <c r="B6783" s="8" t="str">
        <f>HYPERLINK("https://twitter.com/privilegimports","@privilegimports")</f>
        <v>@privilegimports</v>
      </c>
      <c r="C6783" s="9" t="s">
        <v>15289</v>
      </c>
      <c r="D6783" s="9" t="s">
        <v>15290</v>
      </c>
      <c r="E6783" s="10" t="str">
        <f>HYPERLINK("https://twitter.com/privilegimports/status/724072405929496578","724072405929496578")</f>
        <v>724072405929496578</v>
      </c>
      <c r="F6783" s="11" t="s">
        <v>48</v>
      </c>
      <c r="G6783" s="11">
        <v>10</v>
      </c>
      <c r="H6783" s="11">
        <v>57</v>
      </c>
      <c r="I6783" s="11">
        <v>0</v>
      </c>
      <c r="J6783" s="11">
        <v>0</v>
      </c>
      <c r="K6783" s="11" t="s">
        <v>21</v>
      </c>
      <c r="L6783" s="7">
        <v>42455.310717592598</v>
      </c>
      <c r="M6783" s="12" t="s">
        <v>9164</v>
      </c>
      <c r="N6783" s="12" t="s">
        <v>15291</v>
      </c>
      <c r="O6783" s="10" t="str">
        <f>HYPERLINK("https://pbs.twimg.com/profile_images/713551988022181888/VnV9z_vA_normal.jpg","View")</f>
        <v>View</v>
      </c>
      <c r="P6783" s="11"/>
    </row>
    <row r="6784" spans="1:16" ht="12.75" x14ac:dyDescent="0.35">
      <c r="A6784" s="7">
        <v>42484.360231481478</v>
      </c>
      <c r="B6784" s="8" t="str">
        <f>HYPERLINK("https://twitter.com/StangDaeng","@StangDaeng")</f>
        <v>@StangDaeng</v>
      </c>
      <c r="C6784" s="9" t="s">
        <v>14701</v>
      </c>
      <c r="D6784" s="9" t="s">
        <v>15292</v>
      </c>
      <c r="E6784" s="10" t="str">
        <f>HYPERLINK("https://twitter.com/StangDaeng/status/724072555645009921","724072555645009921")</f>
        <v>724072555645009921</v>
      </c>
      <c r="F6784" s="11" t="s">
        <v>20</v>
      </c>
      <c r="G6784" s="11">
        <v>522</v>
      </c>
      <c r="H6784" s="11">
        <v>135</v>
      </c>
      <c r="I6784" s="11">
        <v>0</v>
      </c>
      <c r="J6784" s="11">
        <v>0</v>
      </c>
      <c r="K6784" s="11" t="s">
        <v>21</v>
      </c>
      <c r="L6784" s="7">
        <v>40046.494988425926</v>
      </c>
      <c r="M6784" s="12" t="s">
        <v>15293</v>
      </c>
      <c r="N6784" s="12" t="s">
        <v>15294</v>
      </c>
      <c r="O6784" s="10" t="str">
        <f>HYPERLINK("https://pbs.twimg.com/profile_images/541111888164028416/CRkQZhY-_normal.jpeg","View")</f>
        <v>View</v>
      </c>
      <c r="P6784" s="11"/>
    </row>
    <row r="6785" spans="1:16" ht="12.75" x14ac:dyDescent="0.35">
      <c r="A6785" s="7">
        <v>42484.36142361111</v>
      </c>
      <c r="B6785" s="8" t="str">
        <f>HYPERLINK("https://twitter.com/chrispillennews","@chrispillennews")</f>
        <v>@chrispillennews</v>
      </c>
      <c r="C6785" s="9" t="s">
        <v>259</v>
      </c>
      <c r="D6785" s="9" t="s">
        <v>260</v>
      </c>
      <c r="E6785" s="10" t="str">
        <f>HYPERLINK("https://twitter.com/chrispillennews/status/724072988124045312","724072988124045312")</f>
        <v>724072988124045312</v>
      </c>
      <c r="F6785" s="11" t="s">
        <v>261</v>
      </c>
      <c r="G6785" s="11">
        <v>149</v>
      </c>
      <c r="H6785" s="11">
        <v>35</v>
      </c>
      <c r="I6785" s="11">
        <v>0</v>
      </c>
      <c r="J6785" s="11">
        <v>0</v>
      </c>
      <c r="K6785" s="11" t="s">
        <v>21</v>
      </c>
      <c r="L6785" s="7">
        <v>40945.596898148149</v>
      </c>
      <c r="M6785" s="12" t="s">
        <v>262</v>
      </c>
      <c r="N6785" s="12" t="s">
        <v>263</v>
      </c>
      <c r="O6785" s="10" t="str">
        <f>HYPERLINK("https://pbs.twimg.com/profile_images/589041144027357185/LMeiK-X6_normal.jpg","View")</f>
        <v>View</v>
      </c>
      <c r="P6785" s="11"/>
    </row>
    <row r="6786" spans="1:16" ht="12.75" x14ac:dyDescent="0.35">
      <c r="A6786" s="7">
        <v>42484.361701388887</v>
      </c>
      <c r="B6786" s="8" t="str">
        <f t="shared" ref="B6786:B6787" si="607">HYPERLINK("https://twitter.com/dubbusses","@dubbusses")</f>
        <v>@dubbusses</v>
      </c>
      <c r="C6786" s="9" t="s">
        <v>14338</v>
      </c>
      <c r="D6786" s="9" t="s">
        <v>15295</v>
      </c>
      <c r="E6786" s="10" t="str">
        <f>HYPERLINK("https://twitter.com/dubbusses/status/724073088460197888","724073088460197888")</f>
        <v>724073088460197888</v>
      </c>
      <c r="F6786" s="11" t="s">
        <v>68</v>
      </c>
      <c r="G6786" s="11">
        <v>420</v>
      </c>
      <c r="H6786" s="11">
        <v>2369</v>
      </c>
      <c r="I6786" s="11">
        <v>0</v>
      </c>
      <c r="J6786" s="11">
        <v>0</v>
      </c>
      <c r="K6786" s="11" t="s">
        <v>21</v>
      </c>
      <c r="L6786" s="7">
        <v>42469.905393518522</v>
      </c>
      <c r="M6786" s="12" t="s">
        <v>14340</v>
      </c>
      <c r="N6786" s="12"/>
      <c r="O6786" s="10" t="str">
        <f t="shared" ref="O6786:O6787" si="608">HYPERLINK("https://pbs.twimg.com/profile_images/718835727027580928/1ssyQ67y_normal.jpg","View")</f>
        <v>View</v>
      </c>
      <c r="P6786" s="11"/>
    </row>
    <row r="6787" spans="1:16" ht="12.75" x14ac:dyDescent="0.35">
      <c r="A6787" s="7">
        <v>42484.361724537041</v>
      </c>
      <c r="B6787" s="8" t="str">
        <f t="shared" si="607"/>
        <v>@dubbusses</v>
      </c>
      <c r="C6787" s="9" t="s">
        <v>14338</v>
      </c>
      <c r="D6787" s="9" t="s">
        <v>15296</v>
      </c>
      <c r="E6787" s="10" t="str">
        <f>HYPERLINK("https://twitter.com/dubbusses/status/724073098102902784","724073098102902784")</f>
        <v>724073098102902784</v>
      </c>
      <c r="F6787" s="11" t="s">
        <v>68</v>
      </c>
      <c r="G6787" s="11">
        <v>420</v>
      </c>
      <c r="H6787" s="11">
        <v>2369</v>
      </c>
      <c r="I6787" s="11">
        <v>0</v>
      </c>
      <c r="J6787" s="11">
        <v>0</v>
      </c>
      <c r="K6787" s="11" t="s">
        <v>21</v>
      </c>
      <c r="L6787" s="7">
        <v>42469.905393518522</v>
      </c>
      <c r="M6787" s="12" t="s">
        <v>14340</v>
      </c>
      <c r="N6787" s="12"/>
      <c r="O6787" s="10" t="str">
        <f t="shared" si="608"/>
        <v>View</v>
      </c>
      <c r="P6787" s="11"/>
    </row>
    <row r="6788" spans="1:16" ht="12.75" x14ac:dyDescent="0.35">
      <c r="A6788" s="7">
        <v>42484.362916666665</v>
      </c>
      <c r="B6788" s="8" t="str">
        <f t="shared" ref="B6788:B6789" si="609">HYPERLINK("https://twitter.com/VWBeetleSales","@VWBeetleSales")</f>
        <v>@VWBeetleSales</v>
      </c>
      <c r="C6788" s="9" t="s">
        <v>127</v>
      </c>
      <c r="D6788" s="9" t="s">
        <v>15297</v>
      </c>
      <c r="E6788" s="10" t="str">
        <f>HYPERLINK("https://twitter.com/VWBeetleSales/status/724073526680911872","724073526680911872")</f>
        <v>724073526680911872</v>
      </c>
      <c r="F6788" s="10" t="s">
        <v>124</v>
      </c>
      <c r="G6788" s="11">
        <v>37</v>
      </c>
      <c r="H6788" s="11">
        <v>32</v>
      </c>
      <c r="I6788" s="11">
        <v>0</v>
      </c>
      <c r="J6788" s="11">
        <v>0</v>
      </c>
      <c r="K6788" s="11" t="s">
        <v>21</v>
      </c>
      <c r="L6788" s="7">
        <v>42427.019756944443</v>
      </c>
      <c r="M6788" s="12" t="s">
        <v>129</v>
      </c>
      <c r="N6788" s="12" t="s">
        <v>130</v>
      </c>
      <c r="O6788" s="10" t="str">
        <f t="shared" ref="O6788:O6789" si="610">HYPERLINK("https://pbs.twimg.com/profile_images/703294545195307008/qeCvrX86_normal.jpg","View")</f>
        <v>View</v>
      </c>
      <c r="P6788" s="11"/>
    </row>
    <row r="6789" spans="1:16" ht="12.75" x14ac:dyDescent="0.35">
      <c r="A6789" s="7">
        <v>42484.362916666665</v>
      </c>
      <c r="B6789" s="8" t="str">
        <f t="shared" si="609"/>
        <v>@VWBeetleSales</v>
      </c>
      <c r="C6789" s="9" t="s">
        <v>127</v>
      </c>
      <c r="D6789" s="9" t="s">
        <v>15298</v>
      </c>
      <c r="E6789" s="10" t="str">
        <f>HYPERLINK("https://twitter.com/VWBeetleSales/status/724073529503670273","724073529503670273")</f>
        <v>724073529503670273</v>
      </c>
      <c r="F6789" s="10" t="s">
        <v>124</v>
      </c>
      <c r="G6789" s="11">
        <v>37</v>
      </c>
      <c r="H6789" s="11">
        <v>32</v>
      </c>
      <c r="I6789" s="11">
        <v>0</v>
      </c>
      <c r="J6789" s="11">
        <v>0</v>
      </c>
      <c r="K6789" s="11" t="s">
        <v>21</v>
      </c>
      <c r="L6789" s="7">
        <v>42427.019756944443</v>
      </c>
      <c r="M6789" s="12" t="s">
        <v>129</v>
      </c>
      <c r="N6789" s="12" t="s">
        <v>130</v>
      </c>
      <c r="O6789" s="10" t="str">
        <f t="shared" si="610"/>
        <v>View</v>
      </c>
      <c r="P6789" s="11"/>
    </row>
    <row r="6790" spans="1:16" ht="12.75" x14ac:dyDescent="0.35">
      <c r="A6790" s="7">
        <v>42484.36855324074</v>
      </c>
      <c r="B6790" s="8" t="str">
        <f t="shared" ref="B6790:B6791" si="611">HYPERLINK("https://twitter.com/VolkswagenPost","@VolkswagenPost")</f>
        <v>@VolkswagenPost</v>
      </c>
      <c r="C6790" s="9" t="s">
        <v>321</v>
      </c>
      <c r="D6790" s="9" t="s">
        <v>15299</v>
      </c>
      <c r="E6790" s="10" t="str">
        <f>HYPERLINK("https://twitter.com/VolkswagenPost/status/724075571546710016","724075571546710016")</f>
        <v>724075571546710016</v>
      </c>
      <c r="F6790" s="11" t="s">
        <v>34</v>
      </c>
      <c r="G6790" s="11">
        <v>570</v>
      </c>
      <c r="H6790" s="11">
        <v>446</v>
      </c>
      <c r="I6790" s="11">
        <v>0</v>
      </c>
      <c r="J6790" s="11">
        <v>0</v>
      </c>
      <c r="K6790" s="11" t="s">
        <v>21</v>
      </c>
      <c r="L6790" s="7">
        <v>41940.618379629632</v>
      </c>
      <c r="M6790" s="12"/>
      <c r="N6790" s="12"/>
      <c r="O6790" s="10" t="str">
        <f t="shared" ref="O6790:O6791" si="612">HYPERLINK("https://pbs.twimg.com/profile_images/530071272881803264/a_jcCmPZ_normal.png","View")</f>
        <v>View</v>
      </c>
      <c r="P6790" s="11"/>
    </row>
    <row r="6791" spans="1:16" ht="12.75" x14ac:dyDescent="0.35">
      <c r="A6791" s="7">
        <v>42484.36855324074</v>
      </c>
      <c r="B6791" s="8" t="str">
        <f t="shared" si="611"/>
        <v>@VolkswagenPost</v>
      </c>
      <c r="C6791" s="9" t="s">
        <v>321</v>
      </c>
      <c r="D6791" s="9" t="s">
        <v>15300</v>
      </c>
      <c r="E6791" s="10" t="str">
        <f>HYPERLINK("https://twitter.com/VolkswagenPost/status/724075572595314688","724075572595314688")</f>
        <v>724075572595314688</v>
      </c>
      <c r="F6791" s="11" t="s">
        <v>34</v>
      </c>
      <c r="G6791" s="11">
        <v>570</v>
      </c>
      <c r="H6791" s="11">
        <v>446</v>
      </c>
      <c r="I6791" s="11">
        <v>0</v>
      </c>
      <c r="J6791" s="11">
        <v>0</v>
      </c>
      <c r="K6791" s="11" t="s">
        <v>21</v>
      </c>
      <c r="L6791" s="7">
        <v>41940.618379629632</v>
      </c>
      <c r="M6791" s="12"/>
      <c r="N6791" s="12"/>
      <c r="O6791" s="10" t="str">
        <f t="shared" si="612"/>
        <v>View</v>
      </c>
      <c r="P6791" s="11"/>
    </row>
    <row r="6792" spans="1:16" ht="12.75" x14ac:dyDescent="0.35">
      <c r="A6792" s="7">
        <v>42484.371076388888</v>
      </c>
      <c r="B6792" s="8" t="str">
        <f>HYPERLINK("https://twitter.com/takuya0358","@takuya0358")</f>
        <v>@takuya0358</v>
      </c>
      <c r="C6792" s="9" t="s">
        <v>15301</v>
      </c>
      <c r="D6792" s="9" t="s">
        <v>15302</v>
      </c>
      <c r="E6792" s="10" t="str">
        <f>HYPERLINK("https://twitter.com/takuya0358/status/724076487230386176","724076487230386176")</f>
        <v>724076487230386176</v>
      </c>
      <c r="F6792" s="11" t="s">
        <v>48</v>
      </c>
      <c r="G6792" s="11">
        <v>3</v>
      </c>
      <c r="H6792" s="11">
        <v>3</v>
      </c>
      <c r="I6792" s="11">
        <v>0</v>
      </c>
      <c r="J6792" s="11">
        <v>0</v>
      </c>
      <c r="K6792" s="11" t="s">
        <v>21</v>
      </c>
      <c r="L6792" s="7">
        <v>42411.503032407403</v>
      </c>
      <c r="M6792" s="12"/>
      <c r="N6792" s="12" t="s">
        <v>15303</v>
      </c>
      <c r="O6792" s="10" t="str">
        <f>HYPERLINK("https://pbs.twimg.com/profile_images/719108127975559168/4cScEnwR_normal.jpg","View")</f>
        <v>View</v>
      </c>
      <c r="P6792" s="11"/>
    </row>
    <row r="6793" spans="1:16" ht="12.75" x14ac:dyDescent="0.35">
      <c r="A6793" s="7">
        <v>42484.374178240745</v>
      </c>
      <c r="B6793" s="8" t="str">
        <f t="shared" ref="B6793:B6794" si="613">HYPERLINK("https://twitter.com/oldcar_photo","@oldcar_photo")</f>
        <v>@oldcar_photo</v>
      </c>
      <c r="C6793" s="9" t="s">
        <v>1046</v>
      </c>
      <c r="D6793" s="9" t="s">
        <v>15304</v>
      </c>
      <c r="E6793" s="10" t="str">
        <f>HYPERLINK("https://twitter.com/oldcar_photo/status/724077611010408448","724077611010408448")</f>
        <v>724077611010408448</v>
      </c>
      <c r="F6793" s="11" t="s">
        <v>68</v>
      </c>
      <c r="G6793" s="11">
        <v>1997</v>
      </c>
      <c r="H6793" s="11">
        <v>0</v>
      </c>
      <c r="I6793" s="11">
        <v>0</v>
      </c>
      <c r="J6793" s="11">
        <v>0</v>
      </c>
      <c r="K6793" s="11" t="s">
        <v>21</v>
      </c>
      <c r="L6793" s="7">
        <v>42184.7341087963</v>
      </c>
      <c r="M6793" s="12"/>
      <c r="N6793" s="12"/>
      <c r="O6793" s="10" t="str">
        <f t="shared" ref="O6793:O6794" si="614">HYPERLINK("https://pbs.twimg.com/profile_images/615493650785660928/XHUh6HOk_normal.jpg","View")</f>
        <v>View</v>
      </c>
      <c r="P6793" s="11"/>
    </row>
    <row r="6794" spans="1:16" ht="12.75" x14ac:dyDescent="0.35">
      <c r="A6794" s="7">
        <v>42484.374212962968</v>
      </c>
      <c r="B6794" s="8" t="str">
        <f t="shared" si="613"/>
        <v>@oldcar_photo</v>
      </c>
      <c r="C6794" s="9" t="s">
        <v>1046</v>
      </c>
      <c r="D6794" s="9" t="s">
        <v>15305</v>
      </c>
      <c r="E6794" s="10" t="str">
        <f>HYPERLINK("https://twitter.com/oldcar_photo/status/724077622251126784","724077622251126784")</f>
        <v>724077622251126784</v>
      </c>
      <c r="F6794" s="11" t="s">
        <v>68</v>
      </c>
      <c r="G6794" s="11">
        <v>1997</v>
      </c>
      <c r="H6794" s="11">
        <v>0</v>
      </c>
      <c r="I6794" s="11">
        <v>0</v>
      </c>
      <c r="J6794" s="11">
        <v>0</v>
      </c>
      <c r="K6794" s="11" t="s">
        <v>21</v>
      </c>
      <c r="L6794" s="7">
        <v>42184.7341087963</v>
      </c>
      <c r="M6794" s="12"/>
      <c r="N6794" s="12"/>
      <c r="O6794" s="10" t="str">
        <f t="shared" si="614"/>
        <v>View</v>
      </c>
      <c r="P6794" s="11"/>
    </row>
    <row r="6795" spans="1:16" ht="12.75" x14ac:dyDescent="0.35">
      <c r="A6795" s="7">
        <v>42484.374374999999</v>
      </c>
      <c r="B6795" s="8" t="str">
        <f>HYPERLINK("https://twitter.com/VeeDubMk1_","@VeeDubMk1_")</f>
        <v>@VeeDubMk1_</v>
      </c>
      <c r="C6795" s="9" t="s">
        <v>185</v>
      </c>
      <c r="D6795" s="9" t="s">
        <v>15306</v>
      </c>
      <c r="E6795" s="10" t="str">
        <f>HYPERLINK("https://twitter.com/VeeDubMk1_/status/724077682330357760","724077682330357760")</f>
        <v>724077682330357760</v>
      </c>
      <c r="F6795" s="11" t="s">
        <v>68</v>
      </c>
      <c r="G6795" s="11">
        <v>549</v>
      </c>
      <c r="H6795" s="11">
        <v>3528</v>
      </c>
      <c r="I6795" s="11">
        <v>0</v>
      </c>
      <c r="J6795" s="11">
        <v>0</v>
      </c>
      <c r="K6795" s="11" t="s">
        <v>21</v>
      </c>
      <c r="L6795" s="7">
        <v>42343.063356481478</v>
      </c>
      <c r="M6795" s="12"/>
      <c r="N6795" s="12"/>
      <c r="O6795" s="10" t="str">
        <f>HYPERLINK("https://pbs.twimg.com/profile_images/672878354127839232/M7OYc-zx_normal.jpg","View")</f>
        <v>View</v>
      </c>
      <c r="P6795" s="11"/>
    </row>
    <row r="6796" spans="1:16" ht="12.75" x14ac:dyDescent="0.35">
      <c r="A6796" s="7">
        <v>42484.374664351853</v>
      </c>
      <c r="B6796" s="8" t="str">
        <f>HYPERLINK("https://twitter.com/MannyGhinga","@MannyGhinga")</f>
        <v>@MannyGhinga</v>
      </c>
      <c r="C6796" s="9" t="s">
        <v>15307</v>
      </c>
      <c r="D6796" s="9" t="s">
        <v>15308</v>
      </c>
      <c r="E6796" s="10" t="str">
        <f>HYPERLINK("https://twitter.com/MannyGhinga/status/724077785136828416","724077785136828416")</f>
        <v>724077785136828416</v>
      </c>
      <c r="F6796" s="11" t="s">
        <v>43</v>
      </c>
      <c r="G6796" s="11">
        <v>2</v>
      </c>
      <c r="H6796" s="11">
        <v>48</v>
      </c>
      <c r="I6796" s="11">
        <v>0</v>
      </c>
      <c r="J6796" s="11">
        <v>0</v>
      </c>
      <c r="K6796" s="11" t="s">
        <v>21</v>
      </c>
      <c r="L6796" s="7">
        <v>42483.889756944445</v>
      </c>
      <c r="M6796" s="12" t="s">
        <v>3537</v>
      </c>
      <c r="N6796" s="12" t="s">
        <v>15309</v>
      </c>
      <c r="O6796" s="10" t="str">
        <f>HYPERLINK("https://pbs.twimg.com/profile_images/724050446306832385/9TuOc48j_normal.jpg","View")</f>
        <v>View</v>
      </c>
      <c r="P6796" s="11"/>
    </row>
    <row r="6797" spans="1:16" ht="12.75" x14ac:dyDescent="0.35">
      <c r="A6797" s="7">
        <v>42484.381249999999</v>
      </c>
      <c r="B6797" s="8" t="str">
        <f>HYPERLINK("https://twitter.com/LybertusBarker","@LybertusBarker")</f>
        <v>@LybertusBarker</v>
      </c>
      <c r="C6797" s="9" t="s">
        <v>15310</v>
      </c>
      <c r="D6797" s="9" t="s">
        <v>15311</v>
      </c>
      <c r="E6797" s="10" t="str">
        <f>HYPERLINK("https://twitter.com/LybertusBarker/status/724080171502833664","724080171502833664")</f>
        <v>724080171502833664</v>
      </c>
      <c r="F6797" s="11" t="s">
        <v>114</v>
      </c>
      <c r="G6797" s="11">
        <v>558</v>
      </c>
      <c r="H6797" s="11">
        <v>161</v>
      </c>
      <c r="I6797" s="11">
        <v>0</v>
      </c>
      <c r="J6797" s="11">
        <v>0</v>
      </c>
      <c r="K6797" s="11" t="s">
        <v>21</v>
      </c>
      <c r="L6797" s="7">
        <v>40484.259641203702</v>
      </c>
      <c r="M6797" s="12" t="s">
        <v>15312</v>
      </c>
      <c r="N6797" s="12" t="s">
        <v>15313</v>
      </c>
      <c r="O6797" s="10" t="str">
        <f>HYPERLINK("https://pbs.twimg.com/profile_images/569169141001498624/RzUbfsWR_normal.jpeg","View")</f>
        <v>View</v>
      </c>
      <c r="P6797" s="11"/>
    </row>
    <row r="6798" spans="1:16" ht="12.75" x14ac:dyDescent="0.35">
      <c r="A6798" s="7">
        <v>42484.381747685184</v>
      </c>
      <c r="B6798" s="8" t="str">
        <f>HYPERLINK("https://twitter.com/FuscaWorld","@FuscaWorld")</f>
        <v>@FuscaWorld</v>
      </c>
      <c r="C6798" s="9" t="s">
        <v>74</v>
      </c>
      <c r="D6798" s="9" t="s">
        <v>15314</v>
      </c>
      <c r="E6798" s="10" t="str">
        <f>HYPERLINK("https://twitter.com/FuscaWorld/status/724080353623810048","724080353623810048")</f>
        <v>724080353623810048</v>
      </c>
      <c r="F6798" s="11" t="s">
        <v>76</v>
      </c>
      <c r="G6798" s="11">
        <v>49</v>
      </c>
      <c r="H6798" s="11">
        <v>1</v>
      </c>
      <c r="I6798" s="11">
        <v>1</v>
      </c>
      <c r="J6798" s="11">
        <v>0</v>
      </c>
      <c r="K6798" s="11" t="s">
        <v>21</v>
      </c>
      <c r="L6798" s="7">
        <v>42433.880914351852</v>
      </c>
      <c r="M6798" s="12"/>
      <c r="N6798" s="12" t="s">
        <v>77</v>
      </c>
      <c r="O6798" s="10" t="str">
        <f>HYPERLINK("https://pbs.twimg.com/profile_images/705780107844067328/e7O4UBNb_normal.jpg","View")</f>
        <v>View</v>
      </c>
      <c r="P6798" s="11"/>
    </row>
    <row r="6799" spans="1:16" ht="12.75" x14ac:dyDescent="0.35">
      <c r="A6799" s="7">
        <v>42484.382303240738</v>
      </c>
      <c r="B6799" s="8" t="str">
        <f>HYPERLINK("https://twitter.com/gustaricar2013","@gustaricar2013")</f>
        <v>@gustaricar2013</v>
      </c>
      <c r="C6799" s="9" t="s">
        <v>14525</v>
      </c>
      <c r="D6799" s="9" t="s">
        <v>13987</v>
      </c>
      <c r="E6799" s="10" t="str">
        <f>HYPERLINK("https://twitter.com/gustaricar2013/status/724080552995885057","724080552995885057")</f>
        <v>724080552995885057</v>
      </c>
      <c r="F6799" s="11" t="s">
        <v>48</v>
      </c>
      <c r="G6799" s="11">
        <v>2048</v>
      </c>
      <c r="H6799" s="11">
        <v>3015</v>
      </c>
      <c r="I6799" s="11">
        <v>4</v>
      </c>
      <c r="J6799" s="11">
        <v>0</v>
      </c>
      <c r="K6799" s="11" t="s">
        <v>21</v>
      </c>
      <c r="L6799" s="7">
        <v>41463.939097222225</v>
      </c>
      <c r="M6799" s="12" t="s">
        <v>14526</v>
      </c>
      <c r="N6799" s="12" t="s">
        <v>14527</v>
      </c>
      <c r="O6799" s="10" t="str">
        <f>HYPERLINK("https://pbs.twimg.com/profile_images/711890317448904704/wabvMcxR_normal.jpg","View")</f>
        <v>View</v>
      </c>
      <c r="P6799" s="11"/>
    </row>
    <row r="6800" spans="1:16" ht="12.75" x14ac:dyDescent="0.35">
      <c r="A6800" s="7">
        <v>42484.382858796293</v>
      </c>
      <c r="B6800" s="8" t="str">
        <f t="shared" ref="B6800:B6801" si="615">HYPERLINK("https://twitter.com/LybertusBarker","@LybertusBarker")</f>
        <v>@LybertusBarker</v>
      </c>
      <c r="C6800" s="9" t="s">
        <v>15310</v>
      </c>
      <c r="D6800" s="9" t="s">
        <v>15315</v>
      </c>
      <c r="E6800" s="10" t="str">
        <f>HYPERLINK("https://twitter.com/LybertusBarker/status/724080753550594048","724080753550594048")</f>
        <v>724080753550594048</v>
      </c>
      <c r="F6800" s="11" t="s">
        <v>114</v>
      </c>
      <c r="G6800" s="11">
        <v>558</v>
      </c>
      <c r="H6800" s="11">
        <v>161</v>
      </c>
      <c r="I6800" s="11">
        <v>0</v>
      </c>
      <c r="J6800" s="11">
        <v>0</v>
      </c>
      <c r="K6800" s="11" t="s">
        <v>21</v>
      </c>
      <c r="L6800" s="7">
        <v>40484.259641203702</v>
      </c>
      <c r="M6800" s="12" t="s">
        <v>15312</v>
      </c>
      <c r="N6800" s="12" t="s">
        <v>15313</v>
      </c>
      <c r="O6800" s="10" t="str">
        <f t="shared" ref="O6800:O6801" si="616">HYPERLINK("https://pbs.twimg.com/profile_images/569169141001498624/RzUbfsWR_normal.jpeg","View")</f>
        <v>View</v>
      </c>
      <c r="P6800" s="11"/>
    </row>
    <row r="6801" spans="1:16" ht="12.75" x14ac:dyDescent="0.35">
      <c r="A6801" s="7">
        <v>42484.383564814816</v>
      </c>
      <c r="B6801" s="8" t="str">
        <f t="shared" si="615"/>
        <v>@LybertusBarker</v>
      </c>
      <c r="C6801" s="9" t="s">
        <v>15310</v>
      </c>
      <c r="D6801" s="9" t="s">
        <v>15316</v>
      </c>
      <c r="E6801" s="10" t="str">
        <f>HYPERLINK("https://twitter.com/LybertusBarker/status/724081011085058049","724081011085058049")</f>
        <v>724081011085058049</v>
      </c>
      <c r="F6801" s="11" t="s">
        <v>114</v>
      </c>
      <c r="G6801" s="11">
        <v>558</v>
      </c>
      <c r="H6801" s="11">
        <v>161</v>
      </c>
      <c r="I6801" s="11">
        <v>0</v>
      </c>
      <c r="J6801" s="11">
        <v>0</v>
      </c>
      <c r="K6801" s="11" t="s">
        <v>21</v>
      </c>
      <c r="L6801" s="7">
        <v>40484.259641203702</v>
      </c>
      <c r="M6801" s="12" t="s">
        <v>15312</v>
      </c>
      <c r="N6801" s="12" t="s">
        <v>15313</v>
      </c>
      <c r="O6801" s="10" t="str">
        <f t="shared" si="616"/>
        <v>View</v>
      </c>
      <c r="P6801" s="11"/>
    </row>
    <row r="6802" spans="1:16" ht="12.75" x14ac:dyDescent="0.35">
      <c r="A6802" s="7">
        <v>42484.383796296301</v>
      </c>
      <c r="B6802" s="8" t="str">
        <f>HYPERLINK("https://twitter.com/matiasnfrutos","@matiasnfrutos")</f>
        <v>@matiasnfrutos</v>
      </c>
      <c r="C6802" s="9" t="s">
        <v>15317</v>
      </c>
      <c r="D6802" s="9" t="s">
        <v>13987</v>
      </c>
      <c r="E6802" s="10" t="str">
        <f>HYPERLINK("https://twitter.com/matiasnfrutos/status/724081094149177344","724081094149177344")</f>
        <v>724081094149177344</v>
      </c>
      <c r="F6802" s="11" t="s">
        <v>48</v>
      </c>
      <c r="G6802" s="11">
        <v>1206</v>
      </c>
      <c r="H6802" s="11">
        <v>3447</v>
      </c>
      <c r="I6802" s="11">
        <v>4</v>
      </c>
      <c r="J6802" s="11">
        <v>0</v>
      </c>
      <c r="K6802" s="11" t="s">
        <v>21</v>
      </c>
      <c r="L6802" s="7">
        <v>42355.509236111116</v>
      </c>
      <c r="M6802" s="12" t="s">
        <v>15318</v>
      </c>
      <c r="N6802" s="12" t="s">
        <v>15319</v>
      </c>
      <c r="O6802" s="10" t="str">
        <f>HYPERLINK("https://pbs.twimg.com/profile_images/724000830257545216/yXcEDJ4J_normal.jpg","View")</f>
        <v>View</v>
      </c>
      <c r="P6802" s="11"/>
    </row>
    <row r="6803" spans="1:16" ht="12.75" x14ac:dyDescent="0.35">
      <c r="A6803" s="7">
        <v>42484.384317129632</v>
      </c>
      <c r="B6803" s="8" t="str">
        <f t="shared" ref="B6803:B6807" si="617">HYPERLINK("https://twitter.com/SuranClub","@SuranClub")</f>
        <v>@SuranClub</v>
      </c>
      <c r="C6803" s="9" t="s">
        <v>864</v>
      </c>
      <c r="D6803" s="9" t="s">
        <v>15320</v>
      </c>
      <c r="E6803" s="10" t="str">
        <f>HYPERLINK("https://twitter.com/SuranClub/status/724081285329760256","724081285329760256")</f>
        <v>724081285329760256</v>
      </c>
      <c r="F6803" s="11" t="s">
        <v>114</v>
      </c>
      <c r="G6803" s="11">
        <v>478</v>
      </c>
      <c r="H6803" s="11">
        <v>571</v>
      </c>
      <c r="I6803" s="11">
        <v>0</v>
      </c>
      <c r="J6803" s="11">
        <v>0</v>
      </c>
      <c r="K6803" s="11" t="s">
        <v>21</v>
      </c>
      <c r="L6803" s="7">
        <v>42004.845520833333</v>
      </c>
      <c r="M6803" s="12" t="s">
        <v>866</v>
      </c>
      <c r="N6803" s="12" t="s">
        <v>867</v>
      </c>
      <c r="O6803" s="10" t="str">
        <f t="shared" ref="O6803:O6807" si="618">HYPERLINK("https://pbs.twimg.com/profile_images/634021831364747264/5vPrL2JH_normal.jpg","View")</f>
        <v>View</v>
      </c>
      <c r="P6803" s="11"/>
    </row>
    <row r="6804" spans="1:16" ht="12.75" x14ac:dyDescent="0.35">
      <c r="A6804" s="7">
        <v>42484.384375000001</v>
      </c>
      <c r="B6804" s="8" t="str">
        <f t="shared" si="617"/>
        <v>@SuranClub</v>
      </c>
      <c r="C6804" s="9" t="s">
        <v>864</v>
      </c>
      <c r="D6804" s="9" t="s">
        <v>15321</v>
      </c>
      <c r="E6804" s="10" t="str">
        <f>HYPERLINK("https://twitter.com/SuranClub/status/724081302836797440","724081302836797440")</f>
        <v>724081302836797440</v>
      </c>
      <c r="F6804" s="11" t="s">
        <v>68</v>
      </c>
      <c r="G6804" s="11">
        <v>478</v>
      </c>
      <c r="H6804" s="11">
        <v>571</v>
      </c>
      <c r="I6804" s="11">
        <v>0</v>
      </c>
      <c r="J6804" s="11">
        <v>0</v>
      </c>
      <c r="K6804" s="11" t="s">
        <v>21</v>
      </c>
      <c r="L6804" s="7">
        <v>42004.845520833333</v>
      </c>
      <c r="M6804" s="12" t="s">
        <v>866</v>
      </c>
      <c r="N6804" s="12" t="s">
        <v>867</v>
      </c>
      <c r="O6804" s="10" t="str">
        <f t="shared" si="618"/>
        <v>View</v>
      </c>
      <c r="P6804" s="11"/>
    </row>
    <row r="6805" spans="1:16" ht="12.75" x14ac:dyDescent="0.35">
      <c r="A6805" s="7">
        <v>42484.385949074072</v>
      </c>
      <c r="B6805" s="8" t="str">
        <f t="shared" si="617"/>
        <v>@SuranClub</v>
      </c>
      <c r="C6805" s="9" t="s">
        <v>864</v>
      </c>
      <c r="D6805" s="9" t="s">
        <v>15322</v>
      </c>
      <c r="E6805" s="10" t="str">
        <f>HYPERLINK("https://twitter.com/SuranClub/status/724081874834980865","724081874834980865")</f>
        <v>724081874834980865</v>
      </c>
      <c r="F6805" s="11" t="s">
        <v>114</v>
      </c>
      <c r="G6805" s="11">
        <v>479</v>
      </c>
      <c r="H6805" s="11">
        <v>571</v>
      </c>
      <c r="I6805" s="11">
        <v>0</v>
      </c>
      <c r="J6805" s="11">
        <v>0</v>
      </c>
      <c r="K6805" s="11" t="s">
        <v>21</v>
      </c>
      <c r="L6805" s="7">
        <v>42004.845520833333</v>
      </c>
      <c r="M6805" s="12" t="s">
        <v>866</v>
      </c>
      <c r="N6805" s="12" t="s">
        <v>867</v>
      </c>
      <c r="O6805" s="10" t="str">
        <f t="shared" si="618"/>
        <v>View</v>
      </c>
      <c r="P6805" s="11"/>
    </row>
    <row r="6806" spans="1:16" ht="12.75" x14ac:dyDescent="0.35">
      <c r="A6806" s="7">
        <v>42484.386018518519</v>
      </c>
      <c r="B6806" s="8" t="str">
        <f t="shared" si="617"/>
        <v>@SuranClub</v>
      </c>
      <c r="C6806" s="9" t="s">
        <v>864</v>
      </c>
      <c r="D6806" s="9" t="s">
        <v>15323</v>
      </c>
      <c r="E6806" s="10" t="str">
        <f>HYPERLINK("https://twitter.com/SuranClub/status/724081900667715584","724081900667715584")</f>
        <v>724081900667715584</v>
      </c>
      <c r="F6806" s="11" t="s">
        <v>68</v>
      </c>
      <c r="G6806" s="11">
        <v>479</v>
      </c>
      <c r="H6806" s="11">
        <v>571</v>
      </c>
      <c r="I6806" s="11">
        <v>0</v>
      </c>
      <c r="J6806" s="11">
        <v>0</v>
      </c>
      <c r="K6806" s="11" t="s">
        <v>21</v>
      </c>
      <c r="L6806" s="7">
        <v>42004.845520833333</v>
      </c>
      <c r="M6806" s="12" t="s">
        <v>866</v>
      </c>
      <c r="N6806" s="12" t="s">
        <v>867</v>
      </c>
      <c r="O6806" s="10" t="str">
        <f t="shared" si="618"/>
        <v>View</v>
      </c>
      <c r="P6806" s="11"/>
    </row>
    <row r="6807" spans="1:16" ht="12.75" x14ac:dyDescent="0.35">
      <c r="A6807" s="7">
        <v>42484.386828703704</v>
      </c>
      <c r="B6807" s="8" t="str">
        <f t="shared" si="617"/>
        <v>@SuranClub</v>
      </c>
      <c r="C6807" s="9" t="s">
        <v>864</v>
      </c>
      <c r="D6807" s="9" t="s">
        <v>15324</v>
      </c>
      <c r="E6807" s="10" t="str">
        <f>HYPERLINK("https://twitter.com/SuranClub/status/724082192427692032","724082192427692032")</f>
        <v>724082192427692032</v>
      </c>
      <c r="F6807" s="11" t="s">
        <v>68</v>
      </c>
      <c r="G6807" s="11">
        <v>479</v>
      </c>
      <c r="H6807" s="11">
        <v>571</v>
      </c>
      <c r="I6807" s="11">
        <v>1</v>
      </c>
      <c r="J6807" s="11">
        <v>2</v>
      </c>
      <c r="K6807" s="11" t="s">
        <v>21</v>
      </c>
      <c r="L6807" s="7">
        <v>42004.845520833333</v>
      </c>
      <c r="M6807" s="12" t="s">
        <v>866</v>
      </c>
      <c r="N6807" s="12" t="s">
        <v>867</v>
      </c>
      <c r="O6807" s="10" t="str">
        <f t="shared" si="618"/>
        <v>View</v>
      </c>
      <c r="P6807" s="11"/>
    </row>
    <row r="6808" spans="1:16" ht="12.75" x14ac:dyDescent="0.35">
      <c r="A6808" s="7">
        <v>42484.389907407407</v>
      </c>
      <c r="B6808" s="8" t="str">
        <f>HYPERLINK("https://twitter.com/Matiasparra97","@Matiasparra97")</f>
        <v>@Matiasparra97</v>
      </c>
      <c r="C6808" s="9" t="s">
        <v>15325</v>
      </c>
      <c r="D6808" s="9" t="s">
        <v>15326</v>
      </c>
      <c r="E6808" s="10" t="str">
        <f>HYPERLINK("https://twitter.com/Matiasparra97/status/724083310117433344","724083310117433344")</f>
        <v>724083310117433344</v>
      </c>
      <c r="F6808" s="11" t="s">
        <v>43</v>
      </c>
      <c r="G6808" s="11">
        <v>646</v>
      </c>
      <c r="H6808" s="11">
        <v>711</v>
      </c>
      <c r="I6808" s="11">
        <v>1</v>
      </c>
      <c r="J6808" s="11">
        <v>0</v>
      </c>
      <c r="K6808" s="11" t="s">
        <v>21</v>
      </c>
      <c r="L6808" s="7">
        <v>41139.960856481484</v>
      </c>
      <c r="M6808" s="12" t="s">
        <v>15327</v>
      </c>
      <c r="N6808" s="12" t="s">
        <v>15328</v>
      </c>
      <c r="O6808" s="10" t="str">
        <f>HYPERLINK("https://pbs.twimg.com/profile_images/709199302057435136/vi-tZfhL_normal.jpg","View")</f>
        <v>View</v>
      </c>
      <c r="P6808" s="11"/>
    </row>
    <row r="6809" spans="1:16" ht="12.75" x14ac:dyDescent="0.35">
      <c r="A6809" s="7">
        <v>42484.393159722225</v>
      </c>
      <c r="B6809" s="8" t="str">
        <f>HYPERLINK("https://twitter.com/BSeanie","@BSeanie")</f>
        <v>@BSeanie</v>
      </c>
      <c r="C6809" s="9" t="s">
        <v>15329</v>
      </c>
      <c r="D6809" s="9" t="s">
        <v>14594</v>
      </c>
      <c r="E6809" s="10" t="str">
        <f>HYPERLINK("https://twitter.com/BSeanie/status/724084488666419201","724084488666419201")</f>
        <v>724084488666419201</v>
      </c>
      <c r="F6809" s="11" t="s">
        <v>20</v>
      </c>
      <c r="G6809" s="11">
        <v>55</v>
      </c>
      <c r="H6809" s="11">
        <v>73</v>
      </c>
      <c r="I6809" s="11">
        <v>4</v>
      </c>
      <c r="J6809" s="11">
        <v>0</v>
      </c>
      <c r="K6809" s="11" t="s">
        <v>21</v>
      </c>
      <c r="L6809" s="7">
        <v>41086.906388888892</v>
      </c>
      <c r="M6809" s="12"/>
      <c r="N6809" s="12"/>
      <c r="O6809" s="10" t="str">
        <f>HYPERLINK("https://pbs.twimg.com/profile_images/685717935915188224/YoEIodZl_normal.jpg","View")</f>
        <v>View</v>
      </c>
      <c r="P6809" s="11"/>
    </row>
    <row r="6810" spans="1:16" ht="12.75" x14ac:dyDescent="0.35">
      <c r="A6810" s="7">
        <v>42484.402071759258</v>
      </c>
      <c r="B6810" s="8" t="str">
        <f t="shared" ref="B6810:B6813" si="619">HYPERLINK("https://twitter.com/beetlebug1938","@beetlebug1938")</f>
        <v>@beetlebug1938</v>
      </c>
      <c r="C6810" s="9" t="s">
        <v>66</v>
      </c>
      <c r="D6810" s="9" t="s">
        <v>15330</v>
      </c>
      <c r="E6810" s="10" t="str">
        <f>HYPERLINK("https://twitter.com/beetlebug1938/status/724087718192529408","724087718192529408")</f>
        <v>724087718192529408</v>
      </c>
      <c r="F6810" s="11" t="s">
        <v>68</v>
      </c>
      <c r="G6810" s="11">
        <v>370</v>
      </c>
      <c r="H6810" s="11">
        <v>2226</v>
      </c>
      <c r="I6810" s="11">
        <v>0</v>
      </c>
      <c r="J6810" s="11">
        <v>0</v>
      </c>
      <c r="K6810" s="11" t="s">
        <v>21</v>
      </c>
      <c r="L6810" s="7">
        <v>42469.863865740743</v>
      </c>
      <c r="M6810" s="12" t="s">
        <v>69</v>
      </c>
      <c r="N6810" s="12"/>
      <c r="O6810" s="10" t="str">
        <f t="shared" ref="O6810:O6813" si="620">HYPERLINK("https://pbs.twimg.com/profile_images/718820712757215233/LXXndPTS_normal.jpg","View")</f>
        <v>View</v>
      </c>
      <c r="P6810" s="11"/>
    </row>
    <row r="6811" spans="1:16" ht="12.75" x14ac:dyDescent="0.35">
      <c r="A6811" s="7">
        <v>42484.402094907404</v>
      </c>
      <c r="B6811" s="8" t="str">
        <f t="shared" si="619"/>
        <v>@beetlebug1938</v>
      </c>
      <c r="C6811" s="9" t="s">
        <v>66</v>
      </c>
      <c r="D6811" s="9" t="s">
        <v>15331</v>
      </c>
      <c r="E6811" s="10" t="str">
        <f>HYPERLINK("https://twitter.com/beetlebug1938/status/724087725276729345","724087725276729345")</f>
        <v>724087725276729345</v>
      </c>
      <c r="F6811" s="11" t="s">
        <v>68</v>
      </c>
      <c r="G6811" s="11">
        <v>370</v>
      </c>
      <c r="H6811" s="11">
        <v>2226</v>
      </c>
      <c r="I6811" s="11">
        <v>0</v>
      </c>
      <c r="J6811" s="11">
        <v>0</v>
      </c>
      <c r="K6811" s="11" t="s">
        <v>21</v>
      </c>
      <c r="L6811" s="7">
        <v>42469.863865740743</v>
      </c>
      <c r="M6811" s="12" t="s">
        <v>69</v>
      </c>
      <c r="N6811" s="12"/>
      <c r="O6811" s="10" t="str">
        <f t="shared" si="620"/>
        <v>View</v>
      </c>
      <c r="P6811" s="11"/>
    </row>
    <row r="6812" spans="1:16" ht="12.75" x14ac:dyDescent="0.35">
      <c r="A6812" s="7">
        <v>42484.402106481481</v>
      </c>
      <c r="B6812" s="8" t="str">
        <f t="shared" si="619"/>
        <v>@beetlebug1938</v>
      </c>
      <c r="C6812" s="9" t="s">
        <v>66</v>
      </c>
      <c r="D6812" s="9" t="s">
        <v>15332</v>
      </c>
      <c r="E6812" s="10" t="str">
        <f>HYPERLINK("https://twitter.com/beetlebug1938/status/724087729953361920","724087729953361920")</f>
        <v>724087729953361920</v>
      </c>
      <c r="F6812" s="11" t="s">
        <v>68</v>
      </c>
      <c r="G6812" s="11">
        <v>370</v>
      </c>
      <c r="H6812" s="11">
        <v>2226</v>
      </c>
      <c r="I6812" s="11">
        <v>0</v>
      </c>
      <c r="J6812" s="11">
        <v>0</v>
      </c>
      <c r="K6812" s="11" t="s">
        <v>21</v>
      </c>
      <c r="L6812" s="7">
        <v>42469.863865740743</v>
      </c>
      <c r="M6812" s="12" t="s">
        <v>69</v>
      </c>
      <c r="N6812" s="12"/>
      <c r="O6812" s="10" t="str">
        <f t="shared" si="620"/>
        <v>View</v>
      </c>
      <c r="P6812" s="11"/>
    </row>
    <row r="6813" spans="1:16" ht="12.75" x14ac:dyDescent="0.35">
      <c r="A6813" s="7">
        <v>42484.402129629627</v>
      </c>
      <c r="B6813" s="8" t="str">
        <f t="shared" si="619"/>
        <v>@beetlebug1938</v>
      </c>
      <c r="C6813" s="9" t="s">
        <v>66</v>
      </c>
      <c r="D6813" s="9" t="s">
        <v>15333</v>
      </c>
      <c r="E6813" s="10" t="str">
        <f>HYPERLINK("https://twitter.com/beetlebug1938/status/724087740283887616","724087740283887616")</f>
        <v>724087740283887616</v>
      </c>
      <c r="F6813" s="11" t="s">
        <v>68</v>
      </c>
      <c r="G6813" s="11">
        <v>370</v>
      </c>
      <c r="H6813" s="11">
        <v>2226</v>
      </c>
      <c r="I6813" s="11">
        <v>1</v>
      </c>
      <c r="J6813" s="11">
        <v>0</v>
      </c>
      <c r="K6813" s="11" t="s">
        <v>21</v>
      </c>
      <c r="L6813" s="7">
        <v>42469.863865740743</v>
      </c>
      <c r="M6813" s="12" t="s">
        <v>69</v>
      </c>
      <c r="N6813" s="12"/>
      <c r="O6813" s="10" t="str">
        <f t="shared" si="620"/>
        <v>View</v>
      </c>
      <c r="P6813" s="11"/>
    </row>
    <row r="6814" spans="1:16" ht="12.75" x14ac:dyDescent="0.35">
      <c r="A6814" s="7">
        <v>42484.403611111113</v>
      </c>
      <c r="B6814" s="8" t="str">
        <f>HYPERLINK("https://twitter.com/dubbusses","@dubbusses")</f>
        <v>@dubbusses</v>
      </c>
      <c r="C6814" s="9" t="s">
        <v>14338</v>
      </c>
      <c r="D6814" s="9" t="s">
        <v>15334</v>
      </c>
      <c r="E6814" s="10" t="str">
        <f>HYPERLINK("https://twitter.com/dubbusses/status/724088275204452352","724088275204452352")</f>
        <v>724088275204452352</v>
      </c>
      <c r="F6814" s="11" t="s">
        <v>68</v>
      </c>
      <c r="G6814" s="11">
        <v>422</v>
      </c>
      <c r="H6814" s="11">
        <v>2369</v>
      </c>
      <c r="I6814" s="11">
        <v>0</v>
      </c>
      <c r="J6814" s="11">
        <v>0</v>
      </c>
      <c r="K6814" s="11" t="s">
        <v>21</v>
      </c>
      <c r="L6814" s="7">
        <v>42469.905393518522</v>
      </c>
      <c r="M6814" s="12" t="s">
        <v>14340</v>
      </c>
      <c r="N6814" s="12"/>
      <c r="O6814" s="10" t="str">
        <f>HYPERLINK("https://pbs.twimg.com/profile_images/718835727027580928/1ssyQ67y_normal.jpg","View")</f>
        <v>View</v>
      </c>
      <c r="P6814" s="11"/>
    </row>
    <row r="6815" spans="1:16" ht="12.75" x14ac:dyDescent="0.35">
      <c r="A6815" s="7">
        <v>42484.404317129629</v>
      </c>
      <c r="B6815" s="8" t="str">
        <f>HYPERLINK("https://twitter.com/FuscaWorld","@FuscaWorld")</f>
        <v>@FuscaWorld</v>
      </c>
      <c r="C6815" s="9" t="s">
        <v>74</v>
      </c>
      <c r="D6815" s="9" t="s">
        <v>15335</v>
      </c>
      <c r="E6815" s="10" t="str">
        <f>HYPERLINK("https://twitter.com/FuscaWorld/status/724088532957011968","724088532957011968")</f>
        <v>724088532957011968</v>
      </c>
      <c r="F6815" s="11" t="s">
        <v>76</v>
      </c>
      <c r="G6815" s="11">
        <v>49</v>
      </c>
      <c r="H6815" s="11">
        <v>1</v>
      </c>
      <c r="I6815" s="11">
        <v>1</v>
      </c>
      <c r="J6815" s="11">
        <v>0</v>
      </c>
      <c r="K6815" s="11" t="s">
        <v>21</v>
      </c>
      <c r="L6815" s="7">
        <v>42433.880914351852</v>
      </c>
      <c r="M6815" s="12"/>
      <c r="N6815" s="12" t="s">
        <v>77</v>
      </c>
      <c r="O6815" s="10" t="str">
        <f>HYPERLINK("https://pbs.twimg.com/profile_images/705780107844067328/e7O4UBNb_normal.jpg","View")</f>
        <v>View</v>
      </c>
      <c r="P6815" s="11"/>
    </row>
    <row r="6816" spans="1:16" ht="12.75" x14ac:dyDescent="0.35">
      <c r="A6816" s="7">
        <v>42484.406828703708</v>
      </c>
      <c r="B6816" s="8" t="str">
        <f>HYPERLINK("https://twitter.com/KritsadakornKa2","@KritsadakornKa2")</f>
        <v>@KritsadakornKa2</v>
      </c>
      <c r="C6816" s="9" t="s">
        <v>15336</v>
      </c>
      <c r="D6816" s="9" t="s">
        <v>15337</v>
      </c>
      <c r="E6816" s="10" t="str">
        <f>HYPERLINK("https://twitter.com/KritsadakornKa2/status/724089442672214016","724089442672214016")</f>
        <v>724089442672214016</v>
      </c>
      <c r="F6816" s="11" t="s">
        <v>20</v>
      </c>
      <c r="G6816" s="11">
        <v>62</v>
      </c>
      <c r="H6816" s="11">
        <v>88</v>
      </c>
      <c r="I6816" s="11">
        <v>1</v>
      </c>
      <c r="J6816" s="11">
        <v>0</v>
      </c>
      <c r="K6816" s="11" t="s">
        <v>21</v>
      </c>
      <c r="L6816" s="7">
        <v>42372.415520833332</v>
      </c>
      <c r="M6816" s="12" t="s">
        <v>517</v>
      </c>
      <c r="N6816" s="12" t="s">
        <v>15338</v>
      </c>
      <c r="O6816" s="10" t="str">
        <f>HYPERLINK("https://pbs.twimg.com/profile_images/683510819431288832/maAlyyTK_normal.jpg","View")</f>
        <v>View</v>
      </c>
      <c r="P6816" s="11"/>
    </row>
    <row r="6817" spans="1:16" ht="12.75" x14ac:dyDescent="0.35">
      <c r="A6817" s="7">
        <v>42484.40688657407</v>
      </c>
      <c r="B6817" s="8" t="str">
        <f>HYPERLINK("https://twitter.com/iglesiafede1","@iglesiafede1")</f>
        <v>@iglesiafede1</v>
      </c>
      <c r="C6817" s="9" t="s">
        <v>15339</v>
      </c>
      <c r="D6817" s="9" t="s">
        <v>14518</v>
      </c>
      <c r="E6817" s="10" t="str">
        <f>HYPERLINK("https://twitter.com/iglesiafede1/status/724089463798898688","724089463798898688")</f>
        <v>724089463798898688</v>
      </c>
      <c r="F6817" s="11" t="s">
        <v>48</v>
      </c>
      <c r="G6817" s="11">
        <v>19</v>
      </c>
      <c r="H6817" s="11">
        <v>50</v>
      </c>
      <c r="I6817" s="11">
        <v>68</v>
      </c>
      <c r="J6817" s="11">
        <v>0</v>
      </c>
      <c r="K6817" s="11" t="s">
        <v>21</v>
      </c>
      <c r="L6817" s="7">
        <v>42455.828541666662</v>
      </c>
      <c r="M6817" s="12" t="s">
        <v>12089</v>
      </c>
      <c r="N6817" s="12"/>
      <c r="O6817" s="10" t="str">
        <f>HYPERLINK("https://pbs.twimg.com/profile_images/716621162718044160/kJvjZ5Km_normal.jpg","View")</f>
        <v>View</v>
      </c>
      <c r="P6817" s="11"/>
    </row>
    <row r="6818" spans="1:16" ht="12.75" x14ac:dyDescent="0.35">
      <c r="A6818" s="7">
        <v>42484.407164351855</v>
      </c>
      <c r="B6818" s="8" t="str">
        <f>HYPERLINK("https://twitter.com/KritsadakornKa2","@KritsadakornKa2")</f>
        <v>@KritsadakornKa2</v>
      </c>
      <c r="C6818" s="9" t="s">
        <v>15336</v>
      </c>
      <c r="D6818" s="9" t="s">
        <v>15340</v>
      </c>
      <c r="E6818" s="10" t="str">
        <f>HYPERLINK("https://twitter.com/KritsadakornKa2/status/724089564445466624","724089564445466624")</f>
        <v>724089564445466624</v>
      </c>
      <c r="F6818" s="11" t="s">
        <v>20</v>
      </c>
      <c r="G6818" s="11">
        <v>62</v>
      </c>
      <c r="H6818" s="11">
        <v>88</v>
      </c>
      <c r="I6818" s="11">
        <v>1</v>
      </c>
      <c r="J6818" s="11">
        <v>0</v>
      </c>
      <c r="K6818" s="11" t="s">
        <v>21</v>
      </c>
      <c r="L6818" s="7">
        <v>42372.415520833332</v>
      </c>
      <c r="M6818" s="12" t="s">
        <v>517</v>
      </c>
      <c r="N6818" s="12" t="s">
        <v>15338</v>
      </c>
      <c r="O6818" s="10" t="str">
        <f>HYPERLINK("https://pbs.twimg.com/profile_images/683510819431288832/maAlyyTK_normal.jpg","View")</f>
        <v>View</v>
      </c>
      <c r="P6818" s="11"/>
    </row>
    <row r="6819" spans="1:16" ht="12.75" x14ac:dyDescent="0.35">
      <c r="A6819" s="7">
        <v>42484.41034722222</v>
      </c>
      <c r="B6819" s="8" t="str">
        <f>HYPERLINK("https://twitter.com/EVWestDotCom","@EVWestDotCom")</f>
        <v>@EVWestDotCom</v>
      </c>
      <c r="C6819" s="9" t="s">
        <v>15341</v>
      </c>
      <c r="D6819" s="9" t="s">
        <v>15342</v>
      </c>
      <c r="E6819" s="10" t="str">
        <f>HYPERLINK("https://twitter.com/EVWestDotCom/status/724090715534450688","724090715534450688")</f>
        <v>724090715534450688</v>
      </c>
      <c r="F6819" s="11" t="s">
        <v>53</v>
      </c>
      <c r="G6819" s="11">
        <v>624</v>
      </c>
      <c r="H6819" s="11">
        <v>542</v>
      </c>
      <c r="I6819" s="11">
        <v>0</v>
      </c>
      <c r="J6819" s="11">
        <v>0</v>
      </c>
      <c r="K6819" s="11" t="s">
        <v>21</v>
      </c>
      <c r="L6819" s="7">
        <v>40828.431712962964</v>
      </c>
      <c r="M6819" s="12" t="s">
        <v>15343</v>
      </c>
      <c r="N6819" s="12" t="s">
        <v>15344</v>
      </c>
      <c r="O6819" s="10" t="str">
        <f>HYPERLINK("https://pbs.twimg.com/profile_images/1584405366/EVW_shield_75x65_normal.png","View")</f>
        <v>View</v>
      </c>
      <c r="P6819" s="11"/>
    </row>
    <row r="6820" spans="1:16" ht="12.75" x14ac:dyDescent="0.35">
      <c r="A6820" s="7">
        <v>42484.413599537038</v>
      </c>
      <c r="B6820" s="8" t="str">
        <f>HYPERLINK("https://twitter.com/VolkswagenPost","@VolkswagenPost")</f>
        <v>@VolkswagenPost</v>
      </c>
      <c r="C6820" s="9" t="s">
        <v>321</v>
      </c>
      <c r="D6820" s="9" t="s">
        <v>15345</v>
      </c>
      <c r="E6820" s="10" t="str">
        <f>HYPERLINK("https://twitter.com/VolkswagenPost/status/724091896147009537","724091896147009537")</f>
        <v>724091896147009537</v>
      </c>
      <c r="F6820" s="11" t="s">
        <v>34</v>
      </c>
      <c r="G6820" s="11">
        <v>570</v>
      </c>
      <c r="H6820" s="11">
        <v>446</v>
      </c>
      <c r="I6820" s="11">
        <v>0</v>
      </c>
      <c r="J6820" s="11">
        <v>0</v>
      </c>
      <c r="K6820" s="11" t="s">
        <v>21</v>
      </c>
      <c r="L6820" s="7">
        <v>41940.618379629632</v>
      </c>
      <c r="M6820" s="12"/>
      <c r="N6820" s="12"/>
      <c r="O6820" s="10" t="str">
        <f>HYPERLINK("https://pbs.twimg.com/profile_images/530071272881803264/a_jcCmPZ_normal.png","View")</f>
        <v>View</v>
      </c>
      <c r="P6820" s="11"/>
    </row>
    <row r="6821" spans="1:16" ht="12.75" x14ac:dyDescent="0.35">
      <c r="A6821" s="7">
        <v>42484.414305555554</v>
      </c>
      <c r="B6821" s="8" t="str">
        <f>HYPERLINK("https://twitter.com/thecoffeebus","@thecoffeebus")</f>
        <v>@thecoffeebus</v>
      </c>
      <c r="C6821" s="9" t="s">
        <v>14829</v>
      </c>
      <c r="D6821" s="9" t="s">
        <v>15346</v>
      </c>
      <c r="E6821" s="10" t="str">
        <f>HYPERLINK("https://twitter.com/thecoffeebus/status/724092149227118592","724092149227118592")</f>
        <v>724092149227118592</v>
      </c>
      <c r="F6821" s="11" t="s">
        <v>20</v>
      </c>
      <c r="G6821" s="11">
        <v>123</v>
      </c>
      <c r="H6821" s="11">
        <v>227</v>
      </c>
      <c r="I6821" s="11">
        <v>0</v>
      </c>
      <c r="J6821" s="11">
        <v>0</v>
      </c>
      <c r="K6821" s="11" t="s">
        <v>21</v>
      </c>
      <c r="L6821" s="7">
        <v>41982.552256944444</v>
      </c>
      <c r="M6821" s="12" t="s">
        <v>274</v>
      </c>
      <c r="N6821" s="12" t="s">
        <v>14831</v>
      </c>
      <c r="O6821" s="10" t="str">
        <f>HYPERLINK("https://pbs.twimg.com/profile_images/561027762144542720/QH4eCkSR_normal.jpeg","View")</f>
        <v>View</v>
      </c>
      <c r="P6821" s="11"/>
    </row>
    <row r="6822" spans="1:16" ht="12.75" x14ac:dyDescent="0.35">
      <c r="A6822" s="7">
        <v>42484.416527777779</v>
      </c>
      <c r="B6822" s="8" t="str">
        <f>HYPERLINK("https://twitter.com/Scirocco_Tuning","@Scirocco_Tuning")</f>
        <v>@Scirocco_Tuning</v>
      </c>
      <c r="C6822" s="9" t="s">
        <v>51</v>
      </c>
      <c r="D6822" s="9" t="s">
        <v>15347</v>
      </c>
      <c r="E6822" s="10" t="str">
        <f>HYPERLINK("https://twitter.com/Scirocco_Tuning/status/724092955313713152","724092955313713152")</f>
        <v>724092955313713152</v>
      </c>
      <c r="F6822" s="11" t="s">
        <v>53</v>
      </c>
      <c r="G6822" s="11">
        <v>70</v>
      </c>
      <c r="H6822" s="11">
        <v>215</v>
      </c>
      <c r="I6822" s="11">
        <v>0</v>
      </c>
      <c r="J6822" s="11">
        <v>0</v>
      </c>
      <c r="K6822" s="11" t="s">
        <v>21</v>
      </c>
      <c r="L6822" s="7">
        <v>40844.564722222218</v>
      </c>
      <c r="M6822" s="12"/>
      <c r="N6822" s="12"/>
      <c r="O6822" s="10" t="str">
        <f>HYPERLINK("https://pbs.twimg.com/profile_images/1610421423/Image2_normal.jpg","View")</f>
        <v>View</v>
      </c>
      <c r="P6822" s="11"/>
    </row>
    <row r="6823" spans="1:16" ht="12.75" x14ac:dyDescent="0.35">
      <c r="A6823" s="7">
        <v>42484.416678240741</v>
      </c>
      <c r="B6823" s="8" t="str">
        <f>HYPERLINK("https://twitter.com/breedveldusa","@breedveldusa")</f>
        <v>@breedveldusa</v>
      </c>
      <c r="C6823" s="9" t="s">
        <v>12475</v>
      </c>
      <c r="D6823" s="9" t="s">
        <v>15348</v>
      </c>
      <c r="E6823" s="10" t="str">
        <f>HYPERLINK("https://twitter.com/breedveldusa/status/724093011504828416","724093011504828416")</f>
        <v>724093011504828416</v>
      </c>
      <c r="F6823" s="11" t="s">
        <v>43</v>
      </c>
      <c r="G6823" s="11">
        <v>833</v>
      </c>
      <c r="H6823" s="11">
        <v>3099</v>
      </c>
      <c r="I6823" s="11">
        <v>0</v>
      </c>
      <c r="J6823" s="11">
        <v>0</v>
      </c>
      <c r="K6823" s="11" t="s">
        <v>21</v>
      </c>
      <c r="L6823" s="7">
        <v>40924.058553240742</v>
      </c>
      <c r="M6823" s="12"/>
      <c r="N6823" s="12"/>
      <c r="O6823" s="10" t="str">
        <f>HYPERLINK("https://pbs.twimg.com/profile_images/674866085213130752/qAlZEGhV_normal.jpg","View")</f>
        <v>View</v>
      </c>
      <c r="P6823" s="11"/>
    </row>
    <row r="6824" spans="1:16" ht="12.75" x14ac:dyDescent="0.35">
      <c r="A6824" s="7">
        <v>42484.42050925926</v>
      </c>
      <c r="B6824" s="8" t="str">
        <f>HYPERLINK("https://twitter.com/Braulio_Urresti","@Braulio_Urresti")</f>
        <v>@Braulio_Urresti</v>
      </c>
      <c r="C6824" s="9" t="s">
        <v>7915</v>
      </c>
      <c r="D6824" s="9" t="s">
        <v>15349</v>
      </c>
      <c r="E6824" s="10" t="str">
        <f>HYPERLINK("https://twitter.com/Braulio_Urresti/status/724094397739065348","724094397739065348")</f>
        <v>724094397739065348</v>
      </c>
      <c r="F6824" s="11" t="s">
        <v>68</v>
      </c>
      <c r="G6824" s="11">
        <v>85</v>
      </c>
      <c r="H6824" s="11">
        <v>128</v>
      </c>
      <c r="I6824" s="11">
        <v>0</v>
      </c>
      <c r="J6824" s="11">
        <v>1</v>
      </c>
      <c r="K6824" s="11" t="s">
        <v>21</v>
      </c>
      <c r="L6824" s="7">
        <v>42474.937349537038</v>
      </c>
      <c r="M6824" s="12"/>
      <c r="N6824" s="12"/>
      <c r="O6824" s="10" t="str">
        <f>HYPERLINK("https://abs.twimg.com/sticky/default_profile_images/default_profile_5_normal.png","View")</f>
        <v>View</v>
      </c>
      <c r="P6824" s="11"/>
    </row>
    <row r="6825" spans="1:16" ht="12.75" x14ac:dyDescent="0.35">
      <c r="A6825" s="7">
        <v>42484.422361111108</v>
      </c>
      <c r="B6825" s="8" t="str">
        <f>HYPERLINK("https://twitter.com/VolkswagenPost","@VolkswagenPost")</f>
        <v>@VolkswagenPost</v>
      </c>
      <c r="C6825" s="9" t="s">
        <v>321</v>
      </c>
      <c r="D6825" s="9" t="s">
        <v>15350</v>
      </c>
      <c r="E6825" s="10" t="str">
        <f>HYPERLINK("https://twitter.com/VolkswagenPost/status/724095071306584065","724095071306584065")</f>
        <v>724095071306584065</v>
      </c>
      <c r="F6825" s="11" t="s">
        <v>288</v>
      </c>
      <c r="G6825" s="11">
        <v>570</v>
      </c>
      <c r="H6825" s="11">
        <v>446</v>
      </c>
      <c r="I6825" s="11">
        <v>1</v>
      </c>
      <c r="J6825" s="11">
        <v>0</v>
      </c>
      <c r="K6825" s="11" t="s">
        <v>21</v>
      </c>
      <c r="L6825" s="7">
        <v>41940.618379629632</v>
      </c>
      <c r="M6825" s="12"/>
      <c r="N6825" s="12"/>
      <c r="O6825" s="10" t="str">
        <f>HYPERLINK("https://pbs.twimg.com/profile_images/530071272881803264/a_jcCmPZ_normal.png","View")</f>
        <v>View</v>
      </c>
      <c r="P6825" s="11"/>
    </row>
    <row r="6826" spans="1:16" ht="12.75" x14ac:dyDescent="0.35">
      <c r="A6826" s="7">
        <v>42484.426365740743</v>
      </c>
      <c r="B6826" s="8" t="str">
        <f>HYPERLINK("https://twitter.com/VWBeetleSales","@VWBeetleSales")</f>
        <v>@VWBeetleSales</v>
      </c>
      <c r="C6826" s="9" t="s">
        <v>127</v>
      </c>
      <c r="D6826" s="9" t="s">
        <v>15351</v>
      </c>
      <c r="E6826" s="10" t="str">
        <f>HYPERLINK("https://twitter.com/VWBeetleSales/status/724096521369587712","724096521369587712")</f>
        <v>724096521369587712</v>
      </c>
      <c r="F6826" s="10" t="s">
        <v>124</v>
      </c>
      <c r="G6826" s="11">
        <v>37</v>
      </c>
      <c r="H6826" s="11">
        <v>32</v>
      </c>
      <c r="I6826" s="11">
        <v>0</v>
      </c>
      <c r="J6826" s="11">
        <v>0</v>
      </c>
      <c r="K6826" s="11" t="s">
        <v>21</v>
      </c>
      <c r="L6826" s="7">
        <v>42427.019756944443</v>
      </c>
      <c r="M6826" s="12" t="s">
        <v>129</v>
      </c>
      <c r="N6826" s="12" t="s">
        <v>130</v>
      </c>
      <c r="O6826" s="10" t="str">
        <f>HYPERLINK("https://pbs.twimg.com/profile_images/703294545195307008/qeCvrX86_normal.jpg","View")</f>
        <v>View</v>
      </c>
      <c r="P6826" s="11"/>
    </row>
    <row r="6827" spans="1:16" ht="12.75" x14ac:dyDescent="0.35">
      <c r="A6827" s="7">
        <v>42484.427731481483</v>
      </c>
      <c r="B6827" s="8" t="str">
        <f>HYPERLINK("https://twitter.com/Volkswagen4ever","@Volkswagen4ever")</f>
        <v>@Volkswagen4ever</v>
      </c>
      <c r="C6827" s="9" t="s">
        <v>15352</v>
      </c>
      <c r="D6827" s="9" t="s">
        <v>15353</v>
      </c>
      <c r="E6827" s="10" t="str">
        <f>HYPERLINK("https://twitter.com/Volkswagen4ever/status/724097018281484288","724097018281484288")</f>
        <v>724097018281484288</v>
      </c>
      <c r="F6827" s="11" t="s">
        <v>20</v>
      </c>
      <c r="G6827" s="11">
        <v>1664</v>
      </c>
      <c r="H6827" s="11">
        <v>538</v>
      </c>
      <c r="I6827" s="11">
        <v>1</v>
      </c>
      <c r="J6827" s="11">
        <v>0</v>
      </c>
      <c r="K6827" s="11" t="s">
        <v>21</v>
      </c>
      <c r="L6827" s="7">
        <v>41755.541342592594</v>
      </c>
      <c r="M6827" s="12" t="s">
        <v>35</v>
      </c>
      <c r="N6827" s="12" t="s">
        <v>15354</v>
      </c>
      <c r="O6827" s="10" t="str">
        <f>HYPERLINK("https://pbs.twimg.com/profile_images/470244235397312512/IoywoSWd_normal.jpeg","View")</f>
        <v>View</v>
      </c>
      <c r="P6827" s="11"/>
    </row>
    <row r="6828" spans="1:16" ht="12.75" x14ac:dyDescent="0.35">
      <c r="A6828" s="7">
        <v>42484.429664351846</v>
      </c>
      <c r="B6828" s="8" t="str">
        <f t="shared" ref="B6828:B6829" si="621">HYPERLINK("https://twitter.com/DubLuvTuning","@DubLuvTuning")</f>
        <v>@DubLuvTuning</v>
      </c>
      <c r="C6828" s="9" t="s">
        <v>299</v>
      </c>
      <c r="D6828" s="9" t="s">
        <v>15350</v>
      </c>
      <c r="E6828" s="10" t="str">
        <f>HYPERLINK("https://twitter.com/DubLuvTuning/status/724097718491205634","724097718491205634")</f>
        <v>724097718491205634</v>
      </c>
      <c r="F6828" s="11" t="s">
        <v>288</v>
      </c>
      <c r="G6828" s="11">
        <v>690</v>
      </c>
      <c r="H6828" s="11">
        <v>430</v>
      </c>
      <c r="I6828" s="11">
        <v>2</v>
      </c>
      <c r="J6828" s="11">
        <v>0</v>
      </c>
      <c r="K6828" s="11" t="s">
        <v>21</v>
      </c>
      <c r="L6828" s="7">
        <v>41549.898287037038</v>
      </c>
      <c r="M6828" s="12" t="s">
        <v>301</v>
      </c>
      <c r="N6828" s="12" t="s">
        <v>302</v>
      </c>
      <c r="O6828" s="10" t="str">
        <f t="shared" ref="O6828:O6829" si="622">HYPERLINK("https://pbs.twimg.com/profile_images/378800000572104796/1de43e1cf23efb3f4101c02afad0d3b6_normal.png","View")</f>
        <v>View</v>
      </c>
      <c r="P6828" s="11"/>
    </row>
    <row r="6829" spans="1:16" ht="12.75" x14ac:dyDescent="0.35">
      <c r="A6829" s="7">
        <v>42484.42967592593</v>
      </c>
      <c r="B6829" s="8" t="str">
        <f t="shared" si="621"/>
        <v>@DubLuvTuning</v>
      </c>
      <c r="C6829" s="9" t="s">
        <v>299</v>
      </c>
      <c r="D6829" s="9" t="s">
        <v>15355</v>
      </c>
      <c r="E6829" s="10" t="str">
        <f>HYPERLINK("https://twitter.com/DubLuvTuning/status/724097719283884032","724097719283884032")</f>
        <v>724097719283884032</v>
      </c>
      <c r="F6829" s="11" t="s">
        <v>288</v>
      </c>
      <c r="G6829" s="11">
        <v>690</v>
      </c>
      <c r="H6829" s="11">
        <v>430</v>
      </c>
      <c r="I6829" s="11">
        <v>1</v>
      </c>
      <c r="J6829" s="11">
        <v>0</v>
      </c>
      <c r="K6829" s="11" t="s">
        <v>21</v>
      </c>
      <c r="L6829" s="7">
        <v>41549.898287037038</v>
      </c>
      <c r="M6829" s="12" t="s">
        <v>301</v>
      </c>
      <c r="N6829" s="12" t="s">
        <v>302</v>
      </c>
      <c r="O6829" s="10" t="str">
        <f t="shared" si="622"/>
        <v>View</v>
      </c>
      <c r="P6829" s="11"/>
    </row>
    <row r="6830" spans="1:16" ht="12.75" x14ac:dyDescent="0.35">
      <c r="A6830" s="7">
        <v>42484.4300462963</v>
      </c>
      <c r="B6830" s="8" t="str">
        <f>HYPERLINK("https://twitter.com/capipaula182","@capipaula182")</f>
        <v>@capipaula182</v>
      </c>
      <c r="C6830" s="9" t="s">
        <v>12673</v>
      </c>
      <c r="D6830" s="9" t="s">
        <v>15356</v>
      </c>
      <c r="E6830" s="10" t="str">
        <f>HYPERLINK("https://twitter.com/capipaula182/status/724097856416657408","724097856416657408")</f>
        <v>724097856416657408</v>
      </c>
      <c r="F6830" s="11" t="s">
        <v>12675</v>
      </c>
      <c r="G6830" s="11">
        <v>2938</v>
      </c>
      <c r="H6830" s="11">
        <v>184</v>
      </c>
      <c r="I6830" s="11">
        <v>0</v>
      </c>
      <c r="J6830" s="11">
        <v>0</v>
      </c>
      <c r="K6830" s="11" t="s">
        <v>21</v>
      </c>
      <c r="L6830" s="7">
        <v>40951.886840277773</v>
      </c>
      <c r="M6830" s="12"/>
      <c r="N6830" s="12" t="s">
        <v>12676</v>
      </c>
      <c r="O6830" s="10" t="str">
        <f>HYPERLINK("https://pbs.twimg.com/profile_images/645241660574695424/KLJds9rL_normal.jpg","View")</f>
        <v>View</v>
      </c>
      <c r="P6830" s="11"/>
    </row>
    <row r="6831" spans="1:16" ht="12.75" x14ac:dyDescent="0.35">
      <c r="A6831" s="7">
        <v>42484.431076388893</v>
      </c>
      <c r="B6831" s="8" t="str">
        <f>HYPERLINK("https://twitter.com/Joakyla4","@Joakyla4")</f>
        <v>@Joakyla4</v>
      </c>
      <c r="C6831" s="9" t="s">
        <v>15357</v>
      </c>
      <c r="D6831" s="9" t="s">
        <v>15358</v>
      </c>
      <c r="E6831" s="10" t="str">
        <f>HYPERLINK("https://twitter.com/Joakyla4/status/724098230150111236","724098230150111236")</f>
        <v>724098230150111236</v>
      </c>
      <c r="F6831" s="11" t="s">
        <v>48</v>
      </c>
      <c r="G6831" s="11">
        <v>327</v>
      </c>
      <c r="H6831" s="11">
        <v>262</v>
      </c>
      <c r="I6831" s="11">
        <v>0</v>
      </c>
      <c r="J6831" s="11">
        <v>0</v>
      </c>
      <c r="K6831" s="11" t="s">
        <v>21</v>
      </c>
      <c r="L6831" s="7">
        <v>40911.959641203706</v>
      </c>
      <c r="M6831" s="12"/>
      <c r="N6831" s="12"/>
      <c r="O6831" s="10" t="str">
        <f>HYPERLINK("https://pbs.twimg.com/profile_images/688149856313933824/GRZ7k9BQ_normal.jpg","View")</f>
        <v>View</v>
      </c>
      <c r="P6831" s="11"/>
    </row>
    <row r="6832" spans="1:16" ht="12.75" x14ac:dyDescent="0.35">
      <c r="A6832" s="7">
        <v>42484.441400462965</v>
      </c>
      <c r="B6832" s="8" t="str">
        <f>HYPERLINK("https://twitter.com/andresito24301","@andresito24301")</f>
        <v>@andresito24301</v>
      </c>
      <c r="C6832" s="9" t="s">
        <v>15359</v>
      </c>
      <c r="D6832" s="9" t="s">
        <v>10440</v>
      </c>
      <c r="E6832" s="10" t="str">
        <f>HYPERLINK("https://twitter.com/andresito24301/status/724101971213463552","724101971213463552")</f>
        <v>724101971213463552</v>
      </c>
      <c r="F6832" s="11" t="s">
        <v>48</v>
      </c>
      <c r="G6832" s="11">
        <v>25</v>
      </c>
      <c r="H6832" s="11">
        <v>72</v>
      </c>
      <c r="I6832" s="11">
        <v>25</v>
      </c>
      <c r="J6832" s="11">
        <v>0</v>
      </c>
      <c r="K6832" s="11" t="s">
        <v>21</v>
      </c>
      <c r="L6832" s="7">
        <v>42438.004375000004</v>
      </c>
      <c r="M6832" s="12" t="s">
        <v>15360</v>
      </c>
      <c r="N6832" s="12" t="s">
        <v>15361</v>
      </c>
      <c r="O6832" s="10" t="str">
        <f>HYPERLINK("https://pbs.twimg.com/profile_images/707306482639966208/fV1YNOO0_normal.jpg","View")</f>
        <v>View</v>
      </c>
      <c r="P6832" s="11"/>
    </row>
    <row r="6833" spans="1:16" ht="12.75" x14ac:dyDescent="0.35">
      <c r="A6833" s="7">
        <v>42484.444212962961</v>
      </c>
      <c r="B6833" s="8" t="str">
        <f t="shared" ref="B6833:B6835" si="623">HYPERLINK("https://twitter.com/beetlebug1938","@beetlebug1938")</f>
        <v>@beetlebug1938</v>
      </c>
      <c r="C6833" s="9" t="s">
        <v>66</v>
      </c>
      <c r="D6833" s="9" t="s">
        <v>15362</v>
      </c>
      <c r="E6833" s="10" t="str">
        <f>HYPERLINK("https://twitter.com/beetlebug1938/status/724102990899077120","724102990899077120")</f>
        <v>724102990899077120</v>
      </c>
      <c r="F6833" s="11" t="s">
        <v>68</v>
      </c>
      <c r="G6833" s="11">
        <v>369</v>
      </c>
      <c r="H6833" s="11">
        <v>2226</v>
      </c>
      <c r="I6833" s="11">
        <v>0</v>
      </c>
      <c r="J6833" s="11">
        <v>0</v>
      </c>
      <c r="K6833" s="11" t="s">
        <v>21</v>
      </c>
      <c r="L6833" s="7">
        <v>42469.863865740743</v>
      </c>
      <c r="M6833" s="12" t="s">
        <v>69</v>
      </c>
      <c r="N6833" s="12"/>
      <c r="O6833" s="10" t="str">
        <f t="shared" ref="O6833:O6835" si="624">HYPERLINK("https://pbs.twimg.com/profile_images/718820712757215233/LXXndPTS_normal.jpg","View")</f>
        <v>View</v>
      </c>
      <c r="P6833" s="11"/>
    </row>
    <row r="6834" spans="1:16" ht="12.75" x14ac:dyDescent="0.35">
      <c r="A6834" s="7">
        <v>42484.444247685184</v>
      </c>
      <c r="B6834" s="8" t="str">
        <f t="shared" si="623"/>
        <v>@beetlebug1938</v>
      </c>
      <c r="C6834" s="9" t="s">
        <v>66</v>
      </c>
      <c r="D6834" s="9" t="s">
        <v>15363</v>
      </c>
      <c r="E6834" s="10" t="str">
        <f>HYPERLINK("https://twitter.com/beetlebug1938/status/724103002311798784","724103002311798784")</f>
        <v>724103002311798784</v>
      </c>
      <c r="F6834" s="11" t="s">
        <v>68</v>
      </c>
      <c r="G6834" s="11">
        <v>369</v>
      </c>
      <c r="H6834" s="11">
        <v>2226</v>
      </c>
      <c r="I6834" s="11">
        <v>0</v>
      </c>
      <c r="J6834" s="11">
        <v>0</v>
      </c>
      <c r="K6834" s="11" t="s">
        <v>21</v>
      </c>
      <c r="L6834" s="7">
        <v>42469.863865740743</v>
      </c>
      <c r="M6834" s="12" t="s">
        <v>69</v>
      </c>
      <c r="N6834" s="12"/>
      <c r="O6834" s="10" t="str">
        <f t="shared" si="624"/>
        <v>View</v>
      </c>
      <c r="P6834" s="11"/>
    </row>
    <row r="6835" spans="1:16" ht="12.75" x14ac:dyDescent="0.35">
      <c r="A6835" s="7">
        <v>42484.444328703699</v>
      </c>
      <c r="B6835" s="8" t="str">
        <f t="shared" si="623"/>
        <v>@beetlebug1938</v>
      </c>
      <c r="C6835" s="9" t="s">
        <v>66</v>
      </c>
      <c r="D6835" s="9" t="s">
        <v>15364</v>
      </c>
      <c r="E6835" s="10" t="str">
        <f>HYPERLINK("https://twitter.com/beetlebug1938/status/724103029910282241","724103029910282241")</f>
        <v>724103029910282241</v>
      </c>
      <c r="F6835" s="11" t="s">
        <v>68</v>
      </c>
      <c r="G6835" s="11">
        <v>369</v>
      </c>
      <c r="H6835" s="11">
        <v>2226</v>
      </c>
      <c r="I6835" s="11">
        <v>0</v>
      </c>
      <c r="J6835" s="11">
        <v>0</v>
      </c>
      <c r="K6835" s="11" t="s">
        <v>21</v>
      </c>
      <c r="L6835" s="7">
        <v>42469.863865740743</v>
      </c>
      <c r="M6835" s="12" t="s">
        <v>69</v>
      </c>
      <c r="N6835" s="12"/>
      <c r="O6835" s="10" t="str">
        <f t="shared" si="624"/>
        <v>View</v>
      </c>
      <c r="P6835" s="11"/>
    </row>
    <row r="6836" spans="1:16" ht="12.75" x14ac:dyDescent="0.35">
      <c r="A6836" s="7">
        <v>42484.447708333333</v>
      </c>
      <c r="B6836" s="8" t="str">
        <f t="shared" ref="B6836:B6838" si="625">HYPERLINK("https://twitter.com/TetsuoHojo","@TetsuoHojo")</f>
        <v>@TetsuoHojo</v>
      </c>
      <c r="C6836" s="9" t="s">
        <v>12380</v>
      </c>
      <c r="D6836" s="9" t="s">
        <v>15365</v>
      </c>
      <c r="E6836" s="10" t="str">
        <f>HYPERLINK("https://twitter.com/TetsuoHojo/status/724104255502573568","724104255502573568")</f>
        <v>724104255502573568</v>
      </c>
      <c r="F6836" s="11" t="s">
        <v>20</v>
      </c>
      <c r="G6836" s="11">
        <v>63</v>
      </c>
      <c r="H6836" s="11">
        <v>93</v>
      </c>
      <c r="I6836" s="11">
        <v>1</v>
      </c>
      <c r="J6836" s="11">
        <v>0</v>
      </c>
      <c r="K6836" s="11" t="s">
        <v>21</v>
      </c>
      <c r="L6836" s="7">
        <v>41147.258229166662</v>
      </c>
      <c r="M6836" s="12"/>
      <c r="N6836" s="12" t="s">
        <v>12382</v>
      </c>
      <c r="O6836" s="10" t="str">
        <f t="shared" ref="O6836:O6838" si="626">HYPERLINK("https://pbs.twimg.com/profile_images/2646835465/aa5823578b01b04b7e91d58e8ca88691_normal.jpeg","View")</f>
        <v>View</v>
      </c>
      <c r="P6836" s="11"/>
    </row>
    <row r="6837" spans="1:16" ht="12.75" x14ac:dyDescent="0.35">
      <c r="A6837" s="7">
        <v>42484.447789351849</v>
      </c>
      <c r="B6837" s="8" t="str">
        <f t="shared" si="625"/>
        <v>@TetsuoHojo</v>
      </c>
      <c r="C6837" s="9" t="s">
        <v>12380</v>
      </c>
      <c r="D6837" s="9" t="s">
        <v>15366</v>
      </c>
      <c r="E6837" s="10" t="str">
        <f>HYPERLINK("https://twitter.com/TetsuoHojo/status/724104284766236674","724104284766236674")</f>
        <v>724104284766236674</v>
      </c>
      <c r="F6837" s="11" t="s">
        <v>20</v>
      </c>
      <c r="G6837" s="11">
        <v>63</v>
      </c>
      <c r="H6837" s="11">
        <v>93</v>
      </c>
      <c r="I6837" s="11">
        <v>1</v>
      </c>
      <c r="J6837" s="11">
        <v>0</v>
      </c>
      <c r="K6837" s="11" t="s">
        <v>21</v>
      </c>
      <c r="L6837" s="7">
        <v>41147.258229166662</v>
      </c>
      <c r="M6837" s="12"/>
      <c r="N6837" s="12" t="s">
        <v>12382</v>
      </c>
      <c r="O6837" s="10" t="str">
        <f t="shared" si="626"/>
        <v>View</v>
      </c>
      <c r="P6837" s="11"/>
    </row>
    <row r="6838" spans="1:16" ht="12.75" x14ac:dyDescent="0.35">
      <c r="A6838" s="7">
        <v>42484.447870370372</v>
      </c>
      <c r="B6838" s="8" t="str">
        <f t="shared" si="625"/>
        <v>@TetsuoHojo</v>
      </c>
      <c r="C6838" s="9" t="s">
        <v>12380</v>
      </c>
      <c r="D6838" s="9" t="s">
        <v>15335</v>
      </c>
      <c r="E6838" s="10" t="str">
        <f>HYPERLINK("https://twitter.com/TetsuoHojo/status/724104312914202625","724104312914202625")</f>
        <v>724104312914202625</v>
      </c>
      <c r="F6838" s="11" t="s">
        <v>20</v>
      </c>
      <c r="G6838" s="11">
        <v>63</v>
      </c>
      <c r="H6838" s="11">
        <v>93</v>
      </c>
      <c r="I6838" s="11">
        <v>2</v>
      </c>
      <c r="J6838" s="11">
        <v>0</v>
      </c>
      <c r="K6838" s="11" t="s">
        <v>21</v>
      </c>
      <c r="L6838" s="7">
        <v>41147.258229166662</v>
      </c>
      <c r="M6838" s="12"/>
      <c r="N6838" s="12" t="s">
        <v>12382</v>
      </c>
      <c r="O6838" s="10" t="str">
        <f t="shared" si="626"/>
        <v>View</v>
      </c>
      <c r="P6838" s="11"/>
    </row>
    <row r="6839" spans="1:16" ht="12.75" x14ac:dyDescent="0.35">
      <c r="A6839" s="7">
        <v>42484.448912037042</v>
      </c>
      <c r="B6839" s="8" t="str">
        <f t="shared" ref="B6839:B6840" si="627">HYPERLINK("https://twitter.com/OnlineCarReview","@OnlineCarReview")</f>
        <v>@OnlineCarReview</v>
      </c>
      <c r="C6839" s="9" t="s">
        <v>176</v>
      </c>
      <c r="D6839" s="9" t="s">
        <v>15367</v>
      </c>
      <c r="E6839" s="10" t="str">
        <f>HYPERLINK("https://twitter.com/OnlineCarReview/status/724104692658139136","724104692658139136")</f>
        <v>724104692658139136</v>
      </c>
      <c r="F6839" s="11" t="s">
        <v>34</v>
      </c>
      <c r="G6839" s="11">
        <v>838</v>
      </c>
      <c r="H6839" s="11">
        <v>568</v>
      </c>
      <c r="I6839" s="11">
        <v>0</v>
      </c>
      <c r="J6839" s="11">
        <v>0</v>
      </c>
      <c r="K6839" s="11" t="s">
        <v>21</v>
      </c>
      <c r="L6839" s="7">
        <v>42282.979201388887</v>
      </c>
      <c r="M6839" s="12"/>
      <c r="N6839" s="12" t="s">
        <v>178</v>
      </c>
      <c r="O6839" s="10" t="str">
        <f t="shared" ref="O6839:O6840" si="628">HYPERLINK("https://pbs.twimg.com/profile_images/652871584131092480/QA_B6SBO_normal.jpg","View")</f>
        <v>View</v>
      </c>
      <c r="P6839" s="11"/>
    </row>
    <row r="6840" spans="1:16" ht="12.75" x14ac:dyDescent="0.35">
      <c r="A6840" s="7">
        <v>42484.448912037042</v>
      </c>
      <c r="B6840" s="8" t="str">
        <f t="shared" si="627"/>
        <v>@OnlineCarReview</v>
      </c>
      <c r="C6840" s="9" t="s">
        <v>176</v>
      </c>
      <c r="D6840" s="9" t="s">
        <v>15368</v>
      </c>
      <c r="E6840" s="10" t="str">
        <f>HYPERLINK("https://twitter.com/OnlineCarReview/status/724104693610213376","724104693610213376")</f>
        <v>724104693610213376</v>
      </c>
      <c r="F6840" s="11" t="s">
        <v>34</v>
      </c>
      <c r="G6840" s="11">
        <v>838</v>
      </c>
      <c r="H6840" s="11">
        <v>568</v>
      </c>
      <c r="I6840" s="11">
        <v>0</v>
      </c>
      <c r="J6840" s="11">
        <v>0</v>
      </c>
      <c r="K6840" s="11" t="s">
        <v>21</v>
      </c>
      <c r="L6840" s="7">
        <v>42282.979201388887</v>
      </c>
      <c r="M6840" s="12"/>
      <c r="N6840" s="12" t="s">
        <v>178</v>
      </c>
      <c r="O6840" s="10" t="str">
        <f t="shared" si="628"/>
        <v>View</v>
      </c>
      <c r="P6840" s="11"/>
    </row>
    <row r="6841" spans="1:16" ht="12.75" x14ac:dyDescent="0.35">
      <c r="A6841" s="7">
        <v>42484.449884259258</v>
      </c>
      <c r="B6841" s="8" t="str">
        <f>HYPERLINK("https://twitter.com/pinoywilson","@pinoywilson")</f>
        <v>@pinoywilson</v>
      </c>
      <c r="C6841" s="9" t="s">
        <v>15369</v>
      </c>
      <c r="D6841" s="9" t="s">
        <v>15370</v>
      </c>
      <c r="E6841" s="10" t="str">
        <f>HYPERLINK("https://twitter.com/pinoywilson/status/724105045428543488","724105045428543488")</f>
        <v>724105045428543488</v>
      </c>
      <c r="F6841" s="11" t="s">
        <v>43</v>
      </c>
      <c r="G6841" s="11">
        <v>4967</v>
      </c>
      <c r="H6841" s="11">
        <v>5043</v>
      </c>
      <c r="I6841" s="11">
        <v>0</v>
      </c>
      <c r="J6841" s="11">
        <v>0</v>
      </c>
      <c r="K6841" s="11" t="s">
        <v>21</v>
      </c>
      <c r="L6841" s="7">
        <v>41601.646412037036</v>
      </c>
      <c r="M6841" s="12" t="s">
        <v>1116</v>
      </c>
      <c r="N6841" s="12" t="s">
        <v>15371</v>
      </c>
      <c r="O6841" s="10" t="str">
        <f>HYPERLINK("https://pbs.twimg.com/profile_images/661520508022861824/10UCrn55_normal.jpg","View")</f>
        <v>View</v>
      </c>
      <c r="P6841" s="11"/>
    </row>
    <row r="6842" spans="1:16" ht="12.75" x14ac:dyDescent="0.35">
      <c r="A6842" s="7">
        <v>42484.454652777778</v>
      </c>
      <c r="B6842" s="8" t="str">
        <f>HYPERLINK("https://twitter.com/FacuRusso46vr","@FacuRusso46vr")</f>
        <v>@FacuRusso46vr</v>
      </c>
      <c r="C6842" s="9" t="s">
        <v>15372</v>
      </c>
      <c r="D6842" s="9" t="s">
        <v>15373</v>
      </c>
      <c r="E6842" s="10" t="str">
        <f>HYPERLINK("https://twitter.com/FacuRusso46vr/status/724106770994614272","724106770994614272")</f>
        <v>724106770994614272</v>
      </c>
      <c r="F6842" s="11" t="s">
        <v>48</v>
      </c>
      <c r="G6842" s="11">
        <v>5253</v>
      </c>
      <c r="H6842" s="11">
        <v>1869</v>
      </c>
      <c r="I6842" s="11">
        <v>20</v>
      </c>
      <c r="J6842" s="11">
        <v>0</v>
      </c>
      <c r="K6842" s="11" t="s">
        <v>21</v>
      </c>
      <c r="L6842" s="7">
        <v>41850.299675925926</v>
      </c>
      <c r="M6842" s="12" t="s">
        <v>15374</v>
      </c>
      <c r="N6842" s="12" t="s">
        <v>15375</v>
      </c>
      <c r="O6842" s="10" t="str">
        <f>HYPERLINK("https://pbs.twimg.com/profile_images/712783822279032832/E8Ejivyg_normal.jpg","View")</f>
        <v>View</v>
      </c>
      <c r="P6842" s="11"/>
    </row>
    <row r="6843" spans="1:16" ht="12.75" x14ac:dyDescent="0.35">
      <c r="A6843" s="7">
        <v>42484.45758101852</v>
      </c>
      <c r="B6843" s="8" t="str">
        <f>HYPERLINK("https://twitter.com/abd_haas","@abd_haas")</f>
        <v>@abd_haas</v>
      </c>
      <c r="C6843" s="9" t="s">
        <v>15376</v>
      </c>
      <c r="D6843" s="9" t="s">
        <v>15377</v>
      </c>
      <c r="E6843" s="10" t="str">
        <f>HYPERLINK("https://twitter.com/abd_haas/status/724107835274092544","724107835274092544")</f>
        <v>724107835274092544</v>
      </c>
      <c r="F6843" s="11" t="s">
        <v>20</v>
      </c>
      <c r="G6843" s="11">
        <v>3</v>
      </c>
      <c r="H6843" s="11">
        <v>21</v>
      </c>
      <c r="I6843" s="11">
        <v>0</v>
      </c>
      <c r="J6843" s="11">
        <v>0</v>
      </c>
      <c r="K6843" s="11" t="s">
        <v>21</v>
      </c>
      <c r="L6843" s="7">
        <v>41704.825775462959</v>
      </c>
      <c r="M6843" s="12" t="s">
        <v>15378</v>
      </c>
      <c r="N6843" s="12"/>
      <c r="O6843" s="10" t="str">
        <f>HYPERLINK("https://pbs.twimg.com/profile_images/638451782239264768/dKSDM3sD_normal.jpg","View")</f>
        <v>View</v>
      </c>
      <c r="P6843" s="11"/>
    </row>
    <row r="6844" spans="1:16" ht="12.75" x14ac:dyDescent="0.35">
      <c r="A6844" s="7">
        <v>42484.459097222221</v>
      </c>
      <c r="B6844" s="8" t="str">
        <f t="shared" ref="B6844:B6845" si="629">HYPERLINK("https://twitter.com/paintdodgers","@paintdodgers")</f>
        <v>@paintdodgers</v>
      </c>
      <c r="C6844" s="9" t="s">
        <v>15379</v>
      </c>
      <c r="D6844" s="9" t="s">
        <v>15380</v>
      </c>
      <c r="E6844" s="10" t="str">
        <f>HYPERLINK("https://twitter.com/paintdodgers/status/724108384052609025","724108384052609025")</f>
        <v>724108384052609025</v>
      </c>
      <c r="F6844" s="11" t="s">
        <v>48</v>
      </c>
      <c r="G6844" s="11">
        <v>2</v>
      </c>
      <c r="H6844" s="11">
        <v>45</v>
      </c>
      <c r="I6844" s="11">
        <v>0</v>
      </c>
      <c r="J6844" s="11">
        <v>0</v>
      </c>
      <c r="K6844" s="11" t="s">
        <v>21</v>
      </c>
      <c r="L6844" s="7">
        <v>42484.158726851849</v>
      </c>
      <c r="M6844" s="12" t="s">
        <v>15381</v>
      </c>
      <c r="N6844" s="12" t="s">
        <v>15382</v>
      </c>
      <c r="O6844" s="10" t="str">
        <f t="shared" ref="O6844:O6845" si="630">HYPERLINK("https://pbs.twimg.com/profile_images/724004022915633152/uwKdEOBn_normal.jpg","View")</f>
        <v>View</v>
      </c>
      <c r="P6844" s="11"/>
    </row>
    <row r="6845" spans="1:16" ht="12.75" x14ac:dyDescent="0.35">
      <c r="A6845" s="7">
        <v>42484.462037037039</v>
      </c>
      <c r="B6845" s="8" t="str">
        <f t="shared" si="629"/>
        <v>@paintdodgers</v>
      </c>
      <c r="C6845" s="9" t="s">
        <v>15379</v>
      </c>
      <c r="D6845" s="9" t="s">
        <v>14990</v>
      </c>
      <c r="E6845" s="10" t="str">
        <f>HYPERLINK("https://twitter.com/paintdodgers/status/724109449888149504","724109449888149504")</f>
        <v>724109449888149504</v>
      </c>
      <c r="F6845" s="11" t="s">
        <v>48</v>
      </c>
      <c r="G6845" s="11">
        <v>2</v>
      </c>
      <c r="H6845" s="11">
        <v>45</v>
      </c>
      <c r="I6845" s="11">
        <v>2</v>
      </c>
      <c r="J6845" s="11">
        <v>0</v>
      </c>
      <c r="K6845" s="11" t="s">
        <v>21</v>
      </c>
      <c r="L6845" s="7">
        <v>42484.158726851849</v>
      </c>
      <c r="M6845" s="12" t="s">
        <v>15381</v>
      </c>
      <c r="N6845" s="12" t="s">
        <v>15382</v>
      </c>
      <c r="O6845" s="10" t="str">
        <f t="shared" si="630"/>
        <v>View</v>
      </c>
      <c r="P6845" s="11"/>
    </row>
    <row r="6846" spans="1:16" ht="12.75" x14ac:dyDescent="0.35">
      <c r="A6846" s="7">
        <v>42484.462083333332</v>
      </c>
      <c r="B6846" s="8" t="str">
        <f>HYPERLINK("https://twitter.com/Scirocco_Tuning","@Scirocco_Tuning")</f>
        <v>@Scirocco_Tuning</v>
      </c>
      <c r="C6846" s="9" t="s">
        <v>51</v>
      </c>
      <c r="D6846" s="9" t="s">
        <v>15383</v>
      </c>
      <c r="E6846" s="10" t="str">
        <f>HYPERLINK("https://twitter.com/Scirocco_Tuning/status/724109463796518912","724109463796518912")</f>
        <v>724109463796518912</v>
      </c>
      <c r="F6846" s="11" t="s">
        <v>53</v>
      </c>
      <c r="G6846" s="11">
        <v>70</v>
      </c>
      <c r="H6846" s="11">
        <v>215</v>
      </c>
      <c r="I6846" s="11">
        <v>0</v>
      </c>
      <c r="J6846" s="11">
        <v>0</v>
      </c>
      <c r="K6846" s="11" t="s">
        <v>21</v>
      </c>
      <c r="L6846" s="7">
        <v>40844.564722222218</v>
      </c>
      <c r="M6846" s="12"/>
      <c r="N6846" s="12"/>
      <c r="O6846" s="10" t="str">
        <f>HYPERLINK("https://pbs.twimg.com/profile_images/1610421423/Image2_normal.jpg","View")</f>
        <v>View</v>
      </c>
      <c r="P6846" s="11"/>
    </row>
    <row r="6847" spans="1:16" ht="12.75" x14ac:dyDescent="0.35">
      <c r="A6847" s="7">
        <v>42484.470081018517</v>
      </c>
      <c r="B6847" s="8" t="str">
        <f>HYPERLINK("https://twitter.com/Kielia88","@Kielia88")</f>
        <v>@Kielia88</v>
      </c>
      <c r="C6847" s="9" t="s">
        <v>6699</v>
      </c>
      <c r="D6847" s="9" t="s">
        <v>15384</v>
      </c>
      <c r="E6847" s="10" t="str">
        <f>HYPERLINK("https://twitter.com/Kielia88/status/724112363834712064","724112363834712064")</f>
        <v>724112363834712064</v>
      </c>
      <c r="F6847" s="11" t="s">
        <v>43</v>
      </c>
      <c r="G6847" s="11">
        <v>945</v>
      </c>
      <c r="H6847" s="11">
        <v>1524</v>
      </c>
      <c r="I6847" s="11">
        <v>0</v>
      </c>
      <c r="J6847" s="11">
        <v>0</v>
      </c>
      <c r="K6847" s="11" t="s">
        <v>21</v>
      </c>
      <c r="L6847" s="7">
        <v>40815.769108796296</v>
      </c>
      <c r="M6847" s="12"/>
      <c r="N6847" s="12"/>
      <c r="O6847" s="10" t="str">
        <f>HYPERLINK("https://pbs.twimg.com/profile_images/604605659410235392/k92X94I5_normal.jpg","View")</f>
        <v>View</v>
      </c>
      <c r="P6847" s="11"/>
    </row>
    <row r="6848" spans="1:16" ht="12.75" x14ac:dyDescent="0.35">
      <c r="A6848" s="7">
        <v>42484.47457175926</v>
      </c>
      <c r="B6848" s="8" t="str">
        <f>HYPERLINK("https://twitter.com/DPocock1969","@DPocock1969")</f>
        <v>@DPocock1969</v>
      </c>
      <c r="C6848" s="9" t="s">
        <v>15385</v>
      </c>
      <c r="D6848" s="9" t="s">
        <v>15386</v>
      </c>
      <c r="E6848" s="10" t="str">
        <f>HYPERLINK("https://twitter.com/DPocock1969/status/724113989337264128","724113989337264128")</f>
        <v>724113989337264128</v>
      </c>
      <c r="F6848" s="11" t="s">
        <v>91</v>
      </c>
      <c r="G6848" s="11">
        <v>29</v>
      </c>
      <c r="H6848" s="11">
        <v>134</v>
      </c>
      <c r="I6848" s="11">
        <v>1</v>
      </c>
      <c r="J6848" s="11">
        <v>0</v>
      </c>
      <c r="K6848" s="11" t="s">
        <v>21</v>
      </c>
      <c r="L6848" s="7">
        <v>42127.464791666665</v>
      </c>
      <c r="M6848" s="12" t="s">
        <v>1129</v>
      </c>
      <c r="N6848" s="12" t="s">
        <v>15385</v>
      </c>
      <c r="O6848" s="10" t="str">
        <f>HYPERLINK("https://pbs.twimg.com/profile_images/722414837112926208/qDYpjKZY_normal.jpg","View")</f>
        <v>View</v>
      </c>
      <c r="P6848" s="11"/>
    </row>
    <row r="6849" spans="1:16" ht="12.75" x14ac:dyDescent="0.35">
      <c r="A6849" s="7">
        <v>42484.477002314816</v>
      </c>
      <c r="B6849" s="8" t="str">
        <f>HYPERLINK("https://twitter.com/weare_van","@weare_van")</f>
        <v>@weare_van</v>
      </c>
      <c r="C6849" s="9" t="s">
        <v>2104</v>
      </c>
      <c r="D6849" s="9" t="s">
        <v>15387</v>
      </c>
      <c r="E6849" s="10" t="str">
        <f>HYPERLINK("https://twitter.com/weare_van/status/724114873622401024","724114873622401024")</f>
        <v>724114873622401024</v>
      </c>
      <c r="F6849" s="11" t="s">
        <v>68</v>
      </c>
      <c r="G6849" s="11">
        <v>175</v>
      </c>
      <c r="H6849" s="11">
        <v>57</v>
      </c>
      <c r="I6849" s="11">
        <v>0</v>
      </c>
      <c r="J6849" s="11">
        <v>0</v>
      </c>
      <c r="K6849" s="11" t="s">
        <v>21</v>
      </c>
      <c r="L6849" s="7">
        <v>42429.136157407411</v>
      </c>
      <c r="M6849" s="12" t="s">
        <v>1397</v>
      </c>
      <c r="N6849" s="12" t="s">
        <v>2106</v>
      </c>
      <c r="O6849" s="10" t="str">
        <f>HYPERLINK("https://pbs.twimg.com/profile_images/707176643509538817/-s_VKgK4_normal.jpg","View")</f>
        <v>View</v>
      </c>
      <c r="P6849" s="11"/>
    </row>
    <row r="6850" spans="1:16" ht="12.75" x14ac:dyDescent="0.35">
      <c r="A6850" s="7">
        <v>42484.482662037037</v>
      </c>
      <c r="B6850" s="8" t="str">
        <f>HYPERLINK("https://twitter.com/TetsuoHojo","@TetsuoHojo")</f>
        <v>@TetsuoHojo</v>
      </c>
      <c r="C6850" s="9" t="s">
        <v>12380</v>
      </c>
      <c r="D6850" s="9" t="s">
        <v>15388</v>
      </c>
      <c r="E6850" s="10" t="str">
        <f>HYPERLINK("https://twitter.com/TetsuoHojo/status/724116922078371841","724116922078371841")</f>
        <v>724116922078371841</v>
      </c>
      <c r="F6850" s="11" t="s">
        <v>20</v>
      </c>
      <c r="G6850" s="11">
        <v>64</v>
      </c>
      <c r="H6850" s="11">
        <v>94</v>
      </c>
      <c r="I6850" s="11">
        <v>8</v>
      </c>
      <c r="J6850" s="11">
        <v>0</v>
      </c>
      <c r="K6850" s="11" t="s">
        <v>21</v>
      </c>
      <c r="L6850" s="7">
        <v>41147.258229166662</v>
      </c>
      <c r="M6850" s="12"/>
      <c r="N6850" s="12" t="s">
        <v>12382</v>
      </c>
      <c r="O6850" s="10" t="str">
        <f>HYPERLINK("https://pbs.twimg.com/profile_images/2646835465/aa5823578b01b04b7e91d58e8ca88691_normal.jpeg","View")</f>
        <v>View</v>
      </c>
      <c r="P6850" s="11"/>
    </row>
    <row r="6851" spans="1:16" ht="12.75" x14ac:dyDescent="0.35">
      <c r="A6851" s="7">
        <v>42484.483391203699</v>
      </c>
      <c r="B6851" s="8" t="str">
        <f t="shared" ref="B6851:B6852" si="631">HYPERLINK("https://twitter.com/FacuRusso46vr","@FacuRusso46vr")</f>
        <v>@FacuRusso46vr</v>
      </c>
      <c r="C6851" s="9" t="s">
        <v>15372</v>
      </c>
      <c r="D6851" s="9" t="s">
        <v>15389</v>
      </c>
      <c r="E6851" s="10" t="str">
        <f>HYPERLINK("https://twitter.com/FacuRusso46vr/status/724117186139283456","724117186139283456")</f>
        <v>724117186139283456</v>
      </c>
      <c r="F6851" s="11" t="s">
        <v>48</v>
      </c>
      <c r="G6851" s="11">
        <v>5252</v>
      </c>
      <c r="H6851" s="11">
        <v>1869</v>
      </c>
      <c r="I6851" s="11">
        <v>8</v>
      </c>
      <c r="J6851" s="11">
        <v>0</v>
      </c>
      <c r="K6851" s="11" t="s">
        <v>21</v>
      </c>
      <c r="L6851" s="7">
        <v>41850.299675925926</v>
      </c>
      <c r="M6851" s="12" t="s">
        <v>15374</v>
      </c>
      <c r="N6851" s="12" t="s">
        <v>15375</v>
      </c>
      <c r="O6851" s="10" t="str">
        <f t="shared" ref="O6851:O6852" si="632">HYPERLINK("https://pbs.twimg.com/profile_images/712783822279032832/E8Ejivyg_normal.jpg","View")</f>
        <v>View</v>
      </c>
      <c r="P6851" s="11"/>
    </row>
    <row r="6852" spans="1:16" ht="12.75" x14ac:dyDescent="0.35">
      <c r="A6852" s="7">
        <v>42484.483993055561</v>
      </c>
      <c r="B6852" s="8" t="str">
        <f t="shared" si="631"/>
        <v>@FacuRusso46vr</v>
      </c>
      <c r="C6852" s="9" t="s">
        <v>15372</v>
      </c>
      <c r="D6852" s="9" t="s">
        <v>15390</v>
      </c>
      <c r="E6852" s="10" t="str">
        <f>HYPERLINK("https://twitter.com/FacuRusso46vr/status/724117407187476480","724117407187476480")</f>
        <v>724117407187476480</v>
      </c>
      <c r="F6852" s="11" t="s">
        <v>48</v>
      </c>
      <c r="G6852" s="11">
        <v>5252</v>
      </c>
      <c r="H6852" s="11">
        <v>1869</v>
      </c>
      <c r="I6852" s="11">
        <v>12</v>
      </c>
      <c r="J6852" s="11">
        <v>0</v>
      </c>
      <c r="K6852" s="11" t="s">
        <v>21</v>
      </c>
      <c r="L6852" s="7">
        <v>41850.299675925926</v>
      </c>
      <c r="M6852" s="12" t="s">
        <v>15374</v>
      </c>
      <c r="N6852" s="12" t="s">
        <v>15375</v>
      </c>
      <c r="O6852" s="10" t="str">
        <f t="shared" si="632"/>
        <v>View</v>
      </c>
      <c r="P6852" s="11"/>
    </row>
    <row r="6853" spans="1:16" ht="12.75" x14ac:dyDescent="0.35">
      <c r="A6853" s="7">
        <v>42484.484421296293</v>
      </c>
      <c r="B6853" s="8" t="str">
        <f>HYPERLINK("https://twitter.com/micabesita","@micabesita")</f>
        <v>@micabesita</v>
      </c>
      <c r="C6853" s="9" t="s">
        <v>15391</v>
      </c>
      <c r="D6853" s="9" t="s">
        <v>15389</v>
      </c>
      <c r="E6853" s="10" t="str">
        <f>HYPERLINK("https://twitter.com/micabesita/status/724117560074096642","724117560074096642")</f>
        <v>724117560074096642</v>
      </c>
      <c r="F6853" s="11" t="s">
        <v>91</v>
      </c>
      <c r="G6853" s="11">
        <v>900</v>
      </c>
      <c r="H6853" s="11">
        <v>500</v>
      </c>
      <c r="I6853" s="11">
        <v>8</v>
      </c>
      <c r="J6853" s="11">
        <v>0</v>
      </c>
      <c r="K6853" s="11" t="s">
        <v>21</v>
      </c>
      <c r="L6853" s="7">
        <v>41955.101342592592</v>
      </c>
      <c r="M6853" s="12" t="s">
        <v>15392</v>
      </c>
      <c r="N6853" s="12" t="s">
        <v>15393</v>
      </c>
      <c r="O6853" s="10" t="str">
        <f>HYPERLINK("https://pbs.twimg.com/profile_images/721557347945066496/35TI-Y5q_normal.jpg","View")</f>
        <v>View</v>
      </c>
      <c r="P6853" s="11"/>
    </row>
    <row r="6854" spans="1:16" ht="12.75" x14ac:dyDescent="0.35">
      <c r="A6854" s="7">
        <v>42484.484467592592</v>
      </c>
      <c r="B6854" s="8" t="str">
        <f>HYPERLINK("https://twitter.com/VWBeetleSales","@VWBeetleSales")</f>
        <v>@VWBeetleSales</v>
      </c>
      <c r="C6854" s="9" t="s">
        <v>127</v>
      </c>
      <c r="D6854" s="9" t="s">
        <v>15394</v>
      </c>
      <c r="E6854" s="10" t="str">
        <f>HYPERLINK("https://twitter.com/VWBeetleSales/status/724117577455169538","724117577455169538")</f>
        <v>724117577455169538</v>
      </c>
      <c r="F6854" s="10" t="s">
        <v>124</v>
      </c>
      <c r="G6854" s="11">
        <v>37</v>
      </c>
      <c r="H6854" s="11">
        <v>32</v>
      </c>
      <c r="I6854" s="11">
        <v>0</v>
      </c>
      <c r="J6854" s="11">
        <v>0</v>
      </c>
      <c r="K6854" s="11" t="s">
        <v>21</v>
      </c>
      <c r="L6854" s="7">
        <v>42427.019756944443</v>
      </c>
      <c r="M6854" s="12" t="s">
        <v>129</v>
      </c>
      <c r="N6854" s="12" t="s">
        <v>130</v>
      </c>
      <c r="O6854" s="10" t="str">
        <f>HYPERLINK("https://pbs.twimg.com/profile_images/703294545195307008/qeCvrX86_normal.jpg","View")</f>
        <v>View</v>
      </c>
      <c r="P6854" s="11"/>
    </row>
    <row r="6855" spans="1:16" ht="12.75" x14ac:dyDescent="0.35">
      <c r="A6855" s="7">
        <v>42484.485694444447</v>
      </c>
      <c r="B6855" s="8" t="str">
        <f>HYPERLINK("https://twitter.com/beetlebug1938","@beetlebug1938")</f>
        <v>@beetlebug1938</v>
      </c>
      <c r="C6855" s="9" t="s">
        <v>66</v>
      </c>
      <c r="D6855" s="9" t="s">
        <v>15395</v>
      </c>
      <c r="E6855" s="10" t="str">
        <f>HYPERLINK("https://twitter.com/beetlebug1938/status/724118021200076800","724118021200076800")</f>
        <v>724118021200076800</v>
      </c>
      <c r="F6855" s="11" t="s">
        <v>68</v>
      </c>
      <c r="G6855" s="11">
        <v>371</v>
      </c>
      <c r="H6855" s="11">
        <v>2226</v>
      </c>
      <c r="I6855" s="11">
        <v>0</v>
      </c>
      <c r="J6855" s="11">
        <v>0</v>
      </c>
      <c r="K6855" s="11" t="s">
        <v>21</v>
      </c>
      <c r="L6855" s="7">
        <v>42469.863865740743</v>
      </c>
      <c r="M6855" s="12" t="s">
        <v>69</v>
      </c>
      <c r="N6855" s="12"/>
      <c r="O6855" s="10" t="str">
        <f>HYPERLINK("https://pbs.twimg.com/profile_images/718820712757215233/LXXndPTS_normal.jpg","View")</f>
        <v>View</v>
      </c>
      <c r="P6855" s="11"/>
    </row>
    <row r="6856" spans="1:16" ht="12.75" x14ac:dyDescent="0.35">
      <c r="A6856" s="7">
        <v>42484.487314814818</v>
      </c>
      <c r="B6856" s="8" t="str">
        <f>HYPERLINK("https://twitter.com/dubbusses","@dubbusses")</f>
        <v>@dubbusses</v>
      </c>
      <c r="C6856" s="9" t="s">
        <v>14338</v>
      </c>
      <c r="D6856" s="9" t="s">
        <v>15396</v>
      </c>
      <c r="E6856" s="10" t="str">
        <f>HYPERLINK("https://twitter.com/dubbusses/status/724118608901758976","724118608901758976")</f>
        <v>724118608901758976</v>
      </c>
      <c r="F6856" s="11" t="s">
        <v>68</v>
      </c>
      <c r="G6856" s="11">
        <v>422</v>
      </c>
      <c r="H6856" s="11">
        <v>2369</v>
      </c>
      <c r="I6856" s="11">
        <v>0</v>
      </c>
      <c r="J6856" s="11">
        <v>0</v>
      </c>
      <c r="K6856" s="11" t="s">
        <v>21</v>
      </c>
      <c r="L6856" s="7">
        <v>42469.905393518522</v>
      </c>
      <c r="M6856" s="12" t="s">
        <v>14340</v>
      </c>
      <c r="N6856" s="12"/>
      <c r="O6856" s="10" t="str">
        <f>HYPERLINK("https://pbs.twimg.com/profile_images/718835727027580928/1ssyQ67y_normal.jpg","View")</f>
        <v>View</v>
      </c>
      <c r="P6856" s="11"/>
    </row>
    <row r="6857" spans="1:16" ht="12.75" x14ac:dyDescent="0.35">
      <c r="A6857" s="7">
        <v>42484.489629629628</v>
      </c>
      <c r="B6857" s="8" t="str">
        <f>HYPERLINK("https://twitter.com/VWBeetleSales","@VWBeetleSales")</f>
        <v>@VWBeetleSales</v>
      </c>
      <c r="C6857" s="9" t="s">
        <v>127</v>
      </c>
      <c r="D6857" s="9" t="s">
        <v>15397</v>
      </c>
      <c r="E6857" s="10" t="str">
        <f>HYPERLINK("https://twitter.com/VWBeetleSales/status/724119446416019458","724119446416019458")</f>
        <v>724119446416019458</v>
      </c>
      <c r="F6857" s="10" t="s">
        <v>124</v>
      </c>
      <c r="G6857" s="11">
        <v>37</v>
      </c>
      <c r="H6857" s="11">
        <v>32</v>
      </c>
      <c r="I6857" s="11">
        <v>0</v>
      </c>
      <c r="J6857" s="11">
        <v>0</v>
      </c>
      <c r="K6857" s="11" t="s">
        <v>21</v>
      </c>
      <c r="L6857" s="7">
        <v>42427.019756944443</v>
      </c>
      <c r="M6857" s="12" t="s">
        <v>129</v>
      </c>
      <c r="N6857" s="12" t="s">
        <v>130</v>
      </c>
      <c r="O6857" s="10" t="str">
        <f>HYPERLINK("https://pbs.twimg.com/profile_images/703294545195307008/qeCvrX86_normal.jpg","View")</f>
        <v>View</v>
      </c>
      <c r="P6857" s="11"/>
    </row>
    <row r="6858" spans="1:16" ht="12.75" x14ac:dyDescent="0.35">
      <c r="A6858" s="7">
        <v>42484.491249999999</v>
      </c>
      <c r="B6858" s="8" t="str">
        <f>HYPERLINK("https://twitter.com/m_v_22","@m_v_22")</f>
        <v>@m_v_22</v>
      </c>
      <c r="C6858" s="9" t="s">
        <v>15398</v>
      </c>
      <c r="D6858" s="9" t="s">
        <v>15399</v>
      </c>
      <c r="E6858" s="10" t="str">
        <f>HYPERLINK("https://twitter.com/m_v_22/status/724120037083107328","724120037083107328")</f>
        <v>724120037083107328</v>
      </c>
      <c r="F6858" s="11" t="s">
        <v>48</v>
      </c>
      <c r="G6858" s="11">
        <v>513</v>
      </c>
      <c r="H6858" s="11">
        <v>1954</v>
      </c>
      <c r="I6858" s="11">
        <v>1</v>
      </c>
      <c r="J6858" s="11">
        <v>0</v>
      </c>
      <c r="K6858" s="11" t="s">
        <v>21</v>
      </c>
      <c r="L6858" s="7">
        <v>41230.844363425924</v>
      </c>
      <c r="M6858" s="12"/>
      <c r="N6858" s="12" t="s">
        <v>15400</v>
      </c>
      <c r="O6858" s="10" t="str">
        <f>HYPERLINK("https://pbs.twimg.com/profile_images/2860849215/c806820e608c6d14839e5721d065717f_normal.jpeg","View")</f>
        <v>View</v>
      </c>
      <c r="P6858" s="11"/>
    </row>
    <row r="6859" spans="1:16" ht="12.75" x14ac:dyDescent="0.35">
      <c r="A6859" s="7">
        <v>42484.492164351846</v>
      </c>
      <c r="B6859" s="8" t="str">
        <f>HYPERLINK("https://twitter.com/micabesita","@micabesita")</f>
        <v>@micabesita</v>
      </c>
      <c r="C6859" s="9" t="s">
        <v>15391</v>
      </c>
      <c r="D6859" s="9" t="s">
        <v>15390</v>
      </c>
      <c r="E6859" s="10" t="str">
        <f>HYPERLINK("https://twitter.com/micabesita/status/724120368408059904","724120368408059904")</f>
        <v>724120368408059904</v>
      </c>
      <c r="F6859" s="11" t="s">
        <v>91</v>
      </c>
      <c r="G6859" s="11">
        <v>900</v>
      </c>
      <c r="H6859" s="11">
        <v>500</v>
      </c>
      <c r="I6859" s="11">
        <v>13</v>
      </c>
      <c r="J6859" s="11">
        <v>0</v>
      </c>
      <c r="K6859" s="11" t="s">
        <v>21</v>
      </c>
      <c r="L6859" s="7">
        <v>41955.101342592592</v>
      </c>
      <c r="M6859" s="12" t="s">
        <v>15392</v>
      </c>
      <c r="N6859" s="12" t="s">
        <v>15393</v>
      </c>
      <c r="O6859" s="10" t="str">
        <f>HYPERLINK("https://pbs.twimg.com/profile_images/721557347945066496/35TI-Y5q_normal.jpg","View")</f>
        <v>View</v>
      </c>
      <c r="P6859" s="11"/>
    </row>
    <row r="6860" spans="1:16" ht="12.75" x14ac:dyDescent="0.35">
      <c r="A6860" s="7">
        <v>42484.492650462962</v>
      </c>
      <c r="B6860" s="8" t="str">
        <f>HYPERLINK("https://twitter.com/OnlineCarReview","@OnlineCarReview")</f>
        <v>@OnlineCarReview</v>
      </c>
      <c r="C6860" s="9" t="s">
        <v>176</v>
      </c>
      <c r="D6860" s="9" t="s">
        <v>15401</v>
      </c>
      <c r="E6860" s="10" t="str">
        <f>HYPERLINK("https://twitter.com/OnlineCarReview/status/724120540819005440","724120540819005440")</f>
        <v>724120540819005440</v>
      </c>
      <c r="F6860" s="11" t="s">
        <v>34</v>
      </c>
      <c r="G6860" s="11">
        <v>838</v>
      </c>
      <c r="H6860" s="11">
        <v>568</v>
      </c>
      <c r="I6860" s="11">
        <v>0</v>
      </c>
      <c r="J6860" s="11">
        <v>0</v>
      </c>
      <c r="K6860" s="11" t="s">
        <v>21</v>
      </c>
      <c r="L6860" s="7">
        <v>42282.979201388887</v>
      </c>
      <c r="M6860" s="12"/>
      <c r="N6860" s="12" t="s">
        <v>178</v>
      </c>
      <c r="O6860" s="10" t="str">
        <f>HYPERLINK("https://pbs.twimg.com/profile_images/652871584131092480/QA_B6SBO_normal.jpg","View")</f>
        <v>View</v>
      </c>
      <c r="P6860" s="11"/>
    </row>
    <row r="6861" spans="1:16" ht="12.75" x14ac:dyDescent="0.35">
      <c r="A6861" s="7">
        <v>42484.493564814809</v>
      </c>
      <c r="B6861" s="8" t="str">
        <f>HYPERLINK("https://twitter.com/Mphilpot1","@Mphilpot1")</f>
        <v>@Mphilpot1</v>
      </c>
      <c r="C6861" s="9" t="s">
        <v>1280</v>
      </c>
      <c r="D6861" s="9" t="s">
        <v>15402</v>
      </c>
      <c r="E6861" s="10" t="str">
        <f>HYPERLINK("https://twitter.com/Mphilpot1/status/724120875356680192","724120875356680192")</f>
        <v>724120875356680192</v>
      </c>
      <c r="F6861" s="11" t="s">
        <v>34</v>
      </c>
      <c r="G6861" s="11">
        <v>115</v>
      </c>
      <c r="H6861" s="11">
        <v>141</v>
      </c>
      <c r="I6861" s="11">
        <v>0</v>
      </c>
      <c r="J6861" s="11">
        <v>0</v>
      </c>
      <c r="K6861" s="11" t="s">
        <v>21</v>
      </c>
      <c r="L6861" s="7">
        <v>41137.855208333334</v>
      </c>
      <c r="M6861" s="12"/>
      <c r="N6861" s="12"/>
      <c r="O6861" s="10" t="str">
        <f>HYPERLINK("https://pbs.twimg.com/profile_images/422164778639839234/LVnS1q1c_normal.jpeg","View")</f>
        <v>View</v>
      </c>
      <c r="P6861" s="11"/>
    </row>
    <row r="6862" spans="1:16" ht="12.75" x14ac:dyDescent="0.35">
      <c r="A6862" s="7">
        <v>42484.495104166665</v>
      </c>
      <c r="B6862" s="8" t="str">
        <f>HYPERLINK("https://twitter.com/Fabiola_LagosM","@Fabiola_LagosM")</f>
        <v>@Fabiola_LagosM</v>
      </c>
      <c r="C6862" s="9" t="s">
        <v>15403</v>
      </c>
      <c r="D6862" s="9" t="s">
        <v>15404</v>
      </c>
      <c r="E6862" s="10" t="str">
        <f>HYPERLINK("https://twitter.com/Fabiola_LagosM/status/724121431701917696","724121431701917696")</f>
        <v>724121431701917696</v>
      </c>
      <c r="F6862" s="11" t="s">
        <v>68</v>
      </c>
      <c r="G6862" s="11">
        <v>99</v>
      </c>
      <c r="H6862" s="11">
        <v>154</v>
      </c>
      <c r="I6862" s="11">
        <v>0</v>
      </c>
      <c r="J6862" s="11">
        <v>0</v>
      </c>
      <c r="K6862" s="11" t="s">
        <v>21</v>
      </c>
      <c r="L6862" s="7">
        <v>42473.069143518514</v>
      </c>
      <c r="M6862" s="12"/>
      <c r="N6862" s="12"/>
      <c r="O6862" s="10" t="str">
        <f>HYPERLINK("https://abs.twimg.com/sticky/default_profile_images/default_profile_5_normal.png","View")</f>
        <v>View</v>
      </c>
      <c r="P6862" s="11"/>
    </row>
    <row r="6863" spans="1:16" ht="12.75" x14ac:dyDescent="0.35">
      <c r="A6863" s="7">
        <v>42484.495324074072</v>
      </c>
      <c r="B6863" s="8" t="str">
        <f>HYPERLINK("https://twitter.com/RobsterRound","@RobsterRound")</f>
        <v>@RobsterRound</v>
      </c>
      <c r="C6863" s="9" t="s">
        <v>1816</v>
      </c>
      <c r="D6863" s="9" t="s">
        <v>15405</v>
      </c>
      <c r="E6863" s="10" t="str">
        <f>HYPERLINK("https://twitter.com/RobsterRound/status/724121512211521536","724121512211521536")</f>
        <v>724121512211521536</v>
      </c>
      <c r="F6863" s="11" t="s">
        <v>114</v>
      </c>
      <c r="G6863" s="11">
        <v>1603</v>
      </c>
      <c r="H6863" s="11">
        <v>661</v>
      </c>
      <c r="I6863" s="11">
        <v>0</v>
      </c>
      <c r="J6863" s="11">
        <v>0</v>
      </c>
      <c r="K6863" s="11" t="s">
        <v>21</v>
      </c>
      <c r="L6863" s="7">
        <v>41158.840648148151</v>
      </c>
      <c r="M6863" s="12" t="s">
        <v>1818</v>
      </c>
      <c r="N6863" s="12" t="s">
        <v>1819</v>
      </c>
      <c r="O6863" s="10" t="str">
        <f>HYPERLINK("https://pbs.twimg.com/profile_images/719093309738770432/-ot7iGIC_normal.jpg","View")</f>
        <v>View</v>
      </c>
      <c r="P6863" s="11"/>
    </row>
    <row r="6864" spans="1:16" ht="12.75" x14ac:dyDescent="0.35">
      <c r="A6864" s="7">
        <v>42484.495405092588</v>
      </c>
      <c r="B6864" s="8" t="str">
        <f>HYPERLINK("https://twitter.com/Maxipichichi","@Maxipichichi")</f>
        <v>@Maxipichichi</v>
      </c>
      <c r="C6864" s="9" t="s">
        <v>15406</v>
      </c>
      <c r="D6864" s="9" t="s">
        <v>15197</v>
      </c>
      <c r="E6864" s="10" t="str">
        <f>HYPERLINK("https://twitter.com/Maxipichichi/status/724121540619583488","724121540619583488")</f>
        <v>724121540619583488</v>
      </c>
      <c r="F6864" s="11" t="s">
        <v>48</v>
      </c>
      <c r="G6864" s="11">
        <v>86</v>
      </c>
      <c r="H6864" s="11">
        <v>39</v>
      </c>
      <c r="I6864" s="11">
        <v>13</v>
      </c>
      <c r="J6864" s="11">
        <v>0</v>
      </c>
      <c r="K6864" s="11" t="s">
        <v>21</v>
      </c>
      <c r="L6864" s="7">
        <v>42332.502511574072</v>
      </c>
      <c r="M6864" s="12" t="s">
        <v>49</v>
      </c>
      <c r="N6864" s="12" t="s">
        <v>15407</v>
      </c>
      <c r="O6864" s="10" t="str">
        <f>HYPERLINK("https://pbs.twimg.com/profile_images/716138130122874880/nUx_DuOm_normal.jpg","View")</f>
        <v>View</v>
      </c>
      <c r="P6864" s="11"/>
    </row>
    <row r="6865" spans="1:16" ht="12.75" x14ac:dyDescent="0.35">
      <c r="A6865" s="7">
        <v>42484.496979166666</v>
      </c>
      <c r="B6865" s="8" t="str">
        <f>HYPERLINK("https://twitter.com/Braian_9107","@Braian_9107")</f>
        <v>@Braian_9107</v>
      </c>
      <c r="C6865" s="9" t="s">
        <v>12431</v>
      </c>
      <c r="D6865" s="9" t="s">
        <v>15326</v>
      </c>
      <c r="E6865" s="10" t="str">
        <f>HYPERLINK("https://twitter.com/Braian_9107/status/724122112903024640","724122112903024640")</f>
        <v>724122112903024640</v>
      </c>
      <c r="F6865" s="11" t="s">
        <v>48</v>
      </c>
      <c r="G6865" s="11">
        <v>63</v>
      </c>
      <c r="H6865" s="11">
        <v>99</v>
      </c>
      <c r="I6865" s="11">
        <v>3</v>
      </c>
      <c r="J6865" s="11">
        <v>0</v>
      </c>
      <c r="K6865" s="11" t="s">
        <v>21</v>
      </c>
      <c r="L6865" s="7">
        <v>42181.254803240736</v>
      </c>
      <c r="M6865" s="12"/>
      <c r="N6865" s="12"/>
      <c r="O6865" s="10" t="str">
        <f>HYPERLINK("https://pbs.twimg.com/profile_images/664288528667418624/Mx05DUhU_normal.jpg","View")</f>
        <v>View</v>
      </c>
      <c r="P6865" s="11"/>
    </row>
    <row r="6866" spans="1:16" ht="12.75" x14ac:dyDescent="0.35">
      <c r="A6866" s="7">
        <v>42484.497025462959</v>
      </c>
      <c r="B6866" s="8" t="str">
        <f>HYPERLINK("https://twitter.com/Duambyth","@Duambyth")</f>
        <v>@Duambyth</v>
      </c>
      <c r="C6866" s="9" t="s">
        <v>46</v>
      </c>
      <c r="D6866" s="9" t="s">
        <v>15197</v>
      </c>
      <c r="E6866" s="10" t="str">
        <f>HYPERLINK("https://twitter.com/Duambyth/status/724122129290149888","724122129290149888")</f>
        <v>724122129290149888</v>
      </c>
      <c r="F6866" s="11" t="s">
        <v>48</v>
      </c>
      <c r="G6866" s="11">
        <v>370</v>
      </c>
      <c r="H6866" s="11">
        <v>342</v>
      </c>
      <c r="I6866" s="11">
        <v>13</v>
      </c>
      <c r="J6866" s="11">
        <v>0</v>
      </c>
      <c r="K6866" s="11" t="s">
        <v>21</v>
      </c>
      <c r="L6866" s="7">
        <v>41758.224062499998</v>
      </c>
      <c r="M6866" s="12" t="s">
        <v>49</v>
      </c>
      <c r="N6866" s="12" t="s">
        <v>50</v>
      </c>
      <c r="O6866" s="10" t="str">
        <f>HYPERLINK("https://pbs.twimg.com/profile_images/714558560936529920/fOUFpJYx_normal.jpg","View")</f>
        <v>View</v>
      </c>
      <c r="P6866" s="11"/>
    </row>
    <row r="6867" spans="1:16" ht="12.75" x14ac:dyDescent="0.35">
      <c r="A6867" s="7">
        <v>42484.500173611115</v>
      </c>
      <c r="B6867" s="8" t="str">
        <f>HYPERLINK("https://twitter.com/PheonixJane","@PheonixJane")</f>
        <v>@PheonixJane</v>
      </c>
      <c r="C6867" s="9" t="s">
        <v>13644</v>
      </c>
      <c r="D6867" s="9" t="s">
        <v>15408</v>
      </c>
      <c r="E6867" s="10" t="str">
        <f>HYPERLINK("https://twitter.com/PheonixJane/status/724123268156915712","724123268156915712")</f>
        <v>724123268156915712</v>
      </c>
      <c r="F6867" s="11" t="s">
        <v>48</v>
      </c>
      <c r="G6867" s="11">
        <v>197</v>
      </c>
      <c r="H6867" s="11">
        <v>230</v>
      </c>
      <c r="I6867" s="11">
        <v>0</v>
      </c>
      <c r="J6867" s="11">
        <v>0</v>
      </c>
      <c r="K6867" s="11" t="s">
        <v>21</v>
      </c>
      <c r="L6867" s="7">
        <v>41601.53396990741</v>
      </c>
      <c r="M6867" s="12" t="s">
        <v>13646</v>
      </c>
      <c r="N6867" s="12" t="s">
        <v>13647</v>
      </c>
      <c r="O6867" s="10" t="str">
        <f>HYPERLINK("https://pbs.twimg.com/profile_images/674456186159276032/s6_5pnsh_normal.jpg","View")</f>
        <v>View</v>
      </c>
      <c r="P6867" s="11"/>
    </row>
    <row r="6868" spans="1:16" ht="12.75" x14ac:dyDescent="0.35">
      <c r="A6868" s="7">
        <v>42484.500324074077</v>
      </c>
      <c r="B6868" s="8" t="str">
        <f>HYPERLINK("https://twitter.com/VWHeritage","@VWHeritage")</f>
        <v>@VWHeritage</v>
      </c>
      <c r="C6868" s="9" t="s">
        <v>1402</v>
      </c>
      <c r="D6868" s="9" t="s">
        <v>15409</v>
      </c>
      <c r="E6868" s="10" t="str">
        <f>HYPERLINK("https://twitter.com/VWHeritage/status/724123322691248128","724123322691248128")</f>
        <v>724123322691248128</v>
      </c>
      <c r="F6868" s="11" t="s">
        <v>152</v>
      </c>
      <c r="G6868" s="11">
        <v>9236</v>
      </c>
      <c r="H6868" s="11">
        <v>1358</v>
      </c>
      <c r="I6868" s="11">
        <v>0</v>
      </c>
      <c r="J6868" s="11">
        <v>0</v>
      </c>
      <c r="K6868" s="11" t="s">
        <v>21</v>
      </c>
      <c r="L6868" s="7">
        <v>40193.185613425929</v>
      </c>
      <c r="M6868" s="12" t="s">
        <v>1338</v>
      </c>
      <c r="N6868" s="12" t="s">
        <v>1404</v>
      </c>
      <c r="O6868" s="10" t="str">
        <f>HYPERLINK("https://pbs.twimg.com/profile_images/709359494128599041/-2u0_Nqv_normal.jpg","View")</f>
        <v>View</v>
      </c>
      <c r="P6868" s="11"/>
    </row>
    <row r="6869" spans="1:16" ht="12.75" x14ac:dyDescent="0.35">
      <c r="A6869" s="7">
        <v>42484.501574074078</v>
      </c>
      <c r="B6869" s="8" t="str">
        <f>HYPERLINK("https://twitter.com/hashtagvanlife","@hashtagvanlife")</f>
        <v>@hashtagvanlife</v>
      </c>
      <c r="C6869" s="9" t="s">
        <v>187</v>
      </c>
      <c r="D6869" s="9" t="s">
        <v>15410</v>
      </c>
      <c r="E6869" s="10" t="str">
        <f>HYPERLINK("https://twitter.com/hashtagvanlife/status/724123775005024256","724123775005024256")</f>
        <v>724123775005024256</v>
      </c>
      <c r="F6869" s="11" t="s">
        <v>189</v>
      </c>
      <c r="G6869" s="11">
        <v>1029</v>
      </c>
      <c r="H6869" s="11">
        <v>29</v>
      </c>
      <c r="I6869" s="11">
        <v>1</v>
      </c>
      <c r="J6869" s="11">
        <v>0</v>
      </c>
      <c r="K6869" s="11" t="s">
        <v>21</v>
      </c>
      <c r="L6869" s="7">
        <v>42289.994583333333</v>
      </c>
      <c r="M6869" s="12"/>
      <c r="N6869" s="12" t="s">
        <v>190</v>
      </c>
      <c r="O6869" s="10" t="str">
        <f>HYPERLINK("https://pbs.twimg.com/profile_images/653637535545995264/gHuXQ5Bt_normal.jpg","View")</f>
        <v>View</v>
      </c>
      <c r="P6869" s="11"/>
    </row>
    <row r="6870" spans="1:16" ht="12.75" x14ac:dyDescent="0.35">
      <c r="A6870" s="7">
        <v>42484.505555555559</v>
      </c>
      <c r="B6870" s="8" t="str">
        <f>HYPERLINK("https://twitter.com/johnwhalvin","@johnwhalvin")</f>
        <v>@johnwhalvin</v>
      </c>
      <c r="C6870" s="9" t="s">
        <v>15411</v>
      </c>
      <c r="D6870" s="9" t="s">
        <v>15412</v>
      </c>
      <c r="E6870" s="10" t="str">
        <f>HYPERLINK("https://twitter.com/johnwhalvin/status/724125219225526272","724125219225526272")</f>
        <v>724125219225526272</v>
      </c>
      <c r="F6870" s="11" t="s">
        <v>20</v>
      </c>
      <c r="G6870" s="11">
        <v>347</v>
      </c>
      <c r="H6870" s="11">
        <v>310</v>
      </c>
      <c r="I6870" s="11">
        <v>0</v>
      </c>
      <c r="J6870" s="11">
        <v>0</v>
      </c>
      <c r="K6870" s="11" t="s">
        <v>21</v>
      </c>
      <c r="L6870" s="7">
        <v>40023.079317129632</v>
      </c>
      <c r="M6870" s="12" t="s">
        <v>15413</v>
      </c>
      <c r="N6870" s="12" t="s">
        <v>15414</v>
      </c>
      <c r="O6870" s="10" t="str">
        <f>HYPERLINK("https://pbs.twimg.com/profile_images/691267260758020096/6YkrhJsd_normal.jpg","View")</f>
        <v>View</v>
      </c>
      <c r="P6870" s="11"/>
    </row>
    <row r="6871" spans="1:16" ht="12.75" x14ac:dyDescent="0.35">
      <c r="A6871" s="7">
        <v>42484.508344907408</v>
      </c>
      <c r="B6871" s="8" t="str">
        <f>HYPERLINK("https://twitter.com/Low_Performer","@Low_Performer")</f>
        <v>@Low_Performer</v>
      </c>
      <c r="C6871" s="9" t="s">
        <v>15415</v>
      </c>
      <c r="D6871" s="9" t="s">
        <v>15416</v>
      </c>
      <c r="E6871" s="10" t="str">
        <f>HYPERLINK("https://twitter.com/Low_Performer/status/724126231860535296","724126231860535296")</f>
        <v>724126231860535296</v>
      </c>
      <c r="F6871" s="11" t="s">
        <v>48</v>
      </c>
      <c r="G6871" s="11">
        <v>275</v>
      </c>
      <c r="H6871" s="11">
        <v>285</v>
      </c>
      <c r="I6871" s="11">
        <v>0</v>
      </c>
      <c r="J6871" s="11">
        <v>0</v>
      </c>
      <c r="K6871" s="11" t="s">
        <v>21</v>
      </c>
      <c r="L6871" s="7">
        <v>41993.830613425926</v>
      </c>
      <c r="M6871" s="12"/>
      <c r="N6871" s="12" t="s">
        <v>15417</v>
      </c>
      <c r="O6871" s="10" t="str">
        <f>HYPERLINK("https://pbs.twimg.com/profile_images/682854166298013696/1apuSJ1I_normal.jpg","View")</f>
        <v>View</v>
      </c>
      <c r="P6871" s="11"/>
    </row>
    <row r="6872" spans="1:16" ht="12.75" x14ac:dyDescent="0.35">
      <c r="A6872" s="7">
        <v>42484.513032407413</v>
      </c>
      <c r="B6872" s="8" t="str">
        <f>HYPERLINK("https://twitter.com/er__in","@er__in")</f>
        <v>@er__in</v>
      </c>
      <c r="C6872" s="9" t="s">
        <v>15418</v>
      </c>
      <c r="D6872" s="9" t="s">
        <v>15419</v>
      </c>
      <c r="E6872" s="10" t="str">
        <f>HYPERLINK("https://twitter.com/er__in/status/724127927667806213","724127927667806213")</f>
        <v>724127927667806213</v>
      </c>
      <c r="F6872" s="11" t="s">
        <v>48</v>
      </c>
      <c r="G6872" s="11">
        <v>55</v>
      </c>
      <c r="H6872" s="11">
        <v>77</v>
      </c>
      <c r="I6872" s="11">
        <v>0</v>
      </c>
      <c r="J6872" s="11">
        <v>0</v>
      </c>
      <c r="K6872" s="11" t="s">
        <v>21</v>
      </c>
      <c r="L6872" s="7">
        <v>39793.012129629627</v>
      </c>
      <c r="M6872" s="12" t="s">
        <v>3270</v>
      </c>
      <c r="N6872" s="12" t="s">
        <v>15420</v>
      </c>
      <c r="O6872" s="10" t="str">
        <f>HYPERLINK("https://pbs.twimg.com/profile_images/723593582448246784/jGSJCamQ_normal.jpg","View")</f>
        <v>View</v>
      </c>
      <c r="P6872" s="11"/>
    </row>
    <row r="6873" spans="1:16" ht="12.75" x14ac:dyDescent="0.35">
      <c r="A6873" s="7">
        <v>42484.513668981483</v>
      </c>
      <c r="B6873" s="8" t="str">
        <f>HYPERLINK("https://twitter.com/VWCamperSales","@VWCamperSales")</f>
        <v>@VWCamperSales</v>
      </c>
      <c r="C6873" s="9" t="s">
        <v>216</v>
      </c>
      <c r="D6873" s="9" t="s">
        <v>15421</v>
      </c>
      <c r="E6873" s="10" t="str">
        <f>HYPERLINK("https://twitter.com/VWCamperSales/status/724128159491231744","724128159491231744")</f>
        <v>724128159491231744</v>
      </c>
      <c r="F6873" s="10" t="s">
        <v>124</v>
      </c>
      <c r="G6873" s="11">
        <v>622</v>
      </c>
      <c r="H6873" s="11">
        <v>580</v>
      </c>
      <c r="I6873" s="11">
        <v>0</v>
      </c>
      <c r="J6873" s="11">
        <v>0</v>
      </c>
      <c r="K6873" s="11" t="s">
        <v>21</v>
      </c>
      <c r="L6873" s="7">
        <v>42215.98809027778</v>
      </c>
      <c r="M6873" s="12" t="s">
        <v>129</v>
      </c>
      <c r="N6873" s="12" t="s">
        <v>218</v>
      </c>
      <c r="O6873" s="10" t="str">
        <f>HYPERLINK("https://pbs.twimg.com/profile_images/627949001179037696/skEBkS05_normal.jpg","View")</f>
        <v>View</v>
      </c>
      <c r="P6873" s="11"/>
    </row>
    <row r="6874" spans="1:16" ht="12.75" x14ac:dyDescent="0.35">
      <c r="A6874" s="7">
        <v>42484.519004629634</v>
      </c>
      <c r="B6874" s="8" t="str">
        <f>HYPERLINK("https://twitter.com/FrankBauHa","@FrankBauHa")</f>
        <v>@FrankBauHa</v>
      </c>
      <c r="C6874" s="9" t="s">
        <v>9002</v>
      </c>
      <c r="D6874" s="9" t="s">
        <v>15422</v>
      </c>
      <c r="E6874" s="10" t="str">
        <f>HYPERLINK("https://twitter.com/FrankBauHa/status/724130094025969665","724130094025969665")</f>
        <v>724130094025969665</v>
      </c>
      <c r="F6874" s="11" t="s">
        <v>20</v>
      </c>
      <c r="G6874" s="11">
        <v>271</v>
      </c>
      <c r="H6874" s="11">
        <v>136</v>
      </c>
      <c r="I6874" s="11">
        <v>1</v>
      </c>
      <c r="J6874" s="11">
        <v>0</v>
      </c>
      <c r="K6874" s="11" t="s">
        <v>21</v>
      </c>
      <c r="L6874" s="7">
        <v>42017.768171296295</v>
      </c>
      <c r="M6874" s="12" t="s">
        <v>9004</v>
      </c>
      <c r="N6874" s="12" t="s">
        <v>9005</v>
      </c>
      <c r="O6874" s="10" t="str">
        <f>HYPERLINK("https://pbs.twimg.com/profile_images/573395717953224705/aSHONgO9_normal.jpeg","View")</f>
        <v>View</v>
      </c>
      <c r="P6874" s="11"/>
    </row>
    <row r="6875" spans="1:16" ht="12.75" x14ac:dyDescent="0.35">
      <c r="A6875" s="7">
        <v>42484.519155092596</v>
      </c>
      <c r="B6875" s="8" t="str">
        <f>HYPERLINK("https://twitter.com/Scirocco_Tuning","@Scirocco_Tuning")</f>
        <v>@Scirocco_Tuning</v>
      </c>
      <c r="C6875" s="9" t="s">
        <v>51</v>
      </c>
      <c r="D6875" s="9" t="s">
        <v>15423</v>
      </c>
      <c r="E6875" s="10" t="str">
        <f>HYPERLINK("https://twitter.com/Scirocco_Tuning/status/724130149067841536","724130149067841536")</f>
        <v>724130149067841536</v>
      </c>
      <c r="F6875" s="11" t="s">
        <v>53</v>
      </c>
      <c r="G6875" s="11">
        <v>70</v>
      </c>
      <c r="H6875" s="11">
        <v>215</v>
      </c>
      <c r="I6875" s="11">
        <v>0</v>
      </c>
      <c r="J6875" s="11">
        <v>0</v>
      </c>
      <c r="K6875" s="11" t="s">
        <v>21</v>
      </c>
      <c r="L6875" s="7">
        <v>40844.564722222218</v>
      </c>
      <c r="M6875" s="12"/>
      <c r="N6875" s="12"/>
      <c r="O6875" s="10" t="str">
        <f>HYPERLINK("https://pbs.twimg.com/profile_images/1610421423/Image2_normal.jpg","View")</f>
        <v>View</v>
      </c>
      <c r="P6875" s="11"/>
    </row>
    <row r="6876" spans="1:16" ht="12.75" x14ac:dyDescent="0.35">
      <c r="A6876" s="7">
        <v>42484.521331018521</v>
      </c>
      <c r="B6876" s="8" t="str">
        <f>HYPERLINK("https://twitter.com/YorkshireTint","@YorkshireTint")</f>
        <v>@YorkshireTint</v>
      </c>
      <c r="C6876" s="9" t="s">
        <v>15424</v>
      </c>
      <c r="D6876" s="9" t="s">
        <v>15425</v>
      </c>
      <c r="E6876" s="10" t="str">
        <f>HYPERLINK("https://twitter.com/YorkshireTint/status/724130934874882048","724130934874882048")</f>
        <v>724130934874882048</v>
      </c>
      <c r="F6876" s="11" t="s">
        <v>13695</v>
      </c>
      <c r="G6876" s="11">
        <v>344</v>
      </c>
      <c r="H6876" s="11">
        <v>434</v>
      </c>
      <c r="I6876" s="11">
        <v>0</v>
      </c>
      <c r="J6876" s="11">
        <v>0</v>
      </c>
      <c r="K6876" s="11" t="s">
        <v>21</v>
      </c>
      <c r="L6876" s="7">
        <v>41094.836759259255</v>
      </c>
      <c r="M6876" s="12" t="s">
        <v>15426</v>
      </c>
      <c r="N6876" s="12" t="s">
        <v>15427</v>
      </c>
      <c r="O6876" s="10" t="str">
        <f>HYPERLINK("https://pbs.twimg.com/profile_images/423546768706371584/JzuP2NWD_normal.jpeg","View")</f>
        <v>View</v>
      </c>
      <c r="P6876" s="11"/>
    </row>
    <row r="6877" spans="1:16" ht="12.75" x14ac:dyDescent="0.35">
      <c r="A6877" s="7">
        <v>42484.521770833337</v>
      </c>
      <c r="B6877" s="8" t="str">
        <f>HYPERLINK("https://twitter.com/CarSniff","@CarSniff")</f>
        <v>@CarSniff</v>
      </c>
      <c r="C6877" s="9" t="s">
        <v>7801</v>
      </c>
      <c r="D6877" s="9" t="s">
        <v>15428</v>
      </c>
      <c r="E6877" s="10" t="str">
        <f>HYPERLINK("https://twitter.com/CarSniff/status/724131095730507776","724131095730507776")</f>
        <v>724131095730507776</v>
      </c>
      <c r="F6877" s="11" t="s">
        <v>7802</v>
      </c>
      <c r="G6877" s="11">
        <v>1446</v>
      </c>
      <c r="H6877" s="11">
        <v>340</v>
      </c>
      <c r="I6877" s="11">
        <v>1</v>
      </c>
      <c r="J6877" s="11">
        <v>0</v>
      </c>
      <c r="K6877" s="11" t="s">
        <v>21</v>
      </c>
      <c r="L6877" s="7">
        <v>40266.451608796298</v>
      </c>
      <c r="M6877" s="12"/>
      <c r="N6877" s="12" t="s">
        <v>7803</v>
      </c>
      <c r="O6877" s="10" t="str">
        <f>HYPERLINK("https://pbs.twimg.com/profile_images/789711681/s2_normal.bmp","View")</f>
        <v>View</v>
      </c>
      <c r="P6877" s="11"/>
    </row>
    <row r="6878" spans="1:16" ht="12.75" x14ac:dyDescent="0.35">
      <c r="A6878" s="7">
        <v>42484.522106481483</v>
      </c>
      <c r="B6878" s="8" t="str">
        <f>HYPERLINK("https://twitter.com/golfetemarco","@golfetemarco")</f>
        <v>@golfetemarco</v>
      </c>
      <c r="C6878" s="9" t="s">
        <v>15429</v>
      </c>
      <c r="D6878" s="9" t="s">
        <v>15430</v>
      </c>
      <c r="E6878" s="10" t="str">
        <f>HYPERLINK("https://twitter.com/golfetemarco/status/724131216623022080","724131216623022080")</f>
        <v>724131216623022080</v>
      </c>
      <c r="F6878" s="11" t="s">
        <v>48</v>
      </c>
      <c r="G6878" s="11">
        <v>113</v>
      </c>
      <c r="H6878" s="11">
        <v>391</v>
      </c>
      <c r="I6878" s="11">
        <v>0</v>
      </c>
      <c r="J6878" s="11">
        <v>0</v>
      </c>
      <c r="K6878" s="11" t="s">
        <v>21</v>
      </c>
      <c r="L6878" s="7">
        <v>41055.015682870369</v>
      </c>
      <c r="M6878" s="12"/>
      <c r="N6878" s="12" t="s">
        <v>15431</v>
      </c>
      <c r="O6878" s="10" t="str">
        <f>HYPERLINK("https://pbs.twimg.com/profile_images/463089401011392512/dcYyj0wX_normal.jpeg","View")</f>
        <v>View</v>
      </c>
      <c r="P6878" s="11"/>
    </row>
    <row r="6879" spans="1:16" ht="12.75" x14ac:dyDescent="0.35">
      <c r="A6879" s="7">
        <v>42484.522893518515</v>
      </c>
      <c r="B6879" s="8" t="str">
        <f>HYPERLINK("https://twitter.com/glenmavis","@glenmavis")</f>
        <v>@glenmavis</v>
      </c>
      <c r="C6879" s="9" t="s">
        <v>4862</v>
      </c>
      <c r="D6879" s="9" t="s">
        <v>15432</v>
      </c>
      <c r="E6879" s="10" t="str">
        <f>HYPERLINK("https://twitter.com/glenmavis/status/724131502548721665","724131502548721665")</f>
        <v>724131502548721665</v>
      </c>
      <c r="F6879" s="11" t="s">
        <v>48</v>
      </c>
      <c r="G6879" s="11">
        <v>53</v>
      </c>
      <c r="H6879" s="11">
        <v>253</v>
      </c>
      <c r="I6879" s="11">
        <v>0</v>
      </c>
      <c r="J6879" s="11">
        <v>0</v>
      </c>
      <c r="K6879" s="11" t="s">
        <v>21</v>
      </c>
      <c r="L6879" s="7">
        <v>41153.014074074075</v>
      </c>
      <c r="M6879" s="12" t="s">
        <v>15433</v>
      </c>
      <c r="N6879" s="12" t="s">
        <v>4864</v>
      </c>
      <c r="O6879" s="10" t="str">
        <f>HYPERLINK("https://pbs.twimg.com/profile_images/595309304510550019/sGlNhfkh_normal.jpg","View")</f>
        <v>View</v>
      </c>
      <c r="P6879" s="11"/>
    </row>
    <row r="6880" spans="1:16" ht="12.75" x14ac:dyDescent="0.35">
      <c r="A6880" s="7">
        <v>42484.52611111111</v>
      </c>
      <c r="B6880" s="8" t="str">
        <f>HYPERLINK("https://twitter.com/GutesAltern","@GutesAltern")</f>
        <v>@GutesAltern</v>
      </c>
      <c r="C6880" s="9" t="s">
        <v>6868</v>
      </c>
      <c r="D6880" s="9" t="s">
        <v>15434</v>
      </c>
      <c r="E6880" s="10" t="str">
        <f>HYPERLINK("https://twitter.com/GutesAltern/status/724132667164340224","724132667164340224")</f>
        <v>724132667164340224</v>
      </c>
      <c r="F6880" s="11" t="s">
        <v>43</v>
      </c>
      <c r="G6880" s="11">
        <v>73</v>
      </c>
      <c r="H6880" s="11">
        <v>73</v>
      </c>
      <c r="I6880" s="11">
        <v>1</v>
      </c>
      <c r="J6880" s="11">
        <v>0</v>
      </c>
      <c r="K6880" s="11" t="s">
        <v>21</v>
      </c>
      <c r="L6880" s="7">
        <v>42324.570358796293</v>
      </c>
      <c r="M6880" s="12" t="s">
        <v>6870</v>
      </c>
      <c r="N6880" s="12" t="s">
        <v>6871</v>
      </c>
      <c r="O6880" s="10" t="str">
        <f>HYPERLINK("https://pbs.twimg.com/profile_images/685910752184676352/VduIvbN-_normal.jpg","View")</f>
        <v>View</v>
      </c>
      <c r="P6880" s="11"/>
    </row>
    <row r="6881" spans="1:16" ht="12.75" x14ac:dyDescent="0.35">
      <c r="A6881" s="7">
        <v>42484.527303240742</v>
      </c>
      <c r="B6881" s="8" t="str">
        <f t="shared" ref="B6881:B6883" si="633">HYPERLINK("https://twitter.com/beetlebug1938","@beetlebug1938")</f>
        <v>@beetlebug1938</v>
      </c>
      <c r="C6881" s="9" t="s">
        <v>66</v>
      </c>
      <c r="D6881" s="9" t="s">
        <v>15435</v>
      </c>
      <c r="E6881" s="10" t="str">
        <f>HYPERLINK("https://twitter.com/beetlebug1938/status/724133101983698944","724133101983698944")</f>
        <v>724133101983698944</v>
      </c>
      <c r="F6881" s="11" t="s">
        <v>68</v>
      </c>
      <c r="G6881" s="11">
        <v>371</v>
      </c>
      <c r="H6881" s="11">
        <v>2227</v>
      </c>
      <c r="I6881" s="11">
        <v>0</v>
      </c>
      <c r="J6881" s="11">
        <v>0</v>
      </c>
      <c r="K6881" s="11" t="s">
        <v>21</v>
      </c>
      <c r="L6881" s="7">
        <v>42469.863865740743</v>
      </c>
      <c r="M6881" s="12" t="s">
        <v>69</v>
      </c>
      <c r="N6881" s="12"/>
      <c r="O6881" s="10" t="str">
        <f t="shared" ref="O6881:O6883" si="634">HYPERLINK("https://pbs.twimg.com/profile_images/718820712757215233/LXXndPTS_normal.jpg","View")</f>
        <v>View</v>
      </c>
      <c r="P6881" s="11"/>
    </row>
    <row r="6882" spans="1:16" ht="12.75" x14ac:dyDescent="0.35">
      <c r="A6882" s="7">
        <v>42484.527372685188</v>
      </c>
      <c r="B6882" s="8" t="str">
        <f t="shared" si="633"/>
        <v>@beetlebug1938</v>
      </c>
      <c r="C6882" s="9" t="s">
        <v>66</v>
      </c>
      <c r="D6882" s="9" t="s">
        <v>15436</v>
      </c>
      <c r="E6882" s="10" t="str">
        <f>HYPERLINK("https://twitter.com/beetlebug1938/status/724133126017024000","724133126017024000")</f>
        <v>724133126017024000</v>
      </c>
      <c r="F6882" s="11" t="s">
        <v>68</v>
      </c>
      <c r="G6882" s="11">
        <v>371</v>
      </c>
      <c r="H6882" s="11">
        <v>2227</v>
      </c>
      <c r="I6882" s="11">
        <v>0</v>
      </c>
      <c r="J6882" s="11">
        <v>0</v>
      </c>
      <c r="K6882" s="11" t="s">
        <v>21</v>
      </c>
      <c r="L6882" s="7">
        <v>42469.863865740743</v>
      </c>
      <c r="M6882" s="12" t="s">
        <v>69</v>
      </c>
      <c r="N6882" s="12"/>
      <c r="O6882" s="10" t="str">
        <f t="shared" si="634"/>
        <v>View</v>
      </c>
      <c r="P6882" s="11"/>
    </row>
    <row r="6883" spans="1:16" ht="12.75" x14ac:dyDescent="0.35">
      <c r="A6883" s="7">
        <v>42484.527407407411</v>
      </c>
      <c r="B6883" s="8" t="str">
        <f t="shared" si="633"/>
        <v>@beetlebug1938</v>
      </c>
      <c r="C6883" s="9" t="s">
        <v>66</v>
      </c>
      <c r="D6883" s="9" t="s">
        <v>15437</v>
      </c>
      <c r="E6883" s="10" t="str">
        <f>HYPERLINK("https://twitter.com/beetlebug1938/status/724133138486702080","724133138486702080")</f>
        <v>724133138486702080</v>
      </c>
      <c r="F6883" s="11" t="s">
        <v>68</v>
      </c>
      <c r="G6883" s="11">
        <v>371</v>
      </c>
      <c r="H6883" s="11">
        <v>2227</v>
      </c>
      <c r="I6883" s="11">
        <v>0</v>
      </c>
      <c r="J6883" s="11">
        <v>0</v>
      </c>
      <c r="K6883" s="11" t="s">
        <v>21</v>
      </c>
      <c r="L6883" s="7">
        <v>42469.863865740743</v>
      </c>
      <c r="M6883" s="12" t="s">
        <v>69</v>
      </c>
      <c r="N6883" s="12"/>
      <c r="O6883" s="10" t="str">
        <f t="shared" si="634"/>
        <v>View</v>
      </c>
      <c r="P6883" s="11"/>
    </row>
    <row r="6884" spans="1:16" ht="12.75" x14ac:dyDescent="0.35">
      <c r="A6884" s="7">
        <v>42484.52747685185</v>
      </c>
      <c r="B6884" s="8" t="str">
        <f>HYPERLINK("https://twitter.com/PParzival","@PParzival")</f>
        <v>@PParzival</v>
      </c>
      <c r="C6884" s="9" t="s">
        <v>8904</v>
      </c>
      <c r="D6884" s="9" t="s">
        <v>15438</v>
      </c>
      <c r="E6884" s="10" t="str">
        <f>HYPERLINK("https://twitter.com/PParzival/status/724133161903493120","724133161903493120")</f>
        <v>724133161903493120</v>
      </c>
      <c r="F6884" s="11" t="s">
        <v>63</v>
      </c>
      <c r="G6884" s="11">
        <v>2453</v>
      </c>
      <c r="H6884" s="11">
        <v>2595</v>
      </c>
      <c r="I6884" s="11">
        <v>1</v>
      </c>
      <c r="J6884" s="11">
        <v>0</v>
      </c>
      <c r="K6884" s="11" t="s">
        <v>21</v>
      </c>
      <c r="L6884" s="7">
        <v>40999.112256944441</v>
      </c>
      <c r="M6884" s="12" t="s">
        <v>1359</v>
      </c>
      <c r="N6884" s="12" t="s">
        <v>8906</v>
      </c>
      <c r="O6884" s="10" t="str">
        <f>HYPERLINK("https://pbs.twimg.com/profile_images/714175065244434432/wbro3GNX_normal.jpg","View")</f>
        <v>View</v>
      </c>
      <c r="P6884" s="11"/>
    </row>
    <row r="6885" spans="1:16" ht="12.75" x14ac:dyDescent="0.35">
      <c r="A6885" s="7">
        <v>42484.528842592597</v>
      </c>
      <c r="B6885" s="8" t="str">
        <f t="shared" ref="B6885:B6888" si="635">HYPERLINK("https://twitter.com/dubbusses","@dubbusses")</f>
        <v>@dubbusses</v>
      </c>
      <c r="C6885" s="9" t="s">
        <v>14338</v>
      </c>
      <c r="D6885" s="9" t="s">
        <v>15439</v>
      </c>
      <c r="E6885" s="10" t="str">
        <f>HYPERLINK("https://twitter.com/dubbusses/status/724133658102214656","724133658102214656")</f>
        <v>724133658102214656</v>
      </c>
      <c r="F6885" s="11" t="s">
        <v>68</v>
      </c>
      <c r="G6885" s="11">
        <v>423</v>
      </c>
      <c r="H6885" s="11">
        <v>2369</v>
      </c>
      <c r="I6885" s="11">
        <v>0</v>
      </c>
      <c r="J6885" s="11">
        <v>0</v>
      </c>
      <c r="K6885" s="11" t="s">
        <v>21</v>
      </c>
      <c r="L6885" s="7">
        <v>42469.905393518522</v>
      </c>
      <c r="M6885" s="12" t="s">
        <v>14340</v>
      </c>
      <c r="N6885" s="12"/>
      <c r="O6885" s="10" t="str">
        <f t="shared" ref="O6885:O6888" si="636">HYPERLINK("https://pbs.twimg.com/profile_images/718835727027580928/1ssyQ67y_normal.jpg","View")</f>
        <v>View</v>
      </c>
      <c r="P6885" s="11"/>
    </row>
    <row r="6886" spans="1:16" ht="12.75" x14ac:dyDescent="0.35">
      <c r="A6886" s="7">
        <v>42484.528854166667</v>
      </c>
      <c r="B6886" s="8" t="str">
        <f t="shared" si="635"/>
        <v>@dubbusses</v>
      </c>
      <c r="C6886" s="9" t="s">
        <v>14338</v>
      </c>
      <c r="D6886" s="9" t="s">
        <v>15440</v>
      </c>
      <c r="E6886" s="10" t="str">
        <f>HYPERLINK("https://twitter.com/dubbusses/status/724133661180874752","724133661180874752")</f>
        <v>724133661180874752</v>
      </c>
      <c r="F6886" s="11" t="s">
        <v>68</v>
      </c>
      <c r="G6886" s="11">
        <v>423</v>
      </c>
      <c r="H6886" s="11">
        <v>2369</v>
      </c>
      <c r="I6886" s="11">
        <v>0</v>
      </c>
      <c r="J6886" s="11">
        <v>0</v>
      </c>
      <c r="K6886" s="11" t="s">
        <v>21</v>
      </c>
      <c r="L6886" s="7">
        <v>42469.905393518522</v>
      </c>
      <c r="M6886" s="12" t="s">
        <v>14340</v>
      </c>
      <c r="N6886" s="12"/>
      <c r="O6886" s="10" t="str">
        <f t="shared" si="636"/>
        <v>View</v>
      </c>
      <c r="P6886" s="11"/>
    </row>
    <row r="6887" spans="1:16" ht="12.75" x14ac:dyDescent="0.35">
      <c r="A6887" s="7">
        <v>42484.528865740736</v>
      </c>
      <c r="B6887" s="8" t="str">
        <f t="shared" si="635"/>
        <v>@dubbusses</v>
      </c>
      <c r="C6887" s="9" t="s">
        <v>14338</v>
      </c>
      <c r="D6887" s="9" t="s">
        <v>15441</v>
      </c>
      <c r="E6887" s="10" t="str">
        <f>HYPERLINK("https://twitter.com/dubbusses/status/724133665249329152","724133665249329152")</f>
        <v>724133665249329152</v>
      </c>
      <c r="F6887" s="11" t="s">
        <v>68</v>
      </c>
      <c r="G6887" s="11">
        <v>423</v>
      </c>
      <c r="H6887" s="11">
        <v>2369</v>
      </c>
      <c r="I6887" s="11">
        <v>0</v>
      </c>
      <c r="J6887" s="11">
        <v>0</v>
      </c>
      <c r="K6887" s="11" t="s">
        <v>21</v>
      </c>
      <c r="L6887" s="7">
        <v>42469.905393518522</v>
      </c>
      <c r="M6887" s="12" t="s">
        <v>14340</v>
      </c>
      <c r="N6887" s="12"/>
      <c r="O6887" s="10" t="str">
        <f t="shared" si="636"/>
        <v>View</v>
      </c>
      <c r="P6887" s="11"/>
    </row>
    <row r="6888" spans="1:16" ht="12.75" x14ac:dyDescent="0.35">
      <c r="A6888" s="7">
        <v>42484.528877314813</v>
      </c>
      <c r="B6888" s="8" t="str">
        <f t="shared" si="635"/>
        <v>@dubbusses</v>
      </c>
      <c r="C6888" s="9" t="s">
        <v>14338</v>
      </c>
      <c r="D6888" s="9" t="s">
        <v>15442</v>
      </c>
      <c r="E6888" s="10" t="str">
        <f>HYPERLINK("https://twitter.com/dubbusses/status/724133672077692928","724133672077692928")</f>
        <v>724133672077692928</v>
      </c>
      <c r="F6888" s="11" t="s">
        <v>68</v>
      </c>
      <c r="G6888" s="11">
        <v>423</v>
      </c>
      <c r="H6888" s="11">
        <v>2369</v>
      </c>
      <c r="I6888" s="11">
        <v>0</v>
      </c>
      <c r="J6888" s="11">
        <v>0</v>
      </c>
      <c r="K6888" s="11" t="s">
        <v>21</v>
      </c>
      <c r="L6888" s="7">
        <v>42469.905393518522</v>
      </c>
      <c r="M6888" s="12" t="s">
        <v>14340</v>
      </c>
      <c r="N6888" s="12"/>
      <c r="O6888" s="10" t="str">
        <f t="shared" si="636"/>
        <v>View</v>
      </c>
      <c r="P6888" s="11"/>
    </row>
    <row r="6889" spans="1:16" ht="12.75" x14ac:dyDescent="0.35">
      <c r="A6889" s="7">
        <v>42484.532488425924</v>
      </c>
      <c r="B6889" s="8" t="str">
        <f>HYPERLINK("https://twitter.com/leonciobogotano","@leonciobogotano")</f>
        <v>@leonciobogotano</v>
      </c>
      <c r="C6889" s="9" t="s">
        <v>15443</v>
      </c>
      <c r="D6889" s="9" t="s">
        <v>15444</v>
      </c>
      <c r="E6889" s="10" t="str">
        <f>HYPERLINK("https://twitter.com/leonciobogotano/status/724134980822118400","724134980822118400")</f>
        <v>724134980822118400</v>
      </c>
      <c r="F6889" s="11" t="s">
        <v>367</v>
      </c>
      <c r="G6889" s="11">
        <v>123</v>
      </c>
      <c r="H6889" s="11">
        <v>516</v>
      </c>
      <c r="I6889" s="11">
        <v>25</v>
      </c>
      <c r="J6889" s="11">
        <v>0</v>
      </c>
      <c r="K6889" s="11" t="s">
        <v>21</v>
      </c>
      <c r="L6889" s="7">
        <v>41031.122581018521</v>
      </c>
      <c r="M6889" s="12"/>
      <c r="N6889" s="12"/>
      <c r="O6889" s="10" t="str">
        <f>HYPERLINK("https://abs.twimg.com/sticky/default_profile_images/default_profile_2_normal.png","View")</f>
        <v>View</v>
      </c>
      <c r="P6889" s="11"/>
    </row>
    <row r="6890" spans="1:16" ht="12.75" x14ac:dyDescent="0.35">
      <c r="A6890" s="7">
        <v>42484.535543981481</v>
      </c>
      <c r="B6890" s="8" t="str">
        <f>HYPERLINK("https://twitter.com/TetsuoHojo","@TetsuoHojo")</f>
        <v>@TetsuoHojo</v>
      </c>
      <c r="C6890" s="9" t="s">
        <v>12380</v>
      </c>
      <c r="D6890" s="9" t="s">
        <v>15445</v>
      </c>
      <c r="E6890" s="10" t="str">
        <f>HYPERLINK("https://twitter.com/TetsuoHojo/status/724136087149404161","724136087149404161")</f>
        <v>724136087149404161</v>
      </c>
      <c r="F6890" s="11" t="s">
        <v>20</v>
      </c>
      <c r="G6890" s="11">
        <v>64</v>
      </c>
      <c r="H6890" s="11">
        <v>94</v>
      </c>
      <c r="I6890" s="11">
        <v>1</v>
      </c>
      <c r="J6890" s="11">
        <v>0</v>
      </c>
      <c r="K6890" s="11" t="s">
        <v>21</v>
      </c>
      <c r="L6890" s="7">
        <v>41147.258229166662</v>
      </c>
      <c r="M6890" s="12"/>
      <c r="N6890" s="12" t="s">
        <v>12382</v>
      </c>
      <c r="O6890" s="10" t="str">
        <f>HYPERLINK("https://pbs.twimg.com/profile_images/2646835465/aa5823578b01b04b7e91d58e8ca88691_normal.jpeg","View")</f>
        <v>View</v>
      </c>
      <c r="P6890" s="11"/>
    </row>
    <row r="6891" spans="1:16" ht="12.75" x14ac:dyDescent="0.35">
      <c r="A6891" s="7">
        <v>42484.538553240738</v>
      </c>
      <c r="B6891" s="8" t="str">
        <f>HYPERLINK("https://twitter.com/OnlineCarReview","@OnlineCarReview")</f>
        <v>@OnlineCarReview</v>
      </c>
      <c r="C6891" s="9" t="s">
        <v>176</v>
      </c>
      <c r="D6891" s="9" t="s">
        <v>15446</v>
      </c>
      <c r="E6891" s="10" t="str">
        <f>HYPERLINK("https://twitter.com/OnlineCarReview/status/724137177479671808","724137177479671808")</f>
        <v>724137177479671808</v>
      </c>
      <c r="F6891" s="11" t="s">
        <v>34</v>
      </c>
      <c r="G6891" s="11">
        <v>839</v>
      </c>
      <c r="H6891" s="11">
        <v>568</v>
      </c>
      <c r="I6891" s="11">
        <v>0</v>
      </c>
      <c r="J6891" s="11">
        <v>0</v>
      </c>
      <c r="K6891" s="11" t="s">
        <v>21</v>
      </c>
      <c r="L6891" s="7">
        <v>42282.979201388887</v>
      </c>
      <c r="M6891" s="12"/>
      <c r="N6891" s="12" t="s">
        <v>178</v>
      </c>
      <c r="O6891" s="10" t="str">
        <f>HYPERLINK("https://pbs.twimg.com/profile_images/652871584131092480/QA_B6SBO_normal.jpg","View")</f>
        <v>View</v>
      </c>
      <c r="P6891" s="11"/>
    </row>
    <row r="6892" spans="1:16" ht="12.75" x14ac:dyDescent="0.35">
      <c r="A6892" s="7">
        <v>42484.539131944446</v>
      </c>
      <c r="B6892" s="8" t="str">
        <f>HYPERLINK("https://twitter.com/CairnsMFDs","@CairnsMFDs")</f>
        <v>@CairnsMFDs</v>
      </c>
      <c r="C6892" s="9" t="s">
        <v>15447</v>
      </c>
      <c r="D6892" s="9" t="s">
        <v>15448</v>
      </c>
      <c r="E6892" s="10" t="str">
        <f>HYPERLINK("https://twitter.com/CairnsMFDs/status/724137388667105281","724137388667105281")</f>
        <v>724137388667105281</v>
      </c>
      <c r="F6892" s="11" t="s">
        <v>933</v>
      </c>
      <c r="G6892" s="11">
        <v>8</v>
      </c>
      <c r="H6892" s="11">
        <v>40</v>
      </c>
      <c r="I6892" s="11">
        <v>0</v>
      </c>
      <c r="J6892" s="11">
        <v>0</v>
      </c>
      <c r="K6892" s="11" t="s">
        <v>21</v>
      </c>
      <c r="L6892" s="7">
        <v>42375.211550925931</v>
      </c>
      <c r="M6892" s="12" t="s">
        <v>15449</v>
      </c>
      <c r="N6892" s="12" t="s">
        <v>15450</v>
      </c>
      <c r="O6892" s="10" t="str">
        <f>HYPERLINK("https://pbs.twimg.com/profile_images/684525057347981312/TsvQ6-oU_normal.png","View")</f>
        <v>View</v>
      </c>
      <c r="P6892" s="11"/>
    </row>
    <row r="6893" spans="1:16" ht="12.75" x14ac:dyDescent="0.35">
      <c r="A6893" s="7">
        <v>42484.540462962963</v>
      </c>
      <c r="B6893" s="8" t="str">
        <f>HYPERLINK("https://twitter.com/abcdefghmiokxyz","@abcdefghmiokxyz")</f>
        <v>@abcdefghmiokxyz</v>
      </c>
      <c r="C6893" s="9" t="s">
        <v>15451</v>
      </c>
      <c r="D6893" s="9" t="s">
        <v>15452</v>
      </c>
      <c r="E6893" s="10" t="str">
        <f>HYPERLINK("https://twitter.com/abcdefghmiokxyz/status/724137870273859584","724137870273859584")</f>
        <v>724137870273859584</v>
      </c>
      <c r="F6893" s="11" t="s">
        <v>48</v>
      </c>
      <c r="G6893" s="11">
        <v>553</v>
      </c>
      <c r="H6893" s="11">
        <v>401</v>
      </c>
      <c r="I6893" s="11">
        <v>1</v>
      </c>
      <c r="J6893" s="11">
        <v>0</v>
      </c>
      <c r="K6893" s="11" t="s">
        <v>21</v>
      </c>
      <c r="L6893" s="7">
        <v>40806.745983796296</v>
      </c>
      <c r="M6893" s="12" t="s">
        <v>15453</v>
      </c>
      <c r="N6893" s="12" t="s">
        <v>15454</v>
      </c>
      <c r="O6893" s="10" t="str">
        <f>HYPERLINK("https://pbs.twimg.com/profile_images/720573378889814016/NgpA-9lN_normal.jpg","View")</f>
        <v>View</v>
      </c>
      <c r="P6893" s="11"/>
    </row>
    <row r="6894" spans="1:16" ht="12.75" x14ac:dyDescent="0.35">
      <c r="A6894" s="7">
        <v>42484.54111111111</v>
      </c>
      <c r="B6894" s="8" t="str">
        <f>HYPERLINK("https://twitter.com/TranixConf","@TranixConf")</f>
        <v>@TranixConf</v>
      </c>
      <c r="C6894" s="9" t="s">
        <v>15455</v>
      </c>
      <c r="D6894" s="9" t="s">
        <v>12899</v>
      </c>
      <c r="E6894" s="10" t="str">
        <f>HYPERLINK("https://twitter.com/TranixConf/status/724138105012367361","724138105012367361")</f>
        <v>724138105012367361</v>
      </c>
      <c r="F6894" s="11" t="s">
        <v>48</v>
      </c>
      <c r="G6894" s="11">
        <v>413</v>
      </c>
      <c r="H6894" s="11">
        <v>507</v>
      </c>
      <c r="I6894" s="11">
        <v>3</v>
      </c>
      <c r="J6894" s="11">
        <v>0</v>
      </c>
      <c r="K6894" s="11" t="s">
        <v>21</v>
      </c>
      <c r="L6894" s="7">
        <v>41765.605856481481</v>
      </c>
      <c r="M6894" s="12" t="s">
        <v>15456</v>
      </c>
      <c r="N6894" s="12" t="s">
        <v>15457</v>
      </c>
      <c r="O6894" s="10" t="str">
        <f>HYPERLINK("https://pbs.twimg.com/profile_images/501634731797008386/BnqToGVL_normal.jpeg","View")</f>
        <v>View</v>
      </c>
      <c r="P6894" s="11"/>
    </row>
    <row r="6895" spans="1:16" ht="12.75" x14ac:dyDescent="0.35">
      <c r="A6895" s="7">
        <v>42484.542280092588</v>
      </c>
      <c r="B6895" s="8" t="str">
        <f t="shared" ref="B6895:B6896" si="637">HYPERLINK("https://twitter.com/abcdefghmiokxyz","@abcdefghmiokxyz")</f>
        <v>@abcdefghmiokxyz</v>
      </c>
      <c r="C6895" s="9" t="s">
        <v>15451</v>
      </c>
      <c r="D6895" s="9" t="s">
        <v>15458</v>
      </c>
      <c r="E6895" s="10" t="str">
        <f>HYPERLINK("https://twitter.com/abcdefghmiokxyz/status/724138527789735937","724138527789735937")</f>
        <v>724138527789735937</v>
      </c>
      <c r="F6895" s="11" t="s">
        <v>48</v>
      </c>
      <c r="G6895" s="11">
        <v>553</v>
      </c>
      <c r="H6895" s="11">
        <v>401</v>
      </c>
      <c r="I6895" s="11">
        <v>1</v>
      </c>
      <c r="J6895" s="11">
        <v>0</v>
      </c>
      <c r="K6895" s="11" t="s">
        <v>21</v>
      </c>
      <c r="L6895" s="7">
        <v>40806.745983796296</v>
      </c>
      <c r="M6895" s="12" t="s">
        <v>15453</v>
      </c>
      <c r="N6895" s="12" t="s">
        <v>15454</v>
      </c>
      <c r="O6895" s="10" t="str">
        <f t="shared" ref="O6895:O6896" si="638">HYPERLINK("https://pbs.twimg.com/profile_images/720573378889814016/NgpA-9lN_normal.jpg","View")</f>
        <v>View</v>
      </c>
      <c r="P6895" s="11"/>
    </row>
    <row r="6896" spans="1:16" ht="12.75" x14ac:dyDescent="0.35">
      <c r="A6896" s="7">
        <v>42484.542314814811</v>
      </c>
      <c r="B6896" s="8" t="str">
        <f t="shared" si="637"/>
        <v>@abcdefghmiokxyz</v>
      </c>
      <c r="C6896" s="9" t="s">
        <v>15451</v>
      </c>
      <c r="D6896" s="9" t="s">
        <v>15459</v>
      </c>
      <c r="E6896" s="10" t="str">
        <f>HYPERLINK("https://twitter.com/abcdefghmiokxyz/status/724138539890315264","724138539890315264")</f>
        <v>724138539890315264</v>
      </c>
      <c r="F6896" s="11" t="s">
        <v>48</v>
      </c>
      <c r="G6896" s="11">
        <v>553</v>
      </c>
      <c r="H6896" s="11">
        <v>401</v>
      </c>
      <c r="I6896" s="11">
        <v>1</v>
      </c>
      <c r="J6896" s="11">
        <v>0</v>
      </c>
      <c r="K6896" s="11" t="s">
        <v>21</v>
      </c>
      <c r="L6896" s="7">
        <v>40806.745983796296</v>
      </c>
      <c r="M6896" s="12" t="s">
        <v>15453</v>
      </c>
      <c r="N6896" s="12" t="s">
        <v>15454</v>
      </c>
      <c r="O6896" s="10" t="str">
        <f t="shared" si="638"/>
        <v>View</v>
      </c>
      <c r="P6896" s="11"/>
    </row>
    <row r="6897" spans="1:16" ht="12.75" x14ac:dyDescent="0.35">
      <c r="A6897" s="7">
        <v>42484.543472222227</v>
      </c>
      <c r="B6897" s="8" t="str">
        <f>HYPERLINK("https://twitter.com/cultuurgeek","@cultuurgeek")</f>
        <v>@cultuurgeek</v>
      </c>
      <c r="C6897" s="9" t="s">
        <v>15460</v>
      </c>
      <c r="D6897" s="9" t="s">
        <v>15461</v>
      </c>
      <c r="E6897" s="10" t="str">
        <f>HYPERLINK("https://twitter.com/cultuurgeek/status/724138959757008896","724138959757008896")</f>
        <v>724138959757008896</v>
      </c>
      <c r="F6897" s="11" t="s">
        <v>91</v>
      </c>
      <c r="G6897" s="11">
        <v>70</v>
      </c>
      <c r="H6897" s="11">
        <v>177</v>
      </c>
      <c r="I6897" s="11">
        <v>0</v>
      </c>
      <c r="J6897" s="11">
        <v>0</v>
      </c>
      <c r="K6897" s="11" t="s">
        <v>21</v>
      </c>
      <c r="L6897" s="7">
        <v>41828.956817129627</v>
      </c>
      <c r="M6897" s="12"/>
      <c r="N6897" s="12" t="s">
        <v>15462</v>
      </c>
      <c r="O6897" s="10" t="str">
        <f>HYPERLINK("https://pbs.twimg.com/profile_images/486568956765798400/4fCE2vRk_normal.jpeg","View")</f>
        <v>View</v>
      </c>
      <c r="P6897" s="11"/>
    </row>
    <row r="6898" spans="1:16" ht="12.75" x14ac:dyDescent="0.35">
      <c r="A6898" s="7">
        <v>42484.544340277775</v>
      </c>
      <c r="B6898" s="8" t="str">
        <f>HYPERLINK("https://twitter.com/MhvonS","@MhvonS")</f>
        <v>@MhvonS</v>
      </c>
      <c r="C6898" s="9" t="s">
        <v>4124</v>
      </c>
      <c r="D6898" s="9" t="s">
        <v>15463</v>
      </c>
      <c r="E6898" s="10" t="str">
        <f>HYPERLINK("https://twitter.com/MhvonS/status/724139274040446976","724139274040446976")</f>
        <v>724139274040446976</v>
      </c>
      <c r="F6898" s="11" t="s">
        <v>20</v>
      </c>
      <c r="G6898" s="11">
        <v>5</v>
      </c>
      <c r="H6898" s="11">
        <v>9</v>
      </c>
      <c r="I6898" s="11">
        <v>0</v>
      </c>
      <c r="J6898" s="11">
        <v>0</v>
      </c>
      <c r="K6898" s="11" t="s">
        <v>21</v>
      </c>
      <c r="L6898" s="7">
        <v>42183.851331018523</v>
      </c>
      <c r="M6898" s="12" t="s">
        <v>262</v>
      </c>
      <c r="N6898" s="12" t="s">
        <v>12840</v>
      </c>
      <c r="O6898" s="10" t="str">
        <f>HYPERLINK("https://pbs.twimg.com/profile_images/723492895874002945/vvHAsCQf_normal.jpg","View")</f>
        <v>View</v>
      </c>
      <c r="P6898" s="11"/>
    </row>
    <row r="6899" spans="1:16" ht="12.75" x14ac:dyDescent="0.35">
      <c r="A6899" s="7">
        <v>42484.545127314814</v>
      </c>
      <c r="B6899" s="8" t="str">
        <f>HYPERLINK("https://twitter.com/Kerstin_Lomb","@Kerstin_Lomb")</f>
        <v>@Kerstin_Lomb</v>
      </c>
      <c r="C6899" s="9" t="s">
        <v>15464</v>
      </c>
      <c r="D6899" s="9" t="s">
        <v>13395</v>
      </c>
      <c r="E6899" s="10" t="str">
        <f>HYPERLINK("https://twitter.com/Kerstin_Lomb/status/724139561106984960","724139561106984960")</f>
        <v>724139561106984960</v>
      </c>
      <c r="F6899" s="11" t="s">
        <v>20</v>
      </c>
      <c r="G6899" s="11">
        <v>40</v>
      </c>
      <c r="H6899" s="11">
        <v>134</v>
      </c>
      <c r="I6899" s="11">
        <v>2</v>
      </c>
      <c r="J6899" s="11">
        <v>0</v>
      </c>
      <c r="K6899" s="11" t="s">
        <v>21</v>
      </c>
      <c r="L6899" s="7">
        <v>41876.772048611107</v>
      </c>
      <c r="M6899" s="12" t="s">
        <v>9130</v>
      </c>
      <c r="N6899" s="12" t="s">
        <v>15465</v>
      </c>
      <c r="O6899" s="10" t="str">
        <f>HYPERLINK("https://pbs.twimg.com/profile_images/543436298133184513/apPABZai_normal.jpeg","View")</f>
        <v>View</v>
      </c>
      <c r="P6899" s="11"/>
    </row>
    <row r="6900" spans="1:16" ht="12.75" x14ac:dyDescent="0.35">
      <c r="A6900" s="7">
        <v>42484.545208333337</v>
      </c>
      <c r="B6900" s="8" t="str">
        <f>HYPERLINK("https://twitter.com/StaffsVW","@StaffsVW")</f>
        <v>@StaffsVW</v>
      </c>
      <c r="C6900" s="9" t="s">
        <v>6791</v>
      </c>
      <c r="D6900" s="9" t="s">
        <v>15466</v>
      </c>
      <c r="E6900" s="10" t="str">
        <f>HYPERLINK("https://twitter.com/StaffsVW/status/724139589481291776","724139589481291776")</f>
        <v>724139589481291776</v>
      </c>
      <c r="F6900" s="11" t="s">
        <v>53</v>
      </c>
      <c r="G6900" s="11">
        <v>1436</v>
      </c>
      <c r="H6900" s="11">
        <v>1057</v>
      </c>
      <c r="I6900" s="11">
        <v>0</v>
      </c>
      <c r="J6900" s="11">
        <v>0</v>
      </c>
      <c r="K6900" s="11" t="s">
        <v>21</v>
      </c>
      <c r="L6900" s="7">
        <v>40741.625254629631</v>
      </c>
      <c r="M6900" s="12" t="s">
        <v>6793</v>
      </c>
      <c r="N6900" s="12" t="s">
        <v>6794</v>
      </c>
      <c r="O6900" s="10" t="str">
        <f>HYPERLINK("https://pbs.twimg.com/profile_images/689180646653202432/IDgTGC30_normal.jpg","View")</f>
        <v>View</v>
      </c>
      <c r="P6900" s="11"/>
    </row>
    <row r="6901" spans="1:16" ht="12.75" x14ac:dyDescent="0.35">
      <c r="A6901" s="7">
        <v>42484.545405092591</v>
      </c>
      <c r="B6901" s="8" t="str">
        <f>HYPERLINK("https://twitter.com/KMennerFineArt","@KMennerFineArt")</f>
        <v>@KMennerFineArt</v>
      </c>
      <c r="C6901" s="9" t="s">
        <v>12217</v>
      </c>
      <c r="D6901" s="9" t="s">
        <v>15467</v>
      </c>
      <c r="E6901" s="10" t="str">
        <f>HYPERLINK("https://twitter.com/KMennerFineArt/status/724139659714949120","724139659714949120")</f>
        <v>724139659714949120</v>
      </c>
      <c r="F6901" s="11" t="s">
        <v>12219</v>
      </c>
      <c r="G6901" s="11">
        <v>9153</v>
      </c>
      <c r="H6901" s="11">
        <v>7495</v>
      </c>
      <c r="I6901" s="11">
        <v>0</v>
      </c>
      <c r="J6901" s="11">
        <v>0</v>
      </c>
      <c r="K6901" s="11" t="s">
        <v>21</v>
      </c>
      <c r="L6901" s="7">
        <v>41804.609548611115</v>
      </c>
      <c r="M6901" s="12" t="s">
        <v>543</v>
      </c>
      <c r="N6901" s="12" t="s">
        <v>12220</v>
      </c>
      <c r="O6901" s="10" t="str">
        <f>HYPERLINK("https://pbs.twimg.com/profile_images/477811564179779585/Tn-jHdTl_normal.jpeg","View")</f>
        <v>View</v>
      </c>
      <c r="P6901" s="11"/>
    </row>
    <row r="6902" spans="1:16" ht="12.75" x14ac:dyDescent="0.35">
      <c r="A6902" s="7">
        <v>42484.546655092592</v>
      </c>
      <c r="B6902" s="8" t="str">
        <f>HYPERLINK("https://twitter.com/100oferta","@100oferta")</f>
        <v>@100oferta</v>
      </c>
      <c r="C6902" s="9" t="s">
        <v>15468</v>
      </c>
      <c r="D6902" s="9" t="s">
        <v>15469</v>
      </c>
      <c r="E6902" s="10" t="str">
        <f>HYPERLINK("https://twitter.com/100oferta/status/724140114922885120","724140114922885120")</f>
        <v>724140114922885120</v>
      </c>
      <c r="F6902" s="11" t="s">
        <v>53</v>
      </c>
      <c r="G6902" s="11">
        <v>2038</v>
      </c>
      <c r="H6902" s="11">
        <v>543</v>
      </c>
      <c r="I6902" s="11">
        <v>0</v>
      </c>
      <c r="J6902" s="11">
        <v>0</v>
      </c>
      <c r="K6902" s="11" t="s">
        <v>21</v>
      </c>
      <c r="L6902" s="7">
        <v>40947.065937499996</v>
      </c>
      <c r="M6902" s="12" t="s">
        <v>15470</v>
      </c>
      <c r="N6902" s="12" t="s">
        <v>15471</v>
      </c>
      <c r="O6902" s="10" t="str">
        <f>HYPERLINK("https://pbs.twimg.com/profile_images/605683918369660929/r35bMZ-r_normal.png","View")</f>
        <v>View</v>
      </c>
      <c r="P6902" s="11"/>
    </row>
    <row r="6903" spans="1:16" ht="12.75" x14ac:dyDescent="0.35">
      <c r="A6903" s="7">
        <v>42484.549224537041</v>
      </c>
      <c r="B6903" s="8" t="str">
        <f>HYPERLINK("https://twitter.com/carsguru7","@carsguru7")</f>
        <v>@carsguru7</v>
      </c>
      <c r="C6903" s="9" t="s">
        <v>15472</v>
      </c>
      <c r="D6903" s="9" t="s">
        <v>3584</v>
      </c>
      <c r="E6903" s="10" t="str">
        <f>HYPERLINK("https://twitter.com/carsguru7/status/724141045781397505","724141045781397505")</f>
        <v>724141045781397505</v>
      </c>
      <c r="F6903" s="11" t="s">
        <v>43</v>
      </c>
      <c r="G6903" s="11">
        <v>69</v>
      </c>
      <c r="H6903" s="11">
        <v>344</v>
      </c>
      <c r="I6903" s="11">
        <v>10</v>
      </c>
      <c r="J6903" s="11">
        <v>0</v>
      </c>
      <c r="K6903" s="11" t="s">
        <v>21</v>
      </c>
      <c r="L6903" s="7">
        <v>42479.794664351852</v>
      </c>
      <c r="M6903" s="12"/>
      <c r="N6903" s="12"/>
      <c r="O6903" s="10" t="str">
        <f>HYPERLINK("https://pbs.twimg.com/profile_images/722418263242645505/iDE6b42H_normal.jpg","View")</f>
        <v>View</v>
      </c>
      <c r="P6903" s="11"/>
    </row>
    <row r="6904" spans="1:16" ht="12.75" x14ac:dyDescent="0.35">
      <c r="A6904" s="7">
        <v>42484.550173611111</v>
      </c>
      <c r="B6904" s="8" t="str">
        <f>HYPERLINK("https://twitter.com/LisaHenri2","@LisaHenri2")</f>
        <v>@LisaHenri2</v>
      </c>
      <c r="C6904" s="9" t="s">
        <v>15473</v>
      </c>
      <c r="D6904" s="9" t="s">
        <v>15474</v>
      </c>
      <c r="E6904" s="10" t="str">
        <f>HYPERLINK("https://twitter.com/LisaHenri2/status/724141388468748288","724141388468748288")</f>
        <v>724141388468748288</v>
      </c>
      <c r="F6904" s="11" t="s">
        <v>114</v>
      </c>
      <c r="G6904" s="11">
        <v>342</v>
      </c>
      <c r="H6904" s="11">
        <v>495</v>
      </c>
      <c r="I6904" s="11">
        <v>1</v>
      </c>
      <c r="J6904" s="11">
        <v>1</v>
      </c>
      <c r="K6904" s="11" t="s">
        <v>21</v>
      </c>
      <c r="L6904" s="7">
        <v>41656.078576388885</v>
      </c>
      <c r="M6904" s="12" t="s">
        <v>15475</v>
      </c>
      <c r="N6904" s="12" t="s">
        <v>15476</v>
      </c>
      <c r="O6904" s="10" t="str">
        <f>HYPERLINK("https://pbs.twimg.com/profile_images/423917634154151936/tKoaoerE_normal.jpeg","View")</f>
        <v>View</v>
      </c>
      <c r="P6904" s="11"/>
    </row>
    <row r="6905" spans="1:16" ht="12.75" x14ac:dyDescent="0.35">
      <c r="A6905" s="7">
        <v>42484.551898148144</v>
      </c>
      <c r="B6905" s="8" t="str">
        <f>HYPERLINK("https://twitter.com/Volkstyp2","@Volkstyp2")</f>
        <v>@Volkstyp2</v>
      </c>
      <c r="C6905" s="9" t="s">
        <v>15477</v>
      </c>
      <c r="D6905" s="9" t="s">
        <v>15478</v>
      </c>
      <c r="E6905" s="10" t="str">
        <f>HYPERLINK("https://twitter.com/Volkstyp2/status/724142012895760384","724142012895760384")</f>
        <v>724142012895760384</v>
      </c>
      <c r="F6905" s="11" t="s">
        <v>367</v>
      </c>
      <c r="G6905" s="11">
        <v>1920</v>
      </c>
      <c r="H6905" s="11">
        <v>1967</v>
      </c>
      <c r="I6905" s="11">
        <v>0</v>
      </c>
      <c r="J6905" s="11">
        <v>1</v>
      </c>
      <c r="K6905" s="11" t="s">
        <v>21</v>
      </c>
      <c r="L6905" s="7">
        <v>41669.929074074076</v>
      </c>
      <c r="M6905" s="12" t="s">
        <v>15479</v>
      </c>
      <c r="N6905" s="12" t="s">
        <v>15480</v>
      </c>
      <c r="O6905" s="10" t="str">
        <f>HYPERLINK("https://pbs.twimg.com/profile_images/430364935202164736/BE53SBuw_normal.jpeg","View")</f>
        <v>View</v>
      </c>
      <c r="P6905" s="11"/>
    </row>
    <row r="6906" spans="1:16" ht="12.75" x14ac:dyDescent="0.35">
      <c r="A6906" s="7">
        <v>42484.551932870367</v>
      </c>
      <c r="B6906" s="8" t="str">
        <f>HYPERLINK("https://twitter.com/travelbot666","@travelbot666")</f>
        <v>@travelbot666</v>
      </c>
      <c r="C6906" s="9" t="s">
        <v>15481</v>
      </c>
      <c r="D6906" s="9" t="s">
        <v>15482</v>
      </c>
      <c r="E6906" s="10" t="str">
        <f>HYPERLINK("https://twitter.com/travelbot666/status/724142024706953216","724142024706953216")</f>
        <v>724142024706953216</v>
      </c>
      <c r="F6906" s="11" t="s">
        <v>15483</v>
      </c>
      <c r="G6906" s="11">
        <v>539</v>
      </c>
      <c r="H6906" s="11">
        <v>2</v>
      </c>
      <c r="I6906" s="11">
        <v>1</v>
      </c>
      <c r="J6906" s="11">
        <v>0</v>
      </c>
      <c r="K6906" s="11" t="s">
        <v>21</v>
      </c>
      <c r="L6906" s="7">
        <v>42462.662743055553</v>
      </c>
      <c r="M6906" s="12"/>
      <c r="N6906" s="12" t="s">
        <v>15484</v>
      </c>
      <c r="O6906" s="10" t="str">
        <f>HYPERLINK("https://abs.twimg.com/sticky/default_profile_images/default_profile_5_normal.png","View")</f>
        <v>View</v>
      </c>
      <c r="P6906" s="11"/>
    </row>
    <row r="6907" spans="1:16" ht="12.75" x14ac:dyDescent="0.35">
      <c r="A6907" s="7">
        <v>42484.552268518513</v>
      </c>
      <c r="B6907" s="8" t="str">
        <f>HYPERLINK("https://twitter.com/michell73094462","@michell73094462")</f>
        <v>@michell73094462</v>
      </c>
      <c r="C6907" s="9" t="s">
        <v>15485</v>
      </c>
      <c r="D6907" s="9" t="s">
        <v>14518</v>
      </c>
      <c r="E6907" s="10" t="str">
        <f>HYPERLINK("https://twitter.com/michell73094462/status/724142147549683712","724142147549683712")</f>
        <v>724142147549683712</v>
      </c>
      <c r="F6907" s="11" t="s">
        <v>43</v>
      </c>
      <c r="G6907" s="11">
        <v>81</v>
      </c>
      <c r="H6907" s="11">
        <v>1131</v>
      </c>
      <c r="I6907" s="11">
        <v>69</v>
      </c>
      <c r="J6907" s="11">
        <v>0</v>
      </c>
      <c r="K6907" s="11" t="s">
        <v>21</v>
      </c>
      <c r="L6907" s="7">
        <v>41019.946782407409</v>
      </c>
      <c r="M6907" s="12"/>
      <c r="N6907" s="12"/>
      <c r="O6907" s="10" t="str">
        <f>HYPERLINK("https://pbs.twimg.com/profile_images/2651105844/397add13e3fe54a55cc1843292c7d917_normal.jpeg","View")</f>
        <v>View</v>
      </c>
      <c r="P6907" s="11"/>
    </row>
    <row r="6908" spans="1:16" ht="12.75" x14ac:dyDescent="0.35">
      <c r="A6908" s="7">
        <v>42484.552569444444</v>
      </c>
      <c r="B6908" s="8" t="str">
        <f>HYPERLINK("https://twitter.com/vwpress_de","@vwpress_de")</f>
        <v>@vwpress_de</v>
      </c>
      <c r="C6908" s="9" t="s">
        <v>1685</v>
      </c>
      <c r="D6908" s="9" t="s">
        <v>15486</v>
      </c>
      <c r="E6908" s="10" t="str">
        <f>HYPERLINK("https://twitter.com/vwpress_de/status/724142258300293121","724142258300293121")</f>
        <v>724142258300293121</v>
      </c>
      <c r="F6908" s="11" t="s">
        <v>152</v>
      </c>
      <c r="G6908" s="11">
        <v>5857</v>
      </c>
      <c r="H6908" s="11">
        <v>610</v>
      </c>
      <c r="I6908" s="11">
        <v>0</v>
      </c>
      <c r="J6908" s="11">
        <v>2</v>
      </c>
      <c r="K6908" s="11" t="s">
        <v>21</v>
      </c>
      <c r="L6908" s="7">
        <v>42041.830381944441</v>
      </c>
      <c r="M6908" s="12" t="s">
        <v>1690</v>
      </c>
      <c r="N6908" s="12" t="s">
        <v>1691</v>
      </c>
      <c r="O6908" s="10" t="str">
        <f>HYPERLINK("https://pbs.twimg.com/profile_images/682117656502222848/Ge7YeAF3_normal.png","View")</f>
        <v>View</v>
      </c>
      <c r="P6908" s="11"/>
    </row>
    <row r="6909" spans="1:16" ht="12.75" x14ac:dyDescent="0.35">
      <c r="A6909" s="7">
        <v>42484.552719907406</v>
      </c>
      <c r="B6909" s="8" t="str">
        <f>HYPERLINK("https://twitter.com/Volkstyp2","@Volkstyp2")</f>
        <v>@Volkstyp2</v>
      </c>
      <c r="C6909" s="9" t="s">
        <v>15477</v>
      </c>
      <c r="D6909" s="9" t="s">
        <v>15487</v>
      </c>
      <c r="E6909" s="10" t="str">
        <f>HYPERLINK("https://twitter.com/Volkstyp2/status/724142309860868096","724142309860868096")</f>
        <v>724142309860868096</v>
      </c>
      <c r="F6909" s="11" t="s">
        <v>367</v>
      </c>
      <c r="G6909" s="11">
        <v>1920</v>
      </c>
      <c r="H6909" s="11">
        <v>1967</v>
      </c>
      <c r="I6909" s="11">
        <v>3</v>
      </c>
      <c r="J6909" s="11">
        <v>0</v>
      </c>
      <c r="K6909" s="11" t="s">
        <v>21</v>
      </c>
      <c r="L6909" s="7">
        <v>41669.929074074076</v>
      </c>
      <c r="M6909" s="12" t="s">
        <v>15479</v>
      </c>
      <c r="N6909" s="12" t="s">
        <v>15480</v>
      </c>
      <c r="O6909" s="10" t="str">
        <f>HYPERLINK("https://pbs.twimg.com/profile_images/430364935202164736/BE53SBuw_normal.jpeg","View")</f>
        <v>View</v>
      </c>
      <c r="P6909" s="11"/>
    </row>
    <row r="6910" spans="1:16" ht="12.75" x14ac:dyDescent="0.35">
      <c r="A6910" s="7">
        <v>42484.553182870368</v>
      </c>
      <c r="B6910" s="8" t="str">
        <f t="shared" ref="B6910:B6911" si="639">HYPERLINK("https://twitter.com/VolkswagenPost","@VolkswagenPost")</f>
        <v>@VolkswagenPost</v>
      </c>
      <c r="C6910" s="9" t="s">
        <v>321</v>
      </c>
      <c r="D6910" s="9" t="s">
        <v>15488</v>
      </c>
      <c r="E6910" s="10" t="str">
        <f>HYPERLINK("https://twitter.com/VolkswagenPost/status/724142477318492160","724142477318492160")</f>
        <v>724142477318492160</v>
      </c>
      <c r="F6910" s="11" t="s">
        <v>288</v>
      </c>
      <c r="G6910" s="11">
        <v>570</v>
      </c>
      <c r="H6910" s="11">
        <v>446</v>
      </c>
      <c r="I6910" s="11">
        <v>2</v>
      </c>
      <c r="J6910" s="11">
        <v>0</v>
      </c>
      <c r="K6910" s="11" t="s">
        <v>21</v>
      </c>
      <c r="L6910" s="7">
        <v>41940.618379629632</v>
      </c>
      <c r="M6910" s="12"/>
      <c r="N6910" s="12"/>
      <c r="O6910" s="10" t="str">
        <f t="shared" ref="O6910:O6911" si="640">HYPERLINK("https://pbs.twimg.com/profile_images/530071272881803264/a_jcCmPZ_normal.png","View")</f>
        <v>View</v>
      </c>
      <c r="P6910" s="11"/>
    </row>
    <row r="6911" spans="1:16" ht="12.75" x14ac:dyDescent="0.35">
      <c r="A6911" s="7">
        <v>42484.553182870368</v>
      </c>
      <c r="B6911" s="8" t="str">
        <f t="shared" si="639"/>
        <v>@VolkswagenPost</v>
      </c>
      <c r="C6911" s="9" t="s">
        <v>321</v>
      </c>
      <c r="D6911" s="9" t="s">
        <v>15489</v>
      </c>
      <c r="E6911" s="10" t="str">
        <f>HYPERLINK("https://twitter.com/VolkswagenPost/status/724142478144770048","724142478144770048")</f>
        <v>724142478144770048</v>
      </c>
      <c r="F6911" s="11" t="s">
        <v>288</v>
      </c>
      <c r="G6911" s="11">
        <v>570</v>
      </c>
      <c r="H6911" s="11">
        <v>446</v>
      </c>
      <c r="I6911" s="11">
        <v>3</v>
      </c>
      <c r="J6911" s="11">
        <v>0</v>
      </c>
      <c r="K6911" s="11" t="s">
        <v>21</v>
      </c>
      <c r="L6911" s="7">
        <v>41940.618379629632</v>
      </c>
      <c r="M6911" s="12"/>
      <c r="N6911" s="12"/>
      <c r="O6911" s="10" t="str">
        <f t="shared" si="640"/>
        <v>View</v>
      </c>
      <c r="P6911" s="11"/>
    </row>
    <row r="6912" spans="1:16" ht="12.75" x14ac:dyDescent="0.35">
      <c r="A6912" s="7">
        <v>42484.554108796292</v>
      </c>
      <c r="B6912" s="8" t="str">
        <f>HYPERLINK("https://twitter.com/vwpress_en","@vwpress_en")</f>
        <v>@vwpress_en</v>
      </c>
      <c r="C6912" s="9" t="s">
        <v>1685</v>
      </c>
      <c r="D6912" s="9" t="s">
        <v>15490</v>
      </c>
      <c r="E6912" s="10" t="str">
        <f>HYPERLINK("https://twitter.com/vwpress_en/status/724142816172105728","724142816172105728")</f>
        <v>724142816172105728</v>
      </c>
      <c r="F6912" s="11" t="s">
        <v>152</v>
      </c>
      <c r="G6912" s="11">
        <v>55937</v>
      </c>
      <c r="H6912" s="11">
        <v>339</v>
      </c>
      <c r="I6912" s="11">
        <v>4</v>
      </c>
      <c r="J6912" s="11">
        <v>11</v>
      </c>
      <c r="K6912" s="11" t="s">
        <v>21</v>
      </c>
      <c r="L6912" s="7">
        <v>42041.83189814815</v>
      </c>
      <c r="M6912" s="12" t="s">
        <v>1687</v>
      </c>
      <c r="N6912" s="12" t="s">
        <v>1688</v>
      </c>
      <c r="O6912" s="10" t="str">
        <f>HYPERLINK("https://pbs.twimg.com/profile_images/682117963349135360/IUfZQy35_normal.png","View")</f>
        <v>View</v>
      </c>
      <c r="P6912" s="11"/>
    </row>
    <row r="6913" spans="1:16" ht="12.75" x14ac:dyDescent="0.35">
      <c r="A6913" s="7">
        <v>42484.554270833338</v>
      </c>
      <c r="B6913" s="8" t="str">
        <f>HYPERLINK("https://twitter.com/Volkstyp2","@Volkstyp2")</f>
        <v>@Volkstyp2</v>
      </c>
      <c r="C6913" s="9" t="s">
        <v>15477</v>
      </c>
      <c r="D6913" s="9" t="s">
        <v>15491</v>
      </c>
      <c r="E6913" s="10" t="str">
        <f>HYPERLINK("https://twitter.com/Volkstyp2/status/724142874477092865","724142874477092865")</f>
        <v>724142874477092865</v>
      </c>
      <c r="F6913" s="11" t="s">
        <v>367</v>
      </c>
      <c r="G6913" s="11">
        <v>1920</v>
      </c>
      <c r="H6913" s="11">
        <v>1967</v>
      </c>
      <c r="I6913" s="11">
        <v>2</v>
      </c>
      <c r="J6913" s="11">
        <v>0</v>
      </c>
      <c r="K6913" s="11" t="s">
        <v>21</v>
      </c>
      <c r="L6913" s="7">
        <v>41669.929074074076</v>
      </c>
      <c r="M6913" s="12" t="s">
        <v>15479</v>
      </c>
      <c r="N6913" s="12" t="s">
        <v>15480</v>
      </c>
      <c r="O6913" s="10" t="str">
        <f>HYPERLINK("https://pbs.twimg.com/profile_images/430364935202164736/BE53SBuw_normal.jpeg","View")</f>
        <v>View</v>
      </c>
      <c r="P6913" s="11"/>
    </row>
    <row r="6914" spans="1:16" ht="12.75" x14ac:dyDescent="0.35">
      <c r="A6914" s="7">
        <v>42484.555150462962</v>
      </c>
      <c r="B6914" s="8" t="str">
        <f t="shared" ref="B6914:B6916" si="641">HYPERLINK("https://twitter.com/DubLuvTuning","@DubLuvTuning")</f>
        <v>@DubLuvTuning</v>
      </c>
      <c r="C6914" s="9" t="s">
        <v>299</v>
      </c>
      <c r="D6914" s="9" t="s">
        <v>15488</v>
      </c>
      <c r="E6914" s="10" t="str">
        <f>HYPERLINK("https://twitter.com/DubLuvTuning/status/724143192153677824","724143192153677824")</f>
        <v>724143192153677824</v>
      </c>
      <c r="F6914" s="11" t="s">
        <v>288</v>
      </c>
      <c r="G6914" s="11">
        <v>689</v>
      </c>
      <c r="H6914" s="11">
        <v>430</v>
      </c>
      <c r="I6914" s="11">
        <v>2</v>
      </c>
      <c r="J6914" s="11">
        <v>0</v>
      </c>
      <c r="K6914" s="11" t="s">
        <v>21</v>
      </c>
      <c r="L6914" s="7">
        <v>41549.898287037038</v>
      </c>
      <c r="M6914" s="12" t="s">
        <v>301</v>
      </c>
      <c r="N6914" s="12" t="s">
        <v>302</v>
      </c>
      <c r="O6914" s="10" t="str">
        <f t="shared" ref="O6914:O6916" si="642">HYPERLINK("https://pbs.twimg.com/profile_images/378800000572104796/1de43e1cf23efb3f4101c02afad0d3b6_normal.png","View")</f>
        <v>View</v>
      </c>
      <c r="P6914" s="11"/>
    </row>
    <row r="6915" spans="1:16" ht="12.75" x14ac:dyDescent="0.35">
      <c r="A6915" s="7">
        <v>42484.555150462962</v>
      </c>
      <c r="B6915" s="8" t="str">
        <f t="shared" si="641"/>
        <v>@DubLuvTuning</v>
      </c>
      <c r="C6915" s="9" t="s">
        <v>299</v>
      </c>
      <c r="D6915" s="9" t="s">
        <v>15489</v>
      </c>
      <c r="E6915" s="10" t="str">
        <f>HYPERLINK("https://twitter.com/DubLuvTuning/status/724143192904482816","724143192904482816")</f>
        <v>724143192904482816</v>
      </c>
      <c r="F6915" s="11" t="s">
        <v>288</v>
      </c>
      <c r="G6915" s="11">
        <v>689</v>
      </c>
      <c r="H6915" s="11">
        <v>430</v>
      </c>
      <c r="I6915" s="11">
        <v>3</v>
      </c>
      <c r="J6915" s="11">
        <v>0</v>
      </c>
      <c r="K6915" s="11" t="s">
        <v>21</v>
      </c>
      <c r="L6915" s="7">
        <v>41549.898287037038</v>
      </c>
      <c r="M6915" s="12" t="s">
        <v>301</v>
      </c>
      <c r="N6915" s="12" t="s">
        <v>302</v>
      </c>
      <c r="O6915" s="10" t="str">
        <f t="shared" si="642"/>
        <v>View</v>
      </c>
      <c r="P6915" s="11"/>
    </row>
    <row r="6916" spans="1:16" ht="12.75" x14ac:dyDescent="0.35">
      <c r="A6916" s="7">
        <v>42484.555150462962</v>
      </c>
      <c r="B6916" s="8" t="str">
        <f t="shared" si="641"/>
        <v>@DubLuvTuning</v>
      </c>
      <c r="C6916" s="9" t="s">
        <v>299</v>
      </c>
      <c r="D6916" s="9" t="s">
        <v>15492</v>
      </c>
      <c r="E6916" s="10" t="str">
        <f>HYPERLINK("https://twitter.com/DubLuvTuning/status/724143193760083968","724143193760083968")</f>
        <v>724143193760083968</v>
      </c>
      <c r="F6916" s="11" t="s">
        <v>288</v>
      </c>
      <c r="G6916" s="11">
        <v>689</v>
      </c>
      <c r="H6916" s="11">
        <v>430</v>
      </c>
      <c r="I6916" s="11">
        <v>2</v>
      </c>
      <c r="J6916" s="11">
        <v>0</v>
      </c>
      <c r="K6916" s="11" t="s">
        <v>21</v>
      </c>
      <c r="L6916" s="7">
        <v>41549.898287037038</v>
      </c>
      <c r="M6916" s="12" t="s">
        <v>301</v>
      </c>
      <c r="N6916" s="12" t="s">
        <v>302</v>
      </c>
      <c r="O6916" s="10" t="str">
        <f t="shared" si="642"/>
        <v>View</v>
      </c>
      <c r="P6916" s="11"/>
    </row>
    <row r="6917" spans="1:16" ht="12.75" x14ac:dyDescent="0.35">
      <c r="A6917" s="7">
        <v>42484.555486111116</v>
      </c>
      <c r="B6917" s="8" t="str">
        <f>HYPERLINK("https://twitter.com/miljanbojo","@miljanbojo")</f>
        <v>@miljanbojo</v>
      </c>
      <c r="C6917" s="9" t="s">
        <v>15493</v>
      </c>
      <c r="D6917" s="9" t="s">
        <v>15494</v>
      </c>
      <c r="E6917" s="10" t="str">
        <f>HYPERLINK("https://twitter.com/miljanbojo/status/724143314912591872","724143314912591872")</f>
        <v>724143314912591872</v>
      </c>
      <c r="F6917" s="11" t="s">
        <v>48</v>
      </c>
      <c r="G6917" s="11">
        <v>913</v>
      </c>
      <c r="H6917" s="11">
        <v>5001</v>
      </c>
      <c r="I6917" s="11">
        <v>4</v>
      </c>
      <c r="J6917" s="11">
        <v>0</v>
      </c>
      <c r="K6917" s="11" t="s">
        <v>21</v>
      </c>
      <c r="L6917" s="7">
        <v>41440.685729166667</v>
      </c>
      <c r="M6917" s="12"/>
      <c r="N6917" s="12"/>
      <c r="O6917" s="10" t="str">
        <f>HYPERLINK("https://pbs.twimg.com/profile_images/437989922432380928/qzNCXkVu_normal.jpeg","View")</f>
        <v>View</v>
      </c>
      <c r="P6917" s="11"/>
    </row>
    <row r="6918" spans="1:16" ht="12.75" x14ac:dyDescent="0.35">
      <c r="A6918" s="7">
        <v>42484.555497685185</v>
      </c>
      <c r="B6918" s="8" t="str">
        <f>HYPERLINK("https://twitter.com/LisaHenri2","@LisaHenri2")</f>
        <v>@LisaHenri2</v>
      </c>
      <c r="C6918" s="9" t="s">
        <v>15473</v>
      </c>
      <c r="D6918" s="9" t="s">
        <v>15495</v>
      </c>
      <c r="E6918" s="10" t="str">
        <f>HYPERLINK("https://twitter.com/LisaHenri2/status/724143316175065088","724143316175065088")</f>
        <v>724143316175065088</v>
      </c>
      <c r="F6918" s="11" t="s">
        <v>114</v>
      </c>
      <c r="G6918" s="11">
        <v>343</v>
      </c>
      <c r="H6918" s="11">
        <v>496</v>
      </c>
      <c r="I6918" s="11">
        <v>0</v>
      </c>
      <c r="J6918" s="11">
        <v>0</v>
      </c>
      <c r="K6918" s="11" t="s">
        <v>21</v>
      </c>
      <c r="L6918" s="7">
        <v>41656.078576388885</v>
      </c>
      <c r="M6918" s="12" t="s">
        <v>15475</v>
      </c>
      <c r="N6918" s="12" t="s">
        <v>15476</v>
      </c>
      <c r="O6918" s="10" t="str">
        <f>HYPERLINK("https://pbs.twimg.com/profile_images/423917634154151936/tKoaoerE_normal.jpeg","View")</f>
        <v>View</v>
      </c>
      <c r="P6918" s="11"/>
    </row>
    <row r="6919" spans="1:16" ht="12.75" x14ac:dyDescent="0.35">
      <c r="A6919" s="7">
        <v>42484.556099537032</v>
      </c>
      <c r="B6919" s="8" t="str">
        <f>HYPERLINK("https://twitter.com/Felix_Nyaga","@Felix_Nyaga")</f>
        <v>@Felix_Nyaga</v>
      </c>
      <c r="C6919" s="9" t="s">
        <v>15496</v>
      </c>
      <c r="D6919" s="9" t="s">
        <v>15494</v>
      </c>
      <c r="E6919" s="10" t="str">
        <f>HYPERLINK("https://twitter.com/Felix_Nyaga/status/724143537416232960","724143537416232960")</f>
        <v>724143537416232960</v>
      </c>
      <c r="F6919" s="11" t="s">
        <v>2060</v>
      </c>
      <c r="G6919" s="11">
        <v>208</v>
      </c>
      <c r="H6919" s="11">
        <v>761</v>
      </c>
      <c r="I6919" s="11">
        <v>4</v>
      </c>
      <c r="J6919" s="11">
        <v>0</v>
      </c>
      <c r="K6919" s="11" t="s">
        <v>21</v>
      </c>
      <c r="L6919" s="7">
        <v>40388.868935185186</v>
      </c>
      <c r="M6919" s="12" t="s">
        <v>12743</v>
      </c>
      <c r="N6919" s="12" t="s">
        <v>15497</v>
      </c>
      <c r="O6919" s="10" t="str">
        <f>HYPERLINK("https://pbs.twimg.com/profile_images/437105386558992385/axf-xKDd_normal.jpeg","View")</f>
        <v>View</v>
      </c>
      <c r="P6919" s="11"/>
    </row>
    <row r="6920" spans="1:16" ht="12.75" x14ac:dyDescent="0.35">
      <c r="A6920" s="7">
        <v>42484.557881944449</v>
      </c>
      <c r="B6920" s="8" t="str">
        <f>HYPERLINK("https://twitter.com/sax_odyssey","@sax_odyssey")</f>
        <v>@sax_odyssey</v>
      </c>
      <c r="C6920" s="9" t="s">
        <v>15498</v>
      </c>
      <c r="D6920" s="9" t="s">
        <v>15494</v>
      </c>
      <c r="E6920" s="10" t="str">
        <f>HYPERLINK("https://twitter.com/sax_odyssey/status/724144182223343616","724144182223343616")</f>
        <v>724144182223343616</v>
      </c>
      <c r="F6920" s="11" t="s">
        <v>48</v>
      </c>
      <c r="G6920" s="11">
        <v>133</v>
      </c>
      <c r="H6920" s="11">
        <v>541</v>
      </c>
      <c r="I6920" s="11">
        <v>4</v>
      </c>
      <c r="J6920" s="11">
        <v>0</v>
      </c>
      <c r="K6920" s="11" t="s">
        <v>21</v>
      </c>
      <c r="L6920" s="7">
        <v>42363.904085648144</v>
      </c>
      <c r="M6920" s="12" t="s">
        <v>15499</v>
      </c>
      <c r="N6920" s="12" t="s">
        <v>15500</v>
      </c>
      <c r="O6920" s="10" t="str">
        <f>HYPERLINK("https://pbs.twimg.com/profile_images/716819659706777600/Z945kYnb_normal.jpg","View")</f>
        <v>View</v>
      </c>
      <c r="P6920" s="11"/>
    </row>
    <row r="6921" spans="1:16" ht="12.75" x14ac:dyDescent="0.35">
      <c r="A6921" s="7">
        <v>42484.558958333335</v>
      </c>
      <c r="B6921" s="8" t="str">
        <f>HYPERLINK("https://twitter.com/ALSP8","@ALSP8")</f>
        <v>@ALSP8</v>
      </c>
      <c r="C6921" s="9" t="s">
        <v>15501</v>
      </c>
      <c r="D6921" s="9" t="s">
        <v>15502</v>
      </c>
      <c r="E6921" s="10" t="str">
        <f>HYPERLINK("https://twitter.com/ALSP8/status/724144571681259520","724144571681259520")</f>
        <v>724144571681259520</v>
      </c>
      <c r="F6921" s="11" t="s">
        <v>114</v>
      </c>
      <c r="G6921" s="11">
        <v>499</v>
      </c>
      <c r="H6921" s="11">
        <v>603</v>
      </c>
      <c r="I6921" s="11">
        <v>0</v>
      </c>
      <c r="J6921" s="11">
        <v>0</v>
      </c>
      <c r="K6921" s="11" t="s">
        <v>21</v>
      </c>
      <c r="L6921" s="7">
        <v>39949.112939814819</v>
      </c>
      <c r="M6921" s="12" t="s">
        <v>15503</v>
      </c>
      <c r="N6921" s="12" t="s">
        <v>15504</v>
      </c>
      <c r="O6921" s="10" t="str">
        <f>HYPERLINK("https://pbs.twimg.com/profile_images/586606972696420352/aiX1YjIe_normal.jpg","View")</f>
        <v>View</v>
      </c>
      <c r="P6921" s="11"/>
    </row>
    <row r="6922" spans="1:16" ht="12.75" x14ac:dyDescent="0.35">
      <c r="A6922" s="7">
        <v>42484.558981481481</v>
      </c>
      <c r="B6922" s="8" t="str">
        <f>HYPERLINK("https://twitter.com/VolkswagenPost","@VolkswagenPost")</f>
        <v>@VolkswagenPost</v>
      </c>
      <c r="C6922" s="9" t="s">
        <v>321</v>
      </c>
      <c r="D6922" s="9" t="s">
        <v>15492</v>
      </c>
      <c r="E6922" s="10" t="str">
        <f>HYPERLINK("https://twitter.com/VolkswagenPost/status/724144579499446273","724144579499446273")</f>
        <v>724144579499446273</v>
      </c>
      <c r="F6922" s="11" t="s">
        <v>288</v>
      </c>
      <c r="G6922" s="11">
        <v>570</v>
      </c>
      <c r="H6922" s="11">
        <v>446</v>
      </c>
      <c r="I6922" s="11">
        <v>2</v>
      </c>
      <c r="J6922" s="11">
        <v>0</v>
      </c>
      <c r="K6922" s="11" t="s">
        <v>21</v>
      </c>
      <c r="L6922" s="7">
        <v>41940.618379629632</v>
      </c>
      <c r="M6922" s="12"/>
      <c r="N6922" s="12"/>
      <c r="O6922" s="10" t="str">
        <f>HYPERLINK("https://pbs.twimg.com/profile_images/530071272881803264/a_jcCmPZ_normal.png","View")</f>
        <v>View</v>
      </c>
      <c r="P6922" s="11"/>
    </row>
    <row r="6923" spans="1:16" ht="12.75" x14ac:dyDescent="0.35">
      <c r="A6923" s="7">
        <v>42484.561331018514</v>
      </c>
      <c r="B6923" s="8" t="str">
        <f>HYPERLINK("https://twitter.com/sgdigitalpr","@sgdigitalpr")</f>
        <v>@sgdigitalpr</v>
      </c>
      <c r="C6923" s="9" t="s">
        <v>15505</v>
      </c>
      <c r="D6923" s="9" t="s">
        <v>12351</v>
      </c>
      <c r="E6923" s="10" t="str">
        <f>HYPERLINK("https://twitter.com/sgdigitalpr/status/724145431475691520","724145431475691520")</f>
        <v>724145431475691520</v>
      </c>
      <c r="F6923" s="11" t="s">
        <v>20</v>
      </c>
      <c r="G6923" s="11">
        <v>376</v>
      </c>
      <c r="H6923" s="11">
        <v>64</v>
      </c>
      <c r="I6923" s="11">
        <v>2</v>
      </c>
      <c r="J6923" s="11">
        <v>0</v>
      </c>
      <c r="K6923" s="11" t="s">
        <v>21</v>
      </c>
      <c r="L6923" s="7">
        <v>40966.383437500001</v>
      </c>
      <c r="M6923" s="12" t="s">
        <v>15506</v>
      </c>
      <c r="N6923" s="12" t="s">
        <v>15507</v>
      </c>
      <c r="O6923" s="10" t="str">
        <f>HYPERLINK("https://pbs.twimg.com/profile_images/654492505421942784/mJOspSI3_normal.jpg","View")</f>
        <v>View</v>
      </c>
      <c r="P6923" s="11"/>
    </row>
    <row r="6924" spans="1:16" ht="12.75" x14ac:dyDescent="0.35">
      <c r="A6924" s="7">
        <v>42484.561574074076</v>
      </c>
      <c r="B6924" s="8" t="str">
        <f>HYPERLINK("https://twitter.com/journalistR","@journalistR")</f>
        <v>@journalistR</v>
      </c>
      <c r="C6924" s="9" t="s">
        <v>15508</v>
      </c>
      <c r="D6924" s="9" t="s">
        <v>15494</v>
      </c>
      <c r="E6924" s="10" t="str">
        <f>HYPERLINK("https://twitter.com/journalistR/status/724145519996489728","724145519996489728")</f>
        <v>724145519996489728</v>
      </c>
      <c r="F6924" s="11" t="s">
        <v>20</v>
      </c>
      <c r="G6924" s="11">
        <v>1952</v>
      </c>
      <c r="H6924" s="11">
        <v>591</v>
      </c>
      <c r="I6924" s="11">
        <v>4</v>
      </c>
      <c r="J6924" s="11">
        <v>0</v>
      </c>
      <c r="K6924" s="11" t="s">
        <v>21</v>
      </c>
      <c r="L6924" s="7">
        <v>40174.54751157407</v>
      </c>
      <c r="M6924" s="12" t="s">
        <v>15509</v>
      </c>
      <c r="N6924" s="12" t="s">
        <v>15510</v>
      </c>
      <c r="O6924" s="10" t="str">
        <f>HYPERLINK("https://pbs.twimg.com/profile_images/706498628571910146/fO9f4M2K_normal.jpg","View")</f>
        <v>View</v>
      </c>
      <c r="P6924" s="11"/>
    </row>
    <row r="6925" spans="1:16" ht="12.75" x14ac:dyDescent="0.35">
      <c r="A6925" s="7">
        <v>42484.562199074076</v>
      </c>
      <c r="B6925" s="8" t="str">
        <f>HYPERLINK("https://twitter.com/ErnstNordholt","@ErnstNordholt")</f>
        <v>@ErnstNordholt</v>
      </c>
      <c r="C6925" s="9" t="s">
        <v>1898</v>
      </c>
      <c r="D6925" s="9" t="s">
        <v>15489</v>
      </c>
      <c r="E6925" s="10" t="str">
        <f>HYPERLINK("https://twitter.com/ErnstNordholt/status/724145746581270528","724145746581270528")</f>
        <v>724145746581270528</v>
      </c>
      <c r="F6925" s="11" t="s">
        <v>43</v>
      </c>
      <c r="G6925" s="11">
        <v>537</v>
      </c>
      <c r="H6925" s="11">
        <v>1250</v>
      </c>
      <c r="I6925" s="11">
        <v>3</v>
      </c>
      <c r="J6925" s="11">
        <v>0</v>
      </c>
      <c r="K6925" s="11" t="s">
        <v>21</v>
      </c>
      <c r="L6925" s="7">
        <v>41228.797847222224</v>
      </c>
      <c r="M6925" s="12"/>
      <c r="N6925" s="12" t="s">
        <v>1899</v>
      </c>
      <c r="O6925" s="10" t="str">
        <f>HYPERLINK("https://pbs.twimg.com/profile_images/698509815870578688/S6oEQDwn_normal.jpg","View")</f>
        <v>View</v>
      </c>
      <c r="P6925" s="11"/>
    </row>
    <row r="6926" spans="1:16" ht="12.75" x14ac:dyDescent="0.35">
      <c r="A6926" s="7">
        <v>42484.563796296294</v>
      </c>
      <c r="B6926" s="8" t="str">
        <f>HYPERLINK("https://twitter.com/RSTOKAR","@RSTOKAR")</f>
        <v>@RSTOKAR</v>
      </c>
      <c r="C6926" s="9" t="s">
        <v>2514</v>
      </c>
      <c r="D6926" s="9" t="s">
        <v>15511</v>
      </c>
      <c r="E6926" s="10" t="str">
        <f>HYPERLINK("https://twitter.com/RSTOKAR/status/724146325655289856","724146325655289856")</f>
        <v>724146325655289856</v>
      </c>
      <c r="F6926" s="11" t="s">
        <v>48</v>
      </c>
      <c r="G6926" s="11">
        <v>151</v>
      </c>
      <c r="H6926" s="11">
        <v>333</v>
      </c>
      <c r="I6926" s="11">
        <v>2</v>
      </c>
      <c r="J6926" s="11">
        <v>0</v>
      </c>
      <c r="K6926" s="11" t="s">
        <v>21</v>
      </c>
      <c r="L6926" s="7">
        <v>41055.080138888887</v>
      </c>
      <c r="M6926" s="12" t="s">
        <v>2515</v>
      </c>
      <c r="N6926" s="12" t="s">
        <v>2516</v>
      </c>
      <c r="O6926" s="10" t="str">
        <f>HYPERLINK("https://pbs.twimg.com/profile_images/3282181310/09912193e3b2ecc229b9028eb0f19def_normal.jpeg","View")</f>
        <v>View</v>
      </c>
      <c r="P6926" s="11"/>
    </row>
    <row r="6927" spans="1:16" ht="12.75" x14ac:dyDescent="0.35">
      <c r="A6927" s="7">
        <v>42484.564849537041</v>
      </c>
      <c r="B6927" s="8" t="str">
        <f>HYPERLINK("https://twitter.com/NorthWestDubs","@NorthWestDubs")</f>
        <v>@NorthWestDubs</v>
      </c>
      <c r="C6927" s="9" t="s">
        <v>2537</v>
      </c>
      <c r="D6927" s="9" t="s">
        <v>15489</v>
      </c>
      <c r="E6927" s="10" t="str">
        <f>HYPERLINK("https://twitter.com/NorthWestDubs/status/724146707869609985","724146707869609985")</f>
        <v>724146707869609985</v>
      </c>
      <c r="F6927" s="11" t="s">
        <v>288</v>
      </c>
      <c r="G6927" s="11">
        <v>775</v>
      </c>
      <c r="H6927" s="11">
        <v>543</v>
      </c>
      <c r="I6927" s="11">
        <v>4</v>
      </c>
      <c r="J6927" s="11">
        <v>0</v>
      </c>
      <c r="K6927" s="11" t="s">
        <v>21</v>
      </c>
      <c r="L6927" s="7">
        <v>41052.970451388886</v>
      </c>
      <c r="M6927" s="12" t="s">
        <v>2538</v>
      </c>
      <c r="N6927" s="12" t="s">
        <v>2539</v>
      </c>
      <c r="O6927" s="10" t="str">
        <f>HYPERLINK("https://pbs.twimg.com/profile_images/3325520037/cf2027069deae5dc44e82172d33a6683_normal.jpeg","View")</f>
        <v>View</v>
      </c>
      <c r="P6927" s="11"/>
    </row>
    <row r="6928" spans="1:16" ht="12.75" x14ac:dyDescent="0.35">
      <c r="A6928" s="7">
        <v>42484.565092592587</v>
      </c>
      <c r="B6928" s="8" t="str">
        <f>HYPERLINK("https://twitter.com/Saluting_Pole","@Saluting_Pole")</f>
        <v>@Saluting_Pole</v>
      </c>
      <c r="C6928" s="9" t="s">
        <v>15512</v>
      </c>
      <c r="D6928" s="9" t="s">
        <v>9547</v>
      </c>
      <c r="E6928" s="10" t="str">
        <f>HYPERLINK("https://twitter.com/Saluting_Pole/status/724146793651392512","724146793651392512")</f>
        <v>724146793651392512</v>
      </c>
      <c r="F6928" s="11" t="s">
        <v>20</v>
      </c>
      <c r="G6928" s="11">
        <v>184</v>
      </c>
      <c r="H6928" s="11">
        <v>666</v>
      </c>
      <c r="I6928" s="11">
        <v>15</v>
      </c>
      <c r="J6928" s="11">
        <v>0</v>
      </c>
      <c r="K6928" s="11" t="s">
        <v>21</v>
      </c>
      <c r="L6928" s="7">
        <v>41798.602048611108</v>
      </c>
      <c r="M6928" s="12" t="s">
        <v>2907</v>
      </c>
      <c r="N6928" s="12" t="s">
        <v>15513</v>
      </c>
      <c r="O6928" s="10" t="str">
        <f>HYPERLINK("https://pbs.twimg.com/profile_images/475577159851843585/l8Q32jOP_normal.jpeg","View")</f>
        <v>View</v>
      </c>
      <c r="P6928" s="11"/>
    </row>
    <row r="6929" spans="1:16" ht="12.75" x14ac:dyDescent="0.35">
      <c r="A6929" s="7">
        <v>42484.565254629633</v>
      </c>
      <c r="B6929" s="8" t="str">
        <f>HYPERLINK("https://twitter.com/McDonald_69","@McDonald_69")</f>
        <v>@McDonald_69</v>
      </c>
      <c r="C6929" s="9" t="s">
        <v>15514</v>
      </c>
      <c r="D6929" s="9" t="s">
        <v>15515</v>
      </c>
      <c r="E6929" s="10" t="str">
        <f>HYPERLINK("https://twitter.com/McDonald_69/status/724146853592354816","724146853592354816")</f>
        <v>724146853592354816</v>
      </c>
      <c r="F6929" s="11" t="s">
        <v>48</v>
      </c>
      <c r="G6929" s="11">
        <v>2481</v>
      </c>
      <c r="H6929" s="11">
        <v>2083</v>
      </c>
      <c r="I6929" s="11">
        <v>0</v>
      </c>
      <c r="J6929" s="11">
        <v>0</v>
      </c>
      <c r="K6929" s="11" t="s">
        <v>21</v>
      </c>
      <c r="L6929" s="7">
        <v>40918.961087962962</v>
      </c>
      <c r="M6929" s="12" t="s">
        <v>15516</v>
      </c>
      <c r="N6929" s="12" t="s">
        <v>15517</v>
      </c>
      <c r="O6929" s="10" t="str">
        <f>HYPERLINK("https://pbs.twimg.com/profile_images/681860446043926528/J7hTNp65_normal.jpg","View")</f>
        <v>View</v>
      </c>
      <c r="P6929" s="11"/>
    </row>
    <row r="6930" spans="1:16" ht="12.75" x14ac:dyDescent="0.35">
      <c r="A6930" s="7">
        <v>42484.565648148149</v>
      </c>
      <c r="B6930" s="8" t="str">
        <f>HYPERLINK("https://twitter.com/umavoltadekombi","@umavoltadekombi")</f>
        <v>@umavoltadekombi</v>
      </c>
      <c r="C6930" s="9" t="s">
        <v>15518</v>
      </c>
      <c r="D6930" s="9" t="s">
        <v>15519</v>
      </c>
      <c r="E6930" s="10" t="str">
        <f>HYPERLINK("https://twitter.com/umavoltadekombi/status/724146996056064000","724146996056064000")</f>
        <v>724146996056064000</v>
      </c>
      <c r="F6930" s="11" t="s">
        <v>53</v>
      </c>
      <c r="G6930" s="11">
        <v>157</v>
      </c>
      <c r="H6930" s="11">
        <v>110</v>
      </c>
      <c r="I6930" s="11">
        <v>0</v>
      </c>
      <c r="J6930" s="11">
        <v>0</v>
      </c>
      <c r="K6930" s="11" t="s">
        <v>21</v>
      </c>
      <c r="L6930" s="7">
        <v>41728.256863425922</v>
      </c>
      <c r="M6930" s="12" t="s">
        <v>15520</v>
      </c>
      <c r="N6930" s="12" t="s">
        <v>15521</v>
      </c>
      <c r="O6930" s="10" t="str">
        <f>HYPERLINK("https://pbs.twimg.com/profile_images/473925322987954176/k8264FtZ_normal.png","View")</f>
        <v>View</v>
      </c>
      <c r="P6930" s="11"/>
    </row>
    <row r="6931" spans="1:16" ht="12.75" x14ac:dyDescent="0.35">
      <c r="A6931" s="7">
        <v>42484.565960648149</v>
      </c>
      <c r="B6931" s="8" t="str">
        <f>HYPERLINK("https://twitter.com/GerdKebschull","@GerdKebschull")</f>
        <v>@GerdKebschull</v>
      </c>
      <c r="C6931" s="9" t="s">
        <v>15522</v>
      </c>
      <c r="D6931" s="9" t="s">
        <v>15523</v>
      </c>
      <c r="E6931" s="10" t="str">
        <f>HYPERLINK("https://twitter.com/GerdKebschull/status/724147107305820160","724147107305820160")</f>
        <v>724147107305820160</v>
      </c>
      <c r="F6931" s="11" t="s">
        <v>43</v>
      </c>
      <c r="G6931" s="11">
        <v>125</v>
      </c>
      <c r="H6931" s="11">
        <v>313</v>
      </c>
      <c r="I6931" s="11">
        <v>0</v>
      </c>
      <c r="J6931" s="11">
        <v>1</v>
      </c>
      <c r="K6931" s="11" t="s">
        <v>21</v>
      </c>
      <c r="L6931" s="7">
        <v>40312.86109953704</v>
      </c>
      <c r="M6931" s="12" t="s">
        <v>15524</v>
      </c>
      <c r="N6931" s="12"/>
      <c r="O6931" s="10" t="str">
        <f>HYPERLINK("https://pbs.twimg.com/profile_images/546161039973572608/y1kL5bgd_normal.jpeg","View")</f>
        <v>View</v>
      </c>
      <c r="P6931" s="11"/>
    </row>
    <row r="6932" spans="1:16" ht="12.75" x14ac:dyDescent="0.35">
      <c r="A6932" s="7">
        <v>42484.566134259258</v>
      </c>
      <c r="B6932" s="8" t="str">
        <f>HYPERLINK("https://twitter.com/AutobahnSales","@AutobahnSales")</f>
        <v>@AutobahnSales</v>
      </c>
      <c r="C6932" s="9" t="s">
        <v>7310</v>
      </c>
      <c r="D6932" s="9" t="s">
        <v>15525</v>
      </c>
      <c r="E6932" s="10" t="str">
        <f>HYPERLINK("https://twitter.com/AutobahnSales/status/724147170400714752","724147170400714752")</f>
        <v>724147170400714752</v>
      </c>
      <c r="F6932" s="11" t="s">
        <v>152</v>
      </c>
      <c r="G6932" s="11">
        <v>270</v>
      </c>
      <c r="H6932" s="11">
        <v>180</v>
      </c>
      <c r="I6932" s="11">
        <v>0</v>
      </c>
      <c r="J6932" s="11">
        <v>0</v>
      </c>
      <c r="K6932" s="11" t="s">
        <v>21</v>
      </c>
      <c r="L6932" s="7">
        <v>40766.711122685185</v>
      </c>
      <c r="M6932" s="12" t="s">
        <v>7312</v>
      </c>
      <c r="N6932" s="12" t="s">
        <v>7313</v>
      </c>
      <c r="O6932" s="10" t="str">
        <f>HYPERLINK("https://pbs.twimg.com/profile_images/603104992703152128/ENsieqFD_normal.jpg","View")</f>
        <v>View</v>
      </c>
      <c r="P6932" s="11"/>
    </row>
    <row r="6933" spans="1:16" ht="12.75" x14ac:dyDescent="0.35">
      <c r="A6933" s="7">
        <v>42484.567361111112</v>
      </c>
      <c r="B6933" s="8" t="str">
        <f>HYPERLINK("https://twitter.com/CareumCH","@CareumCH")</f>
        <v>@CareumCH</v>
      </c>
      <c r="C6933" s="9" t="s">
        <v>15526</v>
      </c>
      <c r="D6933" s="9" t="s">
        <v>15527</v>
      </c>
      <c r="E6933" s="10" t="str">
        <f>HYPERLINK("https://twitter.com/CareumCH/status/724147617815470081","724147617815470081")</f>
        <v>724147617815470081</v>
      </c>
      <c r="F6933" s="11" t="s">
        <v>80</v>
      </c>
      <c r="G6933" s="11">
        <v>281</v>
      </c>
      <c r="H6933" s="11">
        <v>46</v>
      </c>
      <c r="I6933" s="11">
        <v>0</v>
      </c>
      <c r="J6933" s="11">
        <v>0</v>
      </c>
      <c r="K6933" s="11" t="s">
        <v>21</v>
      </c>
      <c r="L6933" s="7">
        <v>41369.831597222219</v>
      </c>
      <c r="M6933" s="12" t="s">
        <v>15528</v>
      </c>
      <c r="N6933" s="12" t="s">
        <v>15529</v>
      </c>
      <c r="O6933" s="10" t="str">
        <f>HYPERLINK("https://pbs.twimg.com/profile_images/3538117851/f1dd4558c9a12d1e9da8b0a4c93cb0e0_normal.jpeg","View")</f>
        <v>View</v>
      </c>
      <c r="P6933" s="11"/>
    </row>
    <row r="6934" spans="1:16" ht="12.75" x14ac:dyDescent="0.35">
      <c r="A6934" s="7">
        <v>42484.56758101852</v>
      </c>
      <c r="B6934" s="8" t="str">
        <f>HYPERLINK("https://twitter.com/florianlueft","@florianlueft")</f>
        <v>@florianlueft</v>
      </c>
      <c r="C6934" s="9" t="s">
        <v>15530</v>
      </c>
      <c r="D6934" s="9" t="s">
        <v>15531</v>
      </c>
      <c r="E6934" s="10" t="str">
        <f>HYPERLINK("https://twitter.com/florianlueft/status/724147696437747712","724147696437747712")</f>
        <v>724147696437747712</v>
      </c>
      <c r="F6934" s="11" t="s">
        <v>20</v>
      </c>
      <c r="G6934" s="11">
        <v>249</v>
      </c>
      <c r="H6934" s="11">
        <v>340</v>
      </c>
      <c r="I6934" s="11">
        <v>0</v>
      </c>
      <c r="J6934" s="11">
        <v>0</v>
      </c>
      <c r="K6934" s="11" t="s">
        <v>21</v>
      </c>
      <c r="L6934" s="7">
        <v>41178.97965277778</v>
      </c>
      <c r="M6934" s="12"/>
      <c r="N6934" s="12" t="s">
        <v>15532</v>
      </c>
      <c r="O6934" s="10" t="str">
        <f>HYPERLINK("https://pbs.twimg.com/profile_images/520636460295548931/obBYjqPM_normal.jpeg","View")</f>
        <v>View</v>
      </c>
      <c r="P6934" s="11"/>
    </row>
    <row r="6935" spans="1:16" ht="12.75" x14ac:dyDescent="0.35">
      <c r="A6935" s="7">
        <v>42484.568067129629</v>
      </c>
      <c r="B6935" s="8" t="str">
        <f>HYPERLINK("https://twitter.com/dw_business","@dw_business")</f>
        <v>@dw_business</v>
      </c>
      <c r="C6935" s="9" t="s">
        <v>3512</v>
      </c>
      <c r="D6935" s="9" t="s">
        <v>13108</v>
      </c>
      <c r="E6935" s="10" t="str">
        <f>HYPERLINK("https://twitter.com/dw_business/status/724147871205888002","724147871205888002")</f>
        <v>724147871205888002</v>
      </c>
      <c r="F6935" s="11" t="s">
        <v>254</v>
      </c>
      <c r="G6935" s="11">
        <v>6231</v>
      </c>
      <c r="H6935" s="11">
        <v>250</v>
      </c>
      <c r="I6935" s="11">
        <v>0</v>
      </c>
      <c r="J6935" s="11">
        <v>0</v>
      </c>
      <c r="K6935" s="11" t="s">
        <v>21</v>
      </c>
      <c r="L6935" s="7">
        <v>39919.595196759255</v>
      </c>
      <c r="M6935" s="12" t="s">
        <v>1303</v>
      </c>
      <c r="N6935" s="12" t="s">
        <v>3514</v>
      </c>
      <c r="O6935" s="10" t="str">
        <f>HYPERLINK("https://pbs.twimg.com/profile_images/474178130312044544/-U2TP65D_normal.png","View")</f>
        <v>View</v>
      </c>
      <c r="P6935" s="11"/>
    </row>
    <row r="6936" spans="1:16" ht="12.75" x14ac:dyDescent="0.35">
      <c r="A6936" s="7">
        <v>42484.568287037036</v>
      </c>
      <c r="B6936" s="8" t="str">
        <f>HYPERLINK("https://twitter.com/Ingridodl","@Ingridodl")</f>
        <v>@Ingridodl</v>
      </c>
      <c r="C6936" s="9" t="s">
        <v>15533</v>
      </c>
      <c r="D6936" s="9" t="s">
        <v>15534</v>
      </c>
      <c r="E6936" s="10" t="str">
        <f>HYPERLINK("https://twitter.com/Ingridodl/status/724147951422058496","724147951422058496")</f>
        <v>724147951422058496</v>
      </c>
      <c r="F6936" s="11" t="s">
        <v>985</v>
      </c>
      <c r="G6936" s="11">
        <v>120</v>
      </c>
      <c r="H6936" s="11">
        <v>165</v>
      </c>
      <c r="I6936" s="11">
        <v>0</v>
      </c>
      <c r="J6936" s="11">
        <v>0</v>
      </c>
      <c r="K6936" s="11" t="s">
        <v>21</v>
      </c>
      <c r="L6936" s="7">
        <v>39891.360636574071</v>
      </c>
      <c r="M6936" s="12"/>
      <c r="N6936" s="12" t="s">
        <v>15535</v>
      </c>
      <c r="O6936" s="10" t="str">
        <f>HYPERLINK("https://pbs.twimg.com/profile_images/700112917337923584/D3GKv_nI_normal.jpg","View")</f>
        <v>View</v>
      </c>
      <c r="P6936" s="11"/>
    </row>
    <row r="6937" spans="1:16" ht="12.75" x14ac:dyDescent="0.35">
      <c r="A6937" s="7">
        <v>42484.56895833333</v>
      </c>
      <c r="B6937" s="8" t="str">
        <f t="shared" ref="B6937:B6939" si="643">HYPERLINK("https://twitter.com/beetlebug1938","@beetlebug1938")</f>
        <v>@beetlebug1938</v>
      </c>
      <c r="C6937" s="9" t="s">
        <v>66</v>
      </c>
      <c r="D6937" s="9" t="s">
        <v>15536</v>
      </c>
      <c r="E6937" s="10" t="str">
        <f>HYPERLINK("https://twitter.com/beetlebug1938/status/724148194653949952","724148194653949952")</f>
        <v>724148194653949952</v>
      </c>
      <c r="F6937" s="11" t="s">
        <v>68</v>
      </c>
      <c r="G6937" s="11">
        <v>370</v>
      </c>
      <c r="H6937" s="11">
        <v>2227</v>
      </c>
      <c r="I6937" s="11">
        <v>0</v>
      </c>
      <c r="J6937" s="11">
        <v>0</v>
      </c>
      <c r="K6937" s="11" t="s">
        <v>21</v>
      </c>
      <c r="L6937" s="7">
        <v>42469.863865740743</v>
      </c>
      <c r="M6937" s="12" t="s">
        <v>69</v>
      </c>
      <c r="N6937" s="12"/>
      <c r="O6937" s="10" t="str">
        <f t="shared" ref="O6937:O6939" si="644">HYPERLINK("https://pbs.twimg.com/profile_images/718820712757215233/LXXndPTS_normal.jpg","View")</f>
        <v>View</v>
      </c>
      <c r="P6937" s="11"/>
    </row>
    <row r="6938" spans="1:16" ht="12.75" x14ac:dyDescent="0.35">
      <c r="A6938" s="7">
        <v>42484.568993055553</v>
      </c>
      <c r="B6938" s="8" t="str">
        <f t="shared" si="643"/>
        <v>@beetlebug1938</v>
      </c>
      <c r="C6938" s="9" t="s">
        <v>66</v>
      </c>
      <c r="D6938" s="9" t="s">
        <v>15537</v>
      </c>
      <c r="E6938" s="10" t="str">
        <f>HYPERLINK("https://twitter.com/beetlebug1938/status/724148206238576640","724148206238576640")</f>
        <v>724148206238576640</v>
      </c>
      <c r="F6938" s="11" t="s">
        <v>68</v>
      </c>
      <c r="G6938" s="11">
        <v>370</v>
      </c>
      <c r="H6938" s="11">
        <v>2227</v>
      </c>
      <c r="I6938" s="11">
        <v>0</v>
      </c>
      <c r="J6938" s="11">
        <v>0</v>
      </c>
      <c r="K6938" s="11" t="s">
        <v>21</v>
      </c>
      <c r="L6938" s="7">
        <v>42469.863865740743</v>
      </c>
      <c r="M6938" s="12" t="s">
        <v>69</v>
      </c>
      <c r="N6938" s="12"/>
      <c r="O6938" s="10" t="str">
        <f t="shared" si="644"/>
        <v>View</v>
      </c>
      <c r="P6938" s="11"/>
    </row>
    <row r="6939" spans="1:16" ht="12.75" x14ac:dyDescent="0.35">
      <c r="A6939" s="7">
        <v>42484.569016203706</v>
      </c>
      <c r="B6939" s="8" t="str">
        <f t="shared" si="643"/>
        <v>@beetlebug1938</v>
      </c>
      <c r="C6939" s="9" t="s">
        <v>66</v>
      </c>
      <c r="D6939" s="9" t="s">
        <v>15538</v>
      </c>
      <c r="E6939" s="10" t="str">
        <f>HYPERLINK("https://twitter.com/beetlebug1938/status/724148218607579136","724148218607579136")</f>
        <v>724148218607579136</v>
      </c>
      <c r="F6939" s="11" t="s">
        <v>68</v>
      </c>
      <c r="G6939" s="11">
        <v>370</v>
      </c>
      <c r="H6939" s="11">
        <v>2227</v>
      </c>
      <c r="I6939" s="11">
        <v>0</v>
      </c>
      <c r="J6939" s="11">
        <v>0</v>
      </c>
      <c r="K6939" s="11" t="s">
        <v>21</v>
      </c>
      <c r="L6939" s="7">
        <v>42469.863865740743</v>
      </c>
      <c r="M6939" s="12" t="s">
        <v>69</v>
      </c>
      <c r="N6939" s="12"/>
      <c r="O6939" s="10" t="str">
        <f t="shared" si="644"/>
        <v>View</v>
      </c>
      <c r="P6939" s="11"/>
    </row>
    <row r="6940" spans="1:16" ht="12.75" x14ac:dyDescent="0.35">
      <c r="A6940" s="7">
        <v>42484.570034722223</v>
      </c>
      <c r="B6940" s="8" t="str">
        <f>HYPERLINK("https://twitter.com/ChristianFrits2","@ChristianFrits2")</f>
        <v>@ChristianFrits2</v>
      </c>
      <c r="C6940" s="9" t="s">
        <v>15539</v>
      </c>
      <c r="D6940" s="9" t="s">
        <v>15511</v>
      </c>
      <c r="E6940" s="10" t="str">
        <f>HYPERLINK("https://twitter.com/ChristianFrits2/status/724148585500168192","724148585500168192")</f>
        <v>724148585500168192</v>
      </c>
      <c r="F6940" s="11" t="s">
        <v>48</v>
      </c>
      <c r="G6940" s="11">
        <v>1128</v>
      </c>
      <c r="H6940" s="11">
        <v>2298</v>
      </c>
      <c r="I6940" s="11">
        <v>2</v>
      </c>
      <c r="J6940" s="11">
        <v>0</v>
      </c>
      <c r="K6940" s="11" t="s">
        <v>21</v>
      </c>
      <c r="L6940" s="7">
        <v>41535.581435185188</v>
      </c>
      <c r="M6940" s="12" t="s">
        <v>15540</v>
      </c>
      <c r="N6940" s="12"/>
      <c r="O6940" s="10" t="str">
        <f>HYPERLINK("https://pbs.twimg.com/profile_images/609211270642946049/7ONMt_yL_normal.jpg","View")</f>
        <v>View</v>
      </c>
      <c r="P6940" s="11"/>
    </row>
    <row r="6941" spans="1:16" ht="12.75" x14ac:dyDescent="0.35">
      <c r="A6941" s="7">
        <v>42484.570138888885</v>
      </c>
      <c r="B6941" s="8" t="str">
        <f>HYPERLINK("https://twitter.com/Brhoomv","@Brhoomv")</f>
        <v>@Brhoomv</v>
      </c>
      <c r="C6941" s="9" t="s">
        <v>15541</v>
      </c>
      <c r="D6941" s="9" t="s">
        <v>15494</v>
      </c>
      <c r="E6941" s="10" t="str">
        <f>HYPERLINK("https://twitter.com/Brhoomv/status/724148622108049408","724148622108049408")</f>
        <v>724148622108049408</v>
      </c>
      <c r="F6941" s="11" t="s">
        <v>20</v>
      </c>
      <c r="G6941" s="11">
        <v>12955</v>
      </c>
      <c r="H6941" s="11">
        <v>365</v>
      </c>
      <c r="I6941" s="11">
        <v>5</v>
      </c>
      <c r="J6941" s="11">
        <v>0</v>
      </c>
      <c r="K6941" s="11" t="s">
        <v>21</v>
      </c>
      <c r="L6941" s="7">
        <v>40605.976469907408</v>
      </c>
      <c r="M6941" s="12" t="s">
        <v>15542</v>
      </c>
      <c r="N6941" s="12" t="s">
        <v>15543</v>
      </c>
      <c r="O6941" s="10" t="str">
        <f>HYPERLINK("https://pbs.twimg.com/profile_images/669926917160771584/T397VDU-_normal.jpg","View")</f>
        <v>View</v>
      </c>
      <c r="P6941" s="11"/>
    </row>
    <row r="6942" spans="1:16" ht="12.75" x14ac:dyDescent="0.35">
      <c r="A6942" s="7">
        <v>42484.57030092593</v>
      </c>
      <c r="B6942" s="8" t="str">
        <f t="shared" ref="B6942:B6947" si="645">HYPERLINK("https://twitter.com/dubbusses","@dubbusses")</f>
        <v>@dubbusses</v>
      </c>
      <c r="C6942" s="9" t="s">
        <v>14338</v>
      </c>
      <c r="D6942" s="9" t="s">
        <v>15544</v>
      </c>
      <c r="E6942" s="10" t="str">
        <f>HYPERLINK("https://twitter.com/dubbusses/status/724148681386123264","724148681386123264")</f>
        <v>724148681386123264</v>
      </c>
      <c r="F6942" s="11" t="s">
        <v>68</v>
      </c>
      <c r="G6942" s="11">
        <v>424</v>
      </c>
      <c r="H6942" s="11">
        <v>2369</v>
      </c>
      <c r="I6942" s="11">
        <v>0</v>
      </c>
      <c r="J6942" s="11">
        <v>0</v>
      </c>
      <c r="K6942" s="11" t="s">
        <v>21</v>
      </c>
      <c r="L6942" s="7">
        <v>42469.905393518522</v>
      </c>
      <c r="M6942" s="12" t="s">
        <v>14340</v>
      </c>
      <c r="N6942" s="12"/>
      <c r="O6942" s="10" t="str">
        <f t="shared" ref="O6942:O6947" si="646">HYPERLINK("https://pbs.twimg.com/profile_images/718835727027580928/1ssyQ67y_normal.jpg","View")</f>
        <v>View</v>
      </c>
      <c r="P6942" s="11"/>
    </row>
    <row r="6943" spans="1:16" ht="12.75" x14ac:dyDescent="0.35">
      <c r="A6943" s="7">
        <v>42484.570335648154</v>
      </c>
      <c r="B6943" s="8" t="str">
        <f t="shared" si="645"/>
        <v>@dubbusses</v>
      </c>
      <c r="C6943" s="9" t="s">
        <v>14338</v>
      </c>
      <c r="D6943" s="9" t="s">
        <v>15545</v>
      </c>
      <c r="E6943" s="10" t="str">
        <f>HYPERLINK("https://twitter.com/dubbusses/status/724148695663562752","724148695663562752")</f>
        <v>724148695663562752</v>
      </c>
      <c r="F6943" s="11" t="s">
        <v>68</v>
      </c>
      <c r="G6943" s="11">
        <v>424</v>
      </c>
      <c r="H6943" s="11">
        <v>2369</v>
      </c>
      <c r="I6943" s="11">
        <v>0</v>
      </c>
      <c r="J6943" s="11">
        <v>0</v>
      </c>
      <c r="K6943" s="11" t="s">
        <v>21</v>
      </c>
      <c r="L6943" s="7">
        <v>42469.905393518522</v>
      </c>
      <c r="M6943" s="12" t="s">
        <v>14340</v>
      </c>
      <c r="N6943" s="12"/>
      <c r="O6943" s="10" t="str">
        <f t="shared" si="646"/>
        <v>View</v>
      </c>
      <c r="P6943" s="11"/>
    </row>
    <row r="6944" spans="1:16" ht="12.75" x14ac:dyDescent="0.35">
      <c r="A6944" s="7">
        <v>42484.570405092592</v>
      </c>
      <c r="B6944" s="8" t="str">
        <f t="shared" si="645"/>
        <v>@dubbusses</v>
      </c>
      <c r="C6944" s="9" t="s">
        <v>14338</v>
      </c>
      <c r="D6944" s="9" t="s">
        <v>15546</v>
      </c>
      <c r="E6944" s="10" t="str">
        <f>HYPERLINK("https://twitter.com/dubbusses/status/724148720636407808","724148720636407808")</f>
        <v>724148720636407808</v>
      </c>
      <c r="F6944" s="11" t="s">
        <v>68</v>
      </c>
      <c r="G6944" s="11">
        <v>424</v>
      </c>
      <c r="H6944" s="11">
        <v>2369</v>
      </c>
      <c r="I6944" s="11">
        <v>1</v>
      </c>
      <c r="J6944" s="11">
        <v>1</v>
      </c>
      <c r="K6944" s="11" t="s">
        <v>21</v>
      </c>
      <c r="L6944" s="7">
        <v>42469.905393518522</v>
      </c>
      <c r="M6944" s="12" t="s">
        <v>14340</v>
      </c>
      <c r="N6944" s="12"/>
      <c r="O6944" s="10" t="str">
        <f t="shared" si="646"/>
        <v>View</v>
      </c>
      <c r="P6944" s="11"/>
    </row>
    <row r="6945" spans="1:16" ht="12.75" x14ac:dyDescent="0.35">
      <c r="A6945" s="7">
        <v>42484.570439814815</v>
      </c>
      <c r="B6945" s="8" t="str">
        <f t="shared" si="645"/>
        <v>@dubbusses</v>
      </c>
      <c r="C6945" s="9" t="s">
        <v>14338</v>
      </c>
      <c r="D6945" s="9" t="s">
        <v>15547</v>
      </c>
      <c r="E6945" s="10" t="str">
        <f>HYPERLINK("https://twitter.com/dubbusses/status/724148734116896768","724148734116896768")</f>
        <v>724148734116896768</v>
      </c>
      <c r="F6945" s="11" t="s">
        <v>68</v>
      </c>
      <c r="G6945" s="11">
        <v>424</v>
      </c>
      <c r="H6945" s="11">
        <v>2369</v>
      </c>
      <c r="I6945" s="11">
        <v>0</v>
      </c>
      <c r="J6945" s="11">
        <v>0</v>
      </c>
      <c r="K6945" s="11" t="s">
        <v>21</v>
      </c>
      <c r="L6945" s="7">
        <v>42469.905393518522</v>
      </c>
      <c r="M6945" s="12" t="s">
        <v>14340</v>
      </c>
      <c r="N6945" s="12"/>
      <c r="O6945" s="10" t="str">
        <f t="shared" si="646"/>
        <v>View</v>
      </c>
      <c r="P6945" s="11"/>
    </row>
    <row r="6946" spans="1:16" ht="12.75" x14ac:dyDescent="0.35">
      <c r="A6946" s="7">
        <v>42484.570474537039</v>
      </c>
      <c r="B6946" s="8" t="str">
        <f t="shared" si="645"/>
        <v>@dubbusses</v>
      </c>
      <c r="C6946" s="9" t="s">
        <v>14338</v>
      </c>
      <c r="D6946" s="9" t="s">
        <v>15548</v>
      </c>
      <c r="E6946" s="10" t="str">
        <f>HYPERLINK("https://twitter.com/dubbusses/status/724148746452381696","724148746452381696")</f>
        <v>724148746452381696</v>
      </c>
      <c r="F6946" s="11" t="s">
        <v>68</v>
      </c>
      <c r="G6946" s="11">
        <v>424</v>
      </c>
      <c r="H6946" s="11">
        <v>2369</v>
      </c>
      <c r="I6946" s="11">
        <v>0</v>
      </c>
      <c r="J6946" s="11">
        <v>0</v>
      </c>
      <c r="K6946" s="11" t="s">
        <v>21</v>
      </c>
      <c r="L6946" s="7">
        <v>42469.905393518522</v>
      </c>
      <c r="M6946" s="12" t="s">
        <v>14340</v>
      </c>
      <c r="N6946" s="12"/>
      <c r="O6946" s="10" t="str">
        <f t="shared" si="646"/>
        <v>View</v>
      </c>
      <c r="P6946" s="11"/>
    </row>
    <row r="6947" spans="1:16" ht="12.75" x14ac:dyDescent="0.35">
      <c r="A6947" s="7">
        <v>42484.570590277777</v>
      </c>
      <c r="B6947" s="8" t="str">
        <f t="shared" si="645"/>
        <v>@dubbusses</v>
      </c>
      <c r="C6947" s="9" t="s">
        <v>14338</v>
      </c>
      <c r="D6947" s="9" t="s">
        <v>15549</v>
      </c>
      <c r="E6947" s="10" t="str">
        <f>HYPERLINK("https://twitter.com/dubbusses/status/724148785392291841","724148785392291841")</f>
        <v>724148785392291841</v>
      </c>
      <c r="F6947" s="11" t="s">
        <v>68</v>
      </c>
      <c r="G6947" s="11">
        <v>424</v>
      </c>
      <c r="H6947" s="11">
        <v>2369</v>
      </c>
      <c r="I6947" s="11">
        <v>0</v>
      </c>
      <c r="J6947" s="11">
        <v>1</v>
      </c>
      <c r="K6947" s="11" t="s">
        <v>21</v>
      </c>
      <c r="L6947" s="7">
        <v>42469.905393518522</v>
      </c>
      <c r="M6947" s="12" t="s">
        <v>14340</v>
      </c>
      <c r="N6947" s="12"/>
      <c r="O6947" s="10" t="str">
        <f t="shared" si="646"/>
        <v>View</v>
      </c>
      <c r="P6947" s="11"/>
    </row>
    <row r="6948" spans="1:16" ht="12.75" x14ac:dyDescent="0.35">
      <c r="A6948" s="7">
        <v>42484.571863425925</v>
      </c>
      <c r="B6948" s="8" t="str">
        <f>HYPERLINK("https://twitter.com/Dignity70","@Dignity70")</f>
        <v>@Dignity70</v>
      </c>
      <c r="C6948" s="9" t="s">
        <v>15550</v>
      </c>
      <c r="D6948" s="9" t="s">
        <v>15551</v>
      </c>
      <c r="E6948" s="10" t="str">
        <f>HYPERLINK("https://twitter.com/Dignity70/status/724149247248097281","724149247248097281")</f>
        <v>724149247248097281</v>
      </c>
      <c r="F6948" s="11" t="s">
        <v>43</v>
      </c>
      <c r="G6948" s="11">
        <v>450</v>
      </c>
      <c r="H6948" s="11">
        <v>687</v>
      </c>
      <c r="I6948" s="11">
        <v>1</v>
      </c>
      <c r="J6948" s="11">
        <v>0</v>
      </c>
      <c r="K6948" s="11" t="s">
        <v>21</v>
      </c>
      <c r="L6948" s="7">
        <v>41920.086759259255</v>
      </c>
      <c r="M6948" s="12" t="s">
        <v>15552</v>
      </c>
      <c r="N6948" s="12" t="s">
        <v>15553</v>
      </c>
      <c r="O6948" s="10" t="str">
        <f>HYPERLINK("https://pbs.twimg.com/profile_images/603129963898904576/S9lWlL6S_normal.jpg","View")</f>
        <v>View</v>
      </c>
      <c r="P6948" s="11"/>
    </row>
    <row r="6949" spans="1:16" ht="12.75" x14ac:dyDescent="0.35">
      <c r="A6949" s="7">
        <v>42484.57439814815</v>
      </c>
      <c r="B6949" s="8" t="str">
        <f>HYPERLINK("https://twitter.com/dendryad","@dendryad")</f>
        <v>@dendryad</v>
      </c>
      <c r="C6949" s="9" t="s">
        <v>14458</v>
      </c>
      <c r="D6949" s="9" t="s">
        <v>15554</v>
      </c>
      <c r="E6949" s="10" t="str">
        <f>HYPERLINK("https://twitter.com/dendryad/status/724150165381234689","724150165381234689")</f>
        <v>724150165381234689</v>
      </c>
      <c r="F6949" s="11" t="s">
        <v>80</v>
      </c>
      <c r="G6949" s="11">
        <v>398</v>
      </c>
      <c r="H6949" s="11">
        <v>352</v>
      </c>
      <c r="I6949" s="11">
        <v>0</v>
      </c>
      <c r="J6949" s="11">
        <v>0</v>
      </c>
      <c r="K6949" s="11" t="s">
        <v>21</v>
      </c>
      <c r="L6949" s="7">
        <v>41826.629212962966</v>
      </c>
      <c r="M6949" s="12" t="s">
        <v>14460</v>
      </c>
      <c r="N6949" s="12" t="s">
        <v>14461</v>
      </c>
      <c r="O6949" s="10" t="str">
        <f>HYPERLINK("https://pbs.twimg.com/profile_images/526657704433967104/Qpjvnhkn_normal.png","View")</f>
        <v>View</v>
      </c>
      <c r="P6949" s="11"/>
    </row>
    <row r="6950" spans="1:16" ht="12.75" x14ac:dyDescent="0.35">
      <c r="A6950" s="7">
        <v>42484.574571759258</v>
      </c>
      <c r="B6950" s="8" t="str">
        <f>HYPERLINK("https://twitter.com/hjmart","@hjmart")</f>
        <v>@hjmart</v>
      </c>
      <c r="C6950" s="9" t="s">
        <v>15555</v>
      </c>
      <c r="D6950" s="9" t="s">
        <v>15556</v>
      </c>
      <c r="E6950" s="10" t="str">
        <f>HYPERLINK("https://twitter.com/hjmart/status/724150230665428992","724150230665428992")</f>
        <v>724150230665428992</v>
      </c>
      <c r="F6950" s="11" t="s">
        <v>43</v>
      </c>
      <c r="G6950" s="11">
        <v>7503</v>
      </c>
      <c r="H6950" s="11">
        <v>4215</v>
      </c>
      <c r="I6950" s="11">
        <v>0</v>
      </c>
      <c r="J6950" s="11">
        <v>1</v>
      </c>
      <c r="K6950" s="11" t="s">
        <v>21</v>
      </c>
      <c r="L6950" s="7">
        <v>39815.291886574072</v>
      </c>
      <c r="M6950" s="12" t="s">
        <v>1275</v>
      </c>
      <c r="N6950" s="12" t="s">
        <v>15557</v>
      </c>
      <c r="O6950" s="10" t="str">
        <f>HYPERLINK("https://pbs.twimg.com/profile_images/2987437283/8aeeb0e6e46794096a72acfad98ad036_normal.jpeg","View")</f>
        <v>View</v>
      </c>
      <c r="P6950" s="11"/>
    </row>
    <row r="6951" spans="1:16" ht="12.75" x14ac:dyDescent="0.35">
      <c r="A6951" s="7">
        <v>42484.575023148151</v>
      </c>
      <c r="B6951" s="8" t="str">
        <f>HYPERLINK("https://twitter.com/lilicedenice","@lilicedenice")</f>
        <v>@lilicedenice</v>
      </c>
      <c r="C6951" s="9" t="s">
        <v>15558</v>
      </c>
      <c r="D6951" s="9" t="s">
        <v>15559</v>
      </c>
      <c r="E6951" s="10" t="str">
        <f>HYPERLINK("https://twitter.com/lilicedenice/status/724150393698193408","724150393698193408")</f>
        <v>724150393698193408</v>
      </c>
      <c r="F6951" s="11" t="s">
        <v>20</v>
      </c>
      <c r="G6951" s="11">
        <v>5</v>
      </c>
      <c r="H6951" s="11">
        <v>21</v>
      </c>
      <c r="I6951" s="11">
        <v>0</v>
      </c>
      <c r="J6951" s="11">
        <v>0</v>
      </c>
      <c r="K6951" s="11" t="s">
        <v>21</v>
      </c>
      <c r="L6951" s="7">
        <v>41253.117858796293</v>
      </c>
      <c r="M6951" s="12"/>
      <c r="N6951" s="12" t="s">
        <v>15560</v>
      </c>
      <c r="O6951" s="10" t="str">
        <f>HYPERLINK("https://pbs.twimg.com/profile_images/718361509907324928/5Ekd53Eu_normal.jpg","View")</f>
        <v>View</v>
      </c>
      <c r="P6951" s="11"/>
    </row>
    <row r="6952" spans="1:16" ht="12.75" x14ac:dyDescent="0.35">
      <c r="A6952" s="7">
        <v>42484.575983796298</v>
      </c>
      <c r="B6952" s="8" t="str">
        <f>HYPERLINK("https://twitter.com/FuscaWorld","@FuscaWorld")</f>
        <v>@FuscaWorld</v>
      </c>
      <c r="C6952" s="9" t="s">
        <v>74</v>
      </c>
      <c r="D6952" s="9" t="s">
        <v>15561</v>
      </c>
      <c r="E6952" s="10" t="str">
        <f>HYPERLINK("https://twitter.com/FuscaWorld/status/724150741431160832","724150741431160832")</f>
        <v>724150741431160832</v>
      </c>
      <c r="F6952" s="11" t="s">
        <v>76</v>
      </c>
      <c r="G6952" s="11">
        <v>48</v>
      </c>
      <c r="H6952" s="11">
        <v>1</v>
      </c>
      <c r="I6952" s="11">
        <v>1</v>
      </c>
      <c r="J6952" s="11">
        <v>0</v>
      </c>
      <c r="K6952" s="11" t="s">
        <v>21</v>
      </c>
      <c r="L6952" s="7">
        <v>42433.880914351852</v>
      </c>
      <c r="M6952" s="12"/>
      <c r="N6952" s="12" t="s">
        <v>77</v>
      </c>
      <c r="O6952" s="10" t="str">
        <f>HYPERLINK("https://pbs.twimg.com/profile_images/705780107844067328/e7O4UBNb_normal.jpg","View")</f>
        <v>View</v>
      </c>
      <c r="P6952" s="11"/>
    </row>
    <row r="6953" spans="1:16" ht="12.75" x14ac:dyDescent="0.35">
      <c r="A6953" s="7">
        <v>42484.576215277775</v>
      </c>
      <c r="B6953" s="8" t="str">
        <f>HYPERLINK("https://twitter.com/plastic_lettuce","@plastic_lettuce")</f>
        <v>@plastic_lettuce</v>
      </c>
      <c r="C6953" s="9" t="s">
        <v>15562</v>
      </c>
      <c r="D6953" s="9" t="s">
        <v>15119</v>
      </c>
      <c r="E6953" s="10" t="str">
        <f>HYPERLINK("https://twitter.com/plastic_lettuce/status/724150823828226048","724150823828226048")</f>
        <v>724150823828226048</v>
      </c>
      <c r="F6953" s="11" t="s">
        <v>91</v>
      </c>
      <c r="G6953" s="11">
        <v>60</v>
      </c>
      <c r="H6953" s="11">
        <v>162</v>
      </c>
      <c r="I6953" s="11">
        <v>3</v>
      </c>
      <c r="J6953" s="11">
        <v>0</v>
      </c>
      <c r="K6953" s="11" t="s">
        <v>21</v>
      </c>
      <c r="L6953" s="7">
        <v>42458.533773148149</v>
      </c>
      <c r="M6953" s="12"/>
      <c r="N6953" s="12"/>
      <c r="O6953" s="10" t="str">
        <f>HYPERLINK("https://pbs.twimg.com/profile_images/714714039478272000/LlNKDsY5_normal.jpg","View")</f>
        <v>View</v>
      </c>
      <c r="P6953" s="11"/>
    </row>
    <row r="6954" spans="1:16" ht="12.75" x14ac:dyDescent="0.35">
      <c r="A6954" s="7">
        <v>42484.576944444445</v>
      </c>
      <c r="B6954" s="8" t="str">
        <f>HYPERLINK("https://twitter.com/Soulvability","@Soulvability")</f>
        <v>@Soulvability</v>
      </c>
      <c r="C6954" s="9" t="s">
        <v>15563</v>
      </c>
      <c r="D6954" s="9" t="s">
        <v>15564</v>
      </c>
      <c r="E6954" s="10" t="str">
        <f>HYPERLINK("https://twitter.com/Soulvability/status/724151090065891329","724151090065891329")</f>
        <v>724151090065891329</v>
      </c>
      <c r="F6954" s="11" t="s">
        <v>48</v>
      </c>
      <c r="G6954" s="11">
        <v>523</v>
      </c>
      <c r="H6954" s="11">
        <v>1167</v>
      </c>
      <c r="I6954" s="11">
        <v>0</v>
      </c>
      <c r="J6954" s="11">
        <v>0</v>
      </c>
      <c r="K6954" s="11" t="s">
        <v>21</v>
      </c>
      <c r="L6954" s="7">
        <v>41173.035000000003</v>
      </c>
      <c r="M6954" s="12" t="s">
        <v>1430</v>
      </c>
      <c r="N6954" s="12" t="s">
        <v>15565</v>
      </c>
      <c r="O6954" s="10" t="str">
        <f>HYPERLINK("https://pbs.twimg.com/profile_images/2654752586/a84c87946d743f821020c99db923b263_normal.png","View")</f>
        <v>View</v>
      </c>
      <c r="P6954" s="11"/>
    </row>
    <row r="6955" spans="1:16" ht="12.75" x14ac:dyDescent="0.35">
      <c r="A6955" s="7">
        <v>42484.577974537038</v>
      </c>
      <c r="B6955" s="8" t="str">
        <f>HYPERLINK("https://twitter.com/JohanVugt","@JohanVugt")</f>
        <v>@JohanVugt</v>
      </c>
      <c r="C6955" s="9" t="s">
        <v>15566</v>
      </c>
      <c r="D6955" s="9" t="s">
        <v>15567</v>
      </c>
      <c r="E6955" s="10" t="str">
        <f>HYPERLINK("https://twitter.com/JohanVugt/status/724151463413469184","724151463413469184")</f>
        <v>724151463413469184</v>
      </c>
      <c r="F6955" s="11" t="s">
        <v>48</v>
      </c>
      <c r="G6955" s="11">
        <v>67</v>
      </c>
      <c r="H6955" s="11">
        <v>70</v>
      </c>
      <c r="I6955" s="11">
        <v>0</v>
      </c>
      <c r="J6955" s="11">
        <v>0</v>
      </c>
      <c r="K6955" s="11" t="s">
        <v>21</v>
      </c>
      <c r="L6955" s="7">
        <v>41029.135127314818</v>
      </c>
      <c r="M6955" s="12"/>
      <c r="N6955" s="12" t="s">
        <v>15568</v>
      </c>
      <c r="O6955" s="10" t="str">
        <f>HYPERLINK("https://pbs.twimg.com/profile_images/662371572334899201/pEgOGO4U_normal.jpg","View")</f>
        <v>View</v>
      </c>
      <c r="P6955" s="11"/>
    </row>
    <row r="6956" spans="1:16" ht="12.75" x14ac:dyDescent="0.35">
      <c r="A6956" s="7">
        <v>42484.579189814816</v>
      </c>
      <c r="B6956" s="8" t="str">
        <f>HYPERLINK("https://twitter.com/ebaycampervans","@ebaycampervans")</f>
        <v>@ebaycampervans</v>
      </c>
      <c r="C6956" s="9" t="s">
        <v>682</v>
      </c>
      <c r="D6956" s="9" t="s">
        <v>15569</v>
      </c>
      <c r="E6956" s="10" t="str">
        <f>HYPERLINK("https://twitter.com/ebaycampervans/status/724151904998051840","724151904998051840")</f>
        <v>724151904998051840</v>
      </c>
      <c r="F6956" s="11" t="s">
        <v>34</v>
      </c>
      <c r="G6956" s="11">
        <v>382</v>
      </c>
      <c r="H6956" s="11">
        <v>1002</v>
      </c>
      <c r="I6956" s="11">
        <v>0</v>
      </c>
      <c r="J6956" s="11">
        <v>0</v>
      </c>
      <c r="K6956" s="11" t="s">
        <v>21</v>
      </c>
      <c r="L6956" s="7">
        <v>42140.207604166666</v>
      </c>
      <c r="M6956" s="12"/>
      <c r="N6956" s="12" t="s">
        <v>684</v>
      </c>
      <c r="O6956" s="10" t="str">
        <f>HYPERLINK("https://pbs.twimg.com/profile_images/599357023407464449/BL9Bpo6T_normal.jpg","View")</f>
        <v>View</v>
      </c>
      <c r="P6956" s="11"/>
    </row>
    <row r="6957" spans="1:16" ht="12.75" x14ac:dyDescent="0.35">
      <c r="A6957" s="7">
        <v>42484.579432870371</v>
      </c>
      <c r="B6957" s="8" t="str">
        <f>HYPERLINK("https://twitter.com/yggep74","@yggep74")</f>
        <v>@yggep74</v>
      </c>
      <c r="C6957" s="9" t="s">
        <v>15570</v>
      </c>
      <c r="D6957" s="9" t="s">
        <v>15571</v>
      </c>
      <c r="E6957" s="10" t="str">
        <f>HYPERLINK("https://twitter.com/yggep74/status/724151991904157696","724151991904157696")</f>
        <v>724151991904157696</v>
      </c>
      <c r="F6957" s="11" t="s">
        <v>91</v>
      </c>
      <c r="G6957" s="11">
        <v>75</v>
      </c>
      <c r="H6957" s="11">
        <v>98</v>
      </c>
      <c r="I6957" s="11">
        <v>0</v>
      </c>
      <c r="J6957" s="11">
        <v>0</v>
      </c>
      <c r="K6957" s="11" t="s">
        <v>21</v>
      </c>
      <c r="L6957" s="7">
        <v>40624.044953703706</v>
      </c>
      <c r="M6957" s="12"/>
      <c r="N6957" s="12" t="s">
        <v>15572</v>
      </c>
      <c r="O6957" s="10" t="str">
        <f>HYPERLINK("https://pbs.twimg.com/profile_images/3503620879/70f6c39813a3680aaed9f3a618b9f973_normal.jpeg","View")</f>
        <v>View</v>
      </c>
      <c r="P6957" s="11"/>
    </row>
    <row r="6958" spans="1:16" ht="12.75" x14ac:dyDescent="0.35">
      <c r="A6958" s="7">
        <v>42484.579699074078</v>
      </c>
      <c r="B6958" s="8" t="str">
        <f>HYPERLINK("https://twitter.com/Scirocco_Tuning","@Scirocco_Tuning")</f>
        <v>@Scirocco_Tuning</v>
      </c>
      <c r="C6958" s="9" t="s">
        <v>51</v>
      </c>
      <c r="D6958" s="9" t="s">
        <v>15573</v>
      </c>
      <c r="E6958" s="10" t="str">
        <f>HYPERLINK("https://twitter.com/Scirocco_Tuning/status/724152087228108800","724152087228108800")</f>
        <v>724152087228108800</v>
      </c>
      <c r="F6958" s="11" t="s">
        <v>53</v>
      </c>
      <c r="G6958" s="11">
        <v>70</v>
      </c>
      <c r="H6958" s="11">
        <v>215</v>
      </c>
      <c r="I6958" s="11">
        <v>0</v>
      </c>
      <c r="J6958" s="11">
        <v>0</v>
      </c>
      <c r="K6958" s="11" t="s">
        <v>21</v>
      </c>
      <c r="L6958" s="7">
        <v>40844.564722222218</v>
      </c>
      <c r="M6958" s="12"/>
      <c r="N6958" s="12"/>
      <c r="O6958" s="10" t="str">
        <f>HYPERLINK("https://pbs.twimg.com/profile_images/1610421423/Image2_normal.jpg","View")</f>
        <v>View</v>
      </c>
      <c r="P6958" s="11"/>
    </row>
    <row r="6959" spans="1:16" ht="12.75" x14ac:dyDescent="0.35">
      <c r="A6959" s="7">
        <v>42484.580254629633</v>
      </c>
      <c r="B6959" s="8" t="str">
        <f>HYPERLINK("https://twitter.com/autofreshnews","@autofreshnews")</f>
        <v>@autofreshnews</v>
      </c>
      <c r="C6959" s="9" t="s">
        <v>15574</v>
      </c>
      <c r="D6959" s="9" t="s">
        <v>15575</v>
      </c>
      <c r="E6959" s="10" t="str">
        <f>HYPERLINK("https://twitter.com/autofreshnews/status/724152289661874176","724152289661874176")</f>
        <v>724152289661874176</v>
      </c>
      <c r="F6959" s="11" t="s">
        <v>20</v>
      </c>
      <c r="G6959" s="11">
        <v>2561</v>
      </c>
      <c r="H6959" s="11">
        <v>82</v>
      </c>
      <c r="I6959" s="11">
        <v>1</v>
      </c>
      <c r="J6959" s="11">
        <v>0</v>
      </c>
      <c r="K6959" s="11" t="s">
        <v>21</v>
      </c>
      <c r="L6959" s="7">
        <v>41262.423518518517</v>
      </c>
      <c r="M6959" s="12" t="s">
        <v>12860</v>
      </c>
      <c r="N6959" s="12" t="s">
        <v>15576</v>
      </c>
      <c r="O6959" s="10" t="str">
        <f>HYPERLINK("https://pbs.twimg.com/profile_images/2993695854/bfc038b9654b5476fb581d347c90508a_normal.png","View")</f>
        <v>View</v>
      </c>
      <c r="P6959" s="11"/>
    </row>
    <row r="6960" spans="1:16" ht="12.75" x14ac:dyDescent="0.35">
      <c r="A6960" s="7">
        <v>42484.580613425926</v>
      </c>
      <c r="B6960" s="8" t="str">
        <f>HYPERLINK("https://twitter.com/Svratiti","@Svratiti")</f>
        <v>@Svratiti</v>
      </c>
      <c r="C6960" s="8" t="s">
        <v>15577</v>
      </c>
      <c r="D6960" s="9" t="s">
        <v>15578</v>
      </c>
      <c r="E6960" s="10" t="str">
        <f>HYPERLINK("https://twitter.com/Svratiti/status/724152417420451840","724152417420451840")</f>
        <v>724152417420451840</v>
      </c>
      <c r="F6960" s="11" t="s">
        <v>43</v>
      </c>
      <c r="G6960" s="11">
        <v>105</v>
      </c>
      <c r="H6960" s="11">
        <v>53</v>
      </c>
      <c r="I6960" s="11">
        <v>0</v>
      </c>
      <c r="J6960" s="11">
        <v>0</v>
      </c>
      <c r="K6960" s="11" t="s">
        <v>21</v>
      </c>
      <c r="L6960" s="7">
        <v>41427.207349537035</v>
      </c>
      <c r="M6960" s="12" t="s">
        <v>15579</v>
      </c>
      <c r="N6960" s="12" t="s">
        <v>15580</v>
      </c>
      <c r="O6960" s="10" t="str">
        <f>HYPERLINK("https://pbs.twimg.com/profile_images/718720041194233856/q2RfyvDp_normal.jpg","View")</f>
        <v>View</v>
      </c>
      <c r="P6960" s="11"/>
    </row>
    <row r="6961" spans="1:16" ht="12.75" x14ac:dyDescent="0.35">
      <c r="A6961" s="7">
        <v>42484.581284722226</v>
      </c>
      <c r="B6961" s="8" t="str">
        <f>HYPERLINK("https://twitter.com/VWBeetleSales","@VWBeetleSales")</f>
        <v>@VWBeetleSales</v>
      </c>
      <c r="C6961" s="9" t="s">
        <v>127</v>
      </c>
      <c r="D6961" s="9" t="s">
        <v>15581</v>
      </c>
      <c r="E6961" s="10" t="str">
        <f>HYPERLINK("https://twitter.com/VWBeetleSales/status/724152663454044160","724152663454044160")</f>
        <v>724152663454044160</v>
      </c>
      <c r="F6961" s="10" t="s">
        <v>124</v>
      </c>
      <c r="G6961" s="11">
        <v>37</v>
      </c>
      <c r="H6961" s="11">
        <v>32</v>
      </c>
      <c r="I6961" s="11">
        <v>0</v>
      </c>
      <c r="J6961" s="11">
        <v>0</v>
      </c>
      <c r="K6961" s="11" t="s">
        <v>21</v>
      </c>
      <c r="L6961" s="7">
        <v>42427.019756944443</v>
      </c>
      <c r="M6961" s="12" t="s">
        <v>129</v>
      </c>
      <c r="N6961" s="12" t="s">
        <v>130</v>
      </c>
      <c r="O6961" s="10" t="str">
        <f>HYPERLINK("https://pbs.twimg.com/profile_images/703294545195307008/qeCvrX86_normal.jpg","View")</f>
        <v>View</v>
      </c>
      <c r="P6961" s="11"/>
    </row>
    <row r="6962" spans="1:16" ht="12.75" x14ac:dyDescent="0.35">
      <c r="A6962" s="7">
        <v>42484.581689814819</v>
      </c>
      <c r="B6962" s="8" t="str">
        <f>HYPERLINK("https://twitter.com/rajesh12june","@rajesh12june")</f>
        <v>@rajesh12june</v>
      </c>
      <c r="C6962" s="9" t="s">
        <v>15582</v>
      </c>
      <c r="D6962" s="9" t="s">
        <v>15583</v>
      </c>
      <c r="E6962" s="10" t="str">
        <f>HYPERLINK("https://twitter.com/rajesh12june/status/724152807608225792","724152807608225792")</f>
        <v>724152807608225792</v>
      </c>
      <c r="F6962" s="11" t="s">
        <v>68</v>
      </c>
      <c r="G6962" s="11">
        <v>158</v>
      </c>
      <c r="H6962" s="11">
        <v>309</v>
      </c>
      <c r="I6962" s="11">
        <v>0</v>
      </c>
      <c r="J6962" s="11">
        <v>0</v>
      </c>
      <c r="K6962" s="11" t="s">
        <v>21</v>
      </c>
      <c r="L6962" s="7">
        <v>39950.496423611112</v>
      </c>
      <c r="M6962" s="12" t="s">
        <v>15584</v>
      </c>
      <c r="N6962" s="12" t="s">
        <v>15585</v>
      </c>
      <c r="O6962" s="10" t="str">
        <f>HYPERLINK("https://pbs.twimg.com/profile_images/621995740177379328/YJAQstq5_normal.jpg","View")</f>
        <v>View</v>
      </c>
      <c r="P6962" s="11"/>
    </row>
    <row r="6963" spans="1:16" ht="12.75" x14ac:dyDescent="0.35">
      <c r="A6963" s="7">
        <v>42484.581712962958</v>
      </c>
      <c r="B6963" s="8" t="str">
        <f>HYPERLINK("https://twitter.com/JensHenriksson","@JensHenriksson")</f>
        <v>@JensHenriksson</v>
      </c>
      <c r="C6963" s="9" t="s">
        <v>15586</v>
      </c>
      <c r="D6963" s="9" t="s">
        <v>9841</v>
      </c>
      <c r="E6963" s="10" t="str">
        <f>HYPERLINK("https://twitter.com/JensHenriksson/status/724152818240724992","724152818240724992")</f>
        <v>724152818240724992</v>
      </c>
      <c r="F6963" s="11" t="s">
        <v>91</v>
      </c>
      <c r="G6963" s="11">
        <v>146</v>
      </c>
      <c r="H6963" s="11">
        <v>186</v>
      </c>
      <c r="I6963" s="11">
        <v>2</v>
      </c>
      <c r="J6963" s="11">
        <v>0</v>
      </c>
      <c r="K6963" s="11" t="s">
        <v>21</v>
      </c>
      <c r="L6963" s="7">
        <v>39924.681481481479</v>
      </c>
      <c r="M6963" s="12" t="s">
        <v>4516</v>
      </c>
      <c r="N6963" s="12"/>
      <c r="O6963" s="10" t="str">
        <f>HYPERLINK("https://pbs.twimg.com/profile_images/150238881/DSC_1610_normal.jpg","View")</f>
        <v>View</v>
      </c>
      <c r="P6963" s="11"/>
    </row>
    <row r="6964" spans="1:16" ht="12.75" x14ac:dyDescent="0.35">
      <c r="A6964" s="7">
        <v>42484.582071759258</v>
      </c>
      <c r="B6964" s="8" t="str">
        <f>HYPERLINK("https://twitter.com/RFN19","@RFN19")</f>
        <v>@RFN19</v>
      </c>
      <c r="C6964" s="9" t="s">
        <v>6663</v>
      </c>
      <c r="D6964" s="9" t="s">
        <v>15587</v>
      </c>
      <c r="E6964" s="10" t="str">
        <f>HYPERLINK("https://twitter.com/RFN19/status/724152947353878528","724152947353878528")</f>
        <v>724152947353878528</v>
      </c>
      <c r="F6964" s="11" t="s">
        <v>20</v>
      </c>
      <c r="G6964" s="11">
        <v>469</v>
      </c>
      <c r="H6964" s="11">
        <v>263</v>
      </c>
      <c r="I6964" s="11">
        <v>1</v>
      </c>
      <c r="J6964" s="11">
        <v>0</v>
      </c>
      <c r="K6964" s="11" t="s">
        <v>21</v>
      </c>
      <c r="L6964" s="7">
        <v>41188.796724537038</v>
      </c>
      <c r="M6964" s="12" t="s">
        <v>6665</v>
      </c>
      <c r="N6964" s="12" t="s">
        <v>6666</v>
      </c>
      <c r="O6964" s="10" t="str">
        <f>HYPERLINK("https://pbs.twimg.com/profile_images/571872729201012736/GOT-p0KX_normal.jpeg","View")</f>
        <v>View</v>
      </c>
      <c r="P6964" s="11"/>
    </row>
    <row r="6965" spans="1:16" ht="12.75" x14ac:dyDescent="0.35">
      <c r="A6965" s="7">
        <v>42484.585138888884</v>
      </c>
      <c r="B6965" s="8" t="str">
        <f>HYPERLINK("https://twitter.com/FilippoGiov","@FilippoGiov")</f>
        <v>@FilippoGiov</v>
      </c>
      <c r="C6965" s="9" t="s">
        <v>15588</v>
      </c>
      <c r="D6965" s="9" t="s">
        <v>15589</v>
      </c>
      <c r="E6965" s="10" t="str">
        <f>HYPERLINK("https://twitter.com/FilippoGiov/status/724154060027375617","724154060027375617")</f>
        <v>724154060027375617</v>
      </c>
      <c r="F6965" s="11" t="s">
        <v>20</v>
      </c>
      <c r="G6965" s="11">
        <v>223</v>
      </c>
      <c r="H6965" s="11">
        <v>218</v>
      </c>
      <c r="I6965" s="11">
        <v>1</v>
      </c>
      <c r="J6965" s="11">
        <v>0</v>
      </c>
      <c r="K6965" s="11" t="s">
        <v>21</v>
      </c>
      <c r="L6965" s="7">
        <v>41171.117604166662</v>
      </c>
      <c r="M6965" s="12" t="s">
        <v>15590</v>
      </c>
      <c r="N6965" s="12"/>
      <c r="O6965" s="10" t="str">
        <f>HYPERLINK("https://pbs.twimg.com/profile_images/722831566737698816/KWkcQf8n_normal.jpg","View")</f>
        <v>View</v>
      </c>
      <c r="P6965" s="11"/>
    </row>
    <row r="6966" spans="1:16" ht="12.75" x14ac:dyDescent="0.35">
      <c r="A6966" s="7">
        <v>42484.585405092592</v>
      </c>
      <c r="B6966" s="8" t="str">
        <f>HYPERLINK("https://twitter.com/vijeyamernath","@vijeyamernath")</f>
        <v>@vijeyamernath</v>
      </c>
      <c r="C6966" s="9" t="s">
        <v>15591</v>
      </c>
      <c r="D6966" s="9" t="s">
        <v>3265</v>
      </c>
      <c r="E6966" s="10" t="str">
        <f>HYPERLINK("https://twitter.com/vijeyamernath/status/724154154776702976","724154154776702976")</f>
        <v>724154154776702976</v>
      </c>
      <c r="F6966" s="11" t="s">
        <v>43</v>
      </c>
      <c r="G6966" s="11">
        <v>145</v>
      </c>
      <c r="H6966" s="11">
        <v>302</v>
      </c>
      <c r="I6966" s="11">
        <v>4</v>
      </c>
      <c r="J6966" s="11">
        <v>0</v>
      </c>
      <c r="K6966" s="11" t="s">
        <v>21</v>
      </c>
      <c r="L6966" s="7">
        <v>41660.99055555556</v>
      </c>
      <c r="M6966" s="12" t="s">
        <v>8757</v>
      </c>
      <c r="N6966" s="12" t="s">
        <v>15592</v>
      </c>
      <c r="O6966" s="10" t="str">
        <f>HYPERLINK("https://pbs.twimg.com/profile_images/464052841162633216/_IVpzkY6_normal.jpeg","View")</f>
        <v>View</v>
      </c>
      <c r="P6966" s="11"/>
    </row>
    <row r="6967" spans="1:16" ht="12.75" x14ac:dyDescent="0.35">
      <c r="A6967" s="7">
        <v>42484.585763888885</v>
      </c>
      <c r="B6967" s="8" t="str">
        <f>HYPERLINK("https://twitter.com/hannover_messe","@hannover_messe")</f>
        <v>@hannover_messe</v>
      </c>
      <c r="C6967" s="9" t="s">
        <v>15593</v>
      </c>
      <c r="D6967" s="9" t="s">
        <v>15494</v>
      </c>
      <c r="E6967" s="10" t="str">
        <f>HYPERLINK("https://twitter.com/hannover_messe/status/724154285093695488","724154285093695488")</f>
        <v>724154285093695488</v>
      </c>
      <c r="F6967" s="11" t="s">
        <v>91</v>
      </c>
      <c r="G6967" s="11">
        <v>17251</v>
      </c>
      <c r="H6967" s="11">
        <v>260</v>
      </c>
      <c r="I6967" s="11">
        <v>6</v>
      </c>
      <c r="J6967" s="11">
        <v>0</v>
      </c>
      <c r="K6967" s="11" t="s">
        <v>21</v>
      </c>
      <c r="L6967" s="7">
        <v>39878.916354166664</v>
      </c>
      <c r="M6967" s="12" t="s">
        <v>15594</v>
      </c>
      <c r="N6967" s="12" t="s">
        <v>15595</v>
      </c>
      <c r="O6967" s="10" t="str">
        <f>HYPERLINK("https://pbs.twimg.com/profile_images/685255985/Bild_2_normal.png","View")</f>
        <v>View</v>
      </c>
      <c r="P6967" s="11"/>
    </row>
    <row r="6968" spans="1:16" ht="12.75" x14ac:dyDescent="0.35">
      <c r="A6968" s="7">
        <v>42484.586215277777</v>
      </c>
      <c r="B6968" s="8" t="str">
        <f>HYPERLINK("https://twitter.com/jannikkel6","@jannikkel6")</f>
        <v>@jannikkel6</v>
      </c>
      <c r="C6968" s="9" t="s">
        <v>3331</v>
      </c>
      <c r="D6968" s="9" t="s">
        <v>15596</v>
      </c>
      <c r="E6968" s="10" t="str">
        <f>HYPERLINK("https://twitter.com/jannikkel6/status/724154450772918272","724154450772918272")</f>
        <v>724154450772918272</v>
      </c>
      <c r="F6968" s="11" t="s">
        <v>48</v>
      </c>
      <c r="G6968" s="11">
        <v>190</v>
      </c>
      <c r="H6968" s="11">
        <v>242</v>
      </c>
      <c r="I6968" s="11">
        <v>0</v>
      </c>
      <c r="J6968" s="11">
        <v>0</v>
      </c>
      <c r="K6968" s="11" t="s">
        <v>21</v>
      </c>
      <c r="L6968" s="7">
        <v>42109.826608796298</v>
      </c>
      <c r="M6968" s="12"/>
      <c r="N6968" s="12" t="s">
        <v>3333</v>
      </c>
      <c r="O6968" s="10" t="str">
        <f>HYPERLINK("https://pbs.twimg.com/profile_images/588735849979842560/-5qGoCul_normal.png","View")</f>
        <v>View</v>
      </c>
      <c r="P6968" s="11"/>
    </row>
    <row r="6969" spans="1:16" ht="12.75" x14ac:dyDescent="0.35">
      <c r="A6969" s="7">
        <v>42484.587430555555</v>
      </c>
      <c r="B6969" s="8" t="str">
        <f>HYPERLINK("https://twitter.com/_princesinha_15","@_princesinha_15")</f>
        <v>@_princesinha_15</v>
      </c>
      <c r="C6969" s="9" t="s">
        <v>15597</v>
      </c>
      <c r="D6969" s="9" t="s">
        <v>15511</v>
      </c>
      <c r="E6969" s="10" t="str">
        <f>HYPERLINK("https://twitter.com/_princesinha_15/status/724154888746340352","724154888746340352")</f>
        <v>724154888746340352</v>
      </c>
      <c r="F6969" s="11" t="s">
        <v>20</v>
      </c>
      <c r="G6969" s="11">
        <v>225</v>
      </c>
      <c r="H6969" s="11">
        <v>363</v>
      </c>
      <c r="I6969" s="11">
        <v>3</v>
      </c>
      <c r="J6969" s="11">
        <v>0</v>
      </c>
      <c r="K6969" s="11" t="s">
        <v>21</v>
      </c>
      <c r="L6969" s="7">
        <v>41096.641157407408</v>
      </c>
      <c r="M6969" s="12" t="s">
        <v>15598</v>
      </c>
      <c r="N6969" s="12" t="s">
        <v>15599</v>
      </c>
      <c r="O6969" s="10" t="str">
        <f>HYPERLINK("https://pbs.twimg.com/profile_images/721732844565983232/i7oXhUd2_normal.jpg","View")</f>
        <v>View</v>
      </c>
      <c r="P6969" s="11"/>
    </row>
    <row r="6970" spans="1:16" ht="12.75" x14ac:dyDescent="0.35">
      <c r="A6970" s="7">
        <v>42484.587754629625</v>
      </c>
      <c r="B6970" s="8" t="str">
        <f>HYPERLINK("https://twitter.com/pizzapickupltd","@pizzapickupltd")</f>
        <v>@pizzapickupltd</v>
      </c>
      <c r="C6970" s="9" t="s">
        <v>15600</v>
      </c>
      <c r="D6970" s="9" t="s">
        <v>15601</v>
      </c>
      <c r="E6970" s="10" t="str">
        <f>HYPERLINK("https://twitter.com/pizzapickupltd/status/724155007419953153","724155007419953153")</f>
        <v>724155007419953153</v>
      </c>
      <c r="F6970" s="11" t="s">
        <v>20</v>
      </c>
      <c r="G6970" s="11">
        <v>383</v>
      </c>
      <c r="H6970" s="11">
        <v>457</v>
      </c>
      <c r="I6970" s="11">
        <v>0</v>
      </c>
      <c r="J6970" s="11">
        <v>0</v>
      </c>
      <c r="K6970" s="11" t="s">
        <v>21</v>
      </c>
      <c r="L6970" s="7">
        <v>41824.060763888891</v>
      </c>
      <c r="M6970" s="12" t="s">
        <v>638</v>
      </c>
      <c r="N6970" s="12" t="s">
        <v>15602</v>
      </c>
      <c r="O6970" s="10" t="str">
        <f>HYPERLINK("https://pbs.twimg.com/profile_images/703666975021654018/wFXXPWaE_normal.jpg","View")</f>
        <v>View</v>
      </c>
      <c r="P6970" s="11"/>
    </row>
    <row r="6971" spans="1:16" ht="12.75" x14ac:dyDescent="0.35">
      <c r="A6971" s="7">
        <v>42484.588194444441</v>
      </c>
      <c r="B6971" s="8" t="str">
        <f>HYPERLINK("https://twitter.com/JMJM197","@JMJM197")</f>
        <v>@JMJM197</v>
      </c>
      <c r="C6971" s="9" t="s">
        <v>15603</v>
      </c>
      <c r="D6971" s="9" t="s">
        <v>15604</v>
      </c>
      <c r="E6971" s="10" t="str">
        <f>HYPERLINK("https://twitter.com/JMJM197/status/724155168439283712","724155168439283712")</f>
        <v>724155168439283712</v>
      </c>
      <c r="F6971" s="11" t="s">
        <v>20</v>
      </c>
      <c r="G6971" s="11">
        <v>3</v>
      </c>
      <c r="H6971" s="11">
        <v>14</v>
      </c>
      <c r="I6971" s="11">
        <v>0</v>
      </c>
      <c r="J6971" s="11">
        <v>0</v>
      </c>
      <c r="K6971" s="11" t="s">
        <v>21</v>
      </c>
      <c r="L6971" s="7">
        <v>42350.610763888893</v>
      </c>
      <c r="M6971" s="12"/>
      <c r="N6971" s="12"/>
      <c r="O6971" s="10" t="str">
        <f>HYPERLINK("https://pbs.twimg.com/profile_images/675606853649375232/OU7vaW6-_normal.jpg","View")</f>
        <v>View</v>
      </c>
      <c r="P6971" s="11"/>
    </row>
    <row r="6972" spans="1:16" ht="12.75" x14ac:dyDescent="0.35">
      <c r="A6972" s="7">
        <v>42484.588726851856</v>
      </c>
      <c r="B6972" s="8" t="str">
        <f>HYPERLINK("https://twitter.com/DeezaSunglasses","@DeezaSunglasses")</f>
        <v>@DeezaSunglasses</v>
      </c>
      <c r="C6972" s="9" t="s">
        <v>1124</v>
      </c>
      <c r="D6972" s="9" t="s">
        <v>15605</v>
      </c>
      <c r="E6972" s="10" t="str">
        <f>HYPERLINK("https://twitter.com/DeezaSunglasses/status/724155357858242560","724155357858242560")</f>
        <v>724155357858242560</v>
      </c>
      <c r="F6972" s="11" t="s">
        <v>68</v>
      </c>
      <c r="G6972" s="11">
        <v>3320</v>
      </c>
      <c r="H6972" s="11">
        <v>3567</v>
      </c>
      <c r="I6972" s="11">
        <v>0</v>
      </c>
      <c r="J6972" s="11">
        <v>1</v>
      </c>
      <c r="K6972" s="11" t="s">
        <v>21</v>
      </c>
      <c r="L6972" s="7">
        <v>42339.964849537035</v>
      </c>
      <c r="M6972" s="12"/>
      <c r="N6972" s="12" t="s">
        <v>1126</v>
      </c>
      <c r="O6972" s="10" t="str">
        <f>HYPERLINK("https://pbs.twimg.com/profile_images/681930519152619524/O4FX8h-k_normal.jpg","View")</f>
        <v>View</v>
      </c>
      <c r="P6972" s="11"/>
    </row>
    <row r="6973" spans="1:16" ht="12.75" x14ac:dyDescent="0.35">
      <c r="A6973" s="7">
        <v>42484.588958333334</v>
      </c>
      <c r="B6973" s="8" t="str">
        <f>HYPERLINK("https://twitter.com/DeKonzument","@DeKonzument")</f>
        <v>@DeKonzument</v>
      </c>
      <c r="C6973" s="9" t="s">
        <v>15606</v>
      </c>
      <c r="D6973" s="9" t="s">
        <v>15607</v>
      </c>
      <c r="E6973" s="10" t="str">
        <f>HYPERLINK("https://twitter.com/DeKonzument/status/724155444697153536","724155444697153536")</f>
        <v>724155444697153536</v>
      </c>
      <c r="F6973" s="11" t="s">
        <v>20</v>
      </c>
      <c r="G6973" s="11">
        <v>7017</v>
      </c>
      <c r="H6973" s="11">
        <v>5770</v>
      </c>
      <c r="I6973" s="11">
        <v>0</v>
      </c>
      <c r="J6973" s="11">
        <v>0</v>
      </c>
      <c r="K6973" s="11" t="s">
        <v>21</v>
      </c>
      <c r="L6973" s="7">
        <v>40263.84138888889</v>
      </c>
      <c r="M6973" s="12" t="s">
        <v>15608</v>
      </c>
      <c r="N6973" s="12" t="s">
        <v>15609</v>
      </c>
      <c r="O6973" s="10" t="str">
        <f>HYPERLINK("https://pbs.twimg.com/profile_images/712714144231919617/tMSqEETl_normal.jpg","View")</f>
        <v>View</v>
      </c>
      <c r="P6973" s="11"/>
    </row>
    <row r="6974" spans="1:16" ht="12.75" x14ac:dyDescent="0.35">
      <c r="A6974" s="7">
        <v>42484.592094907406</v>
      </c>
      <c r="B6974" s="8" t="str">
        <f>HYPERLINK("https://twitter.com/pizzapickupltd","@pizzapickupltd")</f>
        <v>@pizzapickupltd</v>
      </c>
      <c r="C6974" s="9" t="s">
        <v>15600</v>
      </c>
      <c r="D6974" s="9" t="s">
        <v>15610</v>
      </c>
      <c r="E6974" s="10" t="str">
        <f>HYPERLINK("https://twitter.com/pizzapickupltd/status/724156580380434432","724156580380434432")</f>
        <v>724156580380434432</v>
      </c>
      <c r="F6974" s="11" t="s">
        <v>20</v>
      </c>
      <c r="G6974" s="11">
        <v>383</v>
      </c>
      <c r="H6974" s="11">
        <v>457</v>
      </c>
      <c r="I6974" s="11">
        <v>0</v>
      </c>
      <c r="J6974" s="11">
        <v>0</v>
      </c>
      <c r="K6974" s="11" t="s">
        <v>21</v>
      </c>
      <c r="L6974" s="7">
        <v>41824.060763888891</v>
      </c>
      <c r="M6974" s="12" t="s">
        <v>638</v>
      </c>
      <c r="N6974" s="12" t="s">
        <v>15602</v>
      </c>
      <c r="O6974" s="10" t="str">
        <f>HYPERLINK("https://pbs.twimg.com/profile_images/703666975021654018/wFXXPWaE_normal.jpg","View")</f>
        <v>View</v>
      </c>
      <c r="P6974" s="11"/>
    </row>
    <row r="6975" spans="1:16" ht="12.75" x14ac:dyDescent="0.35">
      <c r="A6975" s="7">
        <v>42484.593182870369</v>
      </c>
      <c r="B6975" s="8" t="str">
        <f>HYPERLINK("https://twitter.com/VolkswagenPost","@VolkswagenPost")</f>
        <v>@VolkswagenPost</v>
      </c>
      <c r="C6975" s="9" t="s">
        <v>321</v>
      </c>
      <c r="D6975" s="9" t="s">
        <v>15611</v>
      </c>
      <c r="E6975" s="10" t="str">
        <f>HYPERLINK("https://twitter.com/VolkswagenPost/status/724156975236280320","724156975236280320")</f>
        <v>724156975236280320</v>
      </c>
      <c r="F6975" s="11" t="s">
        <v>34</v>
      </c>
      <c r="G6975" s="11">
        <v>570</v>
      </c>
      <c r="H6975" s="11">
        <v>446</v>
      </c>
      <c r="I6975" s="11">
        <v>0</v>
      </c>
      <c r="J6975" s="11">
        <v>0</v>
      </c>
      <c r="K6975" s="11" t="s">
        <v>21</v>
      </c>
      <c r="L6975" s="7">
        <v>41940.618379629632</v>
      </c>
      <c r="M6975" s="12"/>
      <c r="N6975" s="12"/>
      <c r="O6975" s="10" t="str">
        <f>HYPERLINK("https://pbs.twimg.com/profile_images/530071272881803264/a_jcCmPZ_normal.png","View")</f>
        <v>View</v>
      </c>
      <c r="P6975" s="11"/>
    </row>
    <row r="6976" spans="1:16" ht="12.75" x14ac:dyDescent="0.35">
      <c r="A6976" s="7">
        <v>42484.593321759261</v>
      </c>
      <c r="B6976" s="8" t="str">
        <f>HYPERLINK("https://twitter.com/Impalfa","@Impalfa")</f>
        <v>@Impalfa</v>
      </c>
      <c r="C6976" s="9" t="s">
        <v>15612</v>
      </c>
      <c r="D6976" s="9" t="s">
        <v>15613</v>
      </c>
      <c r="E6976" s="10" t="str">
        <f>HYPERLINK("https://twitter.com/Impalfa/status/724157023365918722","724157023365918722")</f>
        <v>724157023365918722</v>
      </c>
      <c r="F6976" s="11" t="s">
        <v>48</v>
      </c>
      <c r="G6976" s="11">
        <v>46</v>
      </c>
      <c r="H6976" s="11">
        <v>50</v>
      </c>
      <c r="I6976" s="11">
        <v>0</v>
      </c>
      <c r="J6976" s="11">
        <v>0</v>
      </c>
      <c r="K6976" s="11" t="s">
        <v>21</v>
      </c>
      <c r="L6976" s="7">
        <v>39925.645289351851</v>
      </c>
      <c r="M6976" s="12" t="s">
        <v>1524</v>
      </c>
      <c r="N6976" s="12" t="s">
        <v>15614</v>
      </c>
      <c r="O6976" s="10" t="str">
        <f>HYPERLINK("https://pbs.twimg.com/profile_images/378800000213755302/28f339436050b0c83caa092a3087f1ad_normal.jpeg","View")</f>
        <v>View</v>
      </c>
      <c r="P6976" s="11"/>
    </row>
    <row r="6977" spans="1:16" ht="12.75" x14ac:dyDescent="0.35">
      <c r="A6977" s="7">
        <v>42484.594837962963</v>
      </c>
      <c r="B6977" s="8" t="str">
        <f>HYPERLINK("https://twitter.com/JonasHoefgen","@JonasHoefgen")</f>
        <v>@JonasHoefgen</v>
      </c>
      <c r="C6977" s="9" t="s">
        <v>15615</v>
      </c>
      <c r="D6977" s="9" t="s">
        <v>15616</v>
      </c>
      <c r="E6977" s="10" t="str">
        <f>HYPERLINK("https://twitter.com/JonasHoefgen/status/724157573180579840","724157573180579840")</f>
        <v>724157573180579840</v>
      </c>
      <c r="F6977" s="11" t="s">
        <v>43</v>
      </c>
      <c r="G6977" s="11">
        <v>51</v>
      </c>
      <c r="H6977" s="11">
        <v>83</v>
      </c>
      <c r="I6977" s="11">
        <v>0</v>
      </c>
      <c r="J6977" s="11">
        <v>0</v>
      </c>
      <c r="K6977" s="11" t="s">
        <v>21</v>
      </c>
      <c r="L6977" s="7">
        <v>42066.78701388889</v>
      </c>
      <c r="M6977" s="12" t="s">
        <v>15617</v>
      </c>
      <c r="N6977" s="12" t="s">
        <v>15618</v>
      </c>
      <c r="O6977" s="10" t="str">
        <f>HYPERLINK("https://pbs.twimg.com/profile_images/681130445828915200/WUtV_5WK_normal.jpg","View")</f>
        <v>View</v>
      </c>
      <c r="P6977" s="11"/>
    </row>
    <row r="6978" spans="1:16" ht="12.75" x14ac:dyDescent="0.35">
      <c r="A6978" s="7">
        <v>42484.595509259263</v>
      </c>
      <c r="B6978" s="8" t="str">
        <f>HYPERLINK("https://twitter.com/Tobias_aus_L","@Tobias_aus_L")</f>
        <v>@Tobias_aus_L</v>
      </c>
      <c r="C6978" s="9" t="s">
        <v>936</v>
      </c>
      <c r="D6978" s="9" t="s">
        <v>15619</v>
      </c>
      <c r="E6978" s="10" t="str">
        <f>HYPERLINK("https://twitter.com/Tobias_aus_L/status/724157816886419456","724157816886419456")</f>
        <v>724157816886419456</v>
      </c>
      <c r="F6978" s="11" t="s">
        <v>20</v>
      </c>
      <c r="G6978" s="11">
        <v>47</v>
      </c>
      <c r="H6978" s="11">
        <v>133</v>
      </c>
      <c r="I6978" s="11">
        <v>0</v>
      </c>
      <c r="J6978" s="11">
        <v>0</v>
      </c>
      <c r="K6978" s="11" t="s">
        <v>21</v>
      </c>
      <c r="L6978" s="7">
        <v>40138.877743055556</v>
      </c>
      <c r="M6978" s="12" t="s">
        <v>1658</v>
      </c>
      <c r="N6978" s="12"/>
      <c r="O6978" s="10" t="str">
        <f>HYPERLINK("https://pbs.twimg.com/profile_images/565947130196799488/RCyKnmYI_normal.jpeg","View")</f>
        <v>View</v>
      </c>
      <c r="P6978" s="11"/>
    </row>
    <row r="6979" spans="1:16" ht="12.75" x14ac:dyDescent="0.35">
      <c r="A6979" s="7">
        <v>42484.597662037035</v>
      </c>
      <c r="B6979" s="8" t="str">
        <f t="shared" ref="B6979:B6980" si="647">HYPERLINK("https://twitter.com/BliouxKirkby","@BliouxKirkby")</f>
        <v>@BliouxKirkby</v>
      </c>
      <c r="C6979" s="9" t="s">
        <v>15620</v>
      </c>
      <c r="D6979" s="9" t="s">
        <v>15621</v>
      </c>
      <c r="E6979" s="10" t="str">
        <f>HYPERLINK("https://twitter.com/BliouxKirkby/status/724158598415323137","724158598415323137")</f>
        <v>724158598415323137</v>
      </c>
      <c r="F6979" s="11" t="s">
        <v>20</v>
      </c>
      <c r="G6979" s="11">
        <v>350</v>
      </c>
      <c r="H6979" s="11">
        <v>770</v>
      </c>
      <c r="I6979" s="11">
        <v>1</v>
      </c>
      <c r="J6979" s="11">
        <v>0</v>
      </c>
      <c r="K6979" s="11" t="s">
        <v>21</v>
      </c>
      <c r="L6979" s="7">
        <v>41147.717685185184</v>
      </c>
      <c r="M6979" s="12"/>
      <c r="N6979" s="12" t="s">
        <v>15622</v>
      </c>
      <c r="O6979" s="10" t="str">
        <f t="shared" ref="O6979:O6980" si="648">HYPERLINK("https://pbs.twimg.com/profile_images/551677443036413952/rpDchzFG_normal.jpeg","View")</f>
        <v>View</v>
      </c>
      <c r="P6979" s="11"/>
    </row>
    <row r="6980" spans="1:16" ht="12.75" x14ac:dyDescent="0.35">
      <c r="A6980" s="7">
        <v>42484.597812499997</v>
      </c>
      <c r="B6980" s="8" t="str">
        <f t="shared" si="647"/>
        <v>@BliouxKirkby</v>
      </c>
      <c r="C6980" s="9" t="s">
        <v>15620</v>
      </c>
      <c r="D6980" s="9" t="s">
        <v>15623</v>
      </c>
      <c r="E6980" s="10" t="str">
        <f>HYPERLINK("https://twitter.com/BliouxKirkby/status/724158652354048000","724158652354048000")</f>
        <v>724158652354048000</v>
      </c>
      <c r="F6980" s="11" t="s">
        <v>20</v>
      </c>
      <c r="G6980" s="11">
        <v>350</v>
      </c>
      <c r="H6980" s="11">
        <v>770</v>
      </c>
      <c r="I6980" s="11">
        <v>1</v>
      </c>
      <c r="J6980" s="11">
        <v>0</v>
      </c>
      <c r="K6980" s="11" t="s">
        <v>21</v>
      </c>
      <c r="L6980" s="7">
        <v>41147.717685185184</v>
      </c>
      <c r="M6980" s="12"/>
      <c r="N6980" s="12" t="s">
        <v>15622</v>
      </c>
      <c r="O6980" s="10" t="str">
        <f t="shared" si="648"/>
        <v>View</v>
      </c>
      <c r="P6980" s="11"/>
    </row>
    <row r="6981" spans="1:16" ht="12.75" x14ac:dyDescent="0.35">
      <c r="A6981" s="7">
        <v>42484.600949074069</v>
      </c>
      <c r="B6981" s="8" t="str">
        <f>HYPERLINK("https://twitter.com/HansTheGerman","@HansTheGerman")</f>
        <v>@HansTheGerman</v>
      </c>
      <c r="C6981" s="9" t="s">
        <v>4330</v>
      </c>
      <c r="D6981" s="9" t="s">
        <v>15624</v>
      </c>
      <c r="E6981" s="10" t="str">
        <f>HYPERLINK("https://twitter.com/HansTheGerman/status/724159790662979584","724159790662979584")</f>
        <v>724159790662979584</v>
      </c>
      <c r="F6981" s="11" t="s">
        <v>43</v>
      </c>
      <c r="G6981" s="11">
        <v>314</v>
      </c>
      <c r="H6981" s="11">
        <v>764</v>
      </c>
      <c r="I6981" s="11">
        <v>0</v>
      </c>
      <c r="J6981" s="11">
        <v>0</v>
      </c>
      <c r="K6981" s="11" t="s">
        <v>21</v>
      </c>
      <c r="L6981" s="7">
        <v>39950.572777777779</v>
      </c>
      <c r="M6981" s="12" t="s">
        <v>1116</v>
      </c>
      <c r="N6981" s="12" t="s">
        <v>4332</v>
      </c>
      <c r="O6981" s="10" t="str">
        <f>HYPERLINK("https://pbs.twimg.com/profile_images/3012106875/596e712c99a38ec69b925b7f7ab71986_normal.jpeg","View")</f>
        <v>View</v>
      </c>
      <c r="P6981" s="11"/>
    </row>
    <row r="6982" spans="1:16" ht="12.75" x14ac:dyDescent="0.35">
      <c r="A6982" s="7">
        <v>42484.602361111116</v>
      </c>
      <c r="B6982" s="8" t="str">
        <f>HYPERLINK("https://twitter.com/weare_van","@weare_van")</f>
        <v>@weare_van</v>
      </c>
      <c r="C6982" s="9" t="s">
        <v>2104</v>
      </c>
      <c r="D6982" s="9" t="s">
        <v>15625</v>
      </c>
      <c r="E6982" s="10" t="str">
        <f>HYPERLINK("https://twitter.com/weare_van/status/724160300824576000","724160300824576000")</f>
        <v>724160300824576000</v>
      </c>
      <c r="F6982" s="11" t="s">
        <v>68</v>
      </c>
      <c r="G6982" s="11">
        <v>175</v>
      </c>
      <c r="H6982" s="11">
        <v>57</v>
      </c>
      <c r="I6982" s="11">
        <v>0</v>
      </c>
      <c r="J6982" s="11">
        <v>0</v>
      </c>
      <c r="K6982" s="11" t="s">
        <v>21</v>
      </c>
      <c r="L6982" s="7">
        <v>42429.136157407411</v>
      </c>
      <c r="M6982" s="12" t="s">
        <v>1397</v>
      </c>
      <c r="N6982" s="12" t="s">
        <v>2106</v>
      </c>
      <c r="O6982" s="10" t="str">
        <f>HYPERLINK("https://pbs.twimg.com/profile_images/707176643509538817/-s_VKgK4_normal.jpg","View")</f>
        <v>View</v>
      </c>
      <c r="P6982" s="11"/>
    </row>
    <row r="6983" spans="1:16" ht="12.75" x14ac:dyDescent="0.35">
      <c r="A6983" s="7">
        <v>42484.604432870372</v>
      </c>
      <c r="B6983" s="8" t="str">
        <f>HYPERLINK("https://twitter.com/MarcusCJung","@MarcusCJung")</f>
        <v>@MarcusCJung</v>
      </c>
      <c r="C6983" s="9" t="s">
        <v>3674</v>
      </c>
      <c r="D6983" s="9" t="s">
        <v>9157</v>
      </c>
      <c r="E6983" s="10" t="str">
        <f>HYPERLINK("https://twitter.com/MarcusCJung/status/724161053173645312","724161053173645312")</f>
        <v>724161053173645312</v>
      </c>
      <c r="F6983" s="11" t="s">
        <v>63</v>
      </c>
      <c r="G6983" s="11">
        <v>1855</v>
      </c>
      <c r="H6983" s="11">
        <v>2207</v>
      </c>
      <c r="I6983" s="11">
        <v>3</v>
      </c>
      <c r="J6983" s="11">
        <v>0</v>
      </c>
      <c r="K6983" s="11" t="s">
        <v>21</v>
      </c>
      <c r="L6983" s="7">
        <v>41292.895821759259</v>
      </c>
      <c r="M6983" s="12" t="s">
        <v>3676</v>
      </c>
      <c r="N6983" s="12" t="s">
        <v>3677</v>
      </c>
      <c r="O6983" s="10" t="str">
        <f>HYPERLINK("https://pbs.twimg.com/profile_images/658684970106507264/fAjFcyfX_normal.jpg","View")</f>
        <v>View</v>
      </c>
      <c r="P6983" s="11"/>
    </row>
    <row r="6984" spans="1:16" ht="12.75" x14ac:dyDescent="0.35">
      <c r="A6984" s="7">
        <v>42484.60465277778</v>
      </c>
      <c r="B6984" s="8" t="str">
        <f>HYPERLINK("https://twitter.com/Vagowners","@Vagowners")</f>
        <v>@Vagowners</v>
      </c>
      <c r="C6984" s="9" t="s">
        <v>8564</v>
      </c>
      <c r="D6984" s="9" t="s">
        <v>15494</v>
      </c>
      <c r="E6984" s="10" t="str">
        <f>HYPERLINK("https://twitter.com/Vagowners/status/724161130243993600","724161130243993600")</f>
        <v>724161130243993600</v>
      </c>
      <c r="F6984" s="11" t="s">
        <v>1838</v>
      </c>
      <c r="G6984" s="11">
        <v>41</v>
      </c>
      <c r="H6984" s="11">
        <v>179</v>
      </c>
      <c r="I6984" s="11">
        <v>7</v>
      </c>
      <c r="J6984" s="11">
        <v>0</v>
      </c>
      <c r="K6984" s="11" t="s">
        <v>21</v>
      </c>
      <c r="L6984" s="7">
        <v>42469.918541666666</v>
      </c>
      <c r="M6984" s="12" t="s">
        <v>129</v>
      </c>
      <c r="N6984" s="12" t="s">
        <v>8565</v>
      </c>
      <c r="O6984" s="10" t="str">
        <f>HYPERLINK("https://pbs.twimg.com/profile_images/718839998531903489/eXyeGppJ_normal.jpg","View")</f>
        <v>View</v>
      </c>
      <c r="P6984" s="11"/>
    </row>
    <row r="6985" spans="1:16" ht="12.75" x14ac:dyDescent="0.35">
      <c r="A6985" s="7">
        <v>42484.604803240742</v>
      </c>
      <c r="B6985" s="8" t="str">
        <f>HYPERLINK("https://twitter.com/russell_sim","@russell_sim")</f>
        <v>@russell_sim</v>
      </c>
      <c r="C6985" s="9" t="s">
        <v>15626</v>
      </c>
      <c r="D6985" s="9" t="s">
        <v>15627</v>
      </c>
      <c r="E6985" s="10" t="str">
        <f>HYPERLINK("https://twitter.com/russell_sim/status/724161185755459584","724161185755459584")</f>
        <v>724161185755459584</v>
      </c>
      <c r="F6985" s="11" t="s">
        <v>20</v>
      </c>
      <c r="G6985" s="11">
        <v>14</v>
      </c>
      <c r="H6985" s="11">
        <v>54</v>
      </c>
      <c r="I6985" s="11">
        <v>1</v>
      </c>
      <c r="J6985" s="11">
        <v>1</v>
      </c>
      <c r="K6985" s="11" t="s">
        <v>21</v>
      </c>
      <c r="L6985" s="7">
        <v>42098.997337962966</v>
      </c>
      <c r="M6985" s="12"/>
      <c r="N6985" s="12"/>
      <c r="O6985" s="10" t="str">
        <f>HYPERLINK("https://pbs.twimg.com/profile_images/636137995150692353/SzYQtSNS_normal.jpg","View")</f>
        <v>View</v>
      </c>
      <c r="P6985" s="11"/>
    </row>
    <row r="6986" spans="1:16" ht="12.75" x14ac:dyDescent="0.35">
      <c r="A6986" s="7">
        <v>42484.605439814812</v>
      </c>
      <c r="B6986" s="8" t="str">
        <f>HYPERLINK("https://twitter.com/MissFlusi","@MissFlusi")</f>
        <v>@MissFlusi</v>
      </c>
      <c r="C6986" s="9" t="s">
        <v>15628</v>
      </c>
      <c r="D6986" s="9" t="s">
        <v>15629</v>
      </c>
      <c r="E6986" s="10" t="str">
        <f>HYPERLINK("https://twitter.com/MissFlusi/status/724161415825776640","724161415825776640")</f>
        <v>724161415825776640</v>
      </c>
      <c r="F6986" s="11" t="s">
        <v>43</v>
      </c>
      <c r="G6986" s="11">
        <v>395</v>
      </c>
      <c r="H6986" s="11">
        <v>803</v>
      </c>
      <c r="I6986" s="11">
        <v>2</v>
      </c>
      <c r="J6986" s="11">
        <v>0</v>
      </c>
      <c r="K6986" s="11" t="s">
        <v>21</v>
      </c>
      <c r="L6986" s="7">
        <v>42441.221064814818</v>
      </c>
      <c r="M6986" s="12" t="s">
        <v>15630</v>
      </c>
      <c r="N6986" s="12" t="s">
        <v>15631</v>
      </c>
      <c r="O6986" s="10" t="str">
        <f>HYPERLINK("https://pbs.twimg.com/profile_images/708723135009464320/Ppp2D2rz_normal.jpg","View")</f>
        <v>View</v>
      </c>
      <c r="P6986" s="11"/>
    </row>
    <row r="6987" spans="1:16" ht="12.75" x14ac:dyDescent="0.35">
      <c r="A6987" s="7">
        <v>42484.605497685188</v>
      </c>
      <c r="B6987" s="8" t="str">
        <f>HYPERLINK("https://twitter.com/TatiiVenegaa","@TatiiVenegaa")</f>
        <v>@TatiiVenegaa</v>
      </c>
      <c r="C6987" s="9" t="s">
        <v>15632</v>
      </c>
      <c r="D6987" s="9" t="s">
        <v>15197</v>
      </c>
      <c r="E6987" s="10" t="str">
        <f>HYPERLINK("https://twitter.com/TatiiVenegaa/status/724161437875208192","724161437875208192")</f>
        <v>724161437875208192</v>
      </c>
      <c r="F6987" s="11" t="s">
        <v>48</v>
      </c>
      <c r="G6987" s="11">
        <v>526</v>
      </c>
      <c r="H6987" s="11">
        <v>329</v>
      </c>
      <c r="I6987" s="11">
        <v>14</v>
      </c>
      <c r="J6987" s="11">
        <v>0</v>
      </c>
      <c r="K6987" s="11" t="s">
        <v>21</v>
      </c>
      <c r="L6987" s="7">
        <v>41819.098171296297</v>
      </c>
      <c r="M6987" s="12" t="s">
        <v>15633</v>
      </c>
      <c r="N6987" s="12" t="s">
        <v>15634</v>
      </c>
      <c r="O6987" s="10" t="str">
        <f>HYPERLINK("https://pbs.twimg.com/profile_images/721595242454102016/kTiUFitK_normal.jpg","View")</f>
        <v>View</v>
      </c>
      <c r="P6987" s="11"/>
    </row>
    <row r="6988" spans="1:16" ht="12.75" x14ac:dyDescent="0.35">
      <c r="A6988" s="7">
        <v>42484.605682870373</v>
      </c>
      <c r="B6988" s="8" t="str">
        <f>HYPERLINK("https://twitter.com/VWBeetleSales","@VWBeetleSales")</f>
        <v>@VWBeetleSales</v>
      </c>
      <c r="C6988" s="9" t="s">
        <v>127</v>
      </c>
      <c r="D6988" s="9" t="s">
        <v>15635</v>
      </c>
      <c r="E6988" s="10" t="str">
        <f>HYPERLINK("https://twitter.com/VWBeetleSales/status/724161504354816001","724161504354816001")</f>
        <v>724161504354816001</v>
      </c>
      <c r="F6988" s="10" t="s">
        <v>124</v>
      </c>
      <c r="G6988" s="11">
        <v>37</v>
      </c>
      <c r="H6988" s="11">
        <v>32</v>
      </c>
      <c r="I6988" s="11">
        <v>0</v>
      </c>
      <c r="J6988" s="11">
        <v>0</v>
      </c>
      <c r="K6988" s="11" t="s">
        <v>21</v>
      </c>
      <c r="L6988" s="7">
        <v>42427.019756944443</v>
      </c>
      <c r="M6988" s="12" t="s">
        <v>129</v>
      </c>
      <c r="N6988" s="12" t="s">
        <v>130</v>
      </c>
      <c r="O6988" s="10" t="str">
        <f>HYPERLINK("https://pbs.twimg.com/profile_images/703294545195307008/qeCvrX86_normal.jpg","View")</f>
        <v>View</v>
      </c>
      <c r="P6988" s="11"/>
    </row>
    <row r="6989" spans="1:16" ht="12.75" x14ac:dyDescent="0.35">
      <c r="A6989" s="7">
        <v>42484.605694444443</v>
      </c>
      <c r="B6989" s="8" t="str">
        <f t="shared" ref="B6989:B6990" si="649">HYPERLINK("https://twitter.com/VWCamperSales","@VWCamperSales")</f>
        <v>@VWCamperSales</v>
      </c>
      <c r="C6989" s="9" t="s">
        <v>216</v>
      </c>
      <c r="D6989" s="9" t="s">
        <v>15636</v>
      </c>
      <c r="E6989" s="10" t="str">
        <f>HYPERLINK("https://twitter.com/VWCamperSales/status/724161510172332032","724161510172332032")</f>
        <v>724161510172332032</v>
      </c>
      <c r="F6989" s="10" t="s">
        <v>124</v>
      </c>
      <c r="G6989" s="11">
        <v>624</v>
      </c>
      <c r="H6989" s="11">
        <v>580</v>
      </c>
      <c r="I6989" s="11">
        <v>0</v>
      </c>
      <c r="J6989" s="11">
        <v>0</v>
      </c>
      <c r="K6989" s="11" t="s">
        <v>21</v>
      </c>
      <c r="L6989" s="7">
        <v>42215.98809027778</v>
      </c>
      <c r="M6989" s="12" t="s">
        <v>129</v>
      </c>
      <c r="N6989" s="12" t="s">
        <v>218</v>
      </c>
      <c r="O6989" s="10" t="str">
        <f t="shared" ref="O6989:O6990" si="650">HYPERLINK("https://pbs.twimg.com/profile_images/627949001179037696/skEBkS05_normal.jpg","View")</f>
        <v>View</v>
      </c>
      <c r="P6989" s="11"/>
    </row>
    <row r="6990" spans="1:16" ht="12.75" x14ac:dyDescent="0.35">
      <c r="A6990" s="7">
        <v>42484.605740740742</v>
      </c>
      <c r="B6990" s="8" t="str">
        <f t="shared" si="649"/>
        <v>@VWCamperSales</v>
      </c>
      <c r="C6990" s="9" t="s">
        <v>216</v>
      </c>
      <c r="D6990" s="9" t="s">
        <v>15637</v>
      </c>
      <c r="E6990" s="10" t="str">
        <f>HYPERLINK("https://twitter.com/VWCamperSales/status/724161525846446080","724161525846446080")</f>
        <v>724161525846446080</v>
      </c>
      <c r="F6990" s="10" t="s">
        <v>124</v>
      </c>
      <c r="G6990" s="11">
        <v>624</v>
      </c>
      <c r="H6990" s="11">
        <v>580</v>
      </c>
      <c r="I6990" s="11">
        <v>0</v>
      </c>
      <c r="J6990" s="11">
        <v>0</v>
      </c>
      <c r="K6990" s="11" t="s">
        <v>21</v>
      </c>
      <c r="L6990" s="7">
        <v>42215.98809027778</v>
      </c>
      <c r="M6990" s="12" t="s">
        <v>129</v>
      </c>
      <c r="N6990" s="12" t="s">
        <v>218</v>
      </c>
      <c r="O6990" s="10" t="str">
        <f t="shared" si="650"/>
        <v>View</v>
      </c>
      <c r="P6990" s="11"/>
    </row>
    <row r="6991" spans="1:16" ht="12.75" x14ac:dyDescent="0.35">
      <c r="A6991" s="7">
        <v>42484.606435185182</v>
      </c>
      <c r="B6991" s="8" t="str">
        <f>HYPERLINK("https://twitter.com/McGeiz","@McGeiz")</f>
        <v>@McGeiz</v>
      </c>
      <c r="C6991" s="9" t="s">
        <v>15638</v>
      </c>
      <c r="D6991" s="9" t="s">
        <v>15639</v>
      </c>
      <c r="E6991" s="10" t="str">
        <f>HYPERLINK("https://twitter.com/McGeiz/status/724161776443645953","724161776443645953")</f>
        <v>724161776443645953</v>
      </c>
      <c r="F6991" s="11" t="s">
        <v>20</v>
      </c>
      <c r="G6991" s="11">
        <v>1762</v>
      </c>
      <c r="H6991" s="11">
        <v>2093</v>
      </c>
      <c r="I6991" s="11">
        <v>0</v>
      </c>
      <c r="J6991" s="11">
        <v>2</v>
      </c>
      <c r="K6991" s="11" t="s">
        <v>21</v>
      </c>
      <c r="L6991" s="7">
        <v>40402.118414351848</v>
      </c>
      <c r="M6991" s="12"/>
      <c r="N6991" s="12" t="s">
        <v>15640</v>
      </c>
      <c r="O6991" s="10" t="str">
        <f>HYPERLINK("https://pbs.twimg.com/profile_images/717457798070722564/CHXL03jt_normal.jpg","View")</f>
        <v>View</v>
      </c>
      <c r="P6991" s="11"/>
    </row>
    <row r="6992" spans="1:16" ht="12.75" x14ac:dyDescent="0.35">
      <c r="A6992" s="7">
        <v>42484.607083333336</v>
      </c>
      <c r="B6992" s="8" t="str">
        <f>HYPERLINK("https://twitter.com/ellie_sheppard","@ellie_sheppard")</f>
        <v>@ellie_sheppard</v>
      </c>
      <c r="C6992" s="9" t="s">
        <v>15641</v>
      </c>
      <c r="D6992" s="9" t="s">
        <v>15642</v>
      </c>
      <c r="E6992" s="10" t="str">
        <f>HYPERLINK("https://twitter.com/ellie_sheppard/status/724162010901032960","724162010901032960")</f>
        <v>724162010901032960</v>
      </c>
      <c r="F6992" s="11" t="s">
        <v>20</v>
      </c>
      <c r="G6992" s="11">
        <v>326</v>
      </c>
      <c r="H6992" s="11">
        <v>215</v>
      </c>
      <c r="I6992" s="11">
        <v>1</v>
      </c>
      <c r="J6992" s="11">
        <v>2</v>
      </c>
      <c r="K6992" s="11" t="s">
        <v>21</v>
      </c>
      <c r="L6992" s="7">
        <v>40788.061331018514</v>
      </c>
      <c r="M6992" s="12" t="s">
        <v>11498</v>
      </c>
      <c r="N6992" s="12" t="s">
        <v>15643</v>
      </c>
      <c r="O6992" s="10" t="str">
        <f>HYPERLINK("https://pbs.twimg.com/profile_images/655401728339267586/e71ZAKtu_normal.jpg","View")</f>
        <v>View</v>
      </c>
      <c r="P6992" s="11"/>
    </row>
    <row r="6993" spans="1:16" ht="12.75" x14ac:dyDescent="0.35">
      <c r="A6993" s="7">
        <v>42484.608344907407</v>
      </c>
      <c r="B6993" s="8" t="str">
        <f>HYPERLINK("https://twitter.com/BlackChapelYard","@BlackChapelYard")</f>
        <v>@BlackChapelYard</v>
      </c>
      <c r="C6993" s="9" t="s">
        <v>15644</v>
      </c>
      <c r="D6993" s="9" t="s">
        <v>15621</v>
      </c>
      <c r="E6993" s="10" t="str">
        <f>HYPERLINK("https://twitter.com/BlackChapelYard/status/724162468356984832","724162468356984832")</f>
        <v>724162468356984832</v>
      </c>
      <c r="F6993" s="11" t="s">
        <v>48</v>
      </c>
      <c r="G6993" s="11">
        <v>2049</v>
      </c>
      <c r="H6993" s="11">
        <v>1596</v>
      </c>
      <c r="I6993" s="11">
        <v>2</v>
      </c>
      <c r="J6993" s="11">
        <v>0</v>
      </c>
      <c r="K6993" s="11" t="s">
        <v>21</v>
      </c>
      <c r="L6993" s="7">
        <v>41342.104363425926</v>
      </c>
      <c r="M6993" s="12" t="s">
        <v>15645</v>
      </c>
      <c r="N6993" s="12" t="s">
        <v>15646</v>
      </c>
      <c r="O6993" s="10" t="str">
        <f>HYPERLINK("https://pbs.twimg.com/profile_images/694637128626606080/Jgz3Bfzb_normal.jpg","View")</f>
        <v>View</v>
      </c>
      <c r="P6993" s="11"/>
    </row>
    <row r="6994" spans="1:16" ht="12.75" x14ac:dyDescent="0.35">
      <c r="A6994" s="7">
        <v>42484.609375</v>
      </c>
      <c r="B6994" s="8" t="str">
        <f>HYPERLINK("https://twitter.com/nurahzz","@nurahzz")</f>
        <v>@nurahzz</v>
      </c>
      <c r="C6994" s="9" t="s">
        <v>15647</v>
      </c>
      <c r="D6994" s="9" t="s">
        <v>15648</v>
      </c>
      <c r="E6994" s="10" t="str">
        <f>HYPERLINK("https://twitter.com/nurahzz/status/724162841658449920","724162841658449920")</f>
        <v>724162841658449920</v>
      </c>
      <c r="F6994" s="11" t="s">
        <v>114</v>
      </c>
      <c r="G6994" s="11">
        <v>1722</v>
      </c>
      <c r="H6994" s="11">
        <v>506</v>
      </c>
      <c r="I6994" s="11">
        <v>0</v>
      </c>
      <c r="J6994" s="11">
        <v>0</v>
      </c>
      <c r="K6994" s="11" t="s">
        <v>21</v>
      </c>
      <c r="L6994" s="7">
        <v>41815.03564814815</v>
      </c>
      <c r="M6994" s="12" t="s">
        <v>15649</v>
      </c>
      <c r="N6994" s="12" t="s">
        <v>15650</v>
      </c>
      <c r="O6994" s="10" t="str">
        <f>HYPERLINK("https://pbs.twimg.com/profile_images/720582436304908288/SqAQ3rKG_normal.jpg","View")</f>
        <v>View</v>
      </c>
      <c r="P6994" s="11"/>
    </row>
    <row r="6995" spans="1:16" ht="12.75" x14ac:dyDescent="0.35">
      <c r="A6995" s="7">
        <v>42484.610578703709</v>
      </c>
      <c r="B6995" s="8" t="str">
        <f t="shared" ref="B6995:B6996" si="651">HYPERLINK("https://twitter.com/beetlebug1938","@beetlebug1938")</f>
        <v>@beetlebug1938</v>
      </c>
      <c r="C6995" s="9" t="s">
        <v>66</v>
      </c>
      <c r="D6995" s="9" t="s">
        <v>15651</v>
      </c>
      <c r="E6995" s="10" t="str">
        <f>HYPERLINK("https://twitter.com/beetlebug1938/status/724163280223215616","724163280223215616")</f>
        <v>724163280223215616</v>
      </c>
      <c r="F6995" s="11" t="s">
        <v>68</v>
      </c>
      <c r="G6995" s="11">
        <v>371</v>
      </c>
      <c r="H6995" s="11">
        <v>2227</v>
      </c>
      <c r="I6995" s="11">
        <v>0</v>
      </c>
      <c r="J6995" s="11">
        <v>0</v>
      </c>
      <c r="K6995" s="11" t="s">
        <v>21</v>
      </c>
      <c r="L6995" s="7">
        <v>42469.863865740743</v>
      </c>
      <c r="M6995" s="12" t="s">
        <v>69</v>
      </c>
      <c r="N6995" s="12"/>
      <c r="O6995" s="10" t="str">
        <f t="shared" ref="O6995:O6996" si="652">HYPERLINK("https://pbs.twimg.com/profile_images/718820712757215233/LXXndPTS_normal.jpg","View")</f>
        <v>View</v>
      </c>
      <c r="P6995" s="11"/>
    </row>
    <row r="6996" spans="1:16" ht="12.75" x14ac:dyDescent="0.35">
      <c r="A6996" s="7">
        <v>42484.610625000001</v>
      </c>
      <c r="B6996" s="8" t="str">
        <f t="shared" si="651"/>
        <v>@beetlebug1938</v>
      </c>
      <c r="C6996" s="9" t="s">
        <v>66</v>
      </c>
      <c r="D6996" s="9" t="s">
        <v>15652</v>
      </c>
      <c r="E6996" s="10" t="str">
        <f>HYPERLINK("https://twitter.com/beetlebug1938/status/724163294026711040","724163294026711040")</f>
        <v>724163294026711040</v>
      </c>
      <c r="F6996" s="11" t="s">
        <v>68</v>
      </c>
      <c r="G6996" s="11">
        <v>371</v>
      </c>
      <c r="H6996" s="11">
        <v>2227</v>
      </c>
      <c r="I6996" s="11">
        <v>1</v>
      </c>
      <c r="J6996" s="11">
        <v>0</v>
      </c>
      <c r="K6996" s="11" t="s">
        <v>21</v>
      </c>
      <c r="L6996" s="7">
        <v>42469.863865740743</v>
      </c>
      <c r="M6996" s="12" t="s">
        <v>69</v>
      </c>
      <c r="N6996" s="12"/>
      <c r="O6996" s="10" t="str">
        <f t="shared" si="652"/>
        <v>View</v>
      </c>
      <c r="P6996" s="11"/>
    </row>
    <row r="6997" spans="1:16" ht="12.75" x14ac:dyDescent="0.35">
      <c r="A6997" s="7">
        <v>42484.610856481479</v>
      </c>
      <c r="B6997" s="8" t="str">
        <f>HYPERLINK("https://twitter.com/hashtagvanlife","@hashtagvanlife")</f>
        <v>@hashtagvanlife</v>
      </c>
      <c r="C6997" s="9" t="s">
        <v>187</v>
      </c>
      <c r="D6997" s="9" t="s">
        <v>15653</v>
      </c>
      <c r="E6997" s="10" t="str">
        <f>HYPERLINK("https://twitter.com/hashtagvanlife/status/724163377803747328","724163377803747328")</f>
        <v>724163377803747328</v>
      </c>
      <c r="F6997" s="11" t="s">
        <v>189</v>
      </c>
      <c r="G6997" s="11">
        <v>1030</v>
      </c>
      <c r="H6997" s="11">
        <v>29</v>
      </c>
      <c r="I6997" s="11">
        <v>1</v>
      </c>
      <c r="J6997" s="11">
        <v>0</v>
      </c>
      <c r="K6997" s="11" t="s">
        <v>21</v>
      </c>
      <c r="L6997" s="7">
        <v>42289.994583333333</v>
      </c>
      <c r="M6997" s="12"/>
      <c r="N6997" s="12" t="s">
        <v>190</v>
      </c>
      <c r="O6997" s="10" t="str">
        <f>HYPERLINK("https://pbs.twimg.com/profile_images/653637535545995264/gHuXQ5Bt_normal.jpg","View")</f>
        <v>View</v>
      </c>
      <c r="P6997" s="11"/>
    </row>
    <row r="6998" spans="1:16" ht="12.75" x14ac:dyDescent="0.35">
      <c r="A6998" s="7">
        <v>42484.611168981486</v>
      </c>
      <c r="B6998" s="8" t="str">
        <f>HYPERLINK("https://twitter.com/VWBeetleSales","@VWBeetleSales")</f>
        <v>@VWBeetleSales</v>
      </c>
      <c r="C6998" s="9" t="s">
        <v>127</v>
      </c>
      <c r="D6998" s="9" t="s">
        <v>15654</v>
      </c>
      <c r="E6998" s="10" t="str">
        <f>HYPERLINK("https://twitter.com/VWBeetleSales/status/724163490890424320","724163490890424320")</f>
        <v>724163490890424320</v>
      </c>
      <c r="F6998" s="10" t="s">
        <v>124</v>
      </c>
      <c r="G6998" s="11">
        <v>37</v>
      </c>
      <c r="H6998" s="11">
        <v>32</v>
      </c>
      <c r="I6998" s="11">
        <v>0</v>
      </c>
      <c r="J6998" s="11">
        <v>0</v>
      </c>
      <c r="K6998" s="11" t="s">
        <v>21</v>
      </c>
      <c r="L6998" s="7">
        <v>42427.019756944443</v>
      </c>
      <c r="M6998" s="12" t="s">
        <v>129</v>
      </c>
      <c r="N6998" s="12" t="s">
        <v>130</v>
      </c>
      <c r="O6998" s="10" t="str">
        <f>HYPERLINK("https://pbs.twimg.com/profile_images/703294545195307008/qeCvrX86_normal.jpg","View")</f>
        <v>View</v>
      </c>
      <c r="P6998" s="11"/>
    </row>
    <row r="6999" spans="1:16" ht="12.75" x14ac:dyDescent="0.35">
      <c r="A6999" s="7">
        <v>42484.611678240741</v>
      </c>
      <c r="B6999" s="8" t="str">
        <f>HYPERLINK("https://twitter.com/MorSvinka_83","@MorSvinka_83")</f>
        <v>@MorSvinka_83</v>
      </c>
      <c r="C6999" s="9" t="s">
        <v>9071</v>
      </c>
      <c r="D6999" s="9" t="s">
        <v>15655</v>
      </c>
      <c r="E6999" s="10" t="str">
        <f>HYPERLINK("https://twitter.com/MorSvinka_83/status/724163676735938560","724163676735938560")</f>
        <v>724163676735938560</v>
      </c>
      <c r="F6999" s="11" t="s">
        <v>63</v>
      </c>
      <c r="G6999" s="11">
        <v>81</v>
      </c>
      <c r="H6999" s="11">
        <v>127</v>
      </c>
      <c r="I6999" s="11">
        <v>0</v>
      </c>
      <c r="J6999" s="11">
        <v>1</v>
      </c>
      <c r="K6999" s="11" t="s">
        <v>21</v>
      </c>
      <c r="L6999" s="7">
        <v>40900.763842592591</v>
      </c>
      <c r="M6999" s="12" t="s">
        <v>9073</v>
      </c>
      <c r="N6999" s="12"/>
      <c r="O6999" s="10" t="str">
        <f>HYPERLINK("https://pbs.twimg.com/profile_images/2208847688/Untitled-2_normal.jpg","View")</f>
        <v>View</v>
      </c>
      <c r="P6999" s="11"/>
    </row>
    <row r="7000" spans="1:16" ht="12.75" x14ac:dyDescent="0.35">
      <c r="A7000" s="7">
        <v>42484.61204861111</v>
      </c>
      <c r="B7000" s="8" t="str">
        <f t="shared" ref="B7000:B7002" si="653">HYPERLINK("https://twitter.com/dubbusses","@dubbusses")</f>
        <v>@dubbusses</v>
      </c>
      <c r="C7000" s="9" t="s">
        <v>14338</v>
      </c>
      <c r="D7000" s="9" t="s">
        <v>15656</v>
      </c>
      <c r="E7000" s="10" t="str">
        <f>HYPERLINK("https://twitter.com/dubbusses/status/724163812300042241","724163812300042241")</f>
        <v>724163812300042241</v>
      </c>
      <c r="F7000" s="11" t="s">
        <v>68</v>
      </c>
      <c r="G7000" s="11">
        <v>425</v>
      </c>
      <c r="H7000" s="11">
        <v>2369</v>
      </c>
      <c r="I7000" s="11">
        <v>0</v>
      </c>
      <c r="J7000" s="11">
        <v>0</v>
      </c>
      <c r="K7000" s="11" t="s">
        <v>21</v>
      </c>
      <c r="L7000" s="7">
        <v>42469.905393518522</v>
      </c>
      <c r="M7000" s="12" t="s">
        <v>14340</v>
      </c>
      <c r="N7000" s="12"/>
      <c r="O7000" s="10" t="str">
        <f t="shared" ref="O7000:O7002" si="654">HYPERLINK("https://pbs.twimg.com/profile_images/718835727027580928/1ssyQ67y_normal.jpg","View")</f>
        <v>View</v>
      </c>
      <c r="P7000" s="11"/>
    </row>
    <row r="7001" spans="1:16" ht="12.75" x14ac:dyDescent="0.35">
      <c r="A7001" s="7">
        <v>42484.612071759257</v>
      </c>
      <c r="B7001" s="8" t="str">
        <f t="shared" si="653"/>
        <v>@dubbusses</v>
      </c>
      <c r="C7001" s="9" t="s">
        <v>14338</v>
      </c>
      <c r="D7001" s="9" t="s">
        <v>15657</v>
      </c>
      <c r="E7001" s="10" t="str">
        <f>HYPERLINK("https://twitter.com/dubbusses/status/724163819916931073","724163819916931073")</f>
        <v>724163819916931073</v>
      </c>
      <c r="F7001" s="11" t="s">
        <v>68</v>
      </c>
      <c r="G7001" s="11">
        <v>425</v>
      </c>
      <c r="H7001" s="11">
        <v>2369</v>
      </c>
      <c r="I7001" s="11">
        <v>0</v>
      </c>
      <c r="J7001" s="11">
        <v>0</v>
      </c>
      <c r="K7001" s="11" t="s">
        <v>21</v>
      </c>
      <c r="L7001" s="7">
        <v>42469.905393518522</v>
      </c>
      <c r="M7001" s="12" t="s">
        <v>14340</v>
      </c>
      <c r="N7001" s="12"/>
      <c r="O7001" s="10" t="str">
        <f t="shared" si="654"/>
        <v>View</v>
      </c>
      <c r="P7001" s="11"/>
    </row>
    <row r="7002" spans="1:16" ht="12.75" x14ac:dyDescent="0.35">
      <c r="A7002" s="7">
        <v>42484.612141203703</v>
      </c>
      <c r="B7002" s="8" t="str">
        <f t="shared" si="653"/>
        <v>@dubbusses</v>
      </c>
      <c r="C7002" s="9" t="s">
        <v>14338</v>
      </c>
      <c r="D7002" s="9" t="s">
        <v>15658</v>
      </c>
      <c r="E7002" s="10" t="str">
        <f>HYPERLINK("https://twitter.com/dubbusses/status/724163846303305728","724163846303305728")</f>
        <v>724163846303305728</v>
      </c>
      <c r="F7002" s="11" t="s">
        <v>68</v>
      </c>
      <c r="G7002" s="11">
        <v>425</v>
      </c>
      <c r="H7002" s="11">
        <v>2369</v>
      </c>
      <c r="I7002" s="11">
        <v>0</v>
      </c>
      <c r="J7002" s="11">
        <v>0</v>
      </c>
      <c r="K7002" s="11" t="s">
        <v>21</v>
      </c>
      <c r="L7002" s="7">
        <v>42469.905393518522</v>
      </c>
      <c r="M7002" s="12" t="s">
        <v>14340</v>
      </c>
      <c r="N7002" s="12"/>
      <c r="O7002" s="10" t="str">
        <f t="shared" si="654"/>
        <v>View</v>
      </c>
      <c r="P7002" s="11"/>
    </row>
    <row r="7003" spans="1:16" ht="12.75" x14ac:dyDescent="0.35">
      <c r="A7003" s="7">
        <v>42484.612164351856</v>
      </c>
      <c r="B7003" s="8" t="str">
        <f>HYPERLINK("https://twitter.com/JulikaBrand","@JulikaBrand")</f>
        <v>@JulikaBrand</v>
      </c>
      <c r="C7003" s="9" t="s">
        <v>15659</v>
      </c>
      <c r="D7003" s="9" t="s">
        <v>15629</v>
      </c>
      <c r="E7003" s="10" t="str">
        <f>HYPERLINK("https://twitter.com/JulikaBrand/status/724163852737351680","724163852737351680")</f>
        <v>724163852737351680</v>
      </c>
      <c r="F7003" s="11" t="s">
        <v>43</v>
      </c>
      <c r="G7003" s="11">
        <v>1636</v>
      </c>
      <c r="H7003" s="11">
        <v>1324</v>
      </c>
      <c r="I7003" s="11">
        <v>2</v>
      </c>
      <c r="J7003" s="11">
        <v>0</v>
      </c>
      <c r="K7003" s="11" t="s">
        <v>21</v>
      </c>
      <c r="L7003" s="7">
        <v>40886.923252314817</v>
      </c>
      <c r="M7003" s="12" t="s">
        <v>15660</v>
      </c>
      <c r="N7003" s="12" t="s">
        <v>15661</v>
      </c>
      <c r="O7003" s="10" t="str">
        <f>HYPERLINK("https://pbs.twimg.com/profile_images/663455849206169601/9s3yzE9j_normal.jpg","View")</f>
        <v>View</v>
      </c>
      <c r="P7003" s="11"/>
    </row>
    <row r="7004" spans="1:16" ht="12.75" x14ac:dyDescent="0.35">
      <c r="A7004" s="7">
        <v>42484.612175925926</v>
      </c>
      <c r="B7004" s="8" t="str">
        <f>HYPERLINK("https://twitter.com/dubbusses","@dubbusses")</f>
        <v>@dubbusses</v>
      </c>
      <c r="C7004" s="9" t="s">
        <v>14338</v>
      </c>
      <c r="D7004" s="9" t="s">
        <v>15662</v>
      </c>
      <c r="E7004" s="10" t="str">
        <f>HYPERLINK("https://twitter.com/dubbusses/status/724163857372073984","724163857372073984")</f>
        <v>724163857372073984</v>
      </c>
      <c r="F7004" s="11" t="s">
        <v>68</v>
      </c>
      <c r="G7004" s="11">
        <v>425</v>
      </c>
      <c r="H7004" s="11">
        <v>2369</v>
      </c>
      <c r="I7004" s="11">
        <v>0</v>
      </c>
      <c r="J7004" s="11">
        <v>0</v>
      </c>
      <c r="K7004" s="11" t="s">
        <v>21</v>
      </c>
      <c r="L7004" s="7">
        <v>42469.905393518522</v>
      </c>
      <c r="M7004" s="12" t="s">
        <v>14340</v>
      </c>
      <c r="N7004" s="12"/>
      <c r="O7004" s="10" t="str">
        <f>HYPERLINK("https://pbs.twimg.com/profile_images/718835727027580928/1ssyQ67y_normal.jpg","View")</f>
        <v>View</v>
      </c>
      <c r="P7004" s="11"/>
    </row>
    <row r="7005" spans="1:16" ht="12.75" x14ac:dyDescent="0.35">
      <c r="A7005" s="7">
        <v>42484.612812499996</v>
      </c>
      <c r="B7005" s="8" t="str">
        <f>HYPERLINK("https://twitter.com/PorscheOfficApp","@PorscheOfficApp")</f>
        <v>@PorscheOfficApp</v>
      </c>
      <c r="C7005" s="9" t="s">
        <v>7375</v>
      </c>
      <c r="D7005" s="9" t="s">
        <v>15663</v>
      </c>
      <c r="E7005" s="10" t="str">
        <f>HYPERLINK("https://twitter.com/PorscheOfficApp/status/724164086422974464","724164086422974464")</f>
        <v>724164086422974464</v>
      </c>
      <c r="F7005" s="11" t="s">
        <v>7375</v>
      </c>
      <c r="G7005" s="11">
        <v>676</v>
      </c>
      <c r="H7005" s="11">
        <v>310</v>
      </c>
      <c r="I7005" s="11">
        <v>1</v>
      </c>
      <c r="J7005" s="11">
        <v>0</v>
      </c>
      <c r="K7005" s="11" t="s">
        <v>21</v>
      </c>
      <c r="L7005" s="7">
        <v>42374.718981481477</v>
      </c>
      <c r="M7005" s="12" t="s">
        <v>2646</v>
      </c>
      <c r="N7005" s="12" t="s">
        <v>7377</v>
      </c>
      <c r="O7005" s="10" t="str">
        <f>HYPERLINK("https://pbs.twimg.com/profile_images/684716541322072065/eXpLts42_normal.jpg","View")</f>
        <v>View</v>
      </c>
      <c r="P7005" s="11"/>
    </row>
    <row r="7006" spans="1:16" ht="12.75" x14ac:dyDescent="0.35">
      <c r="A7006" s="7">
        <v>42484.612824074073</v>
      </c>
      <c r="B7006" s="8" t="str">
        <f>HYPERLINK("https://twitter.com/autofashion_imp","@autofashion_imp")</f>
        <v>@autofashion_imp</v>
      </c>
      <c r="C7006" s="9" t="s">
        <v>15664</v>
      </c>
      <c r="D7006" s="9" t="s">
        <v>15665</v>
      </c>
      <c r="E7006" s="10" t="str">
        <f>HYPERLINK("https://twitter.com/autofashion_imp/status/724164090168508416","724164090168508416")</f>
        <v>724164090168508416</v>
      </c>
      <c r="F7006" s="11" t="s">
        <v>114</v>
      </c>
      <c r="G7006" s="11">
        <v>656</v>
      </c>
      <c r="H7006" s="11">
        <v>212</v>
      </c>
      <c r="I7006" s="11">
        <v>0</v>
      </c>
      <c r="J7006" s="11">
        <v>0</v>
      </c>
      <c r="K7006" s="11" t="s">
        <v>21</v>
      </c>
      <c r="L7006" s="7">
        <v>40221.768587962964</v>
      </c>
      <c r="M7006" s="12" t="s">
        <v>15666</v>
      </c>
      <c r="N7006" s="12" t="s">
        <v>15667</v>
      </c>
      <c r="O7006" s="10" t="str">
        <f>HYPERLINK("https://pbs.twimg.com/profile_images/696540811/logo2_normal.jpg","View")</f>
        <v>View</v>
      </c>
      <c r="P7006" s="10" t="str">
        <f>HYPERLINK("http://ctrlq.org/maps/address/#34.74464484,135.38697905","Map")</f>
        <v>Map</v>
      </c>
    </row>
    <row r="7007" spans="1:16" ht="12.75" x14ac:dyDescent="0.35">
      <c r="A7007" s="7">
        <v>42484.615960648152</v>
      </c>
      <c r="B7007" s="8" t="str">
        <f>HYPERLINK("https://twitter.com/androidec17serg","@androidec17serg")</f>
        <v>@androidec17serg</v>
      </c>
      <c r="C7007" s="9" t="s">
        <v>15668</v>
      </c>
      <c r="D7007" s="9" t="s">
        <v>15669</v>
      </c>
      <c r="E7007" s="10" t="str">
        <f>HYPERLINK("https://twitter.com/androidec17serg/status/724165229127581697","724165229127581697")</f>
        <v>724165229127581697</v>
      </c>
      <c r="F7007" s="11" t="s">
        <v>48</v>
      </c>
      <c r="G7007" s="11">
        <v>20</v>
      </c>
      <c r="H7007" s="11">
        <v>35</v>
      </c>
      <c r="I7007" s="11">
        <v>2</v>
      </c>
      <c r="J7007" s="11">
        <v>0</v>
      </c>
      <c r="K7007" s="11" t="s">
        <v>21</v>
      </c>
      <c r="L7007" s="7">
        <v>42326.024224537032</v>
      </c>
      <c r="M7007" s="12" t="s">
        <v>15670</v>
      </c>
      <c r="N7007" s="12"/>
      <c r="O7007" s="10" t="str">
        <f>HYPERLINK("https://pbs.twimg.com/profile_images/675712248791343105/O7wvO-a__normal.jpg","View")</f>
        <v>View</v>
      </c>
      <c r="P7007" s="11"/>
    </row>
    <row r="7008" spans="1:16" ht="12.75" x14ac:dyDescent="0.35">
      <c r="A7008" s="7">
        <v>42484.616018518514</v>
      </c>
      <c r="B7008" s="8" t="str">
        <f>HYPERLINK("https://twitter.com/VWCamperSales","@VWCamperSales")</f>
        <v>@VWCamperSales</v>
      </c>
      <c r="C7008" s="9" t="s">
        <v>216</v>
      </c>
      <c r="D7008" s="9" t="s">
        <v>15671</v>
      </c>
      <c r="E7008" s="10" t="str">
        <f>HYPERLINK("https://twitter.com/VWCamperSales/status/724165250182860800","724165250182860800")</f>
        <v>724165250182860800</v>
      </c>
      <c r="F7008" s="10" t="s">
        <v>124</v>
      </c>
      <c r="G7008" s="11">
        <v>624</v>
      </c>
      <c r="H7008" s="11">
        <v>580</v>
      </c>
      <c r="I7008" s="11">
        <v>0</v>
      </c>
      <c r="J7008" s="11">
        <v>0</v>
      </c>
      <c r="K7008" s="11" t="s">
        <v>21</v>
      </c>
      <c r="L7008" s="7">
        <v>42215.98809027778</v>
      </c>
      <c r="M7008" s="12" t="s">
        <v>129</v>
      </c>
      <c r="N7008" s="12" t="s">
        <v>218</v>
      </c>
      <c r="O7008" s="10" t="str">
        <f>HYPERLINK("https://pbs.twimg.com/profile_images/627949001179037696/skEBkS05_normal.jpg","View")</f>
        <v>View</v>
      </c>
      <c r="P7008" s="11"/>
    </row>
    <row r="7009" spans="1:16" ht="12.75" x14ac:dyDescent="0.35">
      <c r="A7009" s="7">
        <v>42484.616226851853</v>
      </c>
      <c r="B7009" s="8" t="str">
        <f>HYPERLINK("https://twitter.com/BurggrabenH","@BurggrabenH")</f>
        <v>@BurggrabenH</v>
      </c>
      <c r="C7009" s="9" t="s">
        <v>15672</v>
      </c>
      <c r="D7009" s="9" t="s">
        <v>15494</v>
      </c>
      <c r="E7009" s="10" t="str">
        <f>HYPERLINK("https://twitter.com/BurggrabenH/status/724165324564762624","724165324564762624")</f>
        <v>724165324564762624</v>
      </c>
      <c r="F7009" s="11" t="s">
        <v>20</v>
      </c>
      <c r="G7009" s="11">
        <v>36</v>
      </c>
      <c r="H7009" s="11">
        <v>300</v>
      </c>
      <c r="I7009" s="11">
        <v>10</v>
      </c>
      <c r="J7009" s="11">
        <v>0</v>
      </c>
      <c r="K7009" s="11" t="s">
        <v>21</v>
      </c>
      <c r="L7009" s="7">
        <v>41934.784548611111</v>
      </c>
      <c r="M7009" s="12" t="s">
        <v>15673</v>
      </c>
      <c r="N7009" s="12" t="s">
        <v>15674</v>
      </c>
      <c r="O7009" s="10" t="str">
        <f>HYPERLINK("https://pbs.twimg.com/profile_images/524928538395570176/kSpd7Y_x_normal.jpeg","View")</f>
        <v>View</v>
      </c>
      <c r="P7009" s="11"/>
    </row>
    <row r="7010" spans="1:16" ht="12.75" x14ac:dyDescent="0.35">
      <c r="A7010" s="7">
        <v>42484.616481481484</v>
      </c>
      <c r="B7010" s="8" t="str">
        <f>HYPERLINK("https://twitter.com/WimKweekel","@WimKweekel")</f>
        <v>@WimKweekel</v>
      </c>
      <c r="C7010" s="9" t="s">
        <v>15675</v>
      </c>
      <c r="D7010" s="9" t="s">
        <v>15676</v>
      </c>
      <c r="E7010" s="10" t="str">
        <f>HYPERLINK("https://twitter.com/WimKweekel/status/724165418584268800","724165418584268800")</f>
        <v>724165418584268800</v>
      </c>
      <c r="F7010" s="11" t="s">
        <v>91</v>
      </c>
      <c r="G7010" s="11">
        <v>441</v>
      </c>
      <c r="H7010" s="11">
        <v>413</v>
      </c>
      <c r="I7010" s="11">
        <v>1</v>
      </c>
      <c r="J7010" s="11">
        <v>0</v>
      </c>
      <c r="K7010" s="11" t="s">
        <v>21</v>
      </c>
      <c r="L7010" s="7">
        <v>40139.778958333336</v>
      </c>
      <c r="M7010" s="12" t="s">
        <v>15677</v>
      </c>
      <c r="N7010" s="12" t="s">
        <v>15678</v>
      </c>
      <c r="O7010" s="10" t="str">
        <f>HYPERLINK("https://pbs.twimg.com/profile_images/505274086763671552/mmwkSl8F_normal.jpeg","View")</f>
        <v>View</v>
      </c>
      <c r="P7010" s="11"/>
    </row>
    <row r="7011" spans="1:16" ht="12.75" x14ac:dyDescent="0.35">
      <c r="A7011" s="7">
        <v>42484.616747685184</v>
      </c>
      <c r="B7011" s="8" t="str">
        <f>HYPERLINK("https://twitter.com/swanswaygroup","@swanswaygroup")</f>
        <v>@swanswaygroup</v>
      </c>
      <c r="C7011" s="9" t="s">
        <v>2558</v>
      </c>
      <c r="D7011" s="9" t="s">
        <v>7617</v>
      </c>
      <c r="E7011" s="10" t="str">
        <f>HYPERLINK("https://twitter.com/swanswaygroup/status/724165515900375040","724165515900375040")</f>
        <v>724165515900375040</v>
      </c>
      <c r="F7011" s="11" t="s">
        <v>140</v>
      </c>
      <c r="G7011" s="11">
        <v>6202</v>
      </c>
      <c r="H7011" s="11">
        <v>4457</v>
      </c>
      <c r="I7011" s="11">
        <v>2</v>
      </c>
      <c r="J7011" s="11">
        <v>0</v>
      </c>
      <c r="K7011" s="11" t="s">
        <v>21</v>
      </c>
      <c r="L7011" s="7">
        <v>40137.651365740741</v>
      </c>
      <c r="M7011" s="12" t="s">
        <v>2560</v>
      </c>
      <c r="N7011" s="12" t="s">
        <v>2561</v>
      </c>
      <c r="O7011" s="10" t="str">
        <f>HYPERLINK("https://pbs.twimg.com/profile_images/552037189328982016/r65JRGTS_normal.jpeg","View")</f>
        <v>View</v>
      </c>
      <c r="P7011" s="11"/>
    </row>
    <row r="7012" spans="1:16" ht="12.75" x14ac:dyDescent="0.35">
      <c r="A7012" s="7">
        <v>42484.616759259261</v>
      </c>
      <c r="B7012" s="8" t="str">
        <f>HYPERLINK("https://twitter.com/crewevw","@crewevw")</f>
        <v>@crewevw</v>
      </c>
      <c r="C7012" s="9" t="s">
        <v>2562</v>
      </c>
      <c r="D7012" s="9" t="s">
        <v>7618</v>
      </c>
      <c r="E7012" s="10" t="str">
        <f>HYPERLINK("https://twitter.com/crewevw/status/724165516575666176","724165516575666176")</f>
        <v>724165516575666176</v>
      </c>
      <c r="F7012" s="11" t="s">
        <v>140</v>
      </c>
      <c r="G7012" s="11">
        <v>2785</v>
      </c>
      <c r="H7012" s="11">
        <v>2269</v>
      </c>
      <c r="I7012" s="11">
        <v>2</v>
      </c>
      <c r="J7012" s="11">
        <v>0</v>
      </c>
      <c r="K7012" s="11" t="s">
        <v>21</v>
      </c>
      <c r="L7012" s="7">
        <v>40240.83458333333</v>
      </c>
      <c r="M7012" s="12" t="s">
        <v>2564</v>
      </c>
      <c r="N7012" s="12" t="s">
        <v>2565</v>
      </c>
      <c r="O7012" s="10" t="str">
        <f>HYPERLINK("https://pbs.twimg.com/profile_images/488678354338324481/_qtBruR6_normal.jpeg","View")</f>
        <v>View</v>
      </c>
      <c r="P7012" s="11"/>
    </row>
    <row r="7013" spans="1:16" ht="12.75" x14ac:dyDescent="0.35">
      <c r="A7013" s="7">
        <v>42484.6174537037</v>
      </c>
      <c r="B7013" s="8" t="str">
        <f>HYPERLINK("https://twitter.com/petrichorpam","@petrichorpam")</f>
        <v>@petrichorpam</v>
      </c>
      <c r="C7013" s="9" t="s">
        <v>15679</v>
      </c>
      <c r="D7013" s="9" t="s">
        <v>5464</v>
      </c>
      <c r="E7013" s="10" t="str">
        <f>HYPERLINK("https://twitter.com/petrichorpam/status/724165769047633920","724165769047633920")</f>
        <v>724165769047633920</v>
      </c>
      <c r="F7013" s="11" t="s">
        <v>43</v>
      </c>
      <c r="G7013" s="11">
        <v>543</v>
      </c>
      <c r="H7013" s="11">
        <v>933</v>
      </c>
      <c r="I7013" s="11">
        <v>77</v>
      </c>
      <c r="J7013" s="11">
        <v>0</v>
      </c>
      <c r="K7013" s="11" t="s">
        <v>21</v>
      </c>
      <c r="L7013" s="7">
        <v>42394.237326388888</v>
      </c>
      <c r="M7013" s="12" t="s">
        <v>1275</v>
      </c>
      <c r="N7013" s="12" t="s">
        <v>15680</v>
      </c>
      <c r="O7013" s="10" t="str">
        <f>HYPERLINK("https://pbs.twimg.com/profile_images/724040319298195456/O41pQ7tc_normal.jpg","View")</f>
        <v>View</v>
      </c>
      <c r="P7013" s="11"/>
    </row>
    <row r="7014" spans="1:16" ht="12.75" x14ac:dyDescent="0.35">
      <c r="A7014" s="7">
        <v>42484.620081018518</v>
      </c>
      <c r="B7014" s="8" t="str">
        <f>HYPERLINK("https://twitter.com/KlaasBrongers","@KlaasBrongers")</f>
        <v>@KlaasBrongers</v>
      </c>
      <c r="C7014" s="9" t="s">
        <v>15681</v>
      </c>
      <c r="D7014" s="9" t="s">
        <v>15682</v>
      </c>
      <c r="E7014" s="10" t="str">
        <f>HYPERLINK("https://twitter.com/KlaasBrongers/status/724166719846158336","724166719846158336")</f>
        <v>724166719846158336</v>
      </c>
      <c r="F7014" s="11" t="s">
        <v>91</v>
      </c>
      <c r="G7014" s="11">
        <v>1406</v>
      </c>
      <c r="H7014" s="11">
        <v>1345</v>
      </c>
      <c r="I7014" s="11">
        <v>1</v>
      </c>
      <c r="J7014" s="11">
        <v>0</v>
      </c>
      <c r="K7014" s="11" t="s">
        <v>21</v>
      </c>
      <c r="L7014" s="7">
        <v>39953.979861111111</v>
      </c>
      <c r="M7014" s="12" t="s">
        <v>1748</v>
      </c>
      <c r="N7014" s="12" t="s">
        <v>15683</v>
      </c>
      <c r="O7014" s="10" t="str">
        <f>HYPERLINK("https://pbs.twimg.com/profile_images/222183464/IMG_1848_2617_normal.JPG","View")</f>
        <v>View</v>
      </c>
      <c r="P7014" s="11"/>
    </row>
    <row r="7015" spans="1:16" ht="12.75" x14ac:dyDescent="0.35">
      <c r="A7015" s="7">
        <v>42484.620752314819</v>
      </c>
      <c r="B7015" s="8" t="str">
        <f t="shared" ref="B7015:B7016" si="655">HYPERLINK("https://twitter.com/VolkswagenPost","@VolkswagenPost")</f>
        <v>@VolkswagenPost</v>
      </c>
      <c r="C7015" s="9" t="s">
        <v>321</v>
      </c>
      <c r="D7015" s="9" t="s">
        <v>7684</v>
      </c>
      <c r="E7015" s="10" t="str">
        <f>HYPERLINK("https://twitter.com/VolkswagenPost/status/724166967129702400","724166967129702400")</f>
        <v>724166967129702400</v>
      </c>
      <c r="F7015" s="11" t="s">
        <v>288</v>
      </c>
      <c r="G7015" s="11">
        <v>570</v>
      </c>
      <c r="H7015" s="11">
        <v>446</v>
      </c>
      <c r="I7015" s="11">
        <v>2</v>
      </c>
      <c r="J7015" s="11">
        <v>0</v>
      </c>
      <c r="K7015" s="11" t="s">
        <v>21</v>
      </c>
      <c r="L7015" s="7">
        <v>41940.618379629632</v>
      </c>
      <c r="M7015" s="12"/>
      <c r="N7015" s="12"/>
      <c r="O7015" s="10" t="str">
        <f t="shared" ref="O7015:O7016" si="656">HYPERLINK("https://pbs.twimg.com/profile_images/530071272881803264/a_jcCmPZ_normal.png","View")</f>
        <v>View</v>
      </c>
      <c r="P7015" s="11"/>
    </row>
    <row r="7016" spans="1:16" ht="12.75" x14ac:dyDescent="0.35">
      <c r="A7016" s="7">
        <v>42484.620763888888</v>
      </c>
      <c r="B7016" s="8" t="str">
        <f t="shared" si="655"/>
        <v>@VolkswagenPost</v>
      </c>
      <c r="C7016" s="9" t="s">
        <v>321</v>
      </c>
      <c r="D7016" s="9" t="s">
        <v>7635</v>
      </c>
      <c r="E7016" s="10" t="str">
        <f>HYPERLINK("https://twitter.com/VolkswagenPost/status/724166968287330304","724166968287330304")</f>
        <v>724166968287330304</v>
      </c>
      <c r="F7016" s="11" t="s">
        <v>288</v>
      </c>
      <c r="G7016" s="11">
        <v>570</v>
      </c>
      <c r="H7016" s="11">
        <v>446</v>
      </c>
      <c r="I7016" s="11">
        <v>2</v>
      </c>
      <c r="J7016" s="11">
        <v>0</v>
      </c>
      <c r="K7016" s="11" t="s">
        <v>21</v>
      </c>
      <c r="L7016" s="7">
        <v>41940.618379629632</v>
      </c>
      <c r="M7016" s="12"/>
      <c r="N7016" s="12"/>
      <c r="O7016" s="10" t="str">
        <f t="shared" si="656"/>
        <v>View</v>
      </c>
      <c r="P7016" s="11"/>
    </row>
    <row r="7017" spans="1:16" ht="12.75" x14ac:dyDescent="0.35">
      <c r="A7017" s="7">
        <v>42484.622256944444</v>
      </c>
      <c r="B7017" s="8" t="str">
        <f>HYPERLINK("https://twitter.com/SanRMaadhwa","@SanRMaadhwa")</f>
        <v>@SanRMaadhwa</v>
      </c>
      <c r="C7017" s="9" t="s">
        <v>15684</v>
      </c>
      <c r="D7017" s="9" t="s">
        <v>15494</v>
      </c>
      <c r="E7017" s="10" t="str">
        <f>HYPERLINK("https://twitter.com/SanRMaadhwa/status/724167508303994880","724167508303994880")</f>
        <v>724167508303994880</v>
      </c>
      <c r="F7017" s="11" t="s">
        <v>43</v>
      </c>
      <c r="G7017" s="11">
        <v>508</v>
      </c>
      <c r="H7017" s="11">
        <v>172</v>
      </c>
      <c r="I7017" s="11">
        <v>10</v>
      </c>
      <c r="J7017" s="11">
        <v>0</v>
      </c>
      <c r="K7017" s="11" t="s">
        <v>21</v>
      </c>
      <c r="L7017" s="7">
        <v>40333.54724537037</v>
      </c>
      <c r="M7017" s="12" t="s">
        <v>15685</v>
      </c>
      <c r="N7017" s="12" t="s">
        <v>15686</v>
      </c>
      <c r="O7017" s="10" t="str">
        <f>HYPERLINK("https://pbs.twimg.com/profile_images/679504135125778432/O4eV8Rwx_normal.jpg","View")</f>
        <v>View</v>
      </c>
      <c r="P7017" s="11"/>
    </row>
    <row r="7018" spans="1:16" ht="12.75" x14ac:dyDescent="0.35">
      <c r="A7018" s="7">
        <v>42484.622858796298</v>
      </c>
      <c r="B7018" s="8" t="str">
        <f>HYPERLINK("https://twitter.com/Joerg_Koper","@Joerg_Koper")</f>
        <v>@Joerg_Koper</v>
      </c>
      <c r="C7018" s="9" t="s">
        <v>15687</v>
      </c>
      <c r="D7018" s="9" t="s">
        <v>15688</v>
      </c>
      <c r="E7018" s="10" t="str">
        <f>HYPERLINK("https://twitter.com/Joerg_Koper/status/724167728702099456","724167728702099456")</f>
        <v>724167728702099456</v>
      </c>
      <c r="F7018" s="11" t="s">
        <v>48</v>
      </c>
      <c r="G7018" s="11">
        <v>4266</v>
      </c>
      <c r="H7018" s="11">
        <v>3964</v>
      </c>
      <c r="I7018" s="11">
        <v>1</v>
      </c>
      <c r="J7018" s="11">
        <v>0</v>
      </c>
      <c r="K7018" s="11" t="s">
        <v>21</v>
      </c>
      <c r="L7018" s="7">
        <v>41686.073530092595</v>
      </c>
      <c r="M7018" s="12" t="s">
        <v>262</v>
      </c>
      <c r="N7018" s="12" t="s">
        <v>15689</v>
      </c>
      <c r="O7018" s="10" t="str">
        <f>HYPERLINK("https://pbs.twimg.com/profile_images/434788311308054528/SqZ-cQzT_normal.jpeg","View")</f>
        <v>View</v>
      </c>
      <c r="P7018" s="11"/>
    </row>
    <row r="7019" spans="1:16" ht="12.75" x14ac:dyDescent="0.35">
      <c r="A7019" s="7">
        <v>42484.623148148152</v>
      </c>
      <c r="B7019" s="8" t="str">
        <f>HYPERLINK("https://twitter.com/rockettoplay","@rockettoplay")</f>
        <v>@rockettoplay</v>
      </c>
      <c r="C7019" s="9" t="s">
        <v>15690</v>
      </c>
      <c r="D7019" s="9" t="s">
        <v>15691</v>
      </c>
      <c r="E7019" s="10" t="str">
        <f>HYPERLINK("https://twitter.com/rockettoplay/status/724167833790353408","724167833790353408")</f>
        <v>724167833790353408</v>
      </c>
      <c r="F7019" s="11" t="s">
        <v>15692</v>
      </c>
      <c r="G7019" s="11">
        <v>376</v>
      </c>
      <c r="H7019" s="11">
        <v>42</v>
      </c>
      <c r="I7019" s="11">
        <v>1</v>
      </c>
      <c r="J7019" s="11">
        <v>0</v>
      </c>
      <c r="K7019" s="11" t="s">
        <v>21</v>
      </c>
      <c r="L7019" s="7">
        <v>42466.686979166669</v>
      </c>
      <c r="M7019" s="12" t="s">
        <v>15693</v>
      </c>
      <c r="N7019" s="12" t="s">
        <v>15694</v>
      </c>
      <c r="O7019" s="10" t="str">
        <f>HYPERLINK("https://pbs.twimg.com/profile_images/717669252359127041/POZiKojj_normal.jpg","View")</f>
        <v>View</v>
      </c>
      <c r="P7019" s="11"/>
    </row>
    <row r="7020" spans="1:16" ht="12.75" x14ac:dyDescent="0.35">
      <c r="A7020" s="7">
        <v>42484.623680555553</v>
      </c>
      <c r="B7020" s="8" t="str">
        <f t="shared" ref="B7020:B7021" si="657">HYPERLINK("https://twitter.com/ErnstNordholt","@ErnstNordholt")</f>
        <v>@ErnstNordholt</v>
      </c>
      <c r="C7020" s="9" t="s">
        <v>1898</v>
      </c>
      <c r="D7020" s="9" t="s">
        <v>7635</v>
      </c>
      <c r="E7020" s="10" t="str">
        <f>HYPERLINK("https://twitter.com/ErnstNordholt/status/724168024316600320","724168024316600320")</f>
        <v>724168024316600320</v>
      </c>
      <c r="F7020" s="11" t="s">
        <v>43</v>
      </c>
      <c r="G7020" s="11">
        <v>536</v>
      </c>
      <c r="H7020" s="11">
        <v>1250</v>
      </c>
      <c r="I7020" s="11">
        <v>2</v>
      </c>
      <c r="J7020" s="11">
        <v>0</v>
      </c>
      <c r="K7020" s="11" t="s">
        <v>21</v>
      </c>
      <c r="L7020" s="7">
        <v>41228.797847222224</v>
      </c>
      <c r="M7020" s="12"/>
      <c r="N7020" s="12" t="s">
        <v>1899</v>
      </c>
      <c r="O7020" s="10" t="str">
        <f t="shared" ref="O7020:O7021" si="658">HYPERLINK("https://pbs.twimg.com/profile_images/698509815870578688/S6oEQDwn_normal.jpg","View")</f>
        <v>View</v>
      </c>
      <c r="P7020" s="11"/>
    </row>
    <row r="7021" spans="1:16" ht="12.75" x14ac:dyDescent="0.35">
      <c r="A7021" s="7">
        <v>42484.623784722222</v>
      </c>
      <c r="B7021" s="8" t="str">
        <f t="shared" si="657"/>
        <v>@ErnstNordholt</v>
      </c>
      <c r="C7021" s="9" t="s">
        <v>1898</v>
      </c>
      <c r="D7021" s="9" t="s">
        <v>7684</v>
      </c>
      <c r="E7021" s="10" t="str">
        <f>HYPERLINK("https://twitter.com/ErnstNordholt/status/724168062694481922","724168062694481922")</f>
        <v>724168062694481922</v>
      </c>
      <c r="F7021" s="11" t="s">
        <v>43</v>
      </c>
      <c r="G7021" s="11">
        <v>536</v>
      </c>
      <c r="H7021" s="11">
        <v>1250</v>
      </c>
      <c r="I7021" s="11">
        <v>2</v>
      </c>
      <c r="J7021" s="11">
        <v>0</v>
      </c>
      <c r="K7021" s="11" t="s">
        <v>21</v>
      </c>
      <c r="L7021" s="7">
        <v>41228.797847222224</v>
      </c>
      <c r="M7021" s="12"/>
      <c r="N7021" s="12" t="s">
        <v>1899</v>
      </c>
      <c r="O7021" s="10" t="str">
        <f t="shared" si="658"/>
        <v>View</v>
      </c>
      <c r="P7021" s="11"/>
    </row>
    <row r="7022" spans="1:16" ht="12.75" x14ac:dyDescent="0.35">
      <c r="A7022" s="7">
        <v>42484.623865740738</v>
      </c>
      <c r="B7022" s="8" t="str">
        <f>HYPERLINK("https://twitter.com/Insta_VWT","@Insta_VWT")</f>
        <v>@Insta_VWT</v>
      </c>
      <c r="C7022" s="9" t="s">
        <v>181</v>
      </c>
      <c r="D7022" s="9" t="s">
        <v>15695</v>
      </c>
      <c r="E7022" s="10" t="str">
        <f>HYPERLINK("https://twitter.com/Insta_VWT/status/724168092260151297","724168092260151297")</f>
        <v>724168092260151297</v>
      </c>
      <c r="F7022" s="11" t="s">
        <v>68</v>
      </c>
      <c r="G7022" s="11">
        <v>484</v>
      </c>
      <c r="H7022" s="11">
        <v>0</v>
      </c>
      <c r="I7022" s="11">
        <v>0</v>
      </c>
      <c r="J7022" s="11">
        <v>0</v>
      </c>
      <c r="K7022" s="11" t="s">
        <v>21</v>
      </c>
      <c r="L7022" s="7">
        <v>41658.782800925925</v>
      </c>
      <c r="M7022" s="12" t="s">
        <v>183</v>
      </c>
      <c r="N7022" s="12" t="s">
        <v>184</v>
      </c>
      <c r="O7022" s="10" t="str">
        <f>HYPERLINK("https://pbs.twimg.com/profile_images/424893967197433858/iQ86NktX_normal.jpeg","View")</f>
        <v>View</v>
      </c>
      <c r="P7022" s="11"/>
    </row>
    <row r="7023" spans="1:16" ht="12.75" x14ac:dyDescent="0.35">
      <c r="A7023" s="7">
        <v>42484.62394675926</v>
      </c>
      <c r="B7023" s="8" t="str">
        <f>HYPERLINK("https://twitter.com/VeeDubMk1_","@VeeDubMk1_")</f>
        <v>@VeeDubMk1_</v>
      </c>
      <c r="C7023" s="9" t="s">
        <v>185</v>
      </c>
      <c r="D7023" s="9" t="s">
        <v>15696</v>
      </c>
      <c r="E7023" s="10" t="str">
        <f>HYPERLINK("https://twitter.com/VeeDubMk1_/status/724168122291392514","724168122291392514")</f>
        <v>724168122291392514</v>
      </c>
      <c r="F7023" s="11" t="s">
        <v>68</v>
      </c>
      <c r="G7023" s="11">
        <v>549</v>
      </c>
      <c r="H7023" s="11">
        <v>3528</v>
      </c>
      <c r="I7023" s="11">
        <v>0</v>
      </c>
      <c r="J7023" s="11">
        <v>0</v>
      </c>
      <c r="K7023" s="11" t="s">
        <v>21</v>
      </c>
      <c r="L7023" s="7">
        <v>42343.063356481478</v>
      </c>
      <c r="M7023" s="12"/>
      <c r="N7023" s="12"/>
      <c r="O7023" s="10" t="str">
        <f>HYPERLINK("https://pbs.twimg.com/profile_images/672878354127839232/M7OYc-zx_normal.jpg","View")</f>
        <v>View</v>
      </c>
      <c r="P7023" s="11"/>
    </row>
    <row r="7024" spans="1:16" ht="12.75" x14ac:dyDescent="0.35">
      <c r="A7024" s="7">
        <v>42484.624293981484</v>
      </c>
      <c r="B7024" s="8" t="str">
        <f>HYPERLINK("https://twitter.com/rsnqp","@rsnqp")</f>
        <v>@rsnqp</v>
      </c>
      <c r="C7024" s="9" t="s">
        <v>15697</v>
      </c>
      <c r="D7024" s="9" t="s">
        <v>15698</v>
      </c>
      <c r="E7024" s="10" t="str">
        <f>HYPERLINK("https://twitter.com/rsnqp/status/724168247050805252","724168247050805252")</f>
        <v>724168247050805252</v>
      </c>
      <c r="F7024" s="11" t="s">
        <v>114</v>
      </c>
      <c r="G7024" s="11">
        <v>63</v>
      </c>
      <c r="H7024" s="11">
        <v>72</v>
      </c>
      <c r="I7024" s="11">
        <v>0</v>
      </c>
      <c r="J7024" s="11">
        <v>0</v>
      </c>
      <c r="K7024" s="11" t="s">
        <v>21</v>
      </c>
      <c r="L7024" s="7">
        <v>41928.283182870371</v>
      </c>
      <c r="M7024" s="12" t="s">
        <v>15699</v>
      </c>
      <c r="N7024" s="12" t="s">
        <v>15700</v>
      </c>
      <c r="O7024" s="10" t="str">
        <f>HYPERLINK("https://pbs.twimg.com/profile_images/724081256648986625/qK2drvxO_normal.jpg","View")</f>
        <v>View</v>
      </c>
      <c r="P7024" s="11"/>
    </row>
    <row r="7025" spans="1:16" ht="12.75" x14ac:dyDescent="0.35">
      <c r="A7025" s="7">
        <v>42484.626111111109</v>
      </c>
      <c r="B7025" s="8" t="str">
        <f>HYPERLINK("https://twitter.com/BBattmer","@BBattmer")</f>
        <v>@BBattmer</v>
      </c>
      <c r="C7025" s="9" t="s">
        <v>15701</v>
      </c>
      <c r="D7025" s="9" t="s">
        <v>15511</v>
      </c>
      <c r="E7025" s="10" t="str">
        <f>HYPERLINK("https://twitter.com/BBattmer/status/724168908719153152","724168908719153152")</f>
        <v>724168908719153152</v>
      </c>
      <c r="F7025" s="11" t="s">
        <v>91</v>
      </c>
      <c r="G7025" s="11">
        <v>783</v>
      </c>
      <c r="H7025" s="11">
        <v>797</v>
      </c>
      <c r="I7025" s="11">
        <v>4</v>
      </c>
      <c r="J7025" s="11">
        <v>0</v>
      </c>
      <c r="K7025" s="11" t="s">
        <v>21</v>
      </c>
      <c r="L7025" s="7">
        <v>40929.096504629633</v>
      </c>
      <c r="M7025" s="12" t="s">
        <v>15702</v>
      </c>
      <c r="N7025" s="12"/>
      <c r="O7025" s="10" t="str">
        <f>HYPERLINK("https://pbs.twimg.com/profile_images/635928163755823104/1oTH8iM2_normal.png","View")</f>
        <v>View</v>
      </c>
      <c r="P7025" s="11"/>
    </row>
    <row r="7026" spans="1:16" ht="12.75" x14ac:dyDescent="0.35">
      <c r="A7026" s="7">
        <v>42484.627881944441</v>
      </c>
      <c r="B7026" s="8" t="str">
        <f>HYPERLINK("https://twitter.com/Scirocco_Tuning","@Scirocco_Tuning")</f>
        <v>@Scirocco_Tuning</v>
      </c>
      <c r="C7026" s="9" t="s">
        <v>51</v>
      </c>
      <c r="D7026" s="9" t="s">
        <v>15703</v>
      </c>
      <c r="E7026" s="10" t="str">
        <f>HYPERLINK("https://twitter.com/Scirocco_Tuning/status/724169549394767873","724169549394767873")</f>
        <v>724169549394767873</v>
      </c>
      <c r="F7026" s="11" t="s">
        <v>53</v>
      </c>
      <c r="G7026" s="11">
        <v>70</v>
      </c>
      <c r="H7026" s="11">
        <v>215</v>
      </c>
      <c r="I7026" s="11">
        <v>0</v>
      </c>
      <c r="J7026" s="11">
        <v>0</v>
      </c>
      <c r="K7026" s="11" t="s">
        <v>21</v>
      </c>
      <c r="L7026" s="7">
        <v>40844.564722222218</v>
      </c>
      <c r="M7026" s="12"/>
      <c r="N7026" s="12"/>
      <c r="O7026" s="10" t="str">
        <f>HYPERLINK("https://pbs.twimg.com/profile_images/1610421423/Image2_normal.jpg","View")</f>
        <v>View</v>
      </c>
      <c r="P7026" s="11"/>
    </row>
    <row r="7027" spans="1:16" ht="12.75" x14ac:dyDescent="0.35">
      <c r="A7027" s="7">
        <v>42484.629918981482</v>
      </c>
      <c r="B7027" s="8" t="str">
        <f>HYPERLINK("https://twitter.com/VWCamperSales","@VWCamperSales")</f>
        <v>@VWCamperSales</v>
      </c>
      <c r="C7027" s="9" t="s">
        <v>216</v>
      </c>
      <c r="D7027" s="9" t="s">
        <v>15704</v>
      </c>
      <c r="E7027" s="10" t="str">
        <f>HYPERLINK("https://twitter.com/VWCamperSales/status/724170288607285248","724170288607285248")</f>
        <v>724170288607285248</v>
      </c>
      <c r="F7027" s="10" t="s">
        <v>124</v>
      </c>
      <c r="G7027" s="11">
        <v>624</v>
      </c>
      <c r="H7027" s="11">
        <v>580</v>
      </c>
      <c r="I7027" s="11">
        <v>0</v>
      </c>
      <c r="J7027" s="11">
        <v>0</v>
      </c>
      <c r="K7027" s="11" t="s">
        <v>21</v>
      </c>
      <c r="L7027" s="7">
        <v>42215.98809027778</v>
      </c>
      <c r="M7027" s="12" t="s">
        <v>129</v>
      </c>
      <c r="N7027" s="12" t="s">
        <v>218</v>
      </c>
      <c r="O7027" s="10" t="str">
        <f>HYPERLINK("https://pbs.twimg.com/profile_images/627949001179037696/skEBkS05_normal.jpg","View")</f>
        <v>View</v>
      </c>
      <c r="P7027" s="11"/>
    </row>
    <row r="7028" spans="1:16" ht="12.75" x14ac:dyDescent="0.35">
      <c r="A7028" s="7">
        <v>42484.63208333333</v>
      </c>
      <c r="B7028" s="8" t="str">
        <f>HYPERLINK("https://twitter.com/CarJobsUK","@CarJobsUK")</f>
        <v>@CarJobsUK</v>
      </c>
      <c r="C7028" s="9" t="s">
        <v>15705</v>
      </c>
      <c r="D7028" s="9" t="s">
        <v>15706</v>
      </c>
      <c r="E7028" s="10" t="str">
        <f>HYPERLINK("https://twitter.com/CarJobsUK/status/724171070215979009","724171070215979009")</f>
        <v>724171070215979009</v>
      </c>
      <c r="F7028" s="11" t="s">
        <v>152</v>
      </c>
      <c r="G7028" s="11">
        <v>44111</v>
      </c>
      <c r="H7028" s="11">
        <v>36135</v>
      </c>
      <c r="I7028" s="11">
        <v>0</v>
      </c>
      <c r="J7028" s="11">
        <v>0</v>
      </c>
      <c r="K7028" s="11" t="s">
        <v>21</v>
      </c>
      <c r="L7028" s="7">
        <v>41093.654687499999</v>
      </c>
      <c r="M7028" s="12" t="s">
        <v>129</v>
      </c>
      <c r="N7028" s="12" t="s">
        <v>15707</v>
      </c>
      <c r="O7028" s="10" t="str">
        <f>HYPERLINK("https://pbs.twimg.com/profile_images/603916088485773312/-jB4Elw4_normal.png","View")</f>
        <v>View</v>
      </c>
      <c r="P7028" s="11"/>
    </row>
    <row r="7029" spans="1:16" ht="12.75" x14ac:dyDescent="0.35">
      <c r="A7029" s="7">
        <v>42484.633483796293</v>
      </c>
      <c r="B7029" s="8" t="str">
        <f>HYPERLINK("https://twitter.com/TobiMuelhauser","@TobiMuelhauser")</f>
        <v>@TobiMuelhauser</v>
      </c>
      <c r="C7029" s="9" t="s">
        <v>15708</v>
      </c>
      <c r="D7029" s="9" t="s">
        <v>15709</v>
      </c>
      <c r="E7029" s="10" t="str">
        <f>HYPERLINK("https://twitter.com/TobiMuelhauser/status/724171580385988609","724171580385988609")</f>
        <v>724171580385988609</v>
      </c>
      <c r="F7029" s="11" t="s">
        <v>20</v>
      </c>
      <c r="G7029" s="11">
        <v>380</v>
      </c>
      <c r="H7029" s="11">
        <v>374</v>
      </c>
      <c r="I7029" s="11">
        <v>0</v>
      </c>
      <c r="J7029" s="11">
        <v>2</v>
      </c>
      <c r="K7029" s="11" t="s">
        <v>21</v>
      </c>
      <c r="L7029" s="7">
        <v>39964.603414351848</v>
      </c>
      <c r="M7029" s="12" t="s">
        <v>15710</v>
      </c>
      <c r="N7029" s="12" t="s">
        <v>15711</v>
      </c>
      <c r="O7029" s="10" t="str">
        <f>HYPERLINK("https://pbs.twimg.com/profile_images/637574744427102208/5hvsHkS-_normal.jpg","View")</f>
        <v>View</v>
      </c>
      <c r="P7029" s="11"/>
    </row>
    <row r="7030" spans="1:16" ht="12.75" x14ac:dyDescent="0.35">
      <c r="A7030" s="7">
        <v>42484.634340277778</v>
      </c>
      <c r="B7030" s="8" t="str">
        <f>HYPERLINK("https://twitter.com/techhippie","@techhippie")</f>
        <v>@techhippie</v>
      </c>
      <c r="C7030" s="9" t="s">
        <v>246</v>
      </c>
      <c r="D7030" s="9" t="s">
        <v>15712</v>
      </c>
      <c r="E7030" s="10" t="str">
        <f>HYPERLINK("https://twitter.com/techhippie/status/724171889921384448","724171889921384448")</f>
        <v>724171889921384448</v>
      </c>
      <c r="F7030" s="11" t="s">
        <v>68</v>
      </c>
      <c r="G7030" s="11">
        <v>2561</v>
      </c>
      <c r="H7030" s="11">
        <v>3831</v>
      </c>
      <c r="I7030" s="11">
        <v>0</v>
      </c>
      <c r="J7030" s="11">
        <v>0</v>
      </c>
      <c r="K7030" s="11" t="s">
        <v>21</v>
      </c>
      <c r="L7030" s="7">
        <v>42424.852152777778</v>
      </c>
      <c r="M7030" s="12" t="s">
        <v>248</v>
      </c>
      <c r="N7030" s="12" t="s">
        <v>249</v>
      </c>
      <c r="O7030" s="10" t="str">
        <f>HYPERLINK("https://pbs.twimg.com/profile_images/702511217793863680/lty8h9vE_normal.jpg","View")</f>
        <v>View</v>
      </c>
      <c r="P7030" s="11"/>
    </row>
    <row r="7031" spans="1:16" ht="12.75" x14ac:dyDescent="0.35">
      <c r="A7031" s="7">
        <v>42484.634386574078</v>
      </c>
      <c r="B7031" s="8" t="str">
        <f>HYPERLINK("https://twitter.com/DelfinaMolinaF","@DelfinaMolinaF")</f>
        <v>@DelfinaMolinaF</v>
      </c>
      <c r="C7031" s="9" t="s">
        <v>15713</v>
      </c>
      <c r="D7031" s="9" t="s">
        <v>15714</v>
      </c>
      <c r="E7031" s="10" t="str">
        <f>HYPERLINK("https://twitter.com/DelfinaMolinaF/status/724171906811871232","724171906811871232")</f>
        <v>724171906811871232</v>
      </c>
      <c r="F7031" s="11" t="s">
        <v>68</v>
      </c>
      <c r="G7031" s="11">
        <v>86</v>
      </c>
      <c r="H7031" s="11">
        <v>85</v>
      </c>
      <c r="I7031" s="11">
        <v>0</v>
      </c>
      <c r="J7031" s="11">
        <v>0</v>
      </c>
      <c r="K7031" s="11" t="s">
        <v>21</v>
      </c>
      <c r="L7031" s="7">
        <v>42472.28398148148</v>
      </c>
      <c r="M7031" s="12"/>
      <c r="N7031" s="12"/>
      <c r="O7031" s="10" t="str">
        <f>HYPERLINK("https://abs.twimg.com/sticky/default_profile_images/default_profile_2_normal.png","View")</f>
        <v>View</v>
      </c>
      <c r="P7031" s="11"/>
    </row>
    <row r="7032" spans="1:16" ht="12.75" x14ac:dyDescent="0.35">
      <c r="A7032" s="7">
        <v>42484.634456018517</v>
      </c>
      <c r="B7032" s="8" t="str">
        <f>HYPERLINK("https://twitter.com/VWBeetleSales","@VWBeetleSales")</f>
        <v>@VWBeetleSales</v>
      </c>
      <c r="C7032" s="9" t="s">
        <v>127</v>
      </c>
      <c r="D7032" s="9" t="s">
        <v>15715</v>
      </c>
      <c r="E7032" s="10" t="str">
        <f>HYPERLINK("https://twitter.com/VWBeetleSales/status/724171931289669632","724171931289669632")</f>
        <v>724171931289669632</v>
      </c>
      <c r="F7032" s="10" t="s">
        <v>124</v>
      </c>
      <c r="G7032" s="11">
        <v>37</v>
      </c>
      <c r="H7032" s="11">
        <v>32</v>
      </c>
      <c r="I7032" s="11">
        <v>0</v>
      </c>
      <c r="J7032" s="11">
        <v>0</v>
      </c>
      <c r="K7032" s="11" t="s">
        <v>21</v>
      </c>
      <c r="L7032" s="7">
        <v>42427.019756944443</v>
      </c>
      <c r="M7032" s="12" t="s">
        <v>129</v>
      </c>
      <c r="N7032" s="12" t="s">
        <v>130</v>
      </c>
      <c r="O7032" s="10" t="str">
        <f>HYPERLINK("https://pbs.twimg.com/profile_images/703294545195307008/qeCvrX86_normal.jpg","View")</f>
        <v>View</v>
      </c>
      <c r="P7032" s="11"/>
    </row>
    <row r="7033" spans="1:16" ht="12.75" x14ac:dyDescent="0.35">
      <c r="A7033" s="7">
        <v>42484.635023148148</v>
      </c>
      <c r="B7033" s="8" t="str">
        <f>HYPERLINK("https://twitter.com/PriesThi","@PriesThi")</f>
        <v>@PriesThi</v>
      </c>
      <c r="C7033" s="9" t="s">
        <v>15716</v>
      </c>
      <c r="D7033" s="9" t="s">
        <v>15717</v>
      </c>
      <c r="E7033" s="10" t="str">
        <f>HYPERLINK("https://twitter.com/PriesThi/status/724172136454209537","724172136454209537")</f>
        <v>724172136454209537</v>
      </c>
      <c r="F7033" s="11" t="s">
        <v>48</v>
      </c>
      <c r="G7033" s="11">
        <v>17</v>
      </c>
      <c r="H7033" s="11">
        <v>111</v>
      </c>
      <c r="I7033" s="11">
        <v>0</v>
      </c>
      <c r="J7033" s="11">
        <v>0</v>
      </c>
      <c r="K7033" s="11" t="s">
        <v>21</v>
      </c>
      <c r="L7033" s="7">
        <v>41299.623923611114</v>
      </c>
      <c r="M7033" s="12"/>
      <c r="N7033" s="12" t="s">
        <v>15718</v>
      </c>
      <c r="O7033" s="10" t="str">
        <f>HYPERLINK("https://pbs.twimg.com/profile_images/3160330816/1ce1024c4b92ef27b5c3859aa8159bef_normal.jpeg","View")</f>
        <v>View</v>
      </c>
      <c r="P7033" s="11"/>
    </row>
    <row r="7034" spans="1:16" ht="12.75" x14ac:dyDescent="0.35">
      <c r="A7034" s="7">
        <v>42484.635104166664</v>
      </c>
      <c r="B7034" s="8" t="str">
        <f>HYPERLINK("https://twitter.com/JenstheGTIfreak","@JenstheGTIfreak")</f>
        <v>@JenstheGTIfreak</v>
      </c>
      <c r="C7034" s="9" t="s">
        <v>15719</v>
      </c>
      <c r="D7034" s="9" t="s">
        <v>15494</v>
      </c>
      <c r="E7034" s="10" t="str">
        <f>HYPERLINK("https://twitter.com/JenstheGTIfreak/status/724172164040142849","724172164040142849")</f>
        <v>724172164040142849</v>
      </c>
      <c r="F7034" s="11" t="s">
        <v>48</v>
      </c>
      <c r="G7034" s="11">
        <v>199</v>
      </c>
      <c r="H7034" s="11">
        <v>358</v>
      </c>
      <c r="I7034" s="11">
        <v>11</v>
      </c>
      <c r="J7034" s="11">
        <v>0</v>
      </c>
      <c r="K7034" s="11" t="s">
        <v>21</v>
      </c>
      <c r="L7034" s="7">
        <v>42374.029768518521</v>
      </c>
      <c r="M7034" s="12" t="s">
        <v>15720</v>
      </c>
      <c r="N7034" s="12" t="s">
        <v>15721</v>
      </c>
      <c r="O7034" s="10" t="str">
        <f>HYPERLINK("https://pbs.twimg.com/profile_images/684090508617060353/pbrpCt9J_normal.jpg","View")</f>
        <v>View</v>
      </c>
      <c r="P7034" s="11"/>
    </row>
    <row r="7035" spans="1:16" ht="12.75" x14ac:dyDescent="0.35">
      <c r="A7035" s="7">
        <v>42484.637962962966</v>
      </c>
      <c r="B7035" s="8" t="str">
        <f>HYPERLINK("https://twitter.com/Fat4y","@Fat4y")</f>
        <v>@Fat4y</v>
      </c>
      <c r="C7035" s="9" t="s">
        <v>3221</v>
      </c>
      <c r="D7035" s="9" t="s">
        <v>15722</v>
      </c>
      <c r="E7035" s="10" t="str">
        <f>HYPERLINK("https://twitter.com/Fat4y/status/724173200574300160","724173200574300160")</f>
        <v>724173200574300160</v>
      </c>
      <c r="F7035" s="11" t="s">
        <v>68</v>
      </c>
      <c r="G7035" s="11">
        <v>232</v>
      </c>
      <c r="H7035" s="11">
        <v>233</v>
      </c>
      <c r="I7035" s="11">
        <v>0</v>
      </c>
      <c r="J7035" s="11">
        <v>0</v>
      </c>
      <c r="K7035" s="11" t="s">
        <v>21</v>
      </c>
      <c r="L7035" s="7">
        <v>41092.757604166669</v>
      </c>
      <c r="M7035" s="12" t="s">
        <v>3223</v>
      </c>
      <c r="N7035" s="12" t="s">
        <v>3224</v>
      </c>
      <c r="O7035" s="10" t="str">
        <f>HYPERLINK("https://pbs.twimg.com/profile_images/701348099290218496/iXTmp1jH_normal.jpg","View")</f>
        <v>View</v>
      </c>
      <c r="P7035" s="11"/>
    </row>
    <row r="7036" spans="1:16" ht="12.75" x14ac:dyDescent="0.35">
      <c r="A7036" s="7">
        <v>42484.638090277775</v>
      </c>
      <c r="B7036" s="8" t="str">
        <f t="shared" ref="B7036:B7037" si="659">HYPERLINK("https://twitter.com/rajesh877","@rajesh877")</f>
        <v>@rajesh877</v>
      </c>
      <c r="C7036" s="9" t="s">
        <v>11166</v>
      </c>
      <c r="D7036" s="9" t="s">
        <v>15723</v>
      </c>
      <c r="E7036" s="10" t="str">
        <f>HYPERLINK("https://twitter.com/rajesh877/status/724173246648733696","724173246648733696")</f>
        <v>724173246648733696</v>
      </c>
      <c r="F7036" s="11" t="s">
        <v>68</v>
      </c>
      <c r="G7036" s="11">
        <v>127</v>
      </c>
      <c r="H7036" s="11">
        <v>74</v>
      </c>
      <c r="I7036" s="11">
        <v>0</v>
      </c>
      <c r="J7036" s="11">
        <v>0</v>
      </c>
      <c r="K7036" s="11" t="s">
        <v>21</v>
      </c>
      <c r="L7036" s="7">
        <v>40077.821550925924</v>
      </c>
      <c r="M7036" s="12" t="s">
        <v>808</v>
      </c>
      <c r="N7036" s="12"/>
      <c r="O7036" s="10" t="str">
        <f t="shared" ref="O7036:O7037" si="660">HYPERLINK("https://pbs.twimg.com/profile_images/690068229562241028/dtAFj2bm_normal.jpg","View")</f>
        <v>View</v>
      </c>
      <c r="P7036" s="11"/>
    </row>
    <row r="7037" spans="1:16" ht="12.75" x14ac:dyDescent="0.35">
      <c r="A7037" s="7">
        <v>42484.638101851851</v>
      </c>
      <c r="B7037" s="8" t="str">
        <f t="shared" si="659"/>
        <v>@rajesh877</v>
      </c>
      <c r="C7037" s="9" t="s">
        <v>11166</v>
      </c>
      <c r="D7037" s="9" t="s">
        <v>15724</v>
      </c>
      <c r="E7037" s="10" t="str">
        <f>HYPERLINK("https://twitter.com/rajesh877/status/724173253854527488","724173253854527488")</f>
        <v>724173253854527488</v>
      </c>
      <c r="F7037" s="11" t="s">
        <v>68</v>
      </c>
      <c r="G7037" s="11">
        <v>127</v>
      </c>
      <c r="H7037" s="11">
        <v>74</v>
      </c>
      <c r="I7037" s="11">
        <v>0</v>
      </c>
      <c r="J7037" s="11">
        <v>0</v>
      </c>
      <c r="K7037" s="11" t="s">
        <v>21</v>
      </c>
      <c r="L7037" s="7">
        <v>40077.821550925924</v>
      </c>
      <c r="M7037" s="12" t="s">
        <v>808</v>
      </c>
      <c r="N7037" s="12"/>
      <c r="O7037" s="10" t="str">
        <f t="shared" si="660"/>
        <v>View</v>
      </c>
      <c r="P7037" s="11"/>
    </row>
    <row r="7038" spans="1:16" ht="12.75" x14ac:dyDescent="0.35">
      <c r="A7038" s="7">
        <v>42484.638657407406</v>
      </c>
      <c r="B7038" s="8" t="str">
        <f>HYPERLINK("https://twitter.com/andrewgooderson","@andrewgooderson")</f>
        <v>@andrewgooderson</v>
      </c>
      <c r="C7038" s="9" t="s">
        <v>15725</v>
      </c>
      <c r="D7038" s="9" t="s">
        <v>15494</v>
      </c>
      <c r="E7038" s="10" t="str">
        <f>HYPERLINK("https://twitter.com/andrewgooderson/status/724173454572843009","724173454572843009")</f>
        <v>724173454572843009</v>
      </c>
      <c r="F7038" s="11" t="s">
        <v>48</v>
      </c>
      <c r="G7038" s="11">
        <v>20</v>
      </c>
      <c r="H7038" s="11">
        <v>149</v>
      </c>
      <c r="I7038" s="11">
        <v>12</v>
      </c>
      <c r="J7038" s="11">
        <v>0</v>
      </c>
      <c r="K7038" s="11" t="s">
        <v>21</v>
      </c>
      <c r="L7038" s="7">
        <v>40568.049583333333</v>
      </c>
      <c r="M7038" s="12" t="s">
        <v>15726</v>
      </c>
      <c r="N7038" s="12"/>
      <c r="O7038" s="10" t="str">
        <f>HYPERLINK("https://pbs.twimg.com/profile_images/689177098968158208/GoFneAhS_normal.jpg","View")</f>
        <v>View</v>
      </c>
      <c r="P7038" s="11"/>
    </row>
    <row r="7039" spans="1:16" ht="12.75" x14ac:dyDescent="0.35">
      <c r="A7039" s="7">
        <v>42484.639699074076</v>
      </c>
      <c r="B7039" s="8" t="str">
        <f>HYPERLINK("https://twitter.com/VWBeetleSales","@VWBeetleSales")</f>
        <v>@VWBeetleSales</v>
      </c>
      <c r="C7039" s="9" t="s">
        <v>127</v>
      </c>
      <c r="D7039" s="9" t="s">
        <v>15727</v>
      </c>
      <c r="E7039" s="10" t="str">
        <f>HYPERLINK("https://twitter.com/VWBeetleSales/status/724173830491656192","724173830491656192")</f>
        <v>724173830491656192</v>
      </c>
      <c r="F7039" s="10" t="s">
        <v>124</v>
      </c>
      <c r="G7039" s="11">
        <v>37</v>
      </c>
      <c r="H7039" s="11">
        <v>32</v>
      </c>
      <c r="I7039" s="11">
        <v>0</v>
      </c>
      <c r="J7039" s="11">
        <v>0</v>
      </c>
      <c r="K7039" s="11" t="s">
        <v>21</v>
      </c>
      <c r="L7039" s="7">
        <v>42427.019756944443</v>
      </c>
      <c r="M7039" s="12" t="s">
        <v>129</v>
      </c>
      <c r="N7039" s="12" t="s">
        <v>130</v>
      </c>
      <c r="O7039" s="10" t="str">
        <f>HYPERLINK("https://pbs.twimg.com/profile_images/703294545195307008/qeCvrX86_normal.jpg","View")</f>
        <v>View</v>
      </c>
      <c r="P7039" s="11"/>
    </row>
    <row r="7040" spans="1:16" ht="12.75" x14ac:dyDescent="0.35">
      <c r="A7040" s="7">
        <v>42484.646250000005</v>
      </c>
      <c r="B7040" s="8" t="str">
        <f>HYPERLINK("https://twitter.com/BlackbootsWim","@BlackbootsWim")</f>
        <v>@BlackbootsWim</v>
      </c>
      <c r="C7040" s="9" t="s">
        <v>15728</v>
      </c>
      <c r="D7040" s="9" t="s">
        <v>15729</v>
      </c>
      <c r="E7040" s="10" t="str">
        <f>HYPERLINK("https://twitter.com/BlackbootsWim/status/724176203620474880","724176203620474880")</f>
        <v>724176203620474880</v>
      </c>
      <c r="F7040" s="11" t="s">
        <v>152</v>
      </c>
      <c r="G7040" s="11">
        <v>337</v>
      </c>
      <c r="H7040" s="11">
        <v>1605</v>
      </c>
      <c r="I7040" s="11">
        <v>1</v>
      </c>
      <c r="J7040" s="11">
        <v>0</v>
      </c>
      <c r="K7040" s="11" t="s">
        <v>21</v>
      </c>
      <c r="L7040" s="7">
        <v>42394.791388888887</v>
      </c>
      <c r="M7040" s="12" t="s">
        <v>129</v>
      </c>
      <c r="N7040" s="12" t="s">
        <v>15730</v>
      </c>
      <c r="O7040" s="10" t="str">
        <f>HYPERLINK("https://pbs.twimg.com/profile_images/691628976633188352/8l3QwFg8_normal.jpg","View")</f>
        <v>View</v>
      </c>
      <c r="P7040" s="11"/>
    </row>
    <row r="7041" spans="1:16" ht="12.75" x14ac:dyDescent="0.35">
      <c r="A7041" s="7">
        <v>42484.646400462967</v>
      </c>
      <c r="B7041" s="8" t="str">
        <f>HYPERLINK("https://twitter.com/caryelluk","@caryelluk")</f>
        <v>@caryelluk</v>
      </c>
      <c r="C7041" s="9" t="s">
        <v>13566</v>
      </c>
      <c r="D7041" s="9" t="s">
        <v>15731</v>
      </c>
      <c r="E7041" s="10" t="str">
        <f>HYPERLINK("https://twitter.com/caryelluk/status/724176261279453186","724176261279453186")</f>
        <v>724176261279453186</v>
      </c>
      <c r="F7041" s="11" t="s">
        <v>43</v>
      </c>
      <c r="G7041" s="11">
        <v>267</v>
      </c>
      <c r="H7041" s="11">
        <v>880</v>
      </c>
      <c r="I7041" s="11">
        <v>1</v>
      </c>
      <c r="J7041" s="11">
        <v>0</v>
      </c>
      <c r="K7041" s="11" t="s">
        <v>21</v>
      </c>
      <c r="L7041" s="7">
        <v>42403.345486111109</v>
      </c>
      <c r="M7041" s="12" t="s">
        <v>1072</v>
      </c>
      <c r="N7041" s="12" t="s">
        <v>13568</v>
      </c>
      <c r="O7041" s="10" t="str">
        <f>HYPERLINK("https://pbs.twimg.com/profile_images/715332329019994114/CunHJsKm_normal.jpg","View")</f>
        <v>View</v>
      </c>
      <c r="P7041" s="11"/>
    </row>
    <row r="7042" spans="1:16" ht="12.75" x14ac:dyDescent="0.35">
      <c r="A7042" s="7">
        <v>42484.646724537037</v>
      </c>
      <c r="B7042" s="8" t="str">
        <f>HYPERLINK("https://twitter.com/GolfitIt","@GolfitIt")</f>
        <v>@GolfitIt</v>
      </c>
      <c r="C7042" s="9" t="s">
        <v>13503</v>
      </c>
      <c r="D7042" s="9" t="s">
        <v>15732</v>
      </c>
      <c r="E7042" s="10" t="str">
        <f>HYPERLINK("https://twitter.com/GolfitIt/status/724176378334183424","724176378334183424")</f>
        <v>724176378334183424</v>
      </c>
      <c r="F7042" s="11" t="s">
        <v>13505</v>
      </c>
      <c r="G7042" s="11">
        <v>1796</v>
      </c>
      <c r="H7042" s="11">
        <v>10</v>
      </c>
      <c r="I7042" s="11">
        <v>1</v>
      </c>
      <c r="J7042" s="11">
        <v>0</v>
      </c>
      <c r="K7042" s="11" t="s">
        <v>21</v>
      </c>
      <c r="L7042" s="7">
        <v>41501.856377314813</v>
      </c>
      <c r="M7042" s="12"/>
      <c r="N7042" s="12"/>
      <c r="O7042" s="10" t="str">
        <f>HYPERLINK("https://pbs.twimg.com/profile_images/465845159607824386/C2TZw1k6_normal.jpeg","View")</f>
        <v>View</v>
      </c>
      <c r="P7042" s="11"/>
    </row>
    <row r="7043" spans="1:16" ht="12.75" x14ac:dyDescent="0.35">
      <c r="A7043" s="7">
        <v>42484.648645833338</v>
      </c>
      <c r="B7043" s="8" t="str">
        <f>HYPERLINK("https://twitter.com/derPaddy","@derPaddy")</f>
        <v>@derPaddy</v>
      </c>
      <c r="C7043" s="9" t="s">
        <v>15733</v>
      </c>
      <c r="D7043" s="9" t="s">
        <v>15734</v>
      </c>
      <c r="E7043" s="10" t="str">
        <f>HYPERLINK("https://twitter.com/derPaddy/status/724177074718683136","724177074718683136")</f>
        <v>724177074718683136</v>
      </c>
      <c r="F7043" s="11" t="s">
        <v>43</v>
      </c>
      <c r="G7043" s="11">
        <v>517</v>
      </c>
      <c r="H7043" s="11">
        <v>77</v>
      </c>
      <c r="I7043" s="11">
        <v>1</v>
      </c>
      <c r="J7043" s="11">
        <v>1</v>
      </c>
      <c r="K7043" s="11" t="s">
        <v>21</v>
      </c>
      <c r="L7043" s="7">
        <v>39874.76053240741</v>
      </c>
      <c r="M7043" s="12" t="s">
        <v>15735</v>
      </c>
      <c r="N7043" s="12" t="s">
        <v>15736</v>
      </c>
      <c r="O7043" s="10" t="str">
        <f>HYPERLINK("https://pbs.twimg.com/profile_images/692460254941024256/pFx1D2YZ_normal.png","View")</f>
        <v>View</v>
      </c>
      <c r="P7043" s="11"/>
    </row>
    <row r="7044" spans="1:16" ht="12.75" x14ac:dyDescent="0.35">
      <c r="A7044" s="7">
        <v>42484.649479166663</v>
      </c>
      <c r="B7044" s="8" t="str">
        <f>HYPERLINK("https://twitter.com/FormulaAutosCT","@FormulaAutosCT")</f>
        <v>@FormulaAutosCT</v>
      </c>
      <c r="C7044" s="9" t="s">
        <v>15737</v>
      </c>
      <c r="D7044" s="9" t="s">
        <v>15738</v>
      </c>
      <c r="E7044" s="10" t="str">
        <f>HYPERLINK("https://twitter.com/FormulaAutosCT/status/724177373336350721","724177373336350721")</f>
        <v>724177373336350721</v>
      </c>
      <c r="F7044" s="11" t="s">
        <v>152</v>
      </c>
      <c r="G7044" s="11">
        <v>146</v>
      </c>
      <c r="H7044" s="11">
        <v>539</v>
      </c>
      <c r="I7044" s="11">
        <v>0</v>
      </c>
      <c r="J7044" s="11">
        <v>0</v>
      </c>
      <c r="K7044" s="11" t="s">
        <v>21</v>
      </c>
      <c r="L7044" s="7">
        <v>42202.72246527778</v>
      </c>
      <c r="M7044" s="12" t="s">
        <v>15739</v>
      </c>
      <c r="N7044" s="12" t="s">
        <v>15740</v>
      </c>
      <c r="O7044" s="10" t="str">
        <f>HYPERLINK("https://pbs.twimg.com/profile_images/709384506772480000/KSALrilO_normal.jpg","View")</f>
        <v>View</v>
      </c>
      <c r="P7044" s="11"/>
    </row>
    <row r="7045" spans="1:16" ht="12.75" x14ac:dyDescent="0.35">
      <c r="A7045" s="7">
        <v>42484.65006944444</v>
      </c>
      <c r="B7045" s="8" t="str">
        <f>HYPERLINK("https://twitter.com/Die_Primel","@Die_Primel")</f>
        <v>@Die_Primel</v>
      </c>
      <c r="C7045" s="9" t="s">
        <v>15741</v>
      </c>
      <c r="D7045" s="9" t="s">
        <v>15742</v>
      </c>
      <c r="E7045" s="10" t="str">
        <f>HYPERLINK("https://twitter.com/Die_Primel/status/724177587552018433","724177587552018433")</f>
        <v>724177587552018433</v>
      </c>
      <c r="F7045" s="11" t="s">
        <v>91</v>
      </c>
      <c r="G7045" s="11">
        <v>1998</v>
      </c>
      <c r="H7045" s="11">
        <v>3166</v>
      </c>
      <c r="I7045" s="11">
        <v>1</v>
      </c>
      <c r="J7045" s="11">
        <v>0</v>
      </c>
      <c r="K7045" s="11" t="s">
        <v>21</v>
      </c>
      <c r="L7045" s="7">
        <v>39569.863229166665</v>
      </c>
      <c r="M7045" s="12" t="s">
        <v>953</v>
      </c>
      <c r="N7045" s="12" t="s">
        <v>15743</v>
      </c>
      <c r="O7045" s="10" t="str">
        <f>HYPERLINK("https://pbs.twimg.com/profile_images/567365044917137408/57e5M0m2_normal.jpeg","View")</f>
        <v>View</v>
      </c>
      <c r="P7045" s="11"/>
    </row>
    <row r="7046" spans="1:16" ht="12.75" x14ac:dyDescent="0.35">
      <c r="A7046" s="7">
        <v>42484.650347222225</v>
      </c>
      <c r="B7046" s="8" t="str">
        <f>HYPERLINK("https://twitter.com/The1400Club","@The1400Club")</f>
        <v>@The1400Club</v>
      </c>
      <c r="C7046" s="9" t="s">
        <v>15744</v>
      </c>
      <c r="D7046" s="9" t="s">
        <v>15745</v>
      </c>
      <c r="E7046" s="10" t="str">
        <f>HYPERLINK("https://twitter.com/The1400Club/status/724177688391344128","724177688391344128")</f>
        <v>724177688391344128</v>
      </c>
      <c r="F7046" s="11" t="s">
        <v>20</v>
      </c>
      <c r="G7046" s="11">
        <v>215194</v>
      </c>
      <c r="H7046" s="11">
        <v>95286</v>
      </c>
      <c r="I7046" s="11">
        <v>1</v>
      </c>
      <c r="J7046" s="11">
        <v>0</v>
      </c>
      <c r="K7046" s="11" t="s">
        <v>21</v>
      </c>
      <c r="L7046" s="7">
        <v>41096.865729166668</v>
      </c>
      <c r="M7046" s="12" t="s">
        <v>15746</v>
      </c>
      <c r="N7046" s="12" t="s">
        <v>15747</v>
      </c>
      <c r="O7046" s="10" t="str">
        <f>HYPERLINK("https://pbs.twimg.com/profile_images/711707368212598784/-gzKfj8w_normal.jpg","View")</f>
        <v>View</v>
      </c>
      <c r="P7046" s="11"/>
    </row>
    <row r="7047" spans="1:16" ht="12.75" x14ac:dyDescent="0.35">
      <c r="A7047" s="7">
        <v>42484.651296296295</v>
      </c>
      <c r="B7047" s="8" t="str">
        <f>HYPERLINK("https://twitter.com/charl_folife","@charl_folife")</f>
        <v>@charl_folife</v>
      </c>
      <c r="C7047" s="9" t="s">
        <v>15748</v>
      </c>
      <c r="D7047" s="9" t="s">
        <v>15749</v>
      </c>
      <c r="E7047" s="10" t="str">
        <f>HYPERLINK("https://twitter.com/charl_folife/status/724178033913929728","724178033913929728")</f>
        <v>724178033913929728</v>
      </c>
      <c r="F7047" s="11" t="s">
        <v>20</v>
      </c>
      <c r="G7047" s="11">
        <v>1209</v>
      </c>
      <c r="H7047" s="11">
        <v>1416</v>
      </c>
      <c r="I7047" s="11">
        <v>6</v>
      </c>
      <c r="J7047" s="11">
        <v>0</v>
      </c>
      <c r="K7047" s="11" t="s">
        <v>21</v>
      </c>
      <c r="L7047" s="7">
        <v>40895.523136574076</v>
      </c>
      <c r="M7047" s="12" t="s">
        <v>15750</v>
      </c>
      <c r="N7047" s="12" t="s">
        <v>15751</v>
      </c>
      <c r="O7047" s="10" t="str">
        <f>HYPERLINK("https://pbs.twimg.com/profile_images/429873948008796160/hYqNEDSv_normal.png","View")</f>
        <v>View</v>
      </c>
      <c r="P7047" s="11"/>
    </row>
    <row r="7048" spans="1:16" ht="12.75" x14ac:dyDescent="0.35">
      <c r="A7048" s="7">
        <v>42484.651331018518</v>
      </c>
      <c r="B7048" s="8" t="str">
        <f>HYPERLINK("https://twitter.com/VascoASG","@VascoASG")</f>
        <v>@VascoASG</v>
      </c>
      <c r="C7048" s="9" t="s">
        <v>15752</v>
      </c>
      <c r="D7048" s="9" t="s">
        <v>15753</v>
      </c>
      <c r="E7048" s="10" t="str">
        <f>HYPERLINK("https://twitter.com/VascoASG/status/724178046106755072","724178046106755072")</f>
        <v>724178046106755072</v>
      </c>
      <c r="F7048" s="11" t="s">
        <v>114</v>
      </c>
      <c r="G7048" s="11">
        <v>144</v>
      </c>
      <c r="H7048" s="11">
        <v>304</v>
      </c>
      <c r="I7048" s="11">
        <v>0</v>
      </c>
      <c r="J7048" s="11">
        <v>0</v>
      </c>
      <c r="K7048" s="11" t="s">
        <v>21</v>
      </c>
      <c r="L7048" s="7">
        <v>40590.142951388887</v>
      </c>
      <c r="M7048" s="12" t="s">
        <v>15754</v>
      </c>
      <c r="N7048" s="12" t="s">
        <v>15755</v>
      </c>
      <c r="O7048" s="10" t="str">
        <f>HYPERLINK("https://pbs.twimg.com/profile_images/2837066359/a35c7729303d192360769f39fd8d8a7e_normal.jpeg","View")</f>
        <v>View</v>
      </c>
      <c r="P7048" s="11"/>
    </row>
    <row r="7049" spans="1:16" ht="12.75" x14ac:dyDescent="0.35">
      <c r="A7049" s="7">
        <v>42484.652199074073</v>
      </c>
      <c r="B7049" s="8" t="str">
        <f t="shared" ref="B7049:B7052" si="661">HYPERLINK("https://twitter.com/beetlebug1938","@beetlebug1938")</f>
        <v>@beetlebug1938</v>
      </c>
      <c r="C7049" s="9" t="s">
        <v>66</v>
      </c>
      <c r="D7049" s="9" t="s">
        <v>15756</v>
      </c>
      <c r="E7049" s="10" t="str">
        <f>HYPERLINK("https://twitter.com/beetlebug1938/status/724178361384316928","724178361384316928")</f>
        <v>724178361384316928</v>
      </c>
      <c r="F7049" s="11" t="s">
        <v>68</v>
      </c>
      <c r="G7049" s="11">
        <v>371</v>
      </c>
      <c r="H7049" s="11">
        <v>2227</v>
      </c>
      <c r="I7049" s="11">
        <v>0</v>
      </c>
      <c r="J7049" s="11">
        <v>1</v>
      </c>
      <c r="K7049" s="11" t="s">
        <v>21</v>
      </c>
      <c r="L7049" s="7">
        <v>42469.863865740743</v>
      </c>
      <c r="M7049" s="12" t="s">
        <v>69</v>
      </c>
      <c r="N7049" s="12"/>
      <c r="O7049" s="10" t="str">
        <f t="shared" ref="O7049:O7052" si="662">HYPERLINK("https://pbs.twimg.com/profile_images/718820712757215233/LXXndPTS_normal.jpg","View")</f>
        <v>View</v>
      </c>
      <c r="P7049" s="11"/>
    </row>
    <row r="7050" spans="1:16" ht="12.75" x14ac:dyDescent="0.35">
      <c r="A7050" s="7">
        <v>42484.652245370366</v>
      </c>
      <c r="B7050" s="8" t="str">
        <f t="shared" si="661"/>
        <v>@beetlebug1938</v>
      </c>
      <c r="C7050" s="9" t="s">
        <v>66</v>
      </c>
      <c r="D7050" s="9" t="s">
        <v>15757</v>
      </c>
      <c r="E7050" s="10" t="str">
        <f>HYPERLINK("https://twitter.com/beetlebug1938/status/724178376169275392","724178376169275392")</f>
        <v>724178376169275392</v>
      </c>
      <c r="F7050" s="11" t="s">
        <v>68</v>
      </c>
      <c r="G7050" s="11">
        <v>371</v>
      </c>
      <c r="H7050" s="11">
        <v>2227</v>
      </c>
      <c r="I7050" s="11">
        <v>0</v>
      </c>
      <c r="J7050" s="11">
        <v>0</v>
      </c>
      <c r="K7050" s="11" t="s">
        <v>21</v>
      </c>
      <c r="L7050" s="7">
        <v>42469.863865740743</v>
      </c>
      <c r="M7050" s="12" t="s">
        <v>69</v>
      </c>
      <c r="N7050" s="12"/>
      <c r="O7050" s="10" t="str">
        <f t="shared" si="662"/>
        <v>View</v>
      </c>
      <c r="P7050" s="11"/>
    </row>
    <row r="7051" spans="1:16" ht="12.75" x14ac:dyDescent="0.35">
      <c r="A7051" s="7">
        <v>42484.652395833335</v>
      </c>
      <c r="B7051" s="8" t="str">
        <f t="shared" si="661"/>
        <v>@beetlebug1938</v>
      </c>
      <c r="C7051" s="9" t="s">
        <v>66</v>
      </c>
      <c r="D7051" s="9" t="s">
        <v>15758</v>
      </c>
      <c r="E7051" s="10" t="str">
        <f>HYPERLINK("https://twitter.com/beetlebug1938/status/724178432431689728","724178432431689728")</f>
        <v>724178432431689728</v>
      </c>
      <c r="F7051" s="11" t="s">
        <v>68</v>
      </c>
      <c r="G7051" s="11">
        <v>371</v>
      </c>
      <c r="H7051" s="11">
        <v>2227</v>
      </c>
      <c r="I7051" s="11">
        <v>0</v>
      </c>
      <c r="J7051" s="11">
        <v>0</v>
      </c>
      <c r="K7051" s="11" t="s">
        <v>21</v>
      </c>
      <c r="L7051" s="7">
        <v>42469.863865740743</v>
      </c>
      <c r="M7051" s="12" t="s">
        <v>69</v>
      </c>
      <c r="N7051" s="12"/>
      <c r="O7051" s="10" t="str">
        <f t="shared" si="662"/>
        <v>View</v>
      </c>
      <c r="P7051" s="11"/>
    </row>
    <row r="7052" spans="1:16" ht="12.75" x14ac:dyDescent="0.35">
      <c r="A7052" s="7">
        <v>42484.65243055555</v>
      </c>
      <c r="B7052" s="8" t="str">
        <f t="shared" si="661"/>
        <v>@beetlebug1938</v>
      </c>
      <c r="C7052" s="9" t="s">
        <v>66</v>
      </c>
      <c r="D7052" s="9" t="s">
        <v>15759</v>
      </c>
      <c r="E7052" s="10" t="str">
        <f>HYPERLINK("https://twitter.com/beetlebug1938/status/724178444091822080","724178444091822080")</f>
        <v>724178444091822080</v>
      </c>
      <c r="F7052" s="11" t="s">
        <v>68</v>
      </c>
      <c r="G7052" s="11">
        <v>371</v>
      </c>
      <c r="H7052" s="11">
        <v>2227</v>
      </c>
      <c r="I7052" s="11">
        <v>0</v>
      </c>
      <c r="J7052" s="11">
        <v>0</v>
      </c>
      <c r="K7052" s="11" t="s">
        <v>21</v>
      </c>
      <c r="L7052" s="7">
        <v>42469.863865740743</v>
      </c>
      <c r="M7052" s="12" t="s">
        <v>69</v>
      </c>
      <c r="N7052" s="12"/>
      <c r="O7052" s="10" t="str">
        <f t="shared" si="662"/>
        <v>View</v>
      </c>
      <c r="P7052" s="11"/>
    </row>
    <row r="7053" spans="1:16" ht="12.75" x14ac:dyDescent="0.35">
      <c r="A7053" s="7">
        <v>42484.653854166667</v>
      </c>
      <c r="B7053" s="8" t="str">
        <f t="shared" ref="B7053:B7060" si="663">HYPERLINK("https://twitter.com/dubbusses","@dubbusses")</f>
        <v>@dubbusses</v>
      </c>
      <c r="C7053" s="9" t="s">
        <v>14338</v>
      </c>
      <c r="D7053" s="9" t="s">
        <v>15760</v>
      </c>
      <c r="E7053" s="10" t="str">
        <f>HYPERLINK("https://twitter.com/dubbusses/status/724178959932510208","724178959932510208")</f>
        <v>724178959932510208</v>
      </c>
      <c r="F7053" s="11" t="s">
        <v>68</v>
      </c>
      <c r="G7053" s="11">
        <v>425</v>
      </c>
      <c r="H7053" s="11">
        <v>2369</v>
      </c>
      <c r="I7053" s="11">
        <v>0</v>
      </c>
      <c r="J7053" s="11">
        <v>0</v>
      </c>
      <c r="K7053" s="11" t="s">
        <v>21</v>
      </c>
      <c r="L7053" s="7">
        <v>42469.905393518522</v>
      </c>
      <c r="M7053" s="12" t="s">
        <v>14340</v>
      </c>
      <c r="N7053" s="12"/>
      <c r="O7053" s="10" t="str">
        <f t="shared" ref="O7053:O7060" si="664">HYPERLINK("https://pbs.twimg.com/profile_images/718835727027580928/1ssyQ67y_normal.jpg","View")</f>
        <v>View</v>
      </c>
      <c r="P7053" s="11"/>
    </row>
    <row r="7054" spans="1:16" ht="12.75" x14ac:dyDescent="0.35">
      <c r="A7054" s="7">
        <v>42484.653946759259</v>
      </c>
      <c r="B7054" s="8" t="str">
        <f t="shared" si="663"/>
        <v>@dubbusses</v>
      </c>
      <c r="C7054" s="9" t="s">
        <v>14338</v>
      </c>
      <c r="D7054" s="9" t="s">
        <v>15761</v>
      </c>
      <c r="E7054" s="10" t="str">
        <f>HYPERLINK("https://twitter.com/dubbusses/status/724178993650536448","724178993650536448")</f>
        <v>724178993650536448</v>
      </c>
      <c r="F7054" s="11" t="s">
        <v>68</v>
      </c>
      <c r="G7054" s="11">
        <v>425</v>
      </c>
      <c r="H7054" s="11">
        <v>2369</v>
      </c>
      <c r="I7054" s="11">
        <v>0</v>
      </c>
      <c r="J7054" s="11">
        <v>0</v>
      </c>
      <c r="K7054" s="11" t="s">
        <v>21</v>
      </c>
      <c r="L7054" s="7">
        <v>42469.905393518522</v>
      </c>
      <c r="M7054" s="12" t="s">
        <v>14340</v>
      </c>
      <c r="N7054" s="12"/>
      <c r="O7054" s="10" t="str">
        <f t="shared" si="664"/>
        <v>View</v>
      </c>
      <c r="P7054" s="11"/>
    </row>
    <row r="7055" spans="1:16" ht="12.75" x14ac:dyDescent="0.35">
      <c r="A7055" s="7">
        <v>42484.653981481482</v>
      </c>
      <c r="B7055" s="8" t="str">
        <f t="shared" si="663"/>
        <v>@dubbusses</v>
      </c>
      <c r="C7055" s="9" t="s">
        <v>14338</v>
      </c>
      <c r="D7055" s="9" t="s">
        <v>15762</v>
      </c>
      <c r="E7055" s="10" t="str">
        <f>HYPERLINK("https://twitter.com/dubbusses/status/724179008565456896","724179008565456896")</f>
        <v>724179008565456896</v>
      </c>
      <c r="F7055" s="11" t="s">
        <v>68</v>
      </c>
      <c r="G7055" s="11">
        <v>425</v>
      </c>
      <c r="H7055" s="11">
        <v>2369</v>
      </c>
      <c r="I7055" s="11">
        <v>0</v>
      </c>
      <c r="J7055" s="11">
        <v>0</v>
      </c>
      <c r="K7055" s="11" t="s">
        <v>21</v>
      </c>
      <c r="L7055" s="7">
        <v>42469.905393518522</v>
      </c>
      <c r="M7055" s="12" t="s">
        <v>14340</v>
      </c>
      <c r="N7055" s="12"/>
      <c r="O7055" s="10" t="str">
        <f t="shared" si="664"/>
        <v>View</v>
      </c>
      <c r="P7055" s="11"/>
    </row>
    <row r="7056" spans="1:16" ht="12.75" x14ac:dyDescent="0.35">
      <c r="A7056" s="7">
        <v>42484.654016203705</v>
      </c>
      <c r="B7056" s="8" t="str">
        <f t="shared" si="663"/>
        <v>@dubbusses</v>
      </c>
      <c r="C7056" s="9" t="s">
        <v>14338</v>
      </c>
      <c r="D7056" s="9" t="s">
        <v>15763</v>
      </c>
      <c r="E7056" s="10" t="str">
        <f>HYPERLINK("https://twitter.com/dubbusses/status/724179021014138880","724179021014138880")</f>
        <v>724179021014138880</v>
      </c>
      <c r="F7056" s="11" t="s">
        <v>68</v>
      </c>
      <c r="G7056" s="11">
        <v>425</v>
      </c>
      <c r="H7056" s="11">
        <v>2369</v>
      </c>
      <c r="I7056" s="11">
        <v>0</v>
      </c>
      <c r="J7056" s="11">
        <v>0</v>
      </c>
      <c r="K7056" s="11" t="s">
        <v>21</v>
      </c>
      <c r="L7056" s="7">
        <v>42469.905393518522</v>
      </c>
      <c r="M7056" s="12" t="s">
        <v>14340</v>
      </c>
      <c r="N7056" s="12"/>
      <c r="O7056" s="10" t="str">
        <f t="shared" si="664"/>
        <v>View</v>
      </c>
      <c r="P7056" s="11"/>
    </row>
    <row r="7057" spans="1:16" ht="12.75" x14ac:dyDescent="0.35">
      <c r="A7057" s="7">
        <v>42484.654120370367</v>
      </c>
      <c r="B7057" s="8" t="str">
        <f t="shared" si="663"/>
        <v>@dubbusses</v>
      </c>
      <c r="C7057" s="9" t="s">
        <v>14338</v>
      </c>
      <c r="D7057" s="9" t="s">
        <v>15764</v>
      </c>
      <c r="E7057" s="10" t="str">
        <f>HYPERLINK("https://twitter.com/dubbusses/status/724179055877206016","724179055877206016")</f>
        <v>724179055877206016</v>
      </c>
      <c r="F7057" s="11" t="s">
        <v>68</v>
      </c>
      <c r="G7057" s="11">
        <v>425</v>
      </c>
      <c r="H7057" s="11">
        <v>2369</v>
      </c>
      <c r="I7057" s="11">
        <v>0</v>
      </c>
      <c r="J7057" s="11">
        <v>0</v>
      </c>
      <c r="K7057" s="11" t="s">
        <v>21</v>
      </c>
      <c r="L7057" s="7">
        <v>42469.905393518522</v>
      </c>
      <c r="M7057" s="12" t="s">
        <v>14340</v>
      </c>
      <c r="N7057" s="12"/>
      <c r="O7057" s="10" t="str">
        <f t="shared" si="664"/>
        <v>View</v>
      </c>
      <c r="P7057" s="11"/>
    </row>
    <row r="7058" spans="1:16" ht="12.75" x14ac:dyDescent="0.35">
      <c r="A7058" s="7">
        <v>42484.65415509259</v>
      </c>
      <c r="B7058" s="8" t="str">
        <f t="shared" si="663"/>
        <v>@dubbusses</v>
      </c>
      <c r="C7058" s="9" t="s">
        <v>14338</v>
      </c>
      <c r="D7058" s="9" t="s">
        <v>15765</v>
      </c>
      <c r="E7058" s="10" t="str">
        <f>HYPERLINK("https://twitter.com/dubbusses/status/724179070905397253","724179070905397253")</f>
        <v>724179070905397253</v>
      </c>
      <c r="F7058" s="11" t="s">
        <v>68</v>
      </c>
      <c r="G7058" s="11">
        <v>425</v>
      </c>
      <c r="H7058" s="11">
        <v>2369</v>
      </c>
      <c r="I7058" s="11">
        <v>0</v>
      </c>
      <c r="J7058" s="11">
        <v>0</v>
      </c>
      <c r="K7058" s="11" t="s">
        <v>21</v>
      </c>
      <c r="L7058" s="7">
        <v>42469.905393518522</v>
      </c>
      <c r="M7058" s="12" t="s">
        <v>14340</v>
      </c>
      <c r="N7058" s="12"/>
      <c r="O7058" s="10" t="str">
        <f t="shared" si="664"/>
        <v>View</v>
      </c>
      <c r="P7058" s="11"/>
    </row>
    <row r="7059" spans="1:16" ht="12.75" x14ac:dyDescent="0.35">
      <c r="A7059" s="7">
        <v>42484.654212962967</v>
      </c>
      <c r="B7059" s="8" t="str">
        <f t="shared" si="663"/>
        <v>@dubbusses</v>
      </c>
      <c r="C7059" s="9" t="s">
        <v>14338</v>
      </c>
      <c r="D7059" s="9" t="s">
        <v>15766</v>
      </c>
      <c r="E7059" s="10" t="str">
        <f>HYPERLINK("https://twitter.com/dubbusses/status/724179090450853888","724179090450853888")</f>
        <v>724179090450853888</v>
      </c>
      <c r="F7059" s="11" t="s">
        <v>68</v>
      </c>
      <c r="G7059" s="11">
        <v>425</v>
      </c>
      <c r="H7059" s="11">
        <v>2369</v>
      </c>
      <c r="I7059" s="11">
        <v>0</v>
      </c>
      <c r="J7059" s="11">
        <v>0</v>
      </c>
      <c r="K7059" s="11" t="s">
        <v>21</v>
      </c>
      <c r="L7059" s="7">
        <v>42469.905393518522</v>
      </c>
      <c r="M7059" s="12" t="s">
        <v>14340</v>
      </c>
      <c r="N7059" s="12"/>
      <c r="O7059" s="10" t="str">
        <f t="shared" si="664"/>
        <v>View</v>
      </c>
      <c r="P7059" s="11"/>
    </row>
    <row r="7060" spans="1:16" ht="12.75" x14ac:dyDescent="0.35">
      <c r="A7060" s="7">
        <v>42484.65425925926</v>
      </c>
      <c r="B7060" s="8" t="str">
        <f t="shared" si="663"/>
        <v>@dubbusses</v>
      </c>
      <c r="C7060" s="9" t="s">
        <v>14338</v>
      </c>
      <c r="D7060" s="9" t="s">
        <v>15767</v>
      </c>
      <c r="E7060" s="10" t="str">
        <f>HYPERLINK("https://twitter.com/dubbusses/status/724179107689406464","724179107689406464")</f>
        <v>724179107689406464</v>
      </c>
      <c r="F7060" s="11" t="s">
        <v>68</v>
      </c>
      <c r="G7060" s="11">
        <v>425</v>
      </c>
      <c r="H7060" s="11">
        <v>2369</v>
      </c>
      <c r="I7060" s="11">
        <v>0</v>
      </c>
      <c r="J7060" s="11">
        <v>0</v>
      </c>
      <c r="K7060" s="11" t="s">
        <v>21</v>
      </c>
      <c r="L7060" s="7">
        <v>42469.905393518522</v>
      </c>
      <c r="M7060" s="12" t="s">
        <v>14340</v>
      </c>
      <c r="N7060" s="12"/>
      <c r="O7060" s="10" t="str">
        <f t="shared" si="664"/>
        <v>View</v>
      </c>
      <c r="P7060" s="11"/>
    </row>
    <row r="7061" spans="1:16" ht="12.75" x14ac:dyDescent="0.35">
      <c r="A7061" s="7">
        <v>42484.655821759261</v>
      </c>
      <c r="B7061" s="8" t="str">
        <f>HYPERLINK("https://twitter.com/BatesJenny","@BatesJenny")</f>
        <v>@BatesJenny</v>
      </c>
      <c r="C7061" s="9" t="s">
        <v>15768</v>
      </c>
      <c r="D7061" s="9" t="s">
        <v>12077</v>
      </c>
      <c r="E7061" s="10" t="str">
        <f>HYPERLINK("https://twitter.com/BatesJenny/status/724179672217583616","724179672217583616")</f>
        <v>724179672217583616</v>
      </c>
      <c r="F7061" s="11" t="s">
        <v>43</v>
      </c>
      <c r="G7061" s="11">
        <v>1372</v>
      </c>
      <c r="H7061" s="11">
        <v>843</v>
      </c>
      <c r="I7061" s="11">
        <v>2</v>
      </c>
      <c r="J7061" s="11">
        <v>0</v>
      </c>
      <c r="K7061" s="11" t="s">
        <v>21</v>
      </c>
      <c r="L7061" s="7">
        <v>40731.897951388892</v>
      </c>
      <c r="M7061" s="12" t="s">
        <v>638</v>
      </c>
      <c r="N7061" s="12" t="s">
        <v>15769</v>
      </c>
      <c r="O7061" s="10" t="str">
        <f>HYPERLINK("https://pbs.twimg.com/profile_images/1441979505/Jenny_Bates-photo_normal.jpg","View")</f>
        <v>View</v>
      </c>
      <c r="P7061" s="11"/>
    </row>
    <row r="7062" spans="1:16" ht="12.75" x14ac:dyDescent="0.35">
      <c r="A7062" s="7">
        <v>42484.657708333332</v>
      </c>
      <c r="B7062" s="8" t="str">
        <f t="shared" ref="B7062:B7063" si="665">HYPERLINK("https://twitter.com/VWCamperSales","@VWCamperSales")</f>
        <v>@VWCamperSales</v>
      </c>
      <c r="C7062" s="9" t="s">
        <v>216</v>
      </c>
      <c r="D7062" s="9" t="s">
        <v>15770</v>
      </c>
      <c r="E7062" s="10" t="str">
        <f>HYPERLINK("https://twitter.com/VWCamperSales/status/724180358430748676","724180358430748676")</f>
        <v>724180358430748676</v>
      </c>
      <c r="F7062" s="10" t="s">
        <v>124</v>
      </c>
      <c r="G7062" s="11">
        <v>624</v>
      </c>
      <c r="H7062" s="11">
        <v>580</v>
      </c>
      <c r="I7062" s="11">
        <v>0</v>
      </c>
      <c r="J7062" s="11">
        <v>0</v>
      </c>
      <c r="K7062" s="11" t="s">
        <v>21</v>
      </c>
      <c r="L7062" s="7">
        <v>42215.98809027778</v>
      </c>
      <c r="M7062" s="12" t="s">
        <v>129</v>
      </c>
      <c r="N7062" s="12" t="s">
        <v>218</v>
      </c>
      <c r="O7062" s="10" t="str">
        <f t="shared" ref="O7062:O7063" si="666">HYPERLINK("https://pbs.twimg.com/profile_images/627949001179037696/skEBkS05_normal.jpg","View")</f>
        <v>View</v>
      </c>
      <c r="P7062" s="11"/>
    </row>
    <row r="7063" spans="1:16" ht="12.75" x14ac:dyDescent="0.35">
      <c r="A7063" s="7">
        <v>42484.657731481479</v>
      </c>
      <c r="B7063" s="8" t="str">
        <f t="shared" si="665"/>
        <v>@VWCamperSales</v>
      </c>
      <c r="C7063" s="9" t="s">
        <v>216</v>
      </c>
      <c r="D7063" s="9" t="s">
        <v>15771</v>
      </c>
      <c r="E7063" s="10" t="str">
        <f>HYPERLINK("https://twitter.com/VWCamperSales/status/724180366236344321","724180366236344321")</f>
        <v>724180366236344321</v>
      </c>
      <c r="F7063" s="10" t="s">
        <v>124</v>
      </c>
      <c r="G7063" s="11">
        <v>624</v>
      </c>
      <c r="H7063" s="11">
        <v>580</v>
      </c>
      <c r="I7063" s="11">
        <v>0</v>
      </c>
      <c r="J7063" s="11">
        <v>0</v>
      </c>
      <c r="K7063" s="11" t="s">
        <v>21</v>
      </c>
      <c r="L7063" s="7">
        <v>42215.98809027778</v>
      </c>
      <c r="M7063" s="12" t="s">
        <v>129</v>
      </c>
      <c r="N7063" s="12" t="s">
        <v>218</v>
      </c>
      <c r="O7063" s="10" t="str">
        <f t="shared" si="666"/>
        <v>View</v>
      </c>
      <c r="P7063" s="11"/>
    </row>
    <row r="7064" spans="1:16" ht="12.75" x14ac:dyDescent="0.35">
      <c r="A7064" s="7">
        <v>42484.657905092594</v>
      </c>
      <c r="B7064" s="8" t="str">
        <f t="shared" ref="B7064:B7065" si="667">HYPERLINK("https://twitter.com/FuscaWorld","@FuscaWorld")</f>
        <v>@FuscaWorld</v>
      </c>
      <c r="C7064" s="9" t="s">
        <v>74</v>
      </c>
      <c r="D7064" s="9" t="s">
        <v>2245</v>
      </c>
      <c r="E7064" s="10" t="str">
        <f>HYPERLINK("https://twitter.com/FuscaWorld/status/724180427599155200","724180427599155200")</f>
        <v>724180427599155200</v>
      </c>
      <c r="F7064" s="11" t="s">
        <v>76</v>
      </c>
      <c r="G7064" s="11">
        <v>49</v>
      </c>
      <c r="H7064" s="11">
        <v>1</v>
      </c>
      <c r="I7064" s="11">
        <v>1</v>
      </c>
      <c r="J7064" s="11">
        <v>0</v>
      </c>
      <c r="K7064" s="11" t="s">
        <v>21</v>
      </c>
      <c r="L7064" s="7">
        <v>42433.880914351852</v>
      </c>
      <c r="M7064" s="12"/>
      <c r="N7064" s="12" t="s">
        <v>77</v>
      </c>
      <c r="O7064" s="10" t="str">
        <f t="shared" ref="O7064:O7065" si="668">HYPERLINK("https://pbs.twimg.com/profile_images/705780107844067328/e7O4UBNb_normal.jpg","View")</f>
        <v>View</v>
      </c>
      <c r="P7064" s="11"/>
    </row>
    <row r="7065" spans="1:16" ht="12.75" x14ac:dyDescent="0.35">
      <c r="A7065" s="7">
        <v>42484.657905092594</v>
      </c>
      <c r="B7065" s="8" t="str">
        <f t="shared" si="667"/>
        <v>@FuscaWorld</v>
      </c>
      <c r="C7065" s="9" t="s">
        <v>74</v>
      </c>
      <c r="D7065" s="9" t="s">
        <v>15772</v>
      </c>
      <c r="E7065" s="10" t="str">
        <f>HYPERLINK("https://twitter.com/FuscaWorld/status/724180429834690560","724180429834690560")</f>
        <v>724180429834690560</v>
      </c>
      <c r="F7065" s="11" t="s">
        <v>76</v>
      </c>
      <c r="G7065" s="11">
        <v>49</v>
      </c>
      <c r="H7065" s="11">
        <v>1</v>
      </c>
      <c r="I7065" s="11">
        <v>1</v>
      </c>
      <c r="J7065" s="11">
        <v>0</v>
      </c>
      <c r="K7065" s="11" t="s">
        <v>21</v>
      </c>
      <c r="L7065" s="7">
        <v>42433.880914351852</v>
      </c>
      <c r="M7065" s="12"/>
      <c r="N7065" s="12" t="s">
        <v>77</v>
      </c>
      <c r="O7065" s="10" t="str">
        <f t="shared" si="668"/>
        <v>View</v>
      </c>
      <c r="P7065" s="11"/>
    </row>
    <row r="7066" spans="1:16" ht="12.75" x14ac:dyDescent="0.35">
      <c r="A7066" s="7">
        <v>42484.659398148149</v>
      </c>
      <c r="B7066" s="8" t="str">
        <f>HYPERLINK("https://twitter.com/www4zylinder","@www4zylinder")</f>
        <v>@www4zylinder</v>
      </c>
      <c r="C7066" s="9" t="s">
        <v>15773</v>
      </c>
      <c r="D7066" s="9" t="s">
        <v>15774</v>
      </c>
      <c r="E7066" s="10" t="str">
        <f>HYPERLINK("https://twitter.com/www4zylinder/status/724180969595539456","724180969595539456")</f>
        <v>724180969595539456</v>
      </c>
      <c r="F7066" s="11" t="s">
        <v>43</v>
      </c>
      <c r="G7066" s="11">
        <v>7</v>
      </c>
      <c r="H7066" s="11">
        <v>19</v>
      </c>
      <c r="I7066" s="11">
        <v>0</v>
      </c>
      <c r="J7066" s="11">
        <v>0</v>
      </c>
      <c r="K7066" s="11" t="s">
        <v>21</v>
      </c>
      <c r="L7066" s="7">
        <v>42478.661898148144</v>
      </c>
      <c r="M7066" s="12" t="s">
        <v>262</v>
      </c>
      <c r="N7066" s="12"/>
      <c r="O7066" s="10" t="str">
        <f>HYPERLINK("https://pbs.twimg.com/profile_images/722007969894940673/pQGJMPxX_normal.jpg","View")</f>
        <v>View</v>
      </c>
      <c r="P7066" s="11"/>
    </row>
    <row r="7067" spans="1:16" ht="12.75" x14ac:dyDescent="0.35">
      <c r="A7067" s="7">
        <v>42484.661053240736</v>
      </c>
      <c r="B7067" s="8" t="str">
        <f>HYPERLINK("https://twitter.com/vwdepo","@vwdepo")</f>
        <v>@vwdepo</v>
      </c>
      <c r="C7067" s="9" t="s">
        <v>134</v>
      </c>
      <c r="D7067" s="9" t="s">
        <v>15775</v>
      </c>
      <c r="E7067" s="10" t="str">
        <f>HYPERLINK("https://twitter.com/vwdepo/status/724181568479223809","724181568479223809")</f>
        <v>724181568479223809</v>
      </c>
      <c r="F7067" s="11" t="s">
        <v>53</v>
      </c>
      <c r="G7067" s="11">
        <v>783</v>
      </c>
      <c r="H7067" s="11">
        <v>384</v>
      </c>
      <c r="I7067" s="11">
        <v>0</v>
      </c>
      <c r="J7067" s="11">
        <v>0</v>
      </c>
      <c r="K7067" s="11" t="s">
        <v>21</v>
      </c>
      <c r="L7067" s="7">
        <v>39891.992905092593</v>
      </c>
      <c r="M7067" s="12" t="s">
        <v>136</v>
      </c>
      <c r="N7067" s="12" t="s">
        <v>137</v>
      </c>
      <c r="O7067" s="10" t="str">
        <f>HYPERLINK("https://pbs.twimg.com/profile_images/3378184537/c20ae9a7a410821b4f189c34a63380f7_normal.png","View")</f>
        <v>View</v>
      </c>
      <c r="P7067" s="11"/>
    </row>
    <row r="7068" spans="1:16" ht="12.75" x14ac:dyDescent="0.35">
      <c r="A7068" s="7">
        <v>42484.663449074069</v>
      </c>
      <c r="B7068" s="8" t="str">
        <f>HYPERLINK("https://twitter.com/CustomYourShoe","@CustomYourShoe")</f>
        <v>@CustomYourShoe</v>
      </c>
      <c r="C7068" s="9" t="s">
        <v>15776</v>
      </c>
      <c r="D7068" s="9" t="s">
        <v>15777</v>
      </c>
      <c r="E7068" s="10" t="str">
        <f>HYPERLINK("https://twitter.com/CustomYourShoe/status/724182437572546560","724182437572546560")</f>
        <v>724182437572546560</v>
      </c>
      <c r="F7068" s="11" t="s">
        <v>43</v>
      </c>
      <c r="G7068" s="11">
        <v>81</v>
      </c>
      <c r="H7068" s="11">
        <v>112</v>
      </c>
      <c r="I7068" s="11">
        <v>0</v>
      </c>
      <c r="J7068" s="11">
        <v>0</v>
      </c>
      <c r="K7068" s="11" t="s">
        <v>21</v>
      </c>
      <c r="L7068" s="7">
        <v>41259.584004629629</v>
      </c>
      <c r="M7068" s="12" t="s">
        <v>15778</v>
      </c>
      <c r="N7068" s="12" t="s">
        <v>15779</v>
      </c>
      <c r="O7068" s="10" t="str">
        <f>HYPERLINK("https://pbs.twimg.com/profile_images/468794367109378048/Rq9VlgQw_normal.png","View")</f>
        <v>View</v>
      </c>
      <c r="P7068" s="11"/>
    </row>
    <row r="7069" spans="1:16" ht="12.75" x14ac:dyDescent="0.35">
      <c r="A7069" s="7">
        <v>42484.665578703702</v>
      </c>
      <c r="B7069" s="8" t="str">
        <f>HYPERLINK("https://twitter.com/VeeDubMk1_","@VeeDubMk1_")</f>
        <v>@VeeDubMk1_</v>
      </c>
      <c r="C7069" s="9" t="s">
        <v>185</v>
      </c>
      <c r="D7069" s="9" t="s">
        <v>15780</v>
      </c>
      <c r="E7069" s="10" t="str">
        <f>HYPERLINK("https://twitter.com/VeeDubMk1_/status/724183209383215104","724183209383215104")</f>
        <v>724183209383215104</v>
      </c>
      <c r="F7069" s="11" t="s">
        <v>68</v>
      </c>
      <c r="G7069" s="11">
        <v>549</v>
      </c>
      <c r="H7069" s="11">
        <v>3528</v>
      </c>
      <c r="I7069" s="11">
        <v>0</v>
      </c>
      <c r="J7069" s="11">
        <v>0</v>
      </c>
      <c r="K7069" s="11" t="s">
        <v>21</v>
      </c>
      <c r="L7069" s="7">
        <v>42343.063356481478</v>
      </c>
      <c r="M7069" s="12"/>
      <c r="N7069" s="12"/>
      <c r="O7069" s="10" t="str">
        <f>HYPERLINK("https://pbs.twimg.com/profile_images/672878354127839232/M7OYc-zx_normal.jpg","View")</f>
        <v>View</v>
      </c>
      <c r="P7069" s="11"/>
    </row>
    <row r="7070" spans="1:16" ht="12.75" x14ac:dyDescent="0.35">
      <c r="A7070" s="7">
        <v>42484.667592592596</v>
      </c>
      <c r="B7070" s="8" t="str">
        <f>HYPERLINK("https://twitter.com/Tamara_DeCaluwe","@Tamara_DeCaluwe")</f>
        <v>@Tamara_DeCaluwe</v>
      </c>
      <c r="C7070" s="9" t="s">
        <v>15781</v>
      </c>
      <c r="D7070" s="9" t="s">
        <v>15782</v>
      </c>
      <c r="E7070" s="10" t="str">
        <f>HYPERLINK("https://twitter.com/Tamara_DeCaluwe/status/724183937665392640","724183937665392640")</f>
        <v>724183937665392640</v>
      </c>
      <c r="F7070" s="11" t="s">
        <v>367</v>
      </c>
      <c r="G7070" s="11">
        <v>12</v>
      </c>
      <c r="H7070" s="11">
        <v>47</v>
      </c>
      <c r="I7070" s="11">
        <v>0</v>
      </c>
      <c r="J7070" s="11">
        <v>0</v>
      </c>
      <c r="K7070" s="11" t="s">
        <v>21</v>
      </c>
      <c r="L7070" s="7">
        <v>42076.772187499999</v>
      </c>
      <c r="M7070" s="12"/>
      <c r="N7070" s="12"/>
      <c r="O7070" s="10" t="str">
        <f>HYPERLINK("https://pbs.twimg.com/profile_images/602768406224441344/37bYfus9_normal.jpg","View")</f>
        <v>View</v>
      </c>
      <c r="P7070" s="11"/>
    </row>
    <row r="7071" spans="1:16" ht="12.75" x14ac:dyDescent="0.35">
      <c r="A7071" s="7">
        <v>42484.667847222227</v>
      </c>
      <c r="B7071" s="8" t="str">
        <f>HYPERLINK("https://twitter.com/TheOomDiff","@TheOomDiff")</f>
        <v>@TheOomDiff</v>
      </c>
      <c r="C7071" s="9" t="s">
        <v>15783</v>
      </c>
      <c r="D7071" s="9" t="s">
        <v>15784</v>
      </c>
      <c r="E7071" s="10" t="str">
        <f>HYPERLINK("https://twitter.com/TheOomDiff/status/724184031575855104","724184031575855104")</f>
        <v>724184031575855104</v>
      </c>
      <c r="F7071" s="11" t="s">
        <v>114</v>
      </c>
      <c r="G7071" s="11">
        <v>485</v>
      </c>
      <c r="H7071" s="11">
        <v>540</v>
      </c>
      <c r="I7071" s="11">
        <v>0</v>
      </c>
      <c r="J7071" s="11">
        <v>0</v>
      </c>
      <c r="K7071" s="11" t="s">
        <v>21</v>
      </c>
      <c r="L7071" s="7">
        <v>40642.63517361111</v>
      </c>
      <c r="M7071" s="12" t="s">
        <v>2816</v>
      </c>
      <c r="N7071" s="12" t="s">
        <v>15785</v>
      </c>
      <c r="O7071" s="10" t="str">
        <f>HYPERLINK("https://pbs.twimg.com/profile_images/709259696356642816/sGu61ifo_normal.jpg","View")</f>
        <v>View</v>
      </c>
      <c r="P7071" s="11"/>
    </row>
    <row r="7072" spans="1:16" ht="12.75" x14ac:dyDescent="0.35">
      <c r="A7072" s="7">
        <v>42484.670393518521</v>
      </c>
      <c r="B7072" s="8" t="str">
        <f t="shared" ref="B7072:B7074" si="669">HYPERLINK("https://twitter.com/OnlineCarReview","@OnlineCarReview")</f>
        <v>@OnlineCarReview</v>
      </c>
      <c r="C7072" s="9" t="s">
        <v>176</v>
      </c>
      <c r="D7072" s="9" t="s">
        <v>15786</v>
      </c>
      <c r="E7072" s="10" t="str">
        <f>HYPERLINK("https://twitter.com/OnlineCarReview/status/724184954561650690","724184954561650690")</f>
        <v>724184954561650690</v>
      </c>
      <c r="F7072" s="11" t="s">
        <v>34</v>
      </c>
      <c r="G7072" s="11">
        <v>837</v>
      </c>
      <c r="H7072" s="11">
        <v>568</v>
      </c>
      <c r="I7072" s="11">
        <v>0</v>
      </c>
      <c r="J7072" s="11">
        <v>0</v>
      </c>
      <c r="K7072" s="11" t="s">
        <v>21</v>
      </c>
      <c r="L7072" s="7">
        <v>42282.979201388887</v>
      </c>
      <c r="M7072" s="12"/>
      <c r="N7072" s="12" t="s">
        <v>178</v>
      </c>
      <c r="O7072" s="10" t="str">
        <f t="shared" ref="O7072:O7074" si="670">HYPERLINK("https://pbs.twimg.com/profile_images/652871584131092480/QA_B6SBO_normal.jpg","View")</f>
        <v>View</v>
      </c>
      <c r="P7072" s="11"/>
    </row>
    <row r="7073" spans="1:16" ht="12.75" x14ac:dyDescent="0.35">
      <c r="A7073" s="7">
        <v>42484.670393518521</v>
      </c>
      <c r="B7073" s="8" t="str">
        <f t="shared" si="669"/>
        <v>@OnlineCarReview</v>
      </c>
      <c r="C7073" s="9" t="s">
        <v>176</v>
      </c>
      <c r="D7073" s="9" t="s">
        <v>15787</v>
      </c>
      <c r="E7073" s="10" t="str">
        <f>HYPERLINK("https://twitter.com/OnlineCarReview/status/724184955312431104","724184955312431104")</f>
        <v>724184955312431104</v>
      </c>
      <c r="F7073" s="11" t="s">
        <v>34</v>
      </c>
      <c r="G7073" s="11">
        <v>837</v>
      </c>
      <c r="H7073" s="11">
        <v>568</v>
      </c>
      <c r="I7073" s="11">
        <v>0</v>
      </c>
      <c r="J7073" s="11">
        <v>0</v>
      </c>
      <c r="K7073" s="11" t="s">
        <v>21</v>
      </c>
      <c r="L7073" s="7">
        <v>42282.979201388887</v>
      </c>
      <c r="M7073" s="12"/>
      <c r="N7073" s="12" t="s">
        <v>178</v>
      </c>
      <c r="O7073" s="10" t="str">
        <f t="shared" si="670"/>
        <v>View</v>
      </c>
      <c r="P7073" s="11"/>
    </row>
    <row r="7074" spans="1:16" ht="12.75" x14ac:dyDescent="0.35">
      <c r="A7074" s="7">
        <v>42484.670393518521</v>
      </c>
      <c r="B7074" s="8" t="str">
        <f t="shared" si="669"/>
        <v>@OnlineCarReview</v>
      </c>
      <c r="C7074" s="9" t="s">
        <v>176</v>
      </c>
      <c r="D7074" s="9" t="s">
        <v>15788</v>
      </c>
      <c r="E7074" s="10" t="str">
        <f>HYPERLINK("https://twitter.com/OnlineCarReview/status/724184956109344768","724184956109344768")</f>
        <v>724184956109344768</v>
      </c>
      <c r="F7074" s="11" t="s">
        <v>34</v>
      </c>
      <c r="G7074" s="11">
        <v>837</v>
      </c>
      <c r="H7074" s="11">
        <v>568</v>
      </c>
      <c r="I7074" s="11">
        <v>0</v>
      </c>
      <c r="J7074" s="11">
        <v>0</v>
      </c>
      <c r="K7074" s="11" t="s">
        <v>21</v>
      </c>
      <c r="L7074" s="7">
        <v>42282.979201388887</v>
      </c>
      <c r="M7074" s="12"/>
      <c r="N7074" s="12" t="s">
        <v>178</v>
      </c>
      <c r="O7074" s="10" t="str">
        <f t="shared" si="670"/>
        <v>View</v>
      </c>
      <c r="P7074" s="11"/>
    </row>
    <row r="7075" spans="1:16" ht="12.75" x14ac:dyDescent="0.35">
      <c r="A7075" s="7">
        <v>42484.670949074076</v>
      </c>
      <c r="B7075" s="8" t="str">
        <f>HYPERLINK("https://twitter.com/VWCamperSales","@VWCamperSales")</f>
        <v>@VWCamperSales</v>
      </c>
      <c r="C7075" s="9" t="s">
        <v>216</v>
      </c>
      <c r="D7075" s="9" t="s">
        <v>15789</v>
      </c>
      <c r="E7075" s="10" t="str">
        <f>HYPERLINK("https://twitter.com/VWCamperSales/status/724185154533515264","724185154533515264")</f>
        <v>724185154533515264</v>
      </c>
      <c r="F7075" s="10" t="s">
        <v>124</v>
      </c>
      <c r="G7075" s="11">
        <v>624</v>
      </c>
      <c r="H7075" s="11">
        <v>580</v>
      </c>
      <c r="I7075" s="11">
        <v>0</v>
      </c>
      <c r="J7075" s="11">
        <v>0</v>
      </c>
      <c r="K7075" s="11" t="s">
        <v>21</v>
      </c>
      <c r="L7075" s="7">
        <v>42215.98809027778</v>
      </c>
      <c r="M7075" s="12" t="s">
        <v>129</v>
      </c>
      <c r="N7075" s="12" t="s">
        <v>218</v>
      </c>
      <c r="O7075" s="10" t="str">
        <f>HYPERLINK("https://pbs.twimg.com/profile_images/627949001179037696/skEBkS05_normal.jpg","View")</f>
        <v>View</v>
      </c>
      <c r="P7075" s="11"/>
    </row>
    <row r="7076" spans="1:16" ht="12.75" x14ac:dyDescent="0.35">
      <c r="A7076" s="7">
        <v>42484.67114583333</v>
      </c>
      <c r="B7076" s="8" t="str">
        <f>HYPERLINK("https://twitter.com/franke_media","@franke_media")</f>
        <v>@franke_media</v>
      </c>
      <c r="C7076" s="8" t="s">
        <v>8715</v>
      </c>
      <c r="D7076" s="9" t="s">
        <v>15790</v>
      </c>
      <c r="E7076" s="10" t="str">
        <f>HYPERLINK("https://twitter.com/franke_media/status/724185226755342336","724185226755342336")</f>
        <v>724185226755342336</v>
      </c>
      <c r="F7076" s="11" t="s">
        <v>91</v>
      </c>
      <c r="G7076" s="11">
        <v>8546</v>
      </c>
      <c r="H7076" s="11">
        <v>4424</v>
      </c>
      <c r="I7076" s="11">
        <v>1</v>
      </c>
      <c r="J7076" s="11">
        <v>0</v>
      </c>
      <c r="K7076" s="11" t="s">
        <v>21</v>
      </c>
      <c r="L7076" s="7">
        <v>40109.548993055556</v>
      </c>
      <c r="M7076" s="12" t="s">
        <v>1116</v>
      </c>
      <c r="N7076" s="12" t="s">
        <v>8717</v>
      </c>
      <c r="O7076" s="10" t="str">
        <f>HYPERLINK("https://pbs.twimg.com/profile_images/431047003091398657/VwNnWrzp_normal.jpeg","View")</f>
        <v>View</v>
      </c>
      <c r="P7076" s="11"/>
    </row>
    <row r="7077" spans="1:16" ht="12.75" x14ac:dyDescent="0.35">
      <c r="A7077" s="7">
        <v>42484.671157407407</v>
      </c>
      <c r="B7077" s="8" t="str">
        <f>HYPERLINK("https://twitter.com/smid_m","@smid_m")</f>
        <v>@smid_m</v>
      </c>
      <c r="C7077" s="9" t="s">
        <v>15791</v>
      </c>
      <c r="D7077" s="9" t="s">
        <v>15792</v>
      </c>
      <c r="E7077" s="10" t="str">
        <f>HYPERLINK("https://twitter.com/smid_m/status/724185231956279296","724185231956279296")</f>
        <v>724185231956279296</v>
      </c>
      <c r="F7077" s="11" t="s">
        <v>91</v>
      </c>
      <c r="G7077" s="11">
        <v>25</v>
      </c>
      <c r="H7077" s="11">
        <v>34</v>
      </c>
      <c r="I7077" s="11">
        <v>0</v>
      </c>
      <c r="J7077" s="11">
        <v>0</v>
      </c>
      <c r="K7077" s="11" t="s">
        <v>21</v>
      </c>
      <c r="L7077" s="7">
        <v>41358.616909722223</v>
      </c>
      <c r="M7077" s="12" t="s">
        <v>2453</v>
      </c>
      <c r="N7077" s="12" t="s">
        <v>15793</v>
      </c>
      <c r="O7077" s="10" t="str">
        <f>HYPERLINK("https://pbs.twimg.com/profile_images/704037984438509568/-ACKJqjM_normal.jpg","View")</f>
        <v>View</v>
      </c>
      <c r="P7077" s="11"/>
    </row>
    <row r="7078" spans="1:16" ht="12.75" x14ac:dyDescent="0.35">
      <c r="A7078" s="7">
        <v>42484.671226851853</v>
      </c>
      <c r="B7078" s="8" t="str">
        <f>HYPERLINK("https://twitter.com/carolienGl","@carolienGl")</f>
        <v>@carolienGl</v>
      </c>
      <c r="C7078" s="9" t="s">
        <v>15794</v>
      </c>
      <c r="D7078" s="9" t="s">
        <v>15682</v>
      </c>
      <c r="E7078" s="10" t="str">
        <f>HYPERLINK("https://twitter.com/carolienGl/status/724185257235386368","724185257235386368")</f>
        <v>724185257235386368</v>
      </c>
      <c r="F7078" s="11" t="s">
        <v>63</v>
      </c>
      <c r="G7078" s="11">
        <v>849</v>
      </c>
      <c r="H7078" s="11">
        <v>939</v>
      </c>
      <c r="I7078" s="11">
        <v>2</v>
      </c>
      <c r="J7078" s="11">
        <v>0</v>
      </c>
      <c r="K7078" s="11" t="s">
        <v>21</v>
      </c>
      <c r="L7078" s="7">
        <v>40252.657939814817</v>
      </c>
      <c r="M7078" s="12" t="s">
        <v>8169</v>
      </c>
      <c r="N7078" s="12" t="s">
        <v>15795</v>
      </c>
      <c r="O7078" s="10" t="str">
        <f>HYPERLINK("https://pbs.twimg.com/profile_images/3095501276/bc194b51f40d2f45f4e7dd85af657918_normal.jpeg","View")</f>
        <v>View</v>
      </c>
      <c r="P7078" s="11"/>
    </row>
    <row r="7079" spans="1:16" ht="12.75" x14ac:dyDescent="0.35">
      <c r="A7079" s="7">
        <v>42484.671944444446</v>
      </c>
      <c r="B7079" s="8" t="str">
        <f>HYPERLINK("https://twitter.com/jmponteville","@jmponteville")</f>
        <v>@jmponteville</v>
      </c>
      <c r="C7079" s="9" t="s">
        <v>15796</v>
      </c>
      <c r="D7079" s="9" t="s">
        <v>15511</v>
      </c>
      <c r="E7079" s="10" t="str">
        <f>HYPERLINK("https://twitter.com/jmponteville/status/724185516447543296","724185516447543296")</f>
        <v>724185516447543296</v>
      </c>
      <c r="F7079" s="11" t="s">
        <v>43</v>
      </c>
      <c r="G7079" s="11">
        <v>511</v>
      </c>
      <c r="H7079" s="11">
        <v>181</v>
      </c>
      <c r="I7079" s="11">
        <v>5</v>
      </c>
      <c r="J7079" s="11">
        <v>0</v>
      </c>
      <c r="K7079" s="11" t="s">
        <v>21</v>
      </c>
      <c r="L7079" s="7">
        <v>40412.88344907407</v>
      </c>
      <c r="M7079" s="12"/>
      <c r="N7079" s="12" t="s">
        <v>15797</v>
      </c>
      <c r="O7079" s="10" t="str">
        <f>HYPERLINK("https://pbs.twimg.com/profile_images/510875138120617984/XK68wPEi_normal.jpeg","View")</f>
        <v>View</v>
      </c>
      <c r="P7079" s="11"/>
    </row>
    <row r="7080" spans="1:16" ht="12.75" x14ac:dyDescent="0.35">
      <c r="A7080" s="7">
        <v>42484.673622685186</v>
      </c>
      <c r="B7080" s="8" t="str">
        <f>HYPERLINK("https://twitter.com/OldFox1789","@OldFox1789")</f>
        <v>@OldFox1789</v>
      </c>
      <c r="C7080" s="9" t="s">
        <v>14805</v>
      </c>
      <c r="D7080" s="9" t="s">
        <v>15798</v>
      </c>
      <c r="E7080" s="10" t="str">
        <f>HYPERLINK("https://twitter.com/OldFox1789/status/724186125699559424","724186125699559424")</f>
        <v>724186125699559424</v>
      </c>
      <c r="F7080" s="11" t="s">
        <v>43</v>
      </c>
      <c r="G7080" s="11">
        <v>26</v>
      </c>
      <c r="H7080" s="11">
        <v>40</v>
      </c>
      <c r="I7080" s="11">
        <v>0</v>
      </c>
      <c r="J7080" s="11">
        <v>0</v>
      </c>
      <c r="K7080" s="11" t="s">
        <v>21</v>
      </c>
      <c r="L7080" s="7">
        <v>42299.553784722222</v>
      </c>
      <c r="M7080" s="12" t="s">
        <v>262</v>
      </c>
      <c r="N7080" s="12" t="s">
        <v>14807</v>
      </c>
      <c r="O7080" s="10" t="str">
        <f>HYPERLINK("https://pbs.twimg.com/profile_images/660172992136224768/kyd2qeq6_normal.jpg","View")</f>
        <v>View</v>
      </c>
      <c r="P7080" s="11"/>
    </row>
    <row r="7081" spans="1:16" ht="12.75" x14ac:dyDescent="0.35">
      <c r="A7081" s="7">
        <v>42484.675671296296</v>
      </c>
      <c r="B7081" s="8" t="str">
        <f t="shared" ref="B7081:B7082" si="671">HYPERLINK("https://twitter.com/techhippie","@techhippie")</f>
        <v>@techhippie</v>
      </c>
      <c r="C7081" s="9" t="s">
        <v>246</v>
      </c>
      <c r="D7081" s="9" t="s">
        <v>15799</v>
      </c>
      <c r="E7081" s="10" t="str">
        <f>HYPERLINK("https://twitter.com/techhippie/status/724186866744958977","724186866744958977")</f>
        <v>724186866744958977</v>
      </c>
      <c r="F7081" s="11" t="s">
        <v>68</v>
      </c>
      <c r="G7081" s="11">
        <v>2563</v>
      </c>
      <c r="H7081" s="11">
        <v>3831</v>
      </c>
      <c r="I7081" s="11">
        <v>0</v>
      </c>
      <c r="J7081" s="11">
        <v>0</v>
      </c>
      <c r="K7081" s="11" t="s">
        <v>21</v>
      </c>
      <c r="L7081" s="7">
        <v>42424.852152777778</v>
      </c>
      <c r="M7081" s="12" t="s">
        <v>248</v>
      </c>
      <c r="N7081" s="12" t="s">
        <v>249</v>
      </c>
      <c r="O7081" s="10" t="str">
        <f t="shared" ref="O7081:O7082" si="672">HYPERLINK("https://pbs.twimg.com/profile_images/702511217793863680/lty8h9vE_normal.jpg","View")</f>
        <v>View</v>
      </c>
      <c r="P7081" s="11"/>
    </row>
    <row r="7082" spans="1:16" ht="12.75" x14ac:dyDescent="0.35">
      <c r="A7082" s="7">
        <v>42484.67569444445</v>
      </c>
      <c r="B7082" s="8" t="str">
        <f t="shared" si="671"/>
        <v>@techhippie</v>
      </c>
      <c r="C7082" s="9" t="s">
        <v>246</v>
      </c>
      <c r="D7082" s="9" t="s">
        <v>15800</v>
      </c>
      <c r="E7082" s="10" t="str">
        <f>HYPERLINK("https://twitter.com/techhippie/status/724186875322359808","724186875322359808")</f>
        <v>724186875322359808</v>
      </c>
      <c r="F7082" s="11" t="s">
        <v>68</v>
      </c>
      <c r="G7082" s="11">
        <v>2563</v>
      </c>
      <c r="H7082" s="11">
        <v>3831</v>
      </c>
      <c r="I7082" s="11">
        <v>0</v>
      </c>
      <c r="J7082" s="11">
        <v>0</v>
      </c>
      <c r="K7082" s="11" t="s">
        <v>21</v>
      </c>
      <c r="L7082" s="7">
        <v>42424.852152777778</v>
      </c>
      <c r="M7082" s="12" t="s">
        <v>248</v>
      </c>
      <c r="N7082" s="12" t="s">
        <v>249</v>
      </c>
      <c r="O7082" s="10" t="str">
        <f t="shared" si="672"/>
        <v>View</v>
      </c>
      <c r="P7082" s="11"/>
    </row>
    <row r="7083" spans="1:16" ht="12.75" x14ac:dyDescent="0.35">
      <c r="A7083" s="7">
        <v>42484.676099537042</v>
      </c>
      <c r="B7083" s="8" t="str">
        <f>HYPERLINK("https://twitter.com/VWBeetleSales","@VWBeetleSales")</f>
        <v>@VWBeetleSales</v>
      </c>
      <c r="C7083" s="9" t="s">
        <v>127</v>
      </c>
      <c r="D7083" s="9" t="s">
        <v>15801</v>
      </c>
      <c r="E7083" s="10" t="str">
        <f>HYPERLINK("https://twitter.com/VWBeetleSales/status/724187020973625345","724187020973625345")</f>
        <v>724187020973625345</v>
      </c>
      <c r="F7083" s="10" t="s">
        <v>124</v>
      </c>
      <c r="G7083" s="11">
        <v>38</v>
      </c>
      <c r="H7083" s="11">
        <v>32</v>
      </c>
      <c r="I7083" s="11">
        <v>0</v>
      </c>
      <c r="J7083" s="11">
        <v>0</v>
      </c>
      <c r="K7083" s="11" t="s">
        <v>21</v>
      </c>
      <c r="L7083" s="7">
        <v>42427.019756944443</v>
      </c>
      <c r="M7083" s="12" t="s">
        <v>129</v>
      </c>
      <c r="N7083" s="12" t="s">
        <v>130</v>
      </c>
      <c r="O7083" s="10" t="str">
        <f>HYPERLINK("https://pbs.twimg.com/profile_images/703294545195307008/qeCvrX86_normal.jpg","View")</f>
        <v>View</v>
      </c>
      <c r="P7083" s="11"/>
    </row>
    <row r="7084" spans="1:16" ht="12.75" x14ac:dyDescent="0.35">
      <c r="A7084" s="7">
        <v>42484.676192129627</v>
      </c>
      <c r="B7084" s="8" t="str">
        <f>HYPERLINK("https://twitter.com/VWCamperSales","@VWCamperSales")</f>
        <v>@VWCamperSales</v>
      </c>
      <c r="C7084" s="9" t="s">
        <v>216</v>
      </c>
      <c r="D7084" s="9" t="s">
        <v>15802</v>
      </c>
      <c r="E7084" s="10" t="str">
        <f>HYPERLINK("https://twitter.com/VWCamperSales/status/724187057233387520","724187057233387520")</f>
        <v>724187057233387520</v>
      </c>
      <c r="F7084" s="10" t="s">
        <v>124</v>
      </c>
      <c r="G7084" s="11">
        <v>624</v>
      </c>
      <c r="H7084" s="11">
        <v>580</v>
      </c>
      <c r="I7084" s="11">
        <v>0</v>
      </c>
      <c r="J7084" s="11">
        <v>0</v>
      </c>
      <c r="K7084" s="11" t="s">
        <v>21</v>
      </c>
      <c r="L7084" s="7">
        <v>42215.98809027778</v>
      </c>
      <c r="M7084" s="12" t="s">
        <v>129</v>
      </c>
      <c r="N7084" s="12" t="s">
        <v>218</v>
      </c>
      <c r="O7084" s="10" t="str">
        <f>HYPERLINK("https://pbs.twimg.com/profile_images/627949001179037696/skEBkS05_normal.jpg","View")</f>
        <v>View</v>
      </c>
      <c r="P7084" s="11"/>
    </row>
    <row r="7085" spans="1:16" ht="12.75" x14ac:dyDescent="0.35">
      <c r="A7085" s="7">
        <v>42484.676261574074</v>
      </c>
      <c r="B7085" s="8" t="str">
        <f>HYPERLINK("https://twitter.com/TetsuoHojo","@TetsuoHojo")</f>
        <v>@TetsuoHojo</v>
      </c>
      <c r="C7085" s="9" t="s">
        <v>12380</v>
      </c>
      <c r="D7085" s="9" t="s">
        <v>2245</v>
      </c>
      <c r="E7085" s="10" t="str">
        <f>HYPERLINK("https://twitter.com/TetsuoHojo/status/724187080935362560","724187080935362560")</f>
        <v>724187080935362560</v>
      </c>
      <c r="F7085" s="11" t="s">
        <v>20</v>
      </c>
      <c r="G7085" s="11">
        <v>64</v>
      </c>
      <c r="H7085" s="11">
        <v>94</v>
      </c>
      <c r="I7085" s="11">
        <v>2</v>
      </c>
      <c r="J7085" s="11">
        <v>0</v>
      </c>
      <c r="K7085" s="11" t="s">
        <v>21</v>
      </c>
      <c r="L7085" s="7">
        <v>41147.258229166662</v>
      </c>
      <c r="M7085" s="12"/>
      <c r="N7085" s="12" t="s">
        <v>12382</v>
      </c>
      <c r="O7085" s="10" t="str">
        <f>HYPERLINK("https://pbs.twimg.com/profile_images/2646835465/aa5823578b01b04b7e91d58e8ca88691_normal.jpeg","View")</f>
        <v>View</v>
      </c>
      <c r="P7085" s="11"/>
    </row>
    <row r="7086" spans="1:16" ht="12.75" x14ac:dyDescent="0.35">
      <c r="A7086" s="7">
        <v>42484.676296296297</v>
      </c>
      <c r="B7086" s="8" t="str">
        <f>HYPERLINK("https://twitter.com/BarbaraKimmel","@BarbaraKimmel")</f>
        <v>@BarbaraKimmel</v>
      </c>
      <c r="C7086" s="9" t="s">
        <v>15803</v>
      </c>
      <c r="D7086" s="9" t="s">
        <v>15804</v>
      </c>
      <c r="E7086" s="10" t="str">
        <f>HYPERLINK("https://twitter.com/BarbaraKimmel/status/724187094671863808","724187094671863808")</f>
        <v>724187094671863808</v>
      </c>
      <c r="F7086" s="11" t="s">
        <v>20</v>
      </c>
      <c r="G7086" s="11">
        <v>7104</v>
      </c>
      <c r="H7086" s="11">
        <v>4000</v>
      </c>
      <c r="I7086" s="11">
        <v>1</v>
      </c>
      <c r="J7086" s="11">
        <v>0</v>
      </c>
      <c r="K7086" s="11" t="s">
        <v>21</v>
      </c>
      <c r="L7086" s="7">
        <v>39548.934594907405</v>
      </c>
      <c r="M7086" s="12" t="s">
        <v>1827</v>
      </c>
      <c r="N7086" s="12" t="s">
        <v>15805</v>
      </c>
      <c r="O7086" s="10" t="str">
        <f>HYPERLINK("https://pbs.twimg.com/profile_images/611495187009769472/B82dA9xg_normal.jpg","View")</f>
        <v>View</v>
      </c>
      <c r="P7086" s="11"/>
    </row>
    <row r="7087" spans="1:16" ht="12.75" x14ac:dyDescent="0.35">
      <c r="A7087" s="7">
        <v>42484.676354166666</v>
      </c>
      <c r="B7087" s="8" t="str">
        <f t="shared" ref="B7087:B7092" si="673">HYPERLINK("https://twitter.com/TetsuoHojo","@TetsuoHojo")</f>
        <v>@TetsuoHojo</v>
      </c>
      <c r="C7087" s="9" t="s">
        <v>12380</v>
      </c>
      <c r="D7087" s="9" t="s">
        <v>15806</v>
      </c>
      <c r="E7087" s="10" t="str">
        <f>HYPERLINK("https://twitter.com/TetsuoHojo/status/724187115030867968","724187115030867968")</f>
        <v>724187115030867968</v>
      </c>
      <c r="F7087" s="11" t="s">
        <v>20</v>
      </c>
      <c r="G7087" s="11">
        <v>64</v>
      </c>
      <c r="H7087" s="11">
        <v>94</v>
      </c>
      <c r="I7087" s="11">
        <v>1</v>
      </c>
      <c r="J7087" s="11">
        <v>0</v>
      </c>
      <c r="K7087" s="11" t="s">
        <v>21</v>
      </c>
      <c r="L7087" s="7">
        <v>41147.258229166662</v>
      </c>
      <c r="M7087" s="12"/>
      <c r="N7087" s="12" t="s">
        <v>12382</v>
      </c>
      <c r="O7087" s="10" t="str">
        <f t="shared" ref="O7087:O7092" si="674">HYPERLINK("https://pbs.twimg.com/profile_images/2646835465/aa5823578b01b04b7e91d58e8ca88691_normal.jpeg","View")</f>
        <v>View</v>
      </c>
      <c r="P7087" s="11"/>
    </row>
    <row r="7088" spans="1:16" ht="12.75" x14ac:dyDescent="0.35">
      <c r="A7088" s="7">
        <v>42484.676655092597</v>
      </c>
      <c r="B7088" s="8" t="str">
        <f t="shared" si="673"/>
        <v>@TetsuoHojo</v>
      </c>
      <c r="C7088" s="9" t="s">
        <v>12380</v>
      </c>
      <c r="D7088" s="9" t="s">
        <v>15772</v>
      </c>
      <c r="E7088" s="10" t="str">
        <f>HYPERLINK("https://twitter.com/TetsuoHojo/status/724187224439328768","724187224439328768")</f>
        <v>724187224439328768</v>
      </c>
      <c r="F7088" s="11" t="s">
        <v>20</v>
      </c>
      <c r="G7088" s="11">
        <v>64</v>
      </c>
      <c r="H7088" s="11">
        <v>94</v>
      </c>
      <c r="I7088" s="11">
        <v>2</v>
      </c>
      <c r="J7088" s="11">
        <v>0</v>
      </c>
      <c r="K7088" s="11" t="s">
        <v>21</v>
      </c>
      <c r="L7088" s="7">
        <v>41147.258229166662</v>
      </c>
      <c r="M7088" s="12"/>
      <c r="N7088" s="12" t="s">
        <v>12382</v>
      </c>
      <c r="O7088" s="10" t="str">
        <f t="shared" si="674"/>
        <v>View</v>
      </c>
      <c r="P7088" s="11"/>
    </row>
    <row r="7089" spans="1:16" ht="12.75" x14ac:dyDescent="0.35">
      <c r="A7089" s="7">
        <v>42484.676701388889</v>
      </c>
      <c r="B7089" s="8" t="str">
        <f t="shared" si="673"/>
        <v>@TetsuoHojo</v>
      </c>
      <c r="C7089" s="9" t="s">
        <v>12380</v>
      </c>
      <c r="D7089" s="9" t="s">
        <v>15807</v>
      </c>
      <c r="E7089" s="10" t="str">
        <f>HYPERLINK("https://twitter.com/TetsuoHojo/status/724187241547862016","724187241547862016")</f>
        <v>724187241547862016</v>
      </c>
      <c r="F7089" s="11" t="s">
        <v>20</v>
      </c>
      <c r="G7089" s="11">
        <v>64</v>
      </c>
      <c r="H7089" s="11">
        <v>94</v>
      </c>
      <c r="I7089" s="11">
        <v>1</v>
      </c>
      <c r="J7089" s="11">
        <v>0</v>
      </c>
      <c r="K7089" s="11" t="s">
        <v>21</v>
      </c>
      <c r="L7089" s="7">
        <v>41147.258229166662</v>
      </c>
      <c r="M7089" s="12"/>
      <c r="N7089" s="12" t="s">
        <v>12382</v>
      </c>
      <c r="O7089" s="10" t="str">
        <f t="shared" si="674"/>
        <v>View</v>
      </c>
      <c r="P7089" s="11"/>
    </row>
    <row r="7090" spans="1:16" ht="12.75" x14ac:dyDescent="0.35">
      <c r="A7090" s="7">
        <v>42484.676932870367</v>
      </c>
      <c r="B7090" s="8" t="str">
        <f t="shared" si="673"/>
        <v>@TetsuoHojo</v>
      </c>
      <c r="C7090" s="9" t="s">
        <v>12380</v>
      </c>
      <c r="D7090" s="9" t="s">
        <v>15663</v>
      </c>
      <c r="E7090" s="10" t="str">
        <f>HYPERLINK("https://twitter.com/TetsuoHojo/status/724187325257777152","724187325257777152")</f>
        <v>724187325257777152</v>
      </c>
      <c r="F7090" s="11" t="s">
        <v>20</v>
      </c>
      <c r="G7090" s="11">
        <v>64</v>
      </c>
      <c r="H7090" s="11">
        <v>94</v>
      </c>
      <c r="I7090" s="11">
        <v>1</v>
      </c>
      <c r="J7090" s="11">
        <v>0</v>
      </c>
      <c r="K7090" s="11" t="s">
        <v>21</v>
      </c>
      <c r="L7090" s="7">
        <v>41147.258229166662</v>
      </c>
      <c r="M7090" s="12"/>
      <c r="N7090" s="12" t="s">
        <v>12382</v>
      </c>
      <c r="O7090" s="10" t="str">
        <f t="shared" si="674"/>
        <v>View</v>
      </c>
      <c r="P7090" s="11"/>
    </row>
    <row r="7091" spans="1:16" ht="12.75" x14ac:dyDescent="0.35">
      <c r="A7091" s="7">
        <v>42484.676979166667</v>
      </c>
      <c r="B7091" s="8" t="str">
        <f t="shared" si="673"/>
        <v>@TetsuoHojo</v>
      </c>
      <c r="C7091" s="9" t="s">
        <v>12380</v>
      </c>
      <c r="D7091" s="9" t="s">
        <v>15808</v>
      </c>
      <c r="E7091" s="10" t="str">
        <f>HYPERLINK("https://twitter.com/TetsuoHojo/status/724187339396804608","724187339396804608")</f>
        <v>724187339396804608</v>
      </c>
      <c r="F7091" s="11" t="s">
        <v>20</v>
      </c>
      <c r="G7091" s="11">
        <v>64</v>
      </c>
      <c r="H7091" s="11">
        <v>94</v>
      </c>
      <c r="I7091" s="11">
        <v>1</v>
      </c>
      <c r="J7091" s="11">
        <v>0</v>
      </c>
      <c r="K7091" s="11" t="s">
        <v>21</v>
      </c>
      <c r="L7091" s="7">
        <v>41147.258229166662</v>
      </c>
      <c r="M7091" s="12"/>
      <c r="N7091" s="12" t="s">
        <v>12382</v>
      </c>
      <c r="O7091" s="10" t="str">
        <f t="shared" si="674"/>
        <v>View</v>
      </c>
      <c r="P7091" s="11"/>
    </row>
    <row r="7092" spans="1:16" ht="12.75" x14ac:dyDescent="0.35">
      <c r="A7092" s="7">
        <v>42484.677129629628</v>
      </c>
      <c r="B7092" s="8" t="str">
        <f t="shared" si="673"/>
        <v>@TetsuoHojo</v>
      </c>
      <c r="C7092" s="9" t="s">
        <v>12380</v>
      </c>
      <c r="D7092" s="9" t="s">
        <v>15561</v>
      </c>
      <c r="E7092" s="10" t="str">
        <f>HYPERLINK("https://twitter.com/TetsuoHojo/status/724187395944370176","724187395944370176")</f>
        <v>724187395944370176</v>
      </c>
      <c r="F7092" s="11" t="s">
        <v>20</v>
      </c>
      <c r="G7092" s="11">
        <v>64</v>
      </c>
      <c r="H7092" s="11">
        <v>94</v>
      </c>
      <c r="I7092" s="11">
        <v>2</v>
      </c>
      <c r="J7092" s="11">
        <v>0</v>
      </c>
      <c r="K7092" s="11" t="s">
        <v>21</v>
      </c>
      <c r="L7092" s="7">
        <v>41147.258229166662</v>
      </c>
      <c r="M7092" s="12"/>
      <c r="N7092" s="12" t="s">
        <v>12382</v>
      </c>
      <c r="O7092" s="10" t="str">
        <f t="shared" si="674"/>
        <v>View</v>
      </c>
      <c r="P7092" s="11"/>
    </row>
    <row r="7093" spans="1:16" ht="12.75" x14ac:dyDescent="0.35">
      <c r="A7093" s="7">
        <v>42484.677187499998</v>
      </c>
      <c r="B7093" s="8" t="str">
        <f>HYPERLINK("https://twitter.com/VolkswagenCZ","@VolkswagenCZ")</f>
        <v>@VolkswagenCZ</v>
      </c>
      <c r="C7093" s="9" t="s">
        <v>2120</v>
      </c>
      <c r="D7093" s="9" t="s">
        <v>15809</v>
      </c>
      <c r="E7093" s="10" t="str">
        <f>HYPERLINK("https://twitter.com/VolkswagenCZ/status/724187418174337024","724187418174337024")</f>
        <v>724187418174337024</v>
      </c>
      <c r="F7093" s="11" t="s">
        <v>2122</v>
      </c>
      <c r="G7093" s="11">
        <v>397</v>
      </c>
      <c r="H7093" s="11">
        <v>42</v>
      </c>
      <c r="I7093" s="11">
        <v>0</v>
      </c>
      <c r="J7093" s="11">
        <v>0</v>
      </c>
      <c r="K7093" s="11" t="s">
        <v>21</v>
      </c>
      <c r="L7093" s="7">
        <v>40853.005983796298</v>
      </c>
      <c r="M7093" s="12" t="s">
        <v>2123</v>
      </c>
      <c r="N7093" s="12"/>
      <c r="O7093" s="10" t="str">
        <f>HYPERLINK("https://pbs.twimg.com/profile_images/689102170717839360/y5b-XDuX_normal.jpg","View")</f>
        <v>View</v>
      </c>
      <c r="P7093" s="11"/>
    </row>
    <row r="7094" spans="1:16" ht="12.75" x14ac:dyDescent="0.35">
      <c r="A7094" s="7">
        <v>42484.677905092598</v>
      </c>
      <c r="B7094" s="8" t="str">
        <f>HYPERLINK("https://twitter.com/nurahzz","@nurahzz")</f>
        <v>@nurahzz</v>
      </c>
      <c r="C7094" s="9" t="s">
        <v>15647</v>
      </c>
      <c r="D7094" s="9" t="s">
        <v>15810</v>
      </c>
      <c r="E7094" s="10" t="str">
        <f>HYPERLINK("https://twitter.com/nurahzz/status/724187677592002560","724187677592002560")</f>
        <v>724187677592002560</v>
      </c>
      <c r="F7094" s="11" t="s">
        <v>114</v>
      </c>
      <c r="G7094" s="11">
        <v>1721</v>
      </c>
      <c r="H7094" s="11">
        <v>505</v>
      </c>
      <c r="I7094" s="11">
        <v>0</v>
      </c>
      <c r="J7094" s="11">
        <v>0</v>
      </c>
      <c r="K7094" s="11" t="s">
        <v>21</v>
      </c>
      <c r="L7094" s="7">
        <v>41815.03564814815</v>
      </c>
      <c r="M7094" s="12" t="s">
        <v>15649</v>
      </c>
      <c r="N7094" s="12" t="s">
        <v>15650</v>
      </c>
      <c r="O7094" s="10" t="str">
        <f>HYPERLINK("https://pbs.twimg.com/profile_images/720582436304908288/SqAQ3rKG_normal.jpg","View")</f>
        <v>View</v>
      </c>
      <c r="P7094" s="11"/>
    </row>
    <row r="7095" spans="1:16" ht="12.75" x14ac:dyDescent="0.35">
      <c r="A7095" s="7">
        <v>42484.679282407407</v>
      </c>
      <c r="B7095" s="8" t="str">
        <f>HYPERLINK("https://twitter.com/calerliu","@calerliu")</f>
        <v>@calerliu</v>
      </c>
      <c r="C7095" s="9" t="s">
        <v>1013</v>
      </c>
      <c r="D7095" s="9" t="s">
        <v>15811</v>
      </c>
      <c r="E7095" s="10" t="str">
        <f>HYPERLINK("https://twitter.com/calerliu/status/724188174071767040","724188174071767040")</f>
        <v>724188174071767040</v>
      </c>
      <c r="F7095" s="11" t="s">
        <v>114</v>
      </c>
      <c r="G7095" s="11">
        <v>10</v>
      </c>
      <c r="H7095" s="11">
        <v>12</v>
      </c>
      <c r="I7095" s="11">
        <v>0</v>
      </c>
      <c r="J7095" s="11">
        <v>0</v>
      </c>
      <c r="K7095" s="11" t="s">
        <v>21</v>
      </c>
      <c r="L7095" s="7">
        <v>40555.874074074076</v>
      </c>
      <c r="M7095" s="12" t="s">
        <v>1015</v>
      </c>
      <c r="N7095" s="12"/>
      <c r="O7095" s="10" t="str">
        <f>HYPERLINK("https://pbs.twimg.com/profile_images/581304253232222209/xA9FxzU4_normal.jpg","View")</f>
        <v>View</v>
      </c>
      <c r="P7095" s="11"/>
    </row>
    <row r="7096" spans="1:16" ht="12.75" x14ac:dyDescent="0.35">
      <c r="A7096" s="7">
        <v>42484.679502314815</v>
      </c>
      <c r="B7096" s="8" t="str">
        <f>HYPERLINK("https://twitter.com/halt_design","@halt_design")</f>
        <v>@halt_design</v>
      </c>
      <c r="C7096" s="9" t="s">
        <v>7713</v>
      </c>
      <c r="D7096" s="9" t="s">
        <v>15812</v>
      </c>
      <c r="E7096" s="10" t="str">
        <f>HYPERLINK("https://twitter.com/halt_design/status/724188255617318912","724188255617318912")</f>
        <v>724188255617318912</v>
      </c>
      <c r="F7096" s="11" t="s">
        <v>43</v>
      </c>
      <c r="G7096" s="11">
        <v>33</v>
      </c>
      <c r="H7096" s="11">
        <v>31</v>
      </c>
      <c r="I7096" s="11">
        <v>0</v>
      </c>
      <c r="J7096" s="11">
        <v>0</v>
      </c>
      <c r="K7096" s="11" t="s">
        <v>21</v>
      </c>
      <c r="L7096" s="7">
        <v>42310.305405092593</v>
      </c>
      <c r="M7096" s="12" t="s">
        <v>7715</v>
      </c>
      <c r="N7096" s="12" t="s">
        <v>7716</v>
      </c>
      <c r="O7096" s="10" t="str">
        <f>HYPERLINK("https://pbs.twimg.com/profile_images/716208660876144645/X7VuzobY_normal.jpg","View")</f>
        <v>View</v>
      </c>
      <c r="P7096" s="11"/>
    </row>
    <row r="7097" spans="1:16" ht="12.75" x14ac:dyDescent="0.35">
      <c r="A7097" s="7">
        <v>42484.679895833338</v>
      </c>
      <c r="B7097" s="8" t="str">
        <f>HYPERLINK("https://twitter.com/rajesh877","@rajesh877")</f>
        <v>@rajesh877</v>
      </c>
      <c r="C7097" s="9" t="s">
        <v>11166</v>
      </c>
      <c r="D7097" s="9" t="s">
        <v>15813</v>
      </c>
      <c r="E7097" s="10" t="str">
        <f>HYPERLINK("https://twitter.com/rajesh877/status/724188399511461888","724188399511461888")</f>
        <v>724188399511461888</v>
      </c>
      <c r="F7097" s="11" t="s">
        <v>68</v>
      </c>
      <c r="G7097" s="11">
        <v>127</v>
      </c>
      <c r="H7097" s="11">
        <v>74</v>
      </c>
      <c r="I7097" s="11">
        <v>0</v>
      </c>
      <c r="J7097" s="11">
        <v>0</v>
      </c>
      <c r="K7097" s="11" t="s">
        <v>21</v>
      </c>
      <c r="L7097" s="7">
        <v>40077.821550925924</v>
      </c>
      <c r="M7097" s="12" t="s">
        <v>808</v>
      </c>
      <c r="N7097" s="12"/>
      <c r="O7097" s="10" t="str">
        <f>HYPERLINK("https://pbs.twimg.com/profile_images/690068229562241028/dtAFj2bm_normal.jpg","View")</f>
        <v>View</v>
      </c>
      <c r="P7097" s="11"/>
    </row>
    <row r="7098" spans="1:16" ht="12.75" x14ac:dyDescent="0.35">
      <c r="A7098" s="7">
        <v>42484.680219907408</v>
      </c>
      <c r="B7098" s="8" t="str">
        <f>HYPERLINK("https://twitter.com/OldeTeddyBears","@OldeTeddyBears")</f>
        <v>@OldeTeddyBears</v>
      </c>
      <c r="C7098" s="9" t="s">
        <v>15814</v>
      </c>
      <c r="D7098" s="9" t="s">
        <v>15815</v>
      </c>
      <c r="E7098" s="10" t="str">
        <f>HYPERLINK("https://twitter.com/OldeTeddyBears/status/724188513827217408","724188513827217408")</f>
        <v>724188513827217408</v>
      </c>
      <c r="F7098" s="11" t="s">
        <v>43</v>
      </c>
      <c r="G7098" s="11">
        <v>1964</v>
      </c>
      <c r="H7098" s="11">
        <v>2286</v>
      </c>
      <c r="I7098" s="11">
        <v>0</v>
      </c>
      <c r="J7098" s="11">
        <v>0</v>
      </c>
      <c r="K7098" s="11" t="s">
        <v>21</v>
      </c>
      <c r="L7098" s="7">
        <v>40605.813321759255</v>
      </c>
      <c r="M7098" s="12" t="s">
        <v>15816</v>
      </c>
      <c r="N7098" s="12" t="s">
        <v>15817</v>
      </c>
      <c r="O7098" s="10" t="str">
        <f>HYPERLINK("https://pbs.twimg.com/profile_images/723031215289319424/hJ1B3oVk_normal.jpg","View")</f>
        <v>View</v>
      </c>
      <c r="P7098" s="11"/>
    </row>
    <row r="7099" spans="1:16" ht="12.75" x14ac:dyDescent="0.35">
      <c r="A7099" s="7">
        <v>42484.680578703701</v>
      </c>
      <c r="B7099" s="8" t="str">
        <f>HYPERLINK("https://twitter.com/mausraster","@mausraster")</f>
        <v>@mausraster</v>
      </c>
      <c r="C7099" s="9" t="s">
        <v>15818</v>
      </c>
      <c r="D7099" s="9" t="s">
        <v>15819</v>
      </c>
      <c r="E7099" s="10" t="str">
        <f>HYPERLINK("https://twitter.com/mausraster/status/724188647503892480","724188647503892480")</f>
        <v>724188647503892480</v>
      </c>
      <c r="F7099" s="11" t="s">
        <v>43</v>
      </c>
      <c r="G7099" s="11">
        <v>143</v>
      </c>
      <c r="H7099" s="11">
        <v>689</v>
      </c>
      <c r="I7099" s="11">
        <v>0</v>
      </c>
      <c r="J7099" s="11">
        <v>1</v>
      </c>
      <c r="K7099" s="11" t="s">
        <v>21</v>
      </c>
      <c r="L7099" s="7">
        <v>42222.017430555556</v>
      </c>
      <c r="M7099" s="12" t="s">
        <v>953</v>
      </c>
      <c r="N7099" s="12" t="s">
        <v>15820</v>
      </c>
      <c r="O7099" s="10" t="str">
        <f>HYPERLINK("https://pbs.twimg.com/profile_images/629014974644547584/vfnZRwpH_normal.png","View")</f>
        <v>View</v>
      </c>
      <c r="P7099" s="11"/>
    </row>
    <row r="7100" spans="1:16" ht="12.75" x14ac:dyDescent="0.35">
      <c r="A7100" s="7">
        <v>42484.682002314818</v>
      </c>
      <c r="B7100" s="8" t="str">
        <f>HYPERLINK("https://twitter.com/dream7790080822","@dream7790080822")</f>
        <v>@dream7790080822</v>
      </c>
      <c r="C7100" s="9" t="s">
        <v>15821</v>
      </c>
      <c r="D7100" s="9" t="s">
        <v>15494</v>
      </c>
      <c r="E7100" s="10" t="str">
        <f>HYPERLINK("https://twitter.com/dream7790080822/status/724189162706898945","724189162706898945")</f>
        <v>724189162706898945</v>
      </c>
      <c r="F7100" s="11" t="s">
        <v>20</v>
      </c>
      <c r="G7100" s="11">
        <v>7</v>
      </c>
      <c r="H7100" s="11">
        <v>78</v>
      </c>
      <c r="I7100" s="11">
        <v>13</v>
      </c>
      <c r="J7100" s="11">
        <v>0</v>
      </c>
      <c r="K7100" s="11" t="s">
        <v>21</v>
      </c>
      <c r="L7100" s="7">
        <v>42380.388553240744</v>
      </c>
      <c r="M7100" s="12"/>
      <c r="N7100" s="12"/>
      <c r="O7100" s="10" t="str">
        <f>HYPERLINK("https://pbs.twimg.com/profile_images/686395482382274560/hnmc7eOR_normal.jpg","View")</f>
        <v>View</v>
      </c>
      <c r="P7100" s="11"/>
    </row>
    <row r="7101" spans="1:16" ht="12.75" x14ac:dyDescent="0.35">
      <c r="A7101" s="7">
        <v>42484.682523148149</v>
      </c>
      <c r="B7101" s="8" t="str">
        <f>HYPERLINK("https://twitter.com/365Daytonafan","@365Daytonafan")</f>
        <v>@365Daytonafan</v>
      </c>
      <c r="C7101" s="9" t="s">
        <v>15822</v>
      </c>
      <c r="D7101" s="9" t="s">
        <v>15823</v>
      </c>
      <c r="E7101" s="10" t="str">
        <f>HYPERLINK("https://twitter.com/365Daytonafan/status/724189351127609344","724189351127609344")</f>
        <v>724189351127609344</v>
      </c>
      <c r="F7101" s="11" t="s">
        <v>114</v>
      </c>
      <c r="G7101" s="11">
        <v>3235</v>
      </c>
      <c r="H7101" s="11">
        <v>587</v>
      </c>
      <c r="I7101" s="11">
        <v>0</v>
      </c>
      <c r="J7101" s="11">
        <v>1</v>
      </c>
      <c r="K7101" s="11" t="s">
        <v>21</v>
      </c>
      <c r="L7101" s="7">
        <v>39875.038287037038</v>
      </c>
      <c r="M7101" s="12" t="s">
        <v>15824</v>
      </c>
      <c r="N7101" s="12" t="s">
        <v>15825</v>
      </c>
      <c r="O7101" s="10" t="str">
        <f>HYPERLINK("https://pbs.twimg.com/profile_images/3632088082/ad9e738c415a8058ecbd1f77676fd198_normal.jpeg","View")</f>
        <v>View</v>
      </c>
      <c r="P7101" s="11"/>
    </row>
    <row r="7102" spans="1:16" ht="12.75" x14ac:dyDescent="0.35">
      <c r="A7102" s="7">
        <v>42484.682708333334</v>
      </c>
      <c r="B7102" s="8" t="str">
        <f>HYPERLINK("https://twitter.com/GRENZECHOnet","@GRENZECHOnet")</f>
        <v>@GRENZECHOnet</v>
      </c>
      <c r="C7102" s="8" t="s">
        <v>15826</v>
      </c>
      <c r="D7102" s="9" t="s">
        <v>15827</v>
      </c>
      <c r="E7102" s="10" t="str">
        <f>HYPERLINK("https://twitter.com/GRENZECHOnet/status/724189416290443264","724189416290443264")</f>
        <v>724189416290443264</v>
      </c>
      <c r="F7102" s="11" t="s">
        <v>63</v>
      </c>
      <c r="G7102" s="11">
        <v>962</v>
      </c>
      <c r="H7102" s="11">
        <v>270</v>
      </c>
      <c r="I7102" s="11">
        <v>0</v>
      </c>
      <c r="J7102" s="11">
        <v>0</v>
      </c>
      <c r="K7102" s="11" t="s">
        <v>21</v>
      </c>
      <c r="L7102" s="7">
        <v>40297.623298611114</v>
      </c>
      <c r="M7102" s="12" t="s">
        <v>15828</v>
      </c>
      <c r="N7102" s="12" t="s">
        <v>15829</v>
      </c>
      <c r="O7102" s="10" t="str">
        <f>HYPERLINK("https://pbs.twimg.com/profile_images/720632404436742145/1xwLeB9I_normal.jpg","View")</f>
        <v>View</v>
      </c>
      <c r="P7102" s="11"/>
    </row>
    <row r="7103" spans="1:16" ht="12.75" x14ac:dyDescent="0.35">
      <c r="A7103" s="7">
        <v>42484.684212962966</v>
      </c>
      <c r="B7103" s="8" t="str">
        <f>HYPERLINK("https://twitter.com/WillowSpringsUK","@WillowSpringsUK")</f>
        <v>@WillowSpringsUK</v>
      </c>
      <c r="C7103" s="9" t="s">
        <v>15830</v>
      </c>
      <c r="D7103" s="9" t="s">
        <v>15831</v>
      </c>
      <c r="E7103" s="10" t="str">
        <f>HYPERLINK("https://twitter.com/WillowSpringsUK/status/724189960425869313","724189960425869313")</f>
        <v>724189960425869313</v>
      </c>
      <c r="F7103" s="11" t="s">
        <v>7320</v>
      </c>
      <c r="G7103" s="11">
        <v>624</v>
      </c>
      <c r="H7103" s="11">
        <v>655</v>
      </c>
      <c r="I7103" s="11">
        <v>2</v>
      </c>
      <c r="J7103" s="11">
        <v>0</v>
      </c>
      <c r="K7103" s="11" t="s">
        <v>21</v>
      </c>
      <c r="L7103" s="7">
        <v>42121.734513888892</v>
      </c>
      <c r="M7103" s="12" t="s">
        <v>15832</v>
      </c>
      <c r="N7103" s="12" t="s">
        <v>15833</v>
      </c>
      <c r="O7103" s="10" t="str">
        <f>HYPERLINK("https://pbs.twimg.com/profile_images/654670077661310976/E0rYy0cM_normal.png","View")</f>
        <v>View</v>
      </c>
      <c r="P7103" s="11"/>
    </row>
    <row r="7104" spans="1:16" ht="12.75" x14ac:dyDescent="0.35">
      <c r="A7104" s="7">
        <v>42484.685856481483</v>
      </c>
      <c r="B7104" s="8" t="str">
        <f>HYPERLINK("https://twitter.com/sonjafusher","@sonjafusher")</f>
        <v>@sonjafusher</v>
      </c>
      <c r="C7104" s="9" t="s">
        <v>15834</v>
      </c>
      <c r="D7104" s="9" t="s">
        <v>15835</v>
      </c>
      <c r="E7104" s="10" t="str">
        <f>HYPERLINK("https://twitter.com/sonjafusher/status/724190557036273664","724190557036273664")</f>
        <v>724190557036273664</v>
      </c>
      <c r="F7104" s="11" t="s">
        <v>43</v>
      </c>
      <c r="G7104" s="11">
        <v>2592</v>
      </c>
      <c r="H7104" s="11">
        <v>2352</v>
      </c>
      <c r="I7104" s="11">
        <v>2</v>
      </c>
      <c r="J7104" s="11">
        <v>0</v>
      </c>
      <c r="K7104" s="11" t="s">
        <v>21</v>
      </c>
      <c r="L7104" s="7">
        <v>39895.180960648147</v>
      </c>
      <c r="M7104" s="12" t="s">
        <v>15836</v>
      </c>
      <c r="N7104" s="12" t="s">
        <v>15837</v>
      </c>
      <c r="O7104" s="10" t="str">
        <f>HYPERLINK("https://pbs.twimg.com/profile_images/484251912003272704/NSiCJrfj_normal.jpeg","View")</f>
        <v>View</v>
      </c>
      <c r="P7104" s="11"/>
    </row>
    <row r="7105" spans="1:16" ht="12.75" x14ac:dyDescent="0.35">
      <c r="A7105" s="7">
        <v>42484.685972222222</v>
      </c>
      <c r="B7105" s="8" t="str">
        <f>HYPERLINK("https://twitter.com/caffeine_ebook","@caffeine_ebook")</f>
        <v>@caffeine_ebook</v>
      </c>
      <c r="C7105" s="9" t="s">
        <v>15838</v>
      </c>
      <c r="D7105" s="9" t="s">
        <v>15839</v>
      </c>
      <c r="E7105" s="10" t="str">
        <f>HYPERLINK("https://twitter.com/caffeine_ebook/status/724190601617526785","724190601617526785")</f>
        <v>724190601617526785</v>
      </c>
      <c r="F7105" s="11" t="s">
        <v>15840</v>
      </c>
      <c r="G7105" s="11">
        <v>104</v>
      </c>
      <c r="H7105" s="11">
        <v>0</v>
      </c>
      <c r="I7105" s="11">
        <v>0</v>
      </c>
      <c r="J7105" s="11">
        <v>0</v>
      </c>
      <c r="K7105" s="11" t="s">
        <v>21</v>
      </c>
      <c r="L7105" s="7">
        <v>42400.911377314813</v>
      </c>
      <c r="M7105" s="12" t="s">
        <v>15841</v>
      </c>
      <c r="N7105" s="12"/>
      <c r="O7105" s="10" t="str">
        <f>HYPERLINK("https://abs.twimg.com/sticky/default_profile_images/default_profile_4_normal.png","View")</f>
        <v>View</v>
      </c>
      <c r="P7105" s="11"/>
    </row>
    <row r="7106" spans="1:16" ht="12.75" x14ac:dyDescent="0.35">
      <c r="A7106" s="7">
        <v>42484.6872337963</v>
      </c>
      <c r="B7106" s="8" t="str">
        <f>HYPERLINK("https://twitter.com/Scirocco_Tuning","@Scirocco_Tuning")</f>
        <v>@Scirocco_Tuning</v>
      </c>
      <c r="C7106" s="9" t="s">
        <v>51</v>
      </c>
      <c r="D7106" s="9" t="s">
        <v>15842</v>
      </c>
      <c r="E7106" s="10" t="str">
        <f>HYPERLINK("https://twitter.com/Scirocco_Tuning/status/724191056464621569","724191056464621569")</f>
        <v>724191056464621569</v>
      </c>
      <c r="F7106" s="11" t="s">
        <v>53</v>
      </c>
      <c r="G7106" s="11">
        <v>70</v>
      </c>
      <c r="H7106" s="11">
        <v>215</v>
      </c>
      <c r="I7106" s="11">
        <v>0</v>
      </c>
      <c r="J7106" s="11">
        <v>0</v>
      </c>
      <c r="K7106" s="11" t="s">
        <v>21</v>
      </c>
      <c r="L7106" s="7">
        <v>40844.564722222218</v>
      </c>
      <c r="M7106" s="12"/>
      <c r="N7106" s="12"/>
      <c r="O7106" s="10" t="str">
        <f>HYPERLINK("https://pbs.twimg.com/profile_images/1610421423/Image2_normal.jpg","View")</f>
        <v>View</v>
      </c>
      <c r="P7106" s="11"/>
    </row>
    <row r="7107" spans="1:16" ht="12.75" x14ac:dyDescent="0.35">
      <c r="A7107" s="7">
        <v>42484.687395833331</v>
      </c>
      <c r="B7107" s="8" t="str">
        <f>HYPERLINK("https://twitter.com/BALLtexter","@BALLtexter")</f>
        <v>@BALLtexter</v>
      </c>
      <c r="C7107" s="9" t="s">
        <v>15843</v>
      </c>
      <c r="D7107" s="9" t="s">
        <v>15844</v>
      </c>
      <c r="E7107" s="10" t="str">
        <f>HYPERLINK("https://twitter.com/BALLtexter/status/724191117307207680","724191117307207680")</f>
        <v>724191117307207680</v>
      </c>
      <c r="F7107" s="11" t="s">
        <v>43</v>
      </c>
      <c r="G7107" s="11">
        <v>1624</v>
      </c>
      <c r="H7107" s="11">
        <v>199</v>
      </c>
      <c r="I7107" s="11">
        <v>0</v>
      </c>
      <c r="J7107" s="11">
        <v>0</v>
      </c>
      <c r="K7107" s="11" t="s">
        <v>21</v>
      </c>
      <c r="L7107" s="7">
        <v>41797.691041666665</v>
      </c>
      <c r="M7107" s="12"/>
      <c r="N7107" s="12" t="s">
        <v>15845</v>
      </c>
      <c r="O7107" s="10" t="str">
        <f>HYPERLINK("https://pbs.twimg.com/profile_images/709136799931764737/kljk8XnM_normal.jpg","View")</f>
        <v>View</v>
      </c>
      <c r="P7107" s="11"/>
    </row>
    <row r="7108" spans="1:16" ht="12.75" x14ac:dyDescent="0.35">
      <c r="A7108" s="7">
        <v>42484.687523148154</v>
      </c>
      <c r="B7108" s="8" t="str">
        <f>HYPERLINK("https://twitter.com/HolidayMatch","@HolidayMatch")</f>
        <v>@HolidayMatch</v>
      </c>
      <c r="C7108" s="9" t="s">
        <v>15846</v>
      </c>
      <c r="D7108" s="9" t="s">
        <v>15835</v>
      </c>
      <c r="E7108" s="10" t="str">
        <f>HYPERLINK("https://twitter.com/HolidayMatch/status/724191161821343745","724191161821343745")</f>
        <v>724191161821343745</v>
      </c>
      <c r="F7108" s="11" t="s">
        <v>15847</v>
      </c>
      <c r="G7108" s="11">
        <v>32450</v>
      </c>
      <c r="H7108" s="11">
        <v>48</v>
      </c>
      <c r="I7108" s="11">
        <v>2</v>
      </c>
      <c r="J7108" s="11">
        <v>0</v>
      </c>
      <c r="K7108" s="11" t="s">
        <v>21</v>
      </c>
      <c r="L7108" s="7">
        <v>41777.011180555557</v>
      </c>
      <c r="M7108" s="12" t="s">
        <v>35</v>
      </c>
      <c r="N7108" s="12" t="s">
        <v>15848</v>
      </c>
      <c r="O7108" s="10" t="str">
        <f>HYPERLINK("https://pbs.twimg.com/profile_images/467757246651174914/-pJF7EvU_normal.jpeg","View")</f>
        <v>View</v>
      </c>
      <c r="P7108" s="11"/>
    </row>
    <row r="7109" spans="1:16" ht="12.75" x14ac:dyDescent="0.35">
      <c r="A7109" s="7">
        <v>42484.687650462962</v>
      </c>
      <c r="B7109" s="8" t="str">
        <f>HYPERLINK("https://twitter.com/AutoExpress","@AutoExpress")</f>
        <v>@AutoExpress</v>
      </c>
      <c r="C7109" s="9" t="s">
        <v>1973</v>
      </c>
      <c r="D7109" s="9" t="s">
        <v>15849</v>
      </c>
      <c r="E7109" s="10" t="str">
        <f>HYPERLINK("https://twitter.com/AutoExpress/status/724191208990367744","724191208990367744")</f>
        <v>724191208990367744</v>
      </c>
      <c r="F7109" s="11" t="s">
        <v>63</v>
      </c>
      <c r="G7109" s="11">
        <v>93192</v>
      </c>
      <c r="H7109" s="11">
        <v>776</v>
      </c>
      <c r="I7109" s="11">
        <v>0</v>
      </c>
      <c r="J7109" s="11">
        <v>0</v>
      </c>
      <c r="K7109" s="11" t="s">
        <v>21</v>
      </c>
      <c r="L7109" s="7">
        <v>39869.653437499997</v>
      </c>
      <c r="M7109" s="12" t="s">
        <v>638</v>
      </c>
      <c r="N7109" s="12" t="s">
        <v>1975</v>
      </c>
      <c r="O7109" s="10" t="str">
        <f>HYPERLINK("https://pbs.twimg.com/profile_images/378800000673633859/9729e4c280465095c6f835c9f6b36378_normal.jpeg","View")</f>
        <v>View</v>
      </c>
      <c r="P7109" s="11"/>
    </row>
    <row r="7110" spans="1:16" ht="12.75" x14ac:dyDescent="0.35">
      <c r="A7110" s="7">
        <v>42484.687824074077</v>
      </c>
      <c r="B7110" s="8" t="str">
        <f>HYPERLINK("https://twitter.com/mondedelauto","@mondedelauto")</f>
        <v>@mondedelauto</v>
      </c>
      <c r="C7110" s="9" t="s">
        <v>9690</v>
      </c>
      <c r="D7110" s="9" t="s">
        <v>15850</v>
      </c>
      <c r="E7110" s="10" t="str">
        <f>HYPERLINK("https://twitter.com/mondedelauto/status/724191270101508096","724191270101508096")</f>
        <v>724191270101508096</v>
      </c>
      <c r="F7110" s="11" t="s">
        <v>68</v>
      </c>
      <c r="G7110" s="11">
        <v>443</v>
      </c>
      <c r="H7110" s="11">
        <v>879</v>
      </c>
      <c r="I7110" s="11">
        <v>0</v>
      </c>
      <c r="J7110" s="11">
        <v>0</v>
      </c>
      <c r="K7110" s="11" t="s">
        <v>21</v>
      </c>
      <c r="L7110" s="7">
        <v>42404.953946759255</v>
      </c>
      <c r="M7110" s="12" t="s">
        <v>6569</v>
      </c>
      <c r="N7110" s="12" t="s">
        <v>9692</v>
      </c>
      <c r="O7110" s="10" t="str">
        <f>HYPERLINK("https://pbs.twimg.com/profile_images/695355061635932160/5oTfZ6Ac_normal.jpg","View")</f>
        <v>View</v>
      </c>
      <c r="P7110" s="11"/>
    </row>
    <row r="7111" spans="1:16" ht="12.75" x14ac:dyDescent="0.35">
      <c r="A7111" s="7">
        <v>42484.688217592593</v>
      </c>
      <c r="B7111" s="8" t="str">
        <f>HYPERLINK("https://twitter.com/TheAuroraProjct","@TheAuroraProjct")</f>
        <v>@TheAuroraProjct</v>
      </c>
      <c r="C7111" s="9" t="s">
        <v>15851</v>
      </c>
      <c r="D7111" s="9" t="s">
        <v>15852</v>
      </c>
      <c r="E7111" s="10" t="str">
        <f>HYPERLINK("https://twitter.com/TheAuroraProjct/status/724191415350243328","724191415350243328")</f>
        <v>724191415350243328</v>
      </c>
      <c r="F7111" s="11" t="s">
        <v>20</v>
      </c>
      <c r="G7111" s="11">
        <v>258</v>
      </c>
      <c r="H7111" s="11">
        <v>1031</v>
      </c>
      <c r="I7111" s="11">
        <v>0</v>
      </c>
      <c r="J7111" s="11">
        <v>0</v>
      </c>
      <c r="K7111" s="11" t="s">
        <v>21</v>
      </c>
      <c r="L7111" s="7">
        <v>42228.638981481483</v>
      </c>
      <c r="M7111" s="12" t="s">
        <v>2754</v>
      </c>
      <c r="N7111" s="12" t="s">
        <v>15853</v>
      </c>
      <c r="O7111" s="10" t="str">
        <f>HYPERLINK("https://pbs.twimg.com/profile_images/717302161865097216/K9JRmEH9_normal.jpg","View")</f>
        <v>View</v>
      </c>
      <c r="P7111" s="11"/>
    </row>
    <row r="7112" spans="1:16" ht="12.75" x14ac:dyDescent="0.35">
      <c r="A7112" s="7">
        <v>42484.688483796301</v>
      </c>
      <c r="B7112" s="8" t="str">
        <f>HYPERLINK("https://twitter.com/Otherbots","@Otherbots")</f>
        <v>@Otherbots</v>
      </c>
      <c r="C7112" s="9" t="s">
        <v>15854</v>
      </c>
      <c r="D7112" s="9" t="s">
        <v>15855</v>
      </c>
      <c r="E7112" s="10" t="str">
        <f>HYPERLINK("https://twitter.com/Otherbots/status/724191511781511168","724191511781511168")</f>
        <v>724191511781511168</v>
      </c>
      <c r="F7112" s="11" t="s">
        <v>68</v>
      </c>
      <c r="G7112" s="11">
        <v>1388</v>
      </c>
      <c r="H7112" s="11">
        <v>2</v>
      </c>
      <c r="I7112" s="11">
        <v>0</v>
      </c>
      <c r="J7112" s="11">
        <v>0</v>
      </c>
      <c r="K7112" s="11" t="s">
        <v>21</v>
      </c>
      <c r="L7112" s="7">
        <v>41203.315960648149</v>
      </c>
      <c r="M7112" s="12" t="s">
        <v>15856</v>
      </c>
      <c r="N7112" s="12" t="s">
        <v>15857</v>
      </c>
      <c r="O7112" s="10" t="str">
        <f>HYPERLINK("https://pbs.twimg.com/profile_images/2743738513/354ed035acf2e52b7b04a5143acec144_normal.png","View")</f>
        <v>View</v>
      </c>
      <c r="P7112" s="11"/>
    </row>
    <row r="7113" spans="1:16" ht="12.75" x14ac:dyDescent="0.35">
      <c r="A7113" s="7">
        <v>42484.689664351856</v>
      </c>
      <c r="B7113" s="8" t="str">
        <f>HYPERLINK("https://twitter.com/kuka434","@kuka434")</f>
        <v>@kuka434</v>
      </c>
      <c r="C7113" s="9" t="s">
        <v>15858</v>
      </c>
      <c r="D7113" s="9" t="s">
        <v>15859</v>
      </c>
      <c r="E7113" s="10" t="str">
        <f>HYPERLINK("https://twitter.com/kuka434/status/724191936559636484","724191936559636484")</f>
        <v>724191936559636484</v>
      </c>
      <c r="F7113" s="10" t="s">
        <v>15860</v>
      </c>
      <c r="G7113" s="11">
        <v>50</v>
      </c>
      <c r="H7113" s="11">
        <v>70</v>
      </c>
      <c r="I7113" s="11">
        <v>0</v>
      </c>
      <c r="J7113" s="11">
        <v>0</v>
      </c>
      <c r="K7113" s="11" t="s">
        <v>21</v>
      </c>
      <c r="L7113" s="7">
        <v>40908.651805555557</v>
      </c>
      <c r="M7113" s="12"/>
      <c r="N7113" s="12"/>
      <c r="O7113" s="10" t="str">
        <f>HYPERLINK("https://pbs.twimg.com/profile_images/646614623056195584/2anhaorD_normal.jpg","View")</f>
        <v>View</v>
      </c>
      <c r="P7113" s="11"/>
    </row>
    <row r="7114" spans="1:16" ht="12.75" x14ac:dyDescent="0.35">
      <c r="A7114" s="7">
        <v>42484.689942129626</v>
      </c>
      <c r="B7114" s="8" t="str">
        <f>HYPERLINK("https://twitter.com/Globosus","@Globosus")</f>
        <v>@Globosus</v>
      </c>
      <c r="C7114" s="9" t="s">
        <v>15861</v>
      </c>
      <c r="D7114" s="9" t="s">
        <v>15862</v>
      </c>
      <c r="E7114" s="10" t="str">
        <f>HYPERLINK("https://twitter.com/Globosus/status/724192040305745920","724192040305745920")</f>
        <v>724192040305745920</v>
      </c>
      <c r="F7114" s="11" t="s">
        <v>20</v>
      </c>
      <c r="G7114" s="11">
        <v>20</v>
      </c>
      <c r="H7114" s="11">
        <v>96</v>
      </c>
      <c r="I7114" s="11">
        <v>0</v>
      </c>
      <c r="J7114" s="11">
        <v>0</v>
      </c>
      <c r="K7114" s="11" t="s">
        <v>21</v>
      </c>
      <c r="L7114" s="7">
        <v>41534.927835648152</v>
      </c>
      <c r="M7114" s="12" t="s">
        <v>1443</v>
      </c>
      <c r="N7114" s="12"/>
      <c r="O7114" s="10" t="str">
        <f>HYPERLINK("https://pbs.twimg.com/profile_images/709716092139270144/PlNxVsny_normal.jpg","View")</f>
        <v>View</v>
      </c>
      <c r="P7114" s="11"/>
    </row>
    <row r="7115" spans="1:16" ht="12.75" x14ac:dyDescent="0.35">
      <c r="A7115" s="7">
        <v>42484.69059027778</v>
      </c>
      <c r="B7115" s="8" t="str">
        <f>HYPERLINK("https://twitter.com/mertbekci","@mertbekci")</f>
        <v>@mertbekci</v>
      </c>
      <c r="C7115" s="9" t="s">
        <v>15863</v>
      </c>
      <c r="D7115" s="9" t="s">
        <v>15864</v>
      </c>
      <c r="E7115" s="10" t="str">
        <f>HYPERLINK("https://twitter.com/mertbekci/status/724192272078635008","724192272078635008")</f>
        <v>724192272078635008</v>
      </c>
      <c r="F7115" s="11" t="s">
        <v>114</v>
      </c>
      <c r="G7115" s="11">
        <v>1518</v>
      </c>
      <c r="H7115" s="11">
        <v>278</v>
      </c>
      <c r="I7115" s="11">
        <v>0</v>
      </c>
      <c r="J7115" s="11">
        <v>1</v>
      </c>
      <c r="K7115" s="11" t="s">
        <v>21</v>
      </c>
      <c r="L7115" s="7">
        <v>42190.289930555555</v>
      </c>
      <c r="M7115" s="12"/>
      <c r="N7115" s="12" t="s">
        <v>15865</v>
      </c>
      <c r="O7115" s="10" t="str">
        <f>HYPERLINK("https://pbs.twimg.com/profile_images/698254457998544896/9GCc4Vj1_normal.jpg","View")</f>
        <v>View</v>
      </c>
      <c r="P7115" s="11"/>
    </row>
    <row r="7116" spans="1:16" ht="12.75" x14ac:dyDescent="0.35">
      <c r="A7116" s="7">
        <v>42484.691111111111</v>
      </c>
      <c r="B7116" s="8" t="str">
        <f>HYPERLINK("https://twitter.com/vwpress_en","@vwpress_en")</f>
        <v>@vwpress_en</v>
      </c>
      <c r="C7116" s="9" t="s">
        <v>1685</v>
      </c>
      <c r="D7116" s="9" t="s">
        <v>15866</v>
      </c>
      <c r="E7116" s="10" t="str">
        <f>HYPERLINK("https://twitter.com/vwpress_en/status/724192462630170624","724192462630170624")</f>
        <v>724192462630170624</v>
      </c>
      <c r="F7116" s="11" t="s">
        <v>152</v>
      </c>
      <c r="G7116" s="11">
        <v>56029</v>
      </c>
      <c r="H7116" s="11">
        <v>339</v>
      </c>
      <c r="I7116" s="11">
        <v>3</v>
      </c>
      <c r="J7116" s="11">
        <v>2</v>
      </c>
      <c r="K7116" s="11" t="s">
        <v>21</v>
      </c>
      <c r="L7116" s="7">
        <v>42041.83189814815</v>
      </c>
      <c r="M7116" s="12" t="s">
        <v>1687</v>
      </c>
      <c r="N7116" s="12" t="s">
        <v>1688</v>
      </c>
      <c r="O7116" s="10" t="str">
        <f>HYPERLINK("https://pbs.twimg.com/profile_images/682117963349135360/IUfZQy35_normal.png","View")</f>
        <v>View</v>
      </c>
      <c r="P7116" s="11"/>
    </row>
    <row r="7117" spans="1:16" ht="12.75" x14ac:dyDescent="0.35">
      <c r="A7117" s="7">
        <v>42484.691111111111</v>
      </c>
      <c r="B7117" s="8" t="str">
        <f>HYPERLINK("https://twitter.com/vwpress_de","@vwpress_de")</f>
        <v>@vwpress_de</v>
      </c>
      <c r="C7117" s="9" t="s">
        <v>1685</v>
      </c>
      <c r="D7117" s="9" t="s">
        <v>15867</v>
      </c>
      <c r="E7117" s="10" t="str">
        <f>HYPERLINK("https://twitter.com/vwpress_de/status/724192462810558464","724192462810558464")</f>
        <v>724192462810558464</v>
      </c>
      <c r="F7117" s="11" t="s">
        <v>152</v>
      </c>
      <c r="G7117" s="11">
        <v>5874</v>
      </c>
      <c r="H7117" s="11">
        <v>610</v>
      </c>
      <c r="I7117" s="11">
        <v>0</v>
      </c>
      <c r="J7117" s="11">
        <v>2</v>
      </c>
      <c r="K7117" s="11" t="s">
        <v>21</v>
      </c>
      <c r="L7117" s="7">
        <v>42041.830381944441</v>
      </c>
      <c r="M7117" s="12" t="s">
        <v>1690</v>
      </c>
      <c r="N7117" s="12" t="s">
        <v>1691</v>
      </c>
      <c r="O7117" s="10" t="str">
        <f>HYPERLINK("https://pbs.twimg.com/profile_images/682117656502222848/Ge7YeAF3_normal.png","View")</f>
        <v>View</v>
      </c>
      <c r="P7117" s="11"/>
    </row>
    <row r="7118" spans="1:16" ht="12.75" x14ac:dyDescent="0.35">
      <c r="A7118" s="7">
        <v>42484.691284722227</v>
      </c>
      <c r="B7118" s="8" t="str">
        <f>HYPERLINK("https://twitter.com/Globosus","@Globosus")</f>
        <v>@Globosus</v>
      </c>
      <c r="C7118" s="9" t="s">
        <v>15861</v>
      </c>
      <c r="D7118" s="9" t="s">
        <v>15868</v>
      </c>
      <c r="E7118" s="10" t="str">
        <f>HYPERLINK("https://twitter.com/Globosus/status/724192523883843585","724192523883843585")</f>
        <v>724192523883843585</v>
      </c>
      <c r="F7118" s="11" t="s">
        <v>20</v>
      </c>
      <c r="G7118" s="11">
        <v>20</v>
      </c>
      <c r="H7118" s="11">
        <v>96</v>
      </c>
      <c r="I7118" s="11">
        <v>0</v>
      </c>
      <c r="J7118" s="11">
        <v>0</v>
      </c>
      <c r="K7118" s="11" t="s">
        <v>21</v>
      </c>
      <c r="L7118" s="7">
        <v>41534.927835648152</v>
      </c>
      <c r="M7118" s="12" t="s">
        <v>1443</v>
      </c>
      <c r="N7118" s="12"/>
      <c r="O7118" s="10" t="str">
        <f>HYPERLINK("https://pbs.twimg.com/profile_images/709716092139270144/PlNxVsny_normal.jpg","View")</f>
        <v>View</v>
      </c>
      <c r="P7118" s="11"/>
    </row>
    <row r="7119" spans="1:16" ht="12.75" x14ac:dyDescent="0.35">
      <c r="A7119" s="7">
        <v>42484.691701388889</v>
      </c>
      <c r="B7119" s="8" t="str">
        <f>HYPERLINK("https://twitter.com/MelAllanic","@MelAllanic")</f>
        <v>@MelAllanic</v>
      </c>
      <c r="C7119" s="9" t="s">
        <v>15869</v>
      </c>
      <c r="D7119" s="9" t="s">
        <v>15870</v>
      </c>
      <c r="E7119" s="10" t="str">
        <f>HYPERLINK("https://twitter.com/MelAllanic/status/724192674220101632","724192674220101632")</f>
        <v>724192674220101632</v>
      </c>
      <c r="F7119" s="11" t="s">
        <v>114</v>
      </c>
      <c r="G7119" s="11">
        <v>66</v>
      </c>
      <c r="H7119" s="11">
        <v>229</v>
      </c>
      <c r="I7119" s="11">
        <v>0</v>
      </c>
      <c r="J7119" s="11">
        <v>0</v>
      </c>
      <c r="K7119" s="11" t="s">
        <v>21</v>
      </c>
      <c r="L7119" s="7">
        <v>41221.064652777779</v>
      </c>
      <c r="M7119" s="12"/>
      <c r="N7119" s="12" t="s">
        <v>15871</v>
      </c>
      <c r="O7119" s="10" t="str">
        <f>HYPERLINK("https://pbs.twimg.com/profile_images/681801758574796804/YPfq6rQd_normal.jpg","View")</f>
        <v>View</v>
      </c>
      <c r="P7119" s="11"/>
    </row>
    <row r="7120" spans="1:16" ht="12.75" x14ac:dyDescent="0.35">
      <c r="A7120" s="7">
        <v>42484.69195601852</v>
      </c>
      <c r="B7120" s="8" t="str">
        <f>HYPERLINK("https://twitter.com/PrimeRacing1","@PrimeRacing1")</f>
        <v>@PrimeRacing1</v>
      </c>
      <c r="C7120" s="9" t="s">
        <v>15872</v>
      </c>
      <c r="D7120" s="9" t="s">
        <v>3265</v>
      </c>
      <c r="E7120" s="10" t="str">
        <f>HYPERLINK("https://twitter.com/PrimeRacing1/status/724192766788513792","724192766788513792")</f>
        <v>724192766788513792</v>
      </c>
      <c r="F7120" s="11" t="s">
        <v>20</v>
      </c>
      <c r="G7120" s="11">
        <v>41</v>
      </c>
      <c r="H7120" s="11">
        <v>340</v>
      </c>
      <c r="I7120" s="11">
        <v>3</v>
      </c>
      <c r="J7120" s="11">
        <v>0</v>
      </c>
      <c r="K7120" s="11" t="s">
        <v>21</v>
      </c>
      <c r="L7120" s="7">
        <v>42480.997430555552</v>
      </c>
      <c r="M7120" s="12" t="s">
        <v>129</v>
      </c>
      <c r="N7120" s="12" t="s">
        <v>15873</v>
      </c>
      <c r="O7120" s="10" t="str">
        <f>HYPERLINK("https://pbs.twimg.com/profile_images/722857526384017408/xErAUy8z_normal.jpg","View")</f>
        <v>View</v>
      </c>
      <c r="P7120" s="11"/>
    </row>
    <row r="7121" spans="1:16" ht="12.75" x14ac:dyDescent="0.35">
      <c r="A7121" s="7">
        <v>42484.692442129628</v>
      </c>
      <c r="B7121" s="8" t="str">
        <f t="shared" ref="B7121:B7122" si="675">HYPERLINK("https://twitter.com/VWCamperSales","@VWCamperSales")</f>
        <v>@VWCamperSales</v>
      </c>
      <c r="C7121" s="9" t="s">
        <v>216</v>
      </c>
      <c r="D7121" s="9" t="s">
        <v>15874</v>
      </c>
      <c r="E7121" s="10" t="str">
        <f>HYPERLINK("https://twitter.com/VWCamperSales/status/724192946283634688","724192946283634688")</f>
        <v>724192946283634688</v>
      </c>
      <c r="F7121" s="10" t="s">
        <v>124</v>
      </c>
      <c r="G7121" s="11">
        <v>624</v>
      </c>
      <c r="H7121" s="11">
        <v>580</v>
      </c>
      <c r="I7121" s="11">
        <v>0</v>
      </c>
      <c r="J7121" s="11">
        <v>0</v>
      </c>
      <c r="K7121" s="11" t="s">
        <v>21</v>
      </c>
      <c r="L7121" s="7">
        <v>42215.98809027778</v>
      </c>
      <c r="M7121" s="12" t="s">
        <v>129</v>
      </c>
      <c r="N7121" s="12" t="s">
        <v>218</v>
      </c>
      <c r="O7121" s="10" t="str">
        <f t="shared" ref="O7121:O7122" si="676">HYPERLINK("https://pbs.twimg.com/profile_images/627949001179037696/skEBkS05_normal.jpg","View")</f>
        <v>View</v>
      </c>
      <c r="P7121" s="11"/>
    </row>
    <row r="7122" spans="1:16" ht="12.75" x14ac:dyDescent="0.35">
      <c r="A7122" s="7">
        <v>42484.692465277782</v>
      </c>
      <c r="B7122" s="8" t="str">
        <f t="shared" si="675"/>
        <v>@VWCamperSales</v>
      </c>
      <c r="C7122" s="9" t="s">
        <v>216</v>
      </c>
      <c r="D7122" s="9" t="s">
        <v>15875</v>
      </c>
      <c r="E7122" s="10" t="str">
        <f>HYPERLINK("https://twitter.com/VWCamperSales/status/724192954395447296","724192954395447296")</f>
        <v>724192954395447296</v>
      </c>
      <c r="F7122" s="10" t="s">
        <v>124</v>
      </c>
      <c r="G7122" s="11">
        <v>624</v>
      </c>
      <c r="H7122" s="11">
        <v>580</v>
      </c>
      <c r="I7122" s="11">
        <v>0</v>
      </c>
      <c r="J7122" s="11">
        <v>0</v>
      </c>
      <c r="K7122" s="11" t="s">
        <v>21</v>
      </c>
      <c r="L7122" s="7">
        <v>42215.98809027778</v>
      </c>
      <c r="M7122" s="12" t="s">
        <v>129</v>
      </c>
      <c r="N7122" s="12" t="s">
        <v>218</v>
      </c>
      <c r="O7122" s="10" t="str">
        <f t="shared" si="676"/>
        <v>View</v>
      </c>
      <c r="P7122" s="11"/>
    </row>
    <row r="7123" spans="1:16" ht="12.75" x14ac:dyDescent="0.35">
      <c r="A7123" s="7">
        <v>42484.69394675926</v>
      </c>
      <c r="B7123" s="8" t="str">
        <f t="shared" ref="B7123:B7125" si="677">HYPERLINK("https://twitter.com/beetlebug1938","@beetlebug1938")</f>
        <v>@beetlebug1938</v>
      </c>
      <c r="C7123" s="9" t="s">
        <v>66</v>
      </c>
      <c r="D7123" s="9" t="s">
        <v>15876</v>
      </c>
      <c r="E7123" s="10" t="str">
        <f>HYPERLINK("https://twitter.com/beetlebug1938/status/724193488770859012","724193488770859012")</f>
        <v>724193488770859012</v>
      </c>
      <c r="F7123" s="11" t="s">
        <v>68</v>
      </c>
      <c r="G7123" s="11">
        <v>374</v>
      </c>
      <c r="H7123" s="11">
        <v>2228</v>
      </c>
      <c r="I7123" s="11">
        <v>0</v>
      </c>
      <c r="J7123" s="11">
        <v>0</v>
      </c>
      <c r="K7123" s="11" t="s">
        <v>21</v>
      </c>
      <c r="L7123" s="7">
        <v>42469.863865740743</v>
      </c>
      <c r="M7123" s="12" t="s">
        <v>69</v>
      </c>
      <c r="N7123" s="12"/>
      <c r="O7123" s="10" t="str">
        <f t="shared" ref="O7123:O7125" si="678">HYPERLINK("https://pbs.twimg.com/profile_images/718820712757215233/LXXndPTS_normal.jpg","View")</f>
        <v>View</v>
      </c>
      <c r="P7123" s="11"/>
    </row>
    <row r="7124" spans="1:16" ht="12.75" x14ac:dyDescent="0.35">
      <c r="A7124" s="7">
        <v>42484.693981481483</v>
      </c>
      <c r="B7124" s="8" t="str">
        <f t="shared" si="677"/>
        <v>@beetlebug1938</v>
      </c>
      <c r="C7124" s="9" t="s">
        <v>66</v>
      </c>
      <c r="D7124" s="9" t="s">
        <v>15877</v>
      </c>
      <c r="E7124" s="10" t="str">
        <f>HYPERLINK("https://twitter.com/beetlebug1938/status/724193503253803008","724193503253803008")</f>
        <v>724193503253803008</v>
      </c>
      <c r="F7124" s="11" t="s">
        <v>68</v>
      </c>
      <c r="G7124" s="11">
        <v>374</v>
      </c>
      <c r="H7124" s="11">
        <v>2228</v>
      </c>
      <c r="I7124" s="11">
        <v>0</v>
      </c>
      <c r="J7124" s="11">
        <v>0</v>
      </c>
      <c r="K7124" s="11" t="s">
        <v>21</v>
      </c>
      <c r="L7124" s="7">
        <v>42469.863865740743</v>
      </c>
      <c r="M7124" s="12" t="s">
        <v>69</v>
      </c>
      <c r="N7124" s="12"/>
      <c r="O7124" s="10" t="str">
        <f t="shared" si="678"/>
        <v>View</v>
      </c>
      <c r="P7124" s="11"/>
    </row>
    <row r="7125" spans="1:16" ht="12.75" x14ac:dyDescent="0.35">
      <c r="A7125" s="7">
        <v>42484.694062499999</v>
      </c>
      <c r="B7125" s="8" t="str">
        <f t="shared" si="677"/>
        <v>@beetlebug1938</v>
      </c>
      <c r="C7125" s="9" t="s">
        <v>66</v>
      </c>
      <c r="D7125" s="9" t="s">
        <v>15878</v>
      </c>
      <c r="E7125" s="10" t="str">
        <f>HYPERLINK("https://twitter.com/beetlebug1938/status/724193531288535040","724193531288535040")</f>
        <v>724193531288535040</v>
      </c>
      <c r="F7125" s="11" t="s">
        <v>68</v>
      </c>
      <c r="G7125" s="11">
        <v>374</v>
      </c>
      <c r="H7125" s="11">
        <v>2228</v>
      </c>
      <c r="I7125" s="11">
        <v>0</v>
      </c>
      <c r="J7125" s="11">
        <v>0</v>
      </c>
      <c r="K7125" s="11" t="s">
        <v>21</v>
      </c>
      <c r="L7125" s="7">
        <v>42469.863865740743</v>
      </c>
      <c r="M7125" s="12" t="s">
        <v>69</v>
      </c>
      <c r="N7125" s="12"/>
      <c r="O7125" s="10" t="str">
        <f t="shared" si="678"/>
        <v>View</v>
      </c>
      <c r="P7125" s="11"/>
    </row>
    <row r="7126" spans="1:16" ht="12.75" x14ac:dyDescent="0.35">
      <c r="A7126" s="7">
        <v>42484.695092592592</v>
      </c>
      <c r="B7126" s="8" t="str">
        <f>HYPERLINK("https://twitter.com/OnlyCarrera","@OnlyCarrera")</f>
        <v>@OnlyCarrera</v>
      </c>
      <c r="C7126" s="9" t="s">
        <v>12748</v>
      </c>
      <c r="D7126" s="9" t="s">
        <v>15879</v>
      </c>
      <c r="E7126" s="10" t="str">
        <f>HYPERLINK("https://twitter.com/OnlyCarrera/status/724193906787799040","724193906787799040")</f>
        <v>724193906787799040</v>
      </c>
      <c r="F7126" s="11" t="s">
        <v>68</v>
      </c>
      <c r="G7126" s="11">
        <v>3193</v>
      </c>
      <c r="H7126" s="11">
        <v>296</v>
      </c>
      <c r="I7126" s="11">
        <v>0</v>
      </c>
      <c r="J7126" s="11">
        <v>0</v>
      </c>
      <c r="K7126" s="11" t="s">
        <v>21</v>
      </c>
      <c r="L7126" s="7">
        <v>41976.876180555555</v>
      </c>
      <c r="M7126" s="12"/>
      <c r="N7126" s="12" t="s">
        <v>12750</v>
      </c>
      <c r="O7126" s="10" t="str">
        <f>HYPERLINK("https://pbs.twimg.com/profile_images/542918171158511617/A72BLdkG_normal.png","View")</f>
        <v>View</v>
      </c>
      <c r="P7126" s="11"/>
    </row>
    <row r="7127" spans="1:16" ht="12.75" x14ac:dyDescent="0.35">
      <c r="A7127" s="7">
        <v>42484.695254629631</v>
      </c>
      <c r="B7127" s="8" t="str">
        <f t="shared" ref="B7127:B7128" si="679">HYPERLINK("https://twitter.com/dubbusses","@dubbusses")</f>
        <v>@dubbusses</v>
      </c>
      <c r="C7127" s="9" t="s">
        <v>14338</v>
      </c>
      <c r="D7127" s="9" t="s">
        <v>15880</v>
      </c>
      <c r="E7127" s="10" t="str">
        <f>HYPERLINK("https://twitter.com/dubbusses/status/724193963633172480","724193963633172480")</f>
        <v>724193963633172480</v>
      </c>
      <c r="F7127" s="11" t="s">
        <v>68</v>
      </c>
      <c r="G7127" s="11">
        <v>428</v>
      </c>
      <c r="H7127" s="11">
        <v>2369</v>
      </c>
      <c r="I7127" s="11">
        <v>0</v>
      </c>
      <c r="J7127" s="11">
        <v>1</v>
      </c>
      <c r="K7127" s="11" t="s">
        <v>21</v>
      </c>
      <c r="L7127" s="7">
        <v>42469.905393518522</v>
      </c>
      <c r="M7127" s="12" t="s">
        <v>14340</v>
      </c>
      <c r="N7127" s="12"/>
      <c r="O7127" s="10" t="str">
        <f t="shared" ref="O7127:O7128" si="680">HYPERLINK("https://pbs.twimg.com/profile_images/718835727027580928/1ssyQ67y_normal.jpg","View")</f>
        <v>View</v>
      </c>
      <c r="P7127" s="11"/>
    </row>
    <row r="7128" spans="1:16" ht="12.75" x14ac:dyDescent="0.35">
      <c r="A7128" s="7">
        <v>42484.695474537039</v>
      </c>
      <c r="B7128" s="8" t="str">
        <f t="shared" si="679"/>
        <v>@dubbusses</v>
      </c>
      <c r="C7128" s="9" t="s">
        <v>14338</v>
      </c>
      <c r="D7128" s="9" t="s">
        <v>15881</v>
      </c>
      <c r="E7128" s="10" t="str">
        <f>HYPERLINK("https://twitter.com/dubbusses/status/724194044889411587","724194044889411587")</f>
        <v>724194044889411587</v>
      </c>
      <c r="F7128" s="11" t="s">
        <v>68</v>
      </c>
      <c r="G7128" s="11">
        <v>428</v>
      </c>
      <c r="H7128" s="11">
        <v>2369</v>
      </c>
      <c r="I7128" s="11">
        <v>0</v>
      </c>
      <c r="J7128" s="11">
        <v>0</v>
      </c>
      <c r="K7128" s="11" t="s">
        <v>21</v>
      </c>
      <c r="L7128" s="7">
        <v>42469.905393518522</v>
      </c>
      <c r="M7128" s="12" t="s">
        <v>14340</v>
      </c>
      <c r="N7128" s="12"/>
      <c r="O7128" s="10" t="str">
        <f t="shared" si="680"/>
        <v>View</v>
      </c>
      <c r="P7128" s="11"/>
    </row>
    <row r="7129" spans="1:16" ht="12.75" x14ac:dyDescent="0.35">
      <c r="A7129" s="7">
        <v>42484.696956018517</v>
      </c>
      <c r="B7129" s="8" t="str">
        <f>HYPERLINK("https://twitter.com/vwpalmspringspr","@vwpalmspringspr")</f>
        <v>@vwpalmspringspr</v>
      </c>
      <c r="C7129" s="9" t="s">
        <v>879</v>
      </c>
      <c r="D7129" s="9" t="s">
        <v>15882</v>
      </c>
      <c r="E7129" s="10" t="str">
        <f>HYPERLINK("https://twitter.com/vwpalmspringspr/status/724194581143646209","724194581143646209")</f>
        <v>724194581143646209</v>
      </c>
      <c r="F7129" s="11" t="s">
        <v>20</v>
      </c>
      <c r="G7129" s="11">
        <v>3</v>
      </c>
      <c r="H7129" s="11">
        <v>44</v>
      </c>
      <c r="I7129" s="11">
        <v>3</v>
      </c>
      <c r="J7129" s="11">
        <v>0</v>
      </c>
      <c r="K7129" s="11" t="s">
        <v>21</v>
      </c>
      <c r="L7129" s="7">
        <v>42480.070057870369</v>
      </c>
      <c r="M7129" s="12" t="s">
        <v>881</v>
      </c>
      <c r="N7129" s="12" t="s">
        <v>882</v>
      </c>
      <c r="O7129" s="10" t="str">
        <f>HYPERLINK("https://pbs.twimg.com/profile_images/722518700427882496/rsO6Da_T_normal.jpg","View")</f>
        <v>View</v>
      </c>
      <c r="P7129" s="11"/>
    </row>
    <row r="7130" spans="1:16" ht="12.75" x14ac:dyDescent="0.35">
      <c r="A7130" s="7">
        <v>42484.697048611109</v>
      </c>
      <c r="B7130" s="8" t="str">
        <f>HYPERLINK("https://twitter.com/VWBeetleSales","@VWBeetleSales")</f>
        <v>@VWBeetleSales</v>
      </c>
      <c r="C7130" s="9" t="s">
        <v>127</v>
      </c>
      <c r="D7130" s="9" t="s">
        <v>15883</v>
      </c>
      <c r="E7130" s="10" t="str">
        <f>HYPERLINK("https://twitter.com/VWBeetleSales/status/724194611892088832","724194611892088832")</f>
        <v>724194611892088832</v>
      </c>
      <c r="F7130" s="10" t="s">
        <v>124</v>
      </c>
      <c r="G7130" s="11">
        <v>38</v>
      </c>
      <c r="H7130" s="11">
        <v>32</v>
      </c>
      <c r="I7130" s="11">
        <v>0</v>
      </c>
      <c r="J7130" s="11">
        <v>0</v>
      </c>
      <c r="K7130" s="11" t="s">
        <v>21</v>
      </c>
      <c r="L7130" s="7">
        <v>42427.019756944443</v>
      </c>
      <c r="M7130" s="12" t="s">
        <v>129</v>
      </c>
      <c r="N7130" s="12" t="s">
        <v>130</v>
      </c>
      <c r="O7130" s="10" t="str">
        <f>HYPERLINK("https://pbs.twimg.com/profile_images/703294545195307008/qeCvrX86_normal.jpg","View")</f>
        <v>View</v>
      </c>
      <c r="P7130" s="11"/>
    </row>
    <row r="7131" spans="1:16" ht="12.75" x14ac:dyDescent="0.35">
      <c r="A7131" s="7">
        <v>42484.697280092594</v>
      </c>
      <c r="B7131" s="8" t="str">
        <f>HYPERLINK("https://twitter.com/Edrem278","@Edrem278")</f>
        <v>@Edrem278</v>
      </c>
      <c r="C7131" s="9" t="s">
        <v>15884</v>
      </c>
      <c r="D7131" s="9" t="s">
        <v>3265</v>
      </c>
      <c r="E7131" s="10" t="str">
        <f>HYPERLINK("https://twitter.com/Edrem278/status/724194696667402241","724194696667402241")</f>
        <v>724194696667402241</v>
      </c>
      <c r="F7131" s="11" t="s">
        <v>48</v>
      </c>
      <c r="G7131" s="11">
        <v>55</v>
      </c>
      <c r="H7131" s="11">
        <v>220</v>
      </c>
      <c r="I7131" s="11">
        <v>3</v>
      </c>
      <c r="J7131" s="11">
        <v>0</v>
      </c>
      <c r="K7131" s="11" t="s">
        <v>21</v>
      </c>
      <c r="L7131" s="7">
        <v>41938.483344907407</v>
      </c>
      <c r="M7131" s="12"/>
      <c r="N7131" s="12"/>
      <c r="O7131" s="10" t="str">
        <f>HYPERLINK("https://pbs.twimg.com/profile_images/700313215821942785/Jo3Rmdby_normal.jpg","View")</f>
        <v>View</v>
      </c>
      <c r="P7131" s="11"/>
    </row>
    <row r="7132" spans="1:16" ht="12.75" x14ac:dyDescent="0.35">
      <c r="A7132" s="7">
        <v>42484.697881944448</v>
      </c>
      <c r="B7132" s="8" t="str">
        <f>HYPERLINK("https://twitter.com/ThaiQashqaiClub","@ThaiQashqaiClub")</f>
        <v>@ThaiQashqaiClub</v>
      </c>
      <c r="C7132" s="9" t="s">
        <v>14515</v>
      </c>
      <c r="D7132" s="9" t="s">
        <v>3265</v>
      </c>
      <c r="E7132" s="10" t="str">
        <f>HYPERLINK("https://twitter.com/ThaiQashqaiClub/status/724194917602463744","724194917602463744")</f>
        <v>724194917602463744</v>
      </c>
      <c r="F7132" s="11" t="s">
        <v>14516</v>
      </c>
      <c r="G7132" s="11">
        <v>116</v>
      </c>
      <c r="H7132" s="11">
        <v>196</v>
      </c>
      <c r="I7132" s="11">
        <v>3</v>
      </c>
      <c r="J7132" s="11">
        <v>0</v>
      </c>
      <c r="K7132" s="11" t="s">
        <v>21</v>
      </c>
      <c r="L7132" s="7">
        <v>41625.627060185187</v>
      </c>
      <c r="M7132" s="12"/>
      <c r="N7132" s="12"/>
      <c r="O7132" s="10" t="str">
        <f>HYPERLINK("https://pbs.twimg.com/profile_images/414218985224142848/lFUdEAne_normal.jpeg","View")</f>
        <v>View</v>
      </c>
      <c r="P7132" s="11"/>
    </row>
    <row r="7133" spans="1:16" ht="12.75" x14ac:dyDescent="0.35">
      <c r="A7133" s="7">
        <v>42484.702094907407</v>
      </c>
      <c r="B7133" s="8" t="str">
        <f>HYPERLINK("https://twitter.com/SqueakySays","@SqueakySays")</f>
        <v>@SqueakySays</v>
      </c>
      <c r="C7133" s="9" t="s">
        <v>15885</v>
      </c>
      <c r="D7133" s="9" t="s">
        <v>15886</v>
      </c>
      <c r="E7133" s="10" t="str">
        <f>HYPERLINK("https://twitter.com/SqueakySays/status/724196444148772864","724196444148772864")</f>
        <v>724196444148772864</v>
      </c>
      <c r="F7133" s="11" t="s">
        <v>20</v>
      </c>
      <c r="G7133" s="11">
        <v>691</v>
      </c>
      <c r="H7133" s="11">
        <v>429</v>
      </c>
      <c r="I7133" s="11">
        <v>0</v>
      </c>
      <c r="J7133" s="11">
        <v>1</v>
      </c>
      <c r="K7133" s="11" t="s">
        <v>21</v>
      </c>
      <c r="L7133" s="7">
        <v>40216.943564814814</v>
      </c>
      <c r="M7133" s="12"/>
      <c r="N7133" s="12" t="s">
        <v>15887</v>
      </c>
      <c r="O7133" s="10" t="str">
        <f>HYPERLINK("https://pbs.twimg.com/profile_images/684099538483818500/mbnscI9S_normal.jpg","View")</f>
        <v>View</v>
      </c>
      <c r="P7133" s="11"/>
    </row>
    <row r="7134" spans="1:16" ht="12.75" x14ac:dyDescent="0.35">
      <c r="A7134" s="7">
        <v>42484.702175925922</v>
      </c>
      <c r="B7134" s="8" t="str">
        <f>HYPERLINK("https://twitter.com/VWCamperSales","@VWCamperSales")</f>
        <v>@VWCamperSales</v>
      </c>
      <c r="C7134" s="9" t="s">
        <v>216</v>
      </c>
      <c r="D7134" s="9" t="s">
        <v>15888</v>
      </c>
      <c r="E7134" s="10" t="str">
        <f>HYPERLINK("https://twitter.com/VWCamperSales/status/724196473198366721","724196473198366721")</f>
        <v>724196473198366721</v>
      </c>
      <c r="F7134" s="10" t="s">
        <v>124</v>
      </c>
      <c r="G7134" s="11">
        <v>624</v>
      </c>
      <c r="H7134" s="11">
        <v>580</v>
      </c>
      <c r="I7134" s="11">
        <v>0</v>
      </c>
      <c r="J7134" s="11">
        <v>0</v>
      </c>
      <c r="K7134" s="11" t="s">
        <v>21</v>
      </c>
      <c r="L7134" s="7">
        <v>42215.98809027778</v>
      </c>
      <c r="M7134" s="12" t="s">
        <v>129</v>
      </c>
      <c r="N7134" s="12" t="s">
        <v>218</v>
      </c>
      <c r="O7134" s="10" t="str">
        <f>HYPERLINK("https://pbs.twimg.com/profile_images/627949001179037696/skEBkS05_normal.jpg","View")</f>
        <v>View</v>
      </c>
      <c r="P7134" s="11"/>
    </row>
    <row r="7135" spans="1:16" ht="12.75" x14ac:dyDescent="0.35">
      <c r="A7135" s="7">
        <v>42484.702523148153</v>
      </c>
      <c r="B7135" s="8" t="str">
        <f>HYPERLINK("https://twitter.com/GreenGreenwich","@GreenGreenwich")</f>
        <v>@GreenGreenwich</v>
      </c>
      <c r="C7135" s="9" t="s">
        <v>15889</v>
      </c>
      <c r="D7135" s="9" t="s">
        <v>15890</v>
      </c>
      <c r="E7135" s="10" t="str">
        <f>HYPERLINK("https://twitter.com/GreenGreenwich/status/724196599795167233","724196599795167233")</f>
        <v>724196599795167233</v>
      </c>
      <c r="F7135" s="11" t="s">
        <v>91</v>
      </c>
      <c r="G7135" s="11">
        <v>3182</v>
      </c>
      <c r="H7135" s="11">
        <v>3092</v>
      </c>
      <c r="I7135" s="11">
        <v>1</v>
      </c>
      <c r="J7135" s="11">
        <v>0</v>
      </c>
      <c r="K7135" s="11" t="s">
        <v>21</v>
      </c>
      <c r="L7135" s="7">
        <v>40099.265231481484</v>
      </c>
      <c r="M7135" s="12" t="s">
        <v>638</v>
      </c>
      <c r="N7135" s="12" t="s">
        <v>15891</v>
      </c>
      <c r="O7135" s="10" t="str">
        <f>HYPERLINK("https://pbs.twimg.com/profile_images/512330694312218624/Bq32lWja_normal.png","View")</f>
        <v>View</v>
      </c>
      <c r="P7135" s="11"/>
    </row>
    <row r="7136" spans="1:16" ht="12.75" x14ac:dyDescent="0.35">
      <c r="A7136" s="7">
        <v>42484.703182870369</v>
      </c>
      <c r="B7136" s="8" t="str">
        <f>HYPERLINK("https://twitter.com/ChloeHawthornPR","@ChloeHawthornPR")</f>
        <v>@ChloeHawthornPR</v>
      </c>
      <c r="C7136" s="9" t="s">
        <v>15892</v>
      </c>
      <c r="D7136" s="9" t="s">
        <v>15893</v>
      </c>
      <c r="E7136" s="10" t="str">
        <f>HYPERLINK("https://twitter.com/ChloeHawthornPR/status/724196836957904896","724196836957904896")</f>
        <v>724196836957904896</v>
      </c>
      <c r="F7136" s="11" t="s">
        <v>20</v>
      </c>
      <c r="G7136" s="11">
        <v>329</v>
      </c>
      <c r="H7136" s="11">
        <v>933</v>
      </c>
      <c r="I7136" s="11">
        <v>0</v>
      </c>
      <c r="J7136" s="11">
        <v>0</v>
      </c>
      <c r="K7136" s="11" t="s">
        <v>21</v>
      </c>
      <c r="L7136" s="7">
        <v>41928.98096064815</v>
      </c>
      <c r="M7136" s="12" t="s">
        <v>15894</v>
      </c>
      <c r="N7136" s="12" t="s">
        <v>15895</v>
      </c>
      <c r="O7136" s="10" t="str">
        <f>HYPERLINK("https://pbs.twimg.com/profile_images/700967051528167424/FpLIs-uF_normal.jpg","View")</f>
        <v>View</v>
      </c>
      <c r="P7136" s="11"/>
    </row>
    <row r="7137" spans="1:16" ht="12.75" x14ac:dyDescent="0.35">
      <c r="A7137" s="7">
        <v>42484.704282407409</v>
      </c>
      <c r="B7137" s="8" t="str">
        <f>HYPERLINK("https://twitter.com/itsallplums","@itsallplums")</f>
        <v>@itsallplums</v>
      </c>
      <c r="C7137" s="9" t="s">
        <v>15896</v>
      </c>
      <c r="D7137" s="9" t="s">
        <v>15897</v>
      </c>
      <c r="E7137" s="10" t="str">
        <f>HYPERLINK("https://twitter.com/itsallplums/status/724197235802673153","724197235802673153")</f>
        <v>724197235802673153</v>
      </c>
      <c r="F7137" s="11" t="s">
        <v>48</v>
      </c>
      <c r="G7137" s="11">
        <v>4530</v>
      </c>
      <c r="H7137" s="11">
        <v>3988</v>
      </c>
      <c r="I7137" s="11">
        <v>0</v>
      </c>
      <c r="J7137" s="11">
        <v>0</v>
      </c>
      <c r="K7137" s="11" t="s">
        <v>21</v>
      </c>
      <c r="L7137" s="7">
        <v>41227.897905092592</v>
      </c>
      <c r="M7137" s="12"/>
      <c r="N7137" s="12" t="s">
        <v>15898</v>
      </c>
      <c r="O7137" s="10" t="str">
        <f>HYPERLINK("https://pbs.twimg.com/profile_images/709288144391311361/vBXpPw30_normal.jpg","View")</f>
        <v>View</v>
      </c>
      <c r="P7137" s="11"/>
    </row>
    <row r="7138" spans="1:16" ht="12.75" x14ac:dyDescent="0.35">
      <c r="A7138" s="7">
        <v>42484.705046296294</v>
      </c>
      <c r="B7138" s="8" t="str">
        <f>HYPERLINK("https://twitter.com/JClaesz","@JClaesz")</f>
        <v>@JClaesz</v>
      </c>
      <c r="C7138" s="9" t="s">
        <v>1340</v>
      </c>
      <c r="D7138" s="9" t="s">
        <v>15899</v>
      </c>
      <c r="E7138" s="10" t="str">
        <f>HYPERLINK("https://twitter.com/JClaesz/status/724197514228981761","724197514228981761")</f>
        <v>724197514228981761</v>
      </c>
      <c r="F7138" s="11" t="s">
        <v>43</v>
      </c>
      <c r="G7138" s="11">
        <v>142</v>
      </c>
      <c r="H7138" s="11">
        <v>546</v>
      </c>
      <c r="I7138" s="11">
        <v>0</v>
      </c>
      <c r="J7138" s="11">
        <v>0</v>
      </c>
      <c r="K7138" s="11" t="s">
        <v>21</v>
      </c>
      <c r="L7138" s="7">
        <v>42389.290254629625</v>
      </c>
      <c r="M7138" s="12" t="s">
        <v>1342</v>
      </c>
      <c r="N7138" s="12" t="s">
        <v>1343</v>
      </c>
      <c r="O7138" s="10" t="str">
        <f>HYPERLINK("https://pbs.twimg.com/profile_images/695000806655811584/7lC1MdUr_normal.png","View")</f>
        <v>View</v>
      </c>
      <c r="P7138" s="11"/>
    </row>
    <row r="7139" spans="1:16" ht="12.75" x14ac:dyDescent="0.35">
      <c r="A7139" s="7">
        <v>42484.705648148149</v>
      </c>
      <c r="B7139" s="8" t="str">
        <f>HYPERLINK("https://twitter.com/WeAppU","@WeAppU")</f>
        <v>@WeAppU</v>
      </c>
      <c r="C7139" s="9" t="s">
        <v>15900</v>
      </c>
      <c r="D7139" s="9" t="s">
        <v>15901</v>
      </c>
      <c r="E7139" s="10" t="str">
        <f>HYPERLINK("https://twitter.com/WeAppU/status/724197729929408513","724197729929408513")</f>
        <v>724197729929408513</v>
      </c>
      <c r="F7139" s="11" t="s">
        <v>53</v>
      </c>
      <c r="G7139" s="11">
        <v>290</v>
      </c>
      <c r="H7139" s="11">
        <v>702</v>
      </c>
      <c r="I7139" s="11">
        <v>0</v>
      </c>
      <c r="J7139" s="11">
        <v>0</v>
      </c>
      <c r="K7139" s="11" t="s">
        <v>21</v>
      </c>
      <c r="L7139" s="7">
        <v>41102.915752314817</v>
      </c>
      <c r="M7139" s="12" t="s">
        <v>15902</v>
      </c>
      <c r="N7139" s="12" t="s">
        <v>15903</v>
      </c>
      <c r="O7139" s="10" t="str">
        <f>HYPERLINK("https://pbs.twimg.com/profile_images/423172910321115136/pLbNvGzE_normal.jpeg","View")</f>
        <v>View</v>
      </c>
      <c r="P7139" s="11"/>
    </row>
    <row r="7140" spans="1:16" ht="12.75" x14ac:dyDescent="0.35">
      <c r="A7140" s="7">
        <v>42484.707291666666</v>
      </c>
      <c r="B7140" s="8" t="str">
        <f t="shared" ref="B7140:B7141" si="681">HYPERLINK("https://twitter.com/Insta_VWT","@Insta_VWT")</f>
        <v>@Insta_VWT</v>
      </c>
      <c r="C7140" s="9" t="s">
        <v>181</v>
      </c>
      <c r="D7140" s="9" t="s">
        <v>15904</v>
      </c>
      <c r="E7140" s="10" t="str">
        <f>HYPERLINK("https://twitter.com/Insta_VWT/status/724198326355300352","724198326355300352")</f>
        <v>724198326355300352</v>
      </c>
      <c r="F7140" s="11" t="s">
        <v>68</v>
      </c>
      <c r="G7140" s="11">
        <v>485</v>
      </c>
      <c r="H7140" s="11">
        <v>0</v>
      </c>
      <c r="I7140" s="11">
        <v>0</v>
      </c>
      <c r="J7140" s="11">
        <v>0</v>
      </c>
      <c r="K7140" s="11" t="s">
        <v>21</v>
      </c>
      <c r="L7140" s="7">
        <v>41658.782800925925</v>
      </c>
      <c r="M7140" s="12" t="s">
        <v>183</v>
      </c>
      <c r="N7140" s="12" t="s">
        <v>184</v>
      </c>
      <c r="O7140" s="10" t="str">
        <f t="shared" ref="O7140:O7141" si="682">HYPERLINK("https://pbs.twimg.com/profile_images/424893967197433858/iQ86NktX_normal.jpeg","View")</f>
        <v>View</v>
      </c>
      <c r="P7140" s="11"/>
    </row>
    <row r="7141" spans="1:16" ht="12.75" x14ac:dyDescent="0.35">
      <c r="A7141" s="7">
        <v>42484.707314814819</v>
      </c>
      <c r="B7141" s="8" t="str">
        <f t="shared" si="681"/>
        <v>@Insta_VWT</v>
      </c>
      <c r="C7141" s="9" t="s">
        <v>181</v>
      </c>
      <c r="D7141" s="9" t="s">
        <v>15905</v>
      </c>
      <c r="E7141" s="10" t="str">
        <f>HYPERLINK("https://twitter.com/Insta_VWT/status/724198333955215360","724198333955215360")</f>
        <v>724198333955215360</v>
      </c>
      <c r="F7141" s="11" t="s">
        <v>68</v>
      </c>
      <c r="G7141" s="11">
        <v>485</v>
      </c>
      <c r="H7141" s="11">
        <v>0</v>
      </c>
      <c r="I7141" s="11">
        <v>0</v>
      </c>
      <c r="J7141" s="11">
        <v>0</v>
      </c>
      <c r="K7141" s="11" t="s">
        <v>21</v>
      </c>
      <c r="L7141" s="7">
        <v>41658.782800925925</v>
      </c>
      <c r="M7141" s="12" t="s">
        <v>183</v>
      </c>
      <c r="N7141" s="12" t="s">
        <v>184</v>
      </c>
      <c r="O7141" s="10" t="str">
        <f t="shared" si="682"/>
        <v>View</v>
      </c>
      <c r="P7141" s="11"/>
    </row>
    <row r="7142" spans="1:16" ht="12.75" x14ac:dyDescent="0.35">
      <c r="A7142" s="7">
        <v>42484.707314814819</v>
      </c>
      <c r="B7142" s="8" t="str">
        <f>HYPERLINK("https://twitter.com/NeilGreenMidWor","@NeilGreenMidWor")</f>
        <v>@NeilGreenMidWor</v>
      </c>
      <c r="C7142" s="9" t="s">
        <v>15906</v>
      </c>
      <c r="D7142" s="9" t="s">
        <v>15907</v>
      </c>
      <c r="E7142" s="10" t="str">
        <f>HYPERLINK("https://twitter.com/NeilGreenMidWor/status/724198336077651972","724198336077651972")</f>
        <v>724198336077651972</v>
      </c>
      <c r="F7142" s="11" t="s">
        <v>48</v>
      </c>
      <c r="G7142" s="11">
        <v>471</v>
      </c>
      <c r="H7142" s="11">
        <v>907</v>
      </c>
      <c r="I7142" s="11">
        <v>1</v>
      </c>
      <c r="J7142" s="11">
        <v>0</v>
      </c>
      <c r="K7142" s="11" t="s">
        <v>21</v>
      </c>
      <c r="L7142" s="7">
        <v>42067.702615740738</v>
      </c>
      <c r="M7142" s="12" t="s">
        <v>15908</v>
      </c>
      <c r="N7142" s="12" t="s">
        <v>15909</v>
      </c>
      <c r="O7142" s="10" t="str">
        <f>HYPERLINK("https://pbs.twimg.com/profile_images/644282914079813633/Dioz-jiN_normal.png","View")</f>
        <v>View</v>
      </c>
      <c r="P7142" s="11"/>
    </row>
    <row r="7143" spans="1:16" ht="12.75" x14ac:dyDescent="0.35">
      <c r="A7143" s="7">
        <v>42484.707326388889</v>
      </c>
      <c r="B7143" s="8" t="str">
        <f t="shared" ref="B7143:B7147" si="683">HYPERLINK("https://twitter.com/VeeDubMk1_","@VeeDubMk1_")</f>
        <v>@VeeDubMk1_</v>
      </c>
      <c r="C7143" s="9" t="s">
        <v>185</v>
      </c>
      <c r="D7143" s="9" t="s">
        <v>15910</v>
      </c>
      <c r="E7143" s="10" t="str">
        <f>HYPERLINK("https://twitter.com/VeeDubMk1_/status/724198339005263872","724198339005263872")</f>
        <v>724198339005263872</v>
      </c>
      <c r="F7143" s="11" t="s">
        <v>68</v>
      </c>
      <c r="G7143" s="11">
        <v>549</v>
      </c>
      <c r="H7143" s="11">
        <v>3528</v>
      </c>
      <c r="I7143" s="11">
        <v>0</v>
      </c>
      <c r="J7143" s="11">
        <v>0</v>
      </c>
      <c r="K7143" s="11" t="s">
        <v>21</v>
      </c>
      <c r="L7143" s="7">
        <v>42343.063356481478</v>
      </c>
      <c r="M7143" s="12"/>
      <c r="N7143" s="12"/>
      <c r="O7143" s="10" t="str">
        <f t="shared" ref="O7143:O7147" si="684">HYPERLINK("https://pbs.twimg.com/profile_images/672878354127839232/M7OYc-zx_normal.jpg","View")</f>
        <v>View</v>
      </c>
      <c r="P7143" s="11"/>
    </row>
    <row r="7144" spans="1:16" ht="12.75" x14ac:dyDescent="0.35">
      <c r="A7144" s="7">
        <v>42484.707337962958</v>
      </c>
      <c r="B7144" s="8" t="str">
        <f t="shared" si="683"/>
        <v>@VeeDubMk1_</v>
      </c>
      <c r="C7144" s="9" t="s">
        <v>185</v>
      </c>
      <c r="D7144" s="9" t="s">
        <v>15911</v>
      </c>
      <c r="E7144" s="10" t="str">
        <f>HYPERLINK("https://twitter.com/VeeDubMk1_/status/724198343690326016","724198343690326016")</f>
        <v>724198343690326016</v>
      </c>
      <c r="F7144" s="11" t="s">
        <v>68</v>
      </c>
      <c r="G7144" s="11">
        <v>549</v>
      </c>
      <c r="H7144" s="11">
        <v>3528</v>
      </c>
      <c r="I7144" s="11">
        <v>0</v>
      </c>
      <c r="J7144" s="11">
        <v>0</v>
      </c>
      <c r="K7144" s="11" t="s">
        <v>21</v>
      </c>
      <c r="L7144" s="7">
        <v>42343.063356481478</v>
      </c>
      <c r="M7144" s="12"/>
      <c r="N7144" s="12"/>
      <c r="O7144" s="10" t="str">
        <f t="shared" si="684"/>
        <v>View</v>
      </c>
      <c r="P7144" s="11"/>
    </row>
    <row r="7145" spans="1:16" ht="12.75" x14ac:dyDescent="0.35">
      <c r="A7145" s="7">
        <v>42484.707349537042</v>
      </c>
      <c r="B7145" s="8" t="str">
        <f t="shared" si="683"/>
        <v>@VeeDubMk1_</v>
      </c>
      <c r="C7145" s="9" t="s">
        <v>185</v>
      </c>
      <c r="D7145" s="9" t="s">
        <v>15912</v>
      </c>
      <c r="E7145" s="10" t="str">
        <f>HYPERLINK("https://twitter.com/VeeDubMk1_/status/724198348878692352","724198348878692352")</f>
        <v>724198348878692352</v>
      </c>
      <c r="F7145" s="11" t="s">
        <v>68</v>
      </c>
      <c r="G7145" s="11">
        <v>549</v>
      </c>
      <c r="H7145" s="11">
        <v>3528</v>
      </c>
      <c r="I7145" s="11">
        <v>0</v>
      </c>
      <c r="J7145" s="11">
        <v>0</v>
      </c>
      <c r="K7145" s="11" t="s">
        <v>21</v>
      </c>
      <c r="L7145" s="7">
        <v>42343.063356481478</v>
      </c>
      <c r="M7145" s="12"/>
      <c r="N7145" s="12"/>
      <c r="O7145" s="10" t="str">
        <f t="shared" si="684"/>
        <v>View</v>
      </c>
      <c r="P7145" s="11"/>
    </row>
    <row r="7146" spans="1:16" ht="12.75" x14ac:dyDescent="0.35">
      <c r="A7146" s="7">
        <v>42484.707372685181</v>
      </c>
      <c r="B7146" s="8" t="str">
        <f t="shared" si="683"/>
        <v>@VeeDubMk1_</v>
      </c>
      <c r="C7146" s="9" t="s">
        <v>185</v>
      </c>
      <c r="D7146" s="9" t="s">
        <v>15913</v>
      </c>
      <c r="E7146" s="10" t="str">
        <f>HYPERLINK("https://twitter.com/VeeDubMk1_/status/724198354750693377","724198354750693377")</f>
        <v>724198354750693377</v>
      </c>
      <c r="F7146" s="11" t="s">
        <v>68</v>
      </c>
      <c r="G7146" s="11">
        <v>549</v>
      </c>
      <c r="H7146" s="11">
        <v>3528</v>
      </c>
      <c r="I7146" s="11">
        <v>0</v>
      </c>
      <c r="J7146" s="11">
        <v>0</v>
      </c>
      <c r="K7146" s="11" t="s">
        <v>21</v>
      </c>
      <c r="L7146" s="7">
        <v>42343.063356481478</v>
      </c>
      <c r="M7146" s="12"/>
      <c r="N7146" s="12"/>
      <c r="O7146" s="10" t="str">
        <f t="shared" si="684"/>
        <v>View</v>
      </c>
      <c r="P7146" s="11"/>
    </row>
    <row r="7147" spans="1:16" ht="12.75" x14ac:dyDescent="0.35">
      <c r="A7147" s="7">
        <v>42484.707384259258</v>
      </c>
      <c r="B7147" s="8" t="str">
        <f t="shared" si="683"/>
        <v>@VeeDubMk1_</v>
      </c>
      <c r="C7147" s="9" t="s">
        <v>185</v>
      </c>
      <c r="D7147" s="9" t="s">
        <v>15914</v>
      </c>
      <c r="E7147" s="10" t="str">
        <f>HYPERLINK("https://twitter.com/VeeDubMk1_/status/724198360635330560","724198360635330560")</f>
        <v>724198360635330560</v>
      </c>
      <c r="F7147" s="11" t="s">
        <v>68</v>
      </c>
      <c r="G7147" s="11">
        <v>549</v>
      </c>
      <c r="H7147" s="11">
        <v>3528</v>
      </c>
      <c r="I7147" s="11">
        <v>0</v>
      </c>
      <c r="J7147" s="11">
        <v>0</v>
      </c>
      <c r="K7147" s="11" t="s">
        <v>21</v>
      </c>
      <c r="L7147" s="7">
        <v>42343.063356481478</v>
      </c>
      <c r="M7147" s="12"/>
      <c r="N7147" s="12"/>
      <c r="O7147" s="10" t="str">
        <f t="shared" si="684"/>
        <v>View</v>
      </c>
      <c r="P7147" s="11"/>
    </row>
    <row r="7148" spans="1:16" ht="12.75" x14ac:dyDescent="0.35">
      <c r="A7148" s="7">
        <v>42484.708078703705</v>
      </c>
      <c r="B7148" s="8" t="str">
        <f>HYPERLINK("https://twitter.com/vintagosity","@vintagosity")</f>
        <v>@vintagosity</v>
      </c>
      <c r="C7148" s="9" t="s">
        <v>15915</v>
      </c>
      <c r="D7148" s="9" t="s">
        <v>15916</v>
      </c>
      <c r="E7148" s="10" t="str">
        <f>HYPERLINK("https://twitter.com/vintagosity/status/724198610108174337","724198610108174337")</f>
        <v>724198610108174337</v>
      </c>
      <c r="F7148" s="10" t="s">
        <v>2076</v>
      </c>
      <c r="G7148" s="11">
        <v>151</v>
      </c>
      <c r="H7148" s="11">
        <v>112</v>
      </c>
      <c r="I7148" s="11">
        <v>0</v>
      </c>
      <c r="J7148" s="11">
        <v>0</v>
      </c>
      <c r="K7148" s="11" t="s">
        <v>21</v>
      </c>
      <c r="L7148" s="7">
        <v>41905.185150462959</v>
      </c>
      <c r="M7148" s="12"/>
      <c r="N7148" s="12" t="s">
        <v>15917</v>
      </c>
      <c r="O7148" s="10" t="str">
        <f>HYPERLINK("https://pbs.twimg.com/profile_images/521789044422758400/q_I2IKmj_normal.png","View")</f>
        <v>View</v>
      </c>
      <c r="P7148" s="11"/>
    </row>
    <row r="7149" spans="1:16" ht="12.75" x14ac:dyDescent="0.35">
      <c r="A7149" s="7">
        <v>42484.708125000005</v>
      </c>
      <c r="B7149" s="8" t="str">
        <f>HYPERLINK("https://twitter.com/bBOLDbLONG","@bBOLDbLONG")</f>
        <v>@bBOLDbLONG</v>
      </c>
      <c r="C7149" s="9" t="s">
        <v>15918</v>
      </c>
      <c r="D7149" s="9" t="s">
        <v>15919</v>
      </c>
      <c r="E7149" s="10" t="str">
        <f>HYPERLINK("https://twitter.com/bBOLDbLONG/status/724198628756185088","724198628756185088")</f>
        <v>724198628756185088</v>
      </c>
      <c r="F7149" s="11" t="s">
        <v>114</v>
      </c>
      <c r="G7149" s="11">
        <v>86</v>
      </c>
      <c r="H7149" s="11">
        <v>129</v>
      </c>
      <c r="I7149" s="11">
        <v>0</v>
      </c>
      <c r="J7149" s="11">
        <v>0</v>
      </c>
      <c r="K7149" s="11" t="s">
        <v>21</v>
      </c>
      <c r="L7149" s="7">
        <v>40128.109710648147</v>
      </c>
      <c r="M7149" s="12" t="s">
        <v>15920</v>
      </c>
      <c r="N7149" s="12" t="s">
        <v>15921</v>
      </c>
      <c r="O7149" s="10" t="str">
        <f>HYPERLINK("https://pbs.twimg.com/profile_images/708353303667671040/p6l9LTSb_normal.jpg","View")</f>
        <v>View</v>
      </c>
      <c r="P7149" s="11"/>
    </row>
    <row r="7150" spans="1:16" ht="12.75" x14ac:dyDescent="0.35">
      <c r="A7150" s="7">
        <v>42484.708854166667</v>
      </c>
      <c r="B7150" s="8" t="str">
        <f>HYPERLINK("https://twitter.com/vwroc","@vwroc")</f>
        <v>@vwroc</v>
      </c>
      <c r="C7150" s="9" t="s">
        <v>15922</v>
      </c>
      <c r="D7150" s="9" t="s">
        <v>3265</v>
      </c>
      <c r="E7150" s="10" t="str">
        <f>HYPERLINK("https://twitter.com/vwroc/status/724198893467144192","724198893467144192")</f>
        <v>724198893467144192</v>
      </c>
      <c r="F7150" s="11" t="s">
        <v>48</v>
      </c>
      <c r="G7150" s="11">
        <v>823</v>
      </c>
      <c r="H7150" s="11">
        <v>608</v>
      </c>
      <c r="I7150" s="11">
        <v>4</v>
      </c>
      <c r="J7150" s="11">
        <v>0</v>
      </c>
      <c r="K7150" s="11" t="s">
        <v>21</v>
      </c>
      <c r="L7150" s="7">
        <v>40204.580127314817</v>
      </c>
      <c r="M7150" s="12" t="s">
        <v>35</v>
      </c>
      <c r="N7150" s="12" t="s">
        <v>15923</v>
      </c>
      <c r="O7150" s="10" t="str">
        <f>HYPERLINK("https://pbs.twimg.com/profile_images/543503900939014144/cn60bbIx_normal.jpeg","View")</f>
        <v>View</v>
      </c>
      <c r="P7150" s="11"/>
    </row>
    <row r="7151" spans="1:16" ht="12.75" x14ac:dyDescent="0.35">
      <c r="A7151" s="7">
        <v>42484.709351851852</v>
      </c>
      <c r="B7151" s="8" t="str">
        <f>HYPERLINK("https://twitter.com/JClaesz","@JClaesz")</f>
        <v>@JClaesz</v>
      </c>
      <c r="C7151" s="9" t="s">
        <v>1340</v>
      </c>
      <c r="D7151" s="9" t="s">
        <v>15924</v>
      </c>
      <c r="E7151" s="10" t="str">
        <f>HYPERLINK("https://twitter.com/JClaesz/status/724199072165421056","724199072165421056")</f>
        <v>724199072165421056</v>
      </c>
      <c r="F7151" s="11" t="s">
        <v>43</v>
      </c>
      <c r="G7151" s="11">
        <v>142</v>
      </c>
      <c r="H7151" s="11">
        <v>546</v>
      </c>
      <c r="I7151" s="11">
        <v>1</v>
      </c>
      <c r="J7151" s="11">
        <v>0</v>
      </c>
      <c r="K7151" s="11" t="s">
        <v>21</v>
      </c>
      <c r="L7151" s="7">
        <v>42389.290254629625</v>
      </c>
      <c r="M7151" s="12" t="s">
        <v>1342</v>
      </c>
      <c r="N7151" s="12" t="s">
        <v>1343</v>
      </c>
      <c r="O7151" s="10" t="str">
        <f>HYPERLINK("https://pbs.twimg.com/profile_images/695000806655811584/7lC1MdUr_normal.png","View")</f>
        <v>View</v>
      </c>
      <c r="P7151" s="11"/>
    </row>
    <row r="7152" spans="1:16" ht="12.75" x14ac:dyDescent="0.35">
      <c r="A7152" s="7">
        <v>42484.709548611107</v>
      </c>
      <c r="B7152" s="8" t="str">
        <f>HYPERLINK("https://twitter.com/Vagowners","@Vagowners")</f>
        <v>@Vagowners</v>
      </c>
      <c r="C7152" s="9" t="s">
        <v>8564</v>
      </c>
      <c r="D7152" s="9" t="s">
        <v>15925</v>
      </c>
      <c r="E7152" s="10" t="str">
        <f>HYPERLINK("https://twitter.com/Vagowners/status/724199144013881345","724199144013881345")</f>
        <v>724199144013881345</v>
      </c>
      <c r="F7152" s="11" t="s">
        <v>1838</v>
      </c>
      <c r="G7152" s="11">
        <v>41</v>
      </c>
      <c r="H7152" s="11">
        <v>179</v>
      </c>
      <c r="I7152" s="11">
        <v>1</v>
      </c>
      <c r="J7152" s="11">
        <v>0</v>
      </c>
      <c r="K7152" s="11" t="s">
        <v>21</v>
      </c>
      <c r="L7152" s="7">
        <v>42469.918541666666</v>
      </c>
      <c r="M7152" s="12" t="s">
        <v>129</v>
      </c>
      <c r="N7152" s="12" t="s">
        <v>8565</v>
      </c>
      <c r="O7152" s="10" t="str">
        <f>HYPERLINK("https://pbs.twimg.com/profile_images/718839998531903489/eXyeGppJ_normal.jpg","View")</f>
        <v>View</v>
      </c>
      <c r="P7152" s="11"/>
    </row>
    <row r="7153" spans="1:16" ht="12.75" x14ac:dyDescent="0.35">
      <c r="A7153" s="7">
        <v>42484.710393518515</v>
      </c>
      <c r="B7153" s="8" t="str">
        <f>HYPERLINK("https://twitter.com/coccicab71","@coccicab71")</f>
        <v>@coccicab71</v>
      </c>
      <c r="C7153" s="9" t="s">
        <v>7165</v>
      </c>
      <c r="D7153" s="9" t="s">
        <v>15926</v>
      </c>
      <c r="E7153" s="10" t="str">
        <f>HYPERLINK("https://twitter.com/coccicab71/status/724199450059653120","724199450059653120")</f>
        <v>724199450059653120</v>
      </c>
      <c r="F7153" s="11" t="s">
        <v>43</v>
      </c>
      <c r="G7153" s="11">
        <v>262</v>
      </c>
      <c r="H7153" s="11">
        <v>279</v>
      </c>
      <c r="I7153" s="11">
        <v>1</v>
      </c>
      <c r="J7153" s="11">
        <v>0</v>
      </c>
      <c r="K7153" s="11" t="s">
        <v>21</v>
      </c>
      <c r="L7153" s="7">
        <v>41424.003611111111</v>
      </c>
      <c r="M7153" s="12" t="s">
        <v>7166</v>
      </c>
      <c r="N7153" s="12" t="s">
        <v>7167</v>
      </c>
      <c r="O7153" s="10" t="str">
        <f>HYPERLINK("https://pbs.twimg.com/profile_images/3728536184/f8618f162b51e72519303cccedbec92b_normal.jpeg","View")</f>
        <v>View</v>
      </c>
      <c r="P7153" s="11"/>
    </row>
    <row r="7154" spans="1:16" ht="12.75" x14ac:dyDescent="0.35">
      <c r="A7154" s="7">
        <v>42484.711180555554</v>
      </c>
      <c r="B7154" s="8" t="str">
        <f>HYPERLINK("https://twitter.com/VWBeetleSales","@VWBeetleSales")</f>
        <v>@VWBeetleSales</v>
      </c>
      <c r="C7154" s="9" t="s">
        <v>127</v>
      </c>
      <c r="D7154" s="9" t="s">
        <v>15927</v>
      </c>
      <c r="E7154" s="10" t="str">
        <f>HYPERLINK("https://twitter.com/VWBeetleSales/status/724199734664028160","724199734664028160")</f>
        <v>724199734664028160</v>
      </c>
      <c r="F7154" s="10" t="s">
        <v>124</v>
      </c>
      <c r="G7154" s="11">
        <v>38</v>
      </c>
      <c r="H7154" s="11">
        <v>32</v>
      </c>
      <c r="I7154" s="11">
        <v>0</v>
      </c>
      <c r="J7154" s="11">
        <v>1</v>
      </c>
      <c r="K7154" s="11" t="s">
        <v>21</v>
      </c>
      <c r="L7154" s="7">
        <v>42427.019756944443</v>
      </c>
      <c r="M7154" s="12" t="s">
        <v>129</v>
      </c>
      <c r="N7154" s="12" t="s">
        <v>130</v>
      </c>
      <c r="O7154" s="10" t="str">
        <f>HYPERLINK("https://pbs.twimg.com/profile_images/703294545195307008/qeCvrX86_normal.jpg","View")</f>
        <v>View</v>
      </c>
      <c r="P7154" s="11"/>
    </row>
    <row r="7155" spans="1:16" ht="12.75" x14ac:dyDescent="0.35">
      <c r="A7155" s="7">
        <v>42484.711875000001</v>
      </c>
      <c r="B7155" s="8" t="str">
        <f>HYPERLINK("https://twitter.com/IG_Yuyake_Club","@IG_Yuyake_Club")</f>
        <v>@IG_Yuyake_Club</v>
      </c>
      <c r="C7155" s="9" t="s">
        <v>15928</v>
      </c>
      <c r="D7155" s="9" t="s">
        <v>15929</v>
      </c>
      <c r="E7155" s="10" t="str">
        <f>HYPERLINK("https://twitter.com/IG_Yuyake_Club/status/724199985273704448","724199985273704448")</f>
        <v>724199985273704448</v>
      </c>
      <c r="F7155" s="11" t="s">
        <v>15928</v>
      </c>
      <c r="G7155" s="11">
        <v>954</v>
      </c>
      <c r="H7155" s="11">
        <v>355</v>
      </c>
      <c r="I7155" s="11">
        <v>0</v>
      </c>
      <c r="J7155" s="11">
        <v>1</v>
      </c>
      <c r="K7155" s="11" t="s">
        <v>21</v>
      </c>
      <c r="L7155" s="7">
        <v>40680.805798611109</v>
      </c>
      <c r="M7155" s="12" t="s">
        <v>15930</v>
      </c>
      <c r="N7155" s="12" t="s">
        <v>15931</v>
      </c>
      <c r="O7155" s="10" t="str">
        <f>HYPERLINK("https://pbs.twimg.com/profile_images/1366570318/yuyake_club_normal.png","View")</f>
        <v>View</v>
      </c>
      <c r="P7155" s="11"/>
    </row>
    <row r="7156" spans="1:16" ht="12.75" x14ac:dyDescent="0.35">
      <c r="A7156" s="7">
        <v>42484.713182870371</v>
      </c>
      <c r="B7156" s="8" t="str">
        <f>HYPERLINK("https://twitter.com/OnlineCarReview","@OnlineCarReview")</f>
        <v>@OnlineCarReview</v>
      </c>
      <c r="C7156" s="9" t="s">
        <v>176</v>
      </c>
      <c r="D7156" s="9" t="s">
        <v>15932</v>
      </c>
      <c r="E7156" s="10" t="str">
        <f>HYPERLINK("https://twitter.com/OnlineCarReview/status/724200459884335105","724200459884335105")</f>
        <v>724200459884335105</v>
      </c>
      <c r="F7156" s="11" t="s">
        <v>34</v>
      </c>
      <c r="G7156" s="11">
        <v>837</v>
      </c>
      <c r="H7156" s="11">
        <v>568</v>
      </c>
      <c r="I7156" s="11">
        <v>0</v>
      </c>
      <c r="J7156" s="11">
        <v>0</v>
      </c>
      <c r="K7156" s="11" t="s">
        <v>21</v>
      </c>
      <c r="L7156" s="7">
        <v>42282.979201388887</v>
      </c>
      <c r="M7156" s="12"/>
      <c r="N7156" s="12" t="s">
        <v>178</v>
      </c>
      <c r="O7156" s="10" t="str">
        <f>HYPERLINK("https://pbs.twimg.com/profile_images/652871584131092480/QA_B6SBO_normal.jpg","View")</f>
        <v>View</v>
      </c>
      <c r="P7156" s="11"/>
    </row>
    <row r="7157" spans="1:16" ht="12.75" x14ac:dyDescent="0.35">
      <c r="A7157" s="7">
        <v>42484.714502314819</v>
      </c>
      <c r="B7157" s="8" t="str">
        <f>HYPERLINK("https://twitter.com/Mphilpot1","@Mphilpot1")</f>
        <v>@Mphilpot1</v>
      </c>
      <c r="C7157" s="9" t="s">
        <v>1280</v>
      </c>
      <c r="D7157" s="9" t="s">
        <v>15933</v>
      </c>
      <c r="E7157" s="10" t="str">
        <f>HYPERLINK("https://twitter.com/Mphilpot1/status/724200939054194693","724200939054194693")</f>
        <v>724200939054194693</v>
      </c>
      <c r="F7157" s="11" t="s">
        <v>34</v>
      </c>
      <c r="G7157" s="11">
        <v>114</v>
      </c>
      <c r="H7157" s="11">
        <v>141</v>
      </c>
      <c r="I7157" s="11">
        <v>0</v>
      </c>
      <c r="J7157" s="11">
        <v>0</v>
      </c>
      <c r="K7157" s="11" t="s">
        <v>21</v>
      </c>
      <c r="L7157" s="7">
        <v>41137.855208333334</v>
      </c>
      <c r="M7157" s="12"/>
      <c r="N7157" s="12"/>
      <c r="O7157" s="10" t="str">
        <f>HYPERLINK("https://pbs.twimg.com/profile_images/422164778639839234/LVnS1q1c_normal.jpeg","View")</f>
        <v>View</v>
      </c>
      <c r="P7157" s="11"/>
    </row>
    <row r="7158" spans="1:16" ht="12.75" x14ac:dyDescent="0.35">
      <c r="A7158" s="7">
        <v>42484.715324074074</v>
      </c>
      <c r="B7158" s="8" t="str">
        <f t="shared" ref="B7158:B7159" si="685">HYPERLINK("https://twitter.com/VWBeetleSales","@VWBeetleSales")</f>
        <v>@VWBeetleSales</v>
      </c>
      <c r="C7158" s="9" t="s">
        <v>127</v>
      </c>
      <c r="D7158" s="9" t="s">
        <v>15934</v>
      </c>
      <c r="E7158" s="10" t="str">
        <f>HYPERLINK("https://twitter.com/VWBeetleSales/status/724201237499928577","724201237499928577")</f>
        <v>724201237499928577</v>
      </c>
      <c r="F7158" s="10" t="s">
        <v>124</v>
      </c>
      <c r="G7158" s="11">
        <v>38</v>
      </c>
      <c r="H7158" s="11">
        <v>32</v>
      </c>
      <c r="I7158" s="11">
        <v>0</v>
      </c>
      <c r="J7158" s="11">
        <v>0</v>
      </c>
      <c r="K7158" s="11" t="s">
        <v>21</v>
      </c>
      <c r="L7158" s="7">
        <v>42427.019756944443</v>
      </c>
      <c r="M7158" s="12" t="s">
        <v>129</v>
      </c>
      <c r="N7158" s="12" t="s">
        <v>130</v>
      </c>
      <c r="O7158" s="10" t="str">
        <f t="shared" ref="O7158:O7159" si="686">HYPERLINK("https://pbs.twimg.com/profile_images/703294545195307008/qeCvrX86_normal.jpg","View")</f>
        <v>View</v>
      </c>
      <c r="P7158" s="11"/>
    </row>
    <row r="7159" spans="1:16" ht="12.75" x14ac:dyDescent="0.35">
      <c r="A7159" s="7">
        <v>42484.715347222227</v>
      </c>
      <c r="B7159" s="8" t="str">
        <f t="shared" si="685"/>
        <v>@VWBeetleSales</v>
      </c>
      <c r="C7159" s="9" t="s">
        <v>127</v>
      </c>
      <c r="D7159" s="9" t="s">
        <v>15935</v>
      </c>
      <c r="E7159" s="10" t="str">
        <f>HYPERLINK("https://twitter.com/VWBeetleSales/status/724201244881903616","724201244881903616")</f>
        <v>724201244881903616</v>
      </c>
      <c r="F7159" s="10" t="s">
        <v>124</v>
      </c>
      <c r="G7159" s="11">
        <v>38</v>
      </c>
      <c r="H7159" s="11">
        <v>32</v>
      </c>
      <c r="I7159" s="11">
        <v>0</v>
      </c>
      <c r="J7159" s="11">
        <v>0</v>
      </c>
      <c r="K7159" s="11" t="s">
        <v>21</v>
      </c>
      <c r="L7159" s="7">
        <v>42427.019756944443</v>
      </c>
      <c r="M7159" s="12" t="s">
        <v>129</v>
      </c>
      <c r="N7159" s="12" t="s">
        <v>130</v>
      </c>
      <c r="O7159" s="10" t="str">
        <f t="shared" si="686"/>
        <v>View</v>
      </c>
      <c r="P7159" s="11"/>
    </row>
    <row r="7160" spans="1:16" ht="12.75" x14ac:dyDescent="0.35">
      <c r="A7160" s="7">
        <v>42484.715462962966</v>
      </c>
      <c r="B7160" s="8" t="str">
        <f>HYPERLINK("https://twitter.com/autofreshnews","@autofreshnews")</f>
        <v>@autofreshnews</v>
      </c>
      <c r="C7160" s="9" t="s">
        <v>15574</v>
      </c>
      <c r="D7160" s="9" t="s">
        <v>15936</v>
      </c>
      <c r="E7160" s="10" t="str">
        <f>HYPERLINK("https://twitter.com/autofreshnews/status/724201287579885568","724201287579885568")</f>
        <v>724201287579885568</v>
      </c>
      <c r="F7160" s="11" t="s">
        <v>20</v>
      </c>
      <c r="G7160" s="11">
        <v>2561</v>
      </c>
      <c r="H7160" s="11">
        <v>82</v>
      </c>
      <c r="I7160" s="11">
        <v>1</v>
      </c>
      <c r="J7160" s="11">
        <v>0</v>
      </c>
      <c r="K7160" s="11" t="s">
        <v>21</v>
      </c>
      <c r="L7160" s="7">
        <v>41262.423518518517</v>
      </c>
      <c r="M7160" s="12" t="s">
        <v>12860</v>
      </c>
      <c r="N7160" s="12" t="s">
        <v>15576</v>
      </c>
      <c r="O7160" s="10" t="str">
        <f>HYPERLINK("https://pbs.twimg.com/profile_images/2993695854/bfc038b9654b5476fb581d347c90508a_normal.png","View")</f>
        <v>View</v>
      </c>
      <c r="P7160" s="11"/>
    </row>
    <row r="7161" spans="1:16" ht="12.75" x14ac:dyDescent="0.35">
      <c r="A7161" s="7">
        <v>42484.716006944444</v>
      </c>
      <c r="B7161" s="8" t="str">
        <f>HYPERLINK("https://twitter.com/RFN19","@RFN19")</f>
        <v>@RFN19</v>
      </c>
      <c r="C7161" s="9" t="s">
        <v>6663</v>
      </c>
      <c r="D7161" s="9" t="s">
        <v>15937</v>
      </c>
      <c r="E7161" s="10" t="str">
        <f>HYPERLINK("https://twitter.com/RFN19/status/724201484531822592","724201484531822592")</f>
        <v>724201484531822592</v>
      </c>
      <c r="F7161" s="11" t="s">
        <v>20</v>
      </c>
      <c r="G7161" s="11">
        <v>469</v>
      </c>
      <c r="H7161" s="11">
        <v>263</v>
      </c>
      <c r="I7161" s="11">
        <v>1</v>
      </c>
      <c r="J7161" s="11">
        <v>0</v>
      </c>
      <c r="K7161" s="11" t="s">
        <v>21</v>
      </c>
      <c r="L7161" s="7">
        <v>41188.796724537038</v>
      </c>
      <c r="M7161" s="12" t="s">
        <v>6665</v>
      </c>
      <c r="N7161" s="12" t="s">
        <v>6666</v>
      </c>
      <c r="O7161" s="10" t="str">
        <f>HYPERLINK("https://pbs.twimg.com/profile_images/571872729201012736/GOT-p0KX_normal.jpeg","View")</f>
        <v>View</v>
      </c>
      <c r="P7161" s="11"/>
    </row>
    <row r="7162" spans="1:16" ht="12.75" x14ac:dyDescent="0.35">
      <c r="A7162" s="7">
        <v>42484.717245370368</v>
      </c>
      <c r="B7162" s="8" t="str">
        <f>HYPERLINK("https://twitter.com/HHMNE","@HHMNE")</f>
        <v>@HHMNE</v>
      </c>
      <c r="C7162" s="9" t="s">
        <v>15938</v>
      </c>
      <c r="D7162" s="9" t="s">
        <v>15939</v>
      </c>
      <c r="E7162" s="10" t="str">
        <f>HYPERLINK("https://twitter.com/HHMNE/status/724201930923380736","724201930923380736")</f>
        <v>724201930923380736</v>
      </c>
      <c r="F7162" s="11" t="s">
        <v>160</v>
      </c>
      <c r="G7162" s="11">
        <v>324</v>
      </c>
      <c r="H7162" s="11">
        <v>991</v>
      </c>
      <c r="I7162" s="11">
        <v>0</v>
      </c>
      <c r="J7162" s="11">
        <v>0</v>
      </c>
      <c r="K7162" s="11" t="s">
        <v>21</v>
      </c>
      <c r="L7162" s="7">
        <v>41659.902928240743</v>
      </c>
      <c r="M7162" s="12" t="s">
        <v>15940</v>
      </c>
      <c r="N7162" s="12" t="s">
        <v>15941</v>
      </c>
      <c r="O7162" s="10" t="str">
        <f>HYPERLINK("https://pbs.twimg.com/profile_images/641857478414745601/o_-313PT_normal.jpg","View")</f>
        <v>View</v>
      </c>
      <c r="P7162" s="11"/>
    </row>
    <row r="7163" spans="1:16" ht="12.75" x14ac:dyDescent="0.35">
      <c r="A7163" s="7">
        <v>42484.717361111107</v>
      </c>
      <c r="B7163" s="8" t="str">
        <f t="shared" ref="B7163:B7165" si="687">HYPERLINK("https://twitter.com/techhippie","@techhippie")</f>
        <v>@techhippie</v>
      </c>
      <c r="C7163" s="9" t="s">
        <v>246</v>
      </c>
      <c r="D7163" s="9" t="s">
        <v>15942</v>
      </c>
      <c r="E7163" s="10" t="str">
        <f>HYPERLINK("https://twitter.com/techhippie/status/724201973860409344","724201973860409344")</f>
        <v>724201973860409344</v>
      </c>
      <c r="F7163" s="11" t="s">
        <v>68</v>
      </c>
      <c r="G7163" s="11">
        <v>2567</v>
      </c>
      <c r="H7163" s="11">
        <v>3831</v>
      </c>
      <c r="I7163" s="11">
        <v>0</v>
      </c>
      <c r="J7163" s="11">
        <v>0</v>
      </c>
      <c r="K7163" s="11" t="s">
        <v>21</v>
      </c>
      <c r="L7163" s="7">
        <v>42424.852152777778</v>
      </c>
      <c r="M7163" s="12" t="s">
        <v>248</v>
      </c>
      <c r="N7163" s="12" t="s">
        <v>249</v>
      </c>
      <c r="O7163" s="10" t="str">
        <f t="shared" ref="O7163:O7165" si="688">HYPERLINK("https://pbs.twimg.com/profile_images/702511217793863680/lty8h9vE_normal.jpg","View")</f>
        <v>View</v>
      </c>
      <c r="P7163" s="11"/>
    </row>
    <row r="7164" spans="1:16" ht="12.75" x14ac:dyDescent="0.35">
      <c r="A7164" s="7">
        <v>42484.717372685191</v>
      </c>
      <c r="B7164" s="8" t="str">
        <f t="shared" si="687"/>
        <v>@techhippie</v>
      </c>
      <c r="C7164" s="9" t="s">
        <v>246</v>
      </c>
      <c r="D7164" s="9" t="s">
        <v>15943</v>
      </c>
      <c r="E7164" s="10" t="str">
        <f>HYPERLINK("https://twitter.com/techhippie/status/724201979136872448","724201979136872448")</f>
        <v>724201979136872448</v>
      </c>
      <c r="F7164" s="11" t="s">
        <v>68</v>
      </c>
      <c r="G7164" s="11">
        <v>2567</v>
      </c>
      <c r="H7164" s="11">
        <v>3831</v>
      </c>
      <c r="I7164" s="11">
        <v>0</v>
      </c>
      <c r="J7164" s="11">
        <v>0</v>
      </c>
      <c r="K7164" s="11" t="s">
        <v>21</v>
      </c>
      <c r="L7164" s="7">
        <v>42424.852152777778</v>
      </c>
      <c r="M7164" s="12" t="s">
        <v>248</v>
      </c>
      <c r="N7164" s="12" t="s">
        <v>249</v>
      </c>
      <c r="O7164" s="10" t="str">
        <f t="shared" si="688"/>
        <v>View</v>
      </c>
      <c r="P7164" s="11"/>
    </row>
    <row r="7165" spans="1:16" ht="12.75" x14ac:dyDescent="0.35">
      <c r="A7165" s="7">
        <v>42484.71739583333</v>
      </c>
      <c r="B7165" s="8" t="str">
        <f t="shared" si="687"/>
        <v>@techhippie</v>
      </c>
      <c r="C7165" s="9" t="s">
        <v>246</v>
      </c>
      <c r="D7165" s="9" t="s">
        <v>15944</v>
      </c>
      <c r="E7165" s="10" t="str">
        <f>HYPERLINK("https://twitter.com/techhippie/status/724201988733448198","724201988733448198")</f>
        <v>724201988733448198</v>
      </c>
      <c r="F7165" s="11" t="s">
        <v>68</v>
      </c>
      <c r="G7165" s="11">
        <v>2567</v>
      </c>
      <c r="H7165" s="11">
        <v>3831</v>
      </c>
      <c r="I7165" s="11">
        <v>0</v>
      </c>
      <c r="J7165" s="11">
        <v>0</v>
      </c>
      <c r="K7165" s="11" t="s">
        <v>21</v>
      </c>
      <c r="L7165" s="7">
        <v>42424.852152777778</v>
      </c>
      <c r="M7165" s="12" t="s">
        <v>248</v>
      </c>
      <c r="N7165" s="12" t="s">
        <v>249</v>
      </c>
      <c r="O7165" s="10" t="str">
        <f t="shared" si="688"/>
        <v>View</v>
      </c>
      <c r="P7165" s="11"/>
    </row>
    <row r="7166" spans="1:16" ht="12.75" x14ac:dyDescent="0.35">
      <c r="A7166" s="7">
        <v>42484.718599537038</v>
      </c>
      <c r="B7166" s="8" t="str">
        <f>HYPERLINK("https://twitter.com/BenjaminBeutler","@BenjaminBeutler")</f>
        <v>@BenjaminBeutler</v>
      </c>
      <c r="C7166" s="9" t="s">
        <v>15945</v>
      </c>
      <c r="D7166" s="9" t="s">
        <v>15946</v>
      </c>
      <c r="E7166" s="10" t="str">
        <f>HYPERLINK("https://twitter.com/BenjaminBeutler/status/724202423137476609","724202423137476609")</f>
        <v>724202423137476609</v>
      </c>
      <c r="F7166" s="11" t="s">
        <v>20</v>
      </c>
      <c r="G7166" s="11">
        <v>709</v>
      </c>
      <c r="H7166" s="11">
        <v>1100</v>
      </c>
      <c r="I7166" s="11">
        <v>0</v>
      </c>
      <c r="J7166" s="11">
        <v>0</v>
      </c>
      <c r="K7166" s="11" t="s">
        <v>21</v>
      </c>
      <c r="L7166" s="7">
        <v>41638.902349537035</v>
      </c>
      <c r="M7166" s="12" t="s">
        <v>1359</v>
      </c>
      <c r="N7166" s="12" t="s">
        <v>15947</v>
      </c>
      <c r="O7166" s="10" t="str">
        <f>HYPERLINK("https://pbs.twimg.com/profile_images/622867817365438466/TOMKALRh_normal.jpg","View")</f>
        <v>View</v>
      </c>
      <c r="P7166" s="11"/>
    </row>
    <row r="7167" spans="1:16" ht="12.75" x14ac:dyDescent="0.35">
      <c r="A7167" s="7">
        <v>42484.719467592593</v>
      </c>
      <c r="B7167" s="8" t="str">
        <f>HYPERLINK("https://twitter.com/dazvw","@dazvw")</f>
        <v>@dazvw</v>
      </c>
      <c r="C7167" s="9" t="s">
        <v>14203</v>
      </c>
      <c r="D7167" s="9" t="s">
        <v>15948</v>
      </c>
      <c r="E7167" s="10" t="str">
        <f>HYPERLINK("https://twitter.com/dazvw/status/724202739568357377","724202739568357377")</f>
        <v>724202739568357377</v>
      </c>
      <c r="F7167" s="11" t="s">
        <v>114</v>
      </c>
      <c r="G7167" s="11">
        <v>118</v>
      </c>
      <c r="H7167" s="11">
        <v>170</v>
      </c>
      <c r="I7167" s="11">
        <v>0</v>
      </c>
      <c r="J7167" s="11">
        <v>0</v>
      </c>
      <c r="K7167" s="11" t="s">
        <v>21</v>
      </c>
      <c r="L7167" s="7">
        <v>40797.195451388892</v>
      </c>
      <c r="M7167" s="12" t="s">
        <v>14205</v>
      </c>
      <c r="N7167" s="12"/>
      <c r="O7167" s="10" t="str">
        <f>HYPERLINK("https://pbs.twimg.com/profile_images/3095803063/6d0b0cd10bd2f076a374a11a88bb7c2e_normal.jpeg","View")</f>
        <v>View</v>
      </c>
      <c r="P7167" s="11"/>
    </row>
    <row r="7168" spans="1:16" ht="12.75" x14ac:dyDescent="0.35">
      <c r="A7168" s="7">
        <v>42484.72010416667</v>
      </c>
      <c r="B7168" s="8" t="str">
        <f>HYPERLINK("https://twitter.com/nicolasnanchen1","@nicolasnanchen1")</f>
        <v>@nicolasnanchen1</v>
      </c>
      <c r="C7168" s="9" t="s">
        <v>15949</v>
      </c>
      <c r="D7168" s="9" t="s">
        <v>15511</v>
      </c>
      <c r="E7168" s="10" t="str">
        <f>HYPERLINK("https://twitter.com/nicolasnanchen1/status/724202968908718081","724202968908718081")</f>
        <v>724202968908718081</v>
      </c>
      <c r="F7168" s="11" t="s">
        <v>48</v>
      </c>
      <c r="G7168" s="11">
        <v>123</v>
      </c>
      <c r="H7168" s="11">
        <v>506</v>
      </c>
      <c r="I7168" s="11">
        <v>7</v>
      </c>
      <c r="J7168" s="11">
        <v>0</v>
      </c>
      <c r="K7168" s="11" t="s">
        <v>21</v>
      </c>
      <c r="L7168" s="7">
        <v>41688.052094907405</v>
      </c>
      <c r="M7168" s="12" t="s">
        <v>15950</v>
      </c>
      <c r="N7168" s="12"/>
      <c r="O7168" s="10" t="str">
        <f>HYPERLINK("https://pbs.twimg.com/profile_images/569767365538496512/aBsh6xPR_normal.jpeg","View")</f>
        <v>View</v>
      </c>
      <c r="P7168" s="11"/>
    </row>
    <row r="7169" spans="1:16" ht="12.75" x14ac:dyDescent="0.35">
      <c r="A7169" s="7">
        <v>42484.720520833333</v>
      </c>
      <c r="B7169" s="8" t="str">
        <f>HYPERLINK("https://twitter.com/TobiasAustrup","@TobiasAustrup")</f>
        <v>@TobiasAustrup</v>
      </c>
      <c r="C7169" s="9" t="s">
        <v>15951</v>
      </c>
      <c r="D7169" s="9" t="s">
        <v>15952</v>
      </c>
      <c r="E7169" s="10" t="str">
        <f>HYPERLINK("https://twitter.com/TobiasAustrup/status/724203120335708160","724203120335708160")</f>
        <v>724203120335708160</v>
      </c>
      <c r="F7169" s="11" t="s">
        <v>903</v>
      </c>
      <c r="G7169" s="11">
        <v>575</v>
      </c>
      <c r="H7169" s="11">
        <v>458</v>
      </c>
      <c r="I7169" s="11">
        <v>1</v>
      </c>
      <c r="J7169" s="11">
        <v>0</v>
      </c>
      <c r="K7169" s="11" t="s">
        <v>21</v>
      </c>
      <c r="L7169" s="7">
        <v>41348.914027777777</v>
      </c>
      <c r="M7169" s="12"/>
      <c r="N7169" s="12" t="s">
        <v>15953</v>
      </c>
      <c r="O7169" s="10" t="str">
        <f>HYPERLINK("https://pbs.twimg.com/profile_images/563649209430073344/GGzIu_sQ_normal.jpeg","View")</f>
        <v>View</v>
      </c>
      <c r="P7169" s="11"/>
    </row>
    <row r="7170" spans="1:16" ht="12.75" x14ac:dyDescent="0.35">
      <c r="A7170" s="7">
        <v>42484.724768518514</v>
      </c>
      <c r="B7170" s="8" t="str">
        <f>HYPERLINK("https://twitter.com/devoncampers","@devoncampers")</f>
        <v>@devoncampers</v>
      </c>
      <c r="C7170" s="9" t="s">
        <v>15954</v>
      </c>
      <c r="D7170" s="9" t="s">
        <v>15955</v>
      </c>
      <c r="E7170" s="10" t="str">
        <f>HYPERLINK("https://twitter.com/devoncampers/status/724204659771101184","724204659771101184")</f>
        <v>724204659771101184</v>
      </c>
      <c r="F7170" s="11" t="s">
        <v>20</v>
      </c>
      <c r="G7170" s="11">
        <v>224</v>
      </c>
      <c r="H7170" s="11">
        <v>291</v>
      </c>
      <c r="I7170" s="11">
        <v>0</v>
      </c>
      <c r="J7170" s="11">
        <v>0</v>
      </c>
      <c r="K7170" s="11" t="s">
        <v>21</v>
      </c>
      <c r="L7170" s="7">
        <v>41712.810289351852</v>
      </c>
      <c r="M7170" s="12" t="s">
        <v>15956</v>
      </c>
      <c r="N7170" s="12" t="s">
        <v>15957</v>
      </c>
      <c r="O7170" s="10" t="str">
        <f>HYPERLINK("https://pbs.twimg.com/profile_images/474837254783774720/A3oLujry_normal.jpeg","View")</f>
        <v>View</v>
      </c>
      <c r="P7170" s="11"/>
    </row>
    <row r="7171" spans="1:16" ht="12.75" x14ac:dyDescent="0.35">
      <c r="A7171" s="7">
        <v>42484.725173611107</v>
      </c>
      <c r="B7171" s="8" t="str">
        <f>HYPERLINK("https://twitter.com/RamyKhodeir","@RamyKhodeir")</f>
        <v>@RamyKhodeir</v>
      </c>
      <c r="C7171" s="9" t="s">
        <v>15958</v>
      </c>
      <c r="D7171" s="9" t="s">
        <v>15959</v>
      </c>
      <c r="E7171" s="10" t="str">
        <f>HYPERLINK("https://twitter.com/RamyKhodeir/status/724204804969488385","724204804969488385")</f>
        <v>724204804969488385</v>
      </c>
      <c r="F7171" s="11" t="s">
        <v>20</v>
      </c>
      <c r="G7171" s="11">
        <v>1380</v>
      </c>
      <c r="H7171" s="11">
        <v>335</v>
      </c>
      <c r="I7171" s="11">
        <v>0</v>
      </c>
      <c r="J7171" s="11">
        <v>0</v>
      </c>
      <c r="K7171" s="11" t="s">
        <v>21</v>
      </c>
      <c r="L7171" s="7">
        <v>40350.372453703705</v>
      </c>
      <c r="M7171" s="12" t="s">
        <v>3809</v>
      </c>
      <c r="N7171" s="12" t="s">
        <v>15960</v>
      </c>
      <c r="O7171" s="10" t="str">
        <f>HYPERLINK("https://pbs.twimg.com/profile_images/596344900234321920/ZmwqqHZz_normal.jpg","View")</f>
        <v>View</v>
      </c>
      <c r="P7171" s="11"/>
    </row>
    <row r="7172" spans="1:16" ht="12.75" x14ac:dyDescent="0.35">
      <c r="A7172" s="7">
        <v>42484.725983796292</v>
      </c>
      <c r="B7172" s="8" t="str">
        <f>HYPERLINK("https://twitter.com/vagmenhq","@vagmenhq")</f>
        <v>@vagmenhq</v>
      </c>
      <c r="C7172" s="9" t="s">
        <v>2492</v>
      </c>
      <c r="D7172" s="9" t="s">
        <v>15961</v>
      </c>
      <c r="E7172" s="10" t="str">
        <f>HYPERLINK("https://twitter.com/vagmenhq/status/724205101053816834","724205101053816834")</f>
        <v>724205101053816834</v>
      </c>
      <c r="F7172" s="11" t="s">
        <v>53</v>
      </c>
      <c r="G7172" s="11">
        <v>158</v>
      </c>
      <c r="H7172" s="11">
        <v>92</v>
      </c>
      <c r="I7172" s="11">
        <v>0</v>
      </c>
      <c r="J7172" s="11">
        <v>0</v>
      </c>
      <c r="K7172" s="11" t="s">
        <v>21</v>
      </c>
      <c r="L7172" s="7">
        <v>41401.814722222218</v>
      </c>
      <c r="M7172" s="12" t="s">
        <v>2494</v>
      </c>
      <c r="N7172" s="12" t="s">
        <v>2495</v>
      </c>
      <c r="O7172" s="10" t="str">
        <f>HYPERLINK("https://pbs.twimg.com/profile_images/446781974452371456/rqBZF-KN_normal.jpeg","View")</f>
        <v>View</v>
      </c>
      <c r="P7172" s="11"/>
    </row>
    <row r="7173" spans="1:16" ht="12.75" x14ac:dyDescent="0.35">
      <c r="A7173" s="7">
        <v>42484.727361111116</v>
      </c>
      <c r="B7173" s="8" t="str">
        <f>HYPERLINK("https://twitter.com/weare_van","@weare_van")</f>
        <v>@weare_van</v>
      </c>
      <c r="C7173" s="9" t="s">
        <v>2104</v>
      </c>
      <c r="D7173" s="9" t="s">
        <v>15962</v>
      </c>
      <c r="E7173" s="10" t="str">
        <f>HYPERLINK("https://twitter.com/weare_van/status/724205598481494016","724205598481494016")</f>
        <v>724205598481494016</v>
      </c>
      <c r="F7173" s="11" t="s">
        <v>68</v>
      </c>
      <c r="G7173" s="11">
        <v>176</v>
      </c>
      <c r="H7173" s="11">
        <v>57</v>
      </c>
      <c r="I7173" s="11">
        <v>0</v>
      </c>
      <c r="J7173" s="11">
        <v>0</v>
      </c>
      <c r="K7173" s="11" t="s">
        <v>21</v>
      </c>
      <c r="L7173" s="7">
        <v>42429.136157407411</v>
      </c>
      <c r="M7173" s="12" t="s">
        <v>1397</v>
      </c>
      <c r="N7173" s="12" t="s">
        <v>2106</v>
      </c>
      <c r="O7173" s="10" t="str">
        <f>HYPERLINK("https://pbs.twimg.com/profile_images/707176643509538817/-s_VKgK4_normal.jpg","View")</f>
        <v>View</v>
      </c>
      <c r="P7173" s="11"/>
    </row>
    <row r="7174" spans="1:16" ht="12.75" x14ac:dyDescent="0.35">
      <c r="A7174" s="7">
        <v>42484.727719907409</v>
      </c>
      <c r="B7174" s="8" t="str">
        <f>HYPERLINK("https://twitter.com/Goebel_Michelle","@Goebel_Michelle")</f>
        <v>@Goebel_Michelle</v>
      </c>
      <c r="C7174" s="9" t="s">
        <v>15963</v>
      </c>
      <c r="D7174" s="9" t="s">
        <v>15964</v>
      </c>
      <c r="E7174" s="10" t="str">
        <f>HYPERLINK("https://twitter.com/Goebel_Michelle/status/724205729184407552","724205729184407552")</f>
        <v>724205729184407552</v>
      </c>
      <c r="F7174" s="11" t="s">
        <v>48</v>
      </c>
      <c r="G7174" s="11">
        <v>42</v>
      </c>
      <c r="H7174" s="11">
        <v>46</v>
      </c>
      <c r="I7174" s="11">
        <v>0</v>
      </c>
      <c r="J7174" s="11">
        <v>0</v>
      </c>
      <c r="K7174" s="11" t="s">
        <v>21</v>
      </c>
      <c r="L7174" s="7">
        <v>41739.349710648152</v>
      </c>
      <c r="M7174" s="12"/>
      <c r="N7174" s="12" t="s">
        <v>15965</v>
      </c>
      <c r="O7174" s="10" t="str">
        <f>HYPERLINK("https://pbs.twimg.com/profile_images/721817255835774976/C5ySbLKK_normal.jpg","View")</f>
        <v>View</v>
      </c>
      <c r="P7174" s="11"/>
    </row>
    <row r="7175" spans="1:16" ht="12.75" x14ac:dyDescent="0.35">
      <c r="A7175" s="7">
        <v>42484.728182870371</v>
      </c>
      <c r="B7175" s="8" t="str">
        <f>HYPERLINK("https://twitter.com/ebaycampervans","@ebaycampervans")</f>
        <v>@ebaycampervans</v>
      </c>
      <c r="C7175" s="9" t="s">
        <v>682</v>
      </c>
      <c r="D7175" s="9" t="s">
        <v>15966</v>
      </c>
      <c r="E7175" s="10" t="str">
        <f>HYPERLINK("https://twitter.com/ebaycampervans/status/724205898638323712","724205898638323712")</f>
        <v>724205898638323712</v>
      </c>
      <c r="F7175" s="11" t="s">
        <v>34</v>
      </c>
      <c r="G7175" s="11">
        <v>382</v>
      </c>
      <c r="H7175" s="11">
        <v>1002</v>
      </c>
      <c r="I7175" s="11">
        <v>0</v>
      </c>
      <c r="J7175" s="11">
        <v>0</v>
      </c>
      <c r="K7175" s="11" t="s">
        <v>21</v>
      </c>
      <c r="L7175" s="7">
        <v>42140.207604166666</v>
      </c>
      <c r="M7175" s="12"/>
      <c r="N7175" s="12" t="s">
        <v>684</v>
      </c>
      <c r="O7175" s="10" t="str">
        <f>HYPERLINK("https://pbs.twimg.com/profile_images/599357023407464449/BL9Bpo6T_normal.jpg","View")</f>
        <v>View</v>
      </c>
      <c r="P7175" s="11"/>
    </row>
    <row r="7176" spans="1:16" ht="12.75" x14ac:dyDescent="0.35">
      <c r="A7176" s="7">
        <v>42484.729027777779</v>
      </c>
      <c r="B7176" s="8" t="str">
        <f>HYPERLINK("https://twitter.com/motorhappy","@motorhappy")</f>
        <v>@motorhappy</v>
      </c>
      <c r="C7176" s="9" t="s">
        <v>13458</v>
      </c>
      <c r="D7176" s="9" t="s">
        <v>15967</v>
      </c>
      <c r="E7176" s="10" t="str">
        <f>HYPERLINK("https://twitter.com/motorhappy/status/724206204612911104","724206204612911104")</f>
        <v>724206204612911104</v>
      </c>
      <c r="F7176" s="11" t="s">
        <v>15968</v>
      </c>
      <c r="G7176" s="11">
        <v>8979</v>
      </c>
      <c r="H7176" s="11">
        <v>7604</v>
      </c>
      <c r="I7176" s="11">
        <v>0</v>
      </c>
      <c r="J7176" s="11">
        <v>0</v>
      </c>
      <c r="K7176" s="11" t="s">
        <v>21</v>
      </c>
      <c r="L7176" s="7">
        <v>41656.987442129626</v>
      </c>
      <c r="M7176" s="12" t="s">
        <v>129</v>
      </c>
      <c r="N7176" s="12" t="s">
        <v>13461</v>
      </c>
      <c r="O7176" s="10" t="str">
        <f>HYPERLINK("https://pbs.twimg.com/profile_images/552042888666705921/TxWAPB36_normal.png","View")</f>
        <v>View</v>
      </c>
      <c r="P7176" s="11"/>
    </row>
    <row r="7177" spans="1:16" ht="12.75" x14ac:dyDescent="0.35">
      <c r="A7177" s="7">
        <v>42484.729374999995</v>
      </c>
      <c r="B7177" s="8" t="str">
        <f>HYPERLINK("https://twitter.com/Auto2day_gr","@Auto2day_gr")</f>
        <v>@Auto2day_gr</v>
      </c>
      <c r="C7177" s="9" t="s">
        <v>4704</v>
      </c>
      <c r="D7177" s="9" t="s">
        <v>15969</v>
      </c>
      <c r="E7177" s="10" t="str">
        <f>HYPERLINK("https://twitter.com/Auto2day_gr/status/724206329598869504","724206329598869504")</f>
        <v>724206329598869504</v>
      </c>
      <c r="F7177" s="11" t="s">
        <v>63</v>
      </c>
      <c r="G7177" s="11">
        <v>114</v>
      </c>
      <c r="H7177" s="11">
        <v>457</v>
      </c>
      <c r="I7177" s="11">
        <v>0</v>
      </c>
      <c r="J7177" s="11">
        <v>0</v>
      </c>
      <c r="K7177" s="11" t="s">
        <v>21</v>
      </c>
      <c r="L7177" s="7">
        <v>42374.977708333332</v>
      </c>
      <c r="M7177" s="12"/>
      <c r="N7177" s="12" t="s">
        <v>4706</v>
      </c>
      <c r="O7177" s="10" t="str">
        <f>HYPERLINK("https://pbs.twimg.com/profile_images/684439034580570112/xeZrDF8k_normal.jpg","View")</f>
        <v>View</v>
      </c>
      <c r="P7177" s="11"/>
    </row>
    <row r="7178" spans="1:16" ht="12.75" x14ac:dyDescent="0.35">
      <c r="A7178" s="7">
        <v>42484.731296296297</v>
      </c>
      <c r="B7178" s="8" t="str">
        <f>HYPERLINK("https://twitter.com/CanerAydinnn","@CanerAydinnn")</f>
        <v>@CanerAydinnn</v>
      </c>
      <c r="C7178" s="9" t="s">
        <v>15970</v>
      </c>
      <c r="D7178" s="9" t="s">
        <v>15806</v>
      </c>
      <c r="E7178" s="10" t="str">
        <f>HYPERLINK("https://twitter.com/CanerAydinnn/status/724207023198486528","724207023198486528")</f>
        <v>724207023198486528</v>
      </c>
      <c r="F7178" s="11" t="s">
        <v>20</v>
      </c>
      <c r="G7178" s="11">
        <v>626</v>
      </c>
      <c r="H7178" s="11">
        <v>225</v>
      </c>
      <c r="I7178" s="11">
        <v>2</v>
      </c>
      <c r="J7178" s="11">
        <v>0</v>
      </c>
      <c r="K7178" s="11" t="s">
        <v>21</v>
      </c>
      <c r="L7178" s="7">
        <v>41336.915925925925</v>
      </c>
      <c r="M7178" s="12" t="s">
        <v>15971</v>
      </c>
      <c r="N7178" s="12" t="s">
        <v>15972</v>
      </c>
      <c r="O7178" s="10" t="str">
        <f>HYPERLINK("https://pbs.twimg.com/profile_images/704838507693535232/IBa0yd2d_normal.jpg","View")</f>
        <v>View</v>
      </c>
      <c r="P7178" s="11"/>
    </row>
    <row r="7179" spans="1:16" ht="12.75" x14ac:dyDescent="0.35">
      <c r="A7179" s="7">
        <v>42484.732858796298</v>
      </c>
      <c r="B7179" s="8" t="str">
        <f>HYPERLINK("https://twitter.com/F_Hubik","@F_Hubik")</f>
        <v>@F_Hubik</v>
      </c>
      <c r="C7179" s="9" t="s">
        <v>15973</v>
      </c>
      <c r="D7179" s="9" t="s">
        <v>15974</v>
      </c>
      <c r="E7179" s="10" t="str">
        <f>HYPERLINK("https://twitter.com/F_Hubik/status/724207590226419716","724207590226419716")</f>
        <v>724207590226419716</v>
      </c>
      <c r="F7179" s="11" t="s">
        <v>43</v>
      </c>
      <c r="G7179" s="11">
        <v>528</v>
      </c>
      <c r="H7179" s="11">
        <v>528</v>
      </c>
      <c r="I7179" s="11">
        <v>1</v>
      </c>
      <c r="J7179" s="11">
        <v>0</v>
      </c>
      <c r="K7179" s="11" t="s">
        <v>21</v>
      </c>
      <c r="L7179" s="7">
        <v>40454.689733796295</v>
      </c>
      <c r="M7179" s="12" t="s">
        <v>15975</v>
      </c>
      <c r="N7179" s="12" t="s">
        <v>15976</v>
      </c>
      <c r="O7179" s="10" t="str">
        <f>HYPERLINK("https://pbs.twimg.com/profile_images/685174846762971136/lzmUZmM9_normal.jpg","View")</f>
        <v>View</v>
      </c>
      <c r="P7179" s="11"/>
    </row>
    <row r="7180" spans="1:16" ht="12.75" x14ac:dyDescent="0.35">
      <c r="A7180" s="7">
        <v>42484.733483796299</v>
      </c>
      <c r="B7180" s="8" t="str">
        <f>HYPERLINK("https://twitter.com/MotorHour","@MotorHour")</f>
        <v>@MotorHour</v>
      </c>
      <c r="C7180" s="9" t="s">
        <v>13463</v>
      </c>
      <c r="D7180" s="9" t="s">
        <v>15977</v>
      </c>
      <c r="E7180" s="10" t="str">
        <f>HYPERLINK("https://twitter.com/MotorHour/status/724207817700302848","724207817700302848")</f>
        <v>724207817700302848</v>
      </c>
      <c r="F7180" s="11" t="s">
        <v>13460</v>
      </c>
      <c r="G7180" s="11">
        <v>7965</v>
      </c>
      <c r="H7180" s="11">
        <v>7099</v>
      </c>
      <c r="I7180" s="11">
        <v>1</v>
      </c>
      <c r="J7180" s="11">
        <v>0</v>
      </c>
      <c r="K7180" s="11" t="s">
        <v>21</v>
      </c>
      <c r="L7180" s="7">
        <v>41624.563159722224</v>
      </c>
      <c r="M7180" s="12" t="s">
        <v>129</v>
      </c>
      <c r="N7180" s="12" t="s">
        <v>13464</v>
      </c>
      <c r="O7180" s="10" t="str">
        <f>HYPERLINK("https://pbs.twimg.com/profile_images/552044021774700544/M3FC3arM_normal.jpeg","View")</f>
        <v>View</v>
      </c>
      <c r="P7180" s="11"/>
    </row>
    <row r="7181" spans="1:16" ht="12.75" x14ac:dyDescent="0.35">
      <c r="A7181" s="7">
        <v>42484.7340162037</v>
      </c>
      <c r="B7181" s="8" t="str">
        <f>HYPERLINK("https://twitter.com/mertbekci","@mertbekci")</f>
        <v>@mertbekci</v>
      </c>
      <c r="C7181" s="9" t="s">
        <v>15863</v>
      </c>
      <c r="D7181" s="9" t="s">
        <v>15978</v>
      </c>
      <c r="E7181" s="10" t="str">
        <f>HYPERLINK("https://twitter.com/mertbekci/status/724208010998874112","724208010998874112")</f>
        <v>724208010998874112</v>
      </c>
      <c r="F7181" s="11" t="s">
        <v>114</v>
      </c>
      <c r="G7181" s="11">
        <v>1518</v>
      </c>
      <c r="H7181" s="11">
        <v>278</v>
      </c>
      <c r="I7181" s="11">
        <v>0</v>
      </c>
      <c r="J7181" s="11">
        <v>0</v>
      </c>
      <c r="K7181" s="11" t="s">
        <v>21</v>
      </c>
      <c r="L7181" s="7">
        <v>42190.289930555555</v>
      </c>
      <c r="M7181" s="12"/>
      <c r="N7181" s="12" t="s">
        <v>15865</v>
      </c>
      <c r="O7181" s="10" t="str">
        <f>HYPERLINK("https://pbs.twimg.com/profile_images/698254457998544896/9GCc4Vj1_normal.jpg","View")</f>
        <v>View</v>
      </c>
      <c r="P7181" s="11"/>
    </row>
    <row r="7182" spans="1:16" ht="12.75" x14ac:dyDescent="0.35">
      <c r="A7182" s="7">
        <v>42484.734432870369</v>
      </c>
      <c r="B7182" s="8" t="str">
        <f>HYPERLINK("https://twitter.com/SocialEvents2","@SocialEvents2")</f>
        <v>@SocialEvents2</v>
      </c>
      <c r="C7182" s="9" t="s">
        <v>15979</v>
      </c>
      <c r="D7182" s="9" t="s">
        <v>15980</v>
      </c>
      <c r="E7182" s="10" t="str">
        <f>HYPERLINK("https://twitter.com/SocialEvents2/status/724208161595527168","724208161595527168")</f>
        <v>724208161595527168</v>
      </c>
      <c r="F7182" s="11" t="s">
        <v>20</v>
      </c>
      <c r="G7182" s="11">
        <v>151</v>
      </c>
      <c r="H7182" s="11">
        <v>861</v>
      </c>
      <c r="I7182" s="11">
        <v>0</v>
      </c>
      <c r="J7182" s="11">
        <v>0</v>
      </c>
      <c r="K7182" s="11" t="s">
        <v>21</v>
      </c>
      <c r="L7182" s="7">
        <v>40983.790543981479</v>
      </c>
      <c r="M7182" s="12" t="s">
        <v>15981</v>
      </c>
      <c r="N7182" s="12" t="s">
        <v>15982</v>
      </c>
      <c r="O7182" s="10" t="str">
        <f>HYPERLINK("https://pbs.twimg.com/profile_images/721700171567009792/VutCR1ci_normal.jpg","View")</f>
        <v>View</v>
      </c>
      <c r="P7182" s="11"/>
    </row>
    <row r="7183" spans="1:16" ht="12.75" x14ac:dyDescent="0.35">
      <c r="A7183" s="7">
        <v>42484.735590277778</v>
      </c>
      <c r="B7183" s="8" t="str">
        <f t="shared" ref="B7183:B7189" si="689">HYPERLINK("https://twitter.com/beetlebug1938","@beetlebug1938")</f>
        <v>@beetlebug1938</v>
      </c>
      <c r="C7183" s="9" t="s">
        <v>66</v>
      </c>
      <c r="D7183" s="9" t="s">
        <v>15983</v>
      </c>
      <c r="E7183" s="10" t="str">
        <f>HYPERLINK("https://twitter.com/beetlebug1938/status/724208581722157057","724208581722157057")</f>
        <v>724208581722157057</v>
      </c>
      <c r="F7183" s="11" t="s">
        <v>68</v>
      </c>
      <c r="G7183" s="11">
        <v>375</v>
      </c>
      <c r="H7183" s="11">
        <v>2228</v>
      </c>
      <c r="I7183" s="11">
        <v>0</v>
      </c>
      <c r="J7183" s="11">
        <v>0</v>
      </c>
      <c r="K7183" s="11" t="s">
        <v>21</v>
      </c>
      <c r="L7183" s="7">
        <v>42469.863865740743</v>
      </c>
      <c r="M7183" s="12" t="s">
        <v>69</v>
      </c>
      <c r="N7183" s="12"/>
      <c r="O7183" s="10" t="str">
        <f t="shared" ref="O7183:O7189" si="690">HYPERLINK("https://pbs.twimg.com/profile_images/718820712757215233/LXXndPTS_normal.jpg","View")</f>
        <v>View</v>
      </c>
      <c r="P7183" s="11"/>
    </row>
    <row r="7184" spans="1:16" ht="12.75" x14ac:dyDescent="0.35">
      <c r="A7184" s="7">
        <v>42484.735659722224</v>
      </c>
      <c r="B7184" s="8" t="str">
        <f t="shared" si="689"/>
        <v>@beetlebug1938</v>
      </c>
      <c r="C7184" s="9" t="s">
        <v>66</v>
      </c>
      <c r="D7184" s="9" t="s">
        <v>15984</v>
      </c>
      <c r="E7184" s="10" t="str">
        <f>HYPERLINK("https://twitter.com/beetlebug1938/status/724208605969453056","724208605969453056")</f>
        <v>724208605969453056</v>
      </c>
      <c r="F7184" s="11" t="s">
        <v>68</v>
      </c>
      <c r="G7184" s="11">
        <v>375</v>
      </c>
      <c r="H7184" s="11">
        <v>2228</v>
      </c>
      <c r="I7184" s="11">
        <v>0</v>
      </c>
      <c r="J7184" s="11">
        <v>0</v>
      </c>
      <c r="K7184" s="11" t="s">
        <v>21</v>
      </c>
      <c r="L7184" s="7">
        <v>42469.863865740743</v>
      </c>
      <c r="M7184" s="12" t="s">
        <v>69</v>
      </c>
      <c r="N7184" s="12"/>
      <c r="O7184" s="10" t="str">
        <f t="shared" si="690"/>
        <v>View</v>
      </c>
      <c r="P7184" s="11"/>
    </row>
    <row r="7185" spans="1:16" ht="12.75" x14ac:dyDescent="0.35">
      <c r="A7185" s="7">
        <v>42484.735694444447</v>
      </c>
      <c r="B7185" s="8" t="str">
        <f t="shared" si="689"/>
        <v>@beetlebug1938</v>
      </c>
      <c r="C7185" s="9" t="s">
        <v>66</v>
      </c>
      <c r="D7185" s="9" t="s">
        <v>15985</v>
      </c>
      <c r="E7185" s="10" t="str">
        <f>HYPERLINK("https://twitter.com/beetlebug1938/status/724208618799792128","724208618799792128")</f>
        <v>724208618799792128</v>
      </c>
      <c r="F7185" s="11" t="s">
        <v>68</v>
      </c>
      <c r="G7185" s="11">
        <v>375</v>
      </c>
      <c r="H7185" s="11">
        <v>2228</v>
      </c>
      <c r="I7185" s="11">
        <v>0</v>
      </c>
      <c r="J7185" s="11">
        <v>0</v>
      </c>
      <c r="K7185" s="11" t="s">
        <v>21</v>
      </c>
      <c r="L7185" s="7">
        <v>42469.863865740743</v>
      </c>
      <c r="M7185" s="12" t="s">
        <v>69</v>
      </c>
      <c r="N7185" s="12"/>
      <c r="O7185" s="10" t="str">
        <f t="shared" si="690"/>
        <v>View</v>
      </c>
      <c r="P7185" s="11"/>
    </row>
    <row r="7186" spans="1:16" ht="12.75" x14ac:dyDescent="0.35">
      <c r="A7186" s="7">
        <v>42484.73572916667</v>
      </c>
      <c r="B7186" s="8" t="str">
        <f t="shared" si="689"/>
        <v>@beetlebug1938</v>
      </c>
      <c r="C7186" s="9" t="s">
        <v>66</v>
      </c>
      <c r="D7186" s="9" t="s">
        <v>15986</v>
      </c>
      <c r="E7186" s="10" t="str">
        <f>HYPERLINK("https://twitter.com/beetlebug1938/status/724208630959079424","724208630959079424")</f>
        <v>724208630959079424</v>
      </c>
      <c r="F7186" s="11" t="s">
        <v>68</v>
      </c>
      <c r="G7186" s="11">
        <v>375</v>
      </c>
      <c r="H7186" s="11">
        <v>2228</v>
      </c>
      <c r="I7186" s="11">
        <v>0</v>
      </c>
      <c r="J7186" s="11">
        <v>0</v>
      </c>
      <c r="K7186" s="11" t="s">
        <v>21</v>
      </c>
      <c r="L7186" s="7">
        <v>42469.863865740743</v>
      </c>
      <c r="M7186" s="12" t="s">
        <v>69</v>
      </c>
      <c r="N7186" s="12"/>
      <c r="O7186" s="10" t="str">
        <f t="shared" si="690"/>
        <v>View</v>
      </c>
      <c r="P7186" s="11"/>
    </row>
    <row r="7187" spans="1:16" ht="12.75" x14ac:dyDescent="0.35">
      <c r="A7187" s="7">
        <v>42484.735752314809</v>
      </c>
      <c r="B7187" s="8" t="str">
        <f t="shared" si="689"/>
        <v>@beetlebug1938</v>
      </c>
      <c r="C7187" s="9" t="s">
        <v>66</v>
      </c>
      <c r="D7187" s="9" t="s">
        <v>15987</v>
      </c>
      <c r="E7187" s="10" t="str">
        <f>HYPERLINK("https://twitter.com/beetlebug1938/status/724208641188990977","724208641188990977")</f>
        <v>724208641188990977</v>
      </c>
      <c r="F7187" s="11" t="s">
        <v>68</v>
      </c>
      <c r="G7187" s="11">
        <v>375</v>
      </c>
      <c r="H7187" s="11">
        <v>2228</v>
      </c>
      <c r="I7187" s="11">
        <v>0</v>
      </c>
      <c r="J7187" s="11">
        <v>0</v>
      </c>
      <c r="K7187" s="11" t="s">
        <v>21</v>
      </c>
      <c r="L7187" s="7">
        <v>42469.863865740743</v>
      </c>
      <c r="M7187" s="12" t="s">
        <v>69</v>
      </c>
      <c r="N7187" s="12"/>
      <c r="O7187" s="10" t="str">
        <f t="shared" si="690"/>
        <v>View</v>
      </c>
      <c r="P7187" s="11"/>
    </row>
    <row r="7188" spans="1:16" ht="12.75" x14ac:dyDescent="0.35">
      <c r="A7188" s="7">
        <v>42484.735787037032</v>
      </c>
      <c r="B7188" s="8" t="str">
        <f t="shared" si="689"/>
        <v>@beetlebug1938</v>
      </c>
      <c r="C7188" s="9" t="s">
        <v>66</v>
      </c>
      <c r="D7188" s="9" t="s">
        <v>15988</v>
      </c>
      <c r="E7188" s="10" t="str">
        <f>HYPERLINK("https://twitter.com/beetlebug1938/status/724208651859288064","724208651859288064")</f>
        <v>724208651859288064</v>
      </c>
      <c r="F7188" s="11" t="s">
        <v>68</v>
      </c>
      <c r="G7188" s="11">
        <v>375</v>
      </c>
      <c r="H7188" s="11">
        <v>2228</v>
      </c>
      <c r="I7188" s="11">
        <v>0</v>
      </c>
      <c r="J7188" s="11">
        <v>0</v>
      </c>
      <c r="K7188" s="11" t="s">
        <v>21</v>
      </c>
      <c r="L7188" s="7">
        <v>42469.863865740743</v>
      </c>
      <c r="M7188" s="12" t="s">
        <v>69</v>
      </c>
      <c r="N7188" s="12"/>
      <c r="O7188" s="10" t="str">
        <f t="shared" si="690"/>
        <v>View</v>
      </c>
      <c r="P7188" s="11"/>
    </row>
    <row r="7189" spans="1:16" ht="12.75" x14ac:dyDescent="0.35">
      <c r="A7189" s="7">
        <v>42484.735810185186</v>
      </c>
      <c r="B7189" s="8" t="str">
        <f t="shared" si="689"/>
        <v>@beetlebug1938</v>
      </c>
      <c r="C7189" s="9" t="s">
        <v>66</v>
      </c>
      <c r="D7189" s="9" t="s">
        <v>15989</v>
      </c>
      <c r="E7189" s="10" t="str">
        <f>HYPERLINK("https://twitter.com/beetlebug1938/status/724208662139510784","724208662139510784")</f>
        <v>724208662139510784</v>
      </c>
      <c r="F7189" s="11" t="s">
        <v>68</v>
      </c>
      <c r="G7189" s="11">
        <v>375</v>
      </c>
      <c r="H7189" s="11">
        <v>2228</v>
      </c>
      <c r="I7189" s="11">
        <v>0</v>
      </c>
      <c r="J7189" s="11">
        <v>0</v>
      </c>
      <c r="K7189" s="11" t="s">
        <v>21</v>
      </c>
      <c r="L7189" s="7">
        <v>42469.863865740743</v>
      </c>
      <c r="M7189" s="12" t="s">
        <v>69</v>
      </c>
      <c r="N7189" s="12"/>
      <c r="O7189" s="10" t="str">
        <f t="shared" si="690"/>
        <v>View</v>
      </c>
      <c r="P7189" s="11"/>
    </row>
    <row r="7190" spans="1:16" ht="12.75" x14ac:dyDescent="0.35">
      <c r="A7190" s="7">
        <v>42484.736296296294</v>
      </c>
      <c r="B7190" s="8" t="str">
        <f>HYPERLINK("https://twitter.com/handelsblatt","@handelsblatt")</f>
        <v>@handelsblatt</v>
      </c>
      <c r="C7190" s="9" t="s">
        <v>973</v>
      </c>
      <c r="D7190" s="9" t="s">
        <v>15990</v>
      </c>
      <c r="E7190" s="10" t="str">
        <f>HYPERLINK("https://twitter.com/handelsblatt/status/724208836354162688","724208836354162688")</f>
        <v>724208836354162688</v>
      </c>
      <c r="F7190" s="11" t="s">
        <v>288</v>
      </c>
      <c r="G7190" s="11">
        <v>240181</v>
      </c>
      <c r="H7190" s="11">
        <v>535</v>
      </c>
      <c r="I7190" s="11">
        <v>1</v>
      </c>
      <c r="J7190" s="11">
        <v>0</v>
      </c>
      <c r="K7190" s="11" t="s">
        <v>21</v>
      </c>
      <c r="L7190" s="7">
        <v>39207.128182870372</v>
      </c>
      <c r="M7190" s="12" t="s">
        <v>975</v>
      </c>
      <c r="N7190" s="12" t="s">
        <v>976</v>
      </c>
      <c r="O7190" s="10" t="str">
        <f>HYPERLINK("https://pbs.twimg.com/profile_images/562563461171798017/AkHF4keI_normal.png","View")</f>
        <v>View</v>
      </c>
      <c r="P7190" s="11"/>
    </row>
    <row r="7191" spans="1:16" ht="12.75" x14ac:dyDescent="0.35">
      <c r="A7191" s="7">
        <v>42484.736307870371</v>
      </c>
      <c r="B7191" s="8" t="str">
        <f>HYPERLINK("https://twitter.com/DenbyCampervans","@DenbyCampervans")</f>
        <v>@DenbyCampervans</v>
      </c>
      <c r="C7191" s="9" t="s">
        <v>10870</v>
      </c>
      <c r="D7191" s="9" t="s">
        <v>15991</v>
      </c>
      <c r="E7191" s="10" t="str">
        <f>HYPERLINK("https://twitter.com/DenbyCampervans/status/724208841404108800","724208841404108800")</f>
        <v>724208841404108800</v>
      </c>
      <c r="F7191" s="11" t="s">
        <v>152</v>
      </c>
      <c r="G7191" s="11">
        <v>636</v>
      </c>
      <c r="H7191" s="11">
        <v>855</v>
      </c>
      <c r="I7191" s="11">
        <v>0</v>
      </c>
      <c r="J7191" s="11">
        <v>0</v>
      </c>
      <c r="K7191" s="11" t="s">
        <v>21</v>
      </c>
      <c r="L7191" s="7">
        <v>41836.581087962964</v>
      </c>
      <c r="M7191" s="12"/>
      <c r="N7191" s="12"/>
      <c r="O7191" s="10" t="str">
        <f>HYPERLINK("https://pbs.twimg.com/profile_images/489353066819248128/cxv60hiW_normal.png","View")</f>
        <v>View</v>
      </c>
      <c r="P7191" s="11"/>
    </row>
    <row r="7192" spans="1:16" ht="12.75" x14ac:dyDescent="0.35">
      <c r="A7192" s="7">
        <v>42484.737037037034</v>
      </c>
      <c r="B7192" s="8" t="str">
        <f>HYPERLINK("https://twitter.com/dubbusses","@dubbusses")</f>
        <v>@dubbusses</v>
      </c>
      <c r="C7192" s="9" t="s">
        <v>14338</v>
      </c>
      <c r="D7192" s="9" t="s">
        <v>15992</v>
      </c>
      <c r="E7192" s="10" t="str">
        <f>HYPERLINK("https://twitter.com/dubbusses/status/724209104403742721","724209104403742721")</f>
        <v>724209104403742721</v>
      </c>
      <c r="F7192" s="11" t="s">
        <v>68</v>
      </c>
      <c r="G7192" s="11">
        <v>429</v>
      </c>
      <c r="H7192" s="11">
        <v>2369</v>
      </c>
      <c r="I7192" s="11">
        <v>0</v>
      </c>
      <c r="J7192" s="11">
        <v>0</v>
      </c>
      <c r="K7192" s="11" t="s">
        <v>21</v>
      </c>
      <c r="L7192" s="7">
        <v>42469.905393518522</v>
      </c>
      <c r="M7192" s="12" t="s">
        <v>14340</v>
      </c>
      <c r="N7192" s="12"/>
      <c r="O7192" s="10" t="str">
        <f>HYPERLINK("https://pbs.twimg.com/profile_images/718835727027580928/1ssyQ67y_normal.jpg","View")</f>
        <v>View</v>
      </c>
      <c r="P7192" s="11"/>
    </row>
    <row r="7193" spans="1:16" ht="12.75" x14ac:dyDescent="0.35">
      <c r="A7193" s="7">
        <v>42484.737627314811</v>
      </c>
      <c r="B7193" s="8" t="str">
        <f t="shared" ref="B7193:B7194" si="691">HYPERLINK("https://twitter.com/VWCamperSales","@VWCamperSales")</f>
        <v>@VWCamperSales</v>
      </c>
      <c r="C7193" s="9" t="s">
        <v>216</v>
      </c>
      <c r="D7193" s="9" t="s">
        <v>15993</v>
      </c>
      <c r="E7193" s="10" t="str">
        <f>HYPERLINK("https://twitter.com/VWCamperSales/status/724209318099214338","724209318099214338")</f>
        <v>724209318099214338</v>
      </c>
      <c r="F7193" s="10" t="s">
        <v>124</v>
      </c>
      <c r="G7193" s="11">
        <v>624</v>
      </c>
      <c r="H7193" s="11">
        <v>580</v>
      </c>
      <c r="I7193" s="11">
        <v>0</v>
      </c>
      <c r="J7193" s="11">
        <v>0</v>
      </c>
      <c r="K7193" s="11" t="s">
        <v>21</v>
      </c>
      <c r="L7193" s="7">
        <v>42215.98809027778</v>
      </c>
      <c r="M7193" s="12" t="s">
        <v>129</v>
      </c>
      <c r="N7193" s="12" t="s">
        <v>218</v>
      </c>
      <c r="O7193" s="10" t="str">
        <f t="shared" ref="O7193:O7194" si="692">HYPERLINK("https://pbs.twimg.com/profile_images/627949001179037696/skEBkS05_normal.jpg","View")</f>
        <v>View</v>
      </c>
      <c r="P7193" s="11"/>
    </row>
    <row r="7194" spans="1:16" ht="12.75" x14ac:dyDescent="0.35">
      <c r="A7194" s="7">
        <v>42484.737650462965</v>
      </c>
      <c r="B7194" s="8" t="str">
        <f t="shared" si="691"/>
        <v>@VWCamperSales</v>
      </c>
      <c r="C7194" s="9" t="s">
        <v>216</v>
      </c>
      <c r="D7194" s="9" t="s">
        <v>15994</v>
      </c>
      <c r="E7194" s="10" t="str">
        <f>HYPERLINK("https://twitter.com/VWCamperSales/status/724209327184080896","724209327184080896")</f>
        <v>724209327184080896</v>
      </c>
      <c r="F7194" s="10" t="s">
        <v>124</v>
      </c>
      <c r="G7194" s="11">
        <v>624</v>
      </c>
      <c r="H7194" s="11">
        <v>580</v>
      </c>
      <c r="I7194" s="11">
        <v>0</v>
      </c>
      <c r="J7194" s="11">
        <v>0</v>
      </c>
      <c r="K7194" s="11" t="s">
        <v>21</v>
      </c>
      <c r="L7194" s="7">
        <v>42215.98809027778</v>
      </c>
      <c r="M7194" s="12" t="s">
        <v>129</v>
      </c>
      <c r="N7194" s="12" t="s">
        <v>218</v>
      </c>
      <c r="O7194" s="10" t="str">
        <f t="shared" si="692"/>
        <v>View</v>
      </c>
      <c r="P7194" s="11"/>
    </row>
    <row r="7195" spans="1:16" ht="12.75" x14ac:dyDescent="0.35">
      <c r="A7195" s="7">
        <v>42484.737893518519</v>
      </c>
      <c r="B7195" s="8" t="str">
        <f>HYPERLINK("https://twitter.com/APursanidu","@APursanidu")</f>
        <v>@APursanidu</v>
      </c>
      <c r="C7195" s="9" t="s">
        <v>15995</v>
      </c>
      <c r="D7195" s="9" t="s">
        <v>15996</v>
      </c>
      <c r="E7195" s="10" t="str">
        <f>HYPERLINK("https://twitter.com/APursanidu/status/724209415482707968","724209415482707968")</f>
        <v>724209415482707968</v>
      </c>
      <c r="F7195" s="11" t="s">
        <v>43</v>
      </c>
      <c r="G7195" s="11">
        <v>79</v>
      </c>
      <c r="H7195" s="11">
        <v>84</v>
      </c>
      <c r="I7195" s="11">
        <v>1</v>
      </c>
      <c r="J7195" s="11">
        <v>0</v>
      </c>
      <c r="K7195" s="11" t="s">
        <v>21</v>
      </c>
      <c r="L7195" s="7">
        <v>42227.980486111112</v>
      </c>
      <c r="M7195" s="12" t="s">
        <v>15997</v>
      </c>
      <c r="N7195" s="12"/>
      <c r="O7195" s="10" t="str">
        <f>HYPERLINK("https://pbs.twimg.com/profile_images/699632550373945344/CUA_buIN_normal.jpg","View")</f>
        <v>View</v>
      </c>
      <c r="P7195" s="11"/>
    </row>
    <row r="7196" spans="1:16" ht="12.75" x14ac:dyDescent="0.35">
      <c r="A7196" s="7">
        <v>42484.740972222222</v>
      </c>
      <c r="B7196" s="8" t="str">
        <f>HYPERLINK("https://twitter.com/GoodGarageGroup","@GoodGarageGroup")</f>
        <v>@GoodGarageGroup</v>
      </c>
      <c r="C7196" s="9" t="s">
        <v>15998</v>
      </c>
      <c r="D7196" s="9" t="s">
        <v>15999</v>
      </c>
      <c r="E7196" s="10" t="str">
        <f>HYPERLINK("https://twitter.com/GoodGarageGroup/status/724210530941079552","724210530941079552")</f>
        <v>724210530941079552</v>
      </c>
      <c r="F7196" s="11" t="s">
        <v>13695</v>
      </c>
      <c r="G7196" s="11">
        <v>511</v>
      </c>
      <c r="H7196" s="11">
        <v>1590</v>
      </c>
      <c r="I7196" s="11">
        <v>0</v>
      </c>
      <c r="J7196" s="11">
        <v>0</v>
      </c>
      <c r="K7196" s="11" t="s">
        <v>21</v>
      </c>
      <c r="L7196" s="7">
        <v>42409.710509259261</v>
      </c>
      <c r="M7196" s="12"/>
      <c r="N7196" s="12" t="s">
        <v>16000</v>
      </c>
      <c r="O7196" s="10" t="str">
        <f>HYPERLINK("https://pbs.twimg.com/profile_images/697021927953719296/tTyDaZfQ_normal.png","View")</f>
        <v>View</v>
      </c>
      <c r="P7196" s="11"/>
    </row>
    <row r="7197" spans="1:16" ht="12.75" x14ac:dyDescent="0.35">
      <c r="A7197" s="7">
        <v>42484.740972222222</v>
      </c>
      <c r="B7197" s="8" t="str">
        <f>HYPERLINK("https://twitter.com/dapper013","@dapper013")</f>
        <v>@dapper013</v>
      </c>
      <c r="C7197" s="9" t="s">
        <v>1567</v>
      </c>
      <c r="D7197" s="9" t="s">
        <v>16001</v>
      </c>
      <c r="E7197" s="10" t="str">
        <f>HYPERLINK("https://twitter.com/dapper013/status/724210533172436992","724210533172436992")</f>
        <v>724210533172436992</v>
      </c>
      <c r="F7197" s="11" t="s">
        <v>48</v>
      </c>
      <c r="G7197" s="11">
        <v>291</v>
      </c>
      <c r="H7197" s="11">
        <v>304</v>
      </c>
      <c r="I7197" s="11">
        <v>0</v>
      </c>
      <c r="J7197" s="11">
        <v>0</v>
      </c>
      <c r="K7197" s="11" t="s">
        <v>21</v>
      </c>
      <c r="L7197" s="7">
        <v>40871.767500000002</v>
      </c>
      <c r="M7197" s="12" t="s">
        <v>1569</v>
      </c>
      <c r="N7197" s="12" t="s">
        <v>1570</v>
      </c>
      <c r="O7197" s="10" t="str">
        <f>HYPERLINK("https://pbs.twimg.com/profile_images/704424786777280513/YQVkJF57_normal.jpg","View")</f>
        <v>View</v>
      </c>
      <c r="P7197" s="11"/>
    </row>
    <row r="7198" spans="1:16" ht="12.75" x14ac:dyDescent="0.35">
      <c r="A7198" s="7">
        <v>42484.74119212963</v>
      </c>
      <c r="B7198" s="8" t="str">
        <f>HYPERLINK("https://twitter.com/FuscaWorld","@FuscaWorld")</f>
        <v>@FuscaWorld</v>
      </c>
      <c r="C7198" s="9" t="s">
        <v>74</v>
      </c>
      <c r="D7198" s="9" t="s">
        <v>16002</v>
      </c>
      <c r="E7198" s="10" t="str">
        <f>HYPERLINK("https://twitter.com/FuscaWorld/status/724210612654489600","724210612654489600")</f>
        <v>724210612654489600</v>
      </c>
      <c r="F7198" s="11" t="s">
        <v>76</v>
      </c>
      <c r="G7198" s="11">
        <v>50</v>
      </c>
      <c r="H7198" s="11">
        <v>1</v>
      </c>
      <c r="I7198" s="11">
        <v>1</v>
      </c>
      <c r="J7198" s="11">
        <v>0</v>
      </c>
      <c r="K7198" s="11" t="s">
        <v>21</v>
      </c>
      <c r="L7198" s="7">
        <v>42433.880914351852</v>
      </c>
      <c r="M7198" s="12"/>
      <c r="N7198" s="12" t="s">
        <v>77</v>
      </c>
      <c r="O7198" s="10" t="str">
        <f>HYPERLINK("https://pbs.twimg.com/profile_images/705780107844067328/e7O4UBNb_normal.jpg","View")</f>
        <v>View</v>
      </c>
      <c r="P7198" s="11"/>
    </row>
    <row r="7199" spans="1:16" ht="12.75" x14ac:dyDescent="0.35">
      <c r="A7199" s="7">
        <v>42484.741331018522</v>
      </c>
      <c r="B7199" s="8" t="str">
        <f>HYPERLINK("https://twitter.com/B13Rugby","@B13Rugby")</f>
        <v>@B13Rugby</v>
      </c>
      <c r="C7199" s="9" t="s">
        <v>16003</v>
      </c>
      <c r="D7199" s="9" t="s">
        <v>15977</v>
      </c>
      <c r="E7199" s="10" t="str">
        <f>HYPERLINK("https://twitter.com/B13Rugby/status/724210661073494016","724210661073494016")</f>
        <v>724210661073494016</v>
      </c>
      <c r="F7199" s="11" t="s">
        <v>288</v>
      </c>
      <c r="G7199" s="11">
        <v>1317</v>
      </c>
      <c r="H7199" s="11">
        <v>951</v>
      </c>
      <c r="I7199" s="11">
        <v>4</v>
      </c>
      <c r="J7199" s="11">
        <v>0</v>
      </c>
      <c r="K7199" s="11" t="s">
        <v>21</v>
      </c>
      <c r="L7199" s="7">
        <v>41421.767881944441</v>
      </c>
      <c r="M7199" s="12" t="s">
        <v>5322</v>
      </c>
      <c r="N7199" s="12" t="s">
        <v>16004</v>
      </c>
      <c r="O7199" s="10" t="str">
        <f>HYPERLINK("https://pbs.twimg.com/profile_images/378800000392900576/498f2cc9b5c02349ba506e52930454cf_normal.jpeg","View")</f>
        <v>View</v>
      </c>
      <c r="P7199" s="11"/>
    </row>
    <row r="7200" spans="1:16" ht="12.75" x14ac:dyDescent="0.35">
      <c r="A7200" s="7">
        <v>42484.741759259261</v>
      </c>
      <c r="B7200" s="8" t="str">
        <f>HYPERLINK("https://twitter.com/VWBeetleSales","@VWBeetleSales")</f>
        <v>@VWBeetleSales</v>
      </c>
      <c r="C7200" s="9" t="s">
        <v>127</v>
      </c>
      <c r="D7200" s="9" t="s">
        <v>16005</v>
      </c>
      <c r="E7200" s="10" t="str">
        <f>HYPERLINK("https://twitter.com/VWBeetleSales/status/724210818347212802","724210818347212802")</f>
        <v>724210818347212802</v>
      </c>
      <c r="F7200" s="10" t="s">
        <v>124</v>
      </c>
      <c r="G7200" s="11">
        <v>38</v>
      </c>
      <c r="H7200" s="11">
        <v>32</v>
      </c>
      <c r="I7200" s="11">
        <v>0</v>
      </c>
      <c r="J7200" s="11">
        <v>0</v>
      </c>
      <c r="K7200" s="11" t="s">
        <v>21</v>
      </c>
      <c r="L7200" s="7">
        <v>42427.019756944443</v>
      </c>
      <c r="M7200" s="12" t="s">
        <v>129</v>
      </c>
      <c r="N7200" s="12" t="s">
        <v>130</v>
      </c>
      <c r="O7200" s="10" t="str">
        <f>HYPERLINK("https://pbs.twimg.com/profile_images/703294545195307008/qeCvrX86_normal.jpg","View")</f>
        <v>View</v>
      </c>
      <c r="P7200" s="11"/>
    </row>
    <row r="7201" spans="1:16" ht="12.75" x14ac:dyDescent="0.35">
      <c r="A7201" s="7">
        <v>42484.742465277777</v>
      </c>
      <c r="B7201" s="8" t="str">
        <f>HYPERLINK("https://twitter.com/MJJENNINGS1987","@MJJENNINGS1987")</f>
        <v>@MJJENNINGS1987</v>
      </c>
      <c r="C7201" s="9" t="s">
        <v>16006</v>
      </c>
      <c r="D7201" s="9" t="s">
        <v>16007</v>
      </c>
      <c r="E7201" s="10" t="str">
        <f>HYPERLINK("https://twitter.com/MJJENNINGS1987/status/724211073189056513","724211073189056513")</f>
        <v>724211073189056513</v>
      </c>
      <c r="F7201" s="11" t="s">
        <v>114</v>
      </c>
      <c r="G7201" s="11">
        <v>134</v>
      </c>
      <c r="H7201" s="11">
        <v>217</v>
      </c>
      <c r="I7201" s="11">
        <v>0</v>
      </c>
      <c r="J7201" s="11">
        <v>0</v>
      </c>
      <c r="K7201" s="11" t="s">
        <v>21</v>
      </c>
      <c r="L7201" s="7">
        <v>40540.139050925922</v>
      </c>
      <c r="M7201" s="12" t="s">
        <v>10554</v>
      </c>
      <c r="N7201" s="12" t="s">
        <v>16008</v>
      </c>
      <c r="O7201" s="10" t="str">
        <f>HYPERLINK("https://pbs.twimg.com/profile_images/693572579727130624/6g1279ui_normal.jpg","View")</f>
        <v>View</v>
      </c>
      <c r="P7201" s="11"/>
    </row>
    <row r="7202" spans="1:16" ht="12.75" x14ac:dyDescent="0.35">
      <c r="A7202" s="7">
        <v>42484.742835648147</v>
      </c>
      <c r="B7202" s="8" t="str">
        <f>HYPERLINK("https://twitter.com/plenum_vf","@plenum_vf")</f>
        <v>@plenum_vf</v>
      </c>
      <c r="C7202" s="9" t="s">
        <v>16009</v>
      </c>
      <c r="D7202" s="9" t="s">
        <v>16010</v>
      </c>
      <c r="E7202" s="10" t="str">
        <f>HYPERLINK("https://twitter.com/plenum_vf/status/724211204709867520","724211204709867520")</f>
        <v>724211204709867520</v>
      </c>
      <c r="F7202" s="11" t="s">
        <v>43</v>
      </c>
      <c r="G7202" s="11">
        <v>28</v>
      </c>
      <c r="H7202" s="11">
        <v>124</v>
      </c>
      <c r="I7202" s="11">
        <v>0</v>
      </c>
      <c r="J7202" s="11">
        <v>0</v>
      </c>
      <c r="K7202" s="11" t="s">
        <v>21</v>
      </c>
      <c r="L7202" s="7">
        <v>41702.576435185183</v>
      </c>
      <c r="M7202" s="12"/>
      <c r="N7202" s="12"/>
      <c r="O7202" s="10" t="str">
        <f>HYPERLINK("https://pbs.twimg.com/profile_images/441878356892475392/gyegJ20H_normal.png","View")</f>
        <v>View</v>
      </c>
      <c r="P7202" s="11"/>
    </row>
    <row r="7203" spans="1:16" ht="12.75" x14ac:dyDescent="0.35">
      <c r="A7203" s="7">
        <v>42484.743634259255</v>
      </c>
      <c r="B7203" s="8" t="str">
        <f>HYPERLINK("https://twitter.com/Andy4x4Richards","@Andy4x4Richards")</f>
        <v>@Andy4x4Richards</v>
      </c>
      <c r="C7203" s="9" t="s">
        <v>16011</v>
      </c>
      <c r="D7203" s="9" t="s">
        <v>15977</v>
      </c>
      <c r="E7203" s="10" t="str">
        <f>HYPERLINK("https://twitter.com/Andy4x4Richards/status/724211497879113728","724211497879113728")</f>
        <v>724211497879113728</v>
      </c>
      <c r="F7203" s="11" t="s">
        <v>288</v>
      </c>
      <c r="G7203" s="11">
        <v>1996</v>
      </c>
      <c r="H7203" s="11">
        <v>1297</v>
      </c>
      <c r="I7203" s="11">
        <v>4</v>
      </c>
      <c r="J7203" s="11">
        <v>0</v>
      </c>
      <c r="K7203" s="11" t="s">
        <v>21</v>
      </c>
      <c r="L7203" s="7">
        <v>39837.90461805556</v>
      </c>
      <c r="M7203" s="12" t="s">
        <v>16012</v>
      </c>
      <c r="N7203" s="12" t="s">
        <v>16013</v>
      </c>
      <c r="O7203" s="10" t="str">
        <f>HYPERLINK("https://pbs.twimg.com/profile_images/378800000788533559/d7b863b3897162fa5ec8d3216d541b0d_normal.jpeg","View")</f>
        <v>View</v>
      </c>
      <c r="P7203" s="11"/>
    </row>
    <row r="7204" spans="1:16" ht="12.75" x14ac:dyDescent="0.35">
      <c r="A7204" s="7">
        <v>42484.743657407409</v>
      </c>
      <c r="B7204" s="8" t="str">
        <f>HYPERLINK("https://twitter.com/naprisi","@naprisi")</f>
        <v>@naprisi</v>
      </c>
      <c r="C7204" s="9" t="s">
        <v>16014</v>
      </c>
      <c r="D7204" s="9" t="s">
        <v>16015</v>
      </c>
      <c r="E7204" s="10" t="str">
        <f>HYPERLINK("https://twitter.com/naprisi/status/724211505743319044","724211505743319044")</f>
        <v>724211505743319044</v>
      </c>
      <c r="F7204" s="11" t="s">
        <v>114</v>
      </c>
      <c r="G7204" s="11">
        <v>59</v>
      </c>
      <c r="H7204" s="11">
        <v>153</v>
      </c>
      <c r="I7204" s="11">
        <v>0</v>
      </c>
      <c r="J7204" s="11">
        <v>0</v>
      </c>
      <c r="K7204" s="11" t="s">
        <v>21</v>
      </c>
      <c r="L7204" s="7">
        <v>40885.747569444444</v>
      </c>
      <c r="M7204" s="12" t="s">
        <v>2682</v>
      </c>
      <c r="N7204" s="12" t="s">
        <v>16016</v>
      </c>
      <c r="O7204" s="10" t="str">
        <f>HYPERLINK("https://pbs.twimg.com/profile_images/605109420893347841/kYw1rfwB_normal.jpg","View")</f>
        <v>View</v>
      </c>
      <c r="P7204" s="10" t="str">
        <f>HYPERLINK("http://ctrlq.org/maps/address/#54.33333333,10.13333333","Map")</f>
        <v>Map</v>
      </c>
    </row>
    <row r="7205" spans="1:16" ht="12.75" x14ac:dyDescent="0.35">
      <c r="A7205" s="7">
        <v>42484.744039351848</v>
      </c>
      <c r="B7205" s="8" t="str">
        <f>HYPERLINK("https://twitter.com/TheNestJR","@TheNestJR")</f>
        <v>@TheNestJR</v>
      </c>
      <c r="C7205" s="9" t="s">
        <v>16017</v>
      </c>
      <c r="D7205" s="9" t="s">
        <v>15977</v>
      </c>
      <c r="E7205" s="10" t="str">
        <f>HYPERLINK("https://twitter.com/TheNestJR/status/724211641114603520","724211641114603520")</f>
        <v>724211641114603520</v>
      </c>
      <c r="F7205" s="11" t="s">
        <v>288</v>
      </c>
      <c r="G7205" s="11">
        <v>965</v>
      </c>
      <c r="H7205" s="11">
        <v>800</v>
      </c>
      <c r="I7205" s="11">
        <v>4</v>
      </c>
      <c r="J7205" s="11">
        <v>0</v>
      </c>
      <c r="K7205" s="11" t="s">
        <v>21</v>
      </c>
      <c r="L7205" s="7">
        <v>41099.658993055556</v>
      </c>
      <c r="M7205" s="12" t="s">
        <v>16012</v>
      </c>
      <c r="N7205" s="12" t="s">
        <v>16018</v>
      </c>
      <c r="O7205" s="10" t="str">
        <f>HYPERLINK("https://pbs.twimg.com/profile_images/2381647126/welcomearea-55-w_ekm_208x230_ekm__normal.jpg","View")</f>
        <v>View</v>
      </c>
      <c r="P7205" s="11"/>
    </row>
    <row r="7206" spans="1:16" ht="12.75" x14ac:dyDescent="0.35">
      <c r="A7206" s="7">
        <v>42484.744652777779</v>
      </c>
      <c r="B7206" s="8" t="str">
        <f>HYPERLINK("https://twitter.com/CDUBiblis","@CDUBiblis")</f>
        <v>@CDUBiblis</v>
      </c>
      <c r="C7206" s="9" t="s">
        <v>16019</v>
      </c>
      <c r="D7206" s="9" t="s">
        <v>16020</v>
      </c>
      <c r="E7206" s="10" t="str">
        <f>HYPERLINK("https://twitter.com/CDUBiblis/status/724211863811178496","724211863811178496")</f>
        <v>724211863811178496</v>
      </c>
      <c r="F7206" s="11" t="s">
        <v>43</v>
      </c>
      <c r="G7206" s="11">
        <v>318</v>
      </c>
      <c r="H7206" s="11">
        <v>445</v>
      </c>
      <c r="I7206" s="11">
        <v>0</v>
      </c>
      <c r="J7206" s="11">
        <v>0</v>
      </c>
      <c r="K7206" s="11" t="s">
        <v>21</v>
      </c>
      <c r="L7206" s="7">
        <v>40351.521747685183</v>
      </c>
      <c r="M7206" s="12" t="s">
        <v>16021</v>
      </c>
      <c r="N7206" s="12" t="s">
        <v>16022</v>
      </c>
      <c r="O7206" s="10" t="str">
        <f>HYPERLINK("https://abs.twimg.com/sticky/default_profile_images/default_profile_2_normal.png","View")</f>
        <v>View</v>
      </c>
      <c r="P7206" s="11"/>
    </row>
    <row r="7207" spans="1:16" ht="12.75" x14ac:dyDescent="0.35">
      <c r="A7207" s="7">
        <v>42484.744953703703</v>
      </c>
      <c r="B7207" s="8" t="str">
        <f>HYPERLINK("https://twitter.com/Scirocco_Tuning","@Scirocco_Tuning")</f>
        <v>@Scirocco_Tuning</v>
      </c>
      <c r="C7207" s="9" t="s">
        <v>51</v>
      </c>
      <c r="D7207" s="9" t="s">
        <v>16023</v>
      </c>
      <c r="E7207" s="10" t="str">
        <f>HYPERLINK("https://twitter.com/Scirocco_Tuning/status/724211975056723968","724211975056723968")</f>
        <v>724211975056723968</v>
      </c>
      <c r="F7207" s="11" t="s">
        <v>53</v>
      </c>
      <c r="G7207" s="11">
        <v>70</v>
      </c>
      <c r="H7207" s="11">
        <v>215</v>
      </c>
      <c r="I7207" s="11">
        <v>0</v>
      </c>
      <c r="J7207" s="11">
        <v>0</v>
      </c>
      <c r="K7207" s="11" t="s">
        <v>21</v>
      </c>
      <c r="L7207" s="7">
        <v>40844.564722222218</v>
      </c>
      <c r="M7207" s="12"/>
      <c r="N7207" s="12"/>
      <c r="O7207" s="10" t="str">
        <f>HYPERLINK("https://pbs.twimg.com/profile_images/1610421423/Image2_normal.jpg","View")</f>
        <v>View</v>
      </c>
      <c r="P7207" s="11"/>
    </row>
    <row r="7208" spans="1:16" ht="12.75" x14ac:dyDescent="0.35">
      <c r="A7208" s="7">
        <v>42484.745034722218</v>
      </c>
      <c r="B7208" s="8" t="str">
        <f>HYPERLINK("https://twitter.com/farouktackie","@farouktackie")</f>
        <v>@farouktackie</v>
      </c>
      <c r="C7208" s="9" t="s">
        <v>16024</v>
      </c>
      <c r="D7208" s="9" t="s">
        <v>13150</v>
      </c>
      <c r="E7208" s="10" t="str">
        <f>HYPERLINK("https://twitter.com/farouktackie/status/724212005389918208","724212005389918208")</f>
        <v>724212005389918208</v>
      </c>
      <c r="F7208" s="11" t="s">
        <v>48</v>
      </c>
      <c r="G7208" s="11">
        <v>739</v>
      </c>
      <c r="H7208" s="11">
        <v>567</v>
      </c>
      <c r="I7208" s="11">
        <v>35</v>
      </c>
      <c r="J7208" s="11">
        <v>0</v>
      </c>
      <c r="K7208" s="11" t="s">
        <v>21</v>
      </c>
      <c r="L7208" s="7">
        <v>40056.686192129629</v>
      </c>
      <c r="M7208" s="12"/>
      <c r="N7208" s="12" t="s">
        <v>16025</v>
      </c>
      <c r="O7208" s="10" t="str">
        <f>HYPERLINK("https://pbs.twimg.com/profile_images/676389713952010240/ei75kZkW_normal.jpg","View")</f>
        <v>View</v>
      </c>
      <c r="P7208" s="11"/>
    </row>
    <row r="7209" spans="1:16" ht="12.75" x14ac:dyDescent="0.35">
      <c r="A7209" s="7">
        <v>42484.745057870372</v>
      </c>
      <c r="B7209" s="8" t="str">
        <f>HYPERLINK("https://twitter.com/Konneh_21","@Konneh_21")</f>
        <v>@Konneh_21</v>
      </c>
      <c r="C7209" s="9" t="s">
        <v>16026</v>
      </c>
      <c r="D7209" s="9" t="s">
        <v>16027</v>
      </c>
      <c r="E7209" s="10" t="str">
        <f>HYPERLINK("https://twitter.com/Konneh_21/status/724212012759277571","724212012759277571")</f>
        <v>724212012759277571</v>
      </c>
      <c r="F7209" s="11" t="s">
        <v>43</v>
      </c>
      <c r="G7209" s="11">
        <v>421</v>
      </c>
      <c r="H7209" s="11">
        <v>92</v>
      </c>
      <c r="I7209" s="11">
        <v>0</v>
      </c>
      <c r="J7209" s="11">
        <v>0</v>
      </c>
      <c r="K7209" s="11" t="s">
        <v>21</v>
      </c>
      <c r="L7209" s="7">
        <v>40320.613368055558</v>
      </c>
      <c r="M7209" s="12" t="s">
        <v>16028</v>
      </c>
      <c r="N7209" s="12" t="s">
        <v>16029</v>
      </c>
      <c r="O7209" s="10" t="str">
        <f>HYPERLINK("https://pbs.twimg.com/profile_images/721733413024186368/cw2Gz1sV_normal.jpg","View")</f>
        <v>View</v>
      </c>
      <c r="P7209" s="11"/>
    </row>
    <row r="7210" spans="1:16" ht="12.75" x14ac:dyDescent="0.35">
      <c r="A7210" s="7">
        <v>42484.745891203704</v>
      </c>
      <c r="B7210" s="8" t="str">
        <f>HYPERLINK("https://twitter.com/St0psch1ld","@St0psch1ld")</f>
        <v>@St0psch1ld</v>
      </c>
      <c r="C7210" s="9" t="s">
        <v>14136</v>
      </c>
      <c r="D7210" s="9" t="s">
        <v>16030</v>
      </c>
      <c r="E7210" s="10" t="str">
        <f>HYPERLINK("https://twitter.com/St0psch1ld/status/724212312140292096","724212312140292096")</f>
        <v>724212312140292096</v>
      </c>
      <c r="F7210" s="11" t="s">
        <v>68</v>
      </c>
      <c r="G7210" s="11">
        <v>48</v>
      </c>
      <c r="H7210" s="11">
        <v>33</v>
      </c>
      <c r="I7210" s="11">
        <v>0</v>
      </c>
      <c r="J7210" s="11">
        <v>0</v>
      </c>
      <c r="K7210" s="11" t="s">
        <v>21</v>
      </c>
      <c r="L7210" s="7">
        <v>42397.604872685188</v>
      </c>
      <c r="M7210" s="12"/>
      <c r="N7210" s="12"/>
      <c r="O7210" s="10" t="str">
        <f>HYPERLINK("https://pbs.twimg.com/profile_images/695663013412630535/XgD9AbrJ_normal.jpg","View")</f>
        <v>View</v>
      </c>
      <c r="P7210" s="11"/>
    </row>
    <row r="7211" spans="1:16" ht="12.75" x14ac:dyDescent="0.35">
      <c r="A7211" s="7">
        <v>42484.746655092589</v>
      </c>
      <c r="B7211" s="8" t="str">
        <f>HYPERLINK("https://twitter.com/VWCamperSales","@VWCamperSales")</f>
        <v>@VWCamperSales</v>
      </c>
      <c r="C7211" s="9" t="s">
        <v>216</v>
      </c>
      <c r="D7211" s="9" t="s">
        <v>16031</v>
      </c>
      <c r="E7211" s="10" t="str">
        <f>HYPERLINK("https://twitter.com/VWCamperSales/status/724212589496918017","724212589496918017")</f>
        <v>724212589496918017</v>
      </c>
      <c r="F7211" s="10" t="s">
        <v>124</v>
      </c>
      <c r="G7211" s="11">
        <v>624</v>
      </c>
      <c r="H7211" s="11">
        <v>580</v>
      </c>
      <c r="I7211" s="11">
        <v>0</v>
      </c>
      <c r="J7211" s="11">
        <v>0</v>
      </c>
      <c r="K7211" s="11" t="s">
        <v>21</v>
      </c>
      <c r="L7211" s="7">
        <v>42215.98809027778</v>
      </c>
      <c r="M7211" s="12" t="s">
        <v>129</v>
      </c>
      <c r="N7211" s="12" t="s">
        <v>218</v>
      </c>
      <c r="O7211" s="10" t="str">
        <f>HYPERLINK("https://pbs.twimg.com/profile_images/627949001179037696/skEBkS05_normal.jpg","View")</f>
        <v>View</v>
      </c>
      <c r="P7211" s="11"/>
    </row>
    <row r="7212" spans="1:16" ht="12.75" x14ac:dyDescent="0.35">
      <c r="A7212" s="7">
        <v>42484.747476851851</v>
      </c>
      <c r="B7212" s="8" t="str">
        <f>HYPERLINK("https://twitter.com/hddoger","@hddoger")</f>
        <v>@hddoger</v>
      </c>
      <c r="C7212" s="9" t="s">
        <v>7594</v>
      </c>
      <c r="D7212" s="9" t="s">
        <v>16032</v>
      </c>
      <c r="E7212" s="10" t="str">
        <f>HYPERLINK("https://twitter.com/hddoger/status/724212887040847873","724212887040847873")</f>
        <v>724212887040847873</v>
      </c>
      <c r="F7212" s="11" t="s">
        <v>91</v>
      </c>
      <c r="G7212" s="11">
        <v>614</v>
      </c>
      <c r="H7212" s="11">
        <v>511</v>
      </c>
      <c r="I7212" s="11">
        <v>0</v>
      </c>
      <c r="J7212" s="11">
        <v>0</v>
      </c>
      <c r="K7212" s="11" t="s">
        <v>21</v>
      </c>
      <c r="L7212" s="7">
        <v>40914.905057870368</v>
      </c>
      <c r="M7212" s="12"/>
      <c r="N7212" s="12" t="s">
        <v>7596</v>
      </c>
      <c r="O7212" s="10" t="str">
        <f>HYPERLINK("https://pbs.twimg.com/profile_images/3296258792/7852b77f95bc153cf32db2ba07fb879c_normal.jpeg","View")</f>
        <v>View</v>
      </c>
      <c r="P7212" s="11"/>
    </row>
    <row r="7213" spans="1:16" ht="12.75" x14ac:dyDescent="0.35">
      <c r="A7213" s="7">
        <v>42484.747824074075</v>
      </c>
      <c r="B7213" s="8" t="str">
        <f>HYPERLINK("https://twitter.com/checo621","@checo621")</f>
        <v>@checo621</v>
      </c>
      <c r="C7213" s="9" t="s">
        <v>16033</v>
      </c>
      <c r="D7213" s="9" t="s">
        <v>16034</v>
      </c>
      <c r="E7213" s="10" t="str">
        <f>HYPERLINK("https://twitter.com/checo621/status/724213015353155584","724213015353155584")</f>
        <v>724213015353155584</v>
      </c>
      <c r="F7213" s="11" t="s">
        <v>114</v>
      </c>
      <c r="G7213" s="11">
        <v>610</v>
      </c>
      <c r="H7213" s="11">
        <v>1593</v>
      </c>
      <c r="I7213" s="11">
        <v>0</v>
      </c>
      <c r="J7213" s="11">
        <v>0</v>
      </c>
      <c r="K7213" s="11" t="s">
        <v>21</v>
      </c>
      <c r="L7213" s="7">
        <v>39987.377025462964</v>
      </c>
      <c r="M7213" s="12" t="s">
        <v>16035</v>
      </c>
      <c r="N7213" s="12" t="s">
        <v>16036</v>
      </c>
      <c r="O7213" s="10" t="str">
        <f>HYPERLINK("https://pbs.twimg.com/profile_images/721531130650841088/goNcbhzJ_normal.jpg","View")</f>
        <v>View</v>
      </c>
      <c r="P7213" s="11"/>
    </row>
    <row r="7214" spans="1:16" ht="12.75" x14ac:dyDescent="0.35">
      <c r="A7214" s="7">
        <v>42484.748310185183</v>
      </c>
      <c r="B7214" s="8" t="str">
        <f>HYPERLINK("https://twitter.com/RETROPOT","@RETROPOT")</f>
        <v>@RETROPOT</v>
      </c>
      <c r="C7214" s="9" t="s">
        <v>5314</v>
      </c>
      <c r="D7214" s="9" t="s">
        <v>16037</v>
      </c>
      <c r="E7214" s="10" t="str">
        <f>HYPERLINK("https://twitter.com/RETROPOT/status/724213191065083905","724213191065083905")</f>
        <v>724213191065083905</v>
      </c>
      <c r="F7214" s="11" t="s">
        <v>48</v>
      </c>
      <c r="G7214" s="11">
        <v>185</v>
      </c>
      <c r="H7214" s="11">
        <v>47</v>
      </c>
      <c r="I7214" s="11">
        <v>1</v>
      </c>
      <c r="J7214" s="11">
        <v>0</v>
      </c>
      <c r="K7214" s="11" t="s">
        <v>21</v>
      </c>
      <c r="L7214" s="7">
        <v>41654.698900462965</v>
      </c>
      <c r="M7214" s="12"/>
      <c r="N7214" s="12" t="s">
        <v>5316</v>
      </c>
      <c r="O7214" s="10" t="str">
        <f>HYPERLINK("https://pbs.twimg.com/profile_images/664095102885879808/9XJjykPM_normal.png","View")</f>
        <v>View</v>
      </c>
      <c r="P7214" s="11"/>
    </row>
    <row r="7215" spans="1:16" ht="12.75" x14ac:dyDescent="0.35">
      <c r="A7215" s="7">
        <v>42484.748703703706</v>
      </c>
      <c r="B7215" s="8" t="str">
        <f>HYPERLINK("https://twitter.com/oldcar_photo","@oldcar_photo")</f>
        <v>@oldcar_photo</v>
      </c>
      <c r="C7215" s="9" t="s">
        <v>1046</v>
      </c>
      <c r="D7215" s="9" t="s">
        <v>16038</v>
      </c>
      <c r="E7215" s="10" t="str">
        <f>HYPERLINK("https://twitter.com/oldcar_photo/status/724213332593500162","724213332593500162")</f>
        <v>724213332593500162</v>
      </c>
      <c r="F7215" s="11" t="s">
        <v>68</v>
      </c>
      <c r="G7215" s="11">
        <v>2003</v>
      </c>
      <c r="H7215" s="11">
        <v>0</v>
      </c>
      <c r="I7215" s="11">
        <v>2</v>
      </c>
      <c r="J7215" s="11">
        <v>0</v>
      </c>
      <c r="K7215" s="11" t="s">
        <v>21</v>
      </c>
      <c r="L7215" s="7">
        <v>42184.7341087963</v>
      </c>
      <c r="M7215" s="12"/>
      <c r="N7215" s="12"/>
      <c r="O7215" s="10" t="str">
        <f>HYPERLINK("https://pbs.twimg.com/profile_images/615493650785660928/XHUh6HOk_normal.jpg","View")</f>
        <v>View</v>
      </c>
      <c r="P7215" s="11"/>
    </row>
    <row r="7216" spans="1:16" ht="12.75" x14ac:dyDescent="0.35">
      <c r="A7216" s="7">
        <v>42484.748807870375</v>
      </c>
      <c r="B7216" s="8" t="str">
        <f t="shared" ref="B7216:B7217" si="693">HYPERLINK("https://twitter.com/Insta_VWT","@Insta_VWT")</f>
        <v>@Insta_VWT</v>
      </c>
      <c r="C7216" s="9" t="s">
        <v>181</v>
      </c>
      <c r="D7216" s="9" t="s">
        <v>16039</v>
      </c>
      <c r="E7216" s="10" t="str">
        <f>HYPERLINK("https://twitter.com/Insta_VWT/status/724213370413568000","724213370413568000")</f>
        <v>724213370413568000</v>
      </c>
      <c r="F7216" s="11" t="s">
        <v>68</v>
      </c>
      <c r="G7216" s="11">
        <v>485</v>
      </c>
      <c r="H7216" s="11">
        <v>0</v>
      </c>
      <c r="I7216" s="11">
        <v>0</v>
      </c>
      <c r="J7216" s="11">
        <v>0</v>
      </c>
      <c r="K7216" s="11" t="s">
        <v>21</v>
      </c>
      <c r="L7216" s="7">
        <v>41658.782800925925</v>
      </c>
      <c r="M7216" s="12" t="s">
        <v>183</v>
      </c>
      <c r="N7216" s="12" t="s">
        <v>184</v>
      </c>
      <c r="O7216" s="10" t="str">
        <f t="shared" ref="O7216:O7217" si="694">HYPERLINK("https://pbs.twimg.com/profile_images/424893967197433858/iQ86NktX_normal.jpeg","View")</f>
        <v>View</v>
      </c>
      <c r="P7216" s="11"/>
    </row>
    <row r="7217" spans="1:16" ht="12.75" x14ac:dyDescent="0.35">
      <c r="A7217" s="7">
        <v>42484.748854166668</v>
      </c>
      <c r="B7217" s="8" t="str">
        <f t="shared" si="693"/>
        <v>@Insta_VWT</v>
      </c>
      <c r="C7217" s="9" t="s">
        <v>181</v>
      </c>
      <c r="D7217" s="9" t="s">
        <v>16040</v>
      </c>
      <c r="E7217" s="10" t="str">
        <f>HYPERLINK("https://twitter.com/Insta_VWT/status/724213387455016960","724213387455016960")</f>
        <v>724213387455016960</v>
      </c>
      <c r="F7217" s="11" t="s">
        <v>68</v>
      </c>
      <c r="G7217" s="11">
        <v>485</v>
      </c>
      <c r="H7217" s="11">
        <v>0</v>
      </c>
      <c r="I7217" s="11">
        <v>0</v>
      </c>
      <c r="J7217" s="11">
        <v>1</v>
      </c>
      <c r="K7217" s="11" t="s">
        <v>21</v>
      </c>
      <c r="L7217" s="7">
        <v>41658.782800925925</v>
      </c>
      <c r="M7217" s="12" t="s">
        <v>183</v>
      </c>
      <c r="N7217" s="12" t="s">
        <v>184</v>
      </c>
      <c r="O7217" s="10" t="str">
        <f t="shared" si="694"/>
        <v>View</v>
      </c>
      <c r="P7217" s="11"/>
    </row>
    <row r="7218" spans="1:16" ht="12.75" x14ac:dyDescent="0.35">
      <c r="A7218" s="7">
        <v>42484.74900462963</v>
      </c>
      <c r="B7218" s="8" t="str">
        <f>HYPERLINK("https://twitter.com/FuscaWorld","@FuscaWorld")</f>
        <v>@FuscaWorld</v>
      </c>
      <c r="C7218" s="9" t="s">
        <v>74</v>
      </c>
      <c r="D7218" s="9" t="s">
        <v>16041</v>
      </c>
      <c r="E7218" s="10" t="str">
        <f>HYPERLINK("https://twitter.com/FuscaWorld/status/724213442534584320","724213442534584320")</f>
        <v>724213442534584320</v>
      </c>
      <c r="F7218" s="11" t="s">
        <v>76</v>
      </c>
      <c r="G7218" s="11">
        <v>50</v>
      </c>
      <c r="H7218" s="11">
        <v>1</v>
      </c>
      <c r="I7218" s="11">
        <v>2</v>
      </c>
      <c r="J7218" s="11">
        <v>0</v>
      </c>
      <c r="K7218" s="11" t="s">
        <v>21</v>
      </c>
      <c r="L7218" s="7">
        <v>42433.880914351852</v>
      </c>
      <c r="M7218" s="12"/>
      <c r="N7218" s="12" t="s">
        <v>77</v>
      </c>
      <c r="O7218" s="10" t="str">
        <f>HYPERLINK("https://pbs.twimg.com/profile_images/705780107844067328/e7O4UBNb_normal.jpg","View")</f>
        <v>View</v>
      </c>
      <c r="P7218" s="11"/>
    </row>
    <row r="7219" spans="1:16" ht="12.75" x14ac:dyDescent="0.35">
      <c r="A7219" s="7">
        <v>42484.749224537038</v>
      </c>
      <c r="B7219" s="8" t="str">
        <f t="shared" ref="B7219:B7220" si="695">HYPERLINK("https://twitter.com/VeeDubMk1_","@VeeDubMk1_")</f>
        <v>@VeeDubMk1_</v>
      </c>
      <c r="C7219" s="9" t="s">
        <v>185</v>
      </c>
      <c r="D7219" s="9" t="s">
        <v>16042</v>
      </c>
      <c r="E7219" s="10" t="str">
        <f>HYPERLINK("https://twitter.com/VeeDubMk1_/status/724213520892612608","724213520892612608")</f>
        <v>724213520892612608</v>
      </c>
      <c r="F7219" s="11" t="s">
        <v>68</v>
      </c>
      <c r="G7219" s="11">
        <v>549</v>
      </c>
      <c r="H7219" s="11">
        <v>3528</v>
      </c>
      <c r="I7219" s="11">
        <v>0</v>
      </c>
      <c r="J7219" s="11">
        <v>0</v>
      </c>
      <c r="K7219" s="11" t="s">
        <v>21</v>
      </c>
      <c r="L7219" s="7">
        <v>42343.063356481478</v>
      </c>
      <c r="M7219" s="12"/>
      <c r="N7219" s="12"/>
      <c r="O7219" s="10" t="str">
        <f t="shared" ref="O7219:O7220" si="696">HYPERLINK("https://pbs.twimg.com/profile_images/672878354127839232/M7OYc-zx_normal.jpg","View")</f>
        <v>View</v>
      </c>
      <c r="P7219" s="11"/>
    </row>
    <row r="7220" spans="1:16" ht="12.75" x14ac:dyDescent="0.35">
      <c r="A7220" s="7">
        <v>42484.749259259261</v>
      </c>
      <c r="B7220" s="8" t="str">
        <f t="shared" si="695"/>
        <v>@VeeDubMk1_</v>
      </c>
      <c r="C7220" s="9" t="s">
        <v>185</v>
      </c>
      <c r="D7220" s="9" t="s">
        <v>16043</v>
      </c>
      <c r="E7220" s="10" t="str">
        <f>HYPERLINK("https://twitter.com/VeeDubMk1_/status/724213534977081344","724213534977081344")</f>
        <v>724213534977081344</v>
      </c>
      <c r="F7220" s="11" t="s">
        <v>68</v>
      </c>
      <c r="G7220" s="11">
        <v>549</v>
      </c>
      <c r="H7220" s="11">
        <v>3528</v>
      </c>
      <c r="I7220" s="11">
        <v>0</v>
      </c>
      <c r="J7220" s="11">
        <v>0</v>
      </c>
      <c r="K7220" s="11" t="s">
        <v>21</v>
      </c>
      <c r="L7220" s="7">
        <v>42343.063356481478</v>
      </c>
      <c r="M7220" s="12"/>
      <c r="N7220" s="12"/>
      <c r="O7220" s="10" t="str">
        <f t="shared" si="696"/>
        <v>View</v>
      </c>
      <c r="P7220" s="11"/>
    </row>
    <row r="7221" spans="1:16" ht="12.75" x14ac:dyDescent="0.35">
      <c r="A7221" s="7">
        <v>42484.74927083333</v>
      </c>
      <c r="B7221" s="8" t="str">
        <f>HYPERLINK("https://twitter.com/Hoots_mon","@Hoots_mon")</f>
        <v>@Hoots_mon</v>
      </c>
      <c r="C7221" s="9" t="s">
        <v>13908</v>
      </c>
      <c r="D7221" s="9" t="s">
        <v>16041</v>
      </c>
      <c r="E7221" s="10" t="str">
        <f>HYPERLINK("https://twitter.com/Hoots_mon/status/724213538898739200","724213538898739200")</f>
        <v>724213538898739200</v>
      </c>
      <c r="F7221" s="11" t="s">
        <v>13910</v>
      </c>
      <c r="G7221" s="11">
        <v>811</v>
      </c>
      <c r="H7221" s="11">
        <v>1094</v>
      </c>
      <c r="I7221" s="11">
        <v>2</v>
      </c>
      <c r="J7221" s="11">
        <v>0</v>
      </c>
      <c r="K7221" s="11" t="s">
        <v>21</v>
      </c>
      <c r="L7221" s="7">
        <v>41391.635995370372</v>
      </c>
      <c r="M7221" s="12" t="s">
        <v>1827</v>
      </c>
      <c r="N7221" s="12" t="s">
        <v>13911</v>
      </c>
      <c r="O7221" s="10" t="str">
        <f>HYPERLINK("https://pbs.twimg.com/profile_images/709087090550689792/ICYFENhR_normal.jpg","View")</f>
        <v>View</v>
      </c>
      <c r="P7221" s="11"/>
    </row>
    <row r="7222" spans="1:16" ht="12.75" x14ac:dyDescent="0.35">
      <c r="A7222" s="7">
        <v>42484.7503587963</v>
      </c>
      <c r="B7222" s="8" t="str">
        <f t="shared" ref="B7222:B7223" si="697">HYPERLINK("https://twitter.com/VCT_Tweets","@VCT_Tweets")</f>
        <v>@VCT_Tweets</v>
      </c>
      <c r="C7222" s="9" t="s">
        <v>199</v>
      </c>
      <c r="D7222" s="9" t="s">
        <v>16044</v>
      </c>
      <c r="E7222" s="10" t="str">
        <f>HYPERLINK("https://twitter.com/VCT_Tweets/status/724213933553410048","724213933553410048")</f>
        <v>724213933553410048</v>
      </c>
      <c r="F7222" s="11" t="s">
        <v>68</v>
      </c>
      <c r="G7222" s="11">
        <v>894</v>
      </c>
      <c r="H7222" s="11">
        <v>211</v>
      </c>
      <c r="I7222" s="11">
        <v>0</v>
      </c>
      <c r="J7222" s="11">
        <v>0</v>
      </c>
      <c r="K7222" s="11" t="s">
        <v>21</v>
      </c>
      <c r="L7222" s="7">
        <v>40744.914837962962</v>
      </c>
      <c r="M7222" s="12" t="s">
        <v>201</v>
      </c>
      <c r="N7222" s="12" t="s">
        <v>202</v>
      </c>
      <c r="O7222" s="10" t="str">
        <f t="shared" ref="O7222:O7223" si="698">HYPERLINK("https://pbs.twimg.com/profile_images/569800899141177344/nVFLMSdb_normal.png","View")</f>
        <v>View</v>
      </c>
      <c r="P7222" s="11"/>
    </row>
    <row r="7223" spans="1:16" ht="12.75" x14ac:dyDescent="0.35">
      <c r="A7223" s="7">
        <v>42484.750428240739</v>
      </c>
      <c r="B7223" s="8" t="str">
        <f t="shared" si="697"/>
        <v>@VCT_Tweets</v>
      </c>
      <c r="C7223" s="9" t="s">
        <v>199</v>
      </c>
      <c r="D7223" s="9" t="s">
        <v>16045</v>
      </c>
      <c r="E7223" s="10" t="str">
        <f>HYPERLINK("https://twitter.com/VCT_Tweets/status/724213959084089344","724213959084089344")</f>
        <v>724213959084089344</v>
      </c>
      <c r="F7223" s="11" t="s">
        <v>68</v>
      </c>
      <c r="G7223" s="11">
        <v>893</v>
      </c>
      <c r="H7223" s="11">
        <v>211</v>
      </c>
      <c r="I7223" s="11">
        <v>0</v>
      </c>
      <c r="J7223" s="11">
        <v>0</v>
      </c>
      <c r="K7223" s="11" t="s">
        <v>21</v>
      </c>
      <c r="L7223" s="7">
        <v>40744.914837962962</v>
      </c>
      <c r="M7223" s="12" t="s">
        <v>201</v>
      </c>
      <c r="N7223" s="12" t="s">
        <v>202</v>
      </c>
      <c r="O7223" s="10" t="str">
        <f t="shared" si="698"/>
        <v>View</v>
      </c>
      <c r="P7223" s="11"/>
    </row>
    <row r="7224" spans="1:16" ht="12.75" x14ac:dyDescent="0.35">
      <c r="A7224" s="7">
        <v>42484.750543981485</v>
      </c>
      <c r="B7224" s="8" t="str">
        <f>HYPERLINK("https://twitter.com/MorSvinka_83","@MorSvinka_83")</f>
        <v>@MorSvinka_83</v>
      </c>
      <c r="C7224" s="9" t="s">
        <v>9071</v>
      </c>
      <c r="D7224" s="9" t="s">
        <v>16046</v>
      </c>
      <c r="E7224" s="10" t="str">
        <f>HYPERLINK("https://twitter.com/MorSvinka_83/status/724214001018781696","724214001018781696")</f>
        <v>724214001018781696</v>
      </c>
      <c r="F7224" s="11" t="s">
        <v>63</v>
      </c>
      <c r="G7224" s="11">
        <v>81</v>
      </c>
      <c r="H7224" s="11">
        <v>127</v>
      </c>
      <c r="I7224" s="11">
        <v>0</v>
      </c>
      <c r="J7224" s="11">
        <v>0</v>
      </c>
      <c r="K7224" s="11" t="s">
        <v>21</v>
      </c>
      <c r="L7224" s="7">
        <v>40900.763842592591</v>
      </c>
      <c r="M7224" s="12" t="s">
        <v>9073</v>
      </c>
      <c r="N7224" s="12"/>
      <c r="O7224" s="10" t="str">
        <f>HYPERLINK("https://pbs.twimg.com/profile_images/2208847688/Untitled-2_normal.jpg","View")</f>
        <v>View</v>
      </c>
      <c r="P7224" s="11"/>
    </row>
    <row r="7225" spans="1:16" ht="12.75" x14ac:dyDescent="0.35">
      <c r="A7225" s="7">
        <v>42484.750671296293</v>
      </c>
      <c r="B7225" s="8" t="str">
        <f>HYPERLINK("https://twitter.com/anjelicasjogren","@anjelicasjogren")</f>
        <v>@anjelicasjogren</v>
      </c>
      <c r="C7225" s="9" t="s">
        <v>14312</v>
      </c>
      <c r="D7225" s="9" t="s">
        <v>16047</v>
      </c>
      <c r="E7225" s="10" t="str">
        <f>HYPERLINK("https://twitter.com/anjelicasjogren/status/724214045910425600","724214045910425600")</f>
        <v>724214045910425600</v>
      </c>
      <c r="F7225" s="11" t="s">
        <v>114</v>
      </c>
      <c r="G7225" s="11">
        <v>20</v>
      </c>
      <c r="H7225" s="11">
        <v>132</v>
      </c>
      <c r="I7225" s="11">
        <v>0</v>
      </c>
      <c r="J7225" s="11">
        <v>0</v>
      </c>
      <c r="K7225" s="11" t="s">
        <v>21</v>
      </c>
      <c r="L7225" s="7">
        <v>42251.881666666668</v>
      </c>
      <c r="M7225" s="12" t="s">
        <v>14314</v>
      </c>
      <c r="N7225" s="12" t="s">
        <v>14315</v>
      </c>
      <c r="O7225" s="10" t="str">
        <f>HYPERLINK("https://pbs.twimg.com/profile_images/639825675428478976/lYkKqb5E_normal.jpg","View")</f>
        <v>View</v>
      </c>
      <c r="P7225" s="11"/>
    </row>
    <row r="7226" spans="1:16" ht="12.75" x14ac:dyDescent="0.35">
      <c r="A7226" s="7">
        <v>42484.750752314816</v>
      </c>
      <c r="B7226" s="8" t="str">
        <f>HYPERLINK("https://twitter.com/TotallyVans","@TotallyVans")</f>
        <v>@TotallyVans</v>
      </c>
      <c r="C7226" s="9" t="s">
        <v>16048</v>
      </c>
      <c r="D7226" s="9" t="s">
        <v>16049</v>
      </c>
      <c r="E7226" s="10" t="str">
        <f>HYPERLINK("https://twitter.com/TotallyVans/status/724214074515578880","724214074515578880")</f>
        <v>724214074515578880</v>
      </c>
      <c r="F7226" s="11" t="s">
        <v>16050</v>
      </c>
      <c r="G7226" s="11">
        <v>826</v>
      </c>
      <c r="H7226" s="11">
        <v>1757</v>
      </c>
      <c r="I7226" s="11">
        <v>0</v>
      </c>
      <c r="J7226" s="11">
        <v>0</v>
      </c>
      <c r="K7226" s="11" t="s">
        <v>21</v>
      </c>
      <c r="L7226" s="7">
        <v>41561.753125000003</v>
      </c>
      <c r="M7226" s="12"/>
      <c r="N7226" s="12" t="s">
        <v>16051</v>
      </c>
      <c r="O7226" s="10" t="str">
        <f>HYPERLINK("https://pbs.twimg.com/profile_images/464452649283096576/83OCnlKc_normal.jpeg","View")</f>
        <v>View</v>
      </c>
      <c r="P7226" s="11"/>
    </row>
    <row r="7227" spans="1:16" ht="12.75" x14ac:dyDescent="0.35">
      <c r="A7227" s="7">
        <v>42484.751064814816</v>
      </c>
      <c r="B7227" s="8" t="str">
        <f>HYPERLINK("https://twitter.com/dayterj75","@dayterj75")</f>
        <v>@dayterj75</v>
      </c>
      <c r="C7227" s="9" t="s">
        <v>16052</v>
      </c>
      <c r="D7227" s="9" t="s">
        <v>16053</v>
      </c>
      <c r="E7227" s="10" t="str">
        <f>HYPERLINK("https://twitter.com/dayterj75/status/724214187090546688","724214187090546688")</f>
        <v>724214187090546688</v>
      </c>
      <c r="F7227" s="11" t="s">
        <v>48</v>
      </c>
      <c r="G7227" s="11">
        <v>478</v>
      </c>
      <c r="H7227" s="11">
        <v>675</v>
      </c>
      <c r="I7227" s="11">
        <v>1</v>
      </c>
      <c r="J7227" s="11">
        <v>0</v>
      </c>
      <c r="K7227" s="11" t="s">
        <v>21</v>
      </c>
      <c r="L7227" s="7">
        <v>40961.204247685186</v>
      </c>
      <c r="M7227" s="12" t="s">
        <v>16054</v>
      </c>
      <c r="N7227" s="12" t="s">
        <v>16055</v>
      </c>
      <c r="O7227" s="10" t="str">
        <f>HYPERLINK("https://pbs.twimg.com/profile_images/718937486722932736/Id4XiFFI_normal.jpg","View")</f>
        <v>View</v>
      </c>
      <c r="P7227" s="11"/>
    </row>
    <row r="7228" spans="1:16" ht="12.75" x14ac:dyDescent="0.35">
      <c r="A7228" s="7">
        <v>42484.751898148148</v>
      </c>
      <c r="B7228" s="8" t="str">
        <f>HYPERLINK("https://twitter.com/anjelicasjogren","@anjelicasjogren")</f>
        <v>@anjelicasjogren</v>
      </c>
      <c r="C7228" s="9" t="s">
        <v>14312</v>
      </c>
      <c r="D7228" s="9" t="s">
        <v>16056</v>
      </c>
      <c r="E7228" s="10" t="str">
        <f>HYPERLINK("https://twitter.com/anjelicasjogren/status/724214491353886720","724214491353886720")</f>
        <v>724214491353886720</v>
      </c>
      <c r="F7228" s="11" t="s">
        <v>114</v>
      </c>
      <c r="G7228" s="11">
        <v>20</v>
      </c>
      <c r="H7228" s="11">
        <v>132</v>
      </c>
      <c r="I7228" s="11">
        <v>0</v>
      </c>
      <c r="J7228" s="11">
        <v>0</v>
      </c>
      <c r="K7228" s="11" t="s">
        <v>21</v>
      </c>
      <c r="L7228" s="7">
        <v>42251.881666666668</v>
      </c>
      <c r="M7228" s="12" t="s">
        <v>14314</v>
      </c>
      <c r="N7228" s="12" t="s">
        <v>14315</v>
      </c>
      <c r="O7228" s="10" t="str">
        <f>HYPERLINK("https://pbs.twimg.com/profile_images/639825675428478976/lYkKqb5E_normal.jpg","View")</f>
        <v>View</v>
      </c>
      <c r="P7228" s="11"/>
    </row>
    <row r="7229" spans="1:16" ht="12.75" x14ac:dyDescent="0.35">
      <c r="A7229" s="7">
        <v>42484.753611111111</v>
      </c>
      <c r="B7229" s="8" t="str">
        <f>HYPERLINK("https://twitter.com/DominiqueVanpee","@DominiqueVanpee")</f>
        <v>@DominiqueVanpee</v>
      </c>
      <c r="C7229" s="9" t="s">
        <v>16057</v>
      </c>
      <c r="D7229" s="9" t="s">
        <v>16058</v>
      </c>
      <c r="E7229" s="10" t="str">
        <f>HYPERLINK("https://twitter.com/DominiqueVanpee/status/724215112748404736","724215112748404736")</f>
        <v>724215112748404736</v>
      </c>
      <c r="F7229" s="11" t="s">
        <v>91</v>
      </c>
      <c r="G7229" s="11">
        <v>1464</v>
      </c>
      <c r="H7229" s="11">
        <v>2211</v>
      </c>
      <c r="I7229" s="11">
        <v>0</v>
      </c>
      <c r="J7229" s="11">
        <v>0</v>
      </c>
      <c r="K7229" s="11" t="s">
        <v>21</v>
      </c>
      <c r="L7229" s="7">
        <v>41305.622997685183</v>
      </c>
      <c r="M7229" s="12" t="s">
        <v>16059</v>
      </c>
      <c r="N7229" s="12" t="s">
        <v>16060</v>
      </c>
      <c r="O7229" s="10" t="str">
        <f>HYPERLINK("https://pbs.twimg.com/profile_images/3187379824/d5042982950c153c9ef96bc42e851fab_normal.jpeg","View")</f>
        <v>View</v>
      </c>
      <c r="P7229" s="11"/>
    </row>
    <row r="7230" spans="1:16" ht="12.75" x14ac:dyDescent="0.35">
      <c r="A7230" s="7">
        <v>42484.756388888884</v>
      </c>
      <c r="B7230" s="8" t="str">
        <f>HYPERLINK("https://twitter.com/VWCamperSales","@VWCamperSales")</f>
        <v>@VWCamperSales</v>
      </c>
      <c r="C7230" s="9" t="s">
        <v>216</v>
      </c>
      <c r="D7230" s="9" t="s">
        <v>16061</v>
      </c>
      <c r="E7230" s="10" t="str">
        <f>HYPERLINK("https://twitter.com/VWCamperSales/status/724216116134858752","724216116134858752")</f>
        <v>724216116134858752</v>
      </c>
      <c r="F7230" s="10" t="s">
        <v>124</v>
      </c>
      <c r="G7230" s="11">
        <v>624</v>
      </c>
      <c r="H7230" s="11">
        <v>580</v>
      </c>
      <c r="I7230" s="11">
        <v>0</v>
      </c>
      <c r="J7230" s="11">
        <v>0</v>
      </c>
      <c r="K7230" s="11" t="s">
        <v>21</v>
      </c>
      <c r="L7230" s="7">
        <v>42215.98809027778</v>
      </c>
      <c r="M7230" s="12" t="s">
        <v>129</v>
      </c>
      <c r="N7230" s="12" t="s">
        <v>218</v>
      </c>
      <c r="O7230" s="10" t="str">
        <f>HYPERLINK("https://pbs.twimg.com/profile_images/627949001179037696/skEBkS05_normal.jpg","View")</f>
        <v>View</v>
      </c>
      <c r="P7230" s="11"/>
    </row>
    <row r="7231" spans="1:16" ht="12.75" x14ac:dyDescent="0.35">
      <c r="A7231" s="7">
        <v>42484.758310185185</v>
      </c>
      <c r="B7231" s="8" t="str">
        <f>HYPERLINK("https://twitter.com/moujkash","@moujkash")</f>
        <v>@moujkash</v>
      </c>
      <c r="C7231" s="9" t="s">
        <v>16062</v>
      </c>
      <c r="D7231" s="9" t="s">
        <v>16063</v>
      </c>
      <c r="E7231" s="10" t="str">
        <f>HYPERLINK("https://twitter.com/moujkash/status/724216814771691520","724216814771691520")</f>
        <v>724216814771691520</v>
      </c>
      <c r="F7231" s="11" t="s">
        <v>48</v>
      </c>
      <c r="G7231" s="11">
        <v>907</v>
      </c>
      <c r="H7231" s="11">
        <v>790</v>
      </c>
      <c r="I7231" s="11">
        <v>0</v>
      </c>
      <c r="J7231" s="11">
        <v>0</v>
      </c>
      <c r="K7231" s="11" t="s">
        <v>21</v>
      </c>
      <c r="L7231" s="7">
        <v>40252.169386574074</v>
      </c>
      <c r="M7231" s="12" t="s">
        <v>16064</v>
      </c>
      <c r="N7231" s="12" t="s">
        <v>16065</v>
      </c>
      <c r="O7231" s="10" t="str">
        <f>HYPERLINK("https://pbs.twimg.com/profile_images/724191040970711040/Tcg-aQ6t_normal.jpg","View")</f>
        <v>View</v>
      </c>
      <c r="P7231" s="11"/>
    </row>
    <row r="7232" spans="1:16" ht="12.75" x14ac:dyDescent="0.35">
      <c r="A7232" s="7">
        <v>42484.759479166663</v>
      </c>
      <c r="B7232" s="8" t="str">
        <f t="shared" ref="B7232:B7234" si="699">HYPERLINK("https://twitter.com/OnlineCarReview","@OnlineCarReview")</f>
        <v>@OnlineCarReview</v>
      </c>
      <c r="C7232" s="9" t="s">
        <v>176</v>
      </c>
      <c r="D7232" s="9" t="s">
        <v>16066</v>
      </c>
      <c r="E7232" s="10" t="str">
        <f>HYPERLINK("https://twitter.com/OnlineCarReview/status/724217239507898369","724217239507898369")</f>
        <v>724217239507898369</v>
      </c>
      <c r="F7232" s="11" t="s">
        <v>34</v>
      </c>
      <c r="G7232" s="11">
        <v>838</v>
      </c>
      <c r="H7232" s="11">
        <v>568</v>
      </c>
      <c r="I7232" s="11">
        <v>0</v>
      </c>
      <c r="J7232" s="11">
        <v>0</v>
      </c>
      <c r="K7232" s="11" t="s">
        <v>21</v>
      </c>
      <c r="L7232" s="7">
        <v>42282.979201388887</v>
      </c>
      <c r="M7232" s="12"/>
      <c r="N7232" s="12" t="s">
        <v>178</v>
      </c>
      <c r="O7232" s="10" t="str">
        <f t="shared" ref="O7232:O7234" si="700">HYPERLINK("https://pbs.twimg.com/profile_images/652871584131092480/QA_B6SBO_normal.jpg","View")</f>
        <v>View</v>
      </c>
      <c r="P7232" s="11"/>
    </row>
    <row r="7233" spans="1:16" ht="12.75" x14ac:dyDescent="0.35">
      <c r="A7233" s="7">
        <v>42484.75949074074</v>
      </c>
      <c r="B7233" s="8" t="str">
        <f t="shared" si="699"/>
        <v>@OnlineCarReview</v>
      </c>
      <c r="C7233" s="9" t="s">
        <v>176</v>
      </c>
      <c r="D7233" s="9" t="s">
        <v>16067</v>
      </c>
      <c r="E7233" s="10" t="str">
        <f>HYPERLINK("https://twitter.com/OnlineCarReview/status/724217240380276736","724217240380276736")</f>
        <v>724217240380276736</v>
      </c>
      <c r="F7233" s="11" t="s">
        <v>34</v>
      </c>
      <c r="G7233" s="11">
        <v>838</v>
      </c>
      <c r="H7233" s="11">
        <v>568</v>
      </c>
      <c r="I7233" s="11">
        <v>0</v>
      </c>
      <c r="J7233" s="11">
        <v>0</v>
      </c>
      <c r="K7233" s="11" t="s">
        <v>21</v>
      </c>
      <c r="L7233" s="7">
        <v>42282.979201388887</v>
      </c>
      <c r="M7233" s="12"/>
      <c r="N7233" s="12" t="s">
        <v>178</v>
      </c>
      <c r="O7233" s="10" t="str">
        <f t="shared" si="700"/>
        <v>View</v>
      </c>
      <c r="P7233" s="11"/>
    </row>
    <row r="7234" spans="1:16" ht="12.75" x14ac:dyDescent="0.35">
      <c r="A7234" s="7">
        <v>42484.75949074074</v>
      </c>
      <c r="B7234" s="8" t="str">
        <f t="shared" si="699"/>
        <v>@OnlineCarReview</v>
      </c>
      <c r="C7234" s="9" t="s">
        <v>176</v>
      </c>
      <c r="D7234" s="9" t="s">
        <v>16068</v>
      </c>
      <c r="E7234" s="10" t="str">
        <f>HYPERLINK("https://twitter.com/OnlineCarReview/status/724217241269506049","724217241269506049")</f>
        <v>724217241269506049</v>
      </c>
      <c r="F7234" s="11" t="s">
        <v>34</v>
      </c>
      <c r="G7234" s="11">
        <v>838</v>
      </c>
      <c r="H7234" s="11">
        <v>568</v>
      </c>
      <c r="I7234" s="11">
        <v>0</v>
      </c>
      <c r="J7234" s="11">
        <v>0</v>
      </c>
      <c r="K7234" s="11" t="s">
        <v>21</v>
      </c>
      <c r="L7234" s="7">
        <v>42282.979201388887</v>
      </c>
      <c r="M7234" s="12"/>
      <c r="N7234" s="12" t="s">
        <v>178</v>
      </c>
      <c r="O7234" s="10" t="str">
        <f t="shared" si="700"/>
        <v>View</v>
      </c>
      <c r="P7234" s="11"/>
    </row>
    <row r="7235" spans="1:16" ht="12.75" x14ac:dyDescent="0.35">
      <c r="A7235" s="7">
        <v>42484.759953703702</v>
      </c>
      <c r="B7235" s="8" t="str">
        <f>HYPERLINK("https://twitter.com/Mphilpot1","@Mphilpot1")</f>
        <v>@Mphilpot1</v>
      </c>
      <c r="C7235" s="9" t="s">
        <v>1280</v>
      </c>
      <c r="D7235" s="9" t="s">
        <v>16069</v>
      </c>
      <c r="E7235" s="10" t="str">
        <f>HYPERLINK("https://twitter.com/Mphilpot1/status/724217410199281665","724217410199281665")</f>
        <v>724217410199281665</v>
      </c>
      <c r="F7235" s="11" t="s">
        <v>34</v>
      </c>
      <c r="G7235" s="11">
        <v>114</v>
      </c>
      <c r="H7235" s="11">
        <v>141</v>
      </c>
      <c r="I7235" s="11">
        <v>0</v>
      </c>
      <c r="J7235" s="11">
        <v>0</v>
      </c>
      <c r="K7235" s="11" t="s">
        <v>21</v>
      </c>
      <c r="L7235" s="7">
        <v>41137.855208333334</v>
      </c>
      <c r="M7235" s="12"/>
      <c r="N7235" s="12"/>
      <c r="O7235" s="10" t="str">
        <f>HYPERLINK("https://pbs.twimg.com/profile_images/422164778639839234/LVnS1q1c_normal.jpeg","View")</f>
        <v>View</v>
      </c>
      <c r="P7235" s="11"/>
    </row>
    <row r="7236" spans="1:16" ht="12.75" x14ac:dyDescent="0.35">
      <c r="A7236" s="7">
        <v>42484.760671296295</v>
      </c>
      <c r="B7236" s="8" t="str">
        <f>HYPERLINK("https://twitter.com/SouthVW","@SouthVW")</f>
        <v>@SouthVW</v>
      </c>
      <c r="C7236" s="9" t="s">
        <v>3550</v>
      </c>
      <c r="D7236" s="9" t="s">
        <v>16070</v>
      </c>
      <c r="E7236" s="10" t="str">
        <f>HYPERLINK("https://twitter.com/SouthVW/status/724217671319846912","724217671319846912")</f>
        <v>724217671319846912</v>
      </c>
      <c r="F7236" s="11" t="s">
        <v>3552</v>
      </c>
      <c r="G7236" s="11">
        <v>299</v>
      </c>
      <c r="H7236" s="11">
        <v>102</v>
      </c>
      <c r="I7236" s="11">
        <v>0</v>
      </c>
      <c r="J7236" s="11">
        <v>0</v>
      </c>
      <c r="K7236" s="11" t="s">
        <v>21</v>
      </c>
      <c r="L7236" s="7">
        <v>39942.9840625</v>
      </c>
      <c r="M7236" s="12" t="s">
        <v>3553</v>
      </c>
      <c r="N7236" s="12" t="s">
        <v>3554</v>
      </c>
      <c r="O7236" s="10" t="str">
        <f>HYPERLINK("https://pbs.twimg.com/profile_images/657560747271032833/Q4Z58w0-_normal.jpg","View")</f>
        <v>View</v>
      </c>
      <c r="P7236" s="11"/>
    </row>
    <row r="7237" spans="1:16" ht="12.75" x14ac:dyDescent="0.35">
      <c r="A7237" s="7">
        <v>42484.76152777778</v>
      </c>
      <c r="B7237" s="8" t="str">
        <f>HYPERLINK("https://twitter.com/feralf","@feralf")</f>
        <v>@feralf</v>
      </c>
      <c r="C7237" s="9" t="s">
        <v>8594</v>
      </c>
      <c r="D7237" s="9" t="s">
        <v>16071</v>
      </c>
      <c r="E7237" s="10" t="str">
        <f>HYPERLINK("https://twitter.com/feralf/status/724217981585252352","724217981585252352")</f>
        <v>724217981585252352</v>
      </c>
      <c r="F7237" s="11" t="s">
        <v>16072</v>
      </c>
      <c r="G7237" s="11">
        <v>1143</v>
      </c>
      <c r="H7237" s="11">
        <v>50</v>
      </c>
      <c r="I7237" s="11">
        <v>0</v>
      </c>
      <c r="J7237" s="11">
        <v>0</v>
      </c>
      <c r="K7237" s="11" t="s">
        <v>21</v>
      </c>
      <c r="L7237" s="7">
        <v>39500.042326388888</v>
      </c>
      <c r="M7237" s="12" t="s">
        <v>8596</v>
      </c>
      <c r="N7237" s="12" t="s">
        <v>8597</v>
      </c>
      <c r="O7237" s="10" t="str">
        <f>HYPERLINK("https://pbs.twimg.com/profile_images/458731293581144064/-4p5an2D_normal.png","View")</f>
        <v>View</v>
      </c>
      <c r="P7237" s="11"/>
    </row>
    <row r="7238" spans="1:16" ht="12.75" x14ac:dyDescent="0.35">
      <c r="A7238" s="7">
        <v>42484.763287037036</v>
      </c>
      <c r="B7238" s="8" t="str">
        <f>HYPERLINK("https://twitter.com/kis_sanya","@kis_sanya")</f>
        <v>@kis_sanya</v>
      </c>
      <c r="C7238" s="9" t="s">
        <v>16073</v>
      </c>
      <c r="D7238" s="9" t="s">
        <v>16074</v>
      </c>
      <c r="E7238" s="10" t="str">
        <f>HYPERLINK("https://twitter.com/kis_sanya/status/724218619241095168","724218619241095168")</f>
        <v>724218619241095168</v>
      </c>
      <c r="F7238" s="11" t="s">
        <v>20</v>
      </c>
      <c r="G7238" s="11">
        <v>11</v>
      </c>
      <c r="H7238" s="11">
        <v>183</v>
      </c>
      <c r="I7238" s="11">
        <v>0</v>
      </c>
      <c r="J7238" s="11">
        <v>0</v>
      </c>
      <c r="K7238" s="11" t="s">
        <v>21</v>
      </c>
      <c r="L7238" s="7">
        <v>41727.614722222221</v>
      </c>
      <c r="M7238" s="12" t="s">
        <v>16075</v>
      </c>
      <c r="N7238" s="12"/>
      <c r="O7238" s="10" t="str">
        <f>HYPERLINK("https://pbs.twimg.com/profile_images/724176400018755584/lZYHpzyJ_normal.jpg","View")</f>
        <v>View</v>
      </c>
      <c r="P7238" s="11"/>
    </row>
    <row r="7239" spans="1:16" ht="12.75" x14ac:dyDescent="0.35">
      <c r="A7239" s="7">
        <v>42484.765949074077</v>
      </c>
      <c r="B7239" s="8" t="str">
        <f>HYPERLINK("https://twitter.com/yhoalex132103","@yhoalex132103")</f>
        <v>@yhoalex132103</v>
      </c>
      <c r="C7239" s="9" t="s">
        <v>16076</v>
      </c>
      <c r="D7239" s="9" t="s">
        <v>15494</v>
      </c>
      <c r="E7239" s="10" t="str">
        <f>HYPERLINK("https://twitter.com/yhoalex132103/status/724219582345433089","724219582345433089")</f>
        <v>724219582345433089</v>
      </c>
      <c r="F7239" s="11" t="s">
        <v>48</v>
      </c>
      <c r="G7239" s="11">
        <v>380</v>
      </c>
      <c r="H7239" s="11">
        <v>448</v>
      </c>
      <c r="I7239" s="11">
        <v>17</v>
      </c>
      <c r="J7239" s="11">
        <v>0</v>
      </c>
      <c r="K7239" s="11" t="s">
        <v>21</v>
      </c>
      <c r="L7239" s="7">
        <v>41845.989340277782</v>
      </c>
      <c r="M7239" s="12" t="s">
        <v>16077</v>
      </c>
      <c r="N7239" s="12" t="s">
        <v>16078</v>
      </c>
      <c r="O7239" s="10" t="str">
        <f>HYPERLINK("https://pbs.twimg.com/profile_images/722178941201461248/8ZiuimyH_normal.jpg","View")</f>
        <v>View</v>
      </c>
      <c r="P7239" s="11"/>
    </row>
    <row r="7240" spans="1:16" ht="12.75" x14ac:dyDescent="0.35">
      <c r="A7240" s="7">
        <v>42484.76626157407</v>
      </c>
      <c r="B7240" s="8" t="str">
        <f>HYPERLINK("https://twitter.com/xboxat","@xboxat")</f>
        <v>@xboxat</v>
      </c>
      <c r="C7240" s="9" t="s">
        <v>16079</v>
      </c>
      <c r="D7240" s="9" t="s">
        <v>16080</v>
      </c>
      <c r="E7240" s="10" t="str">
        <f>HYPERLINK("https://twitter.com/xboxat/status/724219696921362432","724219696921362432")</f>
        <v>724219696921362432</v>
      </c>
      <c r="F7240" s="11" t="s">
        <v>68</v>
      </c>
      <c r="G7240" s="11">
        <v>2161</v>
      </c>
      <c r="H7240" s="11">
        <v>243</v>
      </c>
      <c r="I7240" s="11">
        <v>1</v>
      </c>
      <c r="J7240" s="11">
        <v>0</v>
      </c>
      <c r="K7240" s="11" t="s">
        <v>21</v>
      </c>
      <c r="L7240" s="7">
        <v>40308.848900462966</v>
      </c>
      <c r="M7240" s="12" t="s">
        <v>3289</v>
      </c>
      <c r="N7240" s="12" t="s">
        <v>16081</v>
      </c>
      <c r="O7240" s="10" t="str">
        <f>HYPERLINK("https://pbs.twimg.com/profile_images/587578640772292608/wW-wFGSi_normal.jpg","View")</f>
        <v>View</v>
      </c>
      <c r="P7240" s="11"/>
    </row>
    <row r="7241" spans="1:16" ht="12.75" x14ac:dyDescent="0.35">
      <c r="A7241" s="7">
        <v>42484.766736111109</v>
      </c>
      <c r="B7241" s="8" t="str">
        <f>HYPERLINK("https://twitter.com/VWBeetleSales","@VWBeetleSales")</f>
        <v>@VWBeetleSales</v>
      </c>
      <c r="C7241" s="9" t="s">
        <v>127</v>
      </c>
      <c r="D7241" s="9" t="s">
        <v>16082</v>
      </c>
      <c r="E7241" s="10" t="str">
        <f>HYPERLINK("https://twitter.com/VWBeetleSales/status/724219866534682624","724219866534682624")</f>
        <v>724219866534682624</v>
      </c>
      <c r="F7241" s="10" t="s">
        <v>124</v>
      </c>
      <c r="G7241" s="11">
        <v>38</v>
      </c>
      <c r="H7241" s="11">
        <v>32</v>
      </c>
      <c r="I7241" s="11">
        <v>0</v>
      </c>
      <c r="J7241" s="11">
        <v>0</v>
      </c>
      <c r="K7241" s="11" t="s">
        <v>21</v>
      </c>
      <c r="L7241" s="7">
        <v>42427.019756944443</v>
      </c>
      <c r="M7241" s="12" t="s">
        <v>129</v>
      </c>
      <c r="N7241" s="12" t="s">
        <v>130</v>
      </c>
      <c r="O7241" s="10" t="str">
        <f>HYPERLINK("https://pbs.twimg.com/profile_images/703294545195307008/qeCvrX86_normal.jpg","View")</f>
        <v>View</v>
      </c>
      <c r="P7241" s="11"/>
    </row>
    <row r="7242" spans="1:16" ht="12.75" x14ac:dyDescent="0.35">
      <c r="A7242" s="7">
        <v>42484.766770833332</v>
      </c>
      <c r="B7242" s="8" t="str">
        <f>HYPERLINK("https://twitter.com/BruckPelon","@BruckPelon")</f>
        <v>@BruckPelon</v>
      </c>
      <c r="C7242" s="9" t="s">
        <v>16083</v>
      </c>
      <c r="D7242" s="9" t="s">
        <v>16084</v>
      </c>
      <c r="E7242" s="10" t="str">
        <f>HYPERLINK("https://twitter.com/BruckPelon/status/724219880006782976","724219880006782976")</f>
        <v>724219880006782976</v>
      </c>
      <c r="F7242" s="11" t="s">
        <v>48</v>
      </c>
      <c r="G7242" s="11">
        <v>293</v>
      </c>
      <c r="H7242" s="11">
        <v>388</v>
      </c>
      <c r="I7242" s="11">
        <v>1</v>
      </c>
      <c r="J7242" s="11">
        <v>0</v>
      </c>
      <c r="K7242" s="11" t="s">
        <v>21</v>
      </c>
      <c r="L7242" s="7">
        <v>42160.044374999998</v>
      </c>
      <c r="M7242" s="12" t="s">
        <v>16085</v>
      </c>
      <c r="N7242" s="12" t="s">
        <v>16086</v>
      </c>
      <c r="O7242" s="10" t="str">
        <f>HYPERLINK("https://pbs.twimg.com/profile_images/712320572143697922/020UzVD1_normal.jpg","View")</f>
        <v>View</v>
      </c>
      <c r="P7242" s="11"/>
    </row>
    <row r="7243" spans="1:16" ht="12.75" x14ac:dyDescent="0.35">
      <c r="A7243" s="7">
        <v>42484.76762731481</v>
      </c>
      <c r="B7243" s="8" t="str">
        <f>HYPERLINK("https://twitter.com/JRs_partsonline","@JRs_partsonline")</f>
        <v>@JRs_partsonline</v>
      </c>
      <c r="C7243" s="9" t="s">
        <v>16011</v>
      </c>
      <c r="D7243" s="9" t="s">
        <v>15977</v>
      </c>
      <c r="E7243" s="10" t="str">
        <f>HYPERLINK("https://twitter.com/JRs_partsonline/status/724220190024708096","724220190024708096")</f>
        <v>724220190024708096</v>
      </c>
      <c r="F7243" s="11" t="s">
        <v>288</v>
      </c>
      <c r="G7243" s="11">
        <v>11724</v>
      </c>
      <c r="H7243" s="11">
        <v>10630</v>
      </c>
      <c r="I7243" s="11">
        <v>5</v>
      </c>
      <c r="J7243" s="11">
        <v>0</v>
      </c>
      <c r="K7243" s="11" t="s">
        <v>21</v>
      </c>
      <c r="L7243" s="7">
        <v>40746.122870370367</v>
      </c>
      <c r="M7243" s="12" t="s">
        <v>16087</v>
      </c>
      <c r="N7243" s="12" t="s">
        <v>16088</v>
      </c>
      <c r="O7243" s="10" t="str">
        <f>HYPERLINK("https://pbs.twimg.com/profile_images/534741942119051264/SmovSGTN_normal.png","View")</f>
        <v>View</v>
      </c>
      <c r="P7243" s="11"/>
    </row>
    <row r="7244" spans="1:16" ht="12.75" x14ac:dyDescent="0.35">
      <c r="A7244" s="7">
        <v>42484.76762731481</v>
      </c>
      <c r="B7244" s="8" t="str">
        <f>HYPERLINK("https://twitter.com/Oscar_Patillo","@Oscar_Patillo")</f>
        <v>@Oscar_Patillo</v>
      </c>
      <c r="C7244" s="9" t="s">
        <v>16089</v>
      </c>
      <c r="D7244" s="9" t="s">
        <v>3265</v>
      </c>
      <c r="E7244" s="10" t="str">
        <f>HYPERLINK("https://twitter.com/Oscar_Patillo/status/724220191794667520","724220191794667520")</f>
        <v>724220191794667520</v>
      </c>
      <c r="F7244" s="11" t="s">
        <v>16090</v>
      </c>
      <c r="G7244" s="11">
        <v>532</v>
      </c>
      <c r="H7244" s="11">
        <v>2318</v>
      </c>
      <c r="I7244" s="11">
        <v>5</v>
      </c>
      <c r="J7244" s="11">
        <v>0</v>
      </c>
      <c r="K7244" s="11" t="s">
        <v>21</v>
      </c>
      <c r="L7244" s="7">
        <v>40677.817083333335</v>
      </c>
      <c r="M7244" s="12" t="s">
        <v>3270</v>
      </c>
      <c r="N7244" s="12" t="s">
        <v>16091</v>
      </c>
      <c r="O7244" s="10" t="str">
        <f>HYPERLINK("https://pbs.twimg.com/profile_images/1353856007/92386578442_normal.jpg","View")</f>
        <v>View</v>
      </c>
      <c r="P7244" s="11"/>
    </row>
    <row r="7245" spans="1:16" ht="12.75" x14ac:dyDescent="0.35">
      <c r="A7245" s="7">
        <v>42484.768217592587</v>
      </c>
      <c r="B7245" s="8" t="str">
        <f>HYPERLINK("https://twitter.com/HSchulz50","@HSchulz50")</f>
        <v>@HSchulz50</v>
      </c>
      <c r="C7245" s="9" t="s">
        <v>16092</v>
      </c>
      <c r="D7245" s="9" t="s">
        <v>10856</v>
      </c>
      <c r="E7245" s="10" t="str">
        <f>HYPERLINK("https://twitter.com/HSchulz50/status/724220404915691521","724220404915691521")</f>
        <v>724220404915691521</v>
      </c>
      <c r="F7245" s="11" t="s">
        <v>43</v>
      </c>
      <c r="G7245" s="11">
        <v>12</v>
      </c>
      <c r="H7245" s="11">
        <v>46</v>
      </c>
      <c r="I7245" s="11">
        <v>5</v>
      </c>
      <c r="J7245" s="11">
        <v>0</v>
      </c>
      <c r="K7245" s="11" t="s">
        <v>21</v>
      </c>
      <c r="L7245" s="7">
        <v>40598.61886574074</v>
      </c>
      <c r="M7245" s="12" t="s">
        <v>16093</v>
      </c>
      <c r="N7245" s="12" t="s">
        <v>16094</v>
      </c>
      <c r="O7245" s="10" t="str">
        <f>HYPERLINK("https://pbs.twimg.com/profile_images/662933534638792704/Dksc_Ut9_normal.jpg","View")</f>
        <v>View</v>
      </c>
      <c r="P7245" s="11"/>
    </row>
    <row r="7246" spans="1:16" ht="12.75" x14ac:dyDescent="0.35">
      <c r="A7246" s="7">
        <v>42484.76939814815</v>
      </c>
      <c r="B7246" s="8" t="str">
        <f>HYPERLINK("https://twitter.com/keithpp","@keithpp")</f>
        <v>@keithpp</v>
      </c>
      <c r="C7246" s="9" t="s">
        <v>16095</v>
      </c>
      <c r="D7246" s="9" t="s">
        <v>16096</v>
      </c>
      <c r="E7246" s="10" t="str">
        <f>HYPERLINK("https://twitter.com/keithpp/status/724220831572873216","724220831572873216")</f>
        <v>724220831572873216</v>
      </c>
      <c r="F7246" s="11" t="s">
        <v>43</v>
      </c>
      <c r="G7246" s="11">
        <v>2228</v>
      </c>
      <c r="H7246" s="11">
        <v>69</v>
      </c>
      <c r="I7246" s="11">
        <v>0</v>
      </c>
      <c r="J7246" s="11">
        <v>0</v>
      </c>
      <c r="K7246" s="11" t="s">
        <v>21</v>
      </c>
      <c r="L7246" s="7">
        <v>39994.904907407406</v>
      </c>
      <c r="M7246" s="12" t="s">
        <v>16097</v>
      </c>
      <c r="N7246" s="12" t="s">
        <v>16098</v>
      </c>
      <c r="O7246" s="10" t="str">
        <f>HYPERLINK("https://pbs.twimg.com/profile_images/378800000718898779/cd0ae7e67c37cf4fa245a7aeeb0082dc_normal.jpeg","View")</f>
        <v>View</v>
      </c>
      <c r="P7246" s="11"/>
    </row>
    <row r="7247" spans="1:16" ht="12.75" x14ac:dyDescent="0.35">
      <c r="A7247" s="7">
        <v>42484.770231481481</v>
      </c>
      <c r="B7247" s="8" t="str">
        <f>HYPERLINK("https://twitter.com/VWBeetleSales","@VWBeetleSales")</f>
        <v>@VWBeetleSales</v>
      </c>
      <c r="C7247" s="9" t="s">
        <v>127</v>
      </c>
      <c r="D7247" s="9" t="s">
        <v>16099</v>
      </c>
      <c r="E7247" s="10" t="str">
        <f>HYPERLINK("https://twitter.com/VWBeetleSales/status/724221134200180737","724221134200180737")</f>
        <v>724221134200180737</v>
      </c>
      <c r="F7247" s="10" t="s">
        <v>124</v>
      </c>
      <c r="G7247" s="11">
        <v>38</v>
      </c>
      <c r="H7247" s="11">
        <v>32</v>
      </c>
      <c r="I7247" s="11">
        <v>0</v>
      </c>
      <c r="J7247" s="11">
        <v>0</v>
      </c>
      <c r="K7247" s="11" t="s">
        <v>21</v>
      </c>
      <c r="L7247" s="7">
        <v>42427.019756944443</v>
      </c>
      <c r="M7247" s="12" t="s">
        <v>129</v>
      </c>
      <c r="N7247" s="12" t="s">
        <v>130</v>
      </c>
      <c r="O7247" s="10" t="str">
        <f>HYPERLINK("https://pbs.twimg.com/profile_images/703294545195307008/qeCvrX86_normal.jpg","View")</f>
        <v>View</v>
      </c>
      <c r="P7247" s="11"/>
    </row>
    <row r="7248" spans="1:16" ht="12.75" x14ac:dyDescent="0.35">
      <c r="A7248" s="7">
        <v>42484.770625000005</v>
      </c>
      <c r="B7248" s="8" t="str">
        <f>HYPERLINK("https://twitter.com/ElroyWonder","@ElroyWonder")</f>
        <v>@ElroyWonder</v>
      </c>
      <c r="C7248" s="9" t="s">
        <v>16100</v>
      </c>
      <c r="D7248" s="9" t="s">
        <v>15494</v>
      </c>
      <c r="E7248" s="10" t="str">
        <f>HYPERLINK("https://twitter.com/ElroyWonder/status/724221278169739264","724221278169739264")</f>
        <v>724221278169739264</v>
      </c>
      <c r="F7248" s="11" t="s">
        <v>48</v>
      </c>
      <c r="G7248" s="11">
        <v>1651</v>
      </c>
      <c r="H7248" s="11">
        <v>5001</v>
      </c>
      <c r="I7248" s="11">
        <v>17</v>
      </c>
      <c r="J7248" s="11">
        <v>0</v>
      </c>
      <c r="K7248" s="11" t="s">
        <v>21</v>
      </c>
      <c r="L7248" s="7">
        <v>42427.691898148143</v>
      </c>
      <c r="M7248" s="12" t="s">
        <v>3557</v>
      </c>
      <c r="N7248" s="12" t="s">
        <v>16101</v>
      </c>
      <c r="O7248" s="10" t="str">
        <f>HYPERLINK("https://pbs.twimg.com/profile_images/710998412557213696/35ck8XjS_normal.jpg","View")</f>
        <v>View</v>
      </c>
      <c r="P7248" s="11"/>
    </row>
    <row r="7249" spans="1:16" ht="12.75" x14ac:dyDescent="0.35">
      <c r="A7249" s="7">
        <v>42484.77134259259</v>
      </c>
      <c r="B7249" s="8" t="str">
        <f>HYPERLINK("https://twitter.com/marytheluckyone","@marytheluckyone")</f>
        <v>@marytheluckyone</v>
      </c>
      <c r="C7249" s="9" t="s">
        <v>16102</v>
      </c>
      <c r="D7249" s="9" t="s">
        <v>16103</v>
      </c>
      <c r="E7249" s="10" t="str">
        <f>HYPERLINK("https://twitter.com/marytheluckyone/status/724221538275328000","724221538275328000")</f>
        <v>724221538275328000</v>
      </c>
      <c r="F7249" s="11" t="s">
        <v>43</v>
      </c>
      <c r="G7249" s="11">
        <v>4702</v>
      </c>
      <c r="H7249" s="11">
        <v>3921</v>
      </c>
      <c r="I7249" s="11">
        <v>0</v>
      </c>
      <c r="J7249" s="11">
        <v>0</v>
      </c>
      <c r="K7249" s="11" t="s">
        <v>21</v>
      </c>
      <c r="L7249" s="7">
        <v>41049.680335648147</v>
      </c>
      <c r="M7249" s="12" t="s">
        <v>2149</v>
      </c>
      <c r="N7249" s="12" t="s">
        <v>16104</v>
      </c>
      <c r="O7249" s="10" t="str">
        <f>HYPERLINK("https://pbs.twimg.com/profile_images/378800000303960070/4a5ba62938f3b770f0c5eb9a78252397_normal.jpeg","View")</f>
        <v>View</v>
      </c>
      <c r="P7249" s="11"/>
    </row>
    <row r="7250" spans="1:16" ht="12.75" x14ac:dyDescent="0.35">
      <c r="A7250" s="7">
        <v>42484.77143518519</v>
      </c>
      <c r="B7250" s="8" t="str">
        <f>HYPERLINK("https://twitter.com/XclusivModz","@XclusivModz")</f>
        <v>@XclusivModz</v>
      </c>
      <c r="C7250" s="9" t="s">
        <v>16105</v>
      </c>
      <c r="D7250" s="9" t="s">
        <v>16106</v>
      </c>
      <c r="E7250" s="10" t="str">
        <f>HYPERLINK("https://twitter.com/XclusivModz/status/724221571305447424","724221571305447424")</f>
        <v>724221571305447424</v>
      </c>
      <c r="F7250" s="11" t="s">
        <v>53</v>
      </c>
      <c r="G7250" s="11">
        <v>1539</v>
      </c>
      <c r="H7250" s="11">
        <v>1822</v>
      </c>
      <c r="I7250" s="11">
        <v>0</v>
      </c>
      <c r="J7250" s="11">
        <v>0</v>
      </c>
      <c r="K7250" s="11" t="s">
        <v>21</v>
      </c>
      <c r="L7250" s="7">
        <v>40682.815451388888</v>
      </c>
      <c r="M7250" s="12" t="s">
        <v>16107</v>
      </c>
      <c r="N7250" s="12" t="s">
        <v>16108</v>
      </c>
      <c r="O7250" s="10" t="str">
        <f>HYPERLINK("https://pbs.twimg.com/profile_images/544963587069214720/A_lRrcY4_normal.jpeg","View")</f>
        <v>View</v>
      </c>
      <c r="P7250" s="11"/>
    </row>
    <row r="7251" spans="1:16" ht="12.75" x14ac:dyDescent="0.35">
      <c r="A7251" s="7">
        <v>42484.771643518514</v>
      </c>
      <c r="B7251" s="8" t="str">
        <f>HYPERLINK("https://twitter.com/mvdweyer","@mvdweyer")</f>
        <v>@mvdweyer</v>
      </c>
      <c r="C7251" s="9" t="s">
        <v>1319</v>
      </c>
      <c r="D7251" s="9" t="s">
        <v>16109</v>
      </c>
      <c r="E7251" s="10" t="str">
        <f>HYPERLINK("https://twitter.com/mvdweyer/status/724221645867589633","724221645867589633")</f>
        <v>724221645867589633</v>
      </c>
      <c r="F7251" s="11" t="s">
        <v>91</v>
      </c>
      <c r="G7251" s="11">
        <v>478</v>
      </c>
      <c r="H7251" s="11">
        <v>830</v>
      </c>
      <c r="I7251" s="11">
        <v>0</v>
      </c>
      <c r="J7251" s="11">
        <v>0</v>
      </c>
      <c r="K7251" s="11" t="s">
        <v>21</v>
      </c>
      <c r="L7251" s="7">
        <v>41129.776863425926</v>
      </c>
      <c r="M7251" s="12" t="s">
        <v>1229</v>
      </c>
      <c r="N7251" s="12" t="s">
        <v>1321</v>
      </c>
      <c r="O7251" s="10" t="str">
        <f>HYPERLINK("https://pbs.twimg.com/profile_images/489747056584445953/3tvslEko_normal.jpeg","View")</f>
        <v>View</v>
      </c>
      <c r="P7251" s="11"/>
    </row>
    <row r="7252" spans="1:16" ht="12.75" x14ac:dyDescent="0.35">
      <c r="A7252" s="7">
        <v>42484.772546296299</v>
      </c>
      <c r="B7252" s="8" t="str">
        <f>HYPERLINK("https://twitter.com/seiya_tomtom","@seiya_tomtom")</f>
        <v>@seiya_tomtom</v>
      </c>
      <c r="C7252" s="9" t="s">
        <v>16110</v>
      </c>
      <c r="D7252" s="9" t="s">
        <v>16111</v>
      </c>
      <c r="E7252" s="10" t="str">
        <f>HYPERLINK("https://twitter.com/seiya_tomtom/status/724221973019000833","724221973019000833")</f>
        <v>724221973019000833</v>
      </c>
      <c r="F7252" s="11" t="s">
        <v>20</v>
      </c>
      <c r="G7252" s="11">
        <v>326</v>
      </c>
      <c r="H7252" s="11">
        <v>788</v>
      </c>
      <c r="I7252" s="11">
        <v>0</v>
      </c>
      <c r="J7252" s="11">
        <v>1</v>
      </c>
      <c r="K7252" s="11" t="s">
        <v>21</v>
      </c>
      <c r="L7252" s="7">
        <v>40398.91611111111</v>
      </c>
      <c r="M7252" s="12" t="s">
        <v>16112</v>
      </c>
      <c r="N7252" s="12" t="s">
        <v>16113</v>
      </c>
      <c r="O7252" s="10" t="str">
        <f>HYPERLINK("https://pbs.twimg.com/profile_images/570885814364553216/Yk9sK-t4_normal.jpeg","View")</f>
        <v>View</v>
      </c>
      <c r="P7252" s="11"/>
    </row>
    <row r="7253" spans="1:16" ht="12.75" x14ac:dyDescent="0.35">
      <c r="A7253" s="7">
        <v>42484.773298611108</v>
      </c>
      <c r="B7253" s="8" t="str">
        <f>HYPERLINK("https://twitter.com/Teresaribera","@Teresaribera")</f>
        <v>@Teresaribera</v>
      </c>
      <c r="C7253" s="9" t="s">
        <v>16114</v>
      </c>
      <c r="D7253" s="9" t="s">
        <v>16115</v>
      </c>
      <c r="E7253" s="10" t="str">
        <f>HYPERLINK("https://twitter.com/Teresaribera/status/724222246357741568","724222246357741568")</f>
        <v>724222246357741568</v>
      </c>
      <c r="F7253" s="11" t="s">
        <v>43</v>
      </c>
      <c r="G7253" s="11">
        <v>3682</v>
      </c>
      <c r="H7253" s="11">
        <v>1062</v>
      </c>
      <c r="I7253" s="11">
        <v>2</v>
      </c>
      <c r="J7253" s="11">
        <v>0</v>
      </c>
      <c r="K7253" s="11" t="s">
        <v>21</v>
      </c>
      <c r="L7253" s="7">
        <v>40898.921875</v>
      </c>
      <c r="M7253" s="12" t="s">
        <v>16116</v>
      </c>
      <c r="N7253" s="12"/>
      <c r="O7253" s="10" t="str">
        <f>HYPERLINK("https://pbs.twimg.com/profile_images/501028605162303490/2Y0djTtn_normal.jpeg","View")</f>
        <v>View</v>
      </c>
      <c r="P7253" s="11"/>
    </row>
    <row r="7254" spans="1:16" ht="12.75" x14ac:dyDescent="0.35">
      <c r="A7254" s="7">
        <v>42484.774756944447</v>
      </c>
      <c r="B7254" s="8" t="str">
        <f>HYPERLINK("https://twitter.com/EHcars","@EHcars")</f>
        <v>@EHcars</v>
      </c>
      <c r="C7254" s="9" t="s">
        <v>10973</v>
      </c>
      <c r="D7254" s="9" t="s">
        <v>16117</v>
      </c>
      <c r="E7254" s="10" t="str">
        <f>HYPERLINK("https://twitter.com/EHcars/status/724222774227677184","724222774227677184")</f>
        <v>724222774227677184</v>
      </c>
      <c r="F7254" s="11" t="s">
        <v>1838</v>
      </c>
      <c r="G7254" s="11">
        <v>1374</v>
      </c>
      <c r="H7254" s="11">
        <v>1523</v>
      </c>
      <c r="I7254" s="11">
        <v>0</v>
      </c>
      <c r="J7254" s="11">
        <v>0</v>
      </c>
      <c r="K7254" s="11" t="s">
        <v>21</v>
      </c>
      <c r="L7254" s="7">
        <v>40658.735462962963</v>
      </c>
      <c r="M7254" s="12" t="s">
        <v>10975</v>
      </c>
      <c r="N7254" s="12" t="s">
        <v>10976</v>
      </c>
      <c r="O7254" s="10" t="str">
        <f>HYPERLINK("https://pbs.twimg.com/profile_images/619590752906149888/gOJBR12k_normal.jpg","View")</f>
        <v>View</v>
      </c>
      <c r="P7254" s="11"/>
    </row>
    <row r="7255" spans="1:16" ht="12.75" x14ac:dyDescent="0.35">
      <c r="A7255" s="7">
        <v>42484.774780092594</v>
      </c>
      <c r="B7255" s="8" t="str">
        <f>HYPERLINK("https://twitter.com/AbelLosada","@AbelLosada")</f>
        <v>@AbelLosada</v>
      </c>
      <c r="C7255" s="9" t="s">
        <v>16118</v>
      </c>
      <c r="D7255" s="9" t="s">
        <v>16119</v>
      </c>
      <c r="E7255" s="10" t="str">
        <f>HYPERLINK("https://twitter.com/AbelLosada/status/724222784793137152","724222784793137152")</f>
        <v>724222784793137152</v>
      </c>
      <c r="F7255" s="11" t="s">
        <v>48</v>
      </c>
      <c r="G7255" s="11">
        <v>515</v>
      </c>
      <c r="H7255" s="11">
        <v>236</v>
      </c>
      <c r="I7255" s="11">
        <v>2</v>
      </c>
      <c r="J7255" s="11">
        <v>0</v>
      </c>
      <c r="K7255" s="11" t="s">
        <v>21</v>
      </c>
      <c r="L7255" s="7">
        <v>42164.524768518517</v>
      </c>
      <c r="M7255" s="12" t="s">
        <v>16120</v>
      </c>
      <c r="N7255" s="12" t="s">
        <v>16121</v>
      </c>
      <c r="O7255" s="10" t="str">
        <f>HYPERLINK("https://pbs.twimg.com/profile_images/700662806656344065/PINWDNIg_normal.jpg","View")</f>
        <v>View</v>
      </c>
      <c r="P7255" s="11"/>
    </row>
    <row r="7256" spans="1:16" ht="12.75" x14ac:dyDescent="0.35">
      <c r="A7256" s="7">
        <v>42484.775370370371</v>
      </c>
      <c r="B7256" s="8" t="str">
        <f>HYPERLINK("https://twitter.com/VWBeetleSales","@VWBeetleSales")</f>
        <v>@VWBeetleSales</v>
      </c>
      <c r="C7256" s="9" t="s">
        <v>127</v>
      </c>
      <c r="D7256" s="9" t="s">
        <v>16122</v>
      </c>
      <c r="E7256" s="10" t="str">
        <f>HYPERLINK("https://twitter.com/VWBeetleSales/status/724222998287245314","724222998287245314")</f>
        <v>724222998287245314</v>
      </c>
      <c r="F7256" s="10" t="s">
        <v>124</v>
      </c>
      <c r="G7256" s="11">
        <v>38</v>
      </c>
      <c r="H7256" s="11">
        <v>32</v>
      </c>
      <c r="I7256" s="11">
        <v>0</v>
      </c>
      <c r="J7256" s="11">
        <v>0</v>
      </c>
      <c r="K7256" s="11" t="s">
        <v>21</v>
      </c>
      <c r="L7256" s="7">
        <v>42427.019756944443</v>
      </c>
      <c r="M7256" s="12" t="s">
        <v>129</v>
      </c>
      <c r="N7256" s="12" t="s">
        <v>130</v>
      </c>
      <c r="O7256" s="10" t="str">
        <f>HYPERLINK("https://pbs.twimg.com/profile_images/703294545195307008/qeCvrX86_normal.jpg","View")</f>
        <v>View</v>
      </c>
      <c r="P7256" s="11"/>
    </row>
    <row r="7257" spans="1:16" ht="12.75" x14ac:dyDescent="0.35">
      <c r="A7257" s="7">
        <v>42484.775520833333</v>
      </c>
      <c r="B7257" s="8" t="str">
        <f>HYPERLINK("https://twitter.com/eduperero","@eduperero")</f>
        <v>@eduperero</v>
      </c>
      <c r="C7257" s="9" t="s">
        <v>16123</v>
      </c>
      <c r="D7257" s="9" t="s">
        <v>16119</v>
      </c>
      <c r="E7257" s="10" t="str">
        <f>HYPERLINK("https://twitter.com/eduperero/status/724223053232758784","724223053232758784")</f>
        <v>724223053232758784</v>
      </c>
      <c r="F7257" s="11" t="s">
        <v>48</v>
      </c>
      <c r="G7257" s="11">
        <v>2857</v>
      </c>
      <c r="H7257" s="11">
        <v>1397</v>
      </c>
      <c r="I7257" s="11">
        <v>2</v>
      </c>
      <c r="J7257" s="11">
        <v>0</v>
      </c>
      <c r="K7257" s="11" t="s">
        <v>21</v>
      </c>
      <c r="L7257" s="7">
        <v>40619.950219907405</v>
      </c>
      <c r="M7257" s="12"/>
      <c r="N7257" s="12" t="s">
        <v>16124</v>
      </c>
      <c r="O7257" s="10" t="str">
        <f>HYPERLINK("https://pbs.twimg.com/profile_images/704989553413771264/csCZ3zqj_normal.jpg","View")</f>
        <v>View</v>
      </c>
      <c r="P7257" s="11"/>
    </row>
    <row r="7258" spans="1:16" ht="12.75" x14ac:dyDescent="0.35">
      <c r="A7258" s="7">
        <v>42484.776006944448</v>
      </c>
      <c r="B7258" s="8" t="str">
        <f>HYPERLINK("https://twitter.com/vwgroup_de","@vwgroup_de")</f>
        <v>@vwgroup_de</v>
      </c>
      <c r="C7258" s="9" t="s">
        <v>7462</v>
      </c>
      <c r="D7258" s="9" t="s">
        <v>16125</v>
      </c>
      <c r="E7258" s="10" t="str">
        <f>HYPERLINK("https://twitter.com/vwgroup_de/status/724223228424626176","724223228424626176")</f>
        <v>724223228424626176</v>
      </c>
      <c r="F7258" s="11" t="s">
        <v>152</v>
      </c>
      <c r="G7258" s="11">
        <v>7533</v>
      </c>
      <c r="H7258" s="11">
        <v>605</v>
      </c>
      <c r="I7258" s="11">
        <v>0</v>
      </c>
      <c r="J7258" s="11">
        <v>1</v>
      </c>
      <c r="K7258" s="11" t="s">
        <v>21</v>
      </c>
      <c r="L7258" s="7">
        <v>42041.614525462966</v>
      </c>
      <c r="M7258" s="12" t="s">
        <v>1690</v>
      </c>
      <c r="N7258" s="12" t="s">
        <v>7463</v>
      </c>
      <c r="O7258" s="10" t="str">
        <f>HYPERLINK("https://pbs.twimg.com/profile_images/666952128108363777/FL78g9n-_normal.png","View")</f>
        <v>View</v>
      </c>
      <c r="P7258" s="11"/>
    </row>
    <row r="7259" spans="1:16" ht="12.75" x14ac:dyDescent="0.35">
      <c r="A7259" s="7">
        <v>42484.776874999996</v>
      </c>
      <c r="B7259" s="8" t="str">
        <f>HYPERLINK("https://twitter.com/seannosoul","@seannosoul")</f>
        <v>@seannosoul</v>
      </c>
      <c r="C7259" s="9" t="s">
        <v>15267</v>
      </c>
      <c r="D7259" s="9" t="s">
        <v>16126</v>
      </c>
      <c r="E7259" s="10" t="str">
        <f>HYPERLINK("https://twitter.com/seannosoul/status/724223542045335552","724223542045335552")</f>
        <v>724223542045335552</v>
      </c>
      <c r="F7259" s="11" t="s">
        <v>20</v>
      </c>
      <c r="G7259" s="11">
        <v>4701</v>
      </c>
      <c r="H7259" s="11">
        <v>1204</v>
      </c>
      <c r="I7259" s="11">
        <v>0</v>
      </c>
      <c r="J7259" s="11">
        <v>0</v>
      </c>
      <c r="K7259" s="11" t="s">
        <v>21</v>
      </c>
      <c r="L7259" s="7">
        <v>39932.219074074077</v>
      </c>
      <c r="M7259" s="12" t="s">
        <v>15269</v>
      </c>
      <c r="N7259" s="12" t="s">
        <v>15270</v>
      </c>
      <c r="O7259" s="10" t="str">
        <f>HYPERLINK("https://pbs.twimg.com/profile_images/709074217153777664/rZPD8L8m_normal.jpg","View")</f>
        <v>View</v>
      </c>
      <c r="P7259" s="11"/>
    </row>
    <row r="7260" spans="1:16" ht="12.75" x14ac:dyDescent="0.35">
      <c r="A7260" s="7">
        <v>42484.777094907404</v>
      </c>
      <c r="B7260" s="8" t="str">
        <f>HYPERLINK("https://twitter.com/MarcosPalacio_","@MarcosPalacio_")</f>
        <v>@MarcosPalacio_</v>
      </c>
      <c r="C7260" s="9" t="s">
        <v>16127</v>
      </c>
      <c r="D7260" s="9" t="s">
        <v>14518</v>
      </c>
      <c r="E7260" s="10" t="str">
        <f>HYPERLINK("https://twitter.com/MarcosPalacio_/status/724223620864724992","724223620864724992")</f>
        <v>724223620864724992</v>
      </c>
      <c r="F7260" s="11" t="s">
        <v>367</v>
      </c>
      <c r="G7260" s="11">
        <v>139</v>
      </c>
      <c r="H7260" s="11">
        <v>939</v>
      </c>
      <c r="I7260" s="11">
        <v>70</v>
      </c>
      <c r="J7260" s="11">
        <v>0</v>
      </c>
      <c r="K7260" s="11" t="s">
        <v>21</v>
      </c>
      <c r="L7260" s="7">
        <v>41124.37599537037</v>
      </c>
      <c r="M7260" s="12" t="s">
        <v>13323</v>
      </c>
      <c r="N7260" s="12" t="s">
        <v>16128</v>
      </c>
      <c r="O7260" s="10" t="str">
        <f>HYPERLINK("https://pbs.twimg.com/profile_images/722514260392296449/uQ4hgq6N_normal.jpg","View")</f>
        <v>View</v>
      </c>
      <c r="P7260" s="11"/>
    </row>
    <row r="7261" spans="1:16" ht="12.75" x14ac:dyDescent="0.35">
      <c r="A7261" s="7">
        <v>42484.777233796296</v>
      </c>
      <c r="B7261" s="8" t="str">
        <f>HYPERLINK("https://twitter.com/enormgruen","@enormgruen")</f>
        <v>@enormgruen</v>
      </c>
      <c r="C7261" s="9" t="s">
        <v>16129</v>
      </c>
      <c r="D7261" s="9" t="s">
        <v>16130</v>
      </c>
      <c r="E7261" s="10" t="str">
        <f>HYPERLINK("https://twitter.com/enormgruen/status/724223673033461760","724223673033461760")</f>
        <v>724223673033461760</v>
      </c>
      <c r="F7261" s="11" t="s">
        <v>20</v>
      </c>
      <c r="G7261" s="11">
        <v>1272</v>
      </c>
      <c r="H7261" s="11">
        <v>1273</v>
      </c>
      <c r="I7261" s="11">
        <v>0</v>
      </c>
      <c r="J7261" s="11">
        <v>0</v>
      </c>
      <c r="K7261" s="11" t="s">
        <v>21</v>
      </c>
      <c r="L7261" s="7">
        <v>40494.55641203704</v>
      </c>
      <c r="M7261" s="12" t="s">
        <v>975</v>
      </c>
      <c r="N7261" s="12" t="s">
        <v>16131</v>
      </c>
      <c r="O7261" s="10" t="str">
        <f>HYPERLINK("https://pbs.twimg.com/profile_images/3314186245/f45276fa4db865a49c10f61c9208d980_normal.jpeg","View")</f>
        <v>View</v>
      </c>
      <c r="P7261" s="11"/>
    </row>
    <row r="7262" spans="1:16" ht="12.75" x14ac:dyDescent="0.35">
      <c r="A7262" s="7">
        <v>42484.777754629627</v>
      </c>
      <c r="B7262" s="8" t="str">
        <f>HYPERLINK("https://twitter.com/OliverJMMueller","@OliverJMMueller")</f>
        <v>@OliverJMMueller</v>
      </c>
      <c r="C7262" s="9" t="s">
        <v>16132</v>
      </c>
      <c r="D7262" s="9" t="s">
        <v>16133</v>
      </c>
      <c r="E7262" s="10" t="str">
        <f>HYPERLINK("https://twitter.com/OliverJMMueller/status/724223859700936704","724223859700936704")</f>
        <v>724223859700936704</v>
      </c>
      <c r="F7262" s="11" t="s">
        <v>48</v>
      </c>
      <c r="G7262" s="11">
        <v>113</v>
      </c>
      <c r="H7262" s="11">
        <v>223</v>
      </c>
      <c r="I7262" s="11">
        <v>0</v>
      </c>
      <c r="J7262" s="11">
        <v>0</v>
      </c>
      <c r="K7262" s="11" t="s">
        <v>21</v>
      </c>
      <c r="L7262" s="7">
        <v>40313.745081018518</v>
      </c>
      <c r="M7262" s="12" t="s">
        <v>1359</v>
      </c>
      <c r="N7262" s="12" t="s">
        <v>16134</v>
      </c>
      <c r="O7262" s="10" t="str">
        <f>HYPERLINK("https://pbs.twimg.com/profile_images/636979078311079937/tyjaaFSL_normal.jpg","View")</f>
        <v>View</v>
      </c>
      <c r="P7262" s="11"/>
    </row>
    <row r="7263" spans="1:16" ht="12.75" x14ac:dyDescent="0.35">
      <c r="A7263" s="7">
        <v>42484.777847222227</v>
      </c>
      <c r="B7263" s="8" t="str">
        <f>HYPERLINK("https://twitter.com/DiscoverHaku","@DiscoverHaku")</f>
        <v>@DiscoverHaku</v>
      </c>
      <c r="C7263" s="9" t="s">
        <v>16135</v>
      </c>
      <c r="D7263" s="9" t="s">
        <v>16136</v>
      </c>
      <c r="E7263" s="10" t="str">
        <f>HYPERLINK("https://twitter.com/DiscoverHaku/status/724223894584975360","724223894584975360")</f>
        <v>724223894584975360</v>
      </c>
      <c r="F7263" s="11" t="s">
        <v>16137</v>
      </c>
      <c r="G7263" s="11">
        <v>1367</v>
      </c>
      <c r="H7263" s="11">
        <v>3176</v>
      </c>
      <c r="I7263" s="11">
        <v>0</v>
      </c>
      <c r="J7263" s="11">
        <v>0</v>
      </c>
      <c r="K7263" s="11" t="s">
        <v>21</v>
      </c>
      <c r="L7263" s="7">
        <v>42033.002951388888</v>
      </c>
      <c r="M7263" s="12"/>
      <c r="N7263" s="12" t="s">
        <v>16138</v>
      </c>
      <c r="O7263" s="10" t="str">
        <f>HYPERLINK("https://pbs.twimg.com/profile_images/598032084771348480/ycXInumA_normal.png","View")</f>
        <v>View</v>
      </c>
      <c r="P7263" s="11"/>
    </row>
    <row r="7264" spans="1:16" ht="12.75" x14ac:dyDescent="0.35">
      <c r="A7264" s="7">
        <v>42484.778020833328</v>
      </c>
      <c r="B7264" s="8" t="str">
        <f t="shared" ref="B7264:B7266" si="701">HYPERLINK("https://twitter.com/beetlebug1938","@beetlebug1938")</f>
        <v>@beetlebug1938</v>
      </c>
      <c r="C7264" s="9" t="s">
        <v>66</v>
      </c>
      <c r="D7264" s="9" t="s">
        <v>16139</v>
      </c>
      <c r="E7264" s="10" t="str">
        <f>HYPERLINK("https://twitter.com/beetlebug1938/status/724223955905712128","724223955905712128")</f>
        <v>724223955905712128</v>
      </c>
      <c r="F7264" s="11" t="s">
        <v>68</v>
      </c>
      <c r="G7264" s="11">
        <v>376</v>
      </c>
      <c r="H7264" s="11">
        <v>2228</v>
      </c>
      <c r="I7264" s="11">
        <v>0</v>
      </c>
      <c r="J7264" s="11">
        <v>0</v>
      </c>
      <c r="K7264" s="11" t="s">
        <v>21</v>
      </c>
      <c r="L7264" s="7">
        <v>42469.863865740743</v>
      </c>
      <c r="M7264" s="12" t="s">
        <v>69</v>
      </c>
      <c r="N7264" s="12"/>
      <c r="O7264" s="10" t="str">
        <f t="shared" ref="O7264:O7266" si="702">HYPERLINK("https://pbs.twimg.com/profile_images/718820712757215233/LXXndPTS_normal.jpg","View")</f>
        <v>View</v>
      </c>
      <c r="P7264" s="11"/>
    </row>
    <row r="7265" spans="1:16" ht="12.75" x14ac:dyDescent="0.35">
      <c r="A7265" s="7">
        <v>42484.77815972222</v>
      </c>
      <c r="B7265" s="8" t="str">
        <f t="shared" si="701"/>
        <v>@beetlebug1938</v>
      </c>
      <c r="C7265" s="9" t="s">
        <v>66</v>
      </c>
      <c r="D7265" s="9" t="s">
        <v>16140</v>
      </c>
      <c r="E7265" s="10" t="str">
        <f>HYPERLINK("https://twitter.com/beetlebug1938/status/724224006333845504","724224006333845504")</f>
        <v>724224006333845504</v>
      </c>
      <c r="F7265" s="11" t="s">
        <v>68</v>
      </c>
      <c r="G7265" s="11">
        <v>376</v>
      </c>
      <c r="H7265" s="11">
        <v>2228</v>
      </c>
      <c r="I7265" s="11">
        <v>0</v>
      </c>
      <c r="J7265" s="11">
        <v>0</v>
      </c>
      <c r="K7265" s="11" t="s">
        <v>21</v>
      </c>
      <c r="L7265" s="7">
        <v>42469.863865740743</v>
      </c>
      <c r="M7265" s="12" t="s">
        <v>69</v>
      </c>
      <c r="N7265" s="12"/>
      <c r="O7265" s="10" t="str">
        <f t="shared" si="702"/>
        <v>View</v>
      </c>
      <c r="P7265" s="11"/>
    </row>
    <row r="7266" spans="1:16" ht="12.75" x14ac:dyDescent="0.35">
      <c r="A7266" s="7">
        <v>42484.778194444443</v>
      </c>
      <c r="B7266" s="8" t="str">
        <f t="shared" si="701"/>
        <v>@beetlebug1938</v>
      </c>
      <c r="C7266" s="9" t="s">
        <v>66</v>
      </c>
      <c r="D7266" s="9" t="s">
        <v>16141</v>
      </c>
      <c r="E7266" s="10" t="str">
        <f>HYPERLINK("https://twitter.com/beetlebug1938/status/724224018744791040","724224018744791040")</f>
        <v>724224018744791040</v>
      </c>
      <c r="F7266" s="11" t="s">
        <v>68</v>
      </c>
      <c r="G7266" s="11">
        <v>376</v>
      </c>
      <c r="H7266" s="11">
        <v>2228</v>
      </c>
      <c r="I7266" s="11">
        <v>0</v>
      </c>
      <c r="J7266" s="11">
        <v>0</v>
      </c>
      <c r="K7266" s="11" t="s">
        <v>21</v>
      </c>
      <c r="L7266" s="7">
        <v>42469.863865740743</v>
      </c>
      <c r="M7266" s="12" t="s">
        <v>69</v>
      </c>
      <c r="N7266" s="12"/>
      <c r="O7266" s="10" t="str">
        <f t="shared" si="702"/>
        <v>View</v>
      </c>
      <c r="P7266" s="11"/>
    </row>
    <row r="7267" spans="1:16" ht="12.75" x14ac:dyDescent="0.35">
      <c r="A7267" s="7">
        <v>42484.778622685189</v>
      </c>
      <c r="B7267" s="8" t="str">
        <f>HYPERLINK("https://twitter.com/vwgroup_en","@vwgroup_en")</f>
        <v>@vwgroup_en</v>
      </c>
      <c r="C7267" s="9" t="s">
        <v>7462</v>
      </c>
      <c r="D7267" s="9" t="s">
        <v>16142</v>
      </c>
      <c r="E7267" s="10" t="str">
        <f>HYPERLINK("https://twitter.com/vwgroup_en/status/724224177159450625","724224177159450625")</f>
        <v>724224177159450625</v>
      </c>
      <c r="F7267" s="11" t="s">
        <v>152</v>
      </c>
      <c r="G7267" s="11">
        <v>57972</v>
      </c>
      <c r="H7267" s="11">
        <v>366</v>
      </c>
      <c r="I7267" s="11">
        <v>5</v>
      </c>
      <c r="J7267" s="11">
        <v>3</v>
      </c>
      <c r="K7267" s="11" t="s">
        <v>21</v>
      </c>
      <c r="L7267" s="7">
        <v>42041.640034722222</v>
      </c>
      <c r="M7267" s="12" t="s">
        <v>1687</v>
      </c>
      <c r="N7267" s="12" t="s">
        <v>7464</v>
      </c>
      <c r="O7267" s="10" t="str">
        <f>HYPERLINK("https://pbs.twimg.com/profile_images/666952430177935362/T46eVne2_normal.png","View")</f>
        <v>View</v>
      </c>
      <c r="P7267" s="11"/>
    </row>
    <row r="7268" spans="1:16" ht="12.75" x14ac:dyDescent="0.35">
      <c r="A7268" s="7">
        <v>42484.778749999998</v>
      </c>
      <c r="B7268" s="8" t="str">
        <f t="shared" ref="B7268:B7271" si="703">HYPERLINK("https://twitter.com/dubbusses","@dubbusses")</f>
        <v>@dubbusses</v>
      </c>
      <c r="C7268" s="9" t="s">
        <v>14338</v>
      </c>
      <c r="D7268" s="9" t="s">
        <v>16143</v>
      </c>
      <c r="E7268" s="10" t="str">
        <f>HYPERLINK("https://twitter.com/dubbusses/status/724224221224833024","724224221224833024")</f>
        <v>724224221224833024</v>
      </c>
      <c r="F7268" s="11" t="s">
        <v>68</v>
      </c>
      <c r="G7268" s="11">
        <v>430</v>
      </c>
      <c r="H7268" s="11">
        <v>2369</v>
      </c>
      <c r="I7268" s="11">
        <v>1</v>
      </c>
      <c r="J7268" s="11">
        <v>0</v>
      </c>
      <c r="K7268" s="11" t="s">
        <v>21</v>
      </c>
      <c r="L7268" s="7">
        <v>42469.905393518522</v>
      </c>
      <c r="M7268" s="12" t="s">
        <v>14340</v>
      </c>
      <c r="N7268" s="12"/>
      <c r="O7268" s="10" t="str">
        <f t="shared" ref="O7268:O7271" si="704">HYPERLINK("https://pbs.twimg.com/profile_images/718835727027580928/1ssyQ67y_normal.jpg","View")</f>
        <v>View</v>
      </c>
      <c r="P7268" s="11"/>
    </row>
    <row r="7269" spans="1:16" ht="12.75" x14ac:dyDescent="0.35">
      <c r="A7269" s="7">
        <v>42484.778831018513</v>
      </c>
      <c r="B7269" s="8" t="str">
        <f t="shared" si="703"/>
        <v>@dubbusses</v>
      </c>
      <c r="C7269" s="9" t="s">
        <v>14338</v>
      </c>
      <c r="D7269" s="9" t="s">
        <v>16144</v>
      </c>
      <c r="E7269" s="10" t="str">
        <f>HYPERLINK("https://twitter.com/dubbusses/status/724224251503493120","724224251503493120")</f>
        <v>724224251503493120</v>
      </c>
      <c r="F7269" s="11" t="s">
        <v>68</v>
      </c>
      <c r="G7269" s="11">
        <v>430</v>
      </c>
      <c r="H7269" s="11">
        <v>2369</v>
      </c>
      <c r="I7269" s="11">
        <v>0</v>
      </c>
      <c r="J7269" s="11">
        <v>0</v>
      </c>
      <c r="K7269" s="11" t="s">
        <v>21</v>
      </c>
      <c r="L7269" s="7">
        <v>42469.905393518522</v>
      </c>
      <c r="M7269" s="12" t="s">
        <v>14340</v>
      </c>
      <c r="N7269" s="12"/>
      <c r="O7269" s="10" t="str">
        <f t="shared" si="704"/>
        <v>View</v>
      </c>
      <c r="P7269" s="11"/>
    </row>
    <row r="7270" spans="1:16" ht="12.75" x14ac:dyDescent="0.35">
      <c r="A7270" s="7">
        <v>42484.778865740736</v>
      </c>
      <c r="B7270" s="8" t="str">
        <f t="shared" si="703"/>
        <v>@dubbusses</v>
      </c>
      <c r="C7270" s="9" t="s">
        <v>14338</v>
      </c>
      <c r="D7270" s="9" t="s">
        <v>16145</v>
      </c>
      <c r="E7270" s="10" t="str">
        <f>HYPERLINK("https://twitter.com/dubbusses/status/724224264719749120","724224264719749120")</f>
        <v>724224264719749120</v>
      </c>
      <c r="F7270" s="11" t="s">
        <v>68</v>
      </c>
      <c r="G7270" s="11">
        <v>430</v>
      </c>
      <c r="H7270" s="11">
        <v>2369</v>
      </c>
      <c r="I7270" s="11">
        <v>0</v>
      </c>
      <c r="J7270" s="11">
        <v>0</v>
      </c>
      <c r="K7270" s="11" t="s">
        <v>21</v>
      </c>
      <c r="L7270" s="7">
        <v>42469.905393518522</v>
      </c>
      <c r="M7270" s="12" t="s">
        <v>14340</v>
      </c>
      <c r="N7270" s="12"/>
      <c r="O7270" s="10" t="str">
        <f t="shared" si="704"/>
        <v>View</v>
      </c>
      <c r="P7270" s="11"/>
    </row>
    <row r="7271" spans="1:16" ht="12.75" x14ac:dyDescent="0.35">
      <c r="A7271" s="7">
        <v>42484.778946759259</v>
      </c>
      <c r="B7271" s="8" t="str">
        <f t="shared" si="703"/>
        <v>@dubbusses</v>
      </c>
      <c r="C7271" s="9" t="s">
        <v>14338</v>
      </c>
      <c r="D7271" s="9" t="s">
        <v>16146</v>
      </c>
      <c r="E7271" s="10" t="str">
        <f>HYPERLINK("https://twitter.com/dubbusses/status/724224292058214401","724224292058214401")</f>
        <v>724224292058214401</v>
      </c>
      <c r="F7271" s="11" t="s">
        <v>68</v>
      </c>
      <c r="G7271" s="11">
        <v>430</v>
      </c>
      <c r="H7271" s="11">
        <v>2369</v>
      </c>
      <c r="I7271" s="11">
        <v>0</v>
      </c>
      <c r="J7271" s="11">
        <v>0</v>
      </c>
      <c r="K7271" s="11" t="s">
        <v>21</v>
      </c>
      <c r="L7271" s="7">
        <v>42469.905393518522</v>
      </c>
      <c r="M7271" s="12" t="s">
        <v>14340</v>
      </c>
      <c r="N7271" s="12"/>
      <c r="O7271" s="10" t="str">
        <f t="shared" si="704"/>
        <v>View</v>
      </c>
      <c r="P7271" s="11"/>
    </row>
    <row r="7272" spans="1:16" ht="12.75" x14ac:dyDescent="0.35">
      <c r="A7272" s="7">
        <v>42484.778969907406</v>
      </c>
      <c r="B7272" s="8" t="str">
        <f>HYPERLINK("https://twitter.com/LacleGreg","@LacleGreg")</f>
        <v>@LacleGreg</v>
      </c>
      <c r="C7272" s="9" t="s">
        <v>16147</v>
      </c>
      <c r="D7272" s="9" t="s">
        <v>16148</v>
      </c>
      <c r="E7272" s="10" t="str">
        <f>HYPERLINK("https://twitter.com/LacleGreg/status/724224303181389824","724224303181389824")</f>
        <v>724224303181389824</v>
      </c>
      <c r="F7272" s="11" t="s">
        <v>91</v>
      </c>
      <c r="G7272" s="11">
        <v>252</v>
      </c>
      <c r="H7272" s="11">
        <v>491</v>
      </c>
      <c r="I7272" s="11">
        <v>5</v>
      </c>
      <c r="J7272" s="11">
        <v>0</v>
      </c>
      <c r="K7272" s="11" t="s">
        <v>21</v>
      </c>
      <c r="L7272" s="7">
        <v>41692.884942129633</v>
      </c>
      <c r="M7272" s="12"/>
      <c r="N7272" s="12" t="s">
        <v>16149</v>
      </c>
      <c r="O7272" s="10" t="str">
        <f>HYPERLINK("https://pbs.twimg.com/profile_images/691814425100161026/Jz7LqTSj_normal.jpg","View")</f>
        <v>View</v>
      </c>
      <c r="P7272" s="11"/>
    </row>
    <row r="7273" spans="1:16" ht="12.75" x14ac:dyDescent="0.35">
      <c r="A7273" s="7">
        <v>42484.779317129629</v>
      </c>
      <c r="B7273" s="8" t="str">
        <f>HYPERLINK("https://twitter.com/TandyLi5","@TandyLi5")</f>
        <v>@TandyLi5</v>
      </c>
      <c r="C7273" s="9" t="s">
        <v>16150</v>
      </c>
      <c r="D7273" s="9" t="s">
        <v>16148</v>
      </c>
      <c r="E7273" s="10" t="str">
        <f>HYPERLINK("https://twitter.com/TandyLi5/status/724224428079353858","724224428079353858")</f>
        <v>724224428079353858</v>
      </c>
      <c r="F7273" s="11" t="s">
        <v>20</v>
      </c>
      <c r="G7273" s="11">
        <v>19</v>
      </c>
      <c r="H7273" s="11">
        <v>67</v>
      </c>
      <c r="I7273" s="11">
        <v>5</v>
      </c>
      <c r="J7273" s="11">
        <v>0</v>
      </c>
      <c r="K7273" s="11" t="s">
        <v>21</v>
      </c>
      <c r="L7273" s="7">
        <v>42372.6722337963</v>
      </c>
      <c r="M7273" s="12"/>
      <c r="N7273" s="12" t="s">
        <v>16151</v>
      </c>
      <c r="O7273" s="10" t="str">
        <f>HYPERLINK("https://pbs.twimg.com/profile_images/697363853978574848/XBdyYrTi_normal.jpg","View")</f>
        <v>View</v>
      </c>
      <c r="P7273" s="11"/>
    </row>
    <row r="7274" spans="1:16" ht="12.75" x14ac:dyDescent="0.35">
      <c r="A7274" s="7">
        <v>42484.779363425929</v>
      </c>
      <c r="B7274" s="8" t="str">
        <f>HYPERLINK("https://twitter.com/FuscaWorld","@FuscaWorld")</f>
        <v>@FuscaWorld</v>
      </c>
      <c r="C7274" s="9" t="s">
        <v>74</v>
      </c>
      <c r="D7274" s="9" t="s">
        <v>16152</v>
      </c>
      <c r="E7274" s="10" t="str">
        <f>HYPERLINK("https://twitter.com/FuscaWorld/status/724224445217398784","724224445217398784")</f>
        <v>724224445217398784</v>
      </c>
      <c r="F7274" s="11" t="s">
        <v>76</v>
      </c>
      <c r="G7274" s="11">
        <v>50</v>
      </c>
      <c r="H7274" s="11">
        <v>1</v>
      </c>
      <c r="I7274" s="11">
        <v>1</v>
      </c>
      <c r="J7274" s="11">
        <v>0</v>
      </c>
      <c r="K7274" s="11" t="s">
        <v>21</v>
      </c>
      <c r="L7274" s="7">
        <v>42433.880914351852</v>
      </c>
      <c r="M7274" s="12"/>
      <c r="N7274" s="12" t="s">
        <v>77</v>
      </c>
      <c r="O7274" s="10" t="str">
        <f>HYPERLINK("https://pbs.twimg.com/profile_images/705780107844067328/e7O4UBNb_normal.jpg","View")</f>
        <v>View</v>
      </c>
      <c r="P7274" s="11"/>
    </row>
    <row r="7275" spans="1:16" ht="12.75" x14ac:dyDescent="0.35">
      <c r="A7275" s="7">
        <v>42484.779548611114</v>
      </c>
      <c r="B7275" s="8" t="str">
        <f>HYPERLINK("https://twitter.com/VWCamperSales","@VWCamperSales")</f>
        <v>@VWCamperSales</v>
      </c>
      <c r="C7275" s="9" t="s">
        <v>216</v>
      </c>
      <c r="D7275" s="9" t="s">
        <v>16153</v>
      </c>
      <c r="E7275" s="10" t="str">
        <f>HYPERLINK("https://twitter.com/VWCamperSales/status/724224509876686849","724224509876686849")</f>
        <v>724224509876686849</v>
      </c>
      <c r="F7275" s="10" t="s">
        <v>124</v>
      </c>
      <c r="G7275" s="11">
        <v>624</v>
      </c>
      <c r="H7275" s="11">
        <v>580</v>
      </c>
      <c r="I7275" s="11">
        <v>0</v>
      </c>
      <c r="J7275" s="11">
        <v>0</v>
      </c>
      <c r="K7275" s="11" t="s">
        <v>21</v>
      </c>
      <c r="L7275" s="7">
        <v>42215.98809027778</v>
      </c>
      <c r="M7275" s="12" t="s">
        <v>129</v>
      </c>
      <c r="N7275" s="12" t="s">
        <v>218</v>
      </c>
      <c r="O7275" s="10" t="str">
        <f>HYPERLINK("https://pbs.twimg.com/profile_images/627949001179037696/skEBkS05_normal.jpg","View")</f>
        <v>View</v>
      </c>
      <c r="P7275" s="11"/>
    </row>
    <row r="7276" spans="1:16" ht="12.75" x14ac:dyDescent="0.35">
      <c r="A7276" s="7">
        <v>42484.779976851853</v>
      </c>
      <c r="B7276" s="8" t="str">
        <f>HYPERLINK("https://twitter.com/MichaelNdri","@MichaelNdri")</f>
        <v>@MichaelNdri</v>
      </c>
      <c r="C7276" s="9" t="s">
        <v>7472</v>
      </c>
      <c r="D7276" s="9" t="s">
        <v>16148</v>
      </c>
      <c r="E7276" s="10" t="str">
        <f>HYPERLINK("https://twitter.com/MichaelNdri/status/724224667796512768","724224667796512768")</f>
        <v>724224667796512768</v>
      </c>
      <c r="F7276" s="11" t="s">
        <v>43</v>
      </c>
      <c r="G7276" s="11">
        <v>90</v>
      </c>
      <c r="H7276" s="11">
        <v>240</v>
      </c>
      <c r="I7276" s="11">
        <v>5</v>
      </c>
      <c r="J7276" s="11">
        <v>0</v>
      </c>
      <c r="K7276" s="11" t="s">
        <v>21</v>
      </c>
      <c r="L7276" s="7">
        <v>41064.097592592589</v>
      </c>
      <c r="M7276" s="12" t="s">
        <v>7473</v>
      </c>
      <c r="N7276" s="12" t="s">
        <v>7474</v>
      </c>
      <c r="O7276" s="10" t="str">
        <f>HYPERLINK("https://pbs.twimg.com/profile_images/2275736241/0wxdwpqqkero82c7tj5z_normal.jpeg","View")</f>
        <v>View</v>
      </c>
      <c r="P7276" s="11"/>
    </row>
    <row r="7277" spans="1:16" ht="12.75" x14ac:dyDescent="0.35">
      <c r="A7277" s="7">
        <v>42484.780300925922</v>
      </c>
      <c r="B7277" s="8" t="str">
        <f>HYPERLINK("https://twitter.com/0p0wTn","@0p0wTn")</f>
        <v>@0p0wTn</v>
      </c>
      <c r="C7277" s="9" t="s">
        <v>16154</v>
      </c>
      <c r="D7277" s="9" t="s">
        <v>16155</v>
      </c>
      <c r="E7277" s="10" t="str">
        <f>HYPERLINK("https://twitter.com/0p0wTn/status/724224781789188096","724224781789188096")</f>
        <v>724224781789188096</v>
      </c>
      <c r="F7277" s="11" t="s">
        <v>48</v>
      </c>
      <c r="G7277" s="11">
        <v>68</v>
      </c>
      <c r="H7277" s="11">
        <v>95</v>
      </c>
      <c r="I7277" s="11">
        <v>3</v>
      </c>
      <c r="J7277" s="11">
        <v>0</v>
      </c>
      <c r="K7277" s="11" t="s">
        <v>21</v>
      </c>
      <c r="L7277" s="7">
        <v>42158.530787037038</v>
      </c>
      <c r="M7277" s="12"/>
      <c r="N7277" s="12" t="s">
        <v>16156</v>
      </c>
      <c r="O7277" s="10" t="str">
        <f>HYPERLINK("https://pbs.twimg.com/profile_images/721399752613466114/PygDotOX_normal.jpg","View")</f>
        <v>View</v>
      </c>
      <c r="P7277" s="11"/>
    </row>
    <row r="7278" spans="1:16" ht="12.75" x14ac:dyDescent="0.35">
      <c r="A7278" s="7">
        <v>42484.780833333338</v>
      </c>
      <c r="B7278" s="8" t="str">
        <f>HYPERLINK("https://twitter.com/kan2121","@kan2121")</f>
        <v>@kan2121</v>
      </c>
      <c r="C7278" s="9" t="s">
        <v>16157</v>
      </c>
      <c r="D7278" s="9" t="s">
        <v>16148</v>
      </c>
      <c r="E7278" s="10" t="str">
        <f>HYPERLINK("https://twitter.com/kan2121/status/724224975008190464","724224975008190464")</f>
        <v>724224975008190464</v>
      </c>
      <c r="F7278" s="11" t="s">
        <v>48</v>
      </c>
      <c r="G7278" s="11">
        <v>273</v>
      </c>
      <c r="H7278" s="11">
        <v>186</v>
      </c>
      <c r="I7278" s="11">
        <v>5</v>
      </c>
      <c r="J7278" s="11">
        <v>0</v>
      </c>
      <c r="K7278" s="11" t="s">
        <v>21</v>
      </c>
      <c r="L7278" s="7">
        <v>40674.638703703706</v>
      </c>
      <c r="M7278" s="12"/>
      <c r="N7278" s="12" t="s">
        <v>16158</v>
      </c>
      <c r="O7278" s="10" t="str">
        <f>HYPERLINK("https://pbs.twimg.com/profile_images/722579397442535424/syR-FFVF_normal.jpg","View")</f>
        <v>View</v>
      </c>
      <c r="P7278" s="11"/>
    </row>
    <row r="7279" spans="1:16" ht="12.75" x14ac:dyDescent="0.35">
      <c r="A7279" s="7">
        <v>42484.781446759254</v>
      </c>
      <c r="B7279" s="8" t="str">
        <f>HYPERLINK("https://twitter.com/itzokazbocrafts","@itzokazbocrafts")</f>
        <v>@itzokazbocrafts</v>
      </c>
      <c r="C7279" s="9" t="s">
        <v>16159</v>
      </c>
      <c r="D7279" s="9" t="s">
        <v>16160</v>
      </c>
      <c r="E7279" s="10" t="str">
        <f>HYPERLINK("https://twitter.com/itzokazbocrafts/status/724225198283616256","724225198283616256")</f>
        <v>724225198283616256</v>
      </c>
      <c r="F7279" s="11" t="s">
        <v>16161</v>
      </c>
      <c r="G7279" s="11">
        <v>144</v>
      </c>
      <c r="H7279" s="11">
        <v>276</v>
      </c>
      <c r="I7279" s="11">
        <v>0</v>
      </c>
      <c r="J7279" s="11">
        <v>0</v>
      </c>
      <c r="K7279" s="11" t="s">
        <v>21</v>
      </c>
      <c r="L7279" s="7">
        <v>42392.735567129625</v>
      </c>
      <c r="M7279" s="12" t="s">
        <v>16162</v>
      </c>
      <c r="N7279" s="12" t="s">
        <v>16163</v>
      </c>
      <c r="O7279" s="10" t="str">
        <f>HYPERLINK("https://pbs.twimg.com/profile_images/711669875094192130/rEQzJ6iw_normal.jpg","View")</f>
        <v>View</v>
      </c>
      <c r="P7279" s="11"/>
    </row>
    <row r="7280" spans="1:16" ht="12.75" x14ac:dyDescent="0.35">
      <c r="A7280" s="7">
        <v>42484.782546296294</v>
      </c>
      <c r="B7280" s="8" t="str">
        <f>HYPERLINK("https://twitter.com/morewirralcusts","@morewirralcusts")</f>
        <v>@morewirralcusts</v>
      </c>
      <c r="C7280" s="9" t="s">
        <v>16164</v>
      </c>
      <c r="D7280" s="9" t="s">
        <v>16165</v>
      </c>
      <c r="E7280" s="10" t="str">
        <f>HYPERLINK("https://twitter.com/morewirralcusts/status/724225597925384192","724225597925384192")</f>
        <v>724225597925384192</v>
      </c>
      <c r="F7280" s="11" t="s">
        <v>20</v>
      </c>
      <c r="G7280" s="11">
        <v>3030</v>
      </c>
      <c r="H7280" s="11">
        <v>3247</v>
      </c>
      <c r="I7280" s="11">
        <v>1</v>
      </c>
      <c r="J7280" s="11">
        <v>0</v>
      </c>
      <c r="K7280" s="11" t="s">
        <v>21</v>
      </c>
      <c r="L7280" s="7">
        <v>41895.838541666664</v>
      </c>
      <c r="M7280" s="12" t="s">
        <v>16166</v>
      </c>
      <c r="N7280" s="12" t="s">
        <v>16167</v>
      </c>
      <c r="O7280" s="10" t="str">
        <f>HYPERLINK("https://pbs.twimg.com/profile_images/698654679564165125/_vTuPOJN_normal.jpg","View")</f>
        <v>View</v>
      </c>
      <c r="P7280" s="11"/>
    </row>
    <row r="7281" spans="1:16" ht="12.75" x14ac:dyDescent="0.35">
      <c r="A7281" s="7">
        <v>42484.782870370371</v>
      </c>
      <c r="B7281" s="8" t="str">
        <f>HYPERLINK("https://twitter.com/andreascseh","@andreascseh")</f>
        <v>@andreascseh</v>
      </c>
      <c r="C7281" s="9" t="s">
        <v>10359</v>
      </c>
      <c r="D7281" s="9" t="s">
        <v>16168</v>
      </c>
      <c r="E7281" s="10" t="str">
        <f>HYPERLINK("https://twitter.com/andreascseh/status/724225715181252608","724225715181252608")</f>
        <v>724225715181252608</v>
      </c>
      <c r="F7281" s="11" t="s">
        <v>43</v>
      </c>
      <c r="G7281" s="11">
        <v>1802</v>
      </c>
      <c r="H7281" s="11">
        <v>1913</v>
      </c>
      <c r="I7281" s="11">
        <v>1</v>
      </c>
      <c r="J7281" s="11">
        <v>2</v>
      </c>
      <c r="K7281" s="11" t="s">
        <v>21</v>
      </c>
      <c r="L7281" s="7">
        <v>41600.5549537037</v>
      </c>
      <c r="M7281" s="12" t="s">
        <v>10361</v>
      </c>
      <c r="N7281" s="12" t="s">
        <v>10362</v>
      </c>
      <c r="O7281" s="10" t="str">
        <f>HYPERLINK("https://pbs.twimg.com/profile_images/378800000774067942/b9d3d12e3eaf41d9ded5745b4f419902_normal.jpeg","View")</f>
        <v>View</v>
      </c>
      <c r="P7281" s="11"/>
    </row>
    <row r="7282" spans="1:16" ht="12.75" x14ac:dyDescent="0.35">
      <c r="A7282" s="7">
        <v>42484.783750000002</v>
      </c>
      <c r="B7282" s="8" t="str">
        <f>HYPERLINK("https://twitter.com/VWCamperSales","@VWCamperSales")</f>
        <v>@VWCamperSales</v>
      </c>
      <c r="C7282" s="9" t="s">
        <v>216</v>
      </c>
      <c r="D7282" s="9" t="s">
        <v>16169</v>
      </c>
      <c r="E7282" s="10" t="str">
        <f>HYPERLINK("https://twitter.com/VWCamperSales/status/724226034875293696","724226034875293696")</f>
        <v>724226034875293696</v>
      </c>
      <c r="F7282" s="10" t="s">
        <v>124</v>
      </c>
      <c r="G7282" s="11">
        <v>624</v>
      </c>
      <c r="H7282" s="11">
        <v>580</v>
      </c>
      <c r="I7282" s="11">
        <v>0</v>
      </c>
      <c r="J7282" s="11">
        <v>0</v>
      </c>
      <c r="K7282" s="11" t="s">
        <v>21</v>
      </c>
      <c r="L7282" s="7">
        <v>42215.98809027778</v>
      </c>
      <c r="M7282" s="12" t="s">
        <v>129</v>
      </c>
      <c r="N7282" s="12" t="s">
        <v>218</v>
      </c>
      <c r="O7282" s="10" t="str">
        <f>HYPERLINK("https://pbs.twimg.com/profile_images/627949001179037696/skEBkS05_normal.jpg","View")</f>
        <v>View</v>
      </c>
      <c r="P7282" s="11"/>
    </row>
    <row r="7283" spans="1:16" ht="12.75" x14ac:dyDescent="0.35">
      <c r="A7283" s="7">
        <v>42484.783842592587</v>
      </c>
      <c r="B7283" s="8" t="str">
        <f>HYPERLINK("https://twitter.com/cherubimu","@cherubimu")</f>
        <v>@cherubimu</v>
      </c>
      <c r="C7283" s="9" t="s">
        <v>13545</v>
      </c>
      <c r="D7283" s="9" t="s">
        <v>16170</v>
      </c>
      <c r="E7283" s="10" t="str">
        <f>HYPERLINK("https://twitter.com/cherubimu/status/724226066869530624","724226066869530624")</f>
        <v>724226066869530624</v>
      </c>
      <c r="F7283" s="11" t="s">
        <v>43</v>
      </c>
      <c r="G7283" s="11">
        <v>2203</v>
      </c>
      <c r="H7283" s="11">
        <v>646</v>
      </c>
      <c r="I7283" s="11">
        <v>0</v>
      </c>
      <c r="J7283" s="11">
        <v>0</v>
      </c>
      <c r="K7283" s="11" t="s">
        <v>21</v>
      </c>
      <c r="L7283" s="7">
        <v>39965.02957175926</v>
      </c>
      <c r="M7283" s="12" t="s">
        <v>953</v>
      </c>
      <c r="N7283" s="12" t="s">
        <v>13547</v>
      </c>
      <c r="O7283" s="10" t="str">
        <f>HYPERLINK("https://pbs.twimg.com/profile_images/630675955007270912/iceoiWn7_normal.jpg","View")</f>
        <v>View</v>
      </c>
      <c r="P7283" s="11"/>
    </row>
    <row r="7284" spans="1:16" ht="12.75" x14ac:dyDescent="0.35">
      <c r="A7284" s="7">
        <v>42484.78396990741</v>
      </c>
      <c r="B7284" s="8" t="str">
        <f>HYPERLINK("https://twitter.com/Volkswagen_T25","@Volkswagen_T25")</f>
        <v>@Volkswagen_T25</v>
      </c>
      <c r="C7284" s="8" t="s">
        <v>13786</v>
      </c>
      <c r="D7284" s="9" t="s">
        <v>16171</v>
      </c>
      <c r="E7284" s="10" t="str">
        <f>HYPERLINK("https://twitter.com/Volkswagen_T25/status/724226111211745280","724226111211745280")</f>
        <v>724226111211745280</v>
      </c>
      <c r="F7284" s="11" t="s">
        <v>114</v>
      </c>
      <c r="G7284" s="11">
        <v>1164</v>
      </c>
      <c r="H7284" s="11">
        <v>530</v>
      </c>
      <c r="I7284" s="11">
        <v>0</v>
      </c>
      <c r="J7284" s="11">
        <v>0</v>
      </c>
      <c r="K7284" s="11" t="s">
        <v>21</v>
      </c>
      <c r="L7284" s="7">
        <v>41353.668263888889</v>
      </c>
      <c r="M7284" s="12"/>
      <c r="N7284" s="12" t="s">
        <v>13788</v>
      </c>
      <c r="O7284" s="10" t="str">
        <f>HYPERLINK("https://pbs.twimg.com/profile_images/522805756736057344/m7B0nHpz_normal.jpeg","View")</f>
        <v>View</v>
      </c>
      <c r="P7284" s="11"/>
    </row>
    <row r="7285" spans="1:16" ht="12.75" x14ac:dyDescent="0.35">
      <c r="A7285" s="7">
        <v>42484.78597222222</v>
      </c>
      <c r="B7285" s="8" t="str">
        <f>HYPERLINK("https://twitter.com/vintagevwdita","@vintagevwdita")</f>
        <v>@vintagevwdita</v>
      </c>
      <c r="C7285" s="9" t="s">
        <v>5176</v>
      </c>
      <c r="D7285" s="9" t="s">
        <v>16172</v>
      </c>
      <c r="E7285" s="10" t="str">
        <f>HYPERLINK("https://twitter.com/vintagevwdita/status/724226837300256768","724226837300256768")</f>
        <v>724226837300256768</v>
      </c>
      <c r="F7285" s="11" t="s">
        <v>20</v>
      </c>
      <c r="G7285" s="11">
        <v>552</v>
      </c>
      <c r="H7285" s="11">
        <v>596</v>
      </c>
      <c r="I7285" s="11">
        <v>0</v>
      </c>
      <c r="J7285" s="11">
        <v>0</v>
      </c>
      <c r="K7285" s="11" t="s">
        <v>21</v>
      </c>
      <c r="L7285" s="7">
        <v>42114.550115740742</v>
      </c>
      <c r="M7285" s="12" t="s">
        <v>5178</v>
      </c>
      <c r="N7285" s="12" t="s">
        <v>5179</v>
      </c>
      <c r="O7285" s="10" t="str">
        <f>HYPERLINK("https://pbs.twimg.com/profile_images/687419637429080064/YhD1MggI_normal.jpg","View")</f>
        <v>View</v>
      </c>
      <c r="P7285" s="11"/>
    </row>
    <row r="7286" spans="1:16" ht="12.75" x14ac:dyDescent="0.35">
      <c r="A7286" s="7">
        <v>42484.786423611113</v>
      </c>
      <c r="B7286" s="8" t="str">
        <f>HYPERLINK("https://twitter.com/urosenhagen","@urosenhagen")</f>
        <v>@urosenhagen</v>
      </c>
      <c r="C7286" s="9" t="s">
        <v>16173</v>
      </c>
      <c r="D7286" s="9" t="s">
        <v>12828</v>
      </c>
      <c r="E7286" s="10" t="str">
        <f>HYPERLINK("https://twitter.com/urosenhagen/status/724227001494736896","724227001494736896")</f>
        <v>724227001494736896</v>
      </c>
      <c r="F7286" s="11" t="s">
        <v>20</v>
      </c>
      <c r="G7286" s="11">
        <v>737</v>
      </c>
      <c r="H7286" s="11">
        <v>1298</v>
      </c>
      <c r="I7286" s="11">
        <v>22</v>
      </c>
      <c r="J7286" s="11">
        <v>0</v>
      </c>
      <c r="K7286" s="11" t="s">
        <v>21</v>
      </c>
      <c r="L7286" s="7">
        <v>40614.921018518522</v>
      </c>
      <c r="M7286" s="12"/>
      <c r="N7286" s="12" t="s">
        <v>16174</v>
      </c>
      <c r="O7286" s="10" t="str">
        <f>HYPERLINK("https://pbs.twimg.com/profile_images/1270146087/Schildkr_te_normal.jpg","View")</f>
        <v>View</v>
      </c>
      <c r="P7286" s="11"/>
    </row>
    <row r="7287" spans="1:16" ht="12.75" x14ac:dyDescent="0.35">
      <c r="A7287" s="7">
        <v>42484.786886574075</v>
      </c>
      <c r="B7287" s="8" t="str">
        <f>HYPERLINK("https://twitter.com/tywcc","@tywcc")</f>
        <v>@tywcc</v>
      </c>
      <c r="C7287" s="9" t="s">
        <v>14081</v>
      </c>
      <c r="D7287" s="9" t="s">
        <v>16175</v>
      </c>
      <c r="E7287" s="10" t="str">
        <f>HYPERLINK("https://twitter.com/tywcc/status/724227168616747008","724227168616747008")</f>
        <v>724227168616747008</v>
      </c>
      <c r="F7287" s="11" t="s">
        <v>20</v>
      </c>
      <c r="G7287" s="11">
        <v>443</v>
      </c>
      <c r="H7287" s="11">
        <v>699</v>
      </c>
      <c r="I7287" s="11">
        <v>0</v>
      </c>
      <c r="J7287" s="11">
        <v>0</v>
      </c>
      <c r="K7287" s="11" t="s">
        <v>21</v>
      </c>
      <c r="L7287" s="7">
        <v>41184.088622685187</v>
      </c>
      <c r="M7287" s="12" t="s">
        <v>14083</v>
      </c>
      <c r="N7287" s="12" t="s">
        <v>14084</v>
      </c>
      <c r="O7287" s="10" t="str">
        <f>HYPERLINK("https://pbs.twimg.com/profile_images/702271663644286976/bOsxJtiK_normal.png","View")</f>
        <v>View</v>
      </c>
      <c r="P7287" s="11"/>
    </row>
    <row r="7288" spans="1:16" ht="12.75" x14ac:dyDescent="0.35">
      <c r="A7288" s="7">
        <v>42484.786921296298</v>
      </c>
      <c r="B7288" s="8" t="str">
        <f>HYPERLINK("https://twitter.com/J_Welham","@J_Welham")</f>
        <v>@J_Welham</v>
      </c>
      <c r="C7288" s="9" t="s">
        <v>16176</v>
      </c>
      <c r="D7288" s="9" t="s">
        <v>14002</v>
      </c>
      <c r="E7288" s="10" t="str">
        <f>HYPERLINK("https://twitter.com/J_Welham/status/724227182793465856","724227182793465856")</f>
        <v>724227182793465856</v>
      </c>
      <c r="F7288" s="11" t="s">
        <v>43</v>
      </c>
      <c r="G7288" s="11">
        <v>762</v>
      </c>
      <c r="H7288" s="11">
        <v>1643</v>
      </c>
      <c r="I7288" s="11">
        <v>3</v>
      </c>
      <c r="J7288" s="11">
        <v>0</v>
      </c>
      <c r="K7288" s="11" t="s">
        <v>21</v>
      </c>
      <c r="L7288" s="7">
        <v>41077.637939814813</v>
      </c>
      <c r="M7288" s="12"/>
      <c r="N7288" s="12" t="s">
        <v>16177</v>
      </c>
      <c r="O7288" s="10" t="str">
        <f>HYPERLINK("https://pbs.twimg.com/profile_images/695665402865704961/9AltnGUD_normal.jpg","View")</f>
        <v>View</v>
      </c>
      <c r="P7288" s="11"/>
    </row>
    <row r="7289" spans="1:16" ht="12.75" x14ac:dyDescent="0.35">
      <c r="A7289" s="7">
        <v>42484.787245370375</v>
      </c>
      <c r="B7289" s="8" t="str">
        <f>HYPERLINK("https://twitter.com/Kaestorfer","@Kaestorfer")</f>
        <v>@Kaestorfer</v>
      </c>
      <c r="C7289" s="9" t="s">
        <v>2973</v>
      </c>
      <c r="D7289" s="9" t="s">
        <v>16178</v>
      </c>
      <c r="E7289" s="10" t="str">
        <f>HYPERLINK("https://twitter.com/Kaestorfer/status/724227299990757377","724227299990757377")</f>
        <v>724227299990757377</v>
      </c>
      <c r="F7289" s="11" t="s">
        <v>63</v>
      </c>
      <c r="G7289" s="11">
        <v>530</v>
      </c>
      <c r="H7289" s="11">
        <v>887</v>
      </c>
      <c r="I7289" s="11">
        <v>0</v>
      </c>
      <c r="J7289" s="11">
        <v>1</v>
      </c>
      <c r="K7289" s="11" t="s">
        <v>21</v>
      </c>
      <c r="L7289" s="7">
        <v>39981.638819444444</v>
      </c>
      <c r="M7289" s="12" t="s">
        <v>4847</v>
      </c>
      <c r="N7289" s="12" t="s">
        <v>16179</v>
      </c>
      <c r="O7289" s="10" t="str">
        <f>HYPERLINK("https://pbs.twimg.com/profile_images/717329980175335424/rLkhccu9_normal.jpg","View")</f>
        <v>View</v>
      </c>
      <c r="P7289" s="11"/>
    </row>
    <row r="7290" spans="1:16" ht="12.75" x14ac:dyDescent="0.35">
      <c r="A7290" s="7">
        <v>42484.787557870368</v>
      </c>
      <c r="B7290" s="8" t="str">
        <f>HYPERLINK("https://twitter.com/sergiomarijr","@sergiomarijr")</f>
        <v>@sergiomarijr</v>
      </c>
      <c r="C7290" s="9" t="s">
        <v>16180</v>
      </c>
      <c r="D7290" s="9" t="s">
        <v>16181</v>
      </c>
      <c r="E7290" s="10" t="str">
        <f>HYPERLINK("https://twitter.com/sergiomarijr/status/724227412209336321","724227412209336321")</f>
        <v>724227412209336321</v>
      </c>
      <c r="F7290" s="11" t="s">
        <v>114</v>
      </c>
      <c r="G7290" s="11">
        <v>713</v>
      </c>
      <c r="H7290" s="11">
        <v>391</v>
      </c>
      <c r="I7290" s="11">
        <v>0</v>
      </c>
      <c r="J7290" s="11">
        <v>0</v>
      </c>
      <c r="K7290" s="11" t="s">
        <v>21</v>
      </c>
      <c r="L7290" s="7">
        <v>39724.174120370371</v>
      </c>
      <c r="M7290" s="12" t="s">
        <v>16182</v>
      </c>
      <c r="N7290" s="12" t="s">
        <v>16183</v>
      </c>
      <c r="O7290" s="10" t="str">
        <f>HYPERLINK("https://pbs.twimg.com/profile_images/483960464880046081/sro2iCnd_normal.jpeg","View")</f>
        <v>View</v>
      </c>
      <c r="P7290" s="11"/>
    </row>
    <row r="7291" spans="1:16" ht="12.75" x14ac:dyDescent="0.35">
      <c r="A7291" s="7">
        <v>42484.788240740745</v>
      </c>
      <c r="B7291" s="8" t="str">
        <f>HYPERLINK("https://twitter.com/VWCamperSales","@VWCamperSales")</f>
        <v>@VWCamperSales</v>
      </c>
      <c r="C7291" s="9" t="s">
        <v>216</v>
      </c>
      <c r="D7291" s="9" t="s">
        <v>16184</v>
      </c>
      <c r="E7291" s="10" t="str">
        <f>HYPERLINK("https://twitter.com/VWCamperSales/status/724227658851094528","724227658851094528")</f>
        <v>724227658851094528</v>
      </c>
      <c r="F7291" s="10" t="s">
        <v>124</v>
      </c>
      <c r="G7291" s="11">
        <v>624</v>
      </c>
      <c r="H7291" s="11">
        <v>580</v>
      </c>
      <c r="I7291" s="11">
        <v>0</v>
      </c>
      <c r="J7291" s="11">
        <v>0</v>
      </c>
      <c r="K7291" s="11" t="s">
        <v>21</v>
      </c>
      <c r="L7291" s="7">
        <v>42215.98809027778</v>
      </c>
      <c r="M7291" s="12" t="s">
        <v>129</v>
      </c>
      <c r="N7291" s="12" t="s">
        <v>218</v>
      </c>
      <c r="O7291" s="10" t="str">
        <f>HYPERLINK("https://pbs.twimg.com/profile_images/627949001179037696/skEBkS05_normal.jpg","View")</f>
        <v>View</v>
      </c>
      <c r="P7291" s="11"/>
    </row>
    <row r="7292" spans="1:16" ht="12.75" x14ac:dyDescent="0.35">
      <c r="A7292" s="7">
        <v>42484.788275462968</v>
      </c>
      <c r="B7292" s="8" t="str">
        <f t="shared" ref="B7292:B7293" si="705">HYPERLINK("https://twitter.com/VWBeetleSales","@VWBeetleSales")</f>
        <v>@VWBeetleSales</v>
      </c>
      <c r="C7292" s="9" t="s">
        <v>127</v>
      </c>
      <c r="D7292" s="9" t="s">
        <v>16185</v>
      </c>
      <c r="E7292" s="10" t="str">
        <f>HYPERLINK("https://twitter.com/VWBeetleSales/status/724227672151216128","724227672151216128")</f>
        <v>724227672151216128</v>
      </c>
      <c r="F7292" s="10" t="s">
        <v>124</v>
      </c>
      <c r="G7292" s="11">
        <v>38</v>
      </c>
      <c r="H7292" s="11">
        <v>32</v>
      </c>
      <c r="I7292" s="11">
        <v>0</v>
      </c>
      <c r="J7292" s="11">
        <v>0</v>
      </c>
      <c r="K7292" s="11" t="s">
        <v>21</v>
      </c>
      <c r="L7292" s="7">
        <v>42427.019756944443</v>
      </c>
      <c r="M7292" s="12" t="s">
        <v>129</v>
      </c>
      <c r="N7292" s="12" t="s">
        <v>130</v>
      </c>
      <c r="O7292" s="10" t="str">
        <f t="shared" ref="O7292:O7293" si="706">HYPERLINK("https://pbs.twimg.com/profile_images/703294545195307008/qeCvrX86_normal.jpg","View")</f>
        <v>View</v>
      </c>
      <c r="P7292" s="11"/>
    </row>
    <row r="7293" spans="1:16" ht="12.75" x14ac:dyDescent="0.35">
      <c r="A7293" s="7">
        <v>42484.788287037038</v>
      </c>
      <c r="B7293" s="8" t="str">
        <f t="shared" si="705"/>
        <v>@VWBeetleSales</v>
      </c>
      <c r="C7293" s="9" t="s">
        <v>127</v>
      </c>
      <c r="D7293" s="9" t="s">
        <v>16186</v>
      </c>
      <c r="E7293" s="10" t="str">
        <f>HYPERLINK("https://twitter.com/VWBeetleSales/status/724227678983741440","724227678983741440")</f>
        <v>724227678983741440</v>
      </c>
      <c r="F7293" s="10" t="s">
        <v>124</v>
      </c>
      <c r="G7293" s="11">
        <v>38</v>
      </c>
      <c r="H7293" s="11">
        <v>32</v>
      </c>
      <c r="I7293" s="11">
        <v>0</v>
      </c>
      <c r="J7293" s="11">
        <v>0</v>
      </c>
      <c r="K7293" s="11" t="s">
        <v>21</v>
      </c>
      <c r="L7293" s="7">
        <v>42427.019756944443</v>
      </c>
      <c r="M7293" s="12" t="s">
        <v>129</v>
      </c>
      <c r="N7293" s="12" t="s">
        <v>130</v>
      </c>
      <c r="O7293" s="10" t="str">
        <f t="shared" si="706"/>
        <v>View</v>
      </c>
      <c r="P7293" s="11"/>
    </row>
    <row r="7294" spans="1:16" ht="12.75" x14ac:dyDescent="0.35">
      <c r="A7294" s="7">
        <v>42484.788773148146</v>
      </c>
      <c r="B7294" s="8" t="str">
        <f>HYPERLINK("https://twitter.com/Rodrigocana","@Rodrigocana")</f>
        <v>@Rodrigocana</v>
      </c>
      <c r="C7294" s="9" t="s">
        <v>6579</v>
      </c>
      <c r="D7294" s="9" t="s">
        <v>16187</v>
      </c>
      <c r="E7294" s="10" t="str">
        <f>HYPERLINK("https://twitter.com/Rodrigocana/status/724227854737641473","724227854737641473")</f>
        <v>724227854737641473</v>
      </c>
      <c r="F7294" s="11" t="s">
        <v>114</v>
      </c>
      <c r="G7294" s="11">
        <v>379</v>
      </c>
      <c r="H7294" s="11">
        <v>783</v>
      </c>
      <c r="I7294" s="11">
        <v>0</v>
      </c>
      <c r="J7294" s="11">
        <v>0</v>
      </c>
      <c r="K7294" s="11" t="s">
        <v>21</v>
      </c>
      <c r="L7294" s="7">
        <v>40027.916388888887</v>
      </c>
      <c r="M7294" s="12" t="s">
        <v>6000</v>
      </c>
      <c r="N7294" s="12" t="s">
        <v>6581</v>
      </c>
      <c r="O7294" s="10" t="str">
        <f>HYPERLINK("https://pbs.twimg.com/profile_images/3747860790/99e931940b0cf7de296cc59871742be6_normal.jpeg","View")</f>
        <v>View</v>
      </c>
      <c r="P7294" s="11"/>
    </row>
    <row r="7295" spans="1:16" ht="12.75" x14ac:dyDescent="0.35">
      <c r="A7295" s="7">
        <v>42484.789166666669</v>
      </c>
      <c r="B7295" s="8" t="str">
        <f>HYPERLINK("https://twitter.com/CoryBarrios","@CoryBarrios")</f>
        <v>@CoryBarrios</v>
      </c>
      <c r="C7295" s="9" t="s">
        <v>16188</v>
      </c>
      <c r="D7295" s="9" t="s">
        <v>16189</v>
      </c>
      <c r="E7295" s="10" t="str">
        <f>HYPERLINK("https://twitter.com/CoryBarrios/status/724227994701709313","724227994701709313")</f>
        <v>724227994701709313</v>
      </c>
      <c r="F7295" s="11" t="s">
        <v>114</v>
      </c>
      <c r="G7295" s="11">
        <v>205</v>
      </c>
      <c r="H7295" s="11">
        <v>437</v>
      </c>
      <c r="I7295" s="11">
        <v>0</v>
      </c>
      <c r="J7295" s="11">
        <v>0</v>
      </c>
      <c r="K7295" s="11" t="s">
        <v>21</v>
      </c>
      <c r="L7295" s="7">
        <v>40169.003483796296</v>
      </c>
      <c r="M7295" s="12" t="s">
        <v>16190</v>
      </c>
      <c r="N7295" s="12" t="s">
        <v>16191</v>
      </c>
      <c r="O7295" s="10" t="str">
        <f>HYPERLINK("https://pbs.twimg.com/profile_images/623965518270038016/EUAbTsHF_normal.jpg","View")</f>
        <v>View</v>
      </c>
      <c r="P7295" s="11"/>
    </row>
    <row r="7296" spans="1:16" ht="12.75" x14ac:dyDescent="0.35">
      <c r="A7296" s="7">
        <v>42484.790879629625</v>
      </c>
      <c r="B7296" s="8" t="str">
        <f t="shared" ref="B7296:B7297" si="707">HYPERLINK("https://twitter.com/VeeDubMk1_","@VeeDubMk1_")</f>
        <v>@VeeDubMk1_</v>
      </c>
      <c r="C7296" s="9" t="s">
        <v>185</v>
      </c>
      <c r="D7296" s="9" t="s">
        <v>16192</v>
      </c>
      <c r="E7296" s="10" t="str">
        <f>HYPERLINK("https://twitter.com/VeeDubMk1_/status/724228617752981507","724228617752981507")</f>
        <v>724228617752981507</v>
      </c>
      <c r="F7296" s="11" t="s">
        <v>68</v>
      </c>
      <c r="G7296" s="11">
        <v>549</v>
      </c>
      <c r="H7296" s="11">
        <v>3528</v>
      </c>
      <c r="I7296" s="11">
        <v>0</v>
      </c>
      <c r="J7296" s="11">
        <v>0</v>
      </c>
      <c r="K7296" s="11" t="s">
        <v>21</v>
      </c>
      <c r="L7296" s="7">
        <v>42343.063356481478</v>
      </c>
      <c r="M7296" s="12"/>
      <c r="N7296" s="12"/>
      <c r="O7296" s="10" t="str">
        <f t="shared" ref="O7296:O7297" si="708">HYPERLINK("https://pbs.twimg.com/profile_images/672878354127839232/M7OYc-zx_normal.jpg","View")</f>
        <v>View</v>
      </c>
      <c r="P7296" s="11"/>
    </row>
    <row r="7297" spans="1:16" ht="12.75" x14ac:dyDescent="0.35">
      <c r="A7297" s="7">
        <v>42484.790949074071</v>
      </c>
      <c r="B7297" s="8" t="str">
        <f t="shared" si="707"/>
        <v>@VeeDubMk1_</v>
      </c>
      <c r="C7297" s="9" t="s">
        <v>185</v>
      </c>
      <c r="D7297" s="9" t="s">
        <v>16193</v>
      </c>
      <c r="E7297" s="10" t="str">
        <f>HYPERLINK("https://twitter.com/VeeDubMk1_/status/724228643560525824","724228643560525824")</f>
        <v>724228643560525824</v>
      </c>
      <c r="F7297" s="11" t="s">
        <v>68</v>
      </c>
      <c r="G7297" s="11">
        <v>549</v>
      </c>
      <c r="H7297" s="11">
        <v>3528</v>
      </c>
      <c r="I7297" s="11">
        <v>0</v>
      </c>
      <c r="J7297" s="11">
        <v>0</v>
      </c>
      <c r="K7297" s="11" t="s">
        <v>21</v>
      </c>
      <c r="L7297" s="7">
        <v>42343.063356481478</v>
      </c>
      <c r="M7297" s="12"/>
      <c r="N7297" s="12"/>
      <c r="O7297" s="10" t="str">
        <f t="shared" si="708"/>
        <v>View</v>
      </c>
      <c r="P7297" s="11"/>
    </row>
    <row r="7298" spans="1:16" ht="12.75" x14ac:dyDescent="0.35">
      <c r="A7298" s="7">
        <v>42484.792210648149</v>
      </c>
      <c r="B7298" s="8" t="str">
        <f>HYPERLINK("https://twitter.com/notyourcountry","@notyourcountry")</f>
        <v>@notyourcountry</v>
      </c>
      <c r="C7298" s="9" t="s">
        <v>11312</v>
      </c>
      <c r="D7298" s="9" t="s">
        <v>16194</v>
      </c>
      <c r="E7298" s="10" t="str">
        <f>HYPERLINK("https://twitter.com/notyourcountry/status/724229098365550592","724229098365550592")</f>
        <v>724229098365550592</v>
      </c>
      <c r="F7298" s="11" t="s">
        <v>43</v>
      </c>
      <c r="G7298" s="11">
        <v>361</v>
      </c>
      <c r="H7298" s="11">
        <v>406</v>
      </c>
      <c r="I7298" s="11">
        <v>1</v>
      </c>
      <c r="J7298" s="11">
        <v>0</v>
      </c>
      <c r="K7298" s="11" t="s">
        <v>21</v>
      </c>
      <c r="L7298" s="7">
        <v>42263.671400462961</v>
      </c>
      <c r="M7298" s="12" t="s">
        <v>8104</v>
      </c>
      <c r="N7298" s="12" t="s">
        <v>11313</v>
      </c>
      <c r="O7298" s="10" t="str">
        <f>HYPERLINK("https://pbs.twimg.com/profile_images/644097845818068992/PHIi32Pe_normal.png","View")</f>
        <v>View</v>
      </c>
      <c r="P7298" s="11"/>
    </row>
    <row r="7299" spans="1:16" ht="12.75" x14ac:dyDescent="0.35">
      <c r="A7299" s="7">
        <v>42484.792453703703</v>
      </c>
      <c r="B7299" s="8" t="str">
        <f>HYPERLINK("https://twitter.com/brlarl","@brlarl")</f>
        <v>@brlarl</v>
      </c>
      <c r="C7299" s="9" t="s">
        <v>16195</v>
      </c>
      <c r="D7299" s="9" t="s">
        <v>16196</v>
      </c>
      <c r="E7299" s="10" t="str">
        <f>HYPERLINK("https://twitter.com/brlarl/status/724229189088468992","724229189088468992")</f>
        <v>724229189088468992</v>
      </c>
      <c r="F7299" s="11" t="s">
        <v>114</v>
      </c>
      <c r="G7299" s="11">
        <v>343</v>
      </c>
      <c r="H7299" s="11">
        <v>297</v>
      </c>
      <c r="I7299" s="11">
        <v>0</v>
      </c>
      <c r="J7299" s="11">
        <v>0</v>
      </c>
      <c r="K7299" s="11" t="s">
        <v>21</v>
      </c>
      <c r="L7299" s="7">
        <v>40401.879814814813</v>
      </c>
      <c r="M7299" s="12" t="s">
        <v>16197</v>
      </c>
      <c r="N7299" s="12" t="s">
        <v>16198</v>
      </c>
      <c r="O7299" s="10" t="str">
        <f>HYPERLINK("https://pbs.twimg.com/profile_images/712960098419781632/emPcLJU-_normal.jpg","View")</f>
        <v>View</v>
      </c>
      <c r="P7299" s="11"/>
    </row>
    <row r="7300" spans="1:16" ht="12.75" x14ac:dyDescent="0.35">
      <c r="A7300" s="7">
        <v>42484.792569444442</v>
      </c>
      <c r="B7300" s="8" t="str">
        <f>HYPERLINK("https://twitter.com/VWDRC","@VWDRC")</f>
        <v>@VWDRC</v>
      </c>
      <c r="C7300" s="9" t="s">
        <v>16199</v>
      </c>
      <c r="D7300" s="9" t="s">
        <v>16200</v>
      </c>
      <c r="E7300" s="10" t="str">
        <f>HYPERLINK("https://twitter.com/VWDRC/status/724229229508853760","724229229508853760")</f>
        <v>724229229508853760</v>
      </c>
      <c r="F7300" s="11" t="s">
        <v>53</v>
      </c>
      <c r="G7300" s="11">
        <v>1293</v>
      </c>
      <c r="H7300" s="11">
        <v>168</v>
      </c>
      <c r="I7300" s="11">
        <v>0</v>
      </c>
      <c r="J7300" s="11">
        <v>0</v>
      </c>
      <c r="K7300" s="11" t="s">
        <v>21</v>
      </c>
      <c r="L7300" s="7">
        <v>40431.106793981482</v>
      </c>
      <c r="M7300" s="12" t="s">
        <v>1534</v>
      </c>
      <c r="N7300" s="12" t="s">
        <v>16201</v>
      </c>
      <c r="O7300" s="10" t="str">
        <f>HYPERLINK("https://pbs.twimg.com/profile_images/1120599693/vwdrc-new-logo_normal.jpg","View")</f>
        <v>View</v>
      </c>
      <c r="P7300" s="11"/>
    </row>
    <row r="7301" spans="1:16" ht="12.75" x14ac:dyDescent="0.35">
      <c r="A7301" s="7">
        <v>42484.793275462958</v>
      </c>
      <c r="B7301" s="8" t="str">
        <f>HYPERLINK("https://twitter.com/genenano","@genenano")</f>
        <v>@genenano</v>
      </c>
      <c r="C7301" s="9" t="s">
        <v>16202</v>
      </c>
      <c r="D7301" s="9" t="s">
        <v>16203</v>
      </c>
      <c r="E7301" s="10" t="str">
        <f>HYPERLINK("https://twitter.com/genenano/status/724229486510743552","724229486510743552")</f>
        <v>724229486510743552</v>
      </c>
      <c r="F7301" s="11" t="s">
        <v>43</v>
      </c>
      <c r="G7301" s="11">
        <v>355</v>
      </c>
      <c r="H7301" s="11">
        <v>665</v>
      </c>
      <c r="I7301" s="11">
        <v>0</v>
      </c>
      <c r="J7301" s="11">
        <v>0</v>
      </c>
      <c r="K7301" s="11" t="s">
        <v>21</v>
      </c>
      <c r="L7301" s="7">
        <v>40776.718275462961</v>
      </c>
      <c r="M7301" s="12"/>
      <c r="N7301" s="12" t="s">
        <v>16204</v>
      </c>
      <c r="O7301" s="10" t="str">
        <f>HYPERLINK("https://pbs.twimg.com/profile_images/1610695149/peace4_normal.PNG","View")</f>
        <v>View</v>
      </c>
      <c r="P7301" s="11"/>
    </row>
    <row r="7302" spans="1:16" ht="12.75" x14ac:dyDescent="0.35">
      <c r="A7302" s="7">
        <v>42484.795185185183</v>
      </c>
      <c r="B7302" s="8" t="str">
        <f>HYPERLINK("https://twitter.com/VWDRC","@VWDRC")</f>
        <v>@VWDRC</v>
      </c>
      <c r="C7302" s="9" t="s">
        <v>16199</v>
      </c>
      <c r="D7302" s="9" t="s">
        <v>16205</v>
      </c>
      <c r="E7302" s="10" t="str">
        <f>HYPERLINK("https://twitter.com/VWDRC/status/724230179128676352","724230179128676352")</f>
        <v>724230179128676352</v>
      </c>
      <c r="F7302" s="11" t="s">
        <v>53</v>
      </c>
      <c r="G7302" s="11">
        <v>1293</v>
      </c>
      <c r="H7302" s="11">
        <v>168</v>
      </c>
      <c r="I7302" s="11">
        <v>0</v>
      </c>
      <c r="J7302" s="11">
        <v>0</v>
      </c>
      <c r="K7302" s="11" t="s">
        <v>21</v>
      </c>
      <c r="L7302" s="7">
        <v>40431.106793981482</v>
      </c>
      <c r="M7302" s="12" t="s">
        <v>1534</v>
      </c>
      <c r="N7302" s="12" t="s">
        <v>16201</v>
      </c>
      <c r="O7302" s="10" t="str">
        <f>HYPERLINK("https://pbs.twimg.com/profile_images/1120599693/vwdrc-new-logo_normal.jpg","View")</f>
        <v>View</v>
      </c>
      <c r="P7302" s="11"/>
    </row>
    <row r="7303" spans="1:16" ht="12.75" x14ac:dyDescent="0.35">
      <c r="A7303" s="7">
        <v>42484.796307870369</v>
      </c>
      <c r="B7303" s="8" t="str">
        <f>HYPERLINK("https://twitter.com/AleGomezFabio","@AleGomezFabio")</f>
        <v>@AleGomezFabio</v>
      </c>
      <c r="C7303" s="9" t="s">
        <v>264</v>
      </c>
      <c r="D7303" s="9" t="s">
        <v>14594</v>
      </c>
      <c r="E7303" s="10" t="str">
        <f>HYPERLINK("https://twitter.com/AleGomezFabio/status/724230584013303808","724230584013303808")</f>
        <v>724230584013303808</v>
      </c>
      <c r="F7303" s="11" t="s">
        <v>43</v>
      </c>
      <c r="G7303" s="11">
        <v>5717</v>
      </c>
      <c r="H7303" s="11">
        <v>434</v>
      </c>
      <c r="I7303" s="11">
        <v>5</v>
      </c>
      <c r="J7303" s="11">
        <v>0</v>
      </c>
      <c r="K7303" s="11" t="s">
        <v>21</v>
      </c>
      <c r="L7303" s="7">
        <v>41293.865949074076</v>
      </c>
      <c r="M7303" s="12" t="s">
        <v>266</v>
      </c>
      <c r="N7303" s="12" t="s">
        <v>267</v>
      </c>
      <c r="O7303" s="10" t="str">
        <f>HYPERLINK("https://pbs.twimg.com/profile_images/677190735326797824/thtg9vaL_normal.jpg","View")</f>
        <v>View</v>
      </c>
      <c r="P7303" s="11"/>
    </row>
    <row r="7304" spans="1:16" ht="12.75" x14ac:dyDescent="0.35">
      <c r="A7304" s="7">
        <v>42484.797361111108</v>
      </c>
      <c r="B7304" s="8" t="str">
        <f>HYPERLINK("https://twitter.com/Iraundi","@Iraundi")</f>
        <v>@Iraundi</v>
      </c>
      <c r="C7304" s="9" t="s">
        <v>16206</v>
      </c>
      <c r="D7304" s="9" t="s">
        <v>15494</v>
      </c>
      <c r="E7304" s="10" t="str">
        <f>HYPERLINK("https://twitter.com/Iraundi/status/724230966126981120","724230966126981120")</f>
        <v>724230966126981120</v>
      </c>
      <c r="F7304" s="11" t="s">
        <v>20</v>
      </c>
      <c r="G7304" s="11">
        <v>21</v>
      </c>
      <c r="H7304" s="11">
        <v>15</v>
      </c>
      <c r="I7304" s="11">
        <v>18</v>
      </c>
      <c r="J7304" s="11">
        <v>0</v>
      </c>
      <c r="K7304" s="11" t="s">
        <v>21</v>
      </c>
      <c r="L7304" s="7">
        <v>41590.852083333331</v>
      </c>
      <c r="M7304" s="12" t="s">
        <v>16207</v>
      </c>
      <c r="N7304" s="12" t="s">
        <v>16208</v>
      </c>
      <c r="O7304" s="10" t="str">
        <f>HYPERLINK("https://pbs.twimg.com/profile_images/581826255793844224/DFks9pj4_normal.jpg","View")</f>
        <v>View</v>
      </c>
      <c r="P7304" s="11"/>
    </row>
    <row r="7305" spans="1:16" ht="12.75" x14ac:dyDescent="0.35">
      <c r="A7305" s="7">
        <v>42484.797905092593</v>
      </c>
      <c r="B7305" s="8" t="str">
        <f>HYPERLINK("https://twitter.com/aavecj","@aavecj")</f>
        <v>@aavecj</v>
      </c>
      <c r="C7305" s="9" t="s">
        <v>16209</v>
      </c>
      <c r="D7305" s="9" t="s">
        <v>16210</v>
      </c>
      <c r="E7305" s="10" t="str">
        <f>HYPERLINK("https://twitter.com/aavecj/status/724231164454670336","724231164454670336")</f>
        <v>724231164454670336</v>
      </c>
      <c r="F7305" s="11" t="s">
        <v>114</v>
      </c>
      <c r="G7305" s="11">
        <v>91</v>
      </c>
      <c r="H7305" s="11">
        <v>113</v>
      </c>
      <c r="I7305" s="11">
        <v>0</v>
      </c>
      <c r="J7305" s="11">
        <v>0</v>
      </c>
      <c r="K7305" s="11" t="s">
        <v>21</v>
      </c>
      <c r="L7305" s="7">
        <v>40109.400381944448</v>
      </c>
      <c r="M7305" s="12" t="s">
        <v>13104</v>
      </c>
      <c r="N7305" s="12" t="s">
        <v>16211</v>
      </c>
      <c r="O7305" s="10" t="str">
        <f>HYPERLINK("https://pbs.twimg.com/profile_images/378800000048088338/cda7871d412e8d3fa4c08876abfe3478_normal.jpeg","View")</f>
        <v>View</v>
      </c>
      <c r="P7305" s="11"/>
    </row>
    <row r="7306" spans="1:16" ht="12.75" x14ac:dyDescent="0.35">
      <c r="A7306" s="7">
        <v>42484.797962962963</v>
      </c>
      <c r="B7306" s="8" t="str">
        <f t="shared" ref="B7306:B7308" si="709">HYPERLINK("https://twitter.com/VWBeetleSales","@VWBeetleSales")</f>
        <v>@VWBeetleSales</v>
      </c>
      <c r="C7306" s="9" t="s">
        <v>127</v>
      </c>
      <c r="D7306" s="9" t="s">
        <v>16212</v>
      </c>
      <c r="E7306" s="10" t="str">
        <f>HYPERLINK("https://twitter.com/VWBeetleSales/status/724231182708154368","724231182708154368")</f>
        <v>724231182708154368</v>
      </c>
      <c r="F7306" s="10" t="s">
        <v>124</v>
      </c>
      <c r="G7306" s="11">
        <v>38</v>
      </c>
      <c r="H7306" s="11">
        <v>32</v>
      </c>
      <c r="I7306" s="11">
        <v>0</v>
      </c>
      <c r="J7306" s="11">
        <v>0</v>
      </c>
      <c r="K7306" s="11" t="s">
        <v>21</v>
      </c>
      <c r="L7306" s="7">
        <v>42427.019756944443</v>
      </c>
      <c r="M7306" s="12" t="s">
        <v>129</v>
      </c>
      <c r="N7306" s="12" t="s">
        <v>130</v>
      </c>
      <c r="O7306" s="10" t="str">
        <f t="shared" ref="O7306:O7308" si="710">HYPERLINK("https://pbs.twimg.com/profile_images/703294545195307008/qeCvrX86_normal.jpg","View")</f>
        <v>View</v>
      </c>
      <c r="P7306" s="11"/>
    </row>
    <row r="7307" spans="1:16" ht="12.75" x14ac:dyDescent="0.35">
      <c r="A7307" s="7">
        <v>42484.797974537039</v>
      </c>
      <c r="B7307" s="8" t="str">
        <f t="shared" si="709"/>
        <v>@VWBeetleSales</v>
      </c>
      <c r="C7307" s="9" t="s">
        <v>127</v>
      </c>
      <c r="D7307" s="9" t="s">
        <v>16213</v>
      </c>
      <c r="E7307" s="10" t="str">
        <f>HYPERLINK("https://twitter.com/VWBeetleSales/status/724231188244647940","724231188244647940")</f>
        <v>724231188244647940</v>
      </c>
      <c r="F7307" s="10" t="s">
        <v>124</v>
      </c>
      <c r="G7307" s="11">
        <v>38</v>
      </c>
      <c r="H7307" s="11">
        <v>32</v>
      </c>
      <c r="I7307" s="11">
        <v>0</v>
      </c>
      <c r="J7307" s="11">
        <v>0</v>
      </c>
      <c r="K7307" s="11" t="s">
        <v>21</v>
      </c>
      <c r="L7307" s="7">
        <v>42427.019756944443</v>
      </c>
      <c r="M7307" s="12" t="s">
        <v>129</v>
      </c>
      <c r="N7307" s="12" t="s">
        <v>130</v>
      </c>
      <c r="O7307" s="10" t="str">
        <f t="shared" si="710"/>
        <v>View</v>
      </c>
      <c r="P7307" s="11"/>
    </row>
    <row r="7308" spans="1:16" ht="12.75" x14ac:dyDescent="0.35">
      <c r="A7308" s="7">
        <v>42484.797986111109</v>
      </c>
      <c r="B7308" s="8" t="str">
        <f t="shared" si="709"/>
        <v>@VWBeetleSales</v>
      </c>
      <c r="C7308" s="9" t="s">
        <v>127</v>
      </c>
      <c r="D7308" s="9" t="s">
        <v>16214</v>
      </c>
      <c r="E7308" s="10" t="str">
        <f>HYPERLINK("https://twitter.com/VWBeetleSales/status/724231193407852544","724231193407852544")</f>
        <v>724231193407852544</v>
      </c>
      <c r="F7308" s="10" t="s">
        <v>124</v>
      </c>
      <c r="G7308" s="11">
        <v>38</v>
      </c>
      <c r="H7308" s="11">
        <v>32</v>
      </c>
      <c r="I7308" s="11">
        <v>0</v>
      </c>
      <c r="J7308" s="11">
        <v>0</v>
      </c>
      <c r="K7308" s="11" t="s">
        <v>21</v>
      </c>
      <c r="L7308" s="7">
        <v>42427.019756944443</v>
      </c>
      <c r="M7308" s="12" t="s">
        <v>129</v>
      </c>
      <c r="N7308" s="12" t="s">
        <v>130</v>
      </c>
      <c r="O7308" s="10" t="str">
        <f t="shared" si="710"/>
        <v>View</v>
      </c>
      <c r="P7308" s="11"/>
    </row>
    <row r="7309" spans="1:16" ht="12.75" x14ac:dyDescent="0.35">
      <c r="A7309" s="7">
        <v>42484.799699074079</v>
      </c>
      <c r="B7309" s="8" t="str">
        <f>HYPERLINK("https://twitter.com/rajesh12june","@rajesh12june")</f>
        <v>@rajesh12june</v>
      </c>
      <c r="C7309" s="9" t="s">
        <v>15582</v>
      </c>
      <c r="D7309" s="9" t="s">
        <v>16215</v>
      </c>
      <c r="E7309" s="10" t="str">
        <f>HYPERLINK("https://twitter.com/rajesh12june/status/724231814567571456","724231814567571456")</f>
        <v>724231814567571456</v>
      </c>
      <c r="F7309" s="11" t="s">
        <v>68</v>
      </c>
      <c r="G7309" s="11">
        <v>159</v>
      </c>
      <c r="H7309" s="11">
        <v>309</v>
      </c>
      <c r="I7309" s="11">
        <v>0</v>
      </c>
      <c r="J7309" s="11">
        <v>0</v>
      </c>
      <c r="K7309" s="11" t="s">
        <v>21</v>
      </c>
      <c r="L7309" s="7">
        <v>39950.496423611112</v>
      </c>
      <c r="M7309" s="12" t="s">
        <v>15584</v>
      </c>
      <c r="N7309" s="12" t="s">
        <v>15585</v>
      </c>
      <c r="O7309" s="10" t="str">
        <f>HYPERLINK("https://pbs.twimg.com/profile_images/621995740177379328/YJAQstq5_normal.jpg","View")</f>
        <v>View</v>
      </c>
      <c r="P7309" s="11"/>
    </row>
    <row r="7310" spans="1:16" ht="12.75" x14ac:dyDescent="0.35">
      <c r="A7310" s="7">
        <v>42484.80023148148</v>
      </c>
      <c r="B7310" s="8" t="str">
        <f>HYPERLINK("https://twitter.com/ducachris","@ducachris")</f>
        <v>@ducachris</v>
      </c>
      <c r="C7310" s="9" t="s">
        <v>3877</v>
      </c>
      <c r="D7310" s="9" t="s">
        <v>15511</v>
      </c>
      <c r="E7310" s="10" t="str">
        <f>HYPERLINK("https://twitter.com/ducachris/status/724232004707975168","724232004707975168")</f>
        <v>724232004707975168</v>
      </c>
      <c r="F7310" s="11" t="s">
        <v>48</v>
      </c>
      <c r="G7310" s="11">
        <v>5</v>
      </c>
      <c r="H7310" s="11">
        <v>41</v>
      </c>
      <c r="I7310" s="11">
        <v>8</v>
      </c>
      <c r="J7310" s="11">
        <v>0</v>
      </c>
      <c r="K7310" s="11" t="s">
        <v>21</v>
      </c>
      <c r="L7310" s="7">
        <v>41811.149050925924</v>
      </c>
      <c r="M7310" s="12"/>
      <c r="N7310" s="12"/>
      <c r="O7310" s="10" t="str">
        <f>HYPERLINK("https://pbs.twimg.com/profile_images/695998335979806721/Qc2z46Px_normal.jpg","View")</f>
        <v>View</v>
      </c>
      <c r="P7310" s="11"/>
    </row>
    <row r="7311" spans="1:16" ht="12.75" x14ac:dyDescent="0.35">
      <c r="A7311" s="7">
        <v>42484.800289351857</v>
      </c>
      <c r="B7311" s="8" t="str">
        <f>HYPERLINK("https://twitter.com/fabulousvw","@fabulousvw")</f>
        <v>@fabulousvw</v>
      </c>
      <c r="C7311" s="9" t="s">
        <v>16216</v>
      </c>
      <c r="D7311" s="9" t="s">
        <v>16217</v>
      </c>
      <c r="E7311" s="10" t="str">
        <f>HYPERLINK("https://twitter.com/fabulousvw/status/724232026560311296","724232026560311296")</f>
        <v>724232026560311296</v>
      </c>
      <c r="F7311" s="11" t="s">
        <v>288</v>
      </c>
      <c r="G7311" s="11">
        <v>322</v>
      </c>
      <c r="H7311" s="11">
        <v>819</v>
      </c>
      <c r="I7311" s="11">
        <v>1</v>
      </c>
      <c r="J7311" s="11">
        <v>0</v>
      </c>
      <c r="K7311" s="11" t="s">
        <v>21</v>
      </c>
      <c r="L7311" s="7">
        <v>42062.163078703699</v>
      </c>
      <c r="M7311" s="12" t="s">
        <v>16218</v>
      </c>
      <c r="N7311" s="12" t="s">
        <v>16219</v>
      </c>
      <c r="O7311" s="10" t="str">
        <f>HYPERLINK("https://pbs.twimg.com/profile_images/571073734903996416/gnQg4gB-_normal.png","View")</f>
        <v>View</v>
      </c>
      <c r="P7311" s="11"/>
    </row>
    <row r="7312" spans="1:16" ht="12.75" x14ac:dyDescent="0.35">
      <c r="A7312" s="7">
        <v>42484.801215277781</v>
      </c>
      <c r="B7312" s="8" t="str">
        <f>HYPERLINK("https://twitter.com/FussballTheke","@FussballTheke")</f>
        <v>@FussballTheke</v>
      </c>
      <c r="C7312" s="9" t="s">
        <v>16220</v>
      </c>
      <c r="D7312" s="9" t="s">
        <v>16221</v>
      </c>
      <c r="E7312" s="10" t="str">
        <f>HYPERLINK("https://twitter.com/FussballTheke/status/724232364654731264","724232364654731264")</f>
        <v>724232364654731264</v>
      </c>
      <c r="F7312" s="11" t="s">
        <v>20</v>
      </c>
      <c r="G7312" s="11">
        <v>29</v>
      </c>
      <c r="H7312" s="11">
        <v>212</v>
      </c>
      <c r="I7312" s="11">
        <v>0</v>
      </c>
      <c r="J7312" s="11">
        <v>0</v>
      </c>
      <c r="K7312" s="11" t="s">
        <v>21</v>
      </c>
      <c r="L7312" s="7">
        <v>41799.755520833336</v>
      </c>
      <c r="M7312" s="12"/>
      <c r="N7312" s="12"/>
      <c r="O7312" s="10" t="str">
        <f>HYPERLINK("https://pbs.twimg.com/profile_images/475985801822863360/iBVkZA_H_normal.jpeg","View")</f>
        <v>View</v>
      </c>
      <c r="P7312" s="11"/>
    </row>
    <row r="7313" spans="1:16" ht="12.75" x14ac:dyDescent="0.35">
      <c r="A7313" s="7">
        <v>42484.801516203705</v>
      </c>
      <c r="B7313" s="8" t="str">
        <f>HYPERLINK("https://twitter.com/VWCamperSales","@VWCamperSales")</f>
        <v>@VWCamperSales</v>
      </c>
      <c r="C7313" s="9" t="s">
        <v>216</v>
      </c>
      <c r="D7313" s="9" t="s">
        <v>16222</v>
      </c>
      <c r="E7313" s="10" t="str">
        <f>HYPERLINK("https://twitter.com/VWCamperSales/status/724232470783094784","724232470783094784")</f>
        <v>724232470783094784</v>
      </c>
      <c r="F7313" s="10" t="s">
        <v>124</v>
      </c>
      <c r="G7313" s="11">
        <v>624</v>
      </c>
      <c r="H7313" s="11">
        <v>580</v>
      </c>
      <c r="I7313" s="11">
        <v>0</v>
      </c>
      <c r="J7313" s="11">
        <v>0</v>
      </c>
      <c r="K7313" s="11" t="s">
        <v>21</v>
      </c>
      <c r="L7313" s="7">
        <v>42215.98809027778</v>
      </c>
      <c r="M7313" s="12" t="s">
        <v>129</v>
      </c>
      <c r="N7313" s="12" t="s">
        <v>218</v>
      </c>
      <c r="O7313" s="10" t="str">
        <f>HYPERLINK("https://pbs.twimg.com/profile_images/627949001179037696/skEBkS05_normal.jpg","View")</f>
        <v>View</v>
      </c>
      <c r="P7313" s="11"/>
    </row>
    <row r="7314" spans="1:16" ht="12.75" x14ac:dyDescent="0.35">
      <c r="A7314" s="7">
        <v>42484.802754629629</v>
      </c>
      <c r="B7314" s="8" t="str">
        <f>HYPERLINK("https://twitter.com/vw8valve","@vw8valve")</f>
        <v>@vw8valve</v>
      </c>
      <c r="C7314" s="9" t="s">
        <v>7839</v>
      </c>
      <c r="D7314" s="9" t="s">
        <v>15494</v>
      </c>
      <c r="E7314" s="10" t="str">
        <f>HYPERLINK("https://twitter.com/vw8valve/status/724232921712721920","724232921712721920")</f>
        <v>724232921712721920</v>
      </c>
      <c r="F7314" s="11" t="s">
        <v>48</v>
      </c>
      <c r="G7314" s="11">
        <v>140</v>
      </c>
      <c r="H7314" s="11">
        <v>318</v>
      </c>
      <c r="I7314" s="11">
        <v>19</v>
      </c>
      <c r="J7314" s="11">
        <v>0</v>
      </c>
      <c r="K7314" s="11" t="s">
        <v>21</v>
      </c>
      <c r="L7314" s="7">
        <v>40315.142233796294</v>
      </c>
      <c r="M7314" s="12" t="s">
        <v>7840</v>
      </c>
      <c r="N7314" s="12"/>
      <c r="O7314" s="10" t="str">
        <f>HYPERLINK("https://pbs.twimg.com/profile_images/614981295773384708/sXMDZxDO_normal.jpg","View")</f>
        <v>View</v>
      </c>
      <c r="P7314" s="11"/>
    </row>
    <row r="7315" spans="1:16" ht="12.75" x14ac:dyDescent="0.35">
      <c r="A7315" s="7">
        <v>42484.804965277777</v>
      </c>
      <c r="B7315" s="8" t="str">
        <f>HYPERLINK("https://twitter.com/3811015","@3811015")</f>
        <v>@3811015</v>
      </c>
      <c r="C7315" s="9" t="s">
        <v>16223</v>
      </c>
      <c r="D7315" s="9" t="s">
        <v>16224</v>
      </c>
      <c r="E7315" s="10" t="str">
        <f>HYPERLINK("https://twitter.com/3811015/status/724233722137051136","724233722137051136")</f>
        <v>724233722137051136</v>
      </c>
      <c r="F7315" s="11" t="s">
        <v>43</v>
      </c>
      <c r="G7315" s="11">
        <v>1411</v>
      </c>
      <c r="H7315" s="11">
        <v>1101</v>
      </c>
      <c r="I7315" s="11">
        <v>0</v>
      </c>
      <c r="J7315" s="11">
        <v>0</v>
      </c>
      <c r="K7315" s="11" t="s">
        <v>21</v>
      </c>
      <c r="L7315" s="7">
        <v>40123.247523148151</v>
      </c>
      <c r="M7315" s="12" t="s">
        <v>16225</v>
      </c>
      <c r="N7315" s="12" t="s">
        <v>16226</v>
      </c>
      <c r="O7315" s="10" t="str">
        <f>HYPERLINK("https://pbs.twimg.com/profile_images/1512061476/44759775-9ed0-42ef-a7d9-33d35f66877d_normal.png","View")</f>
        <v>View</v>
      </c>
      <c r="P7315" s="11"/>
    </row>
    <row r="7316" spans="1:16" ht="12.75" x14ac:dyDescent="0.35">
      <c r="A7316" s="7">
        <v>42484.805891203709</v>
      </c>
      <c r="B7316" s="8" t="str">
        <f>HYPERLINK("https://twitter.com/vwgroup_en","@vwgroup_en")</f>
        <v>@vwgroup_en</v>
      </c>
      <c r="C7316" s="9" t="s">
        <v>7462</v>
      </c>
      <c r="D7316" s="9" t="s">
        <v>16227</v>
      </c>
      <c r="E7316" s="10" t="str">
        <f>HYPERLINK("https://twitter.com/vwgroup_en/status/724234055416446977","724234055416446977")</f>
        <v>724234055416446977</v>
      </c>
      <c r="F7316" s="11" t="s">
        <v>152</v>
      </c>
      <c r="G7316" s="11">
        <v>57973</v>
      </c>
      <c r="H7316" s="11">
        <v>366</v>
      </c>
      <c r="I7316" s="11">
        <v>2</v>
      </c>
      <c r="J7316" s="11">
        <v>5</v>
      </c>
      <c r="K7316" s="11" t="s">
        <v>21</v>
      </c>
      <c r="L7316" s="7">
        <v>42041.640034722222</v>
      </c>
      <c r="M7316" s="12" t="s">
        <v>1687</v>
      </c>
      <c r="N7316" s="12" t="s">
        <v>7464</v>
      </c>
      <c r="O7316" s="10" t="str">
        <f>HYPERLINK("https://pbs.twimg.com/profile_images/666952430177935362/T46eVne2_normal.png","View")</f>
        <v>View</v>
      </c>
      <c r="P7316" s="11"/>
    </row>
    <row r="7317" spans="1:16" ht="12.75" x14ac:dyDescent="0.35">
      <c r="A7317" s="7">
        <v>42484.807395833333</v>
      </c>
      <c r="B7317" s="8" t="str">
        <f>HYPERLINK("https://twitter.com/vwgroup_de","@vwgroup_de")</f>
        <v>@vwgroup_de</v>
      </c>
      <c r="C7317" s="9" t="s">
        <v>7462</v>
      </c>
      <c r="D7317" s="9" t="s">
        <v>16228</v>
      </c>
      <c r="E7317" s="10" t="str">
        <f>HYPERLINK("https://twitter.com/vwgroup_de/status/724234600462077953","724234600462077953")</f>
        <v>724234600462077953</v>
      </c>
      <c r="F7317" s="11" t="s">
        <v>152</v>
      </c>
      <c r="G7317" s="11">
        <v>7531</v>
      </c>
      <c r="H7317" s="11">
        <v>605</v>
      </c>
      <c r="I7317" s="11">
        <v>0</v>
      </c>
      <c r="J7317" s="11">
        <v>1</v>
      </c>
      <c r="K7317" s="11" t="s">
        <v>21</v>
      </c>
      <c r="L7317" s="7">
        <v>42041.614525462966</v>
      </c>
      <c r="M7317" s="12" t="s">
        <v>1690</v>
      </c>
      <c r="N7317" s="12" t="s">
        <v>7463</v>
      </c>
      <c r="O7317" s="10" t="str">
        <f>HYPERLINK("https://pbs.twimg.com/profile_images/666952128108363777/FL78g9n-_normal.png","View")</f>
        <v>View</v>
      </c>
      <c r="P7317" s="11"/>
    </row>
    <row r="7318" spans="1:16" ht="12.75" x14ac:dyDescent="0.35">
      <c r="A7318" s="7">
        <v>42484.807442129633</v>
      </c>
      <c r="B7318" s="8" t="str">
        <f>HYPERLINK("https://twitter.com/fantigos","@fantigos")</f>
        <v>@fantigos</v>
      </c>
      <c r="C7318" s="9" t="s">
        <v>12003</v>
      </c>
      <c r="D7318" s="9" t="s">
        <v>16229</v>
      </c>
      <c r="E7318" s="10" t="str">
        <f>HYPERLINK("https://twitter.com/fantigos/status/724234620527620096","724234620527620096")</f>
        <v>724234620527620096</v>
      </c>
      <c r="F7318" s="11" t="s">
        <v>114</v>
      </c>
      <c r="G7318" s="11">
        <v>121</v>
      </c>
      <c r="H7318" s="11">
        <v>583</v>
      </c>
      <c r="I7318" s="11">
        <v>0</v>
      </c>
      <c r="J7318" s="11">
        <v>0</v>
      </c>
      <c r="K7318" s="11" t="s">
        <v>21</v>
      </c>
      <c r="L7318" s="7">
        <v>42249.456296296295</v>
      </c>
      <c r="M7318" s="12" t="s">
        <v>9164</v>
      </c>
      <c r="N7318" s="12" t="s">
        <v>12005</v>
      </c>
      <c r="O7318" s="10" t="str">
        <f>HYPERLINK("https://pbs.twimg.com/profile_images/638947231144509440/iP1-exrN_normal.jpg","View")</f>
        <v>View</v>
      </c>
      <c r="P7318" s="11"/>
    </row>
    <row r="7319" spans="1:16" ht="12.75" x14ac:dyDescent="0.35">
      <c r="A7319" s="7">
        <v>42484.807523148149</v>
      </c>
      <c r="B7319" s="8" t="str">
        <f>HYPERLINK("https://twitter.com/caryelluk","@caryelluk")</f>
        <v>@caryelluk</v>
      </c>
      <c r="C7319" s="9" t="s">
        <v>13566</v>
      </c>
      <c r="D7319" s="9" t="s">
        <v>16230</v>
      </c>
      <c r="E7319" s="10" t="str">
        <f>HYPERLINK("https://twitter.com/caryelluk/status/724234648155381760","724234648155381760")</f>
        <v>724234648155381760</v>
      </c>
      <c r="F7319" s="11" t="s">
        <v>43</v>
      </c>
      <c r="G7319" s="11">
        <v>266</v>
      </c>
      <c r="H7319" s="11">
        <v>893</v>
      </c>
      <c r="I7319" s="11">
        <v>1</v>
      </c>
      <c r="J7319" s="11">
        <v>0</v>
      </c>
      <c r="K7319" s="11" t="s">
        <v>21</v>
      </c>
      <c r="L7319" s="7">
        <v>42403.345486111109</v>
      </c>
      <c r="M7319" s="12" t="s">
        <v>1072</v>
      </c>
      <c r="N7319" s="12" t="s">
        <v>13568</v>
      </c>
      <c r="O7319" s="10" t="str">
        <f>HYPERLINK("https://pbs.twimg.com/profile_images/715332329019994114/CunHJsKm_normal.jpg","View")</f>
        <v>View</v>
      </c>
      <c r="P7319" s="11"/>
    </row>
    <row r="7320" spans="1:16" ht="12.75" x14ac:dyDescent="0.35">
      <c r="A7320" s="7">
        <v>42484.808229166665</v>
      </c>
      <c r="B7320" s="8" t="str">
        <f>HYPERLINK("https://twitter.com/tayf10","@tayf10")</f>
        <v>@tayf10</v>
      </c>
      <c r="C7320" s="9" t="s">
        <v>16231</v>
      </c>
      <c r="D7320" s="9" t="s">
        <v>16232</v>
      </c>
      <c r="E7320" s="10" t="str">
        <f>HYPERLINK("https://twitter.com/tayf10/status/724234906398777344","724234906398777344")</f>
        <v>724234906398777344</v>
      </c>
      <c r="F7320" s="11" t="s">
        <v>91</v>
      </c>
      <c r="G7320" s="11">
        <v>429</v>
      </c>
      <c r="H7320" s="11">
        <v>384</v>
      </c>
      <c r="I7320" s="11">
        <v>1</v>
      </c>
      <c r="J7320" s="11">
        <v>0</v>
      </c>
      <c r="K7320" s="11" t="s">
        <v>21</v>
      </c>
      <c r="L7320" s="7">
        <v>40733.528657407405</v>
      </c>
      <c r="M7320" s="12" t="s">
        <v>16233</v>
      </c>
      <c r="N7320" s="12" t="s">
        <v>16234</v>
      </c>
      <c r="O7320" s="10" t="str">
        <f>HYPERLINK("https://pbs.twimg.com/profile_images/718154420916252673/qZLiNPrZ_normal.jpg","View")</f>
        <v>View</v>
      </c>
      <c r="P7320" s="11"/>
    </row>
    <row r="7321" spans="1:16" ht="12.75" x14ac:dyDescent="0.35">
      <c r="A7321" s="7">
        <v>42484.808287037042</v>
      </c>
      <c r="B7321" s="8" t="str">
        <f>HYPERLINK("https://twitter.com/DubLuvTuning","@DubLuvTuning")</f>
        <v>@DubLuvTuning</v>
      </c>
      <c r="C7321" s="9" t="s">
        <v>299</v>
      </c>
      <c r="D7321" s="9" t="s">
        <v>16235</v>
      </c>
      <c r="E7321" s="10" t="str">
        <f>HYPERLINK("https://twitter.com/DubLuvTuning/status/724234925528985600","724234925528985600")</f>
        <v>724234925528985600</v>
      </c>
      <c r="F7321" s="11" t="s">
        <v>288</v>
      </c>
      <c r="G7321" s="11">
        <v>690</v>
      </c>
      <c r="H7321" s="11">
        <v>430</v>
      </c>
      <c r="I7321" s="11">
        <v>1</v>
      </c>
      <c r="J7321" s="11">
        <v>0</v>
      </c>
      <c r="K7321" s="11" t="s">
        <v>21</v>
      </c>
      <c r="L7321" s="7">
        <v>41549.898287037038</v>
      </c>
      <c r="M7321" s="12" t="s">
        <v>301</v>
      </c>
      <c r="N7321" s="12" t="s">
        <v>302</v>
      </c>
      <c r="O7321" s="10" t="str">
        <f>HYPERLINK("https://pbs.twimg.com/profile_images/378800000572104796/1de43e1cf23efb3f4101c02afad0d3b6_normal.png","View")</f>
        <v>View</v>
      </c>
      <c r="P7321" s="11"/>
    </row>
    <row r="7322" spans="1:16" ht="12.75" x14ac:dyDescent="0.35">
      <c r="A7322" s="7">
        <v>42484.808611111112</v>
      </c>
      <c r="B7322" s="8" t="str">
        <f t="shared" ref="B7322:B7323" si="711">HYPERLINK("https://twitter.com/EHcars","@EHcars")</f>
        <v>@EHcars</v>
      </c>
      <c r="C7322" s="9" t="s">
        <v>10973</v>
      </c>
      <c r="D7322" s="9" t="s">
        <v>16148</v>
      </c>
      <c r="E7322" s="10" t="str">
        <f>HYPERLINK("https://twitter.com/EHcars/status/724235040780115969","724235040780115969")</f>
        <v>724235040780115969</v>
      </c>
      <c r="F7322" s="11" t="s">
        <v>1838</v>
      </c>
      <c r="G7322" s="11">
        <v>1375</v>
      </c>
      <c r="H7322" s="11">
        <v>1523</v>
      </c>
      <c r="I7322" s="11">
        <v>6</v>
      </c>
      <c r="J7322" s="11">
        <v>0</v>
      </c>
      <c r="K7322" s="11" t="s">
        <v>21</v>
      </c>
      <c r="L7322" s="7">
        <v>40658.735462962963</v>
      </c>
      <c r="M7322" s="12" t="s">
        <v>10975</v>
      </c>
      <c r="N7322" s="12" t="s">
        <v>10976</v>
      </c>
      <c r="O7322" s="10" t="str">
        <f t="shared" ref="O7322:O7323" si="712">HYPERLINK("https://pbs.twimg.com/profile_images/619590752906149888/gOJBR12k_normal.jpg","View")</f>
        <v>View</v>
      </c>
      <c r="P7322" s="11"/>
    </row>
    <row r="7323" spans="1:16" ht="12.75" x14ac:dyDescent="0.35">
      <c r="A7323" s="7">
        <v>42484.80877314815</v>
      </c>
      <c r="B7323" s="8" t="str">
        <f t="shared" si="711"/>
        <v>@EHcars</v>
      </c>
      <c r="C7323" s="9" t="s">
        <v>10973</v>
      </c>
      <c r="D7323" s="9" t="s">
        <v>16236</v>
      </c>
      <c r="E7323" s="10" t="str">
        <f>HYPERLINK("https://twitter.com/EHcars/status/724235103229095937","724235103229095937")</f>
        <v>724235103229095937</v>
      </c>
      <c r="F7323" s="11" t="s">
        <v>1838</v>
      </c>
      <c r="G7323" s="11">
        <v>1375</v>
      </c>
      <c r="H7323" s="11">
        <v>1523</v>
      </c>
      <c r="I7323" s="11">
        <v>2</v>
      </c>
      <c r="J7323" s="11">
        <v>0</v>
      </c>
      <c r="K7323" s="11" t="s">
        <v>21</v>
      </c>
      <c r="L7323" s="7">
        <v>40658.735462962963</v>
      </c>
      <c r="M7323" s="12" t="s">
        <v>10975</v>
      </c>
      <c r="N7323" s="12" t="s">
        <v>10976</v>
      </c>
      <c r="O7323" s="10" t="str">
        <f t="shared" si="712"/>
        <v>View</v>
      </c>
      <c r="P7323" s="11"/>
    </row>
    <row r="7324" spans="1:16" ht="12.75" x14ac:dyDescent="0.35">
      <c r="A7324" s="7">
        <v>42484.809675925921</v>
      </c>
      <c r="B7324" s="8" t="str">
        <f>HYPERLINK("https://twitter.com/singhvaibhav361","@singhvaibhav361")</f>
        <v>@singhvaibhav361</v>
      </c>
      <c r="C7324" s="9" t="s">
        <v>16237</v>
      </c>
      <c r="D7324" s="9" t="s">
        <v>16236</v>
      </c>
      <c r="E7324" s="10" t="str">
        <f>HYPERLINK("https://twitter.com/singhvaibhav361/status/724235427264122882","724235427264122882")</f>
        <v>724235427264122882</v>
      </c>
      <c r="F7324" s="11" t="s">
        <v>48</v>
      </c>
      <c r="G7324" s="11">
        <v>406</v>
      </c>
      <c r="H7324" s="11">
        <v>1386</v>
      </c>
      <c r="I7324" s="11">
        <v>2</v>
      </c>
      <c r="J7324" s="11">
        <v>0</v>
      </c>
      <c r="K7324" s="11" t="s">
        <v>21</v>
      </c>
      <c r="L7324" s="7">
        <v>41865.019074074073</v>
      </c>
      <c r="M7324" s="12"/>
      <c r="N7324" s="12"/>
      <c r="O7324" s="10" t="str">
        <f>HYPERLINK("https://pbs.twimg.com/profile_images/719492454529904640/NVvwO7d6_normal.jpg","View")</f>
        <v>View</v>
      </c>
      <c r="P7324" s="11"/>
    </row>
    <row r="7325" spans="1:16" ht="12.75" x14ac:dyDescent="0.35">
      <c r="A7325" s="7">
        <v>42484.810810185183</v>
      </c>
      <c r="B7325" s="8" t="str">
        <f>HYPERLINK("https://twitter.com/VWCamperSales","@VWCamperSales")</f>
        <v>@VWCamperSales</v>
      </c>
      <c r="C7325" s="9" t="s">
        <v>216</v>
      </c>
      <c r="D7325" s="9" t="s">
        <v>16238</v>
      </c>
      <c r="E7325" s="10" t="str">
        <f>HYPERLINK("https://twitter.com/VWCamperSales/status/724235840734400512","724235840734400512")</f>
        <v>724235840734400512</v>
      </c>
      <c r="F7325" s="10" t="s">
        <v>124</v>
      </c>
      <c r="G7325" s="11">
        <v>624</v>
      </c>
      <c r="H7325" s="11">
        <v>580</v>
      </c>
      <c r="I7325" s="11">
        <v>0</v>
      </c>
      <c r="J7325" s="11">
        <v>0</v>
      </c>
      <c r="K7325" s="11" t="s">
        <v>21</v>
      </c>
      <c r="L7325" s="7">
        <v>42215.98809027778</v>
      </c>
      <c r="M7325" s="12" t="s">
        <v>129</v>
      </c>
      <c r="N7325" s="12" t="s">
        <v>218</v>
      </c>
      <c r="O7325" s="10" t="str">
        <f>HYPERLINK("https://pbs.twimg.com/profile_images/627949001179037696/skEBkS05_normal.jpg","View")</f>
        <v>View</v>
      </c>
      <c r="P7325" s="11"/>
    </row>
    <row r="7326" spans="1:16" ht="12.75" x14ac:dyDescent="0.35">
      <c r="A7326" s="7">
        <v>42484.810983796298</v>
      </c>
      <c r="B7326" s="8" t="str">
        <f>HYPERLINK("https://twitter.com/gabryjoint","@gabryjoint")</f>
        <v>@gabryjoint</v>
      </c>
      <c r="C7326" s="9" t="s">
        <v>16239</v>
      </c>
      <c r="D7326" s="9" t="s">
        <v>16240</v>
      </c>
      <c r="E7326" s="10" t="str">
        <f>HYPERLINK("https://twitter.com/gabryjoint/status/724235900956319746","724235900956319746")</f>
        <v>724235900956319746</v>
      </c>
      <c r="F7326" s="11" t="s">
        <v>20</v>
      </c>
      <c r="G7326" s="11">
        <v>64</v>
      </c>
      <c r="H7326" s="11">
        <v>467</v>
      </c>
      <c r="I7326" s="11">
        <v>0</v>
      </c>
      <c r="J7326" s="11">
        <v>0</v>
      </c>
      <c r="K7326" s="11" t="s">
        <v>21</v>
      </c>
      <c r="L7326" s="7">
        <v>40840.655821759261</v>
      </c>
      <c r="M7326" s="12" t="s">
        <v>1182</v>
      </c>
      <c r="N7326" s="12" t="s">
        <v>16241</v>
      </c>
      <c r="O7326" s="10" t="str">
        <f>HYPERLINK("https://pbs.twimg.com/profile_images/3037533242/c034e8ffe53c4c7397584d9c1d1cac38_normal.jpeg","View")</f>
        <v>View</v>
      </c>
      <c r="P7326" s="11"/>
    </row>
    <row r="7327" spans="1:16" ht="12.75" x14ac:dyDescent="0.35">
      <c r="A7327" s="7">
        <v>42484.812395833331</v>
      </c>
      <c r="B7327" s="8" t="str">
        <f>HYPERLINK("https://twitter.com/82Reddy","@82Reddy")</f>
        <v>@82Reddy</v>
      </c>
      <c r="C7327" s="9" t="s">
        <v>16242</v>
      </c>
      <c r="D7327" s="9" t="s">
        <v>16243</v>
      </c>
      <c r="E7327" s="10" t="str">
        <f>HYPERLINK("https://twitter.com/82Reddy/status/724236413340884992","724236413340884992")</f>
        <v>724236413340884992</v>
      </c>
      <c r="F7327" s="11" t="s">
        <v>114</v>
      </c>
      <c r="G7327" s="11">
        <v>98</v>
      </c>
      <c r="H7327" s="11">
        <v>187</v>
      </c>
      <c r="I7327" s="11">
        <v>0</v>
      </c>
      <c r="J7327" s="11">
        <v>0</v>
      </c>
      <c r="K7327" s="11" t="s">
        <v>21</v>
      </c>
      <c r="L7327" s="7">
        <v>41362.67732638889</v>
      </c>
      <c r="M7327" s="12" t="s">
        <v>16244</v>
      </c>
      <c r="N7327" s="12"/>
      <c r="O7327" s="10" t="str">
        <f>HYPERLINK("https://pbs.twimg.com/profile_images/574616214644920322/_F1UYMq8_normal.jpeg","View")</f>
        <v>View</v>
      </c>
      <c r="P7327" s="11"/>
    </row>
    <row r="7328" spans="1:16" ht="12.75" x14ac:dyDescent="0.35">
      <c r="A7328" s="7">
        <v>42484.812731481477</v>
      </c>
      <c r="B7328" s="8" t="str">
        <f>HYPERLINK("https://twitter.com/napletonvolksu1","@napletonvolksu1")</f>
        <v>@napletonvolksu1</v>
      </c>
      <c r="C7328" s="9" t="s">
        <v>3788</v>
      </c>
      <c r="D7328" s="9" t="s">
        <v>16245</v>
      </c>
      <c r="E7328" s="10" t="str">
        <f>HYPERLINK("https://twitter.com/napletonvolksu1/status/724236537748180992","724236537748180992")</f>
        <v>724236537748180992</v>
      </c>
      <c r="F7328" s="11" t="s">
        <v>2694</v>
      </c>
      <c r="G7328" s="11">
        <v>6</v>
      </c>
      <c r="H7328" s="11">
        <v>1</v>
      </c>
      <c r="I7328" s="11">
        <v>0</v>
      </c>
      <c r="J7328" s="11">
        <v>0</v>
      </c>
      <c r="K7328" s="11" t="s">
        <v>21</v>
      </c>
      <c r="L7328" s="7">
        <v>42310.870393518519</v>
      </c>
      <c r="M7328" s="12" t="s">
        <v>3790</v>
      </c>
      <c r="N7328" s="12" t="s">
        <v>3791</v>
      </c>
      <c r="O7328" s="10" t="str">
        <f>HYPERLINK("https://pbs.twimg.com/profile_images/661203197172649984/8NlJaRzL_normal.png","View")</f>
        <v>View</v>
      </c>
      <c r="P7328" s="11"/>
    </row>
    <row r="7329" spans="1:16" ht="12.75" x14ac:dyDescent="0.35">
      <c r="A7329" s="7">
        <v>42484.813217592593</v>
      </c>
      <c r="B7329" s="8" t="str">
        <f>HYPERLINK("https://twitter.com/whats_live","@whats_live")</f>
        <v>@whats_live</v>
      </c>
      <c r="C7329" s="9" t="s">
        <v>13653</v>
      </c>
      <c r="D7329" s="9" t="s">
        <v>16246</v>
      </c>
      <c r="E7329" s="10" t="str">
        <f>HYPERLINK("https://twitter.com/whats_live/status/724236713552437248","724236713552437248")</f>
        <v>724236713552437248</v>
      </c>
      <c r="F7329" s="11" t="s">
        <v>152</v>
      </c>
      <c r="G7329" s="11">
        <v>280</v>
      </c>
      <c r="H7329" s="11">
        <v>323</v>
      </c>
      <c r="I7329" s="11">
        <v>0</v>
      </c>
      <c r="J7329" s="11">
        <v>0</v>
      </c>
      <c r="K7329" s="11" t="s">
        <v>21</v>
      </c>
      <c r="L7329" s="7">
        <v>42121.851030092592</v>
      </c>
      <c r="M7329" s="12" t="s">
        <v>13655</v>
      </c>
      <c r="N7329" s="12" t="s">
        <v>13656</v>
      </c>
      <c r="O7329" s="10" t="str">
        <f>HYPERLINK("https://pbs.twimg.com/profile_images/600965523518566400/l0bcJH8l_normal.jpg","View")</f>
        <v>View</v>
      </c>
      <c r="P7329" s="11"/>
    </row>
    <row r="7330" spans="1:16" ht="12.75" x14ac:dyDescent="0.35">
      <c r="A7330" s="7">
        <v>42484.814733796295</v>
      </c>
      <c r="B7330" s="8" t="str">
        <f>HYPERLINK("https://twitter.com/motosniper","@motosniper")</f>
        <v>@motosniper</v>
      </c>
      <c r="C7330" s="9" t="s">
        <v>16247</v>
      </c>
      <c r="D7330" s="9" t="s">
        <v>16248</v>
      </c>
      <c r="E7330" s="10" t="str">
        <f>HYPERLINK("https://twitter.com/motosniper/status/724237262674878464","724237262674878464")</f>
        <v>724237262674878464</v>
      </c>
      <c r="F7330" s="11" t="s">
        <v>114</v>
      </c>
      <c r="G7330" s="11">
        <v>878</v>
      </c>
      <c r="H7330" s="11">
        <v>2101</v>
      </c>
      <c r="I7330" s="11">
        <v>0</v>
      </c>
      <c r="J7330" s="11">
        <v>0</v>
      </c>
      <c r="K7330" s="11" t="s">
        <v>21</v>
      </c>
      <c r="L7330" s="7">
        <v>40811.815000000002</v>
      </c>
      <c r="M7330" s="12" t="s">
        <v>16249</v>
      </c>
      <c r="N7330" s="12" t="s">
        <v>16250</v>
      </c>
      <c r="O7330" s="10" t="str">
        <f>HYPERLINK("https://pbs.twimg.com/profile_images/693965251730079744/d4IR05bx_normal.jpg","View")</f>
        <v>View</v>
      </c>
      <c r="P7330" s="11"/>
    </row>
    <row r="7331" spans="1:16" ht="12.75" x14ac:dyDescent="0.35">
      <c r="A7331" s="7">
        <v>42484.814872685187</v>
      </c>
      <c r="B7331" s="8" t="str">
        <f>HYPERLINK("https://twitter.com/daichidayo27","@daichidayo27")</f>
        <v>@daichidayo27</v>
      </c>
      <c r="C7331" s="9" t="s">
        <v>16251</v>
      </c>
      <c r="D7331" s="9" t="s">
        <v>16252</v>
      </c>
      <c r="E7331" s="10" t="str">
        <f>HYPERLINK("https://twitter.com/daichidayo27/status/724237312687673347","724237312687673347")</f>
        <v>724237312687673347</v>
      </c>
      <c r="F7331" s="11" t="s">
        <v>20</v>
      </c>
      <c r="G7331" s="11">
        <v>314</v>
      </c>
      <c r="H7331" s="11">
        <v>318</v>
      </c>
      <c r="I7331" s="11">
        <v>1</v>
      </c>
      <c r="J7331" s="11">
        <v>0</v>
      </c>
      <c r="K7331" s="11" t="s">
        <v>21</v>
      </c>
      <c r="L7331" s="7">
        <v>41038.872847222221</v>
      </c>
      <c r="M7331" s="12"/>
      <c r="N7331" s="12" t="s">
        <v>16253</v>
      </c>
      <c r="O7331" s="10" t="str">
        <f>HYPERLINK("https://pbs.twimg.com/profile_images/718803328122007553/V4Kw56ln_normal.jpg","View")</f>
        <v>View</v>
      </c>
      <c r="P7331" s="11"/>
    </row>
    <row r="7332" spans="1:16" ht="12.75" x14ac:dyDescent="0.35">
      <c r="A7332" s="7">
        <v>42484.815254629633</v>
      </c>
      <c r="B7332" s="8" t="str">
        <f>HYPERLINK("https://twitter.com/Steve_WL7YQ","@Steve_WL7YQ")</f>
        <v>@Steve_WL7YQ</v>
      </c>
      <c r="C7332" s="9" t="s">
        <v>16254</v>
      </c>
      <c r="D7332" s="9" t="s">
        <v>16255</v>
      </c>
      <c r="E7332" s="10" t="str">
        <f>HYPERLINK("https://twitter.com/Steve_WL7YQ/status/724237451074646016","724237451074646016")</f>
        <v>724237451074646016</v>
      </c>
      <c r="F7332" s="11" t="s">
        <v>48</v>
      </c>
      <c r="G7332" s="11">
        <v>61</v>
      </c>
      <c r="H7332" s="11">
        <v>97</v>
      </c>
      <c r="I7332" s="11">
        <v>0</v>
      </c>
      <c r="J7332" s="11">
        <v>0</v>
      </c>
      <c r="K7332" s="11" t="s">
        <v>21</v>
      </c>
      <c r="L7332" s="7">
        <v>39922.164710648147</v>
      </c>
      <c r="M7332" s="12" t="s">
        <v>16256</v>
      </c>
      <c r="N7332" s="12"/>
      <c r="O7332" s="10" t="str">
        <f>HYPERLINK("https://pbs.twimg.com/profile_images/295471774/2009-06-24_18.04.24_normal.jpg","View")</f>
        <v>View</v>
      </c>
      <c r="P7332" s="11"/>
    </row>
    <row r="7333" spans="1:16" ht="12.75" x14ac:dyDescent="0.35">
      <c r="A7333" s="7">
        <v>42484.815416666665</v>
      </c>
      <c r="B7333" s="8" t="str">
        <f>HYPERLINK("https://twitter.com/Imtweetingtoo","@Imtweetingtoo")</f>
        <v>@Imtweetingtoo</v>
      </c>
      <c r="C7333" s="9" t="s">
        <v>1007</v>
      </c>
      <c r="D7333" s="9" t="s">
        <v>16257</v>
      </c>
      <c r="E7333" s="10" t="str">
        <f>HYPERLINK("https://twitter.com/Imtweetingtoo/status/724237509631332352","724237509631332352")</f>
        <v>724237509631332352</v>
      </c>
      <c r="F7333" s="11" t="s">
        <v>20</v>
      </c>
      <c r="G7333" s="11">
        <v>23</v>
      </c>
      <c r="H7333" s="11">
        <v>133</v>
      </c>
      <c r="I7333" s="11">
        <v>0</v>
      </c>
      <c r="J7333" s="11">
        <v>0</v>
      </c>
      <c r="K7333" s="11" t="s">
        <v>21</v>
      </c>
      <c r="L7333" s="7">
        <v>40477.160092592589</v>
      </c>
      <c r="M7333" s="12"/>
      <c r="N7333" s="12" t="s">
        <v>1009</v>
      </c>
      <c r="O7333" s="10" t="str">
        <f>HYPERLINK("https://pbs.twimg.com/profile_images/1566466190/socialmedia07_100_normal.jpg","View")</f>
        <v>View</v>
      </c>
      <c r="P7333" s="11"/>
    </row>
    <row r="7334" spans="1:16" ht="12.75" x14ac:dyDescent="0.35">
      <c r="A7334" s="7">
        <v>42484.815983796296</v>
      </c>
      <c r="B7334" s="8" t="str">
        <f>HYPERLINK("https://twitter.com/uwkakeru14","@uwkakeru14")</f>
        <v>@uwkakeru14</v>
      </c>
      <c r="C7334" s="9" t="s">
        <v>16258</v>
      </c>
      <c r="D7334" s="9" t="s">
        <v>16259</v>
      </c>
      <c r="E7334" s="10" t="str">
        <f>HYPERLINK("https://twitter.com/uwkakeru14/status/724237716192370688","724237716192370688")</f>
        <v>724237716192370688</v>
      </c>
      <c r="F7334" s="11" t="s">
        <v>114</v>
      </c>
      <c r="G7334" s="11">
        <v>696</v>
      </c>
      <c r="H7334" s="11">
        <v>635</v>
      </c>
      <c r="I7334" s="11">
        <v>0</v>
      </c>
      <c r="J7334" s="11">
        <v>0</v>
      </c>
      <c r="K7334" s="11" t="s">
        <v>21</v>
      </c>
      <c r="L7334" s="7">
        <v>41331.657384259262</v>
      </c>
      <c r="M7334" s="12" t="s">
        <v>16260</v>
      </c>
      <c r="N7334" s="12" t="s">
        <v>16261</v>
      </c>
      <c r="O7334" s="10" t="str">
        <f>HYPERLINK("https://pbs.twimg.com/profile_images/720624990727450625/fuZyPQz5_normal.jpg","View")</f>
        <v>View</v>
      </c>
      <c r="P7334" s="11"/>
    </row>
    <row r="7335" spans="1:16" ht="12.75" x14ac:dyDescent="0.35">
      <c r="A7335" s="7">
        <v>42484.816111111111</v>
      </c>
      <c r="B7335" s="8" t="str">
        <f>HYPERLINK("https://twitter.com/KarlRennison","@KarlRennison")</f>
        <v>@KarlRennison</v>
      </c>
      <c r="C7335" s="9" t="s">
        <v>16262</v>
      </c>
      <c r="D7335" s="9" t="s">
        <v>16263</v>
      </c>
      <c r="E7335" s="10" t="str">
        <f>HYPERLINK("https://twitter.com/KarlRennison/status/724237762635943936","724237762635943936")</f>
        <v>724237762635943936</v>
      </c>
      <c r="F7335" s="11" t="s">
        <v>20</v>
      </c>
      <c r="G7335" s="11">
        <v>1164</v>
      </c>
      <c r="H7335" s="11">
        <v>804</v>
      </c>
      <c r="I7335" s="11">
        <v>0</v>
      </c>
      <c r="J7335" s="11">
        <v>1</v>
      </c>
      <c r="K7335" s="11" t="s">
        <v>21</v>
      </c>
      <c r="L7335" s="7">
        <v>41444.951203703706</v>
      </c>
      <c r="M7335" s="12" t="s">
        <v>16264</v>
      </c>
      <c r="N7335" s="12" t="s">
        <v>16265</v>
      </c>
      <c r="O7335" s="10" t="str">
        <f>HYPERLINK("https://pbs.twimg.com/profile_images/722326876560232450/OO8bJXZX_normal.jpg","View")</f>
        <v>View</v>
      </c>
      <c r="P7335" s="11"/>
    </row>
    <row r="7336" spans="1:16" ht="12.75" x14ac:dyDescent="0.35">
      <c r="A7336" s="7">
        <v>42484.818553240737</v>
      </c>
      <c r="B7336" s="8" t="str">
        <f>HYPERLINK("https://twitter.com/Scirocco_Tuning","@Scirocco_Tuning")</f>
        <v>@Scirocco_Tuning</v>
      </c>
      <c r="C7336" s="9" t="s">
        <v>51</v>
      </c>
      <c r="D7336" s="9" t="s">
        <v>16266</v>
      </c>
      <c r="E7336" s="10" t="str">
        <f>HYPERLINK("https://twitter.com/Scirocco_Tuning/status/724238643670450177","724238643670450177")</f>
        <v>724238643670450177</v>
      </c>
      <c r="F7336" s="11" t="s">
        <v>53</v>
      </c>
      <c r="G7336" s="11">
        <v>70</v>
      </c>
      <c r="H7336" s="11">
        <v>215</v>
      </c>
      <c r="I7336" s="11">
        <v>0</v>
      </c>
      <c r="J7336" s="11">
        <v>0</v>
      </c>
      <c r="K7336" s="11" t="s">
        <v>21</v>
      </c>
      <c r="L7336" s="7">
        <v>40844.564722222218</v>
      </c>
      <c r="M7336" s="12"/>
      <c r="N7336" s="12"/>
      <c r="O7336" s="10" t="str">
        <f>HYPERLINK("https://pbs.twimg.com/profile_images/1610421423/Image2_normal.jpg","View")</f>
        <v>View</v>
      </c>
      <c r="P7336" s="11"/>
    </row>
    <row r="7337" spans="1:16" ht="12.75" x14ac:dyDescent="0.35">
      <c r="A7337" s="7">
        <v>42484.819212962961</v>
      </c>
      <c r="B7337" s="8" t="str">
        <f t="shared" ref="B7337:B7340" si="713">HYPERLINK("https://twitter.com/beetlebug1938","@beetlebug1938")</f>
        <v>@beetlebug1938</v>
      </c>
      <c r="C7337" s="9" t="s">
        <v>66</v>
      </c>
      <c r="D7337" s="9" t="s">
        <v>16267</v>
      </c>
      <c r="E7337" s="10" t="str">
        <f>HYPERLINK("https://twitter.com/beetlebug1938/status/724238886159917056","724238886159917056")</f>
        <v>724238886159917056</v>
      </c>
      <c r="F7337" s="11" t="s">
        <v>68</v>
      </c>
      <c r="G7337" s="11">
        <v>377</v>
      </c>
      <c r="H7337" s="11">
        <v>2229</v>
      </c>
      <c r="I7337" s="11">
        <v>0</v>
      </c>
      <c r="J7337" s="11">
        <v>0</v>
      </c>
      <c r="K7337" s="11" t="s">
        <v>21</v>
      </c>
      <c r="L7337" s="7">
        <v>42469.863865740743</v>
      </c>
      <c r="M7337" s="12" t="s">
        <v>69</v>
      </c>
      <c r="N7337" s="12"/>
      <c r="O7337" s="10" t="str">
        <f t="shared" ref="O7337:O7340" si="714">HYPERLINK("https://pbs.twimg.com/profile_images/718820712757215233/LXXndPTS_normal.jpg","View")</f>
        <v>View</v>
      </c>
      <c r="P7337" s="11"/>
    </row>
    <row r="7338" spans="1:16" ht="12.75" x14ac:dyDescent="0.35">
      <c r="A7338" s="7">
        <v>42484.819236111114</v>
      </c>
      <c r="B7338" s="8" t="str">
        <f t="shared" si="713"/>
        <v>@beetlebug1938</v>
      </c>
      <c r="C7338" s="9" t="s">
        <v>66</v>
      </c>
      <c r="D7338" s="9" t="s">
        <v>16268</v>
      </c>
      <c r="E7338" s="10" t="str">
        <f>HYPERLINK("https://twitter.com/beetlebug1938/status/724238895186083841","724238895186083841")</f>
        <v>724238895186083841</v>
      </c>
      <c r="F7338" s="11" t="s">
        <v>68</v>
      </c>
      <c r="G7338" s="11">
        <v>377</v>
      </c>
      <c r="H7338" s="11">
        <v>2229</v>
      </c>
      <c r="I7338" s="11">
        <v>0</v>
      </c>
      <c r="J7338" s="11">
        <v>0</v>
      </c>
      <c r="K7338" s="11" t="s">
        <v>21</v>
      </c>
      <c r="L7338" s="7">
        <v>42469.863865740743</v>
      </c>
      <c r="M7338" s="12" t="s">
        <v>69</v>
      </c>
      <c r="N7338" s="12"/>
      <c r="O7338" s="10" t="str">
        <f t="shared" si="714"/>
        <v>View</v>
      </c>
      <c r="P7338" s="11"/>
    </row>
    <row r="7339" spans="1:16" ht="12.75" x14ac:dyDescent="0.35">
      <c r="A7339" s="7">
        <v>42484.819282407407</v>
      </c>
      <c r="B7339" s="8" t="str">
        <f t="shared" si="713"/>
        <v>@beetlebug1938</v>
      </c>
      <c r="C7339" s="9" t="s">
        <v>66</v>
      </c>
      <c r="D7339" s="9" t="s">
        <v>16269</v>
      </c>
      <c r="E7339" s="10" t="str">
        <f>HYPERLINK("https://twitter.com/beetlebug1938/status/724238910423990272","724238910423990272")</f>
        <v>724238910423990272</v>
      </c>
      <c r="F7339" s="11" t="s">
        <v>68</v>
      </c>
      <c r="G7339" s="11">
        <v>377</v>
      </c>
      <c r="H7339" s="11">
        <v>2229</v>
      </c>
      <c r="I7339" s="11">
        <v>0</v>
      </c>
      <c r="J7339" s="11">
        <v>0</v>
      </c>
      <c r="K7339" s="11" t="s">
        <v>21</v>
      </c>
      <c r="L7339" s="7">
        <v>42469.863865740743</v>
      </c>
      <c r="M7339" s="12" t="s">
        <v>69</v>
      </c>
      <c r="N7339" s="12"/>
      <c r="O7339" s="10" t="str">
        <f t="shared" si="714"/>
        <v>View</v>
      </c>
      <c r="P7339" s="11"/>
    </row>
    <row r="7340" spans="1:16" ht="12.75" x14ac:dyDescent="0.35">
      <c r="A7340" s="7">
        <v>42484.819351851853</v>
      </c>
      <c r="B7340" s="8" t="str">
        <f t="shared" si="713"/>
        <v>@beetlebug1938</v>
      </c>
      <c r="C7340" s="9" t="s">
        <v>66</v>
      </c>
      <c r="D7340" s="9" t="s">
        <v>16270</v>
      </c>
      <c r="E7340" s="10" t="str">
        <f>HYPERLINK("https://twitter.com/beetlebug1938/status/724238933341667329","724238933341667329")</f>
        <v>724238933341667329</v>
      </c>
      <c r="F7340" s="11" t="s">
        <v>68</v>
      </c>
      <c r="G7340" s="11">
        <v>377</v>
      </c>
      <c r="H7340" s="11">
        <v>2229</v>
      </c>
      <c r="I7340" s="11">
        <v>0</v>
      </c>
      <c r="J7340" s="11">
        <v>0</v>
      </c>
      <c r="K7340" s="11" t="s">
        <v>21</v>
      </c>
      <c r="L7340" s="7">
        <v>42469.863865740743</v>
      </c>
      <c r="M7340" s="12" t="s">
        <v>69</v>
      </c>
      <c r="N7340" s="12"/>
      <c r="O7340" s="10" t="str">
        <f t="shared" si="714"/>
        <v>View</v>
      </c>
      <c r="P7340" s="11"/>
    </row>
    <row r="7341" spans="1:16" ht="12.75" x14ac:dyDescent="0.35">
      <c r="A7341" s="7">
        <v>42484.819548611107</v>
      </c>
      <c r="B7341" s="8" t="str">
        <f>HYPERLINK("https://twitter.com/CoryBarrios","@CoryBarrios")</f>
        <v>@CoryBarrios</v>
      </c>
      <c r="C7341" s="9" t="s">
        <v>16188</v>
      </c>
      <c r="D7341" s="9" t="s">
        <v>16271</v>
      </c>
      <c r="E7341" s="10" t="str">
        <f>HYPERLINK("https://twitter.com/CoryBarrios/status/724239005966020614","724239005966020614")</f>
        <v>724239005966020614</v>
      </c>
      <c r="F7341" s="11" t="s">
        <v>114</v>
      </c>
      <c r="G7341" s="11">
        <v>205</v>
      </c>
      <c r="H7341" s="11">
        <v>437</v>
      </c>
      <c r="I7341" s="11">
        <v>0</v>
      </c>
      <c r="J7341" s="11">
        <v>0</v>
      </c>
      <c r="K7341" s="11" t="s">
        <v>21</v>
      </c>
      <c r="L7341" s="7">
        <v>40169.003483796296</v>
      </c>
      <c r="M7341" s="12" t="s">
        <v>16190</v>
      </c>
      <c r="N7341" s="12" t="s">
        <v>16191</v>
      </c>
      <c r="O7341" s="10" t="str">
        <f>HYPERLINK("https://pbs.twimg.com/profile_images/623965518270038016/EUAbTsHF_normal.jpg","View")</f>
        <v>View</v>
      </c>
      <c r="P7341" s="10" t="str">
        <f>HYPERLINK("http://ctrlq.org/maps/address/#37.70838744,-121.51727673","Map")</f>
        <v>Map</v>
      </c>
    </row>
    <row r="7342" spans="1:16" ht="12.75" x14ac:dyDescent="0.35">
      <c r="A7342" s="7">
        <v>42484.819918981477</v>
      </c>
      <c r="B7342" s="8" t="str">
        <f>HYPERLINK("https://twitter.com/paulpollinger","@paulpollinger")</f>
        <v>@paulpollinger</v>
      </c>
      <c r="C7342" s="9" t="s">
        <v>16272</v>
      </c>
      <c r="D7342" s="9" t="s">
        <v>16273</v>
      </c>
      <c r="E7342" s="10" t="str">
        <f>HYPERLINK("https://twitter.com/paulpollinger/status/724239140380876800","724239140380876800")</f>
        <v>724239140380876800</v>
      </c>
      <c r="F7342" s="11" t="s">
        <v>20</v>
      </c>
      <c r="G7342" s="11">
        <v>9</v>
      </c>
      <c r="H7342" s="11">
        <v>29</v>
      </c>
      <c r="I7342" s="11">
        <v>0</v>
      </c>
      <c r="J7342" s="11">
        <v>0</v>
      </c>
      <c r="K7342" s="11" t="s">
        <v>21</v>
      </c>
      <c r="L7342" s="7">
        <v>42432.676342592589</v>
      </c>
      <c r="M7342" s="12" t="s">
        <v>1359</v>
      </c>
      <c r="N7342" s="12" t="s">
        <v>16274</v>
      </c>
      <c r="O7342" s="10" t="str">
        <f>HYPERLINK("https://pbs.twimg.com/profile_images/705456759306067972/k_ohXzmN_normal.jpg","View")</f>
        <v>View</v>
      </c>
      <c r="P7342" s="11"/>
    </row>
    <row r="7343" spans="1:16" ht="12.75" x14ac:dyDescent="0.35">
      <c r="A7343" s="7">
        <v>42484.820081018523</v>
      </c>
      <c r="B7343" s="8" t="str">
        <f>HYPERLINK("https://twitter.com/westy_nl","@westy_nl")</f>
        <v>@westy_nl</v>
      </c>
      <c r="C7343" s="9" t="s">
        <v>16275</v>
      </c>
      <c r="D7343" s="9" t="s">
        <v>16276</v>
      </c>
      <c r="E7343" s="10" t="str">
        <f>HYPERLINK("https://twitter.com/westy_nl/status/724239198941790208","724239198941790208")</f>
        <v>724239198941790208</v>
      </c>
      <c r="F7343" s="11" t="s">
        <v>91</v>
      </c>
      <c r="G7343" s="11">
        <v>220</v>
      </c>
      <c r="H7343" s="11">
        <v>406</v>
      </c>
      <c r="I7343" s="11">
        <v>0</v>
      </c>
      <c r="J7343" s="11">
        <v>0</v>
      </c>
      <c r="K7343" s="11" t="s">
        <v>21</v>
      </c>
      <c r="L7343" s="7">
        <v>42117.591921296298</v>
      </c>
      <c r="M7343" s="12"/>
      <c r="N7343" s="12" t="s">
        <v>16277</v>
      </c>
      <c r="O7343" s="10" t="str">
        <f>HYPERLINK("https://pbs.twimg.com/profile_images/591160837198503936/SBlrZoW0_normal.jpg","View")</f>
        <v>View</v>
      </c>
      <c r="P7343" s="11"/>
    </row>
    <row r="7344" spans="1:16" ht="12.75" x14ac:dyDescent="0.35">
      <c r="A7344" s="7">
        <v>42484.820219907408</v>
      </c>
      <c r="B7344" s="8" t="str">
        <f>HYPERLINK("https://twitter.com/walkabilityasia","@walkabilityasia")</f>
        <v>@walkabilityasia</v>
      </c>
      <c r="C7344" s="9" t="s">
        <v>16278</v>
      </c>
      <c r="D7344" s="9" t="s">
        <v>9547</v>
      </c>
      <c r="E7344" s="10" t="str">
        <f>HYPERLINK("https://twitter.com/walkabilityasia/status/724239251743735808","724239251743735808")</f>
        <v>724239251743735808</v>
      </c>
      <c r="F7344" s="11" t="s">
        <v>20</v>
      </c>
      <c r="G7344" s="11">
        <v>507</v>
      </c>
      <c r="H7344" s="11">
        <v>391</v>
      </c>
      <c r="I7344" s="11">
        <v>16</v>
      </c>
      <c r="J7344" s="11">
        <v>0</v>
      </c>
      <c r="K7344" s="11" t="s">
        <v>21</v>
      </c>
      <c r="L7344" s="7">
        <v>41371.57267361111</v>
      </c>
      <c r="M7344" s="12" t="s">
        <v>16279</v>
      </c>
      <c r="N7344" s="12" t="s">
        <v>16280</v>
      </c>
      <c r="O7344" s="10" t="str">
        <f>HYPERLINK("https://pbs.twimg.com/profile_images/538662241122271232/ESZSuIqL_normal.png","View")</f>
        <v>View</v>
      </c>
      <c r="P7344" s="11"/>
    </row>
    <row r="7345" spans="1:16" ht="12.75" x14ac:dyDescent="0.35">
      <c r="A7345" s="7">
        <v>42484.820335648154</v>
      </c>
      <c r="B7345" s="8" t="str">
        <f t="shared" ref="B7345:B7346" si="715">HYPERLINK("https://twitter.com/dubbusses","@dubbusses")</f>
        <v>@dubbusses</v>
      </c>
      <c r="C7345" s="9" t="s">
        <v>14338</v>
      </c>
      <c r="D7345" s="9" t="s">
        <v>16281</v>
      </c>
      <c r="E7345" s="10" t="str">
        <f>HYPERLINK("https://twitter.com/dubbusses/status/724239291900137472","724239291900137472")</f>
        <v>724239291900137472</v>
      </c>
      <c r="F7345" s="11" t="s">
        <v>68</v>
      </c>
      <c r="G7345" s="11">
        <v>432</v>
      </c>
      <c r="H7345" s="11">
        <v>2369</v>
      </c>
      <c r="I7345" s="11">
        <v>0</v>
      </c>
      <c r="J7345" s="11">
        <v>0</v>
      </c>
      <c r="K7345" s="11" t="s">
        <v>21</v>
      </c>
      <c r="L7345" s="7">
        <v>42469.905393518522</v>
      </c>
      <c r="M7345" s="12" t="s">
        <v>14340</v>
      </c>
      <c r="N7345" s="12"/>
      <c r="O7345" s="10" t="str">
        <f t="shared" ref="O7345:O7346" si="716">HYPERLINK("https://pbs.twimg.com/profile_images/718835727027580928/1ssyQ67y_normal.jpg","View")</f>
        <v>View</v>
      </c>
      <c r="P7345" s="11"/>
    </row>
    <row r="7346" spans="1:16" ht="12.75" x14ac:dyDescent="0.35">
      <c r="A7346" s="7">
        <v>42484.820509259254</v>
      </c>
      <c r="B7346" s="8" t="str">
        <f t="shared" si="715"/>
        <v>@dubbusses</v>
      </c>
      <c r="C7346" s="9" t="s">
        <v>14338</v>
      </c>
      <c r="D7346" s="9" t="s">
        <v>16282</v>
      </c>
      <c r="E7346" s="10" t="str">
        <f>HYPERLINK("https://twitter.com/dubbusses/status/724239356454682625","724239356454682625")</f>
        <v>724239356454682625</v>
      </c>
      <c r="F7346" s="11" t="s">
        <v>68</v>
      </c>
      <c r="G7346" s="11">
        <v>432</v>
      </c>
      <c r="H7346" s="11">
        <v>2369</v>
      </c>
      <c r="I7346" s="11">
        <v>0</v>
      </c>
      <c r="J7346" s="11">
        <v>0</v>
      </c>
      <c r="K7346" s="11" t="s">
        <v>21</v>
      </c>
      <c r="L7346" s="7">
        <v>42469.905393518522</v>
      </c>
      <c r="M7346" s="12" t="s">
        <v>14340</v>
      </c>
      <c r="N7346" s="12"/>
      <c r="O7346" s="10" t="str">
        <f t="shared" si="716"/>
        <v>View</v>
      </c>
      <c r="P7346" s="11"/>
    </row>
    <row r="7347" spans="1:16" ht="12.75" x14ac:dyDescent="0.35">
      <c r="A7347" s="7">
        <v>42484.820729166662</v>
      </c>
      <c r="B7347" s="8" t="str">
        <f>HYPERLINK("https://twitter.com/ReturnBuyer_CA","@ReturnBuyer_CA")</f>
        <v>@ReturnBuyer_CA</v>
      </c>
      <c r="C7347" s="9" t="s">
        <v>16283</v>
      </c>
      <c r="D7347" s="9" t="s">
        <v>16284</v>
      </c>
      <c r="E7347" s="10" t="str">
        <f>HYPERLINK("https://twitter.com/ReturnBuyer_CA/status/724239435781431296","724239435781431296")</f>
        <v>724239435781431296</v>
      </c>
      <c r="F7347" s="11" t="s">
        <v>43</v>
      </c>
      <c r="G7347" s="11">
        <v>119</v>
      </c>
      <c r="H7347" s="11">
        <v>0</v>
      </c>
      <c r="I7347" s="11">
        <v>2</v>
      </c>
      <c r="J7347" s="11">
        <v>0</v>
      </c>
      <c r="K7347" s="11" t="s">
        <v>21</v>
      </c>
      <c r="L7347" s="7">
        <v>42446.081759259258</v>
      </c>
      <c r="M7347" s="12"/>
      <c r="N7347" s="12" t="s">
        <v>16285</v>
      </c>
      <c r="O7347" s="10" t="str">
        <f>HYPERLINK("https://pbs.twimg.com/profile_images/710258286151335937/kINPaBuM_normal.jpg","View")</f>
        <v>View</v>
      </c>
      <c r="P7347" s="11"/>
    </row>
    <row r="7348" spans="1:16" ht="12.75" x14ac:dyDescent="0.35">
      <c r="A7348" s="7">
        <v>42484.820810185185</v>
      </c>
      <c r="B7348" s="8" t="str">
        <f>HYPERLINK("https://twitter.com/AdgmanA","@AdgmanA")</f>
        <v>@AdgmanA</v>
      </c>
      <c r="C7348" s="9" t="s">
        <v>6525</v>
      </c>
      <c r="D7348" s="9" t="s">
        <v>16284</v>
      </c>
      <c r="E7348" s="10" t="str">
        <f>HYPERLINK("https://twitter.com/AdgmanA/status/724239464575451137","724239464575451137")</f>
        <v>724239464575451137</v>
      </c>
      <c r="F7348" s="11" t="s">
        <v>20</v>
      </c>
      <c r="G7348" s="11">
        <v>523</v>
      </c>
      <c r="H7348" s="11">
        <v>39</v>
      </c>
      <c r="I7348" s="11">
        <v>2</v>
      </c>
      <c r="J7348" s="11">
        <v>0</v>
      </c>
      <c r="K7348" s="11" t="s">
        <v>21</v>
      </c>
      <c r="L7348" s="7">
        <v>40286.513032407405</v>
      </c>
      <c r="M7348" s="12" t="s">
        <v>6527</v>
      </c>
      <c r="N7348" s="12" t="s">
        <v>6528</v>
      </c>
      <c r="O7348" s="10" t="str">
        <f>HYPERLINK("https://pbs.twimg.com/profile_images/717472604702052357/yTPUaVAZ_normal.jpg","View")</f>
        <v>View</v>
      </c>
      <c r="P7348" s="11"/>
    </row>
    <row r="7349" spans="1:16" ht="12.75" x14ac:dyDescent="0.35">
      <c r="A7349" s="7">
        <v>42484.820868055554</v>
      </c>
      <c r="B7349" s="8" t="str">
        <f>HYPERLINK("https://twitter.com/MarcDigruber","@MarcDigruber")</f>
        <v>@MarcDigruber</v>
      </c>
      <c r="C7349" s="9" t="s">
        <v>16286</v>
      </c>
      <c r="D7349" s="9" t="s">
        <v>16287</v>
      </c>
      <c r="E7349" s="10" t="str">
        <f>HYPERLINK("https://twitter.com/MarcDigruber/status/724239484318035968","724239484318035968")</f>
        <v>724239484318035968</v>
      </c>
      <c r="F7349" s="11" t="s">
        <v>53</v>
      </c>
      <c r="G7349" s="11">
        <v>106</v>
      </c>
      <c r="H7349" s="11">
        <v>197</v>
      </c>
      <c r="I7349" s="11">
        <v>0</v>
      </c>
      <c r="J7349" s="11">
        <v>0</v>
      </c>
      <c r="K7349" s="11" t="s">
        <v>21</v>
      </c>
      <c r="L7349" s="7">
        <v>41321.821076388893</v>
      </c>
      <c r="M7349" s="12"/>
      <c r="N7349" s="12"/>
      <c r="O7349" s="10" t="str">
        <f>HYPERLINK("https://pbs.twimg.com/profile_images/613241652002574336/qoq_ha57_normal.jpg","View")</f>
        <v>View</v>
      </c>
      <c r="P7349" s="11"/>
    </row>
    <row r="7350" spans="1:16" ht="12.75" x14ac:dyDescent="0.35">
      <c r="A7350" s="7">
        <v>42484.824328703704</v>
      </c>
      <c r="B7350" s="8" t="str">
        <f>HYPERLINK("https://twitter.com/used4x4parts","@used4x4parts")</f>
        <v>@used4x4parts</v>
      </c>
      <c r="C7350" s="9" t="s">
        <v>16288</v>
      </c>
      <c r="D7350" s="9" t="s">
        <v>16289</v>
      </c>
      <c r="E7350" s="10" t="str">
        <f>HYPERLINK("https://twitter.com/used4x4parts/status/724240738645598208","724240738645598208")</f>
        <v>724240738645598208</v>
      </c>
      <c r="F7350" s="11" t="s">
        <v>367</v>
      </c>
      <c r="G7350" s="11">
        <v>30</v>
      </c>
      <c r="H7350" s="11">
        <v>226</v>
      </c>
      <c r="I7350" s="11">
        <v>1</v>
      </c>
      <c r="J7350" s="11">
        <v>0</v>
      </c>
      <c r="K7350" s="11" t="s">
        <v>21</v>
      </c>
      <c r="L7350" s="7">
        <v>42480.060937499999</v>
      </c>
      <c r="M7350" s="12" t="s">
        <v>16290</v>
      </c>
      <c r="N7350" s="12" t="s">
        <v>16291</v>
      </c>
      <c r="O7350" s="10" t="str">
        <f>HYPERLINK("https://abs.twimg.com/sticky/default_profile_images/default_profile_5_normal.png","View")</f>
        <v>View</v>
      </c>
      <c r="P7350" s="11"/>
    </row>
    <row r="7351" spans="1:16" ht="12.75" x14ac:dyDescent="0.35">
      <c r="A7351" s="7">
        <v>42484.824548611112</v>
      </c>
      <c r="B7351" s="8" t="str">
        <f>HYPERLINK("https://twitter.com/JanelleRBlu","@JanelleRBlu")</f>
        <v>@JanelleRBlu</v>
      </c>
      <c r="C7351" s="9" t="s">
        <v>16292</v>
      </c>
      <c r="D7351" s="9" t="s">
        <v>16293</v>
      </c>
      <c r="E7351" s="10" t="str">
        <f>HYPERLINK("https://twitter.com/JanelleRBlu/status/724240817074896896","724240817074896896")</f>
        <v>724240817074896896</v>
      </c>
      <c r="F7351" s="11" t="s">
        <v>114</v>
      </c>
      <c r="G7351" s="11">
        <v>257</v>
      </c>
      <c r="H7351" s="11">
        <v>267</v>
      </c>
      <c r="I7351" s="11">
        <v>0</v>
      </c>
      <c r="J7351" s="11">
        <v>0</v>
      </c>
      <c r="K7351" s="11" t="s">
        <v>21</v>
      </c>
      <c r="L7351" s="7">
        <v>39819.424212962964</v>
      </c>
      <c r="M7351" s="12" t="s">
        <v>2378</v>
      </c>
      <c r="N7351" s="12" t="s">
        <v>16294</v>
      </c>
      <c r="O7351" s="10" t="str">
        <f>HYPERLINK("https://pbs.twimg.com/profile_images/638911107629846528/gS1Qt39M_normal.jpg","View")</f>
        <v>View</v>
      </c>
      <c r="P7351" s="10" t="str">
        <f>HYPERLINK("http://ctrlq.org/maps/address/#42.35938518,-71.06475855","Map")</f>
        <v>Map</v>
      </c>
    </row>
    <row r="7352" spans="1:16" ht="12.75" x14ac:dyDescent="0.35">
      <c r="A7352" s="7">
        <v>42484.824629629627</v>
      </c>
      <c r="B7352" s="8" t="str">
        <f>HYPERLINK("https://twitter.com/used4x4parts","@used4x4parts")</f>
        <v>@used4x4parts</v>
      </c>
      <c r="C7352" s="9" t="s">
        <v>16288</v>
      </c>
      <c r="D7352" s="9" t="s">
        <v>16295</v>
      </c>
      <c r="E7352" s="10" t="str">
        <f>HYPERLINK("https://twitter.com/used4x4parts/status/724240845864624130","724240845864624130")</f>
        <v>724240845864624130</v>
      </c>
      <c r="F7352" s="11" t="s">
        <v>367</v>
      </c>
      <c r="G7352" s="11">
        <v>30</v>
      </c>
      <c r="H7352" s="11">
        <v>226</v>
      </c>
      <c r="I7352" s="11">
        <v>1</v>
      </c>
      <c r="J7352" s="11">
        <v>0</v>
      </c>
      <c r="K7352" s="11" t="s">
        <v>21</v>
      </c>
      <c r="L7352" s="7">
        <v>42480.060937499999</v>
      </c>
      <c r="M7352" s="12" t="s">
        <v>16290</v>
      </c>
      <c r="N7352" s="12" t="s">
        <v>16291</v>
      </c>
      <c r="O7352" s="10" t="str">
        <f>HYPERLINK("https://abs.twimg.com/sticky/default_profile_images/default_profile_5_normal.png","View")</f>
        <v>View</v>
      </c>
      <c r="P7352" s="11"/>
    </row>
    <row r="7353" spans="1:16" ht="12.75" x14ac:dyDescent="0.35">
      <c r="A7353" s="7">
        <v>42484.824965277774</v>
      </c>
      <c r="B7353" s="8" t="str">
        <f>HYPERLINK("https://twitter.com/TommyWolff","@TommyWolff")</f>
        <v>@TommyWolff</v>
      </c>
      <c r="C7353" s="9" t="s">
        <v>16296</v>
      </c>
      <c r="D7353" s="9" t="s">
        <v>16297</v>
      </c>
      <c r="E7353" s="10" t="str">
        <f>HYPERLINK("https://twitter.com/TommyWolff/status/724240967948075009","724240967948075009")</f>
        <v>724240967948075009</v>
      </c>
      <c r="F7353" s="11" t="s">
        <v>114</v>
      </c>
      <c r="G7353" s="11">
        <v>232</v>
      </c>
      <c r="H7353" s="11">
        <v>1169</v>
      </c>
      <c r="I7353" s="11">
        <v>0</v>
      </c>
      <c r="J7353" s="11">
        <v>0</v>
      </c>
      <c r="K7353" s="11" t="s">
        <v>21</v>
      </c>
      <c r="L7353" s="7">
        <v>40059.168958333335</v>
      </c>
      <c r="M7353" s="12" t="s">
        <v>16298</v>
      </c>
      <c r="N7353" s="12" t="s">
        <v>16299</v>
      </c>
      <c r="O7353" s="10" t="str">
        <f>HYPERLINK("https://pbs.twimg.com/profile_images/714624729546637312/sXuLHNCU_normal.jpg","View")</f>
        <v>View</v>
      </c>
      <c r="P7353" s="10" t="str">
        <f>HYPERLINK("http://ctrlq.org/maps/address/#40.4414,-79.9773","Map")</f>
        <v>Map</v>
      </c>
    </row>
    <row r="7354" spans="1:16" ht="12.75" x14ac:dyDescent="0.35">
      <c r="A7354" s="7">
        <v>42484.825092592597</v>
      </c>
      <c r="B7354" s="8" t="str">
        <f>HYPERLINK("https://twitter.com/FuscaWorld","@FuscaWorld")</f>
        <v>@FuscaWorld</v>
      </c>
      <c r="C7354" s="9" t="s">
        <v>74</v>
      </c>
      <c r="D7354" s="9" t="s">
        <v>16300</v>
      </c>
      <c r="E7354" s="10" t="str">
        <f>HYPERLINK("https://twitter.com/FuscaWorld/status/724241016044269568","724241016044269568")</f>
        <v>724241016044269568</v>
      </c>
      <c r="F7354" s="11" t="s">
        <v>76</v>
      </c>
      <c r="G7354" s="11">
        <v>51</v>
      </c>
      <c r="H7354" s="11">
        <v>1</v>
      </c>
      <c r="I7354" s="11">
        <v>1</v>
      </c>
      <c r="J7354" s="11">
        <v>0</v>
      </c>
      <c r="K7354" s="11" t="s">
        <v>21</v>
      </c>
      <c r="L7354" s="7">
        <v>42433.880914351852</v>
      </c>
      <c r="M7354" s="12"/>
      <c r="N7354" s="12" t="s">
        <v>77</v>
      </c>
      <c r="O7354" s="10" t="str">
        <f>HYPERLINK("https://pbs.twimg.com/profile_images/705780107844067328/e7O4UBNb_normal.jpg","View")</f>
        <v>View</v>
      </c>
      <c r="P7354" s="11"/>
    </row>
    <row r="7355" spans="1:16" ht="12.75" x14ac:dyDescent="0.35">
      <c r="A7355" s="7">
        <v>42484.828750000001</v>
      </c>
      <c r="B7355" s="8" t="str">
        <f>HYPERLINK("https://twitter.com/calzonzote","@calzonzote")</f>
        <v>@calzonzote</v>
      </c>
      <c r="C7355" s="9" t="s">
        <v>16301</v>
      </c>
      <c r="D7355" s="9" t="s">
        <v>16302</v>
      </c>
      <c r="E7355" s="10" t="str">
        <f>HYPERLINK("https://twitter.com/calzonzote/status/724242342706733056","724242342706733056")</f>
        <v>724242342706733056</v>
      </c>
      <c r="F7355" s="11" t="s">
        <v>20</v>
      </c>
      <c r="G7355" s="11">
        <v>1335</v>
      </c>
      <c r="H7355" s="11">
        <v>2634</v>
      </c>
      <c r="I7355" s="11">
        <v>0</v>
      </c>
      <c r="J7355" s="11">
        <v>0</v>
      </c>
      <c r="K7355" s="11" t="s">
        <v>21</v>
      </c>
      <c r="L7355" s="7">
        <v>39498.163518518515</v>
      </c>
      <c r="M7355" s="12" t="s">
        <v>16303</v>
      </c>
      <c r="N7355" s="12" t="s">
        <v>16304</v>
      </c>
      <c r="O7355" s="10" t="str">
        <f>HYPERLINK("https://pbs.twimg.com/profile_images/619400852994830336/LUUrV3-k_normal.jpg","View")</f>
        <v>View</v>
      </c>
      <c r="P7355" s="11"/>
    </row>
    <row r="7356" spans="1:16" ht="12.75" x14ac:dyDescent="0.35">
      <c r="A7356" s="7">
        <v>42484.829224537039</v>
      </c>
      <c r="B7356" s="8" t="str">
        <f>HYPERLINK("https://twitter.com/VDubkollective","@VDubkollective")</f>
        <v>@VDubkollective</v>
      </c>
      <c r="C7356" s="9" t="s">
        <v>16305</v>
      </c>
      <c r="D7356" s="9" t="s">
        <v>16217</v>
      </c>
      <c r="E7356" s="10" t="str">
        <f>HYPERLINK("https://twitter.com/VDubkollective/status/724242511741349892","724242511741349892")</f>
        <v>724242511741349892</v>
      </c>
      <c r="F7356" s="11" t="s">
        <v>91</v>
      </c>
      <c r="G7356" s="11">
        <v>324</v>
      </c>
      <c r="H7356" s="11">
        <v>276</v>
      </c>
      <c r="I7356" s="11">
        <v>2</v>
      </c>
      <c r="J7356" s="11">
        <v>0</v>
      </c>
      <c r="K7356" s="11" t="s">
        <v>21</v>
      </c>
      <c r="L7356" s="7">
        <v>42378.725416666668</v>
      </c>
      <c r="M7356" s="12" t="s">
        <v>6682</v>
      </c>
      <c r="N7356" s="12" t="s">
        <v>16306</v>
      </c>
      <c r="O7356" s="10" t="str">
        <f>HYPERLINK("https://pbs.twimg.com/profile_images/685828508128555008/VZgbemtZ_normal.jpg","View")</f>
        <v>View</v>
      </c>
      <c r="P7356" s="11"/>
    </row>
    <row r="7357" spans="1:16" ht="12.75" x14ac:dyDescent="0.35">
      <c r="A7357" s="7">
        <v>42484.831273148149</v>
      </c>
      <c r="B7357" s="8" t="str">
        <f>HYPERLINK("https://twitter.com/wbednarski","@wbednarski")</f>
        <v>@wbednarski</v>
      </c>
      <c r="C7357" s="9" t="s">
        <v>16307</v>
      </c>
      <c r="D7357" s="9" t="s">
        <v>16308</v>
      </c>
      <c r="E7357" s="10" t="str">
        <f>HYPERLINK("https://twitter.com/wbednarski/status/724243253801963520","724243253801963520")</f>
        <v>724243253801963520</v>
      </c>
      <c r="F7357" s="11" t="s">
        <v>43</v>
      </c>
      <c r="G7357" s="11">
        <v>643</v>
      </c>
      <c r="H7357" s="11">
        <v>200</v>
      </c>
      <c r="I7357" s="11">
        <v>0</v>
      </c>
      <c r="J7357" s="11">
        <v>0</v>
      </c>
      <c r="K7357" s="11" t="s">
        <v>21</v>
      </c>
      <c r="L7357" s="7">
        <v>39956.106631944444</v>
      </c>
      <c r="M7357" s="12" t="s">
        <v>8405</v>
      </c>
      <c r="N7357" s="12" t="s">
        <v>16309</v>
      </c>
      <c r="O7357" s="10" t="str">
        <f>HYPERLINK("https://pbs.twimg.com/profile_images/2701944186/644516f611721f03f016f84ed773aac2_normal.png","View")</f>
        <v>View</v>
      </c>
      <c r="P7357" s="11"/>
    </row>
    <row r="7358" spans="1:16" ht="12.75" x14ac:dyDescent="0.35">
      <c r="A7358" s="7">
        <v>42484.831354166672</v>
      </c>
      <c r="B7358" s="8" t="str">
        <f>HYPERLINK("https://twitter.com/javper27","@javper27")</f>
        <v>@javper27</v>
      </c>
      <c r="C7358" s="9" t="s">
        <v>16310</v>
      </c>
      <c r="D7358" s="9" t="s">
        <v>16236</v>
      </c>
      <c r="E7358" s="10" t="str">
        <f>HYPERLINK("https://twitter.com/javper27/status/724243285674348547","724243285674348547")</f>
        <v>724243285674348547</v>
      </c>
      <c r="F7358" s="11" t="s">
        <v>20</v>
      </c>
      <c r="G7358" s="11">
        <v>106</v>
      </c>
      <c r="H7358" s="11">
        <v>1133</v>
      </c>
      <c r="I7358" s="11">
        <v>3</v>
      </c>
      <c r="J7358" s="11">
        <v>0</v>
      </c>
      <c r="K7358" s="11" t="s">
        <v>21</v>
      </c>
      <c r="L7358" s="7">
        <v>40314.04515046296</v>
      </c>
      <c r="M7358" s="12"/>
      <c r="N7358" s="12"/>
      <c r="O7358" s="10" t="str">
        <f>HYPERLINK("https://pbs.twimg.com/profile_images/701457964675117057/Qh4IaxxH_normal.jpg","View")</f>
        <v>View</v>
      </c>
      <c r="P7358" s="11"/>
    </row>
    <row r="7359" spans="1:16" ht="12.75" x14ac:dyDescent="0.35">
      <c r="A7359" s="7">
        <v>42484.831724537042</v>
      </c>
      <c r="B7359" s="8" t="str">
        <f>HYPERLINK("https://twitter.com/chrisrealeg7","@chrisrealeg7")</f>
        <v>@chrisrealeg7</v>
      </c>
      <c r="C7359" s="9" t="s">
        <v>16311</v>
      </c>
      <c r="D7359" s="9" t="s">
        <v>14518</v>
      </c>
      <c r="E7359" s="10" t="str">
        <f>HYPERLINK("https://twitter.com/chrisrealeg7/status/724243419279822848","724243419279822848")</f>
        <v>724243419279822848</v>
      </c>
      <c r="F7359" s="11" t="s">
        <v>48</v>
      </c>
      <c r="G7359" s="11">
        <v>161</v>
      </c>
      <c r="H7359" s="11">
        <v>157</v>
      </c>
      <c r="I7359" s="11">
        <v>71</v>
      </c>
      <c r="J7359" s="11">
        <v>0</v>
      </c>
      <c r="K7359" s="11" t="s">
        <v>21</v>
      </c>
      <c r="L7359" s="7">
        <v>42339.900949074072</v>
      </c>
      <c r="M7359" s="12" t="s">
        <v>16312</v>
      </c>
      <c r="N7359" s="12" t="s">
        <v>16313</v>
      </c>
      <c r="O7359" s="10" t="str">
        <f>HYPERLINK("https://pbs.twimg.com/profile_images/686724675376918528/DRvuZ57Q_normal.jpg","View")</f>
        <v>View</v>
      </c>
      <c r="P7359" s="11"/>
    </row>
    <row r="7360" spans="1:16" ht="12.75" x14ac:dyDescent="0.35">
      <c r="A7360" s="7">
        <v>42484.832048611112</v>
      </c>
      <c r="B7360" s="8" t="str">
        <f>HYPERLINK("https://twitter.com/Lindsay_VW","@Lindsay_VW")</f>
        <v>@Lindsay_VW</v>
      </c>
      <c r="C7360" s="9" t="s">
        <v>211</v>
      </c>
      <c r="D7360" s="9" t="s">
        <v>16314</v>
      </c>
      <c r="E7360" s="10" t="str">
        <f>HYPERLINK("https://twitter.com/Lindsay_VW/status/724243537634705408","724243537634705408")</f>
        <v>724243537634705408</v>
      </c>
      <c r="F7360" s="11" t="s">
        <v>213</v>
      </c>
      <c r="G7360" s="11">
        <v>4666</v>
      </c>
      <c r="H7360" s="11">
        <v>4338</v>
      </c>
      <c r="I7360" s="11">
        <v>0</v>
      </c>
      <c r="J7360" s="11">
        <v>0</v>
      </c>
      <c r="K7360" s="11" t="s">
        <v>21</v>
      </c>
      <c r="L7360" s="7">
        <v>39872.963599537034</v>
      </c>
      <c r="M7360" s="12" t="s">
        <v>214</v>
      </c>
      <c r="N7360" s="12" t="s">
        <v>215</v>
      </c>
      <c r="O7360" s="10" t="str">
        <f>HYPERLINK("https://pbs.twimg.com/profile_images/716020780899807232/fnaRfVpE_normal.jpg","View")</f>
        <v>View</v>
      </c>
      <c r="P7360" s="11"/>
    </row>
    <row r="7361" spans="1:16" ht="12.75" x14ac:dyDescent="0.35">
      <c r="A7361" s="7">
        <v>42484.832303240742</v>
      </c>
      <c r="B7361" s="8" t="str">
        <f>HYPERLINK("https://twitter.com/VeeDubMk1_","@VeeDubMk1_")</f>
        <v>@VeeDubMk1_</v>
      </c>
      <c r="C7361" s="9" t="s">
        <v>185</v>
      </c>
      <c r="D7361" s="9" t="s">
        <v>16315</v>
      </c>
      <c r="E7361" s="10" t="str">
        <f>HYPERLINK("https://twitter.com/VeeDubMk1_/status/724243630215565312","724243630215565312")</f>
        <v>724243630215565312</v>
      </c>
      <c r="F7361" s="11" t="s">
        <v>68</v>
      </c>
      <c r="G7361" s="11">
        <v>549</v>
      </c>
      <c r="H7361" s="11">
        <v>3528</v>
      </c>
      <c r="I7361" s="11">
        <v>0</v>
      </c>
      <c r="J7361" s="11">
        <v>0</v>
      </c>
      <c r="K7361" s="11" t="s">
        <v>21</v>
      </c>
      <c r="L7361" s="7">
        <v>42343.063356481478</v>
      </c>
      <c r="M7361" s="12"/>
      <c r="N7361" s="12"/>
      <c r="O7361" s="10" t="str">
        <f>HYPERLINK("https://pbs.twimg.com/profile_images/672878354127839232/M7OYc-zx_normal.jpg","View")</f>
        <v>View</v>
      </c>
      <c r="P7361" s="11"/>
    </row>
    <row r="7362" spans="1:16" ht="12.75" x14ac:dyDescent="0.35">
      <c r="A7362" s="7">
        <v>42484.832372685181</v>
      </c>
      <c r="B7362" s="8" t="str">
        <f>HYPERLINK("https://twitter.com/Insta_VWT","@Insta_VWT")</f>
        <v>@Insta_VWT</v>
      </c>
      <c r="C7362" s="9" t="s">
        <v>181</v>
      </c>
      <c r="D7362" s="9" t="s">
        <v>16316</v>
      </c>
      <c r="E7362" s="10" t="str">
        <f>HYPERLINK("https://twitter.com/Insta_VWT/status/724243652801863682","724243652801863682")</f>
        <v>724243652801863682</v>
      </c>
      <c r="F7362" s="11" t="s">
        <v>68</v>
      </c>
      <c r="G7362" s="11">
        <v>484</v>
      </c>
      <c r="H7362" s="11">
        <v>0</v>
      </c>
      <c r="I7362" s="11">
        <v>0</v>
      </c>
      <c r="J7362" s="11">
        <v>0</v>
      </c>
      <c r="K7362" s="11" t="s">
        <v>21</v>
      </c>
      <c r="L7362" s="7">
        <v>41658.782800925925</v>
      </c>
      <c r="M7362" s="12" t="s">
        <v>183</v>
      </c>
      <c r="N7362" s="12" t="s">
        <v>184</v>
      </c>
      <c r="O7362" s="10" t="str">
        <f>HYPERLINK("https://pbs.twimg.com/profile_images/424893967197433858/iQ86NktX_normal.jpeg","View")</f>
        <v>View</v>
      </c>
      <c r="P7362" s="11"/>
    </row>
    <row r="7363" spans="1:16" ht="12.75" x14ac:dyDescent="0.35">
      <c r="A7363" s="7">
        <v>42484.832592592589</v>
      </c>
      <c r="B7363" s="8" t="str">
        <f>HYPERLINK("https://twitter.com/jake_maves","@jake_maves")</f>
        <v>@jake_maves</v>
      </c>
      <c r="C7363" s="9" t="s">
        <v>7022</v>
      </c>
      <c r="D7363" s="9" t="s">
        <v>16317</v>
      </c>
      <c r="E7363" s="10" t="str">
        <f>HYPERLINK("https://twitter.com/jake_maves/status/724243732875350016","724243732875350016")</f>
        <v>724243732875350016</v>
      </c>
      <c r="F7363" s="11" t="s">
        <v>114</v>
      </c>
      <c r="G7363" s="11">
        <v>142</v>
      </c>
      <c r="H7363" s="11">
        <v>73</v>
      </c>
      <c r="I7363" s="11">
        <v>0</v>
      </c>
      <c r="J7363" s="11">
        <v>0</v>
      </c>
      <c r="K7363" s="11" t="s">
        <v>21</v>
      </c>
      <c r="L7363" s="7">
        <v>40855.080104166671</v>
      </c>
      <c r="M7363" s="12" t="s">
        <v>16318</v>
      </c>
      <c r="N7363" s="12" t="s">
        <v>16319</v>
      </c>
      <c r="O7363" s="10" t="str">
        <f>HYPERLINK("https://pbs.twimg.com/profile_images/724114800272355328/PbhxROt4_normal.jpg","View")</f>
        <v>View</v>
      </c>
      <c r="P7363" s="11"/>
    </row>
    <row r="7364" spans="1:16" ht="12.75" x14ac:dyDescent="0.35">
      <c r="A7364" s="7">
        <v>42484.834282407406</v>
      </c>
      <c r="B7364" s="8" t="str">
        <f>HYPERLINK("https://twitter.com/VCT_Tweets","@VCT_Tweets")</f>
        <v>@VCT_Tweets</v>
      </c>
      <c r="C7364" s="9" t="s">
        <v>199</v>
      </c>
      <c r="D7364" s="9" t="s">
        <v>16320</v>
      </c>
      <c r="E7364" s="10" t="str">
        <f>HYPERLINK("https://twitter.com/VCT_Tweets/status/724244346304901120","724244346304901120")</f>
        <v>724244346304901120</v>
      </c>
      <c r="F7364" s="11" t="s">
        <v>68</v>
      </c>
      <c r="G7364" s="11">
        <v>893</v>
      </c>
      <c r="H7364" s="11">
        <v>211</v>
      </c>
      <c r="I7364" s="11">
        <v>0</v>
      </c>
      <c r="J7364" s="11">
        <v>0</v>
      </c>
      <c r="K7364" s="11" t="s">
        <v>21</v>
      </c>
      <c r="L7364" s="7">
        <v>40744.914837962962</v>
      </c>
      <c r="M7364" s="12" t="s">
        <v>201</v>
      </c>
      <c r="N7364" s="12" t="s">
        <v>202</v>
      </c>
      <c r="O7364" s="10" t="str">
        <f>HYPERLINK("https://pbs.twimg.com/profile_images/569800899141177344/nVFLMSdb_normal.png","View")</f>
        <v>View</v>
      </c>
      <c r="P7364" s="11"/>
    </row>
    <row r="7365" spans="1:16" ht="12.75" x14ac:dyDescent="0.35">
      <c r="A7365" s="7">
        <v>42484.835706018523</v>
      </c>
      <c r="B7365" s="8" t="str">
        <f>HYPERLINK("https://twitter.com/AlexWitzleben","@AlexWitzleben")</f>
        <v>@AlexWitzleben</v>
      </c>
      <c r="C7365" s="9" t="s">
        <v>1346</v>
      </c>
      <c r="D7365" s="9" t="s">
        <v>16321</v>
      </c>
      <c r="E7365" s="10" t="str">
        <f>HYPERLINK("https://twitter.com/AlexWitzleben/status/724244863240286208","724244863240286208")</f>
        <v>724244863240286208</v>
      </c>
      <c r="F7365" s="11" t="s">
        <v>193</v>
      </c>
      <c r="G7365" s="11">
        <v>1029</v>
      </c>
      <c r="H7365" s="11">
        <v>1002</v>
      </c>
      <c r="I7365" s="11">
        <v>0</v>
      </c>
      <c r="J7365" s="11">
        <v>0</v>
      </c>
      <c r="K7365" s="11" t="s">
        <v>21</v>
      </c>
      <c r="L7365" s="7">
        <v>40591.910462962966</v>
      </c>
      <c r="M7365" s="12" t="s">
        <v>1348</v>
      </c>
      <c r="N7365" s="12" t="s">
        <v>1349</v>
      </c>
      <c r="O7365" s="10" t="str">
        <f>HYPERLINK("https://pbs.twimg.com/profile_images/1913087124/AvW_website_normal.jpg","View")</f>
        <v>View</v>
      </c>
      <c r="P7365" s="11"/>
    </row>
    <row r="7366" spans="1:16" ht="12.75" x14ac:dyDescent="0.35">
      <c r="A7366" s="7">
        <v>42484.835879629631</v>
      </c>
      <c r="B7366" s="8" t="str">
        <f>HYPERLINK("https://twitter.com/VolkswagenPost","@VolkswagenPost")</f>
        <v>@VolkswagenPost</v>
      </c>
      <c r="C7366" s="9" t="s">
        <v>321</v>
      </c>
      <c r="D7366" s="9" t="s">
        <v>16322</v>
      </c>
      <c r="E7366" s="10" t="str">
        <f>HYPERLINK("https://twitter.com/VolkswagenPost/status/724244924158357504","724244924158357504")</f>
        <v>724244924158357504</v>
      </c>
      <c r="F7366" s="11" t="s">
        <v>288</v>
      </c>
      <c r="G7366" s="11">
        <v>571</v>
      </c>
      <c r="H7366" s="11">
        <v>446</v>
      </c>
      <c r="I7366" s="11">
        <v>1</v>
      </c>
      <c r="J7366" s="11">
        <v>0</v>
      </c>
      <c r="K7366" s="11" t="s">
        <v>21</v>
      </c>
      <c r="L7366" s="7">
        <v>41940.618379629632</v>
      </c>
      <c r="M7366" s="12"/>
      <c r="N7366" s="12"/>
      <c r="O7366" s="10" t="str">
        <f>HYPERLINK("https://pbs.twimg.com/profile_images/530071272881803264/a_jcCmPZ_normal.png","View")</f>
        <v>View</v>
      </c>
      <c r="P7366" s="11"/>
    </row>
    <row r="7367" spans="1:16" ht="12.75" x14ac:dyDescent="0.35">
      <c r="A7367" s="7">
        <v>42484.836215277777</v>
      </c>
      <c r="B7367" s="8" t="str">
        <f>HYPERLINK("https://twitter.com/sayurioyamada","@sayurioyamada")</f>
        <v>@sayurioyamada</v>
      </c>
      <c r="C7367" s="9" t="s">
        <v>16323</v>
      </c>
      <c r="D7367" s="9" t="s">
        <v>16324</v>
      </c>
      <c r="E7367" s="10" t="str">
        <f>HYPERLINK("https://twitter.com/sayurioyamada/status/724245044392136704","724245044392136704")</f>
        <v>724245044392136704</v>
      </c>
      <c r="F7367" s="11" t="s">
        <v>114</v>
      </c>
      <c r="G7367" s="11">
        <v>472</v>
      </c>
      <c r="H7367" s="11">
        <v>40</v>
      </c>
      <c r="I7367" s="11">
        <v>0</v>
      </c>
      <c r="J7367" s="11">
        <v>0</v>
      </c>
      <c r="K7367" s="11" t="s">
        <v>21</v>
      </c>
      <c r="L7367" s="7">
        <v>40844.542534722219</v>
      </c>
      <c r="M7367" s="12"/>
      <c r="N7367" s="12" t="s">
        <v>16325</v>
      </c>
      <c r="O7367" s="10" t="str">
        <f>HYPERLINK("https://pbs.twimg.com/profile_images/527495390544027648/bqmMS5Ap_normal.jpeg","View")</f>
        <v>View</v>
      </c>
      <c r="P7367" s="10" t="str">
        <f>HYPERLINK("http://ctrlq.org/maps/address/#20.9167,-100.75","Map")</f>
        <v>Map</v>
      </c>
    </row>
    <row r="7368" spans="1:16" ht="12.75" x14ac:dyDescent="0.35">
      <c r="A7368" s="7">
        <v>42484.83625</v>
      </c>
      <c r="B7368" s="8" t="str">
        <f>HYPERLINK("https://twitter.com/SanRMaadhwa","@SanRMaadhwa")</f>
        <v>@SanRMaadhwa</v>
      </c>
      <c r="C7368" s="9" t="s">
        <v>15684</v>
      </c>
      <c r="D7368" s="9" t="s">
        <v>16236</v>
      </c>
      <c r="E7368" s="10" t="str">
        <f>HYPERLINK("https://twitter.com/SanRMaadhwa/status/724245059776987137","724245059776987137")</f>
        <v>724245059776987137</v>
      </c>
      <c r="F7368" s="11" t="s">
        <v>48</v>
      </c>
      <c r="G7368" s="11">
        <v>508</v>
      </c>
      <c r="H7368" s="11">
        <v>172</v>
      </c>
      <c r="I7368" s="11">
        <v>5</v>
      </c>
      <c r="J7368" s="11">
        <v>0</v>
      </c>
      <c r="K7368" s="11" t="s">
        <v>21</v>
      </c>
      <c r="L7368" s="7">
        <v>40333.54724537037</v>
      </c>
      <c r="M7368" s="12" t="s">
        <v>15685</v>
      </c>
      <c r="N7368" s="12" t="s">
        <v>15686</v>
      </c>
      <c r="O7368" s="10" t="str">
        <f>HYPERLINK("https://pbs.twimg.com/profile_images/679504135125778432/O4eV8Rwx_normal.jpg","View")</f>
        <v>View</v>
      </c>
      <c r="P7368" s="11"/>
    </row>
    <row r="7369" spans="1:16" ht="12.75" x14ac:dyDescent="0.35">
      <c r="A7369" s="7">
        <v>42484.836886574078</v>
      </c>
      <c r="B7369" s="8" t="str">
        <f>HYPERLINK("https://twitter.com/AlexWitzleben","@AlexWitzleben")</f>
        <v>@AlexWitzleben</v>
      </c>
      <c r="C7369" s="9" t="s">
        <v>1346</v>
      </c>
      <c r="D7369" s="9" t="s">
        <v>16326</v>
      </c>
      <c r="E7369" s="10" t="str">
        <f>HYPERLINK("https://twitter.com/AlexWitzleben/status/724245289817772033","724245289817772033")</f>
        <v>724245289817772033</v>
      </c>
      <c r="F7369" s="11" t="s">
        <v>193</v>
      </c>
      <c r="G7369" s="11">
        <v>1029</v>
      </c>
      <c r="H7369" s="11">
        <v>1002</v>
      </c>
      <c r="I7369" s="11">
        <v>0</v>
      </c>
      <c r="J7369" s="11">
        <v>0</v>
      </c>
      <c r="K7369" s="11" t="s">
        <v>21</v>
      </c>
      <c r="L7369" s="7">
        <v>40591.910462962966</v>
      </c>
      <c r="M7369" s="12" t="s">
        <v>1348</v>
      </c>
      <c r="N7369" s="12" t="s">
        <v>1349</v>
      </c>
      <c r="O7369" s="10" t="str">
        <f>HYPERLINK("https://pbs.twimg.com/profile_images/1913087124/AvW_website_normal.jpg","View")</f>
        <v>View</v>
      </c>
      <c r="P7369" s="11"/>
    </row>
    <row r="7370" spans="1:16" ht="12.75" x14ac:dyDescent="0.35">
      <c r="A7370" s="7">
        <v>42484.83729166667</v>
      </c>
      <c r="B7370" s="8" t="str">
        <f>HYPERLINK("https://twitter.com/fly2wales","@fly2wales")</f>
        <v>@fly2wales</v>
      </c>
      <c r="C7370" s="9" t="s">
        <v>16327</v>
      </c>
      <c r="D7370" s="9" t="s">
        <v>15835</v>
      </c>
      <c r="E7370" s="10" t="str">
        <f>HYPERLINK("https://twitter.com/fly2wales/status/724245435712417792","724245435712417792")</f>
        <v>724245435712417792</v>
      </c>
      <c r="F7370" s="11" t="s">
        <v>20</v>
      </c>
      <c r="G7370" s="11">
        <v>21159</v>
      </c>
      <c r="H7370" s="11">
        <v>12889</v>
      </c>
      <c r="I7370" s="11">
        <v>3</v>
      </c>
      <c r="J7370" s="11">
        <v>0</v>
      </c>
      <c r="K7370" s="11" t="s">
        <v>21</v>
      </c>
      <c r="L7370" s="7">
        <v>41872.641736111109</v>
      </c>
      <c r="M7370" s="12" t="s">
        <v>1755</v>
      </c>
      <c r="N7370" s="12" t="s">
        <v>16328</v>
      </c>
      <c r="O7370" s="10" t="str">
        <f>HYPERLINK("https://pbs.twimg.com/profile_images/559005884701896705/MAhIDrux_normal.png","View")</f>
        <v>View</v>
      </c>
      <c r="P7370" s="11"/>
    </row>
    <row r="7371" spans="1:16" ht="12.75" x14ac:dyDescent="0.35">
      <c r="A7371" s="7">
        <v>42484.837314814809</v>
      </c>
      <c r="B7371" s="8" t="str">
        <f>HYPERLINK("https://twitter.com/SanRMaadhwa","@SanRMaadhwa")</f>
        <v>@SanRMaadhwa</v>
      </c>
      <c r="C7371" s="9" t="s">
        <v>15684</v>
      </c>
      <c r="D7371" s="9" t="s">
        <v>16148</v>
      </c>
      <c r="E7371" s="10" t="str">
        <f>HYPERLINK("https://twitter.com/SanRMaadhwa/status/724245446743461890","724245446743461890")</f>
        <v>724245446743461890</v>
      </c>
      <c r="F7371" s="11" t="s">
        <v>48</v>
      </c>
      <c r="G7371" s="11">
        <v>508</v>
      </c>
      <c r="H7371" s="11">
        <v>172</v>
      </c>
      <c r="I7371" s="11">
        <v>7</v>
      </c>
      <c r="J7371" s="11">
        <v>0</v>
      </c>
      <c r="K7371" s="11" t="s">
        <v>21</v>
      </c>
      <c r="L7371" s="7">
        <v>40333.54724537037</v>
      </c>
      <c r="M7371" s="12" t="s">
        <v>15685</v>
      </c>
      <c r="N7371" s="12" t="s">
        <v>15686</v>
      </c>
      <c r="O7371" s="10" t="str">
        <f>HYPERLINK("https://pbs.twimg.com/profile_images/679504135125778432/O4eV8Rwx_normal.jpg","View")</f>
        <v>View</v>
      </c>
      <c r="P7371" s="11"/>
    </row>
    <row r="7372" spans="1:16" ht="12.75" x14ac:dyDescent="0.35">
      <c r="A7372" s="7">
        <v>42484.837592592594</v>
      </c>
      <c r="B7372" s="8" t="str">
        <f t="shared" ref="B7372:B7373" si="717">HYPERLINK("https://twitter.com/VWBeetleSales","@VWBeetleSales")</f>
        <v>@VWBeetleSales</v>
      </c>
      <c r="C7372" s="9" t="s">
        <v>127</v>
      </c>
      <c r="D7372" s="9" t="s">
        <v>16329</v>
      </c>
      <c r="E7372" s="10" t="str">
        <f>HYPERLINK("https://twitter.com/VWBeetleSales/status/724245546244825089","724245546244825089")</f>
        <v>724245546244825089</v>
      </c>
      <c r="F7372" s="10" t="s">
        <v>124</v>
      </c>
      <c r="G7372" s="11">
        <v>38</v>
      </c>
      <c r="H7372" s="11">
        <v>32</v>
      </c>
      <c r="I7372" s="11">
        <v>0</v>
      </c>
      <c r="J7372" s="11">
        <v>0</v>
      </c>
      <c r="K7372" s="11" t="s">
        <v>21</v>
      </c>
      <c r="L7372" s="7">
        <v>42427.019756944443</v>
      </c>
      <c r="M7372" s="12" t="s">
        <v>129</v>
      </c>
      <c r="N7372" s="12" t="s">
        <v>130</v>
      </c>
      <c r="O7372" s="10" t="str">
        <f t="shared" ref="O7372:O7373" si="718">HYPERLINK("https://pbs.twimg.com/profile_images/703294545195307008/qeCvrX86_normal.jpg","View")</f>
        <v>View</v>
      </c>
      <c r="P7372" s="11"/>
    </row>
    <row r="7373" spans="1:16" ht="12.75" x14ac:dyDescent="0.35">
      <c r="A7373" s="7">
        <v>42484.837627314817</v>
      </c>
      <c r="B7373" s="8" t="str">
        <f t="shared" si="717"/>
        <v>@VWBeetleSales</v>
      </c>
      <c r="C7373" s="9" t="s">
        <v>127</v>
      </c>
      <c r="D7373" s="9" t="s">
        <v>16330</v>
      </c>
      <c r="E7373" s="10" t="str">
        <f>HYPERLINK("https://twitter.com/VWBeetleSales/status/724245556776685568","724245556776685568")</f>
        <v>724245556776685568</v>
      </c>
      <c r="F7373" s="10" t="s">
        <v>124</v>
      </c>
      <c r="G7373" s="11">
        <v>38</v>
      </c>
      <c r="H7373" s="11">
        <v>32</v>
      </c>
      <c r="I7373" s="11">
        <v>0</v>
      </c>
      <c r="J7373" s="11">
        <v>0</v>
      </c>
      <c r="K7373" s="11" t="s">
        <v>21</v>
      </c>
      <c r="L7373" s="7">
        <v>42427.019756944443</v>
      </c>
      <c r="M7373" s="12" t="s">
        <v>129</v>
      </c>
      <c r="N7373" s="12" t="s">
        <v>130</v>
      </c>
      <c r="O7373" s="10" t="str">
        <f t="shared" si="718"/>
        <v>View</v>
      </c>
      <c r="P7373" s="11"/>
    </row>
    <row r="7374" spans="1:16" ht="12.75" x14ac:dyDescent="0.35">
      <c r="A7374" s="7">
        <v>42484.837627314817</v>
      </c>
      <c r="B7374" s="8" t="str">
        <f>HYPERLINK("https://twitter.com/VWCamperSales","@VWCamperSales")</f>
        <v>@VWCamperSales</v>
      </c>
      <c r="C7374" s="9" t="s">
        <v>216</v>
      </c>
      <c r="D7374" s="9" t="s">
        <v>16331</v>
      </c>
      <c r="E7374" s="10" t="str">
        <f>HYPERLINK("https://twitter.com/VWCamperSales/status/724245559687553024","724245559687553024")</f>
        <v>724245559687553024</v>
      </c>
      <c r="F7374" s="10" t="s">
        <v>124</v>
      </c>
      <c r="G7374" s="11">
        <v>624</v>
      </c>
      <c r="H7374" s="11">
        <v>580</v>
      </c>
      <c r="I7374" s="11">
        <v>0</v>
      </c>
      <c r="J7374" s="11">
        <v>0</v>
      </c>
      <c r="K7374" s="11" t="s">
        <v>21</v>
      </c>
      <c r="L7374" s="7">
        <v>42215.98809027778</v>
      </c>
      <c r="M7374" s="12" t="s">
        <v>129</v>
      </c>
      <c r="N7374" s="12" t="s">
        <v>218</v>
      </c>
      <c r="O7374" s="10" t="str">
        <f>HYPERLINK("https://pbs.twimg.com/profile_images/627949001179037696/skEBkS05_normal.jpg","View")</f>
        <v>View</v>
      </c>
      <c r="P7374" s="11"/>
    </row>
    <row r="7375" spans="1:16" ht="12.75" x14ac:dyDescent="0.35">
      <c r="A7375" s="7">
        <v>42484.839120370365</v>
      </c>
      <c r="B7375" s="8" t="str">
        <f>HYPERLINK("https://twitter.com/mannrazz","@mannrazz")</f>
        <v>@mannrazz</v>
      </c>
      <c r="C7375" s="9" t="s">
        <v>16332</v>
      </c>
      <c r="D7375" s="9" t="s">
        <v>16333</v>
      </c>
      <c r="E7375" s="10" t="str">
        <f>HYPERLINK("https://twitter.com/mannrazz/status/724246098450083841","724246098450083841")</f>
        <v>724246098450083841</v>
      </c>
      <c r="F7375" s="11" t="s">
        <v>48</v>
      </c>
      <c r="G7375" s="11">
        <v>155</v>
      </c>
      <c r="H7375" s="11">
        <v>279</v>
      </c>
      <c r="I7375" s="11">
        <v>0</v>
      </c>
      <c r="J7375" s="11">
        <v>0</v>
      </c>
      <c r="K7375" s="11" t="s">
        <v>21</v>
      </c>
      <c r="L7375" s="7">
        <v>40811.364942129629</v>
      </c>
      <c r="M7375" s="12" t="s">
        <v>16334</v>
      </c>
      <c r="N7375" s="12" t="s">
        <v>16335</v>
      </c>
      <c r="O7375" s="10" t="str">
        <f>HYPERLINK("https://pbs.twimg.com/profile_images/707112971344850944/VU3IzLzb_normal.jpg","View")</f>
        <v>View</v>
      </c>
      <c r="P7375" s="11"/>
    </row>
    <row r="7376" spans="1:16" ht="12.75" x14ac:dyDescent="0.35">
      <c r="A7376" s="7">
        <v>42484.839351851857</v>
      </c>
      <c r="B7376" s="8" t="str">
        <f>HYPERLINK("https://twitter.com/Mosyo_","@Mosyo_")</f>
        <v>@Mosyo_</v>
      </c>
      <c r="C7376" s="9" t="s">
        <v>16336</v>
      </c>
      <c r="D7376" s="9" t="s">
        <v>16236</v>
      </c>
      <c r="E7376" s="10" t="str">
        <f>HYPERLINK("https://twitter.com/Mosyo_/status/724246181329686528","724246181329686528")</f>
        <v>724246181329686528</v>
      </c>
      <c r="F7376" s="11" t="s">
        <v>20</v>
      </c>
      <c r="G7376" s="11">
        <v>354</v>
      </c>
      <c r="H7376" s="11">
        <v>566</v>
      </c>
      <c r="I7376" s="11">
        <v>5</v>
      </c>
      <c r="J7376" s="11">
        <v>0</v>
      </c>
      <c r="K7376" s="11" t="s">
        <v>21</v>
      </c>
      <c r="L7376" s="7">
        <v>40620.725231481483</v>
      </c>
      <c r="M7376" s="12" t="s">
        <v>16337</v>
      </c>
      <c r="N7376" s="12" t="s">
        <v>16338</v>
      </c>
      <c r="O7376" s="10" t="str">
        <f>HYPERLINK("https://pbs.twimg.com/profile_images/718756731644428288/wy5uodN3_normal.jpg","View")</f>
        <v>View</v>
      </c>
      <c r="P7376" s="11"/>
    </row>
    <row r="7377" spans="1:16" ht="12.75" x14ac:dyDescent="0.35">
      <c r="A7377" s="7">
        <v>42484.842314814814</v>
      </c>
      <c r="B7377" s="8" t="str">
        <f t="shared" ref="B7377:B7379" si="719">HYPERLINK("https://twitter.com/techhippie","@techhippie")</f>
        <v>@techhippie</v>
      </c>
      <c r="C7377" s="9" t="s">
        <v>246</v>
      </c>
      <c r="D7377" s="9" t="s">
        <v>16339</v>
      </c>
      <c r="E7377" s="10" t="str">
        <f>HYPERLINK("https://twitter.com/techhippie/status/724247258552754177","724247258552754177")</f>
        <v>724247258552754177</v>
      </c>
      <c r="F7377" s="11" t="s">
        <v>68</v>
      </c>
      <c r="G7377" s="11">
        <v>2573</v>
      </c>
      <c r="H7377" s="11">
        <v>3831</v>
      </c>
      <c r="I7377" s="11">
        <v>0</v>
      </c>
      <c r="J7377" s="11">
        <v>0</v>
      </c>
      <c r="K7377" s="11" t="s">
        <v>21</v>
      </c>
      <c r="L7377" s="7">
        <v>42424.852152777778</v>
      </c>
      <c r="M7377" s="12" t="s">
        <v>248</v>
      </c>
      <c r="N7377" s="12" t="s">
        <v>249</v>
      </c>
      <c r="O7377" s="10" t="str">
        <f t="shared" ref="O7377:O7379" si="720">HYPERLINK("https://pbs.twimg.com/profile_images/702511217793863680/lty8h9vE_normal.jpg","View")</f>
        <v>View</v>
      </c>
      <c r="P7377" s="11"/>
    </row>
    <row r="7378" spans="1:16" ht="12.75" x14ac:dyDescent="0.35">
      <c r="A7378" s="7">
        <v>42484.842349537037</v>
      </c>
      <c r="B7378" s="8" t="str">
        <f t="shared" si="719"/>
        <v>@techhippie</v>
      </c>
      <c r="C7378" s="9" t="s">
        <v>246</v>
      </c>
      <c r="D7378" s="9" t="s">
        <v>16340</v>
      </c>
      <c r="E7378" s="10" t="str">
        <f>HYPERLINK("https://twitter.com/techhippie/status/724247268103192576","724247268103192576")</f>
        <v>724247268103192576</v>
      </c>
      <c r="F7378" s="11" t="s">
        <v>68</v>
      </c>
      <c r="G7378" s="11">
        <v>2573</v>
      </c>
      <c r="H7378" s="11">
        <v>3831</v>
      </c>
      <c r="I7378" s="11">
        <v>0</v>
      </c>
      <c r="J7378" s="11">
        <v>0</v>
      </c>
      <c r="K7378" s="11" t="s">
        <v>21</v>
      </c>
      <c r="L7378" s="7">
        <v>42424.852152777778</v>
      </c>
      <c r="M7378" s="12" t="s">
        <v>248</v>
      </c>
      <c r="N7378" s="12" t="s">
        <v>249</v>
      </c>
      <c r="O7378" s="10" t="str">
        <f t="shared" si="720"/>
        <v>View</v>
      </c>
      <c r="P7378" s="11"/>
    </row>
    <row r="7379" spans="1:16" ht="12.75" x14ac:dyDescent="0.35">
      <c r="A7379" s="7">
        <v>42484.842499999999</v>
      </c>
      <c r="B7379" s="8" t="str">
        <f t="shared" si="719"/>
        <v>@techhippie</v>
      </c>
      <c r="C7379" s="9" t="s">
        <v>246</v>
      </c>
      <c r="D7379" s="9" t="s">
        <v>16341</v>
      </c>
      <c r="E7379" s="10" t="str">
        <f>HYPERLINK("https://twitter.com/techhippie/status/724247324239761409","724247324239761409")</f>
        <v>724247324239761409</v>
      </c>
      <c r="F7379" s="11" t="s">
        <v>68</v>
      </c>
      <c r="G7379" s="11">
        <v>2573</v>
      </c>
      <c r="H7379" s="11">
        <v>3831</v>
      </c>
      <c r="I7379" s="11">
        <v>0</v>
      </c>
      <c r="J7379" s="11">
        <v>0</v>
      </c>
      <c r="K7379" s="11" t="s">
        <v>21</v>
      </c>
      <c r="L7379" s="7">
        <v>42424.852152777778</v>
      </c>
      <c r="M7379" s="12" t="s">
        <v>248</v>
      </c>
      <c r="N7379" s="12" t="s">
        <v>249</v>
      </c>
      <c r="O7379" s="10" t="str">
        <f t="shared" si="720"/>
        <v>View</v>
      </c>
      <c r="P7379" s="11"/>
    </row>
    <row r="7380" spans="1:16" ht="12.75" x14ac:dyDescent="0.35">
      <c r="A7380" s="7">
        <v>42484.842546296291</v>
      </c>
      <c r="B7380" s="8" t="str">
        <f>HYPERLINK("https://twitter.com/VWCamperSales","@VWCamperSales")</f>
        <v>@VWCamperSales</v>
      </c>
      <c r="C7380" s="9" t="s">
        <v>216</v>
      </c>
      <c r="D7380" s="9" t="s">
        <v>16342</v>
      </c>
      <c r="E7380" s="10" t="str">
        <f>HYPERLINK("https://twitter.com/VWCamperSales/status/724247341285314560","724247341285314560")</f>
        <v>724247341285314560</v>
      </c>
      <c r="F7380" s="10" t="s">
        <v>124</v>
      </c>
      <c r="G7380" s="11">
        <v>624</v>
      </c>
      <c r="H7380" s="11">
        <v>580</v>
      </c>
      <c r="I7380" s="11">
        <v>0</v>
      </c>
      <c r="J7380" s="11">
        <v>0</v>
      </c>
      <c r="K7380" s="11" t="s">
        <v>21</v>
      </c>
      <c r="L7380" s="7">
        <v>42215.98809027778</v>
      </c>
      <c r="M7380" s="12" t="s">
        <v>129</v>
      </c>
      <c r="N7380" s="12" t="s">
        <v>218</v>
      </c>
      <c r="O7380" s="10" t="str">
        <f>HYPERLINK("https://pbs.twimg.com/profile_images/627949001179037696/skEBkS05_normal.jpg","View")</f>
        <v>View</v>
      </c>
      <c r="P7380" s="11"/>
    </row>
    <row r="7381" spans="1:16" ht="12.75" x14ac:dyDescent="0.35">
      <c r="A7381" s="7">
        <v>42484.842708333337</v>
      </c>
      <c r="B7381" s="8" t="str">
        <f>HYPERLINK("https://twitter.com/DogLimo","@DogLimo")</f>
        <v>@DogLimo</v>
      </c>
      <c r="C7381" s="9" t="s">
        <v>16343</v>
      </c>
      <c r="D7381" s="9" t="s">
        <v>16344</v>
      </c>
      <c r="E7381" s="10" t="str">
        <f>HYPERLINK("https://twitter.com/DogLimo/status/724247399665823744","724247399665823744")</f>
        <v>724247399665823744</v>
      </c>
      <c r="F7381" s="11" t="s">
        <v>114</v>
      </c>
      <c r="G7381" s="11">
        <v>54</v>
      </c>
      <c r="H7381" s="11">
        <v>472</v>
      </c>
      <c r="I7381" s="11">
        <v>0</v>
      </c>
      <c r="J7381" s="11">
        <v>0</v>
      </c>
      <c r="K7381" s="11" t="s">
        <v>21</v>
      </c>
      <c r="L7381" s="7">
        <v>40779.973587962959</v>
      </c>
      <c r="M7381" s="12" t="s">
        <v>16345</v>
      </c>
      <c r="N7381" s="12" t="s">
        <v>16346</v>
      </c>
      <c r="O7381" s="10" t="str">
        <f>HYPERLINK("https://pbs.twimg.com/profile_images/412780199835889664/rOfKo2jD_normal.jpeg","View")</f>
        <v>View</v>
      </c>
      <c r="P7381" s="10" t="str">
        <f>HYPERLINK("http://ctrlq.org/maps/address/#35.95481926,-79.7290148","Map")</f>
        <v>Map</v>
      </c>
    </row>
    <row r="7382" spans="1:16" ht="12.75" x14ac:dyDescent="0.35">
      <c r="A7382" s="7">
        <v>42484.843425925923</v>
      </c>
      <c r="B7382" s="8" t="str">
        <f>HYPERLINK("https://twitter.com/kramer_angii","@kramer_angii")</f>
        <v>@kramer_angii</v>
      </c>
      <c r="C7382" s="9" t="s">
        <v>16347</v>
      </c>
      <c r="D7382" s="9" t="s">
        <v>16348</v>
      </c>
      <c r="E7382" s="10" t="str">
        <f>HYPERLINK("https://twitter.com/kramer_angii/status/724247657196191744","724247657196191744")</f>
        <v>724247657196191744</v>
      </c>
      <c r="F7382" s="11" t="s">
        <v>48</v>
      </c>
      <c r="G7382" s="11">
        <v>24</v>
      </c>
      <c r="H7382" s="11">
        <v>32</v>
      </c>
      <c r="I7382" s="11">
        <v>0</v>
      </c>
      <c r="J7382" s="11">
        <v>0</v>
      </c>
      <c r="K7382" s="11" t="s">
        <v>21</v>
      </c>
      <c r="L7382" s="7">
        <v>41918.103125000001</v>
      </c>
      <c r="M7382" s="12"/>
      <c r="N7382" s="12" t="s">
        <v>16349</v>
      </c>
      <c r="O7382" s="10" t="str">
        <f>HYPERLINK("https://pbs.twimg.com/profile_images/684088200898416640/nkRGYXq6_normal.jpg","View")</f>
        <v>View</v>
      </c>
      <c r="P7382" s="11"/>
    </row>
    <row r="7383" spans="1:16" ht="12.75" x14ac:dyDescent="0.35">
      <c r="A7383" s="7">
        <v>42484.84373842593</v>
      </c>
      <c r="B7383" s="8" t="str">
        <f>HYPERLINK("https://twitter.com/keithtdarcy","@keithtdarcy")</f>
        <v>@keithtdarcy</v>
      </c>
      <c r="C7383" s="9" t="s">
        <v>16350</v>
      </c>
      <c r="D7383" s="9" t="s">
        <v>15030</v>
      </c>
      <c r="E7383" s="10" t="str">
        <f>HYPERLINK("https://twitter.com/keithtdarcy/status/724247774615748608","724247774615748608")</f>
        <v>724247774615748608</v>
      </c>
      <c r="F7383" s="11" t="s">
        <v>91</v>
      </c>
      <c r="G7383" s="11">
        <v>41</v>
      </c>
      <c r="H7383" s="11">
        <v>86</v>
      </c>
      <c r="I7383" s="11">
        <v>2</v>
      </c>
      <c r="J7383" s="11">
        <v>0</v>
      </c>
      <c r="K7383" s="11" t="s">
        <v>21</v>
      </c>
      <c r="L7383" s="7">
        <v>40457.952905092592</v>
      </c>
      <c r="M7383" s="12" t="s">
        <v>16351</v>
      </c>
      <c r="N7383" s="12" t="s">
        <v>16352</v>
      </c>
      <c r="O7383" s="10" t="str">
        <f>HYPERLINK("https://abs.twimg.com/sticky/default_profile_images/default_profile_6_normal.png","View")</f>
        <v>View</v>
      </c>
      <c r="P7383" s="11"/>
    </row>
    <row r="7384" spans="1:16" ht="12.75" x14ac:dyDescent="0.35">
      <c r="A7384" s="7">
        <v>42484.845856481479</v>
      </c>
      <c r="B7384" s="8" t="str">
        <f>HYPERLINK("https://twitter.com/RyanTietz","@RyanTietz")</f>
        <v>@RyanTietz</v>
      </c>
      <c r="C7384" s="9" t="s">
        <v>16353</v>
      </c>
      <c r="D7384" s="9" t="s">
        <v>16354</v>
      </c>
      <c r="E7384" s="10" t="str">
        <f>HYPERLINK("https://twitter.com/RyanTietz/status/724248541586198528","724248541586198528")</f>
        <v>724248541586198528</v>
      </c>
      <c r="F7384" s="11" t="s">
        <v>68</v>
      </c>
      <c r="G7384" s="11">
        <v>106</v>
      </c>
      <c r="H7384" s="11">
        <v>184</v>
      </c>
      <c r="I7384" s="11">
        <v>0</v>
      </c>
      <c r="J7384" s="11">
        <v>0</v>
      </c>
      <c r="K7384" s="11" t="s">
        <v>21</v>
      </c>
      <c r="L7384" s="7">
        <v>39821.890208333338</v>
      </c>
      <c r="M7384" s="12" t="s">
        <v>956</v>
      </c>
      <c r="N7384" s="12" t="s">
        <v>16355</v>
      </c>
      <c r="O7384" s="10" t="str">
        <f>HYPERLINK("https://pbs.twimg.com/profile_images/457158059664482304/g2mkGjis_normal.jpeg","View")</f>
        <v>View</v>
      </c>
      <c r="P7384" s="11"/>
    </row>
    <row r="7385" spans="1:16" ht="12.75" x14ac:dyDescent="0.35">
      <c r="A7385" s="7">
        <v>42484.846307870372</v>
      </c>
      <c r="B7385" s="8" t="str">
        <f>HYPERLINK("https://twitter.com/luchygonzalez7","@luchygonzalez7")</f>
        <v>@luchygonzalez7</v>
      </c>
      <c r="C7385" s="9" t="s">
        <v>2826</v>
      </c>
      <c r="D7385" s="9" t="s">
        <v>16356</v>
      </c>
      <c r="E7385" s="10" t="str">
        <f>HYPERLINK("https://twitter.com/luchygonzalez7/status/724248701997322241","724248701997322241")</f>
        <v>724248701997322241</v>
      </c>
      <c r="F7385" s="11" t="s">
        <v>48</v>
      </c>
      <c r="G7385" s="11">
        <v>183</v>
      </c>
      <c r="H7385" s="11">
        <v>162</v>
      </c>
      <c r="I7385" s="11">
        <v>0</v>
      </c>
      <c r="J7385" s="11">
        <v>0</v>
      </c>
      <c r="K7385" s="11" t="s">
        <v>21</v>
      </c>
      <c r="L7385" s="7">
        <v>41586.352256944447</v>
      </c>
      <c r="M7385" s="12"/>
      <c r="N7385" s="12"/>
      <c r="O7385" s="10" t="str">
        <f>HYPERLINK("https://pbs.twimg.com/profile_images/486691396855025665/ObwudZ61_normal.jpeg","View")</f>
        <v>View</v>
      </c>
      <c r="P7385" s="11"/>
    </row>
    <row r="7386" spans="1:16" ht="12.75" x14ac:dyDescent="0.35">
      <c r="A7386" s="7">
        <v>42484.848275462966</v>
      </c>
      <c r="B7386" s="8" t="str">
        <f>HYPERLINK("https://twitter.com/OnlineCarReview","@OnlineCarReview")</f>
        <v>@OnlineCarReview</v>
      </c>
      <c r="C7386" s="9" t="s">
        <v>176</v>
      </c>
      <c r="D7386" s="9" t="s">
        <v>16357</v>
      </c>
      <c r="E7386" s="10" t="str">
        <f>HYPERLINK("https://twitter.com/OnlineCarReview/status/724249415855144960","724249415855144960")</f>
        <v>724249415855144960</v>
      </c>
      <c r="F7386" s="11" t="s">
        <v>34</v>
      </c>
      <c r="G7386" s="11">
        <v>839</v>
      </c>
      <c r="H7386" s="11">
        <v>568</v>
      </c>
      <c r="I7386" s="11">
        <v>0</v>
      </c>
      <c r="J7386" s="11">
        <v>0</v>
      </c>
      <c r="K7386" s="11" t="s">
        <v>21</v>
      </c>
      <c r="L7386" s="7">
        <v>42282.979201388887</v>
      </c>
      <c r="M7386" s="12"/>
      <c r="N7386" s="12" t="s">
        <v>178</v>
      </c>
      <c r="O7386" s="10" t="str">
        <f>HYPERLINK("https://pbs.twimg.com/profile_images/652871584131092480/QA_B6SBO_normal.jpg","View")</f>
        <v>View</v>
      </c>
      <c r="P7386" s="11"/>
    </row>
    <row r="7387" spans="1:16" ht="12.75" x14ac:dyDescent="0.35">
      <c r="A7387" s="7">
        <v>42484.85050925926</v>
      </c>
      <c r="B7387" s="8" t="str">
        <f>HYPERLINK("https://twitter.com/DubworthVW","@DubworthVW")</f>
        <v>@DubworthVW</v>
      </c>
      <c r="C7387" s="9" t="s">
        <v>16358</v>
      </c>
      <c r="D7387" s="9" t="s">
        <v>16359</v>
      </c>
      <c r="E7387" s="10" t="str">
        <f>HYPERLINK("https://twitter.com/DubworthVW/status/724250226878480384","724250226878480384")</f>
        <v>724250226878480384</v>
      </c>
      <c r="F7387" s="11" t="s">
        <v>48</v>
      </c>
      <c r="G7387" s="11">
        <v>166</v>
      </c>
      <c r="H7387" s="11">
        <v>263</v>
      </c>
      <c r="I7387" s="11">
        <v>0</v>
      </c>
      <c r="J7387" s="11">
        <v>0</v>
      </c>
      <c r="K7387" s="11" t="s">
        <v>21</v>
      </c>
      <c r="L7387" s="7">
        <v>42394.097812499997</v>
      </c>
      <c r="M7387" s="12" t="s">
        <v>16360</v>
      </c>
      <c r="N7387" s="12" t="s">
        <v>16361</v>
      </c>
      <c r="O7387" s="10" t="str">
        <f>HYPERLINK("https://pbs.twimg.com/profile_images/692006041874231296/RwvqFBw6_normal.jpg","View")</f>
        <v>View</v>
      </c>
      <c r="P7387" s="11"/>
    </row>
    <row r="7388" spans="1:16" ht="12.75" x14ac:dyDescent="0.35">
      <c r="A7388" s="7">
        <v>42484.851388888885</v>
      </c>
      <c r="B7388" s="8" t="str">
        <f>HYPERLINK("https://twitter.com/LuLaRoeJackieP","@LuLaRoeJackieP")</f>
        <v>@LuLaRoeJackieP</v>
      </c>
      <c r="C7388" s="9" t="s">
        <v>16362</v>
      </c>
      <c r="D7388" s="9" t="s">
        <v>16363</v>
      </c>
      <c r="E7388" s="10" t="str">
        <f>HYPERLINK("https://twitter.com/LuLaRoeJackieP/status/724250544970326016","724250544970326016")</f>
        <v>724250544970326016</v>
      </c>
      <c r="F7388" s="11" t="s">
        <v>114</v>
      </c>
      <c r="G7388" s="11">
        <v>4</v>
      </c>
      <c r="H7388" s="11">
        <v>0</v>
      </c>
      <c r="I7388" s="11">
        <v>0</v>
      </c>
      <c r="J7388" s="11">
        <v>0</v>
      </c>
      <c r="K7388" s="11" t="s">
        <v>21</v>
      </c>
      <c r="L7388" s="7">
        <v>42401.067384259259</v>
      </c>
      <c r="M7388" s="12"/>
      <c r="N7388" s="12"/>
      <c r="O7388" s="10" t="str">
        <f>HYPERLINK("https://pbs.twimg.com/profile_images/703561992246788097/LHkSvlz-_normal.jpg","View")</f>
        <v>View</v>
      </c>
      <c r="P7388" s="11"/>
    </row>
    <row r="7389" spans="1:16" ht="12.75" x14ac:dyDescent="0.35">
      <c r="A7389" s="7">
        <v>42484.852025462962</v>
      </c>
      <c r="B7389" s="8" t="str">
        <f>HYPERLINK("https://twitter.com/weare_van","@weare_van")</f>
        <v>@weare_van</v>
      </c>
      <c r="C7389" s="9" t="s">
        <v>2104</v>
      </c>
      <c r="D7389" s="9" t="s">
        <v>16364</v>
      </c>
      <c r="E7389" s="10" t="str">
        <f>HYPERLINK("https://twitter.com/weare_van/status/724250777368272896","724250777368272896")</f>
        <v>724250777368272896</v>
      </c>
      <c r="F7389" s="11" t="s">
        <v>68</v>
      </c>
      <c r="G7389" s="11">
        <v>177</v>
      </c>
      <c r="H7389" s="11">
        <v>57</v>
      </c>
      <c r="I7389" s="11">
        <v>0</v>
      </c>
      <c r="J7389" s="11">
        <v>0</v>
      </c>
      <c r="K7389" s="11" t="s">
        <v>21</v>
      </c>
      <c r="L7389" s="7">
        <v>42429.136157407411</v>
      </c>
      <c r="M7389" s="12" t="s">
        <v>1397</v>
      </c>
      <c r="N7389" s="12" t="s">
        <v>2106</v>
      </c>
      <c r="O7389" s="10" t="str">
        <f>HYPERLINK("https://pbs.twimg.com/profile_images/707176643509538817/-s_VKgK4_normal.jpg","View")</f>
        <v>View</v>
      </c>
      <c r="P7389" s="11"/>
    </row>
    <row r="7390" spans="1:16" ht="12.75" x14ac:dyDescent="0.35">
      <c r="A7390" s="7">
        <v>42484.854444444441</v>
      </c>
      <c r="B7390" s="8" t="str">
        <f>HYPERLINK("https://twitter.com/RusselMSVW","@RusselMSVW")</f>
        <v>@RusselMSVW</v>
      </c>
      <c r="C7390" s="9" t="s">
        <v>16365</v>
      </c>
      <c r="D7390" s="9" t="s">
        <v>16366</v>
      </c>
      <c r="E7390" s="10" t="str">
        <f>HYPERLINK("https://twitter.com/RusselMSVW/status/724251650681085952","724251650681085952")</f>
        <v>724251650681085952</v>
      </c>
      <c r="F7390" s="11" t="s">
        <v>53</v>
      </c>
      <c r="G7390" s="11">
        <v>41</v>
      </c>
      <c r="H7390" s="11">
        <v>6</v>
      </c>
      <c r="I7390" s="11">
        <v>0</v>
      </c>
      <c r="J7390" s="11">
        <v>0</v>
      </c>
      <c r="K7390" s="11" t="s">
        <v>21</v>
      </c>
      <c r="L7390" s="7">
        <v>40606.048634259263</v>
      </c>
      <c r="M7390" s="12" t="s">
        <v>16367</v>
      </c>
      <c r="N7390" s="12" t="s">
        <v>16368</v>
      </c>
      <c r="O7390" s="10" t="str">
        <f>HYPERLINK("https://pbs.twimg.com/profile_images/1858400192/Russel_Logo_rgb__normal.png","View")</f>
        <v>View</v>
      </c>
      <c r="P7390" s="11"/>
    </row>
    <row r="7391" spans="1:16" ht="12.75" x14ac:dyDescent="0.35">
      <c r="A7391" s="7">
        <v>42484.854571759264</v>
      </c>
      <c r="B7391" s="8" t="str">
        <f>HYPERLINK("https://twitter.com/RusselVWMD","@RusselVWMD")</f>
        <v>@RusselVWMD</v>
      </c>
      <c r="C7391" s="9" t="s">
        <v>16369</v>
      </c>
      <c r="D7391" s="9" t="s">
        <v>16370</v>
      </c>
      <c r="E7391" s="10" t="str">
        <f>HYPERLINK("https://twitter.com/RusselVWMD/status/724251700140322817","724251700140322817")</f>
        <v>724251700140322817</v>
      </c>
      <c r="F7391" s="11" t="s">
        <v>16371</v>
      </c>
      <c r="G7391" s="11">
        <v>2</v>
      </c>
      <c r="H7391" s="11">
        <v>6</v>
      </c>
      <c r="I7391" s="11">
        <v>0</v>
      </c>
      <c r="J7391" s="11">
        <v>0</v>
      </c>
      <c r="K7391" s="11" t="s">
        <v>21</v>
      </c>
      <c r="L7391" s="7">
        <v>41789.915046296301</v>
      </c>
      <c r="M7391" s="12" t="s">
        <v>16372</v>
      </c>
      <c r="N7391" s="12" t="s">
        <v>16373</v>
      </c>
      <c r="O7391" s="10" t="str">
        <f>HYPERLINK("https://pbs.twimg.com/profile_images/474992711737409536/2oObMl2q_normal.jpeg","View")</f>
        <v>View</v>
      </c>
      <c r="P7391" s="11"/>
    </row>
    <row r="7392" spans="1:16" ht="12.75" x14ac:dyDescent="0.35">
      <c r="A7392" s="7">
        <v>42484.854999999996</v>
      </c>
      <c r="B7392" s="8" t="str">
        <f>HYPERLINK("https://twitter.com/TracyVolkswagen","@TracyVolkswagen")</f>
        <v>@TracyVolkswagen</v>
      </c>
      <c r="C7392" s="9" t="s">
        <v>16374</v>
      </c>
      <c r="D7392" s="9" t="s">
        <v>16375</v>
      </c>
      <c r="E7392" s="10" t="str">
        <f>HYPERLINK("https://twitter.com/TracyVolkswagen/status/724251851986624513","724251851986624513")</f>
        <v>724251851986624513</v>
      </c>
      <c r="F7392" s="11" t="s">
        <v>53</v>
      </c>
      <c r="G7392" s="11">
        <v>44</v>
      </c>
      <c r="H7392" s="11">
        <v>128</v>
      </c>
      <c r="I7392" s="11">
        <v>0</v>
      </c>
      <c r="J7392" s="11">
        <v>0</v>
      </c>
      <c r="K7392" s="11" t="s">
        <v>21</v>
      </c>
      <c r="L7392" s="7">
        <v>41185.008842592593</v>
      </c>
      <c r="M7392" s="12" t="s">
        <v>16376</v>
      </c>
      <c r="N7392" s="12" t="s">
        <v>16377</v>
      </c>
      <c r="O7392" s="10" t="str">
        <f>HYPERLINK("https://pbs.twimg.com/profile_images/2999079371/5adcf496151b433e7ec531a4841b2fa8_normal.jpeg","View")</f>
        <v>View</v>
      </c>
      <c r="P7392" s="11"/>
    </row>
    <row r="7393" spans="1:16" ht="12.75" x14ac:dyDescent="0.35">
      <c r="A7393" s="7">
        <v>42484.855138888888</v>
      </c>
      <c r="B7393" s="8" t="str">
        <f>HYPERLINK("https://twitter.com/CaravanFinder","@CaravanFinder")</f>
        <v>@CaravanFinder</v>
      </c>
      <c r="C7393" s="9" t="s">
        <v>16378</v>
      </c>
      <c r="D7393" s="9" t="s">
        <v>16379</v>
      </c>
      <c r="E7393" s="10" t="str">
        <f>HYPERLINK("https://twitter.com/CaravanFinder/status/724251901911556096","724251901911556096")</f>
        <v>724251901911556096</v>
      </c>
      <c r="F7393" s="11" t="s">
        <v>152</v>
      </c>
      <c r="G7393" s="11">
        <v>2508</v>
      </c>
      <c r="H7393" s="11">
        <v>1732</v>
      </c>
      <c r="I7393" s="11">
        <v>0</v>
      </c>
      <c r="J7393" s="11">
        <v>0</v>
      </c>
      <c r="K7393" s="11" t="s">
        <v>21</v>
      </c>
      <c r="L7393" s="7">
        <v>40513.020601851851</v>
      </c>
      <c r="M7393" s="12" t="s">
        <v>16380</v>
      </c>
      <c r="N7393" s="12" t="s">
        <v>16381</v>
      </c>
      <c r="O7393" s="10" t="str">
        <f>HYPERLINK("https://pbs.twimg.com/profile_images/1745657213/twitter_profilev3png_normal.jpg","View")</f>
        <v>View</v>
      </c>
      <c r="P7393" s="11"/>
    </row>
    <row r="7394" spans="1:16" ht="12.75" x14ac:dyDescent="0.35">
      <c r="A7394" s="7">
        <v>42484.85533564815</v>
      </c>
      <c r="B7394" s="8" t="str">
        <f>HYPERLINK("https://twitter.com/njerynganga","@njerynganga")</f>
        <v>@njerynganga</v>
      </c>
      <c r="C7394" s="9" t="s">
        <v>16382</v>
      </c>
      <c r="D7394" s="9" t="s">
        <v>16236</v>
      </c>
      <c r="E7394" s="10" t="str">
        <f>HYPERLINK("https://twitter.com/njerynganga/status/724251976150704128","724251976150704128")</f>
        <v>724251976150704128</v>
      </c>
      <c r="F7394" s="11" t="s">
        <v>48</v>
      </c>
      <c r="G7394" s="11">
        <v>596</v>
      </c>
      <c r="H7394" s="11">
        <v>811</v>
      </c>
      <c r="I7394" s="11">
        <v>7</v>
      </c>
      <c r="J7394" s="11">
        <v>0</v>
      </c>
      <c r="K7394" s="11" t="s">
        <v>21</v>
      </c>
      <c r="L7394" s="7">
        <v>40586.810115740736</v>
      </c>
      <c r="M7394" s="12" t="s">
        <v>16383</v>
      </c>
      <c r="N7394" s="12" t="s">
        <v>16384</v>
      </c>
      <c r="O7394" s="10" t="str">
        <f>HYPERLINK("https://pbs.twimg.com/profile_images/715942097308659712/v1p0GZU1_normal.jpg","View")</f>
        <v>View</v>
      </c>
      <c r="P7394" s="11"/>
    </row>
    <row r="7395" spans="1:16" ht="12.75" x14ac:dyDescent="0.35">
      <c r="A7395" s="7">
        <v>42484.85555555555</v>
      </c>
      <c r="B7395" s="8" t="str">
        <f>HYPERLINK("https://twitter.com/benzeetme","@benzeetme")</f>
        <v>@benzeetme</v>
      </c>
      <c r="C7395" s="9" t="s">
        <v>16385</v>
      </c>
      <c r="D7395" s="9" t="s">
        <v>16386</v>
      </c>
      <c r="E7395" s="10" t="str">
        <f>HYPERLINK("https://twitter.com/benzeetme/status/724252056761077762","724252056761077762")</f>
        <v>724252056761077762</v>
      </c>
      <c r="F7395" s="11" t="s">
        <v>114</v>
      </c>
      <c r="G7395" s="11">
        <v>156</v>
      </c>
      <c r="H7395" s="11">
        <v>200</v>
      </c>
      <c r="I7395" s="11">
        <v>0</v>
      </c>
      <c r="J7395" s="11">
        <v>0</v>
      </c>
      <c r="K7395" s="11" t="s">
        <v>21</v>
      </c>
      <c r="L7395" s="7">
        <v>40132.814942129626</v>
      </c>
      <c r="M7395" s="12" t="s">
        <v>16387</v>
      </c>
      <c r="N7395" s="12"/>
      <c r="O7395" s="10" t="str">
        <f>HYPERLINK("https://pbs.twimg.com/profile_images/2845102212/e6d00c6536a63753d987c7b2b263053a_normal.jpeg","View")</f>
        <v>View</v>
      </c>
      <c r="P7395" s="10" t="str">
        <f>HYPERLINK("http://ctrlq.org/maps/address/#13.69387236,100.65084488","Map")</f>
        <v>Map</v>
      </c>
    </row>
    <row r="7396" spans="1:16" ht="12.75" x14ac:dyDescent="0.35">
      <c r="A7396" s="7">
        <v>42484.855590277773</v>
      </c>
      <c r="B7396" s="8" t="str">
        <f>HYPERLINK("https://twitter.com/KMDTuning","@KMDTuning")</f>
        <v>@KMDTuning</v>
      </c>
      <c r="C7396" s="9" t="s">
        <v>16388</v>
      </c>
      <c r="D7396" s="9" t="s">
        <v>16389</v>
      </c>
      <c r="E7396" s="10" t="str">
        <f>HYPERLINK("https://twitter.com/KMDTuning/status/724252065577488385","724252065577488385")</f>
        <v>724252065577488385</v>
      </c>
      <c r="F7396" s="11" t="s">
        <v>16390</v>
      </c>
      <c r="G7396" s="11">
        <v>381</v>
      </c>
      <c r="H7396" s="11">
        <v>339</v>
      </c>
      <c r="I7396" s="11">
        <v>0</v>
      </c>
      <c r="J7396" s="11">
        <v>0</v>
      </c>
      <c r="K7396" s="11" t="s">
        <v>21</v>
      </c>
      <c r="L7396" s="7">
        <v>41100.047766203701</v>
      </c>
      <c r="M7396" s="12" t="s">
        <v>16391</v>
      </c>
      <c r="N7396" s="12" t="s">
        <v>16392</v>
      </c>
      <c r="O7396" s="10" t="str">
        <f>HYPERLINK("https://pbs.twimg.com/profile_images/561260741269811200/T_HN8Plv_normal.jpeg","View")</f>
        <v>View</v>
      </c>
      <c r="P7396" s="11"/>
    </row>
    <row r="7397" spans="1:16" ht="12.75" x14ac:dyDescent="0.35">
      <c r="A7397" s="7">
        <v>42484.85659722222</v>
      </c>
      <c r="B7397" s="8" t="str">
        <f>HYPERLINK("https://twitter.com/melo_57","@melo_57")</f>
        <v>@melo_57</v>
      </c>
      <c r="C7397" s="9" t="s">
        <v>16393</v>
      </c>
      <c r="D7397" s="9" t="s">
        <v>16394</v>
      </c>
      <c r="E7397" s="10" t="str">
        <f>HYPERLINK("https://twitter.com/melo_57/status/724252431115276288","724252431115276288")</f>
        <v>724252431115276288</v>
      </c>
      <c r="F7397" s="11" t="s">
        <v>114</v>
      </c>
      <c r="G7397" s="11">
        <v>1452</v>
      </c>
      <c r="H7397" s="11">
        <v>2350</v>
      </c>
      <c r="I7397" s="11">
        <v>0</v>
      </c>
      <c r="J7397" s="11">
        <v>0</v>
      </c>
      <c r="K7397" s="11" t="s">
        <v>21</v>
      </c>
      <c r="L7397" s="7">
        <v>39851.00335648148</v>
      </c>
      <c r="M7397" s="12" t="s">
        <v>16395</v>
      </c>
      <c r="N7397" s="12" t="s">
        <v>16396</v>
      </c>
      <c r="O7397" s="10" t="str">
        <f>HYPERLINK("https://pbs.twimg.com/profile_images/378800000087185118/677683a2ae791d494526a938cd5100ed_normal.jpeg","View")</f>
        <v>View</v>
      </c>
      <c r="P7397" s="11"/>
    </row>
    <row r="7398" spans="1:16" ht="12.75" x14ac:dyDescent="0.35">
      <c r="A7398" s="7">
        <v>42484.857094907406</v>
      </c>
      <c r="B7398" s="8" t="str">
        <f>HYPERLINK("https://twitter.com/VolkswagenPost","@VolkswagenPost")</f>
        <v>@VolkswagenPost</v>
      </c>
      <c r="C7398" s="9" t="s">
        <v>321</v>
      </c>
      <c r="D7398" s="9" t="s">
        <v>16397</v>
      </c>
      <c r="E7398" s="10" t="str">
        <f>HYPERLINK("https://twitter.com/VolkswagenPost/status/724252612330029056","724252612330029056")</f>
        <v>724252612330029056</v>
      </c>
      <c r="F7398" s="11" t="s">
        <v>34</v>
      </c>
      <c r="G7398" s="11">
        <v>571</v>
      </c>
      <c r="H7398" s="11">
        <v>446</v>
      </c>
      <c r="I7398" s="11">
        <v>0</v>
      </c>
      <c r="J7398" s="11">
        <v>0</v>
      </c>
      <c r="K7398" s="11" t="s">
        <v>21</v>
      </c>
      <c r="L7398" s="7">
        <v>41940.618379629632</v>
      </c>
      <c r="M7398" s="12"/>
      <c r="N7398" s="12"/>
      <c r="O7398" s="10" t="str">
        <f>HYPERLINK("https://pbs.twimg.com/profile_images/530071272881803264/a_jcCmPZ_normal.png","View")</f>
        <v>View</v>
      </c>
      <c r="P7398" s="11"/>
    </row>
    <row r="7399" spans="1:16" ht="12.75" x14ac:dyDescent="0.35">
      <c r="A7399" s="7">
        <v>42484.858032407406</v>
      </c>
      <c r="B7399" s="8" t="str">
        <f>HYPERLINK("https://twitter.com/victoria118","@victoria118")</f>
        <v>@victoria118</v>
      </c>
      <c r="C7399" s="9" t="s">
        <v>16398</v>
      </c>
      <c r="D7399" s="9" t="s">
        <v>16399</v>
      </c>
      <c r="E7399" s="10" t="str">
        <f>HYPERLINK("https://twitter.com/victoria118/status/724252951448047621","724252951448047621")</f>
        <v>724252951448047621</v>
      </c>
      <c r="F7399" s="11" t="s">
        <v>20</v>
      </c>
      <c r="G7399" s="11">
        <v>3174</v>
      </c>
      <c r="H7399" s="11">
        <v>111</v>
      </c>
      <c r="I7399" s="11">
        <v>1</v>
      </c>
      <c r="J7399" s="11">
        <v>0</v>
      </c>
      <c r="K7399" s="11" t="s">
        <v>21</v>
      </c>
      <c r="L7399" s="7">
        <v>39443.820011574076</v>
      </c>
      <c r="M7399" s="12" t="s">
        <v>1827</v>
      </c>
      <c r="N7399" s="12" t="s">
        <v>16400</v>
      </c>
      <c r="O7399" s="10" t="str">
        <f>HYPERLINK("https://pbs.twimg.com/profile_images/691243542904184832/ynvpDVtb_normal.jpg","View")</f>
        <v>View</v>
      </c>
      <c r="P7399" s="11"/>
    </row>
    <row r="7400" spans="1:16" ht="12.75" x14ac:dyDescent="0.35">
      <c r="A7400" s="7">
        <v>42484.859317129631</v>
      </c>
      <c r="B7400" s="8" t="str">
        <f>HYPERLINK("https://twitter.com/PorscheOfficApp","@PorscheOfficApp")</f>
        <v>@PorscheOfficApp</v>
      </c>
      <c r="C7400" s="9" t="s">
        <v>7375</v>
      </c>
      <c r="D7400" s="9" t="s">
        <v>16401</v>
      </c>
      <c r="E7400" s="10" t="str">
        <f>HYPERLINK("https://twitter.com/PorscheOfficApp/status/724253419037437952","724253419037437952")</f>
        <v>724253419037437952</v>
      </c>
      <c r="F7400" s="11" t="s">
        <v>7375</v>
      </c>
      <c r="G7400" s="11">
        <v>675</v>
      </c>
      <c r="H7400" s="11">
        <v>258</v>
      </c>
      <c r="I7400" s="11">
        <v>1</v>
      </c>
      <c r="J7400" s="11">
        <v>0</v>
      </c>
      <c r="K7400" s="11" t="s">
        <v>21</v>
      </c>
      <c r="L7400" s="7">
        <v>42374.718981481477</v>
      </c>
      <c r="M7400" s="12" t="s">
        <v>2646</v>
      </c>
      <c r="N7400" s="12" t="s">
        <v>7377</v>
      </c>
      <c r="O7400" s="10" t="str">
        <f>HYPERLINK("https://pbs.twimg.com/profile_images/684716541322072065/eXpLts42_normal.jpg","View")</f>
        <v>View</v>
      </c>
      <c r="P7400" s="11"/>
    </row>
    <row r="7401" spans="1:16" ht="12.75" x14ac:dyDescent="0.35">
      <c r="A7401" s="7">
        <v>42484.859652777777</v>
      </c>
      <c r="B7401" s="8" t="str">
        <f>HYPERLINK("https://twitter.com/kan2121","@kan2121")</f>
        <v>@kan2121</v>
      </c>
      <c r="C7401" s="9" t="s">
        <v>16157</v>
      </c>
      <c r="D7401" s="9" t="s">
        <v>16236</v>
      </c>
      <c r="E7401" s="10" t="str">
        <f>HYPERLINK("https://twitter.com/kan2121/status/724253539963281408","724253539963281408")</f>
        <v>724253539963281408</v>
      </c>
      <c r="F7401" s="11" t="s">
        <v>48</v>
      </c>
      <c r="G7401" s="11">
        <v>274</v>
      </c>
      <c r="H7401" s="11">
        <v>186</v>
      </c>
      <c r="I7401" s="11">
        <v>7</v>
      </c>
      <c r="J7401" s="11">
        <v>0</v>
      </c>
      <c r="K7401" s="11" t="s">
        <v>21</v>
      </c>
      <c r="L7401" s="7">
        <v>40674.638703703706</v>
      </c>
      <c r="M7401" s="12"/>
      <c r="N7401" s="12" t="s">
        <v>16158</v>
      </c>
      <c r="O7401" s="10" t="str">
        <f>HYPERLINK("https://pbs.twimg.com/profile_images/722579397442535424/syR-FFVF_normal.jpg","View")</f>
        <v>View</v>
      </c>
      <c r="P7401" s="11"/>
    </row>
    <row r="7402" spans="1:16" ht="12.75" x14ac:dyDescent="0.35">
      <c r="A7402" s="7">
        <v>42484.860266203701</v>
      </c>
      <c r="B7402" s="8" t="str">
        <f>HYPERLINK("https://twitter.com/CaffeTiraMiSu","@CaffeTiraMiSu")</f>
        <v>@CaffeTiraMiSu</v>
      </c>
      <c r="C7402" s="9" t="s">
        <v>16402</v>
      </c>
      <c r="D7402" s="9" t="s">
        <v>16403</v>
      </c>
      <c r="E7402" s="10" t="str">
        <f>HYPERLINK("https://twitter.com/CaffeTiraMiSu/status/724253761623986177","724253761623986177")</f>
        <v>724253761623986177</v>
      </c>
      <c r="F7402" s="11" t="s">
        <v>48</v>
      </c>
      <c r="G7402" s="11">
        <v>401</v>
      </c>
      <c r="H7402" s="11">
        <v>390</v>
      </c>
      <c r="I7402" s="11">
        <v>0</v>
      </c>
      <c r="J7402" s="11">
        <v>0</v>
      </c>
      <c r="K7402" s="11" t="s">
        <v>21</v>
      </c>
      <c r="L7402" s="7">
        <v>40006.934756944444</v>
      </c>
      <c r="M7402" s="12" t="s">
        <v>16404</v>
      </c>
      <c r="N7402" s="12" t="s">
        <v>16405</v>
      </c>
      <c r="O7402" s="10" t="str">
        <f>HYPERLINK("https://pbs.twimg.com/profile_images/455487722975526912/Pmh2rIfj_normal.jpeg","View")</f>
        <v>View</v>
      </c>
      <c r="P7402" s="11"/>
    </row>
    <row r="7403" spans="1:16" ht="12.75" x14ac:dyDescent="0.35">
      <c r="A7403" s="7">
        <v>42484.860300925924</v>
      </c>
      <c r="B7403" s="8" t="str">
        <f>HYPERLINK("https://twitter.com/TheCarCentre","@TheCarCentre")</f>
        <v>@TheCarCentre</v>
      </c>
      <c r="C7403" s="9" t="s">
        <v>2467</v>
      </c>
      <c r="D7403" s="9" t="s">
        <v>16406</v>
      </c>
      <c r="E7403" s="10" t="str">
        <f>HYPERLINK("https://twitter.com/TheCarCentre/status/724253776056582144","724253776056582144")</f>
        <v>724253776056582144</v>
      </c>
      <c r="F7403" s="11" t="s">
        <v>68</v>
      </c>
      <c r="G7403" s="11">
        <v>78</v>
      </c>
      <c r="H7403" s="11">
        <v>225</v>
      </c>
      <c r="I7403" s="11">
        <v>0</v>
      </c>
      <c r="J7403" s="11">
        <v>0</v>
      </c>
      <c r="K7403" s="11" t="s">
        <v>21</v>
      </c>
      <c r="L7403" s="7">
        <v>41219.67428240741</v>
      </c>
      <c r="M7403" s="12" t="s">
        <v>2469</v>
      </c>
      <c r="N7403" s="12" t="s">
        <v>2470</v>
      </c>
      <c r="O7403" s="10" t="str">
        <f>HYPERLINK("https://pbs.twimg.com/profile_images/470231671434772480/xlDH2t7D_normal.png","View")</f>
        <v>View</v>
      </c>
      <c r="P7403" s="11"/>
    </row>
    <row r="7404" spans="1:16" ht="12.75" x14ac:dyDescent="0.35">
      <c r="A7404" s="7">
        <v>42484.860844907409</v>
      </c>
      <c r="B7404" s="8" t="str">
        <f t="shared" ref="B7404:B7405" si="721">HYPERLINK("https://twitter.com/beetlebug1938","@beetlebug1938")</f>
        <v>@beetlebug1938</v>
      </c>
      <c r="C7404" s="9" t="s">
        <v>66</v>
      </c>
      <c r="D7404" s="9" t="s">
        <v>16407</v>
      </c>
      <c r="E7404" s="10" t="str">
        <f>HYPERLINK("https://twitter.com/beetlebug1938/status/724253972178018304","724253972178018304")</f>
        <v>724253972178018304</v>
      </c>
      <c r="F7404" s="11" t="s">
        <v>68</v>
      </c>
      <c r="G7404" s="11">
        <v>377</v>
      </c>
      <c r="H7404" s="11">
        <v>2229</v>
      </c>
      <c r="I7404" s="11">
        <v>1</v>
      </c>
      <c r="J7404" s="11">
        <v>2</v>
      </c>
      <c r="K7404" s="11" t="s">
        <v>21</v>
      </c>
      <c r="L7404" s="7">
        <v>42469.863865740743</v>
      </c>
      <c r="M7404" s="12" t="s">
        <v>69</v>
      </c>
      <c r="N7404" s="12"/>
      <c r="O7404" s="10" t="str">
        <f t="shared" ref="O7404:O7405" si="722">HYPERLINK("https://pbs.twimg.com/profile_images/718820712757215233/LXXndPTS_normal.jpg","View")</f>
        <v>View</v>
      </c>
      <c r="P7404" s="11"/>
    </row>
    <row r="7405" spans="1:16" ht="12.75" x14ac:dyDescent="0.35">
      <c r="A7405" s="7">
        <v>42484.860868055555</v>
      </c>
      <c r="B7405" s="8" t="str">
        <f t="shared" si="721"/>
        <v>@beetlebug1938</v>
      </c>
      <c r="C7405" s="9" t="s">
        <v>66</v>
      </c>
      <c r="D7405" s="9" t="s">
        <v>16408</v>
      </c>
      <c r="E7405" s="10" t="str">
        <f>HYPERLINK("https://twitter.com/beetlebug1938/status/724253979023138816","724253979023138816")</f>
        <v>724253979023138816</v>
      </c>
      <c r="F7405" s="11" t="s">
        <v>68</v>
      </c>
      <c r="G7405" s="11">
        <v>377</v>
      </c>
      <c r="H7405" s="11">
        <v>2229</v>
      </c>
      <c r="I7405" s="11">
        <v>1</v>
      </c>
      <c r="J7405" s="11">
        <v>1</v>
      </c>
      <c r="K7405" s="11" t="s">
        <v>21</v>
      </c>
      <c r="L7405" s="7">
        <v>42469.863865740743</v>
      </c>
      <c r="M7405" s="12" t="s">
        <v>69</v>
      </c>
      <c r="N7405" s="12"/>
      <c r="O7405" s="10" t="str">
        <f t="shared" si="722"/>
        <v>View</v>
      </c>
      <c r="P7405" s="11"/>
    </row>
    <row r="7406" spans="1:16" ht="12.75" x14ac:dyDescent="0.35">
      <c r="A7406" s="7">
        <v>42484.861875000002</v>
      </c>
      <c r="B7406" s="8" t="str">
        <f>HYPERLINK("https://twitter.com/HomeMckee","@HomeMckee")</f>
        <v>@HomeMckee</v>
      </c>
      <c r="C7406" s="9" t="s">
        <v>12258</v>
      </c>
      <c r="D7406" s="9" t="s">
        <v>16409</v>
      </c>
      <c r="E7406" s="10" t="str">
        <f>HYPERLINK("https://twitter.com/HomeMckee/status/724254345030717440","724254345030717440")</f>
        <v>724254345030717440</v>
      </c>
      <c r="F7406" s="11" t="s">
        <v>48</v>
      </c>
      <c r="G7406" s="11">
        <v>1362</v>
      </c>
      <c r="H7406" s="11">
        <v>2262</v>
      </c>
      <c r="I7406" s="11">
        <v>1</v>
      </c>
      <c r="J7406" s="11">
        <v>0</v>
      </c>
      <c r="K7406" s="11" t="s">
        <v>21</v>
      </c>
      <c r="L7406" s="7">
        <v>41785.316400462965</v>
      </c>
      <c r="M7406" s="12"/>
      <c r="N7406" s="12" t="s">
        <v>12260</v>
      </c>
      <c r="O7406" s="10" t="str">
        <f>HYPERLINK("https://pbs.twimg.com/profile_images/723576155173957632/q_TORr6w_normal.jpg","View")</f>
        <v>View</v>
      </c>
      <c r="P7406" s="11"/>
    </row>
    <row r="7407" spans="1:16" ht="12.75" x14ac:dyDescent="0.35">
      <c r="A7407" s="7">
        <v>42484.861886574072</v>
      </c>
      <c r="B7407" s="8" t="str">
        <f t="shared" ref="B7407:B7408" si="723">HYPERLINK("https://twitter.com/dubbusses","@dubbusses")</f>
        <v>@dubbusses</v>
      </c>
      <c r="C7407" s="9" t="s">
        <v>14338</v>
      </c>
      <c r="D7407" s="9" t="s">
        <v>16410</v>
      </c>
      <c r="E7407" s="10" t="str">
        <f>HYPERLINK("https://twitter.com/dubbusses/status/724254351154384905","724254351154384905")</f>
        <v>724254351154384905</v>
      </c>
      <c r="F7407" s="11" t="s">
        <v>68</v>
      </c>
      <c r="G7407" s="11">
        <v>433</v>
      </c>
      <c r="H7407" s="11">
        <v>2369</v>
      </c>
      <c r="I7407" s="11">
        <v>0</v>
      </c>
      <c r="J7407" s="11">
        <v>0</v>
      </c>
      <c r="K7407" s="11" t="s">
        <v>21</v>
      </c>
      <c r="L7407" s="7">
        <v>42469.905393518522</v>
      </c>
      <c r="M7407" s="12" t="s">
        <v>14340</v>
      </c>
      <c r="N7407" s="12"/>
      <c r="O7407" s="10" t="str">
        <f t="shared" ref="O7407:O7408" si="724">HYPERLINK("https://pbs.twimg.com/profile_images/718835727027580928/1ssyQ67y_normal.jpg","View")</f>
        <v>View</v>
      </c>
      <c r="P7407" s="11"/>
    </row>
    <row r="7408" spans="1:16" ht="12.75" x14ac:dyDescent="0.35">
      <c r="A7408" s="7">
        <v>42484.861944444448</v>
      </c>
      <c r="B7408" s="8" t="str">
        <f t="shared" si="723"/>
        <v>@dubbusses</v>
      </c>
      <c r="C7408" s="9" t="s">
        <v>14338</v>
      </c>
      <c r="D7408" s="9" t="s">
        <v>16411</v>
      </c>
      <c r="E7408" s="10" t="str">
        <f>HYPERLINK("https://twitter.com/dubbusses/status/724254370431418368","724254370431418368")</f>
        <v>724254370431418368</v>
      </c>
      <c r="F7408" s="11" t="s">
        <v>68</v>
      </c>
      <c r="G7408" s="11">
        <v>433</v>
      </c>
      <c r="H7408" s="11">
        <v>2369</v>
      </c>
      <c r="I7408" s="11">
        <v>0</v>
      </c>
      <c r="J7408" s="11">
        <v>0</v>
      </c>
      <c r="K7408" s="11" t="s">
        <v>21</v>
      </c>
      <c r="L7408" s="7">
        <v>42469.905393518522</v>
      </c>
      <c r="M7408" s="12" t="s">
        <v>14340</v>
      </c>
      <c r="N7408" s="12"/>
      <c r="O7408" s="10" t="str">
        <f t="shared" si="724"/>
        <v>View</v>
      </c>
      <c r="P7408" s="11"/>
    </row>
    <row r="7409" spans="1:16" ht="12.75" x14ac:dyDescent="0.35">
      <c r="A7409" s="7">
        <v>42484.861956018518</v>
      </c>
      <c r="B7409" s="8" t="str">
        <f>HYPERLINK("https://twitter.com/HomeMckee","@HomeMckee")</f>
        <v>@HomeMckee</v>
      </c>
      <c r="C7409" s="9" t="s">
        <v>12258</v>
      </c>
      <c r="D7409" s="9" t="s">
        <v>16412</v>
      </c>
      <c r="E7409" s="10" t="str">
        <f>HYPERLINK("https://twitter.com/HomeMckee/status/724254376332812288","724254376332812288")</f>
        <v>724254376332812288</v>
      </c>
      <c r="F7409" s="11" t="s">
        <v>48</v>
      </c>
      <c r="G7409" s="11">
        <v>1362</v>
      </c>
      <c r="H7409" s="11">
        <v>2262</v>
      </c>
      <c r="I7409" s="11">
        <v>1</v>
      </c>
      <c r="J7409" s="11">
        <v>0</v>
      </c>
      <c r="K7409" s="11" t="s">
        <v>21</v>
      </c>
      <c r="L7409" s="7">
        <v>41785.316400462965</v>
      </c>
      <c r="M7409" s="12"/>
      <c r="N7409" s="12" t="s">
        <v>12260</v>
      </c>
      <c r="O7409" s="10" t="str">
        <f>HYPERLINK("https://pbs.twimg.com/profile_images/723576155173957632/q_TORr6w_normal.jpg","View")</f>
        <v>View</v>
      </c>
      <c r="P7409" s="11"/>
    </row>
    <row r="7410" spans="1:16" ht="12.75" x14ac:dyDescent="0.35">
      <c r="A7410" s="7">
        <v>42484.861967592587</v>
      </c>
      <c r="B7410" s="8" t="str">
        <f t="shared" ref="B7410:B7411" si="725">HYPERLINK("https://twitter.com/dubbusses","@dubbusses")</f>
        <v>@dubbusses</v>
      </c>
      <c r="C7410" s="9" t="s">
        <v>14338</v>
      </c>
      <c r="D7410" s="9" t="s">
        <v>16413</v>
      </c>
      <c r="E7410" s="10" t="str">
        <f>HYPERLINK("https://twitter.com/dubbusses/status/724254380078301184","724254380078301184")</f>
        <v>724254380078301184</v>
      </c>
      <c r="F7410" s="11" t="s">
        <v>68</v>
      </c>
      <c r="G7410" s="11">
        <v>433</v>
      </c>
      <c r="H7410" s="11">
        <v>2369</v>
      </c>
      <c r="I7410" s="11">
        <v>0</v>
      </c>
      <c r="J7410" s="11">
        <v>0</v>
      </c>
      <c r="K7410" s="11" t="s">
        <v>21</v>
      </c>
      <c r="L7410" s="7">
        <v>42469.905393518522</v>
      </c>
      <c r="M7410" s="12" t="s">
        <v>14340</v>
      </c>
      <c r="N7410" s="12"/>
      <c r="O7410" s="10" t="str">
        <f t="shared" ref="O7410:O7411" si="726">HYPERLINK("https://pbs.twimg.com/profile_images/718835727027580928/1ssyQ67y_normal.jpg","View")</f>
        <v>View</v>
      </c>
      <c r="P7410" s="11"/>
    </row>
    <row r="7411" spans="1:16" ht="12.75" x14ac:dyDescent="0.35">
      <c r="A7411" s="7">
        <v>42484.862129629633</v>
      </c>
      <c r="B7411" s="8" t="str">
        <f t="shared" si="725"/>
        <v>@dubbusses</v>
      </c>
      <c r="C7411" s="9" t="s">
        <v>14338</v>
      </c>
      <c r="D7411" s="9" t="s">
        <v>16414</v>
      </c>
      <c r="E7411" s="10" t="str">
        <f>HYPERLINK("https://twitter.com/dubbusses/status/724254439259906048","724254439259906048")</f>
        <v>724254439259906048</v>
      </c>
      <c r="F7411" s="11" t="s">
        <v>68</v>
      </c>
      <c r="G7411" s="11">
        <v>433</v>
      </c>
      <c r="H7411" s="11">
        <v>2369</v>
      </c>
      <c r="I7411" s="11">
        <v>0</v>
      </c>
      <c r="J7411" s="11">
        <v>0</v>
      </c>
      <c r="K7411" s="11" t="s">
        <v>21</v>
      </c>
      <c r="L7411" s="7">
        <v>42469.905393518522</v>
      </c>
      <c r="M7411" s="12" t="s">
        <v>14340</v>
      </c>
      <c r="N7411" s="12"/>
      <c r="O7411" s="10" t="str">
        <f t="shared" si="726"/>
        <v>View</v>
      </c>
      <c r="P7411" s="11"/>
    </row>
    <row r="7412" spans="1:16" ht="12.75" x14ac:dyDescent="0.35">
      <c r="A7412" s="7">
        <v>42484.862395833334</v>
      </c>
      <c r="B7412" s="8" t="str">
        <f>HYPERLINK("https://twitter.com/Mphilpot1","@Mphilpot1")</f>
        <v>@Mphilpot1</v>
      </c>
      <c r="C7412" s="9" t="s">
        <v>1280</v>
      </c>
      <c r="D7412" s="9" t="s">
        <v>16415</v>
      </c>
      <c r="E7412" s="10" t="str">
        <f>HYPERLINK("https://twitter.com/Mphilpot1/status/724254535267422209","724254535267422209")</f>
        <v>724254535267422209</v>
      </c>
      <c r="F7412" s="11" t="s">
        <v>34</v>
      </c>
      <c r="G7412" s="11">
        <v>114</v>
      </c>
      <c r="H7412" s="11">
        <v>141</v>
      </c>
      <c r="I7412" s="11">
        <v>0</v>
      </c>
      <c r="J7412" s="11">
        <v>0</v>
      </c>
      <c r="K7412" s="11" t="s">
        <v>21</v>
      </c>
      <c r="L7412" s="7">
        <v>41137.855208333334</v>
      </c>
      <c r="M7412" s="12"/>
      <c r="N7412" s="12"/>
      <c r="O7412" s="10" t="str">
        <f>HYPERLINK("https://pbs.twimg.com/profile_images/422164778639839234/LVnS1q1c_normal.jpeg","View")</f>
        <v>View</v>
      </c>
      <c r="P7412" s="11"/>
    </row>
    <row r="7413" spans="1:16" ht="12.75" x14ac:dyDescent="0.35">
      <c r="A7413" s="7">
        <v>42484.864606481482</v>
      </c>
      <c r="B7413" s="8" t="str">
        <f>HYPERLINK("https://twitter.com/VWBeetleSales","@VWBeetleSales")</f>
        <v>@VWBeetleSales</v>
      </c>
      <c r="C7413" s="9" t="s">
        <v>127</v>
      </c>
      <c r="D7413" s="9" t="s">
        <v>16416</v>
      </c>
      <c r="E7413" s="10" t="str">
        <f>HYPERLINK("https://twitter.com/VWBeetleSales/status/724255334613667841","724255334613667841")</f>
        <v>724255334613667841</v>
      </c>
      <c r="F7413" s="10" t="s">
        <v>124</v>
      </c>
      <c r="G7413" s="11">
        <v>38</v>
      </c>
      <c r="H7413" s="11">
        <v>32</v>
      </c>
      <c r="I7413" s="11">
        <v>0</v>
      </c>
      <c r="J7413" s="11">
        <v>0</v>
      </c>
      <c r="K7413" s="11" t="s">
        <v>21</v>
      </c>
      <c r="L7413" s="7">
        <v>42427.019756944443</v>
      </c>
      <c r="M7413" s="12" t="s">
        <v>129</v>
      </c>
      <c r="N7413" s="12" t="s">
        <v>130</v>
      </c>
      <c r="O7413" s="10" t="str">
        <f>HYPERLINK("https://pbs.twimg.com/profile_images/703294545195307008/qeCvrX86_normal.jpg","View")</f>
        <v>View</v>
      </c>
      <c r="P7413" s="11"/>
    </row>
    <row r="7414" spans="1:16" ht="12.75" x14ac:dyDescent="0.35">
      <c r="A7414" s="7">
        <v>42484.86546296296</v>
      </c>
      <c r="B7414" s="8" t="str">
        <f>HYPERLINK("https://twitter.com/acvwpassion","@acvwpassion")</f>
        <v>@acvwpassion</v>
      </c>
      <c r="C7414" s="9" t="s">
        <v>4671</v>
      </c>
      <c r="D7414" s="9" t="s">
        <v>16417</v>
      </c>
      <c r="E7414" s="10" t="str">
        <f>HYPERLINK("https://twitter.com/acvwpassion/status/724255643885002752","724255643885002752")</f>
        <v>724255643885002752</v>
      </c>
      <c r="F7414" s="11" t="s">
        <v>152</v>
      </c>
      <c r="G7414" s="11">
        <v>243</v>
      </c>
      <c r="H7414" s="11">
        <v>409</v>
      </c>
      <c r="I7414" s="11">
        <v>0</v>
      </c>
      <c r="J7414" s="11">
        <v>1</v>
      </c>
      <c r="K7414" s="11" t="s">
        <v>21</v>
      </c>
      <c r="L7414" s="7">
        <v>41989.101851851854</v>
      </c>
      <c r="M7414" s="12" t="s">
        <v>4673</v>
      </c>
      <c r="N7414" s="12" t="s">
        <v>4674</v>
      </c>
      <c r="O7414" s="10" t="str">
        <f>HYPERLINK("https://pbs.twimg.com/profile_images/545688359964651520/SF3sJ7lv_normal.jpeg","View")</f>
        <v>View</v>
      </c>
      <c r="P7414" s="11"/>
    </row>
    <row r="7415" spans="1:16" ht="12.75" x14ac:dyDescent="0.35">
      <c r="A7415" s="7">
        <v>42484.865497685183</v>
      </c>
      <c r="B7415" s="8" t="str">
        <f>HYPERLINK("https://twitter.com/johnwhalvin","@johnwhalvin")</f>
        <v>@johnwhalvin</v>
      </c>
      <c r="C7415" s="9" t="s">
        <v>15411</v>
      </c>
      <c r="D7415" s="9" t="s">
        <v>16418</v>
      </c>
      <c r="E7415" s="10" t="str">
        <f>HYPERLINK("https://twitter.com/johnwhalvin/status/724255656249856000","724255656249856000")</f>
        <v>724255656249856000</v>
      </c>
      <c r="F7415" s="11" t="s">
        <v>20</v>
      </c>
      <c r="G7415" s="11">
        <v>347</v>
      </c>
      <c r="H7415" s="11">
        <v>310</v>
      </c>
      <c r="I7415" s="11">
        <v>0</v>
      </c>
      <c r="J7415" s="11">
        <v>0</v>
      </c>
      <c r="K7415" s="11" t="s">
        <v>21</v>
      </c>
      <c r="L7415" s="7">
        <v>40023.079317129632</v>
      </c>
      <c r="M7415" s="12" t="s">
        <v>15413</v>
      </c>
      <c r="N7415" s="12" t="s">
        <v>15414</v>
      </c>
      <c r="O7415" s="10" t="str">
        <f>HYPERLINK("https://pbs.twimg.com/profile_images/691267260758020096/6YkrhJsd_normal.jpg","View")</f>
        <v>View</v>
      </c>
      <c r="P7415" s="11"/>
    </row>
    <row r="7416" spans="1:16" ht="12.75" x14ac:dyDescent="0.35">
      <c r="A7416" s="7">
        <v>42484.867372685185</v>
      </c>
      <c r="B7416" s="8" t="str">
        <f>HYPERLINK("https://twitter.com/BillJacobsVW","@BillJacobsVW")</f>
        <v>@BillJacobsVW</v>
      </c>
      <c r="C7416" s="9" t="s">
        <v>10519</v>
      </c>
      <c r="D7416" s="9" t="s">
        <v>16419</v>
      </c>
      <c r="E7416" s="10" t="str">
        <f>HYPERLINK("https://twitter.com/BillJacobsVW/status/724256336251232256","724256336251232256")</f>
        <v>724256336251232256</v>
      </c>
      <c r="F7416" s="11" t="s">
        <v>140</v>
      </c>
      <c r="G7416" s="11">
        <v>99</v>
      </c>
      <c r="H7416" s="11">
        <v>248</v>
      </c>
      <c r="I7416" s="11">
        <v>0</v>
      </c>
      <c r="J7416" s="11">
        <v>0</v>
      </c>
      <c r="K7416" s="11" t="s">
        <v>21</v>
      </c>
      <c r="L7416" s="7">
        <v>40079.866006944445</v>
      </c>
      <c r="M7416" s="12" t="s">
        <v>10521</v>
      </c>
      <c r="N7416" s="12" t="s">
        <v>10522</v>
      </c>
      <c r="O7416" s="10" t="str">
        <f>HYPERLINK("https://pbs.twimg.com/profile_images/709477803851325440/SYpI9NJ7_normal.jpg","View")</f>
        <v>View</v>
      </c>
      <c r="P7416" s="11"/>
    </row>
    <row r="7417" spans="1:16" ht="12.75" x14ac:dyDescent="0.35">
      <c r="A7417" s="7">
        <v>42484.867569444439</v>
      </c>
      <c r="B7417" s="8" t="str">
        <f>HYPERLINK("https://twitter.com/Aloj_do_Zezere","@Aloj_do_Zezere")</f>
        <v>@Aloj_do_Zezere</v>
      </c>
      <c r="C7417" s="9" t="s">
        <v>16420</v>
      </c>
      <c r="D7417" s="9" t="s">
        <v>16421</v>
      </c>
      <c r="E7417" s="10" t="str">
        <f>HYPERLINK("https://twitter.com/Aloj_do_Zezere/status/724256406770208768","724256406770208768")</f>
        <v>724256406770208768</v>
      </c>
      <c r="F7417" s="11" t="s">
        <v>43</v>
      </c>
      <c r="G7417" s="11">
        <v>0</v>
      </c>
      <c r="H7417" s="11">
        <v>2</v>
      </c>
      <c r="I7417" s="11">
        <v>0</v>
      </c>
      <c r="J7417" s="11">
        <v>0</v>
      </c>
      <c r="K7417" s="11" t="s">
        <v>21</v>
      </c>
      <c r="L7417" s="7">
        <v>42457.127569444448</v>
      </c>
      <c r="M7417" s="12"/>
      <c r="N7417" s="12"/>
      <c r="O7417" s="10" t="str">
        <f>HYPERLINK("https://pbs.twimg.com/profile_images/714205045705871361/tVpb5bGw_normal.jpg","View")</f>
        <v>View</v>
      </c>
      <c r="P7417" s="11"/>
    </row>
    <row r="7418" spans="1:16" ht="12.75" x14ac:dyDescent="0.35">
      <c r="A7418" s="7">
        <v>42484.869004629625</v>
      </c>
      <c r="B7418" s="8" t="str">
        <f>HYPERLINK("https://twitter.com/jd_clementsgk","@jd_clementsgk")</f>
        <v>@jd_clementsgk</v>
      </c>
      <c r="C7418" s="9" t="s">
        <v>16422</v>
      </c>
      <c r="D7418" s="9" t="s">
        <v>16423</v>
      </c>
      <c r="E7418" s="10" t="str">
        <f>HYPERLINK("https://twitter.com/jd_clementsgk/status/724256930349350912","724256930349350912")</f>
        <v>724256930349350912</v>
      </c>
      <c r="F7418" s="11" t="s">
        <v>114</v>
      </c>
      <c r="G7418" s="11">
        <v>393</v>
      </c>
      <c r="H7418" s="11">
        <v>366</v>
      </c>
      <c r="I7418" s="11">
        <v>0</v>
      </c>
      <c r="J7418" s="11">
        <v>0</v>
      </c>
      <c r="K7418" s="11" t="s">
        <v>21</v>
      </c>
      <c r="L7418" s="7">
        <v>41064.64126157407</v>
      </c>
      <c r="M7418" s="12"/>
      <c r="N7418" s="12" t="s">
        <v>16424</v>
      </c>
      <c r="O7418" s="10" t="str">
        <f>HYPERLINK("https://pbs.twimg.com/profile_images/720356638968954882/13kg9uoz_normal.jpg","View")</f>
        <v>View</v>
      </c>
      <c r="P7418" s="11"/>
    </row>
    <row r="7419" spans="1:16" ht="12.75" x14ac:dyDescent="0.35">
      <c r="A7419" s="7">
        <v>42484.870208333334</v>
      </c>
      <c r="B7419" s="8" t="str">
        <f>HYPERLINK("https://twitter.com/VWCamperSales","@VWCamperSales")</f>
        <v>@VWCamperSales</v>
      </c>
      <c r="C7419" s="9" t="s">
        <v>216</v>
      </c>
      <c r="D7419" s="9" t="s">
        <v>16425</v>
      </c>
      <c r="E7419" s="10" t="str">
        <f>HYPERLINK("https://twitter.com/VWCamperSales/status/724257365973856257","724257365973856257")</f>
        <v>724257365973856257</v>
      </c>
      <c r="F7419" s="10" t="s">
        <v>124</v>
      </c>
      <c r="G7419" s="11">
        <v>624</v>
      </c>
      <c r="H7419" s="11">
        <v>580</v>
      </c>
      <c r="I7419" s="11">
        <v>0</v>
      </c>
      <c r="J7419" s="11">
        <v>0</v>
      </c>
      <c r="K7419" s="11" t="s">
        <v>21</v>
      </c>
      <c r="L7419" s="7">
        <v>42215.98809027778</v>
      </c>
      <c r="M7419" s="12" t="s">
        <v>129</v>
      </c>
      <c r="N7419" s="12" t="s">
        <v>218</v>
      </c>
      <c r="O7419" s="10" t="str">
        <f>HYPERLINK("https://pbs.twimg.com/profile_images/627949001179037696/skEBkS05_normal.jpg","View")</f>
        <v>View</v>
      </c>
      <c r="P7419" s="11"/>
    </row>
    <row r="7420" spans="1:16" ht="12.75" x14ac:dyDescent="0.35">
      <c r="A7420" s="7">
        <v>42484.872476851851</v>
      </c>
      <c r="B7420" s="8" t="str">
        <f>HYPERLINK("https://twitter.com/robb757","@robb757")</f>
        <v>@robb757</v>
      </c>
      <c r="C7420" s="9" t="s">
        <v>16426</v>
      </c>
      <c r="D7420" s="9" t="s">
        <v>16427</v>
      </c>
      <c r="E7420" s="10" t="str">
        <f>HYPERLINK("https://twitter.com/robb757/status/724258186006552576","724258186006552576")</f>
        <v>724258186006552576</v>
      </c>
      <c r="F7420" s="11" t="s">
        <v>114</v>
      </c>
      <c r="G7420" s="11">
        <v>388</v>
      </c>
      <c r="H7420" s="11">
        <v>195</v>
      </c>
      <c r="I7420" s="11">
        <v>0</v>
      </c>
      <c r="J7420" s="11">
        <v>1</v>
      </c>
      <c r="K7420" s="11" t="s">
        <v>21</v>
      </c>
      <c r="L7420" s="7">
        <v>40231.36100694444</v>
      </c>
      <c r="M7420" s="12" t="s">
        <v>16428</v>
      </c>
      <c r="N7420" s="12" t="s">
        <v>16429</v>
      </c>
      <c r="O7420" s="10" t="str">
        <f>HYPERLINK("https://pbs.twimg.com/profile_images/720014913909956608/PVJqKwk1_normal.jpg","View")</f>
        <v>View</v>
      </c>
      <c r="P7420" s="10" t="str">
        <f>HYPERLINK("http://ctrlq.org/maps/address/#36.62097,-76.04977","Map")</f>
        <v>Map</v>
      </c>
    </row>
    <row r="7421" spans="1:16" ht="12.75" x14ac:dyDescent="0.35">
      <c r="A7421" s="7">
        <v>42484.87332175926</v>
      </c>
      <c r="B7421" s="8" t="str">
        <f>HYPERLINK("https://twitter.com/marco_paschoal","@marco_paschoal")</f>
        <v>@marco_paschoal</v>
      </c>
      <c r="C7421" s="9" t="s">
        <v>16430</v>
      </c>
      <c r="D7421" s="9" t="s">
        <v>16431</v>
      </c>
      <c r="E7421" s="10" t="str">
        <f>HYPERLINK("https://twitter.com/marco_paschoal/status/724258491766992900","724258491766992900")</f>
        <v>724258491766992900</v>
      </c>
      <c r="F7421" s="11" t="s">
        <v>114</v>
      </c>
      <c r="G7421" s="11">
        <v>135</v>
      </c>
      <c r="H7421" s="11">
        <v>143</v>
      </c>
      <c r="I7421" s="11">
        <v>0</v>
      </c>
      <c r="J7421" s="11">
        <v>0</v>
      </c>
      <c r="K7421" s="11" t="s">
        <v>21</v>
      </c>
      <c r="L7421" s="7">
        <v>39983.374120370368</v>
      </c>
      <c r="M7421" s="12" t="s">
        <v>6000</v>
      </c>
      <c r="N7421" s="12" t="s">
        <v>16432</v>
      </c>
      <c r="O7421" s="10" t="str">
        <f>HYPERLINK("https://pbs.twimg.com/profile_images/650829645584203776/k6XBEc2l_normal.jpg","View")</f>
        <v>View</v>
      </c>
      <c r="P7421" s="11"/>
    </row>
    <row r="7422" spans="1:16" ht="12.75" x14ac:dyDescent="0.35">
      <c r="A7422" s="7">
        <v>42484.873692129629</v>
      </c>
      <c r="B7422" s="8" t="str">
        <f>HYPERLINK("https://twitter.com/Shinra1st","@Shinra1st")</f>
        <v>@Shinra1st</v>
      </c>
      <c r="C7422" s="9" t="s">
        <v>16433</v>
      </c>
      <c r="D7422" s="9" t="s">
        <v>16399</v>
      </c>
      <c r="E7422" s="10" t="str">
        <f>HYPERLINK("https://twitter.com/Shinra1st/status/724258626714644481","724258626714644481")</f>
        <v>724258626714644481</v>
      </c>
      <c r="F7422" s="11" t="s">
        <v>48</v>
      </c>
      <c r="G7422" s="11">
        <v>1167</v>
      </c>
      <c r="H7422" s="11">
        <v>1205</v>
      </c>
      <c r="I7422" s="11">
        <v>2</v>
      </c>
      <c r="J7422" s="11">
        <v>0</v>
      </c>
      <c r="K7422" s="11" t="s">
        <v>21</v>
      </c>
      <c r="L7422" s="7">
        <v>40767.127141203702</v>
      </c>
      <c r="M7422" s="12" t="s">
        <v>14757</v>
      </c>
      <c r="N7422" s="12" t="s">
        <v>16434</v>
      </c>
      <c r="O7422" s="10" t="str">
        <f>HYPERLINK("https://pbs.twimg.com/profile_images/667364942685872128/mralhzrn_normal.jpg","View")</f>
        <v>View</v>
      </c>
      <c r="P7422" s="11"/>
    </row>
    <row r="7423" spans="1:16" ht="12.75" x14ac:dyDescent="0.35">
      <c r="A7423" s="7">
        <v>42484.874340277776</v>
      </c>
      <c r="B7423" s="8" t="str">
        <f>HYPERLINK("https://twitter.com/TattooHeroine","@TattooHeroine")</f>
        <v>@TattooHeroine</v>
      </c>
      <c r="C7423" s="9" t="s">
        <v>16435</v>
      </c>
      <c r="D7423" s="9" t="s">
        <v>16436</v>
      </c>
      <c r="E7423" s="10" t="str">
        <f>HYPERLINK("https://twitter.com/TattooHeroine/status/724258862547800064","724258862547800064")</f>
        <v>724258862547800064</v>
      </c>
      <c r="F7423" s="11" t="s">
        <v>114</v>
      </c>
      <c r="G7423" s="11">
        <v>323</v>
      </c>
      <c r="H7423" s="11">
        <v>94</v>
      </c>
      <c r="I7423" s="11">
        <v>0</v>
      </c>
      <c r="J7423" s="11">
        <v>0</v>
      </c>
      <c r="K7423" s="11" t="s">
        <v>21</v>
      </c>
      <c r="L7423" s="7">
        <v>40219.805115740739</v>
      </c>
      <c r="M7423" s="12" t="s">
        <v>16437</v>
      </c>
      <c r="N7423" s="12" t="s">
        <v>16438</v>
      </c>
      <c r="O7423" s="10" t="str">
        <f>HYPERLINK("https://pbs.twimg.com/profile_images/695193312362434560/dYJRPH8f_normal.jpg","View")</f>
        <v>View</v>
      </c>
      <c r="P7423" s="11"/>
    </row>
    <row r="7424" spans="1:16" ht="12.75" x14ac:dyDescent="0.35">
      <c r="A7424" s="7">
        <v>42484.874374999999</v>
      </c>
      <c r="B7424" s="8" t="str">
        <f>HYPERLINK("https://twitter.com/VWBeetleSales","@VWBeetleSales")</f>
        <v>@VWBeetleSales</v>
      </c>
      <c r="C7424" s="9" t="s">
        <v>127</v>
      </c>
      <c r="D7424" s="9" t="s">
        <v>16439</v>
      </c>
      <c r="E7424" s="10" t="str">
        <f>HYPERLINK("https://twitter.com/VWBeetleSales/status/724258875520606209","724258875520606209")</f>
        <v>724258875520606209</v>
      </c>
      <c r="F7424" s="10" t="s">
        <v>124</v>
      </c>
      <c r="G7424" s="11">
        <v>39</v>
      </c>
      <c r="H7424" s="11">
        <v>32</v>
      </c>
      <c r="I7424" s="11">
        <v>0</v>
      </c>
      <c r="J7424" s="11">
        <v>0</v>
      </c>
      <c r="K7424" s="11" t="s">
        <v>21</v>
      </c>
      <c r="L7424" s="7">
        <v>42427.019756944443</v>
      </c>
      <c r="M7424" s="12" t="s">
        <v>129</v>
      </c>
      <c r="N7424" s="12" t="s">
        <v>130</v>
      </c>
      <c r="O7424" s="10" t="str">
        <f>HYPERLINK("https://pbs.twimg.com/profile_images/703294545195307008/qeCvrX86_normal.jpg","View")</f>
        <v>View</v>
      </c>
      <c r="P7424" s="11"/>
    </row>
    <row r="7425" spans="1:16" ht="12.75" x14ac:dyDescent="0.35">
      <c r="A7425" s="7">
        <v>42484.874525462961</v>
      </c>
      <c r="B7425" s="8" t="str">
        <f>HYPERLINK("https://twitter.com/VeeDubMk1_","@VeeDubMk1_")</f>
        <v>@VeeDubMk1_</v>
      </c>
      <c r="C7425" s="9" t="s">
        <v>185</v>
      </c>
      <c r="D7425" s="9" t="s">
        <v>16440</v>
      </c>
      <c r="E7425" s="10" t="str">
        <f>HYPERLINK("https://twitter.com/VeeDubMk1_/status/724258930201907200","724258930201907200")</f>
        <v>724258930201907200</v>
      </c>
      <c r="F7425" s="11" t="s">
        <v>68</v>
      </c>
      <c r="G7425" s="11">
        <v>549</v>
      </c>
      <c r="H7425" s="11">
        <v>3528</v>
      </c>
      <c r="I7425" s="11">
        <v>0</v>
      </c>
      <c r="J7425" s="11">
        <v>0</v>
      </c>
      <c r="K7425" s="11" t="s">
        <v>21</v>
      </c>
      <c r="L7425" s="7">
        <v>42343.063356481478</v>
      </c>
      <c r="M7425" s="12"/>
      <c r="N7425" s="12"/>
      <c r="O7425" s="10" t="str">
        <f>HYPERLINK("https://pbs.twimg.com/profile_images/672878354127839232/M7OYc-zx_normal.jpg","View")</f>
        <v>View</v>
      </c>
      <c r="P7425" s="11"/>
    </row>
    <row r="7426" spans="1:16" ht="12.75" x14ac:dyDescent="0.35">
      <c r="A7426" s="7">
        <v>42484.875092592592</v>
      </c>
      <c r="B7426" s="8" t="str">
        <f>HYPERLINK("https://twitter.com/VWCamperSales","@VWCamperSales")</f>
        <v>@VWCamperSales</v>
      </c>
      <c r="C7426" s="9" t="s">
        <v>216</v>
      </c>
      <c r="D7426" s="9" t="s">
        <v>16441</v>
      </c>
      <c r="E7426" s="10" t="str">
        <f>HYPERLINK("https://twitter.com/VWCamperSales/status/724259136909664256","724259136909664256")</f>
        <v>724259136909664256</v>
      </c>
      <c r="F7426" s="10" t="s">
        <v>124</v>
      </c>
      <c r="G7426" s="11">
        <v>624</v>
      </c>
      <c r="H7426" s="11">
        <v>580</v>
      </c>
      <c r="I7426" s="11">
        <v>0</v>
      </c>
      <c r="J7426" s="11">
        <v>0</v>
      </c>
      <c r="K7426" s="11" t="s">
        <v>21</v>
      </c>
      <c r="L7426" s="7">
        <v>42215.98809027778</v>
      </c>
      <c r="M7426" s="12" t="s">
        <v>129</v>
      </c>
      <c r="N7426" s="12" t="s">
        <v>218</v>
      </c>
      <c r="O7426" s="10" t="str">
        <f>HYPERLINK("https://pbs.twimg.com/profile_images/627949001179037696/skEBkS05_normal.jpg","View")</f>
        <v>View</v>
      </c>
      <c r="P7426" s="11"/>
    </row>
    <row r="7427" spans="1:16" ht="12.75" x14ac:dyDescent="0.35">
      <c r="A7427" s="7">
        <v>42484.876319444447</v>
      </c>
      <c r="B7427" s="8" t="str">
        <f>HYPERLINK("https://twitter.com/jaysmitty17","@jaysmitty17")</f>
        <v>@jaysmitty17</v>
      </c>
      <c r="C7427" s="9" t="s">
        <v>16442</v>
      </c>
      <c r="D7427" s="9" t="s">
        <v>16443</v>
      </c>
      <c r="E7427" s="10" t="str">
        <f>HYPERLINK("https://twitter.com/jaysmitty17/status/724259579891077121","724259579891077121")</f>
        <v>724259579891077121</v>
      </c>
      <c r="F7427" s="11" t="s">
        <v>114</v>
      </c>
      <c r="G7427" s="11">
        <v>109</v>
      </c>
      <c r="H7427" s="11">
        <v>255</v>
      </c>
      <c r="I7427" s="11">
        <v>0</v>
      </c>
      <c r="J7427" s="11">
        <v>0</v>
      </c>
      <c r="K7427" s="11" t="s">
        <v>21</v>
      </c>
      <c r="L7427" s="7">
        <v>41802.38726851852</v>
      </c>
      <c r="M7427" s="12"/>
      <c r="N7427" s="12" t="s">
        <v>16444</v>
      </c>
      <c r="O7427" s="10" t="str">
        <f>HYPERLINK("https://pbs.twimg.com/profile_images/699154032271749120/uW3i74ul_normal.jpg","View")</f>
        <v>View</v>
      </c>
      <c r="P7427" s="11"/>
    </row>
    <row r="7428" spans="1:16" ht="12.75" x14ac:dyDescent="0.35">
      <c r="A7428" s="7">
        <v>42484.876620370371</v>
      </c>
      <c r="B7428" s="8" t="str">
        <f>HYPERLINK("https://twitter.com/InstaTaganrog","@InstaTaganrog")</f>
        <v>@InstaTaganrog</v>
      </c>
      <c r="C7428" s="9" t="s">
        <v>16445</v>
      </c>
      <c r="D7428" s="9" t="s">
        <v>16446</v>
      </c>
      <c r="E7428" s="10" t="str">
        <f>HYPERLINK("https://twitter.com/InstaTaganrog/status/724259689488330752","724259689488330752")</f>
        <v>724259689488330752</v>
      </c>
      <c r="F7428" s="11" t="s">
        <v>68</v>
      </c>
      <c r="G7428" s="11">
        <v>963</v>
      </c>
      <c r="H7428" s="11">
        <v>312</v>
      </c>
      <c r="I7428" s="11">
        <v>0</v>
      </c>
      <c r="J7428" s="11">
        <v>0</v>
      </c>
      <c r="K7428" s="11" t="s">
        <v>21</v>
      </c>
      <c r="L7428" s="7">
        <v>41693.575162037036</v>
      </c>
      <c r="M7428" s="12" t="s">
        <v>16447</v>
      </c>
      <c r="N7428" s="12" t="s">
        <v>16448</v>
      </c>
      <c r="O7428" s="10" t="str">
        <f>HYPERLINK("https://pbs.twimg.com/profile_images/437502252345872384/-ArFfvcS_normal.png","View")</f>
        <v>View</v>
      </c>
      <c r="P7428" s="11"/>
    </row>
    <row r="7429" spans="1:16" ht="12.75" x14ac:dyDescent="0.35">
      <c r="A7429" s="7">
        <v>42484.877962962964</v>
      </c>
      <c r="B7429" s="8" t="str">
        <f>HYPERLINK("https://twitter.com/MorSvinka_83","@MorSvinka_83")</f>
        <v>@MorSvinka_83</v>
      </c>
      <c r="C7429" s="9" t="s">
        <v>9071</v>
      </c>
      <c r="D7429" s="9" t="s">
        <v>16449</v>
      </c>
      <c r="E7429" s="10" t="str">
        <f>HYPERLINK("https://twitter.com/MorSvinka_83/status/724260175205507073","724260175205507073")</f>
        <v>724260175205507073</v>
      </c>
      <c r="F7429" s="11" t="s">
        <v>63</v>
      </c>
      <c r="G7429" s="11">
        <v>81</v>
      </c>
      <c r="H7429" s="11">
        <v>127</v>
      </c>
      <c r="I7429" s="11">
        <v>0</v>
      </c>
      <c r="J7429" s="11">
        <v>0</v>
      </c>
      <c r="K7429" s="11" t="s">
        <v>21</v>
      </c>
      <c r="L7429" s="7">
        <v>40900.763842592591</v>
      </c>
      <c r="M7429" s="12" t="s">
        <v>9073</v>
      </c>
      <c r="N7429" s="12"/>
      <c r="O7429" s="10" t="str">
        <f>HYPERLINK("https://pbs.twimg.com/profile_images/2208847688/Untitled-2_normal.jpg","View")</f>
        <v>View</v>
      </c>
      <c r="P7429" s="11"/>
    </row>
    <row r="7430" spans="1:16" ht="12.75" x14ac:dyDescent="0.35">
      <c r="A7430" s="7">
        <v>42484.879236111112</v>
      </c>
      <c r="B7430" s="8" t="str">
        <f>HYPERLINK("https://twitter.com/VWCamperSales","@VWCamperSales")</f>
        <v>@VWCamperSales</v>
      </c>
      <c r="C7430" s="9" t="s">
        <v>216</v>
      </c>
      <c r="D7430" s="9" t="s">
        <v>16450</v>
      </c>
      <c r="E7430" s="10" t="str">
        <f>HYPERLINK("https://twitter.com/VWCamperSales/status/724260634762731524","724260634762731524")</f>
        <v>724260634762731524</v>
      </c>
      <c r="F7430" s="10" t="s">
        <v>124</v>
      </c>
      <c r="G7430" s="11">
        <v>624</v>
      </c>
      <c r="H7430" s="11">
        <v>580</v>
      </c>
      <c r="I7430" s="11">
        <v>0</v>
      </c>
      <c r="J7430" s="11">
        <v>0</v>
      </c>
      <c r="K7430" s="11" t="s">
        <v>21</v>
      </c>
      <c r="L7430" s="7">
        <v>42215.98809027778</v>
      </c>
      <c r="M7430" s="12" t="s">
        <v>129</v>
      </c>
      <c r="N7430" s="12" t="s">
        <v>218</v>
      </c>
      <c r="O7430" s="10" t="str">
        <f>HYPERLINK("https://pbs.twimg.com/profile_images/627949001179037696/skEBkS05_normal.jpg","View")</f>
        <v>View</v>
      </c>
      <c r="P7430" s="11"/>
    </row>
    <row r="7431" spans="1:16" ht="12.75" x14ac:dyDescent="0.35">
      <c r="A7431" s="7">
        <v>42484.879247685181</v>
      </c>
      <c r="B7431" s="8" t="str">
        <f t="shared" ref="B7431:B7432" si="727">HYPERLINK("https://twitter.com/VWBeetleSales","@VWBeetleSales")</f>
        <v>@VWBeetleSales</v>
      </c>
      <c r="C7431" s="9" t="s">
        <v>127</v>
      </c>
      <c r="D7431" s="9" t="s">
        <v>16451</v>
      </c>
      <c r="E7431" s="10" t="str">
        <f>HYPERLINK("https://twitter.com/VWBeetleSales/status/724260639821041664","724260639821041664")</f>
        <v>724260639821041664</v>
      </c>
      <c r="F7431" s="10" t="s">
        <v>124</v>
      </c>
      <c r="G7431" s="11">
        <v>39</v>
      </c>
      <c r="H7431" s="11">
        <v>32</v>
      </c>
      <c r="I7431" s="11">
        <v>0</v>
      </c>
      <c r="J7431" s="11">
        <v>0</v>
      </c>
      <c r="K7431" s="11" t="s">
        <v>21</v>
      </c>
      <c r="L7431" s="7">
        <v>42427.019756944443</v>
      </c>
      <c r="M7431" s="12" t="s">
        <v>129</v>
      </c>
      <c r="N7431" s="12" t="s">
        <v>130</v>
      </c>
      <c r="O7431" s="10" t="str">
        <f t="shared" ref="O7431:O7432" si="728">HYPERLINK("https://pbs.twimg.com/profile_images/703294545195307008/qeCvrX86_normal.jpg","View")</f>
        <v>View</v>
      </c>
      <c r="P7431" s="11"/>
    </row>
    <row r="7432" spans="1:16" ht="12.75" x14ac:dyDescent="0.35">
      <c r="A7432" s="7">
        <v>42484.879259259258</v>
      </c>
      <c r="B7432" s="8" t="str">
        <f t="shared" si="727"/>
        <v>@VWBeetleSales</v>
      </c>
      <c r="C7432" s="9" t="s">
        <v>127</v>
      </c>
      <c r="D7432" s="9" t="s">
        <v>16452</v>
      </c>
      <c r="E7432" s="10" t="str">
        <f>HYPERLINK("https://twitter.com/VWBeetleSales/status/724260644837453825","724260644837453825")</f>
        <v>724260644837453825</v>
      </c>
      <c r="F7432" s="10" t="s">
        <v>124</v>
      </c>
      <c r="G7432" s="11">
        <v>39</v>
      </c>
      <c r="H7432" s="11">
        <v>32</v>
      </c>
      <c r="I7432" s="11">
        <v>0</v>
      </c>
      <c r="J7432" s="11">
        <v>0</v>
      </c>
      <c r="K7432" s="11" t="s">
        <v>21</v>
      </c>
      <c r="L7432" s="7">
        <v>42427.019756944443</v>
      </c>
      <c r="M7432" s="12" t="s">
        <v>129</v>
      </c>
      <c r="N7432" s="12" t="s">
        <v>130</v>
      </c>
      <c r="O7432" s="10" t="str">
        <f t="shared" si="728"/>
        <v>View</v>
      </c>
      <c r="P7432" s="11"/>
    </row>
    <row r="7433" spans="1:16" ht="12.75" x14ac:dyDescent="0.35">
      <c r="A7433" s="7">
        <v>42484.881597222222</v>
      </c>
      <c r="B7433" s="8" t="str">
        <f>HYPERLINK("https://twitter.com/skodaportal","@skodaportal")</f>
        <v>@skodaportal</v>
      </c>
      <c r="C7433" s="9" t="s">
        <v>16453</v>
      </c>
      <c r="D7433" s="9" t="s">
        <v>16454</v>
      </c>
      <c r="E7433" s="10" t="str">
        <f>HYPERLINK("https://twitter.com/skodaportal/status/724261493919899648","724261493919899648")</f>
        <v>724261493919899648</v>
      </c>
      <c r="F7433" s="11" t="s">
        <v>160</v>
      </c>
      <c r="G7433" s="11">
        <v>551</v>
      </c>
      <c r="H7433" s="11">
        <v>92</v>
      </c>
      <c r="I7433" s="11">
        <v>1</v>
      </c>
      <c r="J7433" s="11">
        <v>0</v>
      </c>
      <c r="K7433" s="11" t="s">
        <v>21</v>
      </c>
      <c r="L7433" s="7">
        <v>40174.942974537036</v>
      </c>
      <c r="M7433" s="12" t="s">
        <v>16455</v>
      </c>
      <c r="N7433" s="12" t="s">
        <v>16456</v>
      </c>
      <c r="O7433" s="10" t="str">
        <f>HYPERLINK("https://pbs.twimg.com/profile_images/647121901115047937/0qUdbU3T_normal.jpg","View")</f>
        <v>View</v>
      </c>
      <c r="P7433" s="11"/>
    </row>
    <row r="7434" spans="1:16" ht="12.75" x14ac:dyDescent="0.35">
      <c r="A7434" s="7">
        <v>42484.882893518516</v>
      </c>
      <c r="B7434" s="8" t="str">
        <f>HYPERLINK("https://twitter.com/dantefactor","@dantefactor")</f>
        <v>@dantefactor</v>
      </c>
      <c r="C7434" s="9" t="s">
        <v>16457</v>
      </c>
      <c r="D7434" s="9" t="s">
        <v>16458</v>
      </c>
      <c r="E7434" s="10" t="str">
        <f>HYPERLINK("https://twitter.com/dantefactor/status/724261961039515648","724261961039515648")</f>
        <v>724261961039515648</v>
      </c>
      <c r="F7434" s="11" t="s">
        <v>119</v>
      </c>
      <c r="G7434" s="11">
        <v>2059</v>
      </c>
      <c r="H7434" s="11">
        <v>1867</v>
      </c>
      <c r="I7434" s="11">
        <v>0</v>
      </c>
      <c r="J7434" s="11">
        <v>0</v>
      </c>
      <c r="K7434" s="11" t="s">
        <v>21</v>
      </c>
      <c r="L7434" s="7">
        <v>40238.08520833333</v>
      </c>
      <c r="M7434" s="12" t="s">
        <v>16459</v>
      </c>
      <c r="N7434" s="12" t="s">
        <v>16460</v>
      </c>
      <c r="O7434" s="10" t="str">
        <f>HYPERLINK("https://pbs.twimg.com/profile_images/681235768312991744/ETCplp9D_normal.jpg","View")</f>
        <v>View</v>
      </c>
      <c r="P7434" s="11"/>
    </row>
    <row r="7435" spans="1:16" ht="12.75" x14ac:dyDescent="0.35">
      <c r="A7435" s="7">
        <v>42484.883009259254</v>
      </c>
      <c r="B7435" s="8" t="str">
        <f>HYPERLINK("https://twitter.com/SocialAutos","@SocialAutos")</f>
        <v>@SocialAutos</v>
      </c>
      <c r="C7435" s="9" t="s">
        <v>3504</v>
      </c>
      <c r="D7435" s="9" t="s">
        <v>16461</v>
      </c>
      <c r="E7435" s="10" t="str">
        <f>HYPERLINK("https://twitter.com/SocialAutos/status/724262002521153536","724262002521153536")</f>
        <v>724262002521153536</v>
      </c>
      <c r="F7435" s="10" t="s">
        <v>3506</v>
      </c>
      <c r="G7435" s="11">
        <v>75</v>
      </c>
      <c r="H7435" s="11">
        <v>72</v>
      </c>
      <c r="I7435" s="11">
        <v>1</v>
      </c>
      <c r="J7435" s="11">
        <v>0</v>
      </c>
      <c r="K7435" s="11" t="s">
        <v>21</v>
      </c>
      <c r="L7435" s="7">
        <v>41613.191724537035</v>
      </c>
      <c r="M7435" s="12" t="s">
        <v>3507</v>
      </c>
      <c r="N7435" s="12" t="s">
        <v>3508</v>
      </c>
      <c r="O7435" s="10" t="str">
        <f>HYPERLINK("https://pbs.twimg.com/profile_images/378800000830360955/5fb295e74c438beb9dd7777a56295953_normal.jpeg","View")</f>
        <v>View</v>
      </c>
      <c r="P7435" s="11"/>
    </row>
    <row r="7436" spans="1:16" ht="12.75" x14ac:dyDescent="0.35">
      <c r="A7436" s="7">
        <v>42484.883252314816</v>
      </c>
      <c r="B7436" s="8" t="str">
        <f>HYPERLINK("https://twitter.com/SocialNewsCorp","@SocialNewsCorp")</f>
        <v>@SocialNewsCorp</v>
      </c>
      <c r="C7436" s="9" t="s">
        <v>16462</v>
      </c>
      <c r="D7436" s="9" t="s">
        <v>16463</v>
      </c>
      <c r="E7436" s="10" t="str">
        <f>HYPERLINK("https://twitter.com/SocialNewsCorp/status/724262091431923712","724262091431923712")</f>
        <v>724262091431923712</v>
      </c>
      <c r="F7436" s="11" t="s">
        <v>20</v>
      </c>
      <c r="G7436" s="11">
        <v>20854</v>
      </c>
      <c r="H7436" s="11">
        <v>21067</v>
      </c>
      <c r="I7436" s="11">
        <v>1</v>
      </c>
      <c r="J7436" s="11">
        <v>0</v>
      </c>
      <c r="K7436" s="11" t="s">
        <v>21</v>
      </c>
      <c r="L7436" s="7">
        <v>40186.975578703699</v>
      </c>
      <c r="M7436" s="12" t="s">
        <v>16464</v>
      </c>
      <c r="N7436" s="12" t="s">
        <v>16465</v>
      </c>
      <c r="O7436" s="10" t="str">
        <f>HYPERLINK("https://pbs.twimg.com/profile_images/550590325530439680/nRnvKc45_normal.jpeg","View")</f>
        <v>View</v>
      </c>
      <c r="P7436" s="11"/>
    </row>
    <row r="7437" spans="1:16" ht="12.75" x14ac:dyDescent="0.35">
      <c r="A7437" s="7">
        <v>42484.88554398148</v>
      </c>
      <c r="B7437" s="8" t="str">
        <f>HYPERLINK("https://twitter.com/arasmusKTVU","@arasmusKTVU")</f>
        <v>@arasmusKTVU</v>
      </c>
      <c r="C7437" s="9" t="s">
        <v>16466</v>
      </c>
      <c r="D7437" s="9" t="s">
        <v>16467</v>
      </c>
      <c r="E7437" s="10" t="str">
        <f>HYPERLINK("https://twitter.com/arasmusKTVU/status/724262922411593728","724262922411593728")</f>
        <v>724262922411593728</v>
      </c>
      <c r="F7437" s="11" t="s">
        <v>20</v>
      </c>
      <c r="G7437" s="11">
        <v>3939</v>
      </c>
      <c r="H7437" s="11">
        <v>875</v>
      </c>
      <c r="I7437" s="11">
        <v>0</v>
      </c>
      <c r="J7437" s="11">
        <v>1</v>
      </c>
      <c r="K7437" s="11" t="s">
        <v>21</v>
      </c>
      <c r="L7437" s="7">
        <v>41279.205706018518</v>
      </c>
      <c r="M7437" s="12" t="s">
        <v>3801</v>
      </c>
      <c r="N7437" s="12" t="s">
        <v>16468</v>
      </c>
      <c r="O7437" s="10" t="str">
        <f>HYPERLINK("https://pbs.twimg.com/profile_images/630760607495491584/aI1UDD2r_normal.jpg","View")</f>
        <v>View</v>
      </c>
      <c r="P7437" s="11"/>
    </row>
    <row r="7438" spans="1:16" ht="12.75" x14ac:dyDescent="0.35">
      <c r="A7438" s="7">
        <v>42484.886030092588</v>
      </c>
      <c r="B7438" s="8" t="str">
        <f>HYPERLINK("https://twitter.com/alves28000","@alves28000")</f>
        <v>@alves28000</v>
      </c>
      <c r="C7438" s="9" t="s">
        <v>16469</v>
      </c>
      <c r="D7438" s="9" t="s">
        <v>14518</v>
      </c>
      <c r="E7438" s="10" t="str">
        <f>HYPERLINK("https://twitter.com/alves28000/status/724263096701837312","724263096701837312")</f>
        <v>724263096701837312</v>
      </c>
      <c r="F7438" s="11" t="s">
        <v>20</v>
      </c>
      <c r="G7438" s="11">
        <v>26</v>
      </c>
      <c r="H7438" s="11">
        <v>162</v>
      </c>
      <c r="I7438" s="11">
        <v>72</v>
      </c>
      <c r="J7438" s="11">
        <v>0</v>
      </c>
      <c r="K7438" s="11" t="s">
        <v>21</v>
      </c>
      <c r="L7438" s="7">
        <v>42449.221226851849</v>
      </c>
      <c r="M7438" s="12" t="s">
        <v>16470</v>
      </c>
      <c r="N7438" s="12"/>
      <c r="O7438" s="10" t="str">
        <f>HYPERLINK("https://pbs.twimg.com/profile_images/711340116552368128/bG7us_KA_normal.jpg","View")</f>
        <v>View</v>
      </c>
      <c r="P7438" s="11"/>
    </row>
    <row r="7439" spans="1:16" ht="12.75" x14ac:dyDescent="0.35">
      <c r="A7439" s="7">
        <v>42484.886956018519</v>
      </c>
      <c r="B7439" s="8" t="str">
        <f>HYPERLINK("https://twitter.com/funkia35","@funkia35")</f>
        <v>@funkia35</v>
      </c>
      <c r="C7439" s="9" t="s">
        <v>16471</v>
      </c>
      <c r="D7439" s="9" t="s">
        <v>16399</v>
      </c>
      <c r="E7439" s="10" t="str">
        <f>HYPERLINK("https://twitter.com/funkia35/status/724263434003570690","724263434003570690")</f>
        <v>724263434003570690</v>
      </c>
      <c r="F7439" s="11" t="s">
        <v>20</v>
      </c>
      <c r="G7439" s="11">
        <v>32</v>
      </c>
      <c r="H7439" s="11">
        <v>148</v>
      </c>
      <c r="I7439" s="11">
        <v>3</v>
      </c>
      <c r="J7439" s="11">
        <v>0</v>
      </c>
      <c r="K7439" s="11" t="s">
        <v>21</v>
      </c>
      <c r="L7439" s="7">
        <v>42382.973657407405</v>
      </c>
      <c r="M7439" s="12" t="s">
        <v>14757</v>
      </c>
      <c r="N7439" s="12"/>
      <c r="O7439" s="10" t="str">
        <f>HYPERLINK("https://pbs.twimg.com/profile_images/723983143783555072/DmILdSd6_normal.jpg","View")</f>
        <v>View</v>
      </c>
      <c r="P7439" s="11"/>
    </row>
    <row r="7440" spans="1:16" ht="12.75" x14ac:dyDescent="0.35">
      <c r="A7440" s="7">
        <v>42484.888437500005</v>
      </c>
      <c r="B7440" s="8" t="str">
        <f>HYPERLINK("https://twitter.com/ebaycampervans","@ebaycampervans")</f>
        <v>@ebaycampervans</v>
      </c>
      <c r="C7440" s="9" t="s">
        <v>682</v>
      </c>
      <c r="D7440" s="9" t="s">
        <v>16472</v>
      </c>
      <c r="E7440" s="10" t="str">
        <f>HYPERLINK("https://twitter.com/ebaycampervans/status/724263969158897666","724263969158897666")</f>
        <v>724263969158897666</v>
      </c>
      <c r="F7440" s="11" t="s">
        <v>34</v>
      </c>
      <c r="G7440" s="11">
        <v>382</v>
      </c>
      <c r="H7440" s="11">
        <v>1002</v>
      </c>
      <c r="I7440" s="11">
        <v>0</v>
      </c>
      <c r="J7440" s="11">
        <v>0</v>
      </c>
      <c r="K7440" s="11" t="s">
        <v>21</v>
      </c>
      <c r="L7440" s="7">
        <v>42140.207604166666</v>
      </c>
      <c r="M7440" s="12"/>
      <c r="N7440" s="12" t="s">
        <v>684</v>
      </c>
      <c r="O7440" s="10" t="str">
        <f>HYPERLINK("https://pbs.twimg.com/profile_images/599357023407464449/BL9Bpo6T_normal.jpg","View")</f>
        <v>View</v>
      </c>
      <c r="P7440" s="11"/>
    </row>
    <row r="7441" spans="1:16" ht="12.75" x14ac:dyDescent="0.35">
      <c r="A7441" s="7">
        <v>42484.888819444444</v>
      </c>
      <c r="B7441" s="8" t="str">
        <f>HYPERLINK("https://twitter.com/GrandeCaio","@GrandeCaio")</f>
        <v>@GrandeCaio</v>
      </c>
      <c r="C7441" s="9" t="s">
        <v>16473</v>
      </c>
      <c r="D7441" s="9" t="s">
        <v>16474</v>
      </c>
      <c r="E7441" s="10" t="str">
        <f>HYPERLINK("https://twitter.com/GrandeCaio/status/724264109827563521","724264109827563521")</f>
        <v>724264109827563521</v>
      </c>
      <c r="F7441" s="11" t="s">
        <v>114</v>
      </c>
      <c r="G7441" s="11">
        <v>302</v>
      </c>
      <c r="H7441" s="11">
        <v>263</v>
      </c>
      <c r="I7441" s="11">
        <v>1</v>
      </c>
      <c r="J7441" s="11">
        <v>0</v>
      </c>
      <c r="K7441" s="11" t="s">
        <v>21</v>
      </c>
      <c r="L7441" s="7">
        <v>40005.917326388888</v>
      </c>
      <c r="M7441" s="12"/>
      <c r="N7441" s="12" t="s">
        <v>16475</v>
      </c>
      <c r="O7441" s="10" t="str">
        <f>HYPERLINK("https://pbs.twimg.com/profile_images/378800000679711368/01f722f2d137a9dbc403e775c39d5cb3_normal.jpeg","View")</f>
        <v>View</v>
      </c>
      <c r="P7441" s="11"/>
    </row>
    <row r="7442" spans="1:16" ht="12.75" x14ac:dyDescent="0.35">
      <c r="A7442" s="7">
        <v>42484.889016203699</v>
      </c>
      <c r="B7442" s="8" t="str">
        <f>HYPERLINK("https://twitter.com/TracingKaro","@TracingKaro")</f>
        <v>@TracingKaro</v>
      </c>
      <c r="C7442" s="9" t="s">
        <v>16476</v>
      </c>
      <c r="D7442" s="9" t="s">
        <v>16477</v>
      </c>
      <c r="E7442" s="10" t="str">
        <f>HYPERLINK("https://twitter.com/TracingKaro/status/724264180870725633","724264180870725633")</f>
        <v>724264180870725633</v>
      </c>
      <c r="F7442" s="11" t="s">
        <v>68</v>
      </c>
      <c r="G7442" s="11">
        <v>27</v>
      </c>
      <c r="H7442" s="11">
        <v>25</v>
      </c>
      <c r="I7442" s="11">
        <v>0</v>
      </c>
      <c r="J7442" s="11">
        <v>0</v>
      </c>
      <c r="K7442" s="11" t="s">
        <v>21</v>
      </c>
      <c r="L7442" s="7">
        <v>42331.139953703707</v>
      </c>
      <c r="M7442" s="12"/>
      <c r="N7442" s="12" t="s">
        <v>16478</v>
      </c>
      <c r="O7442" s="10" t="str">
        <f>HYPERLINK("https://pbs.twimg.com/profile_images/668555991357747201/lXj39M9o_normal.jpg","View")</f>
        <v>View</v>
      </c>
      <c r="P7442" s="11"/>
    </row>
    <row r="7443" spans="1:16" ht="12.75" x14ac:dyDescent="0.35">
      <c r="A7443" s="7">
        <v>42484.889444444445</v>
      </c>
      <c r="B7443" s="8" t="str">
        <f t="shared" ref="B7443:B7445" si="729">HYPERLINK("https://twitter.com/BEVENUTO","@BEVENUTO")</f>
        <v>@BEVENUTO</v>
      </c>
      <c r="C7443" s="9" t="s">
        <v>14381</v>
      </c>
      <c r="D7443" s="9" t="s">
        <v>16479</v>
      </c>
      <c r="E7443" s="10" t="str">
        <f>HYPERLINK("https://twitter.com/BEVENUTO/status/724264337712537601","724264337712537601")</f>
        <v>724264337712537601</v>
      </c>
      <c r="F7443" s="11" t="s">
        <v>114</v>
      </c>
      <c r="G7443" s="11">
        <v>830</v>
      </c>
      <c r="H7443" s="11">
        <v>2001</v>
      </c>
      <c r="I7443" s="11">
        <v>0</v>
      </c>
      <c r="J7443" s="11">
        <v>0</v>
      </c>
      <c r="K7443" s="11" t="s">
        <v>21</v>
      </c>
      <c r="L7443" s="7">
        <v>40038.810277777782</v>
      </c>
      <c r="M7443" s="12" t="s">
        <v>14383</v>
      </c>
      <c r="N7443" s="12"/>
      <c r="O7443" s="10" t="str">
        <f t="shared" ref="O7443:O7445" si="730">HYPERLINK("https://pbs.twimg.com/profile_images/1372304064/DSC04986_normal.JPG","View")</f>
        <v>View</v>
      </c>
      <c r="P7443" s="11"/>
    </row>
    <row r="7444" spans="1:16" ht="12.75" x14ac:dyDescent="0.35">
      <c r="A7444" s="7">
        <v>42484.88957175926</v>
      </c>
      <c r="B7444" s="8" t="str">
        <f t="shared" si="729"/>
        <v>@BEVENUTO</v>
      </c>
      <c r="C7444" s="9" t="s">
        <v>14381</v>
      </c>
      <c r="D7444" s="9" t="s">
        <v>16480</v>
      </c>
      <c r="E7444" s="10" t="str">
        <f>HYPERLINK("https://twitter.com/BEVENUTO/status/724264380775444480","724264380775444480")</f>
        <v>724264380775444480</v>
      </c>
      <c r="F7444" s="11" t="s">
        <v>114</v>
      </c>
      <c r="G7444" s="11">
        <v>830</v>
      </c>
      <c r="H7444" s="11">
        <v>2001</v>
      </c>
      <c r="I7444" s="11">
        <v>0</v>
      </c>
      <c r="J7444" s="11">
        <v>0</v>
      </c>
      <c r="K7444" s="11" t="s">
        <v>21</v>
      </c>
      <c r="L7444" s="7">
        <v>40038.810277777782</v>
      </c>
      <c r="M7444" s="12" t="s">
        <v>14383</v>
      </c>
      <c r="N7444" s="12"/>
      <c r="O7444" s="10" t="str">
        <f t="shared" si="730"/>
        <v>View</v>
      </c>
      <c r="P7444" s="11"/>
    </row>
    <row r="7445" spans="1:16" ht="12.75" x14ac:dyDescent="0.35">
      <c r="A7445" s="7">
        <v>42484.889756944445</v>
      </c>
      <c r="B7445" s="8" t="str">
        <f t="shared" si="729"/>
        <v>@BEVENUTO</v>
      </c>
      <c r="C7445" s="9" t="s">
        <v>14381</v>
      </c>
      <c r="D7445" s="9" t="s">
        <v>16481</v>
      </c>
      <c r="E7445" s="10" t="str">
        <f>HYPERLINK("https://twitter.com/BEVENUTO/status/724264447133532160","724264447133532160")</f>
        <v>724264447133532160</v>
      </c>
      <c r="F7445" s="11" t="s">
        <v>114</v>
      </c>
      <c r="G7445" s="11">
        <v>830</v>
      </c>
      <c r="H7445" s="11">
        <v>2001</v>
      </c>
      <c r="I7445" s="11">
        <v>0</v>
      </c>
      <c r="J7445" s="11">
        <v>0</v>
      </c>
      <c r="K7445" s="11" t="s">
        <v>21</v>
      </c>
      <c r="L7445" s="7">
        <v>40038.810277777782</v>
      </c>
      <c r="M7445" s="12" t="s">
        <v>14383</v>
      </c>
      <c r="N7445" s="12"/>
      <c r="O7445" s="10" t="str">
        <f t="shared" si="730"/>
        <v>View</v>
      </c>
      <c r="P7445" s="11"/>
    </row>
    <row r="7446" spans="1:16" ht="12.75" x14ac:dyDescent="0.35">
      <c r="A7446" s="7">
        <v>42484.890289351853</v>
      </c>
      <c r="B7446" s="8" t="str">
        <f>HYPERLINK("https://twitter.com/masayukiokita","@masayukiokita")</f>
        <v>@masayukiokita</v>
      </c>
      <c r="C7446" s="9" t="s">
        <v>16482</v>
      </c>
      <c r="D7446" s="9" t="s">
        <v>16483</v>
      </c>
      <c r="E7446" s="10" t="str">
        <f>HYPERLINK("https://twitter.com/masayukiokita/status/724264642730708992","724264642730708992")</f>
        <v>724264642730708992</v>
      </c>
      <c r="F7446" s="11" t="s">
        <v>114</v>
      </c>
      <c r="G7446" s="11">
        <v>135</v>
      </c>
      <c r="H7446" s="11">
        <v>281</v>
      </c>
      <c r="I7446" s="11">
        <v>0</v>
      </c>
      <c r="J7446" s="11">
        <v>0</v>
      </c>
      <c r="K7446" s="11" t="s">
        <v>21</v>
      </c>
      <c r="L7446" s="7">
        <v>42101.305289351847</v>
      </c>
      <c r="M7446" s="12"/>
      <c r="N7446" s="12" t="s">
        <v>16484</v>
      </c>
      <c r="O7446" s="10" t="str">
        <f>HYPERLINK("https://pbs.twimg.com/profile_images/706919896832204800/XldtjPLx_normal.jpg","View")</f>
        <v>View</v>
      </c>
      <c r="P7446" s="11"/>
    </row>
    <row r="7447" spans="1:16" ht="12.75" x14ac:dyDescent="0.35">
      <c r="A7447" s="7">
        <v>42484.890300925923</v>
      </c>
      <c r="B7447" s="8" t="str">
        <f>HYPERLINK("https://twitter.com/snoopedselby","@snoopedselby")</f>
        <v>@snoopedselby</v>
      </c>
      <c r="C7447" s="9" t="s">
        <v>16485</v>
      </c>
      <c r="D7447" s="9" t="s">
        <v>16486</v>
      </c>
      <c r="E7447" s="10" t="str">
        <f>HYPERLINK("https://twitter.com/snoopedselby/status/724264647055020033","724264647055020033")</f>
        <v>724264647055020033</v>
      </c>
      <c r="F7447" s="11" t="s">
        <v>20</v>
      </c>
      <c r="G7447" s="11">
        <v>605</v>
      </c>
      <c r="H7447" s="11">
        <v>380</v>
      </c>
      <c r="I7447" s="11">
        <v>1</v>
      </c>
      <c r="J7447" s="11">
        <v>1</v>
      </c>
      <c r="K7447" s="11" t="s">
        <v>21</v>
      </c>
      <c r="L7447" s="7">
        <v>39975.002245370371</v>
      </c>
      <c r="M7447" s="12" t="s">
        <v>16487</v>
      </c>
      <c r="N7447" s="12" t="s">
        <v>16488</v>
      </c>
      <c r="O7447" s="10" t="str">
        <f>HYPERLINK("https://pbs.twimg.com/profile_images/563739481019523072/H04-VqIx_normal.jpeg","View")</f>
        <v>View</v>
      </c>
      <c r="P7447" s="11"/>
    </row>
    <row r="7448" spans="1:16" ht="12.75" x14ac:dyDescent="0.35">
      <c r="A7448" s="7">
        <v>42484.8903587963</v>
      </c>
      <c r="B7448" s="8" t="str">
        <f>HYPERLINK("https://twitter.com/ToyneLee","@ToyneLee")</f>
        <v>@ToyneLee</v>
      </c>
      <c r="C7448" s="9" t="s">
        <v>16489</v>
      </c>
      <c r="D7448" s="9" t="s">
        <v>16490</v>
      </c>
      <c r="E7448" s="10" t="str">
        <f>HYPERLINK("https://twitter.com/ToyneLee/status/724264665757409281","724264665757409281")</f>
        <v>724264665757409281</v>
      </c>
      <c r="F7448" s="11" t="s">
        <v>48</v>
      </c>
      <c r="G7448" s="11">
        <v>79</v>
      </c>
      <c r="H7448" s="11">
        <v>427</v>
      </c>
      <c r="I7448" s="11">
        <v>1</v>
      </c>
      <c r="J7448" s="11">
        <v>0</v>
      </c>
      <c r="K7448" s="11" t="s">
        <v>21</v>
      </c>
      <c r="L7448" s="7">
        <v>41740.60050925926</v>
      </c>
      <c r="M7448" s="12" t="s">
        <v>5073</v>
      </c>
      <c r="N7448" s="12"/>
      <c r="O7448" s="10" t="str">
        <f>HYPERLINK("https://pbs.twimg.com/profile_images/454543285798047744/98uU9pnt_normal.jpeg","View")</f>
        <v>View</v>
      </c>
      <c r="P7448" s="11"/>
    </row>
    <row r="7449" spans="1:16" ht="12.75" x14ac:dyDescent="0.35">
      <c r="A7449" s="7">
        <v>42484.891539351855</v>
      </c>
      <c r="B7449" s="8" t="str">
        <f>HYPERLINK("https://twitter.com/CheeperSteeper","@CheeperSteeper")</f>
        <v>@CheeperSteeper</v>
      </c>
      <c r="C7449" s="9" t="s">
        <v>16491</v>
      </c>
      <c r="D7449" s="9" t="s">
        <v>16492</v>
      </c>
      <c r="E7449" s="10" t="str">
        <f>HYPERLINK("https://twitter.com/CheeperSteeper/status/724265096810213376","724265096810213376")</f>
        <v>724265096810213376</v>
      </c>
      <c r="F7449" s="11" t="s">
        <v>16493</v>
      </c>
      <c r="G7449" s="11">
        <v>3474</v>
      </c>
      <c r="H7449" s="11">
        <v>1370</v>
      </c>
      <c r="I7449" s="11">
        <v>1</v>
      </c>
      <c r="J7449" s="11">
        <v>0</v>
      </c>
      <c r="K7449" s="11" t="s">
        <v>21</v>
      </c>
      <c r="L7449" s="7">
        <v>42210.901226851856</v>
      </c>
      <c r="M7449" s="12" t="s">
        <v>1072</v>
      </c>
      <c r="N7449" s="12" t="s">
        <v>16494</v>
      </c>
      <c r="O7449" s="10" t="str">
        <f>HYPERLINK("https://pbs.twimg.com/profile_images/624975670062485505/I4cAFaj7_normal.jpg","View")</f>
        <v>View</v>
      </c>
      <c r="P7449" s="11"/>
    </row>
    <row r="7450" spans="1:16" ht="12.75" x14ac:dyDescent="0.35">
      <c r="A7450" s="7">
        <v>42484.892083333332</v>
      </c>
      <c r="B7450" s="8" t="str">
        <f>HYPERLINK("https://twitter.com/fredcheto","@fredcheto")</f>
        <v>@fredcheto</v>
      </c>
      <c r="C7450" s="9" t="s">
        <v>16495</v>
      </c>
      <c r="D7450" s="9" t="s">
        <v>16496</v>
      </c>
      <c r="E7450" s="10" t="str">
        <f>HYPERLINK("https://twitter.com/fredcheto/status/724265293682454528","724265293682454528")</f>
        <v>724265293682454528</v>
      </c>
      <c r="F7450" s="11" t="s">
        <v>114</v>
      </c>
      <c r="G7450" s="11">
        <v>80</v>
      </c>
      <c r="H7450" s="11">
        <v>620</v>
      </c>
      <c r="I7450" s="11">
        <v>0</v>
      </c>
      <c r="J7450" s="11">
        <v>0</v>
      </c>
      <c r="K7450" s="11" t="s">
        <v>21</v>
      </c>
      <c r="L7450" s="7">
        <v>40302.047199074077</v>
      </c>
      <c r="M7450" s="12" t="s">
        <v>16497</v>
      </c>
      <c r="N7450" s="12"/>
      <c r="O7450" s="10" t="str">
        <f>HYPERLINK("https://pbs.twimg.com/profile_images/640215565626408960/x7QB9VjV_normal.jpg","View")</f>
        <v>View</v>
      </c>
      <c r="P7450" s="11"/>
    </row>
    <row r="7451" spans="1:16" ht="12.75" x14ac:dyDescent="0.35">
      <c r="A7451" s="7">
        <v>42484.892928240741</v>
      </c>
      <c r="B7451" s="8" t="str">
        <f>HYPERLINK("https://twitter.com/abhcarwash","@abhcarwash")</f>
        <v>@abhcarwash</v>
      </c>
      <c r="C7451" s="9" t="s">
        <v>16498</v>
      </c>
      <c r="D7451" s="9" t="s">
        <v>16499</v>
      </c>
      <c r="E7451" s="10" t="str">
        <f>HYPERLINK("https://twitter.com/abhcarwash/status/724265598469869568","724265598469869568")</f>
        <v>724265598469869568</v>
      </c>
      <c r="F7451" s="11" t="s">
        <v>114</v>
      </c>
      <c r="G7451" s="11">
        <v>382</v>
      </c>
      <c r="H7451" s="11">
        <v>1024</v>
      </c>
      <c r="I7451" s="11">
        <v>0</v>
      </c>
      <c r="J7451" s="11">
        <v>0</v>
      </c>
      <c r="K7451" s="11" t="s">
        <v>21</v>
      </c>
      <c r="L7451" s="7">
        <v>41437.268460648149</v>
      </c>
      <c r="M7451" s="12" t="s">
        <v>16500</v>
      </c>
      <c r="N7451" s="12" t="s">
        <v>16501</v>
      </c>
      <c r="O7451" s="10" t="str">
        <f>HYPERLINK("https://pbs.twimg.com/profile_images/549930093045235712/wfignIg1_normal.png","View")</f>
        <v>View</v>
      </c>
      <c r="P7451" s="11"/>
    </row>
    <row r="7452" spans="1:16" ht="12.75" x14ac:dyDescent="0.35">
      <c r="A7452" s="7">
        <v>42484.893564814818</v>
      </c>
      <c r="B7452" s="8" t="str">
        <f>HYPERLINK("https://twitter.com/hddoger","@hddoger")</f>
        <v>@hddoger</v>
      </c>
      <c r="C7452" s="9" t="s">
        <v>7594</v>
      </c>
      <c r="D7452" s="9" t="s">
        <v>16502</v>
      </c>
      <c r="E7452" s="10" t="str">
        <f>HYPERLINK("https://twitter.com/hddoger/status/724265828670136321","724265828670136321")</f>
        <v>724265828670136321</v>
      </c>
      <c r="F7452" s="11" t="s">
        <v>20</v>
      </c>
      <c r="G7452" s="11">
        <v>615</v>
      </c>
      <c r="H7452" s="11">
        <v>511</v>
      </c>
      <c r="I7452" s="11">
        <v>0</v>
      </c>
      <c r="J7452" s="11">
        <v>0</v>
      </c>
      <c r="K7452" s="11" t="s">
        <v>21</v>
      </c>
      <c r="L7452" s="7">
        <v>40914.905057870368</v>
      </c>
      <c r="M7452" s="12"/>
      <c r="N7452" s="12" t="s">
        <v>7596</v>
      </c>
      <c r="O7452" s="10" t="str">
        <f>HYPERLINK("https://pbs.twimg.com/profile_images/3296258792/7852b77f95bc153cf32db2ba07fb879c_normal.jpeg","View")</f>
        <v>View</v>
      </c>
      <c r="P7452" s="11"/>
    </row>
    <row r="7453" spans="1:16" ht="12.75" x14ac:dyDescent="0.35">
      <c r="A7453" s="7">
        <v>42484.893773148149</v>
      </c>
      <c r="B7453" s="8" t="str">
        <f>HYPERLINK("https://twitter.com/tinytyff","@tinytyff")</f>
        <v>@tinytyff</v>
      </c>
      <c r="C7453" s="9" t="s">
        <v>16503</v>
      </c>
      <c r="D7453" s="9" t="s">
        <v>16504</v>
      </c>
      <c r="E7453" s="10" t="str">
        <f>HYPERLINK("https://twitter.com/tinytyff/status/724265906407411712","724265906407411712")</f>
        <v>724265906407411712</v>
      </c>
      <c r="F7453" s="11" t="s">
        <v>20</v>
      </c>
      <c r="G7453" s="11">
        <v>39</v>
      </c>
      <c r="H7453" s="11">
        <v>103</v>
      </c>
      <c r="I7453" s="11">
        <v>0</v>
      </c>
      <c r="J7453" s="11">
        <v>0</v>
      </c>
      <c r="K7453" s="11" t="s">
        <v>21</v>
      </c>
      <c r="L7453" s="7">
        <v>40627.827962962961</v>
      </c>
      <c r="M7453" s="12" t="s">
        <v>16505</v>
      </c>
      <c r="N7453" s="12"/>
      <c r="O7453" s="10" t="str">
        <f>HYPERLINK("https://pbs.twimg.com/profile_images/709157033375879168/XfYenddt_normal.jpg","View")</f>
        <v>View</v>
      </c>
      <c r="P7453" s="11"/>
    </row>
    <row r="7454" spans="1:16" ht="12.75" x14ac:dyDescent="0.35">
      <c r="A7454" s="7">
        <v>42484.893784722226</v>
      </c>
      <c r="B7454" s="8" t="str">
        <f>HYPERLINK("https://twitter.com/VWBeetleSales","@VWBeetleSales")</f>
        <v>@VWBeetleSales</v>
      </c>
      <c r="C7454" s="9" t="s">
        <v>127</v>
      </c>
      <c r="D7454" s="9" t="s">
        <v>16506</v>
      </c>
      <c r="E7454" s="10" t="str">
        <f>HYPERLINK("https://twitter.com/VWBeetleSales/status/724265909351665665","724265909351665665")</f>
        <v>724265909351665665</v>
      </c>
      <c r="F7454" s="10" t="s">
        <v>124</v>
      </c>
      <c r="G7454" s="11">
        <v>39</v>
      </c>
      <c r="H7454" s="11">
        <v>32</v>
      </c>
      <c r="I7454" s="11">
        <v>0</v>
      </c>
      <c r="J7454" s="11">
        <v>0</v>
      </c>
      <c r="K7454" s="11" t="s">
        <v>21</v>
      </c>
      <c r="L7454" s="7">
        <v>42427.019756944443</v>
      </c>
      <c r="M7454" s="12" t="s">
        <v>129</v>
      </c>
      <c r="N7454" s="12" t="s">
        <v>130</v>
      </c>
      <c r="O7454" s="10" t="str">
        <f>HYPERLINK("https://pbs.twimg.com/profile_images/703294545195307008/qeCvrX86_normal.jpg","View")</f>
        <v>View</v>
      </c>
      <c r="P7454" s="11"/>
    </row>
    <row r="7455" spans="1:16" ht="12.75" x14ac:dyDescent="0.35">
      <c r="A7455" s="7">
        <v>42484.89534722222</v>
      </c>
      <c r="B7455" s="8" t="str">
        <f>HYPERLINK("https://twitter.com/Fernspieler","@Fernspieler")</f>
        <v>@Fernspieler</v>
      </c>
      <c r="C7455" s="9" t="s">
        <v>16507</v>
      </c>
      <c r="D7455" s="9" t="s">
        <v>16084</v>
      </c>
      <c r="E7455" s="10" t="str">
        <f>HYPERLINK("https://twitter.com/Fernspieler/status/724266473531805697","724266473531805697")</f>
        <v>724266473531805697</v>
      </c>
      <c r="F7455" s="11" t="s">
        <v>160</v>
      </c>
      <c r="G7455" s="11">
        <v>351</v>
      </c>
      <c r="H7455" s="11">
        <v>272</v>
      </c>
      <c r="I7455" s="11">
        <v>2</v>
      </c>
      <c r="J7455" s="11">
        <v>0</v>
      </c>
      <c r="K7455" s="11" t="s">
        <v>21</v>
      </c>
      <c r="L7455" s="7">
        <v>41852.190347222218</v>
      </c>
      <c r="M7455" s="12" t="s">
        <v>16508</v>
      </c>
      <c r="N7455" s="12" t="s">
        <v>16509</v>
      </c>
      <c r="O7455" s="10" t="str">
        <f>HYPERLINK("https://pbs.twimg.com/profile_images/722423202585174016/CLPDkHMN_normal.jpg","View")</f>
        <v>View</v>
      </c>
      <c r="P7455" s="11"/>
    </row>
    <row r="7456" spans="1:16" ht="12.75" x14ac:dyDescent="0.35">
      <c r="A7456" s="7">
        <v>42484.895613425921</v>
      </c>
      <c r="B7456" s="8" t="str">
        <f>HYPERLINK("https://twitter.com/3pPodium","@3pPodium")</f>
        <v>@3pPodium</v>
      </c>
      <c r="C7456" s="9" t="s">
        <v>16510</v>
      </c>
      <c r="D7456" s="9" t="s">
        <v>16511</v>
      </c>
      <c r="E7456" s="10" t="str">
        <f>HYPERLINK("https://twitter.com/3pPodium/status/724266570332143616","724266570332143616")</f>
        <v>724266570332143616</v>
      </c>
      <c r="F7456" s="11" t="s">
        <v>152</v>
      </c>
      <c r="G7456" s="11">
        <v>2965</v>
      </c>
      <c r="H7456" s="11">
        <v>1018</v>
      </c>
      <c r="I7456" s="11">
        <v>0</v>
      </c>
      <c r="J7456" s="11">
        <v>0</v>
      </c>
      <c r="K7456" s="11" t="s">
        <v>21</v>
      </c>
      <c r="L7456" s="7">
        <v>40626.176701388889</v>
      </c>
      <c r="M7456" s="12" t="s">
        <v>16512</v>
      </c>
      <c r="N7456" s="12" t="s">
        <v>16513</v>
      </c>
      <c r="O7456" s="10" t="str">
        <f>HYPERLINK("https://pbs.twimg.com/profile_images/682646422584348672/rXCx5v4o_normal.png","View")</f>
        <v>View</v>
      </c>
      <c r="P7456" s="11"/>
    </row>
    <row r="7457" spans="1:16" ht="12.75" x14ac:dyDescent="0.35">
      <c r="A7457" s="7">
        <v>42484.896099537036</v>
      </c>
      <c r="B7457" s="8" t="str">
        <f>HYPERLINK("https://twitter.com/Auto2day_gr","@Auto2day_gr")</f>
        <v>@Auto2day_gr</v>
      </c>
      <c r="C7457" s="9" t="s">
        <v>4704</v>
      </c>
      <c r="D7457" s="9" t="s">
        <v>16514</v>
      </c>
      <c r="E7457" s="10" t="str">
        <f>HYPERLINK("https://twitter.com/Auto2day_gr/status/724266746207555584","724266746207555584")</f>
        <v>724266746207555584</v>
      </c>
      <c r="F7457" s="11" t="s">
        <v>63</v>
      </c>
      <c r="G7457" s="11">
        <v>114</v>
      </c>
      <c r="H7457" s="11">
        <v>457</v>
      </c>
      <c r="I7457" s="11">
        <v>0</v>
      </c>
      <c r="J7457" s="11">
        <v>0</v>
      </c>
      <c r="K7457" s="11" t="s">
        <v>21</v>
      </c>
      <c r="L7457" s="7">
        <v>42374.977708333332</v>
      </c>
      <c r="M7457" s="12"/>
      <c r="N7457" s="12" t="s">
        <v>4706</v>
      </c>
      <c r="O7457" s="10" t="str">
        <f>HYPERLINK("https://pbs.twimg.com/profile_images/684439034580570112/xeZrDF8k_normal.jpg","View")</f>
        <v>View</v>
      </c>
      <c r="P7457" s="11"/>
    </row>
    <row r="7458" spans="1:16" ht="12.75" x14ac:dyDescent="0.35">
      <c r="A7458" s="7">
        <v>42484.896203703705</v>
      </c>
      <c r="B7458" s="8" t="str">
        <f>HYPERLINK("https://twitter.com/RVSalesJC","@RVSalesJC")</f>
        <v>@RVSalesJC</v>
      </c>
      <c r="C7458" s="9" t="s">
        <v>16515</v>
      </c>
      <c r="D7458" s="9" t="s">
        <v>8957</v>
      </c>
      <c r="E7458" s="10" t="str">
        <f>HYPERLINK("https://twitter.com/RVSalesJC/status/724266785336352768","724266785336352768")</f>
        <v>724266785336352768</v>
      </c>
      <c r="F7458" s="11" t="s">
        <v>43</v>
      </c>
      <c r="G7458" s="11">
        <v>483</v>
      </c>
      <c r="H7458" s="11">
        <v>669</v>
      </c>
      <c r="I7458" s="11">
        <v>5</v>
      </c>
      <c r="J7458" s="11">
        <v>0</v>
      </c>
      <c r="K7458" s="11" t="s">
        <v>21</v>
      </c>
      <c r="L7458" s="7">
        <v>41863.321018518516</v>
      </c>
      <c r="M7458" s="12"/>
      <c r="N7458" s="12"/>
      <c r="O7458" s="10" t="str">
        <f>HYPERLINK("https://pbs.twimg.com/profile_images/656112868358647809/WydpU-kc_normal.jpg","View")</f>
        <v>View</v>
      </c>
      <c r="P7458" s="11"/>
    </row>
    <row r="7459" spans="1:16" ht="12.75" x14ac:dyDescent="0.35">
      <c r="A7459" s="7">
        <v>42484.896793981483</v>
      </c>
      <c r="B7459" s="8" t="str">
        <f>HYPERLINK("https://twitter.com/VWCamperz","@VWCamperz")</f>
        <v>@VWCamperz</v>
      </c>
      <c r="C7459" s="9" t="s">
        <v>16516</v>
      </c>
      <c r="D7459" s="9" t="s">
        <v>16517</v>
      </c>
      <c r="E7459" s="10" t="str">
        <f>HYPERLINK("https://twitter.com/VWCamperz/status/724266997123563520","724266997123563520")</f>
        <v>724266997123563520</v>
      </c>
      <c r="F7459" s="11" t="s">
        <v>20</v>
      </c>
      <c r="G7459" s="11">
        <v>28</v>
      </c>
      <c r="H7459" s="11">
        <v>67</v>
      </c>
      <c r="I7459" s="11">
        <v>0</v>
      </c>
      <c r="J7459" s="11">
        <v>0</v>
      </c>
      <c r="K7459" s="11" t="s">
        <v>21</v>
      </c>
      <c r="L7459" s="7">
        <v>42479.105347222227</v>
      </c>
      <c r="M7459" s="12" t="s">
        <v>14757</v>
      </c>
      <c r="N7459" s="12" t="s">
        <v>16518</v>
      </c>
      <c r="O7459" s="10" t="str">
        <f>HYPERLINK("https://pbs.twimg.com/profile_images/722172141303631872/p8wQTeNf_normal.jpg","View")</f>
        <v>View</v>
      </c>
      <c r="P7459" s="11"/>
    </row>
    <row r="7460" spans="1:16" ht="12.75" x14ac:dyDescent="0.35">
      <c r="A7460" s="7">
        <v>42484.897245370375</v>
      </c>
      <c r="B7460" s="8" t="str">
        <f>HYPERLINK("https://twitter.com/SeniorOnline","@SeniorOnline")</f>
        <v>@SeniorOnline</v>
      </c>
      <c r="C7460" s="8" t="s">
        <v>16519</v>
      </c>
      <c r="D7460" s="9" t="s">
        <v>16520</v>
      </c>
      <c r="E7460" s="10" t="str">
        <f>HYPERLINK("https://twitter.com/SeniorOnline/status/724267161745809408","724267161745809408")</f>
        <v>724267161745809408</v>
      </c>
      <c r="F7460" s="11" t="s">
        <v>152</v>
      </c>
      <c r="G7460" s="11">
        <v>6441</v>
      </c>
      <c r="H7460" s="11">
        <v>5476</v>
      </c>
      <c r="I7460" s="11">
        <v>1</v>
      </c>
      <c r="J7460" s="11">
        <v>1</v>
      </c>
      <c r="K7460" s="11" t="s">
        <v>21</v>
      </c>
      <c r="L7460" s="7">
        <v>40166.052430555559</v>
      </c>
      <c r="M7460" s="12" t="s">
        <v>16521</v>
      </c>
      <c r="N7460" s="12" t="s">
        <v>16522</v>
      </c>
      <c r="O7460" s="10" t="str">
        <f>HYPERLINK("https://pbs.twimg.com/profile_images/578974562836054016/ma2syHxK_normal.jpeg","View")</f>
        <v>View</v>
      </c>
      <c r="P7460" s="11"/>
    </row>
    <row r="7461" spans="1:16" ht="12.75" x14ac:dyDescent="0.35">
      <c r="A7461" s="7">
        <v>42484.897337962961</v>
      </c>
      <c r="B7461" s="8" t="str">
        <f>HYPERLINK("https://twitter.com/TheVasstechTeam","@TheVasstechTeam")</f>
        <v>@TheVasstechTeam</v>
      </c>
      <c r="C7461" s="9" t="s">
        <v>16523</v>
      </c>
      <c r="D7461" s="9" t="s">
        <v>16524</v>
      </c>
      <c r="E7461" s="10" t="str">
        <f>HYPERLINK("https://twitter.com/TheVasstechTeam/status/724267196793413632","724267196793413632")</f>
        <v>724267196793413632</v>
      </c>
      <c r="F7461" s="11" t="s">
        <v>152</v>
      </c>
      <c r="G7461" s="11">
        <v>681</v>
      </c>
      <c r="H7461" s="11">
        <v>642</v>
      </c>
      <c r="I7461" s="11">
        <v>0</v>
      </c>
      <c r="J7461" s="11">
        <v>0</v>
      </c>
      <c r="K7461" s="11" t="s">
        <v>21</v>
      </c>
      <c r="L7461" s="7">
        <v>40731.620486111111</v>
      </c>
      <c r="M7461" s="12" t="s">
        <v>16525</v>
      </c>
      <c r="N7461" s="12" t="s">
        <v>16526</v>
      </c>
      <c r="O7461" s="10" t="str">
        <f>HYPERLINK("https://pbs.twimg.com/profile_images/1566697429/Tim_Twitter_normal.jpg","View")</f>
        <v>View</v>
      </c>
      <c r="P7461" s="11"/>
    </row>
    <row r="7462" spans="1:16" ht="12.75" x14ac:dyDescent="0.35">
      <c r="A7462" s="7">
        <v>42484.898287037038</v>
      </c>
      <c r="B7462" s="8" t="str">
        <f>HYPERLINK("https://twitter.com/VWBeetleSales","@VWBeetleSales")</f>
        <v>@VWBeetleSales</v>
      </c>
      <c r="C7462" s="9" t="s">
        <v>127</v>
      </c>
      <c r="D7462" s="9" t="s">
        <v>16527</v>
      </c>
      <c r="E7462" s="10" t="str">
        <f>HYPERLINK("https://twitter.com/VWBeetleSales/status/724267541934141441","724267541934141441")</f>
        <v>724267541934141441</v>
      </c>
      <c r="F7462" s="10" t="s">
        <v>124</v>
      </c>
      <c r="G7462" s="11">
        <v>39</v>
      </c>
      <c r="H7462" s="11">
        <v>32</v>
      </c>
      <c r="I7462" s="11">
        <v>0</v>
      </c>
      <c r="J7462" s="11">
        <v>0</v>
      </c>
      <c r="K7462" s="11" t="s">
        <v>21</v>
      </c>
      <c r="L7462" s="7">
        <v>42427.019756944443</v>
      </c>
      <c r="M7462" s="12" t="s">
        <v>129</v>
      </c>
      <c r="N7462" s="12" t="s">
        <v>130</v>
      </c>
      <c r="O7462" s="10" t="str">
        <f>HYPERLINK("https://pbs.twimg.com/profile_images/703294545195307008/qeCvrX86_normal.jpg","View")</f>
        <v>View</v>
      </c>
      <c r="P7462" s="11"/>
    </row>
    <row r="7463" spans="1:16" ht="12.75" x14ac:dyDescent="0.35">
      <c r="A7463" s="7">
        <v>42484.898344907408</v>
      </c>
      <c r="B7463" s="8" t="str">
        <f>HYPERLINK("https://twitter.com/VWCamperSales","@VWCamperSales")</f>
        <v>@VWCamperSales</v>
      </c>
      <c r="C7463" s="9" t="s">
        <v>216</v>
      </c>
      <c r="D7463" s="9" t="s">
        <v>16528</v>
      </c>
      <c r="E7463" s="10" t="str">
        <f>HYPERLINK("https://twitter.com/VWCamperSales/status/724267562767278080","724267562767278080")</f>
        <v>724267562767278080</v>
      </c>
      <c r="F7463" s="10" t="s">
        <v>124</v>
      </c>
      <c r="G7463" s="11">
        <v>624</v>
      </c>
      <c r="H7463" s="11">
        <v>580</v>
      </c>
      <c r="I7463" s="11">
        <v>0</v>
      </c>
      <c r="J7463" s="11">
        <v>0</v>
      </c>
      <c r="K7463" s="11" t="s">
        <v>21</v>
      </c>
      <c r="L7463" s="7">
        <v>42215.98809027778</v>
      </c>
      <c r="M7463" s="12" t="s">
        <v>129</v>
      </c>
      <c r="N7463" s="12" t="s">
        <v>218</v>
      </c>
      <c r="O7463" s="10" t="str">
        <f>HYPERLINK("https://pbs.twimg.com/profile_images/627949001179037696/skEBkS05_normal.jpg","View")</f>
        <v>View</v>
      </c>
      <c r="P7463" s="11"/>
    </row>
    <row r="7464" spans="1:16" ht="12.75" x14ac:dyDescent="0.35">
      <c r="A7464" s="7">
        <v>42484.898379629631</v>
      </c>
      <c r="B7464" s="8" t="str">
        <f>HYPERLINK("https://twitter.com/paulachuter","@paulachuter")</f>
        <v>@paulachuter</v>
      </c>
      <c r="C7464" s="9" t="s">
        <v>16529</v>
      </c>
      <c r="D7464" s="9" t="s">
        <v>16530</v>
      </c>
      <c r="E7464" s="10" t="str">
        <f>HYPERLINK("https://twitter.com/paulachuter/status/724267575794884608","724267575794884608")</f>
        <v>724267575794884608</v>
      </c>
      <c r="F7464" s="11" t="s">
        <v>1838</v>
      </c>
      <c r="G7464" s="11">
        <v>79</v>
      </c>
      <c r="H7464" s="11">
        <v>249</v>
      </c>
      <c r="I7464" s="11">
        <v>0</v>
      </c>
      <c r="J7464" s="11">
        <v>0</v>
      </c>
      <c r="K7464" s="11" t="s">
        <v>21</v>
      </c>
      <c r="L7464" s="7">
        <v>41357.223912037036</v>
      </c>
      <c r="M7464" s="12" t="s">
        <v>2236</v>
      </c>
      <c r="N7464" s="12" t="s">
        <v>16531</v>
      </c>
      <c r="O7464" s="10" t="str">
        <f>HYPERLINK("https://pbs.twimg.com/profile_images/704757606351572993/F8cQ-_EW_normal.jpg","View")</f>
        <v>View</v>
      </c>
      <c r="P7464" s="11"/>
    </row>
    <row r="7465" spans="1:16" ht="12.75" x14ac:dyDescent="0.35">
      <c r="A7465" s="7">
        <v>42484.898935185185</v>
      </c>
      <c r="B7465" s="8" t="str">
        <f>HYPERLINK("https://twitter.com/TobiMuelhauser","@TobiMuelhauser")</f>
        <v>@TobiMuelhauser</v>
      </c>
      <c r="C7465" s="9" t="s">
        <v>15708</v>
      </c>
      <c r="D7465" s="9" t="s">
        <v>16532</v>
      </c>
      <c r="E7465" s="10" t="str">
        <f>HYPERLINK("https://twitter.com/TobiMuelhauser/status/724267775234052096","724267775234052096")</f>
        <v>724267775234052096</v>
      </c>
      <c r="F7465" s="11" t="s">
        <v>20</v>
      </c>
      <c r="G7465" s="11">
        <v>381</v>
      </c>
      <c r="H7465" s="11">
        <v>374</v>
      </c>
      <c r="I7465" s="11">
        <v>0</v>
      </c>
      <c r="J7465" s="11">
        <v>0</v>
      </c>
      <c r="K7465" s="11" t="s">
        <v>21</v>
      </c>
      <c r="L7465" s="7">
        <v>39964.603414351848</v>
      </c>
      <c r="M7465" s="12" t="s">
        <v>15710</v>
      </c>
      <c r="N7465" s="12" t="s">
        <v>15711</v>
      </c>
      <c r="O7465" s="10" t="str">
        <f>HYPERLINK("https://pbs.twimg.com/profile_images/637574744427102208/5hvsHkS-_normal.jpg","View")</f>
        <v>View</v>
      </c>
      <c r="P7465" s="11"/>
    </row>
    <row r="7466" spans="1:16" ht="12.75" x14ac:dyDescent="0.35">
      <c r="A7466" s="7">
        <v>42484.898969907408</v>
      </c>
      <c r="B7466" s="8" t="str">
        <f>HYPERLINK("https://twitter.com/BlackWolfSynd","@BlackWolfSynd")</f>
        <v>@BlackWolfSynd</v>
      </c>
      <c r="C7466" s="9" t="s">
        <v>16533</v>
      </c>
      <c r="D7466" s="9" t="s">
        <v>16534</v>
      </c>
      <c r="E7466" s="10" t="str">
        <f>HYPERLINK("https://twitter.com/BlackWolfSynd/status/724267788915879941","724267788915879941")</f>
        <v>724267788915879941</v>
      </c>
      <c r="F7466" s="11" t="s">
        <v>114</v>
      </c>
      <c r="G7466" s="11">
        <v>43</v>
      </c>
      <c r="H7466" s="11">
        <v>284</v>
      </c>
      <c r="I7466" s="11">
        <v>0</v>
      </c>
      <c r="J7466" s="11">
        <v>0</v>
      </c>
      <c r="K7466" s="11" t="s">
        <v>21</v>
      </c>
      <c r="L7466" s="7">
        <v>42225.064560185187</v>
      </c>
      <c r="M7466" s="12" t="s">
        <v>16535</v>
      </c>
      <c r="N7466" s="12" t="s">
        <v>16536</v>
      </c>
      <c r="O7466" s="10" t="str">
        <f>HYPERLINK("https://pbs.twimg.com/profile_images/633622741858582528/BjU2vVYq_normal.jpg","View")</f>
        <v>View</v>
      </c>
      <c r="P7466" s="11"/>
    </row>
    <row r="7467" spans="1:16" ht="12.75" x14ac:dyDescent="0.35">
      <c r="A7467" s="7">
        <v>42484.900057870371</v>
      </c>
      <c r="B7467" s="8" t="str">
        <f>HYPERLINK("https://twitter.com/Scirocco_Tuning","@Scirocco_Tuning")</f>
        <v>@Scirocco_Tuning</v>
      </c>
      <c r="C7467" s="9" t="s">
        <v>51</v>
      </c>
      <c r="D7467" s="9" t="s">
        <v>16537</v>
      </c>
      <c r="E7467" s="10" t="str">
        <f>HYPERLINK("https://twitter.com/Scirocco_Tuning/status/724268180336680963","724268180336680963")</f>
        <v>724268180336680963</v>
      </c>
      <c r="F7467" s="11" t="s">
        <v>53</v>
      </c>
      <c r="G7467" s="11">
        <v>70</v>
      </c>
      <c r="H7467" s="11">
        <v>215</v>
      </c>
      <c r="I7467" s="11">
        <v>0</v>
      </c>
      <c r="J7467" s="11">
        <v>0</v>
      </c>
      <c r="K7467" s="11" t="s">
        <v>21</v>
      </c>
      <c r="L7467" s="7">
        <v>40844.564722222218</v>
      </c>
      <c r="M7467" s="12"/>
      <c r="N7467" s="12"/>
      <c r="O7467" s="10" t="str">
        <f>HYPERLINK("https://pbs.twimg.com/profile_images/1610421423/Image2_normal.jpg","View")</f>
        <v>View</v>
      </c>
      <c r="P7467" s="11"/>
    </row>
    <row r="7468" spans="1:16" ht="12.75" x14ac:dyDescent="0.35">
      <c r="A7468" s="7">
        <v>42484.900138888886</v>
      </c>
      <c r="B7468" s="8" t="str">
        <f>HYPERLINK("https://twitter.com/chintanmajithia","@chintanmajithia")</f>
        <v>@chintanmajithia</v>
      </c>
      <c r="C7468" s="9" t="s">
        <v>16538</v>
      </c>
      <c r="D7468" s="9" t="s">
        <v>16539</v>
      </c>
      <c r="E7468" s="10" t="str">
        <f>HYPERLINK("https://twitter.com/chintanmajithia/status/724268210795646976","724268210795646976")</f>
        <v>724268210795646976</v>
      </c>
      <c r="F7468" s="11" t="s">
        <v>20</v>
      </c>
      <c r="G7468" s="11">
        <v>321</v>
      </c>
      <c r="H7468" s="11">
        <v>179</v>
      </c>
      <c r="I7468" s="11">
        <v>0</v>
      </c>
      <c r="J7468" s="11">
        <v>0</v>
      </c>
      <c r="K7468" s="11" t="s">
        <v>21</v>
      </c>
      <c r="L7468" s="7">
        <v>41018.943240740744</v>
      </c>
      <c r="M7468" s="12" t="s">
        <v>16540</v>
      </c>
      <c r="N7468" s="12" t="s">
        <v>16541</v>
      </c>
      <c r="O7468" s="10" t="str">
        <f>HYPERLINK("https://pbs.twimg.com/profile_images/603652757984161792/DTx6yUtK_normal.jpg","View")</f>
        <v>View</v>
      </c>
      <c r="P7468" s="11"/>
    </row>
    <row r="7469" spans="1:16" ht="12.75" x14ac:dyDescent="0.35">
      <c r="A7469" s="7">
        <v>42484.900289351848</v>
      </c>
      <c r="B7469" s="8" t="str">
        <f>HYPERLINK("https://twitter.com/KarlRennison","@KarlRennison")</f>
        <v>@KarlRennison</v>
      </c>
      <c r="C7469" s="9" t="s">
        <v>16262</v>
      </c>
      <c r="D7469" s="9" t="s">
        <v>16542</v>
      </c>
      <c r="E7469" s="10" t="str">
        <f>HYPERLINK("https://twitter.com/KarlRennison/status/724268267465019392","724268267465019392")</f>
        <v>724268267465019392</v>
      </c>
      <c r="F7469" s="11" t="s">
        <v>20</v>
      </c>
      <c r="G7469" s="11">
        <v>1164</v>
      </c>
      <c r="H7469" s="11">
        <v>806</v>
      </c>
      <c r="I7469" s="11">
        <v>0</v>
      </c>
      <c r="J7469" s="11">
        <v>0</v>
      </c>
      <c r="K7469" s="11" t="s">
        <v>21</v>
      </c>
      <c r="L7469" s="7">
        <v>41444.951203703706</v>
      </c>
      <c r="M7469" s="12" t="s">
        <v>16264</v>
      </c>
      <c r="N7469" s="12" t="s">
        <v>16265</v>
      </c>
      <c r="O7469" s="10" t="str">
        <f>HYPERLINK("https://pbs.twimg.com/profile_images/722326876560232450/OO8bJXZX_normal.jpg","View")</f>
        <v>View</v>
      </c>
      <c r="P7469" s="11"/>
    </row>
    <row r="7470" spans="1:16" ht="12.75" x14ac:dyDescent="0.35">
      <c r="A7470" s="7">
        <v>42484.900416666671</v>
      </c>
      <c r="B7470" s="8" t="str">
        <f>HYPERLINK("https://twitter.com/_C4productions_","@_C4productions_")</f>
        <v>@_C4productions_</v>
      </c>
      <c r="C7470" s="9" t="s">
        <v>16543</v>
      </c>
      <c r="D7470" s="9" t="s">
        <v>16544</v>
      </c>
      <c r="E7470" s="10" t="str">
        <f>HYPERLINK("https://twitter.com/_C4productions_/status/724268312322932737","724268312322932737")</f>
        <v>724268312322932737</v>
      </c>
      <c r="F7470" s="11" t="s">
        <v>20</v>
      </c>
      <c r="G7470" s="11">
        <v>529</v>
      </c>
      <c r="H7470" s="11">
        <v>1291</v>
      </c>
      <c r="I7470" s="11">
        <v>0</v>
      </c>
      <c r="J7470" s="11">
        <v>0</v>
      </c>
      <c r="K7470" s="11" t="s">
        <v>21</v>
      </c>
      <c r="L7470" s="7">
        <v>41801.401828703703</v>
      </c>
      <c r="M7470" s="12" t="s">
        <v>16545</v>
      </c>
      <c r="N7470" s="12" t="s">
        <v>16546</v>
      </c>
      <c r="O7470" s="10" t="str">
        <f>HYPERLINK("https://pbs.twimg.com/profile_images/722863508832985088/NKyewnNu_normal.jpg","View")</f>
        <v>View</v>
      </c>
      <c r="P7470" s="11"/>
    </row>
    <row r="7471" spans="1:16" ht="12.75" x14ac:dyDescent="0.35">
      <c r="A7471" s="7">
        <v>42484.900833333333</v>
      </c>
      <c r="B7471" s="8" t="str">
        <f>HYPERLINK("https://twitter.com/DogLimo","@DogLimo")</f>
        <v>@DogLimo</v>
      </c>
      <c r="C7471" s="9" t="s">
        <v>16343</v>
      </c>
      <c r="D7471" s="9" t="s">
        <v>16547</v>
      </c>
      <c r="E7471" s="10" t="str">
        <f>HYPERLINK("https://twitter.com/DogLimo/status/724268461862477825","724268461862477825")</f>
        <v>724268461862477825</v>
      </c>
      <c r="F7471" s="11" t="s">
        <v>114</v>
      </c>
      <c r="G7471" s="11">
        <v>54</v>
      </c>
      <c r="H7471" s="11">
        <v>472</v>
      </c>
      <c r="I7471" s="11">
        <v>0</v>
      </c>
      <c r="J7471" s="11">
        <v>0</v>
      </c>
      <c r="K7471" s="11" t="s">
        <v>21</v>
      </c>
      <c r="L7471" s="7">
        <v>40779.973587962959</v>
      </c>
      <c r="M7471" s="12" t="s">
        <v>16345</v>
      </c>
      <c r="N7471" s="12" t="s">
        <v>16346</v>
      </c>
      <c r="O7471" s="10" t="str">
        <f>HYPERLINK("https://pbs.twimg.com/profile_images/412780199835889664/rOfKo2jD_normal.jpeg","View")</f>
        <v>View</v>
      </c>
      <c r="P7471" s="10" t="str">
        <f>HYPERLINK("http://ctrlq.org/maps/address/#36.998291,-79.8925629","Map")</f>
        <v>Map</v>
      </c>
    </row>
    <row r="7472" spans="1:16" ht="12.75" x14ac:dyDescent="0.35">
      <c r="A7472" s="7">
        <v>42484.90148148148</v>
      </c>
      <c r="B7472" s="8" t="str">
        <f>HYPERLINK("https://twitter.com/abcollar","@abcollar")</f>
        <v>@abcollar</v>
      </c>
      <c r="C7472" s="8" t="s">
        <v>16548</v>
      </c>
      <c r="D7472" s="9" t="s">
        <v>16549</v>
      </c>
      <c r="E7472" s="10" t="str">
        <f>HYPERLINK("https://twitter.com/abcollar/status/724268696961601537","724268696961601537")</f>
        <v>724268696961601537</v>
      </c>
      <c r="F7472" s="11" t="s">
        <v>48</v>
      </c>
      <c r="G7472" s="11">
        <v>49332</v>
      </c>
      <c r="H7472" s="11">
        <v>48940</v>
      </c>
      <c r="I7472" s="11">
        <v>1</v>
      </c>
      <c r="J7472" s="11">
        <v>0</v>
      </c>
      <c r="K7472" s="11" t="s">
        <v>21</v>
      </c>
      <c r="L7472" s="7">
        <v>39951.242858796293</v>
      </c>
      <c r="M7472" s="12" t="s">
        <v>16550</v>
      </c>
      <c r="N7472" s="12" t="s">
        <v>16551</v>
      </c>
      <c r="O7472" s="10" t="str">
        <f>HYPERLINK("https://pbs.twimg.com/profile_images/1261120279/Abcollar-Logo-small_normal.jpg","View")</f>
        <v>View</v>
      </c>
      <c r="P7472" s="11"/>
    </row>
    <row r="7473" spans="1:16" ht="12.75" x14ac:dyDescent="0.35">
      <c r="A7473" s="7">
        <v>42484.902453703704</v>
      </c>
      <c r="B7473" s="8" t="str">
        <f t="shared" ref="B7473:B7477" si="731">HYPERLINK("https://twitter.com/beetlebug1938","@beetlebug1938")</f>
        <v>@beetlebug1938</v>
      </c>
      <c r="C7473" s="9" t="s">
        <v>66</v>
      </c>
      <c r="D7473" s="9" t="s">
        <v>16552</v>
      </c>
      <c r="E7473" s="10" t="str">
        <f>HYPERLINK("https://twitter.com/beetlebug1938/status/724269049803321344","724269049803321344")</f>
        <v>724269049803321344</v>
      </c>
      <c r="F7473" s="11" t="s">
        <v>68</v>
      </c>
      <c r="G7473" s="11">
        <v>379</v>
      </c>
      <c r="H7473" s="11">
        <v>2228</v>
      </c>
      <c r="I7473" s="11">
        <v>0</v>
      </c>
      <c r="J7473" s="11">
        <v>0</v>
      </c>
      <c r="K7473" s="11" t="s">
        <v>21</v>
      </c>
      <c r="L7473" s="7">
        <v>42469.863865740743</v>
      </c>
      <c r="M7473" s="12" t="s">
        <v>69</v>
      </c>
      <c r="N7473" s="12"/>
      <c r="O7473" s="10" t="str">
        <f t="shared" ref="O7473:O7477" si="732">HYPERLINK("https://pbs.twimg.com/profile_images/718820712757215233/LXXndPTS_normal.jpg","View")</f>
        <v>View</v>
      </c>
      <c r="P7473" s="11"/>
    </row>
    <row r="7474" spans="1:16" ht="12.75" x14ac:dyDescent="0.35">
      <c r="A7474" s="7">
        <v>42484.902488425927</v>
      </c>
      <c r="B7474" s="8" t="str">
        <f t="shared" si="731"/>
        <v>@beetlebug1938</v>
      </c>
      <c r="C7474" s="9" t="s">
        <v>66</v>
      </c>
      <c r="D7474" s="9" t="s">
        <v>16553</v>
      </c>
      <c r="E7474" s="10" t="str">
        <f>HYPERLINK("https://twitter.com/beetlebug1938/status/724269061014736897","724269061014736897")</f>
        <v>724269061014736897</v>
      </c>
      <c r="F7474" s="11" t="s">
        <v>68</v>
      </c>
      <c r="G7474" s="11">
        <v>379</v>
      </c>
      <c r="H7474" s="11">
        <v>2228</v>
      </c>
      <c r="I7474" s="11">
        <v>0</v>
      </c>
      <c r="J7474" s="11">
        <v>0</v>
      </c>
      <c r="K7474" s="11" t="s">
        <v>21</v>
      </c>
      <c r="L7474" s="7">
        <v>42469.863865740743</v>
      </c>
      <c r="M7474" s="12" t="s">
        <v>69</v>
      </c>
      <c r="N7474" s="12"/>
      <c r="O7474" s="10" t="str">
        <f t="shared" si="732"/>
        <v>View</v>
      </c>
      <c r="P7474" s="11"/>
    </row>
    <row r="7475" spans="1:16" ht="12.75" x14ac:dyDescent="0.35">
      <c r="A7475" s="7">
        <v>42484.902499999997</v>
      </c>
      <c r="B7475" s="8" t="str">
        <f t="shared" si="731"/>
        <v>@beetlebug1938</v>
      </c>
      <c r="C7475" s="9" t="s">
        <v>66</v>
      </c>
      <c r="D7475" s="9" t="s">
        <v>16554</v>
      </c>
      <c r="E7475" s="10" t="str">
        <f>HYPERLINK("https://twitter.com/beetlebug1938/status/724269065536188417","724269065536188417")</f>
        <v>724269065536188417</v>
      </c>
      <c r="F7475" s="11" t="s">
        <v>68</v>
      </c>
      <c r="G7475" s="11">
        <v>379</v>
      </c>
      <c r="H7475" s="11">
        <v>2228</v>
      </c>
      <c r="I7475" s="11">
        <v>0</v>
      </c>
      <c r="J7475" s="11">
        <v>0</v>
      </c>
      <c r="K7475" s="11" t="s">
        <v>21</v>
      </c>
      <c r="L7475" s="7">
        <v>42469.863865740743</v>
      </c>
      <c r="M7475" s="12" t="s">
        <v>69</v>
      </c>
      <c r="N7475" s="12"/>
      <c r="O7475" s="10" t="str">
        <f t="shared" si="732"/>
        <v>View</v>
      </c>
      <c r="P7475" s="11"/>
    </row>
    <row r="7476" spans="1:16" ht="12.75" x14ac:dyDescent="0.35">
      <c r="A7476" s="7">
        <v>42484.90252314815</v>
      </c>
      <c r="B7476" s="8" t="str">
        <f t="shared" si="731"/>
        <v>@beetlebug1938</v>
      </c>
      <c r="C7476" s="9" t="s">
        <v>66</v>
      </c>
      <c r="D7476" s="9" t="s">
        <v>16555</v>
      </c>
      <c r="E7476" s="10" t="str">
        <f>HYPERLINK("https://twitter.com/beetlebug1938/status/724269076227473408","724269076227473408")</f>
        <v>724269076227473408</v>
      </c>
      <c r="F7476" s="11" t="s">
        <v>68</v>
      </c>
      <c r="G7476" s="11">
        <v>379</v>
      </c>
      <c r="H7476" s="11">
        <v>2228</v>
      </c>
      <c r="I7476" s="11">
        <v>0</v>
      </c>
      <c r="J7476" s="11">
        <v>0</v>
      </c>
      <c r="K7476" s="11" t="s">
        <v>21</v>
      </c>
      <c r="L7476" s="7">
        <v>42469.863865740743</v>
      </c>
      <c r="M7476" s="12" t="s">
        <v>69</v>
      </c>
      <c r="N7476" s="12"/>
      <c r="O7476" s="10" t="str">
        <f t="shared" si="732"/>
        <v>View</v>
      </c>
      <c r="P7476" s="11"/>
    </row>
    <row r="7477" spans="1:16" ht="12.75" x14ac:dyDescent="0.35">
      <c r="A7477" s="7">
        <v>42484.902546296296</v>
      </c>
      <c r="B7477" s="8" t="str">
        <f t="shared" si="731"/>
        <v>@beetlebug1938</v>
      </c>
      <c r="C7477" s="9" t="s">
        <v>66</v>
      </c>
      <c r="D7477" s="9" t="s">
        <v>16556</v>
      </c>
      <c r="E7477" s="10" t="str">
        <f>HYPERLINK("https://twitter.com/beetlebug1938/status/724269083265523712","724269083265523712")</f>
        <v>724269083265523712</v>
      </c>
      <c r="F7477" s="11" t="s">
        <v>68</v>
      </c>
      <c r="G7477" s="11">
        <v>379</v>
      </c>
      <c r="H7477" s="11">
        <v>2228</v>
      </c>
      <c r="I7477" s="11">
        <v>0</v>
      </c>
      <c r="J7477" s="11">
        <v>0</v>
      </c>
      <c r="K7477" s="11" t="s">
        <v>21</v>
      </c>
      <c r="L7477" s="7">
        <v>42469.863865740743</v>
      </c>
      <c r="M7477" s="12" t="s">
        <v>69</v>
      </c>
      <c r="N7477" s="12"/>
      <c r="O7477" s="10" t="str">
        <f t="shared" si="732"/>
        <v>View</v>
      </c>
      <c r="P7477" s="11"/>
    </row>
    <row r="7478" spans="1:16" ht="12.75" x14ac:dyDescent="0.35">
      <c r="A7478" s="7">
        <v>42484.902824074074</v>
      </c>
      <c r="B7478" s="8" t="str">
        <f>HYPERLINK("https://twitter.com/VWCamperSales","@VWCamperSales")</f>
        <v>@VWCamperSales</v>
      </c>
      <c r="C7478" s="9" t="s">
        <v>216</v>
      </c>
      <c r="D7478" s="9" t="s">
        <v>16557</v>
      </c>
      <c r="E7478" s="10" t="str">
        <f>HYPERLINK("https://twitter.com/VWCamperSales/status/724269184587161605","724269184587161605")</f>
        <v>724269184587161605</v>
      </c>
      <c r="F7478" s="10" t="s">
        <v>124</v>
      </c>
      <c r="G7478" s="11">
        <v>624</v>
      </c>
      <c r="H7478" s="11">
        <v>580</v>
      </c>
      <c r="I7478" s="11">
        <v>0</v>
      </c>
      <c r="J7478" s="11">
        <v>0</v>
      </c>
      <c r="K7478" s="11" t="s">
        <v>21</v>
      </c>
      <c r="L7478" s="7">
        <v>42215.98809027778</v>
      </c>
      <c r="M7478" s="12" t="s">
        <v>129</v>
      </c>
      <c r="N7478" s="12" t="s">
        <v>218</v>
      </c>
      <c r="O7478" s="10" t="str">
        <f>HYPERLINK("https://pbs.twimg.com/profile_images/627949001179037696/skEBkS05_normal.jpg","View")</f>
        <v>View</v>
      </c>
      <c r="P7478" s="11"/>
    </row>
    <row r="7479" spans="1:16" ht="12.75" x14ac:dyDescent="0.35">
      <c r="A7479" s="7">
        <v>42484.904016203705</v>
      </c>
      <c r="B7479" s="8" t="str">
        <f>HYPERLINK("https://twitter.com/dubbusses","@dubbusses")</f>
        <v>@dubbusses</v>
      </c>
      <c r="C7479" s="9" t="s">
        <v>14338</v>
      </c>
      <c r="D7479" s="9" t="s">
        <v>16558</v>
      </c>
      <c r="E7479" s="10" t="str">
        <f>HYPERLINK("https://twitter.com/dubbusses/status/724269617477226496","724269617477226496")</f>
        <v>724269617477226496</v>
      </c>
      <c r="F7479" s="11" t="s">
        <v>68</v>
      </c>
      <c r="G7479" s="11">
        <v>435</v>
      </c>
      <c r="H7479" s="11">
        <v>2369</v>
      </c>
      <c r="I7479" s="11">
        <v>0</v>
      </c>
      <c r="J7479" s="11">
        <v>0</v>
      </c>
      <c r="K7479" s="11" t="s">
        <v>21</v>
      </c>
      <c r="L7479" s="7">
        <v>42469.905393518522</v>
      </c>
      <c r="M7479" s="12" t="s">
        <v>14340</v>
      </c>
      <c r="N7479" s="12"/>
      <c r="O7479" s="10" t="str">
        <f>HYPERLINK("https://pbs.twimg.com/profile_images/718835727027580928/1ssyQ67y_normal.jpg","View")</f>
        <v>View</v>
      </c>
      <c r="P7479" s="11"/>
    </row>
    <row r="7480" spans="1:16" ht="12.75" x14ac:dyDescent="0.35">
      <c r="A7480" s="7">
        <v>42484.904178240744</v>
      </c>
      <c r="B7480" s="8" t="str">
        <f>HYPERLINK("https://twitter.com/hannogroth","@hannogroth")</f>
        <v>@hannogroth</v>
      </c>
      <c r="C7480" s="9" t="s">
        <v>16559</v>
      </c>
      <c r="D7480" s="9" t="s">
        <v>15952</v>
      </c>
      <c r="E7480" s="10" t="str">
        <f>HYPERLINK("https://twitter.com/hannogroth/status/724269676881170432","724269676881170432")</f>
        <v>724269676881170432</v>
      </c>
      <c r="F7480" s="11" t="s">
        <v>63</v>
      </c>
      <c r="G7480" s="11">
        <v>1047</v>
      </c>
      <c r="H7480" s="11">
        <v>1773</v>
      </c>
      <c r="I7480" s="11">
        <v>3</v>
      </c>
      <c r="J7480" s="11">
        <v>0</v>
      </c>
      <c r="K7480" s="11" t="s">
        <v>21</v>
      </c>
      <c r="L7480" s="7">
        <v>40110.714780092589</v>
      </c>
      <c r="M7480" s="12" t="s">
        <v>953</v>
      </c>
      <c r="N7480" s="12" t="s">
        <v>16560</v>
      </c>
      <c r="O7480" s="10" t="str">
        <f>HYPERLINK("https://pbs.twimg.com/profile_images/594510536907345923/2ywkaaJN_normal.jpg","View")</f>
        <v>View</v>
      </c>
      <c r="P7480" s="11"/>
    </row>
    <row r="7481" spans="1:16" ht="12.75" x14ac:dyDescent="0.35">
      <c r="A7481" s="7">
        <v>42484.904178240744</v>
      </c>
      <c r="B7481" s="8" t="str">
        <f>HYPERLINK("https://twitter.com/greenpeace_de","@greenpeace_de")</f>
        <v>@greenpeace_de</v>
      </c>
      <c r="C7481" s="9" t="s">
        <v>16561</v>
      </c>
      <c r="D7481" s="9" t="s">
        <v>15952</v>
      </c>
      <c r="E7481" s="10" t="str">
        <f>HYPERLINK("https://twitter.com/greenpeace_de/status/724269677124395012","724269677124395012")</f>
        <v>724269677124395012</v>
      </c>
      <c r="F7481" s="11" t="s">
        <v>63</v>
      </c>
      <c r="G7481" s="11">
        <v>243892</v>
      </c>
      <c r="H7481" s="11">
        <v>1112</v>
      </c>
      <c r="I7481" s="11">
        <v>3</v>
      </c>
      <c r="J7481" s="11">
        <v>0</v>
      </c>
      <c r="K7481" s="11" t="s">
        <v>21</v>
      </c>
      <c r="L7481" s="7">
        <v>39321.093946759262</v>
      </c>
      <c r="M7481" s="12" t="s">
        <v>953</v>
      </c>
      <c r="N7481" s="12" t="s">
        <v>16562</v>
      </c>
      <c r="O7481" s="10" t="str">
        <f>HYPERLINK("https://pbs.twimg.com/profile_images/721995664054489088/aeQdvryV_normal.jpg","View")</f>
        <v>View</v>
      </c>
      <c r="P7481" s="11"/>
    </row>
    <row r="7482" spans="1:16" ht="12.75" x14ac:dyDescent="0.35">
      <c r="A7482" s="7">
        <v>42484.904212962967</v>
      </c>
      <c r="B7482" s="8" t="str">
        <f t="shared" ref="B7482:B7484" si="733">HYPERLINK("https://twitter.com/dubbusses","@dubbusses")</f>
        <v>@dubbusses</v>
      </c>
      <c r="C7482" s="9" t="s">
        <v>14338</v>
      </c>
      <c r="D7482" s="9" t="s">
        <v>16563</v>
      </c>
      <c r="E7482" s="10" t="str">
        <f>HYPERLINK("https://twitter.com/dubbusses/status/724269686683238400","724269686683238400")</f>
        <v>724269686683238400</v>
      </c>
      <c r="F7482" s="11" t="s">
        <v>68</v>
      </c>
      <c r="G7482" s="11">
        <v>435</v>
      </c>
      <c r="H7482" s="11">
        <v>2369</v>
      </c>
      <c r="I7482" s="11">
        <v>0</v>
      </c>
      <c r="J7482" s="11">
        <v>0</v>
      </c>
      <c r="K7482" s="11" t="s">
        <v>21</v>
      </c>
      <c r="L7482" s="7">
        <v>42469.905393518522</v>
      </c>
      <c r="M7482" s="12" t="s">
        <v>14340</v>
      </c>
      <c r="N7482" s="12"/>
      <c r="O7482" s="10" t="str">
        <f t="shared" ref="O7482:O7484" si="734">HYPERLINK("https://pbs.twimg.com/profile_images/718835727027580928/1ssyQ67y_normal.jpg","View")</f>
        <v>View</v>
      </c>
      <c r="P7482" s="11"/>
    </row>
    <row r="7483" spans="1:16" ht="12.75" x14ac:dyDescent="0.35">
      <c r="A7483" s="7">
        <v>42484.90425925926</v>
      </c>
      <c r="B7483" s="8" t="str">
        <f t="shared" si="733"/>
        <v>@dubbusses</v>
      </c>
      <c r="C7483" s="9" t="s">
        <v>14338</v>
      </c>
      <c r="D7483" s="9" t="s">
        <v>16564</v>
      </c>
      <c r="E7483" s="10" t="str">
        <f>HYPERLINK("https://twitter.com/dubbusses/status/724269705528283136","724269705528283136")</f>
        <v>724269705528283136</v>
      </c>
      <c r="F7483" s="11" t="s">
        <v>68</v>
      </c>
      <c r="G7483" s="11">
        <v>435</v>
      </c>
      <c r="H7483" s="11">
        <v>2369</v>
      </c>
      <c r="I7483" s="11">
        <v>0</v>
      </c>
      <c r="J7483" s="11">
        <v>0</v>
      </c>
      <c r="K7483" s="11" t="s">
        <v>21</v>
      </c>
      <c r="L7483" s="7">
        <v>42469.905393518522</v>
      </c>
      <c r="M7483" s="12" t="s">
        <v>14340</v>
      </c>
      <c r="N7483" s="12"/>
      <c r="O7483" s="10" t="str">
        <f t="shared" si="734"/>
        <v>View</v>
      </c>
      <c r="P7483" s="11"/>
    </row>
    <row r="7484" spans="1:16" ht="12.75" x14ac:dyDescent="0.35">
      <c r="A7484" s="7">
        <v>42484.904386574075</v>
      </c>
      <c r="B7484" s="8" t="str">
        <f t="shared" si="733"/>
        <v>@dubbusses</v>
      </c>
      <c r="C7484" s="9" t="s">
        <v>14338</v>
      </c>
      <c r="D7484" s="9" t="s">
        <v>16565</v>
      </c>
      <c r="E7484" s="10" t="str">
        <f>HYPERLINK("https://twitter.com/dubbusses/status/724269749601996801","724269749601996801")</f>
        <v>724269749601996801</v>
      </c>
      <c r="F7484" s="11" t="s">
        <v>68</v>
      </c>
      <c r="G7484" s="11">
        <v>435</v>
      </c>
      <c r="H7484" s="11">
        <v>2369</v>
      </c>
      <c r="I7484" s="11">
        <v>0</v>
      </c>
      <c r="J7484" s="11">
        <v>0</v>
      </c>
      <c r="K7484" s="11" t="s">
        <v>21</v>
      </c>
      <c r="L7484" s="7">
        <v>42469.905393518522</v>
      </c>
      <c r="M7484" s="12" t="s">
        <v>14340</v>
      </c>
      <c r="N7484" s="12"/>
      <c r="O7484" s="10" t="str">
        <f t="shared" si="734"/>
        <v>View</v>
      </c>
      <c r="P7484" s="11"/>
    </row>
    <row r="7485" spans="1:16" ht="12.75" x14ac:dyDescent="0.35">
      <c r="A7485" s="7">
        <v>42484.904849537037</v>
      </c>
      <c r="B7485" s="8" t="str">
        <f>HYPERLINK("https://twitter.com/tomacell","@tomacell")</f>
        <v>@tomacell</v>
      </c>
      <c r="C7485" s="9" t="s">
        <v>16566</v>
      </c>
      <c r="D7485" s="9" t="s">
        <v>16567</v>
      </c>
      <c r="E7485" s="10" t="str">
        <f>HYPERLINK("https://twitter.com/tomacell/status/724269919085449216","724269919085449216")</f>
        <v>724269919085449216</v>
      </c>
      <c r="F7485" s="11" t="s">
        <v>43</v>
      </c>
      <c r="G7485" s="11">
        <v>526</v>
      </c>
      <c r="H7485" s="11">
        <v>398</v>
      </c>
      <c r="I7485" s="11">
        <v>0</v>
      </c>
      <c r="J7485" s="11">
        <v>0</v>
      </c>
      <c r="K7485" s="11" t="s">
        <v>21</v>
      </c>
      <c r="L7485" s="7">
        <v>40913.762511574074</v>
      </c>
      <c r="M7485" s="12"/>
      <c r="N7485" s="12" t="s">
        <v>16568</v>
      </c>
      <c r="O7485" s="10" t="str">
        <f>HYPERLINK("https://pbs.twimg.com/profile_images/703192389951709184/Ng389iI4_normal.jpg","View")</f>
        <v>View</v>
      </c>
      <c r="P7485" s="11"/>
    </row>
    <row r="7486" spans="1:16" ht="12.75" x14ac:dyDescent="0.35">
      <c r="A7486" s="7">
        <v>42484.90556712963</v>
      </c>
      <c r="B7486" s="8" t="str">
        <f>HYPERLINK("https://twitter.com/CarterVW","@CarterVW")</f>
        <v>@CarterVW</v>
      </c>
      <c r="C7486" s="9" t="s">
        <v>4771</v>
      </c>
      <c r="D7486" s="9" t="s">
        <v>16569</v>
      </c>
      <c r="E7486" s="10" t="str">
        <f>HYPERLINK("https://twitter.com/CarterVW/status/724270179874562048","724270179874562048")</f>
        <v>724270179874562048</v>
      </c>
      <c r="F7486" s="11" t="s">
        <v>140</v>
      </c>
      <c r="G7486" s="11">
        <v>2028</v>
      </c>
      <c r="H7486" s="11">
        <v>1292</v>
      </c>
      <c r="I7486" s="11">
        <v>0</v>
      </c>
      <c r="J7486" s="11">
        <v>0</v>
      </c>
      <c r="K7486" s="11" t="s">
        <v>21</v>
      </c>
      <c r="L7486" s="7">
        <v>40002.494502314818</v>
      </c>
      <c r="M7486" s="12" t="s">
        <v>355</v>
      </c>
      <c r="N7486" s="12" t="s">
        <v>4773</v>
      </c>
      <c r="O7486" s="10" t="str">
        <f>HYPERLINK("https://pbs.twimg.com/profile_images/693260133237809152/JUVeKYdq_normal.jpg","View")</f>
        <v>View</v>
      </c>
      <c r="P7486" s="11"/>
    </row>
    <row r="7487" spans="1:16" ht="12.75" x14ac:dyDescent="0.35">
      <c r="A7487" s="7">
        <v>42484.905590277776</v>
      </c>
      <c r="B7487" s="8" t="str">
        <f>HYPERLINK("https://twitter.com/2662a7","@2662a7")</f>
        <v>@2662a7</v>
      </c>
      <c r="C7487" s="9" t="s">
        <v>16570</v>
      </c>
      <c r="D7487" s="9" t="s">
        <v>16571</v>
      </c>
      <c r="E7487" s="10" t="str">
        <f>HYPERLINK("https://twitter.com/2662a7/status/724270186237452288","724270186237452288")</f>
        <v>724270186237452288</v>
      </c>
      <c r="F7487" s="11" t="s">
        <v>114</v>
      </c>
      <c r="G7487" s="11">
        <v>751</v>
      </c>
      <c r="H7487" s="11">
        <v>561</v>
      </c>
      <c r="I7487" s="11">
        <v>0</v>
      </c>
      <c r="J7487" s="11">
        <v>0</v>
      </c>
      <c r="K7487" s="11" t="s">
        <v>21</v>
      </c>
      <c r="L7487" s="7">
        <v>41185.814513888887</v>
      </c>
      <c r="M7487" s="12" t="s">
        <v>16572</v>
      </c>
      <c r="N7487" s="12" t="s">
        <v>16573</v>
      </c>
      <c r="O7487" s="10" t="str">
        <f>HYPERLINK("https://pbs.twimg.com/profile_images/705354502669340672/-6lVjHiv_normal.jpg","View")</f>
        <v>View</v>
      </c>
      <c r="P7487" s="11"/>
    </row>
    <row r="7488" spans="1:16" ht="12.75" x14ac:dyDescent="0.35">
      <c r="A7488" s="7">
        <v>42484.906585648147</v>
      </c>
      <c r="B7488" s="8" t="str">
        <f>HYPERLINK("https://twitter.com/copeyphoto","@copeyphoto")</f>
        <v>@copeyphoto</v>
      </c>
      <c r="C7488" s="9" t="s">
        <v>5295</v>
      </c>
      <c r="D7488" s="9" t="s">
        <v>16574</v>
      </c>
      <c r="E7488" s="10" t="str">
        <f>HYPERLINK("https://twitter.com/copeyphoto/status/724270549283692544","724270549283692544")</f>
        <v>724270549283692544</v>
      </c>
      <c r="F7488" s="11" t="s">
        <v>114</v>
      </c>
      <c r="G7488" s="11">
        <v>117</v>
      </c>
      <c r="H7488" s="11">
        <v>210</v>
      </c>
      <c r="I7488" s="11">
        <v>0</v>
      </c>
      <c r="J7488" s="11">
        <v>0</v>
      </c>
      <c r="K7488" s="11" t="s">
        <v>21</v>
      </c>
      <c r="L7488" s="7">
        <v>40091.804143518515</v>
      </c>
      <c r="M7488" s="12" t="s">
        <v>5297</v>
      </c>
      <c r="N7488" s="12" t="s">
        <v>5298</v>
      </c>
      <c r="O7488" s="10" t="str">
        <f>HYPERLINK("https://pbs.twimg.com/profile_images/471360227137163264/w2Gvricp_normal.png","View")</f>
        <v>View</v>
      </c>
      <c r="P7488" s="11"/>
    </row>
    <row r="7489" spans="1:16" ht="12.75" x14ac:dyDescent="0.35">
      <c r="A7489" s="7">
        <v>42484.907129629632</v>
      </c>
      <c r="B7489" s="8" t="str">
        <f>HYPERLINK("https://twitter.com/mathyaszalazar","@mathyaszalazar")</f>
        <v>@mathyaszalazar</v>
      </c>
      <c r="C7489" s="9" t="s">
        <v>16575</v>
      </c>
      <c r="D7489" s="9" t="s">
        <v>10808</v>
      </c>
      <c r="E7489" s="10" t="str">
        <f>HYPERLINK("https://twitter.com/mathyaszalazar/status/724270743220019200","724270743220019200")</f>
        <v>724270743220019200</v>
      </c>
      <c r="F7489" s="11" t="s">
        <v>43</v>
      </c>
      <c r="G7489" s="11">
        <v>635</v>
      </c>
      <c r="H7489" s="11">
        <v>602</v>
      </c>
      <c r="I7489" s="11">
        <v>69</v>
      </c>
      <c r="J7489" s="11">
        <v>0</v>
      </c>
      <c r="K7489" s="11" t="s">
        <v>21</v>
      </c>
      <c r="L7489" s="7">
        <v>40641.205625000002</v>
      </c>
      <c r="M7489" s="12" t="s">
        <v>16576</v>
      </c>
      <c r="N7489" s="12" t="s">
        <v>16577</v>
      </c>
      <c r="O7489" s="10" t="str">
        <f>HYPERLINK("https://pbs.twimg.com/profile_images/714426326028050432/bdmtFVZx_normal.jpg","View")</f>
        <v>View</v>
      </c>
      <c r="P7489" s="11"/>
    </row>
    <row r="7490" spans="1:16" ht="12.75" x14ac:dyDescent="0.35">
      <c r="A7490" s="7">
        <v>42484.907349537039</v>
      </c>
      <c r="B7490" s="8" t="str">
        <f>HYPERLINK("https://twitter.com/VWCamperSales","@VWCamperSales")</f>
        <v>@VWCamperSales</v>
      </c>
      <c r="C7490" s="9" t="s">
        <v>216</v>
      </c>
      <c r="D7490" s="9" t="s">
        <v>16578</v>
      </c>
      <c r="E7490" s="10" t="str">
        <f>HYPERLINK("https://twitter.com/VWCamperSales/status/724270823570186240","724270823570186240")</f>
        <v>724270823570186240</v>
      </c>
      <c r="F7490" s="10" t="s">
        <v>124</v>
      </c>
      <c r="G7490" s="11">
        <v>624</v>
      </c>
      <c r="H7490" s="11">
        <v>580</v>
      </c>
      <c r="I7490" s="11">
        <v>0</v>
      </c>
      <c r="J7490" s="11">
        <v>0</v>
      </c>
      <c r="K7490" s="11" t="s">
        <v>21</v>
      </c>
      <c r="L7490" s="7">
        <v>42215.98809027778</v>
      </c>
      <c r="M7490" s="12" t="s">
        <v>129</v>
      </c>
      <c r="N7490" s="12" t="s">
        <v>218</v>
      </c>
      <c r="O7490" s="10" t="str">
        <f>HYPERLINK("https://pbs.twimg.com/profile_images/627949001179037696/skEBkS05_normal.jpg","View")</f>
        <v>View</v>
      </c>
      <c r="P7490" s="11"/>
    </row>
    <row r="7491" spans="1:16" ht="12.75" x14ac:dyDescent="0.35">
      <c r="A7491" s="7">
        <v>42484.908784722225</v>
      </c>
      <c r="B7491" s="8" t="str">
        <f>HYPERLINK("https://twitter.com/vagmenhq","@vagmenhq")</f>
        <v>@vagmenhq</v>
      </c>
      <c r="C7491" s="9" t="s">
        <v>2492</v>
      </c>
      <c r="D7491" s="9" t="s">
        <v>16579</v>
      </c>
      <c r="E7491" s="10" t="str">
        <f>HYPERLINK("https://twitter.com/vagmenhq/status/724271344179916800","724271344179916800")</f>
        <v>724271344179916800</v>
      </c>
      <c r="F7491" s="11" t="s">
        <v>53</v>
      </c>
      <c r="G7491" s="11">
        <v>158</v>
      </c>
      <c r="H7491" s="11">
        <v>92</v>
      </c>
      <c r="I7491" s="11">
        <v>0</v>
      </c>
      <c r="J7491" s="11">
        <v>0</v>
      </c>
      <c r="K7491" s="11" t="s">
        <v>21</v>
      </c>
      <c r="L7491" s="7">
        <v>41401.814722222218</v>
      </c>
      <c r="M7491" s="12" t="s">
        <v>2494</v>
      </c>
      <c r="N7491" s="12" t="s">
        <v>2495</v>
      </c>
      <c r="O7491" s="10" t="str">
        <f>HYPERLINK("https://pbs.twimg.com/profile_images/446781974452371456/rqBZF-KN_normal.jpeg","View")</f>
        <v>View</v>
      </c>
      <c r="P7491" s="11"/>
    </row>
    <row r="7492" spans="1:16" ht="12.75" x14ac:dyDescent="0.35">
      <c r="A7492" s="7">
        <v>42484.909259259264</v>
      </c>
      <c r="B7492" s="8" t="str">
        <f>HYPERLINK("https://twitter.com/EpicDubs","@EpicDubs")</f>
        <v>@EpicDubs</v>
      </c>
      <c r="C7492" s="9" t="s">
        <v>16580</v>
      </c>
      <c r="D7492" s="9" t="s">
        <v>16581</v>
      </c>
      <c r="E7492" s="10" t="str">
        <f>HYPERLINK("https://twitter.com/EpicDubs/status/724271517702447104","724271517702447104")</f>
        <v>724271517702447104</v>
      </c>
      <c r="F7492" s="11" t="s">
        <v>20</v>
      </c>
      <c r="G7492" s="11">
        <v>3994</v>
      </c>
      <c r="H7492" s="11">
        <v>647</v>
      </c>
      <c r="I7492" s="11">
        <v>1</v>
      </c>
      <c r="J7492" s="11">
        <v>0</v>
      </c>
      <c r="K7492" s="11" t="s">
        <v>21</v>
      </c>
      <c r="L7492" s="7">
        <v>40214.705949074072</v>
      </c>
      <c r="M7492" s="12" t="s">
        <v>16582</v>
      </c>
      <c r="N7492" s="12" t="s">
        <v>16583</v>
      </c>
      <c r="O7492" s="10" t="str">
        <f>HYPERLINK("https://pbs.twimg.com/profile_images/378800000561125590/774aef16fb42fd8d8fd3233c77313b21_normal.jpeg","View")</f>
        <v>View</v>
      </c>
      <c r="P7492" s="11"/>
    </row>
    <row r="7493" spans="1:16" ht="12.75" x14ac:dyDescent="0.35">
      <c r="A7493" s="7">
        <v>42484.909444444449</v>
      </c>
      <c r="B7493" s="8" t="str">
        <f>HYPERLINK("https://twitter.com/FuscaWorld","@FuscaWorld")</f>
        <v>@FuscaWorld</v>
      </c>
      <c r="C7493" s="9" t="s">
        <v>74</v>
      </c>
      <c r="D7493" s="9" t="s">
        <v>16584</v>
      </c>
      <c r="E7493" s="10" t="str">
        <f>HYPERLINK("https://twitter.com/FuscaWorld/status/724271583376891904","724271583376891904")</f>
        <v>724271583376891904</v>
      </c>
      <c r="F7493" s="11" t="s">
        <v>76</v>
      </c>
      <c r="G7493" s="11">
        <v>52</v>
      </c>
      <c r="H7493" s="11">
        <v>1</v>
      </c>
      <c r="I7493" s="11">
        <v>1</v>
      </c>
      <c r="J7493" s="11">
        <v>0</v>
      </c>
      <c r="K7493" s="11" t="s">
        <v>21</v>
      </c>
      <c r="L7493" s="7">
        <v>42433.880914351852</v>
      </c>
      <c r="M7493" s="12"/>
      <c r="N7493" s="12" t="s">
        <v>77</v>
      </c>
      <c r="O7493" s="10" t="str">
        <f>HYPERLINK("https://pbs.twimg.com/profile_images/705780107844067328/e7O4UBNb_normal.jpg","View")</f>
        <v>View</v>
      </c>
      <c r="P7493" s="11"/>
    </row>
    <row r="7494" spans="1:16" ht="12.75" x14ac:dyDescent="0.35">
      <c r="A7494" s="7">
        <v>42484.909814814819</v>
      </c>
      <c r="B7494" s="8" t="str">
        <f>HYPERLINK("https://twitter.com/copeyphoto","@copeyphoto")</f>
        <v>@copeyphoto</v>
      </c>
      <c r="C7494" s="9" t="s">
        <v>5295</v>
      </c>
      <c r="D7494" s="9" t="s">
        <v>16585</v>
      </c>
      <c r="E7494" s="10" t="str">
        <f>HYPERLINK("https://twitter.com/copeyphoto/status/724271716143259650","724271716143259650")</f>
        <v>724271716143259650</v>
      </c>
      <c r="F7494" s="11" t="s">
        <v>114</v>
      </c>
      <c r="G7494" s="11">
        <v>117</v>
      </c>
      <c r="H7494" s="11">
        <v>210</v>
      </c>
      <c r="I7494" s="11">
        <v>0</v>
      </c>
      <c r="J7494" s="11">
        <v>0</v>
      </c>
      <c r="K7494" s="11" t="s">
        <v>21</v>
      </c>
      <c r="L7494" s="7">
        <v>40091.804143518515</v>
      </c>
      <c r="M7494" s="12" t="s">
        <v>5297</v>
      </c>
      <c r="N7494" s="12" t="s">
        <v>5298</v>
      </c>
      <c r="O7494" s="10" t="str">
        <f>HYPERLINK("https://pbs.twimg.com/profile_images/471360227137163264/w2Gvricp_normal.png","View")</f>
        <v>View</v>
      </c>
      <c r="P7494" s="11"/>
    </row>
    <row r="7495" spans="1:16" ht="12.75" x14ac:dyDescent="0.35">
      <c r="A7495" s="7">
        <v>42484.910381944443</v>
      </c>
      <c r="B7495" s="8" t="str">
        <f>HYPERLINK("https://twitter.com/DonBag101","@DonBag101")</f>
        <v>@DonBag101</v>
      </c>
      <c r="C7495" s="9" t="s">
        <v>16586</v>
      </c>
      <c r="D7495" s="9" t="s">
        <v>16587</v>
      </c>
      <c r="E7495" s="10" t="str">
        <f>HYPERLINK("https://twitter.com/DonBag101/status/724271924633829377","724271924633829377")</f>
        <v>724271924633829377</v>
      </c>
      <c r="F7495" s="11" t="s">
        <v>20</v>
      </c>
      <c r="G7495" s="11">
        <v>1175</v>
      </c>
      <c r="H7495" s="11">
        <v>1526</v>
      </c>
      <c r="I7495" s="11">
        <v>1</v>
      </c>
      <c r="J7495" s="11">
        <v>0</v>
      </c>
      <c r="K7495" s="11" t="s">
        <v>21</v>
      </c>
      <c r="L7495" s="7">
        <v>40888.024618055555</v>
      </c>
      <c r="M7495" s="12" t="s">
        <v>1267</v>
      </c>
      <c r="N7495" s="12" t="s">
        <v>16588</v>
      </c>
      <c r="O7495" s="10" t="str">
        <f>HYPERLINK("https://pbs.twimg.com/profile_images/680659598722871296/zzw1jD1__normal.jpg","View")</f>
        <v>View</v>
      </c>
      <c r="P7495" s="11"/>
    </row>
    <row r="7496" spans="1:16" ht="12.75" x14ac:dyDescent="0.35">
      <c r="A7496" s="7">
        <v>42484.911539351851</v>
      </c>
      <c r="B7496" s="8" t="str">
        <f>HYPERLINK("https://twitter.com/What_Danni_Did","@What_Danni_Did")</f>
        <v>@What_Danni_Did</v>
      </c>
      <c r="C7496" s="9" t="s">
        <v>16589</v>
      </c>
      <c r="D7496" s="9" t="s">
        <v>16399</v>
      </c>
      <c r="E7496" s="10" t="str">
        <f>HYPERLINK("https://twitter.com/What_Danni_Did/status/724272341493141504","724272341493141504")</f>
        <v>724272341493141504</v>
      </c>
      <c r="F7496" s="11" t="s">
        <v>20</v>
      </c>
      <c r="G7496" s="11">
        <v>57</v>
      </c>
      <c r="H7496" s="11">
        <v>155</v>
      </c>
      <c r="I7496" s="11">
        <v>4</v>
      </c>
      <c r="J7496" s="11">
        <v>0</v>
      </c>
      <c r="K7496" s="11" t="s">
        <v>21</v>
      </c>
      <c r="L7496" s="7">
        <v>42444.10555555555</v>
      </c>
      <c r="M7496" s="12"/>
      <c r="N7496" s="12" t="s">
        <v>16590</v>
      </c>
      <c r="O7496" s="10" t="str">
        <f>HYPERLINK("https://pbs.twimg.com/profile_images/709485835813560320/7Hvw2dTv_normal.jpg","View")</f>
        <v>View</v>
      </c>
      <c r="P7496" s="11"/>
    </row>
    <row r="7497" spans="1:16" ht="12.75" x14ac:dyDescent="0.35">
      <c r="A7497" s="7">
        <v>42484.912002314813</v>
      </c>
      <c r="B7497" s="8" t="str">
        <f>HYPERLINK("https://twitter.com/MartinMosel","@MartinMosel")</f>
        <v>@MartinMosel</v>
      </c>
      <c r="C7497" s="9" t="s">
        <v>16591</v>
      </c>
      <c r="D7497" s="9" t="s">
        <v>15952</v>
      </c>
      <c r="E7497" s="10" t="str">
        <f>HYPERLINK("https://twitter.com/MartinMosel/status/724272510209019905","724272510209019905")</f>
        <v>724272510209019905</v>
      </c>
      <c r="F7497" s="11" t="s">
        <v>20</v>
      </c>
      <c r="G7497" s="11">
        <v>8</v>
      </c>
      <c r="H7497" s="11">
        <v>49</v>
      </c>
      <c r="I7497" s="11">
        <v>5</v>
      </c>
      <c r="J7497" s="11">
        <v>0</v>
      </c>
      <c r="K7497" s="11" t="s">
        <v>21</v>
      </c>
      <c r="L7497" s="7">
        <v>42025.471956018519</v>
      </c>
      <c r="M7497" s="12" t="s">
        <v>953</v>
      </c>
      <c r="N7497" s="12"/>
      <c r="O7497" s="10" t="str">
        <f>HYPERLINK("https://pbs.twimg.com/profile_images/704407814253445121/0tv5-Ca7_normal.jpg","View")</f>
        <v>View</v>
      </c>
      <c r="P7497" s="11"/>
    </row>
    <row r="7498" spans="1:16" ht="12.75" x14ac:dyDescent="0.35">
      <c r="A7498" s="7">
        <v>42484.91207175926</v>
      </c>
      <c r="B7498" s="8" t="str">
        <f>HYPERLINK("https://twitter.com/CllrLyleDavy","@CllrLyleDavy")</f>
        <v>@CllrLyleDavy</v>
      </c>
      <c r="C7498" s="9" t="s">
        <v>16592</v>
      </c>
      <c r="D7498" s="9" t="s">
        <v>16593</v>
      </c>
      <c r="E7498" s="10" t="str">
        <f>HYPERLINK("https://twitter.com/CllrLyleDavy/status/724272536607948800","724272536607948800")</f>
        <v>724272536607948800</v>
      </c>
      <c r="F7498" s="11" t="s">
        <v>48</v>
      </c>
      <c r="G7498" s="11">
        <v>1165</v>
      </c>
      <c r="H7498" s="11">
        <v>684</v>
      </c>
      <c r="I7498" s="11">
        <v>0</v>
      </c>
      <c r="J7498" s="11">
        <v>0</v>
      </c>
      <c r="K7498" s="11" t="s">
        <v>21</v>
      </c>
      <c r="L7498" s="7">
        <v>40734.853738425925</v>
      </c>
      <c r="M7498" s="12" t="s">
        <v>16594</v>
      </c>
      <c r="N7498" s="12" t="s">
        <v>16595</v>
      </c>
      <c r="O7498" s="10" t="str">
        <f>HYPERLINK("https://pbs.twimg.com/profile_images/468362889070669825/IlNQlb0P_normal.jpeg","View")</f>
        <v>View</v>
      </c>
      <c r="P7498" s="11"/>
    </row>
    <row r="7499" spans="1:16" ht="12.75" x14ac:dyDescent="0.35">
      <c r="A7499" s="7">
        <v>42484.912210648152</v>
      </c>
      <c r="B7499" s="8" t="str">
        <f>HYPERLINK("https://twitter.com/refineddetails","@refineddetails")</f>
        <v>@refineddetails</v>
      </c>
      <c r="C7499" s="9" t="s">
        <v>16596</v>
      </c>
      <c r="D7499" s="9" t="s">
        <v>16597</v>
      </c>
      <c r="E7499" s="10" t="str">
        <f>HYPERLINK("https://twitter.com/refineddetails/status/724272585140264960","724272585140264960")</f>
        <v>724272585140264960</v>
      </c>
      <c r="F7499" s="11" t="s">
        <v>114</v>
      </c>
      <c r="G7499" s="11">
        <v>1086</v>
      </c>
      <c r="H7499" s="11">
        <v>1013</v>
      </c>
      <c r="I7499" s="11">
        <v>0</v>
      </c>
      <c r="J7499" s="11">
        <v>0</v>
      </c>
      <c r="K7499" s="11" t="s">
        <v>21</v>
      </c>
      <c r="L7499" s="7">
        <v>40021.951736111107</v>
      </c>
      <c r="M7499" s="12" t="s">
        <v>16598</v>
      </c>
      <c r="N7499" s="12" t="s">
        <v>16599</v>
      </c>
      <c r="O7499" s="10" t="str">
        <f>HYPERLINK("https://pbs.twimg.com/profile_images/662007239872544768/aWzAWz_v_normal.jpg","View")</f>
        <v>View</v>
      </c>
      <c r="P7499" s="11"/>
    </row>
    <row r="7500" spans="1:16" ht="12.75" x14ac:dyDescent="0.35">
      <c r="A7500" s="7">
        <v>42484.912314814814</v>
      </c>
      <c r="B7500" s="8" t="str">
        <f>HYPERLINK("https://twitter.com/bruno90alvarez","@bruno90alvarez")</f>
        <v>@bruno90alvarez</v>
      </c>
      <c r="C7500" s="9" t="s">
        <v>16600</v>
      </c>
      <c r="D7500" s="9" t="s">
        <v>16601</v>
      </c>
      <c r="E7500" s="10" t="str">
        <f>HYPERLINK("https://twitter.com/bruno90alvarez/status/724272622364712960","724272622364712960")</f>
        <v>724272622364712960</v>
      </c>
      <c r="F7500" s="11" t="s">
        <v>48</v>
      </c>
      <c r="G7500" s="11">
        <v>244</v>
      </c>
      <c r="H7500" s="11">
        <v>994</v>
      </c>
      <c r="I7500" s="11">
        <v>3</v>
      </c>
      <c r="J7500" s="11">
        <v>0</v>
      </c>
      <c r="K7500" s="11" t="s">
        <v>21</v>
      </c>
      <c r="L7500" s="7">
        <v>42049.787118055552</v>
      </c>
      <c r="M7500" s="12"/>
      <c r="N7500" s="12"/>
      <c r="O7500" s="10" t="str">
        <f>HYPERLINK("https://pbs.twimg.com/profile_images/567103567228837888/ptxVAeYZ_normal.jpeg","View")</f>
        <v>View</v>
      </c>
      <c r="P7500" s="11"/>
    </row>
    <row r="7501" spans="1:16" ht="12.75" x14ac:dyDescent="0.35">
      <c r="A7501" s="7">
        <v>42484.912523148145</v>
      </c>
      <c r="B7501" s="8" t="str">
        <f>HYPERLINK("https://twitter.com/WonSicily","@WonSicily")</f>
        <v>@WonSicily</v>
      </c>
      <c r="C7501" s="9" t="s">
        <v>16602</v>
      </c>
      <c r="D7501" s="9" t="s">
        <v>16603</v>
      </c>
      <c r="E7501" s="10" t="str">
        <f>HYPERLINK("https://twitter.com/WonSicily/status/724272699069980673","724272699069980673")</f>
        <v>724272699069980673</v>
      </c>
      <c r="F7501" s="11" t="s">
        <v>63</v>
      </c>
      <c r="G7501" s="11">
        <v>3222</v>
      </c>
      <c r="H7501" s="11">
        <v>2741</v>
      </c>
      <c r="I7501" s="11">
        <v>0</v>
      </c>
      <c r="J7501" s="11">
        <v>2</v>
      </c>
      <c r="K7501" s="11" t="s">
        <v>21</v>
      </c>
      <c r="L7501" s="7">
        <v>41902.849085648151</v>
      </c>
      <c r="M7501" s="12" t="s">
        <v>16604</v>
      </c>
      <c r="N7501" s="12" t="s">
        <v>16605</v>
      </c>
      <c r="O7501" s="10" t="str">
        <f>HYPERLINK("https://pbs.twimg.com/profile_images/513341022080741376/Z3RBKtcd_normal.jpeg","View")</f>
        <v>View</v>
      </c>
      <c r="P7501" s="11"/>
    </row>
    <row r="7502" spans="1:16" ht="12.75" x14ac:dyDescent="0.35">
      <c r="A7502" s="7">
        <v>42484.912546296298</v>
      </c>
      <c r="B7502" s="8" t="str">
        <f>HYPERLINK("https://twitter.com/bruno90alvarez","@bruno90alvarez")</f>
        <v>@bruno90alvarez</v>
      </c>
      <c r="C7502" s="9" t="s">
        <v>16600</v>
      </c>
      <c r="D7502" s="9" t="s">
        <v>16606</v>
      </c>
      <c r="E7502" s="10" t="str">
        <f>HYPERLINK("https://twitter.com/bruno90alvarez/status/724272708679290880","724272708679290880")</f>
        <v>724272708679290880</v>
      </c>
      <c r="F7502" s="11" t="s">
        <v>48</v>
      </c>
      <c r="G7502" s="11">
        <v>244</v>
      </c>
      <c r="H7502" s="11">
        <v>994</v>
      </c>
      <c r="I7502" s="11">
        <v>5</v>
      </c>
      <c r="J7502" s="11">
        <v>0</v>
      </c>
      <c r="K7502" s="11" t="s">
        <v>21</v>
      </c>
      <c r="L7502" s="7">
        <v>42049.787118055552</v>
      </c>
      <c r="M7502" s="12"/>
      <c r="N7502" s="12"/>
      <c r="O7502" s="10" t="str">
        <f>HYPERLINK("https://pbs.twimg.com/profile_images/567103567228837888/ptxVAeYZ_normal.jpeg","View")</f>
        <v>View</v>
      </c>
      <c r="P7502" s="11"/>
    </row>
    <row r="7503" spans="1:16" ht="12.75" x14ac:dyDescent="0.35">
      <c r="A7503" s="7">
        <v>42484.912557870368</v>
      </c>
      <c r="B7503" s="8" t="str">
        <f>HYPERLINK("https://twitter.com/VWBeetleSales","@VWBeetleSales")</f>
        <v>@VWBeetleSales</v>
      </c>
      <c r="C7503" s="9" t="s">
        <v>127</v>
      </c>
      <c r="D7503" s="9" t="s">
        <v>16607</v>
      </c>
      <c r="E7503" s="10" t="str">
        <f>HYPERLINK("https://twitter.com/VWBeetleSales/status/724272711355113474","724272711355113474")</f>
        <v>724272711355113474</v>
      </c>
      <c r="F7503" s="10" t="s">
        <v>124</v>
      </c>
      <c r="G7503" s="11">
        <v>39</v>
      </c>
      <c r="H7503" s="11">
        <v>32</v>
      </c>
      <c r="I7503" s="11">
        <v>0</v>
      </c>
      <c r="J7503" s="11">
        <v>0</v>
      </c>
      <c r="K7503" s="11" t="s">
        <v>21</v>
      </c>
      <c r="L7503" s="7">
        <v>42427.019756944443</v>
      </c>
      <c r="M7503" s="12" t="s">
        <v>129</v>
      </c>
      <c r="N7503" s="12" t="s">
        <v>130</v>
      </c>
      <c r="O7503" s="10" t="str">
        <f>HYPERLINK("https://pbs.twimg.com/profile_images/703294545195307008/qeCvrX86_normal.jpg","View")</f>
        <v>View</v>
      </c>
      <c r="P7503" s="11"/>
    </row>
    <row r="7504" spans="1:16" ht="12.75" x14ac:dyDescent="0.35">
      <c r="A7504" s="7">
        <v>42484.912569444445</v>
      </c>
      <c r="B7504" s="8" t="str">
        <f>HYPERLINK("https://twitter.com/VWCamperSales","@VWCamperSales")</f>
        <v>@VWCamperSales</v>
      </c>
      <c r="C7504" s="9" t="s">
        <v>216</v>
      </c>
      <c r="D7504" s="9" t="s">
        <v>16608</v>
      </c>
      <c r="E7504" s="10" t="str">
        <f>HYPERLINK("https://twitter.com/VWCamperSales/status/724272717810147328","724272717810147328")</f>
        <v>724272717810147328</v>
      </c>
      <c r="F7504" s="10" t="s">
        <v>124</v>
      </c>
      <c r="G7504" s="11">
        <v>624</v>
      </c>
      <c r="H7504" s="11">
        <v>580</v>
      </c>
      <c r="I7504" s="11">
        <v>0</v>
      </c>
      <c r="J7504" s="11">
        <v>0</v>
      </c>
      <c r="K7504" s="11" t="s">
        <v>21</v>
      </c>
      <c r="L7504" s="7">
        <v>42215.98809027778</v>
      </c>
      <c r="M7504" s="12" t="s">
        <v>129</v>
      </c>
      <c r="N7504" s="12" t="s">
        <v>218</v>
      </c>
      <c r="O7504" s="10" t="str">
        <f>HYPERLINK("https://pbs.twimg.com/profile_images/627949001179037696/skEBkS05_normal.jpg","View")</f>
        <v>View</v>
      </c>
      <c r="P7504" s="11"/>
    </row>
    <row r="7505" spans="1:16" ht="12.75" x14ac:dyDescent="0.35">
      <c r="A7505" s="7">
        <v>42484.913240740745</v>
      </c>
      <c r="B7505" s="8" t="str">
        <f>HYPERLINK("https://twitter.com/Mainman777","@Mainman777")</f>
        <v>@Mainman777</v>
      </c>
      <c r="C7505" s="9" t="s">
        <v>16609</v>
      </c>
      <c r="D7505" s="9" t="s">
        <v>16236</v>
      </c>
      <c r="E7505" s="10" t="str">
        <f>HYPERLINK("https://twitter.com/Mainman777/status/724272961230872576","724272961230872576")</f>
        <v>724272961230872576</v>
      </c>
      <c r="F7505" s="11" t="s">
        <v>48</v>
      </c>
      <c r="G7505" s="11">
        <v>1099</v>
      </c>
      <c r="H7505" s="11">
        <v>4613</v>
      </c>
      <c r="I7505" s="11">
        <v>8</v>
      </c>
      <c r="J7505" s="11">
        <v>0</v>
      </c>
      <c r="K7505" s="11" t="s">
        <v>21</v>
      </c>
      <c r="L7505" s="7">
        <v>40603.771238425928</v>
      </c>
      <c r="M7505" s="12" t="s">
        <v>16610</v>
      </c>
      <c r="N7505" s="12" t="s">
        <v>16611</v>
      </c>
      <c r="O7505" s="10" t="str">
        <f>HYPERLINK("https://pbs.twimg.com/profile_images/656901526691164160/13lJ2NC6_normal.jpg","View")</f>
        <v>View</v>
      </c>
      <c r="P7505" s="11"/>
    </row>
    <row r="7506" spans="1:16" ht="12.75" x14ac:dyDescent="0.35">
      <c r="A7506" s="7">
        <v>42484.913530092592</v>
      </c>
      <c r="B7506" s="8" t="str">
        <f>HYPERLINK("https://twitter.com/bruno90alvarez","@bruno90alvarez")</f>
        <v>@bruno90alvarez</v>
      </c>
      <c r="C7506" s="9" t="s">
        <v>16600</v>
      </c>
      <c r="D7506" s="9" t="s">
        <v>16612</v>
      </c>
      <c r="E7506" s="10" t="str">
        <f>HYPERLINK("https://twitter.com/bruno90alvarez/status/724273065249656833","724273065249656833")</f>
        <v>724273065249656833</v>
      </c>
      <c r="F7506" s="11" t="s">
        <v>48</v>
      </c>
      <c r="G7506" s="11">
        <v>244</v>
      </c>
      <c r="H7506" s="11">
        <v>994</v>
      </c>
      <c r="I7506" s="11">
        <v>4</v>
      </c>
      <c r="J7506" s="11">
        <v>0</v>
      </c>
      <c r="K7506" s="11" t="s">
        <v>21</v>
      </c>
      <c r="L7506" s="7">
        <v>42049.787118055552</v>
      </c>
      <c r="M7506" s="12"/>
      <c r="N7506" s="12"/>
      <c r="O7506" s="10" t="str">
        <f>HYPERLINK("https://pbs.twimg.com/profile_images/567103567228837888/ptxVAeYZ_normal.jpeg","View")</f>
        <v>View</v>
      </c>
      <c r="P7506" s="11"/>
    </row>
    <row r="7507" spans="1:16" ht="12.75" x14ac:dyDescent="0.35">
      <c r="A7507" s="7">
        <v>42484.913564814815</v>
      </c>
      <c r="B7507" s="8" t="str">
        <f>HYPERLINK("https://twitter.com/shoptigerseye","@shoptigerseye")</f>
        <v>@shoptigerseye</v>
      </c>
      <c r="C7507" s="9" t="s">
        <v>16613</v>
      </c>
      <c r="D7507" s="9" t="s">
        <v>16614</v>
      </c>
      <c r="E7507" s="10" t="str">
        <f>HYPERLINK("https://twitter.com/shoptigerseye/status/724273075722838017","724273075722838017")</f>
        <v>724273075722838017</v>
      </c>
      <c r="F7507" s="11" t="s">
        <v>68</v>
      </c>
      <c r="G7507" s="11">
        <v>1061</v>
      </c>
      <c r="H7507" s="11">
        <v>895</v>
      </c>
      <c r="I7507" s="11">
        <v>0</v>
      </c>
      <c r="J7507" s="11">
        <v>0</v>
      </c>
      <c r="K7507" s="11" t="s">
        <v>21</v>
      </c>
      <c r="L7507" s="7">
        <v>40650.916168981479</v>
      </c>
      <c r="M7507" s="12" t="s">
        <v>2038</v>
      </c>
      <c r="N7507" s="12" t="s">
        <v>16615</v>
      </c>
      <c r="O7507" s="10" t="str">
        <f>HYPERLINK("https://pbs.twimg.com/profile_images/649590259324465152/5USqchYh_normal.jpg","View")</f>
        <v>View</v>
      </c>
      <c r="P7507" s="11"/>
    </row>
    <row r="7508" spans="1:16" ht="12.75" x14ac:dyDescent="0.35">
      <c r="A7508" s="7">
        <v>42484.914166666669</v>
      </c>
      <c r="B7508" s="8" t="str">
        <f>HYPERLINK("https://twitter.com/LangeNase","@LangeNase")</f>
        <v>@LangeNase</v>
      </c>
      <c r="C7508" s="9" t="s">
        <v>16616</v>
      </c>
      <c r="D7508" s="9" t="s">
        <v>16617</v>
      </c>
      <c r="E7508" s="10" t="str">
        <f>HYPERLINK("https://twitter.com/LangeNase/status/724273296477421569","724273296477421569")</f>
        <v>724273296477421569</v>
      </c>
      <c r="F7508" s="11" t="s">
        <v>48</v>
      </c>
      <c r="G7508" s="11">
        <v>1219</v>
      </c>
      <c r="H7508" s="11">
        <v>1111</v>
      </c>
      <c r="I7508" s="11">
        <v>2</v>
      </c>
      <c r="J7508" s="11">
        <v>0</v>
      </c>
      <c r="K7508" s="11" t="s">
        <v>21</v>
      </c>
      <c r="L7508" s="7">
        <v>42057.942893518513</v>
      </c>
      <c r="M7508" s="12"/>
      <c r="N7508" s="12" t="s">
        <v>16618</v>
      </c>
      <c r="O7508" s="10" t="str">
        <f>HYPERLINK("https://pbs.twimg.com/profile_images/648457480897474560/ONIr8l8L_normal.jpg","View")</f>
        <v>View</v>
      </c>
      <c r="P7508" s="11"/>
    </row>
    <row r="7509" spans="1:16" ht="12.75" x14ac:dyDescent="0.35">
      <c r="A7509" s="7">
        <v>42484.91474537037</v>
      </c>
      <c r="B7509" s="8" t="str">
        <f>HYPERLINK("https://twitter.com/bruno90alvarez","@bruno90alvarez")</f>
        <v>@bruno90alvarez</v>
      </c>
      <c r="C7509" s="9" t="s">
        <v>16600</v>
      </c>
      <c r="D7509" s="9" t="s">
        <v>16619</v>
      </c>
      <c r="E7509" s="10" t="str">
        <f>HYPERLINK("https://twitter.com/bruno90alvarez/status/724273502786846721","724273502786846721")</f>
        <v>724273502786846721</v>
      </c>
      <c r="F7509" s="11" t="s">
        <v>48</v>
      </c>
      <c r="G7509" s="11">
        <v>244</v>
      </c>
      <c r="H7509" s="11">
        <v>994</v>
      </c>
      <c r="I7509" s="11">
        <v>10</v>
      </c>
      <c r="J7509" s="11">
        <v>0</v>
      </c>
      <c r="K7509" s="11" t="s">
        <v>21</v>
      </c>
      <c r="L7509" s="7">
        <v>42049.787118055552</v>
      </c>
      <c r="M7509" s="12"/>
      <c r="N7509" s="12"/>
      <c r="O7509" s="10" t="str">
        <f>HYPERLINK("https://pbs.twimg.com/profile_images/567103567228837888/ptxVAeYZ_normal.jpeg","View")</f>
        <v>View</v>
      </c>
      <c r="P7509" s="11"/>
    </row>
    <row r="7510" spans="1:16" ht="12.75" x14ac:dyDescent="0.35">
      <c r="A7510" s="7">
        <v>42484.915185185186</v>
      </c>
      <c r="B7510" s="8" t="str">
        <f>HYPERLINK("https://twitter.com/naturewilds","@naturewilds")</f>
        <v>@naturewilds</v>
      </c>
      <c r="C7510" s="9" t="s">
        <v>16620</v>
      </c>
      <c r="D7510" s="9" t="s">
        <v>16617</v>
      </c>
      <c r="E7510" s="10" t="str">
        <f>HYPERLINK("https://twitter.com/naturewilds/status/724273663147696128","724273663147696128")</f>
        <v>724273663147696128</v>
      </c>
      <c r="F7510" s="11" t="s">
        <v>288</v>
      </c>
      <c r="G7510" s="11">
        <v>10125</v>
      </c>
      <c r="H7510" s="11">
        <v>11111</v>
      </c>
      <c r="I7510" s="11">
        <v>2</v>
      </c>
      <c r="J7510" s="11">
        <v>0</v>
      </c>
      <c r="K7510" s="11" t="s">
        <v>21</v>
      </c>
      <c r="L7510" s="7">
        <v>41812.044212962966</v>
      </c>
      <c r="M7510" s="12"/>
      <c r="N7510" s="12" t="s">
        <v>16621</v>
      </c>
      <c r="O7510" s="10" t="str">
        <f>HYPERLINK("https://pbs.twimg.com/profile_images/480637453779230720/TlrOqVmO_normal.jpeg","View")</f>
        <v>View</v>
      </c>
      <c r="P7510" s="11"/>
    </row>
    <row r="7511" spans="1:16" ht="12.75" x14ac:dyDescent="0.35">
      <c r="A7511" s="7">
        <v>42484.915254629625</v>
      </c>
      <c r="B7511" s="8" t="str">
        <f>HYPERLINK("https://twitter.com/BAW_Fluglaerm","@BAW_Fluglaerm")</f>
        <v>@BAW_Fluglaerm</v>
      </c>
      <c r="C7511" s="9" t="s">
        <v>16622</v>
      </c>
      <c r="D7511" s="9" t="s">
        <v>15952</v>
      </c>
      <c r="E7511" s="10" t="str">
        <f>HYPERLINK("https://twitter.com/BAW_Fluglaerm/status/724273687227187200","724273687227187200")</f>
        <v>724273687227187200</v>
      </c>
      <c r="F7511" s="11" t="s">
        <v>20</v>
      </c>
      <c r="G7511" s="11">
        <v>126</v>
      </c>
      <c r="H7511" s="11">
        <v>228</v>
      </c>
      <c r="I7511" s="11">
        <v>5</v>
      </c>
      <c r="J7511" s="11">
        <v>0</v>
      </c>
      <c r="K7511" s="11" t="s">
        <v>21</v>
      </c>
      <c r="L7511" s="7">
        <v>41999.204918981486</v>
      </c>
      <c r="M7511" s="12" t="s">
        <v>953</v>
      </c>
      <c r="N7511" s="12" t="s">
        <v>16623</v>
      </c>
      <c r="O7511" s="10" t="str">
        <f>HYPERLINK("https://pbs.twimg.com/profile_images/590917594745548800/JOO5l23M_normal.jpg","View")</f>
        <v>View</v>
      </c>
      <c r="P7511" s="11"/>
    </row>
    <row r="7512" spans="1:16" ht="12.75" x14ac:dyDescent="0.35">
      <c r="A7512" s="7">
        <v>42484.916041666671</v>
      </c>
      <c r="B7512" s="8" t="str">
        <f>HYPERLINK("https://twitter.com/mrlazarou1","@mrlazarou1")</f>
        <v>@mrlazarou1</v>
      </c>
      <c r="C7512" s="9" t="s">
        <v>16624</v>
      </c>
      <c r="D7512" s="9" t="s">
        <v>16625</v>
      </c>
      <c r="E7512" s="10" t="str">
        <f>HYPERLINK("https://twitter.com/mrlazarou1/status/724273975820464128","724273975820464128")</f>
        <v>724273975820464128</v>
      </c>
      <c r="F7512" s="11" t="s">
        <v>114</v>
      </c>
      <c r="G7512" s="11">
        <v>1969</v>
      </c>
      <c r="H7512" s="11">
        <v>2152</v>
      </c>
      <c r="I7512" s="11">
        <v>0</v>
      </c>
      <c r="J7512" s="11">
        <v>0</v>
      </c>
      <c r="K7512" s="11" t="s">
        <v>21</v>
      </c>
      <c r="L7512" s="7">
        <v>40884.69394675926</v>
      </c>
      <c r="M7512" s="12" t="s">
        <v>8929</v>
      </c>
      <c r="N7512" s="12" t="s">
        <v>16626</v>
      </c>
      <c r="O7512" s="10" t="str">
        <f>HYPERLINK("https://pbs.twimg.com/profile_images/714903470189445120/7K-_DI2m_normal.jpg","View")</f>
        <v>View</v>
      </c>
      <c r="P7512" s="10" t="str">
        <f>HYPERLINK("http://ctrlq.org/maps/address/#51.4821358,-3.2081373","Map")</f>
        <v>Map</v>
      </c>
    </row>
    <row r="7513" spans="1:16" ht="12.75" x14ac:dyDescent="0.35">
      <c r="A7513" s="7">
        <v>42484.916203703702</v>
      </c>
      <c r="B7513" s="8" t="str">
        <f>HYPERLINK("https://twitter.com/LifeAtWarpSpeed","@LifeAtWarpSpeed")</f>
        <v>@LifeAtWarpSpeed</v>
      </c>
      <c r="C7513" s="9" t="s">
        <v>14643</v>
      </c>
      <c r="D7513" s="9" t="s">
        <v>16627</v>
      </c>
      <c r="E7513" s="10" t="str">
        <f>HYPERLINK("https://twitter.com/LifeAtWarpSpeed/status/724274033794138112","724274033794138112")</f>
        <v>724274033794138112</v>
      </c>
      <c r="F7513" s="11" t="s">
        <v>68</v>
      </c>
      <c r="G7513" s="11">
        <v>294</v>
      </c>
      <c r="H7513" s="11">
        <v>0</v>
      </c>
      <c r="I7513" s="11">
        <v>0</v>
      </c>
      <c r="J7513" s="11">
        <v>0</v>
      </c>
      <c r="K7513" s="11" t="s">
        <v>21</v>
      </c>
      <c r="L7513" s="7">
        <v>42389.578865740739</v>
      </c>
      <c r="M7513" s="12"/>
      <c r="N7513" s="12"/>
      <c r="O7513" s="10" t="str">
        <f>HYPERLINK("https://pbs.twimg.com/profile_images/689725910224805889/9N3BPvYo_normal.jpg","View")</f>
        <v>View</v>
      </c>
      <c r="P7513" s="11"/>
    </row>
    <row r="7514" spans="1:16" ht="12.75" x14ac:dyDescent="0.35">
      <c r="A7514" s="7">
        <v>42484.916249999995</v>
      </c>
      <c r="B7514" s="8" t="str">
        <f>HYPERLINK("https://twitter.com/srqstockpicker","@srqstockpicker")</f>
        <v>@srqstockpicker</v>
      </c>
      <c r="C7514" s="9" t="s">
        <v>16628</v>
      </c>
      <c r="D7514" s="9" t="s">
        <v>16629</v>
      </c>
      <c r="E7514" s="10" t="str">
        <f>HYPERLINK("https://twitter.com/srqstockpicker/status/724274051015950344","724274051015950344")</f>
        <v>724274051015950344</v>
      </c>
      <c r="F7514" s="11" t="s">
        <v>48</v>
      </c>
      <c r="G7514" s="11">
        <v>2416</v>
      </c>
      <c r="H7514" s="11">
        <v>1742</v>
      </c>
      <c r="I7514" s="11">
        <v>0</v>
      </c>
      <c r="J7514" s="11">
        <v>0</v>
      </c>
      <c r="K7514" s="11" t="s">
        <v>21</v>
      </c>
      <c r="L7514" s="7">
        <v>39916.492256944446</v>
      </c>
      <c r="M7514" s="12"/>
      <c r="N7514" s="12" t="s">
        <v>16630</v>
      </c>
      <c r="O7514" s="10" t="str">
        <f>HYPERLINK("https://pbs.twimg.com/profile_images/711359756766547970/HXjKioao_normal.jpg","View")</f>
        <v>View</v>
      </c>
      <c r="P7514" s="11"/>
    </row>
    <row r="7515" spans="1:16" ht="12.75" x14ac:dyDescent="0.35">
      <c r="A7515" s="7">
        <v>42484.917754629627</v>
      </c>
      <c r="B7515" s="8" t="str">
        <f>HYPERLINK("https://twitter.com/VWCamperSales","@VWCamperSales")</f>
        <v>@VWCamperSales</v>
      </c>
      <c r="C7515" s="9" t="s">
        <v>216</v>
      </c>
      <c r="D7515" s="9" t="s">
        <v>16631</v>
      </c>
      <c r="E7515" s="10" t="str">
        <f>HYPERLINK("https://twitter.com/VWCamperSales/status/724274596770287616","724274596770287616")</f>
        <v>724274596770287616</v>
      </c>
      <c r="F7515" s="10" t="s">
        <v>124</v>
      </c>
      <c r="G7515" s="11">
        <v>625</v>
      </c>
      <c r="H7515" s="11">
        <v>579</v>
      </c>
      <c r="I7515" s="11">
        <v>0</v>
      </c>
      <c r="J7515" s="11">
        <v>0</v>
      </c>
      <c r="K7515" s="11" t="s">
        <v>21</v>
      </c>
      <c r="L7515" s="7">
        <v>42215.98809027778</v>
      </c>
      <c r="M7515" s="12" t="s">
        <v>129</v>
      </c>
      <c r="N7515" s="12" t="s">
        <v>218</v>
      </c>
      <c r="O7515" s="10" t="str">
        <f>HYPERLINK("https://pbs.twimg.com/profile_images/627949001179037696/skEBkS05_normal.jpg","View")</f>
        <v>View</v>
      </c>
      <c r="P7515" s="11"/>
    </row>
    <row r="7516" spans="1:16" ht="12.75" x14ac:dyDescent="0.35">
      <c r="A7516" s="7">
        <v>42484.918078703704</v>
      </c>
      <c r="B7516" s="8" t="str">
        <f>HYPERLINK("https://twitter.com/IslandVW","@IslandVW")</f>
        <v>@IslandVW</v>
      </c>
      <c r="C7516" s="9" t="s">
        <v>16632</v>
      </c>
      <c r="D7516" s="9" t="s">
        <v>16633</v>
      </c>
      <c r="E7516" s="10" t="str">
        <f>HYPERLINK("https://twitter.com/IslandVW/status/724274711438483462","724274711438483462")</f>
        <v>724274711438483462</v>
      </c>
      <c r="F7516" s="11" t="s">
        <v>2694</v>
      </c>
      <c r="G7516" s="11">
        <v>10</v>
      </c>
      <c r="H7516" s="11">
        <v>51</v>
      </c>
      <c r="I7516" s="11">
        <v>0</v>
      </c>
      <c r="J7516" s="11">
        <v>0</v>
      </c>
      <c r="K7516" s="11" t="s">
        <v>21</v>
      </c>
      <c r="L7516" s="7">
        <v>42275.869062500002</v>
      </c>
      <c r="M7516" s="12" t="s">
        <v>16634</v>
      </c>
      <c r="N7516" s="12" t="s">
        <v>16635</v>
      </c>
      <c r="O7516" s="10" t="str">
        <f>HYPERLINK("https://pbs.twimg.com/profile_images/648518284703195136/ss9Prwk-_normal.jpg","View")</f>
        <v>View</v>
      </c>
      <c r="P7516" s="11"/>
    </row>
    <row r="7517" spans="1:16" ht="12.75" x14ac:dyDescent="0.35">
      <c r="A7517" s="7">
        <v>42484.918437500004</v>
      </c>
      <c r="B7517" s="8" t="str">
        <f>HYPERLINK("https://twitter.com/copeyphoto","@copeyphoto")</f>
        <v>@copeyphoto</v>
      </c>
      <c r="C7517" s="9" t="s">
        <v>5295</v>
      </c>
      <c r="D7517" s="9" t="s">
        <v>16636</v>
      </c>
      <c r="E7517" s="10" t="str">
        <f>HYPERLINK("https://twitter.com/copeyphoto/status/724274841306710016","724274841306710016")</f>
        <v>724274841306710016</v>
      </c>
      <c r="F7517" s="11" t="s">
        <v>53</v>
      </c>
      <c r="G7517" s="11">
        <v>117</v>
      </c>
      <c r="H7517" s="11">
        <v>210</v>
      </c>
      <c r="I7517" s="11">
        <v>0</v>
      </c>
      <c r="J7517" s="11">
        <v>0</v>
      </c>
      <c r="K7517" s="11" t="s">
        <v>21</v>
      </c>
      <c r="L7517" s="7">
        <v>40091.804143518515</v>
      </c>
      <c r="M7517" s="12" t="s">
        <v>5297</v>
      </c>
      <c r="N7517" s="12" t="s">
        <v>5298</v>
      </c>
      <c r="O7517" s="10" t="str">
        <f>HYPERLINK("https://pbs.twimg.com/profile_images/471360227137163264/w2Gvricp_normal.png","View")</f>
        <v>View</v>
      </c>
      <c r="P7517" s="11"/>
    </row>
    <row r="7518" spans="1:16" ht="12.75" x14ac:dyDescent="0.35">
      <c r="A7518" s="7">
        <v>42484.918865740736</v>
      </c>
      <c r="B7518" s="8" t="str">
        <f>HYPERLINK("https://twitter.com/ZzaPina","@ZzaPina")</f>
        <v>@ZzaPina</v>
      </c>
      <c r="C7518" s="9" t="s">
        <v>16637</v>
      </c>
      <c r="D7518" s="9" t="s">
        <v>16638</v>
      </c>
      <c r="E7518" s="10" t="str">
        <f>HYPERLINK("https://twitter.com/ZzaPina/status/724274996546248704","724274996546248704")</f>
        <v>724274996546248704</v>
      </c>
      <c r="F7518" s="11" t="s">
        <v>20</v>
      </c>
      <c r="G7518" s="11">
        <v>2814</v>
      </c>
      <c r="H7518" s="11">
        <v>1383</v>
      </c>
      <c r="I7518" s="11">
        <v>1</v>
      </c>
      <c r="J7518" s="11">
        <v>0</v>
      </c>
      <c r="K7518" s="11" t="s">
        <v>21</v>
      </c>
      <c r="L7518" s="7">
        <v>41210.787777777776</v>
      </c>
      <c r="M7518" s="12"/>
      <c r="N7518" s="12" t="s">
        <v>16639</v>
      </c>
      <c r="O7518" s="10" t="str">
        <f>HYPERLINK("https://pbs.twimg.com/profile_images/723151513737154560/LHEcz2RO_normal.jpg","View")</f>
        <v>View</v>
      </c>
      <c r="P7518" s="11"/>
    </row>
    <row r="7519" spans="1:16" ht="12.75" x14ac:dyDescent="0.35">
      <c r="A7519" s="7">
        <v>42484.920370370368</v>
      </c>
      <c r="B7519" s="8" t="str">
        <f>HYPERLINK("https://twitter.com/cmsGOMEX","@cmsGOMEX")</f>
        <v>@cmsGOMEX</v>
      </c>
      <c r="C7519" s="9" t="s">
        <v>2519</v>
      </c>
      <c r="D7519" s="9" t="s">
        <v>16640</v>
      </c>
      <c r="E7519" s="10" t="str">
        <f>HYPERLINK("https://twitter.com/cmsGOMEX/status/724275541189267457","724275541189267457")</f>
        <v>724275541189267457</v>
      </c>
      <c r="F7519" s="11" t="s">
        <v>43</v>
      </c>
      <c r="G7519" s="11">
        <v>653</v>
      </c>
      <c r="H7519" s="11">
        <v>462</v>
      </c>
      <c r="I7519" s="11">
        <v>1</v>
      </c>
      <c r="J7519" s="11">
        <v>0</v>
      </c>
      <c r="K7519" s="11" t="s">
        <v>21</v>
      </c>
      <c r="L7519" s="7">
        <v>39983.775879629626</v>
      </c>
      <c r="M7519" s="12" t="s">
        <v>1116</v>
      </c>
      <c r="N7519" s="12" t="s">
        <v>2521</v>
      </c>
      <c r="O7519" s="10" t="str">
        <f>HYPERLINK("https://pbs.twimg.com/profile_images/472298206483607552/UogAMiRI_normal.png","View")</f>
        <v>View</v>
      </c>
      <c r="P7519" s="11"/>
    </row>
    <row r="7520" spans="1:16" ht="12.75" x14ac:dyDescent="0.35">
      <c r="A7520" s="7">
        <v>42484.92050925926</v>
      </c>
      <c r="B7520" s="8" t="str">
        <f>HYPERLINK("https://twitter.com/CheckeredFlagVW","@CheckeredFlagVW")</f>
        <v>@CheckeredFlagVW</v>
      </c>
      <c r="C7520" s="9" t="s">
        <v>16641</v>
      </c>
      <c r="D7520" s="9" t="s">
        <v>16642</v>
      </c>
      <c r="E7520" s="10" t="str">
        <f>HYPERLINK("https://twitter.com/CheckeredFlagVW/status/724275592171016192","724275592171016192")</f>
        <v>724275592171016192</v>
      </c>
      <c r="F7520" s="11" t="s">
        <v>2694</v>
      </c>
      <c r="G7520" s="11">
        <v>102</v>
      </c>
      <c r="H7520" s="11">
        <v>297</v>
      </c>
      <c r="I7520" s="11">
        <v>0</v>
      </c>
      <c r="J7520" s="11">
        <v>0</v>
      </c>
      <c r="K7520" s="11" t="s">
        <v>21</v>
      </c>
      <c r="L7520" s="7">
        <v>41004.133321759262</v>
      </c>
      <c r="M7520" s="12" t="s">
        <v>5994</v>
      </c>
      <c r="N7520" s="12" t="s">
        <v>16643</v>
      </c>
      <c r="O7520" s="10" t="str">
        <f>HYPERLINK("https://pbs.twimg.com/profile_images/559752996410507264/2Wfh6T_a_normal.jpeg","View")</f>
        <v>View</v>
      </c>
      <c r="P7520" s="11"/>
    </row>
    <row r="7521" spans="1:16" ht="12.75" x14ac:dyDescent="0.35">
      <c r="A7521" s="7">
        <v>42484.920706018514</v>
      </c>
      <c r="B7521" s="8" t="str">
        <f>HYPERLINK("https://twitter.com/cmsGOMEX","@cmsGOMEX")</f>
        <v>@cmsGOMEX</v>
      </c>
      <c r="C7521" s="9" t="s">
        <v>2519</v>
      </c>
      <c r="D7521" s="9" t="s">
        <v>15882</v>
      </c>
      <c r="E7521" s="10" t="str">
        <f>HYPERLINK("https://twitter.com/cmsGOMEX/status/724275665520959488","724275665520959488")</f>
        <v>724275665520959488</v>
      </c>
      <c r="F7521" s="11" t="s">
        <v>43</v>
      </c>
      <c r="G7521" s="11">
        <v>653</v>
      </c>
      <c r="H7521" s="11">
        <v>462</v>
      </c>
      <c r="I7521" s="11">
        <v>4</v>
      </c>
      <c r="J7521" s="11">
        <v>0</v>
      </c>
      <c r="K7521" s="11" t="s">
        <v>21</v>
      </c>
      <c r="L7521" s="7">
        <v>39983.775879629626</v>
      </c>
      <c r="M7521" s="12" t="s">
        <v>1116</v>
      </c>
      <c r="N7521" s="12" t="s">
        <v>2521</v>
      </c>
      <c r="O7521" s="10" t="str">
        <f>HYPERLINK("https://pbs.twimg.com/profile_images/472298206483607552/UogAMiRI_normal.png","View")</f>
        <v>View</v>
      </c>
      <c r="P7521" s="11"/>
    </row>
    <row r="7522" spans="1:16" ht="12.75" x14ac:dyDescent="0.35">
      <c r="A7522" s="7">
        <v>42484.922164351854</v>
      </c>
      <c r="B7522" s="8" t="str">
        <f>HYPERLINK("https://twitter.com/vwdepo","@vwdepo")</f>
        <v>@vwdepo</v>
      </c>
      <c r="C7522" s="9" t="s">
        <v>134</v>
      </c>
      <c r="D7522" s="9" t="s">
        <v>16644</v>
      </c>
      <c r="E7522" s="10" t="str">
        <f>HYPERLINK("https://twitter.com/vwdepo/status/724276192870715392","724276192870715392")</f>
        <v>724276192870715392</v>
      </c>
      <c r="F7522" s="11" t="s">
        <v>53</v>
      </c>
      <c r="G7522" s="11">
        <v>782</v>
      </c>
      <c r="H7522" s="11">
        <v>384</v>
      </c>
      <c r="I7522" s="11">
        <v>0</v>
      </c>
      <c r="J7522" s="11">
        <v>0</v>
      </c>
      <c r="K7522" s="11" t="s">
        <v>21</v>
      </c>
      <c r="L7522" s="7">
        <v>39891.992905092593</v>
      </c>
      <c r="M7522" s="12" t="s">
        <v>136</v>
      </c>
      <c r="N7522" s="12" t="s">
        <v>137</v>
      </c>
      <c r="O7522" s="10" t="str">
        <f>HYPERLINK("https://pbs.twimg.com/profile_images/3378184537/c20ae9a7a410821b4f189c34a63380f7_normal.png","View")</f>
        <v>View</v>
      </c>
      <c r="P7522" s="11"/>
    </row>
    <row r="7523" spans="1:16" ht="12.75" x14ac:dyDescent="0.35">
      <c r="A7523" s="7">
        <v>42484.922361111108</v>
      </c>
      <c r="B7523" s="8" t="str">
        <f>HYPERLINK("https://twitter.com/KholodovSl","@KholodovSl")</f>
        <v>@KholodovSl</v>
      </c>
      <c r="C7523" s="9" t="s">
        <v>16645</v>
      </c>
      <c r="D7523" s="9" t="s">
        <v>16646</v>
      </c>
      <c r="E7523" s="10" t="str">
        <f>HYPERLINK("https://twitter.com/KholodovSl/status/724276263213477889","724276263213477889")</f>
        <v>724276263213477889</v>
      </c>
      <c r="F7523" s="11" t="s">
        <v>114</v>
      </c>
      <c r="G7523" s="11">
        <v>41</v>
      </c>
      <c r="H7523" s="11">
        <v>11</v>
      </c>
      <c r="I7523" s="11">
        <v>0</v>
      </c>
      <c r="J7523" s="11">
        <v>0</v>
      </c>
      <c r="K7523" s="11" t="s">
        <v>21</v>
      </c>
      <c r="L7523" s="7">
        <v>40972.871620370366</v>
      </c>
      <c r="M7523" s="12" t="s">
        <v>16647</v>
      </c>
      <c r="N7523" s="12" t="s">
        <v>16648</v>
      </c>
      <c r="O7523" s="10" t="str">
        <f>HYPERLINK("https://pbs.twimg.com/profile_images/604245029486489601/bZRfHsq9_normal.jpg","View")</f>
        <v>View</v>
      </c>
      <c r="P7523" s="10" t="str">
        <f>HYPERLINK("http://ctrlq.org/maps/address/#51.7906041,39.20615585","Map")</f>
        <v>Map</v>
      </c>
    </row>
    <row r="7524" spans="1:16" ht="12.75" x14ac:dyDescent="0.35">
      <c r="A7524" s="7">
        <v>42484.922754629632</v>
      </c>
      <c r="B7524" s="8" t="str">
        <f>HYPERLINK("https://twitter.com/Its_Master_Q","@Its_Master_Q")</f>
        <v>@Its_Master_Q</v>
      </c>
      <c r="C7524" s="9" t="s">
        <v>16649</v>
      </c>
      <c r="D7524" s="9" t="s">
        <v>16650</v>
      </c>
      <c r="E7524" s="10" t="str">
        <f>HYPERLINK("https://twitter.com/Its_Master_Q/status/724276407468195840","724276407468195840")</f>
        <v>724276407468195840</v>
      </c>
      <c r="F7524" s="11" t="s">
        <v>20</v>
      </c>
      <c r="G7524" s="11">
        <v>1239</v>
      </c>
      <c r="H7524" s="11">
        <v>1197</v>
      </c>
      <c r="I7524" s="11">
        <v>1</v>
      </c>
      <c r="J7524" s="11">
        <v>0</v>
      </c>
      <c r="K7524" s="11" t="s">
        <v>21</v>
      </c>
      <c r="L7524" s="7">
        <v>40008.879143518519</v>
      </c>
      <c r="M7524" s="12" t="s">
        <v>16651</v>
      </c>
      <c r="N7524" s="12" t="s">
        <v>16652</v>
      </c>
      <c r="O7524" s="10" t="str">
        <f>HYPERLINK("https://pbs.twimg.com/profile_images/715829733720723456/q_UQUrtB_normal.jpg","View")</f>
        <v>View</v>
      </c>
      <c r="P7524" s="11"/>
    </row>
    <row r="7525" spans="1:16" ht="12.75" x14ac:dyDescent="0.35">
      <c r="A7525" s="7">
        <v>42484.92287037037</v>
      </c>
      <c r="B7525" s="8" t="str">
        <f>HYPERLINK("https://twitter.com/Lostforlive15","@Lostforlive15")</f>
        <v>@Lostforlive15</v>
      </c>
      <c r="C7525" s="9" t="s">
        <v>16653</v>
      </c>
      <c r="D7525" s="9" t="s">
        <v>16084</v>
      </c>
      <c r="E7525" s="10" t="str">
        <f>HYPERLINK("https://twitter.com/Lostforlive15/status/724276450375950337","724276450375950337")</f>
        <v>724276450375950337</v>
      </c>
      <c r="F7525" s="11" t="s">
        <v>725</v>
      </c>
      <c r="G7525" s="11">
        <v>12</v>
      </c>
      <c r="H7525" s="11">
        <v>64</v>
      </c>
      <c r="I7525" s="11">
        <v>3</v>
      </c>
      <c r="J7525" s="11">
        <v>0</v>
      </c>
      <c r="K7525" s="11" t="s">
        <v>21</v>
      </c>
      <c r="L7525" s="7">
        <v>42412.119293981479</v>
      </c>
      <c r="M7525" s="12"/>
      <c r="N7525" s="12"/>
      <c r="O7525" s="10" t="str">
        <f>HYPERLINK("https://pbs.twimg.com/profile_images/697894625302941696/tZHvGLVU_normal.jpg","View")</f>
        <v>View</v>
      </c>
      <c r="P7525" s="11"/>
    </row>
    <row r="7526" spans="1:16" ht="12.75" x14ac:dyDescent="0.35">
      <c r="A7526" s="7">
        <v>42484.92359953704</v>
      </c>
      <c r="B7526" s="8" t="str">
        <f>HYPERLINK("https://twitter.com/wildcat_real","@wildcat_real")</f>
        <v>@wildcat_real</v>
      </c>
      <c r="C7526" s="9" t="s">
        <v>16654</v>
      </c>
      <c r="D7526" s="9" t="s">
        <v>16655</v>
      </c>
      <c r="E7526" s="10" t="str">
        <f>HYPERLINK("https://twitter.com/wildcat_real/status/724276712029196288","724276712029196288")</f>
        <v>724276712029196288</v>
      </c>
      <c r="F7526" s="11" t="s">
        <v>48</v>
      </c>
      <c r="G7526" s="11">
        <v>277</v>
      </c>
      <c r="H7526" s="11">
        <v>330</v>
      </c>
      <c r="I7526" s="11">
        <v>1</v>
      </c>
      <c r="J7526" s="11">
        <v>0</v>
      </c>
      <c r="K7526" s="11" t="s">
        <v>21</v>
      </c>
      <c r="L7526" s="7">
        <v>41080.531226851854</v>
      </c>
      <c r="M7526" s="12" t="s">
        <v>16656</v>
      </c>
      <c r="N7526" s="12" t="s">
        <v>16657</v>
      </c>
      <c r="O7526" s="10" t="str">
        <f>HYPERLINK("https://pbs.twimg.com/profile_images/724205141289754624/w_OmdCHD_normal.jpg","View")</f>
        <v>View</v>
      </c>
      <c r="P7526" s="11"/>
    </row>
    <row r="7527" spans="1:16" ht="12.75" x14ac:dyDescent="0.35">
      <c r="A7527" s="7">
        <v>42484.924502314811</v>
      </c>
      <c r="B7527" s="8" t="str">
        <f>HYPERLINK("https://twitter.com/saimisim_pasta","@saimisim_pasta")</f>
        <v>@saimisim_pasta</v>
      </c>
      <c r="C7527" s="9" t="s">
        <v>16658</v>
      </c>
      <c r="D7527" s="9" t="s">
        <v>16659</v>
      </c>
      <c r="E7527" s="10" t="str">
        <f>HYPERLINK("https://twitter.com/saimisim_pasta/status/724277041302888448","724277041302888448")</f>
        <v>724277041302888448</v>
      </c>
      <c r="F7527" s="11" t="s">
        <v>114</v>
      </c>
      <c r="G7527" s="11">
        <v>79</v>
      </c>
      <c r="H7527" s="11">
        <v>2</v>
      </c>
      <c r="I7527" s="11">
        <v>0</v>
      </c>
      <c r="J7527" s="11">
        <v>0</v>
      </c>
      <c r="K7527" s="11" t="s">
        <v>21</v>
      </c>
      <c r="L7527" s="7">
        <v>41373.00063657407</v>
      </c>
      <c r="M7527" s="12" t="s">
        <v>16660</v>
      </c>
      <c r="N7527" s="12" t="s">
        <v>16661</v>
      </c>
      <c r="O7527" s="10" t="str">
        <f>HYPERLINK("https://pbs.twimg.com/profile_images/3495443611/f8d62116cc5175519399d65e25f834e2_normal.jpeg","View")</f>
        <v>View</v>
      </c>
      <c r="P7527" s="11"/>
    </row>
    <row r="7528" spans="1:16" ht="12.75" x14ac:dyDescent="0.35">
      <c r="A7528" s="7">
        <v>42484.925532407404</v>
      </c>
      <c r="B7528" s="8" t="str">
        <f>HYPERLINK("https://twitter.com/SantaPodRaceway","@SantaPodRaceway")</f>
        <v>@SantaPodRaceway</v>
      </c>
      <c r="C7528" s="9" t="s">
        <v>3995</v>
      </c>
      <c r="D7528" s="9" t="s">
        <v>16662</v>
      </c>
      <c r="E7528" s="10" t="str">
        <f>HYPERLINK("https://twitter.com/SantaPodRaceway/status/724277415179083777","724277415179083777")</f>
        <v>724277415179083777</v>
      </c>
      <c r="F7528" s="11" t="s">
        <v>20</v>
      </c>
      <c r="G7528" s="11">
        <v>12570</v>
      </c>
      <c r="H7528" s="11">
        <v>222</v>
      </c>
      <c r="I7528" s="11">
        <v>0</v>
      </c>
      <c r="J7528" s="11">
        <v>0</v>
      </c>
      <c r="K7528" s="11" t="s">
        <v>21</v>
      </c>
      <c r="L7528" s="7">
        <v>39909.915972222225</v>
      </c>
      <c r="M7528" s="12" t="s">
        <v>3997</v>
      </c>
      <c r="N7528" s="12" t="s">
        <v>3998</v>
      </c>
      <c r="O7528" s="10" t="str">
        <f>HYPERLINK("https://pbs.twimg.com/profile_images/378800000801365829/e9f28f8996ff7f098d9b8a1840e76f50_normal.png","View")</f>
        <v>View</v>
      </c>
      <c r="P7528" s="11"/>
    </row>
    <row r="7529" spans="1:16" ht="12.75" x14ac:dyDescent="0.35">
      <c r="A7529" s="7">
        <v>42484.925706018519</v>
      </c>
      <c r="B7529" s="8" t="str">
        <f>HYPERLINK("https://twitter.com/saimisim_pasta","@saimisim_pasta")</f>
        <v>@saimisim_pasta</v>
      </c>
      <c r="C7529" s="9" t="s">
        <v>16658</v>
      </c>
      <c r="D7529" s="9" t="s">
        <v>16663</v>
      </c>
      <c r="E7529" s="10" t="str">
        <f>HYPERLINK("https://twitter.com/saimisim_pasta/status/724277478215176192","724277478215176192")</f>
        <v>724277478215176192</v>
      </c>
      <c r="F7529" s="11" t="s">
        <v>114</v>
      </c>
      <c r="G7529" s="11">
        <v>79</v>
      </c>
      <c r="H7529" s="11">
        <v>2</v>
      </c>
      <c r="I7529" s="11">
        <v>0</v>
      </c>
      <c r="J7529" s="11">
        <v>0</v>
      </c>
      <c r="K7529" s="11" t="s">
        <v>21</v>
      </c>
      <c r="L7529" s="7">
        <v>41373.00063657407</v>
      </c>
      <c r="M7529" s="12" t="s">
        <v>16660</v>
      </c>
      <c r="N7529" s="12" t="s">
        <v>16661</v>
      </c>
      <c r="O7529" s="10" t="str">
        <f>HYPERLINK("https://pbs.twimg.com/profile_images/3495443611/f8d62116cc5175519399d65e25f834e2_normal.jpeg","View")</f>
        <v>View</v>
      </c>
      <c r="P7529" s="11"/>
    </row>
    <row r="7530" spans="1:16" ht="12.75" x14ac:dyDescent="0.35">
      <c r="A7530" s="7">
        <v>42484.926099537042</v>
      </c>
      <c r="B7530" s="8" t="str">
        <f>HYPERLINK("https://twitter.com/VWCamperSales","@VWCamperSales")</f>
        <v>@VWCamperSales</v>
      </c>
      <c r="C7530" s="9" t="s">
        <v>216</v>
      </c>
      <c r="D7530" s="9" t="s">
        <v>16664</v>
      </c>
      <c r="E7530" s="10" t="str">
        <f>HYPERLINK("https://twitter.com/VWCamperSales/status/724277618455924740","724277618455924740")</f>
        <v>724277618455924740</v>
      </c>
      <c r="F7530" s="10" t="s">
        <v>124</v>
      </c>
      <c r="G7530" s="11">
        <v>625</v>
      </c>
      <c r="H7530" s="11">
        <v>579</v>
      </c>
      <c r="I7530" s="11">
        <v>0</v>
      </c>
      <c r="J7530" s="11">
        <v>0</v>
      </c>
      <c r="K7530" s="11" t="s">
        <v>21</v>
      </c>
      <c r="L7530" s="7">
        <v>42215.98809027778</v>
      </c>
      <c r="M7530" s="12" t="s">
        <v>129</v>
      </c>
      <c r="N7530" s="12" t="s">
        <v>218</v>
      </c>
      <c r="O7530" s="10" t="str">
        <f>HYPERLINK("https://pbs.twimg.com/profile_images/627949001179037696/skEBkS05_normal.jpg","View")</f>
        <v>View</v>
      </c>
      <c r="P7530" s="11"/>
    </row>
    <row r="7531" spans="1:16" ht="12.75" x14ac:dyDescent="0.35">
      <c r="A7531" s="7">
        <v>42484.926990740743</v>
      </c>
      <c r="B7531" s="8" t="str">
        <f t="shared" ref="B7531:B7532" si="735">HYPERLINK("https://twitter.com/saimisim_pasta","@saimisim_pasta")</f>
        <v>@saimisim_pasta</v>
      </c>
      <c r="C7531" s="9" t="s">
        <v>16658</v>
      </c>
      <c r="D7531" s="9" t="s">
        <v>16665</v>
      </c>
      <c r="E7531" s="10" t="str">
        <f>HYPERLINK("https://twitter.com/saimisim_pasta/status/724277940154818560","724277940154818560")</f>
        <v>724277940154818560</v>
      </c>
      <c r="F7531" s="11" t="s">
        <v>114</v>
      </c>
      <c r="G7531" s="11">
        <v>79</v>
      </c>
      <c r="H7531" s="11">
        <v>2</v>
      </c>
      <c r="I7531" s="11">
        <v>0</v>
      </c>
      <c r="J7531" s="11">
        <v>0</v>
      </c>
      <c r="K7531" s="11" t="s">
        <v>21</v>
      </c>
      <c r="L7531" s="7">
        <v>41373.00063657407</v>
      </c>
      <c r="M7531" s="12" t="s">
        <v>16660</v>
      </c>
      <c r="N7531" s="12" t="s">
        <v>16661</v>
      </c>
      <c r="O7531" s="10" t="str">
        <f t="shared" ref="O7531:O7532" si="736">HYPERLINK("https://pbs.twimg.com/profile_images/3495443611/f8d62116cc5175519399d65e25f834e2_normal.jpeg","View")</f>
        <v>View</v>
      </c>
      <c r="P7531" s="11"/>
    </row>
    <row r="7532" spans="1:16" ht="12.75" x14ac:dyDescent="0.35">
      <c r="A7532" s="7">
        <v>42484.927569444444</v>
      </c>
      <c r="B7532" s="8" t="str">
        <f t="shared" si="735"/>
        <v>@saimisim_pasta</v>
      </c>
      <c r="C7532" s="9" t="s">
        <v>16658</v>
      </c>
      <c r="D7532" s="9" t="s">
        <v>16666</v>
      </c>
      <c r="E7532" s="10" t="str">
        <f>HYPERLINK("https://twitter.com/saimisim_pasta/status/724278152168505345","724278152168505345")</f>
        <v>724278152168505345</v>
      </c>
      <c r="F7532" s="11" t="s">
        <v>114</v>
      </c>
      <c r="G7532" s="11">
        <v>79</v>
      </c>
      <c r="H7532" s="11">
        <v>2</v>
      </c>
      <c r="I7532" s="11">
        <v>0</v>
      </c>
      <c r="J7532" s="11">
        <v>0</v>
      </c>
      <c r="K7532" s="11" t="s">
        <v>21</v>
      </c>
      <c r="L7532" s="7">
        <v>41373.00063657407</v>
      </c>
      <c r="M7532" s="12" t="s">
        <v>16660</v>
      </c>
      <c r="N7532" s="12" t="s">
        <v>16661</v>
      </c>
      <c r="O7532" s="10" t="str">
        <f t="shared" si="736"/>
        <v>View</v>
      </c>
      <c r="P7532" s="11"/>
    </row>
    <row r="7533" spans="1:16" ht="12.75" x14ac:dyDescent="0.35">
      <c r="A7533" s="7">
        <v>42484.92800925926</v>
      </c>
      <c r="B7533" s="8" t="str">
        <f>HYPERLINK("https://twitter.com/BulliundClyde","@BulliundClyde")</f>
        <v>@BulliundClyde</v>
      </c>
      <c r="C7533" s="9" t="s">
        <v>16667</v>
      </c>
      <c r="D7533" s="9" t="s">
        <v>16668</v>
      </c>
      <c r="E7533" s="10" t="str">
        <f>HYPERLINK("https://twitter.com/BulliundClyde/status/724278310134505474","724278310134505474")</f>
        <v>724278310134505474</v>
      </c>
      <c r="F7533" s="11" t="s">
        <v>68</v>
      </c>
      <c r="G7533" s="11">
        <v>40</v>
      </c>
      <c r="H7533" s="11">
        <v>120</v>
      </c>
      <c r="I7533" s="11">
        <v>0</v>
      </c>
      <c r="J7533" s="11">
        <v>1</v>
      </c>
      <c r="K7533" s="11" t="s">
        <v>21</v>
      </c>
      <c r="L7533" s="7">
        <v>41982.089097222226</v>
      </c>
      <c r="M7533" s="12" t="s">
        <v>7300</v>
      </c>
      <c r="N7533" s="12" t="s">
        <v>16669</v>
      </c>
      <c r="O7533" s="10" t="str">
        <f>HYPERLINK("https://pbs.twimg.com/profile_images/578486872965570560/5dIQvBah_normal.jpeg","View")</f>
        <v>View</v>
      </c>
      <c r="P7533" s="11"/>
    </row>
    <row r="7534" spans="1:16" ht="12.75" x14ac:dyDescent="0.35">
      <c r="A7534" s="7">
        <v>42484.928182870368</v>
      </c>
      <c r="B7534" s="8" t="str">
        <f>HYPERLINK("https://twitter.com/_C4productions_","@_C4productions_")</f>
        <v>@_C4productions_</v>
      </c>
      <c r="C7534" s="9" t="s">
        <v>16543</v>
      </c>
      <c r="D7534" s="9" t="s">
        <v>16670</v>
      </c>
      <c r="E7534" s="10" t="str">
        <f>HYPERLINK("https://twitter.com/_C4productions_/status/724278372591800321","724278372591800321")</f>
        <v>724278372591800321</v>
      </c>
      <c r="F7534" s="11" t="s">
        <v>20</v>
      </c>
      <c r="G7534" s="11">
        <v>529</v>
      </c>
      <c r="H7534" s="11">
        <v>1291</v>
      </c>
      <c r="I7534" s="11">
        <v>0</v>
      </c>
      <c r="J7534" s="11">
        <v>0</v>
      </c>
      <c r="K7534" s="11" t="s">
        <v>21</v>
      </c>
      <c r="L7534" s="7">
        <v>41801.401828703703</v>
      </c>
      <c r="M7534" s="12" t="s">
        <v>16545</v>
      </c>
      <c r="N7534" s="12" t="s">
        <v>16546</v>
      </c>
      <c r="O7534" s="10" t="str">
        <f>HYPERLINK("https://pbs.twimg.com/profile_images/722863508832985088/NKyewnNu_normal.jpg","View")</f>
        <v>View</v>
      </c>
      <c r="P7534" s="11"/>
    </row>
    <row r="7535" spans="1:16" ht="12.75" x14ac:dyDescent="0.35">
      <c r="A7535" s="7">
        <v>42484.928425925929</v>
      </c>
      <c r="B7535" s="8" t="str">
        <f>HYPERLINK("https://twitter.com/hydronavitas1","@hydronavitas1")</f>
        <v>@hydronavitas1</v>
      </c>
      <c r="C7535" s="9" t="s">
        <v>8289</v>
      </c>
      <c r="D7535" s="9" t="s">
        <v>16671</v>
      </c>
      <c r="E7535" s="10" t="str">
        <f>HYPERLINK("https://twitter.com/hydronavitas1/status/724278461733453824","724278461733453824")</f>
        <v>724278461733453824</v>
      </c>
      <c r="F7535" s="11" t="s">
        <v>20</v>
      </c>
      <c r="G7535" s="11">
        <v>87</v>
      </c>
      <c r="H7535" s="11">
        <v>459</v>
      </c>
      <c r="I7535" s="11">
        <v>1</v>
      </c>
      <c r="J7535" s="11">
        <v>0</v>
      </c>
      <c r="K7535" s="11" t="s">
        <v>21</v>
      </c>
      <c r="L7535" s="7">
        <v>41816.127488425926</v>
      </c>
      <c r="M7535" s="12" t="s">
        <v>8290</v>
      </c>
      <c r="N7535" s="12" t="s">
        <v>8291</v>
      </c>
      <c r="O7535" s="10" t="str">
        <f>HYPERLINK("https://pbs.twimg.com/profile_images/482299890509578240/8vKC9fS-_normal.jpeg","View")</f>
        <v>View</v>
      </c>
      <c r="P7535" s="11"/>
    </row>
    <row r="7536" spans="1:16" ht="12.75" x14ac:dyDescent="0.35">
      <c r="A7536" s="7">
        <v>42484.929282407407</v>
      </c>
      <c r="B7536" s="8" t="str">
        <f>HYPERLINK("https://twitter.com/oldcar_photo","@oldcar_photo")</f>
        <v>@oldcar_photo</v>
      </c>
      <c r="C7536" s="9" t="s">
        <v>1046</v>
      </c>
      <c r="D7536" s="9" t="s">
        <v>16672</v>
      </c>
      <c r="E7536" s="10" t="str">
        <f>HYPERLINK("https://twitter.com/oldcar_photo/status/724278773336694784","724278773336694784")</f>
        <v>724278773336694784</v>
      </c>
      <c r="F7536" s="11" t="s">
        <v>68</v>
      </c>
      <c r="G7536" s="11">
        <v>2005</v>
      </c>
      <c r="H7536" s="11">
        <v>0</v>
      </c>
      <c r="I7536" s="11">
        <v>0</v>
      </c>
      <c r="J7536" s="11">
        <v>0</v>
      </c>
      <c r="K7536" s="11" t="s">
        <v>21</v>
      </c>
      <c r="L7536" s="7">
        <v>42184.7341087963</v>
      </c>
      <c r="M7536" s="12"/>
      <c r="N7536" s="12"/>
      <c r="O7536" s="10" t="str">
        <f>HYPERLINK("https://pbs.twimg.com/profile_images/615493650785660928/XHUh6HOk_normal.jpg","View")</f>
        <v>View</v>
      </c>
      <c r="P7536" s="11"/>
    </row>
    <row r="7537" spans="1:16" ht="12.75" x14ac:dyDescent="0.35">
      <c r="A7537" s="7">
        <v>42484.929537037038</v>
      </c>
      <c r="B7537" s="8" t="str">
        <f>HYPERLINK("https://twitter.com/PiratchenLukai","@PiratchenLukai")</f>
        <v>@PiratchenLukai</v>
      </c>
      <c r="C7537" s="9" t="s">
        <v>16673</v>
      </c>
      <c r="D7537" s="9" t="s">
        <v>16674</v>
      </c>
      <c r="E7537" s="10" t="str">
        <f>HYPERLINK("https://twitter.com/PiratchenLukai/status/724278865443622912","724278865443622912")</f>
        <v>724278865443622912</v>
      </c>
      <c r="F7537" s="11" t="s">
        <v>43</v>
      </c>
      <c r="G7537" s="11">
        <v>114</v>
      </c>
      <c r="H7537" s="11">
        <v>138</v>
      </c>
      <c r="I7537" s="11">
        <v>1</v>
      </c>
      <c r="J7537" s="11">
        <v>1</v>
      </c>
      <c r="K7537" s="11" t="s">
        <v>21</v>
      </c>
      <c r="L7537" s="7">
        <v>41259.316087962965</v>
      </c>
      <c r="M7537" s="12"/>
      <c r="N7537" s="12" t="s">
        <v>16675</v>
      </c>
      <c r="O7537" s="10" t="str">
        <f>HYPERLINK("https://pbs.twimg.com/profile_images/2980701149/1e99eebe286037564b8c6b96d36c4b6d_normal.png","View")</f>
        <v>View</v>
      </c>
      <c r="P7537" s="11"/>
    </row>
    <row r="7538" spans="1:16" ht="12.75" x14ac:dyDescent="0.35">
      <c r="A7538" s="7">
        <v>42484.929872685185</v>
      </c>
      <c r="B7538" s="8" t="str">
        <f>HYPERLINK("https://twitter.com/lucioogo","@lucioogo")</f>
        <v>@lucioogo</v>
      </c>
      <c r="C7538" s="9" t="s">
        <v>16676</v>
      </c>
      <c r="D7538" s="9" t="s">
        <v>16677</v>
      </c>
      <c r="E7538" s="10" t="str">
        <f>HYPERLINK("https://twitter.com/lucioogo/status/724278986575110144","724278986575110144")</f>
        <v>724278986575110144</v>
      </c>
      <c r="F7538" s="11" t="s">
        <v>48</v>
      </c>
      <c r="G7538" s="11">
        <v>77</v>
      </c>
      <c r="H7538" s="11">
        <v>303</v>
      </c>
      <c r="I7538" s="11">
        <v>0</v>
      </c>
      <c r="J7538" s="11">
        <v>0</v>
      </c>
      <c r="K7538" s="11" t="s">
        <v>21</v>
      </c>
      <c r="L7538" s="7">
        <v>41825.294699074075</v>
      </c>
      <c r="M7538" s="12" t="s">
        <v>16678</v>
      </c>
      <c r="N7538" s="12" t="s">
        <v>16679</v>
      </c>
      <c r="O7538" s="10" t="str">
        <f>HYPERLINK("https://pbs.twimg.com/profile_images/699747254790451200/XG8v3Sw1_normal.jpg","View")</f>
        <v>View</v>
      </c>
      <c r="P7538" s="11"/>
    </row>
    <row r="7539" spans="1:16" ht="12.75" x14ac:dyDescent="0.35">
      <c r="A7539" s="7">
        <v>42484.9299537037</v>
      </c>
      <c r="B7539" s="8" t="str">
        <f>HYPERLINK("https://twitter.com/joannemariol","@joannemariol")</f>
        <v>@joannemariol</v>
      </c>
      <c r="C7539" s="9" t="s">
        <v>16680</v>
      </c>
      <c r="D7539" s="9" t="s">
        <v>16681</v>
      </c>
      <c r="E7539" s="10" t="str">
        <f>HYPERLINK("https://twitter.com/joannemariol/status/724279017919123456","724279017919123456")</f>
        <v>724279017919123456</v>
      </c>
      <c r="F7539" s="11" t="s">
        <v>43</v>
      </c>
      <c r="G7539" s="11">
        <v>182</v>
      </c>
      <c r="H7539" s="11">
        <v>237</v>
      </c>
      <c r="I7539" s="11">
        <v>0</v>
      </c>
      <c r="J7539" s="11">
        <v>0</v>
      </c>
      <c r="K7539" s="11" t="s">
        <v>21</v>
      </c>
      <c r="L7539" s="7">
        <v>39980.165810185186</v>
      </c>
      <c r="M7539" s="12" t="s">
        <v>5611</v>
      </c>
      <c r="N7539" s="12" t="s">
        <v>16682</v>
      </c>
      <c r="O7539" s="10" t="str">
        <f>HYPERLINK("https://pbs.twimg.com/profile_images/470615666496532480/Su1-rkIN_normal.jpeg","View")</f>
        <v>View</v>
      </c>
      <c r="P7539" s="11"/>
    </row>
    <row r="7540" spans="1:16" ht="12.75" x14ac:dyDescent="0.35">
      <c r="A7540" s="7">
        <v>42484.930138888885</v>
      </c>
      <c r="B7540" s="8" t="str">
        <f t="shared" ref="B7540:B7541" si="737">HYPERLINK("https://twitter.com/VeeDubMk1_","@VeeDubMk1_")</f>
        <v>@VeeDubMk1_</v>
      </c>
      <c r="C7540" s="9" t="s">
        <v>185</v>
      </c>
      <c r="D7540" s="9" t="s">
        <v>16683</v>
      </c>
      <c r="E7540" s="10" t="str">
        <f>HYPERLINK("https://twitter.com/VeeDubMk1_/status/724279081911619585","724279081911619585")</f>
        <v>724279081911619585</v>
      </c>
      <c r="F7540" s="11" t="s">
        <v>68</v>
      </c>
      <c r="G7540" s="11">
        <v>549</v>
      </c>
      <c r="H7540" s="11">
        <v>3528</v>
      </c>
      <c r="I7540" s="11">
        <v>0</v>
      </c>
      <c r="J7540" s="11">
        <v>0</v>
      </c>
      <c r="K7540" s="11" t="s">
        <v>21</v>
      </c>
      <c r="L7540" s="7">
        <v>42343.063356481478</v>
      </c>
      <c r="M7540" s="12"/>
      <c r="N7540" s="12"/>
      <c r="O7540" s="10" t="str">
        <f t="shared" ref="O7540:O7541" si="738">HYPERLINK("https://pbs.twimg.com/profile_images/672878354127839232/M7OYc-zx_normal.jpg","View")</f>
        <v>View</v>
      </c>
      <c r="P7540" s="11"/>
    </row>
    <row r="7541" spans="1:16" ht="12.75" x14ac:dyDescent="0.35">
      <c r="A7541" s="7">
        <v>42484.930219907408</v>
      </c>
      <c r="B7541" s="8" t="str">
        <f t="shared" si="737"/>
        <v>@VeeDubMk1_</v>
      </c>
      <c r="C7541" s="9" t="s">
        <v>185</v>
      </c>
      <c r="D7541" s="9" t="s">
        <v>16684</v>
      </c>
      <c r="E7541" s="10" t="str">
        <f>HYPERLINK("https://twitter.com/VeeDubMk1_/status/724279111062020096","724279111062020096")</f>
        <v>724279111062020096</v>
      </c>
      <c r="F7541" s="11" t="s">
        <v>68</v>
      </c>
      <c r="G7541" s="11">
        <v>549</v>
      </c>
      <c r="H7541" s="11">
        <v>3528</v>
      </c>
      <c r="I7541" s="11">
        <v>0</v>
      </c>
      <c r="J7541" s="11">
        <v>0</v>
      </c>
      <c r="K7541" s="11" t="s">
        <v>21</v>
      </c>
      <c r="L7541" s="7">
        <v>42343.063356481478</v>
      </c>
      <c r="M7541" s="12"/>
      <c r="N7541" s="12"/>
      <c r="O7541" s="10" t="str">
        <f t="shared" si="738"/>
        <v>View</v>
      </c>
      <c r="P7541" s="11"/>
    </row>
    <row r="7542" spans="1:16" ht="12.75" x14ac:dyDescent="0.35">
      <c r="A7542" s="7">
        <v>42484.93131944444</v>
      </c>
      <c r="B7542" s="8" t="str">
        <f>HYPERLINK("https://twitter.com/dara1980","@dara1980")</f>
        <v>@dara1980</v>
      </c>
      <c r="C7542" s="9" t="s">
        <v>16685</v>
      </c>
      <c r="D7542" s="9" t="s">
        <v>16686</v>
      </c>
      <c r="E7542" s="10" t="str">
        <f>HYPERLINK("https://twitter.com/dara1980/status/724279511714521088","724279511714521088")</f>
        <v>724279511714521088</v>
      </c>
      <c r="F7542" s="11" t="s">
        <v>20</v>
      </c>
      <c r="G7542" s="11">
        <v>535</v>
      </c>
      <c r="H7542" s="11">
        <v>666</v>
      </c>
      <c r="I7542" s="11">
        <v>0</v>
      </c>
      <c r="J7542" s="11">
        <v>1</v>
      </c>
      <c r="K7542" s="11" t="s">
        <v>21</v>
      </c>
      <c r="L7542" s="7">
        <v>40383.735381944447</v>
      </c>
      <c r="M7542" s="12" t="s">
        <v>16687</v>
      </c>
      <c r="N7542" s="12" t="s">
        <v>16688</v>
      </c>
      <c r="O7542" s="10" t="str">
        <f>HYPERLINK("https://pbs.twimg.com/profile_images/3009905788/c20827ae909b5b9adb79478e60b878d3_normal.jpeg","View")</f>
        <v>View</v>
      </c>
      <c r="P7542" s="11"/>
    </row>
    <row r="7543" spans="1:16" ht="12.75" x14ac:dyDescent="0.35">
      <c r="A7543" s="7">
        <v>42484.931469907402</v>
      </c>
      <c r="B7543" s="8" t="str">
        <f>HYPERLINK("https://twitter.com/ziromr","@ziromr")</f>
        <v>@ziromr</v>
      </c>
      <c r="C7543" s="9" t="s">
        <v>16689</v>
      </c>
      <c r="D7543" s="9" t="s">
        <v>16690</v>
      </c>
      <c r="E7543" s="10" t="str">
        <f>HYPERLINK("https://twitter.com/ziromr/status/724279565896523776","724279565896523776")</f>
        <v>724279565896523776</v>
      </c>
      <c r="F7543" s="11" t="s">
        <v>243</v>
      </c>
      <c r="G7543" s="11">
        <v>782</v>
      </c>
      <c r="H7543" s="11">
        <v>437</v>
      </c>
      <c r="I7543" s="11">
        <v>1</v>
      </c>
      <c r="J7543" s="11">
        <v>0</v>
      </c>
      <c r="K7543" s="11" t="s">
        <v>21</v>
      </c>
      <c r="L7543" s="7">
        <v>39380.968136574076</v>
      </c>
      <c r="M7543" s="12" t="s">
        <v>16691</v>
      </c>
      <c r="N7543" s="12"/>
      <c r="O7543" s="10" t="str">
        <f>HYPERLINK("https://pbs.twimg.com/profile_images/666755495747825664/juRDyfXs_normal.png","View")</f>
        <v>View</v>
      </c>
      <c r="P7543" s="11"/>
    </row>
    <row r="7544" spans="1:16" ht="12.75" x14ac:dyDescent="0.35">
      <c r="A7544" s="7">
        <v>42484.932430555556</v>
      </c>
      <c r="B7544" s="8" t="str">
        <f>HYPERLINK("https://twitter.com/DoodleGmail","@DoodleGmail")</f>
        <v>@DoodleGmail</v>
      </c>
      <c r="C7544" s="9" t="s">
        <v>16692</v>
      </c>
      <c r="D7544" s="9" t="s">
        <v>16693</v>
      </c>
      <c r="E7544" s="10" t="str">
        <f>HYPERLINK("https://twitter.com/DoodleGmail/status/724279912648065024","724279912648065024")</f>
        <v>724279912648065024</v>
      </c>
      <c r="F7544" s="11" t="s">
        <v>114</v>
      </c>
      <c r="G7544" s="11">
        <v>125</v>
      </c>
      <c r="H7544" s="11">
        <v>40</v>
      </c>
      <c r="I7544" s="11">
        <v>0</v>
      </c>
      <c r="J7544" s="11">
        <v>0</v>
      </c>
      <c r="K7544" s="11" t="s">
        <v>21</v>
      </c>
      <c r="L7544" s="7">
        <v>41371.783564814818</v>
      </c>
      <c r="M7544" s="12" t="s">
        <v>16694</v>
      </c>
      <c r="N7544" s="12"/>
      <c r="O7544" s="10" t="str">
        <f>HYPERLINK("https://pbs.twimg.com/profile_images/718382288556441601/l-vZ89O-_normal.jpg","View")</f>
        <v>View</v>
      </c>
      <c r="P7544" s="11"/>
    </row>
    <row r="7545" spans="1:16" ht="12.75" x14ac:dyDescent="0.35">
      <c r="A7545" s="7">
        <v>42484.932708333334</v>
      </c>
      <c r="B7545" s="8" t="str">
        <f>HYPERLINK("https://twitter.com/SantaPodRaceway","@SantaPodRaceway")</f>
        <v>@SantaPodRaceway</v>
      </c>
      <c r="C7545" s="9" t="s">
        <v>3995</v>
      </c>
      <c r="D7545" s="9" t="s">
        <v>16695</v>
      </c>
      <c r="E7545" s="10" t="str">
        <f>HYPERLINK("https://twitter.com/SantaPodRaceway/status/724280012577357824","724280012577357824")</f>
        <v>724280012577357824</v>
      </c>
      <c r="F7545" s="11" t="s">
        <v>20</v>
      </c>
      <c r="G7545" s="11">
        <v>12570</v>
      </c>
      <c r="H7545" s="11">
        <v>222</v>
      </c>
      <c r="I7545" s="11">
        <v>2</v>
      </c>
      <c r="J7545" s="11">
        <v>0</v>
      </c>
      <c r="K7545" s="11" t="s">
        <v>21</v>
      </c>
      <c r="L7545" s="7">
        <v>39909.915972222225</v>
      </c>
      <c r="M7545" s="12" t="s">
        <v>3997</v>
      </c>
      <c r="N7545" s="12" t="s">
        <v>3998</v>
      </c>
      <c r="O7545" s="10" t="str">
        <f>HYPERLINK("https://pbs.twimg.com/profile_images/378800000801365829/e9f28f8996ff7f098d9b8a1840e76f50_normal.png","View")</f>
        <v>View</v>
      </c>
      <c r="P7545" s="11"/>
    </row>
    <row r="7546" spans="1:16" ht="12.75" x14ac:dyDescent="0.35">
      <c r="A7546" s="7">
        <v>42484.933356481481</v>
      </c>
      <c r="B7546" s="8" t="str">
        <f>HYPERLINK("https://twitter.com/Scirocco_Tuning","@Scirocco_Tuning")</f>
        <v>@Scirocco_Tuning</v>
      </c>
      <c r="C7546" s="9" t="s">
        <v>51</v>
      </c>
      <c r="D7546" s="9" t="s">
        <v>16696</v>
      </c>
      <c r="E7546" s="10" t="str">
        <f>HYPERLINK("https://twitter.com/Scirocco_Tuning/status/724280249110933504","724280249110933504")</f>
        <v>724280249110933504</v>
      </c>
      <c r="F7546" s="11" t="s">
        <v>53</v>
      </c>
      <c r="G7546" s="11">
        <v>70</v>
      </c>
      <c r="H7546" s="11">
        <v>215</v>
      </c>
      <c r="I7546" s="11">
        <v>0</v>
      </c>
      <c r="J7546" s="11">
        <v>0</v>
      </c>
      <c r="K7546" s="11" t="s">
        <v>21</v>
      </c>
      <c r="L7546" s="7">
        <v>40844.564722222218</v>
      </c>
      <c r="M7546" s="12"/>
      <c r="N7546" s="12"/>
      <c r="O7546" s="10" t="str">
        <f>HYPERLINK("https://pbs.twimg.com/profile_images/1610421423/Image2_normal.jpg","View")</f>
        <v>View</v>
      </c>
      <c r="P7546" s="11"/>
    </row>
    <row r="7547" spans="1:16" ht="12.75" x14ac:dyDescent="0.35">
      <c r="A7547" s="7">
        <v>42484.93346064815</v>
      </c>
      <c r="B7547" s="8" t="str">
        <f>HYPERLINK("https://twitter.com/OnlineCarReview","@OnlineCarReview")</f>
        <v>@OnlineCarReview</v>
      </c>
      <c r="C7547" s="9" t="s">
        <v>176</v>
      </c>
      <c r="D7547" s="9" t="s">
        <v>16697</v>
      </c>
      <c r="E7547" s="10" t="str">
        <f>HYPERLINK("https://twitter.com/OnlineCarReview/status/724280287027322880","724280287027322880")</f>
        <v>724280287027322880</v>
      </c>
      <c r="F7547" s="11" t="s">
        <v>34</v>
      </c>
      <c r="G7547" s="11">
        <v>840</v>
      </c>
      <c r="H7547" s="11">
        <v>568</v>
      </c>
      <c r="I7547" s="11">
        <v>0</v>
      </c>
      <c r="J7547" s="11">
        <v>0</v>
      </c>
      <c r="K7547" s="11" t="s">
        <v>21</v>
      </c>
      <c r="L7547" s="7">
        <v>42282.979201388887</v>
      </c>
      <c r="M7547" s="12"/>
      <c r="N7547" s="12" t="s">
        <v>178</v>
      </c>
      <c r="O7547" s="10" t="str">
        <f>HYPERLINK("https://pbs.twimg.com/profile_images/652871584131092480/QA_B6SBO_normal.jpg","View")</f>
        <v>View</v>
      </c>
      <c r="P7547" s="11"/>
    </row>
    <row r="7548" spans="1:16" ht="12.75" x14ac:dyDescent="0.35">
      <c r="A7548" s="7">
        <v>42484.933993055558</v>
      </c>
      <c r="B7548" s="8" t="str">
        <f>HYPERLINK("https://twitter.com/druidznonwo","@druidznonwo")</f>
        <v>@druidznonwo</v>
      </c>
      <c r="C7548" s="9" t="s">
        <v>16698</v>
      </c>
      <c r="D7548" s="9" t="s">
        <v>16695</v>
      </c>
      <c r="E7548" s="10" t="str">
        <f>HYPERLINK("https://twitter.com/druidznonwo/status/724280478124126213","724280478124126213")</f>
        <v>724280478124126213</v>
      </c>
      <c r="F7548" s="11" t="s">
        <v>48</v>
      </c>
      <c r="G7548" s="11">
        <v>274</v>
      </c>
      <c r="H7548" s="11">
        <v>225</v>
      </c>
      <c r="I7548" s="11">
        <v>2</v>
      </c>
      <c r="J7548" s="11">
        <v>0</v>
      </c>
      <c r="K7548" s="11" t="s">
        <v>21</v>
      </c>
      <c r="L7548" s="7">
        <v>40866.902962962966</v>
      </c>
      <c r="M7548" s="12" t="s">
        <v>16699</v>
      </c>
      <c r="N7548" s="12" t="s">
        <v>16700</v>
      </c>
      <c r="O7548" s="10" t="str">
        <f>HYPERLINK("https://pbs.twimg.com/profile_images/566251827340279808/an78GGmh_normal.jpeg","View")</f>
        <v>View</v>
      </c>
      <c r="P7548" s="11"/>
    </row>
    <row r="7549" spans="1:16" ht="12.75" x14ac:dyDescent="0.35">
      <c r="A7549" s="7">
        <v>42484.934525462959</v>
      </c>
      <c r="B7549" s="8" t="str">
        <f>HYPERLINK("https://twitter.com/NetzwerkggS21","@NetzwerkggS21")</f>
        <v>@NetzwerkggS21</v>
      </c>
      <c r="C7549" s="9" t="s">
        <v>2359</v>
      </c>
      <c r="D7549" s="9" t="s">
        <v>6309</v>
      </c>
      <c r="E7549" s="10" t="str">
        <f>HYPERLINK("https://twitter.com/NetzwerkggS21/status/724280672110678018","724280672110678018")</f>
        <v>724280672110678018</v>
      </c>
      <c r="F7549" s="11" t="s">
        <v>43</v>
      </c>
      <c r="G7549" s="11">
        <v>856</v>
      </c>
      <c r="H7549" s="11">
        <v>2117</v>
      </c>
      <c r="I7549" s="11">
        <v>6</v>
      </c>
      <c r="J7549" s="11">
        <v>0</v>
      </c>
      <c r="K7549" s="11" t="s">
        <v>21</v>
      </c>
      <c r="L7549" s="7">
        <v>41326.709363425922</v>
      </c>
      <c r="M7549" s="13" t="s">
        <v>2361</v>
      </c>
      <c r="N7549" s="12" t="s">
        <v>2362</v>
      </c>
      <c r="O7549" s="10" t="str">
        <f>HYPERLINK("https://pbs.twimg.com/profile_images/378800000528765970/3ab9f2a00010e9cac08d5ca1638926e9_normal.png","View")</f>
        <v>View</v>
      </c>
      <c r="P7549" s="11"/>
    </row>
    <row r="7550" spans="1:16" ht="12.75" x14ac:dyDescent="0.35">
      <c r="A7550" s="7">
        <v>42484.935023148151</v>
      </c>
      <c r="B7550" s="8" t="str">
        <f>HYPERLINK("https://twitter.com/SantaPodRaceway","@SantaPodRaceway")</f>
        <v>@SantaPodRaceway</v>
      </c>
      <c r="C7550" s="9" t="s">
        <v>3995</v>
      </c>
      <c r="D7550" s="9" t="s">
        <v>16701</v>
      </c>
      <c r="E7550" s="10" t="str">
        <f>HYPERLINK("https://twitter.com/SantaPodRaceway/status/724280854990733312","724280854990733312")</f>
        <v>724280854990733312</v>
      </c>
      <c r="F7550" s="11" t="s">
        <v>20</v>
      </c>
      <c r="G7550" s="11">
        <v>12570</v>
      </c>
      <c r="H7550" s="11">
        <v>222</v>
      </c>
      <c r="I7550" s="11">
        <v>1</v>
      </c>
      <c r="J7550" s="11">
        <v>0</v>
      </c>
      <c r="K7550" s="11" t="s">
        <v>21</v>
      </c>
      <c r="L7550" s="7">
        <v>39909.915972222225</v>
      </c>
      <c r="M7550" s="12" t="s">
        <v>3997</v>
      </c>
      <c r="N7550" s="12" t="s">
        <v>3998</v>
      </c>
      <c r="O7550" s="10" t="str">
        <f>HYPERLINK("https://pbs.twimg.com/profile_images/378800000801365829/e9f28f8996ff7f098d9b8a1840e76f50_normal.png","View")</f>
        <v>View</v>
      </c>
      <c r="P7550" s="11"/>
    </row>
    <row r="7551" spans="1:16" ht="12.75" x14ac:dyDescent="0.35">
      <c r="A7551" s="7">
        <v>42484.937743055554</v>
      </c>
      <c r="B7551" s="8" t="str">
        <f>HYPERLINK("https://twitter.com/LizzysNewsDude","@LizzysNewsDude")</f>
        <v>@LizzysNewsDude</v>
      </c>
      <c r="C7551" s="9" t="s">
        <v>16702</v>
      </c>
      <c r="D7551" s="9" t="s">
        <v>15952</v>
      </c>
      <c r="E7551" s="10" t="str">
        <f>HYPERLINK("https://twitter.com/LizzysNewsDude/status/724281838613762050","724281838613762050")</f>
        <v>724281838613762050</v>
      </c>
      <c r="F7551" s="11" t="s">
        <v>48</v>
      </c>
      <c r="G7551" s="11">
        <v>394</v>
      </c>
      <c r="H7551" s="11">
        <v>1191</v>
      </c>
      <c r="I7551" s="11">
        <v>6</v>
      </c>
      <c r="J7551" s="11">
        <v>0</v>
      </c>
      <c r="K7551" s="11" t="s">
        <v>21</v>
      </c>
      <c r="L7551" s="7">
        <v>42008.015520833331</v>
      </c>
      <c r="M7551" s="12"/>
      <c r="N7551" s="12"/>
      <c r="O7551" s="10" t="str">
        <f>HYPERLINK("https://pbs.twimg.com/profile_images/551452378595987456/j1ydC16c_normal.jpeg","View")</f>
        <v>View</v>
      </c>
      <c r="P7551" s="11"/>
    </row>
    <row r="7552" spans="1:16" ht="12.75" x14ac:dyDescent="0.35">
      <c r="A7552" s="7">
        <v>42484.938437500001</v>
      </c>
      <c r="B7552" s="8" t="str">
        <f>HYPERLINK("https://twitter.com/PaulbrooksAMG","@PaulbrooksAMG")</f>
        <v>@PaulbrooksAMG</v>
      </c>
      <c r="C7552" s="9" t="s">
        <v>1455</v>
      </c>
      <c r="D7552" s="9" t="s">
        <v>16695</v>
      </c>
      <c r="E7552" s="10" t="str">
        <f>HYPERLINK("https://twitter.com/PaulbrooksAMG/status/724282089361780736","724282089361780736")</f>
        <v>724282089361780736</v>
      </c>
      <c r="F7552" s="11" t="s">
        <v>20</v>
      </c>
      <c r="G7552" s="11">
        <v>658</v>
      </c>
      <c r="H7552" s="11">
        <v>338</v>
      </c>
      <c r="I7552" s="11">
        <v>3</v>
      </c>
      <c r="J7552" s="11">
        <v>0</v>
      </c>
      <c r="K7552" s="11" t="s">
        <v>21</v>
      </c>
      <c r="L7552" s="7">
        <v>42203.94153935185</v>
      </c>
      <c r="M7552" s="12"/>
      <c r="N7552" s="12"/>
      <c r="O7552" s="10" t="str">
        <f>HYPERLINK("https://pbs.twimg.com/profile_images/622455357219176448/1ysvnVP5_normal.jpg","View")</f>
        <v>View</v>
      </c>
      <c r="P7552" s="11"/>
    </row>
    <row r="7553" spans="1:16" ht="12.75" x14ac:dyDescent="0.35">
      <c r="A7553" s="7">
        <v>42484.938877314809</v>
      </c>
      <c r="B7553" s="8" t="str">
        <f>HYPERLINK("https://twitter.com/HireVw","@HireVw")</f>
        <v>@HireVw</v>
      </c>
      <c r="C7553" s="9" t="s">
        <v>16703</v>
      </c>
      <c r="D7553" s="9" t="s">
        <v>16704</v>
      </c>
      <c r="E7553" s="10" t="str">
        <f>HYPERLINK("https://twitter.com/HireVw/status/724282248002977795","724282248002977795")</f>
        <v>724282248002977795</v>
      </c>
      <c r="F7553" s="11" t="s">
        <v>152</v>
      </c>
      <c r="G7553" s="11">
        <v>43</v>
      </c>
      <c r="H7553" s="11">
        <v>126</v>
      </c>
      <c r="I7553" s="11">
        <v>0</v>
      </c>
      <c r="J7553" s="11">
        <v>0</v>
      </c>
      <c r="K7553" s="11" t="s">
        <v>21</v>
      </c>
      <c r="L7553" s="7">
        <v>42284.739791666667</v>
      </c>
      <c r="M7553" s="12" t="s">
        <v>1072</v>
      </c>
      <c r="N7553" s="12" t="s">
        <v>16705</v>
      </c>
      <c r="O7553" s="10" t="str">
        <f>HYPERLINK("https://pbs.twimg.com/profile_images/651741743885484033/cqMKQO9J_normal.jpg","View")</f>
        <v>View</v>
      </c>
      <c r="P7553" s="11"/>
    </row>
    <row r="7554" spans="1:16" ht="12.75" x14ac:dyDescent="0.35">
      <c r="A7554" s="7">
        <v>42484.939618055556</v>
      </c>
      <c r="B7554" s="8" t="str">
        <f>HYPERLINK("https://twitter.com/AutoExpress","@AutoExpress")</f>
        <v>@AutoExpress</v>
      </c>
      <c r="C7554" s="9" t="s">
        <v>1973</v>
      </c>
      <c r="D7554" s="9" t="s">
        <v>16706</v>
      </c>
      <c r="E7554" s="10" t="str">
        <f>HYPERLINK("https://twitter.com/AutoExpress/status/724282516790611968","724282516790611968")</f>
        <v>724282516790611968</v>
      </c>
      <c r="F7554" s="11" t="s">
        <v>63</v>
      </c>
      <c r="G7554" s="11">
        <v>93206</v>
      </c>
      <c r="H7554" s="11">
        <v>776</v>
      </c>
      <c r="I7554" s="11">
        <v>0</v>
      </c>
      <c r="J7554" s="11">
        <v>2</v>
      </c>
      <c r="K7554" s="11" t="s">
        <v>21</v>
      </c>
      <c r="L7554" s="7">
        <v>39869.653437499997</v>
      </c>
      <c r="M7554" s="12" t="s">
        <v>638</v>
      </c>
      <c r="N7554" s="12" t="s">
        <v>1975</v>
      </c>
      <c r="O7554" s="10" t="str">
        <f>HYPERLINK("https://pbs.twimg.com/profile_images/378800000673633859/9729e4c280465095c6f835c9f6b36378_normal.jpeg","View")</f>
        <v>View</v>
      </c>
      <c r="P7554" s="11"/>
    </row>
    <row r="7555" spans="1:16" ht="12.75" x14ac:dyDescent="0.35">
      <c r="A7555" s="7">
        <v>42484.94023148148</v>
      </c>
      <c r="B7555" s="8" t="str">
        <f>HYPERLINK("https://twitter.com/skellydesign","@skellydesign")</f>
        <v>@skellydesign</v>
      </c>
      <c r="C7555" s="9" t="s">
        <v>3913</v>
      </c>
      <c r="D7555" s="9" t="s">
        <v>16707</v>
      </c>
      <c r="E7555" s="10" t="str">
        <f>HYPERLINK("https://twitter.com/skellydesign/status/724282739273261056","724282739273261056")</f>
        <v>724282739273261056</v>
      </c>
      <c r="F7555" s="11" t="s">
        <v>114</v>
      </c>
      <c r="G7555" s="11">
        <v>199</v>
      </c>
      <c r="H7555" s="11">
        <v>288</v>
      </c>
      <c r="I7555" s="11">
        <v>0</v>
      </c>
      <c r="J7555" s="11">
        <v>0</v>
      </c>
      <c r="K7555" s="11" t="s">
        <v>21</v>
      </c>
      <c r="L7555" s="7">
        <v>39864.674189814818</v>
      </c>
      <c r="M7555" s="12" t="s">
        <v>129</v>
      </c>
      <c r="N7555" s="12" t="s">
        <v>16708</v>
      </c>
      <c r="O7555" s="10" t="str">
        <f>HYPERLINK("https://pbs.twimg.com/profile_images/80593537/skd_id_normal.jpg","View")</f>
        <v>View</v>
      </c>
      <c r="P7555" s="11"/>
    </row>
    <row r="7556" spans="1:16" ht="12.75" x14ac:dyDescent="0.35">
      <c r="A7556" s="7">
        <v>42484.941157407404</v>
      </c>
      <c r="B7556" s="8" t="str">
        <f>HYPERLINK("https://twitter.com/RTLRally","@RTLRally")</f>
        <v>@RTLRally</v>
      </c>
      <c r="C7556" s="9" t="s">
        <v>10712</v>
      </c>
      <c r="D7556" s="9" t="s">
        <v>16709</v>
      </c>
      <c r="E7556" s="10" t="str">
        <f>HYPERLINK("https://twitter.com/RTLRally/status/724283074180210693","724283074180210693")</f>
        <v>724283074180210693</v>
      </c>
      <c r="F7556" s="11" t="s">
        <v>43</v>
      </c>
      <c r="G7556" s="11">
        <v>2535</v>
      </c>
      <c r="H7556" s="11">
        <v>1</v>
      </c>
      <c r="I7556" s="11">
        <v>0</v>
      </c>
      <c r="J7556" s="11">
        <v>0</v>
      </c>
      <c r="K7556" s="11" t="s">
        <v>21</v>
      </c>
      <c r="L7556" s="7">
        <v>40628.658171296294</v>
      </c>
      <c r="M7556" s="12" t="s">
        <v>10714</v>
      </c>
      <c r="N7556" s="12" t="s">
        <v>10715</v>
      </c>
      <c r="O7556" s="10" t="str">
        <f>HYPERLINK("https://pbs.twimg.com/profile_images/711506516294041600/1fr0IryT_normal.jpg","View")</f>
        <v>View</v>
      </c>
      <c r="P7556" s="11"/>
    </row>
    <row r="7557" spans="1:16" ht="12.75" x14ac:dyDescent="0.35">
      <c r="A7557" s="7">
        <v>42484.941944444443</v>
      </c>
      <c r="B7557" s="8" t="str">
        <f>HYPERLINK("https://twitter.com/RainerLoveiam","@RainerLoveiam")</f>
        <v>@RainerLoveiam</v>
      </c>
      <c r="C7557" s="9" t="s">
        <v>9784</v>
      </c>
      <c r="D7557" s="9" t="s">
        <v>16710</v>
      </c>
      <c r="E7557" s="10" t="str">
        <f>HYPERLINK("https://twitter.com/RainerLoveiam/status/724283362668646400","724283362668646400")</f>
        <v>724283362668646400</v>
      </c>
      <c r="F7557" s="11" t="s">
        <v>43</v>
      </c>
      <c r="G7557" s="11">
        <v>1095</v>
      </c>
      <c r="H7557" s="11">
        <v>396</v>
      </c>
      <c r="I7557" s="11">
        <v>0</v>
      </c>
      <c r="J7557" s="11">
        <v>0</v>
      </c>
      <c r="K7557" s="11" t="s">
        <v>21</v>
      </c>
      <c r="L7557" s="7">
        <v>40660.339699074073</v>
      </c>
      <c r="M7557" s="12" t="s">
        <v>9786</v>
      </c>
      <c r="N7557" s="12" t="s">
        <v>9787</v>
      </c>
      <c r="O7557" s="10" t="str">
        <f>HYPERLINK("https://pbs.twimg.com/profile_images/663496534898667520/iU7N9Oso_normal.jpg","View")</f>
        <v>View</v>
      </c>
      <c r="P7557" s="11"/>
    </row>
    <row r="7558" spans="1:16" ht="12.75" x14ac:dyDescent="0.35">
      <c r="A7558" s="7">
        <v>42484.942349537036</v>
      </c>
      <c r="B7558" s="8" t="str">
        <f>HYPERLINK("https://twitter.com/LoDijoTito","@LoDijoTito")</f>
        <v>@LoDijoTito</v>
      </c>
      <c r="C7558" s="9" t="s">
        <v>6182</v>
      </c>
      <c r="D7558" s="9" t="s">
        <v>16711</v>
      </c>
      <c r="E7558" s="10" t="str">
        <f>HYPERLINK("https://twitter.com/LoDijoTito/status/724283505904066560","724283505904066560")</f>
        <v>724283505904066560</v>
      </c>
      <c r="F7558" s="11" t="s">
        <v>48</v>
      </c>
      <c r="G7558" s="11">
        <v>1163</v>
      </c>
      <c r="H7558" s="11">
        <v>1116</v>
      </c>
      <c r="I7558" s="11">
        <v>0</v>
      </c>
      <c r="J7558" s="11">
        <v>1</v>
      </c>
      <c r="K7558" s="11" t="s">
        <v>21</v>
      </c>
      <c r="L7558" s="7">
        <v>40326.278553240743</v>
      </c>
      <c r="M7558" s="12" t="s">
        <v>4966</v>
      </c>
      <c r="N7558" s="12" t="s">
        <v>6184</v>
      </c>
      <c r="O7558" s="10" t="str">
        <f>HYPERLINK("https://pbs.twimg.com/profile_images/378800000080536808/27d73bf18de691ed686410d5b0d71bac_normal.jpeg","View")</f>
        <v>View</v>
      </c>
      <c r="P7558" s="11"/>
    </row>
    <row r="7559" spans="1:16" ht="12.75" x14ac:dyDescent="0.35">
      <c r="A7559" s="7">
        <v>42484.94263888889</v>
      </c>
      <c r="B7559" s="8" t="str">
        <f>HYPERLINK("https://twitter.com/RTLRally","@RTLRally")</f>
        <v>@RTLRally</v>
      </c>
      <c r="C7559" s="9" t="s">
        <v>10712</v>
      </c>
      <c r="D7559" s="9" t="s">
        <v>16712</v>
      </c>
      <c r="E7559" s="10" t="str">
        <f>HYPERLINK("https://twitter.com/RTLRally/status/724283611164348416","724283611164348416")</f>
        <v>724283611164348416</v>
      </c>
      <c r="F7559" s="11" t="s">
        <v>43</v>
      </c>
      <c r="G7559" s="11">
        <v>2535</v>
      </c>
      <c r="H7559" s="11">
        <v>1</v>
      </c>
      <c r="I7559" s="11">
        <v>0</v>
      </c>
      <c r="J7559" s="11">
        <v>0</v>
      </c>
      <c r="K7559" s="11" t="s">
        <v>21</v>
      </c>
      <c r="L7559" s="7">
        <v>40628.658171296294</v>
      </c>
      <c r="M7559" s="12" t="s">
        <v>10714</v>
      </c>
      <c r="N7559" s="12" t="s">
        <v>10715</v>
      </c>
      <c r="O7559" s="10" t="str">
        <f>HYPERLINK("https://pbs.twimg.com/profile_images/711506516294041600/1fr0IryT_normal.jpg","View")</f>
        <v>View</v>
      </c>
      <c r="P7559" s="11"/>
    </row>
    <row r="7560" spans="1:16" ht="12.75" x14ac:dyDescent="0.35">
      <c r="A7560" s="7">
        <v>42484.943148148144</v>
      </c>
      <c r="B7560" s="8" t="str">
        <f>HYPERLINK("https://twitter.com/hameles","@hameles")</f>
        <v>@hameles</v>
      </c>
      <c r="C7560" s="9" t="s">
        <v>2600</v>
      </c>
      <c r="D7560" s="9" t="s">
        <v>16713</v>
      </c>
      <c r="E7560" s="10" t="str">
        <f>HYPERLINK("https://twitter.com/hameles/status/724283798758789122","724283798758789122")</f>
        <v>724283798758789122</v>
      </c>
      <c r="F7560" s="11" t="s">
        <v>43</v>
      </c>
      <c r="G7560" s="11">
        <v>257</v>
      </c>
      <c r="H7560" s="11">
        <v>161</v>
      </c>
      <c r="I7560" s="11">
        <v>0</v>
      </c>
      <c r="J7560" s="11">
        <v>0</v>
      </c>
      <c r="K7560" s="11" t="s">
        <v>21</v>
      </c>
      <c r="L7560" s="7">
        <v>41789.724826388891</v>
      </c>
      <c r="M7560" s="12"/>
      <c r="N7560" s="12"/>
      <c r="O7560" s="10" t="str">
        <f>HYPERLINK("https://pbs.twimg.com/profile_images/720884007152394240/OWYVobwN_normal.jpg","View")</f>
        <v>View</v>
      </c>
      <c r="P7560" s="11"/>
    </row>
    <row r="7561" spans="1:16" ht="12.75" x14ac:dyDescent="0.35">
      <c r="A7561" s="7">
        <v>42484.945208333331</v>
      </c>
      <c r="B7561" s="8" t="str">
        <f t="shared" ref="B7561:B7563" si="739">HYPERLINK("https://twitter.com/VWBeetleSales","@VWBeetleSales")</f>
        <v>@VWBeetleSales</v>
      </c>
      <c r="C7561" s="9" t="s">
        <v>127</v>
      </c>
      <c r="D7561" s="9" t="s">
        <v>16714</v>
      </c>
      <c r="E7561" s="10" t="str">
        <f>HYPERLINK("https://twitter.com/VWBeetleSales/status/724284543922896897","724284543922896897")</f>
        <v>724284543922896897</v>
      </c>
      <c r="F7561" s="10" t="s">
        <v>124</v>
      </c>
      <c r="G7561" s="11">
        <v>39</v>
      </c>
      <c r="H7561" s="11">
        <v>32</v>
      </c>
      <c r="I7561" s="11">
        <v>0</v>
      </c>
      <c r="J7561" s="11">
        <v>0</v>
      </c>
      <c r="K7561" s="11" t="s">
        <v>21</v>
      </c>
      <c r="L7561" s="7">
        <v>42427.019756944443</v>
      </c>
      <c r="M7561" s="12" t="s">
        <v>129</v>
      </c>
      <c r="N7561" s="12" t="s">
        <v>130</v>
      </c>
      <c r="O7561" s="10" t="str">
        <f t="shared" ref="O7561:O7563" si="740">HYPERLINK("https://pbs.twimg.com/profile_images/703294545195307008/qeCvrX86_normal.jpg","View")</f>
        <v>View</v>
      </c>
      <c r="P7561" s="11"/>
    </row>
    <row r="7562" spans="1:16" ht="12.75" x14ac:dyDescent="0.35">
      <c r="A7562" s="7">
        <v>42484.945219907408</v>
      </c>
      <c r="B7562" s="8" t="str">
        <f t="shared" si="739"/>
        <v>@VWBeetleSales</v>
      </c>
      <c r="C7562" s="9" t="s">
        <v>127</v>
      </c>
      <c r="D7562" s="9" t="s">
        <v>16715</v>
      </c>
      <c r="E7562" s="10" t="str">
        <f>HYPERLINK("https://twitter.com/VWBeetleSales/status/724284549375492096","724284549375492096")</f>
        <v>724284549375492096</v>
      </c>
      <c r="F7562" s="10" t="s">
        <v>124</v>
      </c>
      <c r="G7562" s="11">
        <v>39</v>
      </c>
      <c r="H7562" s="11">
        <v>32</v>
      </c>
      <c r="I7562" s="11">
        <v>0</v>
      </c>
      <c r="J7562" s="11">
        <v>0</v>
      </c>
      <c r="K7562" s="11" t="s">
        <v>21</v>
      </c>
      <c r="L7562" s="7">
        <v>42427.019756944443</v>
      </c>
      <c r="M7562" s="12" t="s">
        <v>129</v>
      </c>
      <c r="N7562" s="12" t="s">
        <v>130</v>
      </c>
      <c r="O7562" s="10" t="str">
        <f t="shared" si="740"/>
        <v>View</v>
      </c>
      <c r="P7562" s="11"/>
    </row>
    <row r="7563" spans="1:16" ht="12.75" x14ac:dyDescent="0.35">
      <c r="A7563" s="7">
        <v>42484.945231481484</v>
      </c>
      <c r="B7563" s="8" t="str">
        <f t="shared" si="739"/>
        <v>@VWBeetleSales</v>
      </c>
      <c r="C7563" s="9" t="s">
        <v>127</v>
      </c>
      <c r="D7563" s="9" t="s">
        <v>16716</v>
      </c>
      <c r="E7563" s="10" t="str">
        <f>HYPERLINK("https://twitter.com/VWBeetleSales/status/724284553196527616","724284553196527616")</f>
        <v>724284553196527616</v>
      </c>
      <c r="F7563" s="10" t="s">
        <v>124</v>
      </c>
      <c r="G7563" s="11">
        <v>39</v>
      </c>
      <c r="H7563" s="11">
        <v>32</v>
      </c>
      <c r="I7563" s="11">
        <v>0</v>
      </c>
      <c r="J7563" s="11">
        <v>0</v>
      </c>
      <c r="K7563" s="11" t="s">
        <v>21</v>
      </c>
      <c r="L7563" s="7">
        <v>42427.019756944443</v>
      </c>
      <c r="M7563" s="12" t="s">
        <v>129</v>
      </c>
      <c r="N7563" s="12" t="s">
        <v>130</v>
      </c>
      <c r="O7563" s="10" t="str">
        <f t="shared" si="740"/>
        <v>View</v>
      </c>
      <c r="P7563" s="11"/>
    </row>
    <row r="7564" spans="1:16" ht="12.75" x14ac:dyDescent="0.35">
      <c r="A7564" s="7">
        <v>42484.945231481484</v>
      </c>
      <c r="B7564" s="8" t="str">
        <f>HYPERLINK("https://twitter.com/VWCamperSales","@VWCamperSales")</f>
        <v>@VWCamperSales</v>
      </c>
      <c r="C7564" s="9" t="s">
        <v>216</v>
      </c>
      <c r="D7564" s="9" t="s">
        <v>16717</v>
      </c>
      <c r="E7564" s="10" t="str">
        <f>HYPERLINK("https://twitter.com/VWCamperSales/status/724284553712398336","724284553712398336")</f>
        <v>724284553712398336</v>
      </c>
      <c r="F7564" s="10" t="s">
        <v>124</v>
      </c>
      <c r="G7564" s="11">
        <v>625</v>
      </c>
      <c r="H7564" s="11">
        <v>579</v>
      </c>
      <c r="I7564" s="11">
        <v>0</v>
      </c>
      <c r="J7564" s="11">
        <v>0</v>
      </c>
      <c r="K7564" s="11" t="s">
        <v>21</v>
      </c>
      <c r="L7564" s="7">
        <v>42215.98809027778</v>
      </c>
      <c r="M7564" s="12" t="s">
        <v>129</v>
      </c>
      <c r="N7564" s="12" t="s">
        <v>218</v>
      </c>
      <c r="O7564" s="10" t="str">
        <f>HYPERLINK("https://pbs.twimg.com/profile_images/627949001179037696/skEBkS05_normal.jpg","View")</f>
        <v>View</v>
      </c>
      <c r="P7564" s="11"/>
    </row>
    <row r="7565" spans="1:16" ht="12.75" x14ac:dyDescent="0.35">
      <c r="A7565" s="7">
        <v>42484.947083333333</v>
      </c>
      <c r="B7565" s="8" t="str">
        <f>HYPERLINK("https://twitter.com/JanaHeykDesign","@JanaHeykDesign")</f>
        <v>@JanaHeykDesign</v>
      </c>
      <c r="C7565" s="9" t="s">
        <v>16718</v>
      </c>
      <c r="D7565" s="9" t="s">
        <v>16719</v>
      </c>
      <c r="E7565" s="10" t="str">
        <f>HYPERLINK("https://twitter.com/JanaHeykDesign/status/724285223203147781","724285223203147781")</f>
        <v>724285223203147781</v>
      </c>
      <c r="F7565" s="11" t="s">
        <v>367</v>
      </c>
      <c r="G7565" s="11">
        <v>157</v>
      </c>
      <c r="H7565" s="11">
        <v>134</v>
      </c>
      <c r="I7565" s="11">
        <v>1</v>
      </c>
      <c r="J7565" s="11">
        <v>0</v>
      </c>
      <c r="K7565" s="11" t="s">
        <v>21</v>
      </c>
      <c r="L7565" s="7">
        <v>41220.019259259258</v>
      </c>
      <c r="M7565" s="12" t="s">
        <v>7639</v>
      </c>
      <c r="N7565" s="12" t="s">
        <v>16720</v>
      </c>
      <c r="O7565" s="10" t="str">
        <f>HYPERLINK("https://pbs.twimg.com/profile_images/474214996038000641/KcxS-Yts_normal.png","View")</f>
        <v>View</v>
      </c>
      <c r="P7565" s="11"/>
    </row>
    <row r="7566" spans="1:16" ht="12.75" x14ac:dyDescent="0.35">
      <c r="A7566" s="7">
        <v>42484.947997685187</v>
      </c>
      <c r="B7566" s="8" t="str">
        <f>HYPERLINK("https://twitter.com/acvwpassion","@acvwpassion")</f>
        <v>@acvwpassion</v>
      </c>
      <c r="C7566" s="9" t="s">
        <v>4671</v>
      </c>
      <c r="D7566" s="9" t="s">
        <v>16721</v>
      </c>
      <c r="E7566" s="10" t="str">
        <f>HYPERLINK("https://twitter.com/acvwpassion/status/724285555668860928","724285555668860928")</f>
        <v>724285555668860928</v>
      </c>
      <c r="F7566" s="11" t="s">
        <v>152</v>
      </c>
      <c r="G7566" s="11">
        <v>243</v>
      </c>
      <c r="H7566" s="11">
        <v>409</v>
      </c>
      <c r="I7566" s="11">
        <v>0</v>
      </c>
      <c r="J7566" s="11">
        <v>0</v>
      </c>
      <c r="K7566" s="11" t="s">
        <v>21</v>
      </c>
      <c r="L7566" s="7">
        <v>41989.101851851854</v>
      </c>
      <c r="M7566" s="12" t="s">
        <v>4673</v>
      </c>
      <c r="N7566" s="12" t="s">
        <v>4674</v>
      </c>
      <c r="O7566" s="10" t="str">
        <f>HYPERLINK("https://pbs.twimg.com/profile_images/545688359964651520/SF3sJ7lv_normal.jpeg","View")</f>
        <v>View</v>
      </c>
      <c r="P7566" s="11"/>
    </row>
    <row r="7567" spans="1:16" ht="12.75" x14ac:dyDescent="0.35">
      <c r="A7567" s="7">
        <v>42484.94803240741</v>
      </c>
      <c r="B7567" s="8" t="str">
        <f>HYPERLINK("https://twitter.com/leofloreste","@leofloreste")</f>
        <v>@leofloreste</v>
      </c>
      <c r="C7567" s="9" t="s">
        <v>16722</v>
      </c>
      <c r="D7567" s="9" t="s">
        <v>16723</v>
      </c>
      <c r="E7567" s="10" t="str">
        <f>HYPERLINK("https://twitter.com/leofloreste/status/724285567081435137","724285567081435137")</f>
        <v>724285567081435137</v>
      </c>
      <c r="F7567" s="11" t="s">
        <v>114</v>
      </c>
      <c r="G7567" s="11">
        <v>25</v>
      </c>
      <c r="H7567" s="11">
        <v>112</v>
      </c>
      <c r="I7567" s="11">
        <v>0</v>
      </c>
      <c r="J7567" s="11">
        <v>0</v>
      </c>
      <c r="K7567" s="11" t="s">
        <v>21</v>
      </c>
      <c r="L7567" s="7">
        <v>40599.174849537041</v>
      </c>
      <c r="M7567" s="12"/>
      <c r="N7567" s="12"/>
      <c r="O7567" s="10" t="str">
        <f>HYPERLINK("https://pbs.twimg.com/profile_images/524019859764822018/Vd7XM8iP_normal.jpeg","View")</f>
        <v>View</v>
      </c>
      <c r="P7567" s="11"/>
    </row>
    <row r="7568" spans="1:16" ht="12.75" x14ac:dyDescent="0.35">
      <c r="A7568" s="7">
        <v>42484.951296296298</v>
      </c>
      <c r="B7568" s="8" t="str">
        <f>HYPERLINK("https://twitter.com/LulubelleLimoVW","@LulubelleLimoVW")</f>
        <v>@LulubelleLimoVW</v>
      </c>
      <c r="C7568" s="9" t="s">
        <v>14447</v>
      </c>
      <c r="D7568" s="9" t="s">
        <v>16724</v>
      </c>
      <c r="E7568" s="10" t="str">
        <f>HYPERLINK("https://twitter.com/LulubelleLimoVW/status/724286750907052033","724286750907052033")</f>
        <v>724286750907052033</v>
      </c>
      <c r="F7568" s="11" t="s">
        <v>48</v>
      </c>
      <c r="G7568" s="11">
        <v>837</v>
      </c>
      <c r="H7568" s="11">
        <v>2707</v>
      </c>
      <c r="I7568" s="11">
        <v>0</v>
      </c>
      <c r="J7568" s="11">
        <v>0</v>
      </c>
      <c r="K7568" s="11" t="s">
        <v>21</v>
      </c>
      <c r="L7568" s="7">
        <v>42411.141666666663</v>
      </c>
      <c r="M7568" s="12" t="s">
        <v>14449</v>
      </c>
      <c r="N7568" s="12" t="s">
        <v>14450</v>
      </c>
      <c r="O7568" s="10" t="str">
        <f>HYPERLINK("https://pbs.twimg.com/profile_images/697539834840268800/fIANhnLA_normal.jpg","View")</f>
        <v>View</v>
      </c>
      <c r="P7568" s="11"/>
    </row>
    <row r="7569" spans="1:16" ht="12.75" x14ac:dyDescent="0.35">
      <c r="A7569" s="7">
        <v>42484.951631944445</v>
      </c>
      <c r="B7569" s="8" t="str">
        <f>HYPERLINK("https://twitter.com/Hard_Stance","@Hard_Stance")</f>
        <v>@Hard_Stance</v>
      </c>
      <c r="C7569" s="9" t="s">
        <v>16725</v>
      </c>
      <c r="D7569" s="9" t="s">
        <v>16726</v>
      </c>
      <c r="E7569" s="10" t="str">
        <f>HYPERLINK("https://twitter.com/Hard_Stance/status/724286870570565632","724286870570565632")</f>
        <v>724286870570565632</v>
      </c>
      <c r="F7569" s="11" t="s">
        <v>114</v>
      </c>
      <c r="G7569" s="11">
        <v>315</v>
      </c>
      <c r="H7569" s="11">
        <v>485</v>
      </c>
      <c r="I7569" s="11">
        <v>0</v>
      </c>
      <c r="J7569" s="11">
        <v>0</v>
      </c>
      <c r="K7569" s="11" t="s">
        <v>21</v>
      </c>
      <c r="L7569" s="7">
        <v>41758.047546296293</v>
      </c>
      <c r="M7569" s="12"/>
      <c r="N7569" s="12" t="s">
        <v>16727</v>
      </c>
      <c r="O7569" s="10" t="str">
        <f>HYPERLINK("https://pbs.twimg.com/profile_images/642798649760743424/Ky_zidvM_normal.jpg","View")</f>
        <v>View</v>
      </c>
      <c r="P7569" s="11"/>
    </row>
    <row r="7570" spans="1:16" ht="12.75" x14ac:dyDescent="0.35">
      <c r="A7570" s="7">
        <v>42484.951967592591</v>
      </c>
      <c r="B7570" s="8" t="str">
        <f>HYPERLINK("https://twitter.com/LulubelleLimoVW","@LulubelleLimoVW")</f>
        <v>@LulubelleLimoVW</v>
      </c>
      <c r="C7570" s="9" t="s">
        <v>14447</v>
      </c>
      <c r="D7570" s="9" t="s">
        <v>16728</v>
      </c>
      <c r="E7570" s="10" t="str">
        <f>HYPERLINK("https://twitter.com/LulubelleLimoVW/status/724286992608047104","724286992608047104")</f>
        <v>724286992608047104</v>
      </c>
      <c r="F7570" s="11" t="s">
        <v>48</v>
      </c>
      <c r="G7570" s="11">
        <v>837</v>
      </c>
      <c r="H7570" s="11">
        <v>2707</v>
      </c>
      <c r="I7570" s="11">
        <v>0</v>
      </c>
      <c r="J7570" s="11">
        <v>0</v>
      </c>
      <c r="K7570" s="11" t="s">
        <v>21</v>
      </c>
      <c r="L7570" s="7">
        <v>42411.141666666663</v>
      </c>
      <c r="M7570" s="12" t="s">
        <v>14449</v>
      </c>
      <c r="N7570" s="12" t="s">
        <v>14450</v>
      </c>
      <c r="O7570" s="10" t="str">
        <f>HYPERLINK("https://pbs.twimg.com/profile_images/697539834840268800/fIANhnLA_normal.jpg","View")</f>
        <v>View</v>
      </c>
      <c r="P7570" s="11"/>
    </row>
    <row r="7571" spans="1:16" ht="12.75" x14ac:dyDescent="0.35">
      <c r="A7571" s="7">
        <v>42484.952326388884</v>
      </c>
      <c r="B7571" s="8" t="str">
        <f>HYPERLINK("https://twitter.com/NorthWestDubs","@NorthWestDubs")</f>
        <v>@NorthWestDubs</v>
      </c>
      <c r="C7571" s="9" t="s">
        <v>2537</v>
      </c>
      <c r="D7571" s="9" t="s">
        <v>16729</v>
      </c>
      <c r="E7571" s="10" t="str">
        <f>HYPERLINK("https://twitter.com/NorthWestDubs/status/724287125512921089","724287125512921089")</f>
        <v>724287125512921089</v>
      </c>
      <c r="F7571" s="11" t="s">
        <v>288</v>
      </c>
      <c r="G7571" s="11">
        <v>775</v>
      </c>
      <c r="H7571" s="11">
        <v>543</v>
      </c>
      <c r="I7571" s="11">
        <v>1</v>
      </c>
      <c r="J7571" s="11">
        <v>0</v>
      </c>
      <c r="K7571" s="11" t="s">
        <v>21</v>
      </c>
      <c r="L7571" s="7">
        <v>41052.970451388886</v>
      </c>
      <c r="M7571" s="12" t="s">
        <v>2538</v>
      </c>
      <c r="N7571" s="12" t="s">
        <v>2539</v>
      </c>
      <c r="O7571" s="10" t="str">
        <f>HYPERLINK("https://pbs.twimg.com/profile_images/3325520037/cf2027069deae5dc44e82172d33a6683_normal.jpeg","View")</f>
        <v>View</v>
      </c>
      <c r="P7571" s="11"/>
    </row>
    <row r="7572" spans="1:16" ht="12.75" x14ac:dyDescent="0.35">
      <c r="A7572" s="7">
        <v>42484.952777777777</v>
      </c>
      <c r="B7572" s="8" t="str">
        <f>HYPERLINK("https://twitter.com/DieselTech_Jobs","@DieselTech_Jobs")</f>
        <v>@DieselTech_Jobs</v>
      </c>
      <c r="C7572" s="9" t="s">
        <v>16730</v>
      </c>
      <c r="D7572" s="9" t="s">
        <v>16731</v>
      </c>
      <c r="E7572" s="10" t="str">
        <f>HYPERLINK("https://twitter.com/DieselTech_Jobs/status/724287288260304896","724287288260304896")</f>
        <v>724287288260304896</v>
      </c>
      <c r="F7572" s="11" t="s">
        <v>13695</v>
      </c>
      <c r="G7572" s="11">
        <v>1459</v>
      </c>
      <c r="H7572" s="11">
        <v>584</v>
      </c>
      <c r="I7572" s="11">
        <v>0</v>
      </c>
      <c r="J7572" s="11">
        <v>0</v>
      </c>
      <c r="K7572" s="11" t="s">
        <v>21</v>
      </c>
      <c r="L7572" s="7">
        <v>41936.848969907405</v>
      </c>
      <c r="M7572" s="12" t="s">
        <v>172</v>
      </c>
      <c r="N7572" s="12" t="s">
        <v>16732</v>
      </c>
      <c r="O7572" s="10" t="str">
        <f>HYPERLINK("https://pbs.twimg.com/profile_images/630822635031494660/c2UrU8oi_normal.jpg","View")</f>
        <v>View</v>
      </c>
      <c r="P7572" s="11"/>
    </row>
    <row r="7573" spans="1:16" ht="12.75" x14ac:dyDescent="0.35">
      <c r="A7573" s="7">
        <v>42484.953958333332</v>
      </c>
      <c r="B7573" s="8" t="str">
        <f>HYPERLINK("https://twitter.com/berlinhabercom","@berlinhabercom")</f>
        <v>@berlinhabercom</v>
      </c>
      <c r="C7573" s="8" t="s">
        <v>14510</v>
      </c>
      <c r="D7573" s="9" t="s">
        <v>14511</v>
      </c>
      <c r="E7573" s="10" t="str">
        <f>HYPERLINK("https://twitter.com/berlinhabercom/status/724287715659943936","724287715659943936")</f>
        <v>724287715659943936</v>
      </c>
      <c r="F7573" s="11" t="s">
        <v>43</v>
      </c>
      <c r="G7573" s="11">
        <v>2724</v>
      </c>
      <c r="H7573" s="11">
        <v>334</v>
      </c>
      <c r="I7573" s="11">
        <v>0</v>
      </c>
      <c r="J7573" s="11">
        <v>0</v>
      </c>
      <c r="K7573" s="11" t="s">
        <v>21</v>
      </c>
      <c r="L7573" s="7">
        <v>41793.053182870368</v>
      </c>
      <c r="M7573" s="12"/>
      <c r="N7573" s="12"/>
      <c r="O7573" s="10" t="str">
        <f>HYPERLINK("https://pbs.twimg.com/profile_images/473555745741344768/83uhhxQy_normal.jpeg","View")</f>
        <v>View</v>
      </c>
      <c r="P7573" s="11"/>
    </row>
    <row r="7574" spans="1:16" ht="12.75" x14ac:dyDescent="0.35">
      <c r="A7574" s="7">
        <v>42484.954247685186</v>
      </c>
      <c r="B7574" s="8" t="str">
        <f>HYPERLINK("https://twitter.com/VWCamperSales","@VWCamperSales")</f>
        <v>@VWCamperSales</v>
      </c>
      <c r="C7574" s="9" t="s">
        <v>216</v>
      </c>
      <c r="D7574" s="9" t="s">
        <v>16733</v>
      </c>
      <c r="E7574" s="10" t="str">
        <f>HYPERLINK("https://twitter.com/VWCamperSales/status/724287818889977857","724287818889977857")</f>
        <v>724287818889977857</v>
      </c>
      <c r="F7574" s="10" t="s">
        <v>124</v>
      </c>
      <c r="G7574" s="11">
        <v>625</v>
      </c>
      <c r="H7574" s="11">
        <v>579</v>
      </c>
      <c r="I7574" s="11">
        <v>0</v>
      </c>
      <c r="J7574" s="11">
        <v>0</v>
      </c>
      <c r="K7574" s="11" t="s">
        <v>21</v>
      </c>
      <c r="L7574" s="7">
        <v>42215.98809027778</v>
      </c>
      <c r="M7574" s="12" t="s">
        <v>129</v>
      </c>
      <c r="N7574" s="12" t="s">
        <v>218</v>
      </c>
      <c r="O7574" s="10" t="str">
        <f>HYPERLINK("https://pbs.twimg.com/profile_images/627949001179037696/skEBkS05_normal.jpg","View")</f>
        <v>View</v>
      </c>
      <c r="P7574" s="11"/>
    </row>
    <row r="7575" spans="1:16" ht="12.75" x14ac:dyDescent="0.35">
      <c r="A7575" s="7">
        <v>42484.95447916667</v>
      </c>
      <c r="B7575" s="8" t="str">
        <f>HYPERLINK("https://twitter.com/William24442835","@William24442835")</f>
        <v>@William24442835</v>
      </c>
      <c r="C7575" s="9" t="s">
        <v>11050</v>
      </c>
      <c r="D7575" s="9" t="s">
        <v>15197</v>
      </c>
      <c r="E7575" s="10" t="str">
        <f>HYPERLINK("https://twitter.com/William24442835/status/724287902830735364","724287902830735364")</f>
        <v>724287902830735364</v>
      </c>
      <c r="F7575" s="11" t="s">
        <v>48</v>
      </c>
      <c r="G7575" s="11">
        <v>92</v>
      </c>
      <c r="H7575" s="11">
        <v>87</v>
      </c>
      <c r="I7575" s="11">
        <v>15</v>
      </c>
      <c r="J7575" s="11">
        <v>0</v>
      </c>
      <c r="K7575" s="11" t="s">
        <v>21</v>
      </c>
      <c r="L7575" s="7">
        <v>42360.987824074073</v>
      </c>
      <c r="M7575" s="12"/>
      <c r="N7575" s="12"/>
      <c r="O7575" s="10" t="str">
        <f>HYPERLINK("https://pbs.twimg.com/profile_images/724246833908867073/ZHG0-icg_normal.jpg","View")</f>
        <v>View</v>
      </c>
      <c r="P7575" s="11"/>
    </row>
    <row r="7576" spans="1:16" ht="12.75" x14ac:dyDescent="0.35">
      <c r="A7576" s="7">
        <v>42484.955057870371</v>
      </c>
      <c r="B7576" s="8" t="str">
        <f>HYPERLINK("https://twitter.com/StageFrightAmps","@StageFrightAmps")</f>
        <v>@StageFrightAmps</v>
      </c>
      <c r="C7576" s="9" t="s">
        <v>16734</v>
      </c>
      <c r="D7576" s="9" t="s">
        <v>16735</v>
      </c>
      <c r="E7576" s="10" t="str">
        <f>HYPERLINK("https://twitter.com/StageFrightAmps/status/724288115087544320","724288115087544320")</f>
        <v>724288115087544320</v>
      </c>
      <c r="F7576" s="11" t="s">
        <v>16736</v>
      </c>
      <c r="G7576" s="11">
        <v>7130</v>
      </c>
      <c r="H7576" s="11">
        <v>7697</v>
      </c>
      <c r="I7576" s="11">
        <v>0</v>
      </c>
      <c r="J7576" s="11">
        <v>0</v>
      </c>
      <c r="K7576" s="11" t="s">
        <v>21</v>
      </c>
      <c r="L7576" s="7">
        <v>41078.107905092591</v>
      </c>
      <c r="M7576" s="12" t="s">
        <v>16737</v>
      </c>
      <c r="N7576" s="12" t="s">
        <v>16738</v>
      </c>
      <c r="O7576" s="10" t="str">
        <f>HYPERLINK("https://pbs.twimg.com/profile_images/502830767638990848/J_G3puyt_normal.jpeg","View")</f>
        <v>View</v>
      </c>
      <c r="P7576" s="11"/>
    </row>
    <row r="7577" spans="1:16" ht="12.75" x14ac:dyDescent="0.35">
      <c r="A7577" s="7">
        <v>42484.955104166671</v>
      </c>
      <c r="B7577" s="8" t="str">
        <f>HYPERLINK("https://twitter.com/Mister_Ka","@Mister_Ka")</f>
        <v>@Mister_Ka</v>
      </c>
      <c r="C7577" s="9" t="s">
        <v>16739</v>
      </c>
      <c r="D7577" s="9" t="s">
        <v>16740</v>
      </c>
      <c r="E7577" s="10" t="str">
        <f>HYPERLINK("https://twitter.com/Mister_Ka/status/724288131424505856","724288131424505856")</f>
        <v>724288131424505856</v>
      </c>
      <c r="F7577" s="11" t="s">
        <v>2645</v>
      </c>
      <c r="G7577" s="11">
        <v>731</v>
      </c>
      <c r="H7577" s="11">
        <v>256</v>
      </c>
      <c r="I7577" s="11">
        <v>0</v>
      </c>
      <c r="J7577" s="11">
        <v>0</v>
      </c>
      <c r="K7577" s="11" t="s">
        <v>21</v>
      </c>
      <c r="L7577" s="7">
        <v>40372.623206018521</v>
      </c>
      <c r="M7577" s="12" t="s">
        <v>16741</v>
      </c>
      <c r="N7577" s="12" t="s">
        <v>16742</v>
      </c>
      <c r="O7577" s="10" t="str">
        <f>HYPERLINK("https://pbs.twimg.com/profile_images/471317709280776192/aJ3LGXof_normal.jpeg","View")</f>
        <v>View</v>
      </c>
      <c r="P7577" s="11"/>
    </row>
    <row r="7578" spans="1:16" ht="12.75" x14ac:dyDescent="0.35">
      <c r="A7578" s="7">
        <v>42484.95590277778</v>
      </c>
      <c r="B7578" s="8" t="str">
        <f>HYPERLINK("https://twitter.com/shanicebarnes_","@shanicebarnes_")</f>
        <v>@shanicebarnes_</v>
      </c>
      <c r="C7578" s="9" t="s">
        <v>16743</v>
      </c>
      <c r="D7578" s="9" t="s">
        <v>3996</v>
      </c>
      <c r="E7578" s="10" t="str">
        <f>HYPERLINK("https://twitter.com/shanicebarnes_/status/724288421288652800","724288421288652800")</f>
        <v>724288421288652800</v>
      </c>
      <c r="F7578" s="11" t="s">
        <v>20</v>
      </c>
      <c r="G7578" s="11">
        <v>405</v>
      </c>
      <c r="H7578" s="11">
        <v>348</v>
      </c>
      <c r="I7578" s="11">
        <v>3</v>
      </c>
      <c r="J7578" s="11">
        <v>0</v>
      </c>
      <c r="K7578" s="11" t="s">
        <v>21</v>
      </c>
      <c r="L7578" s="7">
        <v>41455.944907407407</v>
      </c>
      <c r="M7578" s="12"/>
      <c r="N7578" s="12" t="s">
        <v>16744</v>
      </c>
      <c r="O7578" s="10" t="str">
        <f>HYPERLINK("https://pbs.twimg.com/profile_images/721685831166111744/HWnVj-Yd_normal.jpg","View")</f>
        <v>View</v>
      </c>
      <c r="P7578" s="11"/>
    </row>
    <row r="7579" spans="1:16" ht="12.75" x14ac:dyDescent="0.35">
      <c r="A7579" s="7">
        <v>42484.956064814818</v>
      </c>
      <c r="B7579" s="8" t="str">
        <f>HYPERLINK("https://twitter.com/shannonspraytan","@shannonspraytan")</f>
        <v>@shannonspraytan</v>
      </c>
      <c r="C7579" s="9" t="s">
        <v>16745</v>
      </c>
      <c r="D7579" s="9" t="s">
        <v>16746</v>
      </c>
      <c r="E7579" s="10" t="str">
        <f>HYPERLINK("https://twitter.com/shannonspraytan/status/724288478402371588","724288478402371588")</f>
        <v>724288478402371588</v>
      </c>
      <c r="F7579" s="11" t="s">
        <v>20</v>
      </c>
      <c r="G7579" s="11">
        <v>343</v>
      </c>
      <c r="H7579" s="11">
        <v>700</v>
      </c>
      <c r="I7579" s="11">
        <v>0</v>
      </c>
      <c r="J7579" s="11">
        <v>0</v>
      </c>
      <c r="K7579" s="11" t="s">
        <v>21</v>
      </c>
      <c r="L7579" s="7">
        <v>41273.042326388888</v>
      </c>
      <c r="M7579" s="12" t="s">
        <v>16747</v>
      </c>
      <c r="N7579" s="12" t="s">
        <v>16748</v>
      </c>
      <c r="O7579" s="10" t="str">
        <f>HYPERLINK("https://pbs.twimg.com/profile_images/714524596377092096/PkKj4kV9_normal.jpg","View")</f>
        <v>View</v>
      </c>
      <c r="P7579" s="11"/>
    </row>
    <row r="7580" spans="1:16" ht="12.75" x14ac:dyDescent="0.35">
      <c r="A7580" s="7">
        <v>42484.956817129627</v>
      </c>
      <c r="B7580" s="8" t="str">
        <f>HYPERLINK("https://twitter.com/Campervan_Andy","@Campervan_Andy")</f>
        <v>@Campervan_Andy</v>
      </c>
      <c r="C7580" s="9" t="s">
        <v>16749</v>
      </c>
      <c r="D7580" s="9" t="s">
        <v>16217</v>
      </c>
      <c r="E7580" s="10" t="str">
        <f>HYPERLINK("https://twitter.com/Campervan_Andy/status/724288752269574144","724288752269574144")</f>
        <v>724288752269574144</v>
      </c>
      <c r="F7580" s="11" t="s">
        <v>48</v>
      </c>
      <c r="G7580" s="11">
        <v>2199</v>
      </c>
      <c r="H7580" s="11">
        <v>1761</v>
      </c>
      <c r="I7580" s="11">
        <v>3</v>
      </c>
      <c r="J7580" s="11">
        <v>0</v>
      </c>
      <c r="K7580" s="11" t="s">
        <v>21</v>
      </c>
      <c r="L7580" s="7">
        <v>41577.908379629633</v>
      </c>
      <c r="M7580" s="12" t="s">
        <v>1072</v>
      </c>
      <c r="N7580" s="12" t="s">
        <v>16750</v>
      </c>
      <c r="O7580" s="10" t="str">
        <f>HYPERLINK("https://pbs.twimg.com/profile_images/612945932951388160/rufK4V2A_normal.jpg","View")</f>
        <v>View</v>
      </c>
      <c r="P7580" s="11"/>
    </row>
    <row r="7581" spans="1:16" ht="12.75" x14ac:dyDescent="0.35">
      <c r="A7581" s="7">
        <v>42484.957013888888</v>
      </c>
      <c r="B7581" s="8" t="str">
        <f>HYPERLINK("https://twitter.com/Adamnoble81","@Adamnoble81")</f>
        <v>@Adamnoble81</v>
      </c>
      <c r="C7581" s="9" t="s">
        <v>16751</v>
      </c>
      <c r="D7581" s="9" t="s">
        <v>16752</v>
      </c>
      <c r="E7581" s="10" t="str">
        <f>HYPERLINK("https://twitter.com/Adamnoble81/status/724288822499008513","724288822499008513")</f>
        <v>724288822499008513</v>
      </c>
      <c r="F7581" s="11" t="s">
        <v>20</v>
      </c>
      <c r="G7581" s="11">
        <v>663</v>
      </c>
      <c r="H7581" s="11">
        <v>1129</v>
      </c>
      <c r="I7581" s="11">
        <v>1</v>
      </c>
      <c r="J7581" s="11">
        <v>0</v>
      </c>
      <c r="K7581" s="11" t="s">
        <v>21</v>
      </c>
      <c r="L7581" s="7">
        <v>40918.132743055554</v>
      </c>
      <c r="M7581" s="12" t="s">
        <v>16753</v>
      </c>
      <c r="N7581" s="12" t="s">
        <v>16754</v>
      </c>
      <c r="O7581" s="10" t="str">
        <f>HYPERLINK("https://pbs.twimg.com/profile_images/722914832924688384/aGUfJV7g_normal.jpg","View")</f>
        <v>View</v>
      </c>
      <c r="P7581" s="11"/>
    </row>
    <row r="7582" spans="1:16" ht="12.75" x14ac:dyDescent="0.35">
      <c r="A7582" s="7">
        <v>42484.958912037036</v>
      </c>
      <c r="B7582" s="8" t="str">
        <f>HYPERLINK("https://twitter.com/a_cologne","@a_cologne")</f>
        <v>@a_cologne</v>
      </c>
      <c r="C7582" s="9" t="s">
        <v>13701</v>
      </c>
      <c r="D7582" s="9" t="s">
        <v>16755</v>
      </c>
      <c r="E7582" s="10" t="str">
        <f>HYPERLINK("https://twitter.com/a_cologne/status/724289510893301760","724289510893301760")</f>
        <v>724289510893301760</v>
      </c>
      <c r="F7582" s="11" t="s">
        <v>43</v>
      </c>
      <c r="G7582" s="11">
        <v>42</v>
      </c>
      <c r="H7582" s="11">
        <v>167</v>
      </c>
      <c r="I7582" s="11">
        <v>0</v>
      </c>
      <c r="J7582" s="11">
        <v>0</v>
      </c>
      <c r="K7582" s="11" t="s">
        <v>21</v>
      </c>
      <c r="L7582" s="7">
        <v>39961.478275462963</v>
      </c>
      <c r="M7582" s="12" t="s">
        <v>7037</v>
      </c>
      <c r="N7582" s="12" t="s">
        <v>13703</v>
      </c>
      <c r="O7582" s="10" t="str">
        <f>HYPERLINK("https://pbs.twimg.com/profile_images/665794155369668608/801u7DY1_normal.png","View")</f>
        <v>View</v>
      </c>
      <c r="P7582" s="11"/>
    </row>
    <row r="7583" spans="1:16" ht="12.75" x14ac:dyDescent="0.35">
      <c r="A7583" s="7">
        <v>42484.959733796291</v>
      </c>
      <c r="B7583" s="8" t="str">
        <f>HYPERLINK("https://twitter.com/ThreeCountyVW","@ThreeCountyVW")</f>
        <v>@ThreeCountyVW</v>
      </c>
      <c r="C7583" s="9" t="s">
        <v>138</v>
      </c>
      <c r="D7583" s="9" t="s">
        <v>16756</v>
      </c>
      <c r="E7583" s="10" t="str">
        <f>HYPERLINK("https://twitter.com/ThreeCountyVW/status/724289806688116736","724289806688116736")</f>
        <v>724289806688116736</v>
      </c>
      <c r="F7583" s="11" t="s">
        <v>140</v>
      </c>
      <c r="G7583" s="11">
        <v>870</v>
      </c>
      <c r="H7583" s="11">
        <v>210</v>
      </c>
      <c r="I7583" s="11">
        <v>0</v>
      </c>
      <c r="J7583" s="11">
        <v>0</v>
      </c>
      <c r="K7583" s="11" t="s">
        <v>21</v>
      </c>
      <c r="L7583" s="7">
        <v>40150.01599537037</v>
      </c>
      <c r="M7583" s="12"/>
      <c r="N7583" s="12" t="s">
        <v>141</v>
      </c>
      <c r="O7583" s="10" t="str">
        <f>HYPERLINK("https://pbs.twimg.com/profile_images/510134807351672832/NEa_-oCU_normal.jpeg","View")</f>
        <v>View</v>
      </c>
      <c r="P7583" s="11"/>
    </row>
    <row r="7584" spans="1:16" ht="12.75" x14ac:dyDescent="0.35">
      <c r="A7584" s="7">
        <v>42484.959965277776</v>
      </c>
      <c r="B7584" s="8" t="str">
        <f>HYPERLINK("https://twitter.com/whats_live_de","@whats_live_de")</f>
        <v>@whats_live_de</v>
      </c>
      <c r="C7584" s="9" t="s">
        <v>13653</v>
      </c>
      <c r="D7584" s="9" t="s">
        <v>16757</v>
      </c>
      <c r="E7584" s="10" t="str">
        <f>HYPERLINK("https://twitter.com/whats_live_de/status/724289892235264003","724289892235264003")</f>
        <v>724289892235264003</v>
      </c>
      <c r="F7584" s="11" t="s">
        <v>43</v>
      </c>
      <c r="G7584" s="11">
        <v>79</v>
      </c>
      <c r="H7584" s="11">
        <v>184</v>
      </c>
      <c r="I7584" s="11">
        <v>0</v>
      </c>
      <c r="J7584" s="11">
        <v>0</v>
      </c>
      <c r="K7584" s="11" t="s">
        <v>21</v>
      </c>
      <c r="L7584" s="7">
        <v>42312.620046296295</v>
      </c>
      <c r="M7584" s="12" t="s">
        <v>13655</v>
      </c>
      <c r="N7584" s="12" t="s">
        <v>16758</v>
      </c>
      <c r="O7584" s="10" t="str">
        <f>HYPERLINK("https://pbs.twimg.com/profile_images/661836271137005568/Yw0EzI1R_normal.jpg","View")</f>
        <v>View</v>
      </c>
      <c r="P7584" s="11"/>
    </row>
    <row r="7585" spans="1:16" ht="12.75" x14ac:dyDescent="0.35">
      <c r="A7585" s="7">
        <v>42484.960034722222</v>
      </c>
      <c r="B7585" s="8" t="str">
        <f>HYPERLINK("https://twitter.com/dapper013","@dapper013")</f>
        <v>@dapper013</v>
      </c>
      <c r="C7585" s="9" t="s">
        <v>1567</v>
      </c>
      <c r="D7585" s="9" t="s">
        <v>16759</v>
      </c>
      <c r="E7585" s="10" t="str">
        <f>HYPERLINK("https://twitter.com/dapper013/status/724289917623390209","724289917623390209")</f>
        <v>724289917623390209</v>
      </c>
      <c r="F7585" s="11" t="s">
        <v>48</v>
      </c>
      <c r="G7585" s="11">
        <v>290</v>
      </c>
      <c r="H7585" s="11">
        <v>304</v>
      </c>
      <c r="I7585" s="11">
        <v>0</v>
      </c>
      <c r="J7585" s="11">
        <v>0</v>
      </c>
      <c r="K7585" s="11" t="s">
        <v>21</v>
      </c>
      <c r="L7585" s="7">
        <v>40871.767500000002</v>
      </c>
      <c r="M7585" s="12" t="s">
        <v>1569</v>
      </c>
      <c r="N7585" s="12" t="s">
        <v>1570</v>
      </c>
      <c r="O7585" s="10" t="str">
        <f>HYPERLINK("https://pbs.twimg.com/profile_images/704424786777280513/YQVkJF57_normal.jpg","View")</f>
        <v>View</v>
      </c>
      <c r="P7585" s="11"/>
    </row>
    <row r="7586" spans="1:16" ht="12.75" x14ac:dyDescent="0.35">
      <c r="A7586" s="7">
        <v>42484.960092592592</v>
      </c>
      <c r="B7586" s="8" t="str">
        <f>HYPERLINK("https://twitter.com/coccicab71","@coccicab71")</f>
        <v>@coccicab71</v>
      </c>
      <c r="C7586" s="9" t="s">
        <v>7165</v>
      </c>
      <c r="D7586" s="9" t="s">
        <v>16729</v>
      </c>
      <c r="E7586" s="10" t="str">
        <f>HYPERLINK("https://twitter.com/coccicab71/status/724289939756716032","724289939756716032")</f>
        <v>724289939756716032</v>
      </c>
      <c r="F7586" s="11" t="s">
        <v>43</v>
      </c>
      <c r="G7586" s="11">
        <v>262</v>
      </c>
      <c r="H7586" s="11">
        <v>279</v>
      </c>
      <c r="I7586" s="11">
        <v>2</v>
      </c>
      <c r="J7586" s="11">
        <v>0</v>
      </c>
      <c r="K7586" s="11" t="s">
        <v>21</v>
      </c>
      <c r="L7586" s="7">
        <v>41424.003611111111</v>
      </c>
      <c r="M7586" s="12" t="s">
        <v>7166</v>
      </c>
      <c r="N7586" s="12" t="s">
        <v>7167</v>
      </c>
      <c r="O7586" s="10" t="str">
        <f>HYPERLINK("https://pbs.twimg.com/profile_images/3728536184/f8618f162b51e72519303cccedbec92b_normal.jpeg","View")</f>
        <v>View</v>
      </c>
      <c r="P7586" s="11"/>
    </row>
    <row r="7587" spans="1:16" ht="12.75" x14ac:dyDescent="0.35">
      <c r="A7587" s="7">
        <v>42484.960868055554</v>
      </c>
      <c r="B7587" s="8" t="str">
        <f>HYPERLINK("https://twitter.com/ConfitesUK","@ConfitesUK")</f>
        <v>@ConfitesUK</v>
      </c>
      <c r="C7587" s="9" t="s">
        <v>16760</v>
      </c>
      <c r="D7587" s="9" t="s">
        <v>16761</v>
      </c>
      <c r="E7587" s="10" t="str">
        <f>HYPERLINK("https://twitter.com/ConfitesUK/status/724290216912162817","724290216912162817")</f>
        <v>724290216912162817</v>
      </c>
      <c r="F7587" s="11" t="s">
        <v>43</v>
      </c>
      <c r="G7587" s="11">
        <v>1099</v>
      </c>
      <c r="H7587" s="11">
        <v>1079</v>
      </c>
      <c r="I7587" s="11">
        <v>2</v>
      </c>
      <c r="J7587" s="11">
        <v>0</v>
      </c>
      <c r="K7587" s="11" t="s">
        <v>21</v>
      </c>
      <c r="L7587" s="7">
        <v>42359.745451388888</v>
      </c>
      <c r="M7587" s="12" t="s">
        <v>4036</v>
      </c>
      <c r="N7587" s="12" t="s">
        <v>16762</v>
      </c>
      <c r="O7587" s="10" t="str">
        <f>HYPERLINK("https://pbs.twimg.com/profile_images/678914229802504192/IMKzgGkJ_normal.jpg","View")</f>
        <v>View</v>
      </c>
      <c r="P7587" s="11"/>
    </row>
    <row r="7588" spans="1:16" ht="12.75" x14ac:dyDescent="0.35">
      <c r="A7588" s="7">
        <v>42484.962500000001</v>
      </c>
      <c r="B7588" s="8" t="str">
        <f>HYPERLINK("https://twitter.com/linaiolanda","@linaiolanda")</f>
        <v>@linaiolanda</v>
      </c>
      <c r="C7588" s="9" t="s">
        <v>16763</v>
      </c>
      <c r="D7588" s="9" t="s">
        <v>16764</v>
      </c>
      <c r="E7588" s="10" t="str">
        <f>HYPERLINK("https://twitter.com/linaiolanda/status/724290809714061312","724290809714061312")</f>
        <v>724290809714061312</v>
      </c>
      <c r="F7588" s="11" t="s">
        <v>43</v>
      </c>
      <c r="G7588" s="11">
        <v>13750</v>
      </c>
      <c r="H7588" s="11">
        <v>2358</v>
      </c>
      <c r="I7588" s="11">
        <v>3</v>
      </c>
      <c r="J7588" s="11">
        <v>0</v>
      </c>
      <c r="K7588" s="11" t="s">
        <v>21</v>
      </c>
      <c r="L7588" s="7">
        <v>41738.466168981482</v>
      </c>
      <c r="M7588" s="12"/>
      <c r="N7588" s="13" t="s">
        <v>16765</v>
      </c>
      <c r="O7588" s="10" t="str">
        <f>HYPERLINK("https://pbs.twimg.com/profile_images/720219516639322112/irnAQT4-_normal.jpg","View")</f>
        <v>View</v>
      </c>
      <c r="P7588" s="11"/>
    </row>
    <row r="7589" spans="1:16" ht="12.75" x14ac:dyDescent="0.35">
      <c r="A7589" s="7">
        <v>42484.962511574078</v>
      </c>
      <c r="B7589" s="8" t="str">
        <f>HYPERLINK("https://twitter.com/PaulMIllerVW","@PaulMIllerVW")</f>
        <v>@PaulMIllerVW</v>
      </c>
      <c r="C7589" s="9" t="s">
        <v>9327</v>
      </c>
      <c r="D7589" s="9" t="s">
        <v>16766</v>
      </c>
      <c r="E7589" s="10" t="str">
        <f>HYPERLINK("https://twitter.com/PaulMIllerVW/status/724290813375598593","724290813375598593")</f>
        <v>724290813375598593</v>
      </c>
      <c r="F7589" s="11" t="s">
        <v>140</v>
      </c>
      <c r="G7589" s="11">
        <v>1555</v>
      </c>
      <c r="H7589" s="11">
        <v>2999</v>
      </c>
      <c r="I7589" s="11">
        <v>0</v>
      </c>
      <c r="J7589" s="11">
        <v>0</v>
      </c>
      <c r="K7589" s="11" t="s">
        <v>21</v>
      </c>
      <c r="L7589" s="7">
        <v>41395.856944444444</v>
      </c>
      <c r="M7589" s="12" t="s">
        <v>9329</v>
      </c>
      <c r="N7589" s="12" t="s">
        <v>9330</v>
      </c>
      <c r="O7589" s="10" t="str">
        <f>HYPERLINK("https://pbs.twimg.com/profile_images/606538524934807552/brKPBufq_normal.jpg","View")</f>
        <v>View</v>
      </c>
      <c r="P7589" s="11"/>
    </row>
    <row r="7590" spans="1:16" ht="12.75" x14ac:dyDescent="0.35">
      <c r="A7590" s="7">
        <v>42484.963182870371</v>
      </c>
      <c r="B7590" s="8" t="str">
        <f>HYPERLINK("https://twitter.com/coccicab71","@coccicab71")</f>
        <v>@coccicab71</v>
      </c>
      <c r="C7590" s="9" t="s">
        <v>7165</v>
      </c>
      <c r="D7590" s="9" t="s">
        <v>16767</v>
      </c>
      <c r="E7590" s="10" t="str">
        <f>HYPERLINK("https://twitter.com/coccicab71/status/724291056322400256","724291056322400256")</f>
        <v>724291056322400256</v>
      </c>
      <c r="F7590" s="11" t="s">
        <v>43</v>
      </c>
      <c r="G7590" s="11">
        <v>262</v>
      </c>
      <c r="H7590" s="11">
        <v>279</v>
      </c>
      <c r="I7590" s="11">
        <v>1</v>
      </c>
      <c r="J7590" s="11">
        <v>0</v>
      </c>
      <c r="K7590" s="11" t="s">
        <v>21</v>
      </c>
      <c r="L7590" s="7">
        <v>41424.003611111111</v>
      </c>
      <c r="M7590" s="12" t="s">
        <v>7166</v>
      </c>
      <c r="N7590" s="12" t="s">
        <v>7167</v>
      </c>
      <c r="O7590" s="10" t="str">
        <f>HYPERLINK("https://pbs.twimg.com/profile_images/3728536184/f8618f162b51e72519303cccedbec92b_normal.jpeg","View")</f>
        <v>View</v>
      </c>
      <c r="P7590" s="11"/>
    </row>
    <row r="7591" spans="1:16" ht="12.75" x14ac:dyDescent="0.35">
      <c r="A7591" s="7">
        <v>42484.96366898148</v>
      </c>
      <c r="B7591" s="8" t="str">
        <f>HYPERLINK("https://twitter.com/DeichCruiser","@DeichCruiser")</f>
        <v>@DeichCruiser</v>
      </c>
      <c r="C7591" s="9" t="s">
        <v>13917</v>
      </c>
      <c r="D7591" s="9" t="s">
        <v>16217</v>
      </c>
      <c r="E7591" s="10" t="str">
        <f>HYPERLINK("https://twitter.com/DeichCruiser/status/724291233816948737","724291233816948737")</f>
        <v>724291233816948737</v>
      </c>
      <c r="F7591" s="11" t="s">
        <v>43</v>
      </c>
      <c r="G7591" s="11">
        <v>1608</v>
      </c>
      <c r="H7591" s="11">
        <v>268</v>
      </c>
      <c r="I7591" s="11">
        <v>4</v>
      </c>
      <c r="J7591" s="11">
        <v>0</v>
      </c>
      <c r="K7591" s="11" t="s">
        <v>21</v>
      </c>
      <c r="L7591" s="7">
        <v>41420.921805555554</v>
      </c>
      <c r="M7591" s="12" t="s">
        <v>13919</v>
      </c>
      <c r="N7591" s="12" t="s">
        <v>13920</v>
      </c>
      <c r="O7591" s="10" t="str">
        <f>HYPERLINK("https://pbs.twimg.com/profile_images/723915126089371648/AfcVwe8r_normal.jpg","View")</f>
        <v>View</v>
      </c>
      <c r="P7591" s="11"/>
    </row>
    <row r="7592" spans="1:16" ht="12.75" x14ac:dyDescent="0.35">
      <c r="A7592" s="7">
        <v>42484.964201388888</v>
      </c>
      <c r="B7592" s="8" t="str">
        <f>HYPERLINK("https://twitter.com/Tschompot","@Tschompot")</f>
        <v>@Tschompot</v>
      </c>
      <c r="C7592" s="9" t="s">
        <v>16768</v>
      </c>
      <c r="D7592" s="9" t="s">
        <v>16764</v>
      </c>
      <c r="E7592" s="10" t="str">
        <f>HYPERLINK("https://twitter.com/Tschompot/status/724291428269043712","724291428269043712")</f>
        <v>724291428269043712</v>
      </c>
      <c r="F7592" s="11" t="s">
        <v>43</v>
      </c>
      <c r="G7592" s="11">
        <v>1851</v>
      </c>
      <c r="H7592" s="11">
        <v>1851</v>
      </c>
      <c r="I7592" s="11">
        <v>3</v>
      </c>
      <c r="J7592" s="11">
        <v>0</v>
      </c>
      <c r="K7592" s="11" t="s">
        <v>21</v>
      </c>
      <c r="L7592" s="7">
        <v>40740.622766203705</v>
      </c>
      <c r="M7592" s="12"/>
      <c r="N7592" s="12" t="s">
        <v>16769</v>
      </c>
      <c r="O7592" s="10" t="str">
        <f>HYPERLINK("https://pbs.twimg.com/profile_images/577149877454397440/aD-cSKzv_normal.jpeg","View")</f>
        <v>View</v>
      </c>
      <c r="P7592" s="11"/>
    </row>
    <row r="7593" spans="1:16" ht="12.75" x14ac:dyDescent="0.35">
      <c r="A7593" s="7">
        <v>42484.964999999997</v>
      </c>
      <c r="B7593" s="8" t="str">
        <f>HYPERLINK("https://twitter.com/luchiGarello","@luchiGarello")</f>
        <v>@luchiGarello</v>
      </c>
      <c r="C7593" s="9" t="s">
        <v>16770</v>
      </c>
      <c r="D7593" s="9" t="s">
        <v>16771</v>
      </c>
      <c r="E7593" s="10" t="str">
        <f>HYPERLINK("https://twitter.com/luchiGarello/status/724291717344702467","724291717344702467")</f>
        <v>724291717344702467</v>
      </c>
      <c r="F7593" s="11" t="s">
        <v>114</v>
      </c>
      <c r="G7593" s="11">
        <v>131</v>
      </c>
      <c r="H7593" s="11">
        <v>323</v>
      </c>
      <c r="I7593" s="11">
        <v>0</v>
      </c>
      <c r="J7593" s="11">
        <v>0</v>
      </c>
      <c r="K7593" s="11" t="s">
        <v>21</v>
      </c>
      <c r="L7593" s="7">
        <v>40754.413240740745</v>
      </c>
      <c r="M7593" s="12" t="s">
        <v>866</v>
      </c>
      <c r="N7593" s="12" t="s">
        <v>16772</v>
      </c>
      <c r="O7593" s="10" t="str">
        <f>HYPERLINK("https://pbs.twimg.com/profile_images/720728361371365376/q5nNqU7Q_normal.jpg","View")</f>
        <v>View</v>
      </c>
      <c r="P7593" s="10" t="str">
        <f>HYPERLINK("http://ctrlq.org/maps/address/#-31.4,-64.1833","Map")</f>
        <v>Map</v>
      </c>
    </row>
    <row r="7594" spans="1:16" ht="12.75" x14ac:dyDescent="0.35">
      <c r="A7594" s="7">
        <v>42484.965185185181</v>
      </c>
      <c r="B7594" s="8" t="str">
        <f>HYPERLINK("https://twitter.com/ldnsecuritysynd","@ldnsecuritysynd")</f>
        <v>@ldnsecuritysynd</v>
      </c>
      <c r="C7594" s="9" t="s">
        <v>1091</v>
      </c>
      <c r="D7594" s="9" t="s">
        <v>16773</v>
      </c>
      <c r="E7594" s="10" t="str">
        <f>HYPERLINK("https://twitter.com/ldnsecuritysynd/status/724291784327729153","724291784327729153")</f>
        <v>724291784327729153</v>
      </c>
      <c r="F7594" s="11" t="s">
        <v>114</v>
      </c>
      <c r="G7594" s="11">
        <v>390</v>
      </c>
      <c r="H7594" s="11">
        <v>1903</v>
      </c>
      <c r="I7594" s="11">
        <v>0</v>
      </c>
      <c r="J7594" s="11">
        <v>0</v>
      </c>
      <c r="K7594" s="11" t="s">
        <v>21</v>
      </c>
      <c r="L7594" s="7">
        <v>41683.63422453704</v>
      </c>
      <c r="M7594" s="12" t="s">
        <v>1093</v>
      </c>
      <c r="N7594" s="12" t="s">
        <v>1094</v>
      </c>
      <c r="O7594" s="10" t="str">
        <f>HYPERLINK("https://pbs.twimg.com/profile_images/593454474041102336/YZAKB69P_normal.jpg","View")</f>
        <v>View</v>
      </c>
      <c r="P7594" s="11"/>
    </row>
    <row r="7595" spans="1:16" ht="12.75" x14ac:dyDescent="0.35">
      <c r="A7595" s="7">
        <v>42484.965879629628</v>
      </c>
      <c r="B7595" s="8" t="str">
        <f>HYPERLINK("https://twitter.com/ThomasEngst","@ThomasEngst")</f>
        <v>@ThomasEngst</v>
      </c>
      <c r="C7595" s="9" t="s">
        <v>16774</v>
      </c>
      <c r="D7595" s="9" t="s">
        <v>16764</v>
      </c>
      <c r="E7595" s="10" t="str">
        <f>HYPERLINK("https://twitter.com/ThomasEngst/status/724292033343590401","724292033343590401")</f>
        <v>724292033343590401</v>
      </c>
      <c r="F7595" s="11" t="s">
        <v>872</v>
      </c>
      <c r="G7595" s="11">
        <v>517</v>
      </c>
      <c r="H7595" s="11">
        <v>341</v>
      </c>
      <c r="I7595" s="11">
        <v>3</v>
      </c>
      <c r="J7595" s="11">
        <v>0</v>
      </c>
      <c r="K7595" s="11" t="s">
        <v>21</v>
      </c>
      <c r="L7595" s="7">
        <v>41375.571053240739</v>
      </c>
      <c r="M7595" s="12" t="s">
        <v>16775</v>
      </c>
      <c r="N7595" s="12" t="s">
        <v>16776</v>
      </c>
      <c r="O7595" s="10" t="str">
        <f>HYPERLINK("https://pbs.twimg.com/profile_images/694190122397474816/NBlk8fLo_normal.jpg","View")</f>
        <v>View</v>
      </c>
      <c r="P7595" s="11"/>
    </row>
    <row r="7596" spans="1:16" ht="12.75" x14ac:dyDescent="0.35">
      <c r="A7596" s="7">
        <v>42484.965891203705</v>
      </c>
      <c r="B7596" s="8" t="str">
        <f>HYPERLINK("https://twitter.com/ldnsecuritysynd","@ldnsecuritysynd")</f>
        <v>@ldnsecuritysynd</v>
      </c>
      <c r="C7596" s="9" t="s">
        <v>1091</v>
      </c>
      <c r="D7596" s="9" t="s">
        <v>16777</v>
      </c>
      <c r="E7596" s="10" t="str">
        <f>HYPERLINK("https://twitter.com/ldnsecuritysynd/status/724292038036992000","724292038036992000")</f>
        <v>724292038036992000</v>
      </c>
      <c r="F7596" s="11" t="s">
        <v>114</v>
      </c>
      <c r="G7596" s="11">
        <v>390</v>
      </c>
      <c r="H7596" s="11">
        <v>1903</v>
      </c>
      <c r="I7596" s="11">
        <v>0</v>
      </c>
      <c r="J7596" s="11">
        <v>0</v>
      </c>
      <c r="K7596" s="11" t="s">
        <v>21</v>
      </c>
      <c r="L7596" s="7">
        <v>41683.63422453704</v>
      </c>
      <c r="M7596" s="12" t="s">
        <v>1093</v>
      </c>
      <c r="N7596" s="12" t="s">
        <v>1094</v>
      </c>
      <c r="O7596" s="10" t="str">
        <f>HYPERLINK("https://pbs.twimg.com/profile_images/593454474041102336/YZAKB69P_normal.jpg","View")</f>
        <v>View</v>
      </c>
      <c r="P7596" s="11"/>
    </row>
    <row r="7597" spans="1:16" ht="12.75" x14ac:dyDescent="0.35">
      <c r="A7597" s="7">
        <v>42484.966377314813</v>
      </c>
      <c r="B7597" s="8" t="str">
        <f>HYPERLINK("https://twitter.com/writing_roach","@writing_roach")</f>
        <v>@writing_roach</v>
      </c>
      <c r="C7597" s="9" t="s">
        <v>16778</v>
      </c>
      <c r="D7597" s="9" t="s">
        <v>16779</v>
      </c>
      <c r="E7597" s="10" t="str">
        <f>HYPERLINK("https://twitter.com/writing_roach/status/724292216278159360","724292216278159360")</f>
        <v>724292216278159360</v>
      </c>
      <c r="F7597" s="11" t="s">
        <v>114</v>
      </c>
      <c r="G7597" s="11">
        <v>23</v>
      </c>
      <c r="H7597" s="11">
        <v>91</v>
      </c>
      <c r="I7597" s="11">
        <v>0</v>
      </c>
      <c r="J7597" s="11">
        <v>0</v>
      </c>
      <c r="K7597" s="11" t="s">
        <v>21</v>
      </c>
      <c r="L7597" s="7">
        <v>42450.079907407402</v>
      </c>
      <c r="M7597" s="12"/>
      <c r="N7597" s="12" t="s">
        <v>16780</v>
      </c>
      <c r="O7597" s="10" t="str">
        <f>HYPERLINK("https://pbs.twimg.com/profile_images/723251063491571712/mNQ_28rk_normal.jpg","View")</f>
        <v>View</v>
      </c>
      <c r="P7597" s="11"/>
    </row>
    <row r="7598" spans="1:16" ht="12.75" x14ac:dyDescent="0.35">
      <c r="A7598" s="7">
        <v>42484.966736111106</v>
      </c>
      <c r="B7598" s="8" t="str">
        <f>HYPERLINK("https://twitter.com/VWCamperSales","@VWCamperSales")</f>
        <v>@VWCamperSales</v>
      </c>
      <c r="C7598" s="9" t="s">
        <v>216</v>
      </c>
      <c r="D7598" s="9" t="s">
        <v>16781</v>
      </c>
      <c r="E7598" s="10" t="str">
        <f>HYPERLINK("https://twitter.com/VWCamperSales/status/724292344845991936","724292344845991936")</f>
        <v>724292344845991936</v>
      </c>
      <c r="F7598" s="10" t="s">
        <v>124</v>
      </c>
      <c r="G7598" s="11">
        <v>625</v>
      </c>
      <c r="H7598" s="11">
        <v>579</v>
      </c>
      <c r="I7598" s="11">
        <v>0</v>
      </c>
      <c r="J7598" s="11">
        <v>0</v>
      </c>
      <c r="K7598" s="11" t="s">
        <v>21</v>
      </c>
      <c r="L7598" s="7">
        <v>42215.98809027778</v>
      </c>
      <c r="M7598" s="12" t="s">
        <v>129</v>
      </c>
      <c r="N7598" s="12" t="s">
        <v>218</v>
      </c>
      <c r="O7598" s="10" t="str">
        <f>HYPERLINK("https://pbs.twimg.com/profile_images/627949001179037696/skEBkS05_normal.jpg","View")</f>
        <v>View</v>
      </c>
      <c r="P7598" s="11"/>
    </row>
    <row r="7599" spans="1:16" ht="12.75" x14ac:dyDescent="0.35">
      <c r="A7599" s="7">
        <v>42484.967245370368</v>
      </c>
      <c r="B7599" s="8" t="str">
        <f>HYPERLINK("https://twitter.com/vinylwarning","@vinylwarning")</f>
        <v>@vinylwarning</v>
      </c>
      <c r="C7599" s="9" t="s">
        <v>16782</v>
      </c>
      <c r="D7599" s="9" t="s">
        <v>16783</v>
      </c>
      <c r="E7599" s="10" t="str">
        <f>HYPERLINK("https://twitter.com/vinylwarning/status/724292530758639617","724292530758639617")</f>
        <v>724292530758639617</v>
      </c>
      <c r="F7599" s="11" t="s">
        <v>91</v>
      </c>
      <c r="G7599" s="11">
        <v>188</v>
      </c>
      <c r="H7599" s="11">
        <v>295</v>
      </c>
      <c r="I7599" s="11">
        <v>0</v>
      </c>
      <c r="J7599" s="11">
        <v>0</v>
      </c>
      <c r="K7599" s="11" t="s">
        <v>21</v>
      </c>
      <c r="L7599" s="7">
        <v>41770.574467592596</v>
      </c>
      <c r="M7599" s="12" t="s">
        <v>16784</v>
      </c>
      <c r="N7599" s="12"/>
      <c r="O7599" s="10" t="str">
        <f>HYPERLINK("https://pbs.twimg.com/profile_images/579675590736941057/YOzPSpaE_normal.jpg","View")</f>
        <v>View</v>
      </c>
      <c r="P7599" s="11"/>
    </row>
    <row r="7600" spans="1:16" ht="12.75" x14ac:dyDescent="0.35">
      <c r="A7600" s="7">
        <v>42484.9684837963</v>
      </c>
      <c r="B7600" s="8" t="str">
        <f>HYPERLINK("https://twitter.com/ldnsecuritysynd","@ldnsecuritysynd")</f>
        <v>@ldnsecuritysynd</v>
      </c>
      <c r="C7600" s="9" t="s">
        <v>1091</v>
      </c>
      <c r="D7600" s="9" t="s">
        <v>16785</v>
      </c>
      <c r="E7600" s="10" t="str">
        <f>HYPERLINK("https://twitter.com/ldnsecuritysynd/status/724292979750481924","724292979750481924")</f>
        <v>724292979750481924</v>
      </c>
      <c r="F7600" s="11" t="s">
        <v>114</v>
      </c>
      <c r="G7600" s="11">
        <v>390</v>
      </c>
      <c r="H7600" s="11">
        <v>1903</v>
      </c>
      <c r="I7600" s="11">
        <v>0</v>
      </c>
      <c r="J7600" s="11">
        <v>0</v>
      </c>
      <c r="K7600" s="11" t="s">
        <v>21</v>
      </c>
      <c r="L7600" s="7">
        <v>41683.63422453704</v>
      </c>
      <c r="M7600" s="12" t="s">
        <v>1093</v>
      </c>
      <c r="N7600" s="12" t="s">
        <v>1094</v>
      </c>
      <c r="O7600" s="10" t="str">
        <f>HYPERLINK("https://pbs.twimg.com/profile_images/593454474041102336/YZAKB69P_normal.jpg","View")</f>
        <v>View</v>
      </c>
      <c r="P7600" s="11"/>
    </row>
    <row r="7601" spans="1:16" ht="12.75" x14ac:dyDescent="0.35">
      <c r="A7601" s="7">
        <v>42484.971203703702</v>
      </c>
      <c r="B7601" s="8" t="str">
        <f>HYPERLINK("https://twitter.com/DubLuvTuning","@DubLuvTuning")</f>
        <v>@DubLuvTuning</v>
      </c>
      <c r="C7601" s="9" t="s">
        <v>299</v>
      </c>
      <c r="D7601" s="9" t="s">
        <v>16786</v>
      </c>
      <c r="E7601" s="10" t="str">
        <f>HYPERLINK("https://twitter.com/DubLuvTuning/status/724293965009305601","724293965009305601")</f>
        <v>724293965009305601</v>
      </c>
      <c r="F7601" s="11" t="s">
        <v>288</v>
      </c>
      <c r="G7601" s="11">
        <v>690</v>
      </c>
      <c r="H7601" s="11">
        <v>430</v>
      </c>
      <c r="I7601" s="11">
        <v>1</v>
      </c>
      <c r="J7601" s="11">
        <v>0</v>
      </c>
      <c r="K7601" s="11" t="s">
        <v>21</v>
      </c>
      <c r="L7601" s="7">
        <v>41549.898287037038</v>
      </c>
      <c r="M7601" s="12" t="s">
        <v>301</v>
      </c>
      <c r="N7601" s="12" t="s">
        <v>302</v>
      </c>
      <c r="O7601" s="10" t="str">
        <f>HYPERLINK("https://pbs.twimg.com/profile_images/378800000572104796/1de43e1cf23efb3f4101c02afad0d3b6_normal.png","View")</f>
        <v>View</v>
      </c>
      <c r="P7601" s="11"/>
    </row>
    <row r="7602" spans="1:16" ht="12.75" x14ac:dyDescent="0.35">
      <c r="A7602" s="7">
        <v>42484.971574074079</v>
      </c>
      <c r="B7602" s="8" t="str">
        <f>HYPERLINK("https://twitter.com/VWBeetleSales","@VWBeetleSales")</f>
        <v>@VWBeetleSales</v>
      </c>
      <c r="C7602" s="9" t="s">
        <v>127</v>
      </c>
      <c r="D7602" s="9" t="s">
        <v>16787</v>
      </c>
      <c r="E7602" s="10" t="str">
        <f>HYPERLINK("https://twitter.com/VWBeetleSales/status/724294099633725440","724294099633725440")</f>
        <v>724294099633725440</v>
      </c>
      <c r="F7602" s="10" t="s">
        <v>124</v>
      </c>
      <c r="G7602" s="11">
        <v>39</v>
      </c>
      <c r="H7602" s="11">
        <v>32</v>
      </c>
      <c r="I7602" s="11">
        <v>0</v>
      </c>
      <c r="J7602" s="11">
        <v>0</v>
      </c>
      <c r="K7602" s="11" t="s">
        <v>21</v>
      </c>
      <c r="L7602" s="7">
        <v>42427.019756944443</v>
      </c>
      <c r="M7602" s="12" t="s">
        <v>129</v>
      </c>
      <c r="N7602" s="12" t="s">
        <v>130</v>
      </c>
      <c r="O7602" s="10" t="str">
        <f>HYPERLINK("https://pbs.twimg.com/profile_images/703294545195307008/qeCvrX86_normal.jpg","View")</f>
        <v>View</v>
      </c>
      <c r="P7602" s="11"/>
    </row>
    <row r="7603" spans="1:16" ht="12.75" x14ac:dyDescent="0.35">
      <c r="A7603" s="7">
        <v>42484.97179398148</v>
      </c>
      <c r="B7603" s="8" t="str">
        <f>HYPERLINK("https://twitter.com/thesecretcaddie","@thesecretcaddie")</f>
        <v>@thesecretcaddie</v>
      </c>
      <c r="C7603" s="9" t="s">
        <v>13034</v>
      </c>
      <c r="D7603" s="9" t="s">
        <v>16788</v>
      </c>
      <c r="E7603" s="10" t="str">
        <f>HYPERLINK("https://twitter.com/thesecretcaddie/status/724294177887014912","724294177887014912")</f>
        <v>724294177887014912</v>
      </c>
      <c r="F7603" s="11" t="s">
        <v>288</v>
      </c>
      <c r="G7603" s="11">
        <v>100</v>
      </c>
      <c r="H7603" s="11">
        <v>5</v>
      </c>
      <c r="I7603" s="11">
        <v>1</v>
      </c>
      <c r="J7603" s="11">
        <v>0</v>
      </c>
      <c r="K7603" s="11" t="s">
        <v>21</v>
      </c>
      <c r="L7603" s="7">
        <v>42300.030821759261</v>
      </c>
      <c r="M7603" s="12" t="s">
        <v>13036</v>
      </c>
      <c r="N7603" s="12" t="s">
        <v>13037</v>
      </c>
      <c r="O7603" s="10" t="str">
        <f>HYPERLINK("https://pbs.twimg.com/profile_images/657274911854055424/lvaVj9jL_normal.jpg","View")</f>
        <v>View</v>
      </c>
      <c r="P7603" s="11"/>
    </row>
    <row r="7604" spans="1:16" ht="12.75" x14ac:dyDescent="0.35">
      <c r="A7604" s="7">
        <v>42484.97252314815</v>
      </c>
      <c r="B7604" s="8" t="str">
        <f>HYPERLINK("https://twitter.com/sandysola34","@sandysola34")</f>
        <v>@sandysola34</v>
      </c>
      <c r="C7604" s="9" t="s">
        <v>16789</v>
      </c>
      <c r="D7604" s="9" t="s">
        <v>16790</v>
      </c>
      <c r="E7604" s="10" t="str">
        <f>HYPERLINK("https://twitter.com/sandysola34/status/724294441125580800","724294441125580800")</f>
        <v>724294441125580800</v>
      </c>
      <c r="F7604" s="11" t="s">
        <v>48</v>
      </c>
      <c r="G7604" s="11">
        <v>20</v>
      </c>
      <c r="H7604" s="11">
        <v>56</v>
      </c>
      <c r="I7604" s="11">
        <v>0</v>
      </c>
      <c r="J7604" s="11">
        <v>0</v>
      </c>
      <c r="K7604" s="11" t="s">
        <v>21</v>
      </c>
      <c r="L7604" s="7">
        <v>42256.401967592596</v>
      </c>
      <c r="M7604" s="12"/>
      <c r="N7604" s="12" t="s">
        <v>16791</v>
      </c>
      <c r="O7604" s="10" t="str">
        <f>HYPERLINK("https://pbs.twimg.com/profile_images/715943872820559872/KYDnlJMX_normal.jpg","View")</f>
        <v>View</v>
      </c>
      <c r="P7604" s="11"/>
    </row>
    <row r="7605" spans="1:16" ht="12.75" x14ac:dyDescent="0.35">
      <c r="A7605" s="7">
        <v>42484.974004629628</v>
      </c>
      <c r="B7605" s="8" t="str">
        <f>HYPERLINK("https://twitter.com/bigbobblehats","@bigbobblehats")</f>
        <v>@bigbobblehats</v>
      </c>
      <c r="C7605" s="9" t="s">
        <v>3111</v>
      </c>
      <c r="D7605" s="9" t="s">
        <v>16792</v>
      </c>
      <c r="E7605" s="10" t="str">
        <f>HYPERLINK("https://twitter.com/bigbobblehats/status/724294977619169280","724294977619169280")</f>
        <v>724294977619169280</v>
      </c>
      <c r="F7605" s="11" t="s">
        <v>53</v>
      </c>
      <c r="G7605" s="11">
        <v>1126</v>
      </c>
      <c r="H7605" s="11">
        <v>237</v>
      </c>
      <c r="I7605" s="11">
        <v>0</v>
      </c>
      <c r="J7605" s="11">
        <v>0</v>
      </c>
      <c r="K7605" s="11" t="s">
        <v>21</v>
      </c>
      <c r="L7605" s="7">
        <v>40441.883425925924</v>
      </c>
      <c r="M7605" s="12" t="s">
        <v>3113</v>
      </c>
      <c r="N7605" s="12"/>
      <c r="O7605" s="10" t="str">
        <f>HYPERLINK("https://pbs.twimg.com/profile_images/1147531135/Bus_Card_Logo_normal.jpg","View")</f>
        <v>View</v>
      </c>
      <c r="P7605" s="11"/>
    </row>
    <row r="7606" spans="1:16" ht="12.75" x14ac:dyDescent="0.35">
      <c r="A7606" s="7">
        <v>42484.97583333333</v>
      </c>
      <c r="B7606" s="8" t="str">
        <f>HYPERLINK("https://twitter.com/VWCamperSales","@VWCamperSales")</f>
        <v>@VWCamperSales</v>
      </c>
      <c r="C7606" s="9" t="s">
        <v>216</v>
      </c>
      <c r="D7606" s="9" t="s">
        <v>16793</v>
      </c>
      <c r="E7606" s="10" t="str">
        <f>HYPERLINK("https://twitter.com/VWCamperSales/status/724295641485078528","724295641485078528")</f>
        <v>724295641485078528</v>
      </c>
      <c r="F7606" s="10" t="s">
        <v>124</v>
      </c>
      <c r="G7606" s="11">
        <v>625</v>
      </c>
      <c r="H7606" s="11">
        <v>579</v>
      </c>
      <c r="I7606" s="11">
        <v>0</v>
      </c>
      <c r="J7606" s="11">
        <v>0</v>
      </c>
      <c r="K7606" s="11" t="s">
        <v>21</v>
      </c>
      <c r="L7606" s="7">
        <v>42215.98809027778</v>
      </c>
      <c r="M7606" s="12" t="s">
        <v>129</v>
      </c>
      <c r="N7606" s="12" t="s">
        <v>218</v>
      </c>
      <c r="O7606" s="10" t="str">
        <f>HYPERLINK("https://pbs.twimg.com/profile_images/627949001179037696/skEBkS05_normal.jpg","View")</f>
        <v>View</v>
      </c>
      <c r="P7606" s="11"/>
    </row>
    <row r="7607" spans="1:16" ht="12.75" x14ac:dyDescent="0.35">
      <c r="A7607" s="7">
        <v>42484.975902777776</v>
      </c>
      <c r="B7607" s="8" t="str">
        <f>HYPERLINK("https://twitter.com/mascoche","@mascoche")</f>
        <v>@mascoche</v>
      </c>
      <c r="C7607" s="8" t="s">
        <v>16794</v>
      </c>
      <c r="D7607" s="9" t="s">
        <v>16795</v>
      </c>
      <c r="E7607" s="10" t="str">
        <f>HYPERLINK("https://twitter.com/mascoche/status/724295667108220928","724295667108220928")</f>
        <v>724295667108220928</v>
      </c>
      <c r="F7607" s="11" t="s">
        <v>63</v>
      </c>
      <c r="G7607" s="11">
        <v>2986</v>
      </c>
      <c r="H7607" s="11">
        <v>202</v>
      </c>
      <c r="I7607" s="11">
        <v>0</v>
      </c>
      <c r="J7607" s="11">
        <v>0</v>
      </c>
      <c r="K7607" s="11" t="s">
        <v>21</v>
      </c>
      <c r="L7607" s="7">
        <v>40661.938275462962</v>
      </c>
      <c r="M7607" s="12" t="s">
        <v>1622</v>
      </c>
      <c r="N7607" s="12" t="s">
        <v>16796</v>
      </c>
      <c r="O7607" s="10" t="str">
        <f>HYPERLINK("https://pbs.twimg.com/profile_images/707577871758446592/VNnESF65_normal.png","View")</f>
        <v>View</v>
      </c>
      <c r="P7607" s="11"/>
    </row>
    <row r="7608" spans="1:16" ht="12.75" x14ac:dyDescent="0.35">
      <c r="A7608" s="7">
        <v>42484.976446759261</v>
      </c>
      <c r="B7608" s="8" t="str">
        <f>HYPERLINK("https://twitter.com/DivolVW","@DivolVW")</f>
        <v>@DivolVW</v>
      </c>
      <c r="C7608" s="9" t="s">
        <v>16797</v>
      </c>
      <c r="D7608" s="9" t="s">
        <v>16798</v>
      </c>
      <c r="E7608" s="10" t="str">
        <f>HYPERLINK("https://twitter.com/DivolVW/status/724295866257956864","724295866257956864")</f>
        <v>724295866257956864</v>
      </c>
      <c r="F7608" s="11" t="s">
        <v>53</v>
      </c>
      <c r="G7608" s="11">
        <v>4445</v>
      </c>
      <c r="H7608" s="11">
        <v>2383</v>
      </c>
      <c r="I7608" s="11">
        <v>0</v>
      </c>
      <c r="J7608" s="11">
        <v>0</v>
      </c>
      <c r="K7608" s="11" t="s">
        <v>21</v>
      </c>
      <c r="L7608" s="7">
        <v>40555.152986111112</v>
      </c>
      <c r="M7608" s="12" t="s">
        <v>16799</v>
      </c>
      <c r="N7608" s="12" t="s">
        <v>16800</v>
      </c>
      <c r="O7608" s="10" t="str">
        <f>HYPERLINK("https://pbs.twimg.com/profile_images/436160266900754432/pou9Jilw_normal.jpeg","View")</f>
        <v>View</v>
      </c>
      <c r="P7608" s="11"/>
    </row>
    <row r="7609" spans="1:16" ht="12.75" x14ac:dyDescent="0.35">
      <c r="A7609" s="7">
        <v>42484.977395833332</v>
      </c>
      <c r="B7609" s="8" t="str">
        <f>HYPERLINK("https://twitter.com/Sebodacious","@Sebodacious")</f>
        <v>@Sebodacious</v>
      </c>
      <c r="C7609" s="9" t="s">
        <v>16801</v>
      </c>
      <c r="D7609" s="9" t="s">
        <v>16802</v>
      </c>
      <c r="E7609" s="10" t="str">
        <f>HYPERLINK("https://twitter.com/Sebodacious/status/724296207162548224","724296207162548224")</f>
        <v>724296207162548224</v>
      </c>
      <c r="F7609" s="11" t="s">
        <v>48</v>
      </c>
      <c r="G7609" s="11">
        <v>2243</v>
      </c>
      <c r="H7609" s="11">
        <v>1275</v>
      </c>
      <c r="I7609" s="11">
        <v>0</v>
      </c>
      <c r="J7609" s="11">
        <v>1</v>
      </c>
      <c r="K7609" s="11" t="s">
        <v>21</v>
      </c>
      <c r="L7609" s="7">
        <v>40454.488379629627</v>
      </c>
      <c r="M7609" s="12" t="s">
        <v>16803</v>
      </c>
      <c r="N7609" s="12" t="s">
        <v>16804</v>
      </c>
      <c r="O7609" s="10" t="str">
        <f>HYPERLINK("https://pbs.twimg.com/profile_images/721584519963418624/ibxhV96N_normal.jpg","View")</f>
        <v>View</v>
      </c>
      <c r="P7609" s="11"/>
    </row>
    <row r="7610" spans="1:16" ht="12.75" x14ac:dyDescent="0.35">
      <c r="A7610" s="7">
        <v>42484.977650462963</v>
      </c>
      <c r="B7610" s="8" t="str">
        <f>HYPERLINK("https://twitter.com/Scirocco_Tuning","@Scirocco_Tuning")</f>
        <v>@Scirocco_Tuning</v>
      </c>
      <c r="C7610" s="9" t="s">
        <v>51</v>
      </c>
      <c r="D7610" s="9" t="s">
        <v>16805</v>
      </c>
      <c r="E7610" s="10" t="str">
        <f>HYPERLINK("https://twitter.com/Scirocco_Tuning/status/724296301135958017","724296301135958017")</f>
        <v>724296301135958017</v>
      </c>
      <c r="F7610" s="11" t="s">
        <v>53</v>
      </c>
      <c r="G7610" s="11">
        <v>70</v>
      </c>
      <c r="H7610" s="11">
        <v>215</v>
      </c>
      <c r="I7610" s="11">
        <v>0</v>
      </c>
      <c r="J7610" s="11">
        <v>0</v>
      </c>
      <c r="K7610" s="11" t="s">
        <v>21</v>
      </c>
      <c r="L7610" s="7">
        <v>40844.564722222218</v>
      </c>
      <c r="M7610" s="12"/>
      <c r="N7610" s="12"/>
      <c r="O7610" s="10" t="str">
        <f>HYPERLINK("https://pbs.twimg.com/profile_images/1610421423/Image2_normal.jpg","View")</f>
        <v>View</v>
      </c>
      <c r="P7610" s="11"/>
    </row>
    <row r="7611" spans="1:16" ht="12.75" x14ac:dyDescent="0.35">
      <c r="A7611" s="7">
        <v>42484.977708333332</v>
      </c>
      <c r="B7611" s="8" t="str">
        <f>HYPERLINK("https://twitter.com/SOLDintl","@SOLDintl")</f>
        <v>@SOLDintl</v>
      </c>
      <c r="C7611" s="9" t="s">
        <v>16806</v>
      </c>
      <c r="D7611" s="9" t="s">
        <v>16807</v>
      </c>
      <c r="E7611" s="10" t="str">
        <f>HYPERLINK("https://twitter.com/SOLDintl/status/724296321528651777","724296321528651777")</f>
        <v>724296321528651777</v>
      </c>
      <c r="F7611" s="11" t="s">
        <v>114</v>
      </c>
      <c r="G7611" s="11">
        <v>84</v>
      </c>
      <c r="H7611" s="11">
        <v>100</v>
      </c>
      <c r="I7611" s="11">
        <v>0</v>
      </c>
      <c r="J7611" s="11">
        <v>0</v>
      </c>
      <c r="K7611" s="11" t="s">
        <v>21</v>
      </c>
      <c r="L7611" s="7">
        <v>41642.413159722222</v>
      </c>
      <c r="M7611" s="12" t="s">
        <v>209</v>
      </c>
      <c r="N7611" s="12" t="s">
        <v>16808</v>
      </c>
      <c r="O7611" s="10" t="str">
        <f>HYPERLINK("https://pbs.twimg.com/profile_images/418964142821617665/IPKVoet9_normal.jpeg","View")</f>
        <v>View</v>
      </c>
      <c r="P7611" s="11"/>
    </row>
    <row r="7612" spans="1:16" ht="12.75" x14ac:dyDescent="0.35">
      <c r="A7612" s="7">
        <v>42484.977905092594</v>
      </c>
      <c r="B7612" s="8" t="str">
        <f>HYPERLINK("https://twitter.com/EvvoNewBeetles","@EvvoNewBeetles")</f>
        <v>@EvvoNewBeetles</v>
      </c>
      <c r="C7612" s="9" t="s">
        <v>2294</v>
      </c>
      <c r="D7612" s="9" t="s">
        <v>16809</v>
      </c>
      <c r="E7612" s="10" t="str">
        <f>HYPERLINK("https://twitter.com/EvvoNewBeetles/status/724296393532268544","724296393532268544")</f>
        <v>724296393532268544</v>
      </c>
      <c r="F7612" s="11" t="s">
        <v>114</v>
      </c>
      <c r="G7612" s="11">
        <v>51</v>
      </c>
      <c r="H7612" s="11">
        <v>46</v>
      </c>
      <c r="I7612" s="11">
        <v>0</v>
      </c>
      <c r="J7612" s="11">
        <v>0</v>
      </c>
      <c r="K7612" s="11" t="s">
        <v>21</v>
      </c>
      <c r="L7612" s="7">
        <v>41199.473483796297</v>
      </c>
      <c r="M7612" s="12" t="s">
        <v>2296</v>
      </c>
      <c r="N7612" s="12" t="s">
        <v>2297</v>
      </c>
      <c r="O7612" s="10" t="str">
        <f>HYPERLINK("https://pbs.twimg.com/profile_images/633346486823190529/bN4Fxs99_normal.jpg","View")</f>
        <v>View</v>
      </c>
      <c r="P7612" s="11"/>
    </row>
    <row r="7613" spans="1:16" ht="12.75" x14ac:dyDescent="0.35">
      <c r="A7613" s="7">
        <v>42484.977905092594</v>
      </c>
      <c r="B7613" s="8" t="str">
        <f>HYPERLINK("https://twitter.com/sandysola34","@sandysola34")</f>
        <v>@sandysola34</v>
      </c>
      <c r="C7613" s="9" t="s">
        <v>16789</v>
      </c>
      <c r="D7613" s="9" t="s">
        <v>16810</v>
      </c>
      <c r="E7613" s="10" t="str">
        <f>HYPERLINK("https://twitter.com/sandysola34/status/724296394261954560","724296394261954560")</f>
        <v>724296394261954560</v>
      </c>
      <c r="F7613" s="11" t="s">
        <v>48</v>
      </c>
      <c r="G7613" s="11">
        <v>20</v>
      </c>
      <c r="H7613" s="11">
        <v>56</v>
      </c>
      <c r="I7613" s="11">
        <v>0</v>
      </c>
      <c r="J7613" s="11">
        <v>0</v>
      </c>
      <c r="K7613" s="11" t="s">
        <v>21</v>
      </c>
      <c r="L7613" s="7">
        <v>42256.401967592596</v>
      </c>
      <c r="M7613" s="12"/>
      <c r="N7613" s="12" t="s">
        <v>16791</v>
      </c>
      <c r="O7613" s="10" t="str">
        <f>HYPERLINK("https://pbs.twimg.com/profile_images/715943872820559872/KYDnlJMX_normal.jpg","View")</f>
        <v>View</v>
      </c>
      <c r="P7613" s="11"/>
    </row>
    <row r="7614" spans="1:16" ht="12.75" x14ac:dyDescent="0.35">
      <c r="A7614" s="7">
        <v>42484.978217592594</v>
      </c>
      <c r="B7614" s="8" t="str">
        <f>HYPERLINK("https://twitter.com/RachelArac","@RachelArac")</f>
        <v>@RachelArac</v>
      </c>
      <c r="C7614" s="9" t="s">
        <v>16811</v>
      </c>
      <c r="D7614" s="9" t="s">
        <v>16812</v>
      </c>
      <c r="E7614" s="10" t="str">
        <f>HYPERLINK("https://twitter.com/RachelArac/status/724296507365703685","724296507365703685")</f>
        <v>724296507365703685</v>
      </c>
      <c r="F7614" s="11" t="s">
        <v>20</v>
      </c>
      <c r="G7614" s="11">
        <v>4803</v>
      </c>
      <c r="H7614" s="11">
        <v>315</v>
      </c>
      <c r="I7614" s="11">
        <v>0</v>
      </c>
      <c r="J7614" s="11">
        <v>0</v>
      </c>
      <c r="K7614" s="11" t="s">
        <v>21</v>
      </c>
      <c r="L7614" s="7">
        <v>40757.385787037041</v>
      </c>
      <c r="M7614" s="12" t="s">
        <v>16813</v>
      </c>
      <c r="N7614" s="12" t="s">
        <v>16814</v>
      </c>
      <c r="O7614" s="10" t="str">
        <f>HYPERLINK("https://pbs.twimg.com/profile_images/694291235704537089/iwXOtusm_normal.jpg","View")</f>
        <v>View</v>
      </c>
      <c r="P7614" s="11"/>
    </row>
    <row r="7615" spans="1:16" ht="12.75" x14ac:dyDescent="0.35">
      <c r="A7615" s="7">
        <v>42484.978483796294</v>
      </c>
      <c r="B7615" s="8" t="str">
        <f>HYPERLINK("https://twitter.com/bingo_patb","@bingo_patb")</f>
        <v>@bingo_patb</v>
      </c>
      <c r="C7615" s="9" t="s">
        <v>16815</v>
      </c>
      <c r="D7615" s="9" t="s">
        <v>16816</v>
      </c>
      <c r="E7615" s="10" t="str">
        <f>HYPERLINK("https://twitter.com/bingo_patb/status/724296601389289472","724296601389289472")</f>
        <v>724296601389289472</v>
      </c>
      <c r="F7615" s="11" t="s">
        <v>114</v>
      </c>
      <c r="G7615" s="11">
        <v>110</v>
      </c>
      <c r="H7615" s="11">
        <v>339</v>
      </c>
      <c r="I7615" s="11">
        <v>0</v>
      </c>
      <c r="J7615" s="11">
        <v>0</v>
      </c>
      <c r="K7615" s="11" t="s">
        <v>21</v>
      </c>
      <c r="L7615" s="7">
        <v>40876.565648148149</v>
      </c>
      <c r="M7615" s="12" t="s">
        <v>16817</v>
      </c>
      <c r="N7615" s="12" t="s">
        <v>16818</v>
      </c>
      <c r="O7615" s="10" t="str">
        <f>HYPERLINK("https://pbs.twimg.com/profile_images/1798965425/FacebookHomescreenImage_normal.jpg","View")</f>
        <v>View</v>
      </c>
      <c r="P7615" s="11"/>
    </row>
    <row r="7616" spans="1:16" ht="12.75" x14ac:dyDescent="0.35">
      <c r="A7616" s="7">
        <v>42484.980219907404</v>
      </c>
      <c r="B7616" s="8" t="str">
        <f>HYPERLINK("https://twitter.com/sandysola34","@sandysola34")</f>
        <v>@sandysola34</v>
      </c>
      <c r="C7616" s="9" t="s">
        <v>16789</v>
      </c>
      <c r="D7616" s="9" t="s">
        <v>16819</v>
      </c>
      <c r="E7616" s="10" t="str">
        <f>HYPERLINK("https://twitter.com/sandysola34/status/724297231252119554","724297231252119554")</f>
        <v>724297231252119554</v>
      </c>
      <c r="F7616" s="11" t="s">
        <v>48</v>
      </c>
      <c r="G7616" s="11">
        <v>20</v>
      </c>
      <c r="H7616" s="11">
        <v>56</v>
      </c>
      <c r="I7616" s="11">
        <v>0</v>
      </c>
      <c r="J7616" s="11">
        <v>0</v>
      </c>
      <c r="K7616" s="11" t="s">
        <v>21</v>
      </c>
      <c r="L7616" s="7">
        <v>42256.401967592596</v>
      </c>
      <c r="M7616" s="12"/>
      <c r="N7616" s="12" t="s">
        <v>16791</v>
      </c>
      <c r="O7616" s="10" t="str">
        <f>HYPERLINK("https://pbs.twimg.com/profile_images/715943872820559872/KYDnlJMX_normal.jpg","View")</f>
        <v>View</v>
      </c>
      <c r="P7616" s="11"/>
    </row>
    <row r="7617" spans="1:16" ht="12.75" x14ac:dyDescent="0.35">
      <c r="A7617" s="7">
        <v>42484.98027777778</v>
      </c>
      <c r="B7617" s="8" t="str">
        <f t="shared" ref="B7617:B7618" si="741">HYPERLINK("https://twitter.com/VWBeetleSales","@VWBeetleSales")</f>
        <v>@VWBeetleSales</v>
      </c>
      <c r="C7617" s="9" t="s">
        <v>127</v>
      </c>
      <c r="D7617" s="9" t="s">
        <v>16820</v>
      </c>
      <c r="E7617" s="10" t="str">
        <f>HYPERLINK("https://twitter.com/VWBeetleSales/status/724297251695132672","724297251695132672")</f>
        <v>724297251695132672</v>
      </c>
      <c r="F7617" s="10" t="s">
        <v>124</v>
      </c>
      <c r="G7617" s="11">
        <v>39</v>
      </c>
      <c r="H7617" s="11">
        <v>32</v>
      </c>
      <c r="I7617" s="11">
        <v>0</v>
      </c>
      <c r="J7617" s="11">
        <v>0</v>
      </c>
      <c r="K7617" s="11" t="s">
        <v>21</v>
      </c>
      <c r="L7617" s="7">
        <v>42427.019756944443</v>
      </c>
      <c r="M7617" s="12" t="s">
        <v>129</v>
      </c>
      <c r="N7617" s="12" t="s">
        <v>130</v>
      </c>
      <c r="O7617" s="10" t="str">
        <f t="shared" ref="O7617:O7618" si="742">HYPERLINK("https://pbs.twimg.com/profile_images/703294545195307008/qeCvrX86_normal.jpg","View")</f>
        <v>View</v>
      </c>
      <c r="P7617" s="11"/>
    </row>
    <row r="7618" spans="1:16" ht="12.75" x14ac:dyDescent="0.35">
      <c r="A7618" s="7">
        <v>42484.98028935185</v>
      </c>
      <c r="B7618" s="8" t="str">
        <f t="shared" si="741"/>
        <v>@VWBeetleSales</v>
      </c>
      <c r="C7618" s="9" t="s">
        <v>127</v>
      </c>
      <c r="D7618" s="9" t="s">
        <v>16821</v>
      </c>
      <c r="E7618" s="10" t="str">
        <f>HYPERLINK("https://twitter.com/VWBeetleSales/status/724297254891220992","724297254891220992")</f>
        <v>724297254891220992</v>
      </c>
      <c r="F7618" s="10" t="s">
        <v>124</v>
      </c>
      <c r="G7618" s="11">
        <v>39</v>
      </c>
      <c r="H7618" s="11">
        <v>32</v>
      </c>
      <c r="I7618" s="11">
        <v>0</v>
      </c>
      <c r="J7618" s="11">
        <v>0</v>
      </c>
      <c r="K7618" s="11" t="s">
        <v>21</v>
      </c>
      <c r="L7618" s="7">
        <v>42427.019756944443</v>
      </c>
      <c r="M7618" s="12" t="s">
        <v>129</v>
      </c>
      <c r="N7618" s="12" t="s">
        <v>130</v>
      </c>
      <c r="O7618" s="10" t="str">
        <f t="shared" si="742"/>
        <v>View</v>
      </c>
      <c r="P7618" s="11"/>
    </row>
    <row r="7619" spans="1:16" ht="12.75" x14ac:dyDescent="0.35">
      <c r="A7619" s="7">
        <v>42484.98028935185</v>
      </c>
      <c r="B7619" s="8" t="str">
        <f>HYPERLINK("https://twitter.com/techhippie","@techhippie")</f>
        <v>@techhippie</v>
      </c>
      <c r="C7619" s="9" t="s">
        <v>246</v>
      </c>
      <c r="D7619" s="9" t="s">
        <v>16822</v>
      </c>
      <c r="E7619" s="10" t="str">
        <f>HYPERLINK("https://twitter.com/techhippie/status/724297257214947328","724297257214947328")</f>
        <v>724297257214947328</v>
      </c>
      <c r="F7619" s="11" t="s">
        <v>68</v>
      </c>
      <c r="G7619" s="11">
        <v>2577</v>
      </c>
      <c r="H7619" s="11">
        <v>3831</v>
      </c>
      <c r="I7619" s="11">
        <v>0</v>
      </c>
      <c r="J7619" s="11">
        <v>0</v>
      </c>
      <c r="K7619" s="11" t="s">
        <v>21</v>
      </c>
      <c r="L7619" s="7">
        <v>42424.852152777778</v>
      </c>
      <c r="M7619" s="12" t="s">
        <v>248</v>
      </c>
      <c r="N7619" s="12" t="s">
        <v>249</v>
      </c>
      <c r="O7619" s="10" t="str">
        <f>HYPERLINK("https://pbs.twimg.com/profile_images/702511217793863680/lty8h9vE_normal.jpg","View")</f>
        <v>View</v>
      </c>
      <c r="P7619" s="11"/>
    </row>
    <row r="7620" spans="1:16" ht="12.75" x14ac:dyDescent="0.35">
      <c r="A7620" s="7">
        <v>42484.98033564815</v>
      </c>
      <c r="B7620" s="8" t="str">
        <f t="shared" ref="B7620:B7621" si="743">HYPERLINK("https://twitter.com/VWCamperSales","@VWCamperSales")</f>
        <v>@VWCamperSales</v>
      </c>
      <c r="C7620" s="9" t="s">
        <v>216</v>
      </c>
      <c r="D7620" s="9" t="s">
        <v>16823</v>
      </c>
      <c r="E7620" s="10" t="str">
        <f>HYPERLINK("https://twitter.com/VWCamperSales/status/724297274772185090","724297274772185090")</f>
        <v>724297274772185090</v>
      </c>
      <c r="F7620" s="10" t="s">
        <v>124</v>
      </c>
      <c r="G7620" s="11">
        <v>626</v>
      </c>
      <c r="H7620" s="11">
        <v>579</v>
      </c>
      <c r="I7620" s="11">
        <v>0</v>
      </c>
      <c r="J7620" s="11">
        <v>0</v>
      </c>
      <c r="K7620" s="11" t="s">
        <v>21</v>
      </c>
      <c r="L7620" s="7">
        <v>42215.98809027778</v>
      </c>
      <c r="M7620" s="12" t="s">
        <v>129</v>
      </c>
      <c r="N7620" s="12" t="s">
        <v>218</v>
      </c>
      <c r="O7620" s="10" t="str">
        <f t="shared" ref="O7620:O7621" si="744">HYPERLINK("https://pbs.twimg.com/profile_images/627949001179037696/skEBkS05_normal.jpg","View")</f>
        <v>View</v>
      </c>
      <c r="P7620" s="11"/>
    </row>
    <row r="7621" spans="1:16" ht="12.75" x14ac:dyDescent="0.35">
      <c r="A7621" s="7">
        <v>42484.980347222227</v>
      </c>
      <c r="B7621" s="8" t="str">
        <f t="shared" si="743"/>
        <v>@VWCamperSales</v>
      </c>
      <c r="C7621" s="9" t="s">
        <v>216</v>
      </c>
      <c r="D7621" s="9" t="s">
        <v>16824</v>
      </c>
      <c r="E7621" s="10" t="str">
        <f>HYPERLINK("https://twitter.com/VWCamperSales/status/724297276940673024","724297276940673024")</f>
        <v>724297276940673024</v>
      </c>
      <c r="F7621" s="10" t="s">
        <v>124</v>
      </c>
      <c r="G7621" s="11">
        <v>626</v>
      </c>
      <c r="H7621" s="11">
        <v>579</v>
      </c>
      <c r="I7621" s="11">
        <v>0</v>
      </c>
      <c r="J7621" s="11">
        <v>0</v>
      </c>
      <c r="K7621" s="11" t="s">
        <v>21</v>
      </c>
      <c r="L7621" s="7">
        <v>42215.98809027778</v>
      </c>
      <c r="M7621" s="12" t="s">
        <v>129</v>
      </c>
      <c r="N7621" s="12" t="s">
        <v>218</v>
      </c>
      <c r="O7621" s="10" t="str">
        <f t="shared" si="744"/>
        <v>View</v>
      </c>
      <c r="P7621" s="11"/>
    </row>
    <row r="7622" spans="1:16" ht="12.75" x14ac:dyDescent="0.35">
      <c r="A7622" s="7">
        <v>42484.980567129634</v>
      </c>
      <c r="B7622" s="8" t="str">
        <f>HYPERLINK("https://twitter.com/techhippie","@techhippie")</f>
        <v>@techhippie</v>
      </c>
      <c r="C7622" s="9" t="s">
        <v>246</v>
      </c>
      <c r="D7622" s="9" t="s">
        <v>16825</v>
      </c>
      <c r="E7622" s="10" t="str">
        <f>HYPERLINK("https://twitter.com/techhippie/status/724297357228158976","724297357228158976")</f>
        <v>724297357228158976</v>
      </c>
      <c r="F7622" s="11" t="s">
        <v>68</v>
      </c>
      <c r="G7622" s="11">
        <v>2577</v>
      </c>
      <c r="H7622" s="11">
        <v>3831</v>
      </c>
      <c r="I7622" s="11">
        <v>0</v>
      </c>
      <c r="J7622" s="11">
        <v>0</v>
      </c>
      <c r="K7622" s="11" t="s">
        <v>21</v>
      </c>
      <c r="L7622" s="7">
        <v>42424.852152777778</v>
      </c>
      <c r="M7622" s="12" t="s">
        <v>248</v>
      </c>
      <c r="N7622" s="12" t="s">
        <v>249</v>
      </c>
      <c r="O7622" s="10" t="str">
        <f>HYPERLINK("https://pbs.twimg.com/profile_images/702511217793863680/lty8h9vE_normal.jpg","View")</f>
        <v>View</v>
      </c>
      <c r="P7622" s="11"/>
    </row>
    <row r="7623" spans="1:16" ht="12.75" x14ac:dyDescent="0.35">
      <c r="A7623" s="7">
        <v>42484.982465277775</v>
      </c>
      <c r="B7623" s="8" t="str">
        <f>HYPERLINK("https://twitter.com/mamulavaca","@mamulavaca")</f>
        <v>@mamulavaca</v>
      </c>
      <c r="C7623" s="9" t="s">
        <v>16826</v>
      </c>
      <c r="D7623" s="9" t="s">
        <v>16827</v>
      </c>
      <c r="E7623" s="10" t="str">
        <f>HYPERLINK("https://twitter.com/mamulavaca/status/724298046226325504","724298046226325504")</f>
        <v>724298046226325504</v>
      </c>
      <c r="F7623" s="11" t="s">
        <v>20</v>
      </c>
      <c r="G7623" s="11">
        <v>148</v>
      </c>
      <c r="H7623" s="11">
        <v>815</v>
      </c>
      <c r="I7623" s="11">
        <v>1</v>
      </c>
      <c r="J7623" s="11">
        <v>0</v>
      </c>
      <c r="K7623" s="11" t="s">
        <v>21</v>
      </c>
      <c r="L7623" s="7">
        <v>42176.034560185188</v>
      </c>
      <c r="M7623" s="12" t="s">
        <v>16828</v>
      </c>
      <c r="N7623" s="12"/>
      <c r="O7623" s="10" t="str">
        <f>HYPERLINK("https://pbs.twimg.com/profile_images/710122631236681728/ii4WJ1om_normal.jpg","View")</f>
        <v>View</v>
      </c>
      <c r="P7623" s="11"/>
    </row>
    <row r="7624" spans="1:16" ht="12.75" x14ac:dyDescent="0.35">
      <c r="A7624" s="7">
        <v>42484.982476851852</v>
      </c>
      <c r="B7624" s="8" t="str">
        <f>HYPERLINK("https://twitter.com/kapitao","@kapitao")</f>
        <v>@kapitao</v>
      </c>
      <c r="C7624" s="9" t="s">
        <v>16829</v>
      </c>
      <c r="D7624" s="9" t="s">
        <v>16830</v>
      </c>
      <c r="E7624" s="10" t="str">
        <f>HYPERLINK("https://twitter.com/kapitao/status/724298048667553792","724298048667553792")</f>
        <v>724298048667553792</v>
      </c>
      <c r="F7624" s="11" t="s">
        <v>43</v>
      </c>
      <c r="G7624" s="11">
        <v>1275</v>
      </c>
      <c r="H7624" s="11">
        <v>2376</v>
      </c>
      <c r="I7624" s="11">
        <v>0</v>
      </c>
      <c r="J7624" s="11">
        <v>0</v>
      </c>
      <c r="K7624" s="11" t="s">
        <v>21</v>
      </c>
      <c r="L7624" s="7">
        <v>39817.909120370372</v>
      </c>
      <c r="M7624" s="12" t="s">
        <v>16831</v>
      </c>
      <c r="N7624" s="12" t="s">
        <v>16832</v>
      </c>
      <c r="O7624" s="10" t="str">
        <f>HYPERLINK("https://pbs.twimg.com/profile_images/2886113716/f2da1f1adf432acf9e6bfc8f660169ac_normal.jpeg","View")</f>
        <v>View</v>
      </c>
      <c r="P7624" s="11"/>
    </row>
    <row r="7625" spans="1:16" ht="12.75" x14ac:dyDescent="0.35">
      <c r="A7625" s="7">
        <v>42484.982615740737</v>
      </c>
      <c r="B7625" s="8" t="str">
        <f>HYPERLINK("https://twitter.com/mamulavaca","@mamulavaca")</f>
        <v>@mamulavaca</v>
      </c>
      <c r="C7625" s="9" t="s">
        <v>16826</v>
      </c>
      <c r="D7625" s="9" t="s">
        <v>16833</v>
      </c>
      <c r="E7625" s="10" t="str">
        <f>HYPERLINK("https://twitter.com/mamulavaca/status/724298098940366848","724298098940366848")</f>
        <v>724298098940366848</v>
      </c>
      <c r="F7625" s="11" t="s">
        <v>20</v>
      </c>
      <c r="G7625" s="11">
        <v>148</v>
      </c>
      <c r="H7625" s="11">
        <v>815</v>
      </c>
      <c r="I7625" s="11">
        <v>1</v>
      </c>
      <c r="J7625" s="11">
        <v>0</v>
      </c>
      <c r="K7625" s="11" t="s">
        <v>21</v>
      </c>
      <c r="L7625" s="7">
        <v>42176.034560185188</v>
      </c>
      <c r="M7625" s="12" t="s">
        <v>16828</v>
      </c>
      <c r="N7625" s="12"/>
      <c r="O7625" s="10" t="str">
        <f>HYPERLINK("https://pbs.twimg.com/profile_images/710122631236681728/ii4WJ1om_normal.jpg","View")</f>
        <v>View</v>
      </c>
      <c r="P7625" s="11"/>
    </row>
    <row r="7626" spans="1:16" ht="12.75" x14ac:dyDescent="0.35">
      <c r="A7626" s="7">
        <v>42484.982662037037</v>
      </c>
      <c r="B7626" s="8" t="str">
        <f>HYPERLINK("https://twitter.com/Mphilpot1","@Mphilpot1")</f>
        <v>@Mphilpot1</v>
      </c>
      <c r="C7626" s="9" t="s">
        <v>1280</v>
      </c>
      <c r="D7626" s="9" t="s">
        <v>16834</v>
      </c>
      <c r="E7626" s="10" t="str">
        <f>HYPERLINK("https://twitter.com/Mphilpot1/status/724298115310714880","724298115310714880")</f>
        <v>724298115310714880</v>
      </c>
      <c r="F7626" s="11" t="s">
        <v>34</v>
      </c>
      <c r="G7626" s="11">
        <v>115</v>
      </c>
      <c r="H7626" s="11">
        <v>141</v>
      </c>
      <c r="I7626" s="11">
        <v>0</v>
      </c>
      <c r="J7626" s="11">
        <v>0</v>
      </c>
      <c r="K7626" s="11" t="s">
        <v>21</v>
      </c>
      <c r="L7626" s="7">
        <v>41137.855208333334</v>
      </c>
      <c r="M7626" s="12"/>
      <c r="N7626" s="12"/>
      <c r="O7626" s="10" t="str">
        <f>HYPERLINK("https://pbs.twimg.com/profile_images/422164778639839234/LVnS1q1c_normal.jpeg","View")</f>
        <v>View</v>
      </c>
      <c r="P7626" s="11"/>
    </row>
    <row r="7627" spans="1:16" ht="12.75" x14ac:dyDescent="0.35">
      <c r="A7627" s="7">
        <v>42484.982673611114</v>
      </c>
      <c r="B7627" s="8" t="str">
        <f>HYPERLINK("https://twitter.com/mamulavaca","@mamulavaca")</f>
        <v>@mamulavaca</v>
      </c>
      <c r="C7627" s="9" t="s">
        <v>16826</v>
      </c>
      <c r="D7627" s="9" t="s">
        <v>16833</v>
      </c>
      <c r="E7627" s="10" t="str">
        <f>HYPERLINK("https://twitter.com/mamulavaca/status/724298122633977856","724298122633977856")</f>
        <v>724298122633977856</v>
      </c>
      <c r="F7627" s="11" t="s">
        <v>20</v>
      </c>
      <c r="G7627" s="11">
        <v>148</v>
      </c>
      <c r="H7627" s="11">
        <v>815</v>
      </c>
      <c r="I7627" s="11">
        <v>1</v>
      </c>
      <c r="J7627" s="11">
        <v>0</v>
      </c>
      <c r="K7627" s="11" t="s">
        <v>21</v>
      </c>
      <c r="L7627" s="7">
        <v>42176.034560185188</v>
      </c>
      <c r="M7627" s="12" t="s">
        <v>16828</v>
      </c>
      <c r="N7627" s="12"/>
      <c r="O7627" s="10" t="str">
        <f>HYPERLINK("https://pbs.twimg.com/profile_images/710122631236681728/ii4WJ1om_normal.jpg","View")</f>
        <v>View</v>
      </c>
      <c r="P7627" s="11"/>
    </row>
    <row r="7628" spans="1:16" ht="12.75" x14ac:dyDescent="0.35">
      <c r="A7628" s="7">
        <v>42484.982939814814</v>
      </c>
      <c r="B7628" s="8" t="str">
        <f>HYPERLINK("https://twitter.com/sandysola34","@sandysola34")</f>
        <v>@sandysola34</v>
      </c>
      <c r="C7628" s="9" t="s">
        <v>16789</v>
      </c>
      <c r="D7628" s="9" t="s">
        <v>16835</v>
      </c>
      <c r="E7628" s="10" t="str">
        <f>HYPERLINK("https://twitter.com/sandysola34/status/724298217580429312","724298217580429312")</f>
        <v>724298217580429312</v>
      </c>
      <c r="F7628" s="11" t="s">
        <v>48</v>
      </c>
      <c r="G7628" s="11">
        <v>20</v>
      </c>
      <c r="H7628" s="11">
        <v>56</v>
      </c>
      <c r="I7628" s="11">
        <v>0</v>
      </c>
      <c r="J7628" s="11">
        <v>0</v>
      </c>
      <c r="K7628" s="11" t="s">
        <v>21</v>
      </c>
      <c r="L7628" s="7">
        <v>42256.401967592596</v>
      </c>
      <c r="M7628" s="12"/>
      <c r="N7628" s="12" t="s">
        <v>16791</v>
      </c>
      <c r="O7628" s="10" t="str">
        <f>HYPERLINK("https://pbs.twimg.com/profile_images/715943872820559872/KYDnlJMX_normal.jpg","View")</f>
        <v>View</v>
      </c>
      <c r="P7628" s="11"/>
    </row>
    <row r="7629" spans="1:16" ht="12.75" x14ac:dyDescent="0.35">
      <c r="A7629" s="7">
        <v>42484.983530092592</v>
      </c>
      <c r="B7629" s="8" t="str">
        <f>HYPERLINK("https://twitter.com/Insta_VWT","@Insta_VWT")</f>
        <v>@Insta_VWT</v>
      </c>
      <c r="C7629" s="9" t="s">
        <v>181</v>
      </c>
      <c r="D7629" s="9" t="s">
        <v>16836</v>
      </c>
      <c r="E7629" s="10" t="str">
        <f>HYPERLINK("https://twitter.com/Insta_VWT/status/724298429313232896","724298429313232896")</f>
        <v>724298429313232896</v>
      </c>
      <c r="F7629" s="11" t="s">
        <v>68</v>
      </c>
      <c r="G7629" s="11">
        <v>486</v>
      </c>
      <c r="H7629" s="11">
        <v>0</v>
      </c>
      <c r="I7629" s="11">
        <v>0</v>
      </c>
      <c r="J7629" s="11">
        <v>0</v>
      </c>
      <c r="K7629" s="11" t="s">
        <v>21</v>
      </c>
      <c r="L7629" s="7">
        <v>41658.782800925925</v>
      </c>
      <c r="M7629" s="12" t="s">
        <v>183</v>
      </c>
      <c r="N7629" s="12" t="s">
        <v>184</v>
      </c>
      <c r="O7629" s="10" t="str">
        <f>HYPERLINK("https://pbs.twimg.com/profile_images/424893967197433858/iQ86NktX_normal.jpeg","View")</f>
        <v>View</v>
      </c>
      <c r="P7629" s="11"/>
    </row>
    <row r="7630" spans="1:16" ht="12.75" x14ac:dyDescent="0.35">
      <c r="A7630" s="7">
        <v>42484.983564814815</v>
      </c>
      <c r="B7630" s="8" t="str">
        <f t="shared" ref="B7630:B7632" si="745">HYPERLINK("https://twitter.com/mamulavaca","@mamulavaca")</f>
        <v>@mamulavaca</v>
      </c>
      <c r="C7630" s="9" t="s">
        <v>16826</v>
      </c>
      <c r="D7630" s="9" t="s">
        <v>16837</v>
      </c>
      <c r="E7630" s="10" t="str">
        <f>HYPERLINK("https://twitter.com/mamulavaca/status/724298441837268992","724298441837268992")</f>
        <v>724298441837268992</v>
      </c>
      <c r="F7630" s="11" t="s">
        <v>20</v>
      </c>
      <c r="G7630" s="11">
        <v>148</v>
      </c>
      <c r="H7630" s="11">
        <v>815</v>
      </c>
      <c r="I7630" s="11">
        <v>1</v>
      </c>
      <c r="J7630" s="11">
        <v>0</v>
      </c>
      <c r="K7630" s="11" t="s">
        <v>21</v>
      </c>
      <c r="L7630" s="7">
        <v>42176.034560185188</v>
      </c>
      <c r="M7630" s="12" t="s">
        <v>16828</v>
      </c>
      <c r="N7630" s="12"/>
      <c r="O7630" s="10" t="str">
        <f t="shared" ref="O7630:O7632" si="746">HYPERLINK("https://pbs.twimg.com/profile_images/710122631236681728/ii4WJ1om_normal.jpg","View")</f>
        <v>View</v>
      </c>
      <c r="P7630" s="11"/>
    </row>
    <row r="7631" spans="1:16" ht="12.75" x14ac:dyDescent="0.35">
      <c r="A7631" s="7">
        <v>42484.983680555553</v>
      </c>
      <c r="B7631" s="8" t="str">
        <f t="shared" si="745"/>
        <v>@mamulavaca</v>
      </c>
      <c r="C7631" s="9" t="s">
        <v>16826</v>
      </c>
      <c r="D7631" s="9" t="s">
        <v>16838</v>
      </c>
      <c r="E7631" s="10" t="str">
        <f>HYPERLINK("https://twitter.com/mamulavaca/status/724298484405297155","724298484405297155")</f>
        <v>724298484405297155</v>
      </c>
      <c r="F7631" s="11" t="s">
        <v>20</v>
      </c>
      <c r="G7631" s="11">
        <v>148</v>
      </c>
      <c r="H7631" s="11">
        <v>815</v>
      </c>
      <c r="I7631" s="11">
        <v>1</v>
      </c>
      <c r="J7631" s="11">
        <v>0</v>
      </c>
      <c r="K7631" s="11" t="s">
        <v>21</v>
      </c>
      <c r="L7631" s="7">
        <v>42176.034560185188</v>
      </c>
      <c r="M7631" s="12" t="s">
        <v>16828</v>
      </c>
      <c r="N7631" s="12"/>
      <c r="O7631" s="10" t="str">
        <f t="shared" si="746"/>
        <v>View</v>
      </c>
      <c r="P7631" s="11"/>
    </row>
    <row r="7632" spans="1:16" ht="12.75" x14ac:dyDescent="0.35">
      <c r="A7632" s="7">
        <v>42484.983958333338</v>
      </c>
      <c r="B7632" s="8" t="str">
        <f t="shared" si="745"/>
        <v>@mamulavaca</v>
      </c>
      <c r="C7632" s="9" t="s">
        <v>16826</v>
      </c>
      <c r="D7632" s="9" t="s">
        <v>16839</v>
      </c>
      <c r="E7632" s="10" t="str">
        <f>HYPERLINK("https://twitter.com/mamulavaca/status/724298588067483648","724298588067483648")</f>
        <v>724298588067483648</v>
      </c>
      <c r="F7632" s="11" t="s">
        <v>20</v>
      </c>
      <c r="G7632" s="11">
        <v>148</v>
      </c>
      <c r="H7632" s="11">
        <v>815</v>
      </c>
      <c r="I7632" s="11">
        <v>1</v>
      </c>
      <c r="J7632" s="11">
        <v>0</v>
      </c>
      <c r="K7632" s="11" t="s">
        <v>21</v>
      </c>
      <c r="L7632" s="7">
        <v>42176.034560185188</v>
      </c>
      <c r="M7632" s="12" t="s">
        <v>16828</v>
      </c>
      <c r="N7632" s="12"/>
      <c r="O7632" s="10" t="str">
        <f t="shared" si="746"/>
        <v>View</v>
      </c>
      <c r="P7632" s="11"/>
    </row>
    <row r="7633" spans="1:16" ht="12.75" x14ac:dyDescent="0.35">
      <c r="A7633" s="7">
        <v>42484.985243055555</v>
      </c>
      <c r="B7633" s="8" t="str">
        <f>HYPERLINK("https://twitter.com/Jack_Griffin94","@Jack_Griffin94")</f>
        <v>@Jack_Griffin94</v>
      </c>
      <c r="C7633" s="9" t="s">
        <v>16840</v>
      </c>
      <c r="D7633" s="9" t="s">
        <v>16841</v>
      </c>
      <c r="E7633" s="10" t="str">
        <f>HYPERLINK("https://twitter.com/Jack_Griffin94/status/724299052066738177","724299052066738177")</f>
        <v>724299052066738177</v>
      </c>
      <c r="F7633" s="11" t="s">
        <v>114</v>
      </c>
      <c r="G7633" s="11">
        <v>1196</v>
      </c>
      <c r="H7633" s="11">
        <v>148</v>
      </c>
      <c r="I7633" s="11">
        <v>0</v>
      </c>
      <c r="J7633" s="11">
        <v>0</v>
      </c>
      <c r="K7633" s="11" t="s">
        <v>21</v>
      </c>
      <c r="L7633" s="7">
        <v>41044.130104166667</v>
      </c>
      <c r="M7633" s="12"/>
      <c r="N7633" s="12"/>
      <c r="O7633" s="10" t="str">
        <f>HYPERLINK("https://pbs.twimg.com/profile_images/610902055033573376/xRMB8BVQ_normal.jpg","View")</f>
        <v>View</v>
      </c>
      <c r="P7633" s="11"/>
    </row>
    <row r="7634" spans="1:16" ht="12.75" x14ac:dyDescent="0.35">
      <c r="A7634" s="7">
        <v>42484.985335648147</v>
      </c>
      <c r="B7634" s="8" t="str">
        <f>HYPERLINK("https://twitter.com/andrespirincho","@andrespirincho")</f>
        <v>@andrespirincho</v>
      </c>
      <c r="C7634" s="9" t="s">
        <v>16842</v>
      </c>
      <c r="D7634" s="9" t="s">
        <v>16843</v>
      </c>
      <c r="E7634" s="10" t="str">
        <f>HYPERLINK("https://twitter.com/andrespirincho/status/724299083943403520","724299083943403520")</f>
        <v>724299083943403520</v>
      </c>
      <c r="F7634" s="11" t="s">
        <v>114</v>
      </c>
      <c r="G7634" s="11">
        <v>56</v>
      </c>
      <c r="H7634" s="11">
        <v>135</v>
      </c>
      <c r="I7634" s="11">
        <v>0</v>
      </c>
      <c r="J7634" s="11">
        <v>0</v>
      </c>
      <c r="K7634" s="11" t="s">
        <v>21</v>
      </c>
      <c r="L7634" s="7">
        <v>40404.200902777782</v>
      </c>
      <c r="M7634" s="12" t="s">
        <v>16844</v>
      </c>
      <c r="N7634" s="12"/>
      <c r="O7634" s="10" t="str">
        <f>HYPERLINK("https://pbs.twimg.com/profile_images/412598299099529217/EVA-sZ93_normal.jpeg","View")</f>
        <v>View</v>
      </c>
      <c r="P7634" s="11"/>
    </row>
    <row r="7635" spans="1:16" ht="12.75" x14ac:dyDescent="0.35">
      <c r="A7635" s="7">
        <v>42484.985682870371</v>
      </c>
      <c r="B7635" s="8" t="str">
        <f>HYPERLINK("https://twitter.com/calhounhampton","@calhounhampton")</f>
        <v>@calhounhampton</v>
      </c>
      <c r="C7635" s="9" t="s">
        <v>16845</v>
      </c>
      <c r="D7635" s="9" t="s">
        <v>16846</v>
      </c>
      <c r="E7635" s="10" t="str">
        <f>HYPERLINK("https://twitter.com/calhounhampton/status/724299209386512384","724299209386512384")</f>
        <v>724299209386512384</v>
      </c>
      <c r="F7635" s="11" t="s">
        <v>20</v>
      </c>
      <c r="G7635" s="11">
        <v>8</v>
      </c>
      <c r="H7635" s="11">
        <v>44</v>
      </c>
      <c r="I7635" s="11">
        <v>0</v>
      </c>
      <c r="J7635" s="11">
        <v>0</v>
      </c>
      <c r="K7635" s="11" t="s">
        <v>21</v>
      </c>
      <c r="L7635" s="7">
        <v>40013.250555555554</v>
      </c>
      <c r="M7635" s="12" t="s">
        <v>16847</v>
      </c>
      <c r="N7635" s="12" t="s">
        <v>16848</v>
      </c>
      <c r="O7635" s="10" t="str">
        <f>HYPERLINK("https://pbs.twimg.com/profile_images/320518467/f100_edited_normal.jpg","View")</f>
        <v>View</v>
      </c>
      <c r="P7635" s="11"/>
    </row>
    <row r="7636" spans="1:16" ht="12.75" x14ac:dyDescent="0.35">
      <c r="A7636" s="7">
        <v>42484.986296296294</v>
      </c>
      <c r="B7636" s="8" t="str">
        <f>HYPERLINK("https://twitter.com/Speak_EV","@Speak_EV")</f>
        <v>@Speak_EV</v>
      </c>
      <c r="C7636" s="9" t="s">
        <v>1223</v>
      </c>
      <c r="D7636" s="9" t="s">
        <v>16849</v>
      </c>
      <c r="E7636" s="10" t="str">
        <f>HYPERLINK("https://twitter.com/Speak_EV/status/724299435266707456","724299435266707456")</f>
        <v>724299435266707456</v>
      </c>
      <c r="F7636" s="11" t="s">
        <v>68</v>
      </c>
      <c r="G7636" s="11">
        <v>3929</v>
      </c>
      <c r="H7636" s="11">
        <v>1295</v>
      </c>
      <c r="I7636" s="11">
        <v>0</v>
      </c>
      <c r="J7636" s="11">
        <v>0</v>
      </c>
      <c r="K7636" s="11" t="s">
        <v>21</v>
      </c>
      <c r="L7636" s="7">
        <v>40738.062361111108</v>
      </c>
      <c r="M7636" s="12" t="s">
        <v>1225</v>
      </c>
      <c r="N7636" s="12" t="s">
        <v>1226</v>
      </c>
      <c r="O7636" s="10" t="str">
        <f>HYPERLINK("https://pbs.twimg.com/profile_images/378800000383656962/389f4a2062ec3c75e130fd84590d969c_normal.png","View")</f>
        <v>View</v>
      </c>
      <c r="P7636" s="11"/>
    </row>
    <row r="7637" spans="1:16" ht="12.75" x14ac:dyDescent="0.35">
      <c r="A7637" s="7">
        <v>42484.987430555557</v>
      </c>
      <c r="B7637" s="8" t="str">
        <f>HYPERLINK("https://twitter.com/POLITROSO","@POLITROSO")</f>
        <v>@POLITROSO</v>
      </c>
      <c r="C7637" s="9" t="s">
        <v>10338</v>
      </c>
      <c r="D7637" s="9" t="s">
        <v>16850</v>
      </c>
      <c r="E7637" s="10" t="str">
        <f>HYPERLINK("https://twitter.com/POLITROSO/status/724299842831421440","724299842831421440")</f>
        <v>724299842831421440</v>
      </c>
      <c r="F7637" s="11" t="s">
        <v>43</v>
      </c>
      <c r="G7637" s="11">
        <v>646</v>
      </c>
      <c r="H7637" s="11">
        <v>724</v>
      </c>
      <c r="I7637" s="11">
        <v>0</v>
      </c>
      <c r="J7637" s="11">
        <v>0</v>
      </c>
      <c r="K7637" s="11" t="s">
        <v>21</v>
      </c>
      <c r="L7637" s="7">
        <v>41462.536550925928</v>
      </c>
      <c r="M7637" s="12" t="s">
        <v>1658</v>
      </c>
      <c r="N7637" s="12" t="s">
        <v>10340</v>
      </c>
      <c r="O7637" s="10" t="str">
        <f>HYPERLINK("https://pbs.twimg.com/profile_images/709094810204938241/urgAFsxo_normal.jpg","View")</f>
        <v>View</v>
      </c>
      <c r="P7637" s="11"/>
    </row>
    <row r="7638" spans="1:16" ht="12.75" x14ac:dyDescent="0.35">
      <c r="A7638" s="7">
        <v>42484.987453703703</v>
      </c>
      <c r="B7638" s="8" t="str">
        <f>HYPERLINK("https://twitter.com/briancitoo25","@briancitoo25")</f>
        <v>@briancitoo25</v>
      </c>
      <c r="C7638" s="9" t="s">
        <v>16851</v>
      </c>
      <c r="D7638" s="9" t="s">
        <v>16852</v>
      </c>
      <c r="E7638" s="10" t="str">
        <f>HYPERLINK("https://twitter.com/briancitoo25/status/724299854864736256","724299854864736256")</f>
        <v>724299854864736256</v>
      </c>
      <c r="F7638" s="11" t="s">
        <v>48</v>
      </c>
      <c r="G7638" s="11">
        <v>78</v>
      </c>
      <c r="H7638" s="11">
        <v>435</v>
      </c>
      <c r="I7638" s="11">
        <v>3</v>
      </c>
      <c r="J7638" s="11">
        <v>0</v>
      </c>
      <c r="K7638" s="11" t="s">
        <v>21</v>
      </c>
      <c r="L7638" s="7">
        <v>42273.808483796296</v>
      </c>
      <c r="M7638" s="12"/>
      <c r="N7638" s="12" t="s">
        <v>16853</v>
      </c>
      <c r="O7638" s="10" t="str">
        <f>HYPERLINK("https://pbs.twimg.com/profile_images/683132002170634240/NzGEIxqn_normal.jpg","View")</f>
        <v>View</v>
      </c>
      <c r="P7638" s="11"/>
    </row>
    <row r="7639" spans="1:16" ht="12.75" x14ac:dyDescent="0.35">
      <c r="A7639" s="7">
        <v>42484.989675925928</v>
      </c>
      <c r="B7639" s="8" t="str">
        <f>HYPERLINK("https://twitter.com/VWBeetleSales","@VWBeetleSales")</f>
        <v>@VWBeetleSales</v>
      </c>
      <c r="C7639" s="9" t="s">
        <v>127</v>
      </c>
      <c r="D7639" s="9" t="s">
        <v>16854</v>
      </c>
      <c r="E7639" s="10" t="str">
        <f>HYPERLINK("https://twitter.com/VWBeetleSales/status/724300657159589888","724300657159589888")</f>
        <v>724300657159589888</v>
      </c>
      <c r="F7639" s="10" t="s">
        <v>124</v>
      </c>
      <c r="G7639" s="11">
        <v>39</v>
      </c>
      <c r="H7639" s="11">
        <v>32</v>
      </c>
      <c r="I7639" s="11">
        <v>0</v>
      </c>
      <c r="J7639" s="11">
        <v>0</v>
      </c>
      <c r="K7639" s="11" t="s">
        <v>21</v>
      </c>
      <c r="L7639" s="7">
        <v>42427.019756944443</v>
      </c>
      <c r="M7639" s="12" t="s">
        <v>129</v>
      </c>
      <c r="N7639" s="12" t="s">
        <v>130</v>
      </c>
      <c r="O7639" s="10" t="str">
        <f>HYPERLINK("https://pbs.twimg.com/profile_images/703294545195307008/qeCvrX86_normal.jpg","View")</f>
        <v>View</v>
      </c>
      <c r="P7639" s="11"/>
    </row>
    <row r="7640" spans="1:16" ht="12.75" x14ac:dyDescent="0.35">
      <c r="A7640" s="7">
        <v>42484.989722222221</v>
      </c>
      <c r="B7640" s="8" t="str">
        <f>HYPERLINK("https://twitter.com/VWCamperSales","@VWCamperSales")</f>
        <v>@VWCamperSales</v>
      </c>
      <c r="C7640" s="9" t="s">
        <v>216</v>
      </c>
      <c r="D7640" s="9" t="s">
        <v>16855</v>
      </c>
      <c r="E7640" s="10" t="str">
        <f>HYPERLINK("https://twitter.com/VWCamperSales/status/724300673815187456","724300673815187456")</f>
        <v>724300673815187456</v>
      </c>
      <c r="F7640" s="10" t="s">
        <v>124</v>
      </c>
      <c r="G7640" s="11">
        <v>626</v>
      </c>
      <c r="H7640" s="11">
        <v>579</v>
      </c>
      <c r="I7640" s="11">
        <v>0</v>
      </c>
      <c r="J7640" s="11">
        <v>0</v>
      </c>
      <c r="K7640" s="11" t="s">
        <v>21</v>
      </c>
      <c r="L7640" s="7">
        <v>42215.98809027778</v>
      </c>
      <c r="M7640" s="12" t="s">
        <v>129</v>
      </c>
      <c r="N7640" s="12" t="s">
        <v>218</v>
      </c>
      <c r="O7640" s="10" t="str">
        <f>HYPERLINK("https://pbs.twimg.com/profile_images/627949001179037696/skEBkS05_normal.jpg","View")</f>
        <v>View</v>
      </c>
      <c r="P7640" s="11"/>
    </row>
    <row r="7641" spans="1:16" ht="12.75" x14ac:dyDescent="0.35">
      <c r="A7641" s="7">
        <v>42484.989722222221</v>
      </c>
      <c r="B7641" s="8" t="str">
        <f>HYPERLINK("https://twitter.com/Hexgazauto","@Hexgazauto")</f>
        <v>@Hexgazauto</v>
      </c>
      <c r="C7641" s="9" t="s">
        <v>16856</v>
      </c>
      <c r="D7641" s="9" t="s">
        <v>16852</v>
      </c>
      <c r="E7641" s="10" t="str">
        <f>HYPERLINK("https://twitter.com/Hexgazauto/status/724300675824410624","724300675824410624")</f>
        <v>724300675824410624</v>
      </c>
      <c r="F7641" s="11" t="s">
        <v>16857</v>
      </c>
      <c r="G7641" s="11">
        <v>305</v>
      </c>
      <c r="H7641" s="11">
        <v>60</v>
      </c>
      <c r="I7641" s="11">
        <v>3</v>
      </c>
      <c r="J7641" s="11">
        <v>0</v>
      </c>
      <c r="K7641" s="11" t="s">
        <v>21</v>
      </c>
      <c r="L7641" s="7">
        <v>42415.795740740738</v>
      </c>
      <c r="M7641" s="12"/>
      <c r="N7641" s="12"/>
      <c r="O7641" s="10" t="str">
        <f>HYPERLINK("https://abs.twimg.com/sticky/default_profile_images/default_profile_3_normal.png","View")</f>
        <v>View</v>
      </c>
      <c r="P7641" s="11"/>
    </row>
    <row r="7642" spans="1:16" ht="12.75" x14ac:dyDescent="0.35">
      <c r="A7642" s="7">
        <v>42484.99255787037</v>
      </c>
      <c r="B7642" s="8" t="str">
        <f>HYPERLINK("https://twitter.com/Fernand24650964","@Fernand24650964")</f>
        <v>@Fernand24650964</v>
      </c>
      <c r="C7642" s="9" t="s">
        <v>16858</v>
      </c>
      <c r="D7642" s="9" t="s">
        <v>16859</v>
      </c>
      <c r="E7642" s="10" t="str">
        <f>HYPERLINK("https://twitter.com/Fernand24650964/status/724301702686511104","724301702686511104")</f>
        <v>724301702686511104</v>
      </c>
      <c r="F7642" s="11" t="s">
        <v>114</v>
      </c>
      <c r="G7642" s="11">
        <v>207</v>
      </c>
      <c r="H7642" s="11">
        <v>209</v>
      </c>
      <c r="I7642" s="11">
        <v>0</v>
      </c>
      <c r="J7642" s="11">
        <v>0</v>
      </c>
      <c r="K7642" s="11" t="s">
        <v>21</v>
      </c>
      <c r="L7642" s="7">
        <v>41446.561157407406</v>
      </c>
      <c r="M7642" s="12"/>
      <c r="N7642" s="12" t="s">
        <v>16860</v>
      </c>
      <c r="O7642" s="10" t="str">
        <f>HYPERLINK("https://pbs.twimg.com/profile_images/699715384635686912/YiGLmuR9_normal.jpg","View")</f>
        <v>View</v>
      </c>
      <c r="P7642" s="11"/>
    </row>
    <row r="7643" spans="1:16" ht="12.75" x14ac:dyDescent="0.35">
      <c r="A7643" s="7">
        <v>42484.993067129632</v>
      </c>
      <c r="B7643" s="8" t="str">
        <f>HYPERLINK("https://twitter.com/brettmcneil","@brettmcneil")</f>
        <v>@brettmcneil</v>
      </c>
      <c r="C7643" s="9" t="s">
        <v>16861</v>
      </c>
      <c r="D7643" s="9" t="s">
        <v>16862</v>
      </c>
      <c r="E7643" s="10" t="str">
        <f>HYPERLINK("https://twitter.com/brettmcneil/status/724301886032109569","724301886032109569")</f>
        <v>724301886032109569</v>
      </c>
      <c r="F7643" s="11" t="s">
        <v>20</v>
      </c>
      <c r="G7643" s="11">
        <v>38</v>
      </c>
      <c r="H7643" s="11">
        <v>54</v>
      </c>
      <c r="I7643" s="11">
        <v>0</v>
      </c>
      <c r="J7643" s="11">
        <v>0</v>
      </c>
      <c r="K7643" s="11" t="s">
        <v>21</v>
      </c>
      <c r="L7643" s="7">
        <v>39779.237893518519</v>
      </c>
      <c r="M7643" s="12" t="s">
        <v>16863</v>
      </c>
      <c r="N7643" s="12" t="s">
        <v>16864</v>
      </c>
      <c r="O7643" s="10" t="str">
        <f>HYPERLINK("https://pbs.twimg.com/profile_images/65596539/Brett_with_football_normal.jpg","View")</f>
        <v>View</v>
      </c>
      <c r="P7643" s="11"/>
    </row>
    <row r="7644" spans="1:16" ht="12.75" x14ac:dyDescent="0.35">
      <c r="A7644" s="7">
        <v>42484.994722222225</v>
      </c>
      <c r="B7644" s="8" t="str">
        <f t="shared" ref="B7644:B7645" si="747">HYPERLINK("https://twitter.com/clubVAGVzla","@clubVAGVzla")</f>
        <v>@clubVAGVzla</v>
      </c>
      <c r="C7644" s="9" t="s">
        <v>12079</v>
      </c>
      <c r="D7644" s="9" t="s">
        <v>16865</v>
      </c>
      <c r="E7644" s="10" t="str">
        <f>HYPERLINK("https://twitter.com/clubVAGVzla/status/724302487977623552","724302487977623552")</f>
        <v>724302487977623552</v>
      </c>
      <c r="F7644" s="11" t="s">
        <v>53</v>
      </c>
      <c r="G7644" s="11">
        <v>995</v>
      </c>
      <c r="H7644" s="11">
        <v>120</v>
      </c>
      <c r="I7644" s="11">
        <v>0</v>
      </c>
      <c r="J7644" s="11">
        <v>0</v>
      </c>
      <c r="K7644" s="11" t="s">
        <v>21</v>
      </c>
      <c r="L7644" s="7">
        <v>39890.815798611111</v>
      </c>
      <c r="M7644" s="12" t="s">
        <v>12081</v>
      </c>
      <c r="N7644" s="12" t="s">
        <v>12082</v>
      </c>
      <c r="O7644" s="10" t="str">
        <f t="shared" ref="O7644:O7645" si="748">HYPERLINK("https://pbs.twimg.com/profile_images/621145253261770756/SJdc3xVG_normal.jpg","View")</f>
        <v>View</v>
      </c>
      <c r="P7644" s="11"/>
    </row>
    <row r="7645" spans="1:16" ht="12.75" x14ac:dyDescent="0.35">
      <c r="A7645" s="7">
        <v>42484.995312500003</v>
      </c>
      <c r="B7645" s="8" t="str">
        <f t="shared" si="747"/>
        <v>@clubVAGVzla</v>
      </c>
      <c r="C7645" s="9" t="s">
        <v>12079</v>
      </c>
      <c r="D7645" s="9" t="s">
        <v>16866</v>
      </c>
      <c r="E7645" s="10" t="str">
        <f>HYPERLINK("https://twitter.com/clubVAGVzla/status/724302701555798020","724302701555798020")</f>
        <v>724302701555798020</v>
      </c>
      <c r="F7645" s="11" t="s">
        <v>53</v>
      </c>
      <c r="G7645" s="11">
        <v>995</v>
      </c>
      <c r="H7645" s="11">
        <v>120</v>
      </c>
      <c r="I7645" s="11">
        <v>0</v>
      </c>
      <c r="J7645" s="11">
        <v>0</v>
      </c>
      <c r="K7645" s="11" t="s">
        <v>21</v>
      </c>
      <c r="L7645" s="7">
        <v>39890.815798611111</v>
      </c>
      <c r="M7645" s="12" t="s">
        <v>12081</v>
      </c>
      <c r="N7645" s="12" t="s">
        <v>12082</v>
      </c>
      <c r="O7645" s="10" t="str">
        <f t="shared" si="748"/>
        <v>View</v>
      </c>
      <c r="P7645" s="11"/>
    </row>
    <row r="7646" spans="1:16" ht="12.75" x14ac:dyDescent="0.35">
      <c r="A7646" s="7">
        <v>42484.996157407411</v>
      </c>
      <c r="B7646" s="8" t="str">
        <f>HYPERLINK("https://twitter.com/CoryBarrios","@CoryBarrios")</f>
        <v>@CoryBarrios</v>
      </c>
      <c r="C7646" s="9" t="s">
        <v>16188</v>
      </c>
      <c r="D7646" s="9" t="s">
        <v>16867</v>
      </c>
      <c r="E7646" s="10" t="str">
        <f>HYPERLINK("https://twitter.com/CoryBarrios/status/724303006863376384","724303006863376384")</f>
        <v>724303006863376384</v>
      </c>
      <c r="F7646" s="11" t="s">
        <v>114</v>
      </c>
      <c r="G7646" s="11">
        <v>205</v>
      </c>
      <c r="H7646" s="11">
        <v>437</v>
      </c>
      <c r="I7646" s="11">
        <v>0</v>
      </c>
      <c r="J7646" s="11">
        <v>0</v>
      </c>
      <c r="K7646" s="11" t="s">
        <v>21</v>
      </c>
      <c r="L7646" s="7">
        <v>40169.003483796296</v>
      </c>
      <c r="M7646" s="12" t="s">
        <v>16190</v>
      </c>
      <c r="N7646" s="12" t="s">
        <v>16191</v>
      </c>
      <c r="O7646" s="10" t="str">
        <f>HYPERLINK("https://pbs.twimg.com/profile_images/623965518270038016/EUAbTsHF_normal.jpg","View")</f>
        <v>View</v>
      </c>
      <c r="P7646" s="10" t="str">
        <f>HYPERLINK("http://ctrlq.org/maps/address/#36.971588,-120.079589","Map")</f>
        <v>Map</v>
      </c>
    </row>
    <row r="7647" spans="1:16" ht="12.75" x14ac:dyDescent="0.35">
      <c r="A7647" s="7">
        <v>42484.997986111106</v>
      </c>
      <c r="B7647" s="8" t="str">
        <f t="shared" ref="B7647:B7648" si="749">HYPERLINK("https://twitter.com/VWCamperSales","@VWCamperSales")</f>
        <v>@VWCamperSales</v>
      </c>
      <c r="C7647" s="9" t="s">
        <v>216</v>
      </c>
      <c r="D7647" s="9" t="s">
        <v>16868</v>
      </c>
      <c r="E7647" s="10" t="str">
        <f>HYPERLINK("https://twitter.com/VWCamperSales/status/724303670414692352","724303670414692352")</f>
        <v>724303670414692352</v>
      </c>
      <c r="F7647" s="10" t="s">
        <v>124</v>
      </c>
      <c r="G7647" s="11">
        <v>626</v>
      </c>
      <c r="H7647" s="11">
        <v>579</v>
      </c>
      <c r="I7647" s="11">
        <v>0</v>
      </c>
      <c r="J7647" s="11">
        <v>0</v>
      </c>
      <c r="K7647" s="11" t="s">
        <v>21</v>
      </c>
      <c r="L7647" s="7">
        <v>42215.98809027778</v>
      </c>
      <c r="M7647" s="12" t="s">
        <v>129</v>
      </c>
      <c r="N7647" s="12" t="s">
        <v>218</v>
      </c>
      <c r="O7647" s="10" t="str">
        <f t="shared" ref="O7647:O7648" si="750">HYPERLINK("https://pbs.twimg.com/profile_images/627949001179037696/skEBkS05_normal.jpg","View")</f>
        <v>View</v>
      </c>
      <c r="P7647" s="11"/>
    </row>
    <row r="7648" spans="1:16" ht="12.75" x14ac:dyDescent="0.35">
      <c r="A7648" s="7">
        <v>42484.99799768519</v>
      </c>
      <c r="B7648" s="8" t="str">
        <f t="shared" si="749"/>
        <v>@VWCamperSales</v>
      </c>
      <c r="C7648" s="9" t="s">
        <v>216</v>
      </c>
      <c r="D7648" s="9" t="s">
        <v>16869</v>
      </c>
      <c r="E7648" s="10" t="str">
        <f>HYPERLINK("https://twitter.com/VWCamperSales/status/724303674411913216","724303674411913216")</f>
        <v>724303674411913216</v>
      </c>
      <c r="F7648" s="10" t="s">
        <v>124</v>
      </c>
      <c r="G7648" s="11">
        <v>626</v>
      </c>
      <c r="H7648" s="11">
        <v>579</v>
      </c>
      <c r="I7648" s="11">
        <v>0</v>
      </c>
      <c r="J7648" s="11">
        <v>0</v>
      </c>
      <c r="K7648" s="11" t="s">
        <v>21</v>
      </c>
      <c r="L7648" s="7">
        <v>42215.98809027778</v>
      </c>
      <c r="M7648" s="12" t="s">
        <v>129</v>
      </c>
      <c r="N7648" s="12" t="s">
        <v>218</v>
      </c>
      <c r="O7648" s="10" t="str">
        <f t="shared" si="750"/>
        <v>View</v>
      </c>
      <c r="P7648" s="11"/>
    </row>
    <row r="7649" spans="1:16" ht="12.75" x14ac:dyDescent="0.35">
      <c r="A7649" s="7">
        <v>42485.000787037032</v>
      </c>
      <c r="B7649" s="8" t="str">
        <f>HYPERLINK("https://twitter.com/stevenyouidiot","@stevenyouidiot")</f>
        <v>@stevenyouidiot</v>
      </c>
      <c r="C7649" s="9" t="s">
        <v>16870</v>
      </c>
      <c r="D7649" s="9" t="s">
        <v>16871</v>
      </c>
      <c r="E7649" s="10" t="str">
        <f>HYPERLINK("https://twitter.com/stevenyouidiot/status/724304684316418048","724304684316418048")</f>
        <v>724304684316418048</v>
      </c>
      <c r="F7649" s="11" t="s">
        <v>114</v>
      </c>
      <c r="G7649" s="11">
        <v>386</v>
      </c>
      <c r="H7649" s="11">
        <v>260</v>
      </c>
      <c r="I7649" s="11">
        <v>0</v>
      </c>
      <c r="J7649" s="11">
        <v>0</v>
      </c>
      <c r="K7649" s="11" t="s">
        <v>21</v>
      </c>
      <c r="L7649" s="7">
        <v>41087.812048611115</v>
      </c>
      <c r="M7649" s="12"/>
      <c r="N7649" s="12" t="s">
        <v>16872</v>
      </c>
      <c r="O7649" s="10" t="str">
        <f>HYPERLINK("https://pbs.twimg.com/profile_images/708157436872380416/k7nkGBH6_normal.jpg","View")</f>
        <v>View</v>
      </c>
      <c r="P7649" s="11"/>
    </row>
    <row r="7650" spans="1:16" ht="12.75" x14ac:dyDescent="0.35">
      <c r="A7650" s="7">
        <v>42485.002476851849</v>
      </c>
      <c r="B7650" s="8" t="str">
        <f t="shared" ref="B7650:B7651" si="751">HYPERLINK("https://twitter.com/VWBeetleSales","@VWBeetleSales")</f>
        <v>@VWBeetleSales</v>
      </c>
      <c r="C7650" s="9" t="s">
        <v>127</v>
      </c>
      <c r="D7650" s="9" t="s">
        <v>16873</v>
      </c>
      <c r="E7650" s="10" t="str">
        <f>HYPERLINK("https://twitter.com/VWBeetleSales/status/724305298186334208","724305298186334208")</f>
        <v>724305298186334208</v>
      </c>
      <c r="F7650" s="10" t="s">
        <v>124</v>
      </c>
      <c r="G7650" s="11">
        <v>39</v>
      </c>
      <c r="H7650" s="11">
        <v>32</v>
      </c>
      <c r="I7650" s="11">
        <v>0</v>
      </c>
      <c r="J7650" s="11">
        <v>0</v>
      </c>
      <c r="K7650" s="11" t="s">
        <v>21</v>
      </c>
      <c r="L7650" s="7">
        <v>42427.019756944443</v>
      </c>
      <c r="M7650" s="12" t="s">
        <v>129</v>
      </c>
      <c r="N7650" s="12" t="s">
        <v>130</v>
      </c>
      <c r="O7650" s="10" t="str">
        <f t="shared" ref="O7650:O7651" si="752">HYPERLINK("https://pbs.twimg.com/profile_images/703294545195307008/qeCvrX86_normal.jpg","View")</f>
        <v>View</v>
      </c>
      <c r="P7650" s="11"/>
    </row>
    <row r="7651" spans="1:16" ht="12.75" x14ac:dyDescent="0.35">
      <c r="A7651" s="7">
        <v>42485.002488425926</v>
      </c>
      <c r="B7651" s="8" t="str">
        <f t="shared" si="751"/>
        <v>@VWBeetleSales</v>
      </c>
      <c r="C7651" s="9" t="s">
        <v>127</v>
      </c>
      <c r="D7651" s="9" t="s">
        <v>16874</v>
      </c>
      <c r="E7651" s="10" t="str">
        <f>HYPERLINK("https://twitter.com/VWBeetleSales/status/724305300958797824","724305300958797824")</f>
        <v>724305300958797824</v>
      </c>
      <c r="F7651" s="10" t="s">
        <v>124</v>
      </c>
      <c r="G7651" s="11">
        <v>39</v>
      </c>
      <c r="H7651" s="11">
        <v>32</v>
      </c>
      <c r="I7651" s="11">
        <v>0</v>
      </c>
      <c r="J7651" s="11">
        <v>0</v>
      </c>
      <c r="K7651" s="11" t="s">
        <v>21</v>
      </c>
      <c r="L7651" s="7">
        <v>42427.019756944443</v>
      </c>
      <c r="M7651" s="12" t="s">
        <v>129</v>
      </c>
      <c r="N7651" s="12" t="s">
        <v>130</v>
      </c>
      <c r="O7651" s="10" t="str">
        <f t="shared" si="752"/>
        <v>View</v>
      </c>
      <c r="P7651" s="11"/>
    </row>
    <row r="7652" spans="1:16" ht="12.75" x14ac:dyDescent="0.35">
      <c r="A7652" s="7">
        <v>42485.002523148149</v>
      </c>
      <c r="B7652" s="8" t="str">
        <f>HYPERLINK("https://twitter.com/bird_liam","@bird_liam")</f>
        <v>@bird_liam</v>
      </c>
      <c r="C7652" s="9" t="s">
        <v>16875</v>
      </c>
      <c r="D7652" s="9" t="s">
        <v>16876</v>
      </c>
      <c r="E7652" s="10" t="str">
        <f>HYPERLINK("https://twitter.com/bird_liam/status/724305312904294403","724305312904294403")</f>
        <v>724305312904294403</v>
      </c>
      <c r="F7652" s="11" t="s">
        <v>20</v>
      </c>
      <c r="G7652" s="11">
        <v>859</v>
      </c>
      <c r="H7652" s="11">
        <v>609</v>
      </c>
      <c r="I7652" s="11">
        <v>0</v>
      </c>
      <c r="J7652" s="11">
        <v>0</v>
      </c>
      <c r="K7652" s="11" t="s">
        <v>21</v>
      </c>
      <c r="L7652" s="7">
        <v>41057.116747685184</v>
      </c>
      <c r="M7652" s="12" t="s">
        <v>16877</v>
      </c>
      <c r="N7652" s="12" t="s">
        <v>16878</v>
      </c>
      <c r="O7652" s="10" t="str">
        <f>HYPERLINK("https://pbs.twimg.com/profile_images/692450375845187585/7GddY3aS_normal.jpg","View")</f>
        <v>View</v>
      </c>
      <c r="P7652" s="11"/>
    </row>
    <row r="7653" spans="1:16" ht="12.75" x14ac:dyDescent="0.35">
      <c r="A7653" s="7">
        <v>42485.003506944442</v>
      </c>
      <c r="B7653" s="8" t="str">
        <f>HYPERLINK("https://twitter.com/_thomicastillo","@_thomicastillo")</f>
        <v>@_thomicastillo</v>
      </c>
      <c r="C7653" s="9" t="s">
        <v>16879</v>
      </c>
      <c r="D7653" s="9" t="s">
        <v>2825</v>
      </c>
      <c r="E7653" s="10" t="str">
        <f>HYPERLINK("https://twitter.com/_thomicastillo/status/724305669499830275","724305669499830275")</f>
        <v>724305669499830275</v>
      </c>
      <c r="F7653" s="11" t="s">
        <v>48</v>
      </c>
      <c r="G7653" s="11">
        <v>1256</v>
      </c>
      <c r="H7653" s="11">
        <v>257</v>
      </c>
      <c r="I7653" s="11">
        <v>58</v>
      </c>
      <c r="J7653" s="11">
        <v>0</v>
      </c>
      <c r="K7653" s="11" t="s">
        <v>21</v>
      </c>
      <c r="L7653" s="7">
        <v>41880.198796296296</v>
      </c>
      <c r="M7653" s="12" t="s">
        <v>16880</v>
      </c>
      <c r="N7653" s="12" t="s">
        <v>16881</v>
      </c>
      <c r="O7653" s="10" t="str">
        <f>HYPERLINK("https://pbs.twimg.com/profile_images/723764027063672832/KQ90tMnI_normal.jpg","View")</f>
        <v>View</v>
      </c>
      <c r="P7653" s="11"/>
    </row>
    <row r="7654" spans="1:16" ht="12.75" x14ac:dyDescent="0.35">
      <c r="A7654" s="7">
        <v>42485.003541666665</v>
      </c>
      <c r="B7654" s="8" t="str">
        <f>HYPERLINK("https://twitter.com/TriplePundit","@TriplePundit")</f>
        <v>@TriplePundit</v>
      </c>
      <c r="C7654" s="8" t="s">
        <v>16882</v>
      </c>
      <c r="D7654" s="9" t="s">
        <v>16883</v>
      </c>
      <c r="E7654" s="10" t="str">
        <f>HYPERLINK("https://twitter.com/TriplePundit/status/724305683064213504","724305683064213504")</f>
        <v>724305683064213504</v>
      </c>
      <c r="F7654" s="11" t="s">
        <v>152</v>
      </c>
      <c r="G7654" s="11">
        <v>41887</v>
      </c>
      <c r="H7654" s="11">
        <v>893</v>
      </c>
      <c r="I7654" s="11">
        <v>2</v>
      </c>
      <c r="J7654" s="11">
        <v>0</v>
      </c>
      <c r="K7654" s="11" t="s">
        <v>21</v>
      </c>
      <c r="L7654" s="7">
        <v>39804.023599537039</v>
      </c>
      <c r="M7654" s="12" t="s">
        <v>16884</v>
      </c>
      <c r="N7654" s="12" t="s">
        <v>16885</v>
      </c>
      <c r="O7654" s="10" t="str">
        <f>HYPERLINK("https://pbs.twimg.com/profile_images/465609811220889600/F7o-Mot7_normal.png","View")</f>
        <v>View</v>
      </c>
      <c r="P7654" s="11"/>
    </row>
    <row r="7655" spans="1:16" ht="12.75" x14ac:dyDescent="0.35">
      <c r="A7655" s="7">
        <v>42485.003761574073</v>
      </c>
      <c r="B7655" s="8" t="str">
        <f>HYPERLINK("https://twitter.com/SvenMascha","@SvenMascha")</f>
        <v>@SvenMascha</v>
      </c>
      <c r="C7655" s="9" t="s">
        <v>16886</v>
      </c>
      <c r="D7655" s="9" t="s">
        <v>16764</v>
      </c>
      <c r="E7655" s="10" t="str">
        <f>HYPERLINK("https://twitter.com/SvenMascha/status/724305764211412992","724305764211412992")</f>
        <v>724305764211412992</v>
      </c>
      <c r="F7655" s="11" t="s">
        <v>48</v>
      </c>
      <c r="G7655" s="11">
        <v>52</v>
      </c>
      <c r="H7655" s="11">
        <v>67</v>
      </c>
      <c r="I7655" s="11">
        <v>4</v>
      </c>
      <c r="J7655" s="11">
        <v>0</v>
      </c>
      <c r="K7655" s="11" t="s">
        <v>21</v>
      </c>
      <c r="L7655" s="7">
        <v>42015.099953703699</v>
      </c>
      <c r="M7655" s="12" t="s">
        <v>16887</v>
      </c>
      <c r="N7655" s="12" t="s">
        <v>16888</v>
      </c>
      <c r="O7655" s="10" t="str">
        <f>HYPERLINK("https://pbs.twimg.com/profile_images/554022334466887680/KlFv5SoO_normal.jpeg","View")</f>
        <v>View</v>
      </c>
      <c r="P7655" s="11"/>
    </row>
    <row r="7656" spans="1:16" ht="12.75" x14ac:dyDescent="0.35">
      <c r="A7656" s="7">
        <v>42485.004699074074</v>
      </c>
      <c r="B7656" s="8" t="str">
        <f>HYPERLINK("https://twitter.com/daniel_beye","@daniel_beye")</f>
        <v>@daniel_beye</v>
      </c>
      <c r="C7656" s="9" t="s">
        <v>16889</v>
      </c>
      <c r="D7656" s="9" t="s">
        <v>16890</v>
      </c>
      <c r="E7656" s="10" t="str">
        <f>HYPERLINK("https://twitter.com/daniel_beye/status/724306100737191936","724306100737191936")</f>
        <v>724306100737191936</v>
      </c>
      <c r="F7656" s="11" t="s">
        <v>20</v>
      </c>
      <c r="G7656" s="11">
        <v>45</v>
      </c>
      <c r="H7656" s="11">
        <v>28</v>
      </c>
      <c r="I7656" s="11">
        <v>0</v>
      </c>
      <c r="J7656" s="11">
        <v>0</v>
      </c>
      <c r="K7656" s="11" t="s">
        <v>21</v>
      </c>
      <c r="L7656" s="7">
        <v>39989.05060185185</v>
      </c>
      <c r="M7656" s="12" t="s">
        <v>3284</v>
      </c>
      <c r="N7656" s="12" t="s">
        <v>16891</v>
      </c>
      <c r="O7656" s="10" t="str">
        <f>HYPERLINK("https://pbs.twimg.com/profile_images/378800000324279257/969738a224b608b0a6a28a59642fe9e1_normal.jpeg","View")</f>
        <v>View</v>
      </c>
      <c r="P7656" s="11"/>
    </row>
    <row r="7657" spans="1:16" ht="12.75" x14ac:dyDescent="0.35">
      <c r="A7657" s="7">
        <v>42485.00476851852</v>
      </c>
      <c r="B7657" s="8" t="str">
        <f>HYPERLINK("https://twitter.com/Fernandez_Diego","@Fernandez_Diego")</f>
        <v>@Fernandez_Diego</v>
      </c>
      <c r="C7657" s="9" t="s">
        <v>3238</v>
      </c>
      <c r="D7657" s="9" t="s">
        <v>158</v>
      </c>
      <c r="E7657" s="10" t="str">
        <f>HYPERLINK("https://twitter.com/Fernandez_Diego/status/724306128897753088","724306128897753088")</f>
        <v>724306128897753088</v>
      </c>
      <c r="F7657" s="11" t="s">
        <v>43</v>
      </c>
      <c r="G7657" s="11">
        <v>1361</v>
      </c>
      <c r="H7657" s="11">
        <v>1327</v>
      </c>
      <c r="I7657" s="11">
        <v>27</v>
      </c>
      <c r="J7657" s="11">
        <v>0</v>
      </c>
      <c r="K7657" s="11" t="s">
        <v>21</v>
      </c>
      <c r="L7657" s="7">
        <v>40011.965914351851</v>
      </c>
      <c r="M7657" s="12"/>
      <c r="N7657" s="12" t="s">
        <v>3240</v>
      </c>
      <c r="O7657" s="10" t="str">
        <f>HYPERLINK("https://pbs.twimg.com/profile_images/556255417714503681/B78CvKEX_normal.jpeg","View")</f>
        <v>View</v>
      </c>
      <c r="P7657" s="11"/>
    </row>
    <row r="7658" spans="1:16" ht="12.75" x14ac:dyDescent="0.35">
      <c r="A7658" s="7">
        <v>42485.005428240736</v>
      </c>
      <c r="B7658" s="8" t="str">
        <f>HYPERLINK("https://twitter.com/william_willia2","@william_willia2")</f>
        <v>@william_willia2</v>
      </c>
      <c r="C7658" s="9" t="s">
        <v>16892</v>
      </c>
      <c r="D7658" s="9" t="s">
        <v>16893</v>
      </c>
      <c r="E7658" s="10" t="str">
        <f>HYPERLINK("https://twitter.com/william_willia2/status/724306366140166144","724306366140166144")</f>
        <v>724306366140166144</v>
      </c>
      <c r="F7658" s="11" t="s">
        <v>20</v>
      </c>
      <c r="G7658" s="11">
        <v>357</v>
      </c>
      <c r="H7658" s="11">
        <v>465</v>
      </c>
      <c r="I7658" s="11">
        <v>2</v>
      </c>
      <c r="J7658" s="11">
        <v>0</v>
      </c>
      <c r="K7658" s="11" t="s">
        <v>21</v>
      </c>
      <c r="L7658" s="7">
        <v>41711.183379629627</v>
      </c>
      <c r="M7658" s="12"/>
      <c r="N7658" s="12" t="s">
        <v>16894</v>
      </c>
      <c r="O7658" s="10" t="str">
        <f>HYPERLINK("https://pbs.twimg.com/profile_images/469860056075231232/hUz3Q4v2_normal.jpeg","View")</f>
        <v>View</v>
      </c>
      <c r="P7658" s="11"/>
    </row>
    <row r="7659" spans="1:16" ht="12.75" x14ac:dyDescent="0.35">
      <c r="A7659" s="7">
        <v>42485.005601851852</v>
      </c>
      <c r="B7659" s="8" t="str">
        <f>HYPERLINK("https://twitter.com/MickeyS1977","@MickeyS1977")</f>
        <v>@MickeyS1977</v>
      </c>
      <c r="C7659" s="9" t="s">
        <v>16895</v>
      </c>
      <c r="D7659" s="9" t="s">
        <v>16896</v>
      </c>
      <c r="E7659" s="10" t="str">
        <f>HYPERLINK("https://twitter.com/MickeyS1977/status/724306431747457024","724306431747457024")</f>
        <v>724306431747457024</v>
      </c>
      <c r="F7659" s="11" t="s">
        <v>48</v>
      </c>
      <c r="G7659" s="11">
        <v>2</v>
      </c>
      <c r="H7659" s="11">
        <v>9</v>
      </c>
      <c r="I7659" s="11">
        <v>1</v>
      </c>
      <c r="J7659" s="11">
        <v>0</v>
      </c>
      <c r="K7659" s="11" t="s">
        <v>21</v>
      </c>
      <c r="L7659" s="7">
        <v>42419.105416666665</v>
      </c>
      <c r="M7659" s="12"/>
      <c r="N7659" s="12"/>
      <c r="O7659" s="10" t="str">
        <f>HYPERLINK("https://pbs.twimg.com/profile_images/704280881679241216/gww9ZJUj_normal.jpg","View")</f>
        <v>View</v>
      </c>
      <c r="P7659" s="11"/>
    </row>
    <row r="7660" spans="1:16" ht="12.75" x14ac:dyDescent="0.35">
      <c r="A7660" s="7">
        <v>42485.006412037037</v>
      </c>
      <c r="B7660" s="8" t="str">
        <f t="shared" ref="B7660:B7664" si="753">HYPERLINK("https://twitter.com/beetlebug1938","@beetlebug1938")</f>
        <v>@beetlebug1938</v>
      </c>
      <c r="C7660" s="9" t="s">
        <v>66</v>
      </c>
      <c r="D7660" s="9" t="s">
        <v>16897</v>
      </c>
      <c r="E7660" s="10" t="str">
        <f>HYPERLINK("https://twitter.com/beetlebug1938/status/724306722165272576","724306722165272576")</f>
        <v>724306722165272576</v>
      </c>
      <c r="F7660" s="11" t="s">
        <v>68</v>
      </c>
      <c r="G7660" s="11">
        <v>382</v>
      </c>
      <c r="H7660" s="11">
        <v>2228</v>
      </c>
      <c r="I7660" s="11">
        <v>1</v>
      </c>
      <c r="J7660" s="11">
        <v>1</v>
      </c>
      <c r="K7660" s="11" t="s">
        <v>21</v>
      </c>
      <c r="L7660" s="7">
        <v>42469.863865740743</v>
      </c>
      <c r="M7660" s="12" t="s">
        <v>69</v>
      </c>
      <c r="N7660" s="12"/>
      <c r="O7660" s="10" t="str">
        <f t="shared" ref="O7660:O7664" si="754">HYPERLINK("https://pbs.twimg.com/profile_images/718820712757215233/LXXndPTS_normal.jpg","View")</f>
        <v>View</v>
      </c>
      <c r="P7660" s="11"/>
    </row>
    <row r="7661" spans="1:16" ht="12.75" x14ac:dyDescent="0.35">
      <c r="A7661" s="7">
        <v>42485.00644675926</v>
      </c>
      <c r="B7661" s="8" t="str">
        <f t="shared" si="753"/>
        <v>@beetlebug1938</v>
      </c>
      <c r="C7661" s="9" t="s">
        <v>66</v>
      </c>
      <c r="D7661" s="9" t="s">
        <v>16898</v>
      </c>
      <c r="E7661" s="10" t="str">
        <f>HYPERLINK("https://twitter.com/beetlebug1938/status/724306737193488384","724306737193488384")</f>
        <v>724306737193488384</v>
      </c>
      <c r="F7661" s="11" t="s">
        <v>68</v>
      </c>
      <c r="G7661" s="11">
        <v>382</v>
      </c>
      <c r="H7661" s="11">
        <v>2228</v>
      </c>
      <c r="I7661" s="11">
        <v>1</v>
      </c>
      <c r="J7661" s="11">
        <v>2</v>
      </c>
      <c r="K7661" s="11" t="s">
        <v>21</v>
      </c>
      <c r="L7661" s="7">
        <v>42469.863865740743</v>
      </c>
      <c r="M7661" s="12" t="s">
        <v>69</v>
      </c>
      <c r="N7661" s="12"/>
      <c r="O7661" s="10" t="str">
        <f t="shared" si="754"/>
        <v>View</v>
      </c>
      <c r="P7661" s="11"/>
    </row>
    <row r="7662" spans="1:16" ht="12.75" x14ac:dyDescent="0.35">
      <c r="A7662" s="7">
        <v>42485.006504629629</v>
      </c>
      <c r="B7662" s="8" t="str">
        <f t="shared" si="753"/>
        <v>@beetlebug1938</v>
      </c>
      <c r="C7662" s="9" t="s">
        <v>66</v>
      </c>
      <c r="D7662" s="9" t="s">
        <v>16899</v>
      </c>
      <c r="E7662" s="10" t="str">
        <f>HYPERLINK("https://twitter.com/beetlebug1938/status/724306755539361796","724306755539361796")</f>
        <v>724306755539361796</v>
      </c>
      <c r="F7662" s="11" t="s">
        <v>68</v>
      </c>
      <c r="G7662" s="11">
        <v>382</v>
      </c>
      <c r="H7662" s="11">
        <v>2228</v>
      </c>
      <c r="I7662" s="11">
        <v>0</v>
      </c>
      <c r="J7662" s="11">
        <v>0</v>
      </c>
      <c r="K7662" s="11" t="s">
        <v>21</v>
      </c>
      <c r="L7662" s="7">
        <v>42469.863865740743</v>
      </c>
      <c r="M7662" s="12" t="s">
        <v>69</v>
      </c>
      <c r="N7662" s="12"/>
      <c r="O7662" s="10" t="str">
        <f t="shared" si="754"/>
        <v>View</v>
      </c>
      <c r="P7662" s="11"/>
    </row>
    <row r="7663" spans="1:16" ht="12.75" x14ac:dyDescent="0.35">
      <c r="A7663" s="7">
        <v>42485.006539351853</v>
      </c>
      <c r="B7663" s="8" t="str">
        <f t="shared" si="753"/>
        <v>@beetlebug1938</v>
      </c>
      <c r="C7663" s="9" t="s">
        <v>66</v>
      </c>
      <c r="D7663" s="9" t="s">
        <v>16900</v>
      </c>
      <c r="E7663" s="10" t="str">
        <f>HYPERLINK("https://twitter.com/beetlebug1938/status/724306768415887360","724306768415887360")</f>
        <v>724306768415887360</v>
      </c>
      <c r="F7663" s="11" t="s">
        <v>68</v>
      </c>
      <c r="G7663" s="11">
        <v>382</v>
      </c>
      <c r="H7663" s="11">
        <v>2228</v>
      </c>
      <c r="I7663" s="11">
        <v>1</v>
      </c>
      <c r="J7663" s="11">
        <v>1</v>
      </c>
      <c r="K7663" s="11" t="s">
        <v>21</v>
      </c>
      <c r="L7663" s="7">
        <v>42469.863865740743</v>
      </c>
      <c r="M7663" s="12" t="s">
        <v>69</v>
      </c>
      <c r="N7663" s="12"/>
      <c r="O7663" s="10" t="str">
        <f t="shared" si="754"/>
        <v>View</v>
      </c>
      <c r="P7663" s="11"/>
    </row>
    <row r="7664" spans="1:16" ht="12.75" x14ac:dyDescent="0.35">
      <c r="A7664" s="7">
        <v>42485.006574074076</v>
      </c>
      <c r="B7664" s="8" t="str">
        <f t="shared" si="753"/>
        <v>@beetlebug1938</v>
      </c>
      <c r="C7664" s="9" t="s">
        <v>66</v>
      </c>
      <c r="D7664" s="9" t="s">
        <v>16901</v>
      </c>
      <c r="E7664" s="10" t="str">
        <f>HYPERLINK("https://twitter.com/beetlebug1938/status/724306781409824768","724306781409824768")</f>
        <v>724306781409824768</v>
      </c>
      <c r="F7664" s="11" t="s">
        <v>68</v>
      </c>
      <c r="G7664" s="11">
        <v>382</v>
      </c>
      <c r="H7664" s="11">
        <v>2228</v>
      </c>
      <c r="I7664" s="11">
        <v>0</v>
      </c>
      <c r="J7664" s="11">
        <v>0</v>
      </c>
      <c r="K7664" s="11" t="s">
        <v>21</v>
      </c>
      <c r="L7664" s="7">
        <v>42469.863865740743</v>
      </c>
      <c r="M7664" s="12" t="s">
        <v>69</v>
      </c>
      <c r="N7664" s="12"/>
      <c r="O7664" s="10" t="str">
        <f t="shared" si="754"/>
        <v>View</v>
      </c>
      <c r="P7664" s="11"/>
    </row>
    <row r="7665" spans="1:16" ht="12.75" x14ac:dyDescent="0.35">
      <c r="A7665" s="7">
        <v>42485.006608796291</v>
      </c>
      <c r="B7665" s="8" t="str">
        <f t="shared" ref="B7665:B7670" si="755">HYPERLINK("https://twitter.com/dubbusses","@dubbusses")</f>
        <v>@dubbusses</v>
      </c>
      <c r="C7665" s="9" t="s">
        <v>14338</v>
      </c>
      <c r="D7665" s="9" t="s">
        <v>16902</v>
      </c>
      <c r="E7665" s="10" t="str">
        <f>HYPERLINK("https://twitter.com/dubbusses/status/724306794751897601","724306794751897601")</f>
        <v>724306794751897601</v>
      </c>
      <c r="F7665" s="11" t="s">
        <v>68</v>
      </c>
      <c r="G7665" s="11">
        <v>471</v>
      </c>
      <c r="H7665" s="11">
        <v>2816</v>
      </c>
      <c r="I7665" s="11">
        <v>0</v>
      </c>
      <c r="J7665" s="11">
        <v>0</v>
      </c>
      <c r="K7665" s="11" t="s">
        <v>21</v>
      </c>
      <c r="L7665" s="7">
        <v>42469.905393518522</v>
      </c>
      <c r="M7665" s="12" t="s">
        <v>14340</v>
      </c>
      <c r="N7665" s="12"/>
      <c r="O7665" s="10" t="str">
        <f t="shared" ref="O7665:O7670" si="756">HYPERLINK("https://pbs.twimg.com/profile_images/718835727027580928/1ssyQ67y_normal.jpg","View")</f>
        <v>View</v>
      </c>
      <c r="P7665" s="11"/>
    </row>
    <row r="7666" spans="1:16" ht="12.75" x14ac:dyDescent="0.35">
      <c r="A7666" s="7">
        <v>42485.006631944445</v>
      </c>
      <c r="B7666" s="8" t="str">
        <f t="shared" si="755"/>
        <v>@dubbusses</v>
      </c>
      <c r="C7666" s="9" t="s">
        <v>14338</v>
      </c>
      <c r="D7666" s="9" t="s">
        <v>16903</v>
      </c>
      <c r="E7666" s="10" t="str">
        <f>HYPERLINK("https://twitter.com/dubbusses/status/724306803341795330","724306803341795330")</f>
        <v>724306803341795330</v>
      </c>
      <c r="F7666" s="11" t="s">
        <v>68</v>
      </c>
      <c r="G7666" s="11">
        <v>471</v>
      </c>
      <c r="H7666" s="11">
        <v>2816</v>
      </c>
      <c r="I7666" s="11">
        <v>0</v>
      </c>
      <c r="J7666" s="11">
        <v>0</v>
      </c>
      <c r="K7666" s="11" t="s">
        <v>21</v>
      </c>
      <c r="L7666" s="7">
        <v>42469.905393518522</v>
      </c>
      <c r="M7666" s="12" t="s">
        <v>14340</v>
      </c>
      <c r="N7666" s="12"/>
      <c r="O7666" s="10" t="str">
        <f t="shared" si="756"/>
        <v>View</v>
      </c>
      <c r="P7666" s="11"/>
    </row>
    <row r="7667" spans="1:16" ht="12.75" x14ac:dyDescent="0.35">
      <c r="A7667" s="7">
        <v>42485.006701388891</v>
      </c>
      <c r="B7667" s="8" t="str">
        <f t="shared" si="755"/>
        <v>@dubbusses</v>
      </c>
      <c r="C7667" s="9" t="s">
        <v>14338</v>
      </c>
      <c r="D7667" s="9" t="s">
        <v>16904</v>
      </c>
      <c r="E7667" s="10" t="str">
        <f>HYPERLINK("https://twitter.com/dubbusses/status/724306828763488258","724306828763488258")</f>
        <v>724306828763488258</v>
      </c>
      <c r="F7667" s="11" t="s">
        <v>68</v>
      </c>
      <c r="G7667" s="11">
        <v>471</v>
      </c>
      <c r="H7667" s="11">
        <v>2816</v>
      </c>
      <c r="I7667" s="11">
        <v>0</v>
      </c>
      <c r="J7667" s="11">
        <v>0</v>
      </c>
      <c r="K7667" s="11" t="s">
        <v>21</v>
      </c>
      <c r="L7667" s="7">
        <v>42469.905393518522</v>
      </c>
      <c r="M7667" s="12" t="s">
        <v>14340</v>
      </c>
      <c r="N7667" s="12"/>
      <c r="O7667" s="10" t="str">
        <f t="shared" si="756"/>
        <v>View</v>
      </c>
      <c r="P7667" s="11"/>
    </row>
    <row r="7668" spans="1:16" ht="12.75" x14ac:dyDescent="0.35">
      <c r="A7668" s="7">
        <v>42485.006736111114</v>
      </c>
      <c r="B7668" s="8" t="str">
        <f t="shared" si="755"/>
        <v>@dubbusses</v>
      </c>
      <c r="C7668" s="9" t="s">
        <v>14338</v>
      </c>
      <c r="D7668" s="9" t="s">
        <v>16905</v>
      </c>
      <c r="E7668" s="10" t="str">
        <f>HYPERLINK("https://twitter.com/dubbusses/status/724306841950412800","724306841950412800")</f>
        <v>724306841950412800</v>
      </c>
      <c r="F7668" s="11" t="s">
        <v>68</v>
      </c>
      <c r="G7668" s="11">
        <v>471</v>
      </c>
      <c r="H7668" s="11">
        <v>2816</v>
      </c>
      <c r="I7668" s="11">
        <v>0</v>
      </c>
      <c r="J7668" s="11">
        <v>0</v>
      </c>
      <c r="K7668" s="11" t="s">
        <v>21</v>
      </c>
      <c r="L7668" s="7">
        <v>42469.905393518522</v>
      </c>
      <c r="M7668" s="12" t="s">
        <v>14340</v>
      </c>
      <c r="N7668" s="12"/>
      <c r="O7668" s="10" t="str">
        <f t="shared" si="756"/>
        <v>View</v>
      </c>
      <c r="P7668" s="11"/>
    </row>
    <row r="7669" spans="1:16" ht="12.75" x14ac:dyDescent="0.35">
      <c r="A7669" s="7">
        <v>42485.00680555556</v>
      </c>
      <c r="B7669" s="8" t="str">
        <f t="shared" si="755"/>
        <v>@dubbusses</v>
      </c>
      <c r="C7669" s="9" t="s">
        <v>14338</v>
      </c>
      <c r="D7669" s="9" t="s">
        <v>16906</v>
      </c>
      <c r="E7669" s="10" t="str">
        <f>HYPERLINK("https://twitter.com/dubbusses/status/724306867317514241","724306867317514241")</f>
        <v>724306867317514241</v>
      </c>
      <c r="F7669" s="11" t="s">
        <v>68</v>
      </c>
      <c r="G7669" s="11">
        <v>471</v>
      </c>
      <c r="H7669" s="11">
        <v>2816</v>
      </c>
      <c r="I7669" s="11">
        <v>0</v>
      </c>
      <c r="J7669" s="11">
        <v>0</v>
      </c>
      <c r="K7669" s="11" t="s">
        <v>21</v>
      </c>
      <c r="L7669" s="7">
        <v>42469.905393518522</v>
      </c>
      <c r="M7669" s="12" t="s">
        <v>14340</v>
      </c>
      <c r="N7669" s="12"/>
      <c r="O7669" s="10" t="str">
        <f t="shared" si="756"/>
        <v>View</v>
      </c>
      <c r="P7669" s="11"/>
    </row>
    <row r="7670" spans="1:16" ht="12.75" x14ac:dyDescent="0.35">
      <c r="A7670" s="7">
        <v>42485.006828703699</v>
      </c>
      <c r="B7670" s="8" t="str">
        <f t="shared" si="755"/>
        <v>@dubbusses</v>
      </c>
      <c r="C7670" s="9" t="s">
        <v>14338</v>
      </c>
      <c r="D7670" s="9" t="s">
        <v>16907</v>
      </c>
      <c r="E7670" s="10" t="str">
        <f>HYPERLINK("https://twitter.com/dubbusses/status/724306874816974848","724306874816974848")</f>
        <v>724306874816974848</v>
      </c>
      <c r="F7670" s="11" t="s">
        <v>68</v>
      </c>
      <c r="G7670" s="11">
        <v>471</v>
      </c>
      <c r="H7670" s="11">
        <v>2816</v>
      </c>
      <c r="I7670" s="11">
        <v>0</v>
      </c>
      <c r="J7670" s="11">
        <v>0</v>
      </c>
      <c r="K7670" s="11" t="s">
        <v>21</v>
      </c>
      <c r="L7670" s="7">
        <v>42469.905393518522</v>
      </c>
      <c r="M7670" s="12" t="s">
        <v>14340</v>
      </c>
      <c r="N7670" s="12"/>
      <c r="O7670" s="10" t="str">
        <f t="shared" si="756"/>
        <v>View</v>
      </c>
      <c r="P7670" s="11"/>
    </row>
    <row r="7671" spans="1:16" ht="12.75" x14ac:dyDescent="0.35">
      <c r="A7671" s="7">
        <v>42485.006898148145</v>
      </c>
      <c r="B7671" s="8" t="str">
        <f>HYPERLINK("https://twitter.com/Fernandez_Diego","@Fernandez_Diego")</f>
        <v>@Fernandez_Diego</v>
      </c>
      <c r="C7671" s="9" t="s">
        <v>3238</v>
      </c>
      <c r="D7671" s="9" t="s">
        <v>16236</v>
      </c>
      <c r="E7671" s="10" t="str">
        <f>HYPERLINK("https://twitter.com/Fernandez_Diego/status/724306900502888448","724306900502888448")</f>
        <v>724306900502888448</v>
      </c>
      <c r="F7671" s="11" t="s">
        <v>43</v>
      </c>
      <c r="G7671" s="11">
        <v>1361</v>
      </c>
      <c r="H7671" s="11">
        <v>1327</v>
      </c>
      <c r="I7671" s="11">
        <v>9</v>
      </c>
      <c r="J7671" s="11">
        <v>0</v>
      </c>
      <c r="K7671" s="11" t="s">
        <v>21</v>
      </c>
      <c r="L7671" s="7">
        <v>40011.965914351851</v>
      </c>
      <c r="M7671" s="12"/>
      <c r="N7671" s="12" t="s">
        <v>3240</v>
      </c>
      <c r="O7671" s="10" t="str">
        <f>HYPERLINK("https://pbs.twimg.com/profile_images/556255417714503681/B78CvKEX_normal.jpeg","View")</f>
        <v>View</v>
      </c>
      <c r="P7671" s="11"/>
    </row>
    <row r="7672" spans="1:16" ht="12.75" x14ac:dyDescent="0.35">
      <c r="A7672" s="7">
        <v>42485.007002314815</v>
      </c>
      <c r="B7672" s="8" t="str">
        <f>HYPERLINK("https://twitter.com/VWBeetleSales","@VWBeetleSales")</f>
        <v>@VWBeetleSales</v>
      </c>
      <c r="C7672" s="9" t="s">
        <v>127</v>
      </c>
      <c r="D7672" s="9" t="s">
        <v>16908</v>
      </c>
      <c r="E7672" s="10" t="str">
        <f>HYPERLINK("https://twitter.com/VWBeetleSales/status/724306935386791936","724306935386791936")</f>
        <v>724306935386791936</v>
      </c>
      <c r="F7672" s="10" t="s">
        <v>124</v>
      </c>
      <c r="G7672" s="11">
        <v>39</v>
      </c>
      <c r="H7672" s="11">
        <v>32</v>
      </c>
      <c r="I7672" s="11">
        <v>0</v>
      </c>
      <c r="J7672" s="11">
        <v>0</v>
      </c>
      <c r="K7672" s="11" t="s">
        <v>21</v>
      </c>
      <c r="L7672" s="7">
        <v>42427.019756944443</v>
      </c>
      <c r="M7672" s="12" t="s">
        <v>129</v>
      </c>
      <c r="N7672" s="12" t="s">
        <v>130</v>
      </c>
      <c r="O7672" s="10" t="str">
        <f>HYPERLINK("https://pbs.twimg.com/profile_images/703294545195307008/qeCvrX86_normal.jpg","View")</f>
        <v>View</v>
      </c>
      <c r="P7672" s="11"/>
    </row>
    <row r="7673" spans="1:16" ht="12.75" x14ac:dyDescent="0.35">
      <c r="A7673" s="7">
        <v>42485.007002314815</v>
      </c>
      <c r="B7673" s="8" t="str">
        <f t="shared" ref="B7673:B7674" si="757">HYPERLINK("https://twitter.com/VWCamperSales","@VWCamperSales")</f>
        <v>@VWCamperSales</v>
      </c>
      <c r="C7673" s="9" t="s">
        <v>216</v>
      </c>
      <c r="D7673" s="9" t="s">
        <v>16909</v>
      </c>
      <c r="E7673" s="10" t="str">
        <f>HYPERLINK("https://twitter.com/VWCamperSales/status/724306939266494464","724306939266494464")</f>
        <v>724306939266494464</v>
      </c>
      <c r="F7673" s="10" t="s">
        <v>124</v>
      </c>
      <c r="G7673" s="11">
        <v>626</v>
      </c>
      <c r="H7673" s="11">
        <v>579</v>
      </c>
      <c r="I7673" s="11">
        <v>0</v>
      </c>
      <c r="J7673" s="11">
        <v>0</v>
      </c>
      <c r="K7673" s="11" t="s">
        <v>21</v>
      </c>
      <c r="L7673" s="7">
        <v>42215.98809027778</v>
      </c>
      <c r="M7673" s="12" t="s">
        <v>129</v>
      </c>
      <c r="N7673" s="12" t="s">
        <v>218</v>
      </c>
      <c r="O7673" s="10" t="str">
        <f t="shared" ref="O7673:O7674" si="758">HYPERLINK("https://pbs.twimg.com/profile_images/627949001179037696/skEBkS05_normal.jpg","View")</f>
        <v>View</v>
      </c>
      <c r="P7673" s="11"/>
    </row>
    <row r="7674" spans="1:16" ht="12.75" x14ac:dyDescent="0.35">
      <c r="A7674" s="7">
        <v>42485.007013888884</v>
      </c>
      <c r="B7674" s="8" t="str">
        <f t="shared" si="757"/>
        <v>@VWCamperSales</v>
      </c>
      <c r="C7674" s="9" t="s">
        <v>216</v>
      </c>
      <c r="D7674" s="9" t="s">
        <v>16910</v>
      </c>
      <c r="E7674" s="10" t="str">
        <f>HYPERLINK("https://twitter.com/VWCamperSales/status/724306943284670465","724306943284670465")</f>
        <v>724306943284670465</v>
      </c>
      <c r="F7674" s="10" t="s">
        <v>124</v>
      </c>
      <c r="G7674" s="11">
        <v>626</v>
      </c>
      <c r="H7674" s="11">
        <v>579</v>
      </c>
      <c r="I7674" s="11">
        <v>0</v>
      </c>
      <c r="J7674" s="11">
        <v>0</v>
      </c>
      <c r="K7674" s="11" t="s">
        <v>21</v>
      </c>
      <c r="L7674" s="7">
        <v>42215.98809027778</v>
      </c>
      <c r="M7674" s="12" t="s">
        <v>129</v>
      </c>
      <c r="N7674" s="12" t="s">
        <v>218</v>
      </c>
      <c r="O7674" s="10" t="str">
        <f t="shared" si="758"/>
        <v>View</v>
      </c>
      <c r="P7674" s="11"/>
    </row>
    <row r="7675" spans="1:16" ht="12.75" x14ac:dyDescent="0.35">
      <c r="A7675" s="7">
        <v>42485.00849537037</v>
      </c>
      <c r="B7675" s="8" t="str">
        <f>HYPERLINK("https://twitter.com/significaRSE","@significaRSE")</f>
        <v>@significaRSE</v>
      </c>
      <c r="C7675" s="9" t="s">
        <v>16911</v>
      </c>
      <c r="D7675" s="9" t="s">
        <v>16893</v>
      </c>
      <c r="E7675" s="10" t="str">
        <f>HYPERLINK("https://twitter.com/significaRSE/status/724307476900921344","724307476900921344")</f>
        <v>724307476900921344</v>
      </c>
      <c r="F7675" s="11" t="s">
        <v>288</v>
      </c>
      <c r="G7675" s="11">
        <v>1722</v>
      </c>
      <c r="H7675" s="11">
        <v>2171</v>
      </c>
      <c r="I7675" s="11">
        <v>2</v>
      </c>
      <c r="J7675" s="11">
        <v>0</v>
      </c>
      <c r="K7675" s="11" t="s">
        <v>21</v>
      </c>
      <c r="L7675" s="7">
        <v>40989.045486111107</v>
      </c>
      <c r="M7675" s="12" t="s">
        <v>16912</v>
      </c>
      <c r="N7675" s="12" t="s">
        <v>16913</v>
      </c>
      <c r="O7675" s="10" t="str">
        <f>HYPERLINK("https://pbs.twimg.com/profile_images/516145080701157376/5tDzLNt2_normal.png","View")</f>
        <v>View</v>
      </c>
      <c r="P7675" s="11"/>
    </row>
    <row r="7676" spans="1:16" ht="12.75" x14ac:dyDescent="0.35">
      <c r="A7676" s="7">
        <v>42485.01053240741</v>
      </c>
      <c r="B7676" s="8" t="str">
        <f>HYPERLINK("https://twitter.com/CSRDispatch","@CSRDispatch")</f>
        <v>@CSRDispatch</v>
      </c>
      <c r="C7676" s="9" t="s">
        <v>16914</v>
      </c>
      <c r="D7676" s="9" t="s">
        <v>16915</v>
      </c>
      <c r="E7676" s="10" t="str">
        <f>HYPERLINK("https://twitter.com/CSRDispatch/status/724308216885161984","724308216885161984")</f>
        <v>724308216885161984</v>
      </c>
      <c r="F7676" s="11" t="s">
        <v>152</v>
      </c>
      <c r="G7676" s="11">
        <v>1169</v>
      </c>
      <c r="H7676" s="11">
        <v>704</v>
      </c>
      <c r="I7676" s="11">
        <v>0</v>
      </c>
      <c r="J7676" s="11">
        <v>0</v>
      </c>
      <c r="K7676" s="11" t="s">
        <v>21</v>
      </c>
      <c r="L7676" s="7">
        <v>40656.163831018523</v>
      </c>
      <c r="M7676" s="12"/>
      <c r="N7676" s="12" t="s">
        <v>16916</v>
      </c>
      <c r="O7676" s="10" t="str">
        <f>HYPERLINK("https://pbs.twimg.com/profile_images/1321640419/csr_normal.jpeg","View")</f>
        <v>View</v>
      </c>
      <c r="P7676" s="11"/>
    </row>
    <row r="7677" spans="1:16" ht="12.75" x14ac:dyDescent="0.35">
      <c r="A7677" s="7">
        <v>42485.010891203703</v>
      </c>
      <c r="B7677" s="8" t="str">
        <f>HYPERLINK("https://twitter.com/suplitas","@suplitas")</f>
        <v>@suplitas</v>
      </c>
      <c r="C7677" s="9" t="s">
        <v>16917</v>
      </c>
      <c r="D7677" s="9" t="s">
        <v>16918</v>
      </c>
      <c r="E7677" s="10" t="str">
        <f>HYPERLINK("https://twitter.com/suplitas/status/724308347294486528","724308347294486528")</f>
        <v>724308347294486528</v>
      </c>
      <c r="F7677" s="11" t="s">
        <v>114</v>
      </c>
      <c r="G7677" s="11">
        <v>101</v>
      </c>
      <c r="H7677" s="11">
        <v>198</v>
      </c>
      <c r="I7677" s="11">
        <v>0</v>
      </c>
      <c r="J7677" s="11">
        <v>0</v>
      </c>
      <c r="K7677" s="11" t="s">
        <v>21</v>
      </c>
      <c r="L7677" s="7">
        <v>39465.295162037037</v>
      </c>
      <c r="M7677" s="12" t="s">
        <v>16919</v>
      </c>
      <c r="N7677" s="12"/>
      <c r="O7677" s="10" t="str">
        <f>HYPERLINK("https://pbs.twimg.com/profile_images/1059691456/twitter_normal.png","View")</f>
        <v>View</v>
      </c>
      <c r="P7677" s="11"/>
    </row>
    <row r="7678" spans="1:16" ht="12.75" x14ac:dyDescent="0.35">
      <c r="A7678" s="7">
        <v>42485.011307870373</v>
      </c>
      <c r="B7678" s="8" t="str">
        <f>HYPERLINK("https://twitter.com/armandoh_8","@armandoh_8")</f>
        <v>@armandoh_8</v>
      </c>
      <c r="C7678" s="9" t="s">
        <v>16920</v>
      </c>
      <c r="D7678" s="9" t="s">
        <v>16921</v>
      </c>
      <c r="E7678" s="10" t="str">
        <f>HYPERLINK("https://twitter.com/armandoh_8/status/724308496536113152","724308496536113152")</f>
        <v>724308496536113152</v>
      </c>
      <c r="F7678" s="11" t="s">
        <v>48</v>
      </c>
      <c r="G7678" s="11">
        <v>376</v>
      </c>
      <c r="H7678" s="11">
        <v>360</v>
      </c>
      <c r="I7678" s="11">
        <v>0</v>
      </c>
      <c r="J7678" s="11">
        <v>0</v>
      </c>
      <c r="K7678" s="11" t="s">
        <v>21</v>
      </c>
      <c r="L7678" s="7">
        <v>40898.267060185186</v>
      </c>
      <c r="M7678" s="12"/>
      <c r="N7678" s="12" t="s">
        <v>16922</v>
      </c>
      <c r="O7678" s="10" t="str">
        <f>HYPERLINK("https://pbs.twimg.com/profile_images/705187561182928896/xgmxzzBU_normal.jpg","View")</f>
        <v>View</v>
      </c>
      <c r="P7678" s="11"/>
    </row>
    <row r="7679" spans="1:16" ht="12.75" x14ac:dyDescent="0.35">
      <c r="A7679" s="7">
        <v>42485.011678240742</v>
      </c>
      <c r="B7679" s="8" t="str">
        <f>HYPERLINK("https://twitter.com/2002_juana","@2002_juana")</f>
        <v>@2002_juana</v>
      </c>
      <c r="C7679" s="9" t="s">
        <v>16923</v>
      </c>
      <c r="D7679" s="9" t="s">
        <v>2825</v>
      </c>
      <c r="E7679" s="10" t="str">
        <f>HYPERLINK("https://twitter.com/2002_juana/status/724308633622818816","724308633622818816")</f>
        <v>724308633622818816</v>
      </c>
      <c r="F7679" s="11" t="s">
        <v>48</v>
      </c>
      <c r="G7679" s="11">
        <v>466</v>
      </c>
      <c r="H7679" s="11">
        <v>574</v>
      </c>
      <c r="I7679" s="11">
        <v>59</v>
      </c>
      <c r="J7679" s="11">
        <v>0</v>
      </c>
      <c r="K7679" s="11" t="s">
        <v>21</v>
      </c>
      <c r="L7679" s="7">
        <v>41551.146319444444</v>
      </c>
      <c r="M7679" s="12" t="s">
        <v>16924</v>
      </c>
      <c r="N7679" s="12" t="s">
        <v>16925</v>
      </c>
      <c r="O7679" s="10" t="str">
        <f>HYPERLINK("https://pbs.twimg.com/profile_images/722075082542182401/K00rlFJm_normal.jpg","View")</f>
        <v>View</v>
      </c>
      <c r="P7679" s="11"/>
    </row>
    <row r="7680" spans="1:16" ht="12.75" x14ac:dyDescent="0.35">
      <c r="A7680" s="7">
        <v>42485.012048611112</v>
      </c>
      <c r="B7680" s="8" t="str">
        <f>HYPERLINK("https://twitter.com/MeMyselfAndGeek","@MeMyselfAndGeek")</f>
        <v>@MeMyselfAndGeek</v>
      </c>
      <c r="C7680" s="9" t="s">
        <v>16926</v>
      </c>
      <c r="D7680" s="9" t="s">
        <v>16927</v>
      </c>
      <c r="E7680" s="10" t="str">
        <f>HYPERLINK("https://twitter.com/MeMyselfAndGeek/status/724308764090728448","724308764090728448")</f>
        <v>724308764090728448</v>
      </c>
      <c r="F7680" s="11" t="s">
        <v>114</v>
      </c>
      <c r="G7680" s="11">
        <v>138</v>
      </c>
      <c r="H7680" s="11">
        <v>199</v>
      </c>
      <c r="I7680" s="11">
        <v>0</v>
      </c>
      <c r="J7680" s="11">
        <v>0</v>
      </c>
      <c r="K7680" s="11" t="s">
        <v>21</v>
      </c>
      <c r="L7680" s="7">
        <v>40902.099733796298</v>
      </c>
      <c r="M7680" s="12"/>
      <c r="N7680" s="12" t="s">
        <v>16928</v>
      </c>
      <c r="O7680" s="10" t="str">
        <f>HYPERLINK("https://pbs.twimg.com/profile_images/1712203432/Icon_512x512_normal.gif","View")</f>
        <v>View</v>
      </c>
      <c r="P7680" s="11"/>
    </row>
    <row r="7681" spans="1:16" ht="12.75" x14ac:dyDescent="0.35">
      <c r="A7681" s="7">
        <v>42485.013923611114</v>
      </c>
      <c r="B7681" s="8" t="str">
        <f>HYPERLINK("https://twitter.com/vwdepo","@vwdepo")</f>
        <v>@vwdepo</v>
      </c>
      <c r="C7681" s="9" t="s">
        <v>134</v>
      </c>
      <c r="D7681" s="9" t="s">
        <v>16929</v>
      </c>
      <c r="E7681" s="10" t="str">
        <f>HYPERLINK("https://twitter.com/vwdepo/status/724309444356513792","724309444356513792")</f>
        <v>724309444356513792</v>
      </c>
      <c r="F7681" s="11" t="s">
        <v>53</v>
      </c>
      <c r="G7681" s="11">
        <v>783</v>
      </c>
      <c r="H7681" s="11">
        <v>384</v>
      </c>
      <c r="I7681" s="11">
        <v>0</v>
      </c>
      <c r="J7681" s="11">
        <v>0</v>
      </c>
      <c r="K7681" s="11" t="s">
        <v>21</v>
      </c>
      <c r="L7681" s="7">
        <v>39891.992905092593</v>
      </c>
      <c r="M7681" s="12" t="s">
        <v>136</v>
      </c>
      <c r="N7681" s="12" t="s">
        <v>137</v>
      </c>
      <c r="O7681" s="10" t="str">
        <f>HYPERLINK("https://pbs.twimg.com/profile_images/3378184537/c20ae9a7a410821b4f189c34a63380f7_normal.png","View")</f>
        <v>View</v>
      </c>
      <c r="P7681" s="11"/>
    </row>
    <row r="7682" spans="1:16" ht="12.75" x14ac:dyDescent="0.35">
      <c r="A7682" s="7">
        <v>42485.013981481483</v>
      </c>
      <c r="B7682" s="8" t="str">
        <f>HYPERLINK("https://twitter.com/suprmotoronline","@suprmotoronline")</f>
        <v>@suprmotoronline</v>
      </c>
      <c r="C7682" s="9" t="s">
        <v>16930</v>
      </c>
      <c r="D7682" s="9" t="s">
        <v>16931</v>
      </c>
      <c r="E7682" s="10" t="str">
        <f>HYPERLINK("https://twitter.com/suprmotoronline/status/724309464598368256","724309464598368256")</f>
        <v>724309464598368256</v>
      </c>
      <c r="F7682" s="11" t="s">
        <v>152</v>
      </c>
      <c r="G7682" s="11">
        <v>936</v>
      </c>
      <c r="H7682" s="11">
        <v>354</v>
      </c>
      <c r="I7682" s="11">
        <v>0</v>
      </c>
      <c r="J7682" s="11">
        <v>0</v>
      </c>
      <c r="K7682" s="11" t="s">
        <v>21</v>
      </c>
      <c r="L7682" s="7">
        <v>41739.697314814817</v>
      </c>
      <c r="M7682" s="12" t="s">
        <v>1622</v>
      </c>
      <c r="N7682" s="12" t="s">
        <v>16932</v>
      </c>
      <c r="O7682" s="10" t="str">
        <f>HYPERLINK("https://pbs.twimg.com/profile_images/684370452295237636/Uvq9YXez_normal.jpg","View")</f>
        <v>View</v>
      </c>
      <c r="P7682" s="11"/>
    </row>
    <row r="7683" spans="1:16" ht="12.75" x14ac:dyDescent="0.35">
      <c r="A7683" s="7">
        <v>42485.01697916667</v>
      </c>
      <c r="B7683" s="8" t="str">
        <f>HYPERLINK("https://twitter.com/caryelluk","@caryelluk")</f>
        <v>@caryelluk</v>
      </c>
      <c r="C7683" s="9" t="s">
        <v>13566</v>
      </c>
      <c r="D7683" s="9" t="s">
        <v>16933</v>
      </c>
      <c r="E7683" s="10" t="str">
        <f>HYPERLINK("https://twitter.com/caryelluk/status/724310551052984320","724310551052984320")</f>
        <v>724310551052984320</v>
      </c>
      <c r="F7683" s="11" t="s">
        <v>43</v>
      </c>
      <c r="G7683" s="11">
        <v>268</v>
      </c>
      <c r="H7683" s="11">
        <v>820</v>
      </c>
      <c r="I7683" s="11">
        <v>1</v>
      </c>
      <c r="J7683" s="11">
        <v>0</v>
      </c>
      <c r="K7683" s="11" t="s">
        <v>21</v>
      </c>
      <c r="L7683" s="7">
        <v>42403.345486111109</v>
      </c>
      <c r="M7683" s="12" t="s">
        <v>1072</v>
      </c>
      <c r="N7683" s="12" t="s">
        <v>13568</v>
      </c>
      <c r="O7683" s="10" t="str">
        <f>HYPERLINK("https://pbs.twimg.com/profile_images/715332329019994114/CunHJsKm_normal.jpg","View")</f>
        <v>View</v>
      </c>
      <c r="P7683" s="11"/>
    </row>
    <row r="7684" spans="1:16" ht="12.75" x14ac:dyDescent="0.35">
      <c r="A7684" s="7">
        <v>42485.017847222218</v>
      </c>
      <c r="B7684" s="8" t="str">
        <f>HYPERLINK("https://twitter.com/MedAgness","@MedAgness")</f>
        <v>@MedAgness</v>
      </c>
      <c r="C7684" s="9" t="s">
        <v>3635</v>
      </c>
      <c r="D7684" s="9" t="s">
        <v>16934</v>
      </c>
      <c r="E7684" s="10" t="str">
        <f>HYPERLINK("https://twitter.com/MedAgness/status/724310868897488898","724310868897488898")</f>
        <v>724310868897488898</v>
      </c>
      <c r="F7684" s="11" t="s">
        <v>68</v>
      </c>
      <c r="G7684" s="11">
        <v>8113</v>
      </c>
      <c r="H7684" s="11">
        <v>864</v>
      </c>
      <c r="I7684" s="11">
        <v>0</v>
      </c>
      <c r="J7684" s="11">
        <v>0</v>
      </c>
      <c r="K7684" s="11" t="s">
        <v>21</v>
      </c>
      <c r="L7684" s="7">
        <v>40612.342650462961</v>
      </c>
      <c r="M7684" s="12" t="s">
        <v>3637</v>
      </c>
      <c r="N7684" s="12" t="s">
        <v>3638</v>
      </c>
      <c r="O7684" s="10" t="str">
        <f>HYPERLINK("https://pbs.twimg.com/profile_images/631084316802482176/y_wtMQWR_normal.png","View")</f>
        <v>View</v>
      </c>
      <c r="P7684" s="11"/>
    </row>
    <row r="7685" spans="1:16" ht="12.75" x14ac:dyDescent="0.35">
      <c r="A7685" s="7">
        <v>42485.018125000002</v>
      </c>
      <c r="B7685" s="8" t="str">
        <f>HYPERLINK("https://twitter.com/Insta_VWT","@Insta_VWT")</f>
        <v>@Insta_VWT</v>
      </c>
      <c r="C7685" s="9" t="s">
        <v>181</v>
      </c>
      <c r="D7685" s="9" t="s">
        <v>16935</v>
      </c>
      <c r="E7685" s="10" t="str">
        <f>HYPERLINK("https://twitter.com/Insta_VWT/status/724310968969342976","724310968969342976")</f>
        <v>724310968969342976</v>
      </c>
      <c r="F7685" s="11" t="s">
        <v>68</v>
      </c>
      <c r="G7685" s="11">
        <v>486</v>
      </c>
      <c r="H7685" s="11">
        <v>0</v>
      </c>
      <c r="I7685" s="11">
        <v>0</v>
      </c>
      <c r="J7685" s="11">
        <v>0</v>
      </c>
      <c r="K7685" s="11" t="s">
        <v>21</v>
      </c>
      <c r="L7685" s="7">
        <v>41658.782800925925</v>
      </c>
      <c r="M7685" s="12" t="s">
        <v>183</v>
      </c>
      <c r="N7685" s="12" t="s">
        <v>184</v>
      </c>
      <c r="O7685" s="10" t="str">
        <f>HYPERLINK("https://pbs.twimg.com/profile_images/424893967197433858/iQ86NktX_normal.jpeg","View")</f>
        <v>View</v>
      </c>
      <c r="P7685" s="11"/>
    </row>
    <row r="7686" spans="1:16" ht="12.75" x14ac:dyDescent="0.35">
      <c r="A7686" s="7">
        <v>42485.018148148149</v>
      </c>
      <c r="B7686" s="8" t="str">
        <f>HYPERLINK("https://twitter.com/maryyfrias","@maryyfrias")</f>
        <v>@maryyfrias</v>
      </c>
      <c r="C7686" s="9" t="s">
        <v>16936</v>
      </c>
      <c r="D7686" s="9" t="s">
        <v>10808</v>
      </c>
      <c r="E7686" s="10" t="str">
        <f>HYPERLINK("https://twitter.com/maryyfrias/status/724310974589722624","724310974589722624")</f>
        <v>724310974589722624</v>
      </c>
      <c r="F7686" s="11" t="s">
        <v>48</v>
      </c>
      <c r="G7686" s="11">
        <v>899</v>
      </c>
      <c r="H7686" s="11">
        <v>741</v>
      </c>
      <c r="I7686" s="11">
        <v>70</v>
      </c>
      <c r="J7686" s="11">
        <v>0</v>
      </c>
      <c r="K7686" s="11" t="s">
        <v>21</v>
      </c>
      <c r="L7686" s="7">
        <v>41049.171747685185</v>
      </c>
      <c r="M7686" s="12" t="s">
        <v>16937</v>
      </c>
      <c r="N7686" s="12" t="s">
        <v>16938</v>
      </c>
      <c r="O7686" s="10" t="str">
        <f>HYPERLINK("https://pbs.twimg.com/profile_images/724282552991813633/A5epRSpU_normal.jpg","View")</f>
        <v>View</v>
      </c>
      <c r="P7686" s="11"/>
    </row>
    <row r="7687" spans="1:16" ht="12.75" x14ac:dyDescent="0.35">
      <c r="A7687" s="7">
        <v>42485.018495370372</v>
      </c>
      <c r="B7687" s="8" t="str">
        <f t="shared" ref="B7687:B7690" si="759">HYPERLINK("https://twitter.com/VeeDubMk1_","@VeeDubMk1_")</f>
        <v>@VeeDubMk1_</v>
      </c>
      <c r="C7687" s="9" t="s">
        <v>185</v>
      </c>
      <c r="D7687" s="9" t="s">
        <v>16939</v>
      </c>
      <c r="E7687" s="10" t="str">
        <f>HYPERLINK("https://twitter.com/VeeDubMk1_/status/724311100443992064","724311100443992064")</f>
        <v>724311100443992064</v>
      </c>
      <c r="F7687" s="11" t="s">
        <v>68</v>
      </c>
      <c r="G7687" s="11">
        <v>552</v>
      </c>
      <c r="H7687" s="11">
        <v>3355</v>
      </c>
      <c r="I7687" s="11">
        <v>0</v>
      </c>
      <c r="J7687" s="11">
        <v>1</v>
      </c>
      <c r="K7687" s="11" t="s">
        <v>21</v>
      </c>
      <c r="L7687" s="7">
        <v>42343.063356481478</v>
      </c>
      <c r="M7687" s="12"/>
      <c r="N7687" s="12"/>
      <c r="O7687" s="10" t="str">
        <f t="shared" ref="O7687:O7690" si="760">HYPERLINK("https://pbs.twimg.com/profile_images/672878354127839232/M7OYc-zx_normal.jpg","View")</f>
        <v>View</v>
      </c>
      <c r="P7687" s="11"/>
    </row>
    <row r="7688" spans="1:16" ht="12.75" x14ac:dyDescent="0.35">
      <c r="A7688" s="7">
        <v>42485.018564814818</v>
      </c>
      <c r="B7688" s="8" t="str">
        <f t="shared" si="759"/>
        <v>@VeeDubMk1_</v>
      </c>
      <c r="C7688" s="9" t="s">
        <v>185</v>
      </c>
      <c r="D7688" s="9" t="s">
        <v>16940</v>
      </c>
      <c r="E7688" s="10" t="str">
        <f>HYPERLINK("https://twitter.com/VeeDubMk1_/status/724311127530807296","724311127530807296")</f>
        <v>724311127530807296</v>
      </c>
      <c r="F7688" s="11" t="s">
        <v>68</v>
      </c>
      <c r="G7688" s="11">
        <v>552</v>
      </c>
      <c r="H7688" s="11">
        <v>3355</v>
      </c>
      <c r="I7688" s="11">
        <v>0</v>
      </c>
      <c r="J7688" s="11">
        <v>0</v>
      </c>
      <c r="K7688" s="11" t="s">
        <v>21</v>
      </c>
      <c r="L7688" s="7">
        <v>42343.063356481478</v>
      </c>
      <c r="M7688" s="12"/>
      <c r="N7688" s="12"/>
      <c r="O7688" s="10" t="str">
        <f t="shared" si="760"/>
        <v>View</v>
      </c>
      <c r="P7688" s="11"/>
    </row>
    <row r="7689" spans="1:16" ht="12.75" x14ac:dyDescent="0.35">
      <c r="A7689" s="7">
        <v>42485.018599537041</v>
      </c>
      <c r="B7689" s="8" t="str">
        <f t="shared" si="759"/>
        <v>@VeeDubMk1_</v>
      </c>
      <c r="C7689" s="9" t="s">
        <v>185</v>
      </c>
      <c r="D7689" s="9" t="s">
        <v>16941</v>
      </c>
      <c r="E7689" s="10" t="str">
        <f>HYPERLINK("https://twitter.com/VeeDubMk1_/status/724311138318598144","724311138318598144")</f>
        <v>724311138318598144</v>
      </c>
      <c r="F7689" s="11" t="s">
        <v>68</v>
      </c>
      <c r="G7689" s="11">
        <v>552</v>
      </c>
      <c r="H7689" s="11">
        <v>3355</v>
      </c>
      <c r="I7689" s="11">
        <v>0</v>
      </c>
      <c r="J7689" s="11">
        <v>1</v>
      </c>
      <c r="K7689" s="11" t="s">
        <v>21</v>
      </c>
      <c r="L7689" s="7">
        <v>42343.063356481478</v>
      </c>
      <c r="M7689" s="12"/>
      <c r="N7689" s="12"/>
      <c r="O7689" s="10" t="str">
        <f t="shared" si="760"/>
        <v>View</v>
      </c>
      <c r="P7689" s="11"/>
    </row>
    <row r="7690" spans="1:16" ht="12.75" x14ac:dyDescent="0.35">
      <c r="A7690" s="7">
        <v>42485.018611111111</v>
      </c>
      <c r="B7690" s="8" t="str">
        <f t="shared" si="759"/>
        <v>@VeeDubMk1_</v>
      </c>
      <c r="C7690" s="9" t="s">
        <v>185</v>
      </c>
      <c r="D7690" s="9" t="s">
        <v>16942</v>
      </c>
      <c r="E7690" s="10" t="str">
        <f>HYPERLINK("https://twitter.com/VeeDubMk1_/status/724311143599214592","724311143599214592")</f>
        <v>724311143599214592</v>
      </c>
      <c r="F7690" s="11" t="s">
        <v>68</v>
      </c>
      <c r="G7690" s="11">
        <v>552</v>
      </c>
      <c r="H7690" s="11">
        <v>3355</v>
      </c>
      <c r="I7690" s="11">
        <v>0</v>
      </c>
      <c r="J7690" s="11">
        <v>0</v>
      </c>
      <c r="K7690" s="11" t="s">
        <v>21</v>
      </c>
      <c r="L7690" s="7">
        <v>42343.063356481478</v>
      </c>
      <c r="M7690" s="12"/>
      <c r="N7690" s="12"/>
      <c r="O7690" s="10" t="str">
        <f t="shared" si="760"/>
        <v>View</v>
      </c>
      <c r="P7690" s="11"/>
    </row>
    <row r="7691" spans="1:16" ht="12.75" x14ac:dyDescent="0.35">
      <c r="A7691" s="7">
        <v>42485.019479166665</v>
      </c>
      <c r="B7691" s="8" t="str">
        <f>HYPERLINK("https://twitter.com/Gina_Festa","@Gina_Festa")</f>
        <v>@Gina_Festa</v>
      </c>
      <c r="C7691" s="9" t="s">
        <v>16943</v>
      </c>
      <c r="D7691" s="9" t="s">
        <v>16944</v>
      </c>
      <c r="E7691" s="10" t="str">
        <f>HYPERLINK("https://twitter.com/Gina_Festa/status/724311458801045505","724311458801045505")</f>
        <v>724311458801045505</v>
      </c>
      <c r="F7691" s="11" t="s">
        <v>20</v>
      </c>
      <c r="G7691" s="11">
        <v>38</v>
      </c>
      <c r="H7691" s="11">
        <v>82</v>
      </c>
      <c r="I7691" s="11">
        <v>0</v>
      </c>
      <c r="J7691" s="11">
        <v>0</v>
      </c>
      <c r="K7691" s="11" t="s">
        <v>21</v>
      </c>
      <c r="L7691" s="7">
        <v>41969.424791666665</v>
      </c>
      <c r="M7691" s="12"/>
      <c r="N7691" s="12" t="s">
        <v>16945</v>
      </c>
      <c r="O7691" s="10" t="str">
        <f>HYPERLINK("https://pbs.twimg.com/profile_images/538904414485250048/5Ura1aCS_normal.jpeg","View")</f>
        <v>View</v>
      </c>
      <c r="P7691" s="11"/>
    </row>
    <row r="7692" spans="1:16" ht="12.75" x14ac:dyDescent="0.35">
      <c r="A7692" s="7">
        <v>42485.01961805555</v>
      </c>
      <c r="B7692" s="8" t="str">
        <f>HYPERLINK("https://twitter.com/Insta_VWT","@Insta_VWT")</f>
        <v>@Insta_VWT</v>
      </c>
      <c r="C7692" s="9" t="s">
        <v>181</v>
      </c>
      <c r="D7692" s="9" t="s">
        <v>16946</v>
      </c>
      <c r="E7692" s="10" t="str">
        <f>HYPERLINK("https://twitter.com/Insta_VWT/status/724311509271228417","724311509271228417")</f>
        <v>724311509271228417</v>
      </c>
      <c r="F7692" s="11" t="s">
        <v>68</v>
      </c>
      <c r="G7692" s="11">
        <v>486</v>
      </c>
      <c r="H7692" s="11">
        <v>0</v>
      </c>
      <c r="I7692" s="11">
        <v>0</v>
      </c>
      <c r="J7692" s="11">
        <v>0</v>
      </c>
      <c r="K7692" s="11" t="s">
        <v>21</v>
      </c>
      <c r="L7692" s="7">
        <v>41658.782800925925</v>
      </c>
      <c r="M7692" s="12" t="s">
        <v>183</v>
      </c>
      <c r="N7692" s="12" t="s">
        <v>184</v>
      </c>
      <c r="O7692" s="10" t="str">
        <f>HYPERLINK("https://pbs.twimg.com/profile_images/424893967197433858/iQ86NktX_normal.jpeg","View")</f>
        <v>View</v>
      </c>
      <c r="P7692" s="11"/>
    </row>
    <row r="7693" spans="1:16" ht="12.75" x14ac:dyDescent="0.35">
      <c r="A7693" s="7">
        <v>42485.02065972222</v>
      </c>
      <c r="B7693" s="8" t="str">
        <f t="shared" ref="B7693:B7694" si="761">HYPERLINK("https://twitter.com/Vagowners","@Vagowners")</f>
        <v>@Vagowners</v>
      </c>
      <c r="C7693" s="9" t="s">
        <v>8564</v>
      </c>
      <c r="D7693" s="9" t="s">
        <v>16947</v>
      </c>
      <c r="E7693" s="10" t="str">
        <f>HYPERLINK("https://twitter.com/Vagowners/status/724311888205623296","724311888205623296")</f>
        <v>724311888205623296</v>
      </c>
      <c r="F7693" s="11" t="s">
        <v>1838</v>
      </c>
      <c r="G7693" s="11">
        <v>42</v>
      </c>
      <c r="H7693" s="11">
        <v>179</v>
      </c>
      <c r="I7693" s="11">
        <v>1</v>
      </c>
      <c r="J7693" s="11">
        <v>0</v>
      </c>
      <c r="K7693" s="11" t="s">
        <v>21</v>
      </c>
      <c r="L7693" s="7">
        <v>42469.918541666666</v>
      </c>
      <c r="M7693" s="12" t="s">
        <v>129</v>
      </c>
      <c r="N7693" s="12" t="s">
        <v>8565</v>
      </c>
      <c r="O7693" s="10" t="str">
        <f t="shared" ref="O7693:O7694" si="762">HYPERLINK("https://pbs.twimg.com/profile_images/718839998531903489/eXyeGppJ_normal.jpg","View")</f>
        <v>View</v>
      </c>
      <c r="P7693" s="11"/>
    </row>
    <row r="7694" spans="1:16" ht="12.75" x14ac:dyDescent="0.35">
      <c r="A7694" s="7">
        <v>42485.022245370375</v>
      </c>
      <c r="B7694" s="8" t="str">
        <f t="shared" si="761"/>
        <v>@Vagowners</v>
      </c>
      <c r="C7694" s="9" t="s">
        <v>8564</v>
      </c>
      <c r="D7694" s="9" t="s">
        <v>16695</v>
      </c>
      <c r="E7694" s="10" t="str">
        <f>HYPERLINK("https://twitter.com/Vagowners/status/724312461680193537","724312461680193537")</f>
        <v>724312461680193537</v>
      </c>
      <c r="F7694" s="11" t="s">
        <v>1838</v>
      </c>
      <c r="G7694" s="11">
        <v>42</v>
      </c>
      <c r="H7694" s="11">
        <v>179</v>
      </c>
      <c r="I7694" s="11">
        <v>4</v>
      </c>
      <c r="J7694" s="11">
        <v>0</v>
      </c>
      <c r="K7694" s="11" t="s">
        <v>21</v>
      </c>
      <c r="L7694" s="7">
        <v>42469.918541666666</v>
      </c>
      <c r="M7694" s="12" t="s">
        <v>129</v>
      </c>
      <c r="N7694" s="12" t="s">
        <v>8565</v>
      </c>
      <c r="O7694" s="10" t="str">
        <f t="shared" si="762"/>
        <v>View</v>
      </c>
      <c r="P7694" s="11"/>
    </row>
    <row r="7695" spans="1:16" ht="12.75" x14ac:dyDescent="0.35">
      <c r="A7695" s="7">
        <v>42485.023865740739</v>
      </c>
      <c r="B7695" s="8" t="str">
        <f>HYPERLINK("https://twitter.com/Curious_Ewe","@Curious_Ewe")</f>
        <v>@Curious_Ewe</v>
      </c>
      <c r="C7695" s="9" t="s">
        <v>16948</v>
      </c>
      <c r="D7695" s="9" t="s">
        <v>16949</v>
      </c>
      <c r="E7695" s="10" t="str">
        <f>HYPERLINK("https://twitter.com/Curious_Ewe/status/724313046710124545","724313046710124545")</f>
        <v>724313046710124545</v>
      </c>
      <c r="F7695" s="11" t="s">
        <v>2645</v>
      </c>
      <c r="G7695" s="11">
        <v>155</v>
      </c>
      <c r="H7695" s="11">
        <v>132</v>
      </c>
      <c r="I7695" s="11">
        <v>0</v>
      </c>
      <c r="J7695" s="11">
        <v>0</v>
      </c>
      <c r="K7695" s="11" t="s">
        <v>21</v>
      </c>
      <c r="L7695" s="7">
        <v>40376.720497685186</v>
      </c>
      <c r="M7695" s="12" t="s">
        <v>16950</v>
      </c>
      <c r="N7695" s="12" t="s">
        <v>16951</v>
      </c>
      <c r="O7695" s="10" t="str">
        <f>HYPERLINK("https://pbs.twimg.com/profile_images/1082918340/logo_-_square_normal.PNG","View")</f>
        <v>View</v>
      </c>
      <c r="P7695" s="11"/>
    </row>
    <row r="7696" spans="1:16" ht="12.75" x14ac:dyDescent="0.35">
      <c r="A7696" s="7">
        <v>42485.024375000001</v>
      </c>
      <c r="B7696" s="8" t="str">
        <f>HYPERLINK("https://twitter.com/VWBeetleSales","@VWBeetleSales")</f>
        <v>@VWBeetleSales</v>
      </c>
      <c r="C7696" s="9" t="s">
        <v>127</v>
      </c>
      <c r="D7696" s="9" t="s">
        <v>16952</v>
      </c>
      <c r="E7696" s="10" t="str">
        <f>HYPERLINK("https://twitter.com/VWBeetleSales/status/724313231242616832","724313231242616832")</f>
        <v>724313231242616832</v>
      </c>
      <c r="F7696" s="10" t="s">
        <v>124</v>
      </c>
      <c r="G7696" s="11">
        <v>39</v>
      </c>
      <c r="H7696" s="11">
        <v>32</v>
      </c>
      <c r="I7696" s="11">
        <v>0</v>
      </c>
      <c r="J7696" s="11">
        <v>0</v>
      </c>
      <c r="K7696" s="11" t="s">
        <v>21</v>
      </c>
      <c r="L7696" s="7">
        <v>42427.019756944443</v>
      </c>
      <c r="M7696" s="12" t="s">
        <v>129</v>
      </c>
      <c r="N7696" s="12" t="s">
        <v>130</v>
      </c>
      <c r="O7696" s="10" t="str">
        <f>HYPERLINK("https://pbs.twimg.com/profile_images/703294545195307008/qeCvrX86_normal.jpg","View")</f>
        <v>View</v>
      </c>
      <c r="P7696" s="11"/>
    </row>
    <row r="7697" spans="1:16" ht="12.75" x14ac:dyDescent="0.35">
      <c r="A7697" s="7">
        <v>42485.024375000001</v>
      </c>
      <c r="B7697" s="8" t="str">
        <f>HYPERLINK("https://twitter.com/Insta_VWT","@Insta_VWT")</f>
        <v>@Insta_VWT</v>
      </c>
      <c r="C7697" s="9" t="s">
        <v>181</v>
      </c>
      <c r="D7697" s="9" t="s">
        <v>16953</v>
      </c>
      <c r="E7697" s="10" t="str">
        <f>HYPERLINK("https://twitter.com/Insta_VWT/status/724313232681406464","724313232681406464")</f>
        <v>724313232681406464</v>
      </c>
      <c r="F7697" s="11" t="s">
        <v>68</v>
      </c>
      <c r="G7697" s="11">
        <v>486</v>
      </c>
      <c r="H7697" s="11">
        <v>0</v>
      </c>
      <c r="I7697" s="11">
        <v>1</v>
      </c>
      <c r="J7697" s="11">
        <v>2</v>
      </c>
      <c r="K7697" s="11" t="s">
        <v>21</v>
      </c>
      <c r="L7697" s="7">
        <v>41658.782800925925</v>
      </c>
      <c r="M7697" s="12" t="s">
        <v>183</v>
      </c>
      <c r="N7697" s="12" t="s">
        <v>184</v>
      </c>
      <c r="O7697" s="10" t="str">
        <f>HYPERLINK("https://pbs.twimg.com/profile_images/424893967197433858/iQ86NktX_normal.jpeg","View")</f>
        <v>View</v>
      </c>
      <c r="P7697" s="11"/>
    </row>
    <row r="7698" spans="1:16" ht="12.75" x14ac:dyDescent="0.35">
      <c r="A7698" s="7">
        <v>42485.024375000001</v>
      </c>
      <c r="B7698" s="8" t="str">
        <f>HYPERLINK("https://twitter.com/VWCamperSales","@VWCamperSales")</f>
        <v>@VWCamperSales</v>
      </c>
      <c r="C7698" s="9" t="s">
        <v>216</v>
      </c>
      <c r="D7698" s="9" t="s">
        <v>16954</v>
      </c>
      <c r="E7698" s="10" t="str">
        <f>HYPERLINK("https://twitter.com/VWCamperSales/status/724313233406857217","724313233406857217")</f>
        <v>724313233406857217</v>
      </c>
      <c r="F7698" s="10" t="s">
        <v>124</v>
      </c>
      <c r="G7698" s="11">
        <v>626</v>
      </c>
      <c r="H7698" s="11">
        <v>579</v>
      </c>
      <c r="I7698" s="11">
        <v>0</v>
      </c>
      <c r="J7698" s="11">
        <v>0</v>
      </c>
      <c r="K7698" s="11" t="s">
        <v>21</v>
      </c>
      <c r="L7698" s="7">
        <v>42215.98809027778</v>
      </c>
      <c r="M7698" s="12" t="s">
        <v>129</v>
      </c>
      <c r="N7698" s="12" t="s">
        <v>218</v>
      </c>
      <c r="O7698" s="10" t="str">
        <f>HYPERLINK("https://pbs.twimg.com/profile_images/627949001179037696/skEBkS05_normal.jpg","View")</f>
        <v>View</v>
      </c>
      <c r="P7698" s="11"/>
    </row>
    <row r="7699" spans="1:16" ht="12.75" x14ac:dyDescent="0.35">
      <c r="A7699" s="7">
        <v>42485.024375000001</v>
      </c>
      <c r="B7699" s="8" t="str">
        <f>HYPERLINK("https://twitter.com/VWBeetleSales","@VWBeetleSales")</f>
        <v>@VWBeetleSales</v>
      </c>
      <c r="C7699" s="9" t="s">
        <v>127</v>
      </c>
      <c r="D7699" s="9" t="s">
        <v>16955</v>
      </c>
      <c r="E7699" s="10" t="str">
        <f>HYPERLINK("https://twitter.com/VWBeetleSales/status/724313234275082242","724313234275082242")</f>
        <v>724313234275082242</v>
      </c>
      <c r="F7699" s="10" t="s">
        <v>124</v>
      </c>
      <c r="G7699" s="11">
        <v>39</v>
      </c>
      <c r="H7699" s="11">
        <v>32</v>
      </c>
      <c r="I7699" s="11">
        <v>0</v>
      </c>
      <c r="J7699" s="11">
        <v>0</v>
      </c>
      <c r="K7699" s="11" t="s">
        <v>21</v>
      </c>
      <c r="L7699" s="7">
        <v>42427.019756944443</v>
      </c>
      <c r="M7699" s="12" t="s">
        <v>129</v>
      </c>
      <c r="N7699" s="12" t="s">
        <v>130</v>
      </c>
      <c r="O7699" s="10" t="str">
        <f>HYPERLINK("https://pbs.twimg.com/profile_images/703294545195307008/qeCvrX86_normal.jpg","View")</f>
        <v>View</v>
      </c>
      <c r="P7699" s="11"/>
    </row>
    <row r="7700" spans="1:16" ht="12.75" x14ac:dyDescent="0.35">
      <c r="A7700" s="7">
        <v>42485.024745370371</v>
      </c>
      <c r="B7700" s="8" t="str">
        <f>HYPERLINK("https://twitter.com/Chuurraaa","@Chuurraaa")</f>
        <v>@Chuurraaa</v>
      </c>
      <c r="C7700" s="9" t="s">
        <v>16956</v>
      </c>
      <c r="D7700" s="9" t="s">
        <v>16957</v>
      </c>
      <c r="E7700" s="10" t="str">
        <f>HYPERLINK("https://twitter.com/Chuurraaa/status/724313365506482177","724313365506482177")</f>
        <v>724313365506482177</v>
      </c>
      <c r="F7700" s="11" t="s">
        <v>114</v>
      </c>
      <c r="G7700" s="11">
        <v>371</v>
      </c>
      <c r="H7700" s="11">
        <v>355</v>
      </c>
      <c r="I7700" s="11">
        <v>0</v>
      </c>
      <c r="J7700" s="11">
        <v>0</v>
      </c>
      <c r="K7700" s="11" t="s">
        <v>21</v>
      </c>
      <c r="L7700" s="7">
        <v>41271.060173611113</v>
      </c>
      <c r="M7700" s="12" t="s">
        <v>12089</v>
      </c>
      <c r="N7700" s="12" t="s">
        <v>16958</v>
      </c>
      <c r="O7700" s="10" t="str">
        <f>HYPERLINK("https://pbs.twimg.com/profile_images/649906344330416128/2rNR_pGy_normal.jpg","View")</f>
        <v>View</v>
      </c>
      <c r="P7700" s="11"/>
    </row>
    <row r="7701" spans="1:16" ht="12.75" x14ac:dyDescent="0.35">
      <c r="A7701" s="7">
        <v>42485.025729166664</v>
      </c>
      <c r="B7701" s="8" t="str">
        <f>HYPERLINK("https://twitter.com/angelfire_2769","@angelfire_2769")</f>
        <v>@angelfire_2769</v>
      </c>
      <c r="C7701" s="9" t="s">
        <v>16959</v>
      </c>
      <c r="D7701" s="9" t="s">
        <v>16960</v>
      </c>
      <c r="E7701" s="10" t="str">
        <f>HYPERLINK("https://twitter.com/angelfire_2769/status/724313724400615425","724313724400615425")</f>
        <v>724313724400615425</v>
      </c>
      <c r="F7701" s="11" t="s">
        <v>114</v>
      </c>
      <c r="G7701" s="11">
        <v>40</v>
      </c>
      <c r="H7701" s="11">
        <v>161</v>
      </c>
      <c r="I7701" s="11">
        <v>0</v>
      </c>
      <c r="J7701" s="11">
        <v>0</v>
      </c>
      <c r="K7701" s="11" t="s">
        <v>21</v>
      </c>
      <c r="L7701" s="7">
        <v>40369.181689814817</v>
      </c>
      <c r="M7701" s="12" t="s">
        <v>16961</v>
      </c>
      <c r="N7701" s="12"/>
      <c r="O7701" s="10" t="str">
        <f>HYPERLINK("https://pbs.twimg.com/profile_images/2769239639/8dc6d3b0d2aafd6b43885eb66c0340a5_normal.jpeg","View")</f>
        <v>View</v>
      </c>
      <c r="P7701" s="10" t="str">
        <f>HYPERLINK("http://ctrlq.org/maps/address/#39.2728869,-84.4115186","Map")</f>
        <v>Map</v>
      </c>
    </row>
    <row r="7702" spans="1:16" ht="12.75" x14ac:dyDescent="0.35">
      <c r="A7702" s="7">
        <v>42485.028078703705</v>
      </c>
      <c r="B7702" s="8" t="str">
        <f>HYPERLINK("https://twitter.com/hashtagvanlife","@hashtagvanlife")</f>
        <v>@hashtagvanlife</v>
      </c>
      <c r="C7702" s="9" t="s">
        <v>187</v>
      </c>
      <c r="D7702" s="9" t="s">
        <v>16962</v>
      </c>
      <c r="E7702" s="10" t="str">
        <f>HYPERLINK("https://twitter.com/hashtagvanlife/status/724314576406339584","724314576406339584")</f>
        <v>724314576406339584</v>
      </c>
      <c r="F7702" s="11" t="s">
        <v>189</v>
      </c>
      <c r="G7702" s="11">
        <v>1032</v>
      </c>
      <c r="H7702" s="11">
        <v>29</v>
      </c>
      <c r="I7702" s="11">
        <v>1</v>
      </c>
      <c r="J7702" s="11">
        <v>0</v>
      </c>
      <c r="K7702" s="11" t="s">
        <v>21</v>
      </c>
      <c r="L7702" s="7">
        <v>42289.994583333333</v>
      </c>
      <c r="M7702" s="12"/>
      <c r="N7702" s="12" t="s">
        <v>190</v>
      </c>
      <c r="O7702" s="10" t="str">
        <f>HYPERLINK("https://pbs.twimg.com/profile_images/653637535545995264/gHuXQ5Bt_normal.jpg","View")</f>
        <v>View</v>
      </c>
      <c r="P7702" s="11"/>
    </row>
    <row r="7703" spans="1:16" ht="12.75" x14ac:dyDescent="0.35">
      <c r="A7703" s="7">
        <v>42485.02815972222</v>
      </c>
      <c r="B7703" s="8" t="str">
        <f t="shared" ref="B7703:B7705" si="763">HYPERLINK("https://twitter.com/Insta_VWT","@Insta_VWT")</f>
        <v>@Insta_VWT</v>
      </c>
      <c r="C7703" s="9" t="s">
        <v>181</v>
      </c>
      <c r="D7703" s="9" t="s">
        <v>16963</v>
      </c>
      <c r="E7703" s="10" t="str">
        <f>HYPERLINK("https://twitter.com/Insta_VWT/status/724314603618996224","724314603618996224")</f>
        <v>724314603618996224</v>
      </c>
      <c r="F7703" s="11" t="s">
        <v>68</v>
      </c>
      <c r="G7703" s="11">
        <v>486</v>
      </c>
      <c r="H7703" s="11">
        <v>0</v>
      </c>
      <c r="I7703" s="11">
        <v>0</v>
      </c>
      <c r="J7703" s="11">
        <v>0</v>
      </c>
      <c r="K7703" s="11" t="s">
        <v>21</v>
      </c>
      <c r="L7703" s="7">
        <v>41658.782800925925</v>
      </c>
      <c r="M7703" s="12" t="s">
        <v>183</v>
      </c>
      <c r="N7703" s="12" t="s">
        <v>184</v>
      </c>
      <c r="O7703" s="10" t="str">
        <f t="shared" ref="O7703:O7705" si="764">HYPERLINK("https://pbs.twimg.com/profile_images/424893967197433858/iQ86NktX_normal.jpeg","View")</f>
        <v>View</v>
      </c>
      <c r="P7703" s="11"/>
    </row>
    <row r="7704" spans="1:16" ht="12.75" x14ac:dyDescent="0.35">
      <c r="A7704" s="7">
        <v>42485.028171296297</v>
      </c>
      <c r="B7704" s="8" t="str">
        <f t="shared" si="763"/>
        <v>@Insta_VWT</v>
      </c>
      <c r="C7704" s="9" t="s">
        <v>181</v>
      </c>
      <c r="D7704" s="9" t="s">
        <v>16964</v>
      </c>
      <c r="E7704" s="10" t="str">
        <f>HYPERLINK("https://twitter.com/Insta_VWT/status/724314610250190850","724314610250190850")</f>
        <v>724314610250190850</v>
      </c>
      <c r="F7704" s="11" t="s">
        <v>68</v>
      </c>
      <c r="G7704" s="11">
        <v>486</v>
      </c>
      <c r="H7704" s="11">
        <v>0</v>
      </c>
      <c r="I7704" s="11">
        <v>0</v>
      </c>
      <c r="J7704" s="11">
        <v>0</v>
      </c>
      <c r="K7704" s="11" t="s">
        <v>21</v>
      </c>
      <c r="L7704" s="7">
        <v>41658.782800925925</v>
      </c>
      <c r="M7704" s="12" t="s">
        <v>183</v>
      </c>
      <c r="N7704" s="12" t="s">
        <v>184</v>
      </c>
      <c r="O7704" s="10" t="str">
        <f t="shared" si="764"/>
        <v>View</v>
      </c>
      <c r="P7704" s="11"/>
    </row>
    <row r="7705" spans="1:16" ht="12.75" x14ac:dyDescent="0.35">
      <c r="A7705" s="7">
        <v>42485.02825231482</v>
      </c>
      <c r="B7705" s="8" t="str">
        <f t="shared" si="763"/>
        <v>@Insta_VWT</v>
      </c>
      <c r="C7705" s="9" t="s">
        <v>181</v>
      </c>
      <c r="D7705" s="9" t="s">
        <v>16965</v>
      </c>
      <c r="E7705" s="10" t="str">
        <f>HYPERLINK("https://twitter.com/Insta_VWT/status/724314639916523520","724314639916523520")</f>
        <v>724314639916523520</v>
      </c>
      <c r="F7705" s="11" t="s">
        <v>68</v>
      </c>
      <c r="G7705" s="11">
        <v>486</v>
      </c>
      <c r="H7705" s="11">
        <v>0</v>
      </c>
      <c r="I7705" s="11">
        <v>0</v>
      </c>
      <c r="J7705" s="11">
        <v>0</v>
      </c>
      <c r="K7705" s="11" t="s">
        <v>21</v>
      </c>
      <c r="L7705" s="7">
        <v>41658.782800925925</v>
      </c>
      <c r="M7705" s="12" t="s">
        <v>183</v>
      </c>
      <c r="N7705" s="12" t="s">
        <v>184</v>
      </c>
      <c r="O7705" s="10" t="str">
        <f t="shared" si="764"/>
        <v>View</v>
      </c>
      <c r="P7705" s="11"/>
    </row>
    <row r="7706" spans="1:16" ht="12.75" x14ac:dyDescent="0.35">
      <c r="A7706" s="7">
        <v>42485.028958333336</v>
      </c>
      <c r="B7706" s="8" t="str">
        <f>HYPERLINK("https://twitter.com/masterhrules","@masterhrules")</f>
        <v>@masterhrules</v>
      </c>
      <c r="C7706" s="9" t="s">
        <v>16966</v>
      </c>
      <c r="D7706" s="9" t="s">
        <v>16967</v>
      </c>
      <c r="E7706" s="10" t="str">
        <f>HYPERLINK("https://twitter.com/masterhrules/status/724314893126647808","724314893126647808")</f>
        <v>724314893126647808</v>
      </c>
      <c r="F7706" s="11" t="s">
        <v>114</v>
      </c>
      <c r="G7706" s="11">
        <v>71</v>
      </c>
      <c r="H7706" s="11">
        <v>130</v>
      </c>
      <c r="I7706" s="11">
        <v>0</v>
      </c>
      <c r="J7706" s="11">
        <v>0</v>
      </c>
      <c r="K7706" s="11" t="s">
        <v>21</v>
      </c>
      <c r="L7706" s="7">
        <v>40049.449976851851</v>
      </c>
      <c r="M7706" s="12" t="s">
        <v>16968</v>
      </c>
      <c r="N7706" s="12" t="s">
        <v>16969</v>
      </c>
      <c r="O7706" s="10" t="str">
        <f>HYPERLINK("https://pbs.twimg.com/profile_images/702254024741916672/aYHsBFb4_normal.jpg","View")</f>
        <v>View</v>
      </c>
      <c r="P7706" s="11"/>
    </row>
    <row r="7707" spans="1:16" ht="12.75" x14ac:dyDescent="0.35">
      <c r="A7707" s="7">
        <v>42485.029317129629</v>
      </c>
      <c r="B7707" s="8" t="str">
        <f>HYPERLINK("https://twitter.com/WakefieldLovers","@WakefieldLovers")</f>
        <v>@WakefieldLovers</v>
      </c>
      <c r="C7707" s="9" t="s">
        <v>16970</v>
      </c>
      <c r="D7707" s="9" t="s">
        <v>16971</v>
      </c>
      <c r="E7707" s="10" t="str">
        <f>HYPERLINK("https://twitter.com/WakefieldLovers/status/724315024827752448","724315024827752448")</f>
        <v>724315024827752448</v>
      </c>
      <c r="F7707" s="11" t="s">
        <v>288</v>
      </c>
      <c r="G7707" s="11">
        <v>5016</v>
      </c>
      <c r="H7707" s="11">
        <v>3985</v>
      </c>
      <c r="I7707" s="11">
        <v>1</v>
      </c>
      <c r="J7707" s="11">
        <v>0</v>
      </c>
      <c r="K7707" s="11" t="s">
        <v>21</v>
      </c>
      <c r="L7707" s="7">
        <v>42081.560960648145</v>
      </c>
      <c r="M7707" s="12" t="s">
        <v>16972</v>
      </c>
      <c r="N7707" s="12" t="s">
        <v>16973</v>
      </c>
      <c r="O7707" s="10" t="str">
        <f>HYPERLINK("https://pbs.twimg.com/profile_images/619103605270933504/yq7GKMTs_normal.jpg","View")</f>
        <v>View</v>
      </c>
      <c r="P7707" s="11"/>
    </row>
    <row r="7708" spans="1:16" ht="12.75" x14ac:dyDescent="0.35">
      <c r="A7708" s="7">
        <v>42485.029548611114</v>
      </c>
      <c r="B7708" s="8" t="str">
        <f>HYPERLINK("https://twitter.com/VWCamperSales","@VWCamperSales")</f>
        <v>@VWCamperSales</v>
      </c>
      <c r="C7708" s="9" t="s">
        <v>216</v>
      </c>
      <c r="D7708" s="9" t="s">
        <v>16974</v>
      </c>
      <c r="E7708" s="10" t="str">
        <f>HYPERLINK("https://twitter.com/VWCamperSales/status/724315109900738560","724315109900738560")</f>
        <v>724315109900738560</v>
      </c>
      <c r="F7708" s="10" t="s">
        <v>124</v>
      </c>
      <c r="G7708" s="11">
        <v>626</v>
      </c>
      <c r="H7708" s="11">
        <v>579</v>
      </c>
      <c r="I7708" s="11">
        <v>0</v>
      </c>
      <c r="J7708" s="11">
        <v>0</v>
      </c>
      <c r="K7708" s="11" t="s">
        <v>21</v>
      </c>
      <c r="L7708" s="7">
        <v>42215.98809027778</v>
      </c>
      <c r="M7708" s="12" t="s">
        <v>129</v>
      </c>
      <c r="N7708" s="12" t="s">
        <v>218</v>
      </c>
      <c r="O7708" s="10" t="str">
        <f>HYPERLINK("https://pbs.twimg.com/profile_images/627949001179037696/skEBkS05_normal.jpg","View")</f>
        <v>View</v>
      </c>
      <c r="P7708" s="11"/>
    </row>
    <row r="7709" spans="1:16" ht="12.75" x14ac:dyDescent="0.35">
      <c r="A7709" s="7">
        <v>42485.029560185183</v>
      </c>
      <c r="B7709" s="8" t="str">
        <f>HYPERLINK("https://twitter.com/VWBeetleSales","@VWBeetleSales")</f>
        <v>@VWBeetleSales</v>
      </c>
      <c r="C7709" s="9" t="s">
        <v>127</v>
      </c>
      <c r="D7709" s="9" t="s">
        <v>16975</v>
      </c>
      <c r="E7709" s="10" t="str">
        <f>HYPERLINK("https://twitter.com/VWBeetleSales/status/724315110961872896","724315110961872896")</f>
        <v>724315110961872896</v>
      </c>
      <c r="F7709" s="10" t="s">
        <v>124</v>
      </c>
      <c r="G7709" s="11">
        <v>39</v>
      </c>
      <c r="H7709" s="11">
        <v>32</v>
      </c>
      <c r="I7709" s="11">
        <v>0</v>
      </c>
      <c r="J7709" s="11">
        <v>0</v>
      </c>
      <c r="K7709" s="11" t="s">
        <v>21</v>
      </c>
      <c r="L7709" s="7">
        <v>42427.019756944443</v>
      </c>
      <c r="M7709" s="12" t="s">
        <v>129</v>
      </c>
      <c r="N7709" s="12" t="s">
        <v>130</v>
      </c>
      <c r="O7709" s="10" t="str">
        <f>HYPERLINK("https://pbs.twimg.com/profile_images/703294545195307008/qeCvrX86_normal.jpg","View")</f>
        <v>View</v>
      </c>
      <c r="P7709" s="11"/>
    </row>
    <row r="7710" spans="1:16" ht="12.75" x14ac:dyDescent="0.35">
      <c r="A7710" s="7">
        <v>42485.029560185183</v>
      </c>
      <c r="B7710" s="8" t="str">
        <f>HYPERLINK("https://twitter.com/VWCamperSales","@VWCamperSales")</f>
        <v>@VWCamperSales</v>
      </c>
      <c r="C7710" s="9" t="s">
        <v>216</v>
      </c>
      <c r="D7710" s="9" t="s">
        <v>16976</v>
      </c>
      <c r="E7710" s="10" t="str">
        <f>HYPERLINK("https://twitter.com/VWCamperSales/status/724315113277149184","724315113277149184")</f>
        <v>724315113277149184</v>
      </c>
      <c r="F7710" s="10" t="s">
        <v>124</v>
      </c>
      <c r="G7710" s="11">
        <v>626</v>
      </c>
      <c r="H7710" s="11">
        <v>579</v>
      </c>
      <c r="I7710" s="11">
        <v>0</v>
      </c>
      <c r="J7710" s="11">
        <v>0</v>
      </c>
      <c r="K7710" s="11" t="s">
        <v>21</v>
      </c>
      <c r="L7710" s="7">
        <v>42215.98809027778</v>
      </c>
      <c r="M7710" s="12" t="s">
        <v>129</v>
      </c>
      <c r="N7710" s="12" t="s">
        <v>218</v>
      </c>
      <c r="O7710" s="10" t="str">
        <f>HYPERLINK("https://pbs.twimg.com/profile_images/627949001179037696/skEBkS05_normal.jpg","View")</f>
        <v>View</v>
      </c>
      <c r="P7710" s="11"/>
    </row>
    <row r="7711" spans="1:16" ht="12.75" x14ac:dyDescent="0.35">
      <c r="A7711" s="7">
        <v>42485.031273148154</v>
      </c>
      <c r="B7711" s="8" t="str">
        <f>HYPERLINK("https://twitter.com/ProClipUSA","@ProClipUSA")</f>
        <v>@ProClipUSA</v>
      </c>
      <c r="C7711" s="9" t="s">
        <v>16977</v>
      </c>
      <c r="D7711" s="9" t="s">
        <v>16978</v>
      </c>
      <c r="E7711" s="10" t="str">
        <f>HYPERLINK("https://twitter.com/ProClipUSA/status/724315732092149760","724315732092149760")</f>
        <v>724315732092149760</v>
      </c>
      <c r="F7711" s="11" t="s">
        <v>140</v>
      </c>
      <c r="G7711" s="11">
        <v>3220</v>
      </c>
      <c r="H7711" s="11">
        <v>2549</v>
      </c>
      <c r="I7711" s="11">
        <v>0</v>
      </c>
      <c r="J7711" s="11">
        <v>0</v>
      </c>
      <c r="K7711" s="11" t="s">
        <v>21</v>
      </c>
      <c r="L7711" s="7">
        <v>39930.958171296297</v>
      </c>
      <c r="M7711" s="12" t="s">
        <v>10528</v>
      </c>
      <c r="N7711" s="12" t="s">
        <v>16979</v>
      </c>
      <c r="O7711" s="10" t="str">
        <f>HYPERLINK("https://pbs.twimg.com/profile_images/459073369661399040/NmPzTH6B_normal.png","View")</f>
        <v>View</v>
      </c>
      <c r="P7711" s="11"/>
    </row>
    <row r="7712" spans="1:16" ht="12.75" x14ac:dyDescent="0.35">
      <c r="A7712" s="7">
        <v>42485.031342592592</v>
      </c>
      <c r="B7712" s="8" t="str">
        <f>HYPERLINK("https://twitter.com/acvwpassion","@acvwpassion")</f>
        <v>@acvwpassion</v>
      </c>
      <c r="C7712" s="9" t="s">
        <v>4671</v>
      </c>
      <c r="D7712" s="9" t="s">
        <v>16980</v>
      </c>
      <c r="E7712" s="10" t="str">
        <f>HYPERLINK("https://twitter.com/acvwpassion/status/724315759179096064","724315759179096064")</f>
        <v>724315759179096064</v>
      </c>
      <c r="F7712" s="11" t="s">
        <v>152</v>
      </c>
      <c r="G7712" s="11">
        <v>244</v>
      </c>
      <c r="H7712" s="11">
        <v>409</v>
      </c>
      <c r="I7712" s="11">
        <v>0</v>
      </c>
      <c r="J7712" s="11">
        <v>0</v>
      </c>
      <c r="K7712" s="11" t="s">
        <v>21</v>
      </c>
      <c r="L7712" s="7">
        <v>41989.101851851854</v>
      </c>
      <c r="M7712" s="12" t="s">
        <v>4673</v>
      </c>
      <c r="N7712" s="12" t="s">
        <v>4674</v>
      </c>
      <c r="O7712" s="10" t="str">
        <f>HYPERLINK("https://pbs.twimg.com/profile_images/545688359964651520/SF3sJ7lv_normal.jpeg","View")</f>
        <v>View</v>
      </c>
      <c r="P7712" s="11"/>
    </row>
    <row r="7713" spans="1:16" ht="12.75" x14ac:dyDescent="0.35">
      <c r="A7713" s="7">
        <v>42485.032754629632</v>
      </c>
      <c r="B7713" s="8" t="str">
        <f>HYPERLINK("https://twitter.com/universenme","@universenme")</f>
        <v>@universenme</v>
      </c>
      <c r="C7713" s="9" t="s">
        <v>16981</v>
      </c>
      <c r="D7713" s="9" t="s">
        <v>16982</v>
      </c>
      <c r="E7713" s="10" t="str">
        <f>HYPERLINK("https://twitter.com/universenme/status/724316268543660032","724316268543660032")</f>
        <v>724316268543660032</v>
      </c>
      <c r="F7713" s="11" t="s">
        <v>48</v>
      </c>
      <c r="G7713" s="11">
        <v>7889</v>
      </c>
      <c r="H7713" s="11">
        <v>6597</v>
      </c>
      <c r="I7713" s="11">
        <v>0</v>
      </c>
      <c r="J7713" s="11">
        <v>1</v>
      </c>
      <c r="K7713" s="11" t="s">
        <v>21</v>
      </c>
      <c r="L7713" s="7">
        <v>40634.886354166665</v>
      </c>
      <c r="M7713" s="12" t="s">
        <v>715</v>
      </c>
      <c r="N7713" s="12" t="s">
        <v>16983</v>
      </c>
      <c r="O7713" s="10" t="str">
        <f>HYPERLINK("https://pbs.twimg.com/profile_images/445716623010197504/HUskTY6O_normal.jpeg","View")</f>
        <v>View</v>
      </c>
      <c r="P7713" s="11"/>
    </row>
    <row r="7714" spans="1:16" ht="12.75" x14ac:dyDescent="0.35">
      <c r="A7714" s="7">
        <v>42485.032951388886</v>
      </c>
      <c r="B7714" s="8" t="str">
        <f>HYPERLINK("https://twitter.com/Tamara_DeCaluwe","@Tamara_DeCaluwe")</f>
        <v>@Tamara_DeCaluwe</v>
      </c>
      <c r="C7714" s="9" t="s">
        <v>15781</v>
      </c>
      <c r="D7714" s="9" t="s">
        <v>16984</v>
      </c>
      <c r="E7714" s="10" t="str">
        <f>HYPERLINK("https://twitter.com/Tamara_DeCaluwe/status/724316340845158401","724316340845158401")</f>
        <v>724316340845158401</v>
      </c>
      <c r="F7714" s="11" t="s">
        <v>367</v>
      </c>
      <c r="G7714" s="11">
        <v>12</v>
      </c>
      <c r="H7714" s="11">
        <v>47</v>
      </c>
      <c r="I7714" s="11">
        <v>0</v>
      </c>
      <c r="J7714" s="11">
        <v>0</v>
      </c>
      <c r="K7714" s="11" t="s">
        <v>21</v>
      </c>
      <c r="L7714" s="7">
        <v>42076.772187499999</v>
      </c>
      <c r="M7714" s="12"/>
      <c r="N7714" s="12"/>
      <c r="O7714" s="10" t="str">
        <f>HYPERLINK("https://pbs.twimg.com/profile_images/602768406224441344/37bYfus9_normal.jpg","View")</f>
        <v>View</v>
      </c>
      <c r="P7714" s="11"/>
    </row>
    <row r="7715" spans="1:16" ht="12.75" x14ac:dyDescent="0.35">
      <c r="A7715" s="7">
        <v>42485.033090277779</v>
      </c>
      <c r="B7715" s="8" t="str">
        <f>HYPERLINK("https://twitter.com/Scirocco_Tuning","@Scirocco_Tuning")</f>
        <v>@Scirocco_Tuning</v>
      </c>
      <c r="C7715" s="9" t="s">
        <v>51</v>
      </c>
      <c r="D7715" s="9" t="s">
        <v>16985</v>
      </c>
      <c r="E7715" s="10" t="str">
        <f>HYPERLINK("https://twitter.com/Scirocco_Tuning/status/724316392078618624","724316392078618624")</f>
        <v>724316392078618624</v>
      </c>
      <c r="F7715" s="11" t="s">
        <v>53</v>
      </c>
      <c r="G7715" s="11">
        <v>70</v>
      </c>
      <c r="H7715" s="11">
        <v>215</v>
      </c>
      <c r="I7715" s="11">
        <v>0</v>
      </c>
      <c r="J7715" s="11">
        <v>0</v>
      </c>
      <c r="K7715" s="11" t="s">
        <v>21</v>
      </c>
      <c r="L7715" s="7">
        <v>40844.564722222218</v>
      </c>
      <c r="M7715" s="12"/>
      <c r="N7715" s="12"/>
      <c r="O7715" s="10" t="str">
        <f>HYPERLINK("https://pbs.twimg.com/profile_images/1610421423/Image2_normal.jpg","View")</f>
        <v>View</v>
      </c>
      <c r="P7715" s="11"/>
    </row>
    <row r="7716" spans="1:16" ht="12.75" x14ac:dyDescent="0.35">
      <c r="A7716" s="7">
        <v>42485.035949074074</v>
      </c>
      <c r="B7716" s="8" t="str">
        <f>HYPERLINK("https://twitter.com/PistonKafalar","@PistonKafalar")</f>
        <v>@PistonKafalar</v>
      </c>
      <c r="C7716" s="9" t="s">
        <v>16986</v>
      </c>
      <c r="D7716" s="9" t="s">
        <v>16987</v>
      </c>
      <c r="E7716" s="10" t="str">
        <f>HYPERLINK("https://twitter.com/PistonKafalar/status/724317429376102402","724317429376102402")</f>
        <v>724317429376102402</v>
      </c>
      <c r="F7716" s="11" t="s">
        <v>43</v>
      </c>
      <c r="G7716" s="11">
        <v>722</v>
      </c>
      <c r="H7716" s="11">
        <v>477</v>
      </c>
      <c r="I7716" s="11">
        <v>0</v>
      </c>
      <c r="J7716" s="11">
        <v>0</v>
      </c>
      <c r="K7716" s="11" t="s">
        <v>21</v>
      </c>
      <c r="L7716" s="7">
        <v>40749.734780092593</v>
      </c>
      <c r="M7716" s="12" t="s">
        <v>4142</v>
      </c>
      <c r="N7716" s="12" t="s">
        <v>16988</v>
      </c>
      <c r="O7716" s="10" t="str">
        <f>HYPERLINK("https://pbs.twimg.com/profile_images/1606013134/PistonKafalar_logo_normal.jpg","View")</f>
        <v>View</v>
      </c>
      <c r="P7716" s="11"/>
    </row>
    <row r="7717" spans="1:16" ht="12.75" x14ac:dyDescent="0.35">
      <c r="A7717" s="7">
        <v>42485.035983796297</v>
      </c>
      <c r="B7717" s="8" t="str">
        <f>HYPERLINK("https://twitter.com/Luko8525","@Luko8525")</f>
        <v>@Luko8525</v>
      </c>
      <c r="C7717" s="9" t="s">
        <v>16989</v>
      </c>
      <c r="D7717" s="9" t="s">
        <v>16990</v>
      </c>
      <c r="E7717" s="10" t="str">
        <f>HYPERLINK("https://twitter.com/Luko8525/status/724317438045753344","724317438045753344")</f>
        <v>724317438045753344</v>
      </c>
      <c r="F7717" s="11" t="s">
        <v>48</v>
      </c>
      <c r="G7717" s="11">
        <v>51</v>
      </c>
      <c r="H7717" s="11">
        <v>335</v>
      </c>
      <c r="I7717" s="11">
        <v>0</v>
      </c>
      <c r="J7717" s="11">
        <v>0</v>
      </c>
      <c r="K7717" s="11" t="s">
        <v>21</v>
      </c>
      <c r="L7717" s="7">
        <v>40659.805254629631</v>
      </c>
      <c r="M7717" s="12" t="s">
        <v>16991</v>
      </c>
      <c r="N7717" s="12" t="s">
        <v>16992</v>
      </c>
      <c r="O7717" s="10" t="str">
        <f>HYPERLINK("https://pbs.twimg.com/profile_images/511618472971730944/Kvi3OOwG_normal.jpeg","View")</f>
        <v>View</v>
      </c>
      <c r="P7717" s="11"/>
    </row>
    <row r="7718" spans="1:16" ht="12.75" x14ac:dyDescent="0.35">
      <c r="A7718" s="7">
        <v>42485.037175925929</v>
      </c>
      <c r="B7718" s="8" t="str">
        <f>HYPERLINK("https://twitter.com/Jazzybam","@Jazzybam")</f>
        <v>@Jazzybam</v>
      </c>
      <c r="C7718" s="9" t="s">
        <v>16993</v>
      </c>
      <c r="D7718" s="9" t="s">
        <v>16994</v>
      </c>
      <c r="E7718" s="10" t="str">
        <f>HYPERLINK("https://twitter.com/Jazzybam/status/724317870625284096","724317870625284096")</f>
        <v>724317870625284096</v>
      </c>
      <c r="F7718" s="11" t="s">
        <v>114</v>
      </c>
      <c r="G7718" s="11">
        <v>425</v>
      </c>
      <c r="H7718" s="11">
        <v>142</v>
      </c>
      <c r="I7718" s="11">
        <v>0</v>
      </c>
      <c r="J7718" s="11">
        <v>0</v>
      </c>
      <c r="K7718" s="11" t="s">
        <v>21</v>
      </c>
      <c r="L7718" s="7">
        <v>39464.998425925922</v>
      </c>
      <c r="M7718" s="12"/>
      <c r="N7718" s="12" t="s">
        <v>16995</v>
      </c>
      <c r="O7718" s="10" t="str">
        <f>HYPERLINK("https://pbs.twimg.com/profile_images/709506642883256323/WAGmegiM_normal.jpg","View")</f>
        <v>View</v>
      </c>
      <c r="P7718" s="11"/>
    </row>
    <row r="7719" spans="1:16" ht="12.75" x14ac:dyDescent="0.35">
      <c r="A7719" s="7">
        <v>42485.038587962961</v>
      </c>
      <c r="B7719" s="8" t="str">
        <f>HYPERLINK("https://twitter.com/VWCamperSales","@VWCamperSales")</f>
        <v>@VWCamperSales</v>
      </c>
      <c r="C7719" s="9" t="s">
        <v>216</v>
      </c>
      <c r="D7719" s="9" t="s">
        <v>16996</v>
      </c>
      <c r="E7719" s="10" t="str">
        <f>HYPERLINK("https://twitter.com/VWCamperSales/status/724318384704262145","724318384704262145")</f>
        <v>724318384704262145</v>
      </c>
      <c r="F7719" s="10" t="s">
        <v>124</v>
      </c>
      <c r="G7719" s="11">
        <v>626</v>
      </c>
      <c r="H7719" s="11">
        <v>579</v>
      </c>
      <c r="I7719" s="11">
        <v>0</v>
      </c>
      <c r="J7719" s="11">
        <v>0</v>
      </c>
      <c r="K7719" s="11" t="s">
        <v>21</v>
      </c>
      <c r="L7719" s="7">
        <v>42215.98809027778</v>
      </c>
      <c r="M7719" s="12" t="s">
        <v>129</v>
      </c>
      <c r="N7719" s="12" t="s">
        <v>218</v>
      </c>
      <c r="O7719" s="10" t="str">
        <f>HYPERLINK("https://pbs.twimg.com/profile_images/627949001179037696/skEBkS05_normal.jpg","View")</f>
        <v>View</v>
      </c>
      <c r="P7719" s="11"/>
    </row>
    <row r="7720" spans="1:16" ht="12.75" x14ac:dyDescent="0.35">
      <c r="A7720" s="7">
        <v>42485.039375</v>
      </c>
      <c r="B7720" s="8" t="str">
        <f>HYPERLINK("https://twitter.com/OnlineCarReview","@OnlineCarReview")</f>
        <v>@OnlineCarReview</v>
      </c>
      <c r="C7720" s="9" t="s">
        <v>176</v>
      </c>
      <c r="D7720" s="9" t="s">
        <v>16997</v>
      </c>
      <c r="E7720" s="10" t="str">
        <f>HYPERLINK("https://twitter.com/OnlineCarReview/status/724318667157069825","724318667157069825")</f>
        <v>724318667157069825</v>
      </c>
      <c r="F7720" s="11" t="s">
        <v>34</v>
      </c>
      <c r="G7720" s="11">
        <v>839</v>
      </c>
      <c r="H7720" s="11">
        <v>568</v>
      </c>
      <c r="I7720" s="11">
        <v>0</v>
      </c>
      <c r="J7720" s="11">
        <v>0</v>
      </c>
      <c r="K7720" s="11" t="s">
        <v>21</v>
      </c>
      <c r="L7720" s="7">
        <v>42282.979201388887</v>
      </c>
      <c r="M7720" s="12"/>
      <c r="N7720" s="12" t="s">
        <v>178</v>
      </c>
      <c r="O7720" s="10" t="str">
        <f>HYPERLINK("https://pbs.twimg.com/profile_images/652871584131092480/QA_B6SBO_normal.jpg","View")</f>
        <v>View</v>
      </c>
      <c r="P7720" s="11"/>
    </row>
    <row r="7721" spans="1:16" ht="12.75" x14ac:dyDescent="0.35">
      <c r="A7721" s="7">
        <v>42485.039872685185</v>
      </c>
      <c r="B7721" s="8" t="str">
        <f>HYPERLINK("https://twitter.com/minornews","@minornews")</f>
        <v>@minornews</v>
      </c>
      <c r="C7721" s="9" t="s">
        <v>16998</v>
      </c>
      <c r="D7721" s="9" t="s">
        <v>16999</v>
      </c>
      <c r="E7721" s="10" t="str">
        <f>HYPERLINK("https://twitter.com/minornews/status/724318847575138308","724318847575138308")</f>
        <v>724318847575138308</v>
      </c>
      <c r="F7721" s="11" t="s">
        <v>68</v>
      </c>
      <c r="G7721" s="11">
        <v>58694</v>
      </c>
      <c r="H7721" s="11">
        <v>2</v>
      </c>
      <c r="I7721" s="11">
        <v>0</v>
      </c>
      <c r="J7721" s="11">
        <v>0</v>
      </c>
      <c r="K7721" s="11" t="s">
        <v>21</v>
      </c>
      <c r="L7721" s="7">
        <v>39733.016273148147</v>
      </c>
      <c r="M7721" s="12"/>
      <c r="N7721" s="12" t="s">
        <v>17000</v>
      </c>
      <c r="O7721" s="10" t="str">
        <f>HYPERLINK("https://pbs.twimg.com/profile_images/692450304059645952/aRBxMbSI_normal.png","View")</f>
        <v>View</v>
      </c>
      <c r="P7721" s="11"/>
    </row>
    <row r="7722" spans="1:16" ht="12.75" x14ac:dyDescent="0.35">
      <c r="A7722" s="7">
        <v>42485.040682870371</v>
      </c>
      <c r="B7722" s="8" t="str">
        <f>HYPERLINK("https://twitter.com/MakarenaFra","@MakarenaFra")</f>
        <v>@MakarenaFra</v>
      </c>
      <c r="C7722" s="9" t="s">
        <v>17001</v>
      </c>
      <c r="D7722" s="9" t="s">
        <v>2825</v>
      </c>
      <c r="E7722" s="10" t="str">
        <f>HYPERLINK("https://twitter.com/MakarenaFra/status/724319144586416128","724319144586416128")</f>
        <v>724319144586416128</v>
      </c>
      <c r="F7722" s="11" t="s">
        <v>48</v>
      </c>
      <c r="G7722" s="11">
        <v>123</v>
      </c>
      <c r="H7722" s="11">
        <v>126</v>
      </c>
      <c r="I7722" s="11">
        <v>60</v>
      </c>
      <c r="J7722" s="11">
        <v>0</v>
      </c>
      <c r="K7722" s="11" t="s">
        <v>21</v>
      </c>
      <c r="L7722" s="7">
        <v>41028.943379629629</v>
      </c>
      <c r="M7722" s="12"/>
      <c r="N7722" s="12" t="s">
        <v>17002</v>
      </c>
      <c r="O7722" s="10" t="str">
        <f>HYPERLINK("https://pbs.twimg.com/profile_images/715670762955403264/29LKzfpL_normal.jpg","View")</f>
        <v>View</v>
      </c>
      <c r="P7722" s="11"/>
    </row>
    <row r="7723" spans="1:16" ht="12.75" x14ac:dyDescent="0.35">
      <c r="A7723" s="7">
        <v>42485.042754629627</v>
      </c>
      <c r="B7723" s="8" t="str">
        <f>HYPERLINK("https://twitter.com/VWCamperSales","@VWCamperSales")</f>
        <v>@VWCamperSales</v>
      </c>
      <c r="C7723" s="9" t="s">
        <v>216</v>
      </c>
      <c r="D7723" s="9" t="s">
        <v>17003</v>
      </c>
      <c r="E7723" s="10" t="str">
        <f>HYPERLINK("https://twitter.com/VWCamperSales/status/724319893479280640","724319893479280640")</f>
        <v>724319893479280640</v>
      </c>
      <c r="F7723" s="10" t="s">
        <v>124</v>
      </c>
      <c r="G7723" s="11">
        <v>626</v>
      </c>
      <c r="H7723" s="11">
        <v>579</v>
      </c>
      <c r="I7723" s="11">
        <v>0</v>
      </c>
      <c r="J7723" s="11">
        <v>0</v>
      </c>
      <c r="K7723" s="11" t="s">
        <v>21</v>
      </c>
      <c r="L7723" s="7">
        <v>42215.98809027778</v>
      </c>
      <c r="M7723" s="12" t="s">
        <v>129</v>
      </c>
      <c r="N7723" s="12" t="s">
        <v>218</v>
      </c>
      <c r="O7723" s="10" t="str">
        <f>HYPERLINK("https://pbs.twimg.com/profile_images/627949001179037696/skEBkS05_normal.jpg","View")</f>
        <v>View</v>
      </c>
      <c r="P7723" s="11"/>
    </row>
    <row r="7724" spans="1:16" ht="12.75" x14ac:dyDescent="0.35">
      <c r="A7724" s="7">
        <v>42485.043796296297</v>
      </c>
      <c r="B7724" s="8" t="str">
        <f>HYPERLINK("https://twitter.com/xxVickyThomasxx","@xxVickyThomasxx")</f>
        <v>@xxVickyThomasxx</v>
      </c>
      <c r="C7724" s="9" t="s">
        <v>17004</v>
      </c>
      <c r="D7724" s="9" t="s">
        <v>17005</v>
      </c>
      <c r="E7724" s="10" t="str">
        <f>HYPERLINK("https://twitter.com/xxVickyThomasxx/status/724320270266327040","724320270266327040")</f>
        <v>724320270266327040</v>
      </c>
      <c r="F7724" s="11" t="s">
        <v>1838</v>
      </c>
      <c r="G7724" s="11">
        <v>25</v>
      </c>
      <c r="H7724" s="11">
        <v>106</v>
      </c>
      <c r="I7724" s="11">
        <v>0</v>
      </c>
      <c r="J7724" s="11">
        <v>1</v>
      </c>
      <c r="K7724" s="11" t="s">
        <v>21</v>
      </c>
      <c r="L7724" s="7">
        <v>42431.039664351847</v>
      </c>
      <c r="M7724" s="12"/>
      <c r="N7724" s="12"/>
      <c r="O7724" s="10" t="str">
        <f>HYPERLINK("https://pbs.twimg.com/profile_images/704751474425860098/YaW2hfRN_normal.jpg","View")</f>
        <v>View</v>
      </c>
      <c r="P7724" s="11"/>
    </row>
    <row r="7725" spans="1:16" ht="12.75" x14ac:dyDescent="0.35">
      <c r="A7725" s="7">
        <v>42485.043946759259</v>
      </c>
      <c r="B7725" s="8" t="str">
        <f>HYPERLINK("https://twitter.com/thesecretcaddie","@thesecretcaddie")</f>
        <v>@thesecretcaddie</v>
      </c>
      <c r="C7725" s="9" t="s">
        <v>13034</v>
      </c>
      <c r="D7725" s="9" t="s">
        <v>17006</v>
      </c>
      <c r="E7725" s="10" t="str">
        <f>HYPERLINK("https://twitter.com/thesecretcaddie/status/724320324892893187","724320324892893187")</f>
        <v>724320324892893187</v>
      </c>
      <c r="F7725" s="11" t="s">
        <v>288</v>
      </c>
      <c r="G7725" s="11">
        <v>100</v>
      </c>
      <c r="H7725" s="11">
        <v>5</v>
      </c>
      <c r="I7725" s="11">
        <v>1</v>
      </c>
      <c r="J7725" s="11">
        <v>0</v>
      </c>
      <c r="K7725" s="11" t="s">
        <v>21</v>
      </c>
      <c r="L7725" s="7">
        <v>42300.030821759261</v>
      </c>
      <c r="M7725" s="12" t="s">
        <v>13036</v>
      </c>
      <c r="N7725" s="12" t="s">
        <v>13037</v>
      </c>
      <c r="O7725" s="10" t="str">
        <f>HYPERLINK("https://pbs.twimg.com/profile_images/657274911854055424/lvaVj9jL_normal.jpg","View")</f>
        <v>View</v>
      </c>
      <c r="P7725" s="11"/>
    </row>
    <row r="7726" spans="1:16" ht="12.75" x14ac:dyDescent="0.35">
      <c r="A7726" s="7">
        <v>42485.044340277775</v>
      </c>
      <c r="B7726" s="8" t="str">
        <f>HYPERLINK("https://twitter.com/HeelTo3","@HeelTo3")</f>
        <v>@HeelTo3</v>
      </c>
      <c r="C7726" s="9" t="s">
        <v>17007</v>
      </c>
      <c r="D7726" s="9" t="s">
        <v>17008</v>
      </c>
      <c r="E7726" s="10" t="str">
        <f>HYPERLINK("https://twitter.com/HeelTo3/status/724320466794614784","724320466794614784")</f>
        <v>724320466794614784</v>
      </c>
      <c r="F7726" s="11" t="s">
        <v>68</v>
      </c>
      <c r="G7726" s="11">
        <v>1190</v>
      </c>
      <c r="H7726" s="11">
        <v>168</v>
      </c>
      <c r="I7726" s="11">
        <v>0</v>
      </c>
      <c r="J7726" s="11">
        <v>0</v>
      </c>
      <c r="K7726" s="11" t="s">
        <v>21</v>
      </c>
      <c r="L7726" s="7">
        <v>39791.49590277778</v>
      </c>
      <c r="M7726" s="12" t="s">
        <v>9189</v>
      </c>
      <c r="N7726" s="12" t="s">
        <v>17009</v>
      </c>
      <c r="O7726" s="10" t="str">
        <f>HYPERLINK("https://pbs.twimg.com/profile_images/555481120612315136/U0HzM9IZ_normal.jpeg","View")</f>
        <v>View</v>
      </c>
      <c r="P7726" s="11"/>
    </row>
    <row r="7727" spans="1:16" ht="12.75" x14ac:dyDescent="0.35">
      <c r="A7727" s="7">
        <v>42485.045162037037</v>
      </c>
      <c r="B7727" s="8" t="str">
        <f t="shared" ref="B7727:B7728" si="765">HYPERLINK("https://twitter.com/FennellMarcus","@FennellMarcus")</f>
        <v>@FennellMarcus</v>
      </c>
      <c r="C7727" s="9" t="s">
        <v>12912</v>
      </c>
      <c r="D7727" s="9" t="s">
        <v>16701</v>
      </c>
      <c r="E7727" s="10" t="str">
        <f>HYPERLINK("https://twitter.com/FennellMarcus/status/724320767048056833","724320767048056833")</f>
        <v>724320767048056833</v>
      </c>
      <c r="F7727" s="11" t="s">
        <v>20</v>
      </c>
      <c r="G7727" s="11">
        <v>1886</v>
      </c>
      <c r="H7727" s="11">
        <v>2061</v>
      </c>
      <c r="I7727" s="11">
        <v>2</v>
      </c>
      <c r="J7727" s="11">
        <v>0</v>
      </c>
      <c r="K7727" s="11" t="s">
        <v>21</v>
      </c>
      <c r="L7727" s="7">
        <v>40873.95621527778</v>
      </c>
      <c r="M7727" s="12" t="s">
        <v>12913</v>
      </c>
      <c r="N7727" s="12" t="s">
        <v>12914</v>
      </c>
      <c r="O7727" s="10" t="str">
        <f t="shared" ref="O7727:O7728" si="766">HYPERLINK("https://pbs.twimg.com/profile_images/689135486544293889/vPAeUEzo_normal.jpg","View")</f>
        <v>View</v>
      </c>
      <c r="P7727" s="11"/>
    </row>
    <row r="7728" spans="1:16" ht="12.75" x14ac:dyDescent="0.35">
      <c r="A7728" s="7">
        <v>42485.045289351852</v>
      </c>
      <c r="B7728" s="8" t="str">
        <f t="shared" si="765"/>
        <v>@FennellMarcus</v>
      </c>
      <c r="C7728" s="9" t="s">
        <v>12912</v>
      </c>
      <c r="D7728" s="9" t="s">
        <v>17010</v>
      </c>
      <c r="E7728" s="10" t="str">
        <f>HYPERLINK("https://twitter.com/FennellMarcus/status/724320810475855874","724320810475855874")</f>
        <v>724320810475855874</v>
      </c>
      <c r="F7728" s="11" t="s">
        <v>20</v>
      </c>
      <c r="G7728" s="11">
        <v>1886</v>
      </c>
      <c r="H7728" s="11">
        <v>2061</v>
      </c>
      <c r="I7728" s="11">
        <v>1</v>
      </c>
      <c r="J7728" s="11">
        <v>0</v>
      </c>
      <c r="K7728" s="11" t="s">
        <v>21</v>
      </c>
      <c r="L7728" s="7">
        <v>40873.95621527778</v>
      </c>
      <c r="M7728" s="12" t="s">
        <v>12913</v>
      </c>
      <c r="N7728" s="12" t="s">
        <v>12914</v>
      </c>
      <c r="O7728" s="10" t="str">
        <f t="shared" si="766"/>
        <v>View</v>
      </c>
      <c r="P7728" s="11"/>
    </row>
    <row r="7729" spans="1:16" ht="12.75" x14ac:dyDescent="0.35">
      <c r="A7729" s="7">
        <v>42485.046458333338</v>
      </c>
      <c r="B7729" s="8" t="str">
        <f>HYPERLINK("https://twitter.com/Rosenow","@Rosenow")</f>
        <v>@Rosenow</v>
      </c>
      <c r="C7729" s="9" t="s">
        <v>17011</v>
      </c>
      <c r="D7729" s="9" t="s">
        <v>17012</v>
      </c>
      <c r="E7729" s="10" t="str">
        <f>HYPERLINK("https://twitter.com/Rosenow/status/724321235547623425","724321235547623425")</f>
        <v>724321235547623425</v>
      </c>
      <c r="F7729" s="11" t="s">
        <v>114</v>
      </c>
      <c r="G7729" s="11">
        <v>767</v>
      </c>
      <c r="H7729" s="11">
        <v>2161</v>
      </c>
      <c r="I7729" s="11">
        <v>0</v>
      </c>
      <c r="J7729" s="11">
        <v>0</v>
      </c>
      <c r="K7729" s="11" t="s">
        <v>21</v>
      </c>
      <c r="L7729" s="7">
        <v>39884.915289351848</v>
      </c>
      <c r="M7729" s="12" t="s">
        <v>6070</v>
      </c>
      <c r="N7729" s="12" t="s">
        <v>17013</v>
      </c>
      <c r="O7729" s="10" t="str">
        <f>HYPERLINK("https://pbs.twimg.com/profile_images/254756335/Head_normal.jpg","View")</f>
        <v>View</v>
      </c>
      <c r="P7729" s="11"/>
    </row>
    <row r="7730" spans="1:16" ht="12.75" x14ac:dyDescent="0.35">
      <c r="A7730" s="7">
        <v>42485.04686342593</v>
      </c>
      <c r="B7730" s="8" t="str">
        <f t="shared" ref="B7730:B7735" si="767">HYPERLINK("https://twitter.com/beetlebug1938","@beetlebug1938")</f>
        <v>@beetlebug1938</v>
      </c>
      <c r="C7730" s="9" t="s">
        <v>66</v>
      </c>
      <c r="D7730" s="9" t="s">
        <v>17014</v>
      </c>
      <c r="E7730" s="10" t="str">
        <f>HYPERLINK("https://twitter.com/beetlebug1938/status/724321380657946624","724321380657946624")</f>
        <v>724321380657946624</v>
      </c>
      <c r="F7730" s="11" t="s">
        <v>68</v>
      </c>
      <c r="G7730" s="11">
        <v>385</v>
      </c>
      <c r="H7730" s="11">
        <v>2328</v>
      </c>
      <c r="I7730" s="11">
        <v>0</v>
      </c>
      <c r="J7730" s="11">
        <v>0</v>
      </c>
      <c r="K7730" s="11" t="s">
        <v>21</v>
      </c>
      <c r="L7730" s="7">
        <v>42469.863865740743</v>
      </c>
      <c r="M7730" s="12" t="s">
        <v>69</v>
      </c>
      <c r="N7730" s="12"/>
      <c r="O7730" s="10" t="str">
        <f t="shared" ref="O7730:O7735" si="768">HYPERLINK("https://pbs.twimg.com/profile_images/718820712757215233/LXXndPTS_normal.jpg","View")</f>
        <v>View</v>
      </c>
      <c r="P7730" s="11"/>
    </row>
    <row r="7731" spans="1:16" ht="12.75" x14ac:dyDescent="0.35">
      <c r="A7731" s="7">
        <v>42485.046875</v>
      </c>
      <c r="B7731" s="8" t="str">
        <f t="shared" si="767"/>
        <v>@beetlebug1938</v>
      </c>
      <c r="C7731" s="9" t="s">
        <v>66</v>
      </c>
      <c r="D7731" s="9" t="s">
        <v>17015</v>
      </c>
      <c r="E7731" s="10" t="str">
        <f>HYPERLINK("https://twitter.com/beetlebug1938/status/724321387993792513","724321387993792513")</f>
        <v>724321387993792513</v>
      </c>
      <c r="F7731" s="11" t="s">
        <v>68</v>
      </c>
      <c r="G7731" s="11">
        <v>385</v>
      </c>
      <c r="H7731" s="11">
        <v>2328</v>
      </c>
      <c r="I7731" s="11">
        <v>0</v>
      </c>
      <c r="J7731" s="11">
        <v>0</v>
      </c>
      <c r="K7731" s="11" t="s">
        <v>21</v>
      </c>
      <c r="L7731" s="7">
        <v>42469.863865740743</v>
      </c>
      <c r="M7731" s="12" t="s">
        <v>69</v>
      </c>
      <c r="N7731" s="12"/>
      <c r="O7731" s="10" t="str">
        <f t="shared" si="768"/>
        <v>View</v>
      </c>
      <c r="P7731" s="11"/>
    </row>
    <row r="7732" spans="1:16" ht="12.75" x14ac:dyDescent="0.35">
      <c r="A7732" s="7">
        <v>42485.046898148154</v>
      </c>
      <c r="B7732" s="8" t="str">
        <f t="shared" si="767"/>
        <v>@beetlebug1938</v>
      </c>
      <c r="C7732" s="9" t="s">
        <v>66</v>
      </c>
      <c r="D7732" s="9" t="s">
        <v>17016</v>
      </c>
      <c r="E7732" s="10" t="str">
        <f>HYPERLINK("https://twitter.com/beetlebug1938/status/724321397011558400","724321397011558400")</f>
        <v>724321397011558400</v>
      </c>
      <c r="F7732" s="11" t="s">
        <v>68</v>
      </c>
      <c r="G7732" s="11">
        <v>385</v>
      </c>
      <c r="H7732" s="11">
        <v>2328</v>
      </c>
      <c r="I7732" s="11">
        <v>0</v>
      </c>
      <c r="J7732" s="11">
        <v>0</v>
      </c>
      <c r="K7732" s="11" t="s">
        <v>21</v>
      </c>
      <c r="L7732" s="7">
        <v>42469.863865740743</v>
      </c>
      <c r="M7732" s="12" t="s">
        <v>69</v>
      </c>
      <c r="N7732" s="12"/>
      <c r="O7732" s="10" t="str">
        <f t="shared" si="768"/>
        <v>View</v>
      </c>
      <c r="P7732" s="11"/>
    </row>
    <row r="7733" spans="1:16" ht="12.75" x14ac:dyDescent="0.35">
      <c r="A7733" s="7">
        <v>42485.046944444446</v>
      </c>
      <c r="B7733" s="8" t="str">
        <f t="shared" si="767"/>
        <v>@beetlebug1938</v>
      </c>
      <c r="C7733" s="9" t="s">
        <v>66</v>
      </c>
      <c r="D7733" s="9" t="s">
        <v>17017</v>
      </c>
      <c r="E7733" s="10" t="str">
        <f>HYPERLINK("https://twitter.com/beetlebug1938/status/724321409875480578","724321409875480578")</f>
        <v>724321409875480578</v>
      </c>
      <c r="F7733" s="11" t="s">
        <v>68</v>
      </c>
      <c r="G7733" s="11">
        <v>385</v>
      </c>
      <c r="H7733" s="11">
        <v>2328</v>
      </c>
      <c r="I7733" s="11">
        <v>0</v>
      </c>
      <c r="J7733" s="11">
        <v>0</v>
      </c>
      <c r="K7733" s="11" t="s">
        <v>21</v>
      </c>
      <c r="L7733" s="7">
        <v>42469.863865740743</v>
      </c>
      <c r="M7733" s="12" t="s">
        <v>69</v>
      </c>
      <c r="N7733" s="12"/>
      <c r="O7733" s="10" t="str">
        <f t="shared" si="768"/>
        <v>View</v>
      </c>
      <c r="P7733" s="11"/>
    </row>
    <row r="7734" spans="1:16" ht="12.75" x14ac:dyDescent="0.35">
      <c r="A7734" s="7">
        <v>42485.046967592592</v>
      </c>
      <c r="B7734" s="8" t="str">
        <f t="shared" si="767"/>
        <v>@beetlebug1938</v>
      </c>
      <c r="C7734" s="9" t="s">
        <v>66</v>
      </c>
      <c r="D7734" s="9" t="s">
        <v>17018</v>
      </c>
      <c r="E7734" s="10" t="str">
        <f>HYPERLINK("https://twitter.com/beetlebug1938/status/724321419690139652","724321419690139652")</f>
        <v>724321419690139652</v>
      </c>
      <c r="F7734" s="11" t="s">
        <v>68</v>
      </c>
      <c r="G7734" s="11">
        <v>385</v>
      </c>
      <c r="H7734" s="11">
        <v>2328</v>
      </c>
      <c r="I7734" s="11">
        <v>0</v>
      </c>
      <c r="J7734" s="11">
        <v>0</v>
      </c>
      <c r="K7734" s="11" t="s">
        <v>21</v>
      </c>
      <c r="L7734" s="7">
        <v>42469.863865740743</v>
      </c>
      <c r="M7734" s="12" t="s">
        <v>69</v>
      </c>
      <c r="N7734" s="12"/>
      <c r="O7734" s="10" t="str">
        <f t="shared" si="768"/>
        <v>View</v>
      </c>
      <c r="P7734" s="11"/>
    </row>
    <row r="7735" spans="1:16" ht="12.75" x14ac:dyDescent="0.35">
      <c r="A7735" s="7">
        <v>42485.046990740739</v>
      </c>
      <c r="B7735" s="8" t="str">
        <f t="shared" si="767"/>
        <v>@beetlebug1938</v>
      </c>
      <c r="C7735" s="9" t="s">
        <v>66</v>
      </c>
      <c r="D7735" s="9" t="s">
        <v>17019</v>
      </c>
      <c r="E7735" s="10" t="str">
        <f>HYPERLINK("https://twitter.com/beetlebug1938/status/724321430230450176","724321430230450176")</f>
        <v>724321430230450176</v>
      </c>
      <c r="F7735" s="11" t="s">
        <v>68</v>
      </c>
      <c r="G7735" s="11">
        <v>385</v>
      </c>
      <c r="H7735" s="11">
        <v>2328</v>
      </c>
      <c r="I7735" s="11">
        <v>0</v>
      </c>
      <c r="J7735" s="11">
        <v>0</v>
      </c>
      <c r="K7735" s="11" t="s">
        <v>21</v>
      </c>
      <c r="L7735" s="7">
        <v>42469.863865740743</v>
      </c>
      <c r="M7735" s="12" t="s">
        <v>69</v>
      </c>
      <c r="N7735" s="12"/>
      <c r="O7735" s="10" t="str">
        <f t="shared" si="768"/>
        <v>View</v>
      </c>
      <c r="P7735" s="11"/>
    </row>
    <row r="7736" spans="1:16" ht="12.75" x14ac:dyDescent="0.35">
      <c r="A7736" s="7">
        <v>42485.047546296293</v>
      </c>
      <c r="B7736" s="8" t="str">
        <f t="shared" ref="B7736:B7741" si="769">HYPERLINK("https://twitter.com/dubbusses","@dubbusses")</f>
        <v>@dubbusses</v>
      </c>
      <c r="C7736" s="9" t="s">
        <v>14338</v>
      </c>
      <c r="D7736" s="9" t="s">
        <v>17020</v>
      </c>
      <c r="E7736" s="10" t="str">
        <f>HYPERLINK("https://twitter.com/dubbusses/status/724321628113481728","724321628113481728")</f>
        <v>724321628113481728</v>
      </c>
      <c r="F7736" s="11" t="s">
        <v>68</v>
      </c>
      <c r="G7736" s="11">
        <v>481</v>
      </c>
      <c r="H7736" s="11">
        <v>2817</v>
      </c>
      <c r="I7736" s="11">
        <v>0</v>
      </c>
      <c r="J7736" s="11">
        <v>0</v>
      </c>
      <c r="K7736" s="11" t="s">
        <v>21</v>
      </c>
      <c r="L7736" s="7">
        <v>42469.905393518522</v>
      </c>
      <c r="M7736" s="12" t="s">
        <v>14340</v>
      </c>
      <c r="N7736" s="12"/>
      <c r="O7736" s="10" t="str">
        <f t="shared" ref="O7736:O7741" si="770">HYPERLINK("https://pbs.twimg.com/profile_images/718835727027580928/1ssyQ67y_normal.jpg","View")</f>
        <v>View</v>
      </c>
      <c r="P7736" s="11"/>
    </row>
    <row r="7737" spans="1:16" ht="12.75" x14ac:dyDescent="0.35">
      <c r="A7737" s="7">
        <v>42485.047592592593</v>
      </c>
      <c r="B7737" s="8" t="str">
        <f t="shared" si="769"/>
        <v>@dubbusses</v>
      </c>
      <c r="C7737" s="9" t="s">
        <v>14338</v>
      </c>
      <c r="D7737" s="9" t="s">
        <v>17021</v>
      </c>
      <c r="E7737" s="10" t="str">
        <f>HYPERLINK("https://twitter.com/dubbusses/status/724321647935782913","724321647935782913")</f>
        <v>724321647935782913</v>
      </c>
      <c r="F7737" s="11" t="s">
        <v>68</v>
      </c>
      <c r="G7737" s="11">
        <v>481</v>
      </c>
      <c r="H7737" s="11">
        <v>2817</v>
      </c>
      <c r="I7737" s="11">
        <v>0</v>
      </c>
      <c r="J7737" s="11">
        <v>0</v>
      </c>
      <c r="K7737" s="11" t="s">
        <v>21</v>
      </c>
      <c r="L7737" s="7">
        <v>42469.905393518522</v>
      </c>
      <c r="M7737" s="12" t="s">
        <v>14340</v>
      </c>
      <c r="N7737" s="12"/>
      <c r="O7737" s="10" t="str">
        <f t="shared" si="770"/>
        <v>View</v>
      </c>
      <c r="P7737" s="11"/>
    </row>
    <row r="7738" spans="1:16" ht="12.75" x14ac:dyDescent="0.35">
      <c r="A7738" s="7">
        <v>42485.047638888893</v>
      </c>
      <c r="B7738" s="8" t="str">
        <f t="shared" si="769"/>
        <v>@dubbusses</v>
      </c>
      <c r="C7738" s="9" t="s">
        <v>14338</v>
      </c>
      <c r="D7738" s="9" t="s">
        <v>17022</v>
      </c>
      <c r="E7738" s="10" t="str">
        <f>HYPERLINK("https://twitter.com/dubbusses/status/724321662750085121","724321662750085121")</f>
        <v>724321662750085121</v>
      </c>
      <c r="F7738" s="11" t="s">
        <v>68</v>
      </c>
      <c r="G7738" s="11">
        <v>481</v>
      </c>
      <c r="H7738" s="11">
        <v>2817</v>
      </c>
      <c r="I7738" s="11">
        <v>0</v>
      </c>
      <c r="J7738" s="11">
        <v>0</v>
      </c>
      <c r="K7738" s="11" t="s">
        <v>21</v>
      </c>
      <c r="L7738" s="7">
        <v>42469.905393518522</v>
      </c>
      <c r="M7738" s="12" t="s">
        <v>14340</v>
      </c>
      <c r="N7738" s="12"/>
      <c r="O7738" s="10" t="str">
        <f t="shared" si="770"/>
        <v>View</v>
      </c>
      <c r="P7738" s="11"/>
    </row>
    <row r="7739" spans="1:16" ht="12.75" x14ac:dyDescent="0.35">
      <c r="A7739" s="7">
        <v>42485.047662037032</v>
      </c>
      <c r="B7739" s="8" t="str">
        <f t="shared" si="769"/>
        <v>@dubbusses</v>
      </c>
      <c r="C7739" s="9" t="s">
        <v>14338</v>
      </c>
      <c r="D7739" s="9" t="s">
        <v>17023</v>
      </c>
      <c r="E7739" s="10" t="str">
        <f>HYPERLINK("https://twitter.com/dubbusses/status/724321671973212164","724321671973212164")</f>
        <v>724321671973212164</v>
      </c>
      <c r="F7739" s="11" t="s">
        <v>68</v>
      </c>
      <c r="G7739" s="11">
        <v>481</v>
      </c>
      <c r="H7739" s="11">
        <v>2817</v>
      </c>
      <c r="I7739" s="11">
        <v>0</v>
      </c>
      <c r="J7739" s="11">
        <v>0</v>
      </c>
      <c r="K7739" s="11" t="s">
        <v>21</v>
      </c>
      <c r="L7739" s="7">
        <v>42469.905393518522</v>
      </c>
      <c r="M7739" s="12" t="s">
        <v>14340</v>
      </c>
      <c r="N7739" s="12"/>
      <c r="O7739" s="10" t="str">
        <f t="shared" si="770"/>
        <v>View</v>
      </c>
      <c r="P7739" s="11"/>
    </row>
    <row r="7740" spans="1:16" ht="12.75" x14ac:dyDescent="0.35">
      <c r="A7740" s="7">
        <v>42485.047673611116</v>
      </c>
      <c r="B7740" s="8" t="str">
        <f t="shared" si="769"/>
        <v>@dubbusses</v>
      </c>
      <c r="C7740" s="9" t="s">
        <v>14338</v>
      </c>
      <c r="D7740" s="9" t="s">
        <v>17024</v>
      </c>
      <c r="E7740" s="10" t="str">
        <f>HYPERLINK("https://twitter.com/dubbusses/status/724321675882446848","724321675882446848")</f>
        <v>724321675882446848</v>
      </c>
      <c r="F7740" s="11" t="s">
        <v>68</v>
      </c>
      <c r="G7740" s="11">
        <v>481</v>
      </c>
      <c r="H7740" s="11">
        <v>2817</v>
      </c>
      <c r="I7740" s="11">
        <v>0</v>
      </c>
      <c r="J7740" s="11">
        <v>0</v>
      </c>
      <c r="K7740" s="11" t="s">
        <v>21</v>
      </c>
      <c r="L7740" s="7">
        <v>42469.905393518522</v>
      </c>
      <c r="M7740" s="12" t="s">
        <v>14340</v>
      </c>
      <c r="N7740" s="12"/>
      <c r="O7740" s="10" t="str">
        <f t="shared" si="770"/>
        <v>View</v>
      </c>
      <c r="P7740" s="11"/>
    </row>
    <row r="7741" spans="1:16" ht="12.75" x14ac:dyDescent="0.35">
      <c r="A7741" s="7">
        <v>42485.047685185185</v>
      </c>
      <c r="B7741" s="8" t="str">
        <f t="shared" si="769"/>
        <v>@dubbusses</v>
      </c>
      <c r="C7741" s="9" t="s">
        <v>14338</v>
      </c>
      <c r="D7741" s="9" t="s">
        <v>17025</v>
      </c>
      <c r="E7741" s="10" t="str">
        <f>HYPERLINK("https://twitter.com/dubbusses/status/724321679485353984","724321679485353984")</f>
        <v>724321679485353984</v>
      </c>
      <c r="F7741" s="11" t="s">
        <v>68</v>
      </c>
      <c r="G7741" s="11">
        <v>481</v>
      </c>
      <c r="H7741" s="11">
        <v>2817</v>
      </c>
      <c r="I7741" s="11">
        <v>0</v>
      </c>
      <c r="J7741" s="11">
        <v>0</v>
      </c>
      <c r="K7741" s="11" t="s">
        <v>21</v>
      </c>
      <c r="L7741" s="7">
        <v>42469.905393518522</v>
      </c>
      <c r="M7741" s="12" t="s">
        <v>14340</v>
      </c>
      <c r="N7741" s="12"/>
      <c r="O7741" s="10" t="str">
        <f t="shared" si="770"/>
        <v>View</v>
      </c>
      <c r="P7741" s="11"/>
    </row>
    <row r="7742" spans="1:16" ht="12.75" x14ac:dyDescent="0.35">
      <c r="A7742" s="7">
        <v>42485.048020833332</v>
      </c>
      <c r="B7742" s="8" t="str">
        <f>HYPERLINK("https://twitter.com/VWCamperSales","@VWCamperSales")</f>
        <v>@VWCamperSales</v>
      </c>
      <c r="C7742" s="9" t="s">
        <v>216</v>
      </c>
      <c r="D7742" s="9" t="s">
        <v>17026</v>
      </c>
      <c r="E7742" s="10" t="str">
        <f>HYPERLINK("https://twitter.com/VWCamperSales/status/724321803393372160","724321803393372160")</f>
        <v>724321803393372160</v>
      </c>
      <c r="F7742" s="10" t="s">
        <v>124</v>
      </c>
      <c r="G7742" s="11">
        <v>626</v>
      </c>
      <c r="H7742" s="11">
        <v>579</v>
      </c>
      <c r="I7742" s="11">
        <v>0</v>
      </c>
      <c r="J7742" s="11">
        <v>0</v>
      </c>
      <c r="K7742" s="11" t="s">
        <v>21</v>
      </c>
      <c r="L7742" s="7">
        <v>42215.98809027778</v>
      </c>
      <c r="M7742" s="12" t="s">
        <v>129</v>
      </c>
      <c r="N7742" s="12" t="s">
        <v>218</v>
      </c>
      <c r="O7742" s="10" t="str">
        <f>HYPERLINK("https://pbs.twimg.com/profile_images/627949001179037696/skEBkS05_normal.jpg","View")</f>
        <v>View</v>
      </c>
      <c r="P7742" s="11"/>
    </row>
    <row r="7743" spans="1:16" ht="12.75" x14ac:dyDescent="0.35">
      <c r="A7743" s="7">
        <v>42485.051875000005</v>
      </c>
      <c r="B7743" s="8" t="str">
        <f t="shared" ref="B7743:B7745" si="771">HYPERLINK("https://twitter.com/Mphilpot1","@Mphilpot1")</f>
        <v>@Mphilpot1</v>
      </c>
      <c r="C7743" s="9" t="s">
        <v>1280</v>
      </c>
      <c r="D7743" s="9" t="s">
        <v>17027</v>
      </c>
      <c r="E7743" s="10" t="str">
        <f>HYPERLINK("https://twitter.com/Mphilpot1/status/724323198645342209","724323198645342209")</f>
        <v>724323198645342209</v>
      </c>
      <c r="F7743" s="11" t="s">
        <v>34</v>
      </c>
      <c r="G7743" s="11">
        <v>115</v>
      </c>
      <c r="H7743" s="11">
        <v>141</v>
      </c>
      <c r="I7743" s="11">
        <v>0</v>
      </c>
      <c r="J7743" s="11">
        <v>0</v>
      </c>
      <c r="K7743" s="11" t="s">
        <v>21</v>
      </c>
      <c r="L7743" s="7">
        <v>41137.855208333334</v>
      </c>
      <c r="M7743" s="12"/>
      <c r="N7743" s="12"/>
      <c r="O7743" s="10" t="str">
        <f t="shared" ref="O7743:O7745" si="772">HYPERLINK("https://pbs.twimg.com/profile_images/422164778639839234/LVnS1q1c_normal.jpeg","View")</f>
        <v>View</v>
      </c>
      <c r="P7743" s="11"/>
    </row>
    <row r="7744" spans="1:16" ht="12.75" x14ac:dyDescent="0.35">
      <c r="A7744" s="7">
        <v>42485.051875000005</v>
      </c>
      <c r="B7744" s="8" t="str">
        <f t="shared" si="771"/>
        <v>@Mphilpot1</v>
      </c>
      <c r="C7744" s="9" t="s">
        <v>1280</v>
      </c>
      <c r="D7744" s="9" t="s">
        <v>17028</v>
      </c>
      <c r="E7744" s="10" t="str">
        <f>HYPERLINK("https://twitter.com/Mphilpot1/status/724323199555530752","724323199555530752")</f>
        <v>724323199555530752</v>
      </c>
      <c r="F7744" s="11" t="s">
        <v>34</v>
      </c>
      <c r="G7744" s="11">
        <v>115</v>
      </c>
      <c r="H7744" s="11">
        <v>141</v>
      </c>
      <c r="I7744" s="11">
        <v>0</v>
      </c>
      <c r="J7744" s="11">
        <v>0</v>
      </c>
      <c r="K7744" s="11" t="s">
        <v>21</v>
      </c>
      <c r="L7744" s="7">
        <v>41137.855208333334</v>
      </c>
      <c r="M7744" s="12"/>
      <c r="N7744" s="12"/>
      <c r="O7744" s="10" t="str">
        <f t="shared" si="772"/>
        <v>View</v>
      </c>
      <c r="P7744" s="11"/>
    </row>
    <row r="7745" spans="1:16" ht="12.75" x14ac:dyDescent="0.35">
      <c r="A7745" s="7">
        <v>42485.051875000005</v>
      </c>
      <c r="B7745" s="8" t="str">
        <f t="shared" si="771"/>
        <v>@Mphilpot1</v>
      </c>
      <c r="C7745" s="9" t="s">
        <v>1280</v>
      </c>
      <c r="D7745" s="9" t="s">
        <v>17029</v>
      </c>
      <c r="E7745" s="10" t="str">
        <f>HYPERLINK("https://twitter.com/Mphilpot1/status/724323200239169536","724323200239169536")</f>
        <v>724323200239169536</v>
      </c>
      <c r="F7745" s="11" t="s">
        <v>34</v>
      </c>
      <c r="G7745" s="11">
        <v>115</v>
      </c>
      <c r="H7745" s="11">
        <v>141</v>
      </c>
      <c r="I7745" s="11">
        <v>0</v>
      </c>
      <c r="J7745" s="11">
        <v>0</v>
      </c>
      <c r="K7745" s="11" t="s">
        <v>21</v>
      </c>
      <c r="L7745" s="7">
        <v>41137.855208333334</v>
      </c>
      <c r="M7745" s="12"/>
      <c r="N7745" s="12"/>
      <c r="O7745" s="10" t="str">
        <f t="shared" si="772"/>
        <v>View</v>
      </c>
      <c r="P7745" s="11"/>
    </row>
    <row r="7746" spans="1:16" ht="12.75" x14ac:dyDescent="0.35">
      <c r="A7746" s="7">
        <v>42485.052881944444</v>
      </c>
      <c r="B7746" s="8" t="str">
        <f>HYPERLINK("https://twitter.com/Yellow_Car_Shop","@Yellow_Car_Shop")</f>
        <v>@Yellow_Car_Shop</v>
      </c>
      <c r="C7746" s="9" t="s">
        <v>14795</v>
      </c>
      <c r="D7746" s="9" t="s">
        <v>17030</v>
      </c>
      <c r="E7746" s="10" t="str">
        <f>HYPERLINK("https://twitter.com/Yellow_Car_Shop/status/724323565319888903","724323565319888903")</f>
        <v>724323565319888903</v>
      </c>
      <c r="F7746" s="11" t="s">
        <v>80</v>
      </c>
      <c r="G7746" s="11">
        <v>752</v>
      </c>
      <c r="H7746" s="11">
        <v>1340</v>
      </c>
      <c r="I7746" s="11">
        <v>0</v>
      </c>
      <c r="J7746" s="11">
        <v>0</v>
      </c>
      <c r="K7746" s="11" t="s">
        <v>21</v>
      </c>
      <c r="L7746" s="7">
        <v>41352.714780092589</v>
      </c>
      <c r="M7746" s="12" t="s">
        <v>14797</v>
      </c>
      <c r="N7746" s="12" t="s">
        <v>14798</v>
      </c>
      <c r="O7746" s="10" t="str">
        <f>HYPERLINK("https://pbs.twimg.com/profile_images/696469407200059395/ymFpE9mj_normal.jpg","View")</f>
        <v>View</v>
      </c>
      <c r="P7746" s="11"/>
    </row>
    <row r="7747" spans="1:16" ht="12.75" x14ac:dyDescent="0.35">
      <c r="A7747" s="7">
        <v>42485.054247685184</v>
      </c>
      <c r="B7747" s="8" t="str">
        <f>HYPERLINK("https://twitter.com/beadstormdesign","@beadstormdesign")</f>
        <v>@beadstormdesign</v>
      </c>
      <c r="C7747" s="9" t="s">
        <v>17031</v>
      </c>
      <c r="D7747" s="9" t="s">
        <v>17032</v>
      </c>
      <c r="E7747" s="10" t="str">
        <f>HYPERLINK("https://twitter.com/beadstormdesign/status/724324058154819584","724324058154819584")</f>
        <v>724324058154819584</v>
      </c>
      <c r="F7747" s="11" t="s">
        <v>48</v>
      </c>
      <c r="G7747" s="11">
        <v>378</v>
      </c>
      <c r="H7747" s="11">
        <v>528</v>
      </c>
      <c r="I7747" s="11">
        <v>1</v>
      </c>
      <c r="J7747" s="11">
        <v>2</v>
      </c>
      <c r="K7747" s="11" t="s">
        <v>21</v>
      </c>
      <c r="L7747" s="7">
        <v>42086.673171296294</v>
      </c>
      <c r="M7747" s="12" t="s">
        <v>17033</v>
      </c>
      <c r="N7747" s="12" t="s">
        <v>17034</v>
      </c>
      <c r="O7747" s="10" t="str">
        <f>HYPERLINK("https://pbs.twimg.com/profile_images/657481901180133376/Un2dlh2n_normal.jpg","View")</f>
        <v>View</v>
      </c>
      <c r="P7747" s="11"/>
    </row>
    <row r="7748" spans="1:16" ht="12.75" x14ac:dyDescent="0.35">
      <c r="A7748" s="7">
        <v>42485.054918981477</v>
      </c>
      <c r="B7748" s="8" t="str">
        <f>HYPERLINK("https://twitter.com/francodonelli","@francodonelli")</f>
        <v>@francodonelli</v>
      </c>
      <c r="C7748" s="9" t="s">
        <v>17035</v>
      </c>
      <c r="D7748" s="9" t="s">
        <v>17036</v>
      </c>
      <c r="E7748" s="10" t="str">
        <f>HYPERLINK("https://twitter.com/francodonelli/status/724324301583863808","724324301583863808")</f>
        <v>724324301583863808</v>
      </c>
      <c r="F7748" s="11" t="s">
        <v>114</v>
      </c>
      <c r="G7748" s="11">
        <v>161</v>
      </c>
      <c r="H7748" s="11">
        <v>699</v>
      </c>
      <c r="I7748" s="11">
        <v>0</v>
      </c>
      <c r="J7748" s="11">
        <v>0</v>
      </c>
      <c r="K7748" s="11" t="s">
        <v>21</v>
      </c>
      <c r="L7748" s="7">
        <v>41199.898715277777</v>
      </c>
      <c r="M7748" s="12"/>
      <c r="N7748" s="12"/>
      <c r="O7748" s="10" t="str">
        <f>HYPERLINK("https://pbs.twimg.com/profile_images/702710715556229121/I8xXaX4Q_normal.jpg","View")</f>
        <v>View</v>
      </c>
      <c r="P7748" s="11"/>
    </row>
    <row r="7749" spans="1:16" ht="12.75" x14ac:dyDescent="0.35">
      <c r="A7749" s="7">
        <v>42485.056030092594</v>
      </c>
      <c r="B7749" s="8" t="str">
        <f>HYPERLINK("https://twitter.com/CARLOSATOLOSA","@CARLOSATOLOSA")</f>
        <v>@CARLOSATOLOSA</v>
      </c>
      <c r="C7749" s="9" t="s">
        <v>17037</v>
      </c>
      <c r="D7749" s="9" t="s">
        <v>17038</v>
      </c>
      <c r="E7749" s="10" t="str">
        <f>HYPERLINK("https://twitter.com/CARLOSATOLOSA/status/724324705965084674","724324705965084674")</f>
        <v>724324705965084674</v>
      </c>
      <c r="F7749" s="11" t="s">
        <v>20</v>
      </c>
      <c r="G7749" s="11">
        <v>355</v>
      </c>
      <c r="H7749" s="11">
        <v>311</v>
      </c>
      <c r="I7749" s="11">
        <v>0</v>
      </c>
      <c r="J7749" s="11">
        <v>0</v>
      </c>
      <c r="K7749" s="11" t="s">
        <v>21</v>
      </c>
      <c r="L7749" s="7">
        <v>40426.212974537033</v>
      </c>
      <c r="M7749" s="12" t="s">
        <v>866</v>
      </c>
      <c r="N7749" s="12" t="s">
        <v>17039</v>
      </c>
      <c r="O7749" s="10" t="str">
        <f>HYPERLINK("https://pbs.twimg.com/profile_images/557545389797421057/MluIzFgl_normal.jpeg","View")</f>
        <v>View</v>
      </c>
      <c r="P7749" s="11"/>
    </row>
    <row r="7750" spans="1:16" ht="12.75" x14ac:dyDescent="0.35">
      <c r="A7750" s="7">
        <v>42485.05631944444</v>
      </c>
      <c r="B7750" s="8" t="str">
        <f t="shared" ref="B7750:B7751" si="773">HYPERLINK("https://twitter.com/VWBeetleSales","@VWBeetleSales")</f>
        <v>@VWBeetleSales</v>
      </c>
      <c r="C7750" s="9" t="s">
        <v>127</v>
      </c>
      <c r="D7750" s="9" t="s">
        <v>17040</v>
      </c>
      <c r="E7750" s="10" t="str">
        <f>HYPERLINK("https://twitter.com/VWBeetleSales/status/724324807966224385","724324807966224385")</f>
        <v>724324807966224385</v>
      </c>
      <c r="F7750" s="10" t="s">
        <v>124</v>
      </c>
      <c r="G7750" s="11">
        <v>39</v>
      </c>
      <c r="H7750" s="11">
        <v>32</v>
      </c>
      <c r="I7750" s="11">
        <v>0</v>
      </c>
      <c r="J7750" s="11">
        <v>0</v>
      </c>
      <c r="K7750" s="11" t="s">
        <v>21</v>
      </c>
      <c r="L7750" s="7">
        <v>42427.019756944443</v>
      </c>
      <c r="M7750" s="12" t="s">
        <v>129</v>
      </c>
      <c r="N7750" s="12" t="s">
        <v>130</v>
      </c>
      <c r="O7750" s="10" t="str">
        <f t="shared" ref="O7750:O7751" si="774">HYPERLINK("https://pbs.twimg.com/profile_images/703294545195307008/qeCvrX86_normal.jpg","View")</f>
        <v>View</v>
      </c>
      <c r="P7750" s="11"/>
    </row>
    <row r="7751" spans="1:16" ht="12.75" x14ac:dyDescent="0.35">
      <c r="A7751" s="7">
        <v>42485.056331018517</v>
      </c>
      <c r="B7751" s="8" t="str">
        <f t="shared" si="773"/>
        <v>@VWBeetleSales</v>
      </c>
      <c r="C7751" s="9" t="s">
        <v>127</v>
      </c>
      <c r="D7751" s="9" t="s">
        <v>17041</v>
      </c>
      <c r="E7751" s="10" t="str">
        <f>HYPERLINK("https://twitter.com/VWBeetleSales/status/724324814308012032","724324814308012032")</f>
        <v>724324814308012032</v>
      </c>
      <c r="F7751" s="10" t="s">
        <v>124</v>
      </c>
      <c r="G7751" s="11">
        <v>39</v>
      </c>
      <c r="H7751" s="11">
        <v>32</v>
      </c>
      <c r="I7751" s="11">
        <v>0</v>
      </c>
      <c r="J7751" s="11">
        <v>0</v>
      </c>
      <c r="K7751" s="11" t="s">
        <v>21</v>
      </c>
      <c r="L7751" s="7">
        <v>42427.019756944443</v>
      </c>
      <c r="M7751" s="12" t="s">
        <v>129</v>
      </c>
      <c r="N7751" s="12" t="s">
        <v>130</v>
      </c>
      <c r="O7751" s="10" t="str">
        <f t="shared" si="774"/>
        <v>View</v>
      </c>
      <c r="P7751" s="11"/>
    </row>
    <row r="7752" spans="1:16" ht="12.75" x14ac:dyDescent="0.35">
      <c r="A7752" s="7">
        <v>42485.056354166663</v>
      </c>
      <c r="B7752" s="8" t="str">
        <f>HYPERLINK("https://twitter.com/VWCamperSales","@VWCamperSales")</f>
        <v>@VWCamperSales</v>
      </c>
      <c r="C7752" s="9" t="s">
        <v>216</v>
      </c>
      <c r="D7752" s="9" t="s">
        <v>17042</v>
      </c>
      <c r="E7752" s="10" t="str">
        <f>HYPERLINK("https://twitter.com/VWCamperSales/status/724324820909838336","724324820909838336")</f>
        <v>724324820909838336</v>
      </c>
      <c r="F7752" s="10" t="s">
        <v>124</v>
      </c>
      <c r="G7752" s="11">
        <v>626</v>
      </c>
      <c r="H7752" s="11">
        <v>579</v>
      </c>
      <c r="I7752" s="11">
        <v>0</v>
      </c>
      <c r="J7752" s="11">
        <v>0</v>
      </c>
      <c r="K7752" s="11" t="s">
        <v>21</v>
      </c>
      <c r="L7752" s="7">
        <v>42215.98809027778</v>
      </c>
      <c r="M7752" s="12" t="s">
        <v>129</v>
      </c>
      <c r="N7752" s="12" t="s">
        <v>218</v>
      </c>
      <c r="O7752" s="10" t="str">
        <f>HYPERLINK("https://pbs.twimg.com/profile_images/627949001179037696/skEBkS05_normal.jpg","View")</f>
        <v>View</v>
      </c>
      <c r="P7752" s="11"/>
    </row>
    <row r="7753" spans="1:16" ht="12.75" x14ac:dyDescent="0.35">
      <c r="A7753" s="7">
        <v>42485.056597222225</v>
      </c>
      <c r="B7753" s="8" t="str">
        <f>HYPERLINK("https://twitter.com/ebaycampervans","@ebaycampervans")</f>
        <v>@ebaycampervans</v>
      </c>
      <c r="C7753" s="9" t="s">
        <v>682</v>
      </c>
      <c r="D7753" s="9" t="s">
        <v>17043</v>
      </c>
      <c r="E7753" s="10" t="str">
        <f>HYPERLINK("https://twitter.com/ebaycampervans/status/724324910789586944","724324910789586944")</f>
        <v>724324910789586944</v>
      </c>
      <c r="F7753" s="11" t="s">
        <v>34</v>
      </c>
      <c r="G7753" s="11">
        <v>381</v>
      </c>
      <c r="H7753" s="11">
        <v>1002</v>
      </c>
      <c r="I7753" s="11">
        <v>0</v>
      </c>
      <c r="J7753" s="11">
        <v>0</v>
      </c>
      <c r="K7753" s="11" t="s">
        <v>21</v>
      </c>
      <c r="L7753" s="7">
        <v>42140.207604166666</v>
      </c>
      <c r="M7753" s="12"/>
      <c r="N7753" s="12" t="s">
        <v>684</v>
      </c>
      <c r="O7753" s="10" t="str">
        <f>HYPERLINK("https://pbs.twimg.com/profile_images/599357023407464449/BL9Bpo6T_normal.jpg","View")</f>
        <v>View</v>
      </c>
      <c r="P7753" s="11"/>
    </row>
    <row r="7754" spans="1:16" ht="12.75" x14ac:dyDescent="0.35">
      <c r="A7754" s="7">
        <v>42485.057175925926</v>
      </c>
      <c r="B7754" s="8" t="str">
        <f>HYPERLINK("https://twitter.com/CameronGruntman","@CameronGruntman")</f>
        <v>@CameronGruntman</v>
      </c>
      <c r="C7754" s="9" t="s">
        <v>17044</v>
      </c>
      <c r="D7754" s="9" t="s">
        <v>17045</v>
      </c>
      <c r="E7754" s="10" t="str">
        <f>HYPERLINK("https://twitter.com/CameronGruntman/status/724325119900958725","724325119900958725")</f>
        <v>724325119900958725</v>
      </c>
      <c r="F7754" s="11" t="s">
        <v>48</v>
      </c>
      <c r="G7754" s="11">
        <v>409</v>
      </c>
      <c r="H7754" s="11">
        <v>460</v>
      </c>
      <c r="I7754" s="11">
        <v>1</v>
      </c>
      <c r="J7754" s="11">
        <v>0</v>
      </c>
      <c r="K7754" s="11" t="s">
        <v>21</v>
      </c>
      <c r="L7754" s="7">
        <v>40972.219317129631</v>
      </c>
      <c r="M7754" s="12" t="s">
        <v>17046</v>
      </c>
      <c r="N7754" s="12" t="s">
        <v>17047</v>
      </c>
      <c r="O7754" s="10" t="str">
        <f>HYPERLINK("https://pbs.twimg.com/profile_images/693569434494111744/7BLhzYeh_normal.jpg","View")</f>
        <v>View</v>
      </c>
      <c r="P7754" s="11"/>
    </row>
    <row r="7755" spans="1:16" ht="12.75" x14ac:dyDescent="0.35">
      <c r="A7755" s="7">
        <v>42485.057997685188</v>
      </c>
      <c r="B7755" s="8" t="str">
        <f t="shared" ref="B7755:B7756" si="775">HYPERLINK("https://twitter.com/rajesh12june","@rajesh12june")</f>
        <v>@rajesh12june</v>
      </c>
      <c r="C7755" s="9" t="s">
        <v>15582</v>
      </c>
      <c r="D7755" s="9" t="s">
        <v>17048</v>
      </c>
      <c r="E7755" s="10" t="str">
        <f>HYPERLINK("https://twitter.com/rajesh12june/status/724325418975793153","724325418975793153")</f>
        <v>724325418975793153</v>
      </c>
      <c r="F7755" s="11" t="s">
        <v>68</v>
      </c>
      <c r="G7755" s="11">
        <v>159</v>
      </c>
      <c r="H7755" s="11">
        <v>309</v>
      </c>
      <c r="I7755" s="11">
        <v>0</v>
      </c>
      <c r="J7755" s="11">
        <v>0</v>
      </c>
      <c r="K7755" s="11" t="s">
        <v>21</v>
      </c>
      <c r="L7755" s="7">
        <v>39950.496423611112</v>
      </c>
      <c r="M7755" s="12" t="s">
        <v>15584</v>
      </c>
      <c r="N7755" s="12" t="s">
        <v>15585</v>
      </c>
      <c r="O7755" s="10" t="str">
        <f t="shared" ref="O7755:O7756" si="776">HYPERLINK("https://pbs.twimg.com/profile_images/621995740177379328/YJAQstq5_normal.jpg","View")</f>
        <v>View</v>
      </c>
      <c r="P7755" s="11"/>
    </row>
    <row r="7756" spans="1:16" ht="12.75" x14ac:dyDescent="0.35">
      <c r="A7756" s="7">
        <v>42485.058055555557</v>
      </c>
      <c r="B7756" s="8" t="str">
        <f t="shared" si="775"/>
        <v>@rajesh12june</v>
      </c>
      <c r="C7756" s="9" t="s">
        <v>15582</v>
      </c>
      <c r="D7756" s="9" t="s">
        <v>17049</v>
      </c>
      <c r="E7756" s="10" t="str">
        <f>HYPERLINK("https://twitter.com/rajesh12june/status/724325437120385024","724325437120385024")</f>
        <v>724325437120385024</v>
      </c>
      <c r="F7756" s="11" t="s">
        <v>68</v>
      </c>
      <c r="G7756" s="11">
        <v>159</v>
      </c>
      <c r="H7756" s="11">
        <v>309</v>
      </c>
      <c r="I7756" s="11">
        <v>0</v>
      </c>
      <c r="J7756" s="11">
        <v>0</v>
      </c>
      <c r="K7756" s="11" t="s">
        <v>21</v>
      </c>
      <c r="L7756" s="7">
        <v>39950.496423611112</v>
      </c>
      <c r="M7756" s="12" t="s">
        <v>15584</v>
      </c>
      <c r="N7756" s="12" t="s">
        <v>15585</v>
      </c>
      <c r="O7756" s="10" t="str">
        <f t="shared" si="776"/>
        <v>View</v>
      </c>
      <c r="P7756" s="11"/>
    </row>
    <row r="7757" spans="1:16" ht="12.75" x14ac:dyDescent="0.35">
      <c r="A7757" s="7">
        <v>42485.060162037036</v>
      </c>
      <c r="B7757" s="8" t="str">
        <f t="shared" ref="B7757:B7758" si="777">HYPERLINK("https://twitter.com/VeeDubMk1_","@VeeDubMk1_")</f>
        <v>@VeeDubMk1_</v>
      </c>
      <c r="C7757" s="9" t="s">
        <v>185</v>
      </c>
      <c r="D7757" s="9" t="s">
        <v>17050</v>
      </c>
      <c r="E7757" s="10" t="str">
        <f>HYPERLINK("https://twitter.com/VeeDubMk1_/status/724326202148790274","724326202148790274")</f>
        <v>724326202148790274</v>
      </c>
      <c r="F7757" s="11" t="s">
        <v>68</v>
      </c>
      <c r="G7757" s="11">
        <v>553</v>
      </c>
      <c r="H7757" s="11">
        <v>2969</v>
      </c>
      <c r="I7757" s="11">
        <v>0</v>
      </c>
      <c r="J7757" s="11">
        <v>0</v>
      </c>
      <c r="K7757" s="11" t="s">
        <v>21</v>
      </c>
      <c r="L7757" s="7">
        <v>42343.063356481478</v>
      </c>
      <c r="M7757" s="12"/>
      <c r="N7757" s="12"/>
      <c r="O7757" s="10" t="str">
        <f t="shared" ref="O7757:O7758" si="778">HYPERLINK("https://pbs.twimg.com/profile_images/672878354127839232/M7OYc-zx_normal.jpg","View")</f>
        <v>View</v>
      </c>
      <c r="P7757" s="11"/>
    </row>
    <row r="7758" spans="1:16" ht="12.75" x14ac:dyDescent="0.35">
      <c r="A7758" s="7">
        <v>42485.060231481482</v>
      </c>
      <c r="B7758" s="8" t="str">
        <f t="shared" si="777"/>
        <v>@VeeDubMk1_</v>
      </c>
      <c r="C7758" s="9" t="s">
        <v>185</v>
      </c>
      <c r="D7758" s="9" t="s">
        <v>17051</v>
      </c>
      <c r="E7758" s="10" t="str">
        <f>HYPERLINK("https://twitter.com/VeeDubMk1_/status/724326225116815360","724326225116815360")</f>
        <v>724326225116815360</v>
      </c>
      <c r="F7758" s="11" t="s">
        <v>68</v>
      </c>
      <c r="G7758" s="11">
        <v>553</v>
      </c>
      <c r="H7758" s="11">
        <v>2969</v>
      </c>
      <c r="I7758" s="11">
        <v>0</v>
      </c>
      <c r="J7758" s="11">
        <v>0</v>
      </c>
      <c r="K7758" s="11" t="s">
        <v>21</v>
      </c>
      <c r="L7758" s="7">
        <v>42343.063356481478</v>
      </c>
      <c r="M7758" s="12"/>
      <c r="N7758" s="12"/>
      <c r="O7758" s="10" t="str">
        <f t="shared" si="778"/>
        <v>View</v>
      </c>
      <c r="P7758" s="11"/>
    </row>
    <row r="7759" spans="1:16" ht="12.75" x14ac:dyDescent="0.35">
      <c r="A7759" s="7">
        <v>42485.060798611114</v>
      </c>
      <c r="B7759" s="8" t="str">
        <f>HYPERLINK("https://twitter.com/VWCamperSales","@VWCamperSales")</f>
        <v>@VWCamperSales</v>
      </c>
      <c r="C7759" s="9" t="s">
        <v>216</v>
      </c>
      <c r="D7759" s="9" t="s">
        <v>17052</v>
      </c>
      <c r="E7759" s="10" t="str">
        <f>HYPERLINK("https://twitter.com/VWCamperSales/status/724326434290831361","724326434290831361")</f>
        <v>724326434290831361</v>
      </c>
      <c r="F7759" s="10" t="s">
        <v>124</v>
      </c>
      <c r="G7759" s="11">
        <v>626</v>
      </c>
      <c r="H7759" s="11">
        <v>579</v>
      </c>
      <c r="I7759" s="11">
        <v>0</v>
      </c>
      <c r="J7759" s="11">
        <v>0</v>
      </c>
      <c r="K7759" s="11" t="s">
        <v>21</v>
      </c>
      <c r="L7759" s="7">
        <v>42215.98809027778</v>
      </c>
      <c r="M7759" s="12" t="s">
        <v>129</v>
      </c>
      <c r="N7759" s="12" t="s">
        <v>218</v>
      </c>
      <c r="O7759" s="10" t="str">
        <f>HYPERLINK("https://pbs.twimg.com/profile_images/627949001179037696/skEBkS05_normal.jpg","View")</f>
        <v>View</v>
      </c>
      <c r="P7759" s="11"/>
    </row>
    <row r="7760" spans="1:16" ht="12.75" x14ac:dyDescent="0.35">
      <c r="A7760" s="7">
        <v>42485.061574074076</v>
      </c>
      <c r="B7760" s="8" t="str">
        <f>HYPERLINK("https://twitter.com/HR_Nicki","@HR_Nicki")</f>
        <v>@HR_Nicki</v>
      </c>
      <c r="C7760" s="9" t="s">
        <v>17053</v>
      </c>
      <c r="D7760" s="9" t="s">
        <v>17054</v>
      </c>
      <c r="E7760" s="10" t="str">
        <f>HYPERLINK("https://twitter.com/HR_Nicki/status/724326713560322048","724326713560322048")</f>
        <v>724326713560322048</v>
      </c>
      <c r="F7760" s="11" t="s">
        <v>91</v>
      </c>
      <c r="G7760" s="11">
        <v>363</v>
      </c>
      <c r="H7760" s="11">
        <v>501</v>
      </c>
      <c r="I7760" s="11">
        <v>1</v>
      </c>
      <c r="J7760" s="11">
        <v>0</v>
      </c>
      <c r="K7760" s="11" t="s">
        <v>21</v>
      </c>
      <c r="L7760" s="7">
        <v>41343.928703703699</v>
      </c>
      <c r="M7760" s="12" t="s">
        <v>2216</v>
      </c>
      <c r="N7760" s="12" t="s">
        <v>17055</v>
      </c>
      <c r="O7760" s="10" t="str">
        <f>HYPERLINK("https://pbs.twimg.com/profile_images/684698231989776386/GlZdMxZ__normal.jpg","View")</f>
        <v>View</v>
      </c>
      <c r="P7760" s="11"/>
    </row>
    <row r="7761" spans="1:16" ht="12.75" x14ac:dyDescent="0.35">
      <c r="A7761" s="7">
        <v>42485.062106481477</v>
      </c>
      <c r="B7761" s="8" t="str">
        <f>HYPERLINK("https://twitter.com/LimandoElPisoPM","@LimandoElPisoPM")</f>
        <v>@LimandoElPisoPM</v>
      </c>
      <c r="C7761" s="9" t="s">
        <v>6347</v>
      </c>
      <c r="D7761" s="9" t="s">
        <v>17056</v>
      </c>
      <c r="E7761" s="10" t="str">
        <f>HYPERLINK("https://twitter.com/LimandoElPisoPM/status/724326906074652673","724326906074652673")</f>
        <v>724326906074652673</v>
      </c>
      <c r="F7761" s="11" t="s">
        <v>43</v>
      </c>
      <c r="G7761" s="11">
        <v>18285</v>
      </c>
      <c r="H7761" s="11">
        <v>71</v>
      </c>
      <c r="I7761" s="11">
        <v>3</v>
      </c>
      <c r="J7761" s="11">
        <v>0</v>
      </c>
      <c r="K7761" s="11" t="s">
        <v>21</v>
      </c>
      <c r="L7761" s="7">
        <v>41805.919247685189</v>
      </c>
      <c r="M7761" s="12" t="s">
        <v>6349</v>
      </c>
      <c r="N7761" s="12" t="s">
        <v>6350</v>
      </c>
      <c r="O7761" s="10" t="str">
        <f>HYPERLINK("https://pbs.twimg.com/profile_images/710591486228766720/8dYGKdNm_normal.jpg","View")</f>
        <v>View</v>
      </c>
      <c r="P7761" s="11"/>
    </row>
    <row r="7762" spans="1:16" ht="12.75" x14ac:dyDescent="0.35">
      <c r="A7762" s="7">
        <v>42485.062916666662</v>
      </c>
      <c r="B7762" s="8" t="str">
        <f>HYPERLINK("https://twitter.com/Tumberito01","@Tumberito01")</f>
        <v>@Tumberito01</v>
      </c>
      <c r="C7762" s="9" t="s">
        <v>17057</v>
      </c>
      <c r="D7762" s="9" t="s">
        <v>17056</v>
      </c>
      <c r="E7762" s="10" t="str">
        <f>HYPERLINK("https://twitter.com/Tumberito01/status/724327200879710209","724327200879710209")</f>
        <v>724327200879710209</v>
      </c>
      <c r="F7762" s="11" t="s">
        <v>48</v>
      </c>
      <c r="G7762" s="11">
        <v>1071</v>
      </c>
      <c r="H7762" s="11">
        <v>466</v>
      </c>
      <c r="I7762" s="11">
        <v>3</v>
      </c>
      <c r="J7762" s="11">
        <v>0</v>
      </c>
      <c r="K7762" s="11" t="s">
        <v>21</v>
      </c>
      <c r="L7762" s="7">
        <v>40969.067442129628</v>
      </c>
      <c r="M7762" s="12" t="s">
        <v>17058</v>
      </c>
      <c r="N7762" s="12" t="s">
        <v>17059</v>
      </c>
      <c r="O7762" s="10" t="str">
        <f>HYPERLINK("https://pbs.twimg.com/profile_images/705279221048942592/LKMhQOa-_normal.jpg","View")</f>
        <v>View</v>
      </c>
      <c r="P7762" s="11"/>
    </row>
    <row r="7763" spans="1:16" ht="12.75" x14ac:dyDescent="0.35">
      <c r="A7763" s="7">
        <v>42485.063252314816</v>
      </c>
      <c r="B7763" s="8" t="str">
        <f>HYPERLINK("https://twitter.com/SaantiagoCorbal","@SaantiagoCorbal")</f>
        <v>@SaantiagoCorbal</v>
      </c>
      <c r="C7763" s="9" t="s">
        <v>17060</v>
      </c>
      <c r="D7763" s="9" t="s">
        <v>6352</v>
      </c>
      <c r="E7763" s="10" t="str">
        <f>HYPERLINK("https://twitter.com/SaantiagoCorbal/status/724327323575701507","724327323575701507")</f>
        <v>724327323575701507</v>
      </c>
      <c r="F7763" s="11" t="s">
        <v>48</v>
      </c>
      <c r="G7763" s="11">
        <v>427</v>
      </c>
      <c r="H7763" s="11">
        <v>543</v>
      </c>
      <c r="I7763" s="11">
        <v>39</v>
      </c>
      <c r="J7763" s="11">
        <v>0</v>
      </c>
      <c r="K7763" s="11" t="s">
        <v>21</v>
      </c>
      <c r="L7763" s="7">
        <v>41034.9215162037</v>
      </c>
      <c r="M7763" s="12"/>
      <c r="N7763" s="12" t="s">
        <v>17061</v>
      </c>
      <c r="O7763" s="10" t="str">
        <f>HYPERLINK("https://pbs.twimg.com/profile_images/713918530954113024/pj1osFIf_normal.jpg","View")</f>
        <v>View</v>
      </c>
      <c r="P7763" s="11"/>
    </row>
    <row r="7764" spans="1:16" ht="12.75" x14ac:dyDescent="0.35">
      <c r="A7764" s="7">
        <v>42485.063275462962</v>
      </c>
      <c r="B7764" s="8" t="str">
        <f>HYPERLINK("https://twitter.com/MalikCandelaria","@MalikCandelaria")</f>
        <v>@MalikCandelaria</v>
      </c>
      <c r="C7764" s="9" t="s">
        <v>17062</v>
      </c>
      <c r="D7764" s="9" t="s">
        <v>17056</v>
      </c>
      <c r="E7764" s="10" t="str">
        <f>HYPERLINK("https://twitter.com/MalikCandelaria/status/724327330710167552","724327330710167552")</f>
        <v>724327330710167552</v>
      </c>
      <c r="F7764" s="11" t="s">
        <v>48</v>
      </c>
      <c r="G7764" s="11">
        <v>150</v>
      </c>
      <c r="H7764" s="11">
        <v>294</v>
      </c>
      <c r="I7764" s="11">
        <v>6</v>
      </c>
      <c r="J7764" s="11">
        <v>0</v>
      </c>
      <c r="K7764" s="11" t="s">
        <v>21</v>
      </c>
      <c r="L7764" s="7">
        <v>42169.453472222223</v>
      </c>
      <c r="M7764" s="12"/>
      <c r="N7764" s="12" t="s">
        <v>17063</v>
      </c>
      <c r="O7764" s="10" t="str">
        <f>HYPERLINK("https://pbs.twimg.com/profile_images/714232920647581697/ve_Jd5Zg_normal.jpg","View")</f>
        <v>View</v>
      </c>
      <c r="P7764" s="11"/>
    </row>
    <row r="7765" spans="1:16" ht="12.75" x14ac:dyDescent="0.35">
      <c r="A7765" s="7">
        <v>42485.063391203701</v>
      </c>
      <c r="B7765" s="8" t="str">
        <f>HYPERLINK("https://twitter.com/ClassActionsLaw","@ClassActionsLaw")</f>
        <v>@ClassActionsLaw</v>
      </c>
      <c r="C7765" s="9" t="s">
        <v>13693</v>
      </c>
      <c r="D7765" s="9" t="s">
        <v>13694</v>
      </c>
      <c r="E7765" s="10" t="str">
        <f>HYPERLINK("https://twitter.com/ClassActionsLaw/status/724327369985667076","724327369985667076")</f>
        <v>724327369985667076</v>
      </c>
      <c r="F7765" s="11" t="s">
        <v>13695</v>
      </c>
      <c r="G7765" s="11">
        <v>33628</v>
      </c>
      <c r="H7765" s="11">
        <v>7571</v>
      </c>
      <c r="I7765" s="11">
        <v>1</v>
      </c>
      <c r="J7765" s="11">
        <v>0</v>
      </c>
      <c r="K7765" s="11" t="s">
        <v>21</v>
      </c>
      <c r="L7765" s="7">
        <v>41691.258472222224</v>
      </c>
      <c r="M7765" s="12" t="s">
        <v>172</v>
      </c>
      <c r="N7765" s="12" t="s">
        <v>13696</v>
      </c>
      <c r="O7765" s="10" t="str">
        <f>HYPERLINK("https://pbs.twimg.com/profile_images/471351230212501504/x8Z0ncVJ_normal.jpeg","View")</f>
        <v>View</v>
      </c>
      <c r="P7765" s="11"/>
    </row>
    <row r="7766" spans="1:16" ht="12.75" x14ac:dyDescent="0.35">
      <c r="A7766" s="7">
        <v>42485.063437500001</v>
      </c>
      <c r="B7766" s="8" t="str">
        <f>HYPERLINK("https://twitter.com/marcus_philipp1","@marcus_philipp1")</f>
        <v>@marcus_philipp1</v>
      </c>
      <c r="C7766" s="9" t="s">
        <v>687</v>
      </c>
      <c r="D7766" s="9" t="s">
        <v>17064</v>
      </c>
      <c r="E7766" s="10" t="str">
        <f>HYPERLINK("https://twitter.com/marcus_philipp1/status/724327386825678848","724327386825678848")</f>
        <v>724327386825678848</v>
      </c>
      <c r="F7766" s="11" t="s">
        <v>91</v>
      </c>
      <c r="G7766" s="11">
        <v>31</v>
      </c>
      <c r="H7766" s="11">
        <v>78</v>
      </c>
      <c r="I7766" s="11">
        <v>0</v>
      </c>
      <c r="J7766" s="11">
        <v>0</v>
      </c>
      <c r="K7766" s="11" t="s">
        <v>21</v>
      </c>
      <c r="L7766" s="7">
        <v>42431.469398148147</v>
      </c>
      <c r="M7766" s="12" t="s">
        <v>688</v>
      </c>
      <c r="N7766" s="12" t="s">
        <v>689</v>
      </c>
      <c r="O7766" s="10" t="str">
        <f>HYPERLINK("https://pbs.twimg.com/profile_images/715030110844362754/PC9gDSCU_normal.jpg","View")</f>
        <v>View</v>
      </c>
      <c r="P7766" s="11"/>
    </row>
    <row r="7767" spans="1:16" ht="12.75" x14ac:dyDescent="0.35">
      <c r="A7767" s="7">
        <v>42485.064652777779</v>
      </c>
      <c r="B7767" s="8" t="str">
        <f>HYPERLINK("https://twitter.com/leanolmed0","@leanolmed0")</f>
        <v>@leanolmed0</v>
      </c>
      <c r="C7767" s="9" t="s">
        <v>17065</v>
      </c>
      <c r="D7767" s="9" t="s">
        <v>17056</v>
      </c>
      <c r="E7767" s="10" t="str">
        <f>HYPERLINK("https://twitter.com/leanolmed0/status/724327830935490563","724327830935490563")</f>
        <v>724327830935490563</v>
      </c>
      <c r="F7767" s="11" t="s">
        <v>48</v>
      </c>
      <c r="G7767" s="11">
        <v>86</v>
      </c>
      <c r="H7767" s="11">
        <v>62</v>
      </c>
      <c r="I7767" s="11">
        <v>6</v>
      </c>
      <c r="J7767" s="11">
        <v>0</v>
      </c>
      <c r="K7767" s="11" t="s">
        <v>21</v>
      </c>
      <c r="L7767" s="7">
        <v>41792.302488425928</v>
      </c>
      <c r="M7767" s="12"/>
      <c r="N7767" s="12" t="s">
        <v>17066</v>
      </c>
      <c r="O7767" s="10" t="str">
        <f>HYPERLINK("https://pbs.twimg.com/profile_images/690461324556529665/H8MMdfDB_normal.jpg","View")</f>
        <v>View</v>
      </c>
      <c r="P7767" s="11"/>
    </row>
    <row r="7768" spans="1:16" ht="12.75" x14ac:dyDescent="0.35">
      <c r="A7768" s="7">
        <v>42485.065671296295</v>
      </c>
      <c r="B7768" s="8" t="str">
        <f>HYPERLINK("https://twitter.com/VWCamperSales","@VWCamperSales")</f>
        <v>@VWCamperSales</v>
      </c>
      <c r="C7768" s="9" t="s">
        <v>216</v>
      </c>
      <c r="D7768" s="9" t="s">
        <v>17067</v>
      </c>
      <c r="E7768" s="10" t="str">
        <f>HYPERLINK("https://twitter.com/VWCamperSales/status/724328196972273664","724328196972273664")</f>
        <v>724328196972273664</v>
      </c>
      <c r="F7768" s="10" t="s">
        <v>124</v>
      </c>
      <c r="G7768" s="11">
        <v>626</v>
      </c>
      <c r="H7768" s="11">
        <v>579</v>
      </c>
      <c r="I7768" s="11">
        <v>0</v>
      </c>
      <c r="J7768" s="11">
        <v>1</v>
      </c>
      <c r="K7768" s="11" t="s">
        <v>21</v>
      </c>
      <c r="L7768" s="7">
        <v>42215.98809027778</v>
      </c>
      <c r="M7768" s="12" t="s">
        <v>129</v>
      </c>
      <c r="N7768" s="12" t="s">
        <v>218</v>
      </c>
      <c r="O7768" s="10" t="str">
        <f>HYPERLINK("https://pbs.twimg.com/profile_images/627949001179037696/skEBkS05_normal.jpg","View")</f>
        <v>View</v>
      </c>
      <c r="P7768" s="11"/>
    </row>
    <row r="7769" spans="1:16" ht="12.75" x14ac:dyDescent="0.35">
      <c r="A7769" s="7">
        <v>42485.065671296295</v>
      </c>
      <c r="B7769" s="8" t="str">
        <f>HYPERLINK("https://twitter.com/VWBeetleSales","@VWBeetleSales")</f>
        <v>@VWBeetleSales</v>
      </c>
      <c r="C7769" s="9" t="s">
        <v>127</v>
      </c>
      <c r="D7769" s="9" t="s">
        <v>17068</v>
      </c>
      <c r="E7769" s="10" t="str">
        <f>HYPERLINK("https://twitter.com/VWBeetleSales/status/724328198763212800","724328198763212800")</f>
        <v>724328198763212800</v>
      </c>
      <c r="F7769" s="10" t="s">
        <v>124</v>
      </c>
      <c r="G7769" s="11">
        <v>39</v>
      </c>
      <c r="H7769" s="11">
        <v>32</v>
      </c>
      <c r="I7769" s="11">
        <v>0</v>
      </c>
      <c r="J7769" s="11">
        <v>0</v>
      </c>
      <c r="K7769" s="11" t="s">
        <v>21</v>
      </c>
      <c r="L7769" s="7">
        <v>42427.019756944443</v>
      </c>
      <c r="M7769" s="12" t="s">
        <v>129</v>
      </c>
      <c r="N7769" s="12" t="s">
        <v>130</v>
      </c>
      <c r="O7769" s="10" t="str">
        <f>HYPERLINK("https://pbs.twimg.com/profile_images/703294545195307008/qeCvrX86_normal.jpg","View")</f>
        <v>View</v>
      </c>
      <c r="P7769" s="11"/>
    </row>
    <row r="7770" spans="1:16" ht="12.75" x14ac:dyDescent="0.35">
      <c r="A7770" s="7">
        <v>42485.065671296295</v>
      </c>
      <c r="B7770" s="8" t="str">
        <f>HYPERLINK("https://twitter.com/VWCamperSales","@VWCamperSales")</f>
        <v>@VWCamperSales</v>
      </c>
      <c r="C7770" s="9" t="s">
        <v>216</v>
      </c>
      <c r="D7770" s="9" t="s">
        <v>17069</v>
      </c>
      <c r="E7770" s="10" t="str">
        <f>HYPERLINK("https://twitter.com/VWCamperSales/status/724328200306708486","724328200306708486")</f>
        <v>724328200306708486</v>
      </c>
      <c r="F7770" s="10" t="s">
        <v>124</v>
      </c>
      <c r="G7770" s="11">
        <v>626</v>
      </c>
      <c r="H7770" s="11">
        <v>579</v>
      </c>
      <c r="I7770" s="11">
        <v>0</v>
      </c>
      <c r="J7770" s="11">
        <v>0</v>
      </c>
      <c r="K7770" s="11" t="s">
        <v>21</v>
      </c>
      <c r="L7770" s="7">
        <v>42215.98809027778</v>
      </c>
      <c r="M7770" s="12" t="s">
        <v>129</v>
      </c>
      <c r="N7770" s="12" t="s">
        <v>218</v>
      </c>
      <c r="O7770" s="10" t="str">
        <f>HYPERLINK("https://pbs.twimg.com/profile_images/627949001179037696/skEBkS05_normal.jpg","View")</f>
        <v>View</v>
      </c>
      <c r="P7770" s="11"/>
    </row>
    <row r="7771" spans="1:16" ht="12.75" x14ac:dyDescent="0.35">
      <c r="A7771" s="7">
        <v>42485.065682870365</v>
      </c>
      <c r="B7771" s="8" t="str">
        <f>HYPERLINK("https://twitter.com/VWBeetleSales","@VWBeetleSales")</f>
        <v>@VWBeetleSales</v>
      </c>
      <c r="C7771" s="9" t="s">
        <v>127</v>
      </c>
      <c r="D7771" s="9" t="s">
        <v>17070</v>
      </c>
      <c r="E7771" s="10" t="str">
        <f>HYPERLINK("https://twitter.com/VWBeetleSales/status/724328201548242944","724328201548242944")</f>
        <v>724328201548242944</v>
      </c>
      <c r="F7771" s="10" t="s">
        <v>124</v>
      </c>
      <c r="G7771" s="11">
        <v>39</v>
      </c>
      <c r="H7771" s="11">
        <v>32</v>
      </c>
      <c r="I7771" s="11">
        <v>0</v>
      </c>
      <c r="J7771" s="11">
        <v>0</v>
      </c>
      <c r="K7771" s="11" t="s">
        <v>21</v>
      </c>
      <c r="L7771" s="7">
        <v>42427.019756944443</v>
      </c>
      <c r="M7771" s="12" t="s">
        <v>129</v>
      </c>
      <c r="N7771" s="12" t="s">
        <v>130</v>
      </c>
      <c r="O7771" s="10" t="str">
        <f>HYPERLINK("https://pbs.twimg.com/profile_images/703294545195307008/qeCvrX86_normal.jpg","View")</f>
        <v>View</v>
      </c>
      <c r="P7771" s="11"/>
    </row>
    <row r="7772" spans="1:16" ht="12.75" x14ac:dyDescent="0.35">
      <c r="A7772" s="7">
        <v>42485.065752314811</v>
      </c>
      <c r="B7772" s="8" t="str">
        <f>HYPERLINK("https://twitter.com/lukeyrb13","@lukeyrb13")</f>
        <v>@lukeyrb13</v>
      </c>
      <c r="C7772" s="9" t="s">
        <v>17071</v>
      </c>
      <c r="D7772" s="9" t="s">
        <v>17072</v>
      </c>
      <c r="E7772" s="10" t="str">
        <f>HYPERLINK("https://twitter.com/lukeyrb13/status/724328226923925504","724328226923925504")</f>
        <v>724328226923925504</v>
      </c>
      <c r="F7772" s="11" t="s">
        <v>114</v>
      </c>
      <c r="G7772" s="11">
        <v>137</v>
      </c>
      <c r="H7772" s="11">
        <v>155</v>
      </c>
      <c r="I7772" s="11">
        <v>0</v>
      </c>
      <c r="J7772" s="11">
        <v>0</v>
      </c>
      <c r="K7772" s="11" t="s">
        <v>21</v>
      </c>
      <c r="L7772" s="7">
        <v>40609.20553240741</v>
      </c>
      <c r="M7772" s="12" t="s">
        <v>17073</v>
      </c>
      <c r="N7772" s="12" t="s">
        <v>17074</v>
      </c>
      <c r="O7772" s="10" t="str">
        <f>HYPERLINK("https://pbs.twimg.com/profile_images/430814909316988928/ISRaptjz_normal.jpeg","View")</f>
        <v>View</v>
      </c>
      <c r="P7772" s="11"/>
    </row>
    <row r="7773" spans="1:16" ht="12.75" x14ac:dyDescent="0.35">
      <c r="A7773" s="7">
        <v>42485.066944444443</v>
      </c>
      <c r="B7773" s="8" t="str">
        <f>HYPERLINK("https://twitter.com/federic93054929","@federic93054929")</f>
        <v>@federic93054929</v>
      </c>
      <c r="C7773" s="9" t="s">
        <v>17075</v>
      </c>
      <c r="D7773" s="9" t="s">
        <v>17056</v>
      </c>
      <c r="E7773" s="10" t="str">
        <f>HYPERLINK("https://twitter.com/federic93054929/status/724328661567049729","724328661567049729")</f>
        <v>724328661567049729</v>
      </c>
      <c r="F7773" s="11" t="s">
        <v>48</v>
      </c>
      <c r="G7773" s="11">
        <v>100</v>
      </c>
      <c r="H7773" s="11">
        <v>134</v>
      </c>
      <c r="I7773" s="11">
        <v>6</v>
      </c>
      <c r="J7773" s="11">
        <v>0</v>
      </c>
      <c r="K7773" s="11" t="s">
        <v>21</v>
      </c>
      <c r="L7773" s="7">
        <v>41680.060787037037</v>
      </c>
      <c r="M7773" s="12" t="s">
        <v>17076</v>
      </c>
      <c r="N7773" s="12" t="s">
        <v>17077</v>
      </c>
      <c r="O7773" s="10" t="str">
        <f>HYPERLINK("https://pbs.twimg.com/profile_images/684053218163318784/nUK_sgFE_normal.jpg","View")</f>
        <v>View</v>
      </c>
      <c r="P7773" s="11"/>
    </row>
    <row r="7774" spans="1:16" ht="12.75" x14ac:dyDescent="0.35">
      <c r="A7774" s="7">
        <v>42485.067719907413</v>
      </c>
      <c r="B7774" s="8" t="str">
        <f>HYPERLINK("https://twitter.com/mydorsetpark","@mydorsetpark")</f>
        <v>@mydorsetpark</v>
      </c>
      <c r="C7774" s="9" t="s">
        <v>17078</v>
      </c>
      <c r="D7774" s="9" t="s">
        <v>17079</v>
      </c>
      <c r="E7774" s="10" t="str">
        <f>HYPERLINK("https://twitter.com/mydorsetpark/status/724328939884257281","724328939884257281")</f>
        <v>724328939884257281</v>
      </c>
      <c r="F7774" s="11" t="s">
        <v>63</v>
      </c>
      <c r="G7774" s="11">
        <v>895</v>
      </c>
      <c r="H7774" s="11">
        <v>1109</v>
      </c>
      <c r="I7774" s="11">
        <v>1</v>
      </c>
      <c r="J7774" s="11">
        <v>0</v>
      </c>
      <c r="K7774" s="11" t="s">
        <v>21</v>
      </c>
      <c r="L7774" s="7">
        <v>41621.946539351848</v>
      </c>
      <c r="M7774" s="12" t="s">
        <v>17080</v>
      </c>
      <c r="N7774" s="12" t="s">
        <v>17081</v>
      </c>
      <c r="O7774" s="10" t="str">
        <f>HYPERLINK("https://pbs.twimg.com/profile_images/378800000867203791/cP6lbxsc_normal.jpeg","View")</f>
        <v>View</v>
      </c>
      <c r="P7774" s="11"/>
    </row>
    <row r="7775" spans="1:16" ht="12.75" x14ac:dyDescent="0.35">
      <c r="A7775" s="7">
        <v>42485.068726851852</v>
      </c>
      <c r="B7775" s="8" t="str">
        <f>HYPERLINK("https://twitter.com/andrealbarello","@andrealbarello")</f>
        <v>@andrealbarello</v>
      </c>
      <c r="C7775" s="9" t="s">
        <v>17082</v>
      </c>
      <c r="D7775" s="9" t="s">
        <v>17083</v>
      </c>
      <c r="E7775" s="10" t="str">
        <f>HYPERLINK("https://twitter.com/andrealbarello/status/724329306554556420","724329306554556420")</f>
        <v>724329306554556420</v>
      </c>
      <c r="F7775" s="11" t="s">
        <v>20</v>
      </c>
      <c r="G7775" s="11">
        <v>352</v>
      </c>
      <c r="H7775" s="11">
        <v>233</v>
      </c>
      <c r="I7775" s="11">
        <v>1</v>
      </c>
      <c r="J7775" s="11">
        <v>0</v>
      </c>
      <c r="K7775" s="11" t="s">
        <v>21</v>
      </c>
      <c r="L7775" s="7">
        <v>40753.04346064815</v>
      </c>
      <c r="M7775" s="12" t="s">
        <v>17084</v>
      </c>
      <c r="N7775" s="12" t="s">
        <v>17085</v>
      </c>
      <c r="O7775" s="10" t="str">
        <f>HYPERLINK("https://pbs.twimg.com/profile_images/724234252292894720/sGzStXgw_normal.jpg","View")</f>
        <v>View</v>
      </c>
      <c r="P7775" s="11"/>
    </row>
    <row r="7776" spans="1:16" ht="12.75" x14ac:dyDescent="0.35">
      <c r="A7776" s="7">
        <v>42485.070011574076</v>
      </c>
      <c r="B7776" s="8" t="str">
        <f>HYPERLINK("https://twitter.com/NervTobbe","@NervTobbe")</f>
        <v>@NervTobbe</v>
      </c>
      <c r="C7776" s="9" t="s">
        <v>17086</v>
      </c>
      <c r="D7776" s="9" t="s">
        <v>16695</v>
      </c>
      <c r="E7776" s="10" t="str">
        <f>HYPERLINK("https://twitter.com/NervTobbe/status/724329772206161921","724329772206161921")</f>
        <v>724329772206161921</v>
      </c>
      <c r="F7776" s="11" t="s">
        <v>48</v>
      </c>
      <c r="G7776" s="11">
        <v>70</v>
      </c>
      <c r="H7776" s="11">
        <v>102</v>
      </c>
      <c r="I7776" s="11">
        <v>5</v>
      </c>
      <c r="J7776" s="11">
        <v>0</v>
      </c>
      <c r="K7776" s="11" t="s">
        <v>21</v>
      </c>
      <c r="L7776" s="7">
        <v>41866.775150462963</v>
      </c>
      <c r="M7776" s="12"/>
      <c r="N7776" s="12"/>
      <c r="O7776" s="10" t="str">
        <f>HYPERLINK("https://pbs.twimg.com/profile_images/500267821667192833/zm9HpgHt_normal.jpeg","View")</f>
        <v>View</v>
      </c>
      <c r="P7776" s="11"/>
    </row>
    <row r="7777" spans="1:16" ht="12.75" x14ac:dyDescent="0.35">
      <c r="A7777" s="7">
        <v>42485.070972222224</v>
      </c>
      <c r="B7777" s="8" t="str">
        <f t="shared" ref="B7777:B7778" si="779">HYPERLINK("https://twitter.com/VWCamperSales","@VWCamperSales")</f>
        <v>@VWCamperSales</v>
      </c>
      <c r="C7777" s="9" t="s">
        <v>216</v>
      </c>
      <c r="D7777" s="9" t="s">
        <v>17087</v>
      </c>
      <c r="E7777" s="10" t="str">
        <f>HYPERLINK("https://twitter.com/VWCamperSales/status/724330119184048129","724330119184048129")</f>
        <v>724330119184048129</v>
      </c>
      <c r="F7777" s="10" t="s">
        <v>124</v>
      </c>
      <c r="G7777" s="11">
        <v>626</v>
      </c>
      <c r="H7777" s="11">
        <v>579</v>
      </c>
      <c r="I7777" s="11">
        <v>0</v>
      </c>
      <c r="J7777" s="11">
        <v>0</v>
      </c>
      <c r="K7777" s="11" t="s">
        <v>21</v>
      </c>
      <c r="L7777" s="7">
        <v>42215.98809027778</v>
      </c>
      <c r="M7777" s="12" t="s">
        <v>129</v>
      </c>
      <c r="N7777" s="12" t="s">
        <v>218</v>
      </c>
      <c r="O7777" s="10" t="str">
        <f t="shared" ref="O7777:O7778" si="780">HYPERLINK("https://pbs.twimg.com/profile_images/627949001179037696/skEBkS05_normal.jpg","View")</f>
        <v>View</v>
      </c>
      <c r="P7777" s="11"/>
    </row>
    <row r="7778" spans="1:16" ht="12.75" x14ac:dyDescent="0.35">
      <c r="A7778" s="7">
        <v>42485.07099537037</v>
      </c>
      <c r="B7778" s="8" t="str">
        <f t="shared" si="779"/>
        <v>@VWCamperSales</v>
      </c>
      <c r="C7778" s="9" t="s">
        <v>216</v>
      </c>
      <c r="D7778" s="9" t="s">
        <v>17088</v>
      </c>
      <c r="E7778" s="10" t="str">
        <f>HYPERLINK("https://twitter.com/VWCamperSales/status/724330125932683264","724330125932683264")</f>
        <v>724330125932683264</v>
      </c>
      <c r="F7778" s="10" t="s">
        <v>124</v>
      </c>
      <c r="G7778" s="11">
        <v>626</v>
      </c>
      <c r="H7778" s="11">
        <v>579</v>
      </c>
      <c r="I7778" s="11">
        <v>0</v>
      </c>
      <c r="J7778" s="11">
        <v>0</v>
      </c>
      <c r="K7778" s="11" t="s">
        <v>21</v>
      </c>
      <c r="L7778" s="7">
        <v>42215.98809027778</v>
      </c>
      <c r="M7778" s="12" t="s">
        <v>129</v>
      </c>
      <c r="N7778" s="12" t="s">
        <v>218</v>
      </c>
      <c r="O7778" s="10" t="str">
        <f t="shared" si="780"/>
        <v>View</v>
      </c>
      <c r="P7778" s="11"/>
    </row>
    <row r="7779" spans="1:16" ht="12.75" x14ac:dyDescent="0.35">
      <c r="A7779" s="7">
        <v>42485.071817129632</v>
      </c>
      <c r="B7779" s="8" t="str">
        <f>HYPERLINK("https://twitter.com/gelmocz","@gelmocz")</f>
        <v>@gelmocz</v>
      </c>
      <c r="C7779" s="9" t="s">
        <v>17089</v>
      </c>
      <c r="D7779" s="9" t="s">
        <v>17090</v>
      </c>
      <c r="E7779" s="10" t="str">
        <f>HYPERLINK("https://twitter.com/gelmocz/status/724330425779286017","724330425779286017")</f>
        <v>724330425779286017</v>
      </c>
      <c r="F7779" s="11" t="s">
        <v>48</v>
      </c>
      <c r="G7779" s="11">
        <v>236</v>
      </c>
      <c r="H7779" s="11">
        <v>1150</v>
      </c>
      <c r="I7779" s="11">
        <v>0</v>
      </c>
      <c r="J7779" s="11">
        <v>0</v>
      </c>
      <c r="K7779" s="11" t="s">
        <v>21</v>
      </c>
      <c r="L7779" s="7">
        <v>41019.217800925922</v>
      </c>
      <c r="M7779" s="12" t="s">
        <v>17091</v>
      </c>
      <c r="N7779" s="12" t="s">
        <v>17092</v>
      </c>
      <c r="O7779" s="10" t="str">
        <f>HYPERLINK("https://pbs.twimg.com/profile_images/591464863592894465/NqqnPA98_normal.jpg","View")</f>
        <v>View</v>
      </c>
      <c r="P7779" s="11"/>
    </row>
    <row r="7780" spans="1:16" ht="12.75" x14ac:dyDescent="0.35">
      <c r="A7780" s="7">
        <v>42485.073240740741</v>
      </c>
      <c r="B7780" s="8" t="str">
        <f>HYPERLINK("https://twitter.com/dazvw","@dazvw")</f>
        <v>@dazvw</v>
      </c>
      <c r="C7780" s="9" t="s">
        <v>14203</v>
      </c>
      <c r="D7780" s="9" t="s">
        <v>17093</v>
      </c>
      <c r="E7780" s="10" t="str">
        <f>HYPERLINK("https://twitter.com/dazvw/status/724330939493527552","724330939493527552")</f>
        <v>724330939493527552</v>
      </c>
      <c r="F7780" s="11" t="s">
        <v>114</v>
      </c>
      <c r="G7780" s="11">
        <v>118</v>
      </c>
      <c r="H7780" s="11">
        <v>170</v>
      </c>
      <c r="I7780" s="11">
        <v>0</v>
      </c>
      <c r="J7780" s="11">
        <v>0</v>
      </c>
      <c r="K7780" s="11" t="s">
        <v>21</v>
      </c>
      <c r="L7780" s="7">
        <v>40797.195451388892</v>
      </c>
      <c r="M7780" s="12" t="s">
        <v>14205</v>
      </c>
      <c r="N7780" s="12"/>
      <c r="O7780" s="10" t="str">
        <f>HYPERLINK("https://pbs.twimg.com/profile_images/3095803063/6d0b0cd10bd2f076a374a11a88bb7c2e_normal.jpeg","View")</f>
        <v>View</v>
      </c>
      <c r="P7780" s="11"/>
    </row>
    <row r="7781" spans="1:16" ht="12.75" x14ac:dyDescent="0.35">
      <c r="A7781" s="7">
        <v>42485.074652777781</v>
      </c>
      <c r="B7781" s="8" t="str">
        <f>HYPERLINK("https://twitter.com/cosasdeautos","@cosasdeautos")</f>
        <v>@cosasdeautos</v>
      </c>
      <c r="C7781" s="9" t="s">
        <v>12202</v>
      </c>
      <c r="D7781" s="9" t="s">
        <v>17094</v>
      </c>
      <c r="E7781" s="10" t="str">
        <f>HYPERLINK("https://twitter.com/cosasdeautos/status/724331454155517952","724331454155517952")</f>
        <v>724331454155517952</v>
      </c>
      <c r="F7781" s="11" t="s">
        <v>43</v>
      </c>
      <c r="G7781" s="11">
        <v>7974</v>
      </c>
      <c r="H7781" s="11">
        <v>471</v>
      </c>
      <c r="I7781" s="11">
        <v>0</v>
      </c>
      <c r="J7781" s="11">
        <v>1</v>
      </c>
      <c r="K7781" s="11" t="s">
        <v>21</v>
      </c>
      <c r="L7781" s="7">
        <v>40087.235034722224</v>
      </c>
      <c r="M7781" s="12" t="s">
        <v>4440</v>
      </c>
      <c r="N7781" s="12" t="s">
        <v>12204</v>
      </c>
      <c r="O7781" s="10" t="str">
        <f>HYPERLINK("https://pbs.twimg.com/profile_images/474019501403406336/_4Ns_zdP_normal.jpeg","View")</f>
        <v>View</v>
      </c>
      <c r="P7781" s="11"/>
    </row>
    <row r="7782" spans="1:16" ht="12.75" x14ac:dyDescent="0.35">
      <c r="A7782" s="7">
        <v>42485.074710648143</v>
      </c>
      <c r="B7782" s="8" t="str">
        <f>HYPERLINK("https://twitter.com/nosuitablename","@nosuitablename")</f>
        <v>@nosuitablename</v>
      </c>
      <c r="C7782" s="9" t="s">
        <v>17095</v>
      </c>
      <c r="D7782" s="9" t="s">
        <v>17096</v>
      </c>
      <c r="E7782" s="10" t="str">
        <f>HYPERLINK("https://twitter.com/nosuitablename/status/724331475856953345","724331475856953345")</f>
        <v>724331475856953345</v>
      </c>
      <c r="F7782" s="11" t="s">
        <v>91</v>
      </c>
      <c r="G7782" s="11">
        <v>59</v>
      </c>
      <c r="H7782" s="11">
        <v>220</v>
      </c>
      <c r="I7782" s="11">
        <v>1</v>
      </c>
      <c r="J7782" s="11">
        <v>0</v>
      </c>
      <c r="K7782" s="11" t="s">
        <v>21</v>
      </c>
      <c r="L7782" s="7">
        <v>40210.14979166667</v>
      </c>
      <c r="M7782" s="12" t="s">
        <v>17097</v>
      </c>
      <c r="N7782" s="12"/>
      <c r="O7782" s="10" t="str">
        <f>HYPERLINK("https://pbs.twimg.com/profile_images/1380159784/aja_normal.png","View")</f>
        <v>View</v>
      </c>
      <c r="P7782" s="11"/>
    </row>
    <row r="7783" spans="1:16" ht="12.75" x14ac:dyDescent="0.35">
      <c r="A7783" s="7">
        <v>42485.075011574074</v>
      </c>
      <c r="B7783" s="8" t="str">
        <f>HYPERLINK("https://twitter.com/McDonaldWorley","@McDonaldWorley")</f>
        <v>@McDonaldWorley</v>
      </c>
      <c r="C7783" s="8" t="s">
        <v>17098</v>
      </c>
      <c r="D7783" s="9" t="s">
        <v>17099</v>
      </c>
      <c r="E7783" s="10" t="str">
        <f>HYPERLINK("https://twitter.com/McDonaldWorley/status/724331585084903424","724331585084903424")</f>
        <v>724331585084903424</v>
      </c>
      <c r="F7783" s="11" t="s">
        <v>140</v>
      </c>
      <c r="G7783" s="11">
        <v>2140</v>
      </c>
      <c r="H7783" s="11">
        <v>50</v>
      </c>
      <c r="I7783" s="11">
        <v>0</v>
      </c>
      <c r="J7783" s="11">
        <v>0</v>
      </c>
      <c r="K7783" s="11" t="s">
        <v>21</v>
      </c>
      <c r="L7783" s="7">
        <v>41275.869652777779</v>
      </c>
      <c r="M7783" s="12"/>
      <c r="N7783" s="12" t="s">
        <v>17100</v>
      </c>
      <c r="O7783" s="10" t="str">
        <f>HYPERLINK("https://pbs.twimg.com/profile_images/3050374987/37c2ee36858877b4f96f51050c3786d7_normal.jpeg","View")</f>
        <v>View</v>
      </c>
      <c r="P7783" s="11"/>
    </row>
    <row r="7784" spans="1:16" ht="12.75" x14ac:dyDescent="0.35">
      <c r="A7784" s="7">
        <v>42485.075173611112</v>
      </c>
      <c r="B7784" s="8" t="str">
        <f>HYPERLINK("https://twitter.com/gdman76","@gdman76")</f>
        <v>@gdman76</v>
      </c>
      <c r="C7784" s="9" t="s">
        <v>17101</v>
      </c>
      <c r="D7784" s="9" t="s">
        <v>17102</v>
      </c>
      <c r="E7784" s="10" t="str">
        <f>HYPERLINK("https://twitter.com/gdman76/status/724331643696111616","724331643696111616")</f>
        <v>724331643696111616</v>
      </c>
      <c r="F7784" s="11" t="s">
        <v>114</v>
      </c>
      <c r="G7784" s="11">
        <v>159</v>
      </c>
      <c r="H7784" s="11">
        <v>633</v>
      </c>
      <c r="I7784" s="11">
        <v>0</v>
      </c>
      <c r="J7784" s="11">
        <v>0</v>
      </c>
      <c r="K7784" s="11" t="s">
        <v>21</v>
      </c>
      <c r="L7784" s="7">
        <v>40702.969363425924</v>
      </c>
      <c r="M7784" s="12" t="s">
        <v>17103</v>
      </c>
      <c r="N7784" s="12" t="s">
        <v>17104</v>
      </c>
      <c r="O7784" s="10" t="str">
        <f>HYPERLINK("https://pbs.twimg.com/profile_images/3101432433/4c5dd9107600b4b9539827327d846eee_normal.jpeg","View")</f>
        <v>View</v>
      </c>
      <c r="P7784" s="11"/>
    </row>
    <row r="7785" spans="1:16" ht="12.75" x14ac:dyDescent="0.35">
      <c r="A7785" s="7">
        <v>42485.075509259259</v>
      </c>
      <c r="B7785" s="8" t="str">
        <f>HYPERLINK("https://twitter.com/AdamoAdamos","@AdamoAdamos")</f>
        <v>@AdamoAdamos</v>
      </c>
      <c r="C7785" s="9" t="s">
        <v>17105</v>
      </c>
      <c r="D7785" s="9" t="s">
        <v>17106</v>
      </c>
      <c r="E7785" s="10" t="str">
        <f>HYPERLINK("https://twitter.com/AdamoAdamos/status/724331763074473984","724331763074473984")</f>
        <v>724331763074473984</v>
      </c>
      <c r="F7785" s="11" t="s">
        <v>20</v>
      </c>
      <c r="G7785" s="11">
        <v>1493</v>
      </c>
      <c r="H7785" s="11">
        <v>981</v>
      </c>
      <c r="I7785" s="11">
        <v>0</v>
      </c>
      <c r="J7785" s="11">
        <v>1</v>
      </c>
      <c r="K7785" s="11" t="s">
        <v>21</v>
      </c>
      <c r="L7785" s="7">
        <v>41868.123622685183</v>
      </c>
      <c r="M7785" s="12" t="s">
        <v>17107</v>
      </c>
      <c r="N7785" s="12"/>
      <c r="O7785" s="10" t="str">
        <f>HYPERLINK("https://pbs.twimg.com/profile_images/696222010008072192/atC5rM5P_normal.jpg","View")</f>
        <v>View</v>
      </c>
      <c r="P7785" s="11"/>
    </row>
    <row r="7786" spans="1:16" ht="12.75" x14ac:dyDescent="0.35">
      <c r="A7786" s="7">
        <v>42485.075740740736</v>
      </c>
      <c r="B7786" s="8" t="str">
        <f>HYPERLINK("https://twitter.com/VWBeetleSales","@VWBeetleSales")</f>
        <v>@VWBeetleSales</v>
      </c>
      <c r="C7786" s="9" t="s">
        <v>127</v>
      </c>
      <c r="D7786" s="9" t="s">
        <v>17108</v>
      </c>
      <c r="E7786" s="10" t="str">
        <f>HYPERLINK("https://twitter.com/VWBeetleSales/status/724331845777657857","724331845777657857")</f>
        <v>724331845777657857</v>
      </c>
      <c r="F7786" s="10" t="s">
        <v>124</v>
      </c>
      <c r="G7786" s="11">
        <v>39</v>
      </c>
      <c r="H7786" s="11">
        <v>32</v>
      </c>
      <c r="I7786" s="11">
        <v>0</v>
      </c>
      <c r="J7786" s="11">
        <v>0</v>
      </c>
      <c r="K7786" s="11" t="s">
        <v>21</v>
      </c>
      <c r="L7786" s="7">
        <v>42427.019756944443</v>
      </c>
      <c r="M7786" s="12" t="s">
        <v>129</v>
      </c>
      <c r="N7786" s="12" t="s">
        <v>130</v>
      </c>
      <c r="O7786" s="10" t="str">
        <f>HYPERLINK("https://pbs.twimg.com/profile_images/703294545195307008/qeCvrX86_normal.jpg","View")</f>
        <v>View</v>
      </c>
      <c r="P7786" s="11"/>
    </row>
    <row r="7787" spans="1:16" ht="12.75" x14ac:dyDescent="0.35">
      <c r="A7787" s="7">
        <v>42485.076099537036</v>
      </c>
      <c r="B7787" s="8" t="str">
        <f t="shared" ref="B7787:B7788" si="781">HYPERLINK("https://twitter.com/jennyalban63","@jennyalban63")</f>
        <v>@jennyalban63</v>
      </c>
      <c r="C7787" s="9" t="s">
        <v>10852</v>
      </c>
      <c r="D7787" s="9" t="s">
        <v>17109</v>
      </c>
      <c r="E7787" s="10" t="str">
        <f>HYPERLINK("https://twitter.com/jennyalban63/status/724331978502344705","724331978502344705")</f>
        <v>724331978502344705</v>
      </c>
      <c r="F7787" s="11" t="s">
        <v>48</v>
      </c>
      <c r="G7787" s="11">
        <v>4</v>
      </c>
      <c r="H7787" s="11">
        <v>27</v>
      </c>
      <c r="I7787" s="11">
        <v>11</v>
      </c>
      <c r="J7787" s="11">
        <v>0</v>
      </c>
      <c r="K7787" s="11" t="s">
        <v>21</v>
      </c>
      <c r="L7787" s="7">
        <v>42380.160740740743</v>
      </c>
      <c r="M7787" s="12"/>
      <c r="N7787" s="12"/>
      <c r="O7787" s="10" t="str">
        <f t="shared" ref="O7787:O7788" si="782">HYPERLINK("https://abs.twimg.com/sticky/default_profile_images/default_profile_6_normal.png","View")</f>
        <v>View</v>
      </c>
      <c r="P7787" s="11"/>
    </row>
    <row r="7788" spans="1:16" ht="12.75" x14ac:dyDescent="0.35">
      <c r="A7788" s="7">
        <v>42485.076157407406</v>
      </c>
      <c r="B7788" s="8" t="str">
        <f t="shared" si="781"/>
        <v>@jennyalban63</v>
      </c>
      <c r="C7788" s="9" t="s">
        <v>10852</v>
      </c>
      <c r="D7788" s="9" t="s">
        <v>17110</v>
      </c>
      <c r="E7788" s="10" t="str">
        <f>HYPERLINK("https://twitter.com/jennyalban63/status/724331998282715137","724331998282715137")</f>
        <v>724331998282715137</v>
      </c>
      <c r="F7788" s="11" t="s">
        <v>48</v>
      </c>
      <c r="G7788" s="11">
        <v>4</v>
      </c>
      <c r="H7788" s="11">
        <v>27</v>
      </c>
      <c r="I7788" s="11">
        <v>11</v>
      </c>
      <c r="J7788" s="11">
        <v>0</v>
      </c>
      <c r="K7788" s="11" t="s">
        <v>21</v>
      </c>
      <c r="L7788" s="7">
        <v>42380.160740740743</v>
      </c>
      <c r="M7788" s="12"/>
      <c r="N7788" s="12"/>
      <c r="O7788" s="10" t="str">
        <f t="shared" si="782"/>
        <v>View</v>
      </c>
      <c r="P7788" s="11"/>
    </row>
    <row r="7789" spans="1:16" ht="12.75" x14ac:dyDescent="0.35">
      <c r="A7789" s="7">
        <v>42485.076608796298</v>
      </c>
      <c r="B7789" s="8" t="str">
        <f>HYPERLINK("https://twitter.com/TheTipsyPigs","@TheTipsyPigs")</f>
        <v>@TheTipsyPigs</v>
      </c>
      <c r="C7789" s="9" t="s">
        <v>17111</v>
      </c>
      <c r="D7789" s="9" t="s">
        <v>17112</v>
      </c>
      <c r="E7789" s="10" t="str">
        <f>HYPERLINK("https://twitter.com/TheTipsyPigs/status/724332161692786689","724332161692786689")</f>
        <v>724332161692786689</v>
      </c>
      <c r="F7789" s="11" t="s">
        <v>48</v>
      </c>
      <c r="G7789" s="11">
        <v>116</v>
      </c>
      <c r="H7789" s="11">
        <v>431</v>
      </c>
      <c r="I7789" s="11">
        <v>1</v>
      </c>
      <c r="J7789" s="11">
        <v>1</v>
      </c>
      <c r="K7789" s="11" t="s">
        <v>21</v>
      </c>
      <c r="L7789" s="7">
        <v>42010.945115740746</v>
      </c>
      <c r="M7789" s="12" t="s">
        <v>1072</v>
      </c>
      <c r="N7789" s="12" t="s">
        <v>17113</v>
      </c>
      <c r="O7789" s="10" t="str">
        <f>HYPERLINK("https://pbs.twimg.com/profile_images/552512883746037760/_KeSTf9E_normal.png","View")</f>
        <v>View</v>
      </c>
      <c r="P7789" s="11"/>
    </row>
    <row r="7790" spans="1:16" ht="12.75" x14ac:dyDescent="0.35">
      <c r="A7790" s="7">
        <v>42485.077650462961</v>
      </c>
      <c r="B7790" s="8" t="str">
        <f>HYPERLINK("https://twitter.com/Amylovell11","@Amylovell11")</f>
        <v>@Amylovell11</v>
      </c>
      <c r="C7790" s="9" t="s">
        <v>17114</v>
      </c>
      <c r="D7790" s="9" t="s">
        <v>17115</v>
      </c>
      <c r="E7790" s="10" t="str">
        <f>HYPERLINK("https://twitter.com/Amylovell11/status/724332540232908800","724332540232908800")</f>
        <v>724332540232908800</v>
      </c>
      <c r="F7790" s="11" t="s">
        <v>20</v>
      </c>
      <c r="G7790" s="11">
        <v>39</v>
      </c>
      <c r="H7790" s="11">
        <v>174</v>
      </c>
      <c r="I7790" s="11">
        <v>1</v>
      </c>
      <c r="J7790" s="11">
        <v>0</v>
      </c>
      <c r="K7790" s="11" t="s">
        <v>21</v>
      </c>
      <c r="L7790" s="7">
        <v>40946.121898148151</v>
      </c>
      <c r="M7790" s="12" t="s">
        <v>13118</v>
      </c>
      <c r="N7790" s="12"/>
      <c r="O7790" s="10" t="str">
        <f>HYPERLINK("https://pbs.twimg.com/profile_images/3208320839/82b1ccbb77c4cd0fc3437260bfdb7f74_normal.jpeg","View")</f>
        <v>View</v>
      </c>
      <c r="P7790" s="11"/>
    </row>
    <row r="7791" spans="1:16" ht="12.75" x14ac:dyDescent="0.35">
      <c r="A7791" s="7">
        <v>42485.078819444447</v>
      </c>
      <c r="B7791" s="8" t="str">
        <f>HYPERLINK("https://twitter.com/jennyalban63","@jennyalban63")</f>
        <v>@jennyalban63</v>
      </c>
      <c r="C7791" s="9" t="s">
        <v>10852</v>
      </c>
      <c r="D7791" s="9" t="s">
        <v>17116</v>
      </c>
      <c r="E7791" s="10" t="str">
        <f>HYPERLINK("https://twitter.com/jennyalban63/status/724332962272169985","724332962272169985")</f>
        <v>724332962272169985</v>
      </c>
      <c r="F7791" s="11" t="s">
        <v>48</v>
      </c>
      <c r="G7791" s="11">
        <v>4</v>
      </c>
      <c r="H7791" s="11">
        <v>27</v>
      </c>
      <c r="I7791" s="11">
        <v>1</v>
      </c>
      <c r="J7791" s="11">
        <v>0</v>
      </c>
      <c r="K7791" s="11" t="s">
        <v>21</v>
      </c>
      <c r="L7791" s="7">
        <v>42380.160740740743</v>
      </c>
      <c r="M7791" s="12"/>
      <c r="N7791" s="12"/>
      <c r="O7791" s="10" t="str">
        <f>HYPERLINK("https://abs.twimg.com/sticky/default_profile_images/default_profile_6_normal.png","View")</f>
        <v>View</v>
      </c>
      <c r="P7791" s="11"/>
    </row>
    <row r="7792" spans="1:16" ht="12.75" x14ac:dyDescent="0.35">
      <c r="A7792" s="7">
        <v>42485.079166666663</v>
      </c>
      <c r="B7792" s="8" t="str">
        <f>HYPERLINK("https://twitter.com/espritdesign","@espritdesign")</f>
        <v>@espritdesign</v>
      </c>
      <c r="C7792" s="9" t="s">
        <v>17117</v>
      </c>
      <c r="D7792" s="9" t="s">
        <v>17118</v>
      </c>
      <c r="E7792" s="10" t="str">
        <f>HYPERLINK("https://twitter.com/espritdesign/status/724333090714341377","724333090714341377")</f>
        <v>724333090714341377</v>
      </c>
      <c r="F7792" s="11" t="s">
        <v>48</v>
      </c>
      <c r="G7792" s="11">
        <v>9524</v>
      </c>
      <c r="H7792" s="11">
        <v>286</v>
      </c>
      <c r="I7792" s="11">
        <v>0</v>
      </c>
      <c r="J7792" s="11">
        <v>1</v>
      </c>
      <c r="K7792" s="11" t="s">
        <v>21</v>
      </c>
      <c r="L7792" s="7">
        <v>39547.601388888885</v>
      </c>
      <c r="M7792" s="12" t="s">
        <v>17119</v>
      </c>
      <c r="N7792" s="12" t="s">
        <v>17120</v>
      </c>
      <c r="O7792" s="10" t="str">
        <f>HYPERLINK("https://pbs.twimg.com/profile_images/458985684917682176/jIexkUqa_normal.jpeg","View")</f>
        <v>View</v>
      </c>
      <c r="P7792" s="11"/>
    </row>
    <row r="7793" spans="1:16" ht="12.75" x14ac:dyDescent="0.35">
      <c r="A7793" s="7">
        <v>42485.080081018517</v>
      </c>
      <c r="B7793" s="8" t="str">
        <f>HYPERLINK("https://twitter.com/TonyLemale","@TonyLemale")</f>
        <v>@TonyLemale</v>
      </c>
      <c r="C7793" s="9" t="s">
        <v>17121</v>
      </c>
      <c r="D7793" s="9" t="s">
        <v>17122</v>
      </c>
      <c r="E7793" s="10" t="str">
        <f>HYPERLINK("https://twitter.com/TonyLemale/status/724333418796867585","724333418796867585")</f>
        <v>724333418796867585</v>
      </c>
      <c r="F7793" s="11" t="s">
        <v>68</v>
      </c>
      <c r="G7793" s="11">
        <v>1702</v>
      </c>
      <c r="H7793" s="11">
        <v>147</v>
      </c>
      <c r="I7793" s="11">
        <v>0</v>
      </c>
      <c r="J7793" s="11">
        <v>0</v>
      </c>
      <c r="K7793" s="11" t="s">
        <v>21</v>
      </c>
      <c r="L7793" s="7">
        <v>39673.129143518519</v>
      </c>
      <c r="M7793" s="12" t="s">
        <v>9758</v>
      </c>
      <c r="N7793" s="12" t="s">
        <v>17123</v>
      </c>
      <c r="O7793" s="10" t="str">
        <f>HYPERLINK("https://pbs.twimg.com/profile_images/669859956863197184/cosIgz1Z_normal.jpg","View")</f>
        <v>View</v>
      </c>
      <c r="P7793" s="11"/>
    </row>
    <row r="7794" spans="1:16" ht="12.75" x14ac:dyDescent="0.35">
      <c r="A7794" s="7">
        <v>42485.080451388887</v>
      </c>
      <c r="B7794" s="8" t="str">
        <f>HYPERLINK("https://twitter.com/VWCamperSales","@VWCamperSales")</f>
        <v>@VWCamperSales</v>
      </c>
      <c r="C7794" s="9" t="s">
        <v>216</v>
      </c>
      <c r="D7794" s="9" t="s">
        <v>17124</v>
      </c>
      <c r="E7794" s="10" t="str">
        <f>HYPERLINK("https://twitter.com/VWCamperSales/status/724333553941549056","724333553941549056")</f>
        <v>724333553941549056</v>
      </c>
      <c r="F7794" s="10" t="s">
        <v>124</v>
      </c>
      <c r="G7794" s="11">
        <v>626</v>
      </c>
      <c r="H7794" s="11">
        <v>579</v>
      </c>
      <c r="I7794" s="11">
        <v>0</v>
      </c>
      <c r="J7794" s="11">
        <v>0</v>
      </c>
      <c r="K7794" s="11" t="s">
        <v>21</v>
      </c>
      <c r="L7794" s="7">
        <v>42215.98809027778</v>
      </c>
      <c r="M7794" s="12" t="s">
        <v>129</v>
      </c>
      <c r="N7794" s="12" t="s">
        <v>218</v>
      </c>
      <c r="O7794" s="10" t="str">
        <f>HYPERLINK("https://pbs.twimg.com/profile_images/627949001179037696/skEBkS05_normal.jpg","View")</f>
        <v>View</v>
      </c>
      <c r="P7794" s="11"/>
    </row>
    <row r="7795" spans="1:16" ht="12.75" x14ac:dyDescent="0.35">
      <c r="A7795" s="7">
        <v>42485.080775462964</v>
      </c>
      <c r="B7795" s="8" t="str">
        <f>HYPERLINK("https://twitter.com/nomadartdesign","@nomadartdesign")</f>
        <v>@nomadartdesign</v>
      </c>
      <c r="C7795" s="9" t="s">
        <v>8614</v>
      </c>
      <c r="D7795" s="9" t="s">
        <v>17125</v>
      </c>
      <c r="E7795" s="10" t="str">
        <f>HYPERLINK("https://twitter.com/nomadartdesign/status/724333670979514368","724333670979514368")</f>
        <v>724333670979514368</v>
      </c>
      <c r="F7795" s="11" t="s">
        <v>7320</v>
      </c>
      <c r="G7795" s="11">
        <v>10488</v>
      </c>
      <c r="H7795" s="11">
        <v>10020</v>
      </c>
      <c r="I7795" s="11">
        <v>0</v>
      </c>
      <c r="J7795" s="11">
        <v>0</v>
      </c>
      <c r="K7795" s="11" t="s">
        <v>21</v>
      </c>
      <c r="L7795" s="7">
        <v>41221.592974537038</v>
      </c>
      <c r="M7795" s="12" t="s">
        <v>129</v>
      </c>
      <c r="N7795" s="12" t="s">
        <v>8616</v>
      </c>
      <c r="O7795" s="10" t="str">
        <f>HYPERLINK("https://pbs.twimg.com/profile_images/471225993034620928/uvrpaB6T_normal.jpeg","View")</f>
        <v>View</v>
      </c>
      <c r="P7795" s="11"/>
    </row>
    <row r="7796" spans="1:16" ht="12.75" x14ac:dyDescent="0.35">
      <c r="A7796" s="7">
        <v>42485.081203703703</v>
      </c>
      <c r="B7796" s="8" t="str">
        <f>HYPERLINK("https://twitter.com/WholeBoardDev","@WholeBoardDev")</f>
        <v>@WholeBoardDev</v>
      </c>
      <c r="C7796" s="9" t="s">
        <v>17126</v>
      </c>
      <c r="D7796" s="9" t="s">
        <v>17127</v>
      </c>
      <c r="E7796" s="10" t="str">
        <f>HYPERLINK("https://twitter.com/WholeBoardDev/status/724333827921944581","724333827921944581")</f>
        <v>724333827921944581</v>
      </c>
      <c r="F7796" s="11" t="s">
        <v>288</v>
      </c>
      <c r="G7796" s="11">
        <v>2160</v>
      </c>
      <c r="H7796" s="11">
        <v>2630</v>
      </c>
      <c r="I7796" s="11">
        <v>2</v>
      </c>
      <c r="J7796" s="11">
        <v>0</v>
      </c>
      <c r="K7796" s="11" t="s">
        <v>21</v>
      </c>
      <c r="L7796" s="7">
        <v>40805.936782407407</v>
      </c>
      <c r="M7796" s="12" t="s">
        <v>17128</v>
      </c>
      <c r="N7796" s="12" t="s">
        <v>17129</v>
      </c>
      <c r="O7796" s="10" t="str">
        <f>HYPERLINK("https://pbs.twimg.com/profile_images/378800000579233793/f15ee730284d492efb956f07b9b1e01f_normal.jpeg","View")</f>
        <v>View</v>
      </c>
      <c r="P7796" s="11"/>
    </row>
    <row r="7797" spans="1:16" ht="12.75" x14ac:dyDescent="0.35">
      <c r="A7797" s="7">
        <v>42485.081736111111</v>
      </c>
      <c r="B7797" s="8" t="str">
        <f>HYPERLINK("https://twitter.com/mouadennadir","@mouadennadir")</f>
        <v>@mouadennadir</v>
      </c>
      <c r="C7797" s="9" t="s">
        <v>17130</v>
      </c>
      <c r="D7797" s="9" t="s">
        <v>17131</v>
      </c>
      <c r="E7797" s="10" t="str">
        <f>HYPERLINK("https://twitter.com/mouadennadir/status/724334019077394432","724334019077394432")</f>
        <v>724334019077394432</v>
      </c>
      <c r="F7797" s="11" t="s">
        <v>114</v>
      </c>
      <c r="G7797" s="11">
        <v>274</v>
      </c>
      <c r="H7797" s="11">
        <v>683</v>
      </c>
      <c r="I7797" s="11">
        <v>0</v>
      </c>
      <c r="J7797" s="11">
        <v>0</v>
      </c>
      <c r="K7797" s="11" t="s">
        <v>21</v>
      </c>
      <c r="L7797" s="7">
        <v>40587.77652777778</v>
      </c>
      <c r="M7797" s="12"/>
      <c r="N7797" s="12" t="s">
        <v>17132</v>
      </c>
      <c r="O7797" s="10" t="str">
        <f>HYPERLINK("https://pbs.twimg.com/profile_images/714466531078483968/I1HTDlJU_normal.jpg","View")</f>
        <v>View</v>
      </c>
      <c r="P7797" s="11"/>
    </row>
    <row r="7798" spans="1:16" ht="12.75" x14ac:dyDescent="0.35">
      <c r="A7798" s="7">
        <v>42485.082453703704</v>
      </c>
      <c r="B7798" s="8" t="str">
        <f>HYPERLINK("https://twitter.com/Allluvdub","@Allluvdub")</f>
        <v>@Allluvdub</v>
      </c>
      <c r="C7798" s="9" t="s">
        <v>17133</v>
      </c>
      <c r="D7798" s="9" t="s">
        <v>17134</v>
      </c>
      <c r="E7798" s="10" t="str">
        <f>HYPERLINK("https://twitter.com/Allluvdub/status/724334282013995008","724334282013995008")</f>
        <v>724334282013995008</v>
      </c>
      <c r="F7798" s="11" t="s">
        <v>114</v>
      </c>
      <c r="G7798" s="11">
        <v>150</v>
      </c>
      <c r="H7798" s="11">
        <v>182</v>
      </c>
      <c r="I7798" s="11">
        <v>0</v>
      </c>
      <c r="J7798" s="11">
        <v>0</v>
      </c>
      <c r="K7798" s="11" t="s">
        <v>21</v>
      </c>
      <c r="L7798" s="7">
        <v>41110.849351851852</v>
      </c>
      <c r="M7798" s="12" t="s">
        <v>17135</v>
      </c>
      <c r="N7798" s="12" t="s">
        <v>17136</v>
      </c>
      <c r="O7798" s="10" t="str">
        <f>HYPERLINK("https://pbs.twimg.com/profile_images/603296786904719362/zocXeDpf_normal.jpg","View")</f>
        <v>View</v>
      </c>
      <c r="P7798" s="11"/>
    </row>
    <row r="7799" spans="1:16" ht="12.75" x14ac:dyDescent="0.35">
      <c r="A7799" s="7">
        <v>42485.082488425927</v>
      </c>
      <c r="B7799" s="8" t="str">
        <f>HYPERLINK("https://twitter.com/cotswoldcamper","@cotswoldcamper")</f>
        <v>@cotswoldcamper</v>
      </c>
      <c r="C7799" s="9" t="s">
        <v>17137</v>
      </c>
      <c r="D7799" s="9" t="s">
        <v>17138</v>
      </c>
      <c r="E7799" s="10" t="str">
        <f>HYPERLINK("https://twitter.com/cotswoldcamper/status/724334291229007872","724334291229007872")</f>
        <v>724334291229007872</v>
      </c>
      <c r="F7799" s="11" t="s">
        <v>53</v>
      </c>
      <c r="G7799" s="11">
        <v>12</v>
      </c>
      <c r="H7799" s="11">
        <v>3</v>
      </c>
      <c r="I7799" s="11">
        <v>0</v>
      </c>
      <c r="J7799" s="11">
        <v>0</v>
      </c>
      <c r="K7799" s="11" t="s">
        <v>21</v>
      </c>
      <c r="L7799" s="7">
        <v>40326.774988425925</v>
      </c>
      <c r="M7799" s="12" t="s">
        <v>17139</v>
      </c>
      <c r="N7799" s="12"/>
      <c r="O7799" s="10" t="str">
        <f>HYPERLINK("https://pbs.twimg.com/profile_images/522821606993715200/dGTrMnJ5_normal.jpeg","View")</f>
        <v>View</v>
      </c>
      <c r="P7799" s="11"/>
    </row>
    <row r="7800" spans="1:16" ht="12.75" x14ac:dyDescent="0.35">
      <c r="A7800" s="7">
        <v>42485.083506944444</v>
      </c>
      <c r="B7800" s="8" t="str">
        <f>HYPERLINK("https://twitter.com/ProjectCarsUK","@ProjectCarsUK")</f>
        <v>@ProjectCarsUK</v>
      </c>
      <c r="C7800" s="9" t="s">
        <v>2615</v>
      </c>
      <c r="D7800" s="9" t="s">
        <v>17140</v>
      </c>
      <c r="E7800" s="10" t="str">
        <f>HYPERLINK("https://twitter.com/ProjectCarsUK/status/724334660646518784","724334660646518784")</f>
        <v>724334660646518784</v>
      </c>
      <c r="F7800" s="11" t="s">
        <v>152</v>
      </c>
      <c r="G7800" s="11">
        <v>4273</v>
      </c>
      <c r="H7800" s="11">
        <v>3923</v>
      </c>
      <c r="I7800" s="11">
        <v>0</v>
      </c>
      <c r="J7800" s="11">
        <v>0</v>
      </c>
      <c r="K7800" s="11" t="s">
        <v>21</v>
      </c>
      <c r="L7800" s="7">
        <v>41877.782546296294</v>
      </c>
      <c r="M7800" s="12" t="s">
        <v>129</v>
      </c>
      <c r="N7800" s="12" t="s">
        <v>2617</v>
      </c>
      <c r="O7800" s="10" t="str">
        <f>HYPERLINK("https://pbs.twimg.com/profile_images/706833390725681152/IaXMLicB_normal.jpg","View")</f>
        <v>View</v>
      </c>
      <c r="P7800" s="11"/>
    </row>
    <row r="7801" spans="1:16" ht="12.75" x14ac:dyDescent="0.35">
      <c r="A7801" s="7">
        <v>42485.085081018522</v>
      </c>
      <c r="B7801" s="8" t="str">
        <f>HYPERLINK("https://twitter.com/OnlineCarReview","@OnlineCarReview")</f>
        <v>@OnlineCarReview</v>
      </c>
      <c r="C7801" s="9" t="s">
        <v>176</v>
      </c>
      <c r="D7801" s="9" t="s">
        <v>17141</v>
      </c>
      <c r="E7801" s="10" t="str">
        <f>HYPERLINK("https://twitter.com/OnlineCarReview/status/724335233802227713","724335233802227713")</f>
        <v>724335233802227713</v>
      </c>
      <c r="F7801" s="11" t="s">
        <v>34</v>
      </c>
      <c r="G7801" s="11">
        <v>839</v>
      </c>
      <c r="H7801" s="11">
        <v>568</v>
      </c>
      <c r="I7801" s="11">
        <v>0</v>
      </c>
      <c r="J7801" s="11">
        <v>0</v>
      </c>
      <c r="K7801" s="11" t="s">
        <v>21</v>
      </c>
      <c r="L7801" s="7">
        <v>42282.979201388887</v>
      </c>
      <c r="M7801" s="12"/>
      <c r="N7801" s="12" t="s">
        <v>178</v>
      </c>
      <c r="O7801" s="10" t="str">
        <f>HYPERLINK("https://pbs.twimg.com/profile_images/652871584131092480/QA_B6SBO_normal.jpg","View")</f>
        <v>View</v>
      </c>
      <c r="P7801" s="11"/>
    </row>
    <row r="7802" spans="1:16" ht="12.75" x14ac:dyDescent="0.35">
      <c r="A7802" s="7">
        <v>42485.085289351853</v>
      </c>
      <c r="B7802" s="8" t="str">
        <f>HYPERLINK("https://twitter.com/weKitesurf","@weKitesurf")</f>
        <v>@weKitesurf</v>
      </c>
      <c r="C7802" s="9" t="s">
        <v>17142</v>
      </c>
      <c r="D7802" s="9" t="s">
        <v>17143</v>
      </c>
      <c r="E7802" s="10" t="str">
        <f>HYPERLINK("https://twitter.com/weKitesurf/status/724335306548338689","724335306548338689")</f>
        <v>724335306548338689</v>
      </c>
      <c r="F7802" s="11" t="s">
        <v>68</v>
      </c>
      <c r="G7802" s="11">
        <v>1206</v>
      </c>
      <c r="H7802" s="11">
        <v>1</v>
      </c>
      <c r="I7802" s="11">
        <v>0</v>
      </c>
      <c r="J7802" s="11">
        <v>0</v>
      </c>
      <c r="K7802" s="11" t="s">
        <v>21</v>
      </c>
      <c r="L7802" s="7">
        <v>42241.769733796296</v>
      </c>
      <c r="M7802" s="12"/>
      <c r="N7802" s="12" t="s">
        <v>17144</v>
      </c>
      <c r="O7802" s="10" t="str">
        <f>HYPERLINK("https://pbs.twimg.com/profile_images/636161307826368512/hvccmb9X_normal.jpg","View")</f>
        <v>View</v>
      </c>
      <c r="P7802" s="11"/>
    </row>
    <row r="7803" spans="1:16" ht="12.75" x14ac:dyDescent="0.35">
      <c r="A7803" s="7">
        <v>42485.085520833338</v>
      </c>
      <c r="B7803" s="8" t="str">
        <f>HYPERLINK("https://twitter.com/VWCamperSales","@VWCamperSales")</f>
        <v>@VWCamperSales</v>
      </c>
      <c r="C7803" s="9" t="s">
        <v>216</v>
      </c>
      <c r="D7803" s="9" t="s">
        <v>17145</v>
      </c>
      <c r="E7803" s="10" t="str">
        <f>HYPERLINK("https://twitter.com/VWCamperSales/status/724335390543351808","724335390543351808")</f>
        <v>724335390543351808</v>
      </c>
      <c r="F7803" s="10" t="s">
        <v>124</v>
      </c>
      <c r="G7803" s="11">
        <v>626</v>
      </c>
      <c r="H7803" s="11">
        <v>579</v>
      </c>
      <c r="I7803" s="11">
        <v>0</v>
      </c>
      <c r="J7803" s="11">
        <v>0</v>
      </c>
      <c r="K7803" s="11" t="s">
        <v>21</v>
      </c>
      <c r="L7803" s="7">
        <v>42215.98809027778</v>
      </c>
      <c r="M7803" s="12" t="s">
        <v>129</v>
      </c>
      <c r="N7803" s="12" t="s">
        <v>218</v>
      </c>
      <c r="O7803" s="10" t="str">
        <f>HYPERLINK("https://pbs.twimg.com/profile_images/627949001179037696/skEBkS05_normal.jpg","View")</f>
        <v>View</v>
      </c>
      <c r="P7803" s="11"/>
    </row>
    <row r="7804" spans="1:16" ht="12.75" x14ac:dyDescent="0.35">
      <c r="A7804" s="7">
        <v>42485.086261574077</v>
      </c>
      <c r="B7804" s="8" t="str">
        <f>HYPERLINK("https://twitter.com/dazvw","@dazvw")</f>
        <v>@dazvw</v>
      </c>
      <c r="C7804" s="9" t="s">
        <v>14203</v>
      </c>
      <c r="D7804" s="9" t="s">
        <v>17146</v>
      </c>
      <c r="E7804" s="10" t="str">
        <f>HYPERLINK("https://twitter.com/dazvw/status/724335658844733440","724335658844733440")</f>
        <v>724335658844733440</v>
      </c>
      <c r="F7804" s="11" t="s">
        <v>114</v>
      </c>
      <c r="G7804" s="11">
        <v>118</v>
      </c>
      <c r="H7804" s="11">
        <v>170</v>
      </c>
      <c r="I7804" s="11">
        <v>0</v>
      </c>
      <c r="J7804" s="11">
        <v>0</v>
      </c>
      <c r="K7804" s="11" t="s">
        <v>21</v>
      </c>
      <c r="L7804" s="7">
        <v>40797.195451388892</v>
      </c>
      <c r="M7804" s="12" t="s">
        <v>14205</v>
      </c>
      <c r="N7804" s="12"/>
      <c r="O7804" s="10" t="str">
        <f>HYPERLINK("https://pbs.twimg.com/profile_images/3095803063/6d0b0cd10bd2f076a374a11a88bb7c2e_normal.jpeg","View")</f>
        <v>View</v>
      </c>
      <c r="P7804" s="11"/>
    </row>
    <row r="7805" spans="1:16" ht="12.75" x14ac:dyDescent="0.35">
      <c r="A7805" s="7">
        <v>42485.087071759262</v>
      </c>
      <c r="B7805" s="8" t="str">
        <f>HYPERLINK("https://twitter.com/BvdRides","@BvdRides")</f>
        <v>@BvdRides</v>
      </c>
      <c r="C7805" s="9" t="s">
        <v>17147</v>
      </c>
      <c r="D7805" s="9" t="s">
        <v>17148</v>
      </c>
      <c r="E7805" s="10" t="str">
        <f>HYPERLINK("https://twitter.com/BvdRides/status/724335952710275072","724335952710275072")</f>
        <v>724335952710275072</v>
      </c>
      <c r="F7805" s="11" t="s">
        <v>20</v>
      </c>
      <c r="G7805" s="11">
        <v>15</v>
      </c>
      <c r="H7805" s="11">
        <v>29</v>
      </c>
      <c r="I7805" s="11">
        <v>0</v>
      </c>
      <c r="J7805" s="11">
        <v>0</v>
      </c>
      <c r="K7805" s="11" t="s">
        <v>21</v>
      </c>
      <c r="L7805" s="7">
        <v>42415.102673611109</v>
      </c>
      <c r="M7805" s="12"/>
      <c r="N7805" s="12" t="s">
        <v>17149</v>
      </c>
      <c r="O7805" s="10" t="str">
        <f>HYPERLINK("https://pbs.twimg.com/profile_images/699707841108643840/BOjan7o1_normal.jpg","View")</f>
        <v>View</v>
      </c>
      <c r="P7805" s="11"/>
    </row>
    <row r="7806" spans="1:16" ht="12.75" x14ac:dyDescent="0.35">
      <c r="A7806" s="7">
        <v>42485.088182870371</v>
      </c>
      <c r="B7806" s="8" t="str">
        <f>HYPERLINK("https://twitter.com/emado3d","@emado3d")</f>
        <v>@emado3d</v>
      </c>
      <c r="C7806" s="9" t="s">
        <v>17150</v>
      </c>
      <c r="D7806" s="9" t="s">
        <v>17151</v>
      </c>
      <c r="E7806" s="10" t="str">
        <f>HYPERLINK("https://twitter.com/emado3d/status/724336355627700226","724336355627700226")</f>
        <v>724336355627700226</v>
      </c>
      <c r="F7806" s="11" t="s">
        <v>48</v>
      </c>
      <c r="G7806" s="11">
        <v>695</v>
      </c>
      <c r="H7806" s="11">
        <v>3134</v>
      </c>
      <c r="I7806" s="11">
        <v>1</v>
      </c>
      <c r="J7806" s="11">
        <v>0</v>
      </c>
      <c r="K7806" s="11" t="s">
        <v>21</v>
      </c>
      <c r="L7806" s="7">
        <v>41932.650648148148</v>
      </c>
      <c r="M7806" s="12" t="s">
        <v>17152</v>
      </c>
      <c r="N7806" s="12" t="s">
        <v>17153</v>
      </c>
      <c r="O7806" s="10" t="str">
        <f>HYPERLINK("https://pbs.twimg.com/profile_images/580714481447129089/wRVQvK_X_normal.jpg","View")</f>
        <v>View</v>
      </c>
      <c r="P7806" s="11"/>
    </row>
    <row r="7807" spans="1:16" ht="12.75" x14ac:dyDescent="0.35">
      <c r="A7807" s="7">
        <v>42485.088287037041</v>
      </c>
      <c r="B7807" s="8" t="str">
        <f>HYPERLINK("https://twitter.com/philfritzhelm","@philfritzhelm")</f>
        <v>@philfritzhelm</v>
      </c>
      <c r="C7807" s="9" t="s">
        <v>17154</v>
      </c>
      <c r="D7807" s="9" t="s">
        <v>17155</v>
      </c>
      <c r="E7807" s="10" t="str">
        <f>HYPERLINK("https://twitter.com/philfritzhelm/status/724336394282373121","724336394282373121")</f>
        <v>724336394282373121</v>
      </c>
      <c r="F7807" s="11" t="s">
        <v>20</v>
      </c>
      <c r="G7807" s="11">
        <v>1466</v>
      </c>
      <c r="H7807" s="11">
        <v>2090</v>
      </c>
      <c r="I7807" s="11">
        <v>1</v>
      </c>
      <c r="J7807" s="11">
        <v>0</v>
      </c>
      <c r="K7807" s="11" t="s">
        <v>21</v>
      </c>
      <c r="L7807" s="7">
        <v>41637.613541666666</v>
      </c>
      <c r="M7807" s="12" t="s">
        <v>17156</v>
      </c>
      <c r="N7807" s="12" t="s">
        <v>17157</v>
      </c>
      <c r="O7807" s="10" t="str">
        <f>HYPERLINK("https://pbs.twimg.com/profile_images/417530116156432384/_mFhSwvP_normal.jpeg","View")</f>
        <v>View</v>
      </c>
      <c r="P7807" s="11"/>
    </row>
    <row r="7808" spans="1:16" ht="12.75" x14ac:dyDescent="0.35">
      <c r="A7808" s="7">
        <v>42485.088379629626</v>
      </c>
      <c r="B7808" s="8" t="str">
        <f t="shared" ref="B7808:B7811" si="783">HYPERLINK("https://twitter.com/beetlebug1938","@beetlebug1938")</f>
        <v>@beetlebug1938</v>
      </c>
      <c r="C7808" s="9" t="s">
        <v>66</v>
      </c>
      <c r="D7808" s="9" t="s">
        <v>17158</v>
      </c>
      <c r="E7808" s="10" t="str">
        <f>HYPERLINK("https://twitter.com/beetlebug1938/status/724336426867908608","724336426867908608")</f>
        <v>724336426867908608</v>
      </c>
      <c r="F7808" s="11" t="s">
        <v>68</v>
      </c>
      <c r="G7808" s="11">
        <v>388</v>
      </c>
      <c r="H7808" s="11">
        <v>2328</v>
      </c>
      <c r="I7808" s="11">
        <v>1</v>
      </c>
      <c r="J7808" s="11">
        <v>0</v>
      </c>
      <c r="K7808" s="11" t="s">
        <v>21</v>
      </c>
      <c r="L7808" s="7">
        <v>42469.863865740743</v>
      </c>
      <c r="M7808" s="12" t="s">
        <v>69</v>
      </c>
      <c r="N7808" s="12"/>
      <c r="O7808" s="10" t="str">
        <f t="shared" ref="O7808:O7811" si="784">HYPERLINK("https://pbs.twimg.com/profile_images/718820712757215233/LXXndPTS_normal.jpg","View")</f>
        <v>View</v>
      </c>
      <c r="P7808" s="11"/>
    </row>
    <row r="7809" spans="1:16" ht="12.75" x14ac:dyDescent="0.35">
      <c r="A7809" s="7">
        <v>42485.088460648149</v>
      </c>
      <c r="B7809" s="8" t="str">
        <f t="shared" si="783"/>
        <v>@beetlebug1938</v>
      </c>
      <c r="C7809" s="9" t="s">
        <v>66</v>
      </c>
      <c r="D7809" s="9" t="s">
        <v>17159</v>
      </c>
      <c r="E7809" s="10" t="str">
        <f>HYPERLINK("https://twitter.com/beetlebug1938/status/724336457779953664","724336457779953664")</f>
        <v>724336457779953664</v>
      </c>
      <c r="F7809" s="11" t="s">
        <v>68</v>
      </c>
      <c r="G7809" s="11">
        <v>388</v>
      </c>
      <c r="H7809" s="11">
        <v>2328</v>
      </c>
      <c r="I7809" s="11">
        <v>0</v>
      </c>
      <c r="J7809" s="11">
        <v>0</v>
      </c>
      <c r="K7809" s="11" t="s">
        <v>21</v>
      </c>
      <c r="L7809" s="7">
        <v>42469.863865740743</v>
      </c>
      <c r="M7809" s="12" t="s">
        <v>69</v>
      </c>
      <c r="N7809" s="12"/>
      <c r="O7809" s="10" t="str">
        <f t="shared" si="784"/>
        <v>View</v>
      </c>
      <c r="P7809" s="11"/>
    </row>
    <row r="7810" spans="1:16" ht="12.75" x14ac:dyDescent="0.35">
      <c r="A7810" s="7">
        <v>42485.088599537034</v>
      </c>
      <c r="B7810" s="8" t="str">
        <f t="shared" si="783"/>
        <v>@beetlebug1938</v>
      </c>
      <c r="C7810" s="9" t="s">
        <v>66</v>
      </c>
      <c r="D7810" s="9" t="s">
        <v>17160</v>
      </c>
      <c r="E7810" s="10" t="str">
        <f>HYPERLINK("https://twitter.com/beetlebug1938/status/724336505720836096","724336505720836096")</f>
        <v>724336505720836096</v>
      </c>
      <c r="F7810" s="11" t="s">
        <v>68</v>
      </c>
      <c r="G7810" s="11">
        <v>388</v>
      </c>
      <c r="H7810" s="11">
        <v>2328</v>
      </c>
      <c r="I7810" s="11">
        <v>1</v>
      </c>
      <c r="J7810" s="11">
        <v>0</v>
      </c>
      <c r="K7810" s="11" t="s">
        <v>21</v>
      </c>
      <c r="L7810" s="7">
        <v>42469.863865740743</v>
      </c>
      <c r="M7810" s="12" t="s">
        <v>69</v>
      </c>
      <c r="N7810" s="12"/>
      <c r="O7810" s="10" t="str">
        <f t="shared" si="784"/>
        <v>View</v>
      </c>
      <c r="P7810" s="11"/>
    </row>
    <row r="7811" spans="1:16" ht="12.75" x14ac:dyDescent="0.35">
      <c r="A7811" s="7">
        <v>42485.088634259257</v>
      </c>
      <c r="B7811" s="8" t="str">
        <f t="shared" si="783"/>
        <v>@beetlebug1938</v>
      </c>
      <c r="C7811" s="9" t="s">
        <v>66</v>
      </c>
      <c r="D7811" s="9" t="s">
        <v>17161</v>
      </c>
      <c r="E7811" s="10" t="str">
        <f>HYPERLINK("https://twitter.com/beetlebug1938/status/724336517985013762","724336517985013762")</f>
        <v>724336517985013762</v>
      </c>
      <c r="F7811" s="11" t="s">
        <v>68</v>
      </c>
      <c r="G7811" s="11">
        <v>388</v>
      </c>
      <c r="H7811" s="11">
        <v>2328</v>
      </c>
      <c r="I7811" s="11">
        <v>0</v>
      </c>
      <c r="J7811" s="11">
        <v>0</v>
      </c>
      <c r="K7811" s="11" t="s">
        <v>21</v>
      </c>
      <c r="L7811" s="7">
        <v>42469.863865740743</v>
      </c>
      <c r="M7811" s="12" t="s">
        <v>69</v>
      </c>
      <c r="N7811" s="12"/>
      <c r="O7811" s="10" t="str">
        <f t="shared" si="784"/>
        <v>View</v>
      </c>
      <c r="P7811" s="11"/>
    </row>
    <row r="7812" spans="1:16" ht="12.75" x14ac:dyDescent="0.35">
      <c r="A7812" s="7">
        <v>42485.08965277778</v>
      </c>
      <c r="B7812" s="8" t="str">
        <f>HYPERLINK("https://twitter.com/VWCamperSales","@VWCamperSales")</f>
        <v>@VWCamperSales</v>
      </c>
      <c r="C7812" s="9" t="s">
        <v>216</v>
      </c>
      <c r="D7812" s="9" t="s">
        <v>17162</v>
      </c>
      <c r="E7812" s="10" t="str">
        <f>HYPERLINK("https://twitter.com/VWCamperSales/status/724336889923166209","724336889923166209")</f>
        <v>724336889923166209</v>
      </c>
      <c r="F7812" s="10" t="s">
        <v>124</v>
      </c>
      <c r="G7812" s="11">
        <v>626</v>
      </c>
      <c r="H7812" s="11">
        <v>579</v>
      </c>
      <c r="I7812" s="11">
        <v>0</v>
      </c>
      <c r="J7812" s="11">
        <v>0</v>
      </c>
      <c r="K7812" s="11" t="s">
        <v>21</v>
      </c>
      <c r="L7812" s="7">
        <v>42215.98809027778</v>
      </c>
      <c r="M7812" s="12" t="s">
        <v>129</v>
      </c>
      <c r="N7812" s="12" t="s">
        <v>218</v>
      </c>
      <c r="O7812" s="10" t="str">
        <f>HYPERLINK("https://pbs.twimg.com/profile_images/627949001179037696/skEBkS05_normal.jpg","View")</f>
        <v>View</v>
      </c>
      <c r="P7812" s="11"/>
    </row>
    <row r="7813" spans="1:16" ht="12.75" x14ac:dyDescent="0.35">
      <c r="A7813" s="7">
        <v>42485.090335648143</v>
      </c>
      <c r="B7813" s="8" t="str">
        <f t="shared" ref="B7813:B7816" si="785">HYPERLINK("https://twitter.com/dubbusses","@dubbusses")</f>
        <v>@dubbusses</v>
      </c>
      <c r="C7813" s="9" t="s">
        <v>14338</v>
      </c>
      <c r="D7813" s="9" t="s">
        <v>17163</v>
      </c>
      <c r="E7813" s="10" t="str">
        <f>HYPERLINK("https://twitter.com/dubbusses/status/724337137907318792","724337137907318792")</f>
        <v>724337137907318792</v>
      </c>
      <c r="F7813" s="11" t="s">
        <v>68</v>
      </c>
      <c r="G7813" s="11">
        <v>494</v>
      </c>
      <c r="H7813" s="11">
        <v>2823</v>
      </c>
      <c r="I7813" s="11">
        <v>0</v>
      </c>
      <c r="J7813" s="11">
        <v>1</v>
      </c>
      <c r="K7813" s="11" t="s">
        <v>21</v>
      </c>
      <c r="L7813" s="7">
        <v>42469.905393518522</v>
      </c>
      <c r="M7813" s="12" t="s">
        <v>14340</v>
      </c>
      <c r="N7813" s="12"/>
      <c r="O7813" s="10" t="str">
        <f t="shared" ref="O7813:O7816" si="786">HYPERLINK("https://pbs.twimg.com/profile_images/718835727027580928/1ssyQ67y_normal.jpg","View")</f>
        <v>View</v>
      </c>
      <c r="P7813" s="11"/>
    </row>
    <row r="7814" spans="1:16" ht="12.75" x14ac:dyDescent="0.35">
      <c r="A7814" s="7">
        <v>42485.090439814812</v>
      </c>
      <c r="B7814" s="8" t="str">
        <f t="shared" si="785"/>
        <v>@dubbusses</v>
      </c>
      <c r="C7814" s="9" t="s">
        <v>14338</v>
      </c>
      <c r="D7814" s="9" t="s">
        <v>17164</v>
      </c>
      <c r="E7814" s="10" t="str">
        <f>HYPERLINK("https://twitter.com/dubbusses/status/724337174947217410","724337174947217410")</f>
        <v>724337174947217410</v>
      </c>
      <c r="F7814" s="11" t="s">
        <v>68</v>
      </c>
      <c r="G7814" s="11">
        <v>494</v>
      </c>
      <c r="H7814" s="11">
        <v>2823</v>
      </c>
      <c r="I7814" s="11">
        <v>0</v>
      </c>
      <c r="J7814" s="11">
        <v>0</v>
      </c>
      <c r="K7814" s="11" t="s">
        <v>21</v>
      </c>
      <c r="L7814" s="7">
        <v>42469.905393518522</v>
      </c>
      <c r="M7814" s="12" t="s">
        <v>14340</v>
      </c>
      <c r="N7814" s="12"/>
      <c r="O7814" s="10" t="str">
        <f t="shared" si="786"/>
        <v>View</v>
      </c>
      <c r="P7814" s="11"/>
    </row>
    <row r="7815" spans="1:16" ht="12.75" x14ac:dyDescent="0.35">
      <c r="A7815" s="7">
        <v>42485.090509259258</v>
      </c>
      <c r="B7815" s="8" t="str">
        <f t="shared" si="785"/>
        <v>@dubbusses</v>
      </c>
      <c r="C7815" s="9" t="s">
        <v>14338</v>
      </c>
      <c r="D7815" s="9" t="s">
        <v>17165</v>
      </c>
      <c r="E7815" s="10" t="str">
        <f>HYPERLINK("https://twitter.com/dubbusses/status/724337199156727809","724337199156727809")</f>
        <v>724337199156727809</v>
      </c>
      <c r="F7815" s="11" t="s">
        <v>68</v>
      </c>
      <c r="G7815" s="11">
        <v>494</v>
      </c>
      <c r="H7815" s="11">
        <v>2823</v>
      </c>
      <c r="I7815" s="11">
        <v>0</v>
      </c>
      <c r="J7815" s="11">
        <v>0</v>
      </c>
      <c r="K7815" s="11" t="s">
        <v>21</v>
      </c>
      <c r="L7815" s="7">
        <v>42469.905393518522</v>
      </c>
      <c r="M7815" s="12" t="s">
        <v>14340</v>
      </c>
      <c r="N7815" s="12"/>
      <c r="O7815" s="10" t="str">
        <f t="shared" si="786"/>
        <v>View</v>
      </c>
      <c r="P7815" s="11"/>
    </row>
    <row r="7816" spans="1:16" ht="12.75" x14ac:dyDescent="0.35">
      <c r="A7816" s="7">
        <v>42485.090555555551</v>
      </c>
      <c r="B7816" s="8" t="str">
        <f t="shared" si="785"/>
        <v>@dubbusses</v>
      </c>
      <c r="C7816" s="9" t="s">
        <v>14338</v>
      </c>
      <c r="D7816" s="9" t="s">
        <v>17166</v>
      </c>
      <c r="E7816" s="10" t="str">
        <f>HYPERLINK("https://twitter.com/dubbusses/status/724337214927298560","724337214927298560")</f>
        <v>724337214927298560</v>
      </c>
      <c r="F7816" s="11" t="s">
        <v>68</v>
      </c>
      <c r="G7816" s="11">
        <v>494</v>
      </c>
      <c r="H7816" s="11">
        <v>2823</v>
      </c>
      <c r="I7816" s="11">
        <v>0</v>
      </c>
      <c r="J7816" s="11">
        <v>0</v>
      </c>
      <c r="K7816" s="11" t="s">
        <v>21</v>
      </c>
      <c r="L7816" s="7">
        <v>42469.905393518522</v>
      </c>
      <c r="M7816" s="12" t="s">
        <v>14340</v>
      </c>
      <c r="N7816" s="12"/>
      <c r="O7816" s="10" t="str">
        <f t="shared" si="786"/>
        <v>View</v>
      </c>
      <c r="P7816" s="11"/>
    </row>
    <row r="7817" spans="1:16" ht="12.75" x14ac:dyDescent="0.35">
      <c r="A7817" s="7">
        <v>42485.09097222222</v>
      </c>
      <c r="B7817" s="8" t="str">
        <f>HYPERLINK("https://twitter.com/BvdRides","@BvdRides")</f>
        <v>@BvdRides</v>
      </c>
      <c r="C7817" s="9" t="s">
        <v>17147</v>
      </c>
      <c r="D7817" s="9" t="s">
        <v>17167</v>
      </c>
      <c r="E7817" s="10" t="str">
        <f>HYPERLINK("https://twitter.com/BvdRides/status/724337366178119680","724337366178119680")</f>
        <v>724337366178119680</v>
      </c>
      <c r="F7817" s="11" t="s">
        <v>20</v>
      </c>
      <c r="G7817" s="11">
        <v>15</v>
      </c>
      <c r="H7817" s="11">
        <v>29</v>
      </c>
      <c r="I7817" s="11">
        <v>0</v>
      </c>
      <c r="J7817" s="11">
        <v>0</v>
      </c>
      <c r="K7817" s="11" t="s">
        <v>21</v>
      </c>
      <c r="L7817" s="7">
        <v>42415.102673611109</v>
      </c>
      <c r="M7817" s="12"/>
      <c r="N7817" s="12" t="s">
        <v>17149</v>
      </c>
      <c r="O7817" s="10" t="str">
        <f>HYPERLINK("https://pbs.twimg.com/profile_images/699707841108643840/BOjan7o1_normal.jpg","View")</f>
        <v>View</v>
      </c>
      <c r="P7817" s="11"/>
    </row>
    <row r="7818" spans="1:16" ht="12.75" x14ac:dyDescent="0.35">
      <c r="A7818" s="7">
        <v>42485.091400462959</v>
      </c>
      <c r="B7818" s="8" t="str">
        <f>HYPERLINK("https://twitter.com/VinniesVVV","@VinniesVVV")</f>
        <v>@VinniesVVV</v>
      </c>
      <c r="C7818" s="9" t="s">
        <v>17168</v>
      </c>
      <c r="D7818" s="9" t="s">
        <v>17169</v>
      </c>
      <c r="E7818" s="10" t="str">
        <f>HYPERLINK("https://twitter.com/VinniesVVV/status/724337520251678722","724337520251678722")</f>
        <v>724337520251678722</v>
      </c>
      <c r="F7818" s="11" t="s">
        <v>43</v>
      </c>
      <c r="G7818" s="11">
        <v>619</v>
      </c>
      <c r="H7818" s="11">
        <v>547</v>
      </c>
      <c r="I7818" s="11">
        <v>0</v>
      </c>
      <c r="J7818" s="11">
        <v>0</v>
      </c>
      <c r="K7818" s="11" t="s">
        <v>21</v>
      </c>
      <c r="L7818" s="7">
        <v>42002.77479166667</v>
      </c>
      <c r="M7818" s="12" t="s">
        <v>17170</v>
      </c>
      <c r="N7818" s="12" t="s">
        <v>17171</v>
      </c>
      <c r="O7818" s="10" t="str">
        <f>HYPERLINK("https://pbs.twimg.com/profile_images/549553130539450370/dyUuqEk-_normal.png","View")</f>
        <v>View</v>
      </c>
      <c r="P7818" s="11"/>
    </row>
    <row r="7819" spans="1:16" ht="12.75" x14ac:dyDescent="0.35">
      <c r="A7819" s="7">
        <v>42485.091469907406</v>
      </c>
      <c r="B7819" s="8" t="str">
        <f>HYPERLINK("https://twitter.com/nata_sale","@nata_sale")</f>
        <v>@nata_sale</v>
      </c>
      <c r="C7819" s="9" t="s">
        <v>17172</v>
      </c>
      <c r="D7819" s="9" t="s">
        <v>15178</v>
      </c>
      <c r="E7819" s="10" t="str">
        <f>HYPERLINK("https://twitter.com/nata_sale/status/724337548034711552","724337548034711552")</f>
        <v>724337548034711552</v>
      </c>
      <c r="F7819" s="11" t="s">
        <v>48</v>
      </c>
      <c r="G7819" s="11">
        <v>349</v>
      </c>
      <c r="H7819" s="11">
        <v>321</v>
      </c>
      <c r="I7819" s="11">
        <v>11</v>
      </c>
      <c r="J7819" s="11">
        <v>0</v>
      </c>
      <c r="K7819" s="11" t="s">
        <v>21</v>
      </c>
      <c r="L7819" s="7">
        <v>40451.942280092597</v>
      </c>
      <c r="M7819" s="12" t="s">
        <v>17173</v>
      </c>
      <c r="N7819" s="12" t="s">
        <v>17174</v>
      </c>
      <c r="O7819" s="10" t="str">
        <f>HYPERLINK("https://pbs.twimg.com/profile_images/712338804879790080/NZD5MPUU_normal.jpg","View")</f>
        <v>View</v>
      </c>
      <c r="P7819" s="11"/>
    </row>
    <row r="7820" spans="1:16" ht="12.75" x14ac:dyDescent="0.35">
      <c r="A7820" s="7">
        <v>42485.093124999999</v>
      </c>
      <c r="B7820" s="8" t="str">
        <f>HYPERLINK("https://twitter.com/VolkswagenPost","@VolkswagenPost")</f>
        <v>@VolkswagenPost</v>
      </c>
      <c r="C7820" s="9" t="s">
        <v>321</v>
      </c>
      <c r="D7820" s="9" t="s">
        <v>17175</v>
      </c>
      <c r="E7820" s="10" t="str">
        <f>HYPERLINK("https://twitter.com/VolkswagenPost/status/724338146851229696","724338146851229696")</f>
        <v>724338146851229696</v>
      </c>
      <c r="F7820" s="11" t="s">
        <v>34</v>
      </c>
      <c r="G7820" s="11">
        <v>571</v>
      </c>
      <c r="H7820" s="11">
        <v>446</v>
      </c>
      <c r="I7820" s="11">
        <v>0</v>
      </c>
      <c r="J7820" s="11">
        <v>0</v>
      </c>
      <c r="K7820" s="11" t="s">
        <v>21</v>
      </c>
      <c r="L7820" s="7">
        <v>41940.618379629632</v>
      </c>
      <c r="M7820" s="12"/>
      <c r="N7820" s="12"/>
      <c r="O7820" s="10" t="str">
        <f>HYPERLINK("https://pbs.twimg.com/profile_images/530071272881803264/a_jcCmPZ_normal.png","View")</f>
        <v>View</v>
      </c>
      <c r="P7820" s="11"/>
    </row>
    <row r="7821" spans="1:16" ht="12.75" x14ac:dyDescent="0.35">
      <c r="A7821" s="7">
        <v>42485.093171296292</v>
      </c>
      <c r="B7821" s="8" t="str">
        <f t="shared" ref="B7821:B7822" si="787">HYPERLINK("https://twitter.com/FuscaWorld","@FuscaWorld")</f>
        <v>@FuscaWorld</v>
      </c>
      <c r="C7821" s="9" t="s">
        <v>74</v>
      </c>
      <c r="D7821" s="9" t="s">
        <v>17176</v>
      </c>
      <c r="E7821" s="10" t="str">
        <f>HYPERLINK("https://twitter.com/FuscaWorld/status/724338164622626817","724338164622626817")</f>
        <v>724338164622626817</v>
      </c>
      <c r="F7821" s="11" t="s">
        <v>76</v>
      </c>
      <c r="G7821" s="11">
        <v>52</v>
      </c>
      <c r="H7821" s="11">
        <v>1</v>
      </c>
      <c r="I7821" s="11">
        <v>1</v>
      </c>
      <c r="J7821" s="11">
        <v>0</v>
      </c>
      <c r="K7821" s="11" t="s">
        <v>21</v>
      </c>
      <c r="L7821" s="7">
        <v>42433.880914351852</v>
      </c>
      <c r="M7821" s="12"/>
      <c r="N7821" s="12" t="s">
        <v>77</v>
      </c>
      <c r="O7821" s="10" t="str">
        <f t="shared" ref="O7821:O7822" si="788">HYPERLINK("https://pbs.twimg.com/profile_images/705780107844067328/e7O4UBNb_normal.jpg","View")</f>
        <v>View</v>
      </c>
      <c r="P7821" s="11"/>
    </row>
    <row r="7822" spans="1:16" ht="12.75" x14ac:dyDescent="0.35">
      <c r="A7822" s="7">
        <v>42485.093182870369</v>
      </c>
      <c r="B7822" s="8" t="str">
        <f t="shared" si="787"/>
        <v>@FuscaWorld</v>
      </c>
      <c r="C7822" s="9" t="s">
        <v>74</v>
      </c>
      <c r="D7822" s="9" t="s">
        <v>17177</v>
      </c>
      <c r="E7822" s="10" t="str">
        <f>HYPERLINK("https://twitter.com/FuscaWorld/status/724338166606532608","724338166606532608")</f>
        <v>724338166606532608</v>
      </c>
      <c r="F7822" s="11" t="s">
        <v>76</v>
      </c>
      <c r="G7822" s="11">
        <v>52</v>
      </c>
      <c r="H7822" s="11">
        <v>1</v>
      </c>
      <c r="I7822" s="11">
        <v>1</v>
      </c>
      <c r="J7822" s="11">
        <v>0</v>
      </c>
      <c r="K7822" s="11" t="s">
        <v>21</v>
      </c>
      <c r="L7822" s="7">
        <v>42433.880914351852</v>
      </c>
      <c r="M7822" s="12"/>
      <c r="N7822" s="12" t="s">
        <v>77</v>
      </c>
      <c r="O7822" s="10" t="str">
        <f t="shared" si="788"/>
        <v>View</v>
      </c>
      <c r="P7822" s="11"/>
    </row>
    <row r="7823" spans="1:16" ht="12.75" x14ac:dyDescent="0.35">
      <c r="A7823" s="7">
        <v>42485.093495370369</v>
      </c>
      <c r="B7823" s="8" t="str">
        <f>HYPERLINK("https://twitter.com/phindo_N","@phindo_N")</f>
        <v>@phindo_N</v>
      </c>
      <c r="C7823" s="9" t="s">
        <v>17178</v>
      </c>
      <c r="D7823" s="9" t="s">
        <v>13150</v>
      </c>
      <c r="E7823" s="10" t="str">
        <f>HYPERLINK("https://twitter.com/phindo_N/status/724338280939044866","724338280939044866")</f>
        <v>724338280939044866</v>
      </c>
      <c r="F7823" s="11" t="s">
        <v>48</v>
      </c>
      <c r="G7823" s="11">
        <v>226</v>
      </c>
      <c r="H7823" s="11">
        <v>259</v>
      </c>
      <c r="I7823" s="11">
        <v>36</v>
      </c>
      <c r="J7823" s="11">
        <v>0</v>
      </c>
      <c r="K7823" s="11" t="s">
        <v>21</v>
      </c>
      <c r="L7823" s="7">
        <v>40231.570879629631</v>
      </c>
      <c r="M7823" s="12" t="s">
        <v>17179</v>
      </c>
      <c r="N7823" s="12" t="s">
        <v>17180</v>
      </c>
      <c r="O7823" s="10" t="str">
        <f>HYPERLINK("https://pbs.twimg.com/profile_images/708972808471187456/v1Wlagi4_normal.jpg","View")</f>
        <v>View</v>
      </c>
      <c r="P7823" s="11"/>
    </row>
    <row r="7824" spans="1:16" ht="12.75" x14ac:dyDescent="0.35">
      <c r="A7824" s="7">
        <v>42485.093969907408</v>
      </c>
      <c r="B7824" s="8" t="str">
        <f>HYPERLINK("https://twitter.com/VinniesVVV","@VinniesVVV")</f>
        <v>@VinniesVVV</v>
      </c>
      <c r="C7824" s="9" t="s">
        <v>17168</v>
      </c>
      <c r="D7824" s="9" t="s">
        <v>17181</v>
      </c>
      <c r="E7824" s="10" t="str">
        <f>HYPERLINK("https://twitter.com/VinniesVVV/status/724338452939067393","724338452939067393")</f>
        <v>724338452939067393</v>
      </c>
      <c r="F7824" s="11" t="s">
        <v>43</v>
      </c>
      <c r="G7824" s="11">
        <v>619</v>
      </c>
      <c r="H7824" s="11">
        <v>547</v>
      </c>
      <c r="I7824" s="11">
        <v>0</v>
      </c>
      <c r="J7824" s="11">
        <v>0</v>
      </c>
      <c r="K7824" s="11" t="s">
        <v>21</v>
      </c>
      <c r="L7824" s="7">
        <v>42002.77479166667</v>
      </c>
      <c r="M7824" s="12" t="s">
        <v>17170</v>
      </c>
      <c r="N7824" s="12" t="s">
        <v>17171</v>
      </c>
      <c r="O7824" s="10" t="str">
        <f>HYPERLINK("https://pbs.twimg.com/profile_images/549553130539450370/dyUuqEk-_normal.png","View")</f>
        <v>View</v>
      </c>
      <c r="P7824" s="11"/>
    </row>
    <row r="7825" spans="1:16" ht="12.75" x14ac:dyDescent="0.35">
      <c r="A7825" s="7">
        <v>42485.095057870371</v>
      </c>
      <c r="B7825" s="8" t="str">
        <f>HYPERLINK("https://twitter.com/bBOLDbLONG","@bBOLDbLONG")</f>
        <v>@bBOLDbLONG</v>
      </c>
      <c r="C7825" s="9" t="s">
        <v>15918</v>
      </c>
      <c r="D7825" s="9" t="s">
        <v>17182</v>
      </c>
      <c r="E7825" s="10" t="str">
        <f>HYPERLINK("https://twitter.com/bBOLDbLONG/status/724338846964563968","724338846964563968")</f>
        <v>724338846964563968</v>
      </c>
      <c r="F7825" s="11" t="s">
        <v>114</v>
      </c>
      <c r="G7825" s="11">
        <v>86</v>
      </c>
      <c r="H7825" s="11">
        <v>129</v>
      </c>
      <c r="I7825" s="11">
        <v>0</v>
      </c>
      <c r="J7825" s="11">
        <v>0</v>
      </c>
      <c r="K7825" s="11" t="s">
        <v>21</v>
      </c>
      <c r="L7825" s="7">
        <v>40128.109710648147</v>
      </c>
      <c r="M7825" s="12" t="s">
        <v>15920</v>
      </c>
      <c r="N7825" s="12" t="s">
        <v>15921</v>
      </c>
      <c r="O7825" s="10" t="str">
        <f>HYPERLINK("https://pbs.twimg.com/profile_images/708353303667671040/p6l9LTSb_normal.jpg","View")</f>
        <v>View</v>
      </c>
      <c r="P7825" s="11"/>
    </row>
    <row r="7826" spans="1:16" ht="12.75" x14ac:dyDescent="0.35">
      <c r="A7826" s="7">
        <v>42485.095601851848</v>
      </c>
      <c r="B7826" s="8" t="str">
        <f>HYPERLINK("https://twitter.com/freddiezblogs","@freddiezblogs")</f>
        <v>@freddiezblogs</v>
      </c>
      <c r="C7826" s="9" t="s">
        <v>17183</v>
      </c>
      <c r="D7826" s="9" t="s">
        <v>17184</v>
      </c>
      <c r="E7826" s="10" t="str">
        <f>HYPERLINK("https://twitter.com/freddiezblogs/status/724339044205867008","724339044205867008")</f>
        <v>724339044205867008</v>
      </c>
      <c r="F7826" s="11" t="s">
        <v>20</v>
      </c>
      <c r="G7826" s="11">
        <v>343</v>
      </c>
      <c r="H7826" s="11">
        <v>248</v>
      </c>
      <c r="I7826" s="11">
        <v>0</v>
      </c>
      <c r="J7826" s="11">
        <v>0</v>
      </c>
      <c r="K7826" s="11" t="s">
        <v>21</v>
      </c>
      <c r="L7826" s="7">
        <v>40371.931875000002</v>
      </c>
      <c r="M7826" s="12" t="s">
        <v>17185</v>
      </c>
      <c r="N7826" s="12" t="s">
        <v>17186</v>
      </c>
      <c r="O7826" s="10" t="str">
        <f>HYPERLINK("https://pbs.twimg.com/profile_images/480741315341459456/dzsCO_A6_normal.jpeg","View")</f>
        <v>View</v>
      </c>
      <c r="P7826" s="11"/>
    </row>
    <row r="7827" spans="1:16" ht="12.75" x14ac:dyDescent="0.35">
      <c r="A7827" s="7">
        <v>42485.095995370371</v>
      </c>
      <c r="B7827" s="8" t="str">
        <f>HYPERLINK("https://twitter.com/LulubelleLimoVW","@LulubelleLimoVW")</f>
        <v>@LulubelleLimoVW</v>
      </c>
      <c r="C7827" s="9" t="s">
        <v>14447</v>
      </c>
      <c r="D7827" s="9" t="s">
        <v>17187</v>
      </c>
      <c r="E7827" s="10" t="str">
        <f>HYPERLINK("https://twitter.com/LulubelleLimoVW/status/724339188812898306","724339188812898306")</f>
        <v>724339188812898306</v>
      </c>
      <c r="F7827" s="11" t="s">
        <v>48</v>
      </c>
      <c r="G7827" s="11">
        <v>838</v>
      </c>
      <c r="H7827" s="11">
        <v>2707</v>
      </c>
      <c r="I7827" s="11">
        <v>0</v>
      </c>
      <c r="J7827" s="11">
        <v>0</v>
      </c>
      <c r="K7827" s="11" t="s">
        <v>21</v>
      </c>
      <c r="L7827" s="7">
        <v>42411.141666666663</v>
      </c>
      <c r="M7827" s="12" t="s">
        <v>14449</v>
      </c>
      <c r="N7827" s="12" t="s">
        <v>14450</v>
      </c>
      <c r="O7827" s="10" t="str">
        <f>HYPERLINK("https://pbs.twimg.com/profile_images/697539834840268800/fIANhnLA_normal.jpg","View")</f>
        <v>View</v>
      </c>
      <c r="P7827" s="11"/>
    </row>
    <row r="7828" spans="1:16" ht="12.75" x14ac:dyDescent="0.35">
      <c r="A7828" s="7">
        <v>42485.096689814818</v>
      </c>
      <c r="B7828" s="8" t="str">
        <f>HYPERLINK("https://twitter.com/bBOLDbLONG","@bBOLDbLONG")</f>
        <v>@bBOLDbLONG</v>
      </c>
      <c r="C7828" s="9" t="s">
        <v>15918</v>
      </c>
      <c r="D7828" s="9" t="s">
        <v>17188</v>
      </c>
      <c r="E7828" s="10" t="str">
        <f>HYPERLINK("https://twitter.com/bBOLDbLONG/status/724339436989886465","724339436989886465")</f>
        <v>724339436989886465</v>
      </c>
      <c r="F7828" s="11" t="s">
        <v>114</v>
      </c>
      <c r="G7828" s="11">
        <v>86</v>
      </c>
      <c r="H7828" s="11">
        <v>129</v>
      </c>
      <c r="I7828" s="11">
        <v>0</v>
      </c>
      <c r="J7828" s="11">
        <v>0</v>
      </c>
      <c r="K7828" s="11" t="s">
        <v>21</v>
      </c>
      <c r="L7828" s="7">
        <v>40128.109710648147</v>
      </c>
      <c r="M7828" s="12" t="s">
        <v>15920</v>
      </c>
      <c r="N7828" s="12" t="s">
        <v>15921</v>
      </c>
      <c r="O7828" s="10" t="str">
        <f>HYPERLINK("https://pbs.twimg.com/profile_images/708353303667671040/p6l9LTSb_normal.jpg","View")</f>
        <v>View</v>
      </c>
      <c r="P7828" s="11"/>
    </row>
    <row r="7829" spans="1:16" ht="12.75" x14ac:dyDescent="0.35">
      <c r="A7829" s="7">
        <v>42485.09679398148</v>
      </c>
      <c r="B7829" s="8" t="str">
        <f>HYPERLINK("https://twitter.com/mickjohan","@mickjohan")</f>
        <v>@mickjohan</v>
      </c>
      <c r="C7829" s="9" t="s">
        <v>17189</v>
      </c>
      <c r="D7829" s="9" t="s">
        <v>17190</v>
      </c>
      <c r="E7829" s="10" t="str">
        <f>HYPERLINK("https://twitter.com/mickjohan/status/724339476101771264","724339476101771264")</f>
        <v>724339476101771264</v>
      </c>
      <c r="F7829" s="11" t="s">
        <v>114</v>
      </c>
      <c r="G7829" s="11">
        <v>1366</v>
      </c>
      <c r="H7829" s="11">
        <v>280</v>
      </c>
      <c r="I7829" s="11">
        <v>0</v>
      </c>
      <c r="J7829" s="11">
        <v>2</v>
      </c>
      <c r="K7829" s="11" t="s">
        <v>21</v>
      </c>
      <c r="L7829" s="7">
        <v>41286.683969907404</v>
      </c>
      <c r="M7829" s="12" t="s">
        <v>1748</v>
      </c>
      <c r="N7829" s="12" t="s">
        <v>17191</v>
      </c>
      <c r="O7829" s="10" t="str">
        <f>HYPERLINK("https://pbs.twimg.com/profile_images/470842509212389376/fWSC321M_normal.jpeg","View")</f>
        <v>View</v>
      </c>
      <c r="P7829" s="11"/>
    </row>
    <row r="7830" spans="1:16" ht="12.75" x14ac:dyDescent="0.35">
      <c r="A7830" s="7">
        <v>42485.097118055557</v>
      </c>
      <c r="B7830" s="8" t="str">
        <f t="shared" ref="B7830:B7831" si="789">HYPERLINK("https://twitter.com/Mphilpot1","@Mphilpot1")</f>
        <v>@Mphilpot1</v>
      </c>
      <c r="C7830" s="9" t="s">
        <v>1280</v>
      </c>
      <c r="D7830" s="9" t="s">
        <v>17192</v>
      </c>
      <c r="E7830" s="10" t="str">
        <f>HYPERLINK("https://twitter.com/Mphilpot1/status/724339595639287808","724339595639287808")</f>
        <v>724339595639287808</v>
      </c>
      <c r="F7830" s="11" t="s">
        <v>34</v>
      </c>
      <c r="G7830" s="11">
        <v>115</v>
      </c>
      <c r="H7830" s="11">
        <v>141</v>
      </c>
      <c r="I7830" s="11">
        <v>0</v>
      </c>
      <c r="J7830" s="11">
        <v>0</v>
      </c>
      <c r="K7830" s="11" t="s">
        <v>21</v>
      </c>
      <c r="L7830" s="7">
        <v>41137.855208333334</v>
      </c>
      <c r="M7830" s="12"/>
      <c r="N7830" s="12"/>
      <c r="O7830" s="10" t="str">
        <f t="shared" ref="O7830:O7831" si="790">HYPERLINK("https://pbs.twimg.com/profile_images/422164778639839234/LVnS1q1c_normal.jpeg","View")</f>
        <v>View</v>
      </c>
      <c r="P7830" s="11"/>
    </row>
    <row r="7831" spans="1:16" ht="12.75" x14ac:dyDescent="0.35">
      <c r="A7831" s="7">
        <v>42485.097129629634</v>
      </c>
      <c r="B7831" s="8" t="str">
        <f t="shared" si="789"/>
        <v>@Mphilpot1</v>
      </c>
      <c r="C7831" s="9" t="s">
        <v>1280</v>
      </c>
      <c r="D7831" s="9" t="s">
        <v>17193</v>
      </c>
      <c r="E7831" s="10" t="str">
        <f>HYPERLINK("https://twitter.com/Mphilpot1/status/724339596432035841","724339596432035841")</f>
        <v>724339596432035841</v>
      </c>
      <c r="F7831" s="11" t="s">
        <v>34</v>
      </c>
      <c r="G7831" s="11">
        <v>115</v>
      </c>
      <c r="H7831" s="11">
        <v>141</v>
      </c>
      <c r="I7831" s="11">
        <v>0</v>
      </c>
      <c r="J7831" s="11">
        <v>0</v>
      </c>
      <c r="K7831" s="11" t="s">
        <v>21</v>
      </c>
      <c r="L7831" s="7">
        <v>41137.855208333334</v>
      </c>
      <c r="M7831" s="12"/>
      <c r="N7831" s="12"/>
      <c r="O7831" s="10" t="str">
        <f t="shared" si="790"/>
        <v>View</v>
      </c>
      <c r="P7831" s="11"/>
    </row>
    <row r="7832" spans="1:16" ht="12.75" x14ac:dyDescent="0.35">
      <c r="A7832" s="7">
        <v>42485.097673611112</v>
      </c>
      <c r="B7832" s="8" t="str">
        <f>HYPERLINK("https://twitter.com/DrDCameron","@DrDCameron")</f>
        <v>@DrDCameron</v>
      </c>
      <c r="C7832" s="9" t="s">
        <v>17194</v>
      </c>
      <c r="D7832" s="9" t="s">
        <v>17195</v>
      </c>
      <c r="E7832" s="10" t="str">
        <f>HYPERLINK("https://twitter.com/DrDCameron/status/724339796177502208","724339796177502208")</f>
        <v>724339796177502208</v>
      </c>
      <c r="F7832" s="11" t="s">
        <v>114</v>
      </c>
      <c r="G7832" s="11">
        <v>168</v>
      </c>
      <c r="H7832" s="11">
        <v>226</v>
      </c>
      <c r="I7832" s="11">
        <v>0</v>
      </c>
      <c r="J7832" s="11">
        <v>0</v>
      </c>
      <c r="K7832" s="11" t="s">
        <v>21</v>
      </c>
      <c r="L7832" s="7">
        <v>40787.886770833335</v>
      </c>
      <c r="M7832" s="12" t="s">
        <v>17196</v>
      </c>
      <c r="N7832" s="12" t="s">
        <v>17197</v>
      </c>
      <c r="O7832" s="10" t="str">
        <f>HYPERLINK("https://pbs.twimg.com/profile_images/696636009489027074/-Wvt8k6B_normal.jpg","View")</f>
        <v>View</v>
      </c>
      <c r="P7832" s="11"/>
    </row>
    <row r="7833" spans="1:16" ht="12.75" x14ac:dyDescent="0.35">
      <c r="A7833" s="7">
        <v>42485.097986111112</v>
      </c>
      <c r="B7833" s="8" t="str">
        <f>HYPERLINK("https://twitter.com/eobz","@eobz")</f>
        <v>@eobz</v>
      </c>
      <c r="C7833" s="9" t="s">
        <v>17198</v>
      </c>
      <c r="D7833" s="9" t="s">
        <v>17199</v>
      </c>
      <c r="E7833" s="10" t="str">
        <f>HYPERLINK("https://twitter.com/eobz/status/724339909046210560","724339909046210560")</f>
        <v>724339909046210560</v>
      </c>
      <c r="F7833" s="11" t="s">
        <v>91</v>
      </c>
      <c r="G7833" s="11">
        <v>92</v>
      </c>
      <c r="H7833" s="11">
        <v>65</v>
      </c>
      <c r="I7833" s="11">
        <v>0</v>
      </c>
      <c r="J7833" s="11">
        <v>0</v>
      </c>
      <c r="K7833" s="11" t="s">
        <v>21</v>
      </c>
      <c r="L7833" s="7">
        <v>40113.758229166662</v>
      </c>
      <c r="M7833" s="12" t="s">
        <v>1116</v>
      </c>
      <c r="N7833" s="12" t="s">
        <v>17200</v>
      </c>
      <c r="O7833" s="10" t="str">
        <f>HYPERLINK("https://pbs.twimg.com/profile_images/378800000766386331/f04375b1d8e1812af51469e131f0542c_normal.png","View")</f>
        <v>View</v>
      </c>
      <c r="P7833" s="11"/>
    </row>
    <row r="7834" spans="1:16" ht="12.75" x14ac:dyDescent="0.35">
      <c r="A7834" s="7">
        <v>42485.098032407404</v>
      </c>
      <c r="B7834" s="8" t="str">
        <f>HYPERLINK("https://twitter.com/CharleneMeiring","@CharleneMeiring")</f>
        <v>@CharleneMeiring</v>
      </c>
      <c r="C7834" s="9" t="s">
        <v>17201</v>
      </c>
      <c r="D7834" s="9" t="s">
        <v>17202</v>
      </c>
      <c r="E7834" s="10" t="str">
        <f>HYPERLINK("https://twitter.com/CharleneMeiring/status/724339926834241538","724339926834241538")</f>
        <v>724339926834241538</v>
      </c>
      <c r="F7834" s="11" t="s">
        <v>114</v>
      </c>
      <c r="G7834" s="11">
        <v>282</v>
      </c>
      <c r="H7834" s="11">
        <v>225</v>
      </c>
      <c r="I7834" s="11">
        <v>0</v>
      </c>
      <c r="J7834" s="11">
        <v>0</v>
      </c>
      <c r="K7834" s="11" t="s">
        <v>21</v>
      </c>
      <c r="L7834" s="7">
        <v>40501.628750000003</v>
      </c>
      <c r="M7834" s="12" t="s">
        <v>17203</v>
      </c>
      <c r="N7834" s="12" t="s">
        <v>17204</v>
      </c>
      <c r="O7834" s="10" t="str">
        <f>HYPERLINK("https://pbs.twimg.com/profile_images/720880019296296960/f-rN3NZq_normal.jpg","View")</f>
        <v>View</v>
      </c>
      <c r="P7834" s="11"/>
    </row>
    <row r="7835" spans="1:16" ht="12.75" x14ac:dyDescent="0.35">
      <c r="A7835" s="7">
        <v>42485.098194444443</v>
      </c>
      <c r="B7835" s="8" t="str">
        <f>HYPERLINK("https://twitter.com/I_Am_Golden07","@I_Am_Golden07")</f>
        <v>@I_Am_Golden07</v>
      </c>
      <c r="C7835" s="9" t="s">
        <v>17205</v>
      </c>
      <c r="D7835" s="9" t="s">
        <v>3265</v>
      </c>
      <c r="E7835" s="10" t="str">
        <f>HYPERLINK("https://twitter.com/I_Am_Golden07/status/724339983667093504","724339983667093504")</f>
        <v>724339983667093504</v>
      </c>
      <c r="F7835" s="11" t="s">
        <v>2060</v>
      </c>
      <c r="G7835" s="11">
        <v>498</v>
      </c>
      <c r="H7835" s="11">
        <v>726</v>
      </c>
      <c r="I7835" s="11">
        <v>6</v>
      </c>
      <c r="J7835" s="11">
        <v>0</v>
      </c>
      <c r="K7835" s="11" t="s">
        <v>21</v>
      </c>
      <c r="L7835" s="7">
        <v>41549.776932870373</v>
      </c>
      <c r="M7835" s="12" t="s">
        <v>17206</v>
      </c>
      <c r="N7835" s="12" t="s">
        <v>17207</v>
      </c>
      <c r="O7835" s="10" t="str">
        <f>HYPERLINK("https://pbs.twimg.com/profile_images/655302243806265344/V6UKksnQ_normal.jpg","View")</f>
        <v>View</v>
      </c>
      <c r="P7835" s="11"/>
    </row>
    <row r="7836" spans="1:16" ht="12.75" x14ac:dyDescent="0.35">
      <c r="A7836" s="7">
        <v>42485.100069444445</v>
      </c>
      <c r="B7836" s="8" t="str">
        <f>HYPERLINK("https://twitter.com/VWCamperSales","@VWCamperSales")</f>
        <v>@VWCamperSales</v>
      </c>
      <c r="C7836" s="9" t="s">
        <v>216</v>
      </c>
      <c r="D7836" s="9" t="s">
        <v>17208</v>
      </c>
      <c r="E7836" s="10" t="str">
        <f>HYPERLINK("https://twitter.com/VWCamperSales/status/724340665857888257","724340665857888257")</f>
        <v>724340665857888257</v>
      </c>
      <c r="F7836" s="10" t="s">
        <v>124</v>
      </c>
      <c r="G7836" s="11">
        <v>626</v>
      </c>
      <c r="H7836" s="11">
        <v>579</v>
      </c>
      <c r="I7836" s="11">
        <v>0</v>
      </c>
      <c r="J7836" s="11">
        <v>1</v>
      </c>
      <c r="K7836" s="11" t="s">
        <v>21</v>
      </c>
      <c r="L7836" s="7">
        <v>42215.98809027778</v>
      </c>
      <c r="M7836" s="12" t="s">
        <v>129</v>
      </c>
      <c r="N7836" s="12" t="s">
        <v>218</v>
      </c>
      <c r="O7836" s="10" t="str">
        <f>HYPERLINK("https://pbs.twimg.com/profile_images/627949001179037696/skEBkS05_normal.jpg","View")</f>
        <v>View</v>
      </c>
      <c r="P7836" s="11"/>
    </row>
    <row r="7837" spans="1:16" ht="12.75" x14ac:dyDescent="0.35">
      <c r="A7837" s="7">
        <v>42485.100173611107</v>
      </c>
      <c r="B7837" s="8" t="str">
        <f>HYPERLINK("https://twitter.com/Supa_cdq_dj","@Supa_cdq_dj")</f>
        <v>@Supa_cdq_dj</v>
      </c>
      <c r="C7837" s="9" t="s">
        <v>17209</v>
      </c>
      <c r="D7837" s="9" t="s">
        <v>13150</v>
      </c>
      <c r="E7837" s="10" t="str">
        <f>HYPERLINK("https://twitter.com/Supa_cdq_dj/status/724340701744508928","724340701744508928")</f>
        <v>724340701744508928</v>
      </c>
      <c r="F7837" s="11" t="s">
        <v>43</v>
      </c>
      <c r="G7837" s="11">
        <v>538</v>
      </c>
      <c r="H7837" s="11">
        <v>260</v>
      </c>
      <c r="I7837" s="11">
        <v>37</v>
      </c>
      <c r="J7837" s="11">
        <v>0</v>
      </c>
      <c r="K7837" s="11" t="s">
        <v>21</v>
      </c>
      <c r="L7837" s="7">
        <v>40790.967245370368</v>
      </c>
      <c r="M7837" s="12" t="s">
        <v>17210</v>
      </c>
      <c r="N7837" s="12" t="s">
        <v>17211</v>
      </c>
      <c r="O7837" s="10" t="str">
        <f>HYPERLINK("https://pbs.twimg.com/profile_images/723212795840479232/6xUJeaP1_normal.jpg","View")</f>
        <v>View</v>
      </c>
      <c r="P7837" s="11"/>
    </row>
    <row r="7838" spans="1:16" ht="12.75" x14ac:dyDescent="0.35">
      <c r="A7838" s="7">
        <v>42485.100393518514</v>
      </c>
      <c r="B7838" s="8" t="str">
        <f>HYPERLINK("https://twitter.com/Scirocco_Tuning","@Scirocco_Tuning")</f>
        <v>@Scirocco_Tuning</v>
      </c>
      <c r="C7838" s="9" t="s">
        <v>51</v>
      </c>
      <c r="D7838" s="9" t="s">
        <v>17212</v>
      </c>
      <c r="E7838" s="10" t="str">
        <f>HYPERLINK("https://twitter.com/Scirocco_Tuning/status/724340782631653376","724340782631653376")</f>
        <v>724340782631653376</v>
      </c>
      <c r="F7838" s="11" t="s">
        <v>53</v>
      </c>
      <c r="G7838" s="11">
        <v>70</v>
      </c>
      <c r="H7838" s="11">
        <v>215</v>
      </c>
      <c r="I7838" s="11">
        <v>0</v>
      </c>
      <c r="J7838" s="11">
        <v>0</v>
      </c>
      <c r="K7838" s="11" t="s">
        <v>21</v>
      </c>
      <c r="L7838" s="7">
        <v>40844.564722222218</v>
      </c>
      <c r="M7838" s="12"/>
      <c r="N7838" s="12"/>
      <c r="O7838" s="10" t="str">
        <f>HYPERLINK("https://pbs.twimg.com/profile_images/1610421423/Image2_normal.jpg","View")</f>
        <v>View</v>
      </c>
      <c r="P7838" s="11"/>
    </row>
    <row r="7839" spans="1:16" ht="12.75" x14ac:dyDescent="0.35">
      <c r="A7839" s="7">
        <v>42485.101909722223</v>
      </c>
      <c r="B7839" s="8" t="str">
        <f>HYPERLINK("https://twitter.com/Parisien2base","@Parisien2base")</f>
        <v>@Parisien2base</v>
      </c>
      <c r="C7839" s="9" t="s">
        <v>17213</v>
      </c>
      <c r="D7839" s="9" t="s">
        <v>17214</v>
      </c>
      <c r="E7839" s="10" t="str">
        <f>HYPERLINK("https://twitter.com/Parisien2base/status/724341329258536960","724341329258536960")</f>
        <v>724341329258536960</v>
      </c>
      <c r="F7839" s="11" t="s">
        <v>20</v>
      </c>
      <c r="G7839" s="11">
        <v>1338</v>
      </c>
      <c r="H7839" s="11">
        <v>1158</v>
      </c>
      <c r="I7839" s="11">
        <v>0</v>
      </c>
      <c r="J7839" s="11">
        <v>0</v>
      </c>
      <c r="K7839" s="11" t="s">
        <v>21</v>
      </c>
      <c r="L7839" s="7">
        <v>40784.644479166665</v>
      </c>
      <c r="M7839" s="12" t="s">
        <v>13227</v>
      </c>
      <c r="N7839" s="12" t="s">
        <v>17215</v>
      </c>
      <c r="O7839" s="10" t="str">
        <f>HYPERLINK("https://pbs.twimg.com/profile_images/714088281739276288/gp__i-eN_normal.jpg","View")</f>
        <v>View</v>
      </c>
      <c r="P7839" s="11"/>
    </row>
    <row r="7840" spans="1:16" ht="12.75" x14ac:dyDescent="0.35">
      <c r="A7840" s="7">
        <v>42485.103159722217</v>
      </c>
      <c r="B7840" s="8" t="str">
        <f>HYPERLINK("https://twitter.com/VWBeetleSales","@VWBeetleSales")</f>
        <v>@VWBeetleSales</v>
      </c>
      <c r="C7840" s="9" t="s">
        <v>127</v>
      </c>
      <c r="D7840" s="9" t="s">
        <v>17216</v>
      </c>
      <c r="E7840" s="10" t="str">
        <f>HYPERLINK("https://twitter.com/VWBeetleSales/status/724341783975448577","724341783975448577")</f>
        <v>724341783975448577</v>
      </c>
      <c r="F7840" s="10" t="s">
        <v>124</v>
      </c>
      <c r="G7840" s="11">
        <v>39</v>
      </c>
      <c r="H7840" s="11">
        <v>32</v>
      </c>
      <c r="I7840" s="11">
        <v>0</v>
      </c>
      <c r="J7840" s="11">
        <v>0</v>
      </c>
      <c r="K7840" s="11" t="s">
        <v>21</v>
      </c>
      <c r="L7840" s="7">
        <v>42427.019756944443</v>
      </c>
      <c r="M7840" s="12" t="s">
        <v>129</v>
      </c>
      <c r="N7840" s="12" t="s">
        <v>130</v>
      </c>
      <c r="O7840" s="10" t="str">
        <f>HYPERLINK("https://pbs.twimg.com/profile_images/703294545195307008/qeCvrX86_normal.jpg","View")</f>
        <v>View</v>
      </c>
      <c r="P7840" s="11"/>
    </row>
    <row r="7841" spans="1:16" ht="12.75" x14ac:dyDescent="0.35">
      <c r="A7841" s="7">
        <v>42485.103703703702</v>
      </c>
      <c r="B7841" s="8" t="str">
        <f>HYPERLINK("https://twitter.com/VeeDubMk1_","@VeeDubMk1_")</f>
        <v>@VeeDubMk1_</v>
      </c>
      <c r="C7841" s="9" t="s">
        <v>185</v>
      </c>
      <c r="D7841" s="9" t="s">
        <v>17217</v>
      </c>
      <c r="E7841" s="10" t="str">
        <f>HYPERLINK("https://twitter.com/VeeDubMk1_/status/724341982387122177","724341982387122177")</f>
        <v>724341982387122177</v>
      </c>
      <c r="F7841" s="11" t="s">
        <v>68</v>
      </c>
      <c r="G7841" s="11">
        <v>555</v>
      </c>
      <c r="H7841" s="11">
        <v>2968</v>
      </c>
      <c r="I7841" s="11">
        <v>0</v>
      </c>
      <c r="J7841" s="11">
        <v>0</v>
      </c>
      <c r="K7841" s="11" t="s">
        <v>21</v>
      </c>
      <c r="L7841" s="7">
        <v>42343.063356481478</v>
      </c>
      <c r="M7841" s="12"/>
      <c r="N7841" s="12"/>
      <c r="O7841" s="10" t="str">
        <f>HYPERLINK("https://pbs.twimg.com/profile_images/672878354127839232/M7OYc-zx_normal.jpg","View")</f>
        <v>View</v>
      </c>
      <c r="P7841" s="11"/>
    </row>
    <row r="7842" spans="1:16" ht="12.75" x14ac:dyDescent="0.35">
      <c r="A7842" s="7">
        <v>42485.105069444442</v>
      </c>
      <c r="B7842" s="8" t="str">
        <f>HYPERLINK("https://twitter.com/AMERMUSCLE289","@AMERMUSCLE289")</f>
        <v>@AMERMUSCLE289</v>
      </c>
      <c r="C7842" s="9" t="s">
        <v>11272</v>
      </c>
      <c r="D7842" s="9" t="s">
        <v>17218</v>
      </c>
      <c r="E7842" s="10" t="str">
        <f>HYPERLINK("https://twitter.com/AMERMUSCLE289/status/724342473963642880","724342473963642880")</f>
        <v>724342473963642880</v>
      </c>
      <c r="F7842" s="11" t="s">
        <v>114</v>
      </c>
      <c r="G7842" s="11">
        <v>260</v>
      </c>
      <c r="H7842" s="11">
        <v>330</v>
      </c>
      <c r="I7842" s="11">
        <v>0</v>
      </c>
      <c r="J7842" s="11">
        <v>0</v>
      </c>
      <c r="K7842" s="11" t="s">
        <v>21</v>
      </c>
      <c r="L7842" s="7">
        <v>40517.189039351855</v>
      </c>
      <c r="M7842" s="12"/>
      <c r="N7842" s="12" t="s">
        <v>17219</v>
      </c>
      <c r="O7842" s="10" t="str">
        <f>HYPERLINK("https://pbs.twimg.com/profile_images/675534584336007169/U_CrS130_normal.jpg","View")</f>
        <v>View</v>
      </c>
      <c r="P7842" s="11"/>
    </row>
    <row r="7843" spans="1:16" ht="12.75" x14ac:dyDescent="0.35">
      <c r="A7843" s="7">
        <v>42485.105775462958</v>
      </c>
      <c r="B7843" s="8" t="str">
        <f>HYPERLINK("https://twitter.com/VCT_Tweets","@VCT_Tweets")</f>
        <v>@VCT_Tweets</v>
      </c>
      <c r="C7843" s="9" t="s">
        <v>199</v>
      </c>
      <c r="D7843" s="9" t="s">
        <v>17220</v>
      </c>
      <c r="E7843" s="10" t="str">
        <f>HYPERLINK("https://twitter.com/VCT_Tweets/status/724342731368202241","724342731368202241")</f>
        <v>724342731368202241</v>
      </c>
      <c r="F7843" s="11" t="s">
        <v>68</v>
      </c>
      <c r="G7843" s="11">
        <v>890</v>
      </c>
      <c r="H7843" s="11">
        <v>211</v>
      </c>
      <c r="I7843" s="11">
        <v>0</v>
      </c>
      <c r="J7843" s="11">
        <v>0</v>
      </c>
      <c r="K7843" s="11" t="s">
        <v>21</v>
      </c>
      <c r="L7843" s="7">
        <v>40744.914837962962</v>
      </c>
      <c r="M7843" s="12" t="s">
        <v>201</v>
      </c>
      <c r="N7843" s="12" t="s">
        <v>202</v>
      </c>
      <c r="O7843" s="10" t="str">
        <f>HYPERLINK("https://pbs.twimg.com/profile_images/569800899141177344/nVFLMSdb_normal.png","View")</f>
        <v>View</v>
      </c>
      <c r="P7843" s="11"/>
    </row>
    <row r="7844" spans="1:16" ht="12.75" x14ac:dyDescent="0.35">
      <c r="A7844" s="7">
        <v>42485.10701388889</v>
      </c>
      <c r="B7844" s="8" t="str">
        <f>HYPERLINK("https://twitter.com/VWBeetleSales","@VWBeetleSales")</f>
        <v>@VWBeetleSales</v>
      </c>
      <c r="C7844" s="9" t="s">
        <v>127</v>
      </c>
      <c r="D7844" s="9" t="s">
        <v>17221</v>
      </c>
      <c r="E7844" s="10" t="str">
        <f>HYPERLINK("https://twitter.com/VWBeetleSales/status/724343178820640768","724343178820640768")</f>
        <v>724343178820640768</v>
      </c>
      <c r="F7844" s="10" t="s">
        <v>124</v>
      </c>
      <c r="G7844" s="11">
        <v>39</v>
      </c>
      <c r="H7844" s="11">
        <v>32</v>
      </c>
      <c r="I7844" s="11">
        <v>0</v>
      </c>
      <c r="J7844" s="11">
        <v>0</v>
      </c>
      <c r="K7844" s="11" t="s">
        <v>21</v>
      </c>
      <c r="L7844" s="7">
        <v>42427.019756944443</v>
      </c>
      <c r="M7844" s="12" t="s">
        <v>129</v>
      </c>
      <c r="N7844" s="12" t="s">
        <v>130</v>
      </c>
      <c r="O7844" s="10" t="str">
        <f>HYPERLINK("https://pbs.twimg.com/profile_images/703294545195307008/qeCvrX86_normal.jpg","View")</f>
        <v>View</v>
      </c>
      <c r="P7844" s="11"/>
    </row>
    <row r="7845" spans="1:16" ht="12.75" x14ac:dyDescent="0.35">
      <c r="A7845" s="7">
        <v>42485.112638888888</v>
      </c>
      <c r="B7845" s="8" t="str">
        <f>HYPERLINK("https://twitter.com/Cheungy86","@Cheungy86")</f>
        <v>@Cheungy86</v>
      </c>
      <c r="C7845" s="9" t="s">
        <v>17222</v>
      </c>
      <c r="D7845" s="9" t="s">
        <v>17223</v>
      </c>
      <c r="E7845" s="10" t="str">
        <f>HYPERLINK("https://twitter.com/Cheungy86/status/724345219395780608","724345219395780608")</f>
        <v>724345219395780608</v>
      </c>
      <c r="F7845" s="11" t="s">
        <v>114</v>
      </c>
      <c r="G7845" s="11">
        <v>41</v>
      </c>
      <c r="H7845" s="11">
        <v>131</v>
      </c>
      <c r="I7845" s="11">
        <v>0</v>
      </c>
      <c r="J7845" s="11">
        <v>0</v>
      </c>
      <c r="K7845" s="11" t="s">
        <v>21</v>
      </c>
      <c r="L7845" s="7">
        <v>40850.163842592592</v>
      </c>
      <c r="M7845" s="12" t="s">
        <v>17224</v>
      </c>
      <c r="N7845" s="12"/>
      <c r="O7845" s="10" t="str">
        <f>HYPERLINK("https://pbs.twimg.com/profile_images/535173250201165824/tSEsAL8Z_normal.jpeg","View")</f>
        <v>View</v>
      </c>
      <c r="P7845" s="11"/>
    </row>
    <row r="7846" spans="1:16" ht="12.75" x14ac:dyDescent="0.35">
      <c r="A7846" s="7">
        <v>42485.113287037035</v>
      </c>
      <c r="B7846" s="8" t="str">
        <f>HYPERLINK("https://twitter.com/VWCamperSales","@VWCamperSales")</f>
        <v>@VWCamperSales</v>
      </c>
      <c r="C7846" s="9" t="s">
        <v>216</v>
      </c>
      <c r="D7846" s="9" t="s">
        <v>17225</v>
      </c>
      <c r="E7846" s="10" t="str">
        <f>HYPERLINK("https://twitter.com/VWCamperSales/status/724345451923656704","724345451923656704")</f>
        <v>724345451923656704</v>
      </c>
      <c r="F7846" s="10" t="s">
        <v>124</v>
      </c>
      <c r="G7846" s="11">
        <v>627</v>
      </c>
      <c r="H7846" s="11">
        <v>579</v>
      </c>
      <c r="I7846" s="11">
        <v>0</v>
      </c>
      <c r="J7846" s="11">
        <v>0</v>
      </c>
      <c r="K7846" s="11" t="s">
        <v>21</v>
      </c>
      <c r="L7846" s="7">
        <v>42215.98809027778</v>
      </c>
      <c r="M7846" s="12" t="s">
        <v>129</v>
      </c>
      <c r="N7846" s="12" t="s">
        <v>218</v>
      </c>
      <c r="O7846" s="10" t="str">
        <f>HYPERLINK("https://pbs.twimg.com/profile_images/627949001179037696/skEBkS05_normal.jpg","View")</f>
        <v>View</v>
      </c>
      <c r="P7846" s="11"/>
    </row>
    <row r="7847" spans="1:16" ht="12.75" x14ac:dyDescent="0.35">
      <c r="A7847" s="7">
        <v>42485.114583333328</v>
      </c>
      <c r="B7847" s="8" t="str">
        <f>HYPERLINK("https://twitter.com/drivingsales","@drivingsales")</f>
        <v>@drivingsales</v>
      </c>
      <c r="C7847" s="9" t="s">
        <v>3897</v>
      </c>
      <c r="D7847" s="9" t="s">
        <v>17226</v>
      </c>
      <c r="E7847" s="10" t="str">
        <f>HYPERLINK("https://twitter.com/drivingsales/status/724345923200008192","724345923200008192")</f>
        <v>724345923200008192</v>
      </c>
      <c r="F7847" s="11" t="s">
        <v>3871</v>
      </c>
      <c r="G7847" s="11">
        <v>11204</v>
      </c>
      <c r="H7847" s="11">
        <v>1122</v>
      </c>
      <c r="I7847" s="11">
        <v>0</v>
      </c>
      <c r="J7847" s="11">
        <v>0</v>
      </c>
      <c r="K7847" s="11" t="s">
        <v>21</v>
      </c>
      <c r="L7847" s="7">
        <v>39673.986400462964</v>
      </c>
      <c r="M7847" s="12" t="s">
        <v>3899</v>
      </c>
      <c r="N7847" s="12" t="s">
        <v>3900</v>
      </c>
      <c r="O7847" s="10" t="str">
        <f>HYPERLINK("https://pbs.twimg.com/profile_images/654794006421856256/WvLcZ_Wx_normal.png","View")</f>
        <v>View</v>
      </c>
      <c r="P7847" s="11"/>
    </row>
    <row r="7848" spans="1:16" ht="12.75" x14ac:dyDescent="0.35">
      <c r="A7848" s="7">
        <v>42485.114687499998</v>
      </c>
      <c r="B7848" s="8" t="str">
        <f>HYPERLINK("https://twitter.com/acvwpassion","@acvwpassion")</f>
        <v>@acvwpassion</v>
      </c>
      <c r="C7848" s="9" t="s">
        <v>4671</v>
      </c>
      <c r="D7848" s="9" t="s">
        <v>17227</v>
      </c>
      <c r="E7848" s="10" t="str">
        <f>HYPERLINK("https://twitter.com/acvwpassion/status/724345961699520512","724345961699520512")</f>
        <v>724345961699520512</v>
      </c>
      <c r="F7848" s="11" t="s">
        <v>152</v>
      </c>
      <c r="G7848" s="11">
        <v>244</v>
      </c>
      <c r="H7848" s="11">
        <v>409</v>
      </c>
      <c r="I7848" s="11">
        <v>0</v>
      </c>
      <c r="J7848" s="11">
        <v>0</v>
      </c>
      <c r="K7848" s="11" t="s">
        <v>21</v>
      </c>
      <c r="L7848" s="7">
        <v>41989.101851851854</v>
      </c>
      <c r="M7848" s="12" t="s">
        <v>4673</v>
      </c>
      <c r="N7848" s="12" t="s">
        <v>4674</v>
      </c>
      <c r="O7848" s="10" t="str">
        <f>HYPERLINK("https://pbs.twimg.com/profile_images/545688359964651520/SF3sJ7lv_normal.jpeg","View")</f>
        <v>View</v>
      </c>
      <c r="P7848" s="11"/>
    </row>
    <row r="7849" spans="1:16" ht="12.75" x14ac:dyDescent="0.35">
      <c r="A7849" s="7">
        <v>42485.114722222221</v>
      </c>
      <c r="B7849" s="8" t="str">
        <f>HYPERLINK("https://twitter.com/klassikautos","@klassikautos")</f>
        <v>@klassikautos</v>
      </c>
      <c r="C7849" s="9" t="s">
        <v>17228</v>
      </c>
      <c r="D7849" s="9" t="s">
        <v>15494</v>
      </c>
      <c r="E7849" s="10" t="str">
        <f>HYPERLINK("https://twitter.com/klassikautos/status/724345975045758976","724345975045758976")</f>
        <v>724345975045758976</v>
      </c>
      <c r="F7849" s="11" t="s">
        <v>48</v>
      </c>
      <c r="G7849" s="11">
        <v>454</v>
      </c>
      <c r="H7849" s="11">
        <v>226</v>
      </c>
      <c r="I7849" s="11">
        <v>20</v>
      </c>
      <c r="J7849" s="11">
        <v>0</v>
      </c>
      <c r="K7849" s="11" t="s">
        <v>21</v>
      </c>
      <c r="L7849" s="7">
        <v>41952.581041666665</v>
      </c>
      <c r="M7849" s="12"/>
      <c r="N7849" s="12" t="s">
        <v>17229</v>
      </c>
      <c r="O7849" s="10" t="str">
        <f>HYPERLINK("https://pbs.twimg.com/profile_images/531363470009057281/FJGMIqtq_normal.jpeg","View")</f>
        <v>View</v>
      </c>
      <c r="P7849" s="11"/>
    </row>
    <row r="7850" spans="1:16" ht="12.75" x14ac:dyDescent="0.35">
      <c r="A7850" s="7">
        <v>42485.11482638889</v>
      </c>
      <c r="B7850" s="8" t="str">
        <f>HYPERLINK("https://twitter.com/dronodromo","@dronodromo")</f>
        <v>@dronodromo</v>
      </c>
      <c r="C7850" s="8" t="s">
        <v>17230</v>
      </c>
      <c r="D7850" s="9" t="s">
        <v>17231</v>
      </c>
      <c r="E7850" s="10" t="str">
        <f>HYPERLINK("https://twitter.com/dronodromo/status/724346009917247488","724346009917247488")</f>
        <v>724346009917247488</v>
      </c>
      <c r="F7850" s="11" t="s">
        <v>68</v>
      </c>
      <c r="G7850" s="11">
        <v>1598</v>
      </c>
      <c r="H7850" s="11">
        <v>944</v>
      </c>
      <c r="I7850" s="11">
        <v>0</v>
      </c>
      <c r="J7850" s="11">
        <v>0</v>
      </c>
      <c r="K7850" s="11" t="s">
        <v>21</v>
      </c>
      <c r="L7850" s="7">
        <v>41993.940671296295</v>
      </c>
      <c r="M7850" s="12" t="s">
        <v>1622</v>
      </c>
      <c r="N7850" s="12" t="s">
        <v>17232</v>
      </c>
      <c r="O7850" s="10" t="str">
        <f>HYPERLINK("https://pbs.twimg.com/profile_images/573778930378743808/Yb08OLOA_normal.jpeg","View")</f>
        <v>View</v>
      </c>
      <c r="P7850" s="11"/>
    </row>
    <row r="7851" spans="1:16" ht="12.75" x14ac:dyDescent="0.35">
      <c r="A7851" s="7">
        <v>42485.114930555559</v>
      </c>
      <c r="B7851" s="8" t="str">
        <f>HYPERLINK("https://twitter.com/VistaVW","@VistaVW")</f>
        <v>@VistaVW</v>
      </c>
      <c r="C7851" s="9" t="s">
        <v>17233</v>
      </c>
      <c r="D7851" s="9" t="s">
        <v>17234</v>
      </c>
      <c r="E7851" s="10" t="str">
        <f>HYPERLINK("https://twitter.com/VistaVW/status/724346048181768192","724346048181768192")</f>
        <v>724346048181768192</v>
      </c>
      <c r="F7851" s="11" t="s">
        <v>3552</v>
      </c>
      <c r="G7851" s="11">
        <v>279</v>
      </c>
      <c r="H7851" s="11">
        <v>61</v>
      </c>
      <c r="I7851" s="11">
        <v>0</v>
      </c>
      <c r="J7851" s="11">
        <v>0</v>
      </c>
      <c r="K7851" s="11" t="s">
        <v>21</v>
      </c>
      <c r="L7851" s="7">
        <v>39942.985625000001</v>
      </c>
      <c r="M7851" s="12" t="s">
        <v>17235</v>
      </c>
      <c r="N7851" s="12" t="s">
        <v>17236</v>
      </c>
      <c r="O7851" s="10" t="str">
        <f>HYPERLINK("https://pbs.twimg.com/profile_images/657564593817059328/VJEmun5T_normal.jpg","View")</f>
        <v>View</v>
      </c>
      <c r="P7851" s="11"/>
    </row>
    <row r="7852" spans="1:16" ht="12.75" x14ac:dyDescent="0.35">
      <c r="A7852" s="7">
        <v>42485.115474537037</v>
      </c>
      <c r="B7852" s="8" t="str">
        <f>HYPERLINK("https://twitter.com/JanTiborLelley","@JanTiborLelley")</f>
        <v>@JanTiborLelley</v>
      </c>
      <c r="C7852" s="9" t="s">
        <v>17237</v>
      </c>
      <c r="D7852" s="9" t="s">
        <v>17238</v>
      </c>
      <c r="E7852" s="10" t="str">
        <f>HYPERLINK("https://twitter.com/JanTiborLelley/status/724346244869447680","724346244869447680")</f>
        <v>724346244869447680</v>
      </c>
      <c r="F7852" s="11" t="s">
        <v>933</v>
      </c>
      <c r="G7852" s="11">
        <v>503</v>
      </c>
      <c r="H7852" s="11">
        <v>349</v>
      </c>
      <c r="I7852" s="11">
        <v>0</v>
      </c>
      <c r="J7852" s="11">
        <v>0</v>
      </c>
      <c r="K7852" s="11" t="s">
        <v>21</v>
      </c>
      <c r="L7852" s="7">
        <v>40373.587488425925</v>
      </c>
      <c r="M7852" s="12" t="s">
        <v>17239</v>
      </c>
      <c r="N7852" s="12" t="s">
        <v>17240</v>
      </c>
      <c r="O7852" s="10" t="str">
        <f>HYPERLINK("https://pbs.twimg.com/profile_images/378800000430951783/0ce25846ceb65087d31e2d52427a241e_normal.jpeg","View")</f>
        <v>View</v>
      </c>
      <c r="P7852" s="11"/>
    </row>
    <row r="7853" spans="1:16" ht="12.75" x14ac:dyDescent="0.35">
      <c r="A7853" s="7">
        <v>42485.116331018522</v>
      </c>
      <c r="B7853" s="8" t="str">
        <f t="shared" ref="B7853:B7854" si="791">HYPERLINK("https://twitter.com/Insta_VWT","@Insta_VWT")</f>
        <v>@Insta_VWT</v>
      </c>
      <c r="C7853" s="9" t="s">
        <v>181</v>
      </c>
      <c r="D7853" s="9" t="s">
        <v>17241</v>
      </c>
      <c r="E7853" s="10" t="str">
        <f>HYPERLINK("https://twitter.com/Insta_VWT/status/724346554895753216","724346554895753216")</f>
        <v>724346554895753216</v>
      </c>
      <c r="F7853" s="11" t="s">
        <v>68</v>
      </c>
      <c r="G7853" s="11">
        <v>483</v>
      </c>
      <c r="H7853" s="11">
        <v>0</v>
      </c>
      <c r="I7853" s="11">
        <v>0</v>
      </c>
      <c r="J7853" s="11">
        <v>0</v>
      </c>
      <c r="K7853" s="11" t="s">
        <v>21</v>
      </c>
      <c r="L7853" s="7">
        <v>41658.782800925925</v>
      </c>
      <c r="M7853" s="12" t="s">
        <v>183</v>
      </c>
      <c r="N7853" s="12" t="s">
        <v>184</v>
      </c>
      <c r="O7853" s="10" t="str">
        <f t="shared" ref="O7853:O7854" si="792">HYPERLINK("https://pbs.twimg.com/profile_images/424893967197433858/iQ86NktX_normal.jpeg","View")</f>
        <v>View</v>
      </c>
      <c r="P7853" s="11"/>
    </row>
    <row r="7854" spans="1:16" ht="12.75" x14ac:dyDescent="0.35">
      <c r="A7854" s="7">
        <v>42485.116516203707</v>
      </c>
      <c r="B7854" s="8" t="str">
        <f t="shared" si="791"/>
        <v>@Insta_VWT</v>
      </c>
      <c r="C7854" s="9" t="s">
        <v>181</v>
      </c>
      <c r="D7854" s="9" t="s">
        <v>17242</v>
      </c>
      <c r="E7854" s="10" t="str">
        <f>HYPERLINK("https://twitter.com/Insta_VWT/status/724346625594937344","724346625594937344")</f>
        <v>724346625594937344</v>
      </c>
      <c r="F7854" s="11" t="s">
        <v>68</v>
      </c>
      <c r="G7854" s="11">
        <v>483</v>
      </c>
      <c r="H7854" s="11">
        <v>0</v>
      </c>
      <c r="I7854" s="11">
        <v>0</v>
      </c>
      <c r="J7854" s="11">
        <v>0</v>
      </c>
      <c r="K7854" s="11" t="s">
        <v>21</v>
      </c>
      <c r="L7854" s="7">
        <v>41658.782800925925</v>
      </c>
      <c r="M7854" s="12" t="s">
        <v>183</v>
      </c>
      <c r="N7854" s="12" t="s">
        <v>184</v>
      </c>
      <c r="O7854" s="10" t="str">
        <f t="shared" si="792"/>
        <v>View</v>
      </c>
      <c r="P7854" s="11"/>
    </row>
    <row r="7855" spans="1:16" ht="12.75" x14ac:dyDescent="0.35">
      <c r="A7855" s="7">
        <v>42485.117418981477</v>
      </c>
      <c r="B7855" s="8" t="str">
        <f>HYPERLINK("https://twitter.com/VWCamperSales","@VWCamperSales")</f>
        <v>@VWCamperSales</v>
      </c>
      <c r="C7855" s="9" t="s">
        <v>216</v>
      </c>
      <c r="D7855" s="9" t="s">
        <v>17243</v>
      </c>
      <c r="E7855" s="10" t="str">
        <f>HYPERLINK("https://twitter.com/VWCamperSales/status/724346951194439682","724346951194439682")</f>
        <v>724346951194439682</v>
      </c>
      <c r="F7855" s="10" t="s">
        <v>124</v>
      </c>
      <c r="G7855" s="11">
        <v>627</v>
      </c>
      <c r="H7855" s="11">
        <v>579</v>
      </c>
      <c r="I7855" s="11">
        <v>0</v>
      </c>
      <c r="J7855" s="11">
        <v>0</v>
      </c>
      <c r="K7855" s="11" t="s">
        <v>21</v>
      </c>
      <c r="L7855" s="7">
        <v>42215.98809027778</v>
      </c>
      <c r="M7855" s="12" t="s">
        <v>129</v>
      </c>
      <c r="N7855" s="12" t="s">
        <v>218</v>
      </c>
      <c r="O7855" s="10" t="str">
        <f>HYPERLINK("https://pbs.twimg.com/profile_images/627949001179037696/skEBkS05_normal.jpg","View")</f>
        <v>View</v>
      </c>
      <c r="P7855" s="11"/>
    </row>
    <row r="7856" spans="1:16" ht="12.75" x14ac:dyDescent="0.35">
      <c r="A7856" s="7">
        <v>42485.117731481485</v>
      </c>
      <c r="B7856" s="8" t="str">
        <f>HYPERLINK("https://twitter.com/Vagowners","@Vagowners")</f>
        <v>@Vagowners</v>
      </c>
      <c r="C7856" s="9" t="s">
        <v>8564</v>
      </c>
      <c r="D7856" s="9" t="s">
        <v>17244</v>
      </c>
      <c r="E7856" s="10" t="str">
        <f>HYPERLINK("https://twitter.com/Vagowners/status/724347064952467456","724347064952467456")</f>
        <v>724347064952467456</v>
      </c>
      <c r="F7856" s="11" t="s">
        <v>1838</v>
      </c>
      <c r="G7856" s="11">
        <v>44</v>
      </c>
      <c r="H7856" s="11">
        <v>179</v>
      </c>
      <c r="I7856" s="11">
        <v>1</v>
      </c>
      <c r="J7856" s="11">
        <v>0</v>
      </c>
      <c r="K7856" s="11" t="s">
        <v>21</v>
      </c>
      <c r="L7856" s="7">
        <v>42469.918541666666</v>
      </c>
      <c r="M7856" s="12" t="s">
        <v>129</v>
      </c>
      <c r="N7856" s="12" t="s">
        <v>8565</v>
      </c>
      <c r="O7856" s="10" t="str">
        <f>HYPERLINK("https://pbs.twimg.com/profile_images/718839998531903489/eXyeGppJ_normal.jpg","View")</f>
        <v>View</v>
      </c>
      <c r="P7856" s="11"/>
    </row>
    <row r="7857" spans="1:16" ht="12.75" x14ac:dyDescent="0.35">
      <c r="A7857" s="7">
        <v>42485.117962962962</v>
      </c>
      <c r="B7857" s="8" t="str">
        <f>HYPERLINK("https://twitter.com/dedecasanti","@dedecasanti")</f>
        <v>@dedecasanti</v>
      </c>
      <c r="C7857" s="9" t="s">
        <v>17245</v>
      </c>
      <c r="D7857" s="9" t="s">
        <v>17246</v>
      </c>
      <c r="E7857" s="10" t="str">
        <f>HYPERLINK("https://twitter.com/dedecasanti/status/724347146712002562","724347146712002562")</f>
        <v>724347146712002562</v>
      </c>
      <c r="F7857" s="11" t="s">
        <v>114</v>
      </c>
      <c r="G7857" s="11">
        <v>163</v>
      </c>
      <c r="H7857" s="11">
        <v>460</v>
      </c>
      <c r="I7857" s="11">
        <v>0</v>
      </c>
      <c r="J7857" s="11">
        <v>0</v>
      </c>
      <c r="K7857" s="11" t="s">
        <v>21</v>
      </c>
      <c r="L7857" s="7">
        <v>40064.802905092591</v>
      </c>
      <c r="M7857" s="12" t="s">
        <v>17247</v>
      </c>
      <c r="N7857" s="12" t="s">
        <v>17248</v>
      </c>
      <c r="O7857" s="10" t="str">
        <f>HYPERLINK("https://pbs.twimg.com/profile_images/524355034013007872/20dLVcUJ_normal.jpeg","View")</f>
        <v>View</v>
      </c>
      <c r="P7857" s="10" t="str">
        <f>HYPERLINK("http://ctrlq.org/maps/address/#-23.3333,-52.0833","Map")</f>
        <v>Map</v>
      </c>
    </row>
    <row r="7858" spans="1:16" ht="12.75" x14ac:dyDescent="0.35">
      <c r="A7858" s="7">
        <v>42485.120069444441</v>
      </c>
      <c r="B7858" s="8" t="str">
        <f>HYPERLINK("https://twitter.com/PizzaMoto","@PizzaMoto")</f>
        <v>@PizzaMoto</v>
      </c>
      <c r="C7858" s="9" t="s">
        <v>17249</v>
      </c>
      <c r="D7858" s="9" t="s">
        <v>17250</v>
      </c>
      <c r="E7858" s="10" t="str">
        <f>HYPERLINK("https://twitter.com/PizzaMoto/status/724347911253942273","724347911253942273")</f>
        <v>724347911253942273</v>
      </c>
      <c r="F7858" s="11" t="s">
        <v>114</v>
      </c>
      <c r="G7858" s="11">
        <v>864</v>
      </c>
      <c r="H7858" s="11">
        <v>443</v>
      </c>
      <c r="I7858" s="11">
        <v>0</v>
      </c>
      <c r="J7858" s="11">
        <v>0</v>
      </c>
      <c r="K7858" s="11" t="s">
        <v>21</v>
      </c>
      <c r="L7858" s="7">
        <v>40314.901736111111</v>
      </c>
      <c r="M7858" s="12" t="s">
        <v>17251</v>
      </c>
      <c r="N7858" s="12" t="s">
        <v>17252</v>
      </c>
      <c r="O7858" s="10" t="str">
        <f>HYPERLINK("https://pbs.twimg.com/profile_images/459754327150972928/X6V7wHEO_normal.jpeg","View")</f>
        <v>View</v>
      </c>
      <c r="P7858" s="11"/>
    </row>
    <row r="7859" spans="1:16" ht="12.75" x14ac:dyDescent="0.35">
      <c r="A7859" s="7">
        <v>42485.120208333334</v>
      </c>
      <c r="B7859" s="8" t="str">
        <f>HYPERLINK("https://twitter.com/VWBeetleSales","@VWBeetleSales")</f>
        <v>@VWBeetleSales</v>
      </c>
      <c r="C7859" s="9" t="s">
        <v>127</v>
      </c>
      <c r="D7859" s="9" t="s">
        <v>17253</v>
      </c>
      <c r="E7859" s="10" t="str">
        <f>HYPERLINK("https://twitter.com/VWBeetleSales/status/724347962990551041","724347962990551041")</f>
        <v>724347962990551041</v>
      </c>
      <c r="F7859" s="10" t="s">
        <v>124</v>
      </c>
      <c r="G7859" s="11">
        <v>39</v>
      </c>
      <c r="H7859" s="11">
        <v>32</v>
      </c>
      <c r="I7859" s="11">
        <v>0</v>
      </c>
      <c r="J7859" s="11">
        <v>0</v>
      </c>
      <c r="K7859" s="11" t="s">
        <v>21</v>
      </c>
      <c r="L7859" s="7">
        <v>42427.019756944443</v>
      </c>
      <c r="M7859" s="12" t="s">
        <v>129</v>
      </c>
      <c r="N7859" s="12" t="s">
        <v>130</v>
      </c>
      <c r="O7859" s="10" t="str">
        <f>HYPERLINK("https://pbs.twimg.com/profile_images/703294545195307008/qeCvrX86_normal.jpg","View")</f>
        <v>View</v>
      </c>
      <c r="P7859" s="11"/>
    </row>
    <row r="7860" spans="1:16" ht="12.75" x14ac:dyDescent="0.35">
      <c r="A7860" s="7">
        <v>42485.120925925927</v>
      </c>
      <c r="B7860" s="8" t="str">
        <f>HYPERLINK("https://twitter.com/Horsa44Shoki","@Horsa44Shoki")</f>
        <v>@Horsa44Shoki</v>
      </c>
      <c r="C7860" s="9" t="s">
        <v>17254</v>
      </c>
      <c r="D7860" s="9" t="s">
        <v>17255</v>
      </c>
      <c r="E7860" s="10" t="str">
        <f>HYPERLINK("https://twitter.com/Horsa44Shoki/status/724348223939186688","724348223939186688")</f>
        <v>724348223939186688</v>
      </c>
      <c r="F7860" s="11" t="s">
        <v>20</v>
      </c>
      <c r="G7860" s="11">
        <v>141</v>
      </c>
      <c r="H7860" s="11">
        <v>758</v>
      </c>
      <c r="I7860" s="11">
        <v>0</v>
      </c>
      <c r="J7860" s="11">
        <v>0</v>
      </c>
      <c r="K7860" s="11" t="s">
        <v>21</v>
      </c>
      <c r="L7860" s="7">
        <v>41264.34306712963</v>
      </c>
      <c r="M7860" s="12" t="s">
        <v>17256</v>
      </c>
      <c r="N7860" s="12" t="s">
        <v>17257</v>
      </c>
      <c r="O7860" s="10" t="str">
        <f>HYPERLINK("https://pbs.twimg.com/profile_images/687009895862812672/_-RTvAQT_normal.jpg","View")</f>
        <v>View</v>
      </c>
      <c r="P7860" s="11"/>
    </row>
    <row r="7861" spans="1:16" ht="12.75" x14ac:dyDescent="0.35">
      <c r="A7861" s="7">
        <v>42485.12100694445</v>
      </c>
      <c r="B7861" s="8" t="str">
        <f>HYPERLINK("https://twitter.com/wohsracrepus","@wohsracrepus")</f>
        <v>@wohsracrepus</v>
      </c>
      <c r="C7861" s="9" t="s">
        <v>17258</v>
      </c>
      <c r="D7861" s="9" t="s">
        <v>17259</v>
      </c>
      <c r="E7861" s="10" t="str">
        <f>HYPERLINK("https://twitter.com/wohsracrepus/status/724348250749329412","724348250749329412")</f>
        <v>724348250749329412</v>
      </c>
      <c r="F7861" s="11" t="s">
        <v>20</v>
      </c>
      <c r="G7861" s="11">
        <v>9</v>
      </c>
      <c r="H7861" s="11">
        <v>33</v>
      </c>
      <c r="I7861" s="11">
        <v>0</v>
      </c>
      <c r="J7861" s="11">
        <v>0</v>
      </c>
      <c r="K7861" s="11" t="s">
        <v>21</v>
      </c>
      <c r="L7861" s="7">
        <v>42450.160567129627</v>
      </c>
      <c r="M7861" s="12" t="s">
        <v>1072</v>
      </c>
      <c r="N7861" s="12" t="s">
        <v>17260</v>
      </c>
      <c r="O7861" s="10" t="str">
        <f>HYPERLINK("https://pbs.twimg.com/profile_images/711681874674974720/4UyhprOo_normal.jpg","View")</f>
        <v>View</v>
      </c>
      <c r="P7861" s="11"/>
    </row>
    <row r="7862" spans="1:16" ht="12.75" x14ac:dyDescent="0.35">
      <c r="A7862" s="7">
        <v>42485.121122685188</v>
      </c>
      <c r="B7862" s="8" t="str">
        <f>HYPERLINK("https://twitter.com/InstaNskAkadem","@InstaNskAkadem")</f>
        <v>@InstaNskAkadem</v>
      </c>
      <c r="C7862" s="9" t="s">
        <v>17261</v>
      </c>
      <c r="D7862" s="9" t="s">
        <v>17262</v>
      </c>
      <c r="E7862" s="10" t="str">
        <f>HYPERLINK("https://twitter.com/InstaNskAkadem/status/724348293724180481","724348293724180481")</f>
        <v>724348293724180481</v>
      </c>
      <c r="F7862" s="11" t="s">
        <v>68</v>
      </c>
      <c r="G7862" s="11">
        <v>642</v>
      </c>
      <c r="H7862" s="11">
        <v>309</v>
      </c>
      <c r="I7862" s="11">
        <v>0</v>
      </c>
      <c r="J7862" s="11">
        <v>0</v>
      </c>
      <c r="K7862" s="11" t="s">
        <v>21</v>
      </c>
      <c r="L7862" s="7">
        <v>41695.34584490741</v>
      </c>
      <c r="M7862" s="12" t="s">
        <v>17263</v>
      </c>
      <c r="N7862" s="12" t="s">
        <v>17264</v>
      </c>
      <c r="O7862" s="10" t="str">
        <f>HYPERLINK("https://pbs.twimg.com/profile_images/438143958833590272/UAfqZp01_normal.png","View")</f>
        <v>View</v>
      </c>
      <c r="P7862" s="11"/>
    </row>
    <row r="7863" spans="1:16" ht="12.75" x14ac:dyDescent="0.35">
      <c r="A7863" s="7">
        <v>42485.122418981482</v>
      </c>
      <c r="B7863" s="8" t="str">
        <f>HYPERLINK("https://twitter.com/JamieFlinton","@JamieFlinton")</f>
        <v>@JamieFlinton</v>
      </c>
      <c r="C7863" s="9" t="s">
        <v>17265</v>
      </c>
      <c r="D7863" s="9" t="s">
        <v>17266</v>
      </c>
      <c r="E7863" s="10" t="str">
        <f>HYPERLINK("https://twitter.com/JamieFlinton/status/724348762659950592","724348762659950592")</f>
        <v>724348762659950592</v>
      </c>
      <c r="F7863" s="11" t="s">
        <v>68</v>
      </c>
      <c r="G7863" s="11">
        <v>31</v>
      </c>
      <c r="H7863" s="11">
        <v>32</v>
      </c>
      <c r="I7863" s="11">
        <v>0</v>
      </c>
      <c r="J7863" s="11">
        <v>0</v>
      </c>
      <c r="K7863" s="11" t="s">
        <v>21</v>
      </c>
      <c r="L7863" s="7">
        <v>40195.957569444443</v>
      </c>
      <c r="M7863" s="12" t="s">
        <v>35</v>
      </c>
      <c r="N7863" s="12" t="s">
        <v>17267</v>
      </c>
      <c r="O7863" s="10" t="str">
        <f>HYPERLINK("https://pbs.twimg.com/profile_images/650680852427468800/3m6-Nu2C_normal.png","View")</f>
        <v>View</v>
      </c>
      <c r="P7863" s="11"/>
    </row>
    <row r="7864" spans="1:16" ht="12.75" x14ac:dyDescent="0.35">
      <c r="A7864" s="7">
        <v>42485.123043981483</v>
      </c>
      <c r="B7864" s="8" t="str">
        <f t="shared" ref="B7864:B7865" si="793">HYPERLINK("https://twitter.com/klassikautos","@klassikautos")</f>
        <v>@klassikautos</v>
      </c>
      <c r="C7864" s="9" t="s">
        <v>17228</v>
      </c>
      <c r="D7864" s="9" t="s">
        <v>17268</v>
      </c>
      <c r="E7864" s="10" t="str">
        <f>HYPERLINK("https://twitter.com/klassikautos/status/724348988359585797","724348988359585797")</f>
        <v>724348988359585797</v>
      </c>
      <c r="F7864" s="11" t="s">
        <v>48</v>
      </c>
      <c r="G7864" s="11">
        <v>454</v>
      </c>
      <c r="H7864" s="11">
        <v>226</v>
      </c>
      <c r="I7864" s="11">
        <v>5</v>
      </c>
      <c r="J7864" s="11">
        <v>0</v>
      </c>
      <c r="K7864" s="11" t="s">
        <v>21</v>
      </c>
      <c r="L7864" s="7">
        <v>41952.581041666665</v>
      </c>
      <c r="M7864" s="12"/>
      <c r="N7864" s="12" t="s">
        <v>17229</v>
      </c>
      <c r="O7864" s="10" t="str">
        <f t="shared" ref="O7864:O7865" si="794">HYPERLINK("https://pbs.twimg.com/profile_images/531363470009057281/FJGMIqtq_normal.jpeg","View")</f>
        <v>View</v>
      </c>
      <c r="P7864" s="11"/>
    </row>
    <row r="7865" spans="1:16" ht="12.75" x14ac:dyDescent="0.35">
      <c r="A7865" s="7">
        <v>42485.123136574075</v>
      </c>
      <c r="B7865" s="8" t="str">
        <f t="shared" si="793"/>
        <v>@klassikautos</v>
      </c>
      <c r="C7865" s="9" t="s">
        <v>17228</v>
      </c>
      <c r="D7865" s="9" t="s">
        <v>17269</v>
      </c>
      <c r="E7865" s="10" t="str">
        <f>HYPERLINK("https://twitter.com/klassikautos/status/724349023734370304","724349023734370304")</f>
        <v>724349023734370304</v>
      </c>
      <c r="F7865" s="11" t="s">
        <v>48</v>
      </c>
      <c r="G7865" s="11">
        <v>454</v>
      </c>
      <c r="H7865" s="11">
        <v>226</v>
      </c>
      <c r="I7865" s="11">
        <v>3</v>
      </c>
      <c r="J7865" s="11">
        <v>0</v>
      </c>
      <c r="K7865" s="11" t="s">
        <v>21</v>
      </c>
      <c r="L7865" s="7">
        <v>41952.581041666665</v>
      </c>
      <c r="M7865" s="12"/>
      <c r="N7865" s="12" t="s">
        <v>17229</v>
      </c>
      <c r="O7865" s="10" t="str">
        <f t="shared" si="794"/>
        <v>View</v>
      </c>
      <c r="P7865" s="11"/>
    </row>
    <row r="7866" spans="1:16" ht="12.75" x14ac:dyDescent="0.35">
      <c r="A7866" s="7">
        <v>42485.124386574069</v>
      </c>
      <c r="B7866" s="8" t="str">
        <f>HYPERLINK("https://twitter.com/DenglerW","@DenglerW")</f>
        <v>@DenglerW</v>
      </c>
      <c r="C7866" s="9" t="s">
        <v>17270</v>
      </c>
      <c r="D7866" s="9" t="s">
        <v>15511</v>
      </c>
      <c r="E7866" s="10" t="str">
        <f>HYPERLINK("https://twitter.com/DenglerW/status/724349477843292160","724349477843292160")</f>
        <v>724349477843292160</v>
      </c>
      <c r="F7866" s="11" t="s">
        <v>20</v>
      </c>
      <c r="G7866" s="11">
        <v>24</v>
      </c>
      <c r="H7866" s="11">
        <v>177</v>
      </c>
      <c r="I7866" s="11">
        <v>9</v>
      </c>
      <c r="J7866" s="11">
        <v>0</v>
      </c>
      <c r="K7866" s="11" t="s">
        <v>21</v>
      </c>
      <c r="L7866" s="7">
        <v>41039.673854166671</v>
      </c>
      <c r="M7866" s="12" t="s">
        <v>1874</v>
      </c>
      <c r="N7866" s="12"/>
      <c r="O7866" s="10" t="str">
        <f>HYPERLINK("https://pbs.twimg.com/profile_images/713260959322808320/ioT5R9zp_normal.jpg","View")</f>
        <v>View</v>
      </c>
      <c r="P7866" s="11"/>
    </row>
    <row r="7867" spans="1:16" ht="12.75" x14ac:dyDescent="0.35">
      <c r="A7867" s="7">
        <v>42485.124513888892</v>
      </c>
      <c r="B7867" s="8" t="str">
        <f>HYPERLINK("https://twitter.com/FDP_Bottrop","@FDP_Bottrop")</f>
        <v>@FDP_Bottrop</v>
      </c>
      <c r="C7867" s="9" t="s">
        <v>17271</v>
      </c>
      <c r="D7867" s="9" t="s">
        <v>10493</v>
      </c>
      <c r="E7867" s="10" t="str">
        <f>HYPERLINK("https://twitter.com/FDP_Bottrop/status/724349521359187968","724349521359187968")</f>
        <v>724349521359187968</v>
      </c>
      <c r="F7867" s="11" t="s">
        <v>48</v>
      </c>
      <c r="G7867" s="11">
        <v>295</v>
      </c>
      <c r="H7867" s="11">
        <v>397</v>
      </c>
      <c r="I7867" s="11">
        <v>6</v>
      </c>
      <c r="J7867" s="11">
        <v>0</v>
      </c>
      <c r="K7867" s="11" t="s">
        <v>21</v>
      </c>
      <c r="L7867" s="7">
        <v>40550.849699074075</v>
      </c>
      <c r="M7867" s="12" t="s">
        <v>17272</v>
      </c>
      <c r="N7867" s="12" t="s">
        <v>17273</v>
      </c>
      <c r="O7867" s="10" t="str">
        <f>HYPERLINK("https://pbs.twimg.com/profile_images/719111702093111296/JRoEGteR_normal.jpg","View")</f>
        <v>View</v>
      </c>
      <c r="P7867" s="11"/>
    </row>
    <row r="7868" spans="1:16" ht="12.75" x14ac:dyDescent="0.35">
      <c r="A7868" s="7">
        <v>42485.125972222224</v>
      </c>
      <c r="B7868" s="8" t="str">
        <f>HYPERLINK("https://twitter.com/hashtagvanlife","@hashtagvanlife")</f>
        <v>@hashtagvanlife</v>
      </c>
      <c r="C7868" s="9" t="s">
        <v>187</v>
      </c>
      <c r="D7868" s="9" t="s">
        <v>17274</v>
      </c>
      <c r="E7868" s="10" t="str">
        <f>HYPERLINK("https://twitter.com/hashtagvanlife/status/724350051238182912","724350051238182912")</f>
        <v>724350051238182912</v>
      </c>
      <c r="F7868" s="11" t="s">
        <v>189</v>
      </c>
      <c r="G7868" s="11">
        <v>1031</v>
      </c>
      <c r="H7868" s="11">
        <v>29</v>
      </c>
      <c r="I7868" s="11">
        <v>1</v>
      </c>
      <c r="J7868" s="11">
        <v>0</v>
      </c>
      <c r="K7868" s="11" t="s">
        <v>21</v>
      </c>
      <c r="L7868" s="7">
        <v>42289.994583333333</v>
      </c>
      <c r="M7868" s="12"/>
      <c r="N7868" s="12" t="s">
        <v>190</v>
      </c>
      <c r="O7868" s="10" t="str">
        <f>HYPERLINK("https://pbs.twimg.com/profile_images/653637535545995264/gHuXQ5Bt_normal.jpg","View")</f>
        <v>View</v>
      </c>
      <c r="P7868" s="11"/>
    </row>
    <row r="7869" spans="1:16" ht="12.75" x14ac:dyDescent="0.35">
      <c r="A7869" s="7">
        <v>42485.126145833332</v>
      </c>
      <c r="B7869" s="8" t="str">
        <f>HYPERLINK("https://twitter.com/TheBeatlesHub","@TheBeatlesHub")</f>
        <v>@TheBeatlesHub</v>
      </c>
      <c r="C7869" s="9" t="s">
        <v>17275</v>
      </c>
      <c r="D7869" s="9" t="s">
        <v>17276</v>
      </c>
      <c r="E7869" s="10" t="str">
        <f>HYPERLINK("https://twitter.com/TheBeatlesHub/status/724350113276133376","724350113276133376")</f>
        <v>724350113276133376</v>
      </c>
      <c r="F7869" s="11" t="s">
        <v>288</v>
      </c>
      <c r="G7869" s="11">
        <v>3955</v>
      </c>
      <c r="H7869" s="11">
        <v>4708</v>
      </c>
      <c r="I7869" s="11">
        <v>1</v>
      </c>
      <c r="J7869" s="11">
        <v>0</v>
      </c>
      <c r="K7869" s="11" t="s">
        <v>21</v>
      </c>
      <c r="L7869" s="7">
        <v>42329.121053240742</v>
      </c>
      <c r="M7869" s="12" t="s">
        <v>1129</v>
      </c>
      <c r="N7869" s="12" t="s">
        <v>17277</v>
      </c>
      <c r="O7869" s="10" t="str">
        <f>HYPERLINK("https://pbs.twimg.com/profile_images/713881327737634816/9Tw74fe7_normal.jpg","View")</f>
        <v>View</v>
      </c>
      <c r="P7869" s="11"/>
    </row>
    <row r="7870" spans="1:16" ht="12.75" x14ac:dyDescent="0.35">
      <c r="A7870" s="7">
        <v>42485.128171296295</v>
      </c>
      <c r="B7870" s="8" t="str">
        <f>HYPERLINK("https://twitter.com/herbie53rides","@herbie53rides")</f>
        <v>@herbie53rides</v>
      </c>
      <c r="C7870" s="9" t="s">
        <v>4259</v>
      </c>
      <c r="D7870" s="9" t="s">
        <v>17278</v>
      </c>
      <c r="E7870" s="10" t="str">
        <f>HYPERLINK("https://twitter.com/herbie53rides/status/724350847904309248","724350847904309248")</f>
        <v>724350847904309248</v>
      </c>
      <c r="F7870" s="11" t="s">
        <v>114</v>
      </c>
      <c r="G7870" s="11">
        <v>11</v>
      </c>
      <c r="H7870" s="11">
        <v>81</v>
      </c>
      <c r="I7870" s="11">
        <v>0</v>
      </c>
      <c r="J7870" s="11">
        <v>0</v>
      </c>
      <c r="K7870" s="11" t="s">
        <v>21</v>
      </c>
      <c r="L7870" s="7">
        <v>42459.69059027778</v>
      </c>
      <c r="M7870" s="12"/>
      <c r="N7870" s="12" t="s">
        <v>17279</v>
      </c>
      <c r="O7870" s="10" t="str">
        <f>HYPERLINK("https://pbs.twimg.com/profile_images/715133504149917698/cUazsqBS_normal.jpg","View")</f>
        <v>View</v>
      </c>
      <c r="P7870" s="11"/>
    </row>
    <row r="7871" spans="1:16" ht="12.75" x14ac:dyDescent="0.35">
      <c r="A7871" s="7">
        <v>42485.128865740742</v>
      </c>
      <c r="B7871" s="8" t="str">
        <f>HYPERLINK("https://twitter.com/frecklesfairy","@frecklesfairy")</f>
        <v>@frecklesfairy</v>
      </c>
      <c r="C7871" s="9" t="s">
        <v>17280</v>
      </c>
      <c r="D7871" s="9" t="s">
        <v>17155</v>
      </c>
      <c r="E7871" s="10" t="str">
        <f>HYPERLINK("https://twitter.com/frecklesfairy/status/724351098983747585","724351098983747585")</f>
        <v>724351098983747585</v>
      </c>
      <c r="F7871" s="11" t="s">
        <v>43</v>
      </c>
      <c r="G7871" s="11">
        <v>2738</v>
      </c>
      <c r="H7871" s="11">
        <v>2663</v>
      </c>
      <c r="I7871" s="11">
        <v>2</v>
      </c>
      <c r="J7871" s="11">
        <v>0</v>
      </c>
      <c r="K7871" s="11" t="s">
        <v>21</v>
      </c>
      <c r="L7871" s="7">
        <v>40062.135497685187</v>
      </c>
      <c r="M7871" s="12" t="s">
        <v>17281</v>
      </c>
      <c r="N7871" s="12" t="s">
        <v>17282</v>
      </c>
      <c r="O7871" s="10" t="str">
        <f>HYPERLINK("https://pbs.twimg.com/profile_images/708572497663361024/dsJB1dwv_normal.jpg","View")</f>
        <v>View</v>
      </c>
      <c r="P7871" s="11"/>
    </row>
    <row r="7872" spans="1:16" ht="12.75" x14ac:dyDescent="0.35">
      <c r="A7872" s="7">
        <v>42485.13008101852</v>
      </c>
      <c r="B7872" s="8" t="str">
        <f>HYPERLINK("https://twitter.com/Ramzilla","@Ramzilla")</f>
        <v>@Ramzilla</v>
      </c>
      <c r="C7872" s="9" t="s">
        <v>17283</v>
      </c>
      <c r="D7872" s="9" t="s">
        <v>13150</v>
      </c>
      <c r="E7872" s="10" t="str">
        <f>HYPERLINK("https://twitter.com/Ramzilla/status/724351538379022336","724351538379022336")</f>
        <v>724351538379022336</v>
      </c>
      <c r="F7872" s="11" t="s">
        <v>48</v>
      </c>
      <c r="G7872" s="11">
        <v>336</v>
      </c>
      <c r="H7872" s="11">
        <v>261</v>
      </c>
      <c r="I7872" s="11">
        <v>38</v>
      </c>
      <c r="J7872" s="11">
        <v>0</v>
      </c>
      <c r="K7872" s="11" t="s">
        <v>21</v>
      </c>
      <c r="L7872" s="7">
        <v>41335.793321759258</v>
      </c>
      <c r="M7872" s="12" t="s">
        <v>17284</v>
      </c>
      <c r="N7872" s="12" t="s">
        <v>17285</v>
      </c>
      <c r="O7872" s="10" t="str">
        <f>HYPERLINK("https://pbs.twimg.com/profile_images/707672823209271298/m9ChKBzC_normal.jpg","View")</f>
        <v>View</v>
      </c>
      <c r="P7872" s="11"/>
    </row>
    <row r="7873" spans="1:16" ht="12.75" x14ac:dyDescent="0.35">
      <c r="A7873" s="7">
        <v>42485.130416666667</v>
      </c>
      <c r="B7873" s="8" t="str">
        <f>HYPERLINK("https://twitter.com/jorgej98","@jorgej98")</f>
        <v>@jorgej98</v>
      </c>
      <c r="C7873" s="9" t="s">
        <v>17286</v>
      </c>
      <c r="D7873" s="9" t="s">
        <v>17287</v>
      </c>
      <c r="E7873" s="10" t="str">
        <f>HYPERLINK("https://twitter.com/jorgej98/status/724351659594395653","724351659594395653")</f>
        <v>724351659594395653</v>
      </c>
      <c r="F7873" s="11" t="s">
        <v>20</v>
      </c>
      <c r="G7873" s="11">
        <v>34</v>
      </c>
      <c r="H7873" s="11">
        <v>54</v>
      </c>
      <c r="I7873" s="11">
        <v>0</v>
      </c>
      <c r="J7873" s="11">
        <v>0</v>
      </c>
      <c r="K7873" s="11" t="s">
        <v>21</v>
      </c>
      <c r="L7873" s="7">
        <v>41039.847488425927</v>
      </c>
      <c r="M7873" s="12" t="s">
        <v>17288</v>
      </c>
      <c r="N7873" s="12"/>
      <c r="O7873" s="10" t="str">
        <f>HYPERLINK("https://pbs.twimg.com/profile_images/593370265461067776/kPS_IiMg_normal.jpg","View")</f>
        <v>View</v>
      </c>
      <c r="P7873" s="11"/>
    </row>
    <row r="7874" spans="1:16" ht="12.75" x14ac:dyDescent="0.35">
      <c r="A7874" s="7">
        <v>42485.133414351847</v>
      </c>
      <c r="B7874" s="8" t="str">
        <f>HYPERLINK("https://twitter.com/beetlebug1938","@beetlebug1938")</f>
        <v>@beetlebug1938</v>
      </c>
      <c r="C7874" s="9" t="s">
        <v>66</v>
      </c>
      <c r="D7874" s="9" t="s">
        <v>17289</v>
      </c>
      <c r="E7874" s="10" t="str">
        <f>HYPERLINK("https://twitter.com/beetlebug1938/status/724352749052289026","724352749052289026")</f>
        <v>724352749052289026</v>
      </c>
      <c r="F7874" s="11" t="s">
        <v>68</v>
      </c>
      <c r="G7874" s="11">
        <v>390</v>
      </c>
      <c r="H7874" s="11">
        <v>2328</v>
      </c>
      <c r="I7874" s="11">
        <v>0</v>
      </c>
      <c r="J7874" s="11">
        <v>0</v>
      </c>
      <c r="K7874" s="11" t="s">
        <v>21</v>
      </c>
      <c r="L7874" s="7">
        <v>42469.863865740743</v>
      </c>
      <c r="M7874" s="12" t="s">
        <v>69</v>
      </c>
      <c r="N7874" s="12"/>
      <c r="O7874" s="10" t="str">
        <f>HYPERLINK("https://pbs.twimg.com/profile_images/718820712757215233/LXXndPTS_normal.jpg","View")</f>
        <v>View</v>
      </c>
      <c r="P7874" s="11"/>
    </row>
    <row r="7875" spans="1:16" ht="12.75" x14ac:dyDescent="0.35">
      <c r="A7875" s="7">
        <v>42485.13381944444</v>
      </c>
      <c r="B7875" s="8" t="str">
        <f t="shared" ref="B7875:B7878" si="795">HYPERLINK("https://twitter.com/dubbusses","@dubbusses")</f>
        <v>@dubbusses</v>
      </c>
      <c r="C7875" s="9" t="s">
        <v>14338</v>
      </c>
      <c r="D7875" s="9" t="s">
        <v>17290</v>
      </c>
      <c r="E7875" s="10" t="str">
        <f>HYPERLINK("https://twitter.com/dubbusses/status/724352892908503040","724352892908503040")</f>
        <v>724352892908503040</v>
      </c>
      <c r="F7875" s="11" t="s">
        <v>68</v>
      </c>
      <c r="G7875" s="11">
        <v>499</v>
      </c>
      <c r="H7875" s="11">
        <v>2823</v>
      </c>
      <c r="I7875" s="11">
        <v>0</v>
      </c>
      <c r="J7875" s="11">
        <v>0</v>
      </c>
      <c r="K7875" s="11" t="s">
        <v>21</v>
      </c>
      <c r="L7875" s="7">
        <v>42469.905393518522</v>
      </c>
      <c r="M7875" s="12" t="s">
        <v>14340</v>
      </c>
      <c r="N7875" s="12"/>
      <c r="O7875" s="10" t="str">
        <f t="shared" ref="O7875:O7878" si="796">HYPERLINK("https://pbs.twimg.com/profile_images/718835727027580928/1ssyQ67y_normal.jpg","View")</f>
        <v>View</v>
      </c>
      <c r="P7875" s="11"/>
    </row>
    <row r="7876" spans="1:16" ht="12.75" x14ac:dyDescent="0.35">
      <c r="A7876" s="7">
        <v>42485.133842592593</v>
      </c>
      <c r="B7876" s="8" t="str">
        <f t="shared" si="795"/>
        <v>@dubbusses</v>
      </c>
      <c r="C7876" s="9" t="s">
        <v>14338</v>
      </c>
      <c r="D7876" s="9" t="s">
        <v>17291</v>
      </c>
      <c r="E7876" s="10" t="str">
        <f>HYPERLINK("https://twitter.com/dubbusses/status/724352902513463296","724352902513463296")</f>
        <v>724352902513463296</v>
      </c>
      <c r="F7876" s="11" t="s">
        <v>68</v>
      </c>
      <c r="G7876" s="11">
        <v>499</v>
      </c>
      <c r="H7876" s="11">
        <v>2823</v>
      </c>
      <c r="I7876" s="11">
        <v>0</v>
      </c>
      <c r="J7876" s="11">
        <v>0</v>
      </c>
      <c r="K7876" s="11" t="s">
        <v>21</v>
      </c>
      <c r="L7876" s="7">
        <v>42469.905393518522</v>
      </c>
      <c r="M7876" s="12" t="s">
        <v>14340</v>
      </c>
      <c r="N7876" s="12"/>
      <c r="O7876" s="10" t="str">
        <f t="shared" si="796"/>
        <v>View</v>
      </c>
      <c r="P7876" s="11"/>
    </row>
    <row r="7877" spans="1:16" ht="12.75" x14ac:dyDescent="0.35">
      <c r="A7877" s="7">
        <v>42485.133888888886</v>
      </c>
      <c r="B7877" s="8" t="str">
        <f t="shared" si="795"/>
        <v>@dubbusses</v>
      </c>
      <c r="C7877" s="9" t="s">
        <v>14338</v>
      </c>
      <c r="D7877" s="9" t="s">
        <v>17292</v>
      </c>
      <c r="E7877" s="10" t="str">
        <f>HYPERLINK("https://twitter.com/dubbusses/status/724352917550014464","724352917550014464")</f>
        <v>724352917550014464</v>
      </c>
      <c r="F7877" s="11" t="s">
        <v>68</v>
      </c>
      <c r="G7877" s="11">
        <v>499</v>
      </c>
      <c r="H7877" s="11">
        <v>2823</v>
      </c>
      <c r="I7877" s="11">
        <v>0</v>
      </c>
      <c r="J7877" s="11">
        <v>0</v>
      </c>
      <c r="K7877" s="11" t="s">
        <v>21</v>
      </c>
      <c r="L7877" s="7">
        <v>42469.905393518522</v>
      </c>
      <c r="M7877" s="12" t="s">
        <v>14340</v>
      </c>
      <c r="N7877" s="12"/>
      <c r="O7877" s="10" t="str">
        <f t="shared" si="796"/>
        <v>View</v>
      </c>
      <c r="P7877" s="11"/>
    </row>
    <row r="7878" spans="1:16" ht="12.75" x14ac:dyDescent="0.35">
      <c r="A7878" s="7">
        <v>42485.134131944447</v>
      </c>
      <c r="B7878" s="8" t="str">
        <f t="shared" si="795"/>
        <v>@dubbusses</v>
      </c>
      <c r="C7878" s="9" t="s">
        <v>14338</v>
      </c>
      <c r="D7878" s="9" t="s">
        <v>17293</v>
      </c>
      <c r="E7878" s="10" t="str">
        <f>HYPERLINK("https://twitter.com/dubbusses/status/724353006532210689","724353006532210689")</f>
        <v>724353006532210689</v>
      </c>
      <c r="F7878" s="11" t="s">
        <v>68</v>
      </c>
      <c r="G7878" s="11">
        <v>499</v>
      </c>
      <c r="H7878" s="11">
        <v>2823</v>
      </c>
      <c r="I7878" s="11">
        <v>0</v>
      </c>
      <c r="J7878" s="11">
        <v>0</v>
      </c>
      <c r="K7878" s="11" t="s">
        <v>21</v>
      </c>
      <c r="L7878" s="7">
        <v>42469.905393518522</v>
      </c>
      <c r="M7878" s="12" t="s">
        <v>14340</v>
      </c>
      <c r="N7878" s="12"/>
      <c r="O7878" s="10" t="str">
        <f t="shared" si="796"/>
        <v>View</v>
      </c>
      <c r="P7878" s="11"/>
    </row>
    <row r="7879" spans="1:16" ht="12.75" x14ac:dyDescent="0.35">
      <c r="A7879" s="7">
        <v>42485.134594907402</v>
      </c>
      <c r="B7879" s="8" t="str">
        <f>HYPERLINK("https://twitter.com/xicosantos99","@xicosantos99")</f>
        <v>@xicosantos99</v>
      </c>
      <c r="C7879" s="9" t="s">
        <v>17294</v>
      </c>
      <c r="D7879" s="9" t="s">
        <v>17295</v>
      </c>
      <c r="E7879" s="10" t="str">
        <f>HYPERLINK("https://twitter.com/xicosantos99/status/724353173985566720","724353173985566720")</f>
        <v>724353173985566720</v>
      </c>
      <c r="F7879" s="11" t="s">
        <v>48</v>
      </c>
      <c r="G7879" s="11">
        <v>117</v>
      </c>
      <c r="H7879" s="11">
        <v>129</v>
      </c>
      <c r="I7879" s="11">
        <v>0</v>
      </c>
      <c r="J7879" s="11">
        <v>0</v>
      </c>
      <c r="K7879" s="11" t="s">
        <v>21</v>
      </c>
      <c r="L7879" s="7">
        <v>42240.236585648148</v>
      </c>
      <c r="M7879" s="12" t="s">
        <v>17296</v>
      </c>
      <c r="N7879" s="12" t="s">
        <v>17297</v>
      </c>
      <c r="O7879" s="10" t="str">
        <f>HYPERLINK("https://pbs.twimg.com/profile_images/683800402396102656/9K5xzNgK_normal.jpg","View")</f>
        <v>View</v>
      </c>
      <c r="P7879" s="11"/>
    </row>
    <row r="7880" spans="1:16" ht="12.75" x14ac:dyDescent="0.35">
      <c r="A7880" s="7">
        <v>42485.135821759264</v>
      </c>
      <c r="B7880" s="8" t="str">
        <f t="shared" ref="B7880:B7881" si="797">HYPERLINK("https://twitter.com/VWCamperSales","@VWCamperSales")</f>
        <v>@VWCamperSales</v>
      </c>
      <c r="C7880" s="9" t="s">
        <v>216</v>
      </c>
      <c r="D7880" s="9" t="s">
        <v>17298</v>
      </c>
      <c r="E7880" s="10" t="str">
        <f>HYPERLINK("https://twitter.com/VWCamperSales/status/724353619324067840","724353619324067840")</f>
        <v>724353619324067840</v>
      </c>
      <c r="F7880" s="10" t="s">
        <v>124</v>
      </c>
      <c r="G7880" s="11">
        <v>627</v>
      </c>
      <c r="H7880" s="11">
        <v>579</v>
      </c>
      <c r="I7880" s="11">
        <v>0</v>
      </c>
      <c r="J7880" s="11">
        <v>0</v>
      </c>
      <c r="K7880" s="11" t="s">
        <v>21</v>
      </c>
      <c r="L7880" s="7">
        <v>42215.98809027778</v>
      </c>
      <c r="M7880" s="12" t="s">
        <v>129</v>
      </c>
      <c r="N7880" s="12" t="s">
        <v>218</v>
      </c>
      <c r="O7880" s="10" t="str">
        <f t="shared" ref="O7880:O7881" si="798">HYPERLINK("https://pbs.twimg.com/profile_images/627949001179037696/skEBkS05_normal.jpg","View")</f>
        <v>View</v>
      </c>
      <c r="P7880" s="11"/>
    </row>
    <row r="7881" spans="1:16" ht="12.75" x14ac:dyDescent="0.35">
      <c r="A7881" s="7">
        <v>42485.135833333334</v>
      </c>
      <c r="B7881" s="8" t="str">
        <f t="shared" si="797"/>
        <v>@VWCamperSales</v>
      </c>
      <c r="C7881" s="9" t="s">
        <v>216</v>
      </c>
      <c r="D7881" s="9" t="s">
        <v>17299</v>
      </c>
      <c r="E7881" s="10" t="str">
        <f>HYPERLINK("https://twitter.com/VWCamperSales/status/724353622536904708","724353622536904708")</f>
        <v>724353622536904708</v>
      </c>
      <c r="F7881" s="10" t="s">
        <v>124</v>
      </c>
      <c r="G7881" s="11">
        <v>627</v>
      </c>
      <c r="H7881" s="11">
        <v>579</v>
      </c>
      <c r="I7881" s="11">
        <v>0</v>
      </c>
      <c r="J7881" s="11">
        <v>0</v>
      </c>
      <c r="K7881" s="11" t="s">
        <v>21</v>
      </c>
      <c r="L7881" s="7">
        <v>42215.98809027778</v>
      </c>
      <c r="M7881" s="12" t="s">
        <v>129</v>
      </c>
      <c r="N7881" s="12" t="s">
        <v>218</v>
      </c>
      <c r="O7881" s="10" t="str">
        <f t="shared" si="798"/>
        <v>View</v>
      </c>
      <c r="P7881" s="11"/>
    </row>
    <row r="7882" spans="1:16" ht="12.75" x14ac:dyDescent="0.35">
      <c r="A7882" s="7">
        <v>42485.13585648148</v>
      </c>
      <c r="B7882" s="8" t="str">
        <f>HYPERLINK("https://twitter.com/tweets_scotland","@tweets_scotland")</f>
        <v>@tweets_scotland</v>
      </c>
      <c r="C7882" s="9" t="s">
        <v>17300</v>
      </c>
      <c r="D7882" s="9" t="s">
        <v>17301</v>
      </c>
      <c r="E7882" s="10" t="str">
        <f>HYPERLINK("https://twitter.com/tweets_scotland/status/724353630673973250","724353630673973250")</f>
        <v>724353630673973250</v>
      </c>
      <c r="F7882" s="11" t="s">
        <v>17302</v>
      </c>
      <c r="G7882" s="11">
        <v>1529</v>
      </c>
      <c r="H7882" s="11">
        <v>88</v>
      </c>
      <c r="I7882" s="11">
        <v>1</v>
      </c>
      <c r="J7882" s="11">
        <v>0</v>
      </c>
      <c r="K7882" s="11" t="s">
        <v>21</v>
      </c>
      <c r="L7882" s="7">
        <v>42370.063252314816</v>
      </c>
      <c r="M7882" s="12" t="s">
        <v>17303</v>
      </c>
      <c r="N7882" s="12" t="s">
        <v>17304</v>
      </c>
      <c r="O7882" s="10" t="str">
        <f>HYPERLINK("https://pbs.twimg.com/profile_images/682653672208207872/9g6PB7Bf_normal.jpg","View")</f>
        <v>View</v>
      </c>
      <c r="P7882" s="11"/>
    </row>
    <row r="7883" spans="1:16" ht="12.75" x14ac:dyDescent="0.35">
      <c r="A7883" s="7">
        <v>42485.136643518519</v>
      </c>
      <c r="B7883" s="8" t="str">
        <f>HYPERLINK("https://twitter.com/BleyJennifer","@BleyJennifer")</f>
        <v>@BleyJennifer</v>
      </c>
      <c r="C7883" s="9" t="s">
        <v>17305</v>
      </c>
      <c r="D7883" s="9" t="s">
        <v>854</v>
      </c>
      <c r="E7883" s="10" t="str">
        <f>HYPERLINK("https://twitter.com/BleyJennifer/status/724353916733906946","724353916733906946")</f>
        <v>724353916733906946</v>
      </c>
      <c r="F7883" s="11" t="s">
        <v>43</v>
      </c>
      <c r="G7883" s="11">
        <v>463</v>
      </c>
      <c r="H7883" s="11">
        <v>492</v>
      </c>
      <c r="I7883" s="11">
        <v>13</v>
      </c>
      <c r="J7883" s="11">
        <v>0</v>
      </c>
      <c r="K7883" s="11" t="s">
        <v>21</v>
      </c>
      <c r="L7883" s="7">
        <v>41948.11645833333</v>
      </c>
      <c r="M7883" s="12"/>
      <c r="N7883" s="12" t="s">
        <v>17306</v>
      </c>
      <c r="O7883" s="10" t="str">
        <f>HYPERLINK("https://pbs.twimg.com/profile_images/533000676540809217/pGxIlBsM_normal.jpeg","View")</f>
        <v>View</v>
      </c>
      <c r="P7883" s="11"/>
    </row>
    <row r="7884" spans="1:16" ht="12.75" x14ac:dyDescent="0.35">
      <c r="A7884" s="7">
        <v>42485.136921296296</v>
      </c>
      <c r="B7884" s="8" t="str">
        <f>HYPERLINK("https://twitter.com/pjl1015","@pjl1015")</f>
        <v>@pjl1015</v>
      </c>
      <c r="C7884" s="9" t="s">
        <v>17307</v>
      </c>
      <c r="D7884" s="9" t="s">
        <v>17308</v>
      </c>
      <c r="E7884" s="10" t="str">
        <f>HYPERLINK("https://twitter.com/pjl1015/status/724354018940715008","724354018940715008")</f>
        <v>724354018940715008</v>
      </c>
      <c r="F7884" s="11" t="s">
        <v>43</v>
      </c>
      <c r="G7884" s="11">
        <v>2568</v>
      </c>
      <c r="H7884" s="11">
        <v>1368</v>
      </c>
      <c r="I7884" s="11">
        <v>2</v>
      </c>
      <c r="J7884" s="11">
        <v>0</v>
      </c>
      <c r="K7884" s="11" t="s">
        <v>21</v>
      </c>
      <c r="L7884" s="7">
        <v>40755.912199074075</v>
      </c>
      <c r="M7884" s="12"/>
      <c r="N7884" s="12"/>
      <c r="O7884" s="10" t="str">
        <f>HYPERLINK("https://pbs.twimg.com/profile_images/1505035884/SYF2_normal.jpg","View")</f>
        <v>View</v>
      </c>
      <c r="P7884" s="11"/>
    </row>
    <row r="7885" spans="1:16" ht="12.75" x14ac:dyDescent="0.35">
      <c r="A7885" s="7">
        <v>42485.138483796298</v>
      </c>
      <c r="B7885" s="8" t="str">
        <f>HYPERLINK("https://twitter.com/N1Visual","@N1Visual")</f>
        <v>@N1Visual</v>
      </c>
      <c r="C7885" s="9" t="s">
        <v>17309</v>
      </c>
      <c r="D7885" s="9" t="s">
        <v>17310</v>
      </c>
      <c r="E7885" s="10" t="str">
        <f>HYPERLINK("https://twitter.com/N1Visual/status/724354583942803456","724354583942803456")</f>
        <v>724354583942803456</v>
      </c>
      <c r="F7885" s="11" t="s">
        <v>114</v>
      </c>
      <c r="G7885" s="11">
        <v>967</v>
      </c>
      <c r="H7885" s="11">
        <v>2091</v>
      </c>
      <c r="I7885" s="11">
        <v>0</v>
      </c>
      <c r="J7885" s="11">
        <v>0</v>
      </c>
      <c r="K7885" s="11" t="s">
        <v>21</v>
      </c>
      <c r="L7885" s="7">
        <v>41389.801412037035</v>
      </c>
      <c r="M7885" s="12" t="s">
        <v>6936</v>
      </c>
      <c r="N7885" s="12" t="s">
        <v>17311</v>
      </c>
      <c r="O7885" s="10" t="str">
        <f>HYPERLINK("https://pbs.twimg.com/profile_images/3573077542/e52ed1aa9eddad3504a09bfe0c590f29_normal.jpeg","View")</f>
        <v>View</v>
      </c>
      <c r="P7885" s="11"/>
    </row>
    <row r="7886" spans="1:16" ht="12.75" x14ac:dyDescent="0.35">
      <c r="A7886" s="7">
        <v>42485.139432870375</v>
      </c>
      <c r="B7886" s="8" t="str">
        <f>HYPERLINK("https://twitter.com/voelker_FDP","@voelker_FDP")</f>
        <v>@voelker_FDP</v>
      </c>
      <c r="C7886" s="9" t="s">
        <v>17312</v>
      </c>
      <c r="D7886" s="9" t="s">
        <v>10493</v>
      </c>
      <c r="E7886" s="10" t="str">
        <f>HYPERLINK("https://twitter.com/voelker_FDP/status/724354930564325377","724354930564325377")</f>
        <v>724354930564325377</v>
      </c>
      <c r="F7886" s="11" t="s">
        <v>20</v>
      </c>
      <c r="G7886" s="11">
        <v>195</v>
      </c>
      <c r="H7886" s="11">
        <v>524</v>
      </c>
      <c r="I7886" s="11">
        <v>7</v>
      </c>
      <c r="J7886" s="11">
        <v>0</v>
      </c>
      <c r="K7886" s="11" t="s">
        <v>21</v>
      </c>
      <c r="L7886" s="7">
        <v>41796.713483796295</v>
      </c>
      <c r="M7886" s="12" t="s">
        <v>17313</v>
      </c>
      <c r="N7886" s="12"/>
      <c r="O7886" s="10" t="str">
        <f>HYPERLINK("https://pbs.twimg.com/profile_images/666960980535025665/JuwRTAXG_normal.jpg","View")</f>
        <v>View</v>
      </c>
      <c r="P7886" s="11"/>
    </row>
    <row r="7887" spans="1:16" ht="12.75" x14ac:dyDescent="0.35">
      <c r="A7887" s="7">
        <v>42485.13998842593</v>
      </c>
      <c r="B7887" s="8" t="str">
        <f>HYPERLINK("https://twitter.com/thevdubhub","@thevdubhub")</f>
        <v>@thevdubhub</v>
      </c>
      <c r="C7887" s="9" t="s">
        <v>17314</v>
      </c>
      <c r="D7887" s="9" t="s">
        <v>17315</v>
      </c>
      <c r="E7887" s="10" t="str">
        <f>HYPERLINK("https://twitter.com/thevdubhub/status/724355132008206336","724355132008206336")</f>
        <v>724355132008206336</v>
      </c>
      <c r="F7887" s="11" t="s">
        <v>20</v>
      </c>
      <c r="G7887" s="11">
        <v>561</v>
      </c>
      <c r="H7887" s="11">
        <v>1144</v>
      </c>
      <c r="I7887" s="11">
        <v>0</v>
      </c>
      <c r="J7887" s="11">
        <v>0</v>
      </c>
      <c r="K7887" s="11" t="s">
        <v>21</v>
      </c>
      <c r="L7887" s="7">
        <v>42154.189444444448</v>
      </c>
      <c r="M7887" s="12" t="s">
        <v>1275</v>
      </c>
      <c r="N7887" s="12" t="s">
        <v>17316</v>
      </c>
      <c r="O7887" s="10" t="str">
        <f>HYPERLINK("https://pbs.twimg.com/profile_images/698987523918295040/M7NDbszi_normal.jpg","View")</f>
        <v>View</v>
      </c>
      <c r="P7887" s="11"/>
    </row>
    <row r="7888" spans="1:16" ht="12.75" x14ac:dyDescent="0.35">
      <c r="A7888" s="7">
        <v>42485.141203703708</v>
      </c>
      <c r="B7888" s="8" t="str">
        <f>HYPERLINK("https://twitter.com/MlleD","@MlleD")</f>
        <v>@MlleD</v>
      </c>
      <c r="C7888" s="9" t="s">
        <v>17317</v>
      </c>
      <c r="D7888" s="9" t="s">
        <v>17318</v>
      </c>
      <c r="E7888" s="10" t="str">
        <f>HYPERLINK("https://twitter.com/MlleD/status/724355570623500293","724355570623500293")</f>
        <v>724355570623500293</v>
      </c>
      <c r="F7888" s="11" t="s">
        <v>114</v>
      </c>
      <c r="G7888" s="11">
        <v>62</v>
      </c>
      <c r="H7888" s="11">
        <v>334</v>
      </c>
      <c r="I7888" s="11">
        <v>0</v>
      </c>
      <c r="J7888" s="11">
        <v>0</v>
      </c>
      <c r="K7888" s="11" t="s">
        <v>21</v>
      </c>
      <c r="L7888" s="7">
        <v>40741.935023148151</v>
      </c>
      <c r="M7888" s="12" t="s">
        <v>17319</v>
      </c>
      <c r="N7888" s="12" t="s">
        <v>17320</v>
      </c>
      <c r="O7888" s="10" t="str">
        <f>HYPERLINK("https://pbs.twimg.com/profile_images/378800000696049513/e66c8406113b01b265417af6dae63ca9_normal.jpeg","View")</f>
        <v>View</v>
      </c>
      <c r="P7888" s="10" t="str">
        <f>HYPERLINK("http://ctrlq.org/maps/address/#46.5664291,13.9100199","Map")</f>
        <v>Map</v>
      </c>
    </row>
    <row r="7889" spans="1:16" ht="12.75" x14ac:dyDescent="0.35">
      <c r="A7889" s="7">
        <v>42485.144479166665</v>
      </c>
      <c r="B7889" s="8" t="str">
        <f>HYPERLINK("https://twitter.com/VWCamperSales","@VWCamperSales")</f>
        <v>@VWCamperSales</v>
      </c>
      <c r="C7889" s="9" t="s">
        <v>216</v>
      </c>
      <c r="D7889" s="9" t="s">
        <v>17321</v>
      </c>
      <c r="E7889" s="10" t="str">
        <f>HYPERLINK("https://twitter.com/VWCamperSales/status/724356756223057921","724356756223057921")</f>
        <v>724356756223057921</v>
      </c>
      <c r="F7889" s="10" t="s">
        <v>124</v>
      </c>
      <c r="G7889" s="11">
        <v>627</v>
      </c>
      <c r="H7889" s="11">
        <v>579</v>
      </c>
      <c r="I7889" s="11">
        <v>0</v>
      </c>
      <c r="J7889" s="11">
        <v>0</v>
      </c>
      <c r="K7889" s="11" t="s">
        <v>21</v>
      </c>
      <c r="L7889" s="7">
        <v>42215.98809027778</v>
      </c>
      <c r="M7889" s="12" t="s">
        <v>129</v>
      </c>
      <c r="N7889" s="12" t="s">
        <v>218</v>
      </c>
      <c r="O7889" s="10" t="str">
        <f>HYPERLINK("https://pbs.twimg.com/profile_images/627949001179037696/skEBkS05_normal.jpg","View")</f>
        <v>View</v>
      </c>
      <c r="P7889" s="11"/>
    </row>
    <row r="7890" spans="1:16" ht="12.75" x14ac:dyDescent="0.35">
      <c r="A7890" s="7">
        <v>42485.145243055551</v>
      </c>
      <c r="B7890" s="8" t="str">
        <f t="shared" ref="B7890:B7891" si="799">HYPERLINK("https://twitter.com/oldcar_photo","@oldcar_photo")</f>
        <v>@oldcar_photo</v>
      </c>
      <c r="C7890" s="9" t="s">
        <v>1046</v>
      </c>
      <c r="D7890" s="9" t="s">
        <v>17322</v>
      </c>
      <c r="E7890" s="10" t="str">
        <f>HYPERLINK("https://twitter.com/oldcar_photo/status/724357033470902272","724357033470902272")</f>
        <v>724357033470902272</v>
      </c>
      <c r="F7890" s="11" t="s">
        <v>68</v>
      </c>
      <c r="G7890" s="11">
        <v>2005</v>
      </c>
      <c r="H7890" s="11">
        <v>0</v>
      </c>
      <c r="I7890" s="11">
        <v>0</v>
      </c>
      <c r="J7890" s="11">
        <v>0</v>
      </c>
      <c r="K7890" s="11" t="s">
        <v>21</v>
      </c>
      <c r="L7890" s="7">
        <v>42184.7341087963</v>
      </c>
      <c r="M7890" s="12"/>
      <c r="N7890" s="12"/>
      <c r="O7890" s="10" t="str">
        <f t="shared" ref="O7890:O7891" si="800">HYPERLINK("https://pbs.twimg.com/profile_images/615493650785660928/XHUh6HOk_normal.jpg","View")</f>
        <v>View</v>
      </c>
      <c r="P7890" s="11"/>
    </row>
    <row r="7891" spans="1:16" ht="12.75" x14ac:dyDescent="0.35">
      <c r="A7891" s="7">
        <v>42485.145497685182</v>
      </c>
      <c r="B7891" s="8" t="str">
        <f t="shared" si="799"/>
        <v>@oldcar_photo</v>
      </c>
      <c r="C7891" s="9" t="s">
        <v>1046</v>
      </c>
      <c r="D7891" s="9" t="s">
        <v>17323</v>
      </c>
      <c r="E7891" s="10" t="str">
        <f>HYPERLINK("https://twitter.com/oldcar_photo/status/724357124697010177","724357124697010177")</f>
        <v>724357124697010177</v>
      </c>
      <c r="F7891" s="11" t="s">
        <v>68</v>
      </c>
      <c r="G7891" s="11">
        <v>2005</v>
      </c>
      <c r="H7891" s="11">
        <v>0</v>
      </c>
      <c r="I7891" s="11">
        <v>0</v>
      </c>
      <c r="J7891" s="11">
        <v>0</v>
      </c>
      <c r="K7891" s="11" t="s">
        <v>21</v>
      </c>
      <c r="L7891" s="7">
        <v>42184.7341087963</v>
      </c>
      <c r="M7891" s="12"/>
      <c r="N7891" s="12"/>
      <c r="O7891" s="10" t="str">
        <f t="shared" si="800"/>
        <v>View</v>
      </c>
      <c r="P7891" s="11"/>
    </row>
    <row r="7892" spans="1:16" ht="12.75" x14ac:dyDescent="0.35">
      <c r="A7892" s="7">
        <v>42485.146412037036</v>
      </c>
      <c r="B7892" s="8" t="str">
        <f t="shared" ref="B7892:B7894" si="801">HYPERLINK("https://twitter.com/VeeDubMk1_","@VeeDubMk1_")</f>
        <v>@VeeDubMk1_</v>
      </c>
      <c r="C7892" s="9" t="s">
        <v>185</v>
      </c>
      <c r="D7892" s="9" t="s">
        <v>17324</v>
      </c>
      <c r="E7892" s="10" t="str">
        <f>HYPERLINK("https://twitter.com/VeeDubMk1_/status/724357457930280961","724357457930280961")</f>
        <v>724357457930280961</v>
      </c>
      <c r="F7892" s="11" t="s">
        <v>68</v>
      </c>
      <c r="G7892" s="11">
        <v>555</v>
      </c>
      <c r="H7892" s="11">
        <v>2968</v>
      </c>
      <c r="I7892" s="11">
        <v>0</v>
      </c>
      <c r="J7892" s="11">
        <v>0</v>
      </c>
      <c r="K7892" s="11" t="s">
        <v>21</v>
      </c>
      <c r="L7892" s="7">
        <v>42343.063356481478</v>
      </c>
      <c r="M7892" s="12"/>
      <c r="N7892" s="12"/>
      <c r="O7892" s="10" t="str">
        <f t="shared" ref="O7892:O7894" si="802">HYPERLINK("https://pbs.twimg.com/profile_images/672878354127839232/M7OYc-zx_normal.jpg","View")</f>
        <v>View</v>
      </c>
      <c r="P7892" s="11"/>
    </row>
    <row r="7893" spans="1:16" ht="12.75" x14ac:dyDescent="0.35">
      <c r="A7893" s="7">
        <v>42485.14644675926</v>
      </c>
      <c r="B7893" s="8" t="str">
        <f t="shared" si="801"/>
        <v>@VeeDubMk1_</v>
      </c>
      <c r="C7893" s="9" t="s">
        <v>185</v>
      </c>
      <c r="D7893" s="9" t="s">
        <v>17325</v>
      </c>
      <c r="E7893" s="10" t="str">
        <f>HYPERLINK("https://twitter.com/VeeDubMk1_/status/724357469431062528","724357469431062528")</f>
        <v>724357469431062528</v>
      </c>
      <c r="F7893" s="11" t="s">
        <v>68</v>
      </c>
      <c r="G7893" s="11">
        <v>555</v>
      </c>
      <c r="H7893" s="11">
        <v>2968</v>
      </c>
      <c r="I7893" s="11">
        <v>0</v>
      </c>
      <c r="J7893" s="11">
        <v>1</v>
      </c>
      <c r="K7893" s="11" t="s">
        <v>21</v>
      </c>
      <c r="L7893" s="7">
        <v>42343.063356481478</v>
      </c>
      <c r="M7893" s="12"/>
      <c r="N7893" s="12"/>
      <c r="O7893" s="10" t="str">
        <f t="shared" si="802"/>
        <v>View</v>
      </c>
      <c r="P7893" s="11"/>
    </row>
    <row r="7894" spans="1:16" ht="12.75" x14ac:dyDescent="0.35">
      <c r="A7894" s="7">
        <v>42485.146504629629</v>
      </c>
      <c r="B7894" s="8" t="str">
        <f t="shared" si="801"/>
        <v>@VeeDubMk1_</v>
      </c>
      <c r="C7894" s="9" t="s">
        <v>185</v>
      </c>
      <c r="D7894" s="9" t="s">
        <v>17326</v>
      </c>
      <c r="E7894" s="10" t="str">
        <f>HYPERLINK("https://twitter.com/VeeDubMk1_/status/724357491409190912","724357491409190912")</f>
        <v>724357491409190912</v>
      </c>
      <c r="F7894" s="11" t="s">
        <v>68</v>
      </c>
      <c r="G7894" s="11">
        <v>555</v>
      </c>
      <c r="H7894" s="11">
        <v>2968</v>
      </c>
      <c r="I7894" s="11">
        <v>0</v>
      </c>
      <c r="J7894" s="11">
        <v>0</v>
      </c>
      <c r="K7894" s="11" t="s">
        <v>21</v>
      </c>
      <c r="L7894" s="7">
        <v>42343.063356481478</v>
      </c>
      <c r="M7894" s="12"/>
      <c r="N7894" s="12"/>
      <c r="O7894" s="10" t="str">
        <f t="shared" si="802"/>
        <v>View</v>
      </c>
      <c r="P7894" s="11"/>
    </row>
    <row r="7895" spans="1:16" ht="12.75" x14ac:dyDescent="0.35">
      <c r="A7895" s="7">
        <v>42485.146550925929</v>
      </c>
      <c r="B7895" s="8" t="str">
        <f>HYPERLINK("https://twitter.com/FuscaWorld","@FuscaWorld")</f>
        <v>@FuscaWorld</v>
      </c>
      <c r="C7895" s="9" t="s">
        <v>74</v>
      </c>
      <c r="D7895" s="9" t="s">
        <v>17327</v>
      </c>
      <c r="E7895" s="10" t="str">
        <f>HYPERLINK("https://twitter.com/FuscaWorld/status/724357509532803075","724357509532803075")</f>
        <v>724357509532803075</v>
      </c>
      <c r="F7895" s="11" t="s">
        <v>76</v>
      </c>
      <c r="G7895" s="11">
        <v>52</v>
      </c>
      <c r="H7895" s="11">
        <v>1</v>
      </c>
      <c r="I7895" s="11">
        <v>1</v>
      </c>
      <c r="J7895" s="11">
        <v>0</v>
      </c>
      <c r="K7895" s="11" t="s">
        <v>21</v>
      </c>
      <c r="L7895" s="7">
        <v>42433.880914351852</v>
      </c>
      <c r="M7895" s="12"/>
      <c r="N7895" s="12" t="s">
        <v>77</v>
      </c>
      <c r="O7895" s="10" t="str">
        <f>HYPERLINK("https://pbs.twimg.com/profile_images/705780107844067328/e7O4UBNb_normal.jpg","View")</f>
        <v>View</v>
      </c>
      <c r="P7895" s="11"/>
    </row>
    <row r="7896" spans="1:16" ht="12.75" x14ac:dyDescent="0.35">
      <c r="A7896" s="7">
        <v>42485.148101851853</v>
      </c>
      <c r="B7896" s="8" t="str">
        <f>HYPERLINK("https://twitter.com/Scirocco_Tuning","@Scirocco_Tuning")</f>
        <v>@Scirocco_Tuning</v>
      </c>
      <c r="C7896" s="9" t="s">
        <v>51</v>
      </c>
      <c r="D7896" s="9" t="s">
        <v>17328</v>
      </c>
      <c r="E7896" s="10" t="str">
        <f>HYPERLINK("https://twitter.com/Scirocco_Tuning/status/724358071510818816","724358071510818816")</f>
        <v>724358071510818816</v>
      </c>
      <c r="F7896" s="11" t="s">
        <v>53</v>
      </c>
      <c r="G7896" s="11">
        <v>70</v>
      </c>
      <c r="H7896" s="11">
        <v>215</v>
      </c>
      <c r="I7896" s="11">
        <v>0</v>
      </c>
      <c r="J7896" s="11">
        <v>0</v>
      </c>
      <c r="K7896" s="11" t="s">
        <v>21</v>
      </c>
      <c r="L7896" s="7">
        <v>40844.564722222218</v>
      </c>
      <c r="M7896" s="12"/>
      <c r="N7896" s="12"/>
      <c r="O7896" s="10" t="str">
        <f>HYPERLINK("https://pbs.twimg.com/profile_images/1610421423/Image2_normal.jpg","View")</f>
        <v>View</v>
      </c>
      <c r="P7896" s="11"/>
    </row>
    <row r="7897" spans="1:16" ht="12.75" x14ac:dyDescent="0.35">
      <c r="A7897" s="7">
        <v>42485.15148148148</v>
      </c>
      <c r="B7897" s="8" t="str">
        <f>HYPERLINK("https://twitter.com/turnepf","@turnepf")</f>
        <v>@turnepf</v>
      </c>
      <c r="C7897" s="9" t="s">
        <v>17329</v>
      </c>
      <c r="D7897" s="9" t="s">
        <v>17330</v>
      </c>
      <c r="E7897" s="10" t="str">
        <f>HYPERLINK("https://twitter.com/turnepf/status/724359293366095872","724359293366095872")</f>
        <v>724359293366095872</v>
      </c>
      <c r="F7897" s="11" t="s">
        <v>68</v>
      </c>
      <c r="G7897" s="11">
        <v>196</v>
      </c>
      <c r="H7897" s="11">
        <v>388</v>
      </c>
      <c r="I7897" s="11">
        <v>0</v>
      </c>
      <c r="J7897" s="11">
        <v>0</v>
      </c>
      <c r="K7897" s="11" t="s">
        <v>21</v>
      </c>
      <c r="L7897" s="7">
        <v>39842.901585648149</v>
      </c>
      <c r="M7897" s="12" t="s">
        <v>641</v>
      </c>
      <c r="N7897" s="12" t="s">
        <v>17331</v>
      </c>
      <c r="O7897" s="10" t="str">
        <f>HYPERLINK("https://pbs.twimg.com/profile_images/627133965678284801/iTZJ7h3G_normal.jpg","View")</f>
        <v>View</v>
      </c>
      <c r="P7897" s="11"/>
    </row>
    <row r="7898" spans="1:16" ht="12.75" x14ac:dyDescent="0.35">
      <c r="A7898" s="7">
        <v>42485.152048611111</v>
      </c>
      <c r="B7898" s="8" t="str">
        <f>HYPERLINK("https://twitter.com/Vintage_Cars","@Vintage_Cars")</f>
        <v>@Vintage_Cars</v>
      </c>
      <c r="C7898" s="9" t="s">
        <v>17228</v>
      </c>
      <c r="D7898" s="9" t="s">
        <v>17332</v>
      </c>
      <c r="E7898" s="10" t="str">
        <f>HYPERLINK("https://twitter.com/Vintage_Cars/status/724359499524505602","724359499524505602")</f>
        <v>724359499524505602</v>
      </c>
      <c r="F7898" s="11" t="s">
        <v>48</v>
      </c>
      <c r="G7898" s="11">
        <v>912</v>
      </c>
      <c r="H7898" s="11">
        <v>599</v>
      </c>
      <c r="I7898" s="11">
        <v>2</v>
      </c>
      <c r="J7898" s="11">
        <v>0</v>
      </c>
      <c r="K7898" s="11" t="s">
        <v>21</v>
      </c>
      <c r="L7898" s="7">
        <v>41952.616041666668</v>
      </c>
      <c r="M7898" s="12"/>
      <c r="N7898" s="12" t="s">
        <v>17333</v>
      </c>
      <c r="O7898" s="10" t="str">
        <f>HYPERLINK("https://pbs.twimg.com/profile_images/531375225204523009/W9b_bjxt_normal.jpeg","View")</f>
        <v>View</v>
      </c>
      <c r="P7898" s="11"/>
    </row>
    <row r="7899" spans="1:16" ht="12.75" x14ac:dyDescent="0.35">
      <c r="A7899" s="7">
        <v>42485.1559375</v>
      </c>
      <c r="B7899" s="8" t="str">
        <f>HYPERLINK("https://twitter.com/M5marketing","@M5marketing")</f>
        <v>@M5marketing</v>
      </c>
      <c r="C7899" s="9" t="s">
        <v>17334</v>
      </c>
      <c r="D7899" s="9" t="s">
        <v>17335</v>
      </c>
      <c r="E7899" s="10" t="str">
        <f>HYPERLINK("https://twitter.com/M5marketing/status/724360908726632452","724360908726632452")</f>
        <v>724360908726632452</v>
      </c>
      <c r="F7899" s="11" t="s">
        <v>63</v>
      </c>
      <c r="G7899" s="11">
        <v>869</v>
      </c>
      <c r="H7899" s="11">
        <v>877</v>
      </c>
      <c r="I7899" s="11">
        <v>0</v>
      </c>
      <c r="J7899" s="11">
        <v>0</v>
      </c>
      <c r="K7899" s="11" t="s">
        <v>21</v>
      </c>
      <c r="L7899" s="7">
        <v>40360.991898148146</v>
      </c>
      <c r="M7899" s="12" t="s">
        <v>462</v>
      </c>
      <c r="N7899" s="12" t="s">
        <v>17336</v>
      </c>
      <c r="O7899" s="10" t="str">
        <f>HYPERLINK("https://pbs.twimg.com/profile_images/378800000441508182/196c5631db61b24b35e4854fccc27321_normal.png","View")</f>
        <v>View</v>
      </c>
      <c r="P7899" s="11"/>
    </row>
    <row r="7900" spans="1:16" ht="12.75" x14ac:dyDescent="0.35">
      <c r="A7900" s="7">
        <v>42485.1559375</v>
      </c>
      <c r="B7900" s="8" t="str">
        <f>HYPERLINK("https://twitter.com/Zayhrasg","@Zayhrasg")</f>
        <v>@Zayhrasg</v>
      </c>
      <c r="C7900" s="9" t="s">
        <v>17337</v>
      </c>
      <c r="D7900" s="9" t="s">
        <v>17335</v>
      </c>
      <c r="E7900" s="10" t="str">
        <f>HYPERLINK("https://twitter.com/Zayhrasg/status/724360909246730240","724360909246730240")</f>
        <v>724360909246730240</v>
      </c>
      <c r="F7900" s="11" t="s">
        <v>63</v>
      </c>
      <c r="G7900" s="11">
        <v>442</v>
      </c>
      <c r="H7900" s="11">
        <v>481</v>
      </c>
      <c r="I7900" s="11">
        <v>0</v>
      </c>
      <c r="J7900" s="11">
        <v>0</v>
      </c>
      <c r="K7900" s="11" t="s">
        <v>21</v>
      </c>
      <c r="L7900" s="7">
        <v>41527.176435185189</v>
      </c>
      <c r="M7900" s="12" t="s">
        <v>462</v>
      </c>
      <c r="N7900" s="12" t="s">
        <v>17338</v>
      </c>
      <c r="O7900" s="10" t="str">
        <f>HYPERLINK("https://pbs.twimg.com/profile_images/657419934218088448/ZjlPsCDs_normal.jpg","View")</f>
        <v>View</v>
      </c>
      <c r="P7900" s="11"/>
    </row>
    <row r="7901" spans="1:16" ht="12.75" x14ac:dyDescent="0.35">
      <c r="A7901" s="7">
        <v>42485.156192129631</v>
      </c>
      <c r="B7901" s="8" t="str">
        <f>HYPERLINK("https://twitter.com/academ_foto","@academ_foto")</f>
        <v>@academ_foto</v>
      </c>
      <c r="C7901" s="9" t="s">
        <v>17339</v>
      </c>
      <c r="D7901" s="9" t="s">
        <v>17340</v>
      </c>
      <c r="E7901" s="10" t="str">
        <f>HYPERLINK("https://twitter.com/academ_foto/status/724361000917540866","724361000917540866")</f>
        <v>724361000917540866</v>
      </c>
      <c r="F7901" s="11" t="s">
        <v>68</v>
      </c>
      <c r="G7901" s="11">
        <v>1016</v>
      </c>
      <c r="H7901" s="11">
        <v>0</v>
      </c>
      <c r="I7901" s="11">
        <v>0</v>
      </c>
      <c r="J7901" s="11">
        <v>0</v>
      </c>
      <c r="K7901" s="11" t="s">
        <v>21</v>
      </c>
      <c r="L7901" s="7">
        <v>41633.075057870374</v>
      </c>
      <c r="M7901" s="12"/>
      <c r="N7901" s="12" t="s">
        <v>17341</v>
      </c>
      <c r="O7901" s="10" t="str">
        <f>HYPERLINK("https://pbs.twimg.com/profile_images/416907873638432768/CnO25nKp_normal.jpeg","View")</f>
        <v>View</v>
      </c>
      <c r="P7901" s="11"/>
    </row>
    <row r="7902" spans="1:16" ht="12.75" x14ac:dyDescent="0.35">
      <c r="A7902" s="7">
        <v>42485.156956018516</v>
      </c>
      <c r="B7902" s="8" t="str">
        <f>HYPERLINK("https://twitter.com/Luizesl","@Luizesl")</f>
        <v>@Luizesl</v>
      </c>
      <c r="C7902" s="9" t="s">
        <v>17342</v>
      </c>
      <c r="D7902" s="9" t="s">
        <v>16236</v>
      </c>
      <c r="E7902" s="10" t="str">
        <f>HYPERLINK("https://twitter.com/Luizesl/status/724361276718223361","724361276718223361")</f>
        <v>724361276718223361</v>
      </c>
      <c r="F7902" s="11" t="s">
        <v>91</v>
      </c>
      <c r="G7902" s="11">
        <v>210</v>
      </c>
      <c r="H7902" s="11">
        <v>1168</v>
      </c>
      <c r="I7902" s="11">
        <v>10</v>
      </c>
      <c r="J7902" s="11">
        <v>0</v>
      </c>
      <c r="K7902" s="11" t="s">
        <v>21</v>
      </c>
      <c r="L7902" s="7">
        <v>40507.244201388887</v>
      </c>
      <c r="M7902" s="12" t="s">
        <v>8893</v>
      </c>
      <c r="N7902" s="12" t="s">
        <v>17343</v>
      </c>
      <c r="O7902" s="10" t="str">
        <f>HYPERLINK("https://pbs.twimg.com/profile_images/676169510861348865/EqdTIKd2_normal.jpg","View")</f>
        <v>View</v>
      </c>
      <c r="P7902" s="11"/>
    </row>
    <row r="7903" spans="1:16" ht="12.75" x14ac:dyDescent="0.35">
      <c r="A7903" s="7">
        <v>42485.158402777779</v>
      </c>
      <c r="B7903" s="8" t="str">
        <f>HYPERLINK("https://twitter.com/VWBeetleSales","@VWBeetleSales")</f>
        <v>@VWBeetleSales</v>
      </c>
      <c r="C7903" s="9" t="s">
        <v>127</v>
      </c>
      <c r="D7903" s="9" t="s">
        <v>17344</v>
      </c>
      <c r="E7903" s="10" t="str">
        <f>HYPERLINK("https://twitter.com/VWBeetleSales/status/724361804835524609","724361804835524609")</f>
        <v>724361804835524609</v>
      </c>
      <c r="F7903" s="10" t="s">
        <v>124</v>
      </c>
      <c r="G7903" s="11">
        <v>39</v>
      </c>
      <c r="H7903" s="11">
        <v>32</v>
      </c>
      <c r="I7903" s="11">
        <v>0</v>
      </c>
      <c r="J7903" s="11">
        <v>0</v>
      </c>
      <c r="K7903" s="11" t="s">
        <v>21</v>
      </c>
      <c r="L7903" s="7">
        <v>42427.019756944443</v>
      </c>
      <c r="M7903" s="12" t="s">
        <v>129</v>
      </c>
      <c r="N7903" s="12" t="s">
        <v>130</v>
      </c>
      <c r="O7903" s="10" t="str">
        <f>HYPERLINK("https://pbs.twimg.com/profile_images/703294545195307008/qeCvrX86_normal.jpg","View")</f>
        <v>View</v>
      </c>
      <c r="P7903" s="11"/>
    </row>
    <row r="7904" spans="1:16" ht="12.75" x14ac:dyDescent="0.35">
      <c r="A7904" s="7">
        <v>42485.159733796296</v>
      </c>
      <c r="B7904" s="8" t="str">
        <f t="shared" ref="B7904:B7906" si="803">HYPERLINK("https://twitter.com/TetsuoHojo","@TetsuoHojo")</f>
        <v>@TetsuoHojo</v>
      </c>
      <c r="C7904" s="9" t="s">
        <v>12380</v>
      </c>
      <c r="D7904" s="9" t="s">
        <v>17345</v>
      </c>
      <c r="E7904" s="10" t="str">
        <f>HYPERLINK("https://twitter.com/TetsuoHojo/status/724362285104271360","724362285104271360")</f>
        <v>724362285104271360</v>
      </c>
      <c r="F7904" s="11" t="s">
        <v>20</v>
      </c>
      <c r="G7904" s="11">
        <v>66</v>
      </c>
      <c r="H7904" s="11">
        <v>96</v>
      </c>
      <c r="I7904" s="11">
        <v>1</v>
      </c>
      <c r="J7904" s="11">
        <v>0</v>
      </c>
      <c r="K7904" s="11" t="s">
        <v>21</v>
      </c>
      <c r="L7904" s="7">
        <v>41147.258229166662</v>
      </c>
      <c r="M7904" s="12"/>
      <c r="N7904" s="12" t="s">
        <v>12382</v>
      </c>
      <c r="O7904" s="10" t="str">
        <f t="shared" ref="O7904:O7906" si="804">HYPERLINK("https://pbs.twimg.com/profile_images/2646835465/aa5823578b01b04b7e91d58e8ca88691_normal.jpeg","View")</f>
        <v>View</v>
      </c>
      <c r="P7904" s="11"/>
    </row>
    <row r="7905" spans="1:16" ht="12.75" x14ac:dyDescent="0.35">
      <c r="A7905" s="7">
        <v>42485.159768518519</v>
      </c>
      <c r="B7905" s="8" t="str">
        <f t="shared" si="803"/>
        <v>@TetsuoHojo</v>
      </c>
      <c r="C7905" s="9" t="s">
        <v>12380</v>
      </c>
      <c r="D7905" s="9" t="s">
        <v>16002</v>
      </c>
      <c r="E7905" s="10" t="str">
        <f>HYPERLINK("https://twitter.com/TetsuoHojo/status/724362299985653760","724362299985653760")</f>
        <v>724362299985653760</v>
      </c>
      <c r="F7905" s="11" t="s">
        <v>20</v>
      </c>
      <c r="G7905" s="11">
        <v>66</v>
      </c>
      <c r="H7905" s="11">
        <v>96</v>
      </c>
      <c r="I7905" s="11">
        <v>2</v>
      </c>
      <c r="J7905" s="11">
        <v>0</v>
      </c>
      <c r="K7905" s="11" t="s">
        <v>21</v>
      </c>
      <c r="L7905" s="7">
        <v>41147.258229166662</v>
      </c>
      <c r="M7905" s="12"/>
      <c r="N7905" s="12" t="s">
        <v>12382</v>
      </c>
      <c r="O7905" s="10" t="str">
        <f t="shared" si="804"/>
        <v>View</v>
      </c>
      <c r="P7905" s="11"/>
    </row>
    <row r="7906" spans="1:16" ht="12.75" x14ac:dyDescent="0.35">
      <c r="A7906" s="7">
        <v>42485.160740740743</v>
      </c>
      <c r="B7906" s="8" t="str">
        <f t="shared" si="803"/>
        <v>@TetsuoHojo</v>
      </c>
      <c r="C7906" s="9" t="s">
        <v>12380</v>
      </c>
      <c r="D7906" s="9" t="s">
        <v>16252</v>
      </c>
      <c r="E7906" s="10" t="str">
        <f>HYPERLINK("https://twitter.com/TetsuoHojo/status/724362650444926977","724362650444926977")</f>
        <v>724362650444926977</v>
      </c>
      <c r="F7906" s="11" t="s">
        <v>20</v>
      </c>
      <c r="G7906" s="11">
        <v>66</v>
      </c>
      <c r="H7906" s="11">
        <v>96</v>
      </c>
      <c r="I7906" s="11">
        <v>2</v>
      </c>
      <c r="J7906" s="11">
        <v>0</v>
      </c>
      <c r="K7906" s="11" t="s">
        <v>21</v>
      </c>
      <c r="L7906" s="7">
        <v>41147.258229166662</v>
      </c>
      <c r="M7906" s="12"/>
      <c r="N7906" s="12" t="s">
        <v>12382</v>
      </c>
      <c r="O7906" s="10" t="str">
        <f t="shared" si="804"/>
        <v>View</v>
      </c>
      <c r="P7906" s="11"/>
    </row>
    <row r="7907" spans="1:16" ht="12.75" x14ac:dyDescent="0.35">
      <c r="A7907" s="7">
        <v>42485.161736111113</v>
      </c>
      <c r="B7907" s="8" t="str">
        <f>HYPERLINK("https://twitter.com/BagOfPeanuts","@BagOfPeanuts")</f>
        <v>@BagOfPeanuts</v>
      </c>
      <c r="C7907" s="9" t="s">
        <v>17346</v>
      </c>
      <c r="D7907" s="9" t="s">
        <v>17347</v>
      </c>
      <c r="E7907" s="10" t="str">
        <f>HYPERLINK("https://twitter.com/BagOfPeanuts/status/724363010031099904","724363010031099904")</f>
        <v>724363010031099904</v>
      </c>
      <c r="F7907" s="11" t="s">
        <v>68</v>
      </c>
      <c r="G7907" s="11">
        <v>1403</v>
      </c>
      <c r="H7907" s="11">
        <v>934</v>
      </c>
      <c r="I7907" s="11">
        <v>0</v>
      </c>
      <c r="J7907" s="11">
        <v>0</v>
      </c>
      <c r="K7907" s="11" t="s">
        <v>21</v>
      </c>
      <c r="L7907" s="7">
        <v>40601.538622685184</v>
      </c>
      <c r="M7907" s="12" t="s">
        <v>17348</v>
      </c>
      <c r="N7907" s="12" t="s">
        <v>17349</v>
      </c>
      <c r="O7907" s="10" t="str">
        <f>HYPERLINK("https://pbs.twimg.com/profile_images/1333987626/squir_normal.jpg","View")</f>
        <v>View</v>
      </c>
      <c r="P7907" s="11"/>
    </row>
    <row r="7908" spans="1:16" ht="12.75" x14ac:dyDescent="0.35">
      <c r="A7908" s="7">
        <v>42485.163368055553</v>
      </c>
      <c r="B7908" s="8" t="str">
        <f>HYPERLINK("https://twitter.com/deanomsport","@deanomsport")</f>
        <v>@deanomsport</v>
      </c>
      <c r="C7908" s="9" t="s">
        <v>1282</v>
      </c>
      <c r="D7908" s="9" t="s">
        <v>17350</v>
      </c>
      <c r="E7908" s="10" t="str">
        <f>HYPERLINK("https://twitter.com/deanomsport/status/724363600471724032","724363600471724032")</f>
        <v>724363600471724032</v>
      </c>
      <c r="F7908" s="11" t="s">
        <v>20</v>
      </c>
      <c r="G7908" s="11">
        <v>217</v>
      </c>
      <c r="H7908" s="11">
        <v>388</v>
      </c>
      <c r="I7908" s="11">
        <v>1</v>
      </c>
      <c r="J7908" s="11">
        <v>0</v>
      </c>
      <c r="K7908" s="11" t="s">
        <v>21</v>
      </c>
      <c r="L7908" s="7">
        <v>40496.158229166671</v>
      </c>
      <c r="M7908" s="12" t="s">
        <v>1284</v>
      </c>
      <c r="N7908" s="12" t="s">
        <v>1285</v>
      </c>
      <c r="O7908" s="10" t="str">
        <f>HYPERLINK("https://pbs.twimg.com/profile_images/653310353653297153/bYVyhn8J_normal.jpg","View")</f>
        <v>View</v>
      </c>
      <c r="P7908" s="11"/>
    </row>
    <row r="7909" spans="1:16" ht="12.75" x14ac:dyDescent="0.35">
      <c r="A7909" s="7">
        <v>42485.16479166667</v>
      </c>
      <c r="B7909" s="8" t="str">
        <f>HYPERLINK("https://twitter.com/YesItsSHAWTY","@YesItsSHAWTY")</f>
        <v>@YesItsSHAWTY</v>
      </c>
      <c r="C7909" s="9" t="s">
        <v>17351</v>
      </c>
      <c r="D7909" s="9" t="s">
        <v>13150</v>
      </c>
      <c r="E7909" s="10" t="str">
        <f>HYPERLINK("https://twitter.com/YesItsSHAWTY/status/724364118015225857","724364118015225857")</f>
        <v>724364118015225857</v>
      </c>
      <c r="F7909" s="11" t="s">
        <v>48</v>
      </c>
      <c r="G7909" s="11">
        <v>1338</v>
      </c>
      <c r="H7909" s="11">
        <v>1353</v>
      </c>
      <c r="I7909" s="11">
        <v>39</v>
      </c>
      <c r="J7909" s="11">
        <v>0</v>
      </c>
      <c r="K7909" s="11" t="s">
        <v>21</v>
      </c>
      <c r="L7909" s="7">
        <v>41398.939421296294</v>
      </c>
      <c r="M7909" s="12" t="s">
        <v>17352</v>
      </c>
      <c r="N7909" s="12" t="s">
        <v>17353</v>
      </c>
      <c r="O7909" s="10" t="str">
        <f>HYPERLINK("https://pbs.twimg.com/profile_images/717481408357384192/HFJkJ88L_normal.jpg","View")</f>
        <v>View</v>
      </c>
      <c r="P7909" s="11"/>
    </row>
    <row r="7910" spans="1:16" ht="12.75" x14ac:dyDescent="0.35">
      <c r="A7910" s="7">
        <v>42485.166874999995</v>
      </c>
      <c r="B7910" s="8" t="str">
        <f>HYPERLINK("https://twitter.com/gzellf","@gzellf")</f>
        <v>@gzellf</v>
      </c>
      <c r="C7910" s="9" t="s">
        <v>17354</v>
      </c>
      <c r="D7910" s="9" t="s">
        <v>17355</v>
      </c>
      <c r="E7910" s="10" t="str">
        <f>HYPERLINK("https://twitter.com/gzellf/status/724364875162513408","724364875162513408")</f>
        <v>724364875162513408</v>
      </c>
      <c r="F7910" s="11" t="s">
        <v>114</v>
      </c>
      <c r="G7910" s="11">
        <v>102</v>
      </c>
      <c r="H7910" s="11">
        <v>154</v>
      </c>
      <c r="I7910" s="11">
        <v>0</v>
      </c>
      <c r="J7910" s="11">
        <v>0</v>
      </c>
      <c r="K7910" s="11" t="s">
        <v>21</v>
      </c>
      <c r="L7910" s="7">
        <v>40661.430266203708</v>
      </c>
      <c r="M7910" s="12" t="s">
        <v>2408</v>
      </c>
      <c r="N7910" s="12" t="s">
        <v>17356</v>
      </c>
      <c r="O7910" s="10" t="str">
        <f>HYPERLINK("https://pbs.twimg.com/profile_images/720579071994916866/hamyRzr2_normal.jpg","View")</f>
        <v>View</v>
      </c>
      <c r="P7910" s="11"/>
    </row>
    <row r="7911" spans="1:16" ht="12.75" x14ac:dyDescent="0.35">
      <c r="A7911" s="7">
        <v>42485.167731481481</v>
      </c>
      <c r="B7911" s="8" t="str">
        <f>HYPERLINK("https://twitter.com/TheFashionPoet","@TheFashionPoet")</f>
        <v>@TheFashionPoet</v>
      </c>
      <c r="C7911" s="9" t="s">
        <v>17357</v>
      </c>
      <c r="D7911" s="9" t="s">
        <v>17358</v>
      </c>
      <c r="E7911" s="10" t="str">
        <f>HYPERLINK("https://twitter.com/TheFashionPoet/status/724365181875314689","724365181875314689")</f>
        <v>724365181875314689</v>
      </c>
      <c r="F7911" s="11" t="s">
        <v>114</v>
      </c>
      <c r="G7911" s="11">
        <v>11444</v>
      </c>
      <c r="H7911" s="11">
        <v>3018</v>
      </c>
      <c r="I7911" s="11">
        <v>0</v>
      </c>
      <c r="J7911" s="11">
        <v>0</v>
      </c>
      <c r="K7911" s="11" t="s">
        <v>21</v>
      </c>
      <c r="L7911" s="7">
        <v>39930.106817129628</v>
      </c>
      <c r="M7911" s="12" t="s">
        <v>1060</v>
      </c>
      <c r="N7911" s="12" t="s">
        <v>17359</v>
      </c>
      <c r="O7911" s="10" t="str">
        <f>HYPERLINK("https://pbs.twimg.com/profile_images/709719402346717184/TEYAKQfg_normal.jpg","View")</f>
        <v>View</v>
      </c>
      <c r="P7911" s="10" t="str">
        <f>HYPERLINK("http://ctrlq.org/maps/address/#24.55951596,-81.80607155","Map")</f>
        <v>Map</v>
      </c>
    </row>
    <row r="7912" spans="1:16" ht="12.75" x14ac:dyDescent="0.35">
      <c r="A7912" s="7">
        <v>42485.167766203704</v>
      </c>
      <c r="B7912" s="8" t="str">
        <f>HYPERLINK("https://twitter.com/VWCamperSales","@VWCamperSales")</f>
        <v>@VWCamperSales</v>
      </c>
      <c r="C7912" s="9" t="s">
        <v>216</v>
      </c>
      <c r="D7912" s="9" t="s">
        <v>17360</v>
      </c>
      <c r="E7912" s="10" t="str">
        <f>HYPERLINK("https://twitter.com/VWCamperSales/status/724365195259191296","724365195259191296")</f>
        <v>724365195259191296</v>
      </c>
      <c r="F7912" s="10" t="s">
        <v>124</v>
      </c>
      <c r="G7912" s="11">
        <v>627</v>
      </c>
      <c r="H7912" s="11">
        <v>579</v>
      </c>
      <c r="I7912" s="11">
        <v>0</v>
      </c>
      <c r="J7912" s="11">
        <v>0</v>
      </c>
      <c r="K7912" s="11" t="s">
        <v>21</v>
      </c>
      <c r="L7912" s="7">
        <v>42215.98809027778</v>
      </c>
      <c r="M7912" s="12" t="s">
        <v>129</v>
      </c>
      <c r="N7912" s="12" t="s">
        <v>218</v>
      </c>
      <c r="O7912" s="10" t="str">
        <f>HYPERLINK("https://pbs.twimg.com/profile_images/627949001179037696/skEBkS05_normal.jpg","View")</f>
        <v>View</v>
      </c>
      <c r="P7912" s="11"/>
    </row>
    <row r="7913" spans="1:16" ht="12.75" x14ac:dyDescent="0.35">
      <c r="A7913" s="7">
        <v>42485.170752314814</v>
      </c>
      <c r="B7913" s="8" t="str">
        <f t="shared" ref="B7913:B7914" si="805">HYPERLINK("https://twitter.com/OnlineCarReview","@OnlineCarReview")</f>
        <v>@OnlineCarReview</v>
      </c>
      <c r="C7913" s="9" t="s">
        <v>176</v>
      </c>
      <c r="D7913" s="9" t="s">
        <v>17361</v>
      </c>
      <c r="E7913" s="10" t="str">
        <f>HYPERLINK("https://twitter.com/OnlineCarReview/status/724366276978565120","724366276978565120")</f>
        <v>724366276978565120</v>
      </c>
      <c r="F7913" s="11" t="s">
        <v>34</v>
      </c>
      <c r="G7913" s="11">
        <v>840</v>
      </c>
      <c r="H7913" s="11">
        <v>568</v>
      </c>
      <c r="I7913" s="11">
        <v>0</v>
      </c>
      <c r="J7913" s="11">
        <v>0</v>
      </c>
      <c r="K7913" s="11" t="s">
        <v>21</v>
      </c>
      <c r="L7913" s="7">
        <v>42282.979201388887</v>
      </c>
      <c r="M7913" s="12"/>
      <c r="N7913" s="12" t="s">
        <v>178</v>
      </c>
      <c r="O7913" s="10" t="str">
        <f t="shared" ref="O7913:O7914" si="806">HYPERLINK("https://pbs.twimg.com/profile_images/652871584131092480/QA_B6SBO_normal.jpg","View")</f>
        <v>View</v>
      </c>
      <c r="P7913" s="11"/>
    </row>
    <row r="7914" spans="1:16" ht="12.75" x14ac:dyDescent="0.35">
      <c r="A7914" s="7">
        <v>42485.170752314814</v>
      </c>
      <c r="B7914" s="8" t="str">
        <f t="shared" si="805"/>
        <v>@OnlineCarReview</v>
      </c>
      <c r="C7914" s="9" t="s">
        <v>176</v>
      </c>
      <c r="D7914" s="9" t="s">
        <v>17362</v>
      </c>
      <c r="E7914" s="10" t="str">
        <f>HYPERLINK("https://twitter.com/OnlineCarReview/status/724366277830017024","724366277830017024")</f>
        <v>724366277830017024</v>
      </c>
      <c r="F7914" s="11" t="s">
        <v>34</v>
      </c>
      <c r="G7914" s="11">
        <v>840</v>
      </c>
      <c r="H7914" s="11">
        <v>568</v>
      </c>
      <c r="I7914" s="11">
        <v>0</v>
      </c>
      <c r="J7914" s="11">
        <v>0</v>
      </c>
      <c r="K7914" s="11" t="s">
        <v>21</v>
      </c>
      <c r="L7914" s="7">
        <v>42282.979201388887</v>
      </c>
      <c r="M7914" s="12"/>
      <c r="N7914" s="12" t="s">
        <v>178</v>
      </c>
      <c r="O7914" s="10" t="str">
        <f t="shared" si="806"/>
        <v>View</v>
      </c>
      <c r="P7914" s="11"/>
    </row>
    <row r="7915" spans="1:16" ht="12.75" x14ac:dyDescent="0.35">
      <c r="A7915" s="7">
        <v>42485.172812500001</v>
      </c>
      <c r="B7915" s="8" t="str">
        <f>HYPERLINK("https://twitter.com/RebeccaChast_16","@RebeccaChast_16")</f>
        <v>@RebeccaChast_16</v>
      </c>
      <c r="C7915" s="9" t="s">
        <v>17363</v>
      </c>
      <c r="D7915" s="9" t="s">
        <v>17364</v>
      </c>
      <c r="E7915" s="10" t="str">
        <f>HYPERLINK("https://twitter.com/RebeccaChast_16/status/724367025385168897","724367025385168897")</f>
        <v>724367025385168897</v>
      </c>
      <c r="F7915" s="11" t="s">
        <v>68</v>
      </c>
      <c r="G7915" s="11">
        <v>53</v>
      </c>
      <c r="H7915" s="11">
        <v>19</v>
      </c>
      <c r="I7915" s="11">
        <v>0</v>
      </c>
      <c r="J7915" s="11">
        <v>0</v>
      </c>
      <c r="K7915" s="11" t="s">
        <v>21</v>
      </c>
      <c r="L7915" s="7">
        <v>42445.953587962962</v>
      </c>
      <c r="M7915" s="12" t="s">
        <v>4352</v>
      </c>
      <c r="N7915" s="12" t="s">
        <v>17365</v>
      </c>
      <c r="O7915" s="10" t="str">
        <f>HYPERLINK("https://pbs.twimg.com/profile_images/710155496238350336/xMgum-ps_normal.jpg","View")</f>
        <v>View</v>
      </c>
      <c r="P7915" s="11"/>
    </row>
    <row r="7916" spans="1:16" ht="12.75" x14ac:dyDescent="0.35">
      <c r="A7916" s="7">
        <v>42485.174502314811</v>
      </c>
      <c r="B7916" s="8" t="str">
        <f t="shared" ref="B7916:B7921" si="807">HYPERLINK("https://twitter.com/beetlebug1938","@beetlebug1938")</f>
        <v>@beetlebug1938</v>
      </c>
      <c r="C7916" s="9" t="s">
        <v>66</v>
      </c>
      <c r="D7916" s="9" t="s">
        <v>17366</v>
      </c>
      <c r="E7916" s="10" t="str">
        <f>HYPERLINK("https://twitter.com/beetlebug1938/status/724367636121956352","724367636121956352")</f>
        <v>724367636121956352</v>
      </c>
      <c r="F7916" s="11" t="s">
        <v>68</v>
      </c>
      <c r="G7916" s="11">
        <v>392</v>
      </c>
      <c r="H7916" s="11">
        <v>2331</v>
      </c>
      <c r="I7916" s="11">
        <v>0</v>
      </c>
      <c r="J7916" s="11">
        <v>0</v>
      </c>
      <c r="K7916" s="11" t="s">
        <v>21</v>
      </c>
      <c r="L7916" s="7">
        <v>42469.863865740743</v>
      </c>
      <c r="M7916" s="12" t="s">
        <v>69</v>
      </c>
      <c r="N7916" s="12"/>
      <c r="O7916" s="10" t="str">
        <f t="shared" ref="O7916:O7921" si="808">HYPERLINK("https://pbs.twimg.com/profile_images/718820712757215233/LXXndPTS_normal.jpg","View")</f>
        <v>View</v>
      </c>
      <c r="P7916" s="11"/>
    </row>
    <row r="7917" spans="1:16" ht="12.75" x14ac:dyDescent="0.35">
      <c r="A7917" s="7">
        <v>42485.17454861111</v>
      </c>
      <c r="B7917" s="8" t="str">
        <f t="shared" si="807"/>
        <v>@beetlebug1938</v>
      </c>
      <c r="C7917" s="9" t="s">
        <v>66</v>
      </c>
      <c r="D7917" s="9" t="s">
        <v>17367</v>
      </c>
      <c r="E7917" s="10" t="str">
        <f>HYPERLINK("https://twitter.com/beetlebug1938/status/724367655617105920","724367655617105920")</f>
        <v>724367655617105920</v>
      </c>
      <c r="F7917" s="11" t="s">
        <v>68</v>
      </c>
      <c r="G7917" s="11">
        <v>392</v>
      </c>
      <c r="H7917" s="11">
        <v>2331</v>
      </c>
      <c r="I7917" s="11">
        <v>0</v>
      </c>
      <c r="J7917" s="11">
        <v>0</v>
      </c>
      <c r="K7917" s="11" t="s">
        <v>21</v>
      </c>
      <c r="L7917" s="7">
        <v>42469.863865740743</v>
      </c>
      <c r="M7917" s="12" t="s">
        <v>69</v>
      </c>
      <c r="N7917" s="12"/>
      <c r="O7917" s="10" t="str">
        <f t="shared" si="808"/>
        <v>View</v>
      </c>
      <c r="P7917" s="11"/>
    </row>
    <row r="7918" spans="1:16" ht="12.75" x14ac:dyDescent="0.35">
      <c r="A7918" s="7">
        <v>42485.174571759257</v>
      </c>
      <c r="B7918" s="8" t="str">
        <f t="shared" si="807"/>
        <v>@beetlebug1938</v>
      </c>
      <c r="C7918" s="9" t="s">
        <v>66</v>
      </c>
      <c r="D7918" s="9" t="s">
        <v>17368</v>
      </c>
      <c r="E7918" s="10" t="str">
        <f>HYPERLINK("https://twitter.com/beetlebug1938/status/724367664026664960","724367664026664960")</f>
        <v>724367664026664960</v>
      </c>
      <c r="F7918" s="11" t="s">
        <v>68</v>
      </c>
      <c r="G7918" s="11">
        <v>392</v>
      </c>
      <c r="H7918" s="11">
        <v>2331</v>
      </c>
      <c r="I7918" s="11">
        <v>0</v>
      </c>
      <c r="J7918" s="11">
        <v>0</v>
      </c>
      <c r="K7918" s="11" t="s">
        <v>21</v>
      </c>
      <c r="L7918" s="7">
        <v>42469.863865740743</v>
      </c>
      <c r="M7918" s="12" t="s">
        <v>69</v>
      </c>
      <c r="N7918" s="12"/>
      <c r="O7918" s="10" t="str">
        <f t="shared" si="808"/>
        <v>View</v>
      </c>
      <c r="P7918" s="11"/>
    </row>
    <row r="7919" spans="1:16" ht="12.75" x14ac:dyDescent="0.35">
      <c r="A7919" s="7">
        <v>42485.17460648148</v>
      </c>
      <c r="B7919" s="8" t="str">
        <f t="shared" si="807"/>
        <v>@beetlebug1938</v>
      </c>
      <c r="C7919" s="9" t="s">
        <v>66</v>
      </c>
      <c r="D7919" s="9" t="s">
        <v>17369</v>
      </c>
      <c r="E7919" s="10" t="str">
        <f>HYPERLINK("https://twitter.com/beetlebug1938/status/724367673061199872","724367673061199872")</f>
        <v>724367673061199872</v>
      </c>
      <c r="F7919" s="11" t="s">
        <v>68</v>
      </c>
      <c r="G7919" s="11">
        <v>392</v>
      </c>
      <c r="H7919" s="11">
        <v>2331</v>
      </c>
      <c r="I7919" s="11">
        <v>0</v>
      </c>
      <c r="J7919" s="11">
        <v>0</v>
      </c>
      <c r="K7919" s="11" t="s">
        <v>21</v>
      </c>
      <c r="L7919" s="7">
        <v>42469.863865740743</v>
      </c>
      <c r="M7919" s="12" t="s">
        <v>69</v>
      </c>
      <c r="N7919" s="12"/>
      <c r="O7919" s="10" t="str">
        <f t="shared" si="808"/>
        <v>View</v>
      </c>
      <c r="P7919" s="11"/>
    </row>
    <row r="7920" spans="1:16" ht="12.75" x14ac:dyDescent="0.35">
      <c r="A7920" s="7">
        <v>42485.174629629633</v>
      </c>
      <c r="B7920" s="8" t="str">
        <f t="shared" si="807"/>
        <v>@beetlebug1938</v>
      </c>
      <c r="C7920" s="9" t="s">
        <v>66</v>
      </c>
      <c r="D7920" s="9" t="s">
        <v>17370</v>
      </c>
      <c r="E7920" s="10" t="str">
        <f>HYPERLINK("https://twitter.com/beetlebug1938/status/724367682028638208","724367682028638208")</f>
        <v>724367682028638208</v>
      </c>
      <c r="F7920" s="11" t="s">
        <v>68</v>
      </c>
      <c r="G7920" s="11">
        <v>392</v>
      </c>
      <c r="H7920" s="11">
        <v>2331</v>
      </c>
      <c r="I7920" s="11">
        <v>1</v>
      </c>
      <c r="J7920" s="11">
        <v>0</v>
      </c>
      <c r="K7920" s="11" t="s">
        <v>21</v>
      </c>
      <c r="L7920" s="7">
        <v>42469.863865740743</v>
      </c>
      <c r="M7920" s="12" t="s">
        <v>69</v>
      </c>
      <c r="N7920" s="12"/>
      <c r="O7920" s="10" t="str">
        <f t="shared" si="808"/>
        <v>View</v>
      </c>
      <c r="P7920" s="11"/>
    </row>
    <row r="7921" spans="1:16" ht="12.75" x14ac:dyDescent="0.35">
      <c r="A7921" s="7">
        <v>42485.174641203703</v>
      </c>
      <c r="B7921" s="8" t="str">
        <f t="shared" si="807"/>
        <v>@beetlebug1938</v>
      </c>
      <c r="C7921" s="9" t="s">
        <v>66</v>
      </c>
      <c r="D7921" s="9" t="s">
        <v>17371</v>
      </c>
      <c r="E7921" s="10" t="str">
        <f>HYPERLINK("https://twitter.com/beetlebug1938/status/724367689490247680","724367689490247680")</f>
        <v>724367689490247680</v>
      </c>
      <c r="F7921" s="11" t="s">
        <v>68</v>
      </c>
      <c r="G7921" s="11">
        <v>392</v>
      </c>
      <c r="H7921" s="11">
        <v>2331</v>
      </c>
      <c r="I7921" s="11">
        <v>0</v>
      </c>
      <c r="J7921" s="11">
        <v>0</v>
      </c>
      <c r="K7921" s="11" t="s">
        <v>21</v>
      </c>
      <c r="L7921" s="7">
        <v>42469.863865740743</v>
      </c>
      <c r="M7921" s="12" t="s">
        <v>69</v>
      </c>
      <c r="N7921" s="12"/>
      <c r="O7921" s="10" t="str">
        <f t="shared" si="808"/>
        <v>View</v>
      </c>
      <c r="P7921" s="11"/>
    </row>
    <row r="7922" spans="1:16" ht="12.75" x14ac:dyDescent="0.35">
      <c r="A7922" s="7">
        <v>42485.174756944441</v>
      </c>
      <c r="B7922" s="8" t="str">
        <f>HYPERLINK("https://twitter.com/Costamagna_C","@Costamagna_C")</f>
        <v>@Costamagna_C</v>
      </c>
      <c r="C7922" s="9" t="s">
        <v>17372</v>
      </c>
      <c r="D7922" s="9" t="s">
        <v>17373</v>
      </c>
      <c r="E7922" s="10" t="str">
        <f>HYPERLINK("https://twitter.com/Costamagna_C/status/724367729998729216","724367729998729216")</f>
        <v>724367729998729216</v>
      </c>
      <c r="F7922" s="11" t="s">
        <v>114</v>
      </c>
      <c r="G7922" s="11">
        <v>372</v>
      </c>
      <c r="H7922" s="11">
        <v>630</v>
      </c>
      <c r="I7922" s="11">
        <v>0</v>
      </c>
      <c r="J7922" s="11">
        <v>0</v>
      </c>
      <c r="K7922" s="11" t="s">
        <v>21</v>
      </c>
      <c r="L7922" s="7">
        <v>41549.174305555556</v>
      </c>
      <c r="M7922" s="12"/>
      <c r="N7922" s="12"/>
      <c r="O7922" s="10" t="str">
        <f>HYPERLINK("https://pbs.twimg.com/profile_images/718085827461513217/HsFXp9G6_normal.jpg","View")</f>
        <v>View</v>
      </c>
      <c r="P7922" s="11"/>
    </row>
    <row r="7923" spans="1:16" ht="12.75" x14ac:dyDescent="0.35">
      <c r="A7923" s="7">
        <v>42485.175324074073</v>
      </c>
      <c r="B7923" s="8" t="str">
        <f t="shared" ref="B7923:B7925" si="809">HYPERLINK("https://twitter.com/dubbusses","@dubbusses")</f>
        <v>@dubbusses</v>
      </c>
      <c r="C7923" s="9" t="s">
        <v>14338</v>
      </c>
      <c r="D7923" s="9" t="s">
        <v>17374</v>
      </c>
      <c r="E7923" s="10" t="str">
        <f>HYPERLINK("https://twitter.com/dubbusses/status/724367935591075841","724367935591075841")</f>
        <v>724367935591075841</v>
      </c>
      <c r="F7923" s="11" t="s">
        <v>68</v>
      </c>
      <c r="G7923" s="11">
        <v>505</v>
      </c>
      <c r="H7923" s="11">
        <v>2822</v>
      </c>
      <c r="I7923" s="11">
        <v>0</v>
      </c>
      <c r="J7923" s="11">
        <v>0</v>
      </c>
      <c r="K7923" s="11" t="s">
        <v>21</v>
      </c>
      <c r="L7923" s="7">
        <v>42469.905393518522</v>
      </c>
      <c r="M7923" s="12" t="s">
        <v>14340</v>
      </c>
      <c r="N7923" s="12"/>
      <c r="O7923" s="10" t="str">
        <f t="shared" ref="O7923:O7925" si="810">HYPERLINK("https://pbs.twimg.com/profile_images/718835727027580928/1ssyQ67y_normal.jpg","View")</f>
        <v>View</v>
      </c>
      <c r="P7923" s="11"/>
    </row>
    <row r="7924" spans="1:16" ht="12.75" x14ac:dyDescent="0.35">
      <c r="A7924" s="7">
        <v>42485.175347222219</v>
      </c>
      <c r="B7924" s="8" t="str">
        <f t="shared" si="809"/>
        <v>@dubbusses</v>
      </c>
      <c r="C7924" s="9" t="s">
        <v>14338</v>
      </c>
      <c r="D7924" s="9" t="s">
        <v>17375</v>
      </c>
      <c r="E7924" s="10" t="str">
        <f>HYPERLINK("https://twitter.com/dubbusses/status/724367942369062912","724367942369062912")</f>
        <v>724367942369062912</v>
      </c>
      <c r="F7924" s="11" t="s">
        <v>68</v>
      </c>
      <c r="G7924" s="11">
        <v>505</v>
      </c>
      <c r="H7924" s="11">
        <v>2822</v>
      </c>
      <c r="I7924" s="11">
        <v>0</v>
      </c>
      <c r="J7924" s="11">
        <v>1</v>
      </c>
      <c r="K7924" s="11" t="s">
        <v>21</v>
      </c>
      <c r="L7924" s="7">
        <v>42469.905393518522</v>
      </c>
      <c r="M7924" s="12" t="s">
        <v>14340</v>
      </c>
      <c r="N7924" s="12"/>
      <c r="O7924" s="10" t="str">
        <f t="shared" si="810"/>
        <v>View</v>
      </c>
      <c r="P7924" s="11"/>
    </row>
    <row r="7925" spans="1:16" ht="12.75" x14ac:dyDescent="0.35">
      <c r="A7925" s="7">
        <v>42485.175358796296</v>
      </c>
      <c r="B7925" s="8" t="str">
        <f t="shared" si="809"/>
        <v>@dubbusses</v>
      </c>
      <c r="C7925" s="9" t="s">
        <v>14338</v>
      </c>
      <c r="D7925" s="9" t="s">
        <v>17376</v>
      </c>
      <c r="E7925" s="10" t="str">
        <f>HYPERLINK("https://twitter.com/dubbusses/status/724367946244567040","724367946244567040")</f>
        <v>724367946244567040</v>
      </c>
      <c r="F7925" s="11" t="s">
        <v>68</v>
      </c>
      <c r="G7925" s="11">
        <v>505</v>
      </c>
      <c r="H7925" s="11">
        <v>2822</v>
      </c>
      <c r="I7925" s="11">
        <v>0</v>
      </c>
      <c r="J7925" s="11">
        <v>0</v>
      </c>
      <c r="K7925" s="11" t="s">
        <v>21</v>
      </c>
      <c r="L7925" s="7">
        <v>42469.905393518522</v>
      </c>
      <c r="M7925" s="12" t="s">
        <v>14340</v>
      </c>
      <c r="N7925" s="12"/>
      <c r="O7925" s="10" t="str">
        <f t="shared" si="810"/>
        <v>View</v>
      </c>
      <c r="P7925" s="11"/>
    </row>
    <row r="7926" spans="1:16" ht="12.75" x14ac:dyDescent="0.35">
      <c r="A7926" s="7">
        <v>42485.176030092596</v>
      </c>
      <c r="B7926" s="8" t="str">
        <f>HYPERLINK("https://twitter.com/LaneRussellVW","@LaneRussellVW")</f>
        <v>@LaneRussellVW</v>
      </c>
      <c r="C7926" s="9" t="s">
        <v>17377</v>
      </c>
      <c r="D7926" s="9" t="s">
        <v>17378</v>
      </c>
      <c r="E7926" s="10" t="str">
        <f>HYPERLINK("https://twitter.com/LaneRussellVW/status/724368191045115904","724368191045115904")</f>
        <v>724368191045115904</v>
      </c>
      <c r="F7926" s="11" t="s">
        <v>68</v>
      </c>
      <c r="G7926" s="11">
        <v>79</v>
      </c>
      <c r="H7926" s="11">
        <v>88</v>
      </c>
      <c r="I7926" s="11">
        <v>0</v>
      </c>
      <c r="J7926" s="11">
        <v>0</v>
      </c>
      <c r="K7926" s="11" t="s">
        <v>21</v>
      </c>
      <c r="L7926" s="7">
        <v>40964.326863425929</v>
      </c>
      <c r="M7926" s="12" t="s">
        <v>17379</v>
      </c>
      <c r="N7926" s="12" t="s">
        <v>17380</v>
      </c>
      <c r="O7926" s="10" t="str">
        <f>HYPERLINK("https://pbs.twimg.com/profile_images/446414147329073152/EeQNRdY4_normal.png","View")</f>
        <v>View</v>
      </c>
      <c r="P7926" s="11"/>
    </row>
    <row r="7927" spans="1:16" ht="12.75" x14ac:dyDescent="0.35">
      <c r="A7927" s="7">
        <v>42485.176168981481</v>
      </c>
      <c r="B7927" s="8" t="str">
        <f>HYPERLINK("https://twitter.com/fejise","@fejise")</f>
        <v>@fejise</v>
      </c>
      <c r="C7927" s="9" t="s">
        <v>17381</v>
      </c>
      <c r="D7927" s="9" t="s">
        <v>17382</v>
      </c>
      <c r="E7927" s="10" t="str">
        <f>HYPERLINK("https://twitter.com/fejise/status/724368243419320321","724368243419320321")</f>
        <v>724368243419320321</v>
      </c>
      <c r="F7927" s="11" t="s">
        <v>114</v>
      </c>
      <c r="G7927" s="11">
        <v>463</v>
      </c>
      <c r="H7927" s="11">
        <v>448</v>
      </c>
      <c r="I7927" s="11">
        <v>0</v>
      </c>
      <c r="J7927" s="11">
        <v>0</v>
      </c>
      <c r="K7927" s="11" t="s">
        <v>21</v>
      </c>
      <c r="L7927" s="7">
        <v>40340.352731481486</v>
      </c>
      <c r="M7927" s="12"/>
      <c r="N7927" s="12" t="s">
        <v>17383</v>
      </c>
      <c r="O7927" s="10" t="str">
        <f>HYPERLINK("https://pbs.twimg.com/profile_images/698387375949373440/mvzpWN6H_normal.jpg","View")</f>
        <v>View</v>
      </c>
      <c r="P7927" s="11"/>
    </row>
    <row r="7928" spans="1:16" ht="12.75" x14ac:dyDescent="0.35">
      <c r="A7928" s="7">
        <v>42485.176666666666</v>
      </c>
      <c r="B7928" s="8" t="str">
        <f>HYPERLINK("https://twitter.com/LaneRussellVW","@LaneRussellVW")</f>
        <v>@LaneRussellVW</v>
      </c>
      <c r="C7928" s="9" t="s">
        <v>17377</v>
      </c>
      <c r="D7928" s="9" t="s">
        <v>17384</v>
      </c>
      <c r="E7928" s="10" t="str">
        <f>HYPERLINK("https://twitter.com/LaneRussellVW/status/724368421425692672","724368421425692672")</f>
        <v>724368421425692672</v>
      </c>
      <c r="F7928" s="11" t="s">
        <v>68</v>
      </c>
      <c r="G7928" s="11">
        <v>79</v>
      </c>
      <c r="H7928" s="11">
        <v>88</v>
      </c>
      <c r="I7928" s="11">
        <v>0</v>
      </c>
      <c r="J7928" s="11">
        <v>0</v>
      </c>
      <c r="K7928" s="11" t="s">
        <v>21</v>
      </c>
      <c r="L7928" s="7">
        <v>40964.326863425929</v>
      </c>
      <c r="M7928" s="12" t="s">
        <v>17379</v>
      </c>
      <c r="N7928" s="12" t="s">
        <v>17380</v>
      </c>
      <c r="O7928" s="10" t="str">
        <f>HYPERLINK("https://pbs.twimg.com/profile_images/446414147329073152/EeQNRdY4_normal.png","View")</f>
        <v>View</v>
      </c>
      <c r="P7928" s="11"/>
    </row>
    <row r="7929" spans="1:16" ht="12.75" x14ac:dyDescent="0.35">
      <c r="A7929" s="7">
        <v>42485.17701388889</v>
      </c>
      <c r="B7929" s="8" t="str">
        <f>HYPERLINK("https://twitter.com/FuscaWorld","@FuscaWorld")</f>
        <v>@FuscaWorld</v>
      </c>
      <c r="C7929" s="9" t="s">
        <v>74</v>
      </c>
      <c r="D7929" s="9" t="s">
        <v>17385</v>
      </c>
      <c r="E7929" s="10" t="str">
        <f>HYPERLINK("https://twitter.com/FuscaWorld/status/724368547904933889","724368547904933889")</f>
        <v>724368547904933889</v>
      </c>
      <c r="F7929" s="11" t="s">
        <v>76</v>
      </c>
      <c r="G7929" s="11">
        <v>52</v>
      </c>
      <c r="H7929" s="11">
        <v>1</v>
      </c>
      <c r="I7929" s="11">
        <v>1</v>
      </c>
      <c r="J7929" s="11">
        <v>0</v>
      </c>
      <c r="K7929" s="11" t="s">
        <v>21</v>
      </c>
      <c r="L7929" s="7">
        <v>42433.880914351852</v>
      </c>
      <c r="M7929" s="12"/>
      <c r="N7929" s="12" t="s">
        <v>77</v>
      </c>
      <c r="O7929" s="10" t="str">
        <f>HYPERLINK("https://pbs.twimg.com/profile_images/705780107844067328/e7O4UBNb_normal.jpg","View")</f>
        <v>View</v>
      </c>
      <c r="P7929" s="11"/>
    </row>
    <row r="7930" spans="1:16" ht="12.75" x14ac:dyDescent="0.35">
      <c r="A7930" s="7">
        <v>42485.17769675926</v>
      </c>
      <c r="B7930" s="8" t="str">
        <f>HYPERLINK("https://twitter.com/JesusittoLZS","@JesusittoLZS")</f>
        <v>@JesusittoLZS</v>
      </c>
      <c r="C7930" s="9" t="s">
        <v>17386</v>
      </c>
      <c r="D7930" s="9" t="s">
        <v>17387</v>
      </c>
      <c r="E7930" s="10" t="str">
        <f>HYPERLINK("https://twitter.com/JesusittoLZS/status/724368792952942592","724368792952942592")</f>
        <v>724368792952942592</v>
      </c>
      <c r="F7930" s="11" t="s">
        <v>114</v>
      </c>
      <c r="G7930" s="11">
        <v>669</v>
      </c>
      <c r="H7930" s="11">
        <v>220</v>
      </c>
      <c r="I7930" s="11">
        <v>0</v>
      </c>
      <c r="J7930" s="11">
        <v>0</v>
      </c>
      <c r="K7930" s="11" t="s">
        <v>21</v>
      </c>
      <c r="L7930" s="7">
        <v>40895.364236111112</v>
      </c>
      <c r="M7930" s="12" t="s">
        <v>17388</v>
      </c>
      <c r="N7930" s="12" t="s">
        <v>17389</v>
      </c>
      <c r="O7930" s="10" t="str">
        <f>HYPERLINK("https://pbs.twimg.com/profile_images/681196623205154817/jNfWQKj__normal.jpg","View")</f>
        <v>View</v>
      </c>
      <c r="P7930" s="11"/>
    </row>
    <row r="7931" spans="1:16" ht="12.75" x14ac:dyDescent="0.35">
      <c r="A7931" s="7">
        <v>42485.179918981477</v>
      </c>
      <c r="B7931" s="8" t="str">
        <f>HYPERLINK("https://twitter.com/DJHeero","@DJHeero")</f>
        <v>@DJHeero</v>
      </c>
      <c r="C7931" s="9" t="s">
        <v>17390</v>
      </c>
      <c r="D7931" s="9" t="s">
        <v>17391</v>
      </c>
      <c r="E7931" s="10" t="str">
        <f>HYPERLINK("https://twitter.com/DJHeero/status/724369600310169600","724369600310169600")</f>
        <v>724369600310169600</v>
      </c>
      <c r="F7931" s="11" t="s">
        <v>114</v>
      </c>
      <c r="G7931" s="11">
        <v>222</v>
      </c>
      <c r="H7931" s="11">
        <v>168</v>
      </c>
      <c r="I7931" s="11">
        <v>0</v>
      </c>
      <c r="J7931" s="11">
        <v>0</v>
      </c>
      <c r="K7931" s="11" t="s">
        <v>21</v>
      </c>
      <c r="L7931" s="7">
        <v>40430.782418981486</v>
      </c>
      <c r="M7931" s="12" t="s">
        <v>688</v>
      </c>
      <c r="N7931" s="12" t="s">
        <v>17392</v>
      </c>
      <c r="O7931" s="10" t="str">
        <f>HYPERLINK("https://pbs.twimg.com/profile_images/378800000831377746/fe01a6e29b89375295455e2af7055554_normal.jpeg","View")</f>
        <v>View</v>
      </c>
      <c r="P7931" s="11"/>
    </row>
    <row r="7932" spans="1:16" ht="12.75" x14ac:dyDescent="0.35">
      <c r="A7932" s="7">
        <v>42485.18178240741</v>
      </c>
      <c r="B7932" s="8" t="str">
        <f>HYPERLINK("https://twitter.com/I_Am_Golden07","@I_Am_Golden07")</f>
        <v>@I_Am_Golden07</v>
      </c>
      <c r="C7932" s="9" t="s">
        <v>17205</v>
      </c>
      <c r="D7932" s="9" t="s">
        <v>13150</v>
      </c>
      <c r="E7932" s="10" t="str">
        <f>HYPERLINK("https://twitter.com/I_Am_Golden07/status/724370274217545729","724370274217545729")</f>
        <v>724370274217545729</v>
      </c>
      <c r="F7932" s="11" t="s">
        <v>2060</v>
      </c>
      <c r="G7932" s="11">
        <v>513</v>
      </c>
      <c r="H7932" s="11">
        <v>738</v>
      </c>
      <c r="I7932" s="11">
        <v>40</v>
      </c>
      <c r="J7932" s="11">
        <v>0</v>
      </c>
      <c r="K7932" s="11" t="s">
        <v>21</v>
      </c>
      <c r="L7932" s="7">
        <v>41549.776932870373</v>
      </c>
      <c r="M7932" s="12" t="s">
        <v>17206</v>
      </c>
      <c r="N7932" s="12" t="s">
        <v>17207</v>
      </c>
      <c r="O7932" s="10" t="str">
        <f>HYPERLINK("https://pbs.twimg.com/profile_images/655302243806265344/V6UKksnQ_normal.jpg","View")</f>
        <v>View</v>
      </c>
      <c r="P7932" s="11"/>
    </row>
    <row r="7933" spans="1:16" ht="12.75" x14ac:dyDescent="0.35">
      <c r="A7933" s="7">
        <v>42485.183553240742</v>
      </c>
      <c r="B7933" s="8" t="str">
        <f>HYPERLINK("https://twitter.com/RCVolkswagen","@RCVolkswagen")</f>
        <v>@RCVolkswagen</v>
      </c>
      <c r="C7933" s="9" t="s">
        <v>11840</v>
      </c>
      <c r="D7933" s="9" t="s">
        <v>17393</v>
      </c>
      <c r="E7933" s="10" t="str">
        <f>HYPERLINK("https://twitter.com/RCVolkswagen/status/724370915438518272","724370915438518272")</f>
        <v>724370915438518272</v>
      </c>
      <c r="F7933" s="11" t="s">
        <v>152</v>
      </c>
      <c r="G7933" s="11">
        <v>149</v>
      </c>
      <c r="H7933" s="11">
        <v>162</v>
      </c>
      <c r="I7933" s="11">
        <v>0</v>
      </c>
      <c r="J7933" s="11">
        <v>0</v>
      </c>
      <c r="K7933" s="11" t="s">
        <v>21</v>
      </c>
      <c r="L7933" s="7">
        <v>41720.856145833335</v>
      </c>
      <c r="M7933" s="12" t="s">
        <v>11842</v>
      </c>
      <c r="N7933" s="12" t="s">
        <v>11843</v>
      </c>
      <c r="O7933" s="10" t="str">
        <f>HYPERLINK("https://pbs.twimg.com/profile_images/464510596256264192/jlJphn9d_normal.jpeg","View")</f>
        <v>View</v>
      </c>
      <c r="P7933" s="11"/>
    </row>
    <row r="7934" spans="1:16" ht="12.75" x14ac:dyDescent="0.35">
      <c r="A7934" s="7">
        <v>42485.186585648145</v>
      </c>
      <c r="B7934" s="8" t="str">
        <f>HYPERLINK("https://twitter.com/KathrynDowling","@KathrynDowling")</f>
        <v>@KathrynDowling</v>
      </c>
      <c r="C7934" s="9" t="s">
        <v>17394</v>
      </c>
      <c r="D7934" s="9" t="s">
        <v>17395</v>
      </c>
      <c r="E7934" s="10" t="str">
        <f>HYPERLINK("https://twitter.com/KathrynDowling/status/724372015797420034","724372015797420034")</f>
        <v>724372015797420034</v>
      </c>
      <c r="F7934" s="11" t="s">
        <v>43</v>
      </c>
      <c r="G7934" s="11">
        <v>1791</v>
      </c>
      <c r="H7934" s="11">
        <v>4986</v>
      </c>
      <c r="I7934" s="11">
        <v>0</v>
      </c>
      <c r="J7934" s="11">
        <v>0</v>
      </c>
      <c r="K7934" s="11" t="s">
        <v>21</v>
      </c>
      <c r="L7934" s="7">
        <v>39934.752233796295</v>
      </c>
      <c r="M7934" s="12" t="s">
        <v>1072</v>
      </c>
      <c r="N7934" s="12" t="s">
        <v>17396</v>
      </c>
      <c r="O7934" s="10" t="str">
        <f>HYPERLINK("https://pbs.twimg.com/profile_images/1659423025/kat2_normal.jpg","View")</f>
        <v>View</v>
      </c>
      <c r="P7934" s="11"/>
    </row>
    <row r="7935" spans="1:16" ht="12.75" x14ac:dyDescent="0.35">
      <c r="A7935" s="7">
        <v>42485.187094907407</v>
      </c>
      <c r="B7935" s="8" t="str">
        <f>HYPERLINK("https://twitter.com/oldcar_photo","@oldcar_photo")</f>
        <v>@oldcar_photo</v>
      </c>
      <c r="C7935" s="9" t="s">
        <v>1046</v>
      </c>
      <c r="D7935" s="9" t="s">
        <v>17397</v>
      </c>
      <c r="E7935" s="10" t="str">
        <f>HYPERLINK("https://twitter.com/oldcar_photo/status/724372199503716352","724372199503716352")</f>
        <v>724372199503716352</v>
      </c>
      <c r="F7935" s="11" t="s">
        <v>68</v>
      </c>
      <c r="G7935" s="11">
        <v>2005</v>
      </c>
      <c r="H7935" s="11">
        <v>0</v>
      </c>
      <c r="I7935" s="11">
        <v>0</v>
      </c>
      <c r="J7935" s="11">
        <v>0</v>
      </c>
      <c r="K7935" s="11" t="s">
        <v>21</v>
      </c>
      <c r="L7935" s="7">
        <v>42184.7341087963</v>
      </c>
      <c r="M7935" s="12"/>
      <c r="N7935" s="12"/>
      <c r="O7935" s="10" t="str">
        <f>HYPERLINK("https://pbs.twimg.com/profile_images/615493650785660928/XHUh6HOk_normal.jpg","View")</f>
        <v>View</v>
      </c>
      <c r="P7935" s="11"/>
    </row>
    <row r="7936" spans="1:16" ht="12.75" x14ac:dyDescent="0.35">
      <c r="A7936" s="7">
        <v>42485.187407407408</v>
      </c>
      <c r="B7936" s="8" t="str">
        <f>HYPERLINK("https://twitter.com/MiltonKeyn_es","@MiltonKeyn_es")</f>
        <v>@MiltonKeyn_es</v>
      </c>
      <c r="C7936" s="9" t="s">
        <v>17398</v>
      </c>
      <c r="D7936" s="9" t="s">
        <v>17399</v>
      </c>
      <c r="E7936" s="10" t="str">
        <f>HYPERLINK("https://twitter.com/MiltonKeyn_es/status/724372316038266881","724372316038266881")</f>
        <v>724372316038266881</v>
      </c>
      <c r="F7936" s="11" t="s">
        <v>68</v>
      </c>
      <c r="G7936" s="11">
        <v>2453</v>
      </c>
      <c r="H7936" s="11">
        <v>195</v>
      </c>
      <c r="I7936" s="11">
        <v>0</v>
      </c>
      <c r="J7936" s="11">
        <v>0</v>
      </c>
      <c r="K7936" s="11" t="s">
        <v>21</v>
      </c>
      <c r="L7936" s="7">
        <v>41263.73914351852</v>
      </c>
      <c r="M7936" s="12" t="s">
        <v>17398</v>
      </c>
      <c r="N7936" s="12"/>
      <c r="O7936" s="10" t="str">
        <f>HYPERLINK("https://pbs.twimg.com/profile_images/2998353133/f894c36e6a0e46f416e2290de4e3d9f8_normal.png","View")</f>
        <v>View</v>
      </c>
      <c r="P7936" s="11"/>
    </row>
    <row r="7937" spans="1:16" ht="12.75" x14ac:dyDescent="0.35">
      <c r="A7937" s="7">
        <v>42485.187905092593</v>
      </c>
      <c r="B7937" s="8" t="str">
        <f t="shared" ref="B7937:B7938" si="811">HYPERLINK("https://twitter.com/VeeDubMk1_","@VeeDubMk1_")</f>
        <v>@VeeDubMk1_</v>
      </c>
      <c r="C7937" s="9" t="s">
        <v>185</v>
      </c>
      <c r="D7937" s="9" t="s">
        <v>17400</v>
      </c>
      <c r="E7937" s="10" t="str">
        <f>HYPERLINK("https://twitter.com/VeeDubMk1_/status/724372492396183553","724372492396183553")</f>
        <v>724372492396183553</v>
      </c>
      <c r="F7937" s="11" t="s">
        <v>68</v>
      </c>
      <c r="G7937" s="11">
        <v>556</v>
      </c>
      <c r="H7937" s="11">
        <v>2981</v>
      </c>
      <c r="I7937" s="11">
        <v>0</v>
      </c>
      <c r="J7937" s="11">
        <v>0</v>
      </c>
      <c r="K7937" s="11" t="s">
        <v>21</v>
      </c>
      <c r="L7937" s="7">
        <v>42343.063356481478</v>
      </c>
      <c r="M7937" s="12"/>
      <c r="N7937" s="12"/>
      <c r="O7937" s="10" t="str">
        <f t="shared" ref="O7937:O7938" si="812">HYPERLINK("https://pbs.twimg.com/profile_images/672878354127839232/M7OYc-zx_normal.jpg","View")</f>
        <v>View</v>
      </c>
      <c r="P7937" s="11"/>
    </row>
    <row r="7938" spans="1:16" ht="12.75" x14ac:dyDescent="0.35">
      <c r="A7938" s="7">
        <v>42485.187928240739</v>
      </c>
      <c r="B7938" s="8" t="str">
        <f t="shared" si="811"/>
        <v>@VeeDubMk1_</v>
      </c>
      <c r="C7938" s="9" t="s">
        <v>185</v>
      </c>
      <c r="D7938" s="9" t="s">
        <v>17401</v>
      </c>
      <c r="E7938" s="10" t="str">
        <f>HYPERLINK("https://twitter.com/VeeDubMk1_/status/724372504790355968","724372504790355968")</f>
        <v>724372504790355968</v>
      </c>
      <c r="F7938" s="11" t="s">
        <v>68</v>
      </c>
      <c r="G7938" s="11">
        <v>556</v>
      </c>
      <c r="H7938" s="11">
        <v>2981</v>
      </c>
      <c r="I7938" s="11">
        <v>0</v>
      </c>
      <c r="J7938" s="11">
        <v>0</v>
      </c>
      <c r="K7938" s="11" t="s">
        <v>21</v>
      </c>
      <c r="L7938" s="7">
        <v>42343.063356481478</v>
      </c>
      <c r="M7938" s="12"/>
      <c r="N7938" s="12"/>
      <c r="O7938" s="10" t="str">
        <f t="shared" si="812"/>
        <v>View</v>
      </c>
      <c r="P7938" s="11"/>
    </row>
    <row r="7939" spans="1:16" ht="12.75" x14ac:dyDescent="0.35">
      <c r="A7939" s="7">
        <v>42485.188391203701</v>
      </c>
      <c r="B7939" s="8" t="str">
        <f>HYPERLINK("https://twitter.com/GolfitIt","@GolfitIt")</f>
        <v>@GolfitIt</v>
      </c>
      <c r="C7939" s="9" t="s">
        <v>13503</v>
      </c>
      <c r="D7939" s="9" t="s">
        <v>17402</v>
      </c>
      <c r="E7939" s="10" t="str">
        <f>HYPERLINK("https://twitter.com/GolfitIt/status/724372670733635584","724372670733635584")</f>
        <v>724372670733635584</v>
      </c>
      <c r="F7939" s="11" t="s">
        <v>13505</v>
      </c>
      <c r="G7939" s="11">
        <v>1795</v>
      </c>
      <c r="H7939" s="11">
        <v>10</v>
      </c>
      <c r="I7939" s="11">
        <v>1</v>
      </c>
      <c r="J7939" s="11">
        <v>0</v>
      </c>
      <c r="K7939" s="11" t="s">
        <v>21</v>
      </c>
      <c r="L7939" s="7">
        <v>41501.856377314813</v>
      </c>
      <c r="M7939" s="12"/>
      <c r="N7939" s="12"/>
      <c r="O7939" s="10" t="str">
        <f>HYPERLINK("https://pbs.twimg.com/profile_images/465845159607824386/C2TZw1k6_normal.jpeg","View")</f>
        <v>View</v>
      </c>
      <c r="P7939" s="11"/>
    </row>
    <row r="7940" spans="1:16" ht="12.75" x14ac:dyDescent="0.35">
      <c r="A7940" s="7">
        <v>42485.189363425925</v>
      </c>
      <c r="B7940" s="8" t="str">
        <f>HYPERLINK("https://twitter.com/VCT_Tweets","@VCT_Tweets")</f>
        <v>@VCT_Tweets</v>
      </c>
      <c r="C7940" s="9" t="s">
        <v>199</v>
      </c>
      <c r="D7940" s="9" t="s">
        <v>17403</v>
      </c>
      <c r="E7940" s="10" t="str">
        <f>HYPERLINK("https://twitter.com/VCT_Tweets/status/724373020756860928","724373020756860928")</f>
        <v>724373020756860928</v>
      </c>
      <c r="F7940" s="11" t="s">
        <v>68</v>
      </c>
      <c r="G7940" s="11">
        <v>892</v>
      </c>
      <c r="H7940" s="11">
        <v>211</v>
      </c>
      <c r="I7940" s="11">
        <v>0</v>
      </c>
      <c r="J7940" s="11">
        <v>1</v>
      </c>
      <c r="K7940" s="11" t="s">
        <v>21</v>
      </c>
      <c r="L7940" s="7">
        <v>40744.914837962962</v>
      </c>
      <c r="M7940" s="12" t="s">
        <v>201</v>
      </c>
      <c r="N7940" s="12" t="s">
        <v>202</v>
      </c>
      <c r="O7940" s="10" t="str">
        <f>HYPERLINK("https://pbs.twimg.com/profile_images/569800899141177344/nVFLMSdb_normal.png","View")</f>
        <v>View</v>
      </c>
      <c r="P7940" s="11"/>
    </row>
    <row r="7941" spans="1:16" ht="12.75" x14ac:dyDescent="0.35">
      <c r="A7941" s="7">
        <v>42485.192060185189</v>
      </c>
      <c r="B7941" s="8" t="str">
        <f>HYPERLINK("https://twitter.com/Braulio_Urresti","@Braulio_Urresti")</f>
        <v>@Braulio_Urresti</v>
      </c>
      <c r="C7941" s="9" t="s">
        <v>7915</v>
      </c>
      <c r="D7941" s="9" t="s">
        <v>17404</v>
      </c>
      <c r="E7941" s="10" t="str">
        <f>HYPERLINK("https://twitter.com/Braulio_Urresti/status/724374000521109504","724374000521109504")</f>
        <v>724374000521109504</v>
      </c>
      <c r="F7941" s="11" t="s">
        <v>68</v>
      </c>
      <c r="G7941" s="11">
        <v>92</v>
      </c>
      <c r="H7941" s="11">
        <v>128</v>
      </c>
      <c r="I7941" s="11">
        <v>0</v>
      </c>
      <c r="J7941" s="11">
        <v>0</v>
      </c>
      <c r="K7941" s="11" t="s">
        <v>21</v>
      </c>
      <c r="L7941" s="7">
        <v>42474.937349537038</v>
      </c>
      <c r="M7941" s="12"/>
      <c r="N7941" s="12"/>
      <c r="O7941" s="10" t="str">
        <f>HYPERLINK("https://abs.twimg.com/sticky/default_profile_images/default_profile_5_normal.png","View")</f>
        <v>View</v>
      </c>
      <c r="P7941" s="11"/>
    </row>
    <row r="7942" spans="1:16" ht="12.75" x14ac:dyDescent="0.35">
      <c r="A7942" s="7">
        <v>42485.192094907412</v>
      </c>
      <c r="B7942" s="8" t="str">
        <f>HYPERLINK("https://twitter.com/JenniPii","@JenniPii")</f>
        <v>@JenniPii</v>
      </c>
      <c r="C7942" s="9" t="s">
        <v>8303</v>
      </c>
      <c r="D7942" s="9" t="s">
        <v>17405</v>
      </c>
      <c r="E7942" s="10" t="str">
        <f>HYPERLINK("https://twitter.com/JenniPii/status/724374012386770945","724374012386770945")</f>
        <v>724374012386770945</v>
      </c>
      <c r="F7942" s="11" t="s">
        <v>43</v>
      </c>
      <c r="G7942" s="11">
        <v>229</v>
      </c>
      <c r="H7942" s="11">
        <v>365</v>
      </c>
      <c r="I7942" s="11">
        <v>0</v>
      </c>
      <c r="J7942" s="11">
        <v>0</v>
      </c>
      <c r="K7942" s="11" t="s">
        <v>21</v>
      </c>
      <c r="L7942" s="7">
        <v>41527.974120370374</v>
      </c>
      <c r="M7942" s="12" t="s">
        <v>8305</v>
      </c>
      <c r="N7942" s="12" t="s">
        <v>8306</v>
      </c>
      <c r="O7942" s="10" t="str">
        <f>HYPERLINK("https://pbs.twimg.com/profile_images/722101790431260672/0vYDkuAk_normal.jpg","View")</f>
        <v>View</v>
      </c>
      <c r="P7942" s="11"/>
    </row>
    <row r="7943" spans="1:16" ht="12.75" x14ac:dyDescent="0.35">
      <c r="A7943" s="7">
        <v>42485.192175925928</v>
      </c>
      <c r="B7943" s="8" t="str">
        <f>HYPERLINK("https://twitter.com/FuscaWorld","@FuscaWorld")</f>
        <v>@FuscaWorld</v>
      </c>
      <c r="C7943" s="9" t="s">
        <v>74</v>
      </c>
      <c r="D7943" s="9" t="s">
        <v>17406</v>
      </c>
      <c r="E7943" s="10" t="str">
        <f>HYPERLINK("https://twitter.com/FuscaWorld/status/724374041541398528","724374041541398528")</f>
        <v>724374041541398528</v>
      </c>
      <c r="F7943" s="11" t="s">
        <v>76</v>
      </c>
      <c r="G7943" s="11">
        <v>52</v>
      </c>
      <c r="H7943" s="11">
        <v>1</v>
      </c>
      <c r="I7943" s="11">
        <v>1</v>
      </c>
      <c r="J7943" s="11">
        <v>0</v>
      </c>
      <c r="K7943" s="11" t="s">
        <v>21</v>
      </c>
      <c r="L7943" s="7">
        <v>42433.880914351852</v>
      </c>
      <c r="M7943" s="12"/>
      <c r="N7943" s="12" t="s">
        <v>77</v>
      </c>
      <c r="O7943" s="10" t="str">
        <f>HYPERLINK("https://pbs.twimg.com/profile_images/705780107844067328/e7O4UBNb_normal.jpg","View")</f>
        <v>View</v>
      </c>
      <c r="P7943" s="11"/>
    </row>
    <row r="7944" spans="1:16" ht="12.75" x14ac:dyDescent="0.35">
      <c r="A7944" s="7">
        <v>42485.192650462966</v>
      </c>
      <c r="B7944" s="8" t="str">
        <f>HYPERLINK("https://twitter.com/Immortaliized","@Immortaliized")</f>
        <v>@Immortaliized</v>
      </c>
      <c r="C7944" s="9" t="s">
        <v>2916</v>
      </c>
      <c r="D7944" s="9" t="s">
        <v>17407</v>
      </c>
      <c r="E7944" s="10" t="str">
        <f>HYPERLINK("https://twitter.com/Immortaliized/status/724374214031994880","724374214031994880")</f>
        <v>724374214031994880</v>
      </c>
      <c r="F7944" s="11" t="s">
        <v>114</v>
      </c>
      <c r="G7944" s="11">
        <v>170</v>
      </c>
      <c r="H7944" s="11">
        <v>105</v>
      </c>
      <c r="I7944" s="11">
        <v>0</v>
      </c>
      <c r="J7944" s="11">
        <v>0</v>
      </c>
      <c r="K7944" s="11" t="s">
        <v>21</v>
      </c>
      <c r="L7944" s="7">
        <v>40796.130393518521</v>
      </c>
      <c r="M7944" s="12" t="s">
        <v>2918</v>
      </c>
      <c r="N7944" s="12" t="s">
        <v>2919</v>
      </c>
      <c r="O7944" s="10" t="str">
        <f>HYPERLINK("https://pbs.twimg.com/profile_images/705621568781570048/95--t7AT_normal.jpg","View")</f>
        <v>View</v>
      </c>
      <c r="P7944" s="11"/>
    </row>
    <row r="7945" spans="1:16" ht="12.75" x14ac:dyDescent="0.35">
      <c r="A7945" s="7">
        <v>42485.193020833336</v>
      </c>
      <c r="B7945" s="8" t="str">
        <f>HYPERLINK("https://twitter.com/ohioantique","@ohioantique")</f>
        <v>@ohioantique</v>
      </c>
      <c r="C7945" s="9" t="s">
        <v>5609</v>
      </c>
      <c r="D7945" s="9" t="s">
        <v>17408</v>
      </c>
      <c r="E7945" s="10" t="str">
        <f>HYPERLINK("https://twitter.com/ohioantique/status/724374348077903872","724374348077903872")</f>
        <v>724374348077903872</v>
      </c>
      <c r="F7945" s="11" t="s">
        <v>43</v>
      </c>
      <c r="G7945" s="11">
        <v>62</v>
      </c>
      <c r="H7945" s="11">
        <v>92</v>
      </c>
      <c r="I7945" s="11">
        <v>0</v>
      </c>
      <c r="J7945" s="11">
        <v>0</v>
      </c>
      <c r="K7945" s="11" t="s">
        <v>21</v>
      </c>
      <c r="L7945" s="7">
        <v>40930.077847222223</v>
      </c>
      <c r="M7945" s="12" t="s">
        <v>5611</v>
      </c>
      <c r="N7945" s="12" t="s">
        <v>5612</v>
      </c>
      <c r="O7945" s="10" t="str">
        <f>HYPERLINK("https://pbs.twimg.com/profile_images/1771451657/il_570xN.291650220_normal.jpg","View")</f>
        <v>View</v>
      </c>
      <c r="P7945" s="11"/>
    </row>
    <row r="7946" spans="1:16" ht="12.75" x14ac:dyDescent="0.35">
      <c r="A7946" s="7">
        <v>42485.193761574075</v>
      </c>
      <c r="B7946" s="8" t="str">
        <f>HYPERLINK("https://twitter.com/Belva_5713","@Belva_5713")</f>
        <v>@Belva_5713</v>
      </c>
      <c r="C7946" s="9" t="s">
        <v>17409</v>
      </c>
      <c r="D7946" s="9" t="s">
        <v>17410</v>
      </c>
      <c r="E7946" s="10" t="str">
        <f>HYPERLINK("https://twitter.com/Belva_5713/status/724374615909343232","724374615909343232")</f>
        <v>724374615909343232</v>
      </c>
      <c r="F7946" s="11" t="s">
        <v>43</v>
      </c>
      <c r="G7946" s="11">
        <v>1032</v>
      </c>
      <c r="H7946" s="11">
        <v>4995</v>
      </c>
      <c r="I7946" s="11">
        <v>3</v>
      </c>
      <c r="J7946" s="11">
        <v>0</v>
      </c>
      <c r="K7946" s="11" t="s">
        <v>21</v>
      </c>
      <c r="L7946" s="7">
        <v>41991.383194444439</v>
      </c>
      <c r="M7946" s="12"/>
      <c r="N7946" s="12"/>
      <c r="O7946" s="10" t="str">
        <f>HYPERLINK("https://pbs.twimg.com/profile_images/545423988545949696/tn6NWMAh_normal.jpeg","View")</f>
        <v>View</v>
      </c>
      <c r="P7946" s="11"/>
    </row>
    <row r="7947" spans="1:16" ht="12.75" x14ac:dyDescent="0.35">
      <c r="A7947" s="7">
        <v>42485.194930555561</v>
      </c>
      <c r="B7947" s="8" t="str">
        <f>HYPERLINK("https://twitter.com/maustal","@maustal")</f>
        <v>@maustal</v>
      </c>
      <c r="C7947" s="9" t="s">
        <v>17411</v>
      </c>
      <c r="D7947" s="9" t="s">
        <v>17412</v>
      </c>
      <c r="E7947" s="10" t="str">
        <f>HYPERLINK("https://twitter.com/maustal/status/724375038602797062","724375038602797062")</f>
        <v>724375038602797062</v>
      </c>
      <c r="F7947" s="11" t="s">
        <v>114</v>
      </c>
      <c r="G7947" s="11">
        <v>156</v>
      </c>
      <c r="H7947" s="11">
        <v>197</v>
      </c>
      <c r="I7947" s="11">
        <v>0</v>
      </c>
      <c r="J7947" s="11">
        <v>0</v>
      </c>
      <c r="K7947" s="11" t="s">
        <v>21</v>
      </c>
      <c r="L7947" s="7">
        <v>39933.814097222225</v>
      </c>
      <c r="M7947" s="12" t="s">
        <v>17413</v>
      </c>
      <c r="N7947" s="12"/>
      <c r="O7947" s="10" t="str">
        <f>HYPERLINK("https://pbs.twimg.com/profile_images/1176034618/euCC_normal.jpg","View")</f>
        <v>View</v>
      </c>
      <c r="P7947" s="11"/>
    </row>
    <row r="7948" spans="1:16" ht="12.75" x14ac:dyDescent="0.35">
      <c r="A7948" s="7">
        <v>42485.196226851855</v>
      </c>
      <c r="B7948" s="8" t="str">
        <f>HYPERLINK("https://twitter.com/Fabio_gonzalezs","@Fabio_gonzalezs")</f>
        <v>@Fabio_gonzalezs</v>
      </c>
      <c r="C7948" s="9" t="s">
        <v>12147</v>
      </c>
      <c r="D7948" s="9" t="s">
        <v>17414</v>
      </c>
      <c r="E7948" s="10" t="str">
        <f>HYPERLINK("https://twitter.com/Fabio_gonzalezs/status/724375509828796416","724375509828796416")</f>
        <v>724375509828796416</v>
      </c>
      <c r="F7948" s="11" t="s">
        <v>48</v>
      </c>
      <c r="G7948" s="11">
        <v>360</v>
      </c>
      <c r="H7948" s="11">
        <v>528</v>
      </c>
      <c r="I7948" s="11">
        <v>28</v>
      </c>
      <c r="J7948" s="11">
        <v>0</v>
      </c>
      <c r="K7948" s="11" t="s">
        <v>21</v>
      </c>
      <c r="L7948" s="7">
        <v>42033.349062499998</v>
      </c>
      <c r="M7948" s="12" t="s">
        <v>12148</v>
      </c>
      <c r="N7948" s="12" t="s">
        <v>12149</v>
      </c>
      <c r="O7948" s="10" t="str">
        <f>HYPERLINK("https://pbs.twimg.com/profile_images/700934646029279232/ZBynIyxT_normal.jpg","View")</f>
        <v>View</v>
      </c>
      <c r="P7948" s="11"/>
    </row>
    <row r="7949" spans="1:16" ht="12.75" x14ac:dyDescent="0.35">
      <c r="A7949" s="7">
        <v>42485.19666666667</v>
      </c>
      <c r="B7949" s="8" t="str">
        <f>HYPERLINK("https://twitter.com/quantlabs","@quantlabs")</f>
        <v>@quantlabs</v>
      </c>
      <c r="C7949" s="9" t="s">
        <v>17415</v>
      </c>
      <c r="D7949" s="9" t="s">
        <v>17416</v>
      </c>
      <c r="E7949" s="10" t="str">
        <f>HYPERLINK("https://twitter.com/quantlabs/status/724375668839030784","724375668839030784")</f>
        <v>724375668839030784</v>
      </c>
      <c r="F7949" s="11" t="s">
        <v>114</v>
      </c>
      <c r="G7949" s="11">
        <v>1019</v>
      </c>
      <c r="H7949" s="11">
        <v>341</v>
      </c>
      <c r="I7949" s="11">
        <v>0</v>
      </c>
      <c r="J7949" s="11">
        <v>0</v>
      </c>
      <c r="K7949" s="11" t="s">
        <v>21</v>
      </c>
      <c r="L7949" s="7">
        <v>40560.004467592589</v>
      </c>
      <c r="M7949" s="12" t="s">
        <v>17417</v>
      </c>
      <c r="N7949" s="12" t="s">
        <v>17418</v>
      </c>
      <c r="O7949" s="10" t="str">
        <f>HYPERLINK("https://pbs.twimg.com/profile_images/1217919246/quantlabs-square_normal.jpg","View")</f>
        <v>View</v>
      </c>
      <c r="P7949" s="11"/>
    </row>
    <row r="7950" spans="1:16" ht="12.75" x14ac:dyDescent="0.35">
      <c r="A7950" s="7">
        <v>42485.19803240741</v>
      </c>
      <c r="B7950" s="8" t="str">
        <f>HYPERLINK("https://twitter.com/acvwpassion","@acvwpassion")</f>
        <v>@acvwpassion</v>
      </c>
      <c r="C7950" s="9" t="s">
        <v>4671</v>
      </c>
      <c r="D7950" s="9" t="s">
        <v>17419</v>
      </c>
      <c r="E7950" s="10" t="str">
        <f>HYPERLINK("https://twitter.com/acvwpassion/status/724376164500922368","724376164500922368")</f>
        <v>724376164500922368</v>
      </c>
      <c r="F7950" s="11" t="s">
        <v>152</v>
      </c>
      <c r="G7950" s="11">
        <v>244</v>
      </c>
      <c r="H7950" s="11">
        <v>409</v>
      </c>
      <c r="I7950" s="11">
        <v>0</v>
      </c>
      <c r="J7950" s="11">
        <v>0</v>
      </c>
      <c r="K7950" s="11" t="s">
        <v>21</v>
      </c>
      <c r="L7950" s="7">
        <v>41989.101851851854</v>
      </c>
      <c r="M7950" s="12" t="s">
        <v>4673</v>
      </c>
      <c r="N7950" s="12" t="s">
        <v>4674</v>
      </c>
      <c r="O7950" s="10" t="str">
        <f>HYPERLINK("https://pbs.twimg.com/profile_images/545688359964651520/SF3sJ7lv_normal.jpeg","View")</f>
        <v>View</v>
      </c>
      <c r="P7950" s="11"/>
    </row>
    <row r="7951" spans="1:16" ht="12.75" x14ac:dyDescent="0.35">
      <c r="A7951" s="7">
        <v>42485.19831018518</v>
      </c>
      <c r="B7951" s="8" t="str">
        <f>HYPERLINK("https://twitter.com/carguideph","@carguideph")</f>
        <v>@carguideph</v>
      </c>
      <c r="C7951" s="9" t="s">
        <v>17420</v>
      </c>
      <c r="D7951" s="9" t="s">
        <v>17421</v>
      </c>
      <c r="E7951" s="10" t="str">
        <f>HYPERLINK("https://twitter.com/carguideph/status/724376266833539073","724376266833539073")</f>
        <v>724376266833539073</v>
      </c>
      <c r="F7951" s="11" t="s">
        <v>53</v>
      </c>
      <c r="G7951" s="11">
        <v>1027</v>
      </c>
      <c r="H7951" s="11">
        <v>209</v>
      </c>
      <c r="I7951" s="11">
        <v>0</v>
      </c>
      <c r="J7951" s="11">
        <v>0</v>
      </c>
      <c r="K7951" s="11" t="s">
        <v>21</v>
      </c>
      <c r="L7951" s="7">
        <v>39910.235034722224</v>
      </c>
      <c r="M7951" s="12" t="s">
        <v>17422</v>
      </c>
      <c r="N7951" s="12" t="s">
        <v>17423</v>
      </c>
      <c r="O7951" s="10" t="str">
        <f>HYPERLINK("https://pbs.twimg.com/profile_images/624784481761660928/2H3mAXZc_normal.jpg","View")</f>
        <v>View</v>
      </c>
      <c r="P7951" s="11"/>
    </row>
    <row r="7952" spans="1:16" ht="12.75" x14ac:dyDescent="0.35">
      <c r="A7952" s="7">
        <v>42485.20076388889</v>
      </c>
      <c r="B7952" s="8" t="str">
        <f>HYPERLINK("https://twitter.com/israel_artismo","@israel_artismo")</f>
        <v>@israel_artismo</v>
      </c>
      <c r="C7952" s="9" t="s">
        <v>17424</v>
      </c>
      <c r="D7952" s="9" t="s">
        <v>17425</v>
      </c>
      <c r="E7952" s="10" t="str">
        <f>HYPERLINK("https://twitter.com/israel_artismo/status/724377153018728448","724377153018728448")</f>
        <v>724377153018728448</v>
      </c>
      <c r="F7952" s="11" t="s">
        <v>114</v>
      </c>
      <c r="G7952" s="11">
        <v>32</v>
      </c>
      <c r="H7952" s="11">
        <v>30</v>
      </c>
      <c r="I7952" s="11">
        <v>0</v>
      </c>
      <c r="J7952" s="11">
        <v>0</v>
      </c>
      <c r="K7952" s="11" t="s">
        <v>21</v>
      </c>
      <c r="L7952" s="7">
        <v>39980.274201388893</v>
      </c>
      <c r="M7952" s="12" t="s">
        <v>17426</v>
      </c>
      <c r="N7952" s="12"/>
      <c r="O7952" s="10" t="str">
        <f>HYPERLINK("https://pbs.twimg.com/profile_images/691326144151425024/VVpJBz_v_normal.jpg","View")</f>
        <v>View</v>
      </c>
      <c r="P7952" s="10" t="str">
        <f>HYPERLINK("http://ctrlq.org/maps/address/#-28.39330131,-49.54910563","Map")</f>
        <v>Map</v>
      </c>
    </row>
    <row r="7953" spans="1:16" ht="12.75" x14ac:dyDescent="0.35">
      <c r="A7953" s="7">
        <v>42485.20212962963</v>
      </c>
      <c r="B7953" s="8" t="str">
        <f>HYPERLINK("https://twitter.com/rajesh877","@rajesh877")</f>
        <v>@rajesh877</v>
      </c>
      <c r="C7953" s="9" t="s">
        <v>11166</v>
      </c>
      <c r="D7953" s="9" t="s">
        <v>17427</v>
      </c>
      <c r="E7953" s="10" t="str">
        <f>HYPERLINK("https://twitter.com/rajesh877/status/724377647984324609","724377647984324609")</f>
        <v>724377647984324609</v>
      </c>
      <c r="F7953" s="11" t="s">
        <v>68</v>
      </c>
      <c r="G7953" s="11">
        <v>138</v>
      </c>
      <c r="H7953" s="11">
        <v>74</v>
      </c>
      <c r="I7953" s="11">
        <v>0</v>
      </c>
      <c r="J7953" s="11">
        <v>0</v>
      </c>
      <c r="K7953" s="11" t="s">
        <v>21</v>
      </c>
      <c r="L7953" s="7">
        <v>40077.821550925924</v>
      </c>
      <c r="M7953" s="12" t="s">
        <v>808</v>
      </c>
      <c r="N7953" s="12"/>
      <c r="O7953" s="10" t="str">
        <f>HYPERLINK("https://pbs.twimg.com/profile_images/690068229562241028/dtAFj2bm_normal.jpg","View")</f>
        <v>View</v>
      </c>
      <c r="P7953" s="11"/>
    </row>
    <row r="7954" spans="1:16" ht="12.75" x14ac:dyDescent="0.35">
      <c r="A7954" s="7">
        <v>42485.203194444446</v>
      </c>
      <c r="B7954" s="8" t="str">
        <f>HYPERLINK("https://twitter.com/dapper013","@dapper013")</f>
        <v>@dapper013</v>
      </c>
      <c r="C7954" s="9" t="s">
        <v>1567</v>
      </c>
      <c r="D7954" s="9" t="s">
        <v>17428</v>
      </c>
      <c r="E7954" s="10" t="str">
        <f>HYPERLINK("https://twitter.com/dapper013/status/724378036431388674","724378036431388674")</f>
        <v>724378036431388674</v>
      </c>
      <c r="F7954" s="11" t="s">
        <v>48</v>
      </c>
      <c r="G7954" s="11">
        <v>291</v>
      </c>
      <c r="H7954" s="11">
        <v>304</v>
      </c>
      <c r="I7954" s="11">
        <v>0</v>
      </c>
      <c r="J7954" s="11">
        <v>0</v>
      </c>
      <c r="K7954" s="11" t="s">
        <v>21</v>
      </c>
      <c r="L7954" s="7">
        <v>40871.767500000002</v>
      </c>
      <c r="M7954" s="12" t="s">
        <v>1569</v>
      </c>
      <c r="N7954" s="12" t="s">
        <v>1570</v>
      </c>
      <c r="O7954" s="10" t="str">
        <f>HYPERLINK("https://pbs.twimg.com/profile_images/704424786777280513/YQVkJF57_normal.jpg","View")</f>
        <v>View</v>
      </c>
      <c r="P7954" s="11"/>
    </row>
    <row r="7955" spans="1:16" ht="12.75" x14ac:dyDescent="0.35">
      <c r="A7955" s="7">
        <v>42485.204398148147</v>
      </c>
      <c r="B7955" s="8" t="str">
        <f>HYPERLINK("https://twitter.com/moteking25","@moteking25")</f>
        <v>@moteking25</v>
      </c>
      <c r="C7955" s="9" t="s">
        <v>295</v>
      </c>
      <c r="D7955" s="9" t="s">
        <v>17429</v>
      </c>
      <c r="E7955" s="10" t="str">
        <f>HYPERLINK("https://twitter.com/moteking25/status/724378470646579202","724378470646579202")</f>
        <v>724378470646579202</v>
      </c>
      <c r="F7955" s="11" t="s">
        <v>114</v>
      </c>
      <c r="G7955" s="11">
        <v>155</v>
      </c>
      <c r="H7955" s="11">
        <v>261</v>
      </c>
      <c r="I7955" s="11">
        <v>0</v>
      </c>
      <c r="J7955" s="11">
        <v>0</v>
      </c>
      <c r="K7955" s="11" t="s">
        <v>21</v>
      </c>
      <c r="L7955" s="7">
        <v>40656.812789351854</v>
      </c>
      <c r="M7955" s="12" t="s">
        <v>297</v>
      </c>
      <c r="N7955" s="12" t="s">
        <v>298</v>
      </c>
      <c r="O7955" s="10" t="str">
        <f>HYPERLINK("https://pbs.twimg.com/profile_images/695836169418899456/Z9ohOFD9_normal.jpg","View")</f>
        <v>View</v>
      </c>
      <c r="P7955" s="11"/>
    </row>
    <row r="7956" spans="1:16" ht="12.75" x14ac:dyDescent="0.35">
      <c r="A7956" s="7">
        <v>42485.204861111109</v>
      </c>
      <c r="B7956" s="8" t="str">
        <f>HYPERLINK("https://twitter.com/ebaycampervans","@ebaycampervans")</f>
        <v>@ebaycampervans</v>
      </c>
      <c r="C7956" s="9" t="s">
        <v>682</v>
      </c>
      <c r="D7956" s="9" t="s">
        <v>17430</v>
      </c>
      <c r="E7956" s="10" t="str">
        <f>HYPERLINK("https://twitter.com/ebaycampervans/status/724378638183882752","724378638183882752")</f>
        <v>724378638183882752</v>
      </c>
      <c r="F7956" s="11" t="s">
        <v>34</v>
      </c>
      <c r="G7956" s="11">
        <v>381</v>
      </c>
      <c r="H7956" s="11">
        <v>1002</v>
      </c>
      <c r="I7956" s="11">
        <v>0</v>
      </c>
      <c r="J7956" s="11">
        <v>0</v>
      </c>
      <c r="K7956" s="11" t="s">
        <v>21</v>
      </c>
      <c r="L7956" s="7">
        <v>42140.207604166666</v>
      </c>
      <c r="M7956" s="12"/>
      <c r="N7956" s="12" t="s">
        <v>684</v>
      </c>
      <c r="O7956" s="10" t="str">
        <f>HYPERLINK("https://pbs.twimg.com/profile_images/599357023407464449/BL9Bpo6T_normal.jpg","View")</f>
        <v>View</v>
      </c>
      <c r="P7956" s="11"/>
    </row>
    <row r="7957" spans="1:16" ht="12.75" x14ac:dyDescent="0.35">
      <c r="A7957" s="7">
        <v>42485.206342592588</v>
      </c>
      <c r="B7957" s="8" t="str">
        <f>HYPERLINK("https://twitter.com/BeluuGuzmaan","@BeluuGuzmaan")</f>
        <v>@BeluuGuzmaan</v>
      </c>
      <c r="C7957" s="9" t="s">
        <v>17431</v>
      </c>
      <c r="D7957" s="9" t="s">
        <v>17056</v>
      </c>
      <c r="E7957" s="10" t="str">
        <f>HYPERLINK("https://twitter.com/BeluuGuzmaan/status/724379174652260353","724379174652260353")</f>
        <v>724379174652260353</v>
      </c>
      <c r="F7957" s="11" t="s">
        <v>43</v>
      </c>
      <c r="G7957" s="11">
        <v>1524</v>
      </c>
      <c r="H7957" s="11">
        <v>1225</v>
      </c>
      <c r="I7957" s="11">
        <v>7</v>
      </c>
      <c r="J7957" s="11">
        <v>0</v>
      </c>
      <c r="K7957" s="11" t="s">
        <v>21</v>
      </c>
      <c r="L7957" s="7">
        <v>41951.913206018522</v>
      </c>
      <c r="M7957" s="12" t="s">
        <v>17432</v>
      </c>
      <c r="N7957" s="12"/>
      <c r="O7957" s="10" t="str">
        <f>HYPERLINK("https://pbs.twimg.com/profile_images/724335174008320001/vc3eG6JX_normal.jpg","View")</f>
        <v>View</v>
      </c>
      <c r="P7957" s="11"/>
    </row>
    <row r="7958" spans="1:16" ht="12.75" x14ac:dyDescent="0.35">
      <c r="A7958" s="7">
        <v>42485.208518518513</v>
      </c>
      <c r="B7958" s="8" t="str">
        <f>HYPERLINK("https://twitter.com/dejbanlaw","@dejbanlaw")</f>
        <v>@dejbanlaw</v>
      </c>
      <c r="C7958" s="9" t="s">
        <v>500</v>
      </c>
      <c r="D7958" s="9" t="s">
        <v>17433</v>
      </c>
      <c r="E7958" s="10" t="str">
        <f>HYPERLINK("https://twitter.com/dejbanlaw/status/724379965723041794","724379965723041794")</f>
        <v>724379965723041794</v>
      </c>
      <c r="F7958" s="11" t="s">
        <v>91</v>
      </c>
      <c r="G7958" s="11">
        <v>19036</v>
      </c>
      <c r="H7958" s="11">
        <v>271</v>
      </c>
      <c r="I7958" s="11">
        <v>0</v>
      </c>
      <c r="J7958" s="11">
        <v>0</v>
      </c>
      <c r="K7958" s="11" t="s">
        <v>21</v>
      </c>
      <c r="L7958" s="7">
        <v>42350.2659837963</v>
      </c>
      <c r="M7958" s="12" t="s">
        <v>502</v>
      </c>
      <c r="N7958" s="12" t="s">
        <v>503</v>
      </c>
      <c r="O7958" s="10" t="str">
        <f>HYPERLINK("https://pbs.twimg.com/profile_images/676465930424082432/zT-RyXf4_normal.jpg","View")</f>
        <v>View</v>
      </c>
      <c r="P7958" s="11"/>
    </row>
    <row r="7959" spans="1:16" ht="12.75" x14ac:dyDescent="0.35">
      <c r="A7959" s="7">
        <v>42485.209872685184</v>
      </c>
      <c r="B7959" s="8" t="str">
        <f>HYPERLINK("https://twitter.com/DubLuvTuning","@DubLuvTuning")</f>
        <v>@DubLuvTuning</v>
      </c>
      <c r="C7959" s="9" t="s">
        <v>299</v>
      </c>
      <c r="D7959" s="9" t="s">
        <v>17434</v>
      </c>
      <c r="E7959" s="10" t="str">
        <f>HYPERLINK("https://twitter.com/DubLuvTuning/status/724380455743700993","724380455743700993")</f>
        <v>724380455743700993</v>
      </c>
      <c r="F7959" s="11" t="s">
        <v>288</v>
      </c>
      <c r="G7959" s="11">
        <v>690</v>
      </c>
      <c r="H7959" s="11">
        <v>430</v>
      </c>
      <c r="I7959" s="11">
        <v>1</v>
      </c>
      <c r="J7959" s="11">
        <v>0</v>
      </c>
      <c r="K7959" s="11" t="s">
        <v>21</v>
      </c>
      <c r="L7959" s="7">
        <v>41549.898287037038</v>
      </c>
      <c r="M7959" s="12" t="s">
        <v>301</v>
      </c>
      <c r="N7959" s="12" t="s">
        <v>302</v>
      </c>
      <c r="O7959" s="10" t="str">
        <f>HYPERLINK("https://pbs.twimg.com/profile_images/378800000572104796/1de43e1cf23efb3f4101c02afad0d3b6_normal.png","View")</f>
        <v>View</v>
      </c>
      <c r="P7959" s="11"/>
    </row>
    <row r="7960" spans="1:16" ht="12.75" x14ac:dyDescent="0.35">
      <c r="A7960" s="7">
        <v>42485.213310185187</v>
      </c>
      <c r="B7960" s="8" t="str">
        <f>HYPERLINK("https://twitter.com/dejbanlaw","@dejbanlaw")</f>
        <v>@dejbanlaw</v>
      </c>
      <c r="C7960" s="9" t="s">
        <v>500</v>
      </c>
      <c r="D7960" s="9" t="s">
        <v>17435</v>
      </c>
      <c r="E7960" s="10" t="str">
        <f>HYPERLINK("https://twitter.com/dejbanlaw/status/724381698968809474","724381698968809474")</f>
        <v>724381698968809474</v>
      </c>
      <c r="F7960" s="11" t="s">
        <v>91</v>
      </c>
      <c r="G7960" s="11">
        <v>19036</v>
      </c>
      <c r="H7960" s="11">
        <v>271</v>
      </c>
      <c r="I7960" s="11">
        <v>4</v>
      </c>
      <c r="J7960" s="11">
        <v>1</v>
      </c>
      <c r="K7960" s="11" t="s">
        <v>21</v>
      </c>
      <c r="L7960" s="7">
        <v>42350.2659837963</v>
      </c>
      <c r="M7960" s="12" t="s">
        <v>502</v>
      </c>
      <c r="N7960" s="12" t="s">
        <v>503</v>
      </c>
      <c r="O7960" s="10" t="str">
        <f>HYPERLINK("https://pbs.twimg.com/profile_images/676465930424082432/zT-RyXf4_normal.jpg","View")</f>
        <v>View</v>
      </c>
      <c r="P7960" s="11"/>
    </row>
    <row r="7961" spans="1:16" ht="12.75" x14ac:dyDescent="0.35">
      <c r="A7961" s="7">
        <v>42485.215104166666</v>
      </c>
      <c r="B7961" s="8" t="str">
        <f>HYPERLINK("https://twitter.com/JackShayier","@JackShayier")</f>
        <v>@JackShayier</v>
      </c>
      <c r="C7961" s="9" t="s">
        <v>17436</v>
      </c>
      <c r="D7961" s="9" t="s">
        <v>17437</v>
      </c>
      <c r="E7961" s="10" t="str">
        <f>HYPERLINK("https://twitter.com/JackShayier/status/724382350050791424","724382350050791424")</f>
        <v>724382350050791424</v>
      </c>
      <c r="F7961" s="11" t="s">
        <v>48</v>
      </c>
      <c r="G7961" s="11">
        <v>366</v>
      </c>
      <c r="H7961" s="11">
        <v>617</v>
      </c>
      <c r="I7961" s="11">
        <v>3</v>
      </c>
      <c r="J7961" s="11">
        <v>0</v>
      </c>
      <c r="K7961" s="11" t="s">
        <v>21</v>
      </c>
      <c r="L7961" s="7">
        <v>41568.546203703707</v>
      </c>
      <c r="M7961" s="12" t="s">
        <v>17438</v>
      </c>
      <c r="N7961" s="12" t="s">
        <v>17439</v>
      </c>
      <c r="O7961" s="10" t="str">
        <f>HYPERLINK("https://pbs.twimg.com/profile_images/541574743334617088/IJ-jRaF4_normal.jpeg","View")</f>
        <v>View</v>
      </c>
      <c r="P7961" s="11"/>
    </row>
    <row r="7962" spans="1:16" ht="12.75" x14ac:dyDescent="0.35">
      <c r="A7962" s="7">
        <v>42485.215104166666</v>
      </c>
      <c r="B7962" s="8" t="str">
        <f t="shared" ref="B7962:B7963" si="813">HYPERLINK("https://twitter.com/SimonJMale","@SimonJMale")</f>
        <v>@SimonJMale</v>
      </c>
      <c r="C7962" s="9" t="s">
        <v>17440</v>
      </c>
      <c r="D7962" s="9" t="s">
        <v>17441</v>
      </c>
      <c r="E7962" s="10" t="str">
        <f>HYPERLINK("https://twitter.com/SimonJMale/status/724382351749472261","724382351749472261")</f>
        <v>724382351749472261</v>
      </c>
      <c r="F7962" s="11" t="s">
        <v>114</v>
      </c>
      <c r="G7962" s="11">
        <v>55</v>
      </c>
      <c r="H7962" s="11">
        <v>51</v>
      </c>
      <c r="I7962" s="11">
        <v>0</v>
      </c>
      <c r="J7962" s="11">
        <v>0</v>
      </c>
      <c r="K7962" s="11" t="s">
        <v>21</v>
      </c>
      <c r="L7962" s="7">
        <v>41329.721782407403</v>
      </c>
      <c r="M7962" s="12"/>
      <c r="N7962" s="12"/>
      <c r="O7962" s="10" t="str">
        <f t="shared" ref="O7962:O7963" si="814">HYPERLINK("https://pbs.twimg.com/profile_images/460936755387310080/wMC9yHRR_normal.jpeg","View")</f>
        <v>View</v>
      </c>
      <c r="P7962" s="11"/>
    </row>
    <row r="7963" spans="1:16" ht="12.75" x14ac:dyDescent="0.35">
      <c r="A7963" s="7">
        <v>42485.215173611112</v>
      </c>
      <c r="B7963" s="8" t="str">
        <f t="shared" si="813"/>
        <v>@SimonJMale</v>
      </c>
      <c r="C7963" s="9" t="s">
        <v>17440</v>
      </c>
      <c r="D7963" s="9" t="s">
        <v>17442</v>
      </c>
      <c r="E7963" s="10" t="str">
        <f>HYPERLINK("https://twitter.com/SimonJMale/status/724382374105100289","724382374105100289")</f>
        <v>724382374105100289</v>
      </c>
      <c r="F7963" s="11" t="s">
        <v>68</v>
      </c>
      <c r="G7963" s="11">
        <v>55</v>
      </c>
      <c r="H7963" s="11">
        <v>51</v>
      </c>
      <c r="I7963" s="11">
        <v>0</v>
      </c>
      <c r="J7963" s="11">
        <v>0</v>
      </c>
      <c r="K7963" s="11" t="s">
        <v>21</v>
      </c>
      <c r="L7963" s="7">
        <v>41329.721782407403</v>
      </c>
      <c r="M7963" s="12"/>
      <c r="N7963" s="12"/>
      <c r="O7963" s="10" t="str">
        <f t="shared" si="814"/>
        <v>View</v>
      </c>
      <c r="P7963" s="11"/>
    </row>
    <row r="7964" spans="1:16" ht="12.75" x14ac:dyDescent="0.35">
      <c r="A7964" s="7">
        <v>42485.21539351852</v>
      </c>
      <c r="B7964" s="8" t="str">
        <f>HYPERLINK("https://twitter.com/willkinton247","@willkinton247")</f>
        <v>@willkinton247</v>
      </c>
      <c r="C7964" s="9" t="s">
        <v>17443</v>
      </c>
      <c r="D7964" s="9" t="s">
        <v>17444</v>
      </c>
      <c r="E7964" s="10" t="str">
        <f>HYPERLINK("https://twitter.com/willkinton247/status/724382456028258304","724382456028258304")</f>
        <v>724382456028258304</v>
      </c>
      <c r="F7964" s="11" t="s">
        <v>114</v>
      </c>
      <c r="G7964" s="11">
        <v>421</v>
      </c>
      <c r="H7964" s="11">
        <v>401</v>
      </c>
      <c r="I7964" s="11">
        <v>0</v>
      </c>
      <c r="J7964" s="11">
        <v>0</v>
      </c>
      <c r="K7964" s="11" t="s">
        <v>21</v>
      </c>
      <c r="L7964" s="7">
        <v>40592.025509259256</v>
      </c>
      <c r="M7964" s="12" t="s">
        <v>10246</v>
      </c>
      <c r="N7964" s="12" t="s">
        <v>17445</v>
      </c>
      <c r="O7964" s="10" t="str">
        <f>HYPERLINK("https://pbs.twimg.com/profile_images/500414221709213696/nWSfoogh_normal.jpeg","View")</f>
        <v>View</v>
      </c>
      <c r="P7964" s="11"/>
    </row>
    <row r="7965" spans="1:16" ht="12.75" x14ac:dyDescent="0.35">
      <c r="A7965" s="7">
        <v>42485.216539351852</v>
      </c>
      <c r="B7965" s="8" t="str">
        <f t="shared" ref="B7965:B7971" si="815">HYPERLINK("https://twitter.com/beetlebug1938","@beetlebug1938")</f>
        <v>@beetlebug1938</v>
      </c>
      <c r="C7965" s="9" t="s">
        <v>66</v>
      </c>
      <c r="D7965" s="9" t="s">
        <v>17446</v>
      </c>
      <c r="E7965" s="10" t="str">
        <f>HYPERLINK("https://twitter.com/beetlebug1938/status/724382870958149632","724382870958149632")</f>
        <v>724382870958149632</v>
      </c>
      <c r="F7965" s="11" t="s">
        <v>68</v>
      </c>
      <c r="G7965" s="11">
        <v>392</v>
      </c>
      <c r="H7965" s="11">
        <v>2331</v>
      </c>
      <c r="I7965" s="11">
        <v>0</v>
      </c>
      <c r="J7965" s="11">
        <v>0</v>
      </c>
      <c r="K7965" s="11" t="s">
        <v>21</v>
      </c>
      <c r="L7965" s="7">
        <v>42469.863865740743</v>
      </c>
      <c r="M7965" s="12" t="s">
        <v>69</v>
      </c>
      <c r="N7965" s="12"/>
      <c r="O7965" s="10" t="str">
        <f t="shared" ref="O7965:O7971" si="816">HYPERLINK("https://pbs.twimg.com/profile_images/718820712757215233/LXXndPTS_normal.jpg","View")</f>
        <v>View</v>
      </c>
      <c r="P7965" s="11"/>
    </row>
    <row r="7966" spans="1:16" ht="12.75" x14ac:dyDescent="0.35">
      <c r="A7966" s="7">
        <v>42485.216678240744</v>
      </c>
      <c r="B7966" s="8" t="str">
        <f t="shared" si="815"/>
        <v>@beetlebug1938</v>
      </c>
      <c r="C7966" s="9" t="s">
        <v>66</v>
      </c>
      <c r="D7966" s="9" t="s">
        <v>17447</v>
      </c>
      <c r="E7966" s="10" t="str">
        <f>HYPERLINK("https://twitter.com/beetlebug1938/status/724382919825997824","724382919825997824")</f>
        <v>724382919825997824</v>
      </c>
      <c r="F7966" s="11" t="s">
        <v>68</v>
      </c>
      <c r="G7966" s="11">
        <v>392</v>
      </c>
      <c r="H7966" s="11">
        <v>2331</v>
      </c>
      <c r="I7966" s="11">
        <v>0</v>
      </c>
      <c r="J7966" s="11">
        <v>0</v>
      </c>
      <c r="K7966" s="11" t="s">
        <v>21</v>
      </c>
      <c r="L7966" s="7">
        <v>42469.863865740743</v>
      </c>
      <c r="M7966" s="12" t="s">
        <v>69</v>
      </c>
      <c r="N7966" s="12"/>
      <c r="O7966" s="10" t="str">
        <f t="shared" si="816"/>
        <v>View</v>
      </c>
      <c r="P7966" s="11"/>
    </row>
    <row r="7967" spans="1:16" ht="12.75" x14ac:dyDescent="0.35">
      <c r="A7967" s="7">
        <v>42485.216712962967</v>
      </c>
      <c r="B7967" s="8" t="str">
        <f t="shared" si="815"/>
        <v>@beetlebug1938</v>
      </c>
      <c r="C7967" s="9" t="s">
        <v>66</v>
      </c>
      <c r="D7967" s="9" t="s">
        <v>17448</v>
      </c>
      <c r="E7967" s="10" t="str">
        <f>HYPERLINK("https://twitter.com/beetlebug1938/status/724382935009337345","724382935009337345")</f>
        <v>724382935009337345</v>
      </c>
      <c r="F7967" s="11" t="s">
        <v>68</v>
      </c>
      <c r="G7967" s="11">
        <v>392</v>
      </c>
      <c r="H7967" s="11">
        <v>2331</v>
      </c>
      <c r="I7967" s="11">
        <v>0</v>
      </c>
      <c r="J7967" s="11">
        <v>0</v>
      </c>
      <c r="K7967" s="11" t="s">
        <v>21</v>
      </c>
      <c r="L7967" s="7">
        <v>42469.863865740743</v>
      </c>
      <c r="M7967" s="12" t="s">
        <v>69</v>
      </c>
      <c r="N7967" s="12"/>
      <c r="O7967" s="10" t="str">
        <f t="shared" si="816"/>
        <v>View</v>
      </c>
      <c r="P7967" s="11"/>
    </row>
    <row r="7968" spans="1:16" ht="12.75" x14ac:dyDescent="0.35">
      <c r="A7968" s="7">
        <v>42485.21674768519</v>
      </c>
      <c r="B7968" s="8" t="str">
        <f t="shared" si="815"/>
        <v>@beetlebug1938</v>
      </c>
      <c r="C7968" s="9" t="s">
        <v>66</v>
      </c>
      <c r="D7968" s="9" t="s">
        <v>17449</v>
      </c>
      <c r="E7968" s="10" t="str">
        <f>HYPERLINK("https://twitter.com/beetlebug1938/status/724382947487416321","724382947487416321")</f>
        <v>724382947487416321</v>
      </c>
      <c r="F7968" s="11" t="s">
        <v>68</v>
      </c>
      <c r="G7968" s="11">
        <v>392</v>
      </c>
      <c r="H7968" s="11">
        <v>2331</v>
      </c>
      <c r="I7968" s="11">
        <v>0</v>
      </c>
      <c r="J7968" s="11">
        <v>0</v>
      </c>
      <c r="K7968" s="11" t="s">
        <v>21</v>
      </c>
      <c r="L7968" s="7">
        <v>42469.863865740743</v>
      </c>
      <c r="M7968" s="12" t="s">
        <v>69</v>
      </c>
      <c r="N7968" s="12"/>
      <c r="O7968" s="10" t="str">
        <f t="shared" si="816"/>
        <v>View</v>
      </c>
      <c r="P7968" s="11"/>
    </row>
    <row r="7969" spans="1:16" ht="12.75" x14ac:dyDescent="0.35">
      <c r="A7969" s="7">
        <v>42485.216782407406</v>
      </c>
      <c r="B7969" s="8" t="str">
        <f t="shared" si="815"/>
        <v>@beetlebug1938</v>
      </c>
      <c r="C7969" s="9" t="s">
        <v>66</v>
      </c>
      <c r="D7969" s="9" t="s">
        <v>17450</v>
      </c>
      <c r="E7969" s="10" t="str">
        <f>HYPERLINK("https://twitter.com/beetlebug1938/status/724382959055286272","724382959055286272")</f>
        <v>724382959055286272</v>
      </c>
      <c r="F7969" s="11" t="s">
        <v>68</v>
      </c>
      <c r="G7969" s="11">
        <v>392</v>
      </c>
      <c r="H7969" s="11">
        <v>2331</v>
      </c>
      <c r="I7969" s="11">
        <v>0</v>
      </c>
      <c r="J7969" s="11">
        <v>0</v>
      </c>
      <c r="K7969" s="11" t="s">
        <v>21</v>
      </c>
      <c r="L7969" s="7">
        <v>42469.863865740743</v>
      </c>
      <c r="M7969" s="12" t="s">
        <v>69</v>
      </c>
      <c r="N7969" s="12"/>
      <c r="O7969" s="10" t="str">
        <f t="shared" si="816"/>
        <v>View</v>
      </c>
      <c r="P7969" s="11"/>
    </row>
    <row r="7970" spans="1:16" ht="12.75" x14ac:dyDescent="0.35">
      <c r="A7970" s="7">
        <v>42485.216817129629</v>
      </c>
      <c r="B7970" s="8" t="str">
        <f t="shared" si="815"/>
        <v>@beetlebug1938</v>
      </c>
      <c r="C7970" s="9" t="s">
        <v>66</v>
      </c>
      <c r="D7970" s="9" t="s">
        <v>17451</v>
      </c>
      <c r="E7970" s="10" t="str">
        <f>HYPERLINK("https://twitter.com/beetlebug1938/status/724382970354741249","724382970354741249")</f>
        <v>724382970354741249</v>
      </c>
      <c r="F7970" s="11" t="s">
        <v>68</v>
      </c>
      <c r="G7970" s="11">
        <v>392</v>
      </c>
      <c r="H7970" s="11">
        <v>2331</v>
      </c>
      <c r="I7970" s="11">
        <v>0</v>
      </c>
      <c r="J7970" s="11">
        <v>0</v>
      </c>
      <c r="K7970" s="11" t="s">
        <v>21</v>
      </c>
      <c r="L7970" s="7">
        <v>42469.863865740743</v>
      </c>
      <c r="M7970" s="12" t="s">
        <v>69</v>
      </c>
      <c r="N7970" s="12"/>
      <c r="O7970" s="10" t="str">
        <f t="shared" si="816"/>
        <v>View</v>
      </c>
      <c r="P7970" s="11"/>
    </row>
    <row r="7971" spans="1:16" ht="12.75" x14ac:dyDescent="0.35">
      <c r="A7971" s="7">
        <v>42485.216851851852</v>
      </c>
      <c r="B7971" s="8" t="str">
        <f t="shared" si="815"/>
        <v>@beetlebug1938</v>
      </c>
      <c r="C7971" s="9" t="s">
        <v>66</v>
      </c>
      <c r="D7971" s="9" t="s">
        <v>17452</v>
      </c>
      <c r="E7971" s="10" t="str">
        <f>HYPERLINK("https://twitter.com/beetlebug1938/status/724382982291767297","724382982291767297")</f>
        <v>724382982291767297</v>
      </c>
      <c r="F7971" s="11" t="s">
        <v>68</v>
      </c>
      <c r="G7971" s="11">
        <v>392</v>
      </c>
      <c r="H7971" s="11">
        <v>2331</v>
      </c>
      <c r="I7971" s="11">
        <v>0</v>
      </c>
      <c r="J7971" s="11">
        <v>0</v>
      </c>
      <c r="K7971" s="11" t="s">
        <v>21</v>
      </c>
      <c r="L7971" s="7">
        <v>42469.863865740743</v>
      </c>
      <c r="M7971" s="12" t="s">
        <v>69</v>
      </c>
      <c r="N7971" s="12"/>
      <c r="O7971" s="10" t="str">
        <f t="shared" si="816"/>
        <v>View</v>
      </c>
      <c r="P7971" s="11"/>
    </row>
    <row r="7972" spans="1:16" ht="12.75" x14ac:dyDescent="0.35">
      <c r="A7972" s="7">
        <v>42485.216944444444</v>
      </c>
      <c r="B7972" s="8" t="str">
        <f>HYPERLINK("https://twitter.com/mskellycool","@mskellycool")</f>
        <v>@mskellycool</v>
      </c>
      <c r="C7972" s="9" t="s">
        <v>17453</v>
      </c>
      <c r="D7972" s="9" t="s">
        <v>17454</v>
      </c>
      <c r="E7972" s="10" t="str">
        <f>HYPERLINK("https://twitter.com/mskellycool/status/724383019394588673","724383019394588673")</f>
        <v>724383019394588673</v>
      </c>
      <c r="F7972" s="11" t="s">
        <v>114</v>
      </c>
      <c r="G7972" s="11">
        <v>103</v>
      </c>
      <c r="H7972" s="11">
        <v>91</v>
      </c>
      <c r="I7972" s="11">
        <v>0</v>
      </c>
      <c r="J7972" s="11">
        <v>0</v>
      </c>
      <c r="K7972" s="11" t="s">
        <v>21</v>
      </c>
      <c r="L7972" s="7">
        <v>41208.34070601852</v>
      </c>
      <c r="M7972" s="12"/>
      <c r="N7972" s="12"/>
      <c r="O7972" s="10" t="str">
        <f>HYPERLINK("https://pbs.twimg.com/profile_images/704832644085899264/obiqL4bk_normal.jpg","View")</f>
        <v>View</v>
      </c>
      <c r="P7972" s="11"/>
    </row>
    <row r="7973" spans="1:16" ht="12.75" x14ac:dyDescent="0.35">
      <c r="A7973" s="7">
        <v>42485.217604166668</v>
      </c>
      <c r="B7973" s="8" t="str">
        <f>HYPERLINK("https://twitter.com/8mP0tatoFTWl2","@8mP0tatoFTWl2")</f>
        <v>@8mP0tatoFTWl2</v>
      </c>
      <c r="C7973" s="9" t="s">
        <v>17455</v>
      </c>
      <c r="D7973" s="9" t="s">
        <v>17437</v>
      </c>
      <c r="E7973" s="10" t="str">
        <f>HYPERLINK("https://twitter.com/8mP0tatoFTWl2/status/724383257182257155","724383257182257155")</f>
        <v>724383257182257155</v>
      </c>
      <c r="F7973" s="11" t="s">
        <v>43</v>
      </c>
      <c r="G7973" s="11">
        <v>18</v>
      </c>
      <c r="H7973" s="11">
        <v>491</v>
      </c>
      <c r="I7973" s="11">
        <v>3</v>
      </c>
      <c r="J7973" s="11">
        <v>0</v>
      </c>
      <c r="K7973" s="11" t="s">
        <v>21</v>
      </c>
      <c r="L7973" s="7">
        <v>42064.086284722223</v>
      </c>
      <c r="M7973" s="12"/>
      <c r="N7973" s="12" t="s">
        <v>17456</v>
      </c>
      <c r="O7973" s="10" t="str">
        <f>HYPERLINK("https://pbs.twimg.com/profile_images/575831024665395200/WCpJ6HjH_normal.jpeg","View")</f>
        <v>View</v>
      </c>
      <c r="P7973" s="11"/>
    </row>
    <row r="7974" spans="1:16" ht="12.75" x14ac:dyDescent="0.35">
      <c r="A7974" s="7">
        <v>42485.217615740738</v>
      </c>
      <c r="B7974" s="8" t="str">
        <f>HYPERLINK("https://twitter.com/llvmariejones","@llvmariejones")</f>
        <v>@llvmariejones</v>
      </c>
      <c r="C7974" s="9" t="s">
        <v>17457</v>
      </c>
      <c r="D7974" s="9" t="s">
        <v>17437</v>
      </c>
      <c r="E7974" s="10" t="str">
        <f>HYPERLINK("https://twitter.com/llvmariejones/status/724383260965482497","724383260965482497")</f>
        <v>724383260965482497</v>
      </c>
      <c r="F7974" s="11" t="s">
        <v>48</v>
      </c>
      <c r="G7974" s="11">
        <v>327</v>
      </c>
      <c r="H7974" s="11">
        <v>78</v>
      </c>
      <c r="I7974" s="11">
        <v>3</v>
      </c>
      <c r="J7974" s="11">
        <v>0</v>
      </c>
      <c r="K7974" s="11" t="s">
        <v>21</v>
      </c>
      <c r="L7974" s="7">
        <v>41568.245115740741</v>
      </c>
      <c r="M7974" s="12"/>
      <c r="N7974" s="12" t="s">
        <v>17458</v>
      </c>
      <c r="O7974" s="10" t="str">
        <f>HYPERLINK("https://pbs.twimg.com/profile_images/541554892754935808/tLOssIdg_normal.jpeg","View")</f>
        <v>View</v>
      </c>
      <c r="P7974" s="11"/>
    </row>
    <row r="7975" spans="1:16" ht="12.75" x14ac:dyDescent="0.35">
      <c r="A7975" s="7">
        <v>42485.218229166669</v>
      </c>
      <c r="B7975" s="8" t="str">
        <f>HYPERLINK("https://twitter.com/gemphotos","@gemphotos")</f>
        <v>@gemphotos</v>
      </c>
      <c r="C7975" s="9" t="s">
        <v>17459</v>
      </c>
      <c r="D7975" s="9" t="s">
        <v>17460</v>
      </c>
      <c r="E7975" s="10" t="str">
        <f>HYPERLINK("https://twitter.com/gemphotos/status/724383482688987136","724383482688987136")</f>
        <v>724383482688987136</v>
      </c>
      <c r="F7975" s="11" t="s">
        <v>114</v>
      </c>
      <c r="G7975" s="11">
        <v>1204</v>
      </c>
      <c r="H7975" s="11">
        <v>2154</v>
      </c>
      <c r="I7975" s="11">
        <v>0</v>
      </c>
      <c r="J7975" s="11">
        <v>0</v>
      </c>
      <c r="K7975" s="11" t="s">
        <v>21</v>
      </c>
      <c r="L7975" s="7">
        <v>39938.997569444444</v>
      </c>
      <c r="M7975" s="12" t="s">
        <v>17461</v>
      </c>
      <c r="N7975" s="12" t="s">
        <v>17462</v>
      </c>
      <c r="O7975" s="10" t="str">
        <f>HYPERLINK("https://pbs.twimg.com/profile_images/504507709480501248/nAFBJZ84_normal.jpeg","View")</f>
        <v>View</v>
      </c>
      <c r="P7975" s="11"/>
    </row>
    <row r="7976" spans="1:16" ht="12.75" x14ac:dyDescent="0.35">
      <c r="A7976" s="7">
        <v>42485.218460648146</v>
      </c>
      <c r="B7976" s="8" t="str">
        <f>HYPERLINK("https://twitter.com/Scirocco_Tuning","@Scirocco_Tuning")</f>
        <v>@Scirocco_Tuning</v>
      </c>
      <c r="C7976" s="9" t="s">
        <v>51</v>
      </c>
      <c r="D7976" s="9" t="s">
        <v>17463</v>
      </c>
      <c r="E7976" s="10" t="str">
        <f>HYPERLINK("https://twitter.com/Scirocco_Tuning/status/724383566851915776","724383566851915776")</f>
        <v>724383566851915776</v>
      </c>
      <c r="F7976" s="11" t="s">
        <v>53</v>
      </c>
      <c r="G7976" s="11">
        <v>70</v>
      </c>
      <c r="H7976" s="11">
        <v>215</v>
      </c>
      <c r="I7976" s="11">
        <v>0</v>
      </c>
      <c r="J7976" s="11">
        <v>0</v>
      </c>
      <c r="K7976" s="11" t="s">
        <v>21</v>
      </c>
      <c r="L7976" s="7">
        <v>40844.564722222218</v>
      </c>
      <c r="M7976" s="12"/>
      <c r="N7976" s="12"/>
      <c r="O7976" s="10" t="str">
        <f>HYPERLINK("https://pbs.twimg.com/profile_images/1610421423/Image2_normal.jpg","View")</f>
        <v>View</v>
      </c>
      <c r="P7976" s="11"/>
    </row>
    <row r="7977" spans="1:16" ht="12.75" x14ac:dyDescent="0.35">
      <c r="A7977" s="7">
        <v>42485.219398148147</v>
      </c>
      <c r="B7977" s="8" t="str">
        <f>HYPERLINK("https://twitter.com/zwear9","@zwear9")</f>
        <v>@zwear9</v>
      </c>
      <c r="C7977" s="9" t="s">
        <v>17464</v>
      </c>
      <c r="D7977" s="9" t="s">
        <v>17437</v>
      </c>
      <c r="E7977" s="10" t="str">
        <f>HYPERLINK("https://twitter.com/zwear9/status/724383905382432768","724383905382432768")</f>
        <v>724383905382432768</v>
      </c>
      <c r="F7977" s="11" t="s">
        <v>48</v>
      </c>
      <c r="G7977" s="11">
        <v>54</v>
      </c>
      <c r="H7977" s="11">
        <v>717</v>
      </c>
      <c r="I7977" s="11">
        <v>10</v>
      </c>
      <c r="J7977" s="11">
        <v>0</v>
      </c>
      <c r="K7977" s="11" t="s">
        <v>21</v>
      </c>
      <c r="L7977" s="7">
        <v>41085.075775462959</v>
      </c>
      <c r="M7977" s="12" t="s">
        <v>17465</v>
      </c>
      <c r="N7977" s="12" t="s">
        <v>17466</v>
      </c>
      <c r="O7977" s="10" t="str">
        <f>HYPERLINK("https://pbs.twimg.com/profile_images/594593983973720064/WZGmwh2y_normal.jpg","View")</f>
        <v>View</v>
      </c>
      <c r="P7977" s="11"/>
    </row>
    <row r="7978" spans="1:16" ht="12.75" x14ac:dyDescent="0.35">
      <c r="A7978" s="7">
        <v>42485.219953703709</v>
      </c>
      <c r="B7978" s="8" t="str">
        <f>HYPERLINK("https://twitter.com/BLNlearning","@BLNlearning")</f>
        <v>@BLNlearning</v>
      </c>
      <c r="C7978" s="9" t="s">
        <v>17467</v>
      </c>
      <c r="D7978" s="9" t="s">
        <v>17468</v>
      </c>
      <c r="E7978" s="10" t="str">
        <f>HYPERLINK("https://twitter.com/BLNlearning/status/724384108093255681","724384108093255681")</f>
        <v>724384108093255681</v>
      </c>
      <c r="F7978" s="11" t="s">
        <v>43</v>
      </c>
      <c r="G7978" s="11">
        <v>1336</v>
      </c>
      <c r="H7978" s="11">
        <v>2407</v>
      </c>
      <c r="I7978" s="11">
        <v>6</v>
      </c>
      <c r="J7978" s="11">
        <v>0</v>
      </c>
      <c r="K7978" s="11" t="s">
        <v>21</v>
      </c>
      <c r="L7978" s="7">
        <v>42052.416817129633</v>
      </c>
      <c r="M7978" s="12" t="s">
        <v>17469</v>
      </c>
      <c r="N7978" s="12" t="s">
        <v>17470</v>
      </c>
      <c r="O7978" s="10" t="str">
        <f>HYPERLINK("https://pbs.twimg.com/profile_images/567542387505762304/oWUcdRMT_normal.png","View")</f>
        <v>View</v>
      </c>
      <c r="P7978" s="11"/>
    </row>
    <row r="7979" spans="1:16" ht="12.75" x14ac:dyDescent="0.35">
      <c r="A7979" s="7">
        <v>42485.220879629633</v>
      </c>
      <c r="B7979" s="8" t="str">
        <f>HYPERLINK("https://twitter.com/VWBeetleSales","@VWBeetleSales")</f>
        <v>@VWBeetleSales</v>
      </c>
      <c r="C7979" s="9" t="s">
        <v>127</v>
      </c>
      <c r="D7979" s="9" t="s">
        <v>17471</v>
      </c>
      <c r="E7979" s="10" t="str">
        <f>HYPERLINK("https://twitter.com/VWBeetleSales/status/724384442412732417","724384442412732417")</f>
        <v>724384442412732417</v>
      </c>
      <c r="F7979" s="10" t="s">
        <v>124</v>
      </c>
      <c r="G7979" s="11">
        <v>39</v>
      </c>
      <c r="H7979" s="11">
        <v>32</v>
      </c>
      <c r="I7979" s="11">
        <v>0</v>
      </c>
      <c r="J7979" s="11">
        <v>0</v>
      </c>
      <c r="K7979" s="11" t="s">
        <v>21</v>
      </c>
      <c r="L7979" s="7">
        <v>42427.019756944443</v>
      </c>
      <c r="M7979" s="12" t="s">
        <v>129</v>
      </c>
      <c r="N7979" s="12" t="s">
        <v>130</v>
      </c>
      <c r="O7979" s="10" t="str">
        <f>HYPERLINK("https://pbs.twimg.com/profile_images/703294545195307008/qeCvrX86_normal.jpg","View")</f>
        <v>View</v>
      </c>
      <c r="P7979" s="11"/>
    </row>
    <row r="7980" spans="1:16" ht="12.75" x14ac:dyDescent="0.35">
      <c r="A7980" s="7">
        <v>42485.222002314811</v>
      </c>
      <c r="B7980" s="8" t="str">
        <f>HYPERLINK("https://twitter.com/SrtaSaiaburu","@SrtaSaiaburu")</f>
        <v>@SrtaSaiaburu</v>
      </c>
      <c r="C7980" s="9" t="s">
        <v>17472</v>
      </c>
      <c r="D7980" s="9" t="s">
        <v>17437</v>
      </c>
      <c r="E7980" s="10" t="str">
        <f>HYPERLINK("https://twitter.com/SrtaSaiaburu/status/724384852259299328","724384852259299328")</f>
        <v>724384852259299328</v>
      </c>
      <c r="F7980" s="11" t="s">
        <v>48</v>
      </c>
      <c r="G7980" s="11">
        <v>308</v>
      </c>
      <c r="H7980" s="11">
        <v>114</v>
      </c>
      <c r="I7980" s="11">
        <v>10</v>
      </c>
      <c r="J7980" s="11">
        <v>0</v>
      </c>
      <c r="K7980" s="11" t="s">
        <v>21</v>
      </c>
      <c r="L7980" s="7">
        <v>41566.566504629627</v>
      </c>
      <c r="M7980" s="12" t="s">
        <v>17473</v>
      </c>
      <c r="N7980" s="12" t="s">
        <v>17474</v>
      </c>
      <c r="O7980" s="10" t="str">
        <f>HYPERLINK("https://pbs.twimg.com/profile_images/539607030433316864/MQ3-maTx_normal.png","View")</f>
        <v>View</v>
      </c>
      <c r="P7980" s="11"/>
    </row>
    <row r="7981" spans="1:16" ht="12.75" x14ac:dyDescent="0.35">
      <c r="A7981" s="7">
        <v>42485.222627314812</v>
      </c>
      <c r="B7981" s="8" t="str">
        <f t="shared" ref="B7981:B7986" si="817">HYPERLINK("https://twitter.com/FuscaWorld","@FuscaWorld")</f>
        <v>@FuscaWorld</v>
      </c>
      <c r="C7981" s="9" t="s">
        <v>74</v>
      </c>
      <c r="D7981" s="9" t="s">
        <v>17475</v>
      </c>
      <c r="E7981" s="10" t="str">
        <f>HYPERLINK("https://twitter.com/FuscaWorld/status/724385076327383040","724385076327383040")</f>
        <v>724385076327383040</v>
      </c>
      <c r="F7981" s="11" t="s">
        <v>76</v>
      </c>
      <c r="G7981" s="11">
        <v>52</v>
      </c>
      <c r="H7981" s="11">
        <v>1</v>
      </c>
      <c r="I7981" s="11">
        <v>1</v>
      </c>
      <c r="J7981" s="11">
        <v>0</v>
      </c>
      <c r="K7981" s="11" t="s">
        <v>21</v>
      </c>
      <c r="L7981" s="7">
        <v>42433.880914351852</v>
      </c>
      <c r="M7981" s="12"/>
      <c r="N7981" s="12" t="s">
        <v>77</v>
      </c>
      <c r="O7981" s="10" t="str">
        <f t="shared" ref="O7981:O7986" si="818">HYPERLINK("https://pbs.twimg.com/profile_images/705780107844067328/e7O4UBNb_normal.jpg","View")</f>
        <v>View</v>
      </c>
      <c r="P7981" s="11"/>
    </row>
    <row r="7982" spans="1:16" ht="12.75" x14ac:dyDescent="0.35">
      <c r="A7982" s="7">
        <v>42485.222627314812</v>
      </c>
      <c r="B7982" s="8" t="str">
        <f t="shared" si="817"/>
        <v>@FuscaWorld</v>
      </c>
      <c r="C7982" s="9" t="s">
        <v>74</v>
      </c>
      <c r="D7982" s="9" t="s">
        <v>17475</v>
      </c>
      <c r="E7982" s="10" t="str">
        <f>HYPERLINK("https://twitter.com/FuscaWorld/status/724385078353211392","724385078353211392")</f>
        <v>724385078353211392</v>
      </c>
      <c r="F7982" s="11" t="s">
        <v>76</v>
      </c>
      <c r="G7982" s="11">
        <v>52</v>
      </c>
      <c r="H7982" s="11">
        <v>1</v>
      </c>
      <c r="I7982" s="11">
        <v>1</v>
      </c>
      <c r="J7982" s="11">
        <v>0</v>
      </c>
      <c r="K7982" s="11" t="s">
        <v>21</v>
      </c>
      <c r="L7982" s="7">
        <v>42433.880914351852</v>
      </c>
      <c r="M7982" s="12"/>
      <c r="N7982" s="12" t="s">
        <v>77</v>
      </c>
      <c r="O7982" s="10" t="str">
        <f t="shared" si="818"/>
        <v>View</v>
      </c>
      <c r="P7982" s="11"/>
    </row>
    <row r="7983" spans="1:16" ht="12.75" x14ac:dyDescent="0.35">
      <c r="A7983" s="7">
        <v>42485.222638888888</v>
      </c>
      <c r="B7983" s="8" t="str">
        <f t="shared" si="817"/>
        <v>@FuscaWorld</v>
      </c>
      <c r="C7983" s="9" t="s">
        <v>74</v>
      </c>
      <c r="D7983" s="9" t="s">
        <v>17475</v>
      </c>
      <c r="E7983" s="10" t="str">
        <f>HYPERLINK("https://twitter.com/FuscaWorld/status/724385080370683904","724385080370683904")</f>
        <v>724385080370683904</v>
      </c>
      <c r="F7983" s="11" t="s">
        <v>76</v>
      </c>
      <c r="G7983" s="11">
        <v>52</v>
      </c>
      <c r="H7983" s="11">
        <v>1</v>
      </c>
      <c r="I7983" s="11">
        <v>1</v>
      </c>
      <c r="J7983" s="11">
        <v>0</v>
      </c>
      <c r="K7983" s="11" t="s">
        <v>21</v>
      </c>
      <c r="L7983" s="7">
        <v>42433.880914351852</v>
      </c>
      <c r="M7983" s="12"/>
      <c r="N7983" s="12" t="s">
        <v>77</v>
      </c>
      <c r="O7983" s="10" t="str">
        <f t="shared" si="818"/>
        <v>View</v>
      </c>
      <c r="P7983" s="11"/>
    </row>
    <row r="7984" spans="1:16" ht="12.75" x14ac:dyDescent="0.35">
      <c r="A7984" s="7">
        <v>42485.222638888888</v>
      </c>
      <c r="B7984" s="8" t="str">
        <f t="shared" si="817"/>
        <v>@FuscaWorld</v>
      </c>
      <c r="C7984" s="9" t="s">
        <v>74</v>
      </c>
      <c r="D7984" s="9" t="s">
        <v>17475</v>
      </c>
      <c r="E7984" s="10" t="str">
        <f>HYPERLINK("https://twitter.com/FuscaWorld/status/724385082404929536","724385082404929536")</f>
        <v>724385082404929536</v>
      </c>
      <c r="F7984" s="11" t="s">
        <v>76</v>
      </c>
      <c r="G7984" s="11">
        <v>52</v>
      </c>
      <c r="H7984" s="11">
        <v>1</v>
      </c>
      <c r="I7984" s="11">
        <v>1</v>
      </c>
      <c r="J7984" s="11">
        <v>0</v>
      </c>
      <c r="K7984" s="11" t="s">
        <v>21</v>
      </c>
      <c r="L7984" s="7">
        <v>42433.880914351852</v>
      </c>
      <c r="M7984" s="12"/>
      <c r="N7984" s="12" t="s">
        <v>77</v>
      </c>
      <c r="O7984" s="10" t="str">
        <f t="shared" si="818"/>
        <v>View</v>
      </c>
      <c r="P7984" s="11"/>
    </row>
    <row r="7985" spans="1:16" ht="12.75" x14ac:dyDescent="0.35">
      <c r="A7985" s="7">
        <v>42485.222650462965</v>
      </c>
      <c r="B7985" s="8" t="str">
        <f t="shared" si="817"/>
        <v>@FuscaWorld</v>
      </c>
      <c r="C7985" s="9" t="s">
        <v>74</v>
      </c>
      <c r="D7985" s="9" t="s">
        <v>17475</v>
      </c>
      <c r="E7985" s="10" t="str">
        <f>HYPERLINK("https://twitter.com/FuscaWorld/status/724385084242046976","724385084242046976")</f>
        <v>724385084242046976</v>
      </c>
      <c r="F7985" s="11" t="s">
        <v>76</v>
      </c>
      <c r="G7985" s="11">
        <v>52</v>
      </c>
      <c r="H7985" s="11">
        <v>1</v>
      </c>
      <c r="I7985" s="11">
        <v>1</v>
      </c>
      <c r="J7985" s="11">
        <v>0</v>
      </c>
      <c r="K7985" s="11" t="s">
        <v>21</v>
      </c>
      <c r="L7985" s="7">
        <v>42433.880914351852</v>
      </c>
      <c r="M7985" s="12"/>
      <c r="N7985" s="12" t="s">
        <v>77</v>
      </c>
      <c r="O7985" s="10" t="str">
        <f t="shared" si="818"/>
        <v>View</v>
      </c>
      <c r="P7985" s="11"/>
    </row>
    <row r="7986" spans="1:16" ht="12.75" x14ac:dyDescent="0.35">
      <c r="A7986" s="7">
        <v>42485.222650462965</v>
      </c>
      <c r="B7986" s="8" t="str">
        <f t="shared" si="817"/>
        <v>@FuscaWorld</v>
      </c>
      <c r="C7986" s="9" t="s">
        <v>74</v>
      </c>
      <c r="D7986" s="9" t="s">
        <v>17475</v>
      </c>
      <c r="E7986" s="10" t="str">
        <f>HYPERLINK("https://twitter.com/FuscaWorld/status/724385086204948480","724385086204948480")</f>
        <v>724385086204948480</v>
      </c>
      <c r="F7986" s="11" t="s">
        <v>76</v>
      </c>
      <c r="G7986" s="11">
        <v>52</v>
      </c>
      <c r="H7986" s="11">
        <v>1</v>
      </c>
      <c r="I7986" s="11">
        <v>1</v>
      </c>
      <c r="J7986" s="11">
        <v>0</v>
      </c>
      <c r="K7986" s="11" t="s">
        <v>21</v>
      </c>
      <c r="L7986" s="7">
        <v>42433.880914351852</v>
      </c>
      <c r="M7986" s="12"/>
      <c r="N7986" s="12" t="s">
        <v>77</v>
      </c>
      <c r="O7986" s="10" t="str">
        <f t="shared" si="818"/>
        <v>View</v>
      </c>
      <c r="P7986" s="11"/>
    </row>
    <row r="7987" spans="1:16" ht="12.75" x14ac:dyDescent="0.35">
      <c r="A7987" s="7">
        <v>42485.223310185189</v>
      </c>
      <c r="B7987" s="8" t="str">
        <f>HYPERLINK("https://twitter.com/alklssyaz","@alklssyaz")</f>
        <v>@alklssyaz</v>
      </c>
      <c r="C7987" s="9" t="s">
        <v>17476</v>
      </c>
      <c r="D7987" s="9" t="s">
        <v>17437</v>
      </c>
      <c r="E7987" s="10" t="str">
        <f>HYPERLINK("https://twitter.com/alklssyaz/status/724385326337236992","724385326337236992")</f>
        <v>724385326337236992</v>
      </c>
      <c r="F7987" s="11" t="s">
        <v>48</v>
      </c>
      <c r="G7987" s="11">
        <v>253</v>
      </c>
      <c r="H7987" s="11">
        <v>108</v>
      </c>
      <c r="I7987" s="11">
        <v>10</v>
      </c>
      <c r="J7987" s="11">
        <v>0</v>
      </c>
      <c r="K7987" s="11" t="s">
        <v>21</v>
      </c>
      <c r="L7987" s="7">
        <v>41566.818692129629</v>
      </c>
      <c r="M7987" s="12" t="s">
        <v>17477</v>
      </c>
      <c r="N7987" s="12" t="s">
        <v>17478</v>
      </c>
      <c r="O7987" s="10" t="str">
        <f>HYPERLINK("https://pbs.twimg.com/profile_images/539528196002418688/-iS6i8lN_normal.jpeg","View")</f>
        <v>View</v>
      </c>
      <c r="P7987" s="11"/>
    </row>
    <row r="7988" spans="1:16" ht="12.75" x14ac:dyDescent="0.35">
      <c r="A7988" s="7">
        <v>42485.22388888889</v>
      </c>
      <c r="B7988" s="8" t="str">
        <f>HYPERLINK("https://twitter.com/Mrfloyd36","@Mrfloyd36")</f>
        <v>@Mrfloyd36</v>
      </c>
      <c r="C7988" s="9" t="s">
        <v>17479</v>
      </c>
      <c r="D7988" s="9" t="s">
        <v>17437</v>
      </c>
      <c r="E7988" s="10" t="str">
        <f>HYPERLINK("https://twitter.com/Mrfloyd36/status/724385533447778308","724385533447778308")</f>
        <v>724385533447778308</v>
      </c>
      <c r="F7988" s="11" t="s">
        <v>48</v>
      </c>
      <c r="G7988" s="11">
        <v>360</v>
      </c>
      <c r="H7988" s="11">
        <v>115</v>
      </c>
      <c r="I7988" s="11">
        <v>10</v>
      </c>
      <c r="J7988" s="11">
        <v>0</v>
      </c>
      <c r="K7988" s="11" t="s">
        <v>21</v>
      </c>
      <c r="L7988" s="7">
        <v>41566.33189814815</v>
      </c>
      <c r="M7988" s="12" t="s">
        <v>17480</v>
      </c>
      <c r="N7988" s="12" t="s">
        <v>17481</v>
      </c>
      <c r="O7988" s="10" t="str">
        <f>HYPERLINK("https://pbs.twimg.com/profile_images/534255724994387969/00d0F_xN_normal.jpeg","View")</f>
        <v>View</v>
      </c>
      <c r="P7988" s="11"/>
    </row>
    <row r="7989" spans="1:16" ht="12.75" x14ac:dyDescent="0.35">
      <c r="A7989" s="7">
        <v>42485.224351851852</v>
      </c>
      <c r="B7989" s="8" t="str">
        <f>HYPERLINK("https://twitter.com/ZaFaDo72","@ZaFaDo72")</f>
        <v>@ZaFaDo72</v>
      </c>
      <c r="C7989" s="9" t="s">
        <v>17482</v>
      </c>
      <c r="D7989" s="9" t="s">
        <v>17483</v>
      </c>
      <c r="E7989" s="10" t="str">
        <f>HYPERLINK("https://twitter.com/ZaFaDo72/status/724385702239035393","724385702239035393")</f>
        <v>724385702239035393</v>
      </c>
      <c r="F7989" s="11" t="s">
        <v>114</v>
      </c>
      <c r="G7989" s="11">
        <v>2537</v>
      </c>
      <c r="H7989" s="11">
        <v>2771</v>
      </c>
      <c r="I7989" s="11">
        <v>0</v>
      </c>
      <c r="J7989" s="11">
        <v>0</v>
      </c>
      <c r="K7989" s="11" t="s">
        <v>21</v>
      </c>
      <c r="L7989" s="7">
        <v>40035.539814814816</v>
      </c>
      <c r="M7989" s="12" t="s">
        <v>17484</v>
      </c>
      <c r="N7989" s="12" t="s">
        <v>17485</v>
      </c>
      <c r="O7989" s="10" t="str">
        <f>HYPERLINK("https://pbs.twimg.com/profile_images/719187646812000256/9vfkUwCi_normal.jpg","View")</f>
        <v>View</v>
      </c>
      <c r="P7989" s="11"/>
    </row>
    <row r="7990" spans="1:16" ht="12.75" x14ac:dyDescent="0.35">
      <c r="A7990" s="7">
        <v>42485.225127314814</v>
      </c>
      <c r="B7990" s="8" t="str">
        <f>HYPERLINK("https://twitter.com/rellxmanl","@rellxmanl")</f>
        <v>@rellxmanl</v>
      </c>
      <c r="C7990" s="9" t="s">
        <v>17486</v>
      </c>
      <c r="D7990" s="9" t="s">
        <v>17487</v>
      </c>
      <c r="E7990" s="10" t="str">
        <f>HYPERLINK("https://twitter.com/rellxmanl/status/724385983232368640","724385983232368640")</f>
        <v>724385983232368640</v>
      </c>
      <c r="F7990" s="11" t="s">
        <v>48</v>
      </c>
      <c r="G7990" s="11">
        <v>329</v>
      </c>
      <c r="H7990" s="11">
        <v>118</v>
      </c>
      <c r="I7990" s="11">
        <v>10</v>
      </c>
      <c r="J7990" s="11">
        <v>0</v>
      </c>
      <c r="K7990" s="11" t="s">
        <v>21</v>
      </c>
      <c r="L7990" s="7">
        <v>41566.183124999996</v>
      </c>
      <c r="M7990" s="12" t="s">
        <v>17488</v>
      </c>
      <c r="N7990" s="12" t="s">
        <v>17489</v>
      </c>
      <c r="O7990" s="10" t="str">
        <f>HYPERLINK("https://pbs.twimg.com/profile_images/534272359490809856/A0oyx93f_normal.jpeg","View")</f>
        <v>View</v>
      </c>
      <c r="P7990" s="11"/>
    </row>
    <row r="7991" spans="1:16" ht="12.75" x14ac:dyDescent="0.35">
      <c r="A7991" s="7">
        <v>42485.225497685184</v>
      </c>
      <c r="B7991" s="8" t="str">
        <f>HYPERLINK("https://twitter.com/SJeanWrites","@SJeanWrites")</f>
        <v>@SJeanWrites</v>
      </c>
      <c r="C7991" s="9" t="s">
        <v>11466</v>
      </c>
      <c r="D7991" s="9" t="s">
        <v>17490</v>
      </c>
      <c r="E7991" s="10" t="str">
        <f>HYPERLINK("https://twitter.com/SJeanWrites/status/724386119148658689","724386119148658689")</f>
        <v>724386119148658689</v>
      </c>
      <c r="F7991" s="11" t="s">
        <v>20</v>
      </c>
      <c r="G7991" s="11">
        <v>2220</v>
      </c>
      <c r="H7991" s="11">
        <v>531</v>
      </c>
      <c r="I7991" s="11">
        <v>0</v>
      </c>
      <c r="J7991" s="11">
        <v>0</v>
      </c>
      <c r="K7991" s="11" t="s">
        <v>21</v>
      </c>
      <c r="L7991" s="7">
        <v>39995.24428240741</v>
      </c>
      <c r="M7991" s="12" t="s">
        <v>11468</v>
      </c>
      <c r="N7991" s="12" t="s">
        <v>11469</v>
      </c>
      <c r="O7991" s="10" t="str">
        <f>HYPERLINK("https://pbs.twimg.com/profile_images/696171758877999104/iAcEEMnX_normal.jpg","View")</f>
        <v>View</v>
      </c>
      <c r="P7991" s="11"/>
    </row>
    <row r="7992" spans="1:16" ht="12.75" x14ac:dyDescent="0.35">
      <c r="A7992" s="7">
        <v>42485.226099537038</v>
      </c>
      <c r="B7992" s="8" t="str">
        <f>HYPERLINK("https://twitter.com/VWBeetleSales","@VWBeetleSales")</f>
        <v>@VWBeetleSales</v>
      </c>
      <c r="C7992" s="9" t="s">
        <v>127</v>
      </c>
      <c r="D7992" s="9" t="s">
        <v>17491</v>
      </c>
      <c r="E7992" s="10" t="str">
        <f>HYPERLINK("https://twitter.com/VWBeetleSales/status/724386333691506688","724386333691506688")</f>
        <v>724386333691506688</v>
      </c>
      <c r="F7992" s="10" t="s">
        <v>124</v>
      </c>
      <c r="G7992" s="11">
        <v>39</v>
      </c>
      <c r="H7992" s="11">
        <v>32</v>
      </c>
      <c r="I7992" s="11">
        <v>0</v>
      </c>
      <c r="J7992" s="11">
        <v>0</v>
      </c>
      <c r="K7992" s="11" t="s">
        <v>21</v>
      </c>
      <c r="L7992" s="7">
        <v>42427.019756944443</v>
      </c>
      <c r="M7992" s="12" t="s">
        <v>129</v>
      </c>
      <c r="N7992" s="12" t="s">
        <v>130</v>
      </c>
      <c r="O7992" s="10" t="str">
        <f>HYPERLINK("https://pbs.twimg.com/profile_images/703294545195307008/qeCvrX86_normal.jpg","View")</f>
        <v>View</v>
      </c>
      <c r="P7992" s="11"/>
    </row>
    <row r="7993" spans="1:16" ht="12.75" x14ac:dyDescent="0.35">
      <c r="A7993" s="7">
        <v>42485.2262037037</v>
      </c>
      <c r="B7993" s="8" t="str">
        <f>HYPERLINK("https://twitter.com/VictinhoRG","@VictinhoRG")</f>
        <v>@VictinhoRG</v>
      </c>
      <c r="C7993" s="9" t="s">
        <v>17492</v>
      </c>
      <c r="D7993" s="9" t="s">
        <v>17493</v>
      </c>
      <c r="E7993" s="10" t="str">
        <f>HYPERLINK("https://twitter.com/VictinhoRG/status/724386372321050625","724386372321050625")</f>
        <v>724386372321050625</v>
      </c>
      <c r="F7993" s="11" t="s">
        <v>114</v>
      </c>
      <c r="G7993" s="11">
        <v>1769</v>
      </c>
      <c r="H7993" s="11">
        <v>457</v>
      </c>
      <c r="I7993" s="11">
        <v>0</v>
      </c>
      <c r="J7993" s="11">
        <v>0</v>
      </c>
      <c r="K7993" s="11" t="s">
        <v>21</v>
      </c>
      <c r="L7993" s="7">
        <v>40119.92052083333</v>
      </c>
      <c r="M7993" s="12" t="s">
        <v>17494</v>
      </c>
      <c r="N7993" s="12" t="s">
        <v>17495</v>
      </c>
      <c r="O7993" s="10" t="str">
        <f>HYPERLINK("https://pbs.twimg.com/profile_images/690547073096114176/1IV0sQqb_normal.jpg","View")</f>
        <v>View</v>
      </c>
      <c r="P7993" s="10" t="str">
        <f>HYPERLINK("http://ctrlq.org/maps/address/#-22.8972,-43.2967","Map")</f>
        <v>Map</v>
      </c>
    </row>
    <row r="7994" spans="1:16" ht="12.75" x14ac:dyDescent="0.35">
      <c r="A7994" s="7">
        <v>42485.226307870369</v>
      </c>
      <c r="B7994" s="8" t="str">
        <f>HYPERLINK("https://twitter.com/speedhappens","@speedhappens")</f>
        <v>@speedhappens</v>
      </c>
      <c r="C7994" s="9" t="s">
        <v>17496</v>
      </c>
      <c r="D7994" s="9" t="s">
        <v>17497</v>
      </c>
      <c r="E7994" s="10" t="str">
        <f>HYPERLINK("https://twitter.com/speedhappens/status/724386409507770370","724386409507770370")</f>
        <v>724386409507770370</v>
      </c>
      <c r="F7994" s="11" t="s">
        <v>53</v>
      </c>
      <c r="G7994" s="11">
        <v>56</v>
      </c>
      <c r="H7994" s="11">
        <v>44</v>
      </c>
      <c r="I7994" s="11">
        <v>0</v>
      </c>
      <c r="J7994" s="11">
        <v>0</v>
      </c>
      <c r="K7994" s="11" t="s">
        <v>21</v>
      </c>
      <c r="L7994" s="7">
        <v>40266.289502314816</v>
      </c>
      <c r="M7994" s="12" t="s">
        <v>301</v>
      </c>
      <c r="N7994" s="12" t="s">
        <v>17498</v>
      </c>
      <c r="O7994" s="10" t="str">
        <f>HYPERLINK("https://pbs.twimg.com/profile_images/502826615660085248/9nrGwV7O_normal.jpeg","View")</f>
        <v>View</v>
      </c>
      <c r="P7994" s="11"/>
    </row>
    <row r="7995" spans="1:16" ht="12.75" x14ac:dyDescent="0.35">
      <c r="A7995" s="7">
        <v>42485.226689814815</v>
      </c>
      <c r="B7995" s="8" t="str">
        <f>HYPERLINK("https://twitter.com/alexxaannddrrla","@alexxaannddrrla")</f>
        <v>@alexxaannddrrla</v>
      </c>
      <c r="C7995" s="9" t="s">
        <v>17499</v>
      </c>
      <c r="D7995" s="9" t="s">
        <v>17487</v>
      </c>
      <c r="E7995" s="10" t="str">
        <f>HYPERLINK("https://twitter.com/alexxaannddrrla/status/724386550121914368","724386550121914368")</f>
        <v>724386550121914368</v>
      </c>
      <c r="F7995" s="11" t="s">
        <v>48</v>
      </c>
      <c r="G7995" s="11">
        <v>271</v>
      </c>
      <c r="H7995" s="11">
        <v>302</v>
      </c>
      <c r="I7995" s="11">
        <v>10</v>
      </c>
      <c r="J7995" s="11">
        <v>0</v>
      </c>
      <c r="K7995" s="11" t="s">
        <v>21</v>
      </c>
      <c r="L7995" s="7">
        <v>41567.478738425925</v>
      </c>
      <c r="M7995" s="12"/>
      <c r="N7995" s="12" t="s">
        <v>17500</v>
      </c>
      <c r="O7995" s="10" t="str">
        <f>HYPERLINK("https://pbs.twimg.com/profile_images/540380309192454144/r0XL6iH9_normal.jpeg","View")</f>
        <v>View</v>
      </c>
      <c r="P7995" s="11"/>
    </row>
    <row r="7996" spans="1:16" ht="12.75" x14ac:dyDescent="0.35">
      <c r="A7996" s="7">
        <v>42485.226747685185</v>
      </c>
      <c r="B7996" s="8" t="str">
        <f>HYPERLINK("https://twitter.com/bioOody_roses","@bioOody_roses")</f>
        <v>@bioOody_roses</v>
      </c>
      <c r="C7996" s="9" t="s">
        <v>17501</v>
      </c>
      <c r="D7996" s="9" t="s">
        <v>17437</v>
      </c>
      <c r="E7996" s="10" t="str">
        <f>HYPERLINK("https://twitter.com/bioOody_roses/status/724386569935806465","724386569935806465")</f>
        <v>724386569935806465</v>
      </c>
      <c r="F7996" s="11" t="s">
        <v>48</v>
      </c>
      <c r="G7996" s="11">
        <v>378</v>
      </c>
      <c r="H7996" s="11">
        <v>1250</v>
      </c>
      <c r="I7996" s="11">
        <v>10</v>
      </c>
      <c r="J7996" s="11">
        <v>0</v>
      </c>
      <c r="K7996" s="11" t="s">
        <v>21</v>
      </c>
      <c r="L7996" s="7">
        <v>41566.880578703705</v>
      </c>
      <c r="M7996" s="12" t="s">
        <v>17502</v>
      </c>
      <c r="N7996" s="12" t="s">
        <v>17503</v>
      </c>
      <c r="O7996" s="10" t="str">
        <f>HYPERLINK("https://pbs.twimg.com/profile_images/539530989836697600/5d5311Kp_normal.jpeg","View")</f>
        <v>View</v>
      </c>
      <c r="P7996" s="11"/>
    </row>
    <row r="7997" spans="1:16" ht="12.75" x14ac:dyDescent="0.35">
      <c r="A7997" s="7">
        <v>42485.226817129631</v>
      </c>
      <c r="B7997" s="8" t="str">
        <f>HYPERLINK("https://twitter.com/lbrahim_has","@lbrahim_has")</f>
        <v>@lbrahim_has</v>
      </c>
      <c r="C7997" s="9" t="s">
        <v>17504</v>
      </c>
      <c r="D7997" s="9" t="s">
        <v>17437</v>
      </c>
      <c r="E7997" s="10" t="str">
        <f>HYPERLINK("https://twitter.com/lbrahim_has/status/724386593654607873","724386593654607873")</f>
        <v>724386593654607873</v>
      </c>
      <c r="F7997" s="11" t="s">
        <v>48</v>
      </c>
      <c r="G7997" s="11">
        <v>349</v>
      </c>
      <c r="H7997" s="11">
        <v>564</v>
      </c>
      <c r="I7997" s="11">
        <v>10</v>
      </c>
      <c r="J7997" s="11">
        <v>0</v>
      </c>
      <c r="K7997" s="11" t="s">
        <v>21</v>
      </c>
      <c r="L7997" s="7">
        <v>41567.358171296299</v>
      </c>
      <c r="M7997" s="12" t="s">
        <v>17505</v>
      </c>
      <c r="N7997" s="12" t="s">
        <v>17506</v>
      </c>
      <c r="O7997" s="10" t="str">
        <f>HYPERLINK("https://pbs.twimg.com/profile_images/539569267461861376/PKZ9WOlz_normal.jpeg","View")</f>
        <v>View</v>
      </c>
      <c r="P7997" s="11"/>
    </row>
    <row r="7998" spans="1:16" ht="12.75" x14ac:dyDescent="0.35">
      <c r="A7998" s="7">
        <v>42485.227476851855</v>
      </c>
      <c r="B7998" s="8" t="str">
        <f>HYPERLINK("https://twitter.com/serglolevin","@serglolevin")</f>
        <v>@serglolevin</v>
      </c>
      <c r="C7998" s="9" t="s">
        <v>17507</v>
      </c>
      <c r="D7998" s="9" t="s">
        <v>17487</v>
      </c>
      <c r="E7998" s="10" t="str">
        <f>HYPERLINK("https://twitter.com/serglolevin/status/724386834797588480","724386834797588480")</f>
        <v>724386834797588480</v>
      </c>
      <c r="F7998" s="11" t="s">
        <v>48</v>
      </c>
      <c r="G7998" s="11">
        <v>408</v>
      </c>
      <c r="H7998" s="11">
        <v>144</v>
      </c>
      <c r="I7998" s="11">
        <v>10</v>
      </c>
      <c r="J7998" s="11">
        <v>0</v>
      </c>
      <c r="K7998" s="11" t="s">
        <v>21</v>
      </c>
      <c r="L7998" s="7">
        <v>41566.405763888892</v>
      </c>
      <c r="M7998" s="12" t="s">
        <v>866</v>
      </c>
      <c r="N7998" s="12" t="s">
        <v>17508</v>
      </c>
      <c r="O7998" s="10" t="str">
        <f>HYPERLINK("https://pbs.twimg.com/profile_images/539574770438660096/rMmiOBwV_normal.jpeg","View")</f>
        <v>View</v>
      </c>
      <c r="P7998" s="11"/>
    </row>
    <row r="7999" spans="1:16" ht="12.75" x14ac:dyDescent="0.35">
      <c r="A7999" s="7">
        <v>42485.227488425924</v>
      </c>
      <c r="B7999" s="8" t="str">
        <f t="shared" ref="B7999:B8000" si="819">HYPERLINK("https://twitter.com/VWCamperSales","@VWCamperSales")</f>
        <v>@VWCamperSales</v>
      </c>
      <c r="C7999" s="9" t="s">
        <v>216</v>
      </c>
      <c r="D7999" s="9" t="s">
        <v>17509</v>
      </c>
      <c r="E7999" s="10" t="str">
        <f>HYPERLINK("https://twitter.com/VWCamperSales/status/724386837477748737","724386837477748737")</f>
        <v>724386837477748737</v>
      </c>
      <c r="F7999" s="10" t="s">
        <v>124</v>
      </c>
      <c r="G7999" s="11">
        <v>627</v>
      </c>
      <c r="H7999" s="11">
        <v>579</v>
      </c>
      <c r="I7999" s="11">
        <v>0</v>
      </c>
      <c r="J7999" s="11">
        <v>0</v>
      </c>
      <c r="K7999" s="11" t="s">
        <v>21</v>
      </c>
      <c r="L7999" s="7">
        <v>42215.98809027778</v>
      </c>
      <c r="M7999" s="12" t="s">
        <v>129</v>
      </c>
      <c r="N7999" s="12" t="s">
        <v>218</v>
      </c>
      <c r="O7999" s="10" t="str">
        <f t="shared" ref="O7999:O8000" si="820">HYPERLINK("https://pbs.twimg.com/profile_images/627949001179037696/skEBkS05_normal.jpg","View")</f>
        <v>View</v>
      </c>
      <c r="P7999" s="11"/>
    </row>
    <row r="8000" spans="1:16" ht="12.75" x14ac:dyDescent="0.35">
      <c r="A8000" s="7">
        <v>42485.227500000001</v>
      </c>
      <c r="B8000" s="8" t="str">
        <f t="shared" si="819"/>
        <v>@VWCamperSales</v>
      </c>
      <c r="C8000" s="9" t="s">
        <v>216</v>
      </c>
      <c r="D8000" s="9" t="s">
        <v>17510</v>
      </c>
      <c r="E8000" s="10" t="str">
        <f>HYPERLINK("https://twitter.com/VWCamperSales/status/724386843521753088","724386843521753088")</f>
        <v>724386843521753088</v>
      </c>
      <c r="F8000" s="10" t="s">
        <v>124</v>
      </c>
      <c r="G8000" s="11">
        <v>627</v>
      </c>
      <c r="H8000" s="11">
        <v>579</v>
      </c>
      <c r="I8000" s="11">
        <v>0</v>
      </c>
      <c r="J8000" s="11">
        <v>0</v>
      </c>
      <c r="K8000" s="11" t="s">
        <v>21</v>
      </c>
      <c r="L8000" s="7">
        <v>42215.98809027778</v>
      </c>
      <c r="M8000" s="12" t="s">
        <v>129</v>
      </c>
      <c r="N8000" s="12" t="s">
        <v>218</v>
      </c>
      <c r="O8000" s="10" t="str">
        <f t="shared" si="820"/>
        <v>View</v>
      </c>
      <c r="P8000" s="11"/>
    </row>
    <row r="8001" spans="1:16" ht="12.75" x14ac:dyDescent="0.35">
      <c r="A8001" s="7">
        <v>42485.227627314816</v>
      </c>
      <c r="B8001" s="8" t="str">
        <f>HYPERLINK("https://twitter.com/AutosMarktDE","@AutosMarktDE")</f>
        <v>@AutosMarktDE</v>
      </c>
      <c r="C8001" s="9" t="s">
        <v>17511</v>
      </c>
      <c r="D8001" s="9" t="s">
        <v>17512</v>
      </c>
      <c r="E8001" s="10" t="str">
        <f>HYPERLINK("https://twitter.com/AutosMarktDE/status/724386889340444672","724386889340444672")</f>
        <v>724386889340444672</v>
      </c>
      <c r="F8001" s="11" t="s">
        <v>17513</v>
      </c>
      <c r="G8001" s="11">
        <v>2504</v>
      </c>
      <c r="H8001" s="11">
        <v>132</v>
      </c>
      <c r="I8001" s="11">
        <v>0</v>
      </c>
      <c r="J8001" s="11">
        <v>0</v>
      </c>
      <c r="K8001" s="11" t="s">
        <v>21</v>
      </c>
      <c r="L8001" s="7">
        <v>41820.83625</v>
      </c>
      <c r="M8001" s="12" t="s">
        <v>262</v>
      </c>
      <c r="N8001" s="12" t="s">
        <v>17514</v>
      </c>
      <c r="O8001" s="10" t="str">
        <f>HYPERLINK("https://pbs.twimg.com/profile_images/483619947524796416/8hRc-uSD_normal.png","View")</f>
        <v>View</v>
      </c>
      <c r="P8001" s="11"/>
    </row>
    <row r="8002" spans="1:16" ht="12.75" x14ac:dyDescent="0.35">
      <c r="A8002" s="7">
        <v>42485.227638888886</v>
      </c>
      <c r="B8002" s="8" t="str">
        <f>HYPERLINK("https://twitter.com/vamp_kris2102","@vamp_kris2102")</f>
        <v>@vamp_kris2102</v>
      </c>
      <c r="C8002" s="9" t="s">
        <v>7498</v>
      </c>
      <c r="D8002" s="9" t="s">
        <v>17515</v>
      </c>
      <c r="E8002" s="10" t="str">
        <f>HYPERLINK("https://twitter.com/vamp_kris2102/status/724386893635424258","724386893635424258")</f>
        <v>724386893635424258</v>
      </c>
      <c r="F8002" s="11" t="s">
        <v>7500</v>
      </c>
      <c r="G8002" s="11">
        <v>2976</v>
      </c>
      <c r="H8002" s="11">
        <v>157</v>
      </c>
      <c r="I8002" s="11">
        <v>0</v>
      </c>
      <c r="J8002" s="11">
        <v>0</v>
      </c>
      <c r="K8002" s="11" t="s">
        <v>21</v>
      </c>
      <c r="L8002" s="7">
        <v>41632.808124999996</v>
      </c>
      <c r="M8002" s="12" t="s">
        <v>7501</v>
      </c>
      <c r="N8002" s="12" t="s">
        <v>7502</v>
      </c>
      <c r="O8002" s="10" t="str">
        <f>HYPERLINK("https://pbs.twimg.com/profile_images/506828098864558080/mVheZCwt_normal.jpeg","View")</f>
        <v>View</v>
      </c>
      <c r="P8002" s="11"/>
    </row>
    <row r="8003" spans="1:16" ht="12.75" x14ac:dyDescent="0.35">
      <c r="A8003" s="7">
        <v>42485.227696759262</v>
      </c>
      <c r="B8003" s="8" t="str">
        <f>HYPERLINK("https://twitter.com/synyalex","@synyalex")</f>
        <v>@synyalex</v>
      </c>
      <c r="C8003" s="9" t="s">
        <v>17516</v>
      </c>
      <c r="D8003" s="9" t="s">
        <v>17517</v>
      </c>
      <c r="E8003" s="10" t="str">
        <f>HYPERLINK("https://twitter.com/synyalex/status/724386912279076864","724386912279076864")</f>
        <v>724386912279076864</v>
      </c>
      <c r="F8003" s="11" t="s">
        <v>53</v>
      </c>
      <c r="G8003" s="11">
        <v>402</v>
      </c>
      <c r="H8003" s="11">
        <v>64</v>
      </c>
      <c r="I8003" s="11">
        <v>0</v>
      </c>
      <c r="J8003" s="11">
        <v>0</v>
      </c>
      <c r="K8003" s="11" t="s">
        <v>21</v>
      </c>
      <c r="L8003" s="7">
        <v>40889.991712962961</v>
      </c>
      <c r="M8003" s="12" t="s">
        <v>262</v>
      </c>
      <c r="N8003" s="12"/>
      <c r="O8003" s="10" t="str">
        <f>HYPERLINK("https://pbs.twimg.com/profile_images/1689585897/______normal.jpg","View")</f>
        <v>View</v>
      </c>
      <c r="P8003" s="11"/>
    </row>
    <row r="8004" spans="1:16" ht="12.75" x14ac:dyDescent="0.35">
      <c r="A8004" s="7">
        <v>42485.228148148148</v>
      </c>
      <c r="B8004" s="8" t="str">
        <f>HYPERLINK("https://twitter.com/SULTA46N","@SULTA46N")</f>
        <v>@SULTA46N</v>
      </c>
      <c r="C8004" s="9" t="s">
        <v>17518</v>
      </c>
      <c r="D8004" s="9" t="s">
        <v>17437</v>
      </c>
      <c r="E8004" s="10" t="str">
        <f>HYPERLINK("https://twitter.com/SULTA46N/status/724387076528037888","724387076528037888")</f>
        <v>724387076528037888</v>
      </c>
      <c r="F8004" s="11" t="s">
        <v>48</v>
      </c>
      <c r="G8004" s="11">
        <v>284</v>
      </c>
      <c r="H8004" s="11">
        <v>314</v>
      </c>
      <c r="I8004" s="11">
        <v>10</v>
      </c>
      <c r="J8004" s="11">
        <v>0</v>
      </c>
      <c r="K8004" s="11" t="s">
        <v>21</v>
      </c>
      <c r="L8004" s="7">
        <v>41566.764525462961</v>
      </c>
      <c r="M8004" s="12" t="s">
        <v>17519</v>
      </c>
      <c r="N8004" s="12" t="s">
        <v>17520</v>
      </c>
      <c r="O8004" s="10" t="str">
        <f>HYPERLINK("https://pbs.twimg.com/profile_images/539527472778608640/RdeRNr1S_normal.jpeg","View")</f>
        <v>View</v>
      </c>
      <c r="P8004" s="11"/>
    </row>
    <row r="8005" spans="1:16" ht="12.75" x14ac:dyDescent="0.35">
      <c r="A8005" s="7">
        <v>42485.228472222225</v>
      </c>
      <c r="B8005" s="8" t="str">
        <f t="shared" ref="B8005:B8006" si="821">HYPERLINK("https://twitter.com/oldcar_photo","@oldcar_photo")</f>
        <v>@oldcar_photo</v>
      </c>
      <c r="C8005" s="9" t="s">
        <v>1046</v>
      </c>
      <c r="D8005" s="9" t="s">
        <v>17521</v>
      </c>
      <c r="E8005" s="10" t="str">
        <f>HYPERLINK("https://twitter.com/oldcar_photo/status/724387194148937728","724387194148937728")</f>
        <v>724387194148937728</v>
      </c>
      <c r="F8005" s="11" t="s">
        <v>68</v>
      </c>
      <c r="G8005" s="11">
        <v>2007</v>
      </c>
      <c r="H8005" s="11">
        <v>0</v>
      </c>
      <c r="I8005" s="11">
        <v>0</v>
      </c>
      <c r="J8005" s="11">
        <v>0</v>
      </c>
      <c r="K8005" s="11" t="s">
        <v>21</v>
      </c>
      <c r="L8005" s="7">
        <v>42184.7341087963</v>
      </c>
      <c r="M8005" s="12"/>
      <c r="N8005" s="12"/>
      <c r="O8005" s="10" t="str">
        <f t="shared" ref="O8005:O8006" si="822">HYPERLINK("https://pbs.twimg.com/profile_images/615493650785660928/XHUh6HOk_normal.jpg","View")</f>
        <v>View</v>
      </c>
      <c r="P8005" s="11"/>
    </row>
    <row r="8006" spans="1:16" ht="12.75" x14ac:dyDescent="0.35">
      <c r="A8006" s="7">
        <v>42485.228622685187</v>
      </c>
      <c r="B8006" s="8" t="str">
        <f t="shared" si="821"/>
        <v>@oldcar_photo</v>
      </c>
      <c r="C8006" s="9" t="s">
        <v>1046</v>
      </c>
      <c r="D8006" s="9" t="s">
        <v>17522</v>
      </c>
      <c r="E8006" s="10" t="str">
        <f>HYPERLINK("https://twitter.com/oldcar_photo/status/724387250700726272","724387250700726272")</f>
        <v>724387250700726272</v>
      </c>
      <c r="F8006" s="11" t="s">
        <v>68</v>
      </c>
      <c r="G8006" s="11">
        <v>2007</v>
      </c>
      <c r="H8006" s="11">
        <v>0</v>
      </c>
      <c r="I8006" s="11">
        <v>0</v>
      </c>
      <c r="J8006" s="11">
        <v>0</v>
      </c>
      <c r="K8006" s="11" t="s">
        <v>21</v>
      </c>
      <c r="L8006" s="7">
        <v>42184.7341087963</v>
      </c>
      <c r="M8006" s="12"/>
      <c r="N8006" s="12"/>
      <c r="O8006" s="10" t="str">
        <f t="shared" si="822"/>
        <v>View</v>
      </c>
      <c r="P8006" s="11"/>
    </row>
    <row r="8007" spans="1:16" ht="12.75" x14ac:dyDescent="0.35">
      <c r="A8007" s="7">
        <v>42485.230150462958</v>
      </c>
      <c r="B8007" s="8" t="str">
        <f t="shared" ref="B8007:B8008" si="823">HYPERLINK("https://twitter.com/FuscaWorld","@FuscaWorld")</f>
        <v>@FuscaWorld</v>
      </c>
      <c r="C8007" s="9" t="s">
        <v>74</v>
      </c>
      <c r="D8007" s="9" t="s">
        <v>6426</v>
      </c>
      <c r="E8007" s="10" t="str">
        <f>HYPERLINK("https://twitter.com/FuscaWorld/status/724387805535866880","724387805535866880")</f>
        <v>724387805535866880</v>
      </c>
      <c r="F8007" s="11" t="s">
        <v>76</v>
      </c>
      <c r="G8007" s="11">
        <v>52</v>
      </c>
      <c r="H8007" s="11">
        <v>1</v>
      </c>
      <c r="I8007" s="11">
        <v>1</v>
      </c>
      <c r="J8007" s="11">
        <v>0</v>
      </c>
      <c r="K8007" s="11" t="s">
        <v>21</v>
      </c>
      <c r="L8007" s="7">
        <v>42433.880914351852</v>
      </c>
      <c r="M8007" s="12"/>
      <c r="N8007" s="12" t="s">
        <v>77</v>
      </c>
      <c r="O8007" s="10" t="str">
        <f t="shared" ref="O8007:O8008" si="824">HYPERLINK("https://pbs.twimg.com/profile_images/705780107844067328/e7O4UBNb_normal.jpg","View")</f>
        <v>View</v>
      </c>
      <c r="P8007" s="11"/>
    </row>
    <row r="8008" spans="1:16" ht="12.75" x14ac:dyDescent="0.35">
      <c r="A8008" s="7">
        <v>42485.230162037042</v>
      </c>
      <c r="B8008" s="8" t="str">
        <f t="shared" si="823"/>
        <v>@FuscaWorld</v>
      </c>
      <c r="C8008" s="9" t="s">
        <v>74</v>
      </c>
      <c r="D8008" s="9" t="s">
        <v>17523</v>
      </c>
      <c r="E8008" s="10" t="str">
        <f>HYPERLINK("https://twitter.com/FuscaWorld/status/724387807586856964","724387807586856964")</f>
        <v>724387807586856964</v>
      </c>
      <c r="F8008" s="11" t="s">
        <v>76</v>
      </c>
      <c r="G8008" s="11">
        <v>52</v>
      </c>
      <c r="H8008" s="11">
        <v>1</v>
      </c>
      <c r="I8008" s="11">
        <v>1</v>
      </c>
      <c r="J8008" s="11">
        <v>0</v>
      </c>
      <c r="K8008" s="11" t="s">
        <v>21</v>
      </c>
      <c r="L8008" s="7">
        <v>42433.880914351852</v>
      </c>
      <c r="M8008" s="12"/>
      <c r="N8008" s="12" t="s">
        <v>77</v>
      </c>
      <c r="O8008" s="10" t="str">
        <f t="shared" si="824"/>
        <v>View</v>
      </c>
      <c r="P8008" s="11"/>
    </row>
    <row r="8009" spans="1:16" ht="12.75" x14ac:dyDescent="0.35">
      <c r="A8009" s="7">
        <v>42485.230208333334</v>
      </c>
      <c r="B8009" s="8" t="str">
        <f>HYPERLINK("https://twitter.com/Blissalonia","@Blissalonia")</f>
        <v>@Blissalonia</v>
      </c>
      <c r="C8009" s="9" t="s">
        <v>17524</v>
      </c>
      <c r="D8009" s="9" t="s">
        <v>17525</v>
      </c>
      <c r="E8009" s="10" t="str">
        <f>HYPERLINK("https://twitter.com/Blissalonia/status/724387822526828544","724387822526828544")</f>
        <v>724387822526828544</v>
      </c>
      <c r="F8009" s="11" t="s">
        <v>114</v>
      </c>
      <c r="G8009" s="11">
        <v>461</v>
      </c>
      <c r="H8009" s="11">
        <v>437</v>
      </c>
      <c r="I8009" s="11">
        <v>0</v>
      </c>
      <c r="J8009" s="11">
        <v>0</v>
      </c>
      <c r="K8009" s="11" t="s">
        <v>21</v>
      </c>
      <c r="L8009" s="7">
        <v>39775.250509259262</v>
      </c>
      <c r="M8009" s="12" t="s">
        <v>17526</v>
      </c>
      <c r="N8009" s="12" t="s">
        <v>17527</v>
      </c>
      <c r="O8009" s="10" t="str">
        <f>HYPERLINK("https://pbs.twimg.com/profile_images/723310007136059396/5UXgVQzj_normal.jpg","View")</f>
        <v>View</v>
      </c>
      <c r="P8009" s="11"/>
    </row>
    <row r="8010" spans="1:16" ht="12.75" x14ac:dyDescent="0.35">
      <c r="A8010" s="7">
        <v>42485.230254629627</v>
      </c>
      <c r="B8010" s="8" t="str">
        <f>HYPERLINK("https://twitter.com/VWBeetleSales","@VWBeetleSales")</f>
        <v>@VWBeetleSales</v>
      </c>
      <c r="C8010" s="9" t="s">
        <v>127</v>
      </c>
      <c r="D8010" s="9" t="s">
        <v>17528</v>
      </c>
      <c r="E8010" s="10" t="str">
        <f>HYPERLINK("https://twitter.com/VWBeetleSales/status/724387839551533056","724387839551533056")</f>
        <v>724387839551533056</v>
      </c>
      <c r="F8010" s="10" t="s">
        <v>124</v>
      </c>
      <c r="G8010" s="11">
        <v>39</v>
      </c>
      <c r="H8010" s="11">
        <v>32</v>
      </c>
      <c r="I8010" s="11">
        <v>0</v>
      </c>
      <c r="J8010" s="11">
        <v>0</v>
      </c>
      <c r="K8010" s="11" t="s">
        <v>21</v>
      </c>
      <c r="L8010" s="7">
        <v>42427.019756944443</v>
      </c>
      <c r="M8010" s="12" t="s">
        <v>129</v>
      </c>
      <c r="N8010" s="12" t="s">
        <v>130</v>
      </c>
      <c r="O8010" s="10" t="str">
        <f>HYPERLINK("https://pbs.twimg.com/profile_images/703294545195307008/qeCvrX86_normal.jpg","View")</f>
        <v>View</v>
      </c>
      <c r="P8010" s="11"/>
    </row>
    <row r="8011" spans="1:16" ht="12.75" x14ac:dyDescent="0.35">
      <c r="A8011" s="7">
        <v>42485.230937500004</v>
      </c>
      <c r="B8011" s="8" t="str">
        <f>HYPERLINK("https://twitter.com/Maha311Www","@Maha311Www")</f>
        <v>@Maha311Www</v>
      </c>
      <c r="C8011" s="9" t="s">
        <v>17529</v>
      </c>
      <c r="D8011" s="9" t="s">
        <v>17437</v>
      </c>
      <c r="E8011" s="10" t="str">
        <f>HYPERLINK("https://twitter.com/Maha311Www/status/724388090857578496","724388090857578496")</f>
        <v>724388090857578496</v>
      </c>
      <c r="F8011" s="11" t="s">
        <v>48</v>
      </c>
      <c r="G8011" s="11">
        <v>256</v>
      </c>
      <c r="H8011" s="11">
        <v>733</v>
      </c>
      <c r="I8011" s="11">
        <v>17</v>
      </c>
      <c r="J8011" s="11">
        <v>0</v>
      </c>
      <c r="K8011" s="11" t="s">
        <v>21</v>
      </c>
      <c r="L8011" s="7">
        <v>41566.768773148149</v>
      </c>
      <c r="M8011" s="12"/>
      <c r="N8011" s="12" t="s">
        <v>17530</v>
      </c>
      <c r="O8011" s="10" t="str">
        <f>HYPERLINK("https://pbs.twimg.com/profile_images/539526077962792960/x1KyV7Gz_normal.jpeg","View")</f>
        <v>View</v>
      </c>
      <c r="P8011" s="11"/>
    </row>
    <row r="8012" spans="1:16" ht="12.75" x14ac:dyDescent="0.35">
      <c r="A8012" s="7">
        <v>42485.231365740736</v>
      </c>
      <c r="B8012" s="8" t="str">
        <f>HYPERLINK("https://twitter.com/ManuelA30652972","@ManuelA30652972")</f>
        <v>@ManuelA30652972</v>
      </c>
      <c r="C8012" s="9" t="s">
        <v>17531</v>
      </c>
      <c r="D8012" s="9" t="s">
        <v>17532</v>
      </c>
      <c r="E8012" s="10" t="str">
        <f>HYPERLINK("https://twitter.com/ManuelA30652972/status/724388243010117633","724388243010117633")</f>
        <v>724388243010117633</v>
      </c>
      <c r="F8012" s="11" t="s">
        <v>48</v>
      </c>
      <c r="G8012" s="11">
        <v>1</v>
      </c>
      <c r="H8012" s="11">
        <v>0</v>
      </c>
      <c r="I8012" s="11">
        <v>40</v>
      </c>
      <c r="J8012" s="11">
        <v>0</v>
      </c>
      <c r="K8012" s="11" t="s">
        <v>21</v>
      </c>
      <c r="L8012" s="7">
        <v>42485.121793981481</v>
      </c>
      <c r="M8012" s="12"/>
      <c r="N8012" s="12"/>
      <c r="O8012" s="10" t="str">
        <f>HYPERLINK("https://pbs.twimg.com/profile_images/724349488605847552/CHTQnVGi_normal.jpg","View")</f>
        <v>View</v>
      </c>
      <c r="P8012" s="11"/>
    </row>
    <row r="8013" spans="1:16" ht="12.75" x14ac:dyDescent="0.35">
      <c r="A8013" s="7">
        <v>42485.232581018514</v>
      </c>
      <c r="B8013" s="8" t="str">
        <f>HYPERLINK("https://twitter.com/684Frhano","@684Frhano")</f>
        <v>@684Frhano</v>
      </c>
      <c r="C8013" s="9" t="s">
        <v>17533</v>
      </c>
      <c r="D8013" s="9" t="s">
        <v>17437</v>
      </c>
      <c r="E8013" s="10" t="str">
        <f>HYPERLINK("https://twitter.com/684Frhano/status/724388686255804416","724388686255804416")</f>
        <v>724388686255804416</v>
      </c>
      <c r="F8013" s="11" t="s">
        <v>48</v>
      </c>
      <c r="G8013" s="11">
        <v>424</v>
      </c>
      <c r="H8013" s="11">
        <v>115</v>
      </c>
      <c r="I8013" s="11">
        <v>17</v>
      </c>
      <c r="J8013" s="11">
        <v>0</v>
      </c>
      <c r="K8013" s="11" t="s">
        <v>21</v>
      </c>
      <c r="L8013" s="7">
        <v>41567.197812500002</v>
      </c>
      <c r="M8013" s="12"/>
      <c r="N8013" s="12"/>
      <c r="O8013" s="10" t="str">
        <f>HYPERLINK("https://pbs.twimg.com/profile_images/539553710125645824/uivme1dn_normal.jpeg","View")</f>
        <v>View</v>
      </c>
      <c r="P8013" s="11"/>
    </row>
    <row r="8014" spans="1:16" ht="12.75" x14ac:dyDescent="0.35">
      <c r="A8014" s="7">
        <v>42485.232615740737</v>
      </c>
      <c r="B8014" s="8" t="str">
        <f>HYPERLINK("https://twitter.com/Ailan_wm","@Ailan_wm")</f>
        <v>@Ailan_wm</v>
      </c>
      <c r="C8014" s="9" t="s">
        <v>17534</v>
      </c>
      <c r="D8014" s="9" t="s">
        <v>17437</v>
      </c>
      <c r="E8014" s="10" t="str">
        <f>HYPERLINK("https://twitter.com/Ailan_wm/status/724388698498977792","724388698498977792")</f>
        <v>724388698498977792</v>
      </c>
      <c r="F8014" s="11" t="s">
        <v>48</v>
      </c>
      <c r="G8014" s="11">
        <v>436</v>
      </c>
      <c r="H8014" s="11">
        <v>889</v>
      </c>
      <c r="I8014" s="11">
        <v>17</v>
      </c>
      <c r="J8014" s="11">
        <v>0</v>
      </c>
      <c r="K8014" s="11" t="s">
        <v>21</v>
      </c>
      <c r="L8014" s="7">
        <v>41566.646782407406</v>
      </c>
      <c r="M8014" s="12" t="s">
        <v>17535</v>
      </c>
      <c r="N8014" s="12" t="s">
        <v>17536</v>
      </c>
      <c r="O8014" s="10" t="str">
        <f>HYPERLINK("https://pbs.twimg.com/profile_images/539622088207007744/dwzlui_A_normal.jpeg","View")</f>
        <v>View</v>
      </c>
      <c r="P8014" s="11"/>
    </row>
    <row r="8015" spans="1:16" ht="12.75" x14ac:dyDescent="0.35">
      <c r="A8015" s="7">
        <v>42485.233356481476</v>
      </c>
      <c r="B8015" s="8" t="str">
        <f>HYPERLINK("https://twitter.com/its_tressx8","@its_tressx8")</f>
        <v>@its_tressx8</v>
      </c>
      <c r="C8015" s="9" t="s">
        <v>17537</v>
      </c>
      <c r="D8015" s="9" t="s">
        <v>17437</v>
      </c>
      <c r="E8015" s="10" t="str">
        <f>HYPERLINK("https://twitter.com/its_tressx8/status/724388964896018432","724388964896018432")</f>
        <v>724388964896018432</v>
      </c>
      <c r="F8015" s="11" t="s">
        <v>48</v>
      </c>
      <c r="G8015" s="11">
        <v>345</v>
      </c>
      <c r="H8015" s="11">
        <v>119</v>
      </c>
      <c r="I8015" s="11">
        <v>17</v>
      </c>
      <c r="J8015" s="11">
        <v>0</v>
      </c>
      <c r="K8015" s="11" t="s">
        <v>21</v>
      </c>
      <c r="L8015" s="7">
        <v>41565.975543981483</v>
      </c>
      <c r="M8015" s="12"/>
      <c r="N8015" s="12" t="s">
        <v>17538</v>
      </c>
      <c r="O8015" s="10" t="str">
        <f>HYPERLINK("https://pbs.twimg.com/profile_images/534291690027487232/alLDRpbF_normal.jpeg","View")</f>
        <v>View</v>
      </c>
      <c r="P8015" s="11"/>
    </row>
    <row r="8016" spans="1:16" ht="12.75" x14ac:dyDescent="0.35">
      <c r="A8016" s="7">
        <v>42485.233969907407</v>
      </c>
      <c r="B8016" s="8" t="str">
        <f>HYPERLINK("https://twitter.com/hanan4788804","@hanan4788804")</f>
        <v>@hanan4788804</v>
      </c>
      <c r="C8016" s="9" t="s">
        <v>17539</v>
      </c>
      <c r="D8016" s="9" t="s">
        <v>17487</v>
      </c>
      <c r="E8016" s="10" t="str">
        <f>HYPERLINK("https://twitter.com/hanan4788804/status/724389186418184192","724389186418184192")</f>
        <v>724389186418184192</v>
      </c>
      <c r="F8016" s="11" t="s">
        <v>48</v>
      </c>
      <c r="G8016" s="11">
        <v>252</v>
      </c>
      <c r="H8016" s="11">
        <v>111</v>
      </c>
      <c r="I8016" s="11">
        <v>15</v>
      </c>
      <c r="J8016" s="11">
        <v>0</v>
      </c>
      <c r="K8016" s="11" t="s">
        <v>21</v>
      </c>
      <c r="L8016" s="7">
        <v>41566.939201388886</v>
      </c>
      <c r="M8016" s="12"/>
      <c r="N8016" s="12" t="s">
        <v>17540</v>
      </c>
      <c r="O8016" s="10" t="str">
        <f>HYPERLINK("https://pbs.twimg.com/profile_images/539534088613670913/gO3BghJX_normal.jpeg","View")</f>
        <v>View</v>
      </c>
      <c r="P8016" s="11"/>
    </row>
    <row r="8017" spans="1:16" ht="12.75" x14ac:dyDescent="0.35">
      <c r="A8017" s="7">
        <v>42485.234826388885</v>
      </c>
      <c r="B8017" s="8" t="str">
        <f>HYPERLINK("https://twitter.com/MllesNewlove","@MllesNewlove")</f>
        <v>@MllesNewlove</v>
      </c>
      <c r="C8017" s="9" t="s">
        <v>17541</v>
      </c>
      <c r="D8017" s="9" t="s">
        <v>17487</v>
      </c>
      <c r="E8017" s="10" t="str">
        <f>HYPERLINK("https://twitter.com/MllesNewlove/status/724389498860232704","724389498860232704")</f>
        <v>724389498860232704</v>
      </c>
      <c r="F8017" s="11" t="s">
        <v>48</v>
      </c>
      <c r="G8017" s="11">
        <v>288</v>
      </c>
      <c r="H8017" s="11">
        <v>120</v>
      </c>
      <c r="I8017" s="11">
        <v>15</v>
      </c>
      <c r="J8017" s="11">
        <v>0</v>
      </c>
      <c r="K8017" s="11" t="s">
        <v>21</v>
      </c>
      <c r="L8017" s="7">
        <v>41568.184525462959</v>
      </c>
      <c r="M8017" s="12" t="s">
        <v>17542</v>
      </c>
      <c r="N8017" s="12" t="s">
        <v>17543</v>
      </c>
      <c r="O8017" s="10" t="str">
        <f>HYPERLINK("https://pbs.twimg.com/profile_images/541550824435232770/Ie5CUPar_normal.jpeg","View")</f>
        <v>View</v>
      </c>
      <c r="P8017" s="11"/>
    </row>
    <row r="8018" spans="1:16" ht="12.75" x14ac:dyDescent="0.35">
      <c r="A8018" s="7">
        <v>42485.235266203701</v>
      </c>
      <c r="B8018" s="8" t="str">
        <f>HYPERLINK("https://twitter.com/LifeBlab","@LifeBlab")</f>
        <v>@LifeBlab</v>
      </c>
      <c r="C8018" s="9" t="s">
        <v>291</v>
      </c>
      <c r="D8018" s="9" t="s">
        <v>292</v>
      </c>
      <c r="E8018" s="10" t="str">
        <f>HYPERLINK("https://twitter.com/LifeBlab/status/724389656301854720","724389656301854720")</f>
        <v>724389656301854720</v>
      </c>
      <c r="F8018" s="11" t="s">
        <v>213</v>
      </c>
      <c r="G8018" s="11">
        <v>728</v>
      </c>
      <c r="H8018" s="11">
        <v>702</v>
      </c>
      <c r="I8018" s="11">
        <v>0</v>
      </c>
      <c r="J8018" s="11">
        <v>0</v>
      </c>
      <c r="K8018" s="11" t="s">
        <v>21</v>
      </c>
      <c r="L8018" s="7">
        <v>40591.909259259257</v>
      </c>
      <c r="M8018" s="12" t="s">
        <v>293</v>
      </c>
      <c r="N8018" s="12" t="s">
        <v>294</v>
      </c>
      <c r="O8018" s="10" t="str">
        <f>HYPERLINK("https://pbs.twimg.com/profile_images/1247253854/lifeblab-icon6_normal.png","View")</f>
        <v>View</v>
      </c>
      <c r="P8018" s="11"/>
    </row>
    <row r="8019" spans="1:16" ht="12.75" x14ac:dyDescent="0.35">
      <c r="A8019" s="7">
        <v>42485.235289351855</v>
      </c>
      <c r="B8019" s="8" t="str">
        <f>HYPERLINK("https://twitter.com/Swazlque","@Swazlque")</f>
        <v>@Swazlque</v>
      </c>
      <c r="C8019" s="9" t="s">
        <v>17544</v>
      </c>
      <c r="D8019" s="9" t="s">
        <v>17487</v>
      </c>
      <c r="E8019" s="10" t="str">
        <f>HYPERLINK("https://twitter.com/Swazlque/status/724389665919406081","724389665919406081")</f>
        <v>724389665919406081</v>
      </c>
      <c r="F8019" s="11" t="s">
        <v>48</v>
      </c>
      <c r="G8019" s="11">
        <v>264</v>
      </c>
      <c r="H8019" s="11">
        <v>86</v>
      </c>
      <c r="I8019" s="11">
        <v>15</v>
      </c>
      <c r="J8019" s="11">
        <v>0</v>
      </c>
      <c r="K8019" s="11" t="s">
        <v>21</v>
      </c>
      <c r="L8019" s="7">
        <v>41568.523113425923</v>
      </c>
      <c r="M8019" s="12" t="s">
        <v>17545</v>
      </c>
      <c r="N8019" s="12" t="s">
        <v>17544</v>
      </c>
      <c r="O8019" s="10" t="str">
        <f>HYPERLINK("https://pbs.twimg.com/profile_images/541572416309592064/Itsc2-DW_normal.jpeg","View")</f>
        <v>View</v>
      </c>
      <c r="P8019" s="11"/>
    </row>
    <row r="8020" spans="1:16" ht="12.75" x14ac:dyDescent="0.35">
      <c r="A8020" s="7">
        <v>42485.237592592588</v>
      </c>
      <c r="B8020" s="8" t="str">
        <f>HYPERLINK("https://twitter.com/dan_stange","@dan_stange")</f>
        <v>@dan_stange</v>
      </c>
      <c r="C8020" s="9" t="s">
        <v>17546</v>
      </c>
      <c r="D8020" s="9" t="s">
        <v>17547</v>
      </c>
      <c r="E8020" s="10" t="str">
        <f>HYPERLINK("https://twitter.com/dan_stange/status/724390502179737600","724390502179737600")</f>
        <v>724390502179737600</v>
      </c>
      <c r="F8020" s="11" t="s">
        <v>43</v>
      </c>
      <c r="G8020" s="11">
        <v>67</v>
      </c>
      <c r="H8020" s="11">
        <v>90</v>
      </c>
      <c r="I8020" s="11">
        <v>0</v>
      </c>
      <c r="J8020" s="11">
        <v>0</v>
      </c>
      <c r="K8020" s="11" t="s">
        <v>21</v>
      </c>
      <c r="L8020" s="7">
        <v>40289.714537037034</v>
      </c>
      <c r="M8020" s="12" t="s">
        <v>17548</v>
      </c>
      <c r="N8020" s="12" t="s">
        <v>17549</v>
      </c>
      <c r="O8020" s="10" t="str">
        <f>HYPERLINK("https://pbs.twimg.com/profile_images/464482966409068544/-gzay6sr_normal.jpeg","View")</f>
        <v>View</v>
      </c>
      <c r="P8020" s="11"/>
    </row>
    <row r="8021" spans="1:16" ht="12.75" x14ac:dyDescent="0.35">
      <c r="A8021" s="7">
        <v>42485.237604166672</v>
      </c>
      <c r="B8021" s="8" t="str">
        <f>HYPERLINK("https://twitter.com/Oriandoee_RNdL","@Oriandoee_RNdL")</f>
        <v>@Oriandoee_RNdL</v>
      </c>
      <c r="C8021" s="9" t="s">
        <v>17550</v>
      </c>
      <c r="D8021" s="9" t="s">
        <v>17437</v>
      </c>
      <c r="E8021" s="10" t="str">
        <f>HYPERLINK("https://twitter.com/Oriandoee_RNdL/status/724390506013155328","724390506013155328")</f>
        <v>724390506013155328</v>
      </c>
      <c r="F8021" s="11" t="s">
        <v>48</v>
      </c>
      <c r="G8021" s="11">
        <v>43</v>
      </c>
      <c r="H8021" s="11">
        <v>730</v>
      </c>
      <c r="I8021" s="11">
        <v>17</v>
      </c>
      <c r="J8021" s="11">
        <v>0</v>
      </c>
      <c r="K8021" s="11" t="s">
        <v>21</v>
      </c>
      <c r="L8021" s="7">
        <v>41081.446481481486</v>
      </c>
      <c r="M8021" s="12" t="s">
        <v>17551</v>
      </c>
      <c r="N8021" s="12" t="s">
        <v>17552</v>
      </c>
      <c r="O8021" s="10" t="str">
        <f>HYPERLINK("https://pbs.twimg.com/profile_images/594571673698865152/Tz1sTKX4_normal.jpg","View")</f>
        <v>View</v>
      </c>
      <c r="P8021" s="11"/>
    </row>
    <row r="8022" spans="1:16" ht="12.75" x14ac:dyDescent="0.35">
      <c r="A8022" s="7">
        <v>42485.237939814819</v>
      </c>
      <c r="B8022" s="8" t="str">
        <f>HYPERLINK("https://twitter.com/Ur_marlia","@Ur_marlia")</f>
        <v>@Ur_marlia</v>
      </c>
      <c r="C8022" s="9" t="s">
        <v>17553</v>
      </c>
      <c r="D8022" s="9" t="s">
        <v>17437</v>
      </c>
      <c r="E8022" s="10" t="str">
        <f>HYPERLINK("https://twitter.com/Ur_marlia/status/724390624254898176","724390624254898176")</f>
        <v>724390624254898176</v>
      </c>
      <c r="F8022" s="11" t="s">
        <v>48</v>
      </c>
      <c r="G8022" s="11">
        <v>304</v>
      </c>
      <c r="H8022" s="11">
        <v>132</v>
      </c>
      <c r="I8022" s="11">
        <v>17</v>
      </c>
      <c r="J8022" s="11">
        <v>0</v>
      </c>
      <c r="K8022" s="11" t="s">
        <v>21</v>
      </c>
      <c r="L8022" s="7">
        <v>41566.799479166664</v>
      </c>
      <c r="M8022" s="12" t="s">
        <v>17554</v>
      </c>
      <c r="N8022" s="12" t="s">
        <v>17555</v>
      </c>
      <c r="O8022" s="10" t="str">
        <f>HYPERLINK("https://pbs.twimg.com/profile_images/539526910968356864/bO_WyqhX_normal.jpeg","View")</f>
        <v>View</v>
      </c>
      <c r="P8022" s="11"/>
    </row>
    <row r="8023" spans="1:16" ht="12.75" x14ac:dyDescent="0.35">
      <c r="A8023" s="7">
        <v>42485.238229166665</v>
      </c>
      <c r="B8023" s="8" t="str">
        <f>HYPERLINK("https://twitter.com/dan_stange","@dan_stange")</f>
        <v>@dan_stange</v>
      </c>
      <c r="C8023" s="9" t="s">
        <v>17546</v>
      </c>
      <c r="D8023" s="9" t="s">
        <v>17556</v>
      </c>
      <c r="E8023" s="10" t="str">
        <f>HYPERLINK("https://twitter.com/dan_stange/status/724390729733300224","724390729733300224")</f>
        <v>724390729733300224</v>
      </c>
      <c r="F8023" s="11" t="s">
        <v>43</v>
      </c>
      <c r="G8023" s="11">
        <v>67</v>
      </c>
      <c r="H8023" s="11">
        <v>90</v>
      </c>
      <c r="I8023" s="11">
        <v>0</v>
      </c>
      <c r="J8023" s="11">
        <v>0</v>
      </c>
      <c r="K8023" s="11" t="s">
        <v>21</v>
      </c>
      <c r="L8023" s="7">
        <v>40289.714537037034</v>
      </c>
      <c r="M8023" s="12" t="s">
        <v>17548</v>
      </c>
      <c r="N8023" s="12" t="s">
        <v>17549</v>
      </c>
      <c r="O8023" s="10" t="str">
        <f>HYPERLINK("https://pbs.twimg.com/profile_images/464482966409068544/-gzay6sr_normal.jpeg","View")</f>
        <v>View</v>
      </c>
      <c r="P8023" s="11"/>
    </row>
    <row r="8024" spans="1:16" ht="12.75" x14ac:dyDescent="0.35">
      <c r="A8024" s="7">
        <v>42485.238553240742</v>
      </c>
      <c r="B8024" s="8" t="str">
        <f>HYPERLINK("https://twitter.com/patrlckjkeane","@patrlckjkeane")</f>
        <v>@patrlckjkeane</v>
      </c>
      <c r="C8024" s="9" t="s">
        <v>17557</v>
      </c>
      <c r="D8024" s="9" t="s">
        <v>17437</v>
      </c>
      <c r="E8024" s="10" t="str">
        <f>HYPERLINK("https://twitter.com/patrlckjkeane/status/724390847656169472","724390847656169472")</f>
        <v>724390847656169472</v>
      </c>
      <c r="F8024" s="11" t="s">
        <v>48</v>
      </c>
      <c r="G8024" s="11">
        <v>367</v>
      </c>
      <c r="H8024" s="11">
        <v>99</v>
      </c>
      <c r="I8024" s="11">
        <v>17</v>
      </c>
      <c r="J8024" s="11">
        <v>0</v>
      </c>
      <c r="K8024" s="11" t="s">
        <v>21</v>
      </c>
      <c r="L8024" s="7">
        <v>41568.142662037033</v>
      </c>
      <c r="M8024" s="12" t="s">
        <v>17558</v>
      </c>
      <c r="N8024" s="12" t="s">
        <v>17559</v>
      </c>
      <c r="O8024" s="10" t="str">
        <f>HYPERLINK("https://pbs.twimg.com/profile_images/541547000769306624/4ytud69w_normal.jpeg","View")</f>
        <v>View</v>
      </c>
      <c r="P8024" s="11"/>
    </row>
    <row r="8025" spans="1:16" ht="12.75" x14ac:dyDescent="0.35">
      <c r="A8025" s="7">
        <v>42485.239027777774</v>
      </c>
      <c r="B8025" s="8" t="str">
        <f>HYPERLINK("https://twitter.com/t0ptoff","@t0ptoff")</f>
        <v>@t0ptoff</v>
      </c>
      <c r="C8025" s="9" t="s">
        <v>17560</v>
      </c>
      <c r="D8025" s="9" t="s">
        <v>17487</v>
      </c>
      <c r="E8025" s="10" t="str">
        <f>HYPERLINK("https://twitter.com/t0ptoff/status/724391019479982083","724391019479982083")</f>
        <v>724391019479982083</v>
      </c>
      <c r="F8025" s="11" t="s">
        <v>48</v>
      </c>
      <c r="G8025" s="11">
        <v>245</v>
      </c>
      <c r="H8025" s="11">
        <v>78</v>
      </c>
      <c r="I8025" s="11">
        <v>15</v>
      </c>
      <c r="J8025" s="11">
        <v>0</v>
      </c>
      <c r="K8025" s="11" t="s">
        <v>21</v>
      </c>
      <c r="L8025" s="7">
        <v>41568.429791666669</v>
      </c>
      <c r="M8025" s="12" t="s">
        <v>17561</v>
      </c>
      <c r="N8025" s="12" t="s">
        <v>17562</v>
      </c>
      <c r="O8025" s="10" t="str">
        <f>HYPERLINK("https://pbs.twimg.com/profile_images/541525777461039104/tObHjndd_normal.jpeg","View")</f>
        <v>View</v>
      </c>
      <c r="P8025" s="11"/>
    </row>
    <row r="8026" spans="1:16" ht="12.75" x14ac:dyDescent="0.35">
      <c r="A8026" s="7">
        <v>42485.239965277782</v>
      </c>
      <c r="B8026" s="8" t="str">
        <f>HYPERLINK("https://twitter.com/VWBeetleSales","@VWBeetleSales")</f>
        <v>@VWBeetleSales</v>
      </c>
      <c r="C8026" s="9" t="s">
        <v>127</v>
      </c>
      <c r="D8026" s="9" t="s">
        <v>17563</v>
      </c>
      <c r="E8026" s="10" t="str">
        <f>HYPERLINK("https://twitter.com/VWBeetleSales/status/724391358874558464","724391358874558464")</f>
        <v>724391358874558464</v>
      </c>
      <c r="F8026" s="10" t="s">
        <v>124</v>
      </c>
      <c r="G8026" s="11">
        <v>39</v>
      </c>
      <c r="H8026" s="11">
        <v>32</v>
      </c>
      <c r="I8026" s="11">
        <v>0</v>
      </c>
      <c r="J8026" s="11">
        <v>0</v>
      </c>
      <c r="K8026" s="11" t="s">
        <v>21</v>
      </c>
      <c r="L8026" s="7">
        <v>42427.019756944443</v>
      </c>
      <c r="M8026" s="12" t="s">
        <v>129</v>
      </c>
      <c r="N8026" s="12" t="s">
        <v>130</v>
      </c>
      <c r="O8026" s="10" t="str">
        <f>HYPERLINK("https://pbs.twimg.com/profile_images/703294545195307008/qeCvrX86_normal.jpg","View")</f>
        <v>View</v>
      </c>
      <c r="P8026" s="11"/>
    </row>
    <row r="8027" spans="1:16" ht="12.75" x14ac:dyDescent="0.35">
      <c r="A8027" s="7">
        <v>42485.240312499998</v>
      </c>
      <c r="B8027" s="8" t="str">
        <f>HYPERLINK("https://twitter.com/VGTG12","@VGTG12")</f>
        <v>@VGTG12</v>
      </c>
      <c r="C8027" s="9" t="s">
        <v>17564</v>
      </c>
      <c r="D8027" s="9" t="s">
        <v>17565</v>
      </c>
      <c r="E8027" s="10" t="str">
        <f>HYPERLINK("https://twitter.com/VGTG12/status/724391484573634561","724391484573634561")</f>
        <v>724391484573634561</v>
      </c>
      <c r="F8027" s="11" t="s">
        <v>20</v>
      </c>
      <c r="G8027" s="11">
        <v>113</v>
      </c>
      <c r="H8027" s="11">
        <v>352</v>
      </c>
      <c r="I8027" s="11">
        <v>0</v>
      </c>
      <c r="J8027" s="11">
        <v>0</v>
      </c>
      <c r="K8027" s="11" t="s">
        <v>21</v>
      </c>
      <c r="L8027" s="7">
        <v>39930.207418981481</v>
      </c>
      <c r="M8027" s="12" t="s">
        <v>17566</v>
      </c>
      <c r="N8027" s="12" t="s">
        <v>17567</v>
      </c>
      <c r="O8027" s="10" t="str">
        <f>HYPERLINK("https://pbs.twimg.com/profile_images/723000661034426368/4TOAb3D8_normal.jpg","View")</f>
        <v>View</v>
      </c>
      <c r="P8027" s="11"/>
    </row>
    <row r="8028" spans="1:16" ht="12.75" x14ac:dyDescent="0.35">
      <c r="A8028" s="7">
        <v>42485.241724537038</v>
      </c>
      <c r="B8028" s="8" t="str">
        <f>HYPERLINK("https://twitter.com/alizaki94","@alizaki94")</f>
        <v>@alizaki94</v>
      </c>
      <c r="C8028" s="9" t="s">
        <v>17568</v>
      </c>
      <c r="D8028" s="9" t="s">
        <v>17487</v>
      </c>
      <c r="E8028" s="10" t="str">
        <f>HYPERLINK("https://twitter.com/alizaki94/status/724391997193199616","724391997193199616")</f>
        <v>724391997193199616</v>
      </c>
      <c r="F8028" s="11" t="s">
        <v>48</v>
      </c>
      <c r="G8028" s="11">
        <v>321</v>
      </c>
      <c r="H8028" s="11">
        <v>227</v>
      </c>
      <c r="I8028" s="11">
        <v>17</v>
      </c>
      <c r="J8028" s="11">
        <v>0</v>
      </c>
      <c r="K8028" s="11" t="s">
        <v>21</v>
      </c>
      <c r="L8028" s="7">
        <v>41567.283634259264</v>
      </c>
      <c r="M8028" s="12"/>
      <c r="N8028" s="12" t="s">
        <v>17569</v>
      </c>
      <c r="O8028" s="10" t="str">
        <f>HYPERLINK("https://pbs.twimg.com/profile_images/539560928036270080/aaG5qeSa_normal.jpeg","View")</f>
        <v>View</v>
      </c>
      <c r="P8028" s="11"/>
    </row>
    <row r="8029" spans="1:16" ht="12.75" x14ac:dyDescent="0.35">
      <c r="A8029" s="7">
        <v>42485.2421875</v>
      </c>
      <c r="B8029" s="8" t="str">
        <f>HYPERLINK("https://twitter.com/flerceflyerxo","@flerceflyerxo")</f>
        <v>@flerceflyerxo</v>
      </c>
      <c r="C8029" s="9" t="s">
        <v>17570</v>
      </c>
      <c r="D8029" s="9" t="s">
        <v>17487</v>
      </c>
      <c r="E8029" s="10" t="str">
        <f>HYPERLINK("https://twitter.com/flerceflyerxo/status/724392164986392576","724392164986392576")</f>
        <v>724392164986392576</v>
      </c>
      <c r="F8029" s="11" t="s">
        <v>48</v>
      </c>
      <c r="G8029" s="11">
        <v>355</v>
      </c>
      <c r="H8029" s="11">
        <v>121</v>
      </c>
      <c r="I8029" s="11">
        <v>17</v>
      </c>
      <c r="J8029" s="11">
        <v>0</v>
      </c>
      <c r="K8029" s="11" t="s">
        <v>21</v>
      </c>
      <c r="L8029" s="7">
        <v>41566.308969907404</v>
      </c>
      <c r="M8029" s="12" t="s">
        <v>17571</v>
      </c>
      <c r="N8029" s="12" t="s">
        <v>17572</v>
      </c>
      <c r="O8029" s="10" t="str">
        <f>HYPERLINK("https://pbs.twimg.com/profile_images/534257866077913089/ViYX_Z8-_normal.jpeg","View")</f>
        <v>View</v>
      </c>
      <c r="P8029" s="11"/>
    </row>
    <row r="8030" spans="1:16" ht="12.75" x14ac:dyDescent="0.35">
      <c r="A8030" s="7">
        <v>42485.243842592594</v>
      </c>
      <c r="B8030" s="8" t="str">
        <f>HYPERLINK("https://twitter.com/rajesh877","@rajesh877")</f>
        <v>@rajesh877</v>
      </c>
      <c r="C8030" s="9" t="s">
        <v>11166</v>
      </c>
      <c r="D8030" s="9" t="s">
        <v>17573</v>
      </c>
      <c r="E8030" s="10" t="str">
        <f>HYPERLINK("https://twitter.com/rajesh877/status/724392765912715264","724392765912715264")</f>
        <v>724392765912715264</v>
      </c>
      <c r="F8030" s="11" t="s">
        <v>68</v>
      </c>
      <c r="G8030" s="11">
        <v>140</v>
      </c>
      <c r="H8030" s="11">
        <v>74</v>
      </c>
      <c r="I8030" s="11">
        <v>0</v>
      </c>
      <c r="J8030" s="11">
        <v>0</v>
      </c>
      <c r="K8030" s="11" t="s">
        <v>21</v>
      </c>
      <c r="L8030" s="7">
        <v>40077.821550925924</v>
      </c>
      <c r="M8030" s="12" t="s">
        <v>808</v>
      </c>
      <c r="N8030" s="12"/>
      <c r="O8030" s="10" t="str">
        <f>HYPERLINK("https://pbs.twimg.com/profile_images/690068229562241028/dtAFj2bm_normal.jpg","View")</f>
        <v>View</v>
      </c>
      <c r="P8030" s="11"/>
    </row>
    <row r="8031" spans="1:16" ht="12.75" x14ac:dyDescent="0.35">
      <c r="A8031" s="7">
        <v>42485.246157407411</v>
      </c>
      <c r="B8031" s="8" t="str">
        <f>HYPERLINK("https://twitter.com/moteking25","@moteking25")</f>
        <v>@moteking25</v>
      </c>
      <c r="C8031" s="9" t="s">
        <v>295</v>
      </c>
      <c r="D8031" s="9" t="s">
        <v>17574</v>
      </c>
      <c r="E8031" s="10" t="str">
        <f>HYPERLINK("https://twitter.com/moteking25/status/724393603036893184","724393603036893184")</f>
        <v>724393603036893184</v>
      </c>
      <c r="F8031" s="11" t="s">
        <v>114</v>
      </c>
      <c r="G8031" s="11">
        <v>155</v>
      </c>
      <c r="H8031" s="11">
        <v>261</v>
      </c>
      <c r="I8031" s="11">
        <v>1</v>
      </c>
      <c r="J8031" s="11">
        <v>0</v>
      </c>
      <c r="K8031" s="11" t="s">
        <v>21</v>
      </c>
      <c r="L8031" s="7">
        <v>40656.812789351854</v>
      </c>
      <c r="M8031" s="12" t="s">
        <v>297</v>
      </c>
      <c r="N8031" s="12" t="s">
        <v>298</v>
      </c>
      <c r="O8031" s="10" t="str">
        <f>HYPERLINK("https://pbs.twimg.com/profile_images/695836169418899456/Z9ohOFD9_normal.jpg","View")</f>
        <v>View</v>
      </c>
      <c r="P8031" s="11"/>
    </row>
    <row r="8032" spans="1:16" ht="12.75" x14ac:dyDescent="0.35">
      <c r="A8032" s="7">
        <v>42485.246446759258</v>
      </c>
      <c r="B8032" s="8" t="str">
        <f>HYPERLINK("https://twitter.com/DubLuvTuning","@DubLuvTuning")</f>
        <v>@DubLuvTuning</v>
      </c>
      <c r="C8032" s="9" t="s">
        <v>299</v>
      </c>
      <c r="D8032" s="9" t="s">
        <v>17575</v>
      </c>
      <c r="E8032" s="10" t="str">
        <f>HYPERLINK("https://twitter.com/DubLuvTuning/status/724393710667096064","724393710667096064")</f>
        <v>724393710667096064</v>
      </c>
      <c r="F8032" s="11" t="s">
        <v>288</v>
      </c>
      <c r="G8032" s="11">
        <v>690</v>
      </c>
      <c r="H8032" s="11">
        <v>430</v>
      </c>
      <c r="I8032" s="11">
        <v>1</v>
      </c>
      <c r="J8032" s="11">
        <v>0</v>
      </c>
      <c r="K8032" s="11" t="s">
        <v>21</v>
      </c>
      <c r="L8032" s="7">
        <v>41549.898287037038</v>
      </c>
      <c r="M8032" s="12" t="s">
        <v>301</v>
      </c>
      <c r="N8032" s="12" t="s">
        <v>302</v>
      </c>
      <c r="O8032" s="10" t="str">
        <f>HYPERLINK("https://pbs.twimg.com/profile_images/378800000572104796/1de43e1cf23efb3f4101c02afad0d3b6_normal.png","View")</f>
        <v>View</v>
      </c>
      <c r="P8032" s="11"/>
    </row>
    <row r="8033" spans="1:16" ht="12.75" x14ac:dyDescent="0.35">
      <c r="A8033" s="7">
        <v>42485.247071759259</v>
      </c>
      <c r="B8033" s="8" t="str">
        <f>HYPERLINK("https://twitter.com/EeZeEpEe","@EeZeEpEe")</f>
        <v>@EeZeEpEe</v>
      </c>
      <c r="C8033" s="9" t="s">
        <v>17576</v>
      </c>
      <c r="D8033" s="9" t="s">
        <v>17577</v>
      </c>
      <c r="E8033" s="10" t="str">
        <f>HYPERLINK("https://twitter.com/EeZeEpEe/status/724393934710013952","724393934710013952")</f>
        <v>724393934710013952</v>
      </c>
      <c r="F8033" s="11" t="s">
        <v>3721</v>
      </c>
      <c r="G8033" s="11">
        <v>340</v>
      </c>
      <c r="H8033" s="11">
        <v>717</v>
      </c>
      <c r="I8033" s="11">
        <v>0</v>
      </c>
      <c r="J8033" s="11">
        <v>0</v>
      </c>
      <c r="K8033" s="11" t="s">
        <v>21</v>
      </c>
      <c r="L8033" s="7">
        <v>39870.045497685183</v>
      </c>
      <c r="M8033" s="12" t="s">
        <v>316</v>
      </c>
      <c r="N8033" s="12" t="s">
        <v>17578</v>
      </c>
      <c r="O8033" s="10" t="str">
        <f>HYPERLINK("https://pbs.twimg.com/profile_images/714087468795052032/p06V7TfP_normal.jpg","View")</f>
        <v>View</v>
      </c>
      <c r="P8033" s="11"/>
    </row>
    <row r="8034" spans="1:16" ht="12.75" x14ac:dyDescent="0.35">
      <c r="A8034" s="7">
        <v>42485.247673611113</v>
      </c>
      <c r="B8034" s="8" t="str">
        <f t="shared" ref="B8034:B8035" si="825">HYPERLINK("https://twitter.com/steve_ath","@steve_ath")</f>
        <v>@steve_ath</v>
      </c>
      <c r="C8034" s="9" t="s">
        <v>17579</v>
      </c>
      <c r="D8034" s="9" t="s">
        <v>17580</v>
      </c>
      <c r="E8034" s="10" t="str">
        <f>HYPERLINK("https://twitter.com/steve_ath/status/724394154814504960","724394154814504960")</f>
        <v>724394154814504960</v>
      </c>
      <c r="F8034" s="11" t="s">
        <v>114</v>
      </c>
      <c r="G8034" s="11">
        <v>339</v>
      </c>
      <c r="H8034" s="11">
        <v>1304</v>
      </c>
      <c r="I8034" s="11">
        <v>0</v>
      </c>
      <c r="J8034" s="11">
        <v>0</v>
      </c>
      <c r="K8034" s="11" t="s">
        <v>21</v>
      </c>
      <c r="L8034" s="7">
        <v>41165.330625000002</v>
      </c>
      <c r="M8034" s="12" t="s">
        <v>17581</v>
      </c>
      <c r="N8034" s="12" t="s">
        <v>17582</v>
      </c>
      <c r="O8034" s="10" t="str">
        <f t="shared" ref="O8034:O8035" si="826">HYPERLINK("https://pbs.twimg.com/profile_images/723903812457664512/Zj1vl7TD_normal.jpg","View")</f>
        <v>View</v>
      </c>
      <c r="P8034" s="11"/>
    </row>
    <row r="8035" spans="1:16" ht="12.75" x14ac:dyDescent="0.35">
      <c r="A8035" s="7">
        <v>42485.251076388886</v>
      </c>
      <c r="B8035" s="8" t="str">
        <f t="shared" si="825"/>
        <v>@steve_ath</v>
      </c>
      <c r="C8035" s="9" t="s">
        <v>17579</v>
      </c>
      <c r="D8035" s="9" t="s">
        <v>17583</v>
      </c>
      <c r="E8035" s="10" t="str">
        <f>HYPERLINK("https://twitter.com/steve_ath/status/724395388367720448","724395388367720448")</f>
        <v>724395388367720448</v>
      </c>
      <c r="F8035" s="11" t="s">
        <v>114</v>
      </c>
      <c r="G8035" s="11">
        <v>339</v>
      </c>
      <c r="H8035" s="11">
        <v>1304</v>
      </c>
      <c r="I8035" s="11">
        <v>0</v>
      </c>
      <c r="J8035" s="11">
        <v>0</v>
      </c>
      <c r="K8035" s="11" t="s">
        <v>21</v>
      </c>
      <c r="L8035" s="7">
        <v>41165.330625000002</v>
      </c>
      <c r="M8035" s="12" t="s">
        <v>17581</v>
      </c>
      <c r="N8035" s="12" t="s">
        <v>17582</v>
      </c>
      <c r="O8035" s="10" t="str">
        <f t="shared" si="826"/>
        <v>View</v>
      </c>
      <c r="P8035" s="11"/>
    </row>
    <row r="8036" spans="1:16" ht="12.75" x14ac:dyDescent="0.35">
      <c r="A8036" s="7">
        <v>42485.252071759256</v>
      </c>
      <c r="B8036" s="8" t="str">
        <f>HYPERLINK("https://twitter.com/EulalioMRomero","@EulalioMRomero")</f>
        <v>@EulalioMRomero</v>
      </c>
      <c r="C8036" s="9" t="s">
        <v>17584</v>
      </c>
      <c r="D8036" s="9" t="s">
        <v>17585</v>
      </c>
      <c r="E8036" s="10" t="str">
        <f>HYPERLINK("https://twitter.com/EulalioMRomero/status/724395749077823490","724395749077823490")</f>
        <v>724395749077823490</v>
      </c>
      <c r="F8036" s="11" t="s">
        <v>68</v>
      </c>
      <c r="G8036" s="11">
        <v>106</v>
      </c>
      <c r="H8036" s="11">
        <v>183</v>
      </c>
      <c r="I8036" s="11">
        <v>0</v>
      </c>
      <c r="J8036" s="11">
        <v>0</v>
      </c>
      <c r="K8036" s="11" t="s">
        <v>21</v>
      </c>
      <c r="L8036" s="7">
        <v>42475.07849537037</v>
      </c>
      <c r="M8036" s="12"/>
      <c r="N8036" s="12"/>
      <c r="O8036" s="10" t="str">
        <f>HYPERLINK("https://abs.twimg.com/sticky/default_profile_images/default_profile_3_normal.png","View")</f>
        <v>View</v>
      </c>
      <c r="P8036" s="11"/>
    </row>
    <row r="8037" spans="1:16" ht="12.75" x14ac:dyDescent="0.35">
      <c r="A8037" s="7">
        <v>42485.252592592587</v>
      </c>
      <c r="B8037" s="8" t="str">
        <f>HYPERLINK("https://twitter.com/nexus_line","@nexus_line")</f>
        <v>@nexus_line</v>
      </c>
      <c r="C8037" s="9" t="s">
        <v>17586</v>
      </c>
      <c r="D8037" s="9" t="s">
        <v>17587</v>
      </c>
      <c r="E8037" s="10" t="str">
        <f>HYPERLINK("https://twitter.com/nexus_line/status/724395934797410305","724395934797410305")</f>
        <v>724395934797410305</v>
      </c>
      <c r="F8037" s="11" t="s">
        <v>17588</v>
      </c>
      <c r="G8037" s="11">
        <v>603</v>
      </c>
      <c r="H8037" s="11">
        <v>117</v>
      </c>
      <c r="I8037" s="11">
        <v>1</v>
      </c>
      <c r="J8037" s="11">
        <v>0</v>
      </c>
      <c r="K8037" s="11" t="s">
        <v>21</v>
      </c>
      <c r="L8037" s="7">
        <v>42085.328333333338</v>
      </c>
      <c r="M8037" s="12"/>
      <c r="N8037" s="12" t="s">
        <v>17589</v>
      </c>
      <c r="O8037" s="10" t="str">
        <f>HYPERLINK("https://pbs.twimg.com/profile_images/580379355055968256/ucfbeQU7_normal.png","View")</f>
        <v>View</v>
      </c>
      <c r="P8037" s="11"/>
    </row>
    <row r="8038" spans="1:16" ht="12.75" x14ac:dyDescent="0.35">
      <c r="A8038" s="7">
        <v>42485.253171296295</v>
      </c>
      <c r="B8038" s="8" t="str">
        <f>HYPERLINK("https://twitter.com/VWBeetleSales","@VWBeetleSales")</f>
        <v>@VWBeetleSales</v>
      </c>
      <c r="C8038" s="9" t="s">
        <v>127</v>
      </c>
      <c r="D8038" s="9" t="s">
        <v>17590</v>
      </c>
      <c r="E8038" s="10" t="str">
        <f>HYPERLINK("https://twitter.com/VWBeetleSales/status/724396145561083904","724396145561083904")</f>
        <v>724396145561083904</v>
      </c>
      <c r="F8038" s="10" t="s">
        <v>124</v>
      </c>
      <c r="G8038" s="11">
        <v>39</v>
      </c>
      <c r="H8038" s="11">
        <v>32</v>
      </c>
      <c r="I8038" s="11">
        <v>0</v>
      </c>
      <c r="J8038" s="11">
        <v>0</v>
      </c>
      <c r="K8038" s="11" t="s">
        <v>21</v>
      </c>
      <c r="L8038" s="7">
        <v>42427.019756944443</v>
      </c>
      <c r="M8038" s="12" t="s">
        <v>129</v>
      </c>
      <c r="N8038" s="12" t="s">
        <v>130</v>
      </c>
      <c r="O8038" s="10" t="str">
        <f>HYPERLINK("https://pbs.twimg.com/profile_images/703294545195307008/qeCvrX86_normal.jpg","View")</f>
        <v>View</v>
      </c>
      <c r="P8038" s="11"/>
    </row>
    <row r="8039" spans="1:16" ht="12.75" x14ac:dyDescent="0.35">
      <c r="A8039" s="7">
        <v>42485.254699074074</v>
      </c>
      <c r="B8039" s="8" t="str">
        <f>HYPERLINK("https://twitter.com/VWUKNews","@VWUKNews")</f>
        <v>@VWUKNews</v>
      </c>
      <c r="C8039" s="9" t="s">
        <v>17591</v>
      </c>
      <c r="D8039" s="9" t="s">
        <v>16148</v>
      </c>
      <c r="E8039" s="10" t="str">
        <f>HYPERLINK("https://twitter.com/VWUKNews/status/724396700392148993","724396700392148993")</f>
        <v>724396700392148993</v>
      </c>
      <c r="F8039" s="11" t="s">
        <v>20</v>
      </c>
      <c r="G8039" s="11">
        <v>1896</v>
      </c>
      <c r="H8039" s="11">
        <v>268</v>
      </c>
      <c r="I8039" s="11">
        <v>8</v>
      </c>
      <c r="J8039" s="11">
        <v>0</v>
      </c>
      <c r="K8039" s="11" t="s">
        <v>21</v>
      </c>
      <c r="L8039" s="7">
        <v>41240.699525462966</v>
      </c>
      <c r="M8039" s="12" t="s">
        <v>17592</v>
      </c>
      <c r="N8039" s="12" t="s">
        <v>17593</v>
      </c>
      <c r="O8039" s="10" t="str">
        <f>HYPERLINK("https://pbs.twimg.com/profile_images/688107349786005504/DSMVMTDE_normal.jpg","View")</f>
        <v>View</v>
      </c>
      <c r="P8039" s="11"/>
    </row>
    <row r="8040" spans="1:16" ht="12.75" x14ac:dyDescent="0.35">
      <c r="A8040" s="7">
        <v>42485.255532407406</v>
      </c>
      <c r="B8040" s="8" t="str">
        <f>HYPERLINK("https://twitter.com/ManuelA30652972","@ManuelA30652972")</f>
        <v>@ManuelA30652972</v>
      </c>
      <c r="C8040" s="9" t="s">
        <v>17531</v>
      </c>
      <c r="D8040" s="9" t="s">
        <v>10808</v>
      </c>
      <c r="E8040" s="10" t="str">
        <f>HYPERLINK("https://twitter.com/ManuelA30652972/status/724397001610280962","724397001610280962")</f>
        <v>724397001610280962</v>
      </c>
      <c r="F8040" s="11" t="s">
        <v>48</v>
      </c>
      <c r="G8040" s="11">
        <v>1</v>
      </c>
      <c r="H8040" s="11">
        <v>0</v>
      </c>
      <c r="I8040" s="11">
        <v>71</v>
      </c>
      <c r="J8040" s="11">
        <v>0</v>
      </c>
      <c r="K8040" s="11" t="s">
        <v>21</v>
      </c>
      <c r="L8040" s="7">
        <v>42485.121793981481</v>
      </c>
      <c r="M8040" s="12"/>
      <c r="N8040" s="12"/>
      <c r="O8040" s="10" t="str">
        <f>HYPERLINK("https://pbs.twimg.com/profile_images/724349488605847552/CHTQnVGi_normal.jpg","View")</f>
        <v>View</v>
      </c>
      <c r="P8040" s="11"/>
    </row>
    <row r="8041" spans="1:16" ht="12.75" x14ac:dyDescent="0.35">
      <c r="A8041" s="7">
        <v>42485.257118055553</v>
      </c>
      <c r="B8041" s="8" t="str">
        <f>HYPERLINK("https://twitter.com/MalibuMoms","@MalibuMoms")</f>
        <v>@MalibuMoms</v>
      </c>
      <c r="C8041" s="9" t="s">
        <v>694</v>
      </c>
      <c r="D8041" s="9" t="s">
        <v>17594</v>
      </c>
      <c r="E8041" s="10" t="str">
        <f>HYPERLINK("https://twitter.com/MalibuMoms/status/724397576095571968","724397576095571968")</f>
        <v>724397576095571968</v>
      </c>
      <c r="F8041" s="11" t="s">
        <v>91</v>
      </c>
      <c r="G8041" s="11">
        <v>249</v>
      </c>
      <c r="H8041" s="11">
        <v>384</v>
      </c>
      <c r="I8041" s="11">
        <v>0</v>
      </c>
      <c r="J8041" s="11">
        <v>0</v>
      </c>
      <c r="K8041" s="11" t="s">
        <v>21</v>
      </c>
      <c r="L8041" s="7">
        <v>41992.201342592598</v>
      </c>
      <c r="M8041" s="12" t="s">
        <v>696</v>
      </c>
      <c r="N8041" s="12" t="s">
        <v>697</v>
      </c>
      <c r="O8041" s="10" t="str">
        <f>HYPERLINK("https://pbs.twimg.com/profile_images/632371610276622336/i9dfhe5Q_normal.jpg","View")</f>
        <v>View</v>
      </c>
      <c r="P8041" s="11"/>
    </row>
    <row r="8042" spans="1:16" ht="12.75" x14ac:dyDescent="0.35">
      <c r="A8042" s="7">
        <v>42485.257314814815</v>
      </c>
      <c r="B8042" s="8" t="str">
        <f>HYPERLINK("https://twitter.com/beetlebug1938","@beetlebug1938")</f>
        <v>@beetlebug1938</v>
      </c>
      <c r="C8042" s="9" t="s">
        <v>66</v>
      </c>
      <c r="D8042" s="9" t="s">
        <v>17595</v>
      </c>
      <c r="E8042" s="10" t="str">
        <f>HYPERLINK("https://twitter.com/beetlebug1938/status/724397647965069312","724397647965069312")</f>
        <v>724397647965069312</v>
      </c>
      <c r="F8042" s="11" t="s">
        <v>68</v>
      </c>
      <c r="G8042" s="11">
        <v>392</v>
      </c>
      <c r="H8042" s="11">
        <v>2331</v>
      </c>
      <c r="I8042" s="11">
        <v>1</v>
      </c>
      <c r="J8042" s="11">
        <v>0</v>
      </c>
      <c r="K8042" s="11" t="s">
        <v>21</v>
      </c>
      <c r="L8042" s="7">
        <v>42469.863865740743</v>
      </c>
      <c r="M8042" s="12" t="s">
        <v>69</v>
      </c>
      <c r="N8042" s="12"/>
      <c r="O8042" s="10" t="str">
        <f>HYPERLINK("https://pbs.twimg.com/profile_images/718820712757215233/LXXndPTS_normal.jpg","View")</f>
        <v>View</v>
      </c>
      <c r="P8042" s="11"/>
    </row>
    <row r="8043" spans="1:16" ht="12.75" x14ac:dyDescent="0.35">
      <c r="A8043" s="7">
        <v>42485.257673611108</v>
      </c>
      <c r="B8043" s="8" t="str">
        <f>HYPERLINK("https://twitter.com/dubbusses","@dubbusses")</f>
        <v>@dubbusses</v>
      </c>
      <c r="C8043" s="9" t="s">
        <v>14338</v>
      </c>
      <c r="D8043" s="9" t="s">
        <v>17596</v>
      </c>
      <c r="E8043" s="10" t="str">
        <f>HYPERLINK("https://twitter.com/dubbusses/status/724397775564247040","724397775564247040")</f>
        <v>724397775564247040</v>
      </c>
      <c r="F8043" s="11" t="s">
        <v>68</v>
      </c>
      <c r="G8043" s="11">
        <v>510</v>
      </c>
      <c r="H8043" s="11">
        <v>2822</v>
      </c>
      <c r="I8043" s="11">
        <v>0</v>
      </c>
      <c r="J8043" s="11">
        <v>1</v>
      </c>
      <c r="K8043" s="11" t="s">
        <v>21</v>
      </c>
      <c r="L8043" s="7">
        <v>42469.905393518522</v>
      </c>
      <c r="M8043" s="12" t="s">
        <v>14340</v>
      </c>
      <c r="N8043" s="12"/>
      <c r="O8043" s="10" t="str">
        <f>HYPERLINK("https://pbs.twimg.com/profile_images/718835727027580928/1ssyQ67y_normal.jpg","View")</f>
        <v>View</v>
      </c>
      <c r="P8043" s="11"/>
    </row>
    <row r="8044" spans="1:16" ht="12.75" x14ac:dyDescent="0.35">
      <c r="A8044" s="7">
        <v>42485.257708333331</v>
      </c>
      <c r="B8044" s="8" t="str">
        <f>HYPERLINK("https://twitter.com/MaureLuciana","@MaureLuciana")</f>
        <v>@MaureLuciana</v>
      </c>
      <c r="C8044" s="9" t="s">
        <v>17597</v>
      </c>
      <c r="D8044" s="9" t="s">
        <v>17598</v>
      </c>
      <c r="E8044" s="10" t="str">
        <f>HYPERLINK("https://twitter.com/MaureLuciana/status/724397791573905408","724397791573905408")</f>
        <v>724397791573905408</v>
      </c>
      <c r="F8044" s="11" t="s">
        <v>43</v>
      </c>
      <c r="G8044" s="11">
        <v>773</v>
      </c>
      <c r="H8044" s="11">
        <v>667</v>
      </c>
      <c r="I8044" s="11">
        <v>0</v>
      </c>
      <c r="J8044" s="11">
        <v>0</v>
      </c>
      <c r="K8044" s="11" t="s">
        <v>21</v>
      </c>
      <c r="L8044" s="7">
        <v>41344.292627314819</v>
      </c>
      <c r="M8044" s="12" t="s">
        <v>6380</v>
      </c>
      <c r="N8044" s="12" t="s">
        <v>17599</v>
      </c>
      <c r="O8044" s="10" t="str">
        <f>HYPERLINK("https://pbs.twimg.com/profile_images/717031050162147328/4QJQUgaE_normal.jpg","View")</f>
        <v>View</v>
      </c>
      <c r="P8044" s="11"/>
    </row>
    <row r="8045" spans="1:16" ht="12.75" x14ac:dyDescent="0.35">
      <c r="A8045" s="7">
        <v>42485.257766203707</v>
      </c>
      <c r="B8045" s="8" t="str">
        <f t="shared" ref="B8045:B8046" si="827">HYPERLINK("https://twitter.com/dubbusses","@dubbusses")</f>
        <v>@dubbusses</v>
      </c>
      <c r="C8045" s="9" t="s">
        <v>14338</v>
      </c>
      <c r="D8045" s="9" t="s">
        <v>17600</v>
      </c>
      <c r="E8045" s="10" t="str">
        <f>HYPERLINK("https://twitter.com/dubbusses/status/724397810754433026","724397810754433026")</f>
        <v>724397810754433026</v>
      </c>
      <c r="F8045" s="11" t="s">
        <v>68</v>
      </c>
      <c r="G8045" s="11">
        <v>510</v>
      </c>
      <c r="H8045" s="11">
        <v>2822</v>
      </c>
      <c r="I8045" s="11">
        <v>0</v>
      </c>
      <c r="J8045" s="11">
        <v>0</v>
      </c>
      <c r="K8045" s="11" t="s">
        <v>21</v>
      </c>
      <c r="L8045" s="7">
        <v>42469.905393518522</v>
      </c>
      <c r="M8045" s="12" t="s">
        <v>14340</v>
      </c>
      <c r="N8045" s="12"/>
      <c r="O8045" s="10" t="str">
        <f t="shared" ref="O8045:O8046" si="828">HYPERLINK("https://pbs.twimg.com/profile_images/718835727027580928/1ssyQ67y_normal.jpg","View")</f>
        <v>View</v>
      </c>
      <c r="P8045" s="11"/>
    </row>
    <row r="8046" spans="1:16" ht="12.75" x14ac:dyDescent="0.35">
      <c r="A8046" s="7">
        <v>42485.257789351846</v>
      </c>
      <c r="B8046" s="8" t="str">
        <f t="shared" si="827"/>
        <v>@dubbusses</v>
      </c>
      <c r="C8046" s="9" t="s">
        <v>14338</v>
      </c>
      <c r="D8046" s="9" t="s">
        <v>17601</v>
      </c>
      <c r="E8046" s="10" t="str">
        <f>HYPERLINK("https://twitter.com/dubbusses/status/724397821428948994","724397821428948994")</f>
        <v>724397821428948994</v>
      </c>
      <c r="F8046" s="11" t="s">
        <v>68</v>
      </c>
      <c r="G8046" s="11">
        <v>510</v>
      </c>
      <c r="H8046" s="11">
        <v>2822</v>
      </c>
      <c r="I8046" s="11">
        <v>0</v>
      </c>
      <c r="J8046" s="11">
        <v>0</v>
      </c>
      <c r="K8046" s="11" t="s">
        <v>21</v>
      </c>
      <c r="L8046" s="7">
        <v>42469.905393518522</v>
      </c>
      <c r="M8046" s="12" t="s">
        <v>14340</v>
      </c>
      <c r="N8046" s="12"/>
      <c r="O8046" s="10" t="str">
        <f t="shared" si="828"/>
        <v>View</v>
      </c>
      <c r="P8046" s="11"/>
    </row>
    <row r="8047" spans="1:16" ht="12.75" x14ac:dyDescent="0.35">
      <c r="A8047" s="7">
        <v>42485.260370370372</v>
      </c>
      <c r="B8047" s="8" t="str">
        <f>HYPERLINK("https://twitter.com/FuscaWorld","@FuscaWorld")</f>
        <v>@FuscaWorld</v>
      </c>
      <c r="C8047" s="9" t="s">
        <v>74</v>
      </c>
      <c r="D8047" s="9" t="s">
        <v>17475</v>
      </c>
      <c r="E8047" s="10" t="str">
        <f>HYPERLINK("https://twitter.com/FuscaWorld/status/724398753290027008","724398753290027008")</f>
        <v>724398753290027008</v>
      </c>
      <c r="F8047" s="11" t="s">
        <v>76</v>
      </c>
      <c r="G8047" s="11">
        <v>52</v>
      </c>
      <c r="H8047" s="11">
        <v>1</v>
      </c>
      <c r="I8047" s="11">
        <v>1</v>
      </c>
      <c r="J8047" s="11">
        <v>0</v>
      </c>
      <c r="K8047" s="11" t="s">
        <v>21</v>
      </c>
      <c r="L8047" s="7">
        <v>42433.880914351852</v>
      </c>
      <c r="M8047" s="12"/>
      <c r="N8047" s="12" t="s">
        <v>77</v>
      </c>
      <c r="O8047" s="10" t="str">
        <f>HYPERLINK("https://pbs.twimg.com/profile_images/705780107844067328/e7O4UBNb_normal.jpg","View")</f>
        <v>View</v>
      </c>
      <c r="P8047" s="11"/>
    </row>
    <row r="8048" spans="1:16" ht="12.75" x14ac:dyDescent="0.35">
      <c r="A8048" s="7">
        <v>42485.262673611112</v>
      </c>
      <c r="B8048" s="8" t="str">
        <f>HYPERLINK("https://twitter.com/Scirocco_Tuning","@Scirocco_Tuning")</f>
        <v>@Scirocco_Tuning</v>
      </c>
      <c r="C8048" s="9" t="s">
        <v>51</v>
      </c>
      <c r="D8048" s="9" t="s">
        <v>17602</v>
      </c>
      <c r="E8048" s="10" t="str">
        <f>HYPERLINK("https://twitter.com/Scirocco_Tuning/status/724399589642645505","724399589642645505")</f>
        <v>724399589642645505</v>
      </c>
      <c r="F8048" s="11" t="s">
        <v>53</v>
      </c>
      <c r="G8048" s="11">
        <v>69</v>
      </c>
      <c r="H8048" s="11">
        <v>215</v>
      </c>
      <c r="I8048" s="11">
        <v>0</v>
      </c>
      <c r="J8048" s="11">
        <v>0</v>
      </c>
      <c r="K8048" s="11" t="s">
        <v>21</v>
      </c>
      <c r="L8048" s="7">
        <v>40844.564722222218</v>
      </c>
      <c r="M8048" s="12"/>
      <c r="N8048" s="12"/>
      <c r="O8048" s="10" t="str">
        <f>HYPERLINK("https://pbs.twimg.com/profile_images/1610421423/Image2_normal.jpg","View")</f>
        <v>View</v>
      </c>
      <c r="P8048" s="11"/>
    </row>
    <row r="8049" spans="1:16" ht="12.75" x14ac:dyDescent="0.35">
      <c r="A8049" s="7">
        <v>42485.266331018516</v>
      </c>
      <c r="B8049" s="8" t="str">
        <f>HYPERLINK("https://twitter.com/VolkswagenPost","@VolkswagenPost")</f>
        <v>@VolkswagenPost</v>
      </c>
      <c r="C8049" s="9" t="s">
        <v>321</v>
      </c>
      <c r="D8049" s="9" t="s">
        <v>17603</v>
      </c>
      <c r="E8049" s="10" t="str">
        <f>HYPERLINK("https://twitter.com/VolkswagenPost/status/724400916384731137","724400916384731137")</f>
        <v>724400916384731137</v>
      </c>
      <c r="F8049" s="11" t="s">
        <v>34</v>
      </c>
      <c r="G8049" s="11">
        <v>571</v>
      </c>
      <c r="H8049" s="11">
        <v>446</v>
      </c>
      <c r="I8049" s="11">
        <v>0</v>
      </c>
      <c r="J8049" s="11">
        <v>0</v>
      </c>
      <c r="K8049" s="11" t="s">
        <v>21</v>
      </c>
      <c r="L8049" s="7">
        <v>41940.618379629632</v>
      </c>
      <c r="M8049" s="12"/>
      <c r="N8049" s="12"/>
      <c r="O8049" s="10" t="str">
        <f>HYPERLINK("https://pbs.twimg.com/profile_images/530071272881803264/a_jcCmPZ_normal.png","View")</f>
        <v>View</v>
      </c>
      <c r="P8049" s="11"/>
    </row>
    <row r="8050" spans="1:16" ht="12.75" x14ac:dyDescent="0.35">
      <c r="A8050" s="7">
        <v>42485.266712962963</v>
      </c>
      <c r="B8050" s="8" t="str">
        <f>HYPERLINK("https://twitter.com/luuuzcastillo","@luuuzcastillo")</f>
        <v>@luuuzcastillo</v>
      </c>
      <c r="C8050" s="9" t="s">
        <v>17604</v>
      </c>
      <c r="D8050" s="9" t="s">
        <v>17605</v>
      </c>
      <c r="E8050" s="10" t="str">
        <f>HYPERLINK("https://twitter.com/luuuzcastillo/status/724401054209740802","724401054209740802")</f>
        <v>724401054209740802</v>
      </c>
      <c r="F8050" s="11" t="s">
        <v>20</v>
      </c>
      <c r="G8050" s="11">
        <v>169</v>
      </c>
      <c r="H8050" s="11">
        <v>147</v>
      </c>
      <c r="I8050" s="11">
        <v>6</v>
      </c>
      <c r="J8050" s="11">
        <v>0</v>
      </c>
      <c r="K8050" s="11" t="s">
        <v>21</v>
      </c>
      <c r="L8050" s="7">
        <v>42449.811388888891</v>
      </c>
      <c r="M8050" s="12"/>
      <c r="N8050" s="12" t="s">
        <v>17606</v>
      </c>
      <c r="O8050" s="10" t="str">
        <f>HYPERLINK("https://pbs.twimg.com/profile_images/722904363627319296/ShKAzyQI_normal.jpg","View")</f>
        <v>View</v>
      </c>
      <c r="P8050" s="11"/>
    </row>
    <row r="8051" spans="1:16" ht="12.75" x14ac:dyDescent="0.35">
      <c r="A8051" s="7">
        <v>42485.268321759257</v>
      </c>
      <c r="B8051" s="8" t="str">
        <f>HYPERLINK("https://twitter.com/misspetrolhead","@misspetrolhead")</f>
        <v>@misspetrolhead</v>
      </c>
      <c r="C8051" s="9" t="s">
        <v>17607</v>
      </c>
      <c r="D8051" s="9" t="s">
        <v>17332</v>
      </c>
      <c r="E8051" s="10" t="str">
        <f>HYPERLINK("https://twitter.com/misspetrolhead/status/724401638342049793","724401638342049793")</f>
        <v>724401638342049793</v>
      </c>
      <c r="F8051" s="11" t="s">
        <v>91</v>
      </c>
      <c r="G8051" s="11">
        <v>29</v>
      </c>
      <c r="H8051" s="11">
        <v>62</v>
      </c>
      <c r="I8051" s="11">
        <v>3</v>
      </c>
      <c r="J8051" s="11">
        <v>0</v>
      </c>
      <c r="K8051" s="11" t="s">
        <v>21</v>
      </c>
      <c r="L8051" s="7">
        <v>41915.036458333336</v>
      </c>
      <c r="M8051" s="12"/>
      <c r="N8051" s="12"/>
      <c r="O8051" s="10" t="str">
        <f>HYPERLINK("https://pbs.twimg.com/profile_images/521790805837901824/LRCzW4Fj_normal.jpeg","View")</f>
        <v>View</v>
      </c>
      <c r="P8051" s="11"/>
    </row>
    <row r="8052" spans="1:16" ht="12.75" x14ac:dyDescent="0.35">
      <c r="A8052" s="7">
        <v>42485.270902777775</v>
      </c>
      <c r="B8052" s="8" t="str">
        <f>HYPERLINK("https://twitter.com/VR_Porn","@VR_Porn")</f>
        <v>@VR_Porn</v>
      </c>
      <c r="C8052" s="9" t="s">
        <v>17608</v>
      </c>
      <c r="D8052" s="9" t="s">
        <v>17609</v>
      </c>
      <c r="E8052" s="10" t="str">
        <f>HYPERLINK("https://twitter.com/VR_Porn/status/724402573076246528","724402573076246528")</f>
        <v>724402573076246528</v>
      </c>
      <c r="F8052" s="11" t="s">
        <v>17610</v>
      </c>
      <c r="G8052" s="11">
        <v>416</v>
      </c>
      <c r="H8052" s="11">
        <v>141</v>
      </c>
      <c r="I8052" s="11">
        <v>1</v>
      </c>
      <c r="J8052" s="11">
        <v>0</v>
      </c>
      <c r="K8052" s="11" t="s">
        <v>21</v>
      </c>
      <c r="L8052" s="7">
        <v>42319.100497685184</v>
      </c>
      <c r="M8052" s="12"/>
      <c r="N8052" s="12"/>
      <c r="O8052" s="10" t="str">
        <f>HYPERLINK("https://pbs.twimg.com/profile_images/664191126077751296/NPJyKOS9_normal.png","View")</f>
        <v>View</v>
      </c>
      <c r="P8052" s="11"/>
    </row>
    <row r="8053" spans="1:16" ht="12.75" x14ac:dyDescent="0.35">
      <c r="A8053" s="7">
        <v>42485.271678240737</v>
      </c>
      <c r="B8053" s="8" t="str">
        <f>HYPERLINK("https://twitter.com/autophorie","@autophorie")</f>
        <v>@autophorie</v>
      </c>
      <c r="C8053" s="9" t="s">
        <v>17611</v>
      </c>
      <c r="D8053" s="9" t="s">
        <v>17612</v>
      </c>
      <c r="E8053" s="10" t="str">
        <f>HYPERLINK("https://twitter.com/autophorie/status/724402853780004866","724402853780004866")</f>
        <v>724402853780004866</v>
      </c>
      <c r="F8053" s="10" t="s">
        <v>2076</v>
      </c>
      <c r="G8053" s="11">
        <v>1552</v>
      </c>
      <c r="H8053" s="11">
        <v>421</v>
      </c>
      <c r="I8053" s="11">
        <v>1</v>
      </c>
      <c r="J8053" s="11">
        <v>0</v>
      </c>
      <c r="K8053" s="11" t="s">
        <v>21</v>
      </c>
      <c r="L8053" s="7">
        <v>41030.057337962964</v>
      </c>
      <c r="M8053" s="12" t="s">
        <v>1116</v>
      </c>
      <c r="N8053" s="12" t="s">
        <v>17613</v>
      </c>
      <c r="O8053" s="10" t="str">
        <f>HYPERLINK("https://pbs.twimg.com/profile_images/2269087994/755ehw3lcmgqvtspt5js_normal.jpeg","View")</f>
        <v>View</v>
      </c>
      <c r="P8053" s="11"/>
    </row>
    <row r="8054" spans="1:16" ht="12.75" x14ac:dyDescent="0.35">
      <c r="A8054" s="7">
        <v>42485.271932870368</v>
      </c>
      <c r="B8054" s="8" t="str">
        <f>HYPERLINK("https://twitter.com/VCT_Tweets","@VCT_Tweets")</f>
        <v>@VCT_Tweets</v>
      </c>
      <c r="C8054" s="9" t="s">
        <v>199</v>
      </c>
      <c r="D8054" s="9" t="s">
        <v>17614</v>
      </c>
      <c r="E8054" s="10" t="str">
        <f>HYPERLINK("https://twitter.com/VCT_Tweets/status/724402943064182784","724402943064182784")</f>
        <v>724402943064182784</v>
      </c>
      <c r="F8054" s="11" t="s">
        <v>68</v>
      </c>
      <c r="G8054" s="11">
        <v>892</v>
      </c>
      <c r="H8054" s="11">
        <v>211</v>
      </c>
      <c r="I8054" s="11">
        <v>0</v>
      </c>
      <c r="J8054" s="11">
        <v>0</v>
      </c>
      <c r="K8054" s="11" t="s">
        <v>21</v>
      </c>
      <c r="L8054" s="7">
        <v>40744.914837962962</v>
      </c>
      <c r="M8054" s="12" t="s">
        <v>201</v>
      </c>
      <c r="N8054" s="12" t="s">
        <v>202</v>
      </c>
      <c r="O8054" s="10" t="str">
        <f>HYPERLINK("https://pbs.twimg.com/profile_images/569800899141177344/nVFLMSdb_normal.png","View")</f>
        <v>View</v>
      </c>
      <c r="P8054" s="11"/>
    </row>
    <row r="8055" spans="1:16" ht="12.75" x14ac:dyDescent="0.35">
      <c r="A8055" s="7">
        <v>42485.272060185191</v>
      </c>
      <c r="B8055" s="8" t="str">
        <f t="shared" ref="B8055:B8056" si="829">HYPERLINK("https://twitter.com/VWCamperSales","@VWCamperSales")</f>
        <v>@VWCamperSales</v>
      </c>
      <c r="C8055" s="9" t="s">
        <v>216</v>
      </c>
      <c r="D8055" s="9" t="s">
        <v>17615</v>
      </c>
      <c r="E8055" s="10" t="str">
        <f>HYPERLINK("https://twitter.com/VWCamperSales/status/724402990317084672","724402990317084672")</f>
        <v>724402990317084672</v>
      </c>
      <c r="F8055" s="10" t="s">
        <v>124</v>
      </c>
      <c r="G8055" s="11">
        <v>628</v>
      </c>
      <c r="H8055" s="11">
        <v>579</v>
      </c>
      <c r="I8055" s="11">
        <v>0</v>
      </c>
      <c r="J8055" s="11">
        <v>0</v>
      </c>
      <c r="K8055" s="11" t="s">
        <v>21</v>
      </c>
      <c r="L8055" s="7">
        <v>42215.98809027778</v>
      </c>
      <c r="M8055" s="12" t="s">
        <v>129</v>
      </c>
      <c r="N8055" s="12" t="s">
        <v>218</v>
      </c>
      <c r="O8055" s="10" t="str">
        <f t="shared" ref="O8055:O8056" si="830">HYPERLINK("https://pbs.twimg.com/profile_images/627949001179037696/skEBkS05_normal.jpg","View")</f>
        <v>View</v>
      </c>
      <c r="P8055" s="11"/>
    </row>
    <row r="8056" spans="1:16" ht="12.75" x14ac:dyDescent="0.35">
      <c r="A8056" s="7">
        <v>42485.27207175926</v>
      </c>
      <c r="B8056" s="8" t="str">
        <f t="shared" si="829"/>
        <v>@VWCamperSales</v>
      </c>
      <c r="C8056" s="9" t="s">
        <v>216</v>
      </c>
      <c r="D8056" s="9" t="s">
        <v>17616</v>
      </c>
      <c r="E8056" s="10" t="str">
        <f>HYPERLINK("https://twitter.com/VWCamperSales/status/724402993286643712","724402993286643712")</f>
        <v>724402993286643712</v>
      </c>
      <c r="F8056" s="10" t="s">
        <v>124</v>
      </c>
      <c r="G8056" s="11">
        <v>628</v>
      </c>
      <c r="H8056" s="11">
        <v>579</v>
      </c>
      <c r="I8056" s="11">
        <v>0</v>
      </c>
      <c r="J8056" s="11">
        <v>0</v>
      </c>
      <c r="K8056" s="11" t="s">
        <v>21</v>
      </c>
      <c r="L8056" s="7">
        <v>42215.98809027778</v>
      </c>
      <c r="M8056" s="12" t="s">
        <v>129</v>
      </c>
      <c r="N8056" s="12" t="s">
        <v>218</v>
      </c>
      <c r="O8056" s="10" t="str">
        <f t="shared" si="830"/>
        <v>View</v>
      </c>
      <c r="P8056" s="11"/>
    </row>
    <row r="8057" spans="1:16" ht="12.75" x14ac:dyDescent="0.35">
      <c r="A8057" s="7">
        <v>42485.273958333331</v>
      </c>
      <c r="B8057" s="8" t="str">
        <f>HYPERLINK("https://twitter.com/erikcunningham","@erikcunningham")</f>
        <v>@erikcunningham</v>
      </c>
      <c r="C8057" s="9" t="s">
        <v>17617</v>
      </c>
      <c r="D8057" s="9" t="s">
        <v>17618</v>
      </c>
      <c r="E8057" s="10" t="str">
        <f>HYPERLINK("https://twitter.com/erikcunningham/status/724403678644326400","724403678644326400")</f>
        <v>724403678644326400</v>
      </c>
      <c r="F8057" s="11" t="s">
        <v>114</v>
      </c>
      <c r="G8057" s="11">
        <v>12</v>
      </c>
      <c r="H8057" s="11">
        <v>6</v>
      </c>
      <c r="I8057" s="11">
        <v>0</v>
      </c>
      <c r="J8057" s="11">
        <v>0</v>
      </c>
      <c r="K8057" s="11" t="s">
        <v>21</v>
      </c>
      <c r="L8057" s="7">
        <v>39689.854930555557</v>
      </c>
      <c r="M8057" s="12" t="s">
        <v>691</v>
      </c>
      <c r="N8057" s="12" t="s">
        <v>17619</v>
      </c>
      <c r="O8057" s="10" t="str">
        <f>HYPERLINK("https://pbs.twimg.com/profile_images/592866632957042688/Ic1cU_W7_normal.jpg","View")</f>
        <v>View</v>
      </c>
      <c r="P8057" s="11"/>
    </row>
    <row r="8058" spans="1:16" ht="12.75" x14ac:dyDescent="0.35">
      <c r="A8058" s="7">
        <v>42485.275474537033</v>
      </c>
      <c r="B8058" s="8" t="str">
        <f>HYPERLINK("https://twitter.com/bryancarguy","@bryancarguy")</f>
        <v>@bryancarguy</v>
      </c>
      <c r="C8058" s="9" t="s">
        <v>17620</v>
      </c>
      <c r="D8058" s="9" t="s">
        <v>17621</v>
      </c>
      <c r="E8058" s="10" t="str">
        <f>HYPERLINK("https://twitter.com/bryancarguy/status/724404227947171842","724404227947171842")</f>
        <v>724404227947171842</v>
      </c>
      <c r="F8058" s="11" t="s">
        <v>114</v>
      </c>
      <c r="G8058" s="11">
        <v>6109</v>
      </c>
      <c r="H8058" s="11">
        <v>4658</v>
      </c>
      <c r="I8058" s="11">
        <v>0</v>
      </c>
      <c r="J8058" s="11">
        <v>0</v>
      </c>
      <c r="K8058" s="11" t="s">
        <v>21</v>
      </c>
      <c r="L8058" s="7">
        <v>40649.084131944444</v>
      </c>
      <c r="M8058" s="12" t="s">
        <v>3837</v>
      </c>
      <c r="N8058" s="12" t="s">
        <v>17622</v>
      </c>
      <c r="O8058" s="10" t="str">
        <f>HYPERLINK("https://pbs.twimg.com/profile_images/1843235822/Bryan_Armstrong_normal.jpg","View")</f>
        <v>View</v>
      </c>
      <c r="P8058" s="11"/>
    </row>
    <row r="8059" spans="1:16" ht="12.75" x14ac:dyDescent="0.35">
      <c r="A8059" s="7">
        <v>42485.27753472222</v>
      </c>
      <c r="B8059" s="8" t="str">
        <f>HYPERLINK("https://twitter.com/smartaura","@smartaura")</f>
        <v>@smartaura</v>
      </c>
      <c r="C8059" s="9" t="s">
        <v>17623</v>
      </c>
      <c r="D8059" s="9" t="s">
        <v>17624</v>
      </c>
      <c r="E8059" s="10" t="str">
        <f>HYPERLINK("https://twitter.com/smartaura/status/724404975216947200","724404975216947200")</f>
        <v>724404975216947200</v>
      </c>
      <c r="F8059" s="11" t="s">
        <v>43</v>
      </c>
      <c r="G8059" s="11">
        <v>2766</v>
      </c>
      <c r="H8059" s="11">
        <v>2466</v>
      </c>
      <c r="I8059" s="11">
        <v>0</v>
      </c>
      <c r="J8059" s="11">
        <v>0</v>
      </c>
      <c r="K8059" s="11" t="s">
        <v>21</v>
      </c>
      <c r="L8059" s="7">
        <v>42367.664317129631</v>
      </c>
      <c r="M8059" s="12" t="s">
        <v>1827</v>
      </c>
      <c r="N8059" s="12" t="s">
        <v>17625</v>
      </c>
      <c r="O8059" s="10" t="str">
        <f>HYPERLINK("https://pbs.twimg.com/profile_images/681928593199386624/U3Oel9bD_normal.jpg","View")</f>
        <v>View</v>
      </c>
      <c r="P8059" s="11"/>
    </row>
    <row r="8060" spans="1:16" ht="12.75" x14ac:dyDescent="0.35">
      <c r="A8060" s="7">
        <v>42485.278391203705</v>
      </c>
      <c r="B8060" s="8" t="str">
        <f>HYPERLINK("https://twitter.com/CollectHW","@CollectHW")</f>
        <v>@CollectHW</v>
      </c>
      <c r="C8060" s="9" t="s">
        <v>512</v>
      </c>
      <c r="D8060" s="9" t="s">
        <v>17626</v>
      </c>
      <c r="E8060" s="10" t="str">
        <f>HYPERLINK("https://twitter.com/CollectHW/status/724405284316299264","724405284316299264")</f>
        <v>724405284316299264</v>
      </c>
      <c r="F8060" s="11" t="s">
        <v>114</v>
      </c>
      <c r="G8060" s="11">
        <v>307</v>
      </c>
      <c r="H8060" s="11">
        <v>165</v>
      </c>
      <c r="I8060" s="11">
        <v>0</v>
      </c>
      <c r="J8060" s="11">
        <v>0</v>
      </c>
      <c r="K8060" s="11" t="s">
        <v>21</v>
      </c>
      <c r="L8060" s="7">
        <v>41141.872129629628</v>
      </c>
      <c r="M8060" s="12" t="s">
        <v>355</v>
      </c>
      <c r="N8060" s="12" t="s">
        <v>514</v>
      </c>
      <c r="O8060" s="10" t="str">
        <f>HYPERLINK("https://pbs.twimg.com/profile_images/522469771573350400/e5WjUwRr_normal.png","View")</f>
        <v>View</v>
      </c>
      <c r="P8060" s="11"/>
    </row>
    <row r="8061" spans="1:16" ht="12.75" x14ac:dyDescent="0.35">
      <c r="A8061" s="7">
        <v>42485.279803240745</v>
      </c>
      <c r="B8061" s="8" t="str">
        <f>HYPERLINK("https://twitter.com/lawrencemodern","@lawrencemodern")</f>
        <v>@lawrencemodern</v>
      </c>
      <c r="C8061" s="9" t="s">
        <v>17627</v>
      </c>
      <c r="D8061" s="9" t="s">
        <v>17628</v>
      </c>
      <c r="E8061" s="10" t="str">
        <f>HYPERLINK("https://twitter.com/lawrencemodern/status/724405796138835969","724405796138835969")</f>
        <v>724405796138835969</v>
      </c>
      <c r="F8061" s="11" t="s">
        <v>20</v>
      </c>
      <c r="G8061" s="11">
        <v>1525</v>
      </c>
      <c r="H8061" s="11">
        <v>2090</v>
      </c>
      <c r="I8061" s="11">
        <v>0</v>
      </c>
      <c r="J8061" s="11">
        <v>0</v>
      </c>
      <c r="K8061" s="11" t="s">
        <v>21</v>
      </c>
      <c r="L8061" s="7">
        <v>40705.191493055558</v>
      </c>
      <c r="M8061" s="12" t="s">
        <v>17629</v>
      </c>
      <c r="N8061" s="12" t="s">
        <v>17630</v>
      </c>
      <c r="O8061" s="10" t="str">
        <f>HYPERLINK("https://pbs.twimg.com/profile_images/1414928122/21stal3_normal.jpg","View")</f>
        <v>View</v>
      </c>
      <c r="P8061" s="11"/>
    </row>
    <row r="8062" spans="1:16" ht="12.75" x14ac:dyDescent="0.35">
      <c r="A8062" s="7">
        <v>42485.280335648145</v>
      </c>
      <c r="B8062" s="8" t="str">
        <f>HYPERLINK("https://twitter.com/fabian_messner","@fabian_messner")</f>
        <v>@fabian_messner</v>
      </c>
      <c r="C8062" s="9" t="s">
        <v>17631</v>
      </c>
      <c r="D8062" s="9" t="s">
        <v>17632</v>
      </c>
      <c r="E8062" s="10" t="str">
        <f>HYPERLINK("https://twitter.com/fabian_messner/status/724405988988735490","724405988988735490")</f>
        <v>724405988988735490</v>
      </c>
      <c r="F8062" s="11" t="s">
        <v>20</v>
      </c>
      <c r="G8062" s="11">
        <v>1011</v>
      </c>
      <c r="H8062" s="11">
        <v>725</v>
      </c>
      <c r="I8062" s="11">
        <v>1</v>
      </c>
      <c r="J8062" s="11">
        <v>0</v>
      </c>
      <c r="K8062" s="11" t="s">
        <v>21</v>
      </c>
      <c r="L8062" s="7">
        <v>39880.894537037035</v>
      </c>
      <c r="M8062" s="12" t="s">
        <v>17633</v>
      </c>
      <c r="N8062" s="12" t="s">
        <v>17634</v>
      </c>
      <c r="O8062" s="10" t="str">
        <f>HYPERLINK("https://pbs.twimg.com/profile_images/628549846924984320/o4kQgFPg_normal.jpg","View")</f>
        <v>View</v>
      </c>
      <c r="P8062" s="11"/>
    </row>
    <row r="8063" spans="1:16" ht="12.75" x14ac:dyDescent="0.35">
      <c r="A8063" s="7">
        <v>42485.281296296293</v>
      </c>
      <c r="B8063" s="8" t="str">
        <f>HYPERLINK("https://twitter.com/VAGFanArg","@VAGFanArg")</f>
        <v>@VAGFanArg</v>
      </c>
      <c r="C8063" s="9" t="s">
        <v>433</v>
      </c>
      <c r="D8063" s="9" t="s">
        <v>17635</v>
      </c>
      <c r="E8063" s="10" t="str">
        <f>HYPERLINK("https://twitter.com/VAGFanArg/status/724406339238264832","724406339238264832")</f>
        <v>724406339238264832</v>
      </c>
      <c r="F8063" s="11" t="s">
        <v>43</v>
      </c>
      <c r="G8063" s="11">
        <v>23</v>
      </c>
      <c r="H8063" s="11">
        <v>5</v>
      </c>
      <c r="I8063" s="11">
        <v>0</v>
      </c>
      <c r="J8063" s="11">
        <v>0</v>
      </c>
      <c r="K8063" s="11" t="s">
        <v>21</v>
      </c>
      <c r="L8063" s="7">
        <v>42329.2815162037</v>
      </c>
      <c r="M8063" s="12"/>
      <c r="N8063" s="12"/>
      <c r="O8063" s="10" t="str">
        <f>HYPERLINK("https://pbs.twimg.com/profile_images/667876096088653825/FOW14Ke4_normal.jpg","View")</f>
        <v>View</v>
      </c>
      <c r="P8063" s="11"/>
    </row>
    <row r="8064" spans="1:16" ht="12.75" x14ac:dyDescent="0.35">
      <c r="A8064" s="7">
        <v>42485.28162037037</v>
      </c>
      <c r="B8064" s="8" t="str">
        <f>HYPERLINK("https://twitter.com/TommyWolff","@TommyWolff")</f>
        <v>@TommyWolff</v>
      </c>
      <c r="C8064" s="9" t="s">
        <v>16296</v>
      </c>
      <c r="D8064" s="9" t="s">
        <v>17636</v>
      </c>
      <c r="E8064" s="10" t="str">
        <f>HYPERLINK("https://twitter.com/TommyWolff/status/724406456859009024","724406456859009024")</f>
        <v>724406456859009024</v>
      </c>
      <c r="F8064" s="11" t="s">
        <v>114</v>
      </c>
      <c r="G8064" s="11">
        <v>232</v>
      </c>
      <c r="H8064" s="11">
        <v>1169</v>
      </c>
      <c r="I8064" s="11">
        <v>0</v>
      </c>
      <c r="J8064" s="11">
        <v>0</v>
      </c>
      <c r="K8064" s="11" t="s">
        <v>21</v>
      </c>
      <c r="L8064" s="7">
        <v>40059.168958333335</v>
      </c>
      <c r="M8064" s="12" t="s">
        <v>16298</v>
      </c>
      <c r="N8064" s="12" t="s">
        <v>16299</v>
      </c>
      <c r="O8064" s="10" t="str">
        <f>HYPERLINK("https://pbs.twimg.com/profile_images/714624729546637312/sXuLHNCU_normal.jpg","View")</f>
        <v>View</v>
      </c>
      <c r="P8064" s="10" t="str">
        <f>HYPERLINK("http://ctrlq.org/maps/address/#32.87588,-80.00199","Map")</f>
        <v>Map</v>
      </c>
    </row>
    <row r="8065" spans="1:16" ht="12.75" x14ac:dyDescent="0.35">
      <c r="A8065" s="7">
        <v>42485.282268518524</v>
      </c>
      <c r="B8065" s="8" t="str">
        <f t="shared" ref="B8065:B8066" si="831">HYPERLINK("https://twitter.com/VAGFanArg","@VAGFanArg")</f>
        <v>@VAGFanArg</v>
      </c>
      <c r="C8065" s="9" t="s">
        <v>433</v>
      </c>
      <c r="D8065" s="9" t="s">
        <v>17637</v>
      </c>
      <c r="E8065" s="10" t="str">
        <f>HYPERLINK("https://twitter.com/VAGFanArg/status/724406692239282176","724406692239282176")</f>
        <v>724406692239282176</v>
      </c>
      <c r="F8065" s="11" t="s">
        <v>43</v>
      </c>
      <c r="G8065" s="11">
        <v>23</v>
      </c>
      <c r="H8065" s="11">
        <v>5</v>
      </c>
      <c r="I8065" s="11">
        <v>0</v>
      </c>
      <c r="J8065" s="11">
        <v>0</v>
      </c>
      <c r="K8065" s="11" t="s">
        <v>21</v>
      </c>
      <c r="L8065" s="7">
        <v>42329.2815162037</v>
      </c>
      <c r="M8065" s="12"/>
      <c r="N8065" s="12"/>
      <c r="O8065" s="10" t="str">
        <f t="shared" ref="O8065:O8066" si="832">HYPERLINK("https://pbs.twimg.com/profile_images/667876096088653825/FOW14Ke4_normal.jpg","View")</f>
        <v>View</v>
      </c>
      <c r="P8065" s="11"/>
    </row>
    <row r="8066" spans="1:16" ht="12.75" x14ac:dyDescent="0.35">
      <c r="A8066" s="7">
        <v>42485.283599537041</v>
      </c>
      <c r="B8066" s="8" t="str">
        <f t="shared" si="831"/>
        <v>@VAGFanArg</v>
      </c>
      <c r="C8066" s="9" t="s">
        <v>433</v>
      </c>
      <c r="D8066" s="9" t="s">
        <v>17638</v>
      </c>
      <c r="E8066" s="10" t="str">
        <f>HYPERLINK("https://twitter.com/VAGFanArg/status/724407174059950080","724407174059950080")</f>
        <v>724407174059950080</v>
      </c>
      <c r="F8066" s="11" t="s">
        <v>43</v>
      </c>
      <c r="G8066" s="11">
        <v>23</v>
      </c>
      <c r="H8066" s="11">
        <v>5</v>
      </c>
      <c r="I8066" s="11">
        <v>0</v>
      </c>
      <c r="J8066" s="11">
        <v>0</v>
      </c>
      <c r="K8066" s="11" t="s">
        <v>21</v>
      </c>
      <c r="L8066" s="7">
        <v>42329.2815162037</v>
      </c>
      <c r="M8066" s="12"/>
      <c r="N8066" s="12"/>
      <c r="O8066" s="10" t="str">
        <f t="shared" si="832"/>
        <v>View</v>
      </c>
      <c r="P8066" s="11"/>
    </row>
    <row r="8067" spans="1:16" ht="12.75" x14ac:dyDescent="0.35">
      <c r="A8067" s="7">
        <v>42485.284571759257</v>
      </c>
      <c r="B8067" s="8" t="str">
        <f>HYPERLINK("https://twitter.com/ajtdesign","@ajtdesign")</f>
        <v>@ajtdesign</v>
      </c>
      <c r="C8067" s="9" t="s">
        <v>17639</v>
      </c>
      <c r="D8067" s="9" t="s">
        <v>17640</v>
      </c>
      <c r="E8067" s="10" t="str">
        <f>HYPERLINK("https://twitter.com/ajtdesign/status/724407524510691329","724407524510691329")</f>
        <v>724407524510691329</v>
      </c>
      <c r="F8067" s="11" t="s">
        <v>114</v>
      </c>
      <c r="G8067" s="11">
        <v>131</v>
      </c>
      <c r="H8067" s="11">
        <v>175</v>
      </c>
      <c r="I8067" s="11">
        <v>0</v>
      </c>
      <c r="J8067" s="11">
        <v>0</v>
      </c>
      <c r="K8067" s="11" t="s">
        <v>21</v>
      </c>
      <c r="L8067" s="7">
        <v>39875.417685185181</v>
      </c>
      <c r="M8067" s="12" t="s">
        <v>5611</v>
      </c>
      <c r="N8067" s="12" t="s">
        <v>17641</v>
      </c>
      <c r="O8067" s="10" t="str">
        <f>HYPERLINK("https://pbs.twimg.com/profile_images/652670623580323841/Q1F5n9jI_normal.jpg","View")</f>
        <v>View</v>
      </c>
      <c r="P8067" s="11"/>
    </row>
    <row r="8068" spans="1:16" ht="12.75" x14ac:dyDescent="0.35">
      <c r="A8068" s="7">
        <v>42485.284594907411</v>
      </c>
      <c r="B8068" s="8" t="str">
        <f>HYPERLINK("https://twitter.com/VAGFanArg","@VAGFanArg")</f>
        <v>@VAGFanArg</v>
      </c>
      <c r="C8068" s="9" t="s">
        <v>433</v>
      </c>
      <c r="D8068" s="9" t="s">
        <v>17642</v>
      </c>
      <c r="E8068" s="10" t="str">
        <f>HYPERLINK("https://twitter.com/VAGFanArg/status/724407532584861696","724407532584861696")</f>
        <v>724407532584861696</v>
      </c>
      <c r="F8068" s="11" t="s">
        <v>43</v>
      </c>
      <c r="G8068" s="11">
        <v>23</v>
      </c>
      <c r="H8068" s="11">
        <v>5</v>
      </c>
      <c r="I8068" s="11">
        <v>0</v>
      </c>
      <c r="J8068" s="11">
        <v>0</v>
      </c>
      <c r="K8068" s="11" t="s">
        <v>21</v>
      </c>
      <c r="L8068" s="7">
        <v>42329.2815162037</v>
      </c>
      <c r="M8068" s="12"/>
      <c r="N8068" s="12"/>
      <c r="O8068" s="10" t="str">
        <f>HYPERLINK("https://pbs.twimg.com/profile_images/667876096088653825/FOW14Ke4_normal.jpg","View")</f>
        <v>View</v>
      </c>
      <c r="P8068" s="11"/>
    </row>
    <row r="8069" spans="1:16" ht="12.75" x14ac:dyDescent="0.35">
      <c r="A8069" s="7">
        <v>42485.28502314815</v>
      </c>
      <c r="B8069" s="8" t="str">
        <f>HYPERLINK("https://twitter.com/OhKeviinG","@OhKeviinG")</f>
        <v>@OhKeviinG</v>
      </c>
      <c r="C8069" s="9" t="s">
        <v>17643</v>
      </c>
      <c r="D8069" s="9" t="s">
        <v>17644</v>
      </c>
      <c r="E8069" s="10" t="str">
        <f>HYPERLINK("https://twitter.com/OhKeviinG/status/724407688025792513","724407688025792513")</f>
        <v>724407688025792513</v>
      </c>
      <c r="F8069" s="11" t="s">
        <v>114</v>
      </c>
      <c r="G8069" s="11">
        <v>325</v>
      </c>
      <c r="H8069" s="11">
        <v>316</v>
      </c>
      <c r="I8069" s="11">
        <v>0</v>
      </c>
      <c r="J8069" s="11">
        <v>0</v>
      </c>
      <c r="K8069" s="11" t="s">
        <v>21</v>
      </c>
      <c r="L8069" s="7">
        <v>40597.304606481484</v>
      </c>
      <c r="M8069" s="12" t="s">
        <v>17645</v>
      </c>
      <c r="N8069" s="12" t="s">
        <v>17646</v>
      </c>
      <c r="O8069" s="10" t="str">
        <f>HYPERLINK("https://pbs.twimg.com/profile_images/555636866926399488/a_mPemOU_normal.jpeg","View")</f>
        <v>View</v>
      </c>
      <c r="P8069" s="11"/>
    </row>
    <row r="8070" spans="1:16" ht="12.75" x14ac:dyDescent="0.35">
      <c r="A8070" s="7">
        <v>42485.285636574074</v>
      </c>
      <c r="B8070" s="8" t="str">
        <f>HYPERLINK("https://twitter.com/VAGFanArg","@VAGFanArg")</f>
        <v>@VAGFanArg</v>
      </c>
      <c r="C8070" s="9" t="s">
        <v>433</v>
      </c>
      <c r="D8070" s="9" t="s">
        <v>17647</v>
      </c>
      <c r="E8070" s="10" t="str">
        <f>HYPERLINK("https://twitter.com/VAGFanArg/status/724407913096318977","724407913096318977")</f>
        <v>724407913096318977</v>
      </c>
      <c r="F8070" s="11" t="s">
        <v>43</v>
      </c>
      <c r="G8070" s="11">
        <v>23</v>
      </c>
      <c r="H8070" s="11">
        <v>5</v>
      </c>
      <c r="I8070" s="11">
        <v>0</v>
      </c>
      <c r="J8070" s="11">
        <v>0</v>
      </c>
      <c r="K8070" s="11" t="s">
        <v>21</v>
      </c>
      <c r="L8070" s="7">
        <v>42329.2815162037</v>
      </c>
      <c r="M8070" s="12"/>
      <c r="N8070" s="12"/>
      <c r="O8070" s="10" t="str">
        <f>HYPERLINK("https://pbs.twimg.com/profile_images/667876096088653825/FOW14Ke4_normal.jpg","View")</f>
        <v>View</v>
      </c>
      <c r="P8070" s="11"/>
    </row>
    <row r="8071" spans="1:16" ht="12.75" x14ac:dyDescent="0.35">
      <c r="A8071" s="7">
        <v>42485.286516203705</v>
      </c>
      <c r="B8071" s="8" t="str">
        <f>HYPERLINK("https://twitter.com/iamsalimali","@iamsalimali")</f>
        <v>@iamsalimali</v>
      </c>
      <c r="C8071" s="9" t="s">
        <v>10433</v>
      </c>
      <c r="D8071" s="9" t="s">
        <v>17648</v>
      </c>
      <c r="E8071" s="10" t="str">
        <f>HYPERLINK("https://twitter.com/iamsalimali/status/724408230856822785","724408230856822785")</f>
        <v>724408230856822785</v>
      </c>
      <c r="F8071" s="11" t="s">
        <v>68</v>
      </c>
      <c r="G8071" s="11">
        <v>2044</v>
      </c>
      <c r="H8071" s="11">
        <v>718</v>
      </c>
      <c r="I8071" s="11">
        <v>0</v>
      </c>
      <c r="J8071" s="11">
        <v>0</v>
      </c>
      <c r="K8071" s="11" t="s">
        <v>21</v>
      </c>
      <c r="L8071" s="7">
        <v>42146.904641203699</v>
      </c>
      <c r="M8071" s="12" t="s">
        <v>10435</v>
      </c>
      <c r="N8071" s="12" t="s">
        <v>10436</v>
      </c>
      <c r="O8071" s="10" t="str">
        <f>HYPERLINK("https://pbs.twimg.com/profile_images/649956232673947649/sXDhUyad_normal.jpg","View")</f>
        <v>View</v>
      </c>
      <c r="P8071" s="11"/>
    </row>
    <row r="8072" spans="1:16" ht="12.75" x14ac:dyDescent="0.35">
      <c r="A8072" s="7">
        <v>42485.286817129629</v>
      </c>
      <c r="B8072" s="8" t="str">
        <f t="shared" ref="B8072:B8073" si="833">HYPERLINK("https://twitter.com/SuranClub","@SuranClub")</f>
        <v>@SuranClub</v>
      </c>
      <c r="C8072" s="9" t="s">
        <v>864</v>
      </c>
      <c r="D8072" s="9" t="s">
        <v>17649</v>
      </c>
      <c r="E8072" s="10" t="str">
        <f>HYPERLINK("https://twitter.com/SuranClub/status/724408338264535040","724408338264535040")</f>
        <v>724408338264535040</v>
      </c>
      <c r="F8072" s="11" t="s">
        <v>114</v>
      </c>
      <c r="G8072" s="11">
        <v>479</v>
      </c>
      <c r="H8072" s="11">
        <v>571</v>
      </c>
      <c r="I8072" s="11">
        <v>0</v>
      </c>
      <c r="J8072" s="11">
        <v>0</v>
      </c>
      <c r="K8072" s="11" t="s">
        <v>21</v>
      </c>
      <c r="L8072" s="7">
        <v>42004.845520833333</v>
      </c>
      <c r="M8072" s="12" t="s">
        <v>866</v>
      </c>
      <c r="N8072" s="12" t="s">
        <v>867</v>
      </c>
      <c r="O8072" s="10" t="str">
        <f t="shared" ref="O8072:O8073" si="834">HYPERLINK("https://pbs.twimg.com/profile_images/634021831364747264/5vPrL2JH_normal.jpg","View")</f>
        <v>View</v>
      </c>
      <c r="P8072" s="11"/>
    </row>
    <row r="8073" spans="1:16" ht="12.75" x14ac:dyDescent="0.35">
      <c r="A8073" s="7">
        <v>42485.286840277782</v>
      </c>
      <c r="B8073" s="8" t="str">
        <f t="shared" si="833"/>
        <v>@SuranClub</v>
      </c>
      <c r="C8073" s="9" t="s">
        <v>864</v>
      </c>
      <c r="D8073" s="9" t="s">
        <v>17650</v>
      </c>
      <c r="E8073" s="10" t="str">
        <f>HYPERLINK("https://twitter.com/SuranClub/status/724408349039669248","724408349039669248")</f>
        <v>724408349039669248</v>
      </c>
      <c r="F8073" s="11" t="s">
        <v>68</v>
      </c>
      <c r="G8073" s="11">
        <v>479</v>
      </c>
      <c r="H8073" s="11">
        <v>571</v>
      </c>
      <c r="I8073" s="11">
        <v>0</v>
      </c>
      <c r="J8073" s="11">
        <v>0</v>
      </c>
      <c r="K8073" s="11" t="s">
        <v>21</v>
      </c>
      <c r="L8073" s="7">
        <v>42004.845520833333</v>
      </c>
      <c r="M8073" s="12" t="s">
        <v>866</v>
      </c>
      <c r="N8073" s="12" t="s">
        <v>867</v>
      </c>
      <c r="O8073" s="10" t="str">
        <f t="shared" si="834"/>
        <v>View</v>
      </c>
      <c r="P8073" s="11"/>
    </row>
    <row r="8074" spans="1:16" ht="12.75" x14ac:dyDescent="0.35">
      <c r="A8074" s="7">
        <v>42485.286932870367</v>
      </c>
      <c r="B8074" s="8" t="str">
        <f>HYPERLINK("https://twitter.com/FastRevolver","@FastRevolver")</f>
        <v>@FastRevolver</v>
      </c>
      <c r="C8074" s="9" t="s">
        <v>17651</v>
      </c>
      <c r="D8074" s="9" t="s">
        <v>5464</v>
      </c>
      <c r="E8074" s="10" t="str">
        <f>HYPERLINK("https://twitter.com/FastRevolver/status/724408382636077056","724408382636077056")</f>
        <v>724408382636077056</v>
      </c>
      <c r="F8074" s="11" t="s">
        <v>48</v>
      </c>
      <c r="G8074" s="11">
        <v>4095</v>
      </c>
      <c r="H8074" s="11">
        <v>4371</v>
      </c>
      <c r="I8074" s="11">
        <v>78</v>
      </c>
      <c r="J8074" s="11">
        <v>0</v>
      </c>
      <c r="K8074" s="11" t="s">
        <v>21</v>
      </c>
      <c r="L8074" s="7">
        <v>40918.199189814812</v>
      </c>
      <c r="M8074" s="12" t="s">
        <v>17652</v>
      </c>
      <c r="N8074" s="12" t="s">
        <v>17653</v>
      </c>
      <c r="O8074" s="10" t="str">
        <f>HYPERLINK("https://pbs.twimg.com/profile_images/3130536670/fa4363a3244fc89e7853dd376e364528_normal.jpeg","View")</f>
        <v>View</v>
      </c>
      <c r="P8074" s="11"/>
    </row>
    <row r="8075" spans="1:16" ht="12.75" x14ac:dyDescent="0.35">
      <c r="A8075" s="7">
        <v>42485.287418981483</v>
      </c>
      <c r="B8075" s="8" t="str">
        <f t="shared" ref="B8075:B8078" si="835">HYPERLINK("https://twitter.com/SuranClub","@SuranClub")</f>
        <v>@SuranClub</v>
      </c>
      <c r="C8075" s="9" t="s">
        <v>864</v>
      </c>
      <c r="D8075" s="9" t="s">
        <v>17654</v>
      </c>
      <c r="E8075" s="10" t="str">
        <f>HYPERLINK("https://twitter.com/SuranClub/status/724408558947819521","724408558947819521")</f>
        <v>724408558947819521</v>
      </c>
      <c r="F8075" s="11" t="s">
        <v>114</v>
      </c>
      <c r="G8075" s="11">
        <v>479</v>
      </c>
      <c r="H8075" s="11">
        <v>571</v>
      </c>
      <c r="I8075" s="11">
        <v>0</v>
      </c>
      <c r="J8075" s="11">
        <v>0</v>
      </c>
      <c r="K8075" s="11" t="s">
        <v>21</v>
      </c>
      <c r="L8075" s="7">
        <v>42004.845520833333</v>
      </c>
      <c r="M8075" s="12" t="s">
        <v>866</v>
      </c>
      <c r="N8075" s="12" t="s">
        <v>867</v>
      </c>
      <c r="O8075" s="10" t="str">
        <f t="shared" ref="O8075:O8078" si="836">HYPERLINK("https://pbs.twimg.com/profile_images/634021831364747264/5vPrL2JH_normal.jpg","View")</f>
        <v>View</v>
      </c>
      <c r="P8075" s="11"/>
    </row>
    <row r="8076" spans="1:16" ht="12.75" x14ac:dyDescent="0.35">
      <c r="A8076" s="7">
        <v>42485.287453703699</v>
      </c>
      <c r="B8076" s="8" t="str">
        <f t="shared" si="835"/>
        <v>@SuranClub</v>
      </c>
      <c r="C8076" s="9" t="s">
        <v>864</v>
      </c>
      <c r="D8076" s="9" t="s">
        <v>17655</v>
      </c>
      <c r="E8076" s="10" t="str">
        <f>HYPERLINK("https://twitter.com/SuranClub/status/724408570251497473","724408570251497473")</f>
        <v>724408570251497473</v>
      </c>
      <c r="F8076" s="11" t="s">
        <v>68</v>
      </c>
      <c r="G8076" s="11">
        <v>479</v>
      </c>
      <c r="H8076" s="11">
        <v>571</v>
      </c>
      <c r="I8076" s="11">
        <v>0</v>
      </c>
      <c r="J8076" s="11">
        <v>0</v>
      </c>
      <c r="K8076" s="11" t="s">
        <v>21</v>
      </c>
      <c r="L8076" s="7">
        <v>42004.845520833333</v>
      </c>
      <c r="M8076" s="12" t="s">
        <v>866</v>
      </c>
      <c r="N8076" s="12" t="s">
        <v>867</v>
      </c>
      <c r="O8076" s="10" t="str">
        <f t="shared" si="836"/>
        <v>View</v>
      </c>
      <c r="P8076" s="11"/>
    </row>
    <row r="8077" spans="1:16" ht="12.75" x14ac:dyDescent="0.35">
      <c r="A8077" s="7">
        <v>42485.288148148145</v>
      </c>
      <c r="B8077" s="8" t="str">
        <f t="shared" si="835"/>
        <v>@SuranClub</v>
      </c>
      <c r="C8077" s="9" t="s">
        <v>864</v>
      </c>
      <c r="D8077" s="9" t="s">
        <v>17656</v>
      </c>
      <c r="E8077" s="10" t="str">
        <f>HYPERLINK("https://twitter.com/SuranClub/status/724408823029616640","724408823029616640")</f>
        <v>724408823029616640</v>
      </c>
      <c r="F8077" s="11" t="s">
        <v>114</v>
      </c>
      <c r="G8077" s="11">
        <v>479</v>
      </c>
      <c r="H8077" s="11">
        <v>571</v>
      </c>
      <c r="I8077" s="11">
        <v>0</v>
      </c>
      <c r="J8077" s="11">
        <v>0</v>
      </c>
      <c r="K8077" s="11" t="s">
        <v>21</v>
      </c>
      <c r="L8077" s="7">
        <v>42004.845520833333</v>
      </c>
      <c r="M8077" s="12" t="s">
        <v>866</v>
      </c>
      <c r="N8077" s="12" t="s">
        <v>867</v>
      </c>
      <c r="O8077" s="10" t="str">
        <f t="shared" si="836"/>
        <v>View</v>
      </c>
      <c r="P8077" s="11"/>
    </row>
    <row r="8078" spans="1:16" ht="12.75" x14ac:dyDescent="0.35">
      <c r="A8078" s="7">
        <v>42485.288171296299</v>
      </c>
      <c r="B8078" s="8" t="str">
        <f t="shared" si="835"/>
        <v>@SuranClub</v>
      </c>
      <c r="C8078" s="9" t="s">
        <v>864</v>
      </c>
      <c r="D8078" s="9" t="s">
        <v>17657</v>
      </c>
      <c r="E8078" s="10" t="str">
        <f>HYPERLINK("https://twitter.com/SuranClub/status/724408831132983296","724408831132983296")</f>
        <v>724408831132983296</v>
      </c>
      <c r="F8078" s="11" t="s">
        <v>68</v>
      </c>
      <c r="G8078" s="11">
        <v>479</v>
      </c>
      <c r="H8078" s="11">
        <v>571</v>
      </c>
      <c r="I8078" s="11">
        <v>0</v>
      </c>
      <c r="J8078" s="11">
        <v>1</v>
      </c>
      <c r="K8078" s="11" t="s">
        <v>21</v>
      </c>
      <c r="L8078" s="7">
        <v>42004.845520833333</v>
      </c>
      <c r="M8078" s="12" t="s">
        <v>866</v>
      </c>
      <c r="N8078" s="12" t="s">
        <v>867</v>
      </c>
      <c r="O8078" s="10" t="str">
        <f t="shared" si="836"/>
        <v>View</v>
      </c>
      <c r="P8078" s="11"/>
    </row>
    <row r="8079" spans="1:16" ht="12.75" x14ac:dyDescent="0.35">
      <c r="A8079" s="7">
        <v>42485.288912037038</v>
      </c>
      <c r="B8079" s="8" t="str">
        <f>HYPERLINK("https://twitter.com/wagonation616","@wagonation616")</f>
        <v>@wagonation616</v>
      </c>
      <c r="C8079" s="9" t="s">
        <v>17658</v>
      </c>
      <c r="D8079" s="9" t="s">
        <v>17659</v>
      </c>
      <c r="E8079" s="10" t="str">
        <f>HYPERLINK("https://twitter.com/wagonation616/status/724409099677499393","724409099677499393")</f>
        <v>724409099677499393</v>
      </c>
      <c r="F8079" s="11" t="s">
        <v>114</v>
      </c>
      <c r="G8079" s="11">
        <v>163</v>
      </c>
      <c r="H8079" s="11">
        <v>82</v>
      </c>
      <c r="I8079" s="11">
        <v>0</v>
      </c>
      <c r="J8079" s="11">
        <v>0</v>
      </c>
      <c r="K8079" s="11" t="s">
        <v>21</v>
      </c>
      <c r="L8079" s="7">
        <v>41675.336180555554</v>
      </c>
      <c r="M8079" s="12" t="s">
        <v>17660</v>
      </c>
      <c r="N8079" s="12" t="s">
        <v>17661</v>
      </c>
      <c r="O8079" s="10" t="str">
        <f>HYPERLINK("https://pbs.twimg.com/profile_images/477500940014989312/nriL3nwv_normal.png","View")</f>
        <v>View</v>
      </c>
      <c r="P8079" s="11"/>
    </row>
    <row r="8080" spans="1:16" ht="12.75" x14ac:dyDescent="0.35">
      <c r="A8080" s="7">
        <v>42485.288993055554</v>
      </c>
      <c r="B8080" s="8" t="str">
        <f t="shared" ref="B8080:B8081" si="837">HYPERLINK("https://twitter.com/SuranClub","@SuranClub")</f>
        <v>@SuranClub</v>
      </c>
      <c r="C8080" s="9" t="s">
        <v>864</v>
      </c>
      <c r="D8080" s="9" t="s">
        <v>17662</v>
      </c>
      <c r="E8080" s="10" t="str">
        <f>HYPERLINK("https://twitter.com/SuranClub/status/724409128655958017","724409128655958017")</f>
        <v>724409128655958017</v>
      </c>
      <c r="F8080" s="11" t="s">
        <v>114</v>
      </c>
      <c r="G8080" s="11">
        <v>479</v>
      </c>
      <c r="H8080" s="11">
        <v>571</v>
      </c>
      <c r="I8080" s="11">
        <v>0</v>
      </c>
      <c r="J8080" s="11">
        <v>0</v>
      </c>
      <c r="K8080" s="11" t="s">
        <v>21</v>
      </c>
      <c r="L8080" s="7">
        <v>42004.845520833333</v>
      </c>
      <c r="M8080" s="12" t="s">
        <v>866</v>
      </c>
      <c r="N8080" s="12" t="s">
        <v>867</v>
      </c>
      <c r="O8080" s="10" t="str">
        <f t="shared" ref="O8080:O8081" si="838">HYPERLINK("https://pbs.twimg.com/profile_images/634021831364747264/5vPrL2JH_normal.jpg","View")</f>
        <v>View</v>
      </c>
      <c r="P8080" s="11"/>
    </row>
    <row r="8081" spans="1:16" ht="12.75" x14ac:dyDescent="0.35">
      <c r="A8081" s="7">
        <v>42485.289039351846</v>
      </c>
      <c r="B8081" s="8" t="str">
        <f t="shared" si="837"/>
        <v>@SuranClub</v>
      </c>
      <c r="C8081" s="9" t="s">
        <v>864</v>
      </c>
      <c r="D8081" s="9" t="s">
        <v>17663</v>
      </c>
      <c r="E8081" s="10" t="str">
        <f>HYPERLINK("https://twitter.com/SuranClub/status/724409142664933376","724409142664933376")</f>
        <v>724409142664933376</v>
      </c>
      <c r="F8081" s="11" t="s">
        <v>68</v>
      </c>
      <c r="G8081" s="11">
        <v>479</v>
      </c>
      <c r="H8081" s="11">
        <v>571</v>
      </c>
      <c r="I8081" s="11">
        <v>0</v>
      </c>
      <c r="J8081" s="11">
        <v>0</v>
      </c>
      <c r="K8081" s="11" t="s">
        <v>21</v>
      </c>
      <c r="L8081" s="7">
        <v>42004.845520833333</v>
      </c>
      <c r="M8081" s="12" t="s">
        <v>866</v>
      </c>
      <c r="N8081" s="12" t="s">
        <v>867</v>
      </c>
      <c r="O8081" s="10" t="str">
        <f t="shared" si="838"/>
        <v>View</v>
      </c>
      <c r="P8081" s="11"/>
    </row>
    <row r="8082" spans="1:16" ht="12.75" x14ac:dyDescent="0.35">
      <c r="A8082" s="7">
        <v>42485.28979166667</v>
      </c>
      <c r="B8082" s="8" t="str">
        <f t="shared" ref="B8082:B8083" si="839">HYPERLINK("https://twitter.com/bertinosr","@bertinosr")</f>
        <v>@bertinosr</v>
      </c>
      <c r="C8082" s="9" t="s">
        <v>17664</v>
      </c>
      <c r="D8082" s="9" t="s">
        <v>17665</v>
      </c>
      <c r="E8082" s="10" t="str">
        <f>HYPERLINK("https://twitter.com/bertinosr/status/724409416531873792","724409416531873792")</f>
        <v>724409416531873792</v>
      </c>
      <c r="F8082" s="11" t="s">
        <v>20</v>
      </c>
      <c r="G8082" s="11">
        <v>20</v>
      </c>
      <c r="H8082" s="11">
        <v>93</v>
      </c>
      <c r="I8082" s="11">
        <v>0</v>
      </c>
      <c r="J8082" s="11">
        <v>0</v>
      </c>
      <c r="K8082" s="11" t="s">
        <v>21</v>
      </c>
      <c r="L8082" s="7">
        <v>41489.108831018515</v>
      </c>
      <c r="M8082" s="12"/>
      <c r="N8082" s="12"/>
      <c r="O8082" s="10" t="str">
        <f t="shared" ref="O8082:O8083" si="840">HYPERLINK("https://pbs.twimg.com/profile_images/666453014614446080/7wESjl0P_normal.jpg","View")</f>
        <v>View</v>
      </c>
      <c r="P8082" s="11"/>
    </row>
    <row r="8083" spans="1:16" ht="12.75" x14ac:dyDescent="0.35">
      <c r="A8083" s="7">
        <v>42485.293576388889</v>
      </c>
      <c r="B8083" s="8" t="str">
        <f t="shared" si="839"/>
        <v>@bertinosr</v>
      </c>
      <c r="C8083" s="9" t="s">
        <v>17664</v>
      </c>
      <c r="D8083" s="9" t="s">
        <v>17666</v>
      </c>
      <c r="E8083" s="10" t="str">
        <f>HYPERLINK("https://twitter.com/bertinosr/status/724410787658244096","724410787658244096")</f>
        <v>724410787658244096</v>
      </c>
      <c r="F8083" s="11" t="s">
        <v>20</v>
      </c>
      <c r="G8083" s="11">
        <v>20</v>
      </c>
      <c r="H8083" s="11">
        <v>93</v>
      </c>
      <c r="I8083" s="11">
        <v>0</v>
      </c>
      <c r="J8083" s="11">
        <v>0</v>
      </c>
      <c r="K8083" s="11" t="s">
        <v>21</v>
      </c>
      <c r="L8083" s="7">
        <v>41489.108831018515</v>
      </c>
      <c r="M8083" s="12"/>
      <c r="N8083" s="12"/>
      <c r="O8083" s="10" t="str">
        <f t="shared" si="840"/>
        <v>View</v>
      </c>
      <c r="P8083" s="11"/>
    </row>
    <row r="8084" spans="1:16" ht="12.75" x14ac:dyDescent="0.35">
      <c r="A8084" s="7">
        <v>42485.295833333337</v>
      </c>
      <c r="B8084" s="8" t="str">
        <f>HYPERLINK("https://twitter.com/BruceMirken","@BruceMirken")</f>
        <v>@BruceMirken</v>
      </c>
      <c r="C8084" s="9" t="s">
        <v>17667</v>
      </c>
      <c r="D8084" s="9" t="s">
        <v>17668</v>
      </c>
      <c r="E8084" s="10" t="str">
        <f>HYPERLINK("https://twitter.com/BruceMirken/status/724411605430083584","724411605430083584")</f>
        <v>724411605430083584</v>
      </c>
      <c r="F8084" s="11" t="s">
        <v>48</v>
      </c>
      <c r="G8084" s="11">
        <v>375</v>
      </c>
      <c r="H8084" s="11">
        <v>323</v>
      </c>
      <c r="I8084" s="11">
        <v>0</v>
      </c>
      <c r="J8084" s="11">
        <v>0</v>
      </c>
      <c r="K8084" s="11" t="s">
        <v>21</v>
      </c>
      <c r="L8084" s="7">
        <v>42069.157326388886</v>
      </c>
      <c r="M8084" s="12" t="s">
        <v>155</v>
      </c>
      <c r="N8084" s="12" t="s">
        <v>17669</v>
      </c>
      <c r="O8084" s="10" t="str">
        <f>HYPERLINK("https://pbs.twimg.com/profile_images/653621507772387328/4qVOe7Hn_normal.jpg","View")</f>
        <v>View</v>
      </c>
      <c r="P8084" s="11"/>
    </row>
    <row r="8085" spans="1:16" ht="12.75" x14ac:dyDescent="0.35">
      <c r="A8085" s="7">
        <v>42485.297754629632</v>
      </c>
      <c r="B8085" s="8" t="str">
        <f>HYPERLINK("https://twitter.com/Lil_Lorii","@Lil_Lorii")</f>
        <v>@Lil_Lorii</v>
      </c>
      <c r="C8085" s="9" t="s">
        <v>17670</v>
      </c>
      <c r="D8085" s="9" t="s">
        <v>17671</v>
      </c>
      <c r="E8085" s="10" t="str">
        <f>HYPERLINK("https://twitter.com/Lil_Lorii/status/724412302355619841","724412302355619841")</f>
        <v>724412302355619841</v>
      </c>
      <c r="F8085" s="11" t="s">
        <v>20</v>
      </c>
      <c r="G8085" s="11">
        <v>317</v>
      </c>
      <c r="H8085" s="11">
        <v>55</v>
      </c>
      <c r="I8085" s="11">
        <v>0</v>
      </c>
      <c r="J8085" s="11">
        <v>0</v>
      </c>
      <c r="K8085" s="11" t="s">
        <v>21</v>
      </c>
      <c r="L8085" s="7">
        <v>40266.510358796295</v>
      </c>
      <c r="M8085" s="12" t="s">
        <v>1275</v>
      </c>
      <c r="N8085" s="12" t="s">
        <v>17672</v>
      </c>
      <c r="O8085" s="10" t="str">
        <f>HYPERLINK("https://pbs.twimg.com/profile_images/721367110065127424/QmjA60l4_normal.jpg","View")</f>
        <v>View</v>
      </c>
      <c r="P8085" s="11"/>
    </row>
    <row r="8086" spans="1:16" ht="12.75" x14ac:dyDescent="0.35">
      <c r="A8086" s="7">
        <v>42485.29788194444</v>
      </c>
      <c r="B8086" s="8" t="str">
        <f>HYPERLINK("https://twitter.com/bertinosr","@bertinosr")</f>
        <v>@bertinosr</v>
      </c>
      <c r="C8086" s="9" t="s">
        <v>17664</v>
      </c>
      <c r="D8086" s="9" t="s">
        <v>17673</v>
      </c>
      <c r="E8086" s="10" t="str">
        <f>HYPERLINK("https://twitter.com/bertinosr/status/724412348044169216","724412348044169216")</f>
        <v>724412348044169216</v>
      </c>
      <c r="F8086" s="11" t="s">
        <v>20</v>
      </c>
      <c r="G8086" s="11">
        <v>20</v>
      </c>
      <c r="H8086" s="11">
        <v>93</v>
      </c>
      <c r="I8086" s="11">
        <v>0</v>
      </c>
      <c r="J8086" s="11">
        <v>0</v>
      </c>
      <c r="K8086" s="11" t="s">
        <v>21</v>
      </c>
      <c r="L8086" s="7">
        <v>41489.108831018515</v>
      </c>
      <c r="M8086" s="12"/>
      <c r="N8086" s="12"/>
      <c r="O8086" s="10" t="str">
        <f>HYPERLINK("https://pbs.twimg.com/profile_images/666453014614446080/7wESjl0P_normal.jpg","View")</f>
        <v>View</v>
      </c>
      <c r="P8086" s="11"/>
    </row>
    <row r="8087" spans="1:16" ht="12.75" x14ac:dyDescent="0.35">
      <c r="A8087" s="7">
        <v>42485.299178240741</v>
      </c>
      <c r="B8087" s="8" t="str">
        <f>HYPERLINK("https://twitter.com/Lil_Lorii","@Lil_Lorii")</f>
        <v>@Lil_Lorii</v>
      </c>
      <c r="C8087" s="9" t="s">
        <v>17670</v>
      </c>
      <c r="D8087" s="9" t="s">
        <v>17674</v>
      </c>
      <c r="E8087" s="10" t="str">
        <f>HYPERLINK("https://twitter.com/Lil_Lorii/status/724412817571377153","724412817571377153")</f>
        <v>724412817571377153</v>
      </c>
      <c r="F8087" s="11" t="s">
        <v>20</v>
      </c>
      <c r="G8087" s="11">
        <v>317</v>
      </c>
      <c r="H8087" s="11">
        <v>55</v>
      </c>
      <c r="I8087" s="11">
        <v>0</v>
      </c>
      <c r="J8087" s="11">
        <v>0</v>
      </c>
      <c r="K8087" s="11" t="s">
        <v>21</v>
      </c>
      <c r="L8087" s="7">
        <v>40266.510358796295</v>
      </c>
      <c r="M8087" s="12" t="s">
        <v>1275</v>
      </c>
      <c r="N8087" s="12" t="s">
        <v>17672</v>
      </c>
      <c r="O8087" s="10" t="str">
        <f>HYPERLINK("https://pbs.twimg.com/profile_images/721367110065127424/QmjA60l4_normal.jpg","View")</f>
        <v>View</v>
      </c>
      <c r="P8087" s="11"/>
    </row>
    <row r="8088" spans="1:16" ht="12.75" x14ac:dyDescent="0.35">
      <c r="A8088" s="7">
        <v>42485.299375000002</v>
      </c>
      <c r="B8088" s="8" t="str">
        <f t="shared" ref="B8088:B8089" si="841">HYPERLINK("https://twitter.com/dubbusses","@dubbusses")</f>
        <v>@dubbusses</v>
      </c>
      <c r="C8088" s="9" t="s">
        <v>14338</v>
      </c>
      <c r="D8088" s="9" t="s">
        <v>17675</v>
      </c>
      <c r="E8088" s="10" t="str">
        <f>HYPERLINK("https://twitter.com/dubbusses/status/724412887842873344","724412887842873344")</f>
        <v>724412887842873344</v>
      </c>
      <c r="F8088" s="11" t="s">
        <v>68</v>
      </c>
      <c r="G8088" s="11">
        <v>514</v>
      </c>
      <c r="H8088" s="11">
        <v>2822</v>
      </c>
      <c r="I8088" s="11">
        <v>0</v>
      </c>
      <c r="J8088" s="11">
        <v>0</v>
      </c>
      <c r="K8088" s="11" t="s">
        <v>21</v>
      </c>
      <c r="L8088" s="7">
        <v>42469.905393518522</v>
      </c>
      <c r="M8088" s="12" t="s">
        <v>14340</v>
      </c>
      <c r="N8088" s="12"/>
      <c r="O8088" s="10" t="str">
        <f t="shared" ref="O8088:O8089" si="842">HYPERLINK("https://pbs.twimg.com/profile_images/718835727027580928/1ssyQ67y_normal.jpg","View")</f>
        <v>View</v>
      </c>
      <c r="P8088" s="11"/>
    </row>
    <row r="8089" spans="1:16" ht="12.75" x14ac:dyDescent="0.35">
      <c r="A8089" s="7">
        <v>42485.299409722225</v>
      </c>
      <c r="B8089" s="8" t="str">
        <f t="shared" si="841"/>
        <v>@dubbusses</v>
      </c>
      <c r="C8089" s="9" t="s">
        <v>14338</v>
      </c>
      <c r="D8089" s="9" t="s">
        <v>17676</v>
      </c>
      <c r="E8089" s="10" t="str">
        <f>HYPERLINK("https://twitter.com/dubbusses/status/724412900555763712","724412900555763712")</f>
        <v>724412900555763712</v>
      </c>
      <c r="F8089" s="11" t="s">
        <v>68</v>
      </c>
      <c r="G8089" s="11">
        <v>514</v>
      </c>
      <c r="H8089" s="11">
        <v>2822</v>
      </c>
      <c r="I8089" s="11">
        <v>0</v>
      </c>
      <c r="J8089" s="11">
        <v>0</v>
      </c>
      <c r="K8089" s="11" t="s">
        <v>21</v>
      </c>
      <c r="L8089" s="7">
        <v>42469.905393518522</v>
      </c>
      <c r="M8089" s="12" t="s">
        <v>14340</v>
      </c>
      <c r="N8089" s="12"/>
      <c r="O8089" s="10" t="str">
        <f t="shared" si="842"/>
        <v>View</v>
      </c>
      <c r="P8089" s="11"/>
    </row>
    <row r="8090" spans="1:16" ht="12.75" x14ac:dyDescent="0.35">
      <c r="A8090" s="7">
        <v>42485.299699074079</v>
      </c>
      <c r="B8090" s="8" t="str">
        <f>HYPERLINK("https://twitter.com/bertinosr","@bertinosr")</f>
        <v>@bertinosr</v>
      </c>
      <c r="C8090" s="9" t="s">
        <v>17664</v>
      </c>
      <c r="D8090" s="9" t="s">
        <v>17677</v>
      </c>
      <c r="E8090" s="10" t="str">
        <f>HYPERLINK("https://twitter.com/bertinosr/status/724413008919842816","724413008919842816")</f>
        <v>724413008919842816</v>
      </c>
      <c r="F8090" s="11" t="s">
        <v>20</v>
      </c>
      <c r="G8090" s="11">
        <v>20</v>
      </c>
      <c r="H8090" s="11">
        <v>93</v>
      </c>
      <c r="I8090" s="11">
        <v>0</v>
      </c>
      <c r="J8090" s="11">
        <v>0</v>
      </c>
      <c r="K8090" s="11" t="s">
        <v>21</v>
      </c>
      <c r="L8090" s="7">
        <v>41489.108831018515</v>
      </c>
      <c r="M8090" s="12"/>
      <c r="N8090" s="12"/>
      <c r="O8090" s="10" t="str">
        <f>HYPERLINK("https://pbs.twimg.com/profile_images/666453014614446080/7wESjl0P_normal.jpg","View")</f>
        <v>View</v>
      </c>
      <c r="P8090" s="11"/>
    </row>
    <row r="8091" spans="1:16" ht="12.75" x14ac:dyDescent="0.35">
      <c r="A8091" s="7">
        <v>42485.299791666665</v>
      </c>
      <c r="B8091" s="8" t="str">
        <f>HYPERLINK("https://twitter.com/OnlyCarrera","@OnlyCarrera")</f>
        <v>@OnlyCarrera</v>
      </c>
      <c r="C8091" s="9" t="s">
        <v>12748</v>
      </c>
      <c r="D8091" s="9" t="s">
        <v>17678</v>
      </c>
      <c r="E8091" s="10" t="str">
        <f>HYPERLINK("https://twitter.com/OnlyCarrera/status/724413041123725312","724413041123725312")</f>
        <v>724413041123725312</v>
      </c>
      <c r="F8091" s="11" t="s">
        <v>68</v>
      </c>
      <c r="G8091" s="11">
        <v>3195</v>
      </c>
      <c r="H8091" s="11">
        <v>296</v>
      </c>
      <c r="I8091" s="11">
        <v>0</v>
      </c>
      <c r="J8091" s="11">
        <v>0</v>
      </c>
      <c r="K8091" s="11" t="s">
        <v>21</v>
      </c>
      <c r="L8091" s="7">
        <v>41976.876180555555</v>
      </c>
      <c r="M8091" s="12"/>
      <c r="N8091" s="12" t="s">
        <v>12750</v>
      </c>
      <c r="O8091" s="10" t="str">
        <f>HYPERLINK("https://pbs.twimg.com/profile_images/542918171158511617/A72BLdkG_normal.png","View")</f>
        <v>View</v>
      </c>
      <c r="P8091" s="11"/>
    </row>
    <row r="8092" spans="1:16" ht="12.75" x14ac:dyDescent="0.35">
      <c r="A8092" s="7">
        <v>42485.300740740742</v>
      </c>
      <c r="B8092" s="8" t="str">
        <f>HYPERLINK("https://twitter.com/bertinosr","@bertinosr")</f>
        <v>@bertinosr</v>
      </c>
      <c r="C8092" s="9" t="s">
        <v>17664</v>
      </c>
      <c r="D8092" s="9" t="s">
        <v>17679</v>
      </c>
      <c r="E8092" s="10" t="str">
        <f>HYPERLINK("https://twitter.com/bertinosr/status/724413383924051968","724413383924051968")</f>
        <v>724413383924051968</v>
      </c>
      <c r="F8092" s="11" t="s">
        <v>20</v>
      </c>
      <c r="G8092" s="11">
        <v>20</v>
      </c>
      <c r="H8092" s="11">
        <v>93</v>
      </c>
      <c r="I8092" s="11">
        <v>0</v>
      </c>
      <c r="J8092" s="11">
        <v>0</v>
      </c>
      <c r="K8092" s="11" t="s">
        <v>21</v>
      </c>
      <c r="L8092" s="7">
        <v>41489.108831018515</v>
      </c>
      <c r="M8092" s="12"/>
      <c r="N8092" s="12"/>
      <c r="O8092" s="10" t="str">
        <f>HYPERLINK("https://pbs.twimg.com/profile_images/666453014614446080/7wESjl0P_normal.jpg","View")</f>
        <v>View</v>
      </c>
      <c r="P8092" s="11"/>
    </row>
    <row r="8093" spans="1:16" ht="12.75" x14ac:dyDescent="0.35">
      <c r="A8093" s="7">
        <v>42485.301053240742</v>
      </c>
      <c r="B8093" s="8" t="str">
        <f t="shared" ref="B8093:B8094" si="843">HYPERLINK("https://twitter.com/OnlineCarReview","@OnlineCarReview")</f>
        <v>@OnlineCarReview</v>
      </c>
      <c r="C8093" s="9" t="s">
        <v>176</v>
      </c>
      <c r="D8093" s="9" t="s">
        <v>17680</v>
      </c>
      <c r="E8093" s="10" t="str">
        <f>HYPERLINK("https://twitter.com/OnlineCarReview/status/724413499015749633","724413499015749633")</f>
        <v>724413499015749633</v>
      </c>
      <c r="F8093" s="11" t="s">
        <v>34</v>
      </c>
      <c r="G8093" s="11">
        <v>840</v>
      </c>
      <c r="H8093" s="11">
        <v>568</v>
      </c>
      <c r="I8093" s="11">
        <v>0</v>
      </c>
      <c r="J8093" s="11">
        <v>0</v>
      </c>
      <c r="K8093" s="11" t="s">
        <v>21</v>
      </c>
      <c r="L8093" s="7">
        <v>42282.979201388887</v>
      </c>
      <c r="M8093" s="12"/>
      <c r="N8093" s="12" t="s">
        <v>178</v>
      </c>
      <c r="O8093" s="10" t="str">
        <f t="shared" ref="O8093:O8094" si="844">HYPERLINK("https://pbs.twimg.com/profile_images/652871584131092480/QA_B6SBO_normal.jpg","View")</f>
        <v>View</v>
      </c>
      <c r="P8093" s="11"/>
    </row>
    <row r="8094" spans="1:16" ht="12.75" x14ac:dyDescent="0.35">
      <c r="A8094" s="7">
        <v>42485.301053240742</v>
      </c>
      <c r="B8094" s="8" t="str">
        <f t="shared" si="843"/>
        <v>@OnlineCarReview</v>
      </c>
      <c r="C8094" s="9" t="s">
        <v>176</v>
      </c>
      <c r="D8094" s="9" t="s">
        <v>17681</v>
      </c>
      <c r="E8094" s="10" t="str">
        <f>HYPERLINK("https://twitter.com/OnlineCarReview/status/724413499892359169","724413499892359169")</f>
        <v>724413499892359169</v>
      </c>
      <c r="F8094" s="11" t="s">
        <v>34</v>
      </c>
      <c r="G8094" s="11">
        <v>840</v>
      </c>
      <c r="H8094" s="11">
        <v>568</v>
      </c>
      <c r="I8094" s="11">
        <v>0</v>
      </c>
      <c r="J8094" s="11">
        <v>0</v>
      </c>
      <c r="K8094" s="11" t="s">
        <v>21</v>
      </c>
      <c r="L8094" s="7">
        <v>42282.979201388887</v>
      </c>
      <c r="M8094" s="12"/>
      <c r="N8094" s="12" t="s">
        <v>178</v>
      </c>
      <c r="O8094" s="10" t="str">
        <f t="shared" si="844"/>
        <v>View</v>
      </c>
      <c r="P8094" s="11"/>
    </row>
    <row r="8095" spans="1:16" ht="12.75" x14ac:dyDescent="0.35">
      <c r="A8095" s="7">
        <v>42485.304780092592</v>
      </c>
      <c r="B8095" s="8" t="str">
        <f>HYPERLINK("https://twitter.com/TriplePundit","@TriplePundit")</f>
        <v>@TriplePundit</v>
      </c>
      <c r="C8095" s="8" t="s">
        <v>16882</v>
      </c>
      <c r="D8095" s="9" t="s">
        <v>17682</v>
      </c>
      <c r="E8095" s="10" t="str">
        <f>HYPERLINK("https://twitter.com/TriplePundit/status/724414849418178560","724414849418178560")</f>
        <v>724414849418178560</v>
      </c>
      <c r="F8095" s="11" t="s">
        <v>20</v>
      </c>
      <c r="G8095" s="11">
        <v>41893</v>
      </c>
      <c r="H8095" s="11">
        <v>893</v>
      </c>
      <c r="I8095" s="11">
        <v>1</v>
      </c>
      <c r="J8095" s="11">
        <v>0</v>
      </c>
      <c r="K8095" s="11" t="s">
        <v>21</v>
      </c>
      <c r="L8095" s="7">
        <v>39804.023599537039</v>
      </c>
      <c r="M8095" s="12" t="s">
        <v>16884</v>
      </c>
      <c r="N8095" s="12" t="s">
        <v>16885</v>
      </c>
      <c r="O8095" s="10" t="str">
        <f>HYPERLINK("https://pbs.twimg.com/profile_images/465609811220889600/F7o-Mot7_normal.png","View")</f>
        <v>View</v>
      </c>
      <c r="P8095" s="11"/>
    </row>
    <row r="8096" spans="1:16" ht="12.75" x14ac:dyDescent="0.35">
      <c r="A8096" s="7">
        <v>42485.305</v>
      </c>
      <c r="B8096" s="8" t="str">
        <f>HYPERLINK("https://twitter.com/skakurega","@skakurega")</f>
        <v>@skakurega</v>
      </c>
      <c r="C8096" s="9" t="s">
        <v>6462</v>
      </c>
      <c r="D8096" s="9" t="s">
        <v>17683</v>
      </c>
      <c r="E8096" s="10" t="str">
        <f>HYPERLINK("https://twitter.com/skakurega/status/724414926589038592","724414926589038592")</f>
        <v>724414926589038592</v>
      </c>
      <c r="F8096" s="11" t="s">
        <v>43</v>
      </c>
      <c r="G8096" s="11">
        <v>25</v>
      </c>
      <c r="H8096" s="11">
        <v>17</v>
      </c>
      <c r="I8096" s="11">
        <v>0</v>
      </c>
      <c r="J8096" s="11">
        <v>0</v>
      </c>
      <c r="K8096" s="11" t="s">
        <v>21</v>
      </c>
      <c r="L8096" s="7">
        <v>41335.613125000003</v>
      </c>
      <c r="M8096" s="12" t="s">
        <v>6464</v>
      </c>
      <c r="N8096" s="12" t="s">
        <v>6465</v>
      </c>
      <c r="O8096" s="10" t="str">
        <f>HYPERLINK("https://pbs.twimg.com/profile_images/3518634490/a7db4179a4b0e8afcae487f17f254681_normal.jpeg","View")</f>
        <v>View</v>
      </c>
      <c r="P8096" s="11"/>
    </row>
    <row r="8097" spans="1:16" ht="12.75" x14ac:dyDescent="0.35">
      <c r="A8097" s="7">
        <v>42485.30505787037</v>
      </c>
      <c r="B8097" s="8" t="str">
        <f>HYPERLINK("https://twitter.com/memlopes","@memlopes")</f>
        <v>@memlopes</v>
      </c>
      <c r="C8097" s="9" t="s">
        <v>464</v>
      </c>
      <c r="D8097" s="9" t="s">
        <v>17684</v>
      </c>
      <c r="E8097" s="10" t="str">
        <f>HYPERLINK("https://twitter.com/memlopes/status/724414950861594624","724414950861594624")</f>
        <v>724414950861594624</v>
      </c>
      <c r="F8097" s="11" t="s">
        <v>114</v>
      </c>
      <c r="G8097" s="11">
        <v>349</v>
      </c>
      <c r="H8097" s="11">
        <v>223</v>
      </c>
      <c r="I8097" s="11">
        <v>0</v>
      </c>
      <c r="J8097" s="11">
        <v>0</v>
      </c>
      <c r="K8097" s="11" t="s">
        <v>21</v>
      </c>
      <c r="L8097" s="7">
        <v>40587.209155092591</v>
      </c>
      <c r="M8097" s="12"/>
      <c r="N8097" s="12" t="s">
        <v>466</v>
      </c>
      <c r="O8097" s="10" t="str">
        <f>HYPERLINK("https://pbs.twimg.com/profile_images/615595547915849728/59myu3d6_normal.jpg","View")</f>
        <v>View</v>
      </c>
      <c r="P8097" s="11"/>
    </row>
    <row r="8098" spans="1:16" ht="12.75" x14ac:dyDescent="0.35">
      <c r="A8098" s="7">
        <v>42485.305891203709</v>
      </c>
      <c r="B8098" s="8" t="str">
        <f>HYPERLINK("https://twitter.com/FuscaWorld","@FuscaWorld")</f>
        <v>@FuscaWorld</v>
      </c>
      <c r="C8098" s="9" t="s">
        <v>74</v>
      </c>
      <c r="D8098" s="9" t="s">
        <v>17685</v>
      </c>
      <c r="E8098" s="10" t="str">
        <f>HYPERLINK("https://twitter.com/FuscaWorld/status/724415251735826433","724415251735826433")</f>
        <v>724415251735826433</v>
      </c>
      <c r="F8098" s="11" t="s">
        <v>76</v>
      </c>
      <c r="G8098" s="11">
        <v>52</v>
      </c>
      <c r="H8098" s="11">
        <v>1</v>
      </c>
      <c r="I8098" s="11">
        <v>1</v>
      </c>
      <c r="J8098" s="11">
        <v>0</v>
      </c>
      <c r="K8098" s="11" t="s">
        <v>21</v>
      </c>
      <c r="L8098" s="7">
        <v>42433.880914351852</v>
      </c>
      <c r="M8098" s="12"/>
      <c r="N8098" s="12" t="s">
        <v>77</v>
      </c>
      <c r="O8098" s="10" t="str">
        <f>HYPERLINK("https://pbs.twimg.com/profile_images/705780107844067328/e7O4UBNb_normal.jpg","View")</f>
        <v>View</v>
      </c>
      <c r="P8098" s="11"/>
    </row>
    <row r="8099" spans="1:16" ht="12.75" x14ac:dyDescent="0.35">
      <c r="A8099" s="7">
        <v>42485.307615740741</v>
      </c>
      <c r="B8099" s="8" t="str">
        <f>HYPERLINK("https://twitter.com/xiimv","@xiimv")</f>
        <v>@xiimv</v>
      </c>
      <c r="C8099" s="9" t="s">
        <v>17686</v>
      </c>
      <c r="D8099" s="9" t="s">
        <v>17687</v>
      </c>
      <c r="E8099" s="10" t="str">
        <f>HYPERLINK("https://twitter.com/xiimv/status/724415877169467392","724415877169467392")</f>
        <v>724415877169467392</v>
      </c>
      <c r="F8099" s="11" t="s">
        <v>114</v>
      </c>
      <c r="G8099" s="11">
        <v>261</v>
      </c>
      <c r="H8099" s="11">
        <v>354</v>
      </c>
      <c r="I8099" s="11">
        <v>0</v>
      </c>
      <c r="J8099" s="11">
        <v>0</v>
      </c>
      <c r="K8099" s="11" t="s">
        <v>21</v>
      </c>
      <c r="L8099" s="7">
        <v>40217.330590277779</v>
      </c>
      <c r="M8099" s="12" t="s">
        <v>17688</v>
      </c>
      <c r="N8099" s="12" t="s">
        <v>17689</v>
      </c>
      <c r="O8099" s="10" t="str">
        <f>HYPERLINK("https://pbs.twimg.com/profile_images/463414773837598720/VGGoEDTp_normal.jpeg","View")</f>
        <v>View</v>
      </c>
      <c r="P8099" s="11"/>
    </row>
    <row r="8100" spans="1:16" ht="12.75" x14ac:dyDescent="0.35">
      <c r="A8100" s="7">
        <v>42485.310810185183</v>
      </c>
      <c r="B8100" s="8" t="str">
        <f>HYPERLINK("https://twitter.com/VolkswagenPost","@VolkswagenPost")</f>
        <v>@VolkswagenPost</v>
      </c>
      <c r="C8100" s="9" t="s">
        <v>321</v>
      </c>
      <c r="D8100" s="9" t="s">
        <v>17690</v>
      </c>
      <c r="E8100" s="10" t="str">
        <f>HYPERLINK("https://twitter.com/VolkswagenPost/status/724417032410660864","724417032410660864")</f>
        <v>724417032410660864</v>
      </c>
      <c r="F8100" s="11" t="s">
        <v>34</v>
      </c>
      <c r="G8100" s="11">
        <v>571</v>
      </c>
      <c r="H8100" s="11">
        <v>446</v>
      </c>
      <c r="I8100" s="11">
        <v>0</v>
      </c>
      <c r="J8100" s="11">
        <v>0</v>
      </c>
      <c r="K8100" s="11" t="s">
        <v>21</v>
      </c>
      <c r="L8100" s="7">
        <v>41940.618379629632</v>
      </c>
      <c r="M8100" s="12"/>
      <c r="N8100" s="12"/>
      <c r="O8100" s="10" t="str">
        <f>HYPERLINK("https://pbs.twimg.com/profile_images/530071272881803264/a_jcCmPZ_normal.png","View")</f>
        <v>View</v>
      </c>
      <c r="P8100" s="11"/>
    </row>
    <row r="8101" spans="1:16" ht="12.75" x14ac:dyDescent="0.35">
      <c r="A8101" s="7">
        <v>42485.311388888891</v>
      </c>
      <c r="B8101" s="8" t="str">
        <f>HYPERLINK("https://twitter.com/oldcar_photo","@oldcar_photo")</f>
        <v>@oldcar_photo</v>
      </c>
      <c r="C8101" s="9" t="s">
        <v>1046</v>
      </c>
      <c r="D8101" s="9" t="s">
        <v>17691</v>
      </c>
      <c r="E8101" s="10" t="str">
        <f>HYPERLINK("https://twitter.com/oldcar_photo/status/724417243711438848","724417243711438848")</f>
        <v>724417243711438848</v>
      </c>
      <c r="F8101" s="11" t="s">
        <v>68</v>
      </c>
      <c r="G8101" s="11">
        <v>2009</v>
      </c>
      <c r="H8101" s="11">
        <v>0</v>
      </c>
      <c r="I8101" s="11">
        <v>0</v>
      </c>
      <c r="J8101" s="11">
        <v>0</v>
      </c>
      <c r="K8101" s="11" t="s">
        <v>21</v>
      </c>
      <c r="L8101" s="7">
        <v>42184.7341087963</v>
      </c>
      <c r="M8101" s="12"/>
      <c r="N8101" s="12"/>
      <c r="O8101" s="10" t="str">
        <f>HYPERLINK("https://pbs.twimg.com/profile_images/615493650785660928/XHUh6HOk_normal.jpg","View")</f>
        <v>View</v>
      </c>
      <c r="P8101" s="11"/>
    </row>
    <row r="8102" spans="1:16" ht="12.75" x14ac:dyDescent="0.35">
      <c r="A8102" s="7">
        <v>42485.313321759255</v>
      </c>
      <c r="B8102" s="8" t="str">
        <f>HYPERLINK("https://twitter.com/FuscaWorld","@FuscaWorld")</f>
        <v>@FuscaWorld</v>
      </c>
      <c r="C8102" s="9" t="s">
        <v>74</v>
      </c>
      <c r="D8102" s="9" t="s">
        <v>6426</v>
      </c>
      <c r="E8102" s="10" t="str">
        <f>HYPERLINK("https://twitter.com/FuscaWorld/status/724417942935461889","724417942935461889")</f>
        <v>724417942935461889</v>
      </c>
      <c r="F8102" s="11" t="s">
        <v>76</v>
      </c>
      <c r="G8102" s="11">
        <v>52</v>
      </c>
      <c r="H8102" s="11">
        <v>1</v>
      </c>
      <c r="I8102" s="11">
        <v>2</v>
      </c>
      <c r="J8102" s="11">
        <v>0</v>
      </c>
      <c r="K8102" s="11" t="s">
        <v>21</v>
      </c>
      <c r="L8102" s="7">
        <v>42433.880914351852</v>
      </c>
      <c r="M8102" s="12"/>
      <c r="N8102" s="12" t="s">
        <v>77</v>
      </c>
      <c r="O8102" s="10" t="str">
        <f>HYPERLINK("https://pbs.twimg.com/profile_images/705780107844067328/e7O4UBNb_normal.jpg","View")</f>
        <v>View</v>
      </c>
      <c r="P8102" s="11"/>
    </row>
    <row r="8103" spans="1:16" ht="12.75" x14ac:dyDescent="0.35">
      <c r="A8103" s="7">
        <v>42485.314016203702</v>
      </c>
      <c r="B8103" s="8" t="str">
        <f>HYPERLINK("https://twitter.com/ActorRglover","@ActorRglover")</f>
        <v>@ActorRglover</v>
      </c>
      <c r="C8103" s="9" t="s">
        <v>17692</v>
      </c>
      <c r="D8103" s="9" t="s">
        <v>14594</v>
      </c>
      <c r="E8103" s="10" t="str">
        <f>HYPERLINK("https://twitter.com/ActorRglover/status/724418194421604352","724418194421604352")</f>
        <v>724418194421604352</v>
      </c>
      <c r="F8103" s="11" t="s">
        <v>1838</v>
      </c>
      <c r="G8103" s="11">
        <v>78</v>
      </c>
      <c r="H8103" s="11">
        <v>22</v>
      </c>
      <c r="I8103" s="11">
        <v>6</v>
      </c>
      <c r="J8103" s="11">
        <v>0</v>
      </c>
      <c r="K8103" s="11" t="s">
        <v>21</v>
      </c>
      <c r="L8103" s="7">
        <v>42070.935358796298</v>
      </c>
      <c r="M8103" s="12" t="s">
        <v>209</v>
      </c>
      <c r="N8103" s="12" t="s">
        <v>17693</v>
      </c>
      <c r="O8103" s="10" t="str">
        <f>HYPERLINK("https://pbs.twimg.com/profile_images/574252580101976064/ScPGXllt_normal.jpeg","View")</f>
        <v>View</v>
      </c>
      <c r="P8103" s="11"/>
    </row>
    <row r="8104" spans="1:16" ht="12.75" x14ac:dyDescent="0.35">
      <c r="A8104" s="7">
        <v>42485.314282407402</v>
      </c>
      <c r="B8104" s="8" t="str">
        <f>HYPERLINK("https://twitter.com/cmsGOMEX","@cmsGOMEX")</f>
        <v>@cmsGOMEX</v>
      </c>
      <c r="C8104" s="9" t="s">
        <v>2519</v>
      </c>
      <c r="D8104" s="9" t="s">
        <v>17694</v>
      </c>
      <c r="E8104" s="10" t="str">
        <f>HYPERLINK("https://twitter.com/cmsGOMEX/status/724418291058499584","724418291058499584")</f>
        <v>724418291058499584</v>
      </c>
      <c r="F8104" s="11" t="s">
        <v>43</v>
      </c>
      <c r="G8104" s="11">
        <v>652</v>
      </c>
      <c r="H8104" s="11">
        <v>462</v>
      </c>
      <c r="I8104" s="11">
        <v>1</v>
      </c>
      <c r="J8104" s="11">
        <v>0</v>
      </c>
      <c r="K8104" s="11" t="s">
        <v>21</v>
      </c>
      <c r="L8104" s="7">
        <v>39983.775879629626</v>
      </c>
      <c r="M8104" s="12" t="s">
        <v>1116</v>
      </c>
      <c r="N8104" s="12" t="s">
        <v>2521</v>
      </c>
      <c r="O8104" s="10" t="str">
        <f>HYPERLINK("https://pbs.twimg.com/profile_images/472298206483607552/UogAMiRI_normal.png","View")</f>
        <v>View</v>
      </c>
      <c r="P8104" s="11"/>
    </row>
    <row r="8105" spans="1:16" ht="12.75" x14ac:dyDescent="0.35">
      <c r="A8105" s="7">
        <v>42485.314375000002</v>
      </c>
      <c r="B8105" s="8" t="str">
        <f>HYPERLINK("https://twitter.com/whats_live","@whats_live")</f>
        <v>@whats_live</v>
      </c>
      <c r="C8105" s="9" t="s">
        <v>13653</v>
      </c>
      <c r="D8105" s="9" t="s">
        <v>17695</v>
      </c>
      <c r="E8105" s="10" t="str">
        <f>HYPERLINK("https://twitter.com/whats_live/status/724418325791531008","724418325791531008")</f>
        <v>724418325791531008</v>
      </c>
      <c r="F8105" s="11" t="s">
        <v>43</v>
      </c>
      <c r="G8105" s="11">
        <v>279</v>
      </c>
      <c r="H8105" s="11">
        <v>323</v>
      </c>
      <c r="I8105" s="11">
        <v>1</v>
      </c>
      <c r="J8105" s="11">
        <v>0</v>
      </c>
      <c r="K8105" s="11" t="s">
        <v>21</v>
      </c>
      <c r="L8105" s="7">
        <v>42121.851030092592</v>
      </c>
      <c r="M8105" s="12" t="s">
        <v>13655</v>
      </c>
      <c r="N8105" s="12" t="s">
        <v>13656</v>
      </c>
      <c r="O8105" s="10" t="str">
        <f>HYPERLINK("https://pbs.twimg.com/profile_images/600965523518566400/l0bcJH8l_normal.jpg","View")</f>
        <v>View</v>
      </c>
      <c r="P8105" s="11"/>
    </row>
    <row r="8106" spans="1:16" ht="12.75" x14ac:dyDescent="0.35">
      <c r="A8106" s="7">
        <v>42485.315891203703</v>
      </c>
      <c r="B8106" s="8" t="str">
        <f>HYPERLINK("https://twitter.com/WRaamos","@WRaamos")</f>
        <v>@WRaamos</v>
      </c>
      <c r="C8106" s="9" t="s">
        <v>17696</v>
      </c>
      <c r="D8106" s="9" t="s">
        <v>6426</v>
      </c>
      <c r="E8106" s="10" t="str">
        <f>HYPERLINK("https://twitter.com/WRaamos/status/724418874607853568","724418874607853568")</f>
        <v>724418874607853568</v>
      </c>
      <c r="F8106" s="11" t="s">
        <v>48</v>
      </c>
      <c r="G8106" s="11">
        <v>1307</v>
      </c>
      <c r="H8106" s="11">
        <v>1042</v>
      </c>
      <c r="I8106" s="11">
        <v>2</v>
      </c>
      <c r="J8106" s="11">
        <v>0</v>
      </c>
      <c r="K8106" s="11" t="s">
        <v>21</v>
      </c>
      <c r="L8106" s="7">
        <v>40552.98065972222</v>
      </c>
      <c r="M8106" s="12" t="s">
        <v>17697</v>
      </c>
      <c r="N8106" s="12" t="s">
        <v>17698</v>
      </c>
      <c r="O8106" s="10" t="str">
        <f>HYPERLINK("https://pbs.twimg.com/profile_images/724280031296524288/JddOCRxB_normal.jpg","View")</f>
        <v>View</v>
      </c>
      <c r="P8106" s="11"/>
    </row>
    <row r="8107" spans="1:16" ht="12.75" x14ac:dyDescent="0.35">
      <c r="A8107" s="7">
        <v>42485.316111111111</v>
      </c>
      <c r="B8107" s="8" t="str">
        <f>HYPERLINK("https://twitter.com/GrupoAlden","@GrupoAlden")</f>
        <v>@GrupoAlden</v>
      </c>
      <c r="C8107" s="9" t="s">
        <v>12360</v>
      </c>
      <c r="D8107" s="9" t="s">
        <v>17699</v>
      </c>
      <c r="E8107" s="10" t="str">
        <f>HYPERLINK("https://twitter.com/GrupoAlden/status/724418956530987008","724418956530987008")</f>
        <v>724418956530987008</v>
      </c>
      <c r="F8107" s="11" t="s">
        <v>152</v>
      </c>
      <c r="G8107" s="11">
        <v>242</v>
      </c>
      <c r="H8107" s="11">
        <v>259</v>
      </c>
      <c r="I8107" s="11">
        <v>0</v>
      </c>
      <c r="J8107" s="11">
        <v>0</v>
      </c>
      <c r="K8107" s="11" t="s">
        <v>21</v>
      </c>
      <c r="L8107" s="7">
        <v>40718.955381944441</v>
      </c>
      <c r="M8107" s="13" t="s">
        <v>12362</v>
      </c>
      <c r="N8107" s="12" t="s">
        <v>12363</v>
      </c>
      <c r="O8107" s="10" t="str">
        <f>HYPERLINK("https://pbs.twimg.com/profile_images/685175443654246401/92R4InX-_normal.png","View")</f>
        <v>View</v>
      </c>
      <c r="P8107" s="11"/>
    </row>
    <row r="8108" spans="1:16" ht="12.75" x14ac:dyDescent="0.35">
      <c r="A8108" s="7">
        <v>42485.317199074074</v>
      </c>
      <c r="B8108" s="8" t="str">
        <f>HYPERLINK("https://twitter.com/cmsGOMEX","@cmsGOMEX")</f>
        <v>@cmsGOMEX</v>
      </c>
      <c r="C8108" s="9" t="s">
        <v>2519</v>
      </c>
      <c r="D8108" s="9" t="s">
        <v>17700</v>
      </c>
      <c r="E8108" s="10" t="str">
        <f>HYPERLINK("https://twitter.com/cmsGOMEX/status/724419347951833092","724419347951833092")</f>
        <v>724419347951833092</v>
      </c>
      <c r="F8108" s="11" t="s">
        <v>43</v>
      </c>
      <c r="G8108" s="11">
        <v>652</v>
      </c>
      <c r="H8108" s="11">
        <v>462</v>
      </c>
      <c r="I8108" s="11">
        <v>0</v>
      </c>
      <c r="J8108" s="11">
        <v>0</v>
      </c>
      <c r="K8108" s="11" t="s">
        <v>21</v>
      </c>
      <c r="L8108" s="7">
        <v>39983.775879629626</v>
      </c>
      <c r="M8108" s="12" t="s">
        <v>1116</v>
      </c>
      <c r="N8108" s="12" t="s">
        <v>2521</v>
      </c>
      <c r="O8108" s="10" t="str">
        <f>HYPERLINK("https://pbs.twimg.com/profile_images/472298206483607552/UogAMiRI_normal.png","View")</f>
        <v>View</v>
      </c>
      <c r="P8108" s="11"/>
    </row>
    <row r="8109" spans="1:16" ht="12.75" x14ac:dyDescent="0.35">
      <c r="A8109" s="7">
        <v>42485.318402777775</v>
      </c>
      <c r="B8109" s="8" t="str">
        <f>HYPERLINK("https://twitter.com/tweetexperte","@tweetexperte")</f>
        <v>@tweetexperte</v>
      </c>
      <c r="C8109" s="9" t="s">
        <v>17701</v>
      </c>
      <c r="D8109" s="9" t="s">
        <v>17702</v>
      </c>
      <c r="E8109" s="10" t="str">
        <f>HYPERLINK("https://twitter.com/tweetexperte/status/724419783542890496","724419783542890496")</f>
        <v>724419783542890496</v>
      </c>
      <c r="F8109" s="11" t="s">
        <v>17703</v>
      </c>
      <c r="G8109" s="11">
        <v>1951</v>
      </c>
      <c r="H8109" s="11">
        <v>2063</v>
      </c>
      <c r="I8109" s="11">
        <v>1</v>
      </c>
      <c r="J8109" s="11">
        <v>0</v>
      </c>
      <c r="K8109" s="11" t="s">
        <v>21</v>
      </c>
      <c r="L8109" s="7">
        <v>40396.706446759257</v>
      </c>
      <c r="M8109" s="12" t="s">
        <v>17704</v>
      </c>
      <c r="N8109" s="12" t="s">
        <v>17705</v>
      </c>
      <c r="O8109" s="10" t="str">
        <f>HYPERLINK("https://pbs.twimg.com/profile_images/1097159230/logo_normal.jpg","View")</f>
        <v>View</v>
      </c>
      <c r="P8109" s="11"/>
    </row>
    <row r="8110" spans="1:16" ht="12.75" x14ac:dyDescent="0.35">
      <c r="A8110" s="7">
        <v>42485.319085648152</v>
      </c>
      <c r="B8110" s="8" t="str">
        <f>HYPERLINK("https://twitter.com/cmsGOMEX","@cmsGOMEX")</f>
        <v>@cmsGOMEX</v>
      </c>
      <c r="C8110" s="9" t="s">
        <v>2519</v>
      </c>
      <c r="D8110" s="9" t="s">
        <v>17706</v>
      </c>
      <c r="E8110" s="10" t="str">
        <f>HYPERLINK("https://twitter.com/cmsGOMEX/status/724420031950532609","724420031950532609")</f>
        <v>724420031950532609</v>
      </c>
      <c r="F8110" s="11" t="s">
        <v>43</v>
      </c>
      <c r="G8110" s="11">
        <v>652</v>
      </c>
      <c r="H8110" s="11">
        <v>462</v>
      </c>
      <c r="I8110" s="11">
        <v>1</v>
      </c>
      <c r="J8110" s="11">
        <v>0</v>
      </c>
      <c r="K8110" s="11" t="s">
        <v>21</v>
      </c>
      <c r="L8110" s="7">
        <v>39983.775879629626</v>
      </c>
      <c r="M8110" s="12" t="s">
        <v>1116</v>
      </c>
      <c r="N8110" s="12" t="s">
        <v>2521</v>
      </c>
      <c r="O8110" s="10" t="str">
        <f>HYPERLINK("https://pbs.twimg.com/profile_images/472298206483607552/UogAMiRI_normal.png","View")</f>
        <v>View</v>
      </c>
      <c r="P8110" s="11"/>
    </row>
    <row r="8111" spans="1:16" ht="12.75" x14ac:dyDescent="0.35">
      <c r="A8111" s="7">
        <v>42485.319282407407</v>
      </c>
      <c r="B8111" s="8" t="str">
        <f>HYPERLINK("https://twitter.com/psipika","@psipika")</f>
        <v>@psipika</v>
      </c>
      <c r="C8111" s="9" t="s">
        <v>17707</v>
      </c>
      <c r="D8111" s="9" t="s">
        <v>17708</v>
      </c>
      <c r="E8111" s="10" t="str">
        <f>HYPERLINK("https://twitter.com/psipika/status/724420103345938432","724420103345938432")</f>
        <v>724420103345938432</v>
      </c>
      <c r="F8111" s="11" t="s">
        <v>43</v>
      </c>
      <c r="G8111" s="11">
        <v>177</v>
      </c>
      <c r="H8111" s="11">
        <v>274</v>
      </c>
      <c r="I8111" s="11">
        <v>0</v>
      </c>
      <c r="J8111" s="11">
        <v>0</v>
      </c>
      <c r="K8111" s="11" t="s">
        <v>21</v>
      </c>
      <c r="L8111" s="7">
        <v>41844.310196759259</v>
      </c>
      <c r="M8111" s="12"/>
      <c r="N8111" s="12" t="s">
        <v>17709</v>
      </c>
      <c r="O8111" s="10" t="str">
        <f>HYPERLINK("https://pbs.twimg.com/profile_images/598250988458377216/Sa3Qm-0G_normal.jpg","View")</f>
        <v>View</v>
      </c>
      <c r="P8111" s="11"/>
    </row>
    <row r="8112" spans="1:16" ht="12.75" x14ac:dyDescent="0.35">
      <c r="A8112" s="7">
        <v>42485.319548611107</v>
      </c>
      <c r="B8112" s="8" t="str">
        <f>HYPERLINK("https://twitter.com/AutoGuide","@AutoGuide")</f>
        <v>@AutoGuide</v>
      </c>
      <c r="C8112" s="8" t="s">
        <v>17710</v>
      </c>
      <c r="D8112" s="9" t="s">
        <v>17711</v>
      </c>
      <c r="E8112" s="10" t="str">
        <f>HYPERLINK("https://twitter.com/AutoGuide/status/724420201970851840","724420201970851840")</f>
        <v>724420201970851840</v>
      </c>
      <c r="F8112" s="11" t="s">
        <v>152</v>
      </c>
      <c r="G8112" s="11">
        <v>73382</v>
      </c>
      <c r="H8112" s="11">
        <v>513</v>
      </c>
      <c r="I8112" s="11">
        <v>2</v>
      </c>
      <c r="J8112" s="11">
        <v>2</v>
      </c>
      <c r="K8112" s="11" t="s">
        <v>21</v>
      </c>
      <c r="L8112" s="7">
        <v>39897.135682870372</v>
      </c>
      <c r="M8112" s="12"/>
      <c r="N8112" s="12" t="s">
        <v>17712</v>
      </c>
      <c r="O8112" s="10" t="str">
        <f>HYPERLINK("https://pbs.twimg.com/profile_images/473874771399024640/wZCIFr9T_normal.png","View")</f>
        <v>View</v>
      </c>
      <c r="P8112" s="11"/>
    </row>
    <row r="8113" spans="1:16" ht="12.75" x14ac:dyDescent="0.35">
      <c r="A8113" s="7">
        <v>42485.320509259254</v>
      </c>
      <c r="B8113" s="8" t="str">
        <f>HYPERLINK("https://twitter.com/SaryAliLasheen","@SaryAliLasheen")</f>
        <v>@SaryAliLasheen</v>
      </c>
      <c r="C8113" s="9" t="s">
        <v>17713</v>
      </c>
      <c r="D8113" s="9" t="s">
        <v>17714</v>
      </c>
      <c r="E8113" s="10" t="str">
        <f>HYPERLINK("https://twitter.com/SaryAliLasheen/status/724420550131630080","724420550131630080")</f>
        <v>724420550131630080</v>
      </c>
      <c r="F8113" s="11" t="s">
        <v>48</v>
      </c>
      <c r="G8113" s="11">
        <v>319</v>
      </c>
      <c r="H8113" s="11">
        <v>507</v>
      </c>
      <c r="I8113" s="11">
        <v>2</v>
      </c>
      <c r="J8113" s="11">
        <v>0</v>
      </c>
      <c r="K8113" s="11" t="s">
        <v>21</v>
      </c>
      <c r="L8113" s="7">
        <v>40707.29886574074</v>
      </c>
      <c r="M8113" s="12" t="s">
        <v>17715</v>
      </c>
      <c r="N8113" s="12" t="s">
        <v>17716</v>
      </c>
      <c r="O8113" s="10" t="str">
        <f>HYPERLINK("https://pbs.twimg.com/profile_images/670100002354700288/alUCl1Z-_normal.jpg","View")</f>
        <v>View</v>
      </c>
      <c r="P8113" s="11"/>
    </row>
    <row r="8114" spans="1:16" ht="12.75" x14ac:dyDescent="0.35">
      <c r="A8114" s="7">
        <v>42485.320648148147</v>
      </c>
      <c r="B8114" s="8" t="str">
        <f>HYPERLINK("https://twitter.com/SolidStateMonk","@SolidStateMonk")</f>
        <v>@SolidStateMonk</v>
      </c>
      <c r="C8114" s="9" t="s">
        <v>17717</v>
      </c>
      <c r="D8114" s="9" t="s">
        <v>17714</v>
      </c>
      <c r="E8114" s="10" t="str">
        <f>HYPERLINK("https://twitter.com/SolidStateMonk/status/724420598831570945","724420598831570945")</f>
        <v>724420598831570945</v>
      </c>
      <c r="F8114" s="11" t="s">
        <v>20</v>
      </c>
      <c r="G8114" s="11">
        <v>1188</v>
      </c>
      <c r="H8114" s="11">
        <v>2006</v>
      </c>
      <c r="I8114" s="11">
        <v>2</v>
      </c>
      <c r="J8114" s="11">
        <v>0</v>
      </c>
      <c r="K8114" s="11" t="s">
        <v>21</v>
      </c>
      <c r="L8114" s="7">
        <v>40715.265636574077</v>
      </c>
      <c r="M8114" s="12"/>
      <c r="N8114" s="12" t="s">
        <v>17718</v>
      </c>
      <c r="O8114" s="10" t="str">
        <f>HYPERLINK("https://pbs.twimg.com/profile_images/1574591925/image_normal.jpg","View")</f>
        <v>View</v>
      </c>
      <c r="P8114" s="11"/>
    </row>
    <row r="8115" spans="1:16" ht="12.75" x14ac:dyDescent="0.35">
      <c r="A8115" s="7">
        <v>42485.321296296301</v>
      </c>
      <c r="B8115" s="8" t="str">
        <f>HYPERLINK("https://twitter.com/whats_live","@whats_live")</f>
        <v>@whats_live</v>
      </c>
      <c r="C8115" s="9" t="s">
        <v>13653</v>
      </c>
      <c r="D8115" s="9" t="s">
        <v>17719</v>
      </c>
      <c r="E8115" s="10" t="str">
        <f>HYPERLINK("https://twitter.com/whats_live/status/724420834329268224","724420834329268224")</f>
        <v>724420834329268224</v>
      </c>
      <c r="F8115" s="11" t="s">
        <v>43</v>
      </c>
      <c r="G8115" s="11">
        <v>279</v>
      </c>
      <c r="H8115" s="11">
        <v>323</v>
      </c>
      <c r="I8115" s="11">
        <v>1</v>
      </c>
      <c r="J8115" s="11">
        <v>0</v>
      </c>
      <c r="K8115" s="11" t="s">
        <v>21</v>
      </c>
      <c r="L8115" s="7">
        <v>42121.851030092592</v>
      </c>
      <c r="M8115" s="12" t="s">
        <v>13655</v>
      </c>
      <c r="N8115" s="12" t="s">
        <v>13656</v>
      </c>
      <c r="O8115" s="10" t="str">
        <f>HYPERLINK("https://pbs.twimg.com/profile_images/600965523518566400/l0bcJH8l_normal.jpg","View")</f>
        <v>View</v>
      </c>
      <c r="P8115" s="11"/>
    </row>
    <row r="8116" spans="1:16" ht="12.75" x14ac:dyDescent="0.35">
      <c r="A8116" s="7">
        <v>42485.322337962964</v>
      </c>
      <c r="B8116" s="8" t="str">
        <f>HYPERLINK("https://twitter.com/cmsGOMEX","@cmsGOMEX")</f>
        <v>@cmsGOMEX</v>
      </c>
      <c r="C8116" s="9" t="s">
        <v>2519</v>
      </c>
      <c r="D8116" s="9" t="s">
        <v>17720</v>
      </c>
      <c r="E8116" s="10" t="str">
        <f>HYPERLINK("https://twitter.com/cmsGOMEX/status/724421212001173504","724421212001173504")</f>
        <v>724421212001173504</v>
      </c>
      <c r="F8116" s="11" t="s">
        <v>43</v>
      </c>
      <c r="G8116" s="11">
        <v>652</v>
      </c>
      <c r="H8116" s="11">
        <v>462</v>
      </c>
      <c r="I8116" s="11">
        <v>0</v>
      </c>
      <c r="J8116" s="11">
        <v>0</v>
      </c>
      <c r="K8116" s="11" t="s">
        <v>21</v>
      </c>
      <c r="L8116" s="7">
        <v>39983.775879629626</v>
      </c>
      <c r="M8116" s="12" t="s">
        <v>1116</v>
      </c>
      <c r="N8116" s="12" t="s">
        <v>2521</v>
      </c>
      <c r="O8116" s="10" t="str">
        <f>HYPERLINK("https://pbs.twimg.com/profile_images/472298206483607552/UogAMiRI_normal.png","View")</f>
        <v>View</v>
      </c>
      <c r="P8116" s="11"/>
    </row>
    <row r="8117" spans="1:16" ht="12.75" x14ac:dyDescent="0.35">
      <c r="A8117" s="7">
        <v>42485.325601851851</v>
      </c>
      <c r="B8117" s="8" t="str">
        <f>HYPERLINK("https://twitter.com/fakundo_diaz","@fakundo_diaz")</f>
        <v>@fakundo_diaz</v>
      </c>
      <c r="C8117" s="9" t="s">
        <v>17721</v>
      </c>
      <c r="D8117" s="9" t="s">
        <v>17722</v>
      </c>
      <c r="E8117" s="10" t="str">
        <f>HYPERLINK("https://twitter.com/fakundo_diaz/status/724422394392248320","724422394392248320")</f>
        <v>724422394392248320</v>
      </c>
      <c r="F8117" s="11" t="s">
        <v>48</v>
      </c>
      <c r="G8117" s="11">
        <v>650</v>
      </c>
      <c r="H8117" s="11">
        <v>2238</v>
      </c>
      <c r="I8117" s="11">
        <v>18</v>
      </c>
      <c r="J8117" s="11">
        <v>0</v>
      </c>
      <c r="K8117" s="11" t="s">
        <v>21</v>
      </c>
      <c r="L8117" s="7">
        <v>42298.324849537035</v>
      </c>
      <c r="M8117" s="12"/>
      <c r="N8117" s="12" t="s">
        <v>17723</v>
      </c>
      <c r="O8117" s="10" t="str">
        <f>HYPERLINK("https://pbs.twimg.com/profile_images/669521930270167040/XVOJdTfV_normal.jpg","View")</f>
        <v>View</v>
      </c>
      <c r="P8117" s="11"/>
    </row>
    <row r="8118" spans="1:16" ht="12.75" x14ac:dyDescent="0.35">
      <c r="A8118" s="7">
        <v>42485.32649305556</v>
      </c>
      <c r="B8118" s="8" t="str">
        <f>HYPERLINK("https://twitter.com/Automotive_News","@Automotive_News")</f>
        <v>@Automotive_News</v>
      </c>
      <c r="C8118" s="9" t="s">
        <v>3439</v>
      </c>
      <c r="D8118" s="9" t="s">
        <v>17724</v>
      </c>
      <c r="E8118" s="10" t="str">
        <f>HYPERLINK("https://twitter.com/Automotive_News/status/724422715302666241","724422715302666241")</f>
        <v>724422715302666241</v>
      </c>
      <c r="F8118" s="11" t="s">
        <v>43</v>
      </c>
      <c r="G8118" s="11">
        <v>134240</v>
      </c>
      <c r="H8118" s="11">
        <v>2606</v>
      </c>
      <c r="I8118" s="11">
        <v>4</v>
      </c>
      <c r="J8118" s="11">
        <v>4</v>
      </c>
      <c r="K8118" s="11" t="s">
        <v>21</v>
      </c>
      <c r="L8118" s="7">
        <v>39570.981458333335</v>
      </c>
      <c r="M8118" s="12" t="s">
        <v>3441</v>
      </c>
      <c r="N8118" s="12" t="s">
        <v>3442</v>
      </c>
      <c r="O8118" s="10" t="str">
        <f>HYPERLINK("https://pbs.twimg.com/profile_images/378800000534775382/4bec857571a11a945880576a81c8720e_normal.jpeg","View")</f>
        <v>View</v>
      </c>
      <c r="P8118" s="11"/>
    </row>
    <row r="8119" spans="1:16" ht="12.75" x14ac:dyDescent="0.35">
      <c r="A8119" s="7">
        <v>42485.32739583333</v>
      </c>
      <c r="B8119" s="8" t="str">
        <f>HYPERLINK("https://twitter.com/fowwow","@fowwow")</f>
        <v>@fowwow</v>
      </c>
      <c r="C8119" s="9" t="s">
        <v>17725</v>
      </c>
      <c r="D8119" s="9" t="s">
        <v>17726</v>
      </c>
      <c r="E8119" s="10" t="str">
        <f>HYPERLINK("https://twitter.com/fowwow/status/724423045591367681","724423045591367681")</f>
        <v>724423045591367681</v>
      </c>
      <c r="F8119" s="11" t="s">
        <v>20</v>
      </c>
      <c r="G8119" s="11">
        <v>4597</v>
      </c>
      <c r="H8119" s="11">
        <v>1390</v>
      </c>
      <c r="I8119" s="11">
        <v>4</v>
      </c>
      <c r="J8119" s="11">
        <v>0</v>
      </c>
      <c r="K8119" s="11" t="s">
        <v>21</v>
      </c>
      <c r="L8119" s="7">
        <v>39839.840462962966</v>
      </c>
      <c r="M8119" s="12" t="s">
        <v>17727</v>
      </c>
      <c r="N8119" s="12" t="s">
        <v>17728</v>
      </c>
      <c r="O8119" s="10" t="str">
        <f>HYPERLINK("https://pbs.twimg.com/profile_images/719182919592325120/IBGd05b6_normal.jpg","View")</f>
        <v>View</v>
      </c>
      <c r="P8119" s="11"/>
    </row>
    <row r="8120" spans="1:16" ht="12.75" x14ac:dyDescent="0.35">
      <c r="A8120" s="7">
        <v>42485.327627314815</v>
      </c>
      <c r="B8120" s="8" t="str">
        <f>HYPERLINK("https://twitter.com/Floppii_Chiara","@Floppii_Chiara")</f>
        <v>@Floppii_Chiara</v>
      </c>
      <c r="C8120" s="9" t="s">
        <v>13885</v>
      </c>
      <c r="D8120" s="9" t="s">
        <v>17056</v>
      </c>
      <c r="E8120" s="10" t="str">
        <f>HYPERLINK("https://twitter.com/Floppii_Chiara/status/724423128470925312","724423128470925312")</f>
        <v>724423128470925312</v>
      </c>
      <c r="F8120" s="11" t="s">
        <v>48</v>
      </c>
      <c r="G8120" s="11">
        <v>2051</v>
      </c>
      <c r="H8120" s="11">
        <v>1817</v>
      </c>
      <c r="I8120" s="11">
        <v>8</v>
      </c>
      <c r="J8120" s="11">
        <v>0</v>
      </c>
      <c r="K8120" s="11" t="s">
        <v>21</v>
      </c>
      <c r="L8120" s="7">
        <v>41739.011296296296</v>
      </c>
      <c r="M8120" s="12" t="s">
        <v>13886</v>
      </c>
      <c r="N8120" s="12" t="s">
        <v>17729</v>
      </c>
      <c r="O8120" s="10" t="str">
        <f>HYPERLINK("https://pbs.twimg.com/profile_images/721334921982296065/-8sj1MgA_normal.jpg","View")</f>
        <v>View</v>
      </c>
      <c r="P8120" s="11"/>
    </row>
    <row r="8121" spans="1:16" ht="12.75" x14ac:dyDescent="0.35">
      <c r="A8121" s="7">
        <v>42485.327743055561</v>
      </c>
      <c r="B8121" s="8" t="str">
        <f>HYPERLINK("https://twitter.com/enano_81","@enano_81")</f>
        <v>@enano_81</v>
      </c>
      <c r="C8121" s="9" t="s">
        <v>6453</v>
      </c>
      <c r="D8121" s="9" t="s">
        <v>6426</v>
      </c>
      <c r="E8121" s="10" t="str">
        <f>HYPERLINK("https://twitter.com/enano_81/status/724423171726671872","724423171726671872")</f>
        <v>724423171726671872</v>
      </c>
      <c r="F8121" s="11" t="s">
        <v>20</v>
      </c>
      <c r="G8121" s="11">
        <v>193</v>
      </c>
      <c r="H8121" s="11">
        <v>731</v>
      </c>
      <c r="I8121" s="11">
        <v>3</v>
      </c>
      <c r="J8121" s="11">
        <v>0</v>
      </c>
      <c r="K8121" s="11" t="s">
        <v>21</v>
      </c>
      <c r="L8121" s="7">
        <v>41379.396331018521</v>
      </c>
      <c r="M8121" s="12"/>
      <c r="N8121" s="12" t="s">
        <v>6454</v>
      </c>
      <c r="O8121" s="10" t="str">
        <f>HYPERLINK("https://pbs.twimg.com/profile_images/689509767400820737/RMJYtaTw_normal.jpg","View")</f>
        <v>View</v>
      </c>
      <c r="P8121" s="11"/>
    </row>
    <row r="8122" spans="1:16" ht="12.75" x14ac:dyDescent="0.35">
      <c r="A8122" s="7">
        <v>42485.328078703707</v>
      </c>
      <c r="B8122" s="8" t="str">
        <f>HYPERLINK("https://twitter.com/cmsGOMEX","@cmsGOMEX")</f>
        <v>@cmsGOMEX</v>
      </c>
      <c r="C8122" s="9" t="s">
        <v>2519</v>
      </c>
      <c r="D8122" s="9" t="s">
        <v>17730</v>
      </c>
      <c r="E8122" s="10" t="str">
        <f>HYPERLINK("https://twitter.com/cmsGOMEX/status/724423290027163648","724423290027163648")</f>
        <v>724423290027163648</v>
      </c>
      <c r="F8122" s="11" t="s">
        <v>43</v>
      </c>
      <c r="G8122" s="11">
        <v>652</v>
      </c>
      <c r="H8122" s="11">
        <v>462</v>
      </c>
      <c r="I8122" s="11">
        <v>0</v>
      </c>
      <c r="J8122" s="11">
        <v>0</v>
      </c>
      <c r="K8122" s="11" t="s">
        <v>21</v>
      </c>
      <c r="L8122" s="7">
        <v>39983.775879629626</v>
      </c>
      <c r="M8122" s="12" t="s">
        <v>1116</v>
      </c>
      <c r="N8122" s="12" t="s">
        <v>2521</v>
      </c>
      <c r="O8122" s="10" t="str">
        <f>HYPERLINK("https://pbs.twimg.com/profile_images/472298206483607552/UogAMiRI_normal.png","View")</f>
        <v>View</v>
      </c>
      <c r="P8122" s="11"/>
    </row>
    <row r="8123" spans="1:16" ht="12.75" x14ac:dyDescent="0.35">
      <c r="A8123" s="7">
        <v>42485.328125</v>
      </c>
      <c r="B8123" s="8" t="str">
        <f>HYPERLINK("https://twitter.com/elipruelas","@elipruelas")</f>
        <v>@elipruelas</v>
      </c>
      <c r="C8123" s="9" t="s">
        <v>17731</v>
      </c>
      <c r="D8123" s="9" t="s">
        <v>17726</v>
      </c>
      <c r="E8123" s="10" t="str">
        <f>HYPERLINK("https://twitter.com/elipruelas/status/724423306653265920","724423306653265920")</f>
        <v>724423306653265920</v>
      </c>
      <c r="F8123" s="11" t="s">
        <v>20</v>
      </c>
      <c r="G8123" s="11">
        <v>233</v>
      </c>
      <c r="H8123" s="11">
        <v>915</v>
      </c>
      <c r="I8123" s="11">
        <v>4</v>
      </c>
      <c r="J8123" s="11">
        <v>0</v>
      </c>
      <c r="K8123" s="11" t="s">
        <v>21</v>
      </c>
      <c r="L8123" s="7">
        <v>41764.1878587963</v>
      </c>
      <c r="M8123" s="12"/>
      <c r="N8123" s="12" t="s">
        <v>17732</v>
      </c>
      <c r="O8123" s="10" t="str">
        <f>HYPERLINK("https://pbs.twimg.com/profile_images/463092391977562112/EHmmwsgC_normal.jpeg","View")</f>
        <v>View</v>
      </c>
      <c r="P8123" s="11"/>
    </row>
    <row r="8124" spans="1:16" ht="12.75" x14ac:dyDescent="0.35">
      <c r="A8124" s="7">
        <v>42485.328877314816</v>
      </c>
      <c r="B8124" s="8" t="str">
        <f>HYPERLINK("https://twitter.com/Floppii_Chiara","@Floppii_Chiara")</f>
        <v>@Floppii_Chiara</v>
      </c>
      <c r="C8124" s="9" t="s">
        <v>13885</v>
      </c>
      <c r="D8124" s="9" t="s">
        <v>17722</v>
      </c>
      <c r="E8124" s="10" t="str">
        <f>HYPERLINK("https://twitter.com/Floppii_Chiara/status/724423579488641025","724423579488641025")</f>
        <v>724423579488641025</v>
      </c>
      <c r="F8124" s="11" t="s">
        <v>48</v>
      </c>
      <c r="G8124" s="11">
        <v>2051</v>
      </c>
      <c r="H8124" s="11">
        <v>1817</v>
      </c>
      <c r="I8124" s="11">
        <v>18</v>
      </c>
      <c r="J8124" s="11">
        <v>0</v>
      </c>
      <c r="K8124" s="11" t="s">
        <v>21</v>
      </c>
      <c r="L8124" s="7">
        <v>41739.011296296296</v>
      </c>
      <c r="M8124" s="12" t="s">
        <v>13886</v>
      </c>
      <c r="N8124" s="12" t="s">
        <v>17729</v>
      </c>
      <c r="O8124" s="10" t="str">
        <f>HYPERLINK("https://pbs.twimg.com/profile_images/721334921982296065/-8sj1MgA_normal.jpg","View")</f>
        <v>View</v>
      </c>
      <c r="P8124" s="11"/>
    </row>
    <row r="8125" spans="1:16" ht="12.75" x14ac:dyDescent="0.35">
      <c r="A8125" s="7">
        <v>42485.329155092593</v>
      </c>
      <c r="B8125" s="8" t="str">
        <f>HYPERLINK("https://twitter.com/HotRidesDaily1","@HotRidesDaily1")</f>
        <v>@HotRidesDaily1</v>
      </c>
      <c r="C8125" s="9" t="s">
        <v>3493</v>
      </c>
      <c r="D8125" s="9" t="s">
        <v>17726</v>
      </c>
      <c r="E8125" s="10" t="str">
        <f>HYPERLINK("https://twitter.com/HotRidesDaily1/status/724423680000970752","724423680000970752")</f>
        <v>724423680000970752</v>
      </c>
      <c r="F8125" s="11" t="s">
        <v>288</v>
      </c>
      <c r="G8125" s="11">
        <v>5887</v>
      </c>
      <c r="H8125" s="11">
        <v>5965</v>
      </c>
      <c r="I8125" s="11">
        <v>4</v>
      </c>
      <c r="J8125" s="11">
        <v>0</v>
      </c>
      <c r="K8125" s="11" t="s">
        <v>21</v>
      </c>
      <c r="L8125" s="7">
        <v>42081.312824074077</v>
      </c>
      <c r="M8125" s="12"/>
      <c r="N8125" s="12" t="s">
        <v>3494</v>
      </c>
      <c r="O8125" s="10" t="str">
        <f>HYPERLINK("https://pbs.twimg.com/profile_images/578040776237588480/ExmIRu0n_normal.jpeg","View")</f>
        <v>View</v>
      </c>
      <c r="P8125" s="11"/>
    </row>
    <row r="8126" spans="1:16" ht="12.75" x14ac:dyDescent="0.35">
      <c r="A8126" s="7">
        <v>42485.329282407409</v>
      </c>
      <c r="B8126" s="8" t="str">
        <f>HYPERLINK("https://twitter.com/cxc4155","@cxc4155")</f>
        <v>@cxc4155</v>
      </c>
      <c r="C8126" s="9" t="s">
        <v>17733</v>
      </c>
      <c r="D8126" s="9" t="s">
        <v>17726</v>
      </c>
      <c r="E8126" s="10" t="str">
        <f>HYPERLINK("https://twitter.com/cxc4155/status/724423727178358784","724423727178358784")</f>
        <v>724423727178358784</v>
      </c>
      <c r="F8126" s="11" t="s">
        <v>91</v>
      </c>
      <c r="G8126" s="11">
        <v>292</v>
      </c>
      <c r="H8126" s="11">
        <v>495</v>
      </c>
      <c r="I8126" s="11">
        <v>4</v>
      </c>
      <c r="J8126" s="11">
        <v>0</v>
      </c>
      <c r="K8126" s="11" t="s">
        <v>21</v>
      </c>
      <c r="L8126" s="7">
        <v>40275.483101851853</v>
      </c>
      <c r="M8126" s="12" t="s">
        <v>17734</v>
      </c>
      <c r="N8126" s="12"/>
      <c r="O8126" s="10" t="str">
        <f>HYPERLINK("https://abs.twimg.com/sticky/default_profile_images/default_profile_0_normal.png","View")</f>
        <v>View</v>
      </c>
      <c r="P8126" s="11"/>
    </row>
    <row r="8127" spans="1:16" ht="12.75" x14ac:dyDescent="0.35">
      <c r="A8127" s="7">
        <v>42485.330289351856</v>
      </c>
      <c r="B8127" s="8" t="str">
        <f>HYPERLINK("https://twitter.com/DeeZeeX","@DeeZeeX")</f>
        <v>@DeeZeeX</v>
      </c>
      <c r="C8127" s="9" t="s">
        <v>17735</v>
      </c>
      <c r="D8127" s="9" t="s">
        <v>17736</v>
      </c>
      <c r="E8127" s="10" t="str">
        <f>HYPERLINK("https://twitter.com/DeeZeeX/status/724424092225433600","724424092225433600")</f>
        <v>724424092225433600</v>
      </c>
      <c r="F8127" s="11" t="s">
        <v>3721</v>
      </c>
      <c r="G8127" s="11">
        <v>477</v>
      </c>
      <c r="H8127" s="11">
        <v>660</v>
      </c>
      <c r="I8127" s="11">
        <v>1</v>
      </c>
      <c r="J8127" s="11">
        <v>0</v>
      </c>
      <c r="K8127" s="11" t="s">
        <v>21</v>
      </c>
      <c r="L8127" s="7">
        <v>40801.805127314816</v>
      </c>
      <c r="M8127" s="12" t="s">
        <v>17737</v>
      </c>
      <c r="N8127" s="12" t="s">
        <v>17738</v>
      </c>
      <c r="O8127" s="10" t="str">
        <f>HYPERLINK("https://pbs.twimg.com/profile_images/720623345029423104/TUxoNGEM_normal.jpg","View")</f>
        <v>View</v>
      </c>
      <c r="P8127" s="11"/>
    </row>
    <row r="8128" spans="1:16" ht="12.75" x14ac:dyDescent="0.35">
      <c r="A8128" s="7">
        <v>42485.331226851849</v>
      </c>
      <c r="B8128" s="8" t="str">
        <f>HYPERLINK("https://twitter.com/Lil_Lorii","@Lil_Lorii")</f>
        <v>@Lil_Lorii</v>
      </c>
      <c r="C8128" s="9" t="s">
        <v>17670</v>
      </c>
      <c r="D8128" s="9" t="s">
        <v>17739</v>
      </c>
      <c r="E8128" s="10" t="str">
        <f>HYPERLINK("https://twitter.com/Lil_Lorii/status/724424431615922176","724424431615922176")</f>
        <v>724424431615922176</v>
      </c>
      <c r="F8128" s="11" t="s">
        <v>20</v>
      </c>
      <c r="G8128" s="11">
        <v>316</v>
      </c>
      <c r="H8128" s="11">
        <v>55</v>
      </c>
      <c r="I8128" s="11">
        <v>0</v>
      </c>
      <c r="J8128" s="11">
        <v>0</v>
      </c>
      <c r="K8128" s="11" t="s">
        <v>21</v>
      </c>
      <c r="L8128" s="7">
        <v>40266.510358796295</v>
      </c>
      <c r="M8128" s="12" t="s">
        <v>1275</v>
      </c>
      <c r="N8128" s="12" t="s">
        <v>17672</v>
      </c>
      <c r="O8128" s="10" t="str">
        <f>HYPERLINK("https://pbs.twimg.com/profile_images/721367110065127424/QmjA60l4_normal.jpg","View")</f>
        <v>View</v>
      </c>
      <c r="P8128" s="11"/>
    </row>
    <row r="8129" spans="1:16" ht="12.75" x14ac:dyDescent="0.35">
      <c r="A8129" s="7">
        <v>42485.331469907411</v>
      </c>
      <c r="B8129" s="8" t="str">
        <f>HYPERLINK("https://twitter.com/DeeZeeX","@DeeZeeX")</f>
        <v>@DeeZeeX</v>
      </c>
      <c r="C8129" s="9" t="s">
        <v>17735</v>
      </c>
      <c r="D8129" s="9" t="s">
        <v>17740</v>
      </c>
      <c r="E8129" s="10" t="str">
        <f>HYPERLINK("https://twitter.com/DeeZeeX/status/724424522141593600","724424522141593600")</f>
        <v>724424522141593600</v>
      </c>
      <c r="F8129" s="11" t="s">
        <v>3721</v>
      </c>
      <c r="G8129" s="11">
        <v>477</v>
      </c>
      <c r="H8129" s="11">
        <v>660</v>
      </c>
      <c r="I8129" s="11">
        <v>1</v>
      </c>
      <c r="J8129" s="11">
        <v>0</v>
      </c>
      <c r="K8129" s="11" t="s">
        <v>21</v>
      </c>
      <c r="L8129" s="7">
        <v>40801.805127314816</v>
      </c>
      <c r="M8129" s="12" t="s">
        <v>17737</v>
      </c>
      <c r="N8129" s="12" t="s">
        <v>17738</v>
      </c>
      <c r="O8129" s="10" t="str">
        <f>HYPERLINK("https://pbs.twimg.com/profile_images/720623345029423104/TUxoNGEM_normal.jpg","View")</f>
        <v>View</v>
      </c>
      <c r="P8129" s="11"/>
    </row>
    <row r="8130" spans="1:16" ht="12.75" x14ac:dyDescent="0.35">
      <c r="A8130" s="7">
        <v>42485.331701388888</v>
      </c>
      <c r="B8130" s="8" t="str">
        <f>HYPERLINK("https://twitter.com/Nanno2033","@Nanno2033")</f>
        <v>@Nanno2033</v>
      </c>
      <c r="C8130" s="9" t="s">
        <v>17741</v>
      </c>
      <c r="D8130" s="9" t="s">
        <v>17742</v>
      </c>
      <c r="E8130" s="10" t="str">
        <f>HYPERLINK("https://twitter.com/Nanno2033/status/724424606292021248","724424606292021248")</f>
        <v>724424606292021248</v>
      </c>
      <c r="F8130" s="11" t="s">
        <v>48</v>
      </c>
      <c r="G8130" s="11">
        <v>291</v>
      </c>
      <c r="H8130" s="11">
        <v>202</v>
      </c>
      <c r="I8130" s="11">
        <v>0</v>
      </c>
      <c r="J8130" s="11">
        <v>0</v>
      </c>
      <c r="K8130" s="11" t="s">
        <v>21</v>
      </c>
      <c r="L8130" s="7">
        <v>40421.055543981478</v>
      </c>
      <c r="M8130" s="12" t="s">
        <v>17743</v>
      </c>
      <c r="N8130" s="12" t="s">
        <v>17744</v>
      </c>
      <c r="O8130" s="10" t="str">
        <f>HYPERLINK("https://pbs.twimg.com/profile_images/690000045916229633/htjgPesK_normal.jpg","View")</f>
        <v>View</v>
      </c>
      <c r="P8130" s="11"/>
    </row>
    <row r="8131" spans="1:16" ht="12.75" x14ac:dyDescent="0.35">
      <c r="A8131" s="7">
        <v>42485.331979166665</v>
      </c>
      <c r="B8131" s="8" t="str">
        <f>HYPERLINK("https://twitter.com/dougyfresh_79","@dougyfresh_79")</f>
        <v>@dougyfresh_79</v>
      </c>
      <c r="C8131" s="9" t="s">
        <v>17745</v>
      </c>
      <c r="D8131" s="9" t="s">
        <v>17746</v>
      </c>
      <c r="E8131" s="10" t="str">
        <f>HYPERLINK("https://twitter.com/dougyfresh_79/status/724424704350507009","724424704350507009")</f>
        <v>724424704350507009</v>
      </c>
      <c r="F8131" s="11" t="s">
        <v>367</v>
      </c>
      <c r="G8131" s="11">
        <v>1482</v>
      </c>
      <c r="H8131" s="11">
        <v>1671</v>
      </c>
      <c r="I8131" s="11">
        <v>1</v>
      </c>
      <c r="J8131" s="11">
        <v>0</v>
      </c>
      <c r="K8131" s="11" t="s">
        <v>21</v>
      </c>
      <c r="L8131" s="7">
        <v>42261.104803240742</v>
      </c>
      <c r="M8131" s="12" t="s">
        <v>17747</v>
      </c>
      <c r="N8131" s="12" t="s">
        <v>17748</v>
      </c>
      <c r="O8131" s="10" t="str">
        <f>HYPERLINK("https://pbs.twimg.com/profile_images/645778032838492167/ootRftiU_normal.jpg","View")</f>
        <v>View</v>
      </c>
      <c r="P8131" s="11"/>
    </row>
    <row r="8132" spans="1:16" ht="12.75" x14ac:dyDescent="0.35">
      <c r="A8132" s="7">
        <v>42485.332013888888</v>
      </c>
      <c r="B8132" s="8" t="str">
        <f>HYPERLINK("https://twitter.com/cmsGOMEX","@cmsGOMEX")</f>
        <v>@cmsGOMEX</v>
      </c>
      <c r="C8132" s="9" t="s">
        <v>2519</v>
      </c>
      <c r="D8132" s="9" t="s">
        <v>17749</v>
      </c>
      <c r="E8132" s="10" t="str">
        <f>HYPERLINK("https://twitter.com/cmsGOMEX/status/724424717143269376","724424717143269376")</f>
        <v>724424717143269376</v>
      </c>
      <c r="F8132" s="11" t="s">
        <v>43</v>
      </c>
      <c r="G8132" s="11">
        <v>652</v>
      </c>
      <c r="H8132" s="11">
        <v>462</v>
      </c>
      <c r="I8132" s="11">
        <v>0</v>
      </c>
      <c r="J8132" s="11">
        <v>0</v>
      </c>
      <c r="K8132" s="11" t="s">
        <v>21</v>
      </c>
      <c r="L8132" s="7">
        <v>39983.775879629626</v>
      </c>
      <c r="M8132" s="12" t="s">
        <v>1116</v>
      </c>
      <c r="N8132" s="12" t="s">
        <v>2521</v>
      </c>
      <c r="O8132" s="10" t="str">
        <f>HYPERLINK("https://pbs.twimg.com/profile_images/472298206483607552/UogAMiRI_normal.png","View")</f>
        <v>View</v>
      </c>
      <c r="P8132" s="11"/>
    </row>
    <row r="8133" spans="1:16" ht="12.75" x14ac:dyDescent="0.35">
      <c r="A8133" s="7">
        <v>42485.332812499997</v>
      </c>
      <c r="B8133" s="8" t="str">
        <f>HYPERLINK("https://twitter.com/DeeZeeX","@DeeZeeX")</f>
        <v>@DeeZeeX</v>
      </c>
      <c r="C8133" s="9" t="s">
        <v>17735</v>
      </c>
      <c r="D8133" s="9" t="s">
        <v>17750</v>
      </c>
      <c r="E8133" s="10" t="str">
        <f>HYPERLINK("https://twitter.com/DeeZeeX/status/724425006197788672","724425006197788672")</f>
        <v>724425006197788672</v>
      </c>
      <c r="F8133" s="11" t="s">
        <v>3721</v>
      </c>
      <c r="G8133" s="11">
        <v>477</v>
      </c>
      <c r="H8133" s="11">
        <v>660</v>
      </c>
      <c r="I8133" s="11">
        <v>0</v>
      </c>
      <c r="J8133" s="11">
        <v>0</v>
      </c>
      <c r="K8133" s="11" t="s">
        <v>21</v>
      </c>
      <c r="L8133" s="7">
        <v>40801.805127314816</v>
      </c>
      <c r="M8133" s="12" t="s">
        <v>17737</v>
      </c>
      <c r="N8133" s="12" t="s">
        <v>17738</v>
      </c>
      <c r="O8133" s="10" t="str">
        <f>HYPERLINK("https://pbs.twimg.com/profile_images/720623345029423104/TUxoNGEM_normal.jpg","View")</f>
        <v>View</v>
      </c>
      <c r="P8133" s="11"/>
    </row>
    <row r="8134" spans="1:16" ht="12.75" x14ac:dyDescent="0.35">
      <c r="A8134" s="7">
        <v>42485.332974537036</v>
      </c>
      <c r="B8134" s="8" t="str">
        <f>HYPERLINK("https://twitter.com/dougyfresh_79","@dougyfresh_79")</f>
        <v>@dougyfresh_79</v>
      </c>
      <c r="C8134" s="9" t="s">
        <v>17745</v>
      </c>
      <c r="D8134" s="9" t="s">
        <v>17751</v>
      </c>
      <c r="E8134" s="10" t="str">
        <f>HYPERLINK("https://twitter.com/dougyfresh_79/status/724425066771935232","724425066771935232")</f>
        <v>724425066771935232</v>
      </c>
      <c r="F8134" s="11" t="s">
        <v>367</v>
      </c>
      <c r="G8134" s="11">
        <v>1482</v>
      </c>
      <c r="H8134" s="11">
        <v>1671</v>
      </c>
      <c r="I8134" s="11">
        <v>1</v>
      </c>
      <c r="J8134" s="11">
        <v>0</v>
      </c>
      <c r="K8134" s="11" t="s">
        <v>21</v>
      </c>
      <c r="L8134" s="7">
        <v>42261.104803240742</v>
      </c>
      <c r="M8134" s="12" t="s">
        <v>17747</v>
      </c>
      <c r="N8134" s="12" t="s">
        <v>17748</v>
      </c>
      <c r="O8134" s="10" t="str">
        <f>HYPERLINK("https://pbs.twimg.com/profile_images/645778032838492167/ootRftiU_normal.jpg","View")</f>
        <v>View</v>
      </c>
      <c r="P8134" s="11"/>
    </row>
    <row r="8135" spans="1:16" ht="12.75" x14ac:dyDescent="0.35">
      <c r="A8135" s="7">
        <v>42485.334108796298</v>
      </c>
      <c r="B8135" s="8" t="str">
        <f>HYPERLINK("https://twitter.com/DeeZeeX","@DeeZeeX")</f>
        <v>@DeeZeeX</v>
      </c>
      <c r="C8135" s="9" t="s">
        <v>17735</v>
      </c>
      <c r="D8135" s="9" t="s">
        <v>17752</v>
      </c>
      <c r="E8135" s="10" t="str">
        <f>HYPERLINK("https://twitter.com/DeeZeeX/status/724425476828090368","724425476828090368")</f>
        <v>724425476828090368</v>
      </c>
      <c r="F8135" s="11" t="s">
        <v>3721</v>
      </c>
      <c r="G8135" s="11">
        <v>477</v>
      </c>
      <c r="H8135" s="11">
        <v>660</v>
      </c>
      <c r="I8135" s="11">
        <v>1</v>
      </c>
      <c r="J8135" s="11">
        <v>1</v>
      </c>
      <c r="K8135" s="11" t="s">
        <v>21</v>
      </c>
      <c r="L8135" s="7">
        <v>40801.805127314816</v>
      </c>
      <c r="M8135" s="12" t="s">
        <v>17737</v>
      </c>
      <c r="N8135" s="12" t="s">
        <v>17738</v>
      </c>
      <c r="O8135" s="10" t="str">
        <f>HYPERLINK("https://pbs.twimg.com/profile_images/720623345029423104/TUxoNGEM_normal.jpg","View")</f>
        <v>View</v>
      </c>
      <c r="P8135" s="11"/>
    </row>
    <row r="8136" spans="1:16" ht="12.75" x14ac:dyDescent="0.35">
      <c r="A8136" s="7">
        <v>42485.334594907406</v>
      </c>
      <c r="B8136" s="8" t="str">
        <f>HYPERLINK("https://twitter.com/AutostyleCoZa","@AutostyleCoZa")</f>
        <v>@AutostyleCoZa</v>
      </c>
      <c r="C8136" s="9" t="s">
        <v>17753</v>
      </c>
      <c r="D8136" s="9" t="s">
        <v>17754</v>
      </c>
      <c r="E8136" s="10" t="str">
        <f>HYPERLINK("https://twitter.com/AutostyleCoZa/status/724425652305334272","724425652305334272")</f>
        <v>724425652305334272</v>
      </c>
      <c r="F8136" s="11" t="s">
        <v>68</v>
      </c>
      <c r="G8136" s="11">
        <v>3377</v>
      </c>
      <c r="H8136" s="11">
        <v>594</v>
      </c>
      <c r="I8136" s="11">
        <v>0</v>
      </c>
      <c r="J8136" s="11">
        <v>0</v>
      </c>
      <c r="K8136" s="11" t="s">
        <v>21</v>
      </c>
      <c r="L8136" s="7">
        <v>40064.811064814814</v>
      </c>
      <c r="M8136" s="12" t="s">
        <v>17755</v>
      </c>
      <c r="N8136" s="12" t="s">
        <v>17756</v>
      </c>
      <c r="O8136" s="10" t="str">
        <f>HYPERLINK("https://pbs.twimg.com/profile_images/404564714/n219535500723_1136_normal.jpg","View")</f>
        <v>View</v>
      </c>
      <c r="P8136" s="11"/>
    </row>
    <row r="8137" spans="1:16" ht="12.75" x14ac:dyDescent="0.35">
      <c r="A8137" s="7">
        <v>42485.334652777776</v>
      </c>
      <c r="B8137" s="8" t="str">
        <f>HYPERLINK("https://twitter.com/vwpress_en","@vwpress_en")</f>
        <v>@vwpress_en</v>
      </c>
      <c r="C8137" s="9" t="s">
        <v>1685</v>
      </c>
      <c r="D8137" s="9" t="s">
        <v>17757</v>
      </c>
      <c r="E8137" s="10" t="str">
        <f>HYPERLINK("https://twitter.com/vwpress_en/status/724425675533357056","724425675533357056")</f>
        <v>724425675533357056</v>
      </c>
      <c r="F8137" s="11" t="s">
        <v>152</v>
      </c>
      <c r="G8137" s="11">
        <v>56327</v>
      </c>
      <c r="H8137" s="11">
        <v>339</v>
      </c>
      <c r="I8137" s="11">
        <v>3</v>
      </c>
      <c r="J8137" s="11">
        <v>10</v>
      </c>
      <c r="K8137" s="11" t="s">
        <v>21</v>
      </c>
      <c r="L8137" s="7">
        <v>42041.83189814815</v>
      </c>
      <c r="M8137" s="12" t="s">
        <v>1687</v>
      </c>
      <c r="N8137" s="12" t="s">
        <v>1688</v>
      </c>
      <c r="O8137" s="10" t="str">
        <f>HYPERLINK("https://pbs.twimg.com/profile_images/682117963349135360/IUfZQy35_normal.png","View")</f>
        <v>View</v>
      </c>
      <c r="P8137" s="11"/>
    </row>
    <row r="8138" spans="1:16" ht="12.75" x14ac:dyDescent="0.35">
      <c r="A8138" s="7">
        <v>42485.334791666668</v>
      </c>
      <c r="B8138" s="8" t="str">
        <f>HYPERLINK("https://twitter.com/SUPERFMELECTRO","@SUPERFMELECTRO")</f>
        <v>@SUPERFMELECTRO</v>
      </c>
      <c r="C8138" s="9" t="s">
        <v>17758</v>
      </c>
      <c r="D8138" s="9" t="s">
        <v>17759</v>
      </c>
      <c r="E8138" s="10" t="str">
        <f>HYPERLINK("https://twitter.com/SUPERFMELECTRO/status/724425723683938304","724425723683938304")</f>
        <v>724425723683938304</v>
      </c>
      <c r="F8138" s="11" t="s">
        <v>20</v>
      </c>
      <c r="G8138" s="11">
        <v>378</v>
      </c>
      <c r="H8138" s="11">
        <v>461</v>
      </c>
      <c r="I8138" s="11">
        <v>3</v>
      </c>
      <c r="J8138" s="11">
        <v>0</v>
      </c>
      <c r="K8138" s="11" t="s">
        <v>21</v>
      </c>
      <c r="L8138" s="7">
        <v>40576.17123842593</v>
      </c>
      <c r="M8138" s="12" t="s">
        <v>17760</v>
      </c>
      <c r="N8138" s="12" t="s">
        <v>17761</v>
      </c>
      <c r="O8138" s="10" t="str">
        <f>HYPERLINK("https://pbs.twimg.com/profile_images/592727746888998913/J4Qy4a3J_normal.png","View")</f>
        <v>View</v>
      </c>
      <c r="P8138" s="11"/>
    </row>
    <row r="8139" spans="1:16" ht="12.75" x14ac:dyDescent="0.35">
      <c r="A8139" s="7">
        <v>42485.335243055553</v>
      </c>
      <c r="B8139" s="8" t="str">
        <f>HYPERLINK("https://twitter.com/allandvd7","@allandvd7")</f>
        <v>@allandvd7</v>
      </c>
      <c r="C8139" s="9" t="s">
        <v>17762</v>
      </c>
      <c r="D8139" s="9" t="s">
        <v>17759</v>
      </c>
      <c r="E8139" s="10" t="str">
        <f>HYPERLINK("https://twitter.com/allandvd7/status/724425886808809472","724425886808809472")</f>
        <v>724425886808809472</v>
      </c>
      <c r="F8139" s="11" t="s">
        <v>48</v>
      </c>
      <c r="G8139" s="11">
        <v>34</v>
      </c>
      <c r="H8139" s="11">
        <v>186</v>
      </c>
      <c r="I8139" s="11">
        <v>3</v>
      </c>
      <c r="J8139" s="11">
        <v>0</v>
      </c>
      <c r="K8139" s="11" t="s">
        <v>21</v>
      </c>
      <c r="L8139" s="7">
        <v>42302.900335648148</v>
      </c>
      <c r="M8139" s="12" t="s">
        <v>17763</v>
      </c>
      <c r="N8139" s="12" t="s">
        <v>17764</v>
      </c>
      <c r="O8139" s="10" t="str">
        <f>HYPERLINK("https://pbs.twimg.com/profile_images/687722541268471808/zj-L4Cfy_normal.jpg","View")</f>
        <v>View</v>
      </c>
      <c r="P8139" s="11"/>
    </row>
    <row r="8140" spans="1:16" ht="12.75" x14ac:dyDescent="0.35">
      <c r="A8140" s="7">
        <v>42485.335277777776</v>
      </c>
      <c r="B8140" s="8" t="str">
        <f>HYPERLINK("https://twitter.com/1Feedom","@1Feedom")</f>
        <v>@1Feedom</v>
      </c>
      <c r="C8140" s="8" t="s">
        <v>10311</v>
      </c>
      <c r="D8140" s="9" t="s">
        <v>17765</v>
      </c>
      <c r="E8140" s="10" t="str">
        <f>HYPERLINK("https://twitter.com/1Feedom/status/724425901711208449","724425901711208449")</f>
        <v>724425901711208449</v>
      </c>
      <c r="F8140" s="11" t="s">
        <v>10313</v>
      </c>
      <c r="G8140" s="11">
        <v>10023</v>
      </c>
      <c r="H8140" s="11">
        <v>3626</v>
      </c>
      <c r="I8140" s="11">
        <v>0</v>
      </c>
      <c r="J8140" s="11">
        <v>0</v>
      </c>
      <c r="K8140" s="11" t="s">
        <v>21</v>
      </c>
      <c r="L8140" s="7">
        <v>41784.664236111115</v>
      </c>
      <c r="M8140" s="12" t="s">
        <v>10314</v>
      </c>
      <c r="N8140" s="12" t="s">
        <v>10315</v>
      </c>
      <c r="O8140" s="10" t="str">
        <f>HYPERLINK("https://pbs.twimg.com/profile_images/603357236874850304/6etULKc2_normal.jpg","View")</f>
        <v>View</v>
      </c>
      <c r="P8140" s="11"/>
    </row>
    <row r="8141" spans="1:16" ht="12.75" x14ac:dyDescent="0.35">
      <c r="A8141" s="7">
        <v>42485.335659722223</v>
      </c>
      <c r="B8141" s="8" t="str">
        <f>HYPERLINK("https://twitter.com/dougyfresh_79","@dougyfresh_79")</f>
        <v>@dougyfresh_79</v>
      </c>
      <c r="C8141" s="9" t="s">
        <v>17745</v>
      </c>
      <c r="D8141" s="9" t="s">
        <v>17766</v>
      </c>
      <c r="E8141" s="10" t="str">
        <f>HYPERLINK("https://twitter.com/dougyfresh_79/status/724426040530051072","724426040530051072")</f>
        <v>724426040530051072</v>
      </c>
      <c r="F8141" s="11" t="s">
        <v>367</v>
      </c>
      <c r="G8141" s="11">
        <v>1483</v>
      </c>
      <c r="H8141" s="11">
        <v>1671</v>
      </c>
      <c r="I8141" s="11">
        <v>1</v>
      </c>
      <c r="J8141" s="11">
        <v>0</v>
      </c>
      <c r="K8141" s="11" t="s">
        <v>21</v>
      </c>
      <c r="L8141" s="7">
        <v>42261.104803240742</v>
      </c>
      <c r="M8141" s="12" t="s">
        <v>17747</v>
      </c>
      <c r="N8141" s="12" t="s">
        <v>17748</v>
      </c>
      <c r="O8141" s="10" t="str">
        <f>HYPERLINK("https://pbs.twimg.com/profile_images/645778032838492167/ootRftiU_normal.jpg","View")</f>
        <v>View</v>
      </c>
      <c r="P8141" s="11"/>
    </row>
    <row r="8142" spans="1:16" ht="12.75" x14ac:dyDescent="0.35">
      <c r="A8142" s="7">
        <v>42485.335983796293</v>
      </c>
      <c r="B8142" s="8" t="str">
        <f>HYPERLINK("https://twitter.com/DeeZeeX","@DeeZeeX")</f>
        <v>@DeeZeeX</v>
      </c>
      <c r="C8142" s="9" t="s">
        <v>17735</v>
      </c>
      <c r="D8142" s="9" t="s">
        <v>17767</v>
      </c>
      <c r="E8142" s="10" t="str">
        <f>HYPERLINK("https://twitter.com/DeeZeeX/status/724426157009952768","724426157009952768")</f>
        <v>724426157009952768</v>
      </c>
      <c r="F8142" s="11" t="s">
        <v>3721</v>
      </c>
      <c r="G8142" s="11">
        <v>477</v>
      </c>
      <c r="H8142" s="11">
        <v>660</v>
      </c>
      <c r="I8142" s="11">
        <v>0</v>
      </c>
      <c r="J8142" s="11">
        <v>0</v>
      </c>
      <c r="K8142" s="11" t="s">
        <v>21</v>
      </c>
      <c r="L8142" s="7">
        <v>40801.805127314816</v>
      </c>
      <c r="M8142" s="12" t="s">
        <v>17737</v>
      </c>
      <c r="N8142" s="12" t="s">
        <v>17738</v>
      </c>
      <c r="O8142" s="10" t="str">
        <f>HYPERLINK("https://pbs.twimg.com/profile_images/720623345029423104/TUxoNGEM_normal.jpg","View")</f>
        <v>View</v>
      </c>
      <c r="P8142" s="11"/>
    </row>
    <row r="8143" spans="1:16" ht="12.75" x14ac:dyDescent="0.35">
      <c r="A8143" s="7">
        <v>42485.336099537039</v>
      </c>
      <c r="B8143" s="8" t="str">
        <f>HYPERLINK("https://twitter.com/OMoreano","@OMoreano")</f>
        <v>@OMoreano</v>
      </c>
      <c r="C8143" s="9" t="s">
        <v>17768</v>
      </c>
      <c r="D8143" s="9" t="s">
        <v>17759</v>
      </c>
      <c r="E8143" s="10" t="str">
        <f>HYPERLINK("https://twitter.com/OMoreano/status/724426200110780425","724426200110780425")</f>
        <v>724426200110780425</v>
      </c>
      <c r="F8143" s="11" t="s">
        <v>43</v>
      </c>
      <c r="G8143" s="11">
        <v>1148</v>
      </c>
      <c r="H8143" s="11">
        <v>1144</v>
      </c>
      <c r="I8143" s="11">
        <v>3</v>
      </c>
      <c r="J8143" s="11">
        <v>0</v>
      </c>
      <c r="K8143" s="11" t="s">
        <v>21</v>
      </c>
      <c r="L8143" s="7">
        <v>41131.143564814818</v>
      </c>
      <c r="M8143" s="12" t="s">
        <v>17769</v>
      </c>
      <c r="N8143" s="12" t="s">
        <v>17770</v>
      </c>
      <c r="O8143" s="10" t="str">
        <f>HYPERLINK("https://pbs.twimg.com/profile_images/671429217708613632/liLbMQTu_normal.jpg","View")</f>
        <v>View</v>
      </c>
      <c r="P8143" s="11"/>
    </row>
    <row r="8144" spans="1:16" ht="12.75" x14ac:dyDescent="0.35">
      <c r="A8144" s="7">
        <v>42485.336319444439</v>
      </c>
      <c r="B8144" s="8" t="str">
        <f>HYPERLINK("https://twitter.com/vwpress_en","@vwpress_en")</f>
        <v>@vwpress_en</v>
      </c>
      <c r="C8144" s="9" t="s">
        <v>1685</v>
      </c>
      <c r="D8144" s="9" t="s">
        <v>17771</v>
      </c>
      <c r="E8144" s="10" t="str">
        <f>HYPERLINK("https://twitter.com/vwpress_en/status/724426278879789056","724426278879789056")</f>
        <v>724426278879789056</v>
      </c>
      <c r="F8144" s="11" t="s">
        <v>152</v>
      </c>
      <c r="G8144" s="11">
        <v>56327</v>
      </c>
      <c r="H8144" s="11">
        <v>339</v>
      </c>
      <c r="I8144" s="11">
        <v>1</v>
      </c>
      <c r="J8144" s="11">
        <v>5</v>
      </c>
      <c r="K8144" s="11" t="s">
        <v>21</v>
      </c>
      <c r="L8144" s="7">
        <v>42041.83189814815</v>
      </c>
      <c r="M8144" s="12" t="s">
        <v>1687</v>
      </c>
      <c r="N8144" s="12" t="s">
        <v>1688</v>
      </c>
      <c r="O8144" s="10" t="str">
        <f>HYPERLINK("https://pbs.twimg.com/profile_images/682117963349135360/IUfZQy35_normal.png","View")</f>
        <v>View</v>
      </c>
      <c r="P8144" s="11"/>
    </row>
    <row r="8145" spans="1:16" ht="12.75" x14ac:dyDescent="0.35">
      <c r="A8145" s="7">
        <v>42485.336516203708</v>
      </c>
      <c r="B8145" s="8" t="str">
        <f>HYPERLINK("https://twitter.com/VWCamperSales","@VWCamperSales")</f>
        <v>@VWCamperSales</v>
      </c>
      <c r="C8145" s="9" t="s">
        <v>216</v>
      </c>
      <c r="D8145" s="9" t="s">
        <v>17772</v>
      </c>
      <c r="E8145" s="10" t="str">
        <f>HYPERLINK("https://twitter.com/VWCamperSales/status/724426350950408192","724426350950408192")</f>
        <v>724426350950408192</v>
      </c>
      <c r="F8145" s="10" t="s">
        <v>124</v>
      </c>
      <c r="G8145" s="11">
        <v>628</v>
      </c>
      <c r="H8145" s="11">
        <v>579</v>
      </c>
      <c r="I8145" s="11">
        <v>0</v>
      </c>
      <c r="J8145" s="11">
        <v>0</v>
      </c>
      <c r="K8145" s="11" t="s">
        <v>21</v>
      </c>
      <c r="L8145" s="7">
        <v>42215.98809027778</v>
      </c>
      <c r="M8145" s="12" t="s">
        <v>129</v>
      </c>
      <c r="N8145" s="12" t="s">
        <v>218</v>
      </c>
      <c r="O8145" s="10" t="str">
        <f>HYPERLINK("https://pbs.twimg.com/profile_images/627949001179037696/skEBkS05_normal.jpg","View")</f>
        <v>View</v>
      </c>
      <c r="P8145" s="11"/>
    </row>
    <row r="8146" spans="1:16" ht="12.75" x14ac:dyDescent="0.35">
      <c r="A8146" s="7">
        <v>42485.337905092594</v>
      </c>
      <c r="B8146" s="8" t="str">
        <f>HYPERLINK("https://twitter.com/DeeZeeX","@DeeZeeX")</f>
        <v>@DeeZeeX</v>
      </c>
      <c r="C8146" s="9" t="s">
        <v>17735</v>
      </c>
      <c r="D8146" s="9" t="s">
        <v>17773</v>
      </c>
      <c r="E8146" s="10" t="str">
        <f>HYPERLINK("https://twitter.com/DeeZeeX/status/724426850546520065","724426850546520065")</f>
        <v>724426850546520065</v>
      </c>
      <c r="F8146" s="11" t="s">
        <v>3721</v>
      </c>
      <c r="G8146" s="11">
        <v>477</v>
      </c>
      <c r="H8146" s="11">
        <v>660</v>
      </c>
      <c r="I8146" s="11">
        <v>0</v>
      </c>
      <c r="J8146" s="11">
        <v>0</v>
      </c>
      <c r="K8146" s="11" t="s">
        <v>21</v>
      </c>
      <c r="L8146" s="7">
        <v>40801.805127314816</v>
      </c>
      <c r="M8146" s="12" t="s">
        <v>17737</v>
      </c>
      <c r="N8146" s="12" t="s">
        <v>17738</v>
      </c>
      <c r="O8146" s="10" t="str">
        <f>HYPERLINK("https://pbs.twimg.com/profile_images/720623345029423104/TUxoNGEM_normal.jpg","View")</f>
        <v>View</v>
      </c>
      <c r="P8146" s="11"/>
    </row>
    <row r="8147" spans="1:16" ht="12.75" x14ac:dyDescent="0.35">
      <c r="A8147" s="7">
        <v>42485.338726851856</v>
      </c>
      <c r="B8147" s="8" t="str">
        <f>HYPERLINK("https://twitter.com/randyskilz","@randyskilz")</f>
        <v>@randyskilz</v>
      </c>
      <c r="C8147" s="9" t="s">
        <v>17774</v>
      </c>
      <c r="D8147" s="9" t="s">
        <v>17775</v>
      </c>
      <c r="E8147" s="10" t="str">
        <f>HYPERLINK("https://twitter.com/randyskilz/status/724427150678331392","724427150678331392")</f>
        <v>724427150678331392</v>
      </c>
      <c r="F8147" s="11" t="s">
        <v>114</v>
      </c>
      <c r="G8147" s="11">
        <v>308</v>
      </c>
      <c r="H8147" s="11">
        <v>534</v>
      </c>
      <c r="I8147" s="11">
        <v>0</v>
      </c>
      <c r="J8147" s="11">
        <v>0</v>
      </c>
      <c r="K8147" s="11" t="s">
        <v>21</v>
      </c>
      <c r="L8147" s="7">
        <v>39997.873217592591</v>
      </c>
      <c r="M8147" s="12" t="s">
        <v>17776</v>
      </c>
      <c r="N8147" s="12" t="s">
        <v>17777</v>
      </c>
      <c r="O8147" s="10" t="str">
        <f>HYPERLINK("https://pbs.twimg.com/profile_images/1308524846/IMG_0316_normal.PNG","View")</f>
        <v>View</v>
      </c>
      <c r="P8147" s="11"/>
    </row>
    <row r="8148" spans="1:16" ht="12.75" x14ac:dyDescent="0.35">
      <c r="A8148" s="7">
        <v>42485.339050925926</v>
      </c>
      <c r="B8148" s="8" t="str">
        <f t="shared" ref="B8148:B8149" si="845">HYPERLINK("https://twitter.com/DeeZeeX","@DeeZeeX")</f>
        <v>@DeeZeeX</v>
      </c>
      <c r="C8148" s="9" t="s">
        <v>17735</v>
      </c>
      <c r="D8148" s="9" t="s">
        <v>17778</v>
      </c>
      <c r="E8148" s="10" t="str">
        <f>HYPERLINK("https://twitter.com/DeeZeeX/status/724427267049283585","724427267049283585")</f>
        <v>724427267049283585</v>
      </c>
      <c r="F8148" s="11" t="s">
        <v>3721</v>
      </c>
      <c r="G8148" s="11">
        <v>477</v>
      </c>
      <c r="H8148" s="11">
        <v>660</v>
      </c>
      <c r="I8148" s="11">
        <v>0</v>
      </c>
      <c r="J8148" s="11">
        <v>0</v>
      </c>
      <c r="K8148" s="11" t="s">
        <v>21</v>
      </c>
      <c r="L8148" s="7">
        <v>40801.805127314816</v>
      </c>
      <c r="M8148" s="12" t="s">
        <v>17737</v>
      </c>
      <c r="N8148" s="12" t="s">
        <v>17738</v>
      </c>
      <c r="O8148" s="10" t="str">
        <f t="shared" ref="O8148:O8149" si="846">HYPERLINK("https://pbs.twimg.com/profile_images/720623345029423104/TUxoNGEM_normal.jpg","View")</f>
        <v>View</v>
      </c>
      <c r="P8148" s="11"/>
    </row>
    <row r="8149" spans="1:16" ht="12.75" x14ac:dyDescent="0.35">
      <c r="A8149" s="7">
        <v>42485.340335648143</v>
      </c>
      <c r="B8149" s="8" t="str">
        <f t="shared" si="845"/>
        <v>@DeeZeeX</v>
      </c>
      <c r="C8149" s="9" t="s">
        <v>17735</v>
      </c>
      <c r="D8149" s="9" t="s">
        <v>17779</v>
      </c>
      <c r="E8149" s="10" t="str">
        <f>HYPERLINK("https://twitter.com/DeeZeeX/status/724427732554108928","724427732554108928")</f>
        <v>724427732554108928</v>
      </c>
      <c r="F8149" s="11" t="s">
        <v>3721</v>
      </c>
      <c r="G8149" s="11">
        <v>477</v>
      </c>
      <c r="H8149" s="11">
        <v>660</v>
      </c>
      <c r="I8149" s="11">
        <v>0</v>
      </c>
      <c r="J8149" s="11">
        <v>0</v>
      </c>
      <c r="K8149" s="11" t="s">
        <v>21</v>
      </c>
      <c r="L8149" s="7">
        <v>40801.805127314816</v>
      </c>
      <c r="M8149" s="12" t="s">
        <v>17737</v>
      </c>
      <c r="N8149" s="12" t="s">
        <v>17738</v>
      </c>
      <c r="O8149" s="10" t="str">
        <f t="shared" si="846"/>
        <v>View</v>
      </c>
      <c r="P8149" s="11"/>
    </row>
    <row r="8150" spans="1:16" ht="12.75" x14ac:dyDescent="0.35">
      <c r="A8150" s="7">
        <v>42485.340381944443</v>
      </c>
      <c r="B8150" s="8" t="str">
        <f>HYPERLINK("https://twitter.com/CHUCHOZ","@CHUCHOZ")</f>
        <v>@CHUCHOZ</v>
      </c>
      <c r="C8150" s="9" t="s">
        <v>17780</v>
      </c>
      <c r="D8150" s="9" t="s">
        <v>17781</v>
      </c>
      <c r="E8150" s="10" t="str">
        <f>HYPERLINK("https://twitter.com/CHUCHOZ/status/724427749243404289","724427749243404289")</f>
        <v>724427749243404289</v>
      </c>
      <c r="F8150" s="11" t="s">
        <v>114</v>
      </c>
      <c r="G8150" s="11">
        <v>439</v>
      </c>
      <c r="H8150" s="11">
        <v>806</v>
      </c>
      <c r="I8150" s="11">
        <v>0</v>
      </c>
      <c r="J8150" s="11">
        <v>0</v>
      </c>
      <c r="K8150" s="11" t="s">
        <v>21</v>
      </c>
      <c r="L8150" s="7">
        <v>40037.424432870372</v>
      </c>
      <c r="M8150" s="12" t="s">
        <v>17782</v>
      </c>
      <c r="N8150" s="12" t="s">
        <v>17783</v>
      </c>
      <c r="O8150" s="10" t="str">
        <f>HYPERLINK("https://pbs.twimg.com/profile_images/687586264434884608/SvvnYdWR_normal.jpg","View")</f>
        <v>View</v>
      </c>
      <c r="P8150" s="10" t="str">
        <f>HYPERLINK("http://ctrlq.org/maps/address/#20.6229858,-87.0789108","Map")</f>
        <v>Map</v>
      </c>
    </row>
    <row r="8151" spans="1:16" ht="12.75" x14ac:dyDescent="0.35">
      <c r="A8151" s="7">
        <v>42485.340648148151</v>
      </c>
      <c r="B8151" s="8" t="str">
        <f>HYPERLINK("https://twitter.com/cmsGOMEX","@cmsGOMEX")</f>
        <v>@cmsGOMEX</v>
      </c>
      <c r="C8151" s="9" t="s">
        <v>2519</v>
      </c>
      <c r="D8151" s="9" t="s">
        <v>17784</v>
      </c>
      <c r="E8151" s="10" t="str">
        <f>HYPERLINK("https://twitter.com/cmsGOMEX/status/724427848593903618","724427848593903618")</f>
        <v>724427848593903618</v>
      </c>
      <c r="F8151" s="11" t="s">
        <v>43</v>
      </c>
      <c r="G8151" s="11">
        <v>652</v>
      </c>
      <c r="H8151" s="11">
        <v>462</v>
      </c>
      <c r="I8151" s="11">
        <v>0</v>
      </c>
      <c r="J8151" s="11">
        <v>0</v>
      </c>
      <c r="K8151" s="11" t="s">
        <v>21</v>
      </c>
      <c r="L8151" s="7">
        <v>39983.775879629626</v>
      </c>
      <c r="M8151" s="12" t="s">
        <v>1116</v>
      </c>
      <c r="N8151" s="12" t="s">
        <v>2521</v>
      </c>
      <c r="O8151" s="10" t="str">
        <f>HYPERLINK("https://pbs.twimg.com/profile_images/472298206483607552/UogAMiRI_normal.png","View")</f>
        <v>View</v>
      </c>
      <c r="P8151" s="11"/>
    </row>
    <row r="8152" spans="1:16" ht="12.75" x14ac:dyDescent="0.35">
      <c r="A8152" s="7">
        <v>42485.341157407413</v>
      </c>
      <c r="B8152" s="8" t="str">
        <f>HYPERLINK("https://twitter.com/dubbusses","@dubbusses")</f>
        <v>@dubbusses</v>
      </c>
      <c r="C8152" s="9" t="s">
        <v>14338</v>
      </c>
      <c r="D8152" s="9" t="s">
        <v>17785</v>
      </c>
      <c r="E8152" s="10" t="str">
        <f>HYPERLINK("https://twitter.com/dubbusses/status/724428032245637121","724428032245637121")</f>
        <v>724428032245637121</v>
      </c>
      <c r="F8152" s="11" t="s">
        <v>68</v>
      </c>
      <c r="G8152" s="11">
        <v>514</v>
      </c>
      <c r="H8152" s="11">
        <v>2822</v>
      </c>
      <c r="I8152" s="11">
        <v>0</v>
      </c>
      <c r="J8152" s="11">
        <v>0</v>
      </c>
      <c r="K8152" s="11" t="s">
        <v>21</v>
      </c>
      <c r="L8152" s="7">
        <v>42469.905393518522</v>
      </c>
      <c r="M8152" s="12" t="s">
        <v>14340</v>
      </c>
      <c r="N8152" s="12"/>
      <c r="O8152" s="10" t="str">
        <f>HYPERLINK("https://pbs.twimg.com/profile_images/718835727027580928/1ssyQ67y_normal.jpg","View")</f>
        <v>View</v>
      </c>
      <c r="P8152" s="11"/>
    </row>
    <row r="8153" spans="1:16" ht="12.75" x14ac:dyDescent="0.35">
      <c r="A8153" s="7">
        <v>42485.341180555552</v>
      </c>
      <c r="B8153" s="8" t="str">
        <f>HYPERLINK("https://twitter.com/_grajeda","@_grajeda")</f>
        <v>@_grajeda</v>
      </c>
      <c r="C8153" s="9" t="s">
        <v>17786</v>
      </c>
      <c r="D8153" s="9" t="s">
        <v>17787</v>
      </c>
      <c r="E8153" s="10" t="str">
        <f>HYPERLINK("https://twitter.com/_grajeda/status/724428037815717888","724428037815717888")</f>
        <v>724428037815717888</v>
      </c>
      <c r="F8153" s="11" t="s">
        <v>114</v>
      </c>
      <c r="G8153" s="11">
        <v>496</v>
      </c>
      <c r="H8153" s="11">
        <v>359</v>
      </c>
      <c r="I8153" s="11">
        <v>0</v>
      </c>
      <c r="J8153" s="11">
        <v>0</v>
      </c>
      <c r="K8153" s="11" t="s">
        <v>21</v>
      </c>
      <c r="L8153" s="7">
        <v>40001.874421296292</v>
      </c>
      <c r="M8153" s="12" t="s">
        <v>17788</v>
      </c>
      <c r="N8153" s="12" t="s">
        <v>17789</v>
      </c>
      <c r="O8153" s="10" t="str">
        <f>HYPERLINK("https://pbs.twimg.com/profile_images/705814859577843712/lBAyAr3I_normal.jpg","View")</f>
        <v>View</v>
      </c>
      <c r="P8153" s="11"/>
    </row>
    <row r="8154" spans="1:16" ht="12.75" x14ac:dyDescent="0.35">
      <c r="A8154" s="7">
        <v>42485.341238425928</v>
      </c>
      <c r="B8154" s="8" t="str">
        <f>HYPERLINK("https://twitter.com/dubbusses","@dubbusses")</f>
        <v>@dubbusses</v>
      </c>
      <c r="C8154" s="9" t="s">
        <v>14338</v>
      </c>
      <c r="D8154" s="9" t="s">
        <v>17790</v>
      </c>
      <c r="E8154" s="10" t="str">
        <f>HYPERLINK("https://twitter.com/dubbusses/status/724428059856756736","724428059856756736")</f>
        <v>724428059856756736</v>
      </c>
      <c r="F8154" s="11" t="s">
        <v>68</v>
      </c>
      <c r="G8154" s="11">
        <v>514</v>
      </c>
      <c r="H8154" s="11">
        <v>2822</v>
      </c>
      <c r="I8154" s="11">
        <v>0</v>
      </c>
      <c r="J8154" s="11">
        <v>0</v>
      </c>
      <c r="K8154" s="11" t="s">
        <v>21</v>
      </c>
      <c r="L8154" s="7">
        <v>42469.905393518522</v>
      </c>
      <c r="M8154" s="12" t="s">
        <v>14340</v>
      </c>
      <c r="N8154" s="12"/>
      <c r="O8154" s="10" t="str">
        <f>HYPERLINK("https://pbs.twimg.com/profile_images/718835727027580928/1ssyQ67y_normal.jpg","View")</f>
        <v>View</v>
      </c>
      <c r="P8154" s="11"/>
    </row>
    <row r="8155" spans="1:16" ht="12.75" x14ac:dyDescent="0.35">
      <c r="A8155" s="7">
        <v>42485.341319444444</v>
      </c>
      <c r="B8155" s="8" t="str">
        <f t="shared" ref="B8155:B8156" si="847">HYPERLINK("https://twitter.com/DeeZeeX","@DeeZeeX")</f>
        <v>@DeeZeeX</v>
      </c>
      <c r="C8155" s="9" t="s">
        <v>17735</v>
      </c>
      <c r="D8155" s="9" t="s">
        <v>17791</v>
      </c>
      <c r="E8155" s="10" t="str">
        <f>HYPERLINK("https://twitter.com/DeeZeeX/status/724428088734437376","724428088734437376")</f>
        <v>724428088734437376</v>
      </c>
      <c r="F8155" s="11" t="s">
        <v>3721</v>
      </c>
      <c r="G8155" s="11">
        <v>477</v>
      </c>
      <c r="H8155" s="11">
        <v>660</v>
      </c>
      <c r="I8155" s="11">
        <v>0</v>
      </c>
      <c r="J8155" s="11">
        <v>0</v>
      </c>
      <c r="K8155" s="11" t="s">
        <v>21</v>
      </c>
      <c r="L8155" s="7">
        <v>40801.805127314816</v>
      </c>
      <c r="M8155" s="12" t="s">
        <v>17737</v>
      </c>
      <c r="N8155" s="12" t="s">
        <v>17738</v>
      </c>
      <c r="O8155" s="10" t="str">
        <f t="shared" ref="O8155:O8156" si="848">HYPERLINK("https://pbs.twimg.com/profile_images/720623345029423104/TUxoNGEM_normal.jpg","View")</f>
        <v>View</v>
      </c>
      <c r="P8155" s="11"/>
    </row>
    <row r="8156" spans="1:16" ht="12.75" x14ac:dyDescent="0.35">
      <c r="A8156" s="7">
        <v>42485.342291666668</v>
      </c>
      <c r="B8156" s="8" t="str">
        <f t="shared" si="847"/>
        <v>@DeeZeeX</v>
      </c>
      <c r="C8156" s="9" t="s">
        <v>17735</v>
      </c>
      <c r="D8156" s="9" t="s">
        <v>17792</v>
      </c>
      <c r="E8156" s="10" t="str">
        <f>HYPERLINK("https://twitter.com/DeeZeeX/status/724428442196807680","724428442196807680")</f>
        <v>724428442196807680</v>
      </c>
      <c r="F8156" s="11" t="s">
        <v>3721</v>
      </c>
      <c r="G8156" s="11">
        <v>477</v>
      </c>
      <c r="H8156" s="11">
        <v>660</v>
      </c>
      <c r="I8156" s="11">
        <v>0</v>
      </c>
      <c r="J8156" s="11">
        <v>0</v>
      </c>
      <c r="K8156" s="11" t="s">
        <v>21</v>
      </c>
      <c r="L8156" s="7">
        <v>40801.805127314816</v>
      </c>
      <c r="M8156" s="12" t="s">
        <v>17737</v>
      </c>
      <c r="N8156" s="12" t="s">
        <v>17738</v>
      </c>
      <c r="O8156" s="10" t="str">
        <f t="shared" si="848"/>
        <v>View</v>
      </c>
      <c r="P8156" s="11"/>
    </row>
    <row r="8157" spans="1:16" ht="12.75" x14ac:dyDescent="0.35">
      <c r="A8157" s="7">
        <v>42485.342488425929</v>
      </c>
      <c r="B8157" s="8" t="str">
        <f>HYPERLINK("https://twitter.com/vwpress_en","@vwpress_en")</f>
        <v>@vwpress_en</v>
      </c>
      <c r="C8157" s="9" t="s">
        <v>1685</v>
      </c>
      <c r="D8157" s="9" t="s">
        <v>17793</v>
      </c>
      <c r="E8157" s="10" t="str">
        <f>HYPERLINK("https://twitter.com/vwpress_en/status/724428514817089541","724428514817089541")</f>
        <v>724428514817089541</v>
      </c>
      <c r="F8157" s="11" t="s">
        <v>152</v>
      </c>
      <c r="G8157" s="11">
        <v>56327</v>
      </c>
      <c r="H8157" s="11">
        <v>339</v>
      </c>
      <c r="I8157" s="11">
        <v>0</v>
      </c>
      <c r="J8157" s="11">
        <v>0</v>
      </c>
      <c r="K8157" s="11" t="s">
        <v>21</v>
      </c>
      <c r="L8157" s="7">
        <v>42041.83189814815</v>
      </c>
      <c r="M8157" s="12" t="s">
        <v>1687</v>
      </c>
      <c r="N8157" s="12" t="s">
        <v>1688</v>
      </c>
      <c r="O8157" s="10" t="str">
        <f>HYPERLINK("https://pbs.twimg.com/profile_images/682117963349135360/IUfZQy35_normal.png","View")</f>
        <v>View</v>
      </c>
      <c r="P8157" s="11"/>
    </row>
    <row r="8158" spans="1:16" ht="12.75" x14ac:dyDescent="0.35">
      <c r="A8158" s="7">
        <v>42485.342708333337</v>
      </c>
      <c r="B8158" s="8" t="str">
        <f>HYPERLINK("https://twitter.com/machminer","@machminer")</f>
        <v>@machminer</v>
      </c>
      <c r="C8158" s="9" t="s">
        <v>17794</v>
      </c>
      <c r="D8158" s="9" t="s">
        <v>17746</v>
      </c>
      <c r="E8158" s="10" t="str">
        <f>HYPERLINK("https://twitter.com/machminer/status/724428592524996608","724428592524996608")</f>
        <v>724428592524996608</v>
      </c>
      <c r="F8158" s="11" t="s">
        <v>20</v>
      </c>
      <c r="G8158" s="11">
        <v>491</v>
      </c>
      <c r="H8158" s="11">
        <v>684</v>
      </c>
      <c r="I8158" s="11">
        <v>2</v>
      </c>
      <c r="J8158" s="11">
        <v>0</v>
      </c>
      <c r="K8158" s="11" t="s">
        <v>21</v>
      </c>
      <c r="L8158" s="7">
        <v>40602.156863425924</v>
      </c>
      <c r="M8158" s="12" t="s">
        <v>17795</v>
      </c>
      <c r="N8158" s="12" t="s">
        <v>17796</v>
      </c>
      <c r="O8158" s="10" t="str">
        <f>HYPERLINK("https://pbs.twimg.com/profile_images/696314114033979392/RqPOdnmB_normal.jpg","View")</f>
        <v>View</v>
      </c>
      <c r="P8158" s="11"/>
    </row>
    <row r="8159" spans="1:16" ht="12.75" x14ac:dyDescent="0.35">
      <c r="A8159" s="7">
        <v>42485.342986111107</v>
      </c>
      <c r="B8159" s="8" t="str">
        <f>HYPERLINK("https://twitter.com/Scirocco_Tuning","@Scirocco_Tuning")</f>
        <v>@Scirocco_Tuning</v>
      </c>
      <c r="C8159" s="9" t="s">
        <v>51</v>
      </c>
      <c r="D8159" s="9" t="s">
        <v>17797</v>
      </c>
      <c r="E8159" s="10" t="str">
        <f>HYPERLINK("https://twitter.com/Scirocco_Tuning/status/724428692273926144","724428692273926144")</f>
        <v>724428692273926144</v>
      </c>
      <c r="F8159" s="11" t="s">
        <v>53</v>
      </c>
      <c r="G8159" s="11">
        <v>69</v>
      </c>
      <c r="H8159" s="11">
        <v>215</v>
      </c>
      <c r="I8159" s="11">
        <v>0</v>
      </c>
      <c r="J8159" s="11">
        <v>0</v>
      </c>
      <c r="K8159" s="11" t="s">
        <v>21</v>
      </c>
      <c r="L8159" s="7">
        <v>40844.564722222218</v>
      </c>
      <c r="M8159" s="12"/>
      <c r="N8159" s="12"/>
      <c r="O8159" s="10" t="str">
        <f>HYPERLINK("https://pbs.twimg.com/profile_images/1610421423/Image2_normal.jpg","View")</f>
        <v>View</v>
      </c>
      <c r="P8159" s="11"/>
    </row>
    <row r="8160" spans="1:16" ht="12.75" x14ac:dyDescent="0.35">
      <c r="A8160" s="7">
        <v>42485.343101851853</v>
      </c>
      <c r="B8160" s="8" t="str">
        <f>HYPERLINK("https://twitter.com/WestCoastAuto16","@WestCoastAuto16")</f>
        <v>@WestCoastAuto16</v>
      </c>
      <c r="C8160" s="9" t="s">
        <v>17798</v>
      </c>
      <c r="D8160" s="9" t="s">
        <v>17726</v>
      </c>
      <c r="E8160" s="10" t="str">
        <f>HYPERLINK("https://twitter.com/WestCoastAuto16/status/724428737513574402","724428737513574402")</f>
        <v>724428737513574402</v>
      </c>
      <c r="F8160" s="11" t="s">
        <v>91</v>
      </c>
      <c r="G8160" s="11">
        <v>13</v>
      </c>
      <c r="H8160" s="11">
        <v>39</v>
      </c>
      <c r="I8160" s="11">
        <v>7</v>
      </c>
      <c r="J8160" s="11">
        <v>0</v>
      </c>
      <c r="K8160" s="11" t="s">
        <v>21</v>
      </c>
      <c r="L8160" s="7">
        <v>42477.239687499998</v>
      </c>
      <c r="M8160" s="12" t="s">
        <v>3722</v>
      </c>
      <c r="N8160" s="12"/>
      <c r="O8160" s="10" t="str">
        <f>HYPERLINK("https://pbs.twimg.com/profile_images/721557150284132352/uKRC8h7s_normal.jpg","View")</f>
        <v>View</v>
      </c>
      <c r="P8160" s="11"/>
    </row>
    <row r="8161" spans="1:16" ht="12.75" x14ac:dyDescent="0.35">
      <c r="A8161" s="7">
        <v>42485.343159722222</v>
      </c>
      <c r="B8161" s="8" t="str">
        <f>HYPERLINK("https://twitter.com/perks_tre","@perks_tre")</f>
        <v>@perks_tre</v>
      </c>
      <c r="C8161" s="9" t="s">
        <v>17799</v>
      </c>
      <c r="D8161" s="9" t="s">
        <v>17726</v>
      </c>
      <c r="E8161" s="10" t="str">
        <f>HYPERLINK("https://twitter.com/perks_tre/status/724428756861870080","724428756861870080")</f>
        <v>724428756861870080</v>
      </c>
      <c r="F8161" s="11" t="s">
        <v>48</v>
      </c>
      <c r="G8161" s="11">
        <v>308</v>
      </c>
      <c r="H8161" s="11">
        <v>831</v>
      </c>
      <c r="I8161" s="11">
        <v>7</v>
      </c>
      <c r="J8161" s="11">
        <v>0</v>
      </c>
      <c r="K8161" s="11" t="s">
        <v>21</v>
      </c>
      <c r="L8161" s="7">
        <v>40653.384074074071</v>
      </c>
      <c r="M8161" s="12" t="s">
        <v>17800</v>
      </c>
      <c r="N8161" s="12" t="s">
        <v>17801</v>
      </c>
      <c r="O8161" s="10" t="str">
        <f>HYPERLINK("https://pbs.twimg.com/profile_images/701569180869349376/3qWAAPJX_normal.jpg","View")</f>
        <v>View</v>
      </c>
      <c r="P8161" s="11"/>
    </row>
    <row r="8162" spans="1:16" ht="12.75" x14ac:dyDescent="0.35">
      <c r="A8162" s="7">
        <v>42485.343252314815</v>
      </c>
      <c r="B8162" s="8" t="str">
        <f>HYPERLINK("https://twitter.com/david_scholz","@david_scholz")</f>
        <v>@david_scholz</v>
      </c>
      <c r="C8162" s="9" t="s">
        <v>17802</v>
      </c>
      <c r="D8162" s="9" t="s">
        <v>17726</v>
      </c>
      <c r="E8162" s="10" t="str">
        <f>HYPERLINK("https://twitter.com/david_scholz/status/724428791335014401","724428791335014401")</f>
        <v>724428791335014401</v>
      </c>
      <c r="F8162" s="11" t="s">
        <v>20</v>
      </c>
      <c r="G8162" s="11">
        <v>109</v>
      </c>
      <c r="H8162" s="11">
        <v>147</v>
      </c>
      <c r="I8162" s="11">
        <v>7</v>
      </c>
      <c r="J8162" s="11">
        <v>0</v>
      </c>
      <c r="K8162" s="11" t="s">
        <v>21</v>
      </c>
      <c r="L8162" s="7">
        <v>40927.826828703706</v>
      </c>
      <c r="M8162" s="12" t="s">
        <v>17803</v>
      </c>
      <c r="N8162" s="12" t="s">
        <v>17804</v>
      </c>
      <c r="O8162" s="10" t="str">
        <f>HYPERLINK("https://pbs.twimg.com/profile_images/685265504013922310/d6RU8CX__normal.jpg","View")</f>
        <v>View</v>
      </c>
      <c r="P8162" s="11"/>
    </row>
    <row r="8163" spans="1:16" ht="12.75" x14ac:dyDescent="0.35">
      <c r="A8163" s="7">
        <v>42485.343252314815</v>
      </c>
      <c r="B8163" s="8" t="str">
        <f>HYPERLINK("https://twitter.com/DeeZeeX","@DeeZeeX")</f>
        <v>@DeeZeeX</v>
      </c>
      <c r="C8163" s="9" t="s">
        <v>17735</v>
      </c>
      <c r="D8163" s="9" t="s">
        <v>17805</v>
      </c>
      <c r="E8163" s="10" t="str">
        <f>HYPERLINK("https://twitter.com/DeeZeeX/status/724428791796244482","724428791796244482")</f>
        <v>724428791796244482</v>
      </c>
      <c r="F8163" s="11" t="s">
        <v>3721</v>
      </c>
      <c r="G8163" s="11">
        <v>477</v>
      </c>
      <c r="H8163" s="11">
        <v>660</v>
      </c>
      <c r="I8163" s="11">
        <v>0</v>
      </c>
      <c r="J8163" s="11">
        <v>0</v>
      </c>
      <c r="K8163" s="11" t="s">
        <v>21</v>
      </c>
      <c r="L8163" s="7">
        <v>40801.805127314816</v>
      </c>
      <c r="M8163" s="12" t="s">
        <v>17737</v>
      </c>
      <c r="N8163" s="12" t="s">
        <v>17738</v>
      </c>
      <c r="O8163" s="10" t="str">
        <f>HYPERLINK("https://pbs.twimg.com/profile_images/720623345029423104/TUxoNGEM_normal.jpg","View")</f>
        <v>View</v>
      </c>
      <c r="P8163" s="11"/>
    </row>
    <row r="8164" spans="1:16" ht="12.75" x14ac:dyDescent="0.35">
      <c r="A8164" s="7">
        <v>42485.343831018516</v>
      </c>
      <c r="B8164" s="8" t="str">
        <f>HYPERLINK("https://twitter.com/VAGMotorsportSA","@VAGMotorsportSA")</f>
        <v>@VAGMotorsportSA</v>
      </c>
      <c r="C8164" s="9" t="s">
        <v>17806</v>
      </c>
      <c r="D8164" s="9" t="s">
        <v>17807</v>
      </c>
      <c r="E8164" s="10" t="str">
        <f>HYPERLINK("https://twitter.com/VAGMotorsportSA/status/724429000169381888","724429000169381888")</f>
        <v>724429000169381888</v>
      </c>
      <c r="F8164" s="11" t="s">
        <v>114</v>
      </c>
      <c r="G8164" s="11">
        <v>198</v>
      </c>
      <c r="H8164" s="11">
        <v>91</v>
      </c>
      <c r="I8164" s="11">
        <v>0</v>
      </c>
      <c r="J8164" s="11">
        <v>0</v>
      </c>
      <c r="K8164" s="11" t="s">
        <v>21</v>
      </c>
      <c r="L8164" s="7">
        <v>41479.526597222226</v>
      </c>
      <c r="M8164" s="12" t="s">
        <v>13019</v>
      </c>
      <c r="N8164" s="12" t="s">
        <v>17808</v>
      </c>
      <c r="O8164" s="10" t="str">
        <f>HYPERLINK("https://pbs.twimg.com/profile_images/538524613073178624/Zs-tGYIs_normal.jpeg","View")</f>
        <v>View</v>
      </c>
      <c r="P8164" s="11"/>
    </row>
    <row r="8165" spans="1:16" ht="12.75" x14ac:dyDescent="0.35">
      <c r="A8165" s="7">
        <v>42485.344155092593</v>
      </c>
      <c r="B8165" s="8" t="str">
        <f>HYPERLINK("https://twitter.com/Henry_Ruiz684","@Henry_Ruiz684")</f>
        <v>@Henry_Ruiz684</v>
      </c>
      <c r="C8165" s="9" t="s">
        <v>17809</v>
      </c>
      <c r="D8165" s="9" t="s">
        <v>17810</v>
      </c>
      <c r="E8165" s="10" t="str">
        <f>HYPERLINK("https://twitter.com/Henry_Ruiz684/status/724429116859019265","724429116859019265")</f>
        <v>724429116859019265</v>
      </c>
      <c r="F8165" s="11" t="s">
        <v>20</v>
      </c>
      <c r="G8165" s="11">
        <v>520</v>
      </c>
      <c r="H8165" s="11">
        <v>786</v>
      </c>
      <c r="I8165" s="11">
        <v>0</v>
      </c>
      <c r="J8165" s="11">
        <v>0</v>
      </c>
      <c r="K8165" s="11" t="s">
        <v>21</v>
      </c>
      <c r="L8165" s="7">
        <v>40271.198680555557</v>
      </c>
      <c r="M8165" s="12" t="s">
        <v>17811</v>
      </c>
      <c r="N8165" s="12" t="s">
        <v>17812</v>
      </c>
      <c r="O8165" s="10" t="str">
        <f>HYPERLINK("https://pbs.twimg.com/profile_images/717792856149078016/yRMIDscz_normal.jpg","View")</f>
        <v>View</v>
      </c>
      <c r="P8165" s="11"/>
    </row>
    <row r="8166" spans="1:16" ht="12.75" x14ac:dyDescent="0.35">
      <c r="A8166" s="7">
        <v>42485.34474537037</v>
      </c>
      <c r="B8166" s="8" t="str">
        <f>HYPERLINK("https://twitter.com/Iamasad92","@Iamasad92")</f>
        <v>@Iamasad92</v>
      </c>
      <c r="C8166" s="9" t="s">
        <v>17813</v>
      </c>
      <c r="D8166" s="9" t="s">
        <v>17814</v>
      </c>
      <c r="E8166" s="10" t="str">
        <f>HYPERLINK("https://twitter.com/Iamasad92/status/724429330873458688","724429330873458688")</f>
        <v>724429330873458688</v>
      </c>
      <c r="F8166" s="11" t="s">
        <v>2060</v>
      </c>
      <c r="G8166" s="11">
        <v>374</v>
      </c>
      <c r="H8166" s="11">
        <v>451</v>
      </c>
      <c r="I8166" s="11">
        <v>3</v>
      </c>
      <c r="J8166" s="11">
        <v>0</v>
      </c>
      <c r="K8166" s="11" t="s">
        <v>21</v>
      </c>
      <c r="L8166" s="7">
        <v>41413.22928240741</v>
      </c>
      <c r="M8166" s="12" t="s">
        <v>17815</v>
      </c>
      <c r="N8166" s="12"/>
      <c r="O8166" s="10" t="str">
        <f>HYPERLINK("https://pbs.twimg.com/profile_images/722372035364655104/mEwVpWTn_normal.jpg","View")</f>
        <v>View</v>
      </c>
      <c r="P8166" s="11"/>
    </row>
    <row r="8167" spans="1:16" ht="12.75" x14ac:dyDescent="0.35">
      <c r="A8167" s="7">
        <v>42485.344953703709</v>
      </c>
      <c r="B8167" s="8" t="str">
        <f>HYPERLINK("https://twitter.com/GiererIleana","@GiererIleana")</f>
        <v>@GiererIleana</v>
      </c>
      <c r="C8167" s="9" t="s">
        <v>17816</v>
      </c>
      <c r="D8167" s="9" t="s">
        <v>17814</v>
      </c>
      <c r="E8167" s="10" t="str">
        <f>HYPERLINK("https://twitter.com/GiererIleana/status/724429405708271616","724429405708271616")</f>
        <v>724429405708271616</v>
      </c>
      <c r="F8167" s="11" t="s">
        <v>48</v>
      </c>
      <c r="G8167" s="11">
        <v>347</v>
      </c>
      <c r="H8167" s="11">
        <v>1791</v>
      </c>
      <c r="I8167" s="11">
        <v>3</v>
      </c>
      <c r="J8167" s="11">
        <v>0</v>
      </c>
      <c r="K8167" s="11" t="s">
        <v>21</v>
      </c>
      <c r="L8167" s="7">
        <v>42163.245208333334</v>
      </c>
      <c r="M8167" s="12"/>
      <c r="N8167" s="12" t="s">
        <v>17817</v>
      </c>
      <c r="O8167" s="10" t="str">
        <f>HYPERLINK("https://pbs.twimg.com/profile_images/617431372093894656/hugBtv85_normal.jpg","View")</f>
        <v>View</v>
      </c>
      <c r="P8167" s="11"/>
    </row>
    <row r="8168" spans="1:16" ht="12.75" x14ac:dyDescent="0.35">
      <c r="A8168" s="7">
        <v>42485.345023148147</v>
      </c>
      <c r="B8168" s="8" t="str">
        <f>HYPERLINK("https://twitter.com/vwpress_en","@vwpress_en")</f>
        <v>@vwpress_en</v>
      </c>
      <c r="C8168" s="9" t="s">
        <v>1685</v>
      </c>
      <c r="D8168" s="9" t="s">
        <v>17818</v>
      </c>
      <c r="E8168" s="10" t="str">
        <f>HYPERLINK("https://twitter.com/vwpress_en/status/724429434082725888","724429434082725888")</f>
        <v>724429434082725888</v>
      </c>
      <c r="F8168" s="11" t="s">
        <v>152</v>
      </c>
      <c r="G8168" s="11">
        <v>56331</v>
      </c>
      <c r="H8168" s="11">
        <v>339</v>
      </c>
      <c r="I8168" s="11">
        <v>0</v>
      </c>
      <c r="J8168" s="11">
        <v>8</v>
      </c>
      <c r="K8168" s="11" t="s">
        <v>21</v>
      </c>
      <c r="L8168" s="7">
        <v>42041.83189814815</v>
      </c>
      <c r="M8168" s="12" t="s">
        <v>1687</v>
      </c>
      <c r="N8168" s="12" t="s">
        <v>1688</v>
      </c>
      <c r="O8168" s="10" t="str">
        <f>HYPERLINK("https://pbs.twimg.com/profile_images/682117963349135360/IUfZQy35_normal.png","View")</f>
        <v>View</v>
      </c>
      <c r="P8168" s="11"/>
    </row>
    <row r="8169" spans="1:16" ht="12.75" x14ac:dyDescent="0.35">
      <c r="A8169" s="7">
        <v>42485.345497685186</v>
      </c>
      <c r="B8169" s="8" t="str">
        <f>HYPERLINK("https://twitter.com/feedeb94","@feedeb94")</f>
        <v>@feedeb94</v>
      </c>
      <c r="C8169" s="9" t="s">
        <v>17819</v>
      </c>
      <c r="D8169" s="9" t="s">
        <v>17722</v>
      </c>
      <c r="E8169" s="10" t="str">
        <f>HYPERLINK("https://twitter.com/feedeb94/status/724429606019862528","724429606019862528")</f>
        <v>724429606019862528</v>
      </c>
      <c r="F8169" s="11" t="s">
        <v>48</v>
      </c>
      <c r="G8169" s="11">
        <v>49</v>
      </c>
      <c r="H8169" s="11">
        <v>47</v>
      </c>
      <c r="I8169" s="11">
        <v>18</v>
      </c>
      <c r="J8169" s="11">
        <v>0</v>
      </c>
      <c r="K8169" s="11" t="s">
        <v>21</v>
      </c>
      <c r="L8169" s="7">
        <v>42399.99018518519</v>
      </c>
      <c r="M8169" s="12"/>
      <c r="N8169" s="12"/>
      <c r="O8169" s="10" t="str">
        <f>HYPERLINK("https://pbs.twimg.com/profile_images/694394292006195201/Qa7B-MvI_normal.jpg","View")</f>
        <v>View</v>
      </c>
      <c r="P8169" s="11"/>
    </row>
    <row r="8170" spans="1:16" ht="12.75" x14ac:dyDescent="0.35">
      <c r="A8170" s="7">
        <v>42485.345520833333</v>
      </c>
      <c r="B8170" s="8" t="str">
        <f>HYPERLINK("https://twitter.com/HunkyAlley","@HunkyAlley")</f>
        <v>@HunkyAlley</v>
      </c>
      <c r="C8170" s="9" t="s">
        <v>12694</v>
      </c>
      <c r="D8170" s="9" t="s">
        <v>17820</v>
      </c>
      <c r="E8170" s="10" t="str">
        <f>HYPERLINK("https://twitter.com/HunkyAlley/status/724429612789424128","724429612789424128")</f>
        <v>724429612789424128</v>
      </c>
      <c r="F8170" s="11" t="s">
        <v>114</v>
      </c>
      <c r="G8170" s="11">
        <v>224</v>
      </c>
      <c r="H8170" s="11">
        <v>176</v>
      </c>
      <c r="I8170" s="11">
        <v>0</v>
      </c>
      <c r="J8170" s="11">
        <v>0</v>
      </c>
      <c r="K8170" s="11" t="s">
        <v>21</v>
      </c>
      <c r="L8170" s="7">
        <v>39885.145601851851</v>
      </c>
      <c r="M8170" s="12" t="s">
        <v>12696</v>
      </c>
      <c r="N8170" s="12" t="s">
        <v>12697</v>
      </c>
      <c r="O8170" s="10" t="str">
        <f>HYPERLINK("https://pbs.twimg.com/profile_images/617967865413525504/y9t3axe3_normal.jpg","View")</f>
        <v>View</v>
      </c>
      <c r="P8170" s="10" t="str">
        <f>HYPERLINK("http://ctrlq.org/maps/address/#34.089323,-118.350243","Map")</f>
        <v>Map</v>
      </c>
    </row>
    <row r="8171" spans="1:16" ht="12.75" x14ac:dyDescent="0.35">
      <c r="A8171" s="7">
        <v>42485.346053240741</v>
      </c>
      <c r="B8171" s="8" t="str">
        <f t="shared" ref="B8171:B8173" si="849">HYPERLINK("https://twitter.com/OnlineCarReview","@OnlineCarReview")</f>
        <v>@OnlineCarReview</v>
      </c>
      <c r="C8171" s="9" t="s">
        <v>176</v>
      </c>
      <c r="D8171" s="9" t="s">
        <v>17821</v>
      </c>
      <c r="E8171" s="10" t="str">
        <f>HYPERLINK("https://twitter.com/OnlineCarReview/status/724429805261721601","724429805261721601")</f>
        <v>724429805261721601</v>
      </c>
      <c r="F8171" s="11" t="s">
        <v>34</v>
      </c>
      <c r="G8171" s="11">
        <v>840</v>
      </c>
      <c r="H8171" s="11">
        <v>568</v>
      </c>
      <c r="I8171" s="11">
        <v>0</v>
      </c>
      <c r="J8171" s="11">
        <v>0</v>
      </c>
      <c r="K8171" s="11" t="s">
        <v>21</v>
      </c>
      <c r="L8171" s="7">
        <v>42282.979201388887</v>
      </c>
      <c r="M8171" s="12"/>
      <c r="N8171" s="12" t="s">
        <v>178</v>
      </c>
      <c r="O8171" s="10" t="str">
        <f t="shared" ref="O8171:O8173" si="850">HYPERLINK("https://pbs.twimg.com/profile_images/652871584131092480/QA_B6SBO_normal.jpg","View")</f>
        <v>View</v>
      </c>
      <c r="P8171" s="11"/>
    </row>
    <row r="8172" spans="1:16" ht="12.75" x14ac:dyDescent="0.35">
      <c r="A8172" s="7">
        <v>42485.346064814818</v>
      </c>
      <c r="B8172" s="8" t="str">
        <f t="shared" si="849"/>
        <v>@OnlineCarReview</v>
      </c>
      <c r="C8172" s="9" t="s">
        <v>176</v>
      </c>
      <c r="D8172" s="9" t="s">
        <v>17822</v>
      </c>
      <c r="E8172" s="10" t="str">
        <f>HYPERLINK("https://twitter.com/OnlineCarReview/status/724429808160018432","724429808160018432")</f>
        <v>724429808160018432</v>
      </c>
      <c r="F8172" s="11" t="s">
        <v>34</v>
      </c>
      <c r="G8172" s="11">
        <v>840</v>
      </c>
      <c r="H8172" s="11">
        <v>568</v>
      </c>
      <c r="I8172" s="11">
        <v>0</v>
      </c>
      <c r="J8172" s="11">
        <v>0</v>
      </c>
      <c r="K8172" s="11" t="s">
        <v>21</v>
      </c>
      <c r="L8172" s="7">
        <v>42282.979201388887</v>
      </c>
      <c r="M8172" s="12"/>
      <c r="N8172" s="12" t="s">
        <v>178</v>
      </c>
      <c r="O8172" s="10" t="str">
        <f t="shared" si="850"/>
        <v>View</v>
      </c>
      <c r="P8172" s="11"/>
    </row>
    <row r="8173" spans="1:16" ht="12.75" x14ac:dyDescent="0.35">
      <c r="A8173" s="7">
        <v>42485.346064814818</v>
      </c>
      <c r="B8173" s="8" t="str">
        <f t="shared" si="849"/>
        <v>@OnlineCarReview</v>
      </c>
      <c r="C8173" s="9" t="s">
        <v>176</v>
      </c>
      <c r="D8173" s="9" t="s">
        <v>17823</v>
      </c>
      <c r="E8173" s="10" t="str">
        <f>HYPERLINK("https://twitter.com/OnlineCarReview/status/724429810324262912","724429810324262912")</f>
        <v>724429810324262912</v>
      </c>
      <c r="F8173" s="11" t="s">
        <v>34</v>
      </c>
      <c r="G8173" s="11">
        <v>840</v>
      </c>
      <c r="H8173" s="11">
        <v>568</v>
      </c>
      <c r="I8173" s="11">
        <v>0</v>
      </c>
      <c r="J8173" s="11">
        <v>0</v>
      </c>
      <c r="K8173" s="11" t="s">
        <v>21</v>
      </c>
      <c r="L8173" s="7">
        <v>42282.979201388887</v>
      </c>
      <c r="M8173" s="12"/>
      <c r="N8173" s="12" t="s">
        <v>178</v>
      </c>
      <c r="O8173" s="10" t="str">
        <f t="shared" si="850"/>
        <v>View</v>
      </c>
      <c r="P8173" s="11"/>
    </row>
    <row r="8174" spans="1:16" ht="12.75" x14ac:dyDescent="0.35">
      <c r="A8174" s="7">
        <v>42485.346099537041</v>
      </c>
      <c r="B8174" s="8" t="str">
        <f>HYPERLINK("https://twitter.com/vwpress_en","@vwpress_en")</f>
        <v>@vwpress_en</v>
      </c>
      <c r="C8174" s="9" t="s">
        <v>1685</v>
      </c>
      <c r="D8174" s="9" t="s">
        <v>17824</v>
      </c>
      <c r="E8174" s="10" t="str">
        <f>HYPERLINK("https://twitter.com/vwpress_en/status/724429823263825921","724429823263825921")</f>
        <v>724429823263825921</v>
      </c>
      <c r="F8174" s="11" t="s">
        <v>152</v>
      </c>
      <c r="G8174" s="11">
        <v>56331</v>
      </c>
      <c r="H8174" s="11">
        <v>339</v>
      </c>
      <c r="I8174" s="11">
        <v>1</v>
      </c>
      <c r="J8174" s="11">
        <v>3</v>
      </c>
      <c r="K8174" s="11" t="s">
        <v>21</v>
      </c>
      <c r="L8174" s="7">
        <v>42041.83189814815</v>
      </c>
      <c r="M8174" s="12" t="s">
        <v>1687</v>
      </c>
      <c r="N8174" s="12" t="s">
        <v>1688</v>
      </c>
      <c r="O8174" s="10" t="str">
        <f>HYPERLINK("https://pbs.twimg.com/profile_images/682117963349135360/IUfZQy35_normal.png","View")</f>
        <v>View</v>
      </c>
      <c r="P8174" s="11"/>
    </row>
    <row r="8175" spans="1:16" ht="12.75" x14ac:dyDescent="0.35">
      <c r="A8175" s="7">
        <v>42485.346550925926</v>
      </c>
      <c r="B8175" s="8" t="str">
        <f>HYPERLINK("https://twitter.com/DeeZeeX","@DeeZeeX")</f>
        <v>@DeeZeeX</v>
      </c>
      <c r="C8175" s="9" t="s">
        <v>17735</v>
      </c>
      <c r="D8175" s="9" t="s">
        <v>17825</v>
      </c>
      <c r="E8175" s="10" t="str">
        <f>HYPERLINK("https://twitter.com/DeeZeeX/status/724429984580792320","724429984580792320")</f>
        <v>724429984580792320</v>
      </c>
      <c r="F8175" s="11" t="s">
        <v>3721</v>
      </c>
      <c r="G8175" s="11">
        <v>478</v>
      </c>
      <c r="H8175" s="11">
        <v>660</v>
      </c>
      <c r="I8175" s="11">
        <v>0</v>
      </c>
      <c r="J8175" s="11">
        <v>0</v>
      </c>
      <c r="K8175" s="11" t="s">
        <v>21</v>
      </c>
      <c r="L8175" s="7">
        <v>40801.805127314816</v>
      </c>
      <c r="M8175" s="12" t="s">
        <v>17737</v>
      </c>
      <c r="N8175" s="12" t="s">
        <v>17738</v>
      </c>
      <c r="O8175" s="10" t="str">
        <f>HYPERLINK("https://pbs.twimg.com/profile_images/720623345029423104/TUxoNGEM_normal.jpg","View")</f>
        <v>View</v>
      </c>
      <c r="P8175" s="11"/>
    </row>
    <row r="8176" spans="1:16" ht="12.75" x14ac:dyDescent="0.35">
      <c r="A8176" s="7">
        <v>42485.347685185188</v>
      </c>
      <c r="B8176" s="8" t="str">
        <f>HYPERLINK("https://twitter.com/jforcadilla61","@jforcadilla61")</f>
        <v>@jforcadilla61</v>
      </c>
      <c r="C8176" s="9" t="s">
        <v>17826</v>
      </c>
      <c r="D8176" s="9" t="s">
        <v>17827</v>
      </c>
      <c r="E8176" s="10" t="str">
        <f>HYPERLINK("https://twitter.com/jforcadilla61/status/724430398587985920","724430398587985920")</f>
        <v>724430398587985920</v>
      </c>
      <c r="F8176" s="11" t="s">
        <v>48</v>
      </c>
      <c r="G8176" s="11">
        <v>256</v>
      </c>
      <c r="H8176" s="11">
        <v>1412</v>
      </c>
      <c r="I8176" s="11">
        <v>1</v>
      </c>
      <c r="J8176" s="11">
        <v>0</v>
      </c>
      <c r="K8176" s="11" t="s">
        <v>21</v>
      </c>
      <c r="L8176" s="7">
        <v>42372.802175925928</v>
      </c>
      <c r="M8176" s="12"/>
      <c r="N8176" s="12"/>
      <c r="O8176" s="10" t="str">
        <f>HYPERLINK("https://pbs.twimg.com/profile_images/684583266519625729/imvZo5au_normal.jpg","View")</f>
        <v>View</v>
      </c>
      <c r="P8176" s="11"/>
    </row>
    <row r="8177" spans="1:16" ht="12.75" x14ac:dyDescent="0.35">
      <c r="A8177" s="7">
        <v>42485.347824074073</v>
      </c>
      <c r="B8177" s="8" t="str">
        <f>HYPERLINK("https://twitter.com/momma_rocker","@momma_rocker")</f>
        <v>@momma_rocker</v>
      </c>
      <c r="C8177" s="9" t="s">
        <v>14706</v>
      </c>
      <c r="D8177" s="9" t="s">
        <v>17828</v>
      </c>
      <c r="E8177" s="10" t="str">
        <f>HYPERLINK("https://twitter.com/momma_rocker/status/724430447028101120","724430447028101120")</f>
        <v>724430447028101120</v>
      </c>
      <c r="F8177" s="11" t="s">
        <v>20</v>
      </c>
      <c r="G8177" s="11">
        <v>3760</v>
      </c>
      <c r="H8177" s="11">
        <v>2399</v>
      </c>
      <c r="I8177" s="11">
        <v>1</v>
      </c>
      <c r="J8177" s="11">
        <v>0</v>
      </c>
      <c r="K8177" s="11" t="s">
        <v>21</v>
      </c>
      <c r="L8177" s="7">
        <v>41677.269918981481</v>
      </c>
      <c r="M8177" s="12" t="s">
        <v>12320</v>
      </c>
      <c r="N8177" s="12" t="s">
        <v>14708</v>
      </c>
      <c r="O8177" s="10" t="str">
        <f>HYPERLINK("https://pbs.twimg.com/profile_images/600477454831120384/fBVmrZou_normal.jpg","View")</f>
        <v>View</v>
      </c>
      <c r="P8177" s="11"/>
    </row>
    <row r="8178" spans="1:16" ht="12.75" x14ac:dyDescent="0.35">
      <c r="A8178" s="7">
        <v>42485.347881944443</v>
      </c>
      <c r="B8178" s="8" t="str">
        <f>HYPERLINK("https://twitter.com/vwpress_en","@vwpress_en")</f>
        <v>@vwpress_en</v>
      </c>
      <c r="C8178" s="9" t="s">
        <v>1685</v>
      </c>
      <c r="D8178" s="9" t="s">
        <v>17829</v>
      </c>
      <c r="E8178" s="10" t="str">
        <f>HYPERLINK("https://twitter.com/vwpress_en/status/724430467848609792","724430467848609792")</f>
        <v>724430467848609792</v>
      </c>
      <c r="F8178" s="11" t="s">
        <v>152</v>
      </c>
      <c r="G8178" s="11">
        <v>56331</v>
      </c>
      <c r="H8178" s="11">
        <v>339</v>
      </c>
      <c r="I8178" s="11">
        <v>3</v>
      </c>
      <c r="J8178" s="11">
        <v>11</v>
      </c>
      <c r="K8178" s="11" t="s">
        <v>21</v>
      </c>
      <c r="L8178" s="7">
        <v>42041.83189814815</v>
      </c>
      <c r="M8178" s="12" t="s">
        <v>1687</v>
      </c>
      <c r="N8178" s="12" t="s">
        <v>1688</v>
      </c>
      <c r="O8178" s="10" t="str">
        <f>HYPERLINK("https://pbs.twimg.com/profile_images/682117963349135360/IUfZQy35_normal.png","View")</f>
        <v>View</v>
      </c>
      <c r="P8178" s="11"/>
    </row>
    <row r="8179" spans="1:16" ht="12.75" x14ac:dyDescent="0.35">
      <c r="A8179" s="7">
        <v>42485.34847222222</v>
      </c>
      <c r="B8179" s="8" t="str">
        <f>HYPERLINK("https://twitter.com/SUPERFMELECTRO","@SUPERFMELECTRO")</f>
        <v>@SUPERFMELECTRO</v>
      </c>
      <c r="C8179" s="9" t="s">
        <v>17758</v>
      </c>
      <c r="D8179" s="9" t="s">
        <v>17830</v>
      </c>
      <c r="E8179" s="10" t="str">
        <f>HYPERLINK("https://twitter.com/SUPERFMELECTRO/status/724430681460359168","724430681460359168")</f>
        <v>724430681460359168</v>
      </c>
      <c r="F8179" s="11" t="s">
        <v>20</v>
      </c>
      <c r="G8179" s="11">
        <v>378</v>
      </c>
      <c r="H8179" s="11">
        <v>462</v>
      </c>
      <c r="I8179" s="11">
        <v>3</v>
      </c>
      <c r="J8179" s="11">
        <v>0</v>
      </c>
      <c r="K8179" s="11" t="s">
        <v>21</v>
      </c>
      <c r="L8179" s="7">
        <v>40576.17123842593</v>
      </c>
      <c r="M8179" s="12" t="s">
        <v>17760</v>
      </c>
      <c r="N8179" s="12" t="s">
        <v>17761</v>
      </c>
      <c r="O8179" s="10" t="str">
        <f>HYPERLINK("https://pbs.twimg.com/profile_images/592727746888998913/J4Qy4a3J_normal.png","View")</f>
        <v>View</v>
      </c>
      <c r="P8179" s="11"/>
    </row>
    <row r="8180" spans="1:16" ht="12.75" x14ac:dyDescent="0.35">
      <c r="A8180" s="7">
        <v>42485.34883101852</v>
      </c>
      <c r="B8180" s="8" t="str">
        <f>HYPERLINK("https://twitter.com/GiererIleana","@GiererIleana")</f>
        <v>@GiererIleana</v>
      </c>
      <c r="C8180" s="9" t="s">
        <v>17816</v>
      </c>
      <c r="D8180" s="9" t="s">
        <v>17830</v>
      </c>
      <c r="E8180" s="10" t="str">
        <f>HYPERLINK("https://twitter.com/GiererIleana/status/724430813635481602","724430813635481602")</f>
        <v>724430813635481602</v>
      </c>
      <c r="F8180" s="11" t="s">
        <v>48</v>
      </c>
      <c r="G8180" s="11">
        <v>347</v>
      </c>
      <c r="H8180" s="11">
        <v>1791</v>
      </c>
      <c r="I8180" s="11">
        <v>3</v>
      </c>
      <c r="J8180" s="11">
        <v>0</v>
      </c>
      <c r="K8180" s="11" t="s">
        <v>21</v>
      </c>
      <c r="L8180" s="7">
        <v>42163.245208333334</v>
      </c>
      <c r="M8180" s="12"/>
      <c r="N8180" s="12" t="s">
        <v>17817</v>
      </c>
      <c r="O8180" s="10" t="str">
        <f>HYPERLINK("https://pbs.twimg.com/profile_images/617431372093894656/hugBtv85_normal.jpg","View")</f>
        <v>View</v>
      </c>
      <c r="P8180" s="11"/>
    </row>
    <row r="8181" spans="1:16" ht="12.75" x14ac:dyDescent="0.35">
      <c r="A8181" s="7">
        <v>42485.348912037036</v>
      </c>
      <c r="B8181" s="8" t="str">
        <f>HYPERLINK("https://twitter.com/DeeZeeX","@DeeZeeX")</f>
        <v>@DeeZeeX</v>
      </c>
      <c r="C8181" s="9" t="s">
        <v>17735</v>
      </c>
      <c r="D8181" s="9" t="s">
        <v>17831</v>
      </c>
      <c r="E8181" s="10" t="str">
        <f>HYPERLINK("https://twitter.com/DeeZeeX/status/724430841108013058","724430841108013058")</f>
        <v>724430841108013058</v>
      </c>
      <c r="F8181" s="11" t="s">
        <v>3721</v>
      </c>
      <c r="G8181" s="11">
        <v>478</v>
      </c>
      <c r="H8181" s="11">
        <v>660</v>
      </c>
      <c r="I8181" s="11">
        <v>0</v>
      </c>
      <c r="J8181" s="11">
        <v>0</v>
      </c>
      <c r="K8181" s="11" t="s">
        <v>21</v>
      </c>
      <c r="L8181" s="7">
        <v>40801.805127314816</v>
      </c>
      <c r="M8181" s="12" t="s">
        <v>17737</v>
      </c>
      <c r="N8181" s="12" t="s">
        <v>17738</v>
      </c>
      <c r="O8181" s="10" t="str">
        <f>HYPERLINK("https://pbs.twimg.com/profile_images/720623345029423104/TUxoNGEM_normal.jpg","View")</f>
        <v>View</v>
      </c>
      <c r="P8181" s="11"/>
    </row>
    <row r="8182" spans="1:16" ht="12.75" x14ac:dyDescent="0.35">
      <c r="A8182" s="7">
        <v>42485.349155092597</v>
      </c>
      <c r="B8182" s="8" t="str">
        <f>HYPERLINK("https://twitter.com/Eric_SFAR","@Eric_SFAR")</f>
        <v>@Eric_SFAR</v>
      </c>
      <c r="C8182" s="9" t="s">
        <v>17832</v>
      </c>
      <c r="D8182" s="9" t="s">
        <v>17833</v>
      </c>
      <c r="E8182" s="10" t="str">
        <f>HYPERLINK("https://twitter.com/Eric_SFAR/status/724430931482816512","724430931482816512")</f>
        <v>724430931482816512</v>
      </c>
      <c r="F8182" s="11" t="s">
        <v>114</v>
      </c>
      <c r="G8182" s="11">
        <v>846</v>
      </c>
      <c r="H8182" s="11">
        <v>397</v>
      </c>
      <c r="I8182" s="11">
        <v>0</v>
      </c>
      <c r="J8182" s="11">
        <v>0</v>
      </c>
      <c r="K8182" s="11" t="s">
        <v>21</v>
      </c>
      <c r="L8182" s="7">
        <v>39916.191817129627</v>
      </c>
      <c r="M8182" s="12"/>
      <c r="N8182" s="12" t="s">
        <v>17834</v>
      </c>
      <c r="O8182" s="10" t="str">
        <f>HYPERLINK("https://pbs.twimg.com/profile_images/716074183000793088/STBF0Kla_normal.jpg","View")</f>
        <v>View</v>
      </c>
      <c r="P8182" s="11"/>
    </row>
    <row r="8183" spans="1:16" ht="12.75" x14ac:dyDescent="0.35">
      <c r="A8183" s="7">
        <v>42485.349861111114</v>
      </c>
      <c r="B8183" s="8" t="str">
        <f t="shared" ref="B8183:B8184" si="851">HYPERLINK("https://twitter.com/vwpress_en","@vwpress_en")</f>
        <v>@vwpress_en</v>
      </c>
      <c r="C8183" s="9" t="s">
        <v>1685</v>
      </c>
      <c r="D8183" s="9" t="s">
        <v>17835</v>
      </c>
      <c r="E8183" s="10" t="str">
        <f>HYPERLINK("https://twitter.com/vwpress_en/status/724431184114139139","724431184114139139")</f>
        <v>724431184114139139</v>
      </c>
      <c r="F8183" s="11" t="s">
        <v>152</v>
      </c>
      <c r="G8183" s="11">
        <v>56331</v>
      </c>
      <c r="H8183" s="11">
        <v>339</v>
      </c>
      <c r="I8183" s="11">
        <v>1</v>
      </c>
      <c r="J8183" s="11">
        <v>5</v>
      </c>
      <c r="K8183" s="11" t="s">
        <v>21</v>
      </c>
      <c r="L8183" s="7">
        <v>42041.83189814815</v>
      </c>
      <c r="M8183" s="12" t="s">
        <v>1687</v>
      </c>
      <c r="N8183" s="12" t="s">
        <v>1688</v>
      </c>
      <c r="O8183" s="10" t="str">
        <f t="shared" ref="O8183:O8184" si="852">HYPERLINK("https://pbs.twimg.com/profile_images/682117963349135360/IUfZQy35_normal.png","View")</f>
        <v>View</v>
      </c>
      <c r="P8183" s="11"/>
    </row>
    <row r="8184" spans="1:16" ht="12.75" x14ac:dyDescent="0.35">
      <c r="A8184" s="7">
        <v>42485.350694444445</v>
      </c>
      <c r="B8184" s="8" t="str">
        <f t="shared" si="851"/>
        <v>@vwpress_en</v>
      </c>
      <c r="C8184" s="9" t="s">
        <v>1685</v>
      </c>
      <c r="D8184" s="9" t="s">
        <v>17836</v>
      </c>
      <c r="E8184" s="10" t="str">
        <f>HYPERLINK("https://twitter.com/vwpress_en/status/724431488658345984","724431488658345984")</f>
        <v>724431488658345984</v>
      </c>
      <c r="F8184" s="11" t="s">
        <v>152</v>
      </c>
      <c r="G8184" s="11">
        <v>56331</v>
      </c>
      <c r="H8184" s="11">
        <v>339</v>
      </c>
      <c r="I8184" s="11">
        <v>1</v>
      </c>
      <c r="J8184" s="11">
        <v>1</v>
      </c>
      <c r="K8184" s="11" t="s">
        <v>21</v>
      </c>
      <c r="L8184" s="7">
        <v>42041.83189814815</v>
      </c>
      <c r="M8184" s="12" t="s">
        <v>1687</v>
      </c>
      <c r="N8184" s="12" t="s">
        <v>1688</v>
      </c>
      <c r="O8184" s="10" t="str">
        <f t="shared" si="852"/>
        <v>View</v>
      </c>
      <c r="P8184" s="11"/>
    </row>
    <row r="8185" spans="1:16" ht="12.75" x14ac:dyDescent="0.35">
      <c r="A8185" s="7">
        <v>42485.350740740745</v>
      </c>
      <c r="B8185" s="8" t="str">
        <f>HYPERLINK("https://twitter.com/DeeZeeX","@DeeZeeX")</f>
        <v>@DeeZeeX</v>
      </c>
      <c r="C8185" s="9" t="s">
        <v>17735</v>
      </c>
      <c r="D8185" s="9" t="s">
        <v>17837</v>
      </c>
      <c r="E8185" s="10" t="str">
        <f>HYPERLINK("https://twitter.com/DeeZeeX/status/724431505808707588","724431505808707588")</f>
        <v>724431505808707588</v>
      </c>
      <c r="F8185" s="11" t="s">
        <v>3721</v>
      </c>
      <c r="G8185" s="11">
        <v>478</v>
      </c>
      <c r="H8185" s="11">
        <v>660</v>
      </c>
      <c r="I8185" s="11">
        <v>0</v>
      </c>
      <c r="J8185" s="11">
        <v>0</v>
      </c>
      <c r="K8185" s="11" t="s">
        <v>21</v>
      </c>
      <c r="L8185" s="7">
        <v>40801.805127314816</v>
      </c>
      <c r="M8185" s="12" t="s">
        <v>17737</v>
      </c>
      <c r="N8185" s="12" t="s">
        <v>17738</v>
      </c>
      <c r="O8185" s="10" t="str">
        <f>HYPERLINK("https://pbs.twimg.com/profile_images/720623345029423104/TUxoNGEM_normal.jpg","View")</f>
        <v>View</v>
      </c>
      <c r="P8185" s="11"/>
    </row>
    <row r="8186" spans="1:16" ht="12.75" x14ac:dyDescent="0.35">
      <c r="A8186" s="7">
        <v>42485.351134259261</v>
      </c>
      <c r="B8186" s="8" t="str">
        <f>HYPERLINK("https://twitter.com/cmsGOMEX","@cmsGOMEX")</f>
        <v>@cmsGOMEX</v>
      </c>
      <c r="C8186" s="9" t="s">
        <v>2519</v>
      </c>
      <c r="D8186" s="9" t="s">
        <v>17838</v>
      </c>
      <c r="E8186" s="10" t="str">
        <f>HYPERLINK("https://twitter.com/cmsGOMEX/status/724431647471505408","724431647471505408")</f>
        <v>724431647471505408</v>
      </c>
      <c r="F8186" s="11" t="s">
        <v>43</v>
      </c>
      <c r="G8186" s="11">
        <v>652</v>
      </c>
      <c r="H8186" s="11">
        <v>462</v>
      </c>
      <c r="I8186" s="11">
        <v>0</v>
      </c>
      <c r="J8186" s="11">
        <v>0</v>
      </c>
      <c r="K8186" s="11" t="s">
        <v>21</v>
      </c>
      <c r="L8186" s="7">
        <v>39983.775879629626</v>
      </c>
      <c r="M8186" s="12" t="s">
        <v>1116</v>
      </c>
      <c r="N8186" s="12" t="s">
        <v>2521</v>
      </c>
      <c r="O8186" s="10" t="str">
        <f>HYPERLINK("https://pbs.twimg.com/profile_images/472298206483607552/UogAMiRI_normal.png","View")</f>
        <v>View</v>
      </c>
      <c r="P8186" s="11"/>
    </row>
    <row r="8187" spans="1:16" ht="12.75" x14ac:dyDescent="0.35">
      <c r="A8187" s="7">
        <v>42485.352268518516</v>
      </c>
      <c r="B8187" s="8" t="str">
        <f>HYPERLINK("https://twitter.com/Carscoop","@Carscoop")</f>
        <v>@Carscoop</v>
      </c>
      <c r="C8187" s="9" t="s">
        <v>122</v>
      </c>
      <c r="D8187" s="9" t="s">
        <v>17839</v>
      </c>
      <c r="E8187" s="10" t="str">
        <f>HYPERLINK("https://twitter.com/Carscoop/status/724432059628834817","724432059628834817")</f>
        <v>724432059628834817</v>
      </c>
      <c r="F8187" s="10" t="s">
        <v>124</v>
      </c>
      <c r="G8187" s="11">
        <v>34913</v>
      </c>
      <c r="H8187" s="11">
        <v>323</v>
      </c>
      <c r="I8187" s="11">
        <v>1</v>
      </c>
      <c r="J8187" s="11">
        <v>2</v>
      </c>
      <c r="K8187" s="11" t="s">
        <v>21</v>
      </c>
      <c r="L8187" s="7">
        <v>39731.013483796298</v>
      </c>
      <c r="M8187" s="12" t="s">
        <v>125</v>
      </c>
      <c r="N8187" s="12" t="s">
        <v>126</v>
      </c>
      <c r="O8187" s="10" t="str">
        <f>HYPERLINK("https://pbs.twimg.com/profile_images/599709666017435648/r0vhT_9C_normal.png","View")</f>
        <v>View</v>
      </c>
      <c r="P8187" s="11"/>
    </row>
    <row r="8188" spans="1:16" ht="12.75" x14ac:dyDescent="0.35">
      <c r="A8188" s="7">
        <v>42485.352349537032</v>
      </c>
      <c r="B8188" s="8" t="str">
        <f>HYPERLINK("https://twitter.com/miguelhgo","@miguelhgo")</f>
        <v>@miguelhgo</v>
      </c>
      <c r="C8188" s="9" t="s">
        <v>17840</v>
      </c>
      <c r="D8188" s="9" t="s">
        <v>17841</v>
      </c>
      <c r="E8188" s="10" t="str">
        <f>HYPERLINK("https://twitter.com/miguelhgo/status/724432087479148544","724432087479148544")</f>
        <v>724432087479148544</v>
      </c>
      <c r="F8188" s="11" t="s">
        <v>53</v>
      </c>
      <c r="G8188" s="11">
        <v>294</v>
      </c>
      <c r="H8188" s="11">
        <v>1258</v>
      </c>
      <c r="I8188" s="11">
        <v>0</v>
      </c>
      <c r="J8188" s="11">
        <v>0</v>
      </c>
      <c r="K8188" s="11" t="s">
        <v>21</v>
      </c>
      <c r="L8188" s="7">
        <v>40046.894745370373</v>
      </c>
      <c r="M8188" s="12" t="s">
        <v>17842</v>
      </c>
      <c r="N8188" s="12" t="s">
        <v>17843</v>
      </c>
      <c r="O8188" s="10" t="str">
        <f>HYPERLINK("https://pbs.twimg.com/profile_images/543080167674216449/54KKcJ2w_normal.jpeg","View")</f>
        <v>View</v>
      </c>
      <c r="P8188" s="11"/>
    </row>
    <row r="8189" spans="1:16" ht="12.75" x14ac:dyDescent="0.35">
      <c r="A8189" s="7">
        <v>42485.35255787037</v>
      </c>
      <c r="B8189" s="8" t="str">
        <f>HYPERLINK("https://twitter.com/Casperventer","@Casperventer")</f>
        <v>@Casperventer</v>
      </c>
      <c r="C8189" s="9" t="s">
        <v>17844</v>
      </c>
      <c r="D8189" s="9" t="s">
        <v>17845</v>
      </c>
      <c r="E8189" s="10" t="str">
        <f>HYPERLINK("https://twitter.com/Casperventer/status/724432164507385856","724432164507385856")</f>
        <v>724432164507385856</v>
      </c>
      <c r="F8189" s="11" t="s">
        <v>20</v>
      </c>
      <c r="G8189" s="11">
        <v>1050</v>
      </c>
      <c r="H8189" s="11">
        <v>2032</v>
      </c>
      <c r="I8189" s="11">
        <v>1</v>
      </c>
      <c r="J8189" s="11">
        <v>0</v>
      </c>
      <c r="K8189" s="11" t="s">
        <v>21</v>
      </c>
      <c r="L8189" s="7">
        <v>39885.812372685185</v>
      </c>
      <c r="M8189" s="12" t="s">
        <v>12248</v>
      </c>
      <c r="N8189" s="12" t="s">
        <v>17846</v>
      </c>
      <c r="O8189" s="10" t="str">
        <f>HYPERLINK("https://pbs.twimg.com/profile_images/706713339523526656/Tyt-dFPK_normal.jpg","View")</f>
        <v>View</v>
      </c>
      <c r="P8189" s="11"/>
    </row>
    <row r="8190" spans="1:16" ht="12.75" x14ac:dyDescent="0.35">
      <c r="A8190" s="7">
        <v>42485.352939814809</v>
      </c>
      <c r="B8190" s="8" t="str">
        <f>HYPERLINK("https://twitter.com/RobertoGarciaV_","@RobertoGarciaV_")</f>
        <v>@RobertoGarciaV_</v>
      </c>
      <c r="C8190" s="9" t="s">
        <v>17847</v>
      </c>
      <c r="D8190" s="9" t="s">
        <v>17848</v>
      </c>
      <c r="E8190" s="10" t="str">
        <f>HYPERLINK("https://twitter.com/RobertoGarciaV_/status/724432302873432065","724432302873432065")</f>
        <v>724432302873432065</v>
      </c>
      <c r="F8190" s="11" t="s">
        <v>68</v>
      </c>
      <c r="G8190" s="11">
        <v>60</v>
      </c>
      <c r="H8190" s="11">
        <v>64</v>
      </c>
      <c r="I8190" s="11">
        <v>0</v>
      </c>
      <c r="J8190" s="11">
        <v>0</v>
      </c>
      <c r="K8190" s="11" t="s">
        <v>21</v>
      </c>
      <c r="L8190" s="7">
        <v>42472.043541666666</v>
      </c>
      <c r="M8190" s="12"/>
      <c r="N8190" s="12"/>
      <c r="O8190" s="10" t="str">
        <f>HYPERLINK("https://abs.twimg.com/sticky/default_profile_images/default_profile_3_normal.png","View")</f>
        <v>View</v>
      </c>
      <c r="P8190" s="11"/>
    </row>
    <row r="8191" spans="1:16" ht="12.75" x14ac:dyDescent="0.35">
      <c r="A8191" s="7">
        <v>42485.353009259255</v>
      </c>
      <c r="B8191" s="8" t="str">
        <f>HYPERLINK("https://twitter.com/ebaycampervans","@ebaycampervans")</f>
        <v>@ebaycampervans</v>
      </c>
      <c r="C8191" s="9" t="s">
        <v>682</v>
      </c>
      <c r="D8191" s="9" t="s">
        <v>17849</v>
      </c>
      <c r="E8191" s="10" t="str">
        <f>HYPERLINK("https://twitter.com/ebaycampervans/status/724432327636443138","724432327636443138")</f>
        <v>724432327636443138</v>
      </c>
      <c r="F8191" s="11" t="s">
        <v>34</v>
      </c>
      <c r="G8191" s="11">
        <v>382</v>
      </c>
      <c r="H8191" s="11">
        <v>1002</v>
      </c>
      <c r="I8191" s="11">
        <v>0</v>
      </c>
      <c r="J8191" s="11">
        <v>0</v>
      </c>
      <c r="K8191" s="11" t="s">
        <v>21</v>
      </c>
      <c r="L8191" s="7">
        <v>42140.207604166666</v>
      </c>
      <c r="M8191" s="12"/>
      <c r="N8191" s="12" t="s">
        <v>684</v>
      </c>
      <c r="O8191" s="10" t="str">
        <f>HYPERLINK("https://pbs.twimg.com/profile_images/599357023407464449/BL9Bpo6T_normal.jpg","View")</f>
        <v>View</v>
      </c>
      <c r="P8191" s="11"/>
    </row>
    <row r="8192" spans="1:16" ht="12.75" x14ac:dyDescent="0.35">
      <c r="A8192" s="7">
        <v>42485.353101851855</v>
      </c>
      <c r="B8192" s="8" t="str">
        <f>HYPERLINK("https://twitter.com/Insta_VWT","@Insta_VWT")</f>
        <v>@Insta_VWT</v>
      </c>
      <c r="C8192" s="9" t="s">
        <v>181</v>
      </c>
      <c r="D8192" s="9" t="s">
        <v>17850</v>
      </c>
      <c r="E8192" s="10" t="str">
        <f>HYPERLINK("https://twitter.com/Insta_VWT/status/724432359819481088","724432359819481088")</f>
        <v>724432359819481088</v>
      </c>
      <c r="F8192" s="11" t="s">
        <v>68</v>
      </c>
      <c r="G8192" s="11">
        <v>483</v>
      </c>
      <c r="H8192" s="11">
        <v>0</v>
      </c>
      <c r="I8192" s="11">
        <v>0</v>
      </c>
      <c r="J8192" s="11">
        <v>0</v>
      </c>
      <c r="K8192" s="11" t="s">
        <v>21</v>
      </c>
      <c r="L8192" s="7">
        <v>41658.782800925925</v>
      </c>
      <c r="M8192" s="12" t="s">
        <v>183</v>
      </c>
      <c r="N8192" s="12" t="s">
        <v>184</v>
      </c>
      <c r="O8192" s="10" t="str">
        <f>HYPERLINK("https://pbs.twimg.com/profile_images/424893967197433858/iQ86NktX_normal.jpeg","View")</f>
        <v>View</v>
      </c>
      <c r="P8192" s="11"/>
    </row>
    <row r="8193" spans="1:16" ht="12.75" x14ac:dyDescent="0.35">
      <c r="A8193" s="7">
        <v>42485.354085648149</v>
      </c>
      <c r="B8193" s="8" t="str">
        <f>HYPERLINK("https://twitter.com/VeeDubMk1_","@VeeDubMk1_")</f>
        <v>@VeeDubMk1_</v>
      </c>
      <c r="C8193" s="9" t="s">
        <v>185</v>
      </c>
      <c r="D8193" s="9" t="s">
        <v>17851</v>
      </c>
      <c r="E8193" s="10" t="str">
        <f>HYPERLINK("https://twitter.com/VeeDubMk1_/status/724432714657599489","724432714657599489")</f>
        <v>724432714657599489</v>
      </c>
      <c r="F8193" s="11" t="s">
        <v>68</v>
      </c>
      <c r="G8193" s="11">
        <v>557</v>
      </c>
      <c r="H8193" s="11">
        <v>2980</v>
      </c>
      <c r="I8193" s="11">
        <v>0</v>
      </c>
      <c r="J8193" s="11">
        <v>0</v>
      </c>
      <c r="K8193" s="11" t="s">
        <v>21</v>
      </c>
      <c r="L8193" s="7">
        <v>42343.063356481478</v>
      </c>
      <c r="M8193" s="12"/>
      <c r="N8193" s="12"/>
      <c r="O8193" s="10" t="str">
        <f>HYPERLINK("https://pbs.twimg.com/profile_images/672878354127839232/M7OYc-zx_normal.jpg","View")</f>
        <v>View</v>
      </c>
      <c r="P8193" s="11"/>
    </row>
    <row r="8194" spans="1:16" ht="12.75" x14ac:dyDescent="0.35">
      <c r="A8194" s="7">
        <v>42485.354131944448</v>
      </c>
      <c r="B8194" s="8" t="str">
        <f t="shared" ref="B8194:B8196" si="853">HYPERLINK("https://twitter.com/VolkswagenPost","@VolkswagenPost")</f>
        <v>@VolkswagenPost</v>
      </c>
      <c r="C8194" s="9" t="s">
        <v>321</v>
      </c>
      <c r="D8194" s="9" t="s">
        <v>17852</v>
      </c>
      <c r="E8194" s="10" t="str">
        <f>HYPERLINK("https://twitter.com/VolkswagenPost/status/724432732864946178","724432732864946178")</f>
        <v>724432732864946178</v>
      </c>
      <c r="F8194" s="11" t="s">
        <v>34</v>
      </c>
      <c r="G8194" s="11">
        <v>571</v>
      </c>
      <c r="H8194" s="11">
        <v>446</v>
      </c>
      <c r="I8194" s="11">
        <v>0</v>
      </c>
      <c r="J8194" s="11">
        <v>0</v>
      </c>
      <c r="K8194" s="11" t="s">
        <v>21</v>
      </c>
      <c r="L8194" s="7">
        <v>41940.618379629632</v>
      </c>
      <c r="M8194" s="12"/>
      <c r="N8194" s="12"/>
      <c r="O8194" s="10" t="str">
        <f t="shared" ref="O8194:O8196" si="854">HYPERLINK("https://pbs.twimg.com/profile_images/530071272881803264/a_jcCmPZ_normal.png","View")</f>
        <v>View</v>
      </c>
      <c r="P8194" s="11"/>
    </row>
    <row r="8195" spans="1:16" ht="12.75" x14ac:dyDescent="0.35">
      <c r="A8195" s="7">
        <v>42485.354143518518</v>
      </c>
      <c r="B8195" s="8" t="str">
        <f t="shared" si="853"/>
        <v>@VolkswagenPost</v>
      </c>
      <c r="C8195" s="9" t="s">
        <v>321</v>
      </c>
      <c r="D8195" s="9" t="s">
        <v>17853</v>
      </c>
      <c r="E8195" s="10" t="str">
        <f>HYPERLINK("https://twitter.com/VolkswagenPost/status/724432735503179776","724432735503179776")</f>
        <v>724432735503179776</v>
      </c>
      <c r="F8195" s="11" t="s">
        <v>34</v>
      </c>
      <c r="G8195" s="11">
        <v>571</v>
      </c>
      <c r="H8195" s="11">
        <v>446</v>
      </c>
      <c r="I8195" s="11">
        <v>0</v>
      </c>
      <c r="J8195" s="11">
        <v>0</v>
      </c>
      <c r="K8195" s="11" t="s">
        <v>21</v>
      </c>
      <c r="L8195" s="7">
        <v>41940.618379629632</v>
      </c>
      <c r="M8195" s="12"/>
      <c r="N8195" s="12"/>
      <c r="O8195" s="10" t="str">
        <f t="shared" si="854"/>
        <v>View</v>
      </c>
      <c r="P8195" s="11"/>
    </row>
    <row r="8196" spans="1:16" ht="12.75" x14ac:dyDescent="0.35">
      <c r="A8196" s="7">
        <v>42485.354155092587</v>
      </c>
      <c r="B8196" s="8" t="str">
        <f t="shared" si="853"/>
        <v>@VolkswagenPost</v>
      </c>
      <c r="C8196" s="9" t="s">
        <v>321</v>
      </c>
      <c r="D8196" s="9" t="s">
        <v>17854</v>
      </c>
      <c r="E8196" s="10" t="str">
        <f>HYPERLINK("https://twitter.com/VolkswagenPost/status/724432739332591616","724432739332591616")</f>
        <v>724432739332591616</v>
      </c>
      <c r="F8196" s="11" t="s">
        <v>34</v>
      </c>
      <c r="G8196" s="11">
        <v>571</v>
      </c>
      <c r="H8196" s="11">
        <v>446</v>
      </c>
      <c r="I8196" s="11">
        <v>0</v>
      </c>
      <c r="J8196" s="11">
        <v>0</v>
      </c>
      <c r="K8196" s="11" t="s">
        <v>21</v>
      </c>
      <c r="L8196" s="7">
        <v>41940.618379629632</v>
      </c>
      <c r="M8196" s="12"/>
      <c r="N8196" s="12"/>
      <c r="O8196" s="10" t="str">
        <f t="shared" si="854"/>
        <v>View</v>
      </c>
      <c r="P8196" s="11"/>
    </row>
    <row r="8197" spans="1:16" ht="12.75" x14ac:dyDescent="0.35">
      <c r="A8197" s="7">
        <v>42485.355300925927</v>
      </c>
      <c r="B8197" s="8" t="str">
        <f t="shared" ref="B8197:B8199" si="855">HYPERLINK("https://twitter.com/VCT_Tweets","@VCT_Tweets")</f>
        <v>@VCT_Tweets</v>
      </c>
      <c r="C8197" s="9" t="s">
        <v>199</v>
      </c>
      <c r="D8197" s="9" t="s">
        <v>17855</v>
      </c>
      <c r="E8197" s="10" t="str">
        <f>HYPERLINK("https://twitter.com/VCT_Tweets/status/724433156808519680","724433156808519680")</f>
        <v>724433156808519680</v>
      </c>
      <c r="F8197" s="11" t="s">
        <v>68</v>
      </c>
      <c r="G8197" s="11">
        <v>892</v>
      </c>
      <c r="H8197" s="11">
        <v>211</v>
      </c>
      <c r="I8197" s="11">
        <v>0</v>
      </c>
      <c r="J8197" s="11">
        <v>0</v>
      </c>
      <c r="K8197" s="11" t="s">
        <v>21</v>
      </c>
      <c r="L8197" s="7">
        <v>40744.914837962962</v>
      </c>
      <c r="M8197" s="12" t="s">
        <v>201</v>
      </c>
      <c r="N8197" s="12" t="s">
        <v>202</v>
      </c>
      <c r="O8197" s="10" t="str">
        <f t="shared" ref="O8197:O8199" si="856">HYPERLINK("https://pbs.twimg.com/profile_images/569800899141177344/nVFLMSdb_normal.png","View")</f>
        <v>View</v>
      </c>
      <c r="P8197" s="11"/>
    </row>
    <row r="8198" spans="1:16" ht="12.75" x14ac:dyDescent="0.35">
      <c r="A8198" s="7">
        <v>42485.35533564815</v>
      </c>
      <c r="B8198" s="8" t="str">
        <f t="shared" si="855"/>
        <v>@VCT_Tweets</v>
      </c>
      <c r="C8198" s="9" t="s">
        <v>199</v>
      </c>
      <c r="D8198" s="9" t="s">
        <v>17856</v>
      </c>
      <c r="E8198" s="10" t="str">
        <f>HYPERLINK("https://twitter.com/VCT_Tweets/status/724433168468684800","724433168468684800")</f>
        <v>724433168468684800</v>
      </c>
      <c r="F8198" s="11" t="s">
        <v>68</v>
      </c>
      <c r="G8198" s="11">
        <v>892</v>
      </c>
      <c r="H8198" s="11">
        <v>211</v>
      </c>
      <c r="I8198" s="11">
        <v>0</v>
      </c>
      <c r="J8198" s="11">
        <v>0</v>
      </c>
      <c r="K8198" s="11" t="s">
        <v>21</v>
      </c>
      <c r="L8198" s="7">
        <v>40744.914837962962</v>
      </c>
      <c r="M8198" s="12" t="s">
        <v>201</v>
      </c>
      <c r="N8198" s="12" t="s">
        <v>202</v>
      </c>
      <c r="O8198" s="10" t="str">
        <f t="shared" si="856"/>
        <v>View</v>
      </c>
      <c r="P8198" s="11"/>
    </row>
    <row r="8199" spans="1:16" ht="12.75" x14ac:dyDescent="0.35">
      <c r="A8199" s="7">
        <v>42485.355370370366</v>
      </c>
      <c r="B8199" s="8" t="str">
        <f t="shared" si="855"/>
        <v>@VCT_Tweets</v>
      </c>
      <c r="C8199" s="9" t="s">
        <v>199</v>
      </c>
      <c r="D8199" s="9" t="s">
        <v>17857</v>
      </c>
      <c r="E8199" s="10" t="str">
        <f>HYPERLINK("https://twitter.com/VCT_Tweets/status/724433182398025728","724433182398025728")</f>
        <v>724433182398025728</v>
      </c>
      <c r="F8199" s="11" t="s">
        <v>68</v>
      </c>
      <c r="G8199" s="11">
        <v>892</v>
      </c>
      <c r="H8199" s="11">
        <v>211</v>
      </c>
      <c r="I8199" s="11">
        <v>0</v>
      </c>
      <c r="J8199" s="11">
        <v>0</v>
      </c>
      <c r="K8199" s="11" t="s">
        <v>21</v>
      </c>
      <c r="L8199" s="7">
        <v>40744.914837962962</v>
      </c>
      <c r="M8199" s="12" t="s">
        <v>201</v>
      </c>
      <c r="N8199" s="12" t="s">
        <v>202</v>
      </c>
      <c r="O8199" s="10" t="str">
        <f t="shared" si="856"/>
        <v>View</v>
      </c>
      <c r="P8199" s="11"/>
    </row>
    <row r="8200" spans="1:16" ht="12.75" x14ac:dyDescent="0.35">
      <c r="A8200" s="7">
        <v>42485.357187500005</v>
      </c>
      <c r="B8200" s="8" t="str">
        <f>HYPERLINK("https://twitter.com/vwpress_en","@vwpress_en")</f>
        <v>@vwpress_en</v>
      </c>
      <c r="C8200" s="9" t="s">
        <v>1685</v>
      </c>
      <c r="D8200" s="9" t="s">
        <v>17858</v>
      </c>
      <c r="E8200" s="10" t="str">
        <f>HYPERLINK("https://twitter.com/vwpress_en/status/724433842224914432","724433842224914432")</f>
        <v>724433842224914432</v>
      </c>
      <c r="F8200" s="11" t="s">
        <v>152</v>
      </c>
      <c r="G8200" s="11">
        <v>56340</v>
      </c>
      <c r="H8200" s="11">
        <v>339</v>
      </c>
      <c r="I8200" s="11">
        <v>4</v>
      </c>
      <c r="J8200" s="11">
        <v>7</v>
      </c>
      <c r="K8200" s="11" t="s">
        <v>21</v>
      </c>
      <c r="L8200" s="7">
        <v>42041.83189814815</v>
      </c>
      <c r="M8200" s="12" t="s">
        <v>1687</v>
      </c>
      <c r="N8200" s="12" t="s">
        <v>1688</v>
      </c>
      <c r="O8200" s="10" t="str">
        <f>HYPERLINK("https://pbs.twimg.com/profile_images/682117963349135360/IUfZQy35_normal.png","View")</f>
        <v>View</v>
      </c>
      <c r="P8200" s="11"/>
    </row>
    <row r="8201" spans="1:16" ht="12.75" x14ac:dyDescent="0.35">
      <c r="A8201" s="7">
        <v>42485.357349537036</v>
      </c>
      <c r="B8201" s="8" t="str">
        <f>HYPERLINK("https://twitter.com/Fernandez_Diego","@Fernandez_Diego")</f>
        <v>@Fernandez_Diego</v>
      </c>
      <c r="C8201" s="9" t="s">
        <v>3238</v>
      </c>
      <c r="D8201" s="9" t="s">
        <v>17859</v>
      </c>
      <c r="E8201" s="10" t="str">
        <f>HYPERLINK("https://twitter.com/Fernandez_Diego/status/724433897950457856","724433897950457856")</f>
        <v>724433897950457856</v>
      </c>
      <c r="F8201" s="11" t="s">
        <v>43</v>
      </c>
      <c r="G8201" s="11">
        <v>1365</v>
      </c>
      <c r="H8201" s="11">
        <v>1337</v>
      </c>
      <c r="I8201" s="11">
        <v>4</v>
      </c>
      <c r="J8201" s="11">
        <v>0</v>
      </c>
      <c r="K8201" s="11" t="s">
        <v>21</v>
      </c>
      <c r="L8201" s="7">
        <v>40011.965914351851</v>
      </c>
      <c r="M8201" s="12"/>
      <c r="N8201" s="12" t="s">
        <v>3240</v>
      </c>
      <c r="O8201" s="10" t="str">
        <f>HYPERLINK("https://pbs.twimg.com/profile_images/556255417714503681/B78CvKEX_normal.jpeg","View")</f>
        <v>View</v>
      </c>
      <c r="P8201" s="11"/>
    </row>
    <row r="8202" spans="1:16" ht="12.75" x14ac:dyDescent="0.35">
      <c r="A8202" s="7">
        <v>42485.357847222222</v>
      </c>
      <c r="B8202" s="8" t="str">
        <f>HYPERLINK("https://twitter.com/maddymaddog_","@maddymaddog_")</f>
        <v>@maddymaddog_</v>
      </c>
      <c r="C8202" s="9" t="s">
        <v>17860</v>
      </c>
      <c r="D8202" s="9" t="s">
        <v>17861</v>
      </c>
      <c r="E8202" s="10" t="str">
        <f>HYPERLINK("https://twitter.com/maddymaddog_/status/724434081371533312","724434081371533312")</f>
        <v>724434081371533312</v>
      </c>
      <c r="F8202" s="11" t="s">
        <v>20</v>
      </c>
      <c r="G8202" s="11">
        <v>548</v>
      </c>
      <c r="H8202" s="11">
        <v>486</v>
      </c>
      <c r="I8202" s="11">
        <v>1</v>
      </c>
      <c r="J8202" s="11">
        <v>0</v>
      </c>
      <c r="K8202" s="11" t="s">
        <v>21</v>
      </c>
      <c r="L8202" s="7">
        <v>41443.999247685184</v>
      </c>
      <c r="M8202" s="12"/>
      <c r="N8202" s="12" t="s">
        <v>17862</v>
      </c>
      <c r="O8202" s="10" t="str">
        <f>HYPERLINK("https://pbs.twimg.com/profile_images/724362925813669888/g6JWjh4-_normal.jpg","View")</f>
        <v>View</v>
      </c>
      <c r="P8202" s="11"/>
    </row>
    <row r="8203" spans="1:16" ht="12.75" x14ac:dyDescent="0.35">
      <c r="A8203" s="7">
        <v>42485.357916666668</v>
      </c>
      <c r="B8203" s="8" t="str">
        <f>HYPERLINK("https://twitter.com/adhishalawani","@adhishalawani")</f>
        <v>@adhishalawani</v>
      </c>
      <c r="C8203" s="9" t="s">
        <v>17863</v>
      </c>
      <c r="D8203" s="9" t="s">
        <v>17859</v>
      </c>
      <c r="E8203" s="10" t="str">
        <f>HYPERLINK("https://twitter.com/adhishalawani/status/724434103848685568","724434103848685568")</f>
        <v>724434103848685568</v>
      </c>
      <c r="F8203" s="11" t="s">
        <v>43</v>
      </c>
      <c r="G8203" s="11">
        <v>621</v>
      </c>
      <c r="H8203" s="11">
        <v>439</v>
      </c>
      <c r="I8203" s="11">
        <v>4</v>
      </c>
      <c r="J8203" s="11">
        <v>0</v>
      </c>
      <c r="K8203" s="11" t="s">
        <v>21</v>
      </c>
      <c r="L8203" s="7">
        <v>40122.296932870369</v>
      </c>
      <c r="M8203" s="12" t="s">
        <v>17864</v>
      </c>
      <c r="N8203" s="12" t="s">
        <v>17865</v>
      </c>
      <c r="O8203" s="10" t="str">
        <f>HYPERLINK("https://pbs.twimg.com/profile_images/657931694347976704/I421d4nC_normal.jpg","View")</f>
        <v>View</v>
      </c>
      <c r="P8203" s="11"/>
    </row>
    <row r="8204" spans="1:16" ht="12.75" x14ac:dyDescent="0.35">
      <c r="A8204" s="7">
        <v>42485.358611111107</v>
      </c>
      <c r="B8204" s="8" t="str">
        <f>HYPERLINK("https://twitter.com/FuscaWorld","@FuscaWorld")</f>
        <v>@FuscaWorld</v>
      </c>
      <c r="C8204" s="9" t="s">
        <v>74</v>
      </c>
      <c r="D8204" s="9" t="s">
        <v>17866</v>
      </c>
      <c r="E8204" s="10" t="str">
        <f>HYPERLINK("https://twitter.com/FuscaWorld/status/724434355876192256","724434355876192256")</f>
        <v>724434355876192256</v>
      </c>
      <c r="F8204" s="11" t="s">
        <v>76</v>
      </c>
      <c r="G8204" s="11">
        <v>52</v>
      </c>
      <c r="H8204" s="11">
        <v>1</v>
      </c>
      <c r="I8204" s="11">
        <v>1</v>
      </c>
      <c r="J8204" s="11">
        <v>0</v>
      </c>
      <c r="K8204" s="11" t="s">
        <v>21</v>
      </c>
      <c r="L8204" s="7">
        <v>42433.880914351852</v>
      </c>
      <c r="M8204" s="12"/>
      <c r="N8204" s="12" t="s">
        <v>77</v>
      </c>
      <c r="O8204" s="10" t="str">
        <f>HYPERLINK("https://pbs.twimg.com/profile_images/705780107844067328/e7O4UBNb_normal.jpg","View")</f>
        <v>View</v>
      </c>
      <c r="P8204" s="11"/>
    </row>
    <row r="8205" spans="1:16" ht="12.75" x14ac:dyDescent="0.35">
      <c r="A8205" s="7">
        <v>42485.360555555555</v>
      </c>
      <c r="B8205" s="8" t="str">
        <f>HYPERLINK("https://twitter.com/Mr_Fanta_Pants","@Mr_Fanta_Pants")</f>
        <v>@Mr_Fanta_Pants</v>
      </c>
      <c r="C8205" s="9" t="s">
        <v>17867</v>
      </c>
      <c r="D8205" s="9" t="s">
        <v>17845</v>
      </c>
      <c r="E8205" s="10" t="str">
        <f>HYPERLINK("https://twitter.com/Mr_Fanta_Pants/status/724435062570127361","724435062570127361")</f>
        <v>724435062570127361</v>
      </c>
      <c r="F8205" s="11" t="s">
        <v>48</v>
      </c>
      <c r="G8205" s="11">
        <v>2001</v>
      </c>
      <c r="H8205" s="11">
        <v>1317</v>
      </c>
      <c r="I8205" s="11">
        <v>2</v>
      </c>
      <c r="J8205" s="11">
        <v>0</v>
      </c>
      <c r="K8205" s="11" t="s">
        <v>21</v>
      </c>
      <c r="L8205" s="7">
        <v>39890.685173611113</v>
      </c>
      <c r="M8205" s="12" t="s">
        <v>934</v>
      </c>
      <c r="N8205" s="12" t="s">
        <v>17868</v>
      </c>
      <c r="O8205" s="10" t="str">
        <f>HYPERLINK("https://pbs.twimg.com/profile_images/698071617818132481/U7NE7DWc_normal.jpg","View")</f>
        <v>View</v>
      </c>
      <c r="P8205" s="11"/>
    </row>
    <row r="8206" spans="1:16" ht="12.75" x14ac:dyDescent="0.35">
      <c r="A8206" s="7">
        <v>42485.360856481479</v>
      </c>
      <c r="B8206" s="8" t="str">
        <f>HYPERLINK("https://twitter.com/iam_saurabh_","@iam_saurabh_")</f>
        <v>@iam_saurabh_</v>
      </c>
      <c r="C8206" s="9" t="s">
        <v>17869</v>
      </c>
      <c r="D8206" s="9" t="s">
        <v>17859</v>
      </c>
      <c r="E8206" s="10" t="str">
        <f>HYPERLINK("https://twitter.com/iam_saurabh_/status/724435171571802113","724435171571802113")</f>
        <v>724435171571802113</v>
      </c>
      <c r="F8206" s="11" t="s">
        <v>48</v>
      </c>
      <c r="G8206" s="11">
        <v>98</v>
      </c>
      <c r="H8206" s="11">
        <v>248</v>
      </c>
      <c r="I8206" s="11">
        <v>4</v>
      </c>
      <c r="J8206" s="11">
        <v>0</v>
      </c>
      <c r="K8206" s="11" t="s">
        <v>21</v>
      </c>
      <c r="L8206" s="7">
        <v>41602.877013888887</v>
      </c>
      <c r="M8206" s="12" t="s">
        <v>17870</v>
      </c>
      <c r="N8206" s="12" t="s">
        <v>17871</v>
      </c>
      <c r="O8206" s="10" t="str">
        <f>HYPERLINK("https://pbs.twimg.com/profile_images/719154753108725760/jrVMRlZp_normal.jpg","View")</f>
        <v>View</v>
      </c>
      <c r="P8206" s="11"/>
    </row>
    <row r="8207" spans="1:16" ht="12.75" x14ac:dyDescent="0.35">
      <c r="A8207" s="7">
        <v>42485.361921296295</v>
      </c>
      <c r="B8207" s="8" t="str">
        <f>HYPERLINK("https://twitter.com/claudia_mtzs","@claudia_mtzs")</f>
        <v>@claudia_mtzs</v>
      </c>
      <c r="C8207" s="9" t="s">
        <v>17872</v>
      </c>
      <c r="D8207" s="9" t="s">
        <v>17726</v>
      </c>
      <c r="E8207" s="10" t="str">
        <f>HYPERLINK("https://twitter.com/claudia_mtzs/status/724435556667523072","724435556667523072")</f>
        <v>724435556667523072</v>
      </c>
      <c r="F8207" s="11" t="s">
        <v>20</v>
      </c>
      <c r="G8207" s="11">
        <v>334</v>
      </c>
      <c r="H8207" s="11">
        <v>392</v>
      </c>
      <c r="I8207" s="11">
        <v>8</v>
      </c>
      <c r="J8207" s="11">
        <v>0</v>
      </c>
      <c r="K8207" s="11" t="s">
        <v>21</v>
      </c>
      <c r="L8207" s="7">
        <v>40758.128425925926</v>
      </c>
      <c r="M8207" s="12" t="s">
        <v>10214</v>
      </c>
      <c r="N8207" s="12" t="s">
        <v>17873</v>
      </c>
      <c r="O8207" s="10" t="str">
        <f>HYPERLINK("https://pbs.twimg.com/profile_images/709162212259008512/y7mmMD-g_normal.jpg","View")</f>
        <v>View</v>
      </c>
      <c r="P8207" s="11"/>
    </row>
    <row r="8208" spans="1:16" ht="12.75" x14ac:dyDescent="0.35">
      <c r="A8208" s="7">
        <v>42485.36215277778</v>
      </c>
      <c r="B8208" s="8" t="str">
        <f>HYPERLINK("https://twitter.com/nuestrotransito","@nuestrotransito")</f>
        <v>@nuestrotransito</v>
      </c>
      <c r="C8208" s="9" t="s">
        <v>17874</v>
      </c>
      <c r="D8208" s="9" t="s">
        <v>17827</v>
      </c>
      <c r="E8208" s="10" t="str">
        <f>HYPERLINK("https://twitter.com/nuestrotransito/status/724435638473232384","724435638473232384")</f>
        <v>724435638473232384</v>
      </c>
      <c r="F8208" s="11" t="s">
        <v>48</v>
      </c>
      <c r="G8208" s="11">
        <v>276</v>
      </c>
      <c r="H8208" s="11">
        <v>621</v>
      </c>
      <c r="I8208" s="11">
        <v>3</v>
      </c>
      <c r="J8208" s="11">
        <v>0</v>
      </c>
      <c r="K8208" s="11" t="s">
        <v>21</v>
      </c>
      <c r="L8208" s="7">
        <v>40469.193124999998</v>
      </c>
      <c r="M8208" s="12" t="s">
        <v>17875</v>
      </c>
      <c r="N8208" s="12" t="s">
        <v>17876</v>
      </c>
      <c r="O8208" s="10" t="str">
        <f>HYPERLINK("https://pbs.twimg.com/profile_images/1328237586/288994539_normal.jpg","View")</f>
        <v>View</v>
      </c>
      <c r="P8208" s="11"/>
    </row>
    <row r="8209" spans="1:16" ht="12.75" x14ac:dyDescent="0.35">
      <c r="A8209" s="7">
        <v>42485.363263888888</v>
      </c>
      <c r="B8209" s="8" t="str">
        <f>HYPERLINK("https://twitter.com/VWCamperSales","@VWCamperSales")</f>
        <v>@VWCamperSales</v>
      </c>
      <c r="C8209" s="9" t="s">
        <v>216</v>
      </c>
      <c r="D8209" s="9" t="s">
        <v>17877</v>
      </c>
      <c r="E8209" s="10" t="str">
        <f>HYPERLINK("https://twitter.com/VWCamperSales/status/724436041222901760","724436041222901760")</f>
        <v>724436041222901760</v>
      </c>
      <c r="F8209" s="10" t="s">
        <v>124</v>
      </c>
      <c r="G8209" s="11">
        <v>628</v>
      </c>
      <c r="H8209" s="11">
        <v>579</v>
      </c>
      <c r="I8209" s="11">
        <v>0</v>
      </c>
      <c r="J8209" s="11">
        <v>0</v>
      </c>
      <c r="K8209" s="11" t="s">
        <v>21</v>
      </c>
      <c r="L8209" s="7">
        <v>42215.98809027778</v>
      </c>
      <c r="M8209" s="12" t="s">
        <v>129</v>
      </c>
      <c r="N8209" s="12" t="s">
        <v>218</v>
      </c>
      <c r="O8209" s="10" t="str">
        <f>HYPERLINK("https://pbs.twimg.com/profile_images/627949001179037696/skEBkS05_normal.jpg","View")</f>
        <v>View</v>
      </c>
      <c r="P8209" s="11"/>
    </row>
    <row r="8210" spans="1:16" ht="12.75" x14ac:dyDescent="0.35">
      <c r="A8210" s="7">
        <v>42485.365173611106</v>
      </c>
      <c r="B8210" s="8" t="str">
        <f>HYPERLINK("https://twitter.com/Alanadrieel","@Alanadrieel")</f>
        <v>@Alanadrieel</v>
      </c>
      <c r="C8210" s="9" t="s">
        <v>17878</v>
      </c>
      <c r="D8210" s="9" t="s">
        <v>17879</v>
      </c>
      <c r="E8210" s="10" t="str">
        <f>HYPERLINK("https://twitter.com/Alanadrieel/status/724436736374411264","724436736374411264")</f>
        <v>724436736374411264</v>
      </c>
      <c r="F8210" s="11" t="s">
        <v>48</v>
      </c>
      <c r="G8210" s="11">
        <v>380</v>
      </c>
      <c r="H8210" s="11">
        <v>283</v>
      </c>
      <c r="I8210" s="11">
        <v>0</v>
      </c>
      <c r="J8210" s="11">
        <v>0</v>
      </c>
      <c r="K8210" s="11" t="s">
        <v>21</v>
      </c>
      <c r="L8210" s="7">
        <v>41192.450648148151</v>
      </c>
      <c r="M8210" s="12" t="s">
        <v>17880</v>
      </c>
      <c r="N8210" s="12" t="s">
        <v>17881</v>
      </c>
      <c r="O8210" s="10" t="str">
        <f>HYPERLINK("https://pbs.twimg.com/profile_images/722329162137145344/HC1Y1jgh_normal.jpg","View")</f>
        <v>View</v>
      </c>
      <c r="P8210" s="11"/>
    </row>
    <row r="8211" spans="1:16" ht="12.75" x14ac:dyDescent="0.35">
      <c r="A8211" s="7">
        <v>42485.368680555555</v>
      </c>
      <c r="B8211" s="8" t="str">
        <f t="shared" ref="B8211:B8219" si="857">HYPERLINK("https://twitter.com/vickymotorserv1","@vickymotorserv1")</f>
        <v>@vickymotorserv1</v>
      </c>
      <c r="C8211" s="9" t="s">
        <v>17882</v>
      </c>
      <c r="D8211" s="9" t="s">
        <v>17883</v>
      </c>
      <c r="E8211" s="10" t="str">
        <f>HYPERLINK("https://twitter.com/vickymotorserv1/status/724438006560489472","724438006560489472")</f>
        <v>724438006560489472</v>
      </c>
      <c r="F8211" s="11" t="s">
        <v>48</v>
      </c>
      <c r="G8211" s="11">
        <v>56</v>
      </c>
      <c r="H8211" s="11">
        <v>62</v>
      </c>
      <c r="I8211" s="11">
        <v>2</v>
      </c>
      <c r="J8211" s="11">
        <v>0</v>
      </c>
      <c r="K8211" s="11" t="s">
        <v>21</v>
      </c>
      <c r="L8211" s="7">
        <v>42166.160405092596</v>
      </c>
      <c r="M8211" s="12"/>
      <c r="N8211" s="12" t="s">
        <v>17884</v>
      </c>
      <c r="O8211" s="10" t="str">
        <f t="shared" ref="O8211:O8219" si="858">HYPERLINK("https://pbs.twimg.com/profile_images/613134211919187968/P_pW7EHj_normal.jpg","View")</f>
        <v>View</v>
      </c>
      <c r="P8211" s="11"/>
    </row>
    <row r="8212" spans="1:16" ht="12.75" x14ac:dyDescent="0.35">
      <c r="A8212" s="7">
        <v>42485.368854166663</v>
      </c>
      <c r="B8212" s="8" t="str">
        <f t="shared" si="857"/>
        <v>@vickymotorserv1</v>
      </c>
      <c r="C8212" s="9" t="s">
        <v>17882</v>
      </c>
      <c r="D8212" s="9" t="s">
        <v>17759</v>
      </c>
      <c r="E8212" s="10" t="str">
        <f>HYPERLINK("https://twitter.com/vickymotorserv1/status/724438067860246528","724438067860246528")</f>
        <v>724438067860246528</v>
      </c>
      <c r="F8212" s="11" t="s">
        <v>48</v>
      </c>
      <c r="G8212" s="11">
        <v>56</v>
      </c>
      <c r="H8212" s="11">
        <v>62</v>
      </c>
      <c r="I8212" s="11">
        <v>4</v>
      </c>
      <c r="J8212" s="11">
        <v>0</v>
      </c>
      <c r="K8212" s="11" t="s">
        <v>21</v>
      </c>
      <c r="L8212" s="7">
        <v>42166.160405092596</v>
      </c>
      <c r="M8212" s="12"/>
      <c r="N8212" s="12" t="s">
        <v>17884</v>
      </c>
      <c r="O8212" s="10" t="str">
        <f t="shared" si="858"/>
        <v>View</v>
      </c>
      <c r="P8212" s="11"/>
    </row>
    <row r="8213" spans="1:16" ht="12.75" x14ac:dyDescent="0.35">
      <c r="A8213" s="7">
        <v>42485.369131944448</v>
      </c>
      <c r="B8213" s="8" t="str">
        <f t="shared" si="857"/>
        <v>@vickymotorserv1</v>
      </c>
      <c r="C8213" s="9" t="s">
        <v>17882</v>
      </c>
      <c r="D8213" s="9" t="s">
        <v>17885</v>
      </c>
      <c r="E8213" s="10" t="str">
        <f>HYPERLINK("https://twitter.com/vickymotorserv1/status/724438166829060096","724438166829060096")</f>
        <v>724438166829060096</v>
      </c>
      <c r="F8213" s="11" t="s">
        <v>48</v>
      </c>
      <c r="G8213" s="11">
        <v>56</v>
      </c>
      <c r="H8213" s="11">
        <v>62</v>
      </c>
      <c r="I8213" s="11">
        <v>2</v>
      </c>
      <c r="J8213" s="11">
        <v>0</v>
      </c>
      <c r="K8213" s="11" t="s">
        <v>21</v>
      </c>
      <c r="L8213" s="7">
        <v>42166.160405092596</v>
      </c>
      <c r="M8213" s="12"/>
      <c r="N8213" s="12" t="s">
        <v>17884</v>
      </c>
      <c r="O8213" s="10" t="str">
        <f t="shared" si="858"/>
        <v>View</v>
      </c>
      <c r="P8213" s="11"/>
    </row>
    <row r="8214" spans="1:16" ht="12.75" x14ac:dyDescent="0.35">
      <c r="A8214" s="7">
        <v>42485.36917824074</v>
      </c>
      <c r="B8214" s="8" t="str">
        <f t="shared" si="857"/>
        <v>@vickymotorserv1</v>
      </c>
      <c r="C8214" s="9" t="s">
        <v>17882</v>
      </c>
      <c r="D8214" s="9" t="s">
        <v>17814</v>
      </c>
      <c r="E8214" s="10" t="str">
        <f>HYPERLINK("https://twitter.com/vickymotorserv1/status/724438184449306625","724438184449306625")</f>
        <v>724438184449306625</v>
      </c>
      <c r="F8214" s="11" t="s">
        <v>48</v>
      </c>
      <c r="G8214" s="11">
        <v>56</v>
      </c>
      <c r="H8214" s="11">
        <v>62</v>
      </c>
      <c r="I8214" s="11">
        <v>5</v>
      </c>
      <c r="J8214" s="11">
        <v>0</v>
      </c>
      <c r="K8214" s="11" t="s">
        <v>21</v>
      </c>
      <c r="L8214" s="7">
        <v>42166.160405092596</v>
      </c>
      <c r="M8214" s="12"/>
      <c r="N8214" s="12" t="s">
        <v>17884</v>
      </c>
      <c r="O8214" s="10" t="str">
        <f t="shared" si="858"/>
        <v>View</v>
      </c>
      <c r="P8214" s="11"/>
    </row>
    <row r="8215" spans="1:16" ht="12.75" x14ac:dyDescent="0.35">
      <c r="A8215" s="7">
        <v>42485.369247685187</v>
      </c>
      <c r="B8215" s="8" t="str">
        <f t="shared" si="857"/>
        <v>@vickymotorserv1</v>
      </c>
      <c r="C8215" s="9" t="s">
        <v>17882</v>
      </c>
      <c r="D8215" s="9" t="s">
        <v>17827</v>
      </c>
      <c r="E8215" s="10" t="str">
        <f>HYPERLINK("https://twitter.com/vickymotorserv1/status/724438209615134720","724438209615134720")</f>
        <v>724438209615134720</v>
      </c>
      <c r="F8215" s="11" t="s">
        <v>48</v>
      </c>
      <c r="G8215" s="11">
        <v>56</v>
      </c>
      <c r="H8215" s="11">
        <v>62</v>
      </c>
      <c r="I8215" s="11">
        <v>4</v>
      </c>
      <c r="J8215" s="11">
        <v>0</v>
      </c>
      <c r="K8215" s="11" t="s">
        <v>21</v>
      </c>
      <c r="L8215" s="7">
        <v>42166.160405092596</v>
      </c>
      <c r="M8215" s="12"/>
      <c r="N8215" s="12" t="s">
        <v>17884</v>
      </c>
      <c r="O8215" s="10" t="str">
        <f t="shared" si="858"/>
        <v>View</v>
      </c>
      <c r="P8215" s="11"/>
    </row>
    <row r="8216" spans="1:16" ht="12.75" x14ac:dyDescent="0.35">
      <c r="A8216" s="7">
        <v>42485.369317129633</v>
      </c>
      <c r="B8216" s="8" t="str">
        <f t="shared" si="857"/>
        <v>@vickymotorserv1</v>
      </c>
      <c r="C8216" s="9" t="s">
        <v>17882</v>
      </c>
      <c r="D8216" s="9" t="s">
        <v>17830</v>
      </c>
      <c r="E8216" s="10" t="str">
        <f>HYPERLINK("https://twitter.com/vickymotorserv1/status/724438237305950208","724438237305950208")</f>
        <v>724438237305950208</v>
      </c>
      <c r="F8216" s="11" t="s">
        <v>48</v>
      </c>
      <c r="G8216" s="11">
        <v>56</v>
      </c>
      <c r="H8216" s="11">
        <v>62</v>
      </c>
      <c r="I8216" s="11">
        <v>5</v>
      </c>
      <c r="J8216" s="11">
        <v>0</v>
      </c>
      <c r="K8216" s="11" t="s">
        <v>21</v>
      </c>
      <c r="L8216" s="7">
        <v>42166.160405092596</v>
      </c>
      <c r="M8216" s="12"/>
      <c r="N8216" s="12" t="s">
        <v>17884</v>
      </c>
      <c r="O8216" s="10" t="str">
        <f t="shared" si="858"/>
        <v>View</v>
      </c>
      <c r="P8216" s="11"/>
    </row>
    <row r="8217" spans="1:16" ht="12.75" x14ac:dyDescent="0.35">
      <c r="A8217" s="7">
        <v>42485.369421296295</v>
      </c>
      <c r="B8217" s="8" t="str">
        <f t="shared" si="857"/>
        <v>@vickymotorserv1</v>
      </c>
      <c r="C8217" s="9" t="s">
        <v>17882</v>
      </c>
      <c r="D8217" s="9" t="s">
        <v>17886</v>
      </c>
      <c r="E8217" s="10" t="str">
        <f>HYPERLINK("https://twitter.com/vickymotorserv1/status/724438272525492225","724438272525492225")</f>
        <v>724438272525492225</v>
      </c>
      <c r="F8217" s="11" t="s">
        <v>48</v>
      </c>
      <c r="G8217" s="11">
        <v>56</v>
      </c>
      <c r="H8217" s="11">
        <v>62</v>
      </c>
      <c r="I8217" s="11">
        <v>3</v>
      </c>
      <c r="J8217" s="11">
        <v>0</v>
      </c>
      <c r="K8217" s="11" t="s">
        <v>21</v>
      </c>
      <c r="L8217" s="7">
        <v>42166.160405092596</v>
      </c>
      <c r="M8217" s="12"/>
      <c r="N8217" s="12" t="s">
        <v>17884</v>
      </c>
      <c r="O8217" s="10" t="str">
        <f t="shared" si="858"/>
        <v>View</v>
      </c>
      <c r="P8217" s="11"/>
    </row>
    <row r="8218" spans="1:16" ht="12.75" x14ac:dyDescent="0.35">
      <c r="A8218" s="7">
        <v>42485.369456018518</v>
      </c>
      <c r="B8218" s="8" t="str">
        <f t="shared" si="857"/>
        <v>@vickymotorserv1</v>
      </c>
      <c r="C8218" s="9" t="s">
        <v>17882</v>
      </c>
      <c r="D8218" s="9" t="s">
        <v>17887</v>
      </c>
      <c r="E8218" s="10" t="str">
        <f>HYPERLINK("https://twitter.com/vickymotorserv1/status/724438285955698688","724438285955698688")</f>
        <v>724438285955698688</v>
      </c>
      <c r="F8218" s="11" t="s">
        <v>48</v>
      </c>
      <c r="G8218" s="11">
        <v>56</v>
      </c>
      <c r="H8218" s="11">
        <v>62</v>
      </c>
      <c r="I8218" s="11">
        <v>2</v>
      </c>
      <c r="J8218" s="11">
        <v>0</v>
      </c>
      <c r="K8218" s="11" t="s">
        <v>21</v>
      </c>
      <c r="L8218" s="7">
        <v>42166.160405092596</v>
      </c>
      <c r="M8218" s="12"/>
      <c r="N8218" s="12" t="s">
        <v>17884</v>
      </c>
      <c r="O8218" s="10" t="str">
        <f t="shared" si="858"/>
        <v>View</v>
      </c>
      <c r="P8218" s="11"/>
    </row>
    <row r="8219" spans="1:16" ht="12.75" x14ac:dyDescent="0.35">
      <c r="A8219" s="7">
        <v>42485.369780092587</v>
      </c>
      <c r="B8219" s="8" t="str">
        <f t="shared" si="857"/>
        <v>@vickymotorserv1</v>
      </c>
      <c r="C8219" s="9" t="s">
        <v>17882</v>
      </c>
      <c r="D8219" s="9" t="s">
        <v>17859</v>
      </c>
      <c r="E8219" s="10" t="str">
        <f>HYPERLINK("https://twitter.com/vickymotorserv1/status/724438404432302080","724438404432302080")</f>
        <v>724438404432302080</v>
      </c>
      <c r="F8219" s="11" t="s">
        <v>48</v>
      </c>
      <c r="G8219" s="11">
        <v>56</v>
      </c>
      <c r="H8219" s="11">
        <v>62</v>
      </c>
      <c r="I8219" s="11">
        <v>8</v>
      </c>
      <c r="J8219" s="11">
        <v>0</v>
      </c>
      <c r="K8219" s="11" t="s">
        <v>21</v>
      </c>
      <c r="L8219" s="7">
        <v>42166.160405092596</v>
      </c>
      <c r="M8219" s="12"/>
      <c r="N8219" s="12" t="s">
        <v>17884</v>
      </c>
      <c r="O8219" s="10" t="str">
        <f t="shared" si="858"/>
        <v>View</v>
      </c>
      <c r="P8219" s="11"/>
    </row>
    <row r="8220" spans="1:16" ht="12.75" x14ac:dyDescent="0.35">
      <c r="A8220" s="7">
        <v>42485.370069444441</v>
      </c>
      <c r="B8220" s="8" t="str">
        <f>HYPERLINK("https://twitter.com/AmazingChevVolt","@AmazingChevVolt")</f>
        <v>@AmazingChevVolt</v>
      </c>
      <c r="C8220" s="9" t="s">
        <v>6414</v>
      </c>
      <c r="D8220" s="9" t="s">
        <v>1693</v>
      </c>
      <c r="E8220" s="10" t="str">
        <f>HYPERLINK("https://twitter.com/AmazingChevVolt/status/724438508799156224","724438508799156224")</f>
        <v>724438508799156224</v>
      </c>
      <c r="F8220" s="11" t="s">
        <v>43</v>
      </c>
      <c r="G8220" s="11">
        <v>2404</v>
      </c>
      <c r="H8220" s="11">
        <v>4404</v>
      </c>
      <c r="I8220" s="11">
        <v>4</v>
      </c>
      <c r="J8220" s="11">
        <v>0</v>
      </c>
      <c r="K8220" s="11" t="s">
        <v>21</v>
      </c>
      <c r="L8220" s="7">
        <v>40892.242581018516</v>
      </c>
      <c r="M8220" s="12" t="s">
        <v>6415</v>
      </c>
      <c r="N8220" s="12" t="s">
        <v>6416</v>
      </c>
      <c r="O8220" s="10" t="str">
        <f>HYPERLINK("https://pbs.twimg.com/profile_images/1708625808/Motor_City_Volt_normal.jpg","View")</f>
        <v>View</v>
      </c>
      <c r="P8220" s="11"/>
    </row>
    <row r="8221" spans="1:16" ht="12.75" x14ac:dyDescent="0.35">
      <c r="A8221" s="7">
        <v>42485.370856481481</v>
      </c>
      <c r="B8221" s="8" t="str">
        <f>HYPERLINK("https://twitter.com/ari_budiman307","@ari_budiman307")</f>
        <v>@ari_budiman307</v>
      </c>
      <c r="C8221" s="9" t="s">
        <v>17888</v>
      </c>
      <c r="D8221" s="9" t="s">
        <v>17889</v>
      </c>
      <c r="E8221" s="10" t="str">
        <f>HYPERLINK("https://twitter.com/ari_budiman307/status/724438793483243521","724438793483243521")</f>
        <v>724438793483243521</v>
      </c>
      <c r="F8221" s="11" t="s">
        <v>114</v>
      </c>
      <c r="G8221" s="11">
        <v>98</v>
      </c>
      <c r="H8221" s="11">
        <v>493</v>
      </c>
      <c r="I8221" s="11">
        <v>0</v>
      </c>
      <c r="J8221" s="11">
        <v>0</v>
      </c>
      <c r="K8221" s="11" t="s">
        <v>21</v>
      </c>
      <c r="L8221" s="7">
        <v>40938.318888888891</v>
      </c>
      <c r="M8221" s="12" t="s">
        <v>17890</v>
      </c>
      <c r="N8221" s="12" t="s">
        <v>17891</v>
      </c>
      <c r="O8221" s="10" t="str">
        <f>HYPERLINK("https://pbs.twimg.com/profile_images/540469645304557568/uSe3ub5V_normal.jpeg","View")</f>
        <v>View</v>
      </c>
      <c r="P8221" s="11"/>
    </row>
    <row r="8222" spans="1:16" ht="12.75" x14ac:dyDescent="0.35">
      <c r="A8222" s="7">
        <v>42485.371898148151</v>
      </c>
      <c r="B8222" s="8" t="str">
        <f>HYPERLINK("https://twitter.com/augustinpeilla2","@augustinpeilla2")</f>
        <v>@augustinpeilla2</v>
      </c>
      <c r="C8222" s="9" t="s">
        <v>17892</v>
      </c>
      <c r="D8222" s="9" t="s">
        <v>17859</v>
      </c>
      <c r="E8222" s="10" t="str">
        <f>HYPERLINK("https://twitter.com/augustinpeilla2/status/724439173155958785","724439173155958785")</f>
        <v>724439173155958785</v>
      </c>
      <c r="F8222" s="11" t="s">
        <v>20</v>
      </c>
      <c r="G8222" s="11">
        <v>336</v>
      </c>
      <c r="H8222" s="11">
        <v>336</v>
      </c>
      <c r="I8222" s="11">
        <v>8</v>
      </c>
      <c r="J8222" s="11">
        <v>0</v>
      </c>
      <c r="K8222" s="11" t="s">
        <v>21</v>
      </c>
      <c r="L8222" s="7">
        <v>42230.96194444444</v>
      </c>
      <c r="M8222" s="12"/>
      <c r="N8222" s="12" t="s">
        <v>17893</v>
      </c>
      <c r="O8222" s="10" t="str">
        <f>HYPERLINK("https://pbs.twimg.com/profile_images/721832729315307520/pbETf38K_normal.jpg","View")</f>
        <v>View</v>
      </c>
      <c r="P8222" s="11"/>
    </row>
    <row r="8223" spans="1:16" ht="12.75" x14ac:dyDescent="0.35">
      <c r="A8223" s="7">
        <v>42485.373425925922</v>
      </c>
      <c r="B8223" s="8" t="str">
        <f>HYPERLINK("https://twitter.com/MarketScan1","@MarketScan1")</f>
        <v>@MarketScan1</v>
      </c>
      <c r="C8223" s="9" t="s">
        <v>17894</v>
      </c>
      <c r="D8223" s="9" t="s">
        <v>17726</v>
      </c>
      <c r="E8223" s="10" t="str">
        <f>HYPERLINK("https://twitter.com/MarketScan1/status/724439723247210496","724439723247210496")</f>
        <v>724439723247210496</v>
      </c>
      <c r="F8223" s="11" t="s">
        <v>20</v>
      </c>
      <c r="G8223" s="11">
        <v>169</v>
      </c>
      <c r="H8223" s="11">
        <v>276</v>
      </c>
      <c r="I8223" s="11">
        <v>9</v>
      </c>
      <c r="J8223" s="11">
        <v>0</v>
      </c>
      <c r="K8223" s="11" t="s">
        <v>21</v>
      </c>
      <c r="L8223" s="7">
        <v>41135.996724537035</v>
      </c>
      <c r="M8223" s="12" t="s">
        <v>305</v>
      </c>
      <c r="N8223" s="12" t="s">
        <v>17895</v>
      </c>
      <c r="O8223" s="10" t="str">
        <f>HYPERLINK("https://pbs.twimg.com/profile_images/639811780269572096/jg3ztkQP_normal.png","View")</f>
        <v>View</v>
      </c>
      <c r="P8223" s="11"/>
    </row>
    <row r="8224" spans="1:16" ht="12.75" x14ac:dyDescent="0.35">
      <c r="A8224" s="7">
        <v>42485.373553240745</v>
      </c>
      <c r="B8224" s="8" t="str">
        <f t="shared" ref="B8224:B8225" si="859">HYPERLINK("https://twitter.com/TheHippieVanMan","@TheHippieVanMan")</f>
        <v>@TheHippieVanMan</v>
      </c>
      <c r="C8224" s="9" t="s">
        <v>14405</v>
      </c>
      <c r="D8224" s="9" t="s">
        <v>17896</v>
      </c>
      <c r="E8224" s="10" t="str">
        <f>HYPERLINK("https://twitter.com/TheHippieVanMan/status/724439769934127104","724439769934127104")</f>
        <v>724439769934127104</v>
      </c>
      <c r="F8224" s="11" t="s">
        <v>114</v>
      </c>
      <c r="G8224" s="11">
        <v>1645</v>
      </c>
      <c r="H8224" s="11">
        <v>1561</v>
      </c>
      <c r="I8224" s="11">
        <v>0</v>
      </c>
      <c r="J8224" s="11">
        <v>0</v>
      </c>
      <c r="K8224" s="11" t="s">
        <v>21</v>
      </c>
      <c r="L8224" s="7">
        <v>41253.419062499997</v>
      </c>
      <c r="M8224" s="12" t="s">
        <v>3097</v>
      </c>
      <c r="N8224" s="12" t="s">
        <v>14407</v>
      </c>
      <c r="O8224" s="10" t="str">
        <f t="shared" ref="O8224:O8225" si="860">HYPERLINK("https://pbs.twimg.com/profile_images/3247035045/9844e9d67157e05905c827333dbfa0ee_normal.jpeg","View")</f>
        <v>View</v>
      </c>
      <c r="P8224" s="11"/>
    </row>
    <row r="8225" spans="1:16" ht="12.75" x14ac:dyDescent="0.35">
      <c r="A8225" s="7">
        <v>42485.374189814815</v>
      </c>
      <c r="B8225" s="8" t="str">
        <f t="shared" si="859"/>
        <v>@TheHippieVanMan</v>
      </c>
      <c r="C8225" s="9" t="s">
        <v>14405</v>
      </c>
      <c r="D8225" s="9" t="s">
        <v>17897</v>
      </c>
      <c r="E8225" s="10" t="str">
        <f>HYPERLINK("https://twitter.com/TheHippieVanMan/status/724440000113303553","724440000113303553")</f>
        <v>724440000113303553</v>
      </c>
      <c r="F8225" s="11" t="s">
        <v>114</v>
      </c>
      <c r="G8225" s="11">
        <v>1645</v>
      </c>
      <c r="H8225" s="11">
        <v>1561</v>
      </c>
      <c r="I8225" s="11">
        <v>0</v>
      </c>
      <c r="J8225" s="11">
        <v>0</v>
      </c>
      <c r="K8225" s="11" t="s">
        <v>21</v>
      </c>
      <c r="L8225" s="7">
        <v>41253.419062499997</v>
      </c>
      <c r="M8225" s="12" t="s">
        <v>3097</v>
      </c>
      <c r="N8225" s="12" t="s">
        <v>14407</v>
      </c>
      <c r="O8225" s="10" t="str">
        <f t="shared" si="860"/>
        <v>View</v>
      </c>
      <c r="P8225" s="11"/>
    </row>
    <row r="8226" spans="1:16" ht="12.75" x14ac:dyDescent="0.35">
      <c r="A8226" s="7">
        <v>42485.37436342593</v>
      </c>
      <c r="B8226" s="8" t="str">
        <f>HYPERLINK("https://twitter.com/luc4m4rtin","@luc4m4rtin")</f>
        <v>@luc4m4rtin</v>
      </c>
      <c r="C8226" s="9" t="s">
        <v>17898</v>
      </c>
      <c r="D8226" s="9" t="s">
        <v>17859</v>
      </c>
      <c r="E8226" s="10" t="str">
        <f>HYPERLINK("https://twitter.com/luc4m4rtin/status/724440064038559744","724440064038559744")</f>
        <v>724440064038559744</v>
      </c>
      <c r="F8226" s="11" t="s">
        <v>20</v>
      </c>
      <c r="G8226" s="11">
        <v>75</v>
      </c>
      <c r="H8226" s="11">
        <v>194</v>
      </c>
      <c r="I8226" s="11">
        <v>8</v>
      </c>
      <c r="J8226" s="11">
        <v>0</v>
      </c>
      <c r="K8226" s="11" t="s">
        <v>21</v>
      </c>
      <c r="L8226" s="7">
        <v>41310.142245370371</v>
      </c>
      <c r="M8226" s="12" t="s">
        <v>17899</v>
      </c>
      <c r="N8226" s="12" t="s">
        <v>17900</v>
      </c>
      <c r="O8226" s="10" t="str">
        <f>HYPERLINK("https://pbs.twimg.com/profile_images/547805290783965184/4nzuRtK-_normal.jpeg","View")</f>
        <v>View</v>
      </c>
      <c r="P8226" s="11"/>
    </row>
    <row r="8227" spans="1:16" ht="12.75" x14ac:dyDescent="0.35">
      <c r="A8227" s="7">
        <v>42485.376030092593</v>
      </c>
      <c r="B8227" s="8" t="str">
        <f>HYPERLINK("https://twitter.com/TheHippieVanMan","@TheHippieVanMan")</f>
        <v>@TheHippieVanMan</v>
      </c>
      <c r="C8227" s="9" t="s">
        <v>14405</v>
      </c>
      <c r="D8227" s="9" t="s">
        <v>17901</v>
      </c>
      <c r="E8227" s="10" t="str">
        <f>HYPERLINK("https://twitter.com/TheHippieVanMan/status/724440669050253312","724440669050253312")</f>
        <v>724440669050253312</v>
      </c>
      <c r="F8227" s="11" t="s">
        <v>114</v>
      </c>
      <c r="G8227" s="11">
        <v>1645</v>
      </c>
      <c r="H8227" s="11">
        <v>1561</v>
      </c>
      <c r="I8227" s="11">
        <v>1</v>
      </c>
      <c r="J8227" s="11">
        <v>1</v>
      </c>
      <c r="K8227" s="11" t="s">
        <v>21</v>
      </c>
      <c r="L8227" s="7">
        <v>41253.419062499997</v>
      </c>
      <c r="M8227" s="12" t="s">
        <v>3097</v>
      </c>
      <c r="N8227" s="12" t="s">
        <v>14407</v>
      </c>
      <c r="O8227" s="10" t="str">
        <f>HYPERLINK("https://pbs.twimg.com/profile_images/3247035045/9844e9d67157e05905c827333dbfa0ee_normal.jpeg","View")</f>
        <v>View</v>
      </c>
      <c r="P8227" s="11"/>
    </row>
    <row r="8228" spans="1:16" ht="12.75" x14ac:dyDescent="0.35">
      <c r="A8228" s="7">
        <v>42485.376111111109</v>
      </c>
      <c r="B8228" s="8" t="str">
        <f>HYPERLINK("https://twitter.com/betycue","@betycue")</f>
        <v>@betycue</v>
      </c>
      <c r="C8228" s="9" t="s">
        <v>17902</v>
      </c>
      <c r="D8228" s="9" t="s">
        <v>17830</v>
      </c>
      <c r="E8228" s="10" t="str">
        <f>HYPERLINK("https://twitter.com/betycue/status/724440696128577536","724440696128577536")</f>
        <v>724440696128577536</v>
      </c>
      <c r="F8228" s="11" t="s">
        <v>20</v>
      </c>
      <c r="G8228" s="11">
        <v>1564</v>
      </c>
      <c r="H8228" s="11">
        <v>2082</v>
      </c>
      <c r="I8228" s="11">
        <v>6</v>
      </c>
      <c r="J8228" s="11">
        <v>0</v>
      </c>
      <c r="K8228" s="11" t="s">
        <v>21</v>
      </c>
      <c r="L8228" s="7">
        <v>40205.91474537037</v>
      </c>
      <c r="M8228" s="12" t="s">
        <v>462</v>
      </c>
      <c r="N8228" s="12" t="s">
        <v>17903</v>
      </c>
      <c r="O8228" s="10" t="str">
        <f>HYPERLINK("https://pbs.twimg.com/profile_images/716756633997541376/KQjHyHpX_normal.jpg","View")</f>
        <v>View</v>
      </c>
      <c r="P8228" s="11"/>
    </row>
    <row r="8229" spans="1:16" ht="12.75" x14ac:dyDescent="0.35">
      <c r="A8229" s="7">
        <v>42485.379398148143</v>
      </c>
      <c r="B8229" s="8" t="str">
        <f>HYPERLINK("https://twitter.com/AutoVerdict","@AutoVerdict")</f>
        <v>@AutoVerdict</v>
      </c>
      <c r="C8229" s="9" t="s">
        <v>5395</v>
      </c>
      <c r="D8229" s="9" t="s">
        <v>17904</v>
      </c>
      <c r="E8229" s="10" t="str">
        <f>HYPERLINK("https://twitter.com/AutoVerdict/status/724441888854519808","724441888854519808")</f>
        <v>724441888854519808</v>
      </c>
      <c r="F8229" s="11" t="s">
        <v>5397</v>
      </c>
      <c r="G8229" s="11">
        <v>7290</v>
      </c>
      <c r="H8229" s="11">
        <v>1034</v>
      </c>
      <c r="I8229" s="11">
        <v>1</v>
      </c>
      <c r="J8229" s="11">
        <v>0</v>
      </c>
      <c r="K8229" s="11" t="s">
        <v>21</v>
      </c>
      <c r="L8229" s="7">
        <v>40068.339328703703</v>
      </c>
      <c r="M8229" s="12"/>
      <c r="N8229" s="12" t="s">
        <v>5398</v>
      </c>
      <c r="O8229" s="10" t="str">
        <f>HYPERLINK("https://pbs.twimg.com/profile_images/599226705513820160/hFySz3DC_normal.jpg","View")</f>
        <v>View</v>
      </c>
      <c r="P8229" s="11"/>
    </row>
    <row r="8230" spans="1:16" ht="12.75" x14ac:dyDescent="0.35">
      <c r="A8230" s="7">
        <v>42485.379444444443</v>
      </c>
      <c r="B8230" s="8" t="str">
        <f>HYPERLINK("https://twitter.com/ausrutherford","@ausrutherford")</f>
        <v>@ausrutherford</v>
      </c>
      <c r="C8230" s="9" t="s">
        <v>5547</v>
      </c>
      <c r="D8230" s="9" t="s">
        <v>17905</v>
      </c>
      <c r="E8230" s="10" t="str">
        <f>HYPERLINK("https://twitter.com/ausrutherford/status/724441905325551616","724441905325551616")</f>
        <v>724441905325551616</v>
      </c>
      <c r="F8230" s="11" t="s">
        <v>63</v>
      </c>
      <c r="G8230" s="11">
        <v>199</v>
      </c>
      <c r="H8230" s="11">
        <v>343</v>
      </c>
      <c r="I8230" s="11">
        <v>1</v>
      </c>
      <c r="J8230" s="11">
        <v>0</v>
      </c>
      <c r="K8230" s="11" t="s">
        <v>21</v>
      </c>
      <c r="L8230" s="7">
        <v>39939.340057870373</v>
      </c>
      <c r="M8230" s="12" t="s">
        <v>5549</v>
      </c>
      <c r="N8230" s="12" t="s">
        <v>5550</v>
      </c>
      <c r="O8230" s="10" t="str">
        <f>HYPERLINK("https://pbs.twimg.com/profile_images/709058129393291264/47ZDCq7j_normal.jpg","View")</f>
        <v>View</v>
      </c>
      <c r="P8230" s="11"/>
    </row>
    <row r="8231" spans="1:16" ht="12.75" x14ac:dyDescent="0.35">
      <c r="A8231" s="7">
        <v>42485.380740740744</v>
      </c>
      <c r="B8231" s="8" t="str">
        <f>HYPERLINK("https://twitter.com/nomkhita12","@nomkhita12")</f>
        <v>@nomkhita12</v>
      </c>
      <c r="C8231" s="9" t="s">
        <v>3970</v>
      </c>
      <c r="D8231" s="9" t="s">
        <v>17726</v>
      </c>
      <c r="E8231" s="10" t="str">
        <f>HYPERLINK("https://twitter.com/nomkhita12/status/724442377532878848","724442377532878848")</f>
        <v>724442377532878848</v>
      </c>
      <c r="F8231" s="11" t="s">
        <v>20</v>
      </c>
      <c r="G8231" s="11">
        <v>277</v>
      </c>
      <c r="H8231" s="11">
        <v>310</v>
      </c>
      <c r="I8231" s="11">
        <v>10</v>
      </c>
      <c r="J8231" s="11">
        <v>0</v>
      </c>
      <c r="K8231" s="11" t="s">
        <v>21</v>
      </c>
      <c r="L8231" s="7">
        <v>40718.836018518516</v>
      </c>
      <c r="M8231" s="12" t="s">
        <v>3971</v>
      </c>
      <c r="N8231" s="12" t="s">
        <v>3972</v>
      </c>
      <c r="O8231" s="10" t="str">
        <f>HYPERLINK("https://pbs.twimg.com/profile_images/378800000341166778/f53681e83985bbd49e5ff4ae1267bf66_normal.jpeg","View")</f>
        <v>View</v>
      </c>
      <c r="P8231" s="11"/>
    </row>
    <row r="8232" spans="1:16" ht="12.75" x14ac:dyDescent="0.35">
      <c r="A8232" s="7">
        <v>42485.381435185191</v>
      </c>
      <c r="B8232" s="8" t="str">
        <f t="shared" ref="B8232:B8234" si="861">HYPERLINK("https://twitter.com/DubLuvTuning","@DubLuvTuning")</f>
        <v>@DubLuvTuning</v>
      </c>
      <c r="C8232" s="9" t="s">
        <v>299</v>
      </c>
      <c r="D8232" s="9" t="s">
        <v>17906</v>
      </c>
      <c r="E8232" s="10" t="str">
        <f>HYPERLINK("https://twitter.com/DubLuvTuning/status/724442629346304001","724442629346304001")</f>
        <v>724442629346304001</v>
      </c>
      <c r="F8232" s="11" t="s">
        <v>288</v>
      </c>
      <c r="G8232" s="11">
        <v>690</v>
      </c>
      <c r="H8232" s="11">
        <v>430</v>
      </c>
      <c r="I8232" s="11">
        <v>1</v>
      </c>
      <c r="J8232" s="11">
        <v>0</v>
      </c>
      <c r="K8232" s="11" t="s">
        <v>21</v>
      </c>
      <c r="L8232" s="7">
        <v>41549.898287037038</v>
      </c>
      <c r="M8232" s="12" t="s">
        <v>301</v>
      </c>
      <c r="N8232" s="12" t="s">
        <v>302</v>
      </c>
      <c r="O8232" s="10" t="str">
        <f t="shared" ref="O8232:O8234" si="862">HYPERLINK("https://pbs.twimg.com/profile_images/378800000572104796/1de43e1cf23efb3f4101c02afad0d3b6_normal.png","View")</f>
        <v>View</v>
      </c>
      <c r="P8232" s="11"/>
    </row>
    <row r="8233" spans="1:16" ht="12.75" x14ac:dyDescent="0.35">
      <c r="A8233" s="7">
        <v>42485.38144675926</v>
      </c>
      <c r="B8233" s="8" t="str">
        <f t="shared" si="861"/>
        <v>@DubLuvTuning</v>
      </c>
      <c r="C8233" s="9" t="s">
        <v>299</v>
      </c>
      <c r="D8233" s="9" t="s">
        <v>17907</v>
      </c>
      <c r="E8233" s="10" t="str">
        <f>HYPERLINK("https://twitter.com/DubLuvTuning/status/724442630319407105","724442630319407105")</f>
        <v>724442630319407105</v>
      </c>
      <c r="F8233" s="11" t="s">
        <v>288</v>
      </c>
      <c r="G8233" s="11">
        <v>690</v>
      </c>
      <c r="H8233" s="11">
        <v>430</v>
      </c>
      <c r="I8233" s="11">
        <v>1</v>
      </c>
      <c r="J8233" s="11">
        <v>0</v>
      </c>
      <c r="K8233" s="11" t="s">
        <v>21</v>
      </c>
      <c r="L8233" s="7">
        <v>41549.898287037038</v>
      </c>
      <c r="M8233" s="12" t="s">
        <v>301</v>
      </c>
      <c r="N8233" s="12" t="s">
        <v>302</v>
      </c>
      <c r="O8233" s="10" t="str">
        <f t="shared" si="862"/>
        <v>View</v>
      </c>
      <c r="P8233" s="11"/>
    </row>
    <row r="8234" spans="1:16" ht="12.75" x14ac:dyDescent="0.35">
      <c r="A8234" s="7">
        <v>42485.38144675926</v>
      </c>
      <c r="B8234" s="8" t="str">
        <f t="shared" si="861"/>
        <v>@DubLuvTuning</v>
      </c>
      <c r="C8234" s="9" t="s">
        <v>299</v>
      </c>
      <c r="D8234" s="9" t="s">
        <v>17908</v>
      </c>
      <c r="E8234" s="10" t="str">
        <f>HYPERLINK("https://twitter.com/DubLuvTuning/status/724442631103733761","724442631103733761")</f>
        <v>724442631103733761</v>
      </c>
      <c r="F8234" s="11" t="s">
        <v>288</v>
      </c>
      <c r="G8234" s="11">
        <v>690</v>
      </c>
      <c r="H8234" s="11">
        <v>430</v>
      </c>
      <c r="I8234" s="11">
        <v>1</v>
      </c>
      <c r="J8234" s="11">
        <v>0</v>
      </c>
      <c r="K8234" s="11" t="s">
        <v>21</v>
      </c>
      <c r="L8234" s="7">
        <v>41549.898287037038</v>
      </c>
      <c r="M8234" s="12" t="s">
        <v>301</v>
      </c>
      <c r="N8234" s="12" t="s">
        <v>302</v>
      </c>
      <c r="O8234" s="10" t="str">
        <f t="shared" si="862"/>
        <v>View</v>
      </c>
      <c r="P8234" s="11"/>
    </row>
    <row r="8235" spans="1:16" ht="12.75" x14ac:dyDescent="0.35">
      <c r="A8235" s="7">
        <v>42485.382291666669</v>
      </c>
      <c r="B8235" s="8" t="str">
        <f>HYPERLINK("https://twitter.com/brhodes1997","@brhodes1997")</f>
        <v>@brhodes1997</v>
      </c>
      <c r="C8235" s="9" t="s">
        <v>17909</v>
      </c>
      <c r="D8235" s="9" t="s">
        <v>17910</v>
      </c>
      <c r="E8235" s="10" t="str">
        <f>HYPERLINK("https://twitter.com/brhodes1997/status/724442938642694144","724442938642694144")</f>
        <v>724442938642694144</v>
      </c>
      <c r="F8235" s="11" t="s">
        <v>114</v>
      </c>
      <c r="G8235" s="11">
        <v>2375</v>
      </c>
      <c r="H8235" s="11">
        <v>1895</v>
      </c>
      <c r="I8235" s="11">
        <v>0</v>
      </c>
      <c r="J8235" s="11">
        <v>0</v>
      </c>
      <c r="K8235" s="11" t="s">
        <v>21</v>
      </c>
      <c r="L8235" s="7">
        <v>40353.862662037034</v>
      </c>
      <c r="M8235" s="12"/>
      <c r="N8235" s="12" t="s">
        <v>17911</v>
      </c>
      <c r="O8235" s="10" t="str">
        <f>HYPERLINK("https://pbs.twimg.com/profile_images/684898279880929280/ygGjNMH2_normal.jpg","View")</f>
        <v>View</v>
      </c>
      <c r="P8235" s="11"/>
    </row>
    <row r="8236" spans="1:16" ht="12.75" x14ac:dyDescent="0.35">
      <c r="A8236" s="7">
        <v>42485.382685185185</v>
      </c>
      <c r="B8236" s="8" t="str">
        <f>HYPERLINK("https://twitter.com/cmsGOMEX","@cmsGOMEX")</f>
        <v>@cmsGOMEX</v>
      </c>
      <c r="C8236" s="9" t="s">
        <v>2519</v>
      </c>
      <c r="D8236" s="9" t="s">
        <v>17912</v>
      </c>
      <c r="E8236" s="10" t="str">
        <f>HYPERLINK("https://twitter.com/cmsGOMEX/status/724443079546179585","724443079546179585")</f>
        <v>724443079546179585</v>
      </c>
      <c r="F8236" s="11" t="s">
        <v>43</v>
      </c>
      <c r="G8236" s="11">
        <v>652</v>
      </c>
      <c r="H8236" s="11">
        <v>462</v>
      </c>
      <c r="I8236" s="11">
        <v>0</v>
      </c>
      <c r="J8236" s="11">
        <v>0</v>
      </c>
      <c r="K8236" s="11" t="s">
        <v>21</v>
      </c>
      <c r="L8236" s="7">
        <v>39983.775879629626</v>
      </c>
      <c r="M8236" s="12" t="s">
        <v>1116</v>
      </c>
      <c r="N8236" s="12" t="s">
        <v>2521</v>
      </c>
      <c r="O8236" s="10" t="str">
        <f>HYPERLINK("https://pbs.twimg.com/profile_images/472298206483607552/UogAMiRI_normal.png","View")</f>
        <v>View</v>
      </c>
      <c r="P8236" s="11"/>
    </row>
    <row r="8237" spans="1:16" ht="12.75" x14ac:dyDescent="0.35">
      <c r="A8237" s="7">
        <v>42485.385972222226</v>
      </c>
      <c r="B8237" s="8" t="str">
        <f>HYPERLINK("https://twitter.com/LoveeMarinaaa","@LoveeMarinaaa")</f>
        <v>@LoveeMarinaaa</v>
      </c>
      <c r="C8237" s="9" t="s">
        <v>17913</v>
      </c>
      <c r="D8237" s="9" t="s">
        <v>17914</v>
      </c>
      <c r="E8237" s="10" t="str">
        <f>HYPERLINK("https://twitter.com/LoveeMarinaaa/status/724444273156960256","724444273156960256")</f>
        <v>724444273156960256</v>
      </c>
      <c r="F8237" s="11" t="s">
        <v>114</v>
      </c>
      <c r="G8237" s="11">
        <v>193</v>
      </c>
      <c r="H8237" s="11">
        <v>434</v>
      </c>
      <c r="I8237" s="11">
        <v>0</v>
      </c>
      <c r="J8237" s="11">
        <v>0</v>
      </c>
      <c r="K8237" s="11" t="s">
        <v>21</v>
      </c>
      <c r="L8237" s="7">
        <v>41114.442453703705</v>
      </c>
      <c r="M8237" s="12"/>
      <c r="N8237" s="12" t="s">
        <v>17915</v>
      </c>
      <c r="O8237" s="10" t="str">
        <f>HYPERLINK("https://pbs.twimg.com/profile_images/679892976064139264/V141zEM-_normal.jpg","View")</f>
        <v>View</v>
      </c>
      <c r="P8237" s="11"/>
    </row>
    <row r="8238" spans="1:16" ht="12.75" x14ac:dyDescent="0.35">
      <c r="A8238" s="7">
        <v>42485.386400462958</v>
      </c>
      <c r="B8238" s="8" t="str">
        <f>HYPERLINK("https://twitter.com/Tarq66262692","@Tarq66262692")</f>
        <v>@Tarq66262692</v>
      </c>
      <c r="C8238" s="9" t="s">
        <v>17916</v>
      </c>
      <c r="D8238" s="9" t="s">
        <v>17830</v>
      </c>
      <c r="E8238" s="10" t="str">
        <f>HYPERLINK("https://twitter.com/Tarq66262692/status/724444428400734208","724444428400734208")</f>
        <v>724444428400734208</v>
      </c>
      <c r="F8238" s="11" t="s">
        <v>20</v>
      </c>
      <c r="G8238" s="11">
        <v>190</v>
      </c>
      <c r="H8238" s="11">
        <v>802</v>
      </c>
      <c r="I8238" s="11">
        <v>9</v>
      </c>
      <c r="J8238" s="11">
        <v>0</v>
      </c>
      <c r="K8238" s="11" t="s">
        <v>21</v>
      </c>
      <c r="L8238" s="7">
        <v>42158.928587962961</v>
      </c>
      <c r="M8238" s="12" t="s">
        <v>17917</v>
      </c>
      <c r="N8238" s="12"/>
      <c r="O8238" s="10" t="str">
        <f>HYPERLINK("https://pbs.twimg.com/profile_images/713408596722245633/A4Y2og2-_normal.jpg","View")</f>
        <v>View</v>
      </c>
      <c r="P8238" s="11"/>
    </row>
    <row r="8239" spans="1:16" ht="12.75" x14ac:dyDescent="0.35">
      <c r="A8239" s="7">
        <v>42485.386770833335</v>
      </c>
      <c r="B8239" s="8" t="str">
        <f>HYPERLINK("https://twitter.com/sami19981","@sami19981")</f>
        <v>@sami19981</v>
      </c>
      <c r="C8239" s="9" t="s">
        <v>14174</v>
      </c>
      <c r="D8239" s="9" t="s">
        <v>17726</v>
      </c>
      <c r="E8239" s="10" t="str">
        <f>HYPERLINK("https://twitter.com/sami19981/status/724444562677202945","724444562677202945")</f>
        <v>724444562677202945</v>
      </c>
      <c r="F8239" s="11" t="s">
        <v>20</v>
      </c>
      <c r="G8239" s="11">
        <v>11</v>
      </c>
      <c r="H8239" s="11">
        <v>119</v>
      </c>
      <c r="I8239" s="11">
        <v>11</v>
      </c>
      <c r="J8239" s="11">
        <v>0</v>
      </c>
      <c r="K8239" s="11" t="s">
        <v>21</v>
      </c>
      <c r="L8239" s="7">
        <v>41602.930891203701</v>
      </c>
      <c r="M8239" s="12"/>
      <c r="N8239" s="12" t="s">
        <v>14175</v>
      </c>
      <c r="O8239" s="10" t="str">
        <f>HYPERLINK("https://pbs.twimg.com/profile_images/697165847840698370/-u-vLqUa_normal.jpg","View")</f>
        <v>View</v>
      </c>
      <c r="P8239" s="11"/>
    </row>
    <row r="8240" spans="1:16" ht="12.75" x14ac:dyDescent="0.35">
      <c r="A8240" s="7">
        <v>42485.386921296296</v>
      </c>
      <c r="B8240" s="8" t="str">
        <f>HYPERLINK("https://twitter.com/jgitaum","@jgitaum")</f>
        <v>@jgitaum</v>
      </c>
      <c r="C8240" s="9" t="s">
        <v>17918</v>
      </c>
      <c r="D8240" s="9" t="s">
        <v>17845</v>
      </c>
      <c r="E8240" s="10" t="str">
        <f>HYPERLINK("https://twitter.com/jgitaum/status/724444615529603072","724444615529603072")</f>
        <v>724444615529603072</v>
      </c>
      <c r="F8240" s="11" t="s">
        <v>725</v>
      </c>
      <c r="G8240" s="11">
        <v>82</v>
      </c>
      <c r="H8240" s="11">
        <v>112</v>
      </c>
      <c r="I8240" s="11">
        <v>3</v>
      </c>
      <c r="J8240" s="11">
        <v>0</v>
      </c>
      <c r="K8240" s="11" t="s">
        <v>21</v>
      </c>
      <c r="L8240" s="7">
        <v>41537.923842592594</v>
      </c>
      <c r="M8240" s="12"/>
      <c r="N8240" s="12" t="s">
        <v>17919</v>
      </c>
      <c r="O8240" s="10" t="str">
        <f>HYPERLINK("https://pbs.twimg.com/profile_images/700587743210934272/ur76yK6Z_normal.jpg","View")</f>
        <v>View</v>
      </c>
      <c r="P8240" s="11"/>
    </row>
    <row r="8241" spans="1:16" ht="12.75" x14ac:dyDescent="0.35">
      <c r="A8241" s="7">
        <v>42485.387129629627</v>
      </c>
      <c r="B8241" s="8" t="str">
        <f>HYPERLINK("https://twitter.com/nomkhita12","@nomkhita12")</f>
        <v>@nomkhita12</v>
      </c>
      <c r="C8241" s="9" t="s">
        <v>3970</v>
      </c>
      <c r="D8241" s="9" t="s">
        <v>17883</v>
      </c>
      <c r="E8241" s="10" t="str">
        <f>HYPERLINK("https://twitter.com/nomkhita12/status/724444691572371456","724444691572371456")</f>
        <v>724444691572371456</v>
      </c>
      <c r="F8241" s="11" t="s">
        <v>20</v>
      </c>
      <c r="G8241" s="11">
        <v>278</v>
      </c>
      <c r="H8241" s="11">
        <v>310</v>
      </c>
      <c r="I8241" s="11">
        <v>3</v>
      </c>
      <c r="J8241" s="11">
        <v>0</v>
      </c>
      <c r="K8241" s="11" t="s">
        <v>21</v>
      </c>
      <c r="L8241" s="7">
        <v>40718.836018518516</v>
      </c>
      <c r="M8241" s="12" t="s">
        <v>3971</v>
      </c>
      <c r="N8241" s="12" t="s">
        <v>3972</v>
      </c>
      <c r="O8241" s="10" t="str">
        <f>HYPERLINK("https://pbs.twimg.com/profile_images/378800000341166778/f53681e83985bbd49e5ff4ae1267bf66_normal.jpeg","View")</f>
        <v>View</v>
      </c>
      <c r="P8241" s="11"/>
    </row>
    <row r="8242" spans="1:16" ht="12.75" x14ac:dyDescent="0.35">
      <c r="A8242" s="7">
        <v>42485.387592592597</v>
      </c>
      <c r="B8242" s="8" t="str">
        <f>HYPERLINK("https://twitter.com/DubLuvTuning","@DubLuvTuning")</f>
        <v>@DubLuvTuning</v>
      </c>
      <c r="C8242" s="9" t="s">
        <v>299</v>
      </c>
      <c r="D8242" s="9" t="s">
        <v>17920</v>
      </c>
      <c r="E8242" s="10" t="str">
        <f>HYPERLINK("https://twitter.com/DubLuvTuning/status/724444859399045121","724444859399045121")</f>
        <v>724444859399045121</v>
      </c>
      <c r="F8242" s="11" t="s">
        <v>288</v>
      </c>
      <c r="G8242" s="11">
        <v>690</v>
      </c>
      <c r="H8242" s="11">
        <v>430</v>
      </c>
      <c r="I8242" s="11">
        <v>1</v>
      </c>
      <c r="J8242" s="11">
        <v>0</v>
      </c>
      <c r="K8242" s="11" t="s">
        <v>21</v>
      </c>
      <c r="L8242" s="7">
        <v>41549.898287037038</v>
      </c>
      <c r="M8242" s="12" t="s">
        <v>301</v>
      </c>
      <c r="N8242" s="12" t="s">
        <v>302</v>
      </c>
      <c r="O8242" s="10" t="str">
        <f>HYPERLINK("https://pbs.twimg.com/profile_images/378800000572104796/1de43e1cf23efb3f4101c02afad0d3b6_normal.png","View")</f>
        <v>View</v>
      </c>
      <c r="P8242" s="11"/>
    </row>
    <row r="8243" spans="1:16" ht="12.75" x14ac:dyDescent="0.35">
      <c r="A8243" s="7">
        <v>42485.388009259259</v>
      </c>
      <c r="B8243" s="8" t="str">
        <f t="shared" ref="B8243:B8245" si="863">HYPERLINK("https://twitter.com/nomkhita12","@nomkhita12")</f>
        <v>@nomkhita12</v>
      </c>
      <c r="C8243" s="9" t="s">
        <v>3970</v>
      </c>
      <c r="D8243" s="9" t="s">
        <v>17885</v>
      </c>
      <c r="E8243" s="10" t="str">
        <f>HYPERLINK("https://twitter.com/nomkhita12/status/724445007923560452","724445007923560452")</f>
        <v>724445007923560452</v>
      </c>
      <c r="F8243" s="11" t="s">
        <v>20</v>
      </c>
      <c r="G8243" s="11">
        <v>278</v>
      </c>
      <c r="H8243" s="11">
        <v>310</v>
      </c>
      <c r="I8243" s="11">
        <v>3</v>
      </c>
      <c r="J8243" s="11">
        <v>0</v>
      </c>
      <c r="K8243" s="11" t="s">
        <v>21</v>
      </c>
      <c r="L8243" s="7">
        <v>40718.836018518516</v>
      </c>
      <c r="M8243" s="12" t="s">
        <v>3971</v>
      </c>
      <c r="N8243" s="12" t="s">
        <v>3972</v>
      </c>
      <c r="O8243" s="10" t="str">
        <f t="shared" ref="O8243:O8245" si="864">HYPERLINK("https://pbs.twimg.com/profile_images/378800000341166778/f53681e83985bbd49e5ff4ae1267bf66_normal.jpeg","View")</f>
        <v>View</v>
      </c>
      <c r="P8243" s="11"/>
    </row>
    <row r="8244" spans="1:16" ht="12.75" x14ac:dyDescent="0.35">
      <c r="A8244" s="7">
        <v>42485.388217592597</v>
      </c>
      <c r="B8244" s="8" t="str">
        <f t="shared" si="863"/>
        <v>@nomkhita12</v>
      </c>
      <c r="C8244" s="9" t="s">
        <v>3970</v>
      </c>
      <c r="D8244" s="9" t="s">
        <v>17830</v>
      </c>
      <c r="E8244" s="10" t="str">
        <f>HYPERLINK("https://twitter.com/nomkhita12/status/724445084830314496","724445084830314496")</f>
        <v>724445084830314496</v>
      </c>
      <c r="F8244" s="11" t="s">
        <v>20</v>
      </c>
      <c r="G8244" s="11">
        <v>278</v>
      </c>
      <c r="H8244" s="11">
        <v>310</v>
      </c>
      <c r="I8244" s="11">
        <v>9</v>
      </c>
      <c r="J8244" s="11">
        <v>0</v>
      </c>
      <c r="K8244" s="11" t="s">
        <v>21</v>
      </c>
      <c r="L8244" s="7">
        <v>40718.836018518516</v>
      </c>
      <c r="M8244" s="12" t="s">
        <v>3971</v>
      </c>
      <c r="N8244" s="12" t="s">
        <v>3972</v>
      </c>
      <c r="O8244" s="10" t="str">
        <f t="shared" si="864"/>
        <v>View</v>
      </c>
      <c r="P8244" s="11"/>
    </row>
    <row r="8245" spans="1:16" ht="12.75" x14ac:dyDescent="0.35">
      <c r="A8245" s="7">
        <v>42485.388472222221</v>
      </c>
      <c r="B8245" s="8" t="str">
        <f t="shared" si="863"/>
        <v>@nomkhita12</v>
      </c>
      <c r="C8245" s="9" t="s">
        <v>3970</v>
      </c>
      <c r="D8245" s="9" t="s">
        <v>17886</v>
      </c>
      <c r="E8245" s="10" t="str">
        <f>HYPERLINK("https://twitter.com/nomkhita12/status/724445175792152576","724445175792152576")</f>
        <v>724445175792152576</v>
      </c>
      <c r="F8245" s="11" t="s">
        <v>20</v>
      </c>
      <c r="G8245" s="11">
        <v>278</v>
      </c>
      <c r="H8245" s="11">
        <v>310</v>
      </c>
      <c r="I8245" s="11">
        <v>4</v>
      </c>
      <c r="J8245" s="11">
        <v>0</v>
      </c>
      <c r="K8245" s="11" t="s">
        <v>21</v>
      </c>
      <c r="L8245" s="7">
        <v>40718.836018518516</v>
      </c>
      <c r="M8245" s="12" t="s">
        <v>3971</v>
      </c>
      <c r="N8245" s="12" t="s">
        <v>3972</v>
      </c>
      <c r="O8245" s="10" t="str">
        <f t="shared" si="864"/>
        <v>View</v>
      </c>
      <c r="P8245" s="11"/>
    </row>
    <row r="8246" spans="1:16" ht="12.75" x14ac:dyDescent="0.35">
      <c r="A8246" s="7">
        <v>42485.388807870375</v>
      </c>
      <c r="B8246" s="8" t="str">
        <f t="shared" ref="B8246:B8248" si="865">HYPERLINK("https://twitter.com/OnlineCarReview","@OnlineCarReview")</f>
        <v>@OnlineCarReview</v>
      </c>
      <c r="C8246" s="9" t="s">
        <v>176</v>
      </c>
      <c r="D8246" s="9" t="s">
        <v>17921</v>
      </c>
      <c r="E8246" s="10" t="str">
        <f>HYPERLINK("https://twitter.com/OnlineCarReview/status/724445298769039360","724445298769039360")</f>
        <v>724445298769039360</v>
      </c>
      <c r="F8246" s="11" t="s">
        <v>34</v>
      </c>
      <c r="G8246" s="11">
        <v>839</v>
      </c>
      <c r="H8246" s="11">
        <v>568</v>
      </c>
      <c r="I8246" s="11">
        <v>0</v>
      </c>
      <c r="J8246" s="11">
        <v>0</v>
      </c>
      <c r="K8246" s="11" t="s">
        <v>21</v>
      </c>
      <c r="L8246" s="7">
        <v>42282.979201388887</v>
      </c>
      <c r="M8246" s="12"/>
      <c r="N8246" s="12" t="s">
        <v>178</v>
      </c>
      <c r="O8246" s="10" t="str">
        <f t="shared" ref="O8246:O8248" si="866">HYPERLINK("https://pbs.twimg.com/profile_images/652871584131092480/QA_B6SBO_normal.jpg","View")</f>
        <v>View</v>
      </c>
      <c r="P8246" s="11"/>
    </row>
    <row r="8247" spans="1:16" ht="12.75" x14ac:dyDescent="0.35">
      <c r="A8247" s="7">
        <v>42485.388807870375</v>
      </c>
      <c r="B8247" s="8" t="str">
        <f t="shared" si="865"/>
        <v>@OnlineCarReview</v>
      </c>
      <c r="C8247" s="9" t="s">
        <v>176</v>
      </c>
      <c r="D8247" s="9" t="s">
        <v>17922</v>
      </c>
      <c r="E8247" s="10" t="str">
        <f>HYPERLINK("https://twitter.com/OnlineCarReview/status/724445299675000833","724445299675000833")</f>
        <v>724445299675000833</v>
      </c>
      <c r="F8247" s="11" t="s">
        <v>34</v>
      </c>
      <c r="G8247" s="11">
        <v>839</v>
      </c>
      <c r="H8247" s="11">
        <v>568</v>
      </c>
      <c r="I8247" s="11">
        <v>0</v>
      </c>
      <c r="J8247" s="11">
        <v>0</v>
      </c>
      <c r="K8247" s="11" t="s">
        <v>21</v>
      </c>
      <c r="L8247" s="7">
        <v>42282.979201388887</v>
      </c>
      <c r="M8247" s="12"/>
      <c r="N8247" s="12" t="s">
        <v>178</v>
      </c>
      <c r="O8247" s="10" t="str">
        <f t="shared" si="866"/>
        <v>View</v>
      </c>
      <c r="P8247" s="11"/>
    </row>
    <row r="8248" spans="1:16" ht="12.75" x14ac:dyDescent="0.35">
      <c r="A8248" s="7">
        <v>42485.388819444444</v>
      </c>
      <c r="B8248" s="8" t="str">
        <f t="shared" si="865"/>
        <v>@OnlineCarReview</v>
      </c>
      <c r="C8248" s="9" t="s">
        <v>176</v>
      </c>
      <c r="D8248" s="9" t="s">
        <v>17923</v>
      </c>
      <c r="E8248" s="10" t="str">
        <f>HYPERLINK("https://twitter.com/OnlineCarReview/status/724445301738610688","724445301738610688")</f>
        <v>724445301738610688</v>
      </c>
      <c r="F8248" s="11" t="s">
        <v>34</v>
      </c>
      <c r="G8248" s="11">
        <v>839</v>
      </c>
      <c r="H8248" s="11">
        <v>568</v>
      </c>
      <c r="I8248" s="11">
        <v>0</v>
      </c>
      <c r="J8248" s="11">
        <v>0</v>
      </c>
      <c r="K8248" s="11" t="s">
        <v>21</v>
      </c>
      <c r="L8248" s="7">
        <v>42282.979201388887</v>
      </c>
      <c r="M8248" s="12"/>
      <c r="N8248" s="12" t="s">
        <v>178</v>
      </c>
      <c r="O8248" s="10" t="str">
        <f t="shared" si="866"/>
        <v>View</v>
      </c>
      <c r="P8248" s="11"/>
    </row>
    <row r="8249" spans="1:16" ht="12.75" x14ac:dyDescent="0.35">
      <c r="A8249" s="7">
        <v>42485.389328703706</v>
      </c>
      <c r="B8249" s="8" t="str">
        <f>HYPERLINK("https://twitter.com/axelneuhaus","@axelneuhaus")</f>
        <v>@axelneuhaus</v>
      </c>
      <c r="C8249" s="9" t="s">
        <v>1851</v>
      </c>
      <c r="D8249" s="9" t="s">
        <v>17830</v>
      </c>
      <c r="E8249" s="10" t="str">
        <f>HYPERLINK("https://twitter.com/axelneuhaus/status/724445488313974789","724445488313974789")</f>
        <v>724445488313974789</v>
      </c>
      <c r="F8249" s="11" t="s">
        <v>20</v>
      </c>
      <c r="G8249" s="11">
        <v>1103</v>
      </c>
      <c r="H8249" s="11">
        <v>2134</v>
      </c>
      <c r="I8249" s="11">
        <v>9</v>
      </c>
      <c r="J8249" s="11">
        <v>0</v>
      </c>
      <c r="K8249" s="11" t="s">
        <v>21</v>
      </c>
      <c r="L8249" s="7">
        <v>39542.490567129629</v>
      </c>
      <c r="M8249" s="12" t="s">
        <v>1852</v>
      </c>
      <c r="N8249" s="12" t="s">
        <v>1853</v>
      </c>
      <c r="O8249" s="10" t="str">
        <f>HYPERLINK("https://pbs.twimg.com/profile_images/601746963160240128/I5CRQlMA_normal.jpg","View")</f>
        <v>View</v>
      </c>
      <c r="P8249" s="11"/>
    </row>
    <row r="8250" spans="1:16" ht="12.75" x14ac:dyDescent="0.35">
      <c r="A8250" s="7">
        <v>42485.389733796299</v>
      </c>
      <c r="B8250" s="8" t="str">
        <f>HYPERLINK("https://twitter.com/KayeMenner","@KayeMenner")</f>
        <v>@KayeMenner</v>
      </c>
      <c r="C8250" s="9" t="s">
        <v>17924</v>
      </c>
      <c r="D8250" s="9" t="s">
        <v>17925</v>
      </c>
      <c r="E8250" s="10" t="str">
        <f>HYPERLINK("https://twitter.com/KayeMenner/status/724445636368584705","724445636368584705")</f>
        <v>724445636368584705</v>
      </c>
      <c r="F8250" s="11" t="s">
        <v>12219</v>
      </c>
      <c r="G8250" s="11">
        <v>16056</v>
      </c>
      <c r="H8250" s="11">
        <v>13387</v>
      </c>
      <c r="I8250" s="11">
        <v>2</v>
      </c>
      <c r="J8250" s="11">
        <v>0</v>
      </c>
      <c r="K8250" s="11" t="s">
        <v>21</v>
      </c>
      <c r="L8250" s="7">
        <v>40832.910462962966</v>
      </c>
      <c r="M8250" s="12" t="s">
        <v>543</v>
      </c>
      <c r="N8250" s="12" t="s">
        <v>17926</v>
      </c>
      <c r="O8250" s="10" t="str">
        <f>HYPERLINK("https://pbs.twimg.com/profile_images/459250339607105536/MuRs5avU_normal.jpeg","View")</f>
        <v>View</v>
      </c>
      <c r="P8250" s="11"/>
    </row>
    <row r="8251" spans="1:16" ht="12.75" x14ac:dyDescent="0.35">
      <c r="A8251" s="7">
        <v>42485.389907407407</v>
      </c>
      <c r="B8251" s="8" t="str">
        <f>HYPERLINK("https://twitter.com/axelneuhaus","@axelneuhaus")</f>
        <v>@axelneuhaus</v>
      </c>
      <c r="C8251" s="9" t="s">
        <v>1851</v>
      </c>
      <c r="D8251" s="9" t="s">
        <v>17827</v>
      </c>
      <c r="E8251" s="10" t="str">
        <f>HYPERLINK("https://twitter.com/axelneuhaus/status/724445697383256065","724445697383256065")</f>
        <v>724445697383256065</v>
      </c>
      <c r="F8251" s="11" t="s">
        <v>20</v>
      </c>
      <c r="G8251" s="11">
        <v>1103</v>
      </c>
      <c r="H8251" s="11">
        <v>2134</v>
      </c>
      <c r="I8251" s="11">
        <v>5</v>
      </c>
      <c r="J8251" s="11">
        <v>0</v>
      </c>
      <c r="K8251" s="11" t="s">
        <v>21</v>
      </c>
      <c r="L8251" s="7">
        <v>39542.490567129629</v>
      </c>
      <c r="M8251" s="12" t="s">
        <v>1852</v>
      </c>
      <c r="N8251" s="12" t="s">
        <v>1853</v>
      </c>
      <c r="O8251" s="10" t="str">
        <f>HYPERLINK("https://pbs.twimg.com/profile_images/601746963160240128/I5CRQlMA_normal.jpg","View")</f>
        <v>View</v>
      </c>
      <c r="P8251" s="11"/>
    </row>
    <row r="8252" spans="1:16" ht="12.75" x14ac:dyDescent="0.35">
      <c r="A8252" s="7">
        <v>42485.392280092594</v>
      </c>
      <c r="B8252" s="8" t="str">
        <f>HYPERLINK("https://twitter.com/BohemianBound","@BohemianBound")</f>
        <v>@BohemianBound</v>
      </c>
      <c r="C8252" s="9" t="s">
        <v>17927</v>
      </c>
      <c r="D8252" s="9" t="s">
        <v>17928</v>
      </c>
      <c r="E8252" s="10" t="str">
        <f>HYPERLINK("https://twitter.com/BohemianBound/status/724446558377369600","724446558377369600")</f>
        <v>724446558377369600</v>
      </c>
      <c r="F8252" s="11" t="s">
        <v>43</v>
      </c>
      <c r="G8252" s="11">
        <v>1577</v>
      </c>
      <c r="H8252" s="11">
        <v>1295</v>
      </c>
      <c r="I8252" s="11">
        <v>2</v>
      </c>
      <c r="J8252" s="11">
        <v>0</v>
      </c>
      <c r="K8252" s="11" t="s">
        <v>21</v>
      </c>
      <c r="L8252" s="7">
        <v>42164.215138888889</v>
      </c>
      <c r="M8252" s="12" t="s">
        <v>17929</v>
      </c>
      <c r="N8252" s="12" t="s">
        <v>17930</v>
      </c>
      <c r="O8252" s="10" t="str">
        <f>HYPERLINK("https://pbs.twimg.com/profile_images/608057018268663810/c6gpbrUA_normal.png","View")</f>
        <v>View</v>
      </c>
      <c r="P8252" s="11"/>
    </row>
    <row r="8253" spans="1:16" ht="12.75" x14ac:dyDescent="0.35">
      <c r="A8253" s="7">
        <v>42485.392662037033</v>
      </c>
      <c r="B8253" s="8" t="str">
        <f>HYPERLINK("https://twitter.com/BOSSSIWELL","@BOSSSIWELL")</f>
        <v>@BOSSSIWELL</v>
      </c>
      <c r="C8253" s="9" t="s">
        <v>8243</v>
      </c>
      <c r="D8253" s="9" t="s">
        <v>17931</v>
      </c>
      <c r="E8253" s="10" t="str">
        <f>HYPERLINK("https://twitter.com/BOSSSIWELL/status/724446695715684352","724446695715684352")</f>
        <v>724446695715684352</v>
      </c>
      <c r="F8253" s="11" t="s">
        <v>114</v>
      </c>
      <c r="G8253" s="11">
        <v>21</v>
      </c>
      <c r="H8253" s="11">
        <v>196</v>
      </c>
      <c r="I8253" s="11">
        <v>0</v>
      </c>
      <c r="J8253" s="11">
        <v>0</v>
      </c>
      <c r="K8253" s="11" t="s">
        <v>21</v>
      </c>
      <c r="L8253" s="7">
        <v>40043.565393518518</v>
      </c>
      <c r="M8253" s="12"/>
      <c r="N8253" s="12"/>
      <c r="O8253" s="10" t="str">
        <f>HYPERLINK("https://pbs.twimg.com/profile_images/438395067510697984/O1RO1BuY_normal.jpeg","View")</f>
        <v>View</v>
      </c>
      <c r="P8253" s="10" t="str">
        <f>HYPERLINK("http://ctrlq.org/maps/address/#13.09237074,99.94823228","Map")</f>
        <v>Map</v>
      </c>
    </row>
    <row r="8254" spans="1:16" ht="12.75" x14ac:dyDescent="0.35">
      <c r="A8254" s="7">
        <v>42485.392708333333</v>
      </c>
      <c r="B8254" s="8" t="str">
        <f>HYPERLINK("https://twitter.com/PhotosAndArt","@PhotosAndArt")</f>
        <v>@PhotosAndArt</v>
      </c>
      <c r="C8254" s="9" t="s">
        <v>17932</v>
      </c>
      <c r="D8254" s="9" t="s">
        <v>17928</v>
      </c>
      <c r="E8254" s="10" t="str">
        <f>HYPERLINK("https://twitter.com/PhotosAndArt/status/724446710546706432","724446710546706432")</f>
        <v>724446710546706432</v>
      </c>
      <c r="F8254" s="11" t="s">
        <v>288</v>
      </c>
      <c r="G8254" s="11">
        <v>7215</v>
      </c>
      <c r="H8254" s="11">
        <v>7357</v>
      </c>
      <c r="I8254" s="11">
        <v>2</v>
      </c>
      <c r="J8254" s="11">
        <v>0</v>
      </c>
      <c r="K8254" s="11" t="s">
        <v>21</v>
      </c>
      <c r="L8254" s="7">
        <v>40515.832777777774</v>
      </c>
      <c r="M8254" s="12" t="s">
        <v>17933</v>
      </c>
      <c r="N8254" s="12" t="s">
        <v>17934</v>
      </c>
      <c r="O8254" s="10" t="str">
        <f>HYPERLINK("https://pbs.twimg.com/profile_images/457945677918515200/buTVXicj_normal.jpeg","View")</f>
        <v>View</v>
      </c>
      <c r="P8254" s="11"/>
    </row>
    <row r="8255" spans="1:16" ht="12.75" x14ac:dyDescent="0.35">
      <c r="A8255" s="7">
        <v>42485.392812499995</v>
      </c>
      <c r="B8255" s="8" t="str">
        <f>HYPERLINK("https://twitter.com/breedveldusa","@breedveldusa")</f>
        <v>@breedveldusa</v>
      </c>
      <c r="C8255" s="9" t="s">
        <v>12475</v>
      </c>
      <c r="D8255" s="9" t="s">
        <v>17935</v>
      </c>
      <c r="E8255" s="10" t="str">
        <f>HYPERLINK("https://twitter.com/breedveldusa/status/724446749620887552","724446749620887552")</f>
        <v>724446749620887552</v>
      </c>
      <c r="F8255" s="11" t="s">
        <v>53</v>
      </c>
      <c r="G8255" s="11">
        <v>837</v>
      </c>
      <c r="H8255" s="11">
        <v>3102</v>
      </c>
      <c r="I8255" s="11">
        <v>0</v>
      </c>
      <c r="J8255" s="11">
        <v>0</v>
      </c>
      <c r="K8255" s="11" t="s">
        <v>21</v>
      </c>
      <c r="L8255" s="7">
        <v>40924.058553240742</v>
      </c>
      <c r="M8255" s="12"/>
      <c r="N8255" s="12"/>
      <c r="O8255" s="10" t="str">
        <f>HYPERLINK("https://pbs.twimg.com/profile_images/674866085213130752/qAlZEGhV_normal.jpg","View")</f>
        <v>View</v>
      </c>
      <c r="P8255" s="11"/>
    </row>
    <row r="8256" spans="1:16" ht="12.75" x14ac:dyDescent="0.35">
      <c r="A8256" s="7">
        <v>42485.392962962964</v>
      </c>
      <c r="B8256" s="8" t="str">
        <f>HYPERLINK("https://twitter.com/TheTequilaWorms","@TheTequilaWorms")</f>
        <v>@TheTequilaWorms</v>
      </c>
      <c r="C8256" s="9" t="s">
        <v>12151</v>
      </c>
      <c r="D8256" s="9" t="s">
        <v>17936</v>
      </c>
      <c r="E8256" s="10" t="str">
        <f>HYPERLINK("https://twitter.com/TheTequilaWorms/status/724446806319370242","724446806319370242")</f>
        <v>724446806319370242</v>
      </c>
      <c r="F8256" s="11" t="s">
        <v>114</v>
      </c>
      <c r="G8256" s="11">
        <v>26</v>
      </c>
      <c r="H8256" s="11">
        <v>87</v>
      </c>
      <c r="I8256" s="11">
        <v>0</v>
      </c>
      <c r="J8256" s="11">
        <v>0</v>
      </c>
      <c r="K8256" s="11" t="s">
        <v>21</v>
      </c>
      <c r="L8256" s="7">
        <v>39930.988657407404</v>
      </c>
      <c r="M8256" s="12" t="s">
        <v>17937</v>
      </c>
      <c r="N8256" s="12" t="s">
        <v>17938</v>
      </c>
      <c r="O8256" s="10" t="str">
        <f>HYPERLINK("https://pbs.twimg.com/profile_images/699701088769822720/-twnv0Ox_normal.jpg","View")</f>
        <v>View</v>
      </c>
      <c r="P8256" s="11"/>
    </row>
    <row r="8257" spans="1:16" ht="12.75" x14ac:dyDescent="0.35">
      <c r="A8257" s="7">
        <v>42485.393935185188</v>
      </c>
      <c r="B8257" s="8" t="str">
        <f>HYPERLINK("https://twitter.com/steven_soshea","@steven_soshea")</f>
        <v>@steven_soshea</v>
      </c>
      <c r="C8257" s="9" t="s">
        <v>17939</v>
      </c>
      <c r="D8257" s="9" t="s">
        <v>17940</v>
      </c>
      <c r="E8257" s="10" t="str">
        <f>HYPERLINK("https://twitter.com/steven_soshea/status/724447157143613440","724447157143613440")</f>
        <v>724447157143613440</v>
      </c>
      <c r="F8257" s="11" t="s">
        <v>114</v>
      </c>
      <c r="G8257" s="11">
        <v>1782</v>
      </c>
      <c r="H8257" s="11">
        <v>2982</v>
      </c>
      <c r="I8257" s="11">
        <v>0</v>
      </c>
      <c r="J8257" s="11">
        <v>0</v>
      </c>
      <c r="K8257" s="11" t="s">
        <v>21</v>
      </c>
      <c r="L8257" s="7">
        <v>39858.336840277778</v>
      </c>
      <c r="M8257" s="12" t="s">
        <v>17941</v>
      </c>
      <c r="N8257" s="12" t="s">
        <v>17942</v>
      </c>
      <c r="O8257" s="10" t="str">
        <f>HYPERLINK("https://pbs.twimg.com/profile_images/706220927973879808/hzV98Nkg_normal.jpg","View")</f>
        <v>View</v>
      </c>
      <c r="P8257" s="11"/>
    </row>
    <row r="8258" spans="1:16" ht="12.75" x14ac:dyDescent="0.35">
      <c r="A8258" s="7">
        <v>42485.396030092597</v>
      </c>
      <c r="B8258" s="8" t="str">
        <f>HYPERLINK("https://twitter.com/OrneCalamante","@OrneCalamante")</f>
        <v>@OrneCalamante</v>
      </c>
      <c r="C8258" s="9" t="s">
        <v>17943</v>
      </c>
      <c r="D8258" s="9" t="s">
        <v>2825</v>
      </c>
      <c r="E8258" s="10" t="str">
        <f>HYPERLINK("https://twitter.com/OrneCalamante/status/724447918074286080","724447918074286080")</f>
        <v>724447918074286080</v>
      </c>
      <c r="F8258" s="11" t="s">
        <v>48</v>
      </c>
      <c r="G8258" s="11">
        <v>463</v>
      </c>
      <c r="H8258" s="11">
        <v>243</v>
      </c>
      <c r="I8258" s="11">
        <v>61</v>
      </c>
      <c r="J8258" s="11">
        <v>0</v>
      </c>
      <c r="K8258" s="11" t="s">
        <v>21</v>
      </c>
      <c r="L8258" s="7">
        <v>41209.962476851855</v>
      </c>
      <c r="M8258" s="12" t="s">
        <v>17944</v>
      </c>
      <c r="N8258" s="12" t="s">
        <v>17945</v>
      </c>
      <c r="O8258" s="10" t="str">
        <f>HYPERLINK("https://pbs.twimg.com/profile_images/714132167471837184/zo4AQ9-0_normal.jpg","View")</f>
        <v>View</v>
      </c>
      <c r="P8258" s="11"/>
    </row>
    <row r="8259" spans="1:16" ht="12.75" x14ac:dyDescent="0.35">
      <c r="A8259" s="7">
        <v>42485.396550925929</v>
      </c>
      <c r="B8259" s="8" t="str">
        <f>HYPERLINK("https://twitter.com/almaleal","@almaleal")</f>
        <v>@almaleal</v>
      </c>
      <c r="C8259" s="9" t="s">
        <v>17946</v>
      </c>
      <c r="D8259" s="9" t="s">
        <v>17947</v>
      </c>
      <c r="E8259" s="10" t="str">
        <f>HYPERLINK("https://twitter.com/almaleal/status/724448103567372288","724448103567372288")</f>
        <v>724448103567372288</v>
      </c>
      <c r="F8259" s="11" t="s">
        <v>114</v>
      </c>
      <c r="G8259" s="11">
        <v>538</v>
      </c>
      <c r="H8259" s="11">
        <v>619</v>
      </c>
      <c r="I8259" s="11">
        <v>0</v>
      </c>
      <c r="J8259" s="11">
        <v>0</v>
      </c>
      <c r="K8259" s="11" t="s">
        <v>21</v>
      </c>
      <c r="L8259" s="7">
        <v>39413.208171296297</v>
      </c>
      <c r="M8259" s="12" t="s">
        <v>17948</v>
      </c>
      <c r="N8259" s="12" t="s">
        <v>17949</v>
      </c>
      <c r="O8259" s="10" t="str">
        <f>HYPERLINK("https://pbs.twimg.com/profile_images/596481469213642752/WXOMBpxe_normal.jpg","View")</f>
        <v>View</v>
      </c>
      <c r="P8259" s="11"/>
    </row>
    <row r="8260" spans="1:16" ht="12.75" x14ac:dyDescent="0.35">
      <c r="A8260" s="7">
        <v>42485.396666666667</v>
      </c>
      <c r="B8260" s="8" t="str">
        <f>HYPERLINK("https://twitter.com/bundes_car","@bundes_car")</f>
        <v>@bundes_car</v>
      </c>
      <c r="C8260" s="9" t="s">
        <v>13876</v>
      </c>
      <c r="D8260" s="9" t="s">
        <v>17950</v>
      </c>
      <c r="E8260" s="10" t="str">
        <f>HYPERLINK("https://twitter.com/bundes_car/status/724448148370952195","724448148370952195")</f>
        <v>724448148370952195</v>
      </c>
      <c r="F8260" s="11" t="s">
        <v>13878</v>
      </c>
      <c r="G8260" s="11">
        <v>151</v>
      </c>
      <c r="H8260" s="11">
        <v>52</v>
      </c>
      <c r="I8260" s="11">
        <v>0</v>
      </c>
      <c r="J8260" s="11">
        <v>0</v>
      </c>
      <c r="K8260" s="11" t="s">
        <v>21</v>
      </c>
      <c r="L8260" s="7">
        <v>42437.599490740744</v>
      </c>
      <c r="M8260" s="12" t="s">
        <v>13879</v>
      </c>
      <c r="N8260" s="12" t="s">
        <v>13880</v>
      </c>
      <c r="O8260" s="10" t="str">
        <f>HYPERLINK("https://pbs.twimg.com/profile_images/707127715581849600/zPs3f0nI_normal.jpg","View")</f>
        <v>View</v>
      </c>
      <c r="P8260" s="11"/>
    </row>
    <row r="8261" spans="1:16" ht="12.75" x14ac:dyDescent="0.35">
      <c r="A8261" s="7">
        <v>42485.397129629629</v>
      </c>
      <c r="B8261" s="8" t="str">
        <f>HYPERLINK("https://twitter.com/VolkswagenPost","@VolkswagenPost")</f>
        <v>@VolkswagenPost</v>
      </c>
      <c r="C8261" s="9" t="s">
        <v>321</v>
      </c>
      <c r="D8261" s="9" t="s">
        <v>17951</v>
      </c>
      <c r="E8261" s="10" t="str">
        <f>HYPERLINK("https://twitter.com/VolkswagenPost/status/724448315706732545","724448315706732545")</f>
        <v>724448315706732545</v>
      </c>
      <c r="F8261" s="11" t="s">
        <v>34</v>
      </c>
      <c r="G8261" s="11">
        <v>571</v>
      </c>
      <c r="H8261" s="11">
        <v>446</v>
      </c>
      <c r="I8261" s="11">
        <v>0</v>
      </c>
      <c r="J8261" s="11">
        <v>0</v>
      </c>
      <c r="K8261" s="11" t="s">
        <v>21</v>
      </c>
      <c r="L8261" s="7">
        <v>41940.618379629632</v>
      </c>
      <c r="M8261" s="12"/>
      <c r="N8261" s="12"/>
      <c r="O8261" s="10" t="str">
        <f>HYPERLINK("https://pbs.twimg.com/profile_images/530071272881803264/a_jcCmPZ_normal.png","View")</f>
        <v>View</v>
      </c>
      <c r="P8261" s="11"/>
    </row>
    <row r="8262" spans="1:16" ht="12.75" x14ac:dyDescent="0.35">
      <c r="A8262" s="7">
        <v>42485.398460648154</v>
      </c>
      <c r="B8262" s="8" t="str">
        <f>HYPERLINK("https://twitter.com/DubLuvTuning","@DubLuvTuning")</f>
        <v>@DubLuvTuning</v>
      </c>
      <c r="C8262" s="9" t="s">
        <v>299</v>
      </c>
      <c r="D8262" s="9" t="s">
        <v>17952</v>
      </c>
      <c r="E8262" s="10" t="str">
        <f>HYPERLINK("https://twitter.com/DubLuvTuning/status/724448798857150464","724448798857150464")</f>
        <v>724448798857150464</v>
      </c>
      <c r="F8262" s="11" t="s">
        <v>288</v>
      </c>
      <c r="G8262" s="11">
        <v>690</v>
      </c>
      <c r="H8262" s="11">
        <v>430</v>
      </c>
      <c r="I8262" s="11">
        <v>2</v>
      </c>
      <c r="J8262" s="11">
        <v>0</v>
      </c>
      <c r="K8262" s="11" t="s">
        <v>21</v>
      </c>
      <c r="L8262" s="7">
        <v>41549.898287037038</v>
      </c>
      <c r="M8262" s="12" t="s">
        <v>301</v>
      </c>
      <c r="N8262" s="12" t="s">
        <v>302</v>
      </c>
      <c r="O8262" s="10" t="str">
        <f>HYPERLINK("https://pbs.twimg.com/profile_images/378800000572104796/1de43e1cf23efb3f4101c02afad0d3b6_normal.png","View")</f>
        <v>View</v>
      </c>
      <c r="P8262" s="11"/>
    </row>
    <row r="8263" spans="1:16" ht="12.75" x14ac:dyDescent="0.35">
      <c r="A8263" s="7">
        <v>42485.398599537039</v>
      </c>
      <c r="B8263" s="8" t="str">
        <f>HYPERLINK("https://twitter.com/VolkswagenPost","@VolkswagenPost")</f>
        <v>@VolkswagenPost</v>
      </c>
      <c r="C8263" s="9" t="s">
        <v>321</v>
      </c>
      <c r="D8263" s="9" t="s">
        <v>17952</v>
      </c>
      <c r="E8263" s="10" t="str">
        <f>HYPERLINK("https://twitter.com/VolkswagenPost/status/724448848983298049","724448848983298049")</f>
        <v>724448848983298049</v>
      </c>
      <c r="F8263" s="11" t="s">
        <v>288</v>
      </c>
      <c r="G8263" s="11">
        <v>571</v>
      </c>
      <c r="H8263" s="11">
        <v>446</v>
      </c>
      <c r="I8263" s="11">
        <v>2</v>
      </c>
      <c r="J8263" s="11">
        <v>0</v>
      </c>
      <c r="K8263" s="11" t="s">
        <v>21</v>
      </c>
      <c r="L8263" s="7">
        <v>41940.618379629632</v>
      </c>
      <c r="M8263" s="12"/>
      <c r="N8263" s="12"/>
      <c r="O8263" s="10" t="str">
        <f>HYPERLINK("https://pbs.twimg.com/profile_images/530071272881803264/a_jcCmPZ_normal.png","View")</f>
        <v>View</v>
      </c>
      <c r="P8263" s="11"/>
    </row>
    <row r="8264" spans="1:16" ht="12.75" x14ac:dyDescent="0.35">
      <c r="A8264" s="7">
        <v>42485.398854166662</v>
      </c>
      <c r="B8264" s="8" t="str">
        <f>HYPERLINK("https://twitter.com/Scirocco_Tuning","@Scirocco_Tuning")</f>
        <v>@Scirocco_Tuning</v>
      </c>
      <c r="C8264" s="9" t="s">
        <v>51</v>
      </c>
      <c r="D8264" s="9" t="s">
        <v>17953</v>
      </c>
      <c r="E8264" s="10" t="str">
        <f>HYPERLINK("https://twitter.com/Scirocco_Tuning/status/724448938741342209","724448938741342209")</f>
        <v>724448938741342209</v>
      </c>
      <c r="F8264" s="11" t="s">
        <v>53</v>
      </c>
      <c r="G8264" s="11">
        <v>69</v>
      </c>
      <c r="H8264" s="11">
        <v>215</v>
      </c>
      <c r="I8264" s="11">
        <v>0</v>
      </c>
      <c r="J8264" s="11">
        <v>0</v>
      </c>
      <c r="K8264" s="11" t="s">
        <v>21</v>
      </c>
      <c r="L8264" s="7">
        <v>40844.564722222218</v>
      </c>
      <c r="M8264" s="12"/>
      <c r="N8264" s="12"/>
      <c r="O8264" s="10" t="str">
        <f>HYPERLINK("https://pbs.twimg.com/profile_images/1610421423/Image2_normal.jpg","View")</f>
        <v>View</v>
      </c>
      <c r="P8264" s="11"/>
    </row>
    <row r="8265" spans="1:16" ht="12.75" x14ac:dyDescent="0.35">
      <c r="A8265" s="7">
        <v>42485.400138888886</v>
      </c>
      <c r="B8265" s="8" t="str">
        <f>HYPERLINK("https://twitter.com/PicadasArg","@PicadasArg")</f>
        <v>@PicadasArg</v>
      </c>
      <c r="C8265" s="9" t="s">
        <v>11896</v>
      </c>
      <c r="D8265" s="9" t="s">
        <v>17954</v>
      </c>
      <c r="E8265" s="10" t="str">
        <f>HYPERLINK("https://twitter.com/PicadasArg/status/724449405340921858","724449405340921858")</f>
        <v>724449405340921858</v>
      </c>
      <c r="F8265" s="11" t="s">
        <v>48</v>
      </c>
      <c r="G8265" s="11">
        <v>1589</v>
      </c>
      <c r="H8265" s="11">
        <v>4166</v>
      </c>
      <c r="I8265" s="11">
        <v>6</v>
      </c>
      <c r="J8265" s="11">
        <v>8</v>
      </c>
      <c r="K8265" s="11" t="s">
        <v>21</v>
      </c>
      <c r="L8265" s="7">
        <v>42455.340335648143</v>
      </c>
      <c r="M8265" s="12" t="s">
        <v>49</v>
      </c>
      <c r="N8265" s="12" t="s">
        <v>11898</v>
      </c>
      <c r="O8265" s="10" t="str">
        <f>HYPERLINK("https://pbs.twimg.com/profile_images/713573399386259456/JwmrbkVy_normal.jpg","View")</f>
        <v>View</v>
      </c>
      <c r="P8265" s="11"/>
    </row>
    <row r="8266" spans="1:16" ht="12.75" x14ac:dyDescent="0.35">
      <c r="A8266" s="7">
        <v>42485.400196759263</v>
      </c>
      <c r="B8266" s="8" t="str">
        <f>HYPERLINK("https://twitter.com/LuuliLuuli","@LuuliLuuli")</f>
        <v>@LuuliLuuli</v>
      </c>
      <c r="C8266" s="9" t="s">
        <v>17955</v>
      </c>
      <c r="D8266" s="9" t="s">
        <v>2825</v>
      </c>
      <c r="E8266" s="10" t="str">
        <f>HYPERLINK("https://twitter.com/LuuliLuuli/status/724449424685056000","724449424685056000")</f>
        <v>724449424685056000</v>
      </c>
      <c r="F8266" s="11" t="s">
        <v>48</v>
      </c>
      <c r="G8266" s="11">
        <v>219</v>
      </c>
      <c r="H8266" s="11">
        <v>199</v>
      </c>
      <c r="I8266" s="11">
        <v>62</v>
      </c>
      <c r="J8266" s="11">
        <v>0</v>
      </c>
      <c r="K8266" s="11" t="s">
        <v>21</v>
      </c>
      <c r="L8266" s="7">
        <v>41519.942430555559</v>
      </c>
      <c r="M8266" s="12" t="s">
        <v>17956</v>
      </c>
      <c r="N8266" s="12" t="s">
        <v>17957</v>
      </c>
      <c r="O8266" s="10" t="str">
        <f>HYPERLINK("https://pbs.twimg.com/profile_images/714978246358646785/thHgZO20_normal.jpg","View")</f>
        <v>View</v>
      </c>
      <c r="P8266" s="11"/>
    </row>
    <row r="8267" spans="1:16" ht="12.75" x14ac:dyDescent="0.35">
      <c r="A8267" s="7">
        <v>42485.400624999995</v>
      </c>
      <c r="B8267" s="8" t="str">
        <f>HYPERLINK("https://twitter.com/Duambyth","@Duambyth")</f>
        <v>@Duambyth</v>
      </c>
      <c r="C8267" s="9" t="s">
        <v>46</v>
      </c>
      <c r="D8267" s="9" t="s">
        <v>17958</v>
      </c>
      <c r="E8267" s="10" t="str">
        <f>HYPERLINK("https://twitter.com/Duambyth/status/724449580629299202","724449580629299202")</f>
        <v>724449580629299202</v>
      </c>
      <c r="F8267" s="11" t="s">
        <v>48</v>
      </c>
      <c r="G8267" s="11">
        <v>370</v>
      </c>
      <c r="H8267" s="11">
        <v>342</v>
      </c>
      <c r="I8267" s="11">
        <v>6</v>
      </c>
      <c r="J8267" s="11">
        <v>0</v>
      </c>
      <c r="K8267" s="11" t="s">
        <v>21</v>
      </c>
      <c r="L8267" s="7">
        <v>41758.224062499998</v>
      </c>
      <c r="M8267" s="12" t="s">
        <v>49</v>
      </c>
      <c r="N8267" s="12" t="s">
        <v>50</v>
      </c>
      <c r="O8267" s="10" t="str">
        <f>HYPERLINK("https://pbs.twimg.com/profile_images/714558560936529920/fOUFpJYx_normal.jpg","View")</f>
        <v>View</v>
      </c>
      <c r="P8267" s="11"/>
    </row>
    <row r="8268" spans="1:16" ht="12.75" x14ac:dyDescent="0.35">
      <c r="A8268" s="7">
        <v>42485.400821759264</v>
      </c>
      <c r="B8268" s="8" t="str">
        <f>HYPERLINK("https://twitter.com/GabyMollaret","@GabyMollaret")</f>
        <v>@GabyMollaret</v>
      </c>
      <c r="C8268" s="9" t="s">
        <v>17959</v>
      </c>
      <c r="D8268" s="9" t="s">
        <v>17958</v>
      </c>
      <c r="E8268" s="10" t="str">
        <f>HYPERLINK("https://twitter.com/GabyMollaret/status/724449654574841856","724449654574841856")</f>
        <v>724449654574841856</v>
      </c>
      <c r="F8268" s="11" t="s">
        <v>48</v>
      </c>
      <c r="G8268" s="11">
        <v>849</v>
      </c>
      <c r="H8268" s="11">
        <v>626</v>
      </c>
      <c r="I8268" s="11">
        <v>6</v>
      </c>
      <c r="J8268" s="11">
        <v>0</v>
      </c>
      <c r="K8268" s="11" t="s">
        <v>21</v>
      </c>
      <c r="L8268" s="7">
        <v>41810.264664351853</v>
      </c>
      <c r="M8268" s="12" t="s">
        <v>4440</v>
      </c>
      <c r="N8268" s="12" t="s">
        <v>17960</v>
      </c>
      <c r="O8268" s="10" t="str">
        <f>HYPERLINK("https://pbs.twimg.com/profile_images/720787210778316800/szlhwBwO_normal.jpg","View")</f>
        <v>View</v>
      </c>
      <c r="P8268" s="11"/>
    </row>
    <row r="8269" spans="1:16" ht="12.75" x14ac:dyDescent="0.35">
      <c r="A8269" s="7">
        <v>42485.401666666672</v>
      </c>
      <c r="B8269" s="8" t="str">
        <f>HYPERLINK("https://twitter.com/gregrose","@gregrose")</f>
        <v>@gregrose</v>
      </c>
      <c r="C8269" s="9" t="s">
        <v>17961</v>
      </c>
      <c r="D8269" s="9" t="s">
        <v>17962</v>
      </c>
      <c r="E8269" s="10" t="str">
        <f>HYPERLINK("https://twitter.com/gregrose/status/724449957122564097","724449957122564097")</f>
        <v>724449957122564097</v>
      </c>
      <c r="F8269" s="11" t="s">
        <v>114</v>
      </c>
      <c r="G8269" s="11">
        <v>1335</v>
      </c>
      <c r="H8269" s="11">
        <v>2047</v>
      </c>
      <c r="I8269" s="11">
        <v>0</v>
      </c>
      <c r="J8269" s="11">
        <v>0</v>
      </c>
      <c r="K8269" s="11" t="s">
        <v>21</v>
      </c>
      <c r="L8269" s="7">
        <v>39386.372557870374</v>
      </c>
      <c r="M8269" s="12" t="s">
        <v>17963</v>
      </c>
      <c r="N8269" s="12" t="s">
        <v>17964</v>
      </c>
      <c r="O8269" s="10" t="str">
        <f>HYPERLINK("https://pbs.twimg.com/profile_images/718587719580913668/vPZpdW4U_normal.jpg","View")</f>
        <v>View</v>
      </c>
      <c r="P8269" s="11"/>
    </row>
    <row r="8270" spans="1:16" ht="12.75" x14ac:dyDescent="0.35">
      <c r="A8270" s="7">
        <v>42485.401770833334</v>
      </c>
      <c r="B8270" s="8" t="str">
        <f>HYPERLINK("https://twitter.com/LuchiAltamira","@LuchiAltamira")</f>
        <v>@LuchiAltamira</v>
      </c>
      <c r="C8270" s="9" t="s">
        <v>17965</v>
      </c>
      <c r="D8270" s="9" t="s">
        <v>17958</v>
      </c>
      <c r="E8270" s="10" t="str">
        <f>HYPERLINK("https://twitter.com/LuchiAltamira/status/724449996679057408","724449996679057408")</f>
        <v>724449996679057408</v>
      </c>
      <c r="F8270" s="11" t="s">
        <v>43</v>
      </c>
      <c r="G8270" s="11">
        <v>725</v>
      </c>
      <c r="H8270" s="11">
        <v>562</v>
      </c>
      <c r="I8270" s="11">
        <v>6</v>
      </c>
      <c r="J8270" s="11">
        <v>0</v>
      </c>
      <c r="K8270" s="11" t="s">
        <v>21</v>
      </c>
      <c r="L8270" s="7">
        <v>41703.335486111115</v>
      </c>
      <c r="M8270" s="12" t="s">
        <v>17966</v>
      </c>
      <c r="N8270" s="12" t="s">
        <v>17967</v>
      </c>
      <c r="O8270" s="10" t="str">
        <f>HYPERLINK("https://pbs.twimg.com/profile_images/723368545099210752/DJxfm_Ok_normal.jpg","View")</f>
        <v>View</v>
      </c>
      <c r="P8270" s="11"/>
    </row>
    <row r="8271" spans="1:16" ht="12.75" x14ac:dyDescent="0.35">
      <c r="A8271" s="7">
        <v>42485.402673611112</v>
      </c>
      <c r="B8271" s="8" t="str">
        <f>HYPERLINK("https://twitter.com/George_Rey4","@George_Rey4")</f>
        <v>@George_Rey4</v>
      </c>
      <c r="C8271" s="9" t="s">
        <v>9099</v>
      </c>
      <c r="D8271" s="9" t="s">
        <v>17859</v>
      </c>
      <c r="E8271" s="10" t="str">
        <f>HYPERLINK("https://twitter.com/George_Rey4/status/724450325147459585","724450325147459585")</f>
        <v>724450325147459585</v>
      </c>
      <c r="F8271" s="11" t="s">
        <v>20</v>
      </c>
      <c r="G8271" s="11">
        <v>440</v>
      </c>
      <c r="H8271" s="11">
        <v>270</v>
      </c>
      <c r="I8271" s="11">
        <v>9</v>
      </c>
      <c r="J8271" s="11">
        <v>0</v>
      </c>
      <c r="K8271" s="11" t="s">
        <v>21</v>
      </c>
      <c r="L8271" s="7">
        <v>40426.338819444441</v>
      </c>
      <c r="M8271" s="12" t="s">
        <v>9100</v>
      </c>
      <c r="N8271" s="12" t="s">
        <v>9101</v>
      </c>
      <c r="O8271" s="10" t="str">
        <f>HYPERLINK("https://pbs.twimg.com/profile_images/716495110725246976/aZNUJl0F_normal.jpg","View")</f>
        <v>View</v>
      </c>
      <c r="P8271" s="11"/>
    </row>
    <row r="8272" spans="1:16" ht="12.75" x14ac:dyDescent="0.35">
      <c r="A8272" s="7">
        <v>42485.403182870374</v>
      </c>
      <c r="B8272" s="8" t="str">
        <f>HYPERLINK("https://twitter.com/FrankfurtFinanz","@FrankfurtFinanz")</f>
        <v>@FrankfurtFinanz</v>
      </c>
      <c r="C8272" s="9" t="s">
        <v>17968</v>
      </c>
      <c r="D8272" s="9" t="s">
        <v>17969</v>
      </c>
      <c r="E8272" s="10" t="str">
        <f>HYPERLINK("https://twitter.com/FrankfurtFinanz/status/724450509030064128","724450509030064128")</f>
        <v>724450509030064128</v>
      </c>
      <c r="F8272" s="11" t="s">
        <v>43</v>
      </c>
      <c r="G8272" s="11">
        <v>1444</v>
      </c>
      <c r="H8272" s="11">
        <v>840</v>
      </c>
      <c r="I8272" s="11">
        <v>2</v>
      </c>
      <c r="J8272" s="11">
        <v>0</v>
      </c>
      <c r="K8272" s="11" t="s">
        <v>21</v>
      </c>
      <c r="L8272" s="7">
        <v>40825.94771990741</v>
      </c>
      <c r="M8272" s="12"/>
      <c r="N8272" s="12" t="s">
        <v>17970</v>
      </c>
      <c r="O8272" s="10" t="str">
        <f>HYPERLINK("https://pbs.twimg.com/profile_images/439793745223892992/B7ZjnRlV_normal.jpeg","View")</f>
        <v>View</v>
      </c>
      <c r="P8272" s="11"/>
    </row>
    <row r="8273" spans="1:16" ht="12.75" x14ac:dyDescent="0.35">
      <c r="A8273" s="7">
        <v>42485.403865740736</v>
      </c>
      <c r="B8273" s="8" t="str">
        <f>HYPERLINK("https://twitter.com/breedveldusa","@breedveldusa")</f>
        <v>@breedveldusa</v>
      </c>
      <c r="C8273" s="9" t="s">
        <v>12475</v>
      </c>
      <c r="D8273" s="9" t="s">
        <v>17971</v>
      </c>
      <c r="E8273" s="10" t="str">
        <f>HYPERLINK("https://twitter.com/breedveldusa/status/724450757345468416","724450757345468416")</f>
        <v>724450757345468416</v>
      </c>
      <c r="F8273" s="11" t="s">
        <v>53</v>
      </c>
      <c r="G8273" s="11">
        <v>837</v>
      </c>
      <c r="H8273" s="11">
        <v>3102</v>
      </c>
      <c r="I8273" s="11">
        <v>2</v>
      </c>
      <c r="J8273" s="11">
        <v>0</v>
      </c>
      <c r="K8273" s="11" t="s">
        <v>21</v>
      </c>
      <c r="L8273" s="7">
        <v>40924.058553240742</v>
      </c>
      <c r="M8273" s="12"/>
      <c r="N8273" s="12"/>
      <c r="O8273" s="10" t="str">
        <f>HYPERLINK("https://pbs.twimg.com/profile_images/674866085213130752/qAlZEGhV_normal.jpg","View")</f>
        <v>View</v>
      </c>
      <c r="P8273" s="11"/>
    </row>
    <row r="8274" spans="1:16" ht="12.75" x14ac:dyDescent="0.35">
      <c r="A8274" s="7">
        <v>42485.404629629629</v>
      </c>
      <c r="B8274" s="8" t="str">
        <f>HYPERLINK("https://twitter.com/DubLuvTuning","@DubLuvTuning")</f>
        <v>@DubLuvTuning</v>
      </c>
      <c r="C8274" s="9" t="s">
        <v>299</v>
      </c>
      <c r="D8274" s="9" t="s">
        <v>17972</v>
      </c>
      <c r="E8274" s="10" t="str">
        <f>HYPERLINK("https://twitter.com/DubLuvTuning/status/724451032042995712","724451032042995712")</f>
        <v>724451032042995712</v>
      </c>
      <c r="F8274" s="11" t="s">
        <v>288</v>
      </c>
      <c r="G8274" s="11">
        <v>690</v>
      </c>
      <c r="H8274" s="11">
        <v>430</v>
      </c>
      <c r="I8274" s="11">
        <v>2</v>
      </c>
      <c r="J8274" s="11">
        <v>0</v>
      </c>
      <c r="K8274" s="11" t="s">
        <v>21</v>
      </c>
      <c r="L8274" s="7">
        <v>41549.898287037038</v>
      </c>
      <c r="M8274" s="12" t="s">
        <v>301</v>
      </c>
      <c r="N8274" s="12" t="s">
        <v>302</v>
      </c>
      <c r="O8274" s="10" t="str">
        <f>HYPERLINK("https://pbs.twimg.com/profile_images/378800000572104796/1de43e1cf23efb3f4101c02afad0d3b6_normal.png","View")</f>
        <v>View</v>
      </c>
      <c r="P8274" s="11"/>
    </row>
    <row r="8275" spans="1:16" ht="12.75" x14ac:dyDescent="0.35">
      <c r="A8275" s="7">
        <v>42485.40489583333</v>
      </c>
      <c r="B8275" s="8" t="str">
        <f>HYPERLINK("https://twitter.com/VolkswagenPost","@VolkswagenPost")</f>
        <v>@VolkswagenPost</v>
      </c>
      <c r="C8275" s="9" t="s">
        <v>321</v>
      </c>
      <c r="D8275" s="9" t="s">
        <v>17972</v>
      </c>
      <c r="E8275" s="10" t="str">
        <f>HYPERLINK("https://twitter.com/VolkswagenPost/status/724451128423907328","724451128423907328")</f>
        <v>724451128423907328</v>
      </c>
      <c r="F8275" s="11" t="s">
        <v>288</v>
      </c>
      <c r="G8275" s="11">
        <v>571</v>
      </c>
      <c r="H8275" s="11">
        <v>446</v>
      </c>
      <c r="I8275" s="11">
        <v>2</v>
      </c>
      <c r="J8275" s="11">
        <v>0</v>
      </c>
      <c r="K8275" s="11" t="s">
        <v>21</v>
      </c>
      <c r="L8275" s="7">
        <v>41940.618379629632</v>
      </c>
      <c r="M8275" s="12"/>
      <c r="N8275" s="12"/>
      <c r="O8275" s="10" t="str">
        <f>HYPERLINK("https://pbs.twimg.com/profile_images/530071272881803264/a_jcCmPZ_normal.png","View")</f>
        <v>View</v>
      </c>
      <c r="P8275" s="11"/>
    </row>
    <row r="8276" spans="1:16" ht="12.75" x14ac:dyDescent="0.35">
      <c r="A8276" s="7">
        <v>42485.405289351853</v>
      </c>
      <c r="B8276" s="8" t="str">
        <f>HYPERLINK("https://twitter.com/breedveldusa","@breedveldusa")</f>
        <v>@breedveldusa</v>
      </c>
      <c r="C8276" s="9" t="s">
        <v>12475</v>
      </c>
      <c r="D8276" s="9" t="s">
        <v>17973</v>
      </c>
      <c r="E8276" s="10" t="str">
        <f>HYPERLINK("https://twitter.com/breedveldusa/status/724451273764929536","724451273764929536")</f>
        <v>724451273764929536</v>
      </c>
      <c r="F8276" s="11" t="s">
        <v>53</v>
      </c>
      <c r="G8276" s="11">
        <v>837</v>
      </c>
      <c r="H8276" s="11">
        <v>3102</v>
      </c>
      <c r="I8276" s="11">
        <v>0</v>
      </c>
      <c r="J8276" s="11">
        <v>0</v>
      </c>
      <c r="K8276" s="11" t="s">
        <v>21</v>
      </c>
      <c r="L8276" s="7">
        <v>40924.058553240742</v>
      </c>
      <c r="M8276" s="12"/>
      <c r="N8276" s="12"/>
      <c r="O8276" s="10" t="str">
        <f>HYPERLINK("https://pbs.twimg.com/profile_images/674866085213130752/qAlZEGhV_normal.jpg","View")</f>
        <v>View</v>
      </c>
      <c r="P8276" s="11"/>
    </row>
    <row r="8277" spans="1:16" ht="12.75" x14ac:dyDescent="0.35">
      <c r="A8277" s="7">
        <v>42485.406446759254</v>
      </c>
      <c r="B8277" s="8" t="str">
        <f>HYPERLINK("https://twitter.com/nikoparedes4","@nikoparedes4")</f>
        <v>@nikoparedes4</v>
      </c>
      <c r="C8277" s="9" t="s">
        <v>17974</v>
      </c>
      <c r="D8277" s="9" t="s">
        <v>17958</v>
      </c>
      <c r="E8277" s="10" t="str">
        <f>HYPERLINK("https://twitter.com/nikoparedes4/status/724451689751805953","724451689751805953")</f>
        <v>724451689751805953</v>
      </c>
      <c r="F8277" s="11" t="s">
        <v>48</v>
      </c>
      <c r="G8277" s="11">
        <v>163</v>
      </c>
      <c r="H8277" s="11">
        <v>230</v>
      </c>
      <c r="I8277" s="11">
        <v>6</v>
      </c>
      <c r="J8277" s="11">
        <v>0</v>
      </c>
      <c r="K8277" s="11" t="s">
        <v>21</v>
      </c>
      <c r="L8277" s="7">
        <v>40564.935104166667</v>
      </c>
      <c r="M8277" s="12" t="s">
        <v>17975</v>
      </c>
      <c r="N8277" s="12" t="s">
        <v>17976</v>
      </c>
      <c r="O8277" s="10" t="str">
        <f>HYPERLINK("https://pbs.twimg.com/profile_images/637793934845046785/xyVgpucG_normal.jpg","View")</f>
        <v>View</v>
      </c>
      <c r="P8277" s="11"/>
    </row>
    <row r="8278" spans="1:16" ht="12.75" x14ac:dyDescent="0.35">
      <c r="A8278" s="7">
        <v>42485.407187500001</v>
      </c>
      <c r="B8278" s="8" t="str">
        <f>HYPERLINK("https://twitter.com/George_Rey4","@George_Rey4")</f>
        <v>@George_Rey4</v>
      </c>
      <c r="C8278" s="9" t="s">
        <v>9099</v>
      </c>
      <c r="D8278" s="9" t="s">
        <v>17977</v>
      </c>
      <c r="E8278" s="10" t="str">
        <f>HYPERLINK("https://twitter.com/George_Rey4/status/724451960259141633","724451960259141633")</f>
        <v>724451960259141633</v>
      </c>
      <c r="F8278" s="11" t="s">
        <v>20</v>
      </c>
      <c r="G8278" s="11">
        <v>440</v>
      </c>
      <c r="H8278" s="11">
        <v>270</v>
      </c>
      <c r="I8278" s="11">
        <v>0</v>
      </c>
      <c r="J8278" s="11">
        <v>0</v>
      </c>
      <c r="K8278" s="11" t="s">
        <v>21</v>
      </c>
      <c r="L8278" s="7">
        <v>40426.338819444441</v>
      </c>
      <c r="M8278" s="12" t="s">
        <v>9100</v>
      </c>
      <c r="N8278" s="12" t="s">
        <v>9101</v>
      </c>
      <c r="O8278" s="10" t="str">
        <f>HYPERLINK("https://pbs.twimg.com/profile_images/716495110725246976/aZNUJl0F_normal.jpg","View")</f>
        <v>View</v>
      </c>
      <c r="P8278" s="11"/>
    </row>
    <row r="8279" spans="1:16" ht="12.75" x14ac:dyDescent="0.35">
      <c r="A8279" s="7">
        <v>42485.407719907409</v>
      </c>
      <c r="B8279" s="8" t="str">
        <f>HYPERLINK("https://twitter.com/VWCamperSales","@VWCamperSales")</f>
        <v>@VWCamperSales</v>
      </c>
      <c r="C8279" s="9" t="s">
        <v>216</v>
      </c>
      <c r="D8279" s="9" t="s">
        <v>17978</v>
      </c>
      <c r="E8279" s="10" t="str">
        <f>HYPERLINK("https://twitter.com/VWCamperSales/status/724452152848994304","724452152848994304")</f>
        <v>724452152848994304</v>
      </c>
      <c r="F8279" s="10" t="s">
        <v>124</v>
      </c>
      <c r="G8279" s="11">
        <v>628</v>
      </c>
      <c r="H8279" s="11">
        <v>579</v>
      </c>
      <c r="I8279" s="11">
        <v>0</v>
      </c>
      <c r="J8279" s="11">
        <v>0</v>
      </c>
      <c r="K8279" s="11" t="s">
        <v>21</v>
      </c>
      <c r="L8279" s="7">
        <v>42215.98809027778</v>
      </c>
      <c r="M8279" s="12" t="s">
        <v>129</v>
      </c>
      <c r="N8279" s="12" t="s">
        <v>218</v>
      </c>
      <c r="O8279" s="10" t="str">
        <f>HYPERLINK("https://pbs.twimg.com/profile_images/627949001179037696/skEBkS05_normal.jpg","View")</f>
        <v>View</v>
      </c>
      <c r="P8279" s="11"/>
    </row>
    <row r="8280" spans="1:16" ht="12.75" x14ac:dyDescent="0.35">
      <c r="A8280" s="7">
        <v>42485.408229166671</v>
      </c>
      <c r="B8280" s="8" t="str">
        <f>HYPERLINK("https://twitter.com/Flor_Lopezc","@Flor_Lopezc")</f>
        <v>@Flor_Lopezc</v>
      </c>
      <c r="C8280" s="9" t="s">
        <v>17979</v>
      </c>
      <c r="D8280" s="9" t="s">
        <v>17958</v>
      </c>
      <c r="E8280" s="10" t="str">
        <f>HYPERLINK("https://twitter.com/Flor_Lopezc/status/724452337964703744","724452337964703744")</f>
        <v>724452337964703744</v>
      </c>
      <c r="F8280" s="11" t="s">
        <v>48</v>
      </c>
      <c r="G8280" s="11">
        <v>188</v>
      </c>
      <c r="H8280" s="11">
        <v>149</v>
      </c>
      <c r="I8280" s="11">
        <v>8</v>
      </c>
      <c r="J8280" s="11">
        <v>0</v>
      </c>
      <c r="K8280" s="11" t="s">
        <v>21</v>
      </c>
      <c r="L8280" s="7">
        <v>41756.914594907408</v>
      </c>
      <c r="M8280" s="12" t="s">
        <v>5773</v>
      </c>
      <c r="N8280" s="12" t="s">
        <v>17980</v>
      </c>
      <c r="O8280" s="10" t="str">
        <f>HYPERLINK("https://pbs.twimg.com/profile_images/723884843508084739/vk1neEZZ_normal.jpg","View")</f>
        <v>View</v>
      </c>
      <c r="P8280" s="11"/>
    </row>
    <row r="8281" spans="1:16" ht="12.75" x14ac:dyDescent="0.35">
      <c r="A8281" s="7">
        <v>42485.408425925925</v>
      </c>
      <c r="B8281" s="8" t="str">
        <f>HYPERLINK("https://twitter.com/edyrivera74","@edyrivera74")</f>
        <v>@edyrivera74</v>
      </c>
      <c r="C8281" s="9" t="s">
        <v>17981</v>
      </c>
      <c r="D8281" s="9" t="s">
        <v>17859</v>
      </c>
      <c r="E8281" s="10" t="str">
        <f>HYPERLINK("https://twitter.com/edyrivera74/status/724452410077405184","724452410077405184")</f>
        <v>724452410077405184</v>
      </c>
      <c r="F8281" s="11" t="s">
        <v>20</v>
      </c>
      <c r="G8281" s="11">
        <v>51</v>
      </c>
      <c r="H8281" s="11">
        <v>527</v>
      </c>
      <c r="I8281" s="11">
        <v>11</v>
      </c>
      <c r="J8281" s="11">
        <v>0</v>
      </c>
      <c r="K8281" s="11" t="s">
        <v>21</v>
      </c>
      <c r="L8281" s="7">
        <v>42321.85229166667</v>
      </c>
      <c r="M8281" s="12" t="s">
        <v>17982</v>
      </c>
      <c r="N8281" s="12"/>
      <c r="O8281" s="10" t="str">
        <f>HYPERLINK("https://pbs.twimg.com/profile_images/721901030309552129/YXZz-ruu_normal.jpg","View")</f>
        <v>View</v>
      </c>
      <c r="P8281" s="11"/>
    </row>
    <row r="8282" spans="1:16" ht="12.75" x14ac:dyDescent="0.35">
      <c r="A8282" s="7">
        <v>42485.40861111111</v>
      </c>
      <c r="B8282" s="8" t="str">
        <f>HYPERLINK("https://twitter.com/HuntingtonPicks","@HuntingtonPicks")</f>
        <v>@HuntingtonPicks</v>
      </c>
      <c r="C8282" s="9" t="s">
        <v>17983</v>
      </c>
      <c r="D8282" s="9" t="s">
        <v>17984</v>
      </c>
      <c r="E8282" s="10" t="str">
        <f>HYPERLINK("https://twitter.com/HuntingtonPicks/status/724452473797144576","724452473797144576")</f>
        <v>724452473797144576</v>
      </c>
      <c r="F8282" s="11" t="s">
        <v>17985</v>
      </c>
      <c r="G8282" s="11">
        <v>218</v>
      </c>
      <c r="H8282" s="11">
        <v>55</v>
      </c>
      <c r="I8282" s="11">
        <v>0</v>
      </c>
      <c r="J8282" s="11">
        <v>0</v>
      </c>
      <c r="K8282" s="11" t="s">
        <v>21</v>
      </c>
      <c r="L8282" s="7">
        <v>40702.635844907403</v>
      </c>
      <c r="M8282" s="12" t="s">
        <v>17986</v>
      </c>
      <c r="N8282" s="12" t="s">
        <v>17987</v>
      </c>
      <c r="O8282" s="10" t="str">
        <f>HYPERLINK("https://pbs.twimg.com/profile_images/1398251675/picks-logo-huntingtonbeach_normal.png","View")</f>
        <v>View</v>
      </c>
      <c r="P8282" s="11"/>
    </row>
    <row r="8283" spans="1:16" ht="12.75" x14ac:dyDescent="0.35">
      <c r="A8283" s="7">
        <v>42485.409317129626</v>
      </c>
      <c r="B8283" s="8" t="str">
        <f>HYPERLINK("https://twitter.com/techislet","@techislet")</f>
        <v>@techislet</v>
      </c>
      <c r="C8283" s="9" t="s">
        <v>2042</v>
      </c>
      <c r="D8283" s="9" t="s">
        <v>10706</v>
      </c>
      <c r="E8283" s="10" t="str">
        <f>HYPERLINK("https://twitter.com/techislet/status/724452732262821888","724452732262821888")</f>
        <v>724452732262821888</v>
      </c>
      <c r="F8283" s="11" t="s">
        <v>2044</v>
      </c>
      <c r="G8283" s="11">
        <v>908</v>
      </c>
      <c r="H8283" s="11">
        <v>48</v>
      </c>
      <c r="I8283" s="11">
        <v>0</v>
      </c>
      <c r="J8283" s="11">
        <v>0</v>
      </c>
      <c r="K8283" s="11" t="s">
        <v>21</v>
      </c>
      <c r="L8283" s="7">
        <v>42230.528009259258</v>
      </c>
      <c r="M8283" s="12" t="s">
        <v>1483</v>
      </c>
      <c r="N8283" s="12" t="s">
        <v>2045</v>
      </c>
      <c r="O8283" s="10" t="str">
        <f>HYPERLINK("https://pbs.twimg.com/profile_images/640893185158352896/TMGmsF0r_normal.png","View")</f>
        <v>View</v>
      </c>
      <c r="P8283" s="11"/>
    </row>
    <row r="8284" spans="1:16" ht="12.75" x14ac:dyDescent="0.35">
      <c r="A8284" s="7">
        <v>42485.410219907411</v>
      </c>
      <c r="B8284" s="8" t="str">
        <f>HYPERLINK("https://twitter.com/DubLuvTuning","@DubLuvTuning")</f>
        <v>@DubLuvTuning</v>
      </c>
      <c r="C8284" s="9" t="s">
        <v>299</v>
      </c>
      <c r="D8284" s="9" t="s">
        <v>17988</v>
      </c>
      <c r="E8284" s="10" t="str">
        <f>HYPERLINK("https://twitter.com/DubLuvTuning/status/724453056713232384","724453056713232384")</f>
        <v>724453056713232384</v>
      </c>
      <c r="F8284" s="11" t="s">
        <v>288</v>
      </c>
      <c r="G8284" s="11">
        <v>691</v>
      </c>
      <c r="H8284" s="11">
        <v>430</v>
      </c>
      <c r="I8284" s="11">
        <v>2</v>
      </c>
      <c r="J8284" s="11">
        <v>0</v>
      </c>
      <c r="K8284" s="11" t="s">
        <v>21</v>
      </c>
      <c r="L8284" s="7">
        <v>41549.898287037038</v>
      </c>
      <c r="M8284" s="12" t="s">
        <v>301</v>
      </c>
      <c r="N8284" s="12" t="s">
        <v>302</v>
      </c>
      <c r="O8284" s="10" t="str">
        <f>HYPERLINK("https://pbs.twimg.com/profile_images/378800000572104796/1de43e1cf23efb3f4101c02afad0d3b6_normal.png","View")</f>
        <v>View</v>
      </c>
      <c r="P8284" s="11"/>
    </row>
    <row r="8285" spans="1:16" ht="12.75" x14ac:dyDescent="0.35">
      <c r="A8285" s="7">
        <v>42485.410960648151</v>
      </c>
      <c r="B8285" s="8" t="str">
        <f>HYPERLINK("https://twitter.com/VolkswagenPost","@VolkswagenPost")</f>
        <v>@VolkswagenPost</v>
      </c>
      <c r="C8285" s="9" t="s">
        <v>321</v>
      </c>
      <c r="D8285" s="9" t="s">
        <v>17988</v>
      </c>
      <c r="E8285" s="10" t="str">
        <f>HYPERLINK("https://twitter.com/VolkswagenPost/status/724453327027712000","724453327027712000")</f>
        <v>724453327027712000</v>
      </c>
      <c r="F8285" s="11" t="s">
        <v>288</v>
      </c>
      <c r="G8285" s="11">
        <v>571</v>
      </c>
      <c r="H8285" s="11">
        <v>446</v>
      </c>
      <c r="I8285" s="11">
        <v>2</v>
      </c>
      <c r="J8285" s="11">
        <v>0</v>
      </c>
      <c r="K8285" s="11" t="s">
        <v>21</v>
      </c>
      <c r="L8285" s="7">
        <v>41940.618379629632</v>
      </c>
      <c r="M8285" s="12"/>
      <c r="N8285" s="12"/>
      <c r="O8285" s="10" t="str">
        <f>HYPERLINK("https://pbs.twimg.com/profile_images/530071272881803264/a_jcCmPZ_normal.png","View")</f>
        <v>View</v>
      </c>
      <c r="P8285" s="11"/>
    </row>
    <row r="8286" spans="1:16" ht="12.75" x14ac:dyDescent="0.35">
      <c r="A8286" s="7">
        <v>42485.412905092591</v>
      </c>
      <c r="B8286" s="8" t="str">
        <f>HYPERLINK("https://twitter.com/Mankool_Mumbai","@Mankool_Mumbai")</f>
        <v>@Mankool_Mumbai</v>
      </c>
      <c r="C8286" s="9" t="s">
        <v>17989</v>
      </c>
      <c r="D8286" s="9" t="s">
        <v>17990</v>
      </c>
      <c r="E8286" s="10" t="str">
        <f>HYPERLINK("https://twitter.com/Mankool_Mumbai/status/724454032841035776","724454032841035776")</f>
        <v>724454032841035776</v>
      </c>
      <c r="F8286" s="11" t="s">
        <v>68</v>
      </c>
      <c r="G8286" s="11">
        <v>16</v>
      </c>
      <c r="H8286" s="11">
        <v>0</v>
      </c>
      <c r="I8286" s="11">
        <v>0</v>
      </c>
      <c r="J8286" s="11">
        <v>2</v>
      </c>
      <c r="K8286" s="11" t="s">
        <v>21</v>
      </c>
      <c r="L8286" s="7">
        <v>42481.04855324074</v>
      </c>
      <c r="M8286" s="12"/>
      <c r="N8286" s="12"/>
      <c r="O8286" s="10" t="str">
        <f>HYPERLINK("https://pbs.twimg.com/profile_images/722873847901368322/RNCtrBPj_normal.jpg","View")</f>
        <v>View</v>
      </c>
      <c r="P8286" s="11"/>
    </row>
    <row r="8287" spans="1:16" ht="12.75" x14ac:dyDescent="0.35">
      <c r="A8287" s="7">
        <v>42485.415011574078</v>
      </c>
      <c r="B8287" s="8" t="str">
        <f>HYPERLINK("https://twitter.com/TheRemixStudio","@TheRemixStudio")</f>
        <v>@TheRemixStudio</v>
      </c>
      <c r="C8287" s="9" t="s">
        <v>17991</v>
      </c>
      <c r="D8287" s="9" t="s">
        <v>17859</v>
      </c>
      <c r="E8287" s="10" t="str">
        <f>HYPERLINK("https://twitter.com/TheRemixStudio/status/724454795751227393","724454795751227393")</f>
        <v>724454795751227393</v>
      </c>
      <c r="F8287" s="11" t="s">
        <v>20</v>
      </c>
      <c r="G8287" s="11">
        <v>328</v>
      </c>
      <c r="H8287" s="11">
        <v>56</v>
      </c>
      <c r="I8287" s="11">
        <v>11</v>
      </c>
      <c r="J8287" s="11">
        <v>0</v>
      </c>
      <c r="K8287" s="11" t="s">
        <v>21</v>
      </c>
      <c r="L8287" s="7">
        <v>40044.89984953704</v>
      </c>
      <c r="M8287" s="12" t="s">
        <v>17992</v>
      </c>
      <c r="N8287" s="12" t="s">
        <v>17993</v>
      </c>
      <c r="O8287" s="10" t="str">
        <f>HYPERLINK("https://pbs.twimg.com/profile_images/723725278611034112/4Fd5AYQP_normal.jpg","View")</f>
        <v>View</v>
      </c>
      <c r="P8287" s="11"/>
    </row>
    <row r="8288" spans="1:16" ht="12.75" x14ac:dyDescent="0.35">
      <c r="A8288" s="7">
        <v>42485.415277777778</v>
      </c>
      <c r="B8288" s="8" t="str">
        <f>HYPERLINK("https://twitter.com/camiilarommero","@camiilarommero")</f>
        <v>@camiilarommero</v>
      </c>
      <c r="C8288" s="9" t="s">
        <v>15217</v>
      </c>
      <c r="D8288" s="9" t="s">
        <v>17958</v>
      </c>
      <c r="E8288" s="10" t="str">
        <f>HYPERLINK("https://twitter.com/camiilarommero/status/724454893126324225","724454893126324225")</f>
        <v>724454893126324225</v>
      </c>
      <c r="F8288" s="11" t="s">
        <v>48</v>
      </c>
      <c r="G8288" s="11">
        <v>662</v>
      </c>
      <c r="H8288" s="11">
        <v>345</v>
      </c>
      <c r="I8288" s="11">
        <v>8</v>
      </c>
      <c r="J8288" s="11">
        <v>0</v>
      </c>
      <c r="K8288" s="11" t="s">
        <v>21</v>
      </c>
      <c r="L8288" s="7">
        <v>41297.541307870371</v>
      </c>
      <c r="M8288" s="12" t="s">
        <v>15218</v>
      </c>
      <c r="N8288" s="12" t="s">
        <v>15219</v>
      </c>
      <c r="O8288" s="10" t="str">
        <f>HYPERLINK("https://pbs.twimg.com/profile_images/712842542241484800/fYAhmTUq_normal.jpg","View")</f>
        <v>View</v>
      </c>
      <c r="P8288" s="11"/>
    </row>
    <row r="8289" spans="1:16" ht="12.75" x14ac:dyDescent="0.35">
      <c r="A8289" s="7">
        <v>42485.415497685186</v>
      </c>
      <c r="B8289" s="8" t="str">
        <f>HYPERLINK("https://twitter.com/TheRemixStudio","@TheRemixStudio")</f>
        <v>@TheRemixStudio</v>
      </c>
      <c r="C8289" s="9" t="s">
        <v>17991</v>
      </c>
      <c r="D8289" s="9" t="s">
        <v>16236</v>
      </c>
      <c r="E8289" s="10" t="str">
        <f>HYPERLINK("https://twitter.com/TheRemixStudio/status/724454971748417536","724454971748417536")</f>
        <v>724454971748417536</v>
      </c>
      <c r="F8289" s="11" t="s">
        <v>20</v>
      </c>
      <c r="G8289" s="11">
        <v>328</v>
      </c>
      <c r="H8289" s="11">
        <v>56</v>
      </c>
      <c r="I8289" s="11">
        <v>11</v>
      </c>
      <c r="J8289" s="11">
        <v>0</v>
      </c>
      <c r="K8289" s="11" t="s">
        <v>21</v>
      </c>
      <c r="L8289" s="7">
        <v>40044.89984953704</v>
      </c>
      <c r="M8289" s="12" t="s">
        <v>17992</v>
      </c>
      <c r="N8289" s="12" t="s">
        <v>17993</v>
      </c>
      <c r="O8289" s="10" t="str">
        <f>HYPERLINK("https://pbs.twimg.com/profile_images/723725278611034112/4Fd5AYQP_normal.jpg","View")</f>
        <v>View</v>
      </c>
      <c r="P8289" s="11"/>
    </row>
    <row r="8290" spans="1:16" ht="12.75" x14ac:dyDescent="0.35">
      <c r="A8290" s="7">
        <v>42485.418657407412</v>
      </c>
      <c r="B8290" s="8" t="str">
        <f>HYPERLINK("https://twitter.com/alanakuhn","@alanakuhn")</f>
        <v>@alanakuhn</v>
      </c>
      <c r="C8290" s="9" t="s">
        <v>17994</v>
      </c>
      <c r="D8290" s="9" t="s">
        <v>17995</v>
      </c>
      <c r="E8290" s="10" t="str">
        <f>HYPERLINK("https://twitter.com/alanakuhn/status/724456117938475008","724456117938475008")</f>
        <v>724456117938475008</v>
      </c>
      <c r="F8290" s="11" t="s">
        <v>48</v>
      </c>
      <c r="G8290" s="11">
        <v>207</v>
      </c>
      <c r="H8290" s="11">
        <v>402</v>
      </c>
      <c r="I8290" s="11">
        <v>1</v>
      </c>
      <c r="J8290" s="11">
        <v>0</v>
      </c>
      <c r="K8290" s="11" t="s">
        <v>21</v>
      </c>
      <c r="L8290" s="7">
        <v>40306.385277777779</v>
      </c>
      <c r="M8290" s="12" t="s">
        <v>17996</v>
      </c>
      <c r="N8290" s="12" t="s">
        <v>17997</v>
      </c>
      <c r="O8290" s="10" t="str">
        <f>HYPERLINK("https://pbs.twimg.com/profile_images/724455779646869505/S7sln-95_normal.jpg","View")</f>
        <v>View</v>
      </c>
      <c r="P8290" s="11"/>
    </row>
    <row r="8291" spans="1:16" ht="12.75" x14ac:dyDescent="0.35">
      <c r="A8291" s="7">
        <v>42485.420034722221</v>
      </c>
      <c r="B8291" s="8" t="str">
        <f>HYPERLINK("https://twitter.com/_NicoOlmedo_","@_NicoOlmedo_")</f>
        <v>@_NicoOlmedo_</v>
      </c>
      <c r="C8291" s="9" t="s">
        <v>17998</v>
      </c>
      <c r="D8291" s="9" t="s">
        <v>2825</v>
      </c>
      <c r="E8291" s="10" t="str">
        <f>HYPERLINK("https://twitter.com/_NicoOlmedo_/status/724456615089414144","724456615089414144")</f>
        <v>724456615089414144</v>
      </c>
      <c r="F8291" s="11" t="s">
        <v>48</v>
      </c>
      <c r="G8291" s="11">
        <v>111</v>
      </c>
      <c r="H8291" s="11">
        <v>101</v>
      </c>
      <c r="I8291" s="11">
        <v>63</v>
      </c>
      <c r="J8291" s="11">
        <v>0</v>
      </c>
      <c r="K8291" s="11" t="s">
        <v>21</v>
      </c>
      <c r="L8291" s="7">
        <v>41300.190046296295</v>
      </c>
      <c r="M8291" s="12"/>
      <c r="N8291" s="12" t="s">
        <v>17999</v>
      </c>
      <c r="O8291" s="10" t="str">
        <f>HYPERLINK("https://pbs.twimg.com/profile_images/717597480981020672/yN59Cz_5_normal.jpg","View")</f>
        <v>View</v>
      </c>
      <c r="P8291" s="11"/>
    </row>
    <row r="8292" spans="1:16" ht="12.75" x14ac:dyDescent="0.35">
      <c r="A8292" s="7">
        <v>42485.420092592598</v>
      </c>
      <c r="B8292" s="8" t="str">
        <f>HYPERLINK("https://twitter.com/80230e4f9e424a1","@80230e4f9e424a1")</f>
        <v>@80230e4f9e424a1</v>
      </c>
      <c r="C8292" s="9" t="s">
        <v>1322</v>
      </c>
      <c r="D8292" s="9" t="s">
        <v>17830</v>
      </c>
      <c r="E8292" s="10" t="str">
        <f>HYPERLINK("https://twitter.com/80230e4f9e424a1/status/724456637419933696","724456637419933696")</f>
        <v>724456637419933696</v>
      </c>
      <c r="F8292" s="11" t="s">
        <v>48</v>
      </c>
      <c r="G8292" s="11">
        <v>18</v>
      </c>
      <c r="H8292" s="11">
        <v>80</v>
      </c>
      <c r="I8292" s="11">
        <v>10</v>
      </c>
      <c r="J8292" s="11">
        <v>0</v>
      </c>
      <c r="K8292" s="11" t="s">
        <v>21</v>
      </c>
      <c r="L8292" s="7">
        <v>41968.575682870374</v>
      </c>
      <c r="M8292" s="12"/>
      <c r="N8292" s="12"/>
      <c r="O8292" s="10" t="str">
        <f>HYPERLINK("https://pbs.twimg.com/profile_images/715865125589221377/LL-u_qje_normal.jpg","View")</f>
        <v>View</v>
      </c>
      <c r="P8292" s="11"/>
    </row>
    <row r="8293" spans="1:16" ht="12.75" x14ac:dyDescent="0.35">
      <c r="A8293" s="7">
        <v>42485.420462962968</v>
      </c>
      <c r="B8293" s="8" t="str">
        <f>HYPERLINK("https://twitter.com/tomaszapata2","@tomaszapata2")</f>
        <v>@tomaszapata2</v>
      </c>
      <c r="C8293" s="9" t="s">
        <v>18000</v>
      </c>
      <c r="D8293" s="9" t="s">
        <v>15197</v>
      </c>
      <c r="E8293" s="10" t="str">
        <f>HYPERLINK("https://twitter.com/tomaszapata2/status/724456772044365824","724456772044365824")</f>
        <v>724456772044365824</v>
      </c>
      <c r="F8293" s="11" t="s">
        <v>43</v>
      </c>
      <c r="G8293" s="11">
        <v>199</v>
      </c>
      <c r="H8293" s="11">
        <v>194</v>
      </c>
      <c r="I8293" s="11">
        <v>16</v>
      </c>
      <c r="J8293" s="11">
        <v>0</v>
      </c>
      <c r="K8293" s="11" t="s">
        <v>21</v>
      </c>
      <c r="L8293" s="7">
        <v>40813.889722222222</v>
      </c>
      <c r="M8293" s="12"/>
      <c r="N8293" s="12"/>
      <c r="O8293" s="10" t="str">
        <f>HYPERLINK("https://pbs.twimg.com/profile_images/700437504231604224/W4It-QsY_normal.jpg","View")</f>
        <v>View</v>
      </c>
      <c r="P8293" s="11"/>
    </row>
    <row r="8294" spans="1:16" ht="12.75" x14ac:dyDescent="0.35">
      <c r="A8294" s="7">
        <v>42485.421203703707</v>
      </c>
      <c r="B8294" s="8" t="str">
        <f t="shared" ref="B8294:B8295" si="867">HYPERLINK("https://twitter.com/80230e4f9e424a1","@80230e4f9e424a1")</f>
        <v>@80230e4f9e424a1</v>
      </c>
      <c r="C8294" s="9" t="s">
        <v>1322</v>
      </c>
      <c r="D8294" s="9" t="s">
        <v>17885</v>
      </c>
      <c r="E8294" s="10" t="str">
        <f>HYPERLINK("https://twitter.com/80230e4f9e424a1/status/724457037036400640","724457037036400640")</f>
        <v>724457037036400640</v>
      </c>
      <c r="F8294" s="11" t="s">
        <v>48</v>
      </c>
      <c r="G8294" s="11">
        <v>18</v>
      </c>
      <c r="H8294" s="11">
        <v>80</v>
      </c>
      <c r="I8294" s="11">
        <v>4</v>
      </c>
      <c r="J8294" s="11">
        <v>0</v>
      </c>
      <c r="K8294" s="11" t="s">
        <v>21</v>
      </c>
      <c r="L8294" s="7">
        <v>41968.575682870374</v>
      </c>
      <c r="M8294" s="12"/>
      <c r="N8294" s="12"/>
      <c r="O8294" s="10" t="str">
        <f t="shared" ref="O8294:O8295" si="868">HYPERLINK("https://pbs.twimg.com/profile_images/715865125589221377/LL-u_qje_normal.jpg","View")</f>
        <v>View</v>
      </c>
      <c r="P8294" s="11"/>
    </row>
    <row r="8295" spans="1:16" ht="12.75" x14ac:dyDescent="0.35">
      <c r="A8295" s="7">
        <v>42485.421284722222</v>
      </c>
      <c r="B8295" s="8" t="str">
        <f t="shared" si="867"/>
        <v>@80230e4f9e424a1</v>
      </c>
      <c r="C8295" s="9" t="s">
        <v>1322</v>
      </c>
      <c r="D8295" s="9" t="s">
        <v>17883</v>
      </c>
      <c r="E8295" s="10" t="str">
        <f>HYPERLINK("https://twitter.com/80230e4f9e424a1/status/724457067101184000","724457067101184000")</f>
        <v>724457067101184000</v>
      </c>
      <c r="F8295" s="11" t="s">
        <v>48</v>
      </c>
      <c r="G8295" s="11">
        <v>18</v>
      </c>
      <c r="H8295" s="11">
        <v>80</v>
      </c>
      <c r="I8295" s="11">
        <v>4</v>
      </c>
      <c r="J8295" s="11">
        <v>0</v>
      </c>
      <c r="K8295" s="11" t="s">
        <v>21</v>
      </c>
      <c r="L8295" s="7">
        <v>41968.575682870374</v>
      </c>
      <c r="M8295" s="12"/>
      <c r="N8295" s="12"/>
      <c r="O8295" s="10" t="str">
        <f t="shared" si="868"/>
        <v>View</v>
      </c>
      <c r="P8295" s="11"/>
    </row>
    <row r="8296" spans="1:16" ht="12.75" x14ac:dyDescent="0.35">
      <c r="A8296" s="7">
        <v>42485.422569444447</v>
      </c>
      <c r="B8296" s="8" t="str">
        <f>HYPERLINK("https://twitter.com/saskretweeter","@saskretweeter")</f>
        <v>@saskretweeter</v>
      </c>
      <c r="C8296" s="9" t="s">
        <v>18001</v>
      </c>
      <c r="D8296" s="9" t="s">
        <v>18002</v>
      </c>
      <c r="E8296" s="10" t="str">
        <f>HYPERLINK("https://twitter.com/saskretweeter/status/724457535462342656","724457535462342656")</f>
        <v>724457535462342656</v>
      </c>
      <c r="F8296" s="11" t="s">
        <v>288</v>
      </c>
      <c r="G8296" s="11">
        <v>2259</v>
      </c>
      <c r="H8296" s="11">
        <v>0</v>
      </c>
      <c r="I8296" s="11">
        <v>1</v>
      </c>
      <c r="J8296" s="11">
        <v>0</v>
      </c>
      <c r="K8296" s="11" t="s">
        <v>21</v>
      </c>
      <c r="L8296" s="7">
        <v>41795.063078703708</v>
      </c>
      <c r="M8296" s="12" t="s">
        <v>18003</v>
      </c>
      <c r="N8296" s="12" t="s">
        <v>18004</v>
      </c>
      <c r="O8296" s="10" t="str">
        <f>HYPERLINK("https://pbs.twimg.com/profile_images/474295817772490752/fti9g4Cj_normal.jpeg","View")</f>
        <v>View</v>
      </c>
      <c r="P8296" s="11"/>
    </row>
    <row r="8297" spans="1:16" ht="12.75" x14ac:dyDescent="0.35">
      <c r="A8297" s="7">
        <v>42485.424837962964</v>
      </c>
      <c r="B8297" s="8" t="str">
        <f>HYPERLINK("https://twitter.com/lovepeace1009","@lovepeace1009")</f>
        <v>@lovepeace1009</v>
      </c>
      <c r="C8297" s="9" t="s">
        <v>18005</v>
      </c>
      <c r="D8297" s="9" t="s">
        <v>18006</v>
      </c>
      <c r="E8297" s="10" t="str">
        <f>HYPERLINK("https://twitter.com/lovepeace1009/status/724458355301847040","724458355301847040")</f>
        <v>724458355301847040</v>
      </c>
      <c r="F8297" s="11" t="s">
        <v>20</v>
      </c>
      <c r="G8297" s="11">
        <v>124</v>
      </c>
      <c r="H8297" s="11">
        <v>228</v>
      </c>
      <c r="I8297" s="11">
        <v>1</v>
      </c>
      <c r="J8297" s="11">
        <v>0</v>
      </c>
      <c r="K8297" s="11" t="s">
        <v>21</v>
      </c>
      <c r="L8297" s="7">
        <v>41869.38217592593</v>
      </c>
      <c r="M8297" s="12"/>
      <c r="N8297" s="12" t="s">
        <v>18007</v>
      </c>
      <c r="O8297" s="10" t="str">
        <f>HYPERLINK("https://pbs.twimg.com/profile_images/646875510249684993/JrL2aKF-_normal.jpg","View")</f>
        <v>View</v>
      </c>
      <c r="P8297" s="11"/>
    </row>
    <row r="8298" spans="1:16" ht="12.75" x14ac:dyDescent="0.35">
      <c r="A8298" s="7">
        <v>42485.426226851851</v>
      </c>
      <c r="B8298" s="8" t="str">
        <f>HYPERLINK("https://twitter.com/vwmaniacs","@vwmaniacs")</f>
        <v>@vwmaniacs</v>
      </c>
      <c r="C8298" s="9" t="s">
        <v>416</v>
      </c>
      <c r="D8298" s="9" t="s">
        <v>18008</v>
      </c>
      <c r="E8298" s="10" t="str">
        <f>HYPERLINK("https://twitter.com/vwmaniacs/status/724458857196490752","724458857196490752")</f>
        <v>724458857196490752</v>
      </c>
      <c r="F8298" s="11" t="s">
        <v>114</v>
      </c>
      <c r="G8298" s="11">
        <v>1676</v>
      </c>
      <c r="H8298" s="11">
        <v>272</v>
      </c>
      <c r="I8298" s="11">
        <v>0</v>
      </c>
      <c r="J8298" s="11">
        <v>0</v>
      </c>
      <c r="K8298" s="11" t="s">
        <v>21</v>
      </c>
      <c r="L8298" s="7">
        <v>40020.727546296301</v>
      </c>
      <c r="M8298" s="12" t="s">
        <v>418</v>
      </c>
      <c r="N8298" s="12" t="s">
        <v>419</v>
      </c>
      <c r="O8298" s="10" t="str">
        <f>HYPERLINK("https://pbs.twimg.com/profile_images/2188709653/420231_385567048140178_106973562666196_1378230_25473722_n_normal.jpg","View")</f>
        <v>View</v>
      </c>
      <c r="P8298" s="11"/>
    </row>
    <row r="8299" spans="1:16" ht="12.75" x14ac:dyDescent="0.35">
      <c r="A8299" s="7">
        <v>42485.431087962963</v>
      </c>
      <c r="B8299" s="8" t="str">
        <f t="shared" ref="B8299:B8301" si="869">HYPERLINK("https://twitter.com/OnlineCarReview","@OnlineCarReview")</f>
        <v>@OnlineCarReview</v>
      </c>
      <c r="C8299" s="9" t="s">
        <v>176</v>
      </c>
      <c r="D8299" s="9" t="s">
        <v>18009</v>
      </c>
      <c r="E8299" s="10" t="str">
        <f>HYPERLINK("https://twitter.com/OnlineCarReview/status/724460621685645313","724460621685645313")</f>
        <v>724460621685645313</v>
      </c>
      <c r="F8299" s="11" t="s">
        <v>34</v>
      </c>
      <c r="G8299" s="11">
        <v>840</v>
      </c>
      <c r="H8299" s="11">
        <v>568</v>
      </c>
      <c r="I8299" s="11">
        <v>0</v>
      </c>
      <c r="J8299" s="11">
        <v>0</v>
      </c>
      <c r="K8299" s="11" t="s">
        <v>21</v>
      </c>
      <c r="L8299" s="7">
        <v>42282.979201388887</v>
      </c>
      <c r="M8299" s="12"/>
      <c r="N8299" s="12" t="s">
        <v>178</v>
      </c>
      <c r="O8299" s="10" t="str">
        <f t="shared" ref="O8299:O8301" si="870">HYPERLINK("https://pbs.twimg.com/profile_images/652871584131092480/QA_B6SBO_normal.jpg","View")</f>
        <v>View</v>
      </c>
      <c r="P8299" s="11"/>
    </row>
    <row r="8300" spans="1:16" ht="12.75" x14ac:dyDescent="0.35">
      <c r="A8300" s="7">
        <v>42485.431087962963</v>
      </c>
      <c r="B8300" s="8" t="str">
        <f t="shared" si="869"/>
        <v>@OnlineCarReview</v>
      </c>
      <c r="C8300" s="9" t="s">
        <v>176</v>
      </c>
      <c r="D8300" s="9" t="s">
        <v>18010</v>
      </c>
      <c r="E8300" s="10" t="str">
        <f>HYPERLINK("https://twitter.com/OnlineCarReview/status/724460622469951489","724460622469951489")</f>
        <v>724460622469951489</v>
      </c>
      <c r="F8300" s="11" t="s">
        <v>34</v>
      </c>
      <c r="G8300" s="11">
        <v>840</v>
      </c>
      <c r="H8300" s="11">
        <v>568</v>
      </c>
      <c r="I8300" s="11">
        <v>0</v>
      </c>
      <c r="J8300" s="11">
        <v>0</v>
      </c>
      <c r="K8300" s="11" t="s">
        <v>21</v>
      </c>
      <c r="L8300" s="7">
        <v>42282.979201388887</v>
      </c>
      <c r="M8300" s="12"/>
      <c r="N8300" s="12" t="s">
        <v>178</v>
      </c>
      <c r="O8300" s="10" t="str">
        <f t="shared" si="870"/>
        <v>View</v>
      </c>
      <c r="P8300" s="11"/>
    </row>
    <row r="8301" spans="1:16" ht="12.75" x14ac:dyDescent="0.35">
      <c r="A8301" s="7">
        <v>42485.431099537032</v>
      </c>
      <c r="B8301" s="8" t="str">
        <f t="shared" si="869"/>
        <v>@OnlineCarReview</v>
      </c>
      <c r="C8301" s="9" t="s">
        <v>176</v>
      </c>
      <c r="D8301" s="9" t="s">
        <v>18011</v>
      </c>
      <c r="E8301" s="10" t="str">
        <f>HYPERLINK("https://twitter.com/OnlineCarReview/status/724460623258505216","724460623258505216")</f>
        <v>724460623258505216</v>
      </c>
      <c r="F8301" s="11" t="s">
        <v>34</v>
      </c>
      <c r="G8301" s="11">
        <v>840</v>
      </c>
      <c r="H8301" s="11">
        <v>568</v>
      </c>
      <c r="I8301" s="11">
        <v>0</v>
      </c>
      <c r="J8301" s="11">
        <v>0</v>
      </c>
      <c r="K8301" s="11" t="s">
        <v>21</v>
      </c>
      <c r="L8301" s="7">
        <v>42282.979201388887</v>
      </c>
      <c r="M8301" s="12"/>
      <c r="N8301" s="12" t="s">
        <v>178</v>
      </c>
      <c r="O8301" s="10" t="str">
        <f t="shared" si="870"/>
        <v>View</v>
      </c>
      <c r="P8301" s="11"/>
    </row>
    <row r="8302" spans="1:16" ht="12.75" x14ac:dyDescent="0.35">
      <c r="A8302" s="7">
        <v>42485.434293981481</v>
      </c>
      <c r="B8302" s="8" t="str">
        <f>HYPERLINK("https://twitter.com/KeithDMcMurdo","@KeithDMcMurdo")</f>
        <v>@KeithDMcMurdo</v>
      </c>
      <c r="C8302" s="9" t="s">
        <v>18012</v>
      </c>
      <c r="D8302" s="9" t="s">
        <v>17746</v>
      </c>
      <c r="E8302" s="10" t="str">
        <f>HYPERLINK("https://twitter.com/KeithDMcMurdo/status/724461782736101378","724461782736101378")</f>
        <v>724461782736101378</v>
      </c>
      <c r="F8302" s="11" t="s">
        <v>91</v>
      </c>
      <c r="G8302" s="11">
        <v>1413</v>
      </c>
      <c r="H8302" s="11">
        <v>2348</v>
      </c>
      <c r="I8302" s="11">
        <v>3</v>
      </c>
      <c r="J8302" s="11">
        <v>0</v>
      </c>
      <c r="K8302" s="11" t="s">
        <v>21</v>
      </c>
      <c r="L8302" s="7">
        <v>41760.308483796296</v>
      </c>
      <c r="M8302" s="12" t="s">
        <v>18013</v>
      </c>
      <c r="N8302" s="12"/>
      <c r="O8302" s="10" t="str">
        <f>HYPERLINK("https://pbs.twimg.com/profile_images/461938832338731008/ilnQ_LK-_normal.jpeg","View")</f>
        <v>View</v>
      </c>
      <c r="P8302" s="11"/>
    </row>
    <row r="8303" spans="1:16" ht="12.75" x14ac:dyDescent="0.35">
      <c r="A8303" s="7">
        <v>42485.438310185185</v>
      </c>
      <c r="B8303" s="8" t="str">
        <f>HYPERLINK("https://twitter.com/Vantigosf","@Vantigosf")</f>
        <v>@Vantigosf</v>
      </c>
      <c r="C8303" s="9" t="s">
        <v>12622</v>
      </c>
      <c r="D8303" s="9" t="s">
        <v>18014</v>
      </c>
      <c r="E8303" s="10" t="str">
        <f>HYPERLINK("https://twitter.com/Vantigosf/status/724463239065563136","724463239065563136")</f>
        <v>724463239065563136</v>
      </c>
      <c r="F8303" s="11" t="s">
        <v>20</v>
      </c>
      <c r="G8303" s="11">
        <v>371</v>
      </c>
      <c r="H8303" s="11">
        <v>252</v>
      </c>
      <c r="I8303" s="11">
        <v>1</v>
      </c>
      <c r="J8303" s="11">
        <v>3</v>
      </c>
      <c r="K8303" s="11" t="s">
        <v>21</v>
      </c>
      <c r="L8303" s="7">
        <v>41389.95957175926</v>
      </c>
      <c r="M8303" s="12" t="s">
        <v>155</v>
      </c>
      <c r="N8303" s="12" t="s">
        <v>12624</v>
      </c>
      <c r="O8303" s="10" t="str">
        <f>HYPERLINK("https://pbs.twimg.com/profile_images/378800000324328510/d07282df6f49ca608372edd52852d8f3_normal.jpeg","View")</f>
        <v>View</v>
      </c>
      <c r="P8303" s="11"/>
    </row>
    <row r="8304" spans="1:16" ht="12.75" x14ac:dyDescent="0.35">
      <c r="A8304" s="7">
        <v>42485.438425925924</v>
      </c>
      <c r="B8304" s="8" t="str">
        <f>HYPERLINK("https://twitter.com/Vital_Hydro","@Vital_Hydro")</f>
        <v>@Vital_Hydro</v>
      </c>
      <c r="C8304" s="9" t="s">
        <v>7318</v>
      </c>
      <c r="D8304" s="9" t="s">
        <v>18015</v>
      </c>
      <c r="E8304" s="10" t="str">
        <f>HYPERLINK("https://twitter.com/Vital_Hydro/status/724463281260367872","724463281260367872")</f>
        <v>724463281260367872</v>
      </c>
      <c r="F8304" s="11" t="s">
        <v>7320</v>
      </c>
      <c r="G8304" s="11">
        <v>64</v>
      </c>
      <c r="H8304" s="11">
        <v>212</v>
      </c>
      <c r="I8304" s="11">
        <v>0</v>
      </c>
      <c r="J8304" s="11">
        <v>0</v>
      </c>
      <c r="K8304" s="11" t="s">
        <v>21</v>
      </c>
      <c r="L8304" s="7">
        <v>41942.036898148144</v>
      </c>
      <c r="M8304" s="12" t="s">
        <v>7321</v>
      </c>
      <c r="N8304" s="12" t="s">
        <v>7322</v>
      </c>
      <c r="O8304" s="10" t="str">
        <f>HYPERLINK("https://pbs.twimg.com/profile_images/527543470005964800/j2iA1fA8_normal.jpeg","View")</f>
        <v>View</v>
      </c>
      <c r="P8304" s="11"/>
    </row>
    <row r="8305" spans="1:16" ht="12.75" x14ac:dyDescent="0.35">
      <c r="A8305" s="7">
        <v>42485.439155092594</v>
      </c>
      <c r="B8305" s="8" t="str">
        <f>HYPERLINK("https://twitter.com/cmsGOMEX","@cmsGOMEX")</f>
        <v>@cmsGOMEX</v>
      </c>
      <c r="C8305" s="9" t="s">
        <v>2519</v>
      </c>
      <c r="D8305" s="9" t="s">
        <v>18016</v>
      </c>
      <c r="E8305" s="10" t="str">
        <f>HYPERLINK("https://twitter.com/cmsGOMEX/status/724463543282741248","724463543282741248")</f>
        <v>724463543282741248</v>
      </c>
      <c r="F8305" s="11" t="s">
        <v>43</v>
      </c>
      <c r="G8305" s="11">
        <v>652</v>
      </c>
      <c r="H8305" s="11">
        <v>462</v>
      </c>
      <c r="I8305" s="11">
        <v>0</v>
      </c>
      <c r="J8305" s="11">
        <v>0</v>
      </c>
      <c r="K8305" s="11" t="s">
        <v>21</v>
      </c>
      <c r="L8305" s="7">
        <v>39983.775879629626</v>
      </c>
      <c r="M8305" s="12" t="s">
        <v>1116</v>
      </c>
      <c r="N8305" s="12" t="s">
        <v>2521</v>
      </c>
      <c r="O8305" s="10" t="str">
        <f>HYPERLINK("https://pbs.twimg.com/profile_images/472298206483607552/UogAMiRI_normal.png","View")</f>
        <v>View</v>
      </c>
      <c r="P8305" s="11"/>
    </row>
    <row r="8306" spans="1:16" ht="12.75" x14ac:dyDescent="0.35">
      <c r="A8306" s="7">
        <v>42485.439988425926</v>
      </c>
      <c r="B8306" s="8" t="str">
        <f>HYPERLINK("https://twitter.com/VolkswagenPost","@VolkswagenPost")</f>
        <v>@VolkswagenPost</v>
      </c>
      <c r="C8306" s="9" t="s">
        <v>321</v>
      </c>
      <c r="D8306" s="9" t="s">
        <v>18017</v>
      </c>
      <c r="E8306" s="10" t="str">
        <f>HYPERLINK("https://twitter.com/VolkswagenPost/status/724463847281565696","724463847281565696")</f>
        <v>724463847281565696</v>
      </c>
      <c r="F8306" s="11" t="s">
        <v>34</v>
      </c>
      <c r="G8306" s="11">
        <v>571</v>
      </c>
      <c r="H8306" s="11">
        <v>446</v>
      </c>
      <c r="I8306" s="11">
        <v>0</v>
      </c>
      <c r="J8306" s="11">
        <v>0</v>
      </c>
      <c r="K8306" s="11" t="s">
        <v>21</v>
      </c>
      <c r="L8306" s="7">
        <v>41940.618379629632</v>
      </c>
      <c r="M8306" s="12"/>
      <c r="N8306" s="12"/>
      <c r="O8306" s="10" t="str">
        <f>HYPERLINK("https://pbs.twimg.com/profile_images/530071272881803264/a_jcCmPZ_normal.png","View")</f>
        <v>View</v>
      </c>
      <c r="P8306" s="11"/>
    </row>
    <row r="8307" spans="1:16" ht="12.75" x14ac:dyDescent="0.35">
      <c r="A8307" s="7">
        <v>42485.440671296295</v>
      </c>
      <c r="B8307" s="8" t="str">
        <f>HYPERLINK("https://twitter.com/AS_AppleDaily","@AS_AppleDaily")</f>
        <v>@AS_AppleDaily</v>
      </c>
      <c r="C8307" s="9" t="s">
        <v>18018</v>
      </c>
      <c r="D8307" s="9" t="s">
        <v>18019</v>
      </c>
      <c r="E8307" s="10" t="str">
        <f>HYPERLINK("https://twitter.com/AS_AppleDaily/status/724464093269123072","724464093269123072")</f>
        <v>724464093269123072</v>
      </c>
      <c r="F8307" s="11" t="s">
        <v>63</v>
      </c>
      <c r="G8307" s="11">
        <v>142</v>
      </c>
      <c r="H8307" s="11">
        <v>1</v>
      </c>
      <c r="I8307" s="11">
        <v>1</v>
      </c>
      <c r="J8307" s="11">
        <v>0</v>
      </c>
      <c r="K8307" s="11" t="s">
        <v>21</v>
      </c>
      <c r="L8307" s="7">
        <v>42429.922800925924</v>
      </c>
      <c r="M8307" s="12" t="s">
        <v>18020</v>
      </c>
      <c r="N8307" s="12" t="s">
        <v>18021</v>
      </c>
      <c r="O8307" s="10" t="str">
        <f>HYPERLINK("https://pbs.twimg.com/profile_images/711534498765115392/I7LaS622_normal.jpg","View")</f>
        <v>View</v>
      </c>
      <c r="P8307" s="11"/>
    </row>
    <row r="8308" spans="1:16" ht="12.75" x14ac:dyDescent="0.35">
      <c r="A8308" s="7">
        <v>42485.440729166672</v>
      </c>
      <c r="B8308" s="8" t="str">
        <f>HYPERLINK("https://twitter.com/stevehui","@stevehui")</f>
        <v>@stevehui</v>
      </c>
      <c r="C8308" s="9" t="s">
        <v>18022</v>
      </c>
      <c r="D8308" s="9" t="s">
        <v>18023</v>
      </c>
      <c r="E8308" s="10" t="str">
        <f>HYPERLINK("https://twitter.com/stevehui/status/724464115129802753","724464115129802753")</f>
        <v>724464115129802753</v>
      </c>
      <c r="F8308" s="11" t="s">
        <v>63</v>
      </c>
      <c r="G8308" s="11">
        <v>142</v>
      </c>
      <c r="H8308" s="11">
        <v>42</v>
      </c>
      <c r="I8308" s="11">
        <v>1</v>
      </c>
      <c r="J8308" s="11">
        <v>0</v>
      </c>
      <c r="K8308" s="11" t="s">
        <v>21</v>
      </c>
      <c r="L8308" s="7">
        <v>40198.857662037037</v>
      </c>
      <c r="M8308" s="12" t="s">
        <v>9080</v>
      </c>
      <c r="N8308" s="12"/>
      <c r="O8308" s="10" t="str">
        <f>HYPERLINK("https://pbs.twimg.com/profile_images/1254660487/P2243919_normal.jpg","View")</f>
        <v>View</v>
      </c>
      <c r="P8308" s="11"/>
    </row>
    <row r="8309" spans="1:16" ht="12.75" x14ac:dyDescent="0.35">
      <c r="A8309" s="7">
        <v>42485.444189814814</v>
      </c>
      <c r="B8309" s="8" t="str">
        <f>HYPERLINK("https://twitter.com/hashtagvanlife","@hashtagvanlife")</f>
        <v>@hashtagvanlife</v>
      </c>
      <c r="C8309" s="9" t="s">
        <v>187</v>
      </c>
      <c r="D8309" s="9" t="s">
        <v>18024</v>
      </c>
      <c r="E8309" s="10" t="str">
        <f>HYPERLINK("https://twitter.com/hashtagvanlife/status/724465370099257344","724465370099257344")</f>
        <v>724465370099257344</v>
      </c>
      <c r="F8309" s="11" t="s">
        <v>189</v>
      </c>
      <c r="G8309" s="11">
        <v>1033</v>
      </c>
      <c r="H8309" s="11">
        <v>29</v>
      </c>
      <c r="I8309" s="11">
        <v>1</v>
      </c>
      <c r="J8309" s="11">
        <v>0</v>
      </c>
      <c r="K8309" s="11" t="s">
        <v>21</v>
      </c>
      <c r="L8309" s="7">
        <v>42289.994583333333</v>
      </c>
      <c r="M8309" s="12"/>
      <c r="N8309" s="12" t="s">
        <v>190</v>
      </c>
      <c r="O8309" s="10" t="str">
        <f>HYPERLINK("https://pbs.twimg.com/profile_images/653637535545995264/gHuXQ5Bt_normal.jpg","View")</f>
        <v>View</v>
      </c>
      <c r="P8309" s="11"/>
    </row>
    <row r="8310" spans="1:16" ht="12.75" x14ac:dyDescent="0.35">
      <c r="A8310" s="7">
        <v>42485.444490740745</v>
      </c>
      <c r="B8310" s="8" t="str">
        <f t="shared" ref="B8310:B8311" si="871">HYPERLINK("https://twitter.com/mario_skater","@mario_skater")</f>
        <v>@mario_skater</v>
      </c>
      <c r="C8310" s="9" t="s">
        <v>18025</v>
      </c>
      <c r="D8310" s="9" t="s">
        <v>18026</v>
      </c>
      <c r="E8310" s="10" t="str">
        <f>HYPERLINK("https://twitter.com/mario_skater/status/724465477850902528","724465477850902528")</f>
        <v>724465477850902528</v>
      </c>
      <c r="F8310" s="11" t="s">
        <v>114</v>
      </c>
      <c r="G8310" s="11">
        <v>167</v>
      </c>
      <c r="H8310" s="11">
        <v>221</v>
      </c>
      <c r="I8310" s="11">
        <v>0</v>
      </c>
      <c r="J8310" s="11">
        <v>0</v>
      </c>
      <c r="K8310" s="11" t="s">
        <v>21</v>
      </c>
      <c r="L8310" s="7">
        <v>40107.14197916667</v>
      </c>
      <c r="M8310" s="12" t="s">
        <v>1622</v>
      </c>
      <c r="N8310" s="12" t="s">
        <v>18027</v>
      </c>
      <c r="O8310" s="10" t="str">
        <f t="shared" ref="O8310:O8311" si="872">HYPERLINK("https://pbs.twimg.com/profile_images/718430597354532864/PZG1fgJb_normal.jpg","View")</f>
        <v>View</v>
      </c>
      <c r="P8310" s="11"/>
    </row>
    <row r="8311" spans="1:16" ht="12.75" x14ac:dyDescent="0.35">
      <c r="A8311" s="7">
        <v>42485.444548611107</v>
      </c>
      <c r="B8311" s="8" t="str">
        <f t="shared" si="871"/>
        <v>@mario_skater</v>
      </c>
      <c r="C8311" s="9" t="s">
        <v>18025</v>
      </c>
      <c r="D8311" s="9" t="s">
        <v>18028</v>
      </c>
      <c r="E8311" s="10" t="str">
        <f>HYPERLINK("https://twitter.com/mario_skater/status/724465499690643457","724465499690643457")</f>
        <v>724465499690643457</v>
      </c>
      <c r="F8311" s="11" t="s">
        <v>68</v>
      </c>
      <c r="G8311" s="11">
        <v>167</v>
      </c>
      <c r="H8311" s="11">
        <v>221</v>
      </c>
      <c r="I8311" s="11">
        <v>0</v>
      </c>
      <c r="J8311" s="11">
        <v>0</v>
      </c>
      <c r="K8311" s="11" t="s">
        <v>21</v>
      </c>
      <c r="L8311" s="7">
        <v>40107.14197916667</v>
      </c>
      <c r="M8311" s="12" t="s">
        <v>1622</v>
      </c>
      <c r="N8311" s="12" t="s">
        <v>18027</v>
      </c>
      <c r="O8311" s="10" t="str">
        <f t="shared" si="872"/>
        <v>View</v>
      </c>
      <c r="P8311" s="11"/>
    </row>
    <row r="8312" spans="1:16" ht="12.75" x14ac:dyDescent="0.35">
      <c r="A8312" s="7">
        <v>42485.446689814809</v>
      </c>
      <c r="B8312" s="8" t="str">
        <f>HYPERLINK("https://twitter.com/Fulch87","@Fulch87")</f>
        <v>@Fulch87</v>
      </c>
      <c r="C8312" s="9" t="s">
        <v>18029</v>
      </c>
      <c r="D8312" s="9" t="s">
        <v>18030</v>
      </c>
      <c r="E8312" s="10" t="str">
        <f>HYPERLINK("https://twitter.com/Fulch87/status/724466275045486592","724466275045486592")</f>
        <v>724466275045486592</v>
      </c>
      <c r="F8312" s="11" t="s">
        <v>20</v>
      </c>
      <c r="G8312" s="11">
        <v>198</v>
      </c>
      <c r="H8312" s="11">
        <v>814</v>
      </c>
      <c r="I8312" s="11">
        <v>0</v>
      </c>
      <c r="J8312" s="11">
        <v>0</v>
      </c>
      <c r="K8312" s="11" t="s">
        <v>21</v>
      </c>
      <c r="L8312" s="7">
        <v>41165.012800925928</v>
      </c>
      <c r="M8312" s="12" t="s">
        <v>17592</v>
      </c>
      <c r="N8312" s="12" t="s">
        <v>18031</v>
      </c>
      <c r="O8312" s="10" t="str">
        <f>HYPERLINK("https://pbs.twimg.com/profile_images/523189174565105664/-77bYbwO_normal.jpeg","View")</f>
        <v>View</v>
      </c>
      <c r="P8312" s="11"/>
    </row>
    <row r="8313" spans="1:16" ht="12.75" x14ac:dyDescent="0.35">
      <c r="A8313" s="7">
        <v>42485.449456018519</v>
      </c>
      <c r="B8313" s="8" t="str">
        <f>HYPERLINK("https://twitter.com/vwgroup_en","@vwgroup_en")</f>
        <v>@vwgroup_en</v>
      </c>
      <c r="C8313" s="9" t="s">
        <v>7462</v>
      </c>
      <c r="D8313" s="9" t="s">
        <v>17830</v>
      </c>
      <c r="E8313" s="10" t="str">
        <f>HYPERLINK("https://twitter.com/vwgroup_en/status/724467275273801728","724467275273801728")</f>
        <v>724467275273801728</v>
      </c>
      <c r="F8313" s="11" t="s">
        <v>152</v>
      </c>
      <c r="G8313" s="11">
        <v>58102</v>
      </c>
      <c r="H8313" s="11">
        <v>366</v>
      </c>
      <c r="I8313" s="11">
        <v>15</v>
      </c>
      <c r="J8313" s="11">
        <v>0</v>
      </c>
      <c r="K8313" s="11" t="s">
        <v>21</v>
      </c>
      <c r="L8313" s="7">
        <v>42041.640034722222</v>
      </c>
      <c r="M8313" s="12" t="s">
        <v>1687</v>
      </c>
      <c r="N8313" s="12" t="s">
        <v>7464</v>
      </c>
      <c r="O8313" s="10" t="str">
        <f>HYPERLINK("https://pbs.twimg.com/profile_images/666952430177935362/T46eVne2_normal.png","View")</f>
        <v>View</v>
      </c>
      <c r="P8313" s="11"/>
    </row>
    <row r="8314" spans="1:16" ht="12.75" x14ac:dyDescent="0.35">
      <c r="A8314" s="7">
        <v>42485.451157407406</v>
      </c>
      <c r="B8314" s="8" t="str">
        <f>HYPERLINK("https://twitter.com/ATHOSMONT","@ATHOSMONT")</f>
        <v>@ATHOSMONT</v>
      </c>
      <c r="C8314" s="9" t="s">
        <v>18032</v>
      </c>
      <c r="D8314" s="9" t="s">
        <v>18033</v>
      </c>
      <c r="E8314" s="10" t="str">
        <f>HYPERLINK("https://twitter.com/ATHOSMONT/status/724467892230574081","724467892230574081")</f>
        <v>724467892230574081</v>
      </c>
      <c r="F8314" s="11" t="s">
        <v>48</v>
      </c>
      <c r="G8314" s="11">
        <v>438</v>
      </c>
      <c r="H8314" s="11">
        <v>2101</v>
      </c>
      <c r="I8314" s="11">
        <v>0</v>
      </c>
      <c r="J8314" s="11">
        <v>0</v>
      </c>
      <c r="K8314" s="11" t="s">
        <v>21</v>
      </c>
      <c r="L8314" s="7">
        <v>40245.183958333335</v>
      </c>
      <c r="M8314" s="12"/>
      <c r="N8314" s="12"/>
      <c r="O8314" s="10" t="str">
        <f>HYPERLINK("https://pbs.twimg.com/profile_images/640063278882799616/UlUr00Sr_normal.jpg","View")</f>
        <v>View</v>
      </c>
      <c r="P8314" s="11"/>
    </row>
    <row r="8315" spans="1:16" ht="12.75" x14ac:dyDescent="0.35">
      <c r="A8315" s="7">
        <v>42485.451388888891</v>
      </c>
      <c r="B8315" s="8" t="str">
        <f>HYPERLINK("https://twitter.com/andrew_amanya","@andrew_amanya")</f>
        <v>@andrew_amanya</v>
      </c>
      <c r="C8315" s="9" t="s">
        <v>18034</v>
      </c>
      <c r="D8315" s="9" t="s">
        <v>17830</v>
      </c>
      <c r="E8315" s="10" t="str">
        <f>HYPERLINK("https://twitter.com/andrew_amanya/status/724467979455442944","724467979455442944")</f>
        <v>724467979455442944</v>
      </c>
      <c r="F8315" s="11" t="s">
        <v>48</v>
      </c>
      <c r="G8315" s="11">
        <v>92</v>
      </c>
      <c r="H8315" s="11">
        <v>171</v>
      </c>
      <c r="I8315" s="11">
        <v>15</v>
      </c>
      <c r="J8315" s="11">
        <v>0</v>
      </c>
      <c r="K8315" s="11" t="s">
        <v>21</v>
      </c>
      <c r="L8315" s="7">
        <v>41508.557129629626</v>
      </c>
      <c r="M8315" s="12" t="s">
        <v>18035</v>
      </c>
      <c r="N8315" s="12"/>
      <c r="O8315" s="10" t="str">
        <f>HYPERLINK("https://pbs.twimg.com/profile_images/687590151506235392/LImmacKS_normal.jpg","View")</f>
        <v>View</v>
      </c>
      <c r="P8315" s="11"/>
    </row>
    <row r="8316" spans="1:16" ht="12.75" x14ac:dyDescent="0.35">
      <c r="A8316" s="7">
        <v>42485.452164351853</v>
      </c>
      <c r="B8316" s="8" t="str">
        <f>HYPERLINK("https://twitter.com/MonogamieRockt","@MonogamieRockt")</f>
        <v>@MonogamieRockt</v>
      </c>
      <c r="C8316" s="9" t="s">
        <v>18036</v>
      </c>
      <c r="D8316" s="9" t="s">
        <v>18037</v>
      </c>
      <c r="E8316" s="10" t="str">
        <f>HYPERLINK("https://twitter.com/MonogamieRockt/status/724468259815350272","724468259815350272")</f>
        <v>724468259815350272</v>
      </c>
      <c r="F8316" s="11" t="s">
        <v>48</v>
      </c>
      <c r="G8316" s="11">
        <v>143</v>
      </c>
      <c r="H8316" s="11">
        <v>268</v>
      </c>
      <c r="I8316" s="11">
        <v>0</v>
      </c>
      <c r="J8316" s="11">
        <v>0</v>
      </c>
      <c r="K8316" s="11" t="s">
        <v>21</v>
      </c>
      <c r="L8316" s="7">
        <v>41658.973749999997</v>
      </c>
      <c r="M8316" s="12"/>
      <c r="N8316" s="12" t="s">
        <v>18038</v>
      </c>
      <c r="O8316" s="10" t="str">
        <f>HYPERLINK("https://pbs.twimg.com/profile_images/602761581538222080/_uT8yozJ_normal.jpg","View")</f>
        <v>View</v>
      </c>
      <c r="P8316" s="11"/>
    </row>
    <row r="8317" spans="1:16" ht="12.75" x14ac:dyDescent="0.35">
      <c r="A8317" s="7">
        <v>42485.454259259262</v>
      </c>
      <c r="B8317" s="8" t="str">
        <f>HYPERLINK("https://twitter.com/BriardSebastien","@BriardSebastien")</f>
        <v>@BriardSebastien</v>
      </c>
      <c r="C8317" s="9" t="s">
        <v>18039</v>
      </c>
      <c r="D8317" s="9" t="s">
        <v>17859</v>
      </c>
      <c r="E8317" s="10" t="str">
        <f>HYPERLINK("https://twitter.com/BriardSebastien/status/724469016761405442","724469016761405442")</f>
        <v>724469016761405442</v>
      </c>
      <c r="F8317" s="11" t="s">
        <v>2154</v>
      </c>
      <c r="G8317" s="11">
        <v>56</v>
      </c>
      <c r="H8317" s="11">
        <v>196</v>
      </c>
      <c r="I8317" s="11">
        <v>13</v>
      </c>
      <c r="J8317" s="11">
        <v>0</v>
      </c>
      <c r="K8317" s="11" t="s">
        <v>21</v>
      </c>
      <c r="L8317" s="7">
        <v>42112.603275462963</v>
      </c>
      <c r="M8317" s="12" t="s">
        <v>2427</v>
      </c>
      <c r="N8317" s="12" t="s">
        <v>18040</v>
      </c>
      <c r="O8317" s="10" t="str">
        <f>HYPERLINK("https://pbs.twimg.com/profile_images/692720660016136193/iach6pOV_normal.jpg","View")</f>
        <v>View</v>
      </c>
      <c r="P8317" s="11"/>
    </row>
    <row r="8318" spans="1:16" ht="12.75" x14ac:dyDescent="0.35">
      <c r="A8318" s="7">
        <v>42485.454641203702</v>
      </c>
      <c r="B8318" s="8" t="str">
        <f>HYPERLINK("https://twitter.com/vwpress_de","@vwpress_de")</f>
        <v>@vwpress_de</v>
      </c>
      <c r="C8318" s="9" t="s">
        <v>1685</v>
      </c>
      <c r="D8318" s="9" t="s">
        <v>18041</v>
      </c>
      <c r="E8318" s="10" t="str">
        <f>HYPERLINK("https://twitter.com/vwpress_de/status/724469156091969537","724469156091969537")</f>
        <v>724469156091969537</v>
      </c>
      <c r="F8318" s="11" t="s">
        <v>152</v>
      </c>
      <c r="G8318" s="11">
        <v>5911</v>
      </c>
      <c r="H8318" s="11">
        <v>610</v>
      </c>
      <c r="I8318" s="11">
        <v>0</v>
      </c>
      <c r="J8318" s="11">
        <v>0</v>
      </c>
      <c r="K8318" s="11" t="s">
        <v>21</v>
      </c>
      <c r="L8318" s="7">
        <v>42041.830381944441</v>
      </c>
      <c r="M8318" s="12" t="s">
        <v>1690</v>
      </c>
      <c r="N8318" s="12" t="s">
        <v>1691</v>
      </c>
      <c r="O8318" s="10" t="str">
        <f>HYPERLINK("https://pbs.twimg.com/profile_images/682117656502222848/Ge7YeAF3_normal.png","View")</f>
        <v>View</v>
      </c>
      <c r="P8318" s="11"/>
    </row>
    <row r="8319" spans="1:16" ht="12.75" x14ac:dyDescent="0.35">
      <c r="A8319" s="7">
        <v>42485.454895833333</v>
      </c>
      <c r="B8319" s="8" t="str">
        <f>HYPERLINK("https://twitter.com/chi78932907","@chi78932907")</f>
        <v>@chi78932907</v>
      </c>
      <c r="C8319" s="9" t="s">
        <v>18042</v>
      </c>
      <c r="D8319" s="9" t="s">
        <v>17830</v>
      </c>
      <c r="E8319" s="10" t="str">
        <f>HYPERLINK("https://twitter.com/chi78932907/status/724469246701375492","724469246701375492")</f>
        <v>724469246701375492</v>
      </c>
      <c r="F8319" s="11" t="s">
        <v>48</v>
      </c>
      <c r="G8319" s="11">
        <v>445</v>
      </c>
      <c r="H8319" s="11">
        <v>841</v>
      </c>
      <c r="I8319" s="11">
        <v>15</v>
      </c>
      <c r="J8319" s="11">
        <v>0</v>
      </c>
      <c r="K8319" s="11" t="s">
        <v>21</v>
      </c>
      <c r="L8319" s="7">
        <v>42202.695509259254</v>
      </c>
      <c r="M8319" s="12"/>
      <c r="N8319" s="12"/>
      <c r="O8319" s="10" t="str">
        <f>HYPERLINK("https://pbs.twimg.com/profile_images/720865866548514817/5u1sM5YS_normal.jpg","View")</f>
        <v>View</v>
      </c>
      <c r="P8319" s="11"/>
    </row>
    <row r="8320" spans="1:16" ht="12.75" x14ac:dyDescent="0.35">
      <c r="A8320" s="7">
        <v>42485.455995370372</v>
      </c>
      <c r="B8320" s="8" t="str">
        <f>HYPERLINK("https://twitter.com/GO_ShengExhaust","@GO_ShengExhaust")</f>
        <v>@GO_ShengExhaust</v>
      </c>
      <c r="C8320" s="9" t="s">
        <v>12969</v>
      </c>
      <c r="D8320" s="9" t="s">
        <v>18043</v>
      </c>
      <c r="E8320" s="10" t="str">
        <f>HYPERLINK("https://twitter.com/GO_ShengExhaust/status/724469646112387073","724469646112387073")</f>
        <v>724469646112387073</v>
      </c>
      <c r="F8320" s="11" t="s">
        <v>43</v>
      </c>
      <c r="G8320" s="11">
        <v>7</v>
      </c>
      <c r="H8320" s="11">
        <v>7</v>
      </c>
      <c r="I8320" s="11">
        <v>0</v>
      </c>
      <c r="J8320" s="11">
        <v>0</v>
      </c>
      <c r="K8320" s="11" t="s">
        <v>21</v>
      </c>
      <c r="L8320" s="7">
        <v>42188.483391203699</v>
      </c>
      <c r="M8320" s="12"/>
      <c r="N8320" s="12"/>
      <c r="O8320" s="10" t="str">
        <f>HYPERLINK("https://pbs.twimg.com/profile_images/639281846556069892/c78Gg9SX_normal.jpg","View")</f>
        <v>View</v>
      </c>
      <c r="P8320" s="11"/>
    </row>
    <row r="8321" spans="1:16" ht="12.75" x14ac:dyDescent="0.35">
      <c r="A8321" s="7">
        <v>42485.456435185188</v>
      </c>
      <c r="B8321" s="8" t="str">
        <f>HYPERLINK("https://twitter.com/nitindas284","@nitindas284")</f>
        <v>@nitindas284</v>
      </c>
      <c r="C8321" s="9" t="s">
        <v>18044</v>
      </c>
      <c r="D8321" s="9" t="s">
        <v>17859</v>
      </c>
      <c r="E8321" s="10" t="str">
        <f>HYPERLINK("https://twitter.com/nitindas284/status/724469804757700608","724469804757700608")</f>
        <v>724469804757700608</v>
      </c>
      <c r="F8321" s="11" t="s">
        <v>48</v>
      </c>
      <c r="G8321" s="11">
        <v>40</v>
      </c>
      <c r="H8321" s="11">
        <v>140</v>
      </c>
      <c r="I8321" s="11">
        <v>13</v>
      </c>
      <c r="J8321" s="11">
        <v>0</v>
      </c>
      <c r="K8321" s="11" t="s">
        <v>21</v>
      </c>
      <c r="L8321" s="7">
        <v>42436.978773148148</v>
      </c>
      <c r="M8321" s="12"/>
      <c r="N8321" s="12"/>
      <c r="O8321" s="10" t="str">
        <f>HYPERLINK("https://pbs.twimg.com/profile_images/706903756676276224/pQh_XehM_normal.jpg","View")</f>
        <v>View</v>
      </c>
      <c r="P8321" s="11"/>
    </row>
    <row r="8322" spans="1:16" ht="12.75" x14ac:dyDescent="0.35">
      <c r="A8322" s="7">
        <v>42485.456516203703</v>
      </c>
      <c r="B8322" s="8" t="str">
        <f>HYPERLINK("https://twitter.com/JamilMamedov","@JamilMamedov")</f>
        <v>@JamilMamedov</v>
      </c>
      <c r="C8322" s="9" t="s">
        <v>18045</v>
      </c>
      <c r="D8322" s="9" t="s">
        <v>17830</v>
      </c>
      <c r="E8322" s="10" t="str">
        <f>HYPERLINK("https://twitter.com/JamilMamedov/status/724469835699236865","724469835699236865")</f>
        <v>724469835699236865</v>
      </c>
      <c r="F8322" s="11" t="s">
        <v>20</v>
      </c>
      <c r="G8322" s="11">
        <v>177</v>
      </c>
      <c r="H8322" s="11">
        <v>336</v>
      </c>
      <c r="I8322" s="11">
        <v>15</v>
      </c>
      <c r="J8322" s="11">
        <v>0</v>
      </c>
      <c r="K8322" s="11" t="s">
        <v>21</v>
      </c>
      <c r="L8322" s="7">
        <v>40912.565960648149</v>
      </c>
      <c r="M8322" s="12" t="s">
        <v>18046</v>
      </c>
      <c r="N8322" s="12" t="s">
        <v>18047</v>
      </c>
      <c r="O8322" s="10" t="str">
        <f>HYPERLINK("https://pbs.twimg.com/profile_images/687887984222449665/wZPB7e4r_normal.jpg","View")</f>
        <v>View</v>
      </c>
      <c r="P8322" s="11"/>
    </row>
    <row r="8323" spans="1:16" ht="12.75" x14ac:dyDescent="0.35">
      <c r="A8323" s="7">
        <v>42485.456574074073</v>
      </c>
      <c r="B8323" s="8" t="str">
        <f>HYPERLINK("https://twitter.com/mannyWHU","@mannyWHU")</f>
        <v>@mannyWHU</v>
      </c>
      <c r="C8323" s="9" t="s">
        <v>18048</v>
      </c>
      <c r="D8323" s="9" t="s">
        <v>18049</v>
      </c>
      <c r="E8323" s="10" t="str">
        <f>HYPERLINK("https://twitter.com/mannyWHU/status/724469855353724930","724469855353724930")</f>
        <v>724469855353724930</v>
      </c>
      <c r="F8323" s="11" t="s">
        <v>367</v>
      </c>
      <c r="G8323" s="11">
        <v>45</v>
      </c>
      <c r="H8323" s="11">
        <v>123</v>
      </c>
      <c r="I8323" s="11">
        <v>0</v>
      </c>
      <c r="J8323" s="11">
        <v>0</v>
      </c>
      <c r="K8323" s="11" t="s">
        <v>21</v>
      </c>
      <c r="L8323" s="7">
        <v>41791.145115740743</v>
      </c>
      <c r="M8323" s="12" t="s">
        <v>18050</v>
      </c>
      <c r="N8323" s="12" t="s">
        <v>18051</v>
      </c>
      <c r="O8323" s="10" t="str">
        <f>HYPERLINK("https://pbs.twimg.com/profile_images/699785904299380740/oGNOYCc5_normal.jpg","View")</f>
        <v>View</v>
      </c>
      <c r="P8323" s="11"/>
    </row>
    <row r="8324" spans="1:16" ht="12.75" x14ac:dyDescent="0.35">
      <c r="A8324" s="7">
        <v>42485.45685185185</v>
      </c>
      <c r="B8324" s="8" t="str">
        <f t="shared" ref="B8324:B8325" si="873">HYPERLINK("https://twitter.com/vwpress_de","@vwpress_de")</f>
        <v>@vwpress_de</v>
      </c>
      <c r="C8324" s="9" t="s">
        <v>1685</v>
      </c>
      <c r="D8324" s="9" t="s">
        <v>18052</v>
      </c>
      <c r="E8324" s="10" t="str">
        <f>HYPERLINK("https://twitter.com/vwpress_de/status/724469955622785024","724469955622785024")</f>
        <v>724469955622785024</v>
      </c>
      <c r="F8324" s="11" t="s">
        <v>152</v>
      </c>
      <c r="G8324" s="11">
        <v>5911</v>
      </c>
      <c r="H8324" s="11">
        <v>610</v>
      </c>
      <c r="I8324" s="11">
        <v>0</v>
      </c>
      <c r="J8324" s="11">
        <v>0</v>
      </c>
      <c r="K8324" s="11" t="s">
        <v>21</v>
      </c>
      <c r="L8324" s="7">
        <v>42041.830381944441</v>
      </c>
      <c r="M8324" s="12" t="s">
        <v>1690</v>
      </c>
      <c r="N8324" s="12" t="s">
        <v>1691</v>
      </c>
      <c r="O8324" s="10" t="str">
        <f t="shared" ref="O8324:O8325" si="874">HYPERLINK("https://pbs.twimg.com/profile_images/682117656502222848/Ge7YeAF3_normal.png","View")</f>
        <v>View</v>
      </c>
      <c r="P8324" s="11"/>
    </row>
    <row r="8325" spans="1:16" ht="12.75" x14ac:dyDescent="0.35">
      <c r="A8325" s="7">
        <v>42485.457662037035</v>
      </c>
      <c r="B8325" s="8" t="str">
        <f t="shared" si="873"/>
        <v>@vwpress_de</v>
      </c>
      <c r="C8325" s="9" t="s">
        <v>1685</v>
      </c>
      <c r="D8325" s="9" t="s">
        <v>18053</v>
      </c>
      <c r="E8325" s="10" t="str">
        <f>HYPERLINK("https://twitter.com/vwpress_de/status/724470249345716224","724470249345716224")</f>
        <v>724470249345716224</v>
      </c>
      <c r="F8325" s="11" t="s">
        <v>152</v>
      </c>
      <c r="G8325" s="11">
        <v>5911</v>
      </c>
      <c r="H8325" s="11">
        <v>610</v>
      </c>
      <c r="I8325" s="11">
        <v>1</v>
      </c>
      <c r="J8325" s="11">
        <v>0</v>
      </c>
      <c r="K8325" s="11" t="s">
        <v>21</v>
      </c>
      <c r="L8325" s="7">
        <v>42041.830381944441</v>
      </c>
      <c r="M8325" s="12" t="s">
        <v>1690</v>
      </c>
      <c r="N8325" s="12" t="s">
        <v>1691</v>
      </c>
      <c r="O8325" s="10" t="str">
        <f t="shared" si="874"/>
        <v>View</v>
      </c>
      <c r="P8325" s="11"/>
    </row>
    <row r="8326" spans="1:16" ht="12.75" x14ac:dyDescent="0.35">
      <c r="A8326" s="7">
        <v>42485.457905092597</v>
      </c>
      <c r="B8326" s="8" t="str">
        <f>HYPERLINK("https://twitter.com/BriardSebastien","@BriardSebastien")</f>
        <v>@BriardSebastien</v>
      </c>
      <c r="C8326" s="9" t="s">
        <v>18039</v>
      </c>
      <c r="D8326" s="9" t="s">
        <v>17830</v>
      </c>
      <c r="E8326" s="10" t="str">
        <f>HYPERLINK("https://twitter.com/BriardSebastien/status/724470337115721729","724470337115721729")</f>
        <v>724470337115721729</v>
      </c>
      <c r="F8326" s="11" t="s">
        <v>2154</v>
      </c>
      <c r="G8326" s="11">
        <v>56</v>
      </c>
      <c r="H8326" s="11">
        <v>196</v>
      </c>
      <c r="I8326" s="11">
        <v>15</v>
      </c>
      <c r="J8326" s="11">
        <v>0</v>
      </c>
      <c r="K8326" s="11" t="s">
        <v>21</v>
      </c>
      <c r="L8326" s="7">
        <v>42112.603275462963</v>
      </c>
      <c r="M8326" s="12" t="s">
        <v>2427</v>
      </c>
      <c r="N8326" s="12" t="s">
        <v>18040</v>
      </c>
      <c r="O8326" s="10" t="str">
        <f>HYPERLINK("https://pbs.twimg.com/profile_images/692720660016136193/iach6pOV_normal.jpg","View")</f>
        <v>View</v>
      </c>
      <c r="P8326" s="11"/>
    </row>
    <row r="8327" spans="1:16" ht="12.75" x14ac:dyDescent="0.35">
      <c r="A8327" s="7">
        <v>42485.458009259259</v>
      </c>
      <c r="B8327" s="8" t="str">
        <f>HYPERLINK("https://twitter.com/RSTOKAR","@RSTOKAR")</f>
        <v>@RSTOKAR</v>
      </c>
      <c r="C8327" s="9" t="s">
        <v>2514</v>
      </c>
      <c r="D8327" s="9" t="s">
        <v>18054</v>
      </c>
      <c r="E8327" s="10" t="str">
        <f>HYPERLINK("https://twitter.com/RSTOKAR/status/724470377959817216","724470377959817216")</f>
        <v>724470377959817216</v>
      </c>
      <c r="F8327" s="11" t="s">
        <v>48</v>
      </c>
      <c r="G8327" s="11">
        <v>149</v>
      </c>
      <c r="H8327" s="11">
        <v>333</v>
      </c>
      <c r="I8327" s="11">
        <v>1</v>
      </c>
      <c r="J8327" s="11">
        <v>0</v>
      </c>
      <c r="K8327" s="11" t="s">
        <v>21</v>
      </c>
      <c r="L8327" s="7">
        <v>41055.080138888887</v>
      </c>
      <c r="M8327" s="12" t="s">
        <v>2515</v>
      </c>
      <c r="N8327" s="12" t="s">
        <v>2516</v>
      </c>
      <c r="O8327" s="10" t="str">
        <f>HYPERLINK("https://pbs.twimg.com/profile_images/3282181310/09912193e3b2ecc229b9028eb0f19def_normal.jpeg","View")</f>
        <v>View</v>
      </c>
      <c r="P8327" s="11"/>
    </row>
    <row r="8328" spans="1:16" ht="12.75" x14ac:dyDescent="0.35">
      <c r="A8328" s="11"/>
      <c r="B8328" s="9"/>
      <c r="C8328" s="9"/>
      <c r="D8328" s="9"/>
      <c r="E8328" s="11"/>
      <c r="F8328" s="11"/>
      <c r="G8328" s="11"/>
      <c r="H8328" s="11"/>
      <c r="I8328" s="11"/>
      <c r="J8328" s="11"/>
      <c r="K8328" s="11"/>
      <c r="L8328" s="11"/>
      <c r="M8328" s="12"/>
      <c r="N8328" s="12"/>
      <c r="O8328" s="11"/>
      <c r="P8328" s="11"/>
    </row>
    <row r="8329" spans="1:16" ht="12.75" x14ac:dyDescent="0.35">
      <c r="A8329" s="11"/>
      <c r="B8329" s="9"/>
      <c r="C8329" s="9"/>
      <c r="D8329" s="9"/>
      <c r="E8329" s="11"/>
      <c r="F8329" s="11"/>
      <c r="G8329" s="11"/>
      <c r="H8329" s="11"/>
      <c r="I8329" s="11"/>
      <c r="J8329" s="11"/>
      <c r="K8329" s="11"/>
      <c r="L8329" s="11"/>
      <c r="M8329" s="12"/>
      <c r="N8329" s="12"/>
      <c r="O8329" s="11"/>
      <c r="P8329" s="11"/>
    </row>
    <row r="8330" spans="1:16" ht="12.75" x14ac:dyDescent="0.35">
      <c r="A8330" s="11"/>
      <c r="B8330" s="9"/>
      <c r="C8330" s="9"/>
      <c r="D8330" s="9"/>
      <c r="E8330" s="11"/>
      <c r="F8330" s="11"/>
      <c r="G8330" s="11"/>
      <c r="H8330" s="11"/>
      <c r="I8330" s="11"/>
      <c r="J8330" s="11"/>
      <c r="K8330" s="11"/>
      <c r="L8330" s="11"/>
      <c r="M8330" s="12"/>
      <c r="N8330" s="12"/>
      <c r="O8330" s="11"/>
      <c r="P8330" s="11"/>
    </row>
    <row r="8331" spans="1:16" ht="12.75" x14ac:dyDescent="0.35">
      <c r="A8331" s="11"/>
      <c r="B8331" s="9"/>
      <c r="C8331" s="9"/>
      <c r="D8331" s="9"/>
      <c r="E8331" s="11"/>
      <c r="F8331" s="11"/>
      <c r="G8331" s="11"/>
      <c r="H8331" s="11"/>
      <c r="I8331" s="11"/>
      <c r="J8331" s="11"/>
      <c r="K8331" s="11"/>
      <c r="L8331" s="11"/>
      <c r="M8331" s="12"/>
      <c r="N8331" s="12"/>
      <c r="O8331" s="11"/>
      <c r="P8331" s="11"/>
    </row>
    <row r="8332" spans="1:16" ht="12.75" x14ac:dyDescent="0.35">
      <c r="A8332" s="11"/>
      <c r="B8332" s="9"/>
      <c r="C8332" s="9"/>
      <c r="D8332" s="9"/>
      <c r="E8332" s="11"/>
      <c r="F8332" s="11"/>
      <c r="G8332" s="11"/>
      <c r="H8332" s="11"/>
      <c r="I8332" s="11"/>
      <c r="J8332" s="11"/>
      <c r="K8332" s="11"/>
      <c r="L8332" s="11"/>
      <c r="M8332" s="12"/>
      <c r="N8332" s="12"/>
      <c r="O8332" s="11"/>
      <c r="P8332" s="11"/>
    </row>
    <row r="8333" spans="1:16" ht="12.75" x14ac:dyDescent="0.35">
      <c r="A8333" s="11"/>
      <c r="B8333" s="9"/>
      <c r="C8333" s="9"/>
      <c r="D8333" s="9"/>
      <c r="E8333" s="11"/>
      <c r="F8333" s="11"/>
      <c r="G8333" s="11"/>
      <c r="H8333" s="11"/>
      <c r="I8333" s="11"/>
      <c r="J8333" s="11"/>
      <c r="K8333" s="11"/>
      <c r="L8333" s="11"/>
      <c r="M8333" s="12"/>
      <c r="N8333" s="12"/>
      <c r="O8333" s="11"/>
      <c r="P8333" s="11"/>
    </row>
    <row r="8334" spans="1:16" ht="12.75" x14ac:dyDescent="0.35">
      <c r="A8334" s="11"/>
      <c r="B8334" s="9"/>
      <c r="C8334" s="9"/>
      <c r="D8334" s="9"/>
      <c r="E8334" s="11"/>
      <c r="F8334" s="11"/>
      <c r="G8334" s="11"/>
      <c r="H8334" s="11"/>
      <c r="I8334" s="11"/>
      <c r="J8334" s="11"/>
      <c r="K8334" s="11"/>
      <c r="L8334" s="11"/>
      <c r="M8334" s="12"/>
      <c r="N8334" s="12"/>
      <c r="O8334" s="11"/>
      <c r="P8334" s="11"/>
    </row>
    <row r="8335" spans="1:16" ht="12.75" x14ac:dyDescent="0.35">
      <c r="A8335" s="11"/>
      <c r="B8335" s="9"/>
      <c r="C8335" s="9"/>
      <c r="D8335" s="9"/>
      <c r="E8335" s="11"/>
      <c r="F8335" s="11"/>
      <c r="G8335" s="11"/>
      <c r="H8335" s="11"/>
      <c r="I8335" s="11"/>
      <c r="J8335" s="11"/>
      <c r="K8335" s="11"/>
      <c r="L8335" s="11"/>
      <c r="M8335" s="12"/>
      <c r="N8335" s="12"/>
      <c r="O8335" s="11"/>
      <c r="P8335" s="11"/>
    </row>
    <row r="8336" spans="1:16" ht="12.75" x14ac:dyDescent="0.35">
      <c r="A8336" s="11"/>
      <c r="B8336" s="9"/>
      <c r="C8336" s="9"/>
      <c r="D8336" s="9"/>
      <c r="E8336" s="11"/>
      <c r="F8336" s="11"/>
      <c r="G8336" s="11"/>
      <c r="H8336" s="11"/>
      <c r="I8336" s="11"/>
      <c r="J8336" s="11"/>
      <c r="K8336" s="11"/>
      <c r="L8336" s="11"/>
      <c r="M8336" s="12"/>
      <c r="N8336" s="12"/>
      <c r="O8336" s="11"/>
      <c r="P8336" s="11"/>
    </row>
    <row r="8337" spans="1:16" ht="12.75" x14ac:dyDescent="0.35">
      <c r="A8337" s="11"/>
      <c r="B8337" s="9"/>
      <c r="C8337" s="9"/>
      <c r="D8337" s="9"/>
      <c r="E8337" s="11"/>
      <c r="F8337" s="11"/>
      <c r="G8337" s="11"/>
      <c r="H8337" s="11"/>
      <c r="I8337" s="11"/>
      <c r="J8337" s="11"/>
      <c r="K8337" s="11"/>
      <c r="L8337" s="11"/>
      <c r="M8337" s="12"/>
      <c r="N8337" s="12"/>
      <c r="O8337" s="11"/>
      <c r="P8337" s="11"/>
    </row>
    <row r="8338" spans="1:16" ht="12.75" x14ac:dyDescent="0.35">
      <c r="A8338" s="11"/>
      <c r="B8338" s="9"/>
      <c r="C8338" s="9"/>
      <c r="D8338" s="9"/>
      <c r="E8338" s="11"/>
      <c r="F8338" s="11"/>
      <c r="G8338" s="11"/>
      <c r="H8338" s="11"/>
      <c r="I8338" s="11"/>
      <c r="J8338" s="11"/>
      <c r="K8338" s="11"/>
      <c r="L8338" s="11"/>
      <c r="M8338" s="12"/>
      <c r="N8338" s="12"/>
      <c r="O8338" s="11"/>
      <c r="P8338" s="11"/>
    </row>
    <row r="8339" spans="1:16" ht="12.75" x14ac:dyDescent="0.35">
      <c r="A8339" s="11"/>
      <c r="B8339" s="9"/>
      <c r="C8339" s="9"/>
      <c r="D8339" s="9"/>
      <c r="E8339" s="11"/>
      <c r="F8339" s="11"/>
      <c r="G8339" s="11"/>
      <c r="H8339" s="11"/>
      <c r="I8339" s="11"/>
      <c r="J8339" s="11"/>
      <c r="K8339" s="11"/>
      <c r="L8339" s="11"/>
      <c r="M8339" s="12"/>
      <c r="N8339" s="12"/>
      <c r="O8339" s="11"/>
      <c r="P8339" s="11"/>
    </row>
    <row r="8340" spans="1:16" ht="12.75" x14ac:dyDescent="0.35">
      <c r="A8340" s="11"/>
      <c r="B8340" s="9"/>
      <c r="C8340" s="9"/>
      <c r="D8340" s="9"/>
      <c r="E8340" s="11"/>
      <c r="F8340" s="11"/>
      <c r="G8340" s="11"/>
      <c r="H8340" s="11"/>
      <c r="I8340" s="11"/>
      <c r="J8340" s="11"/>
      <c r="K8340" s="11"/>
      <c r="L8340" s="11"/>
      <c r="M8340" s="12"/>
      <c r="N8340" s="12"/>
      <c r="O8340" s="11"/>
      <c r="P8340" s="11"/>
    </row>
    <row r="8341" spans="1:16" ht="12.75" x14ac:dyDescent="0.35">
      <c r="A8341" s="11"/>
      <c r="B8341" s="9"/>
      <c r="C8341" s="9"/>
      <c r="D8341" s="9"/>
      <c r="E8341" s="11"/>
      <c r="F8341" s="11"/>
      <c r="G8341" s="11"/>
      <c r="H8341" s="11"/>
      <c r="I8341" s="11"/>
      <c r="J8341" s="11"/>
      <c r="K8341" s="11"/>
      <c r="L8341" s="11"/>
      <c r="M8341" s="12"/>
      <c r="N8341" s="12"/>
      <c r="O8341" s="11"/>
      <c r="P8341" s="11"/>
    </row>
    <row r="8342" spans="1:16" ht="12.75" x14ac:dyDescent="0.35">
      <c r="A8342" s="11"/>
      <c r="B8342" s="9"/>
      <c r="C8342" s="9"/>
      <c r="D8342" s="9"/>
      <c r="E8342" s="11"/>
      <c r="F8342" s="11"/>
      <c r="G8342" s="11"/>
      <c r="H8342" s="11"/>
      <c r="I8342" s="11"/>
      <c r="J8342" s="11"/>
      <c r="K8342" s="11"/>
      <c r="L8342" s="11"/>
      <c r="M8342" s="12"/>
      <c r="N8342" s="12"/>
      <c r="O8342" s="11"/>
      <c r="P8342" s="11"/>
    </row>
    <row r="8343" spans="1:16" ht="12.75" x14ac:dyDescent="0.35">
      <c r="A8343" s="11"/>
      <c r="B8343" s="9"/>
      <c r="C8343" s="9"/>
      <c r="D8343" s="9"/>
      <c r="E8343" s="11"/>
      <c r="F8343" s="11"/>
      <c r="G8343" s="11"/>
      <c r="H8343" s="11"/>
      <c r="I8343" s="11"/>
      <c r="J8343" s="11"/>
      <c r="K8343" s="11"/>
      <c r="L8343" s="11"/>
      <c r="M8343" s="12"/>
      <c r="N8343" s="12"/>
      <c r="O8343" s="11"/>
      <c r="P8343" s="11"/>
    </row>
    <row r="8344" spans="1:16" ht="12.75" x14ac:dyDescent="0.35">
      <c r="A8344" s="11"/>
      <c r="B8344" s="9"/>
      <c r="C8344" s="9"/>
      <c r="D8344" s="9"/>
      <c r="E8344" s="11"/>
      <c r="F8344" s="11"/>
      <c r="G8344" s="11"/>
      <c r="H8344" s="11"/>
      <c r="I8344" s="11"/>
      <c r="J8344" s="11"/>
      <c r="K8344" s="11"/>
      <c r="L8344" s="11"/>
      <c r="M8344" s="12"/>
      <c r="N8344" s="12"/>
      <c r="O8344" s="11"/>
      <c r="P8344" s="11"/>
    </row>
    <row r="8345" spans="1:16" ht="12.75" x14ac:dyDescent="0.35">
      <c r="A8345" s="11"/>
      <c r="B8345" s="9"/>
      <c r="C8345" s="9"/>
      <c r="D8345" s="9"/>
      <c r="E8345" s="11"/>
      <c r="F8345" s="11"/>
      <c r="G8345" s="11"/>
      <c r="H8345" s="11"/>
      <c r="I8345" s="11"/>
      <c r="J8345" s="11"/>
      <c r="K8345" s="11"/>
      <c r="L8345" s="11"/>
      <c r="M8345" s="12"/>
      <c r="N8345" s="12"/>
      <c r="O8345" s="11"/>
      <c r="P8345" s="11"/>
    </row>
    <row r="8346" spans="1:16" ht="12.75" x14ac:dyDescent="0.35">
      <c r="A8346" s="11"/>
      <c r="B8346" s="9"/>
      <c r="C8346" s="9"/>
      <c r="D8346" s="9"/>
      <c r="E8346" s="11"/>
      <c r="F8346" s="11"/>
      <c r="G8346" s="11"/>
      <c r="H8346" s="11"/>
      <c r="I8346" s="11"/>
      <c r="J8346" s="11"/>
      <c r="K8346" s="11"/>
      <c r="L8346" s="11"/>
      <c r="M8346" s="12"/>
      <c r="N8346" s="12"/>
      <c r="O8346" s="11"/>
      <c r="P8346" s="11"/>
    </row>
    <row r="8347" spans="1:16" ht="12.75" x14ac:dyDescent="0.35">
      <c r="A8347" s="11"/>
      <c r="B8347" s="9"/>
      <c r="C8347" s="9"/>
      <c r="D8347" s="9"/>
      <c r="E8347" s="11"/>
      <c r="F8347" s="11"/>
      <c r="G8347" s="11"/>
      <c r="H8347" s="11"/>
      <c r="I8347" s="11"/>
      <c r="J8347" s="11"/>
      <c r="K8347" s="11"/>
      <c r="L8347" s="11"/>
      <c r="M8347" s="12"/>
      <c r="N8347" s="12"/>
      <c r="O8347" s="11"/>
      <c r="P8347" s="11"/>
    </row>
    <row r="8348" spans="1:16" ht="12.75" x14ac:dyDescent="0.35">
      <c r="A8348" s="11"/>
      <c r="B8348" s="9"/>
      <c r="C8348" s="9"/>
      <c r="D8348" s="9"/>
      <c r="E8348" s="11"/>
      <c r="F8348" s="11"/>
      <c r="G8348" s="11"/>
      <c r="H8348" s="11"/>
      <c r="I8348" s="11"/>
      <c r="J8348" s="11"/>
      <c r="K8348" s="11"/>
      <c r="L8348" s="11"/>
      <c r="M8348" s="12"/>
      <c r="N8348" s="12"/>
      <c r="O8348" s="11"/>
      <c r="P8348" s="11"/>
    </row>
    <row r="8349" spans="1:16" ht="12.75" x14ac:dyDescent="0.35">
      <c r="A8349" s="11"/>
      <c r="B8349" s="9"/>
      <c r="C8349" s="9"/>
      <c r="D8349" s="9"/>
      <c r="E8349" s="11"/>
      <c r="F8349" s="11"/>
      <c r="G8349" s="11"/>
      <c r="H8349" s="11"/>
      <c r="I8349" s="11"/>
      <c r="J8349" s="11"/>
      <c r="K8349" s="11"/>
      <c r="L8349" s="11"/>
      <c r="M8349" s="12"/>
      <c r="N8349" s="12"/>
      <c r="O8349" s="11"/>
      <c r="P8349" s="11"/>
    </row>
    <row r="8350" spans="1:16" ht="12.75" x14ac:dyDescent="0.35">
      <c r="A8350" s="11"/>
      <c r="B8350" s="9"/>
      <c r="C8350" s="9"/>
      <c r="D8350" s="9"/>
      <c r="E8350" s="11"/>
      <c r="F8350" s="11"/>
      <c r="G8350" s="11"/>
      <c r="H8350" s="11"/>
      <c r="I8350" s="11"/>
      <c r="J8350" s="11"/>
      <c r="K8350" s="11"/>
      <c r="L8350" s="11"/>
      <c r="M8350" s="12"/>
      <c r="N8350" s="12"/>
      <c r="O8350" s="11"/>
      <c r="P8350" s="11"/>
    </row>
    <row r="8351" spans="1:16" ht="12.75" x14ac:dyDescent="0.35">
      <c r="A8351" s="11"/>
      <c r="B8351" s="9"/>
      <c r="C8351" s="9"/>
      <c r="D8351" s="9"/>
      <c r="E8351" s="11"/>
      <c r="F8351" s="11"/>
      <c r="G8351" s="11"/>
      <c r="H8351" s="11"/>
      <c r="I8351" s="11"/>
      <c r="J8351" s="11"/>
      <c r="K8351" s="11"/>
      <c r="L8351" s="11"/>
      <c r="M8351" s="12"/>
      <c r="N8351" s="12"/>
      <c r="O8351" s="11"/>
      <c r="P8351" s="11"/>
    </row>
    <row r="8352" spans="1:16" ht="12.75" x14ac:dyDescent="0.35">
      <c r="A8352" s="11"/>
      <c r="B8352" s="9"/>
      <c r="C8352" s="9"/>
      <c r="D8352" s="9"/>
      <c r="E8352" s="11"/>
      <c r="F8352" s="11"/>
      <c r="G8352" s="11"/>
      <c r="H8352" s="11"/>
      <c r="I8352" s="11"/>
      <c r="J8352" s="11"/>
      <c r="K8352" s="11"/>
      <c r="L8352" s="11"/>
      <c r="M8352" s="12"/>
      <c r="N8352" s="12"/>
      <c r="O8352" s="11"/>
      <c r="P8352" s="11"/>
    </row>
    <row r="8353" spans="1:16" ht="12.75" x14ac:dyDescent="0.35">
      <c r="A8353" s="11"/>
      <c r="B8353" s="9"/>
      <c r="C8353" s="9"/>
      <c r="D8353" s="9"/>
      <c r="E8353" s="11"/>
      <c r="F8353" s="11"/>
      <c r="G8353" s="11"/>
      <c r="H8353" s="11"/>
      <c r="I8353" s="11"/>
      <c r="J8353" s="11"/>
      <c r="K8353" s="11"/>
      <c r="L8353" s="11"/>
      <c r="M8353" s="12"/>
      <c r="N8353" s="12"/>
      <c r="O8353" s="11"/>
      <c r="P8353" s="11"/>
    </row>
    <row r="8354" spans="1:16" ht="12.75" x14ac:dyDescent="0.35">
      <c r="A8354" s="11"/>
      <c r="B8354" s="9"/>
      <c r="C8354" s="9"/>
      <c r="D8354" s="9"/>
      <c r="E8354" s="11"/>
      <c r="F8354" s="11"/>
      <c r="G8354" s="11"/>
      <c r="H8354" s="11"/>
      <c r="I8354" s="11"/>
      <c r="J8354" s="11"/>
      <c r="K8354" s="11"/>
      <c r="L8354" s="11"/>
      <c r="M8354" s="12"/>
      <c r="N8354" s="12"/>
      <c r="O8354" s="11"/>
      <c r="P8354" s="11"/>
    </row>
    <row r="8355" spans="1:16" ht="12.75" x14ac:dyDescent="0.35">
      <c r="A8355" s="11"/>
      <c r="B8355" s="9"/>
      <c r="C8355" s="9"/>
      <c r="D8355" s="9"/>
      <c r="E8355" s="11"/>
      <c r="F8355" s="11"/>
      <c r="G8355" s="11"/>
      <c r="H8355" s="11"/>
      <c r="I8355" s="11"/>
      <c r="J8355" s="11"/>
      <c r="K8355" s="11"/>
      <c r="L8355" s="11"/>
      <c r="M8355" s="12"/>
      <c r="N8355" s="12"/>
      <c r="O8355" s="11"/>
      <c r="P8355" s="11"/>
    </row>
    <row r="8356" spans="1:16" ht="12.75" x14ac:dyDescent="0.35">
      <c r="A8356" s="11"/>
      <c r="B8356" s="9"/>
      <c r="C8356" s="9"/>
      <c r="D8356" s="9"/>
      <c r="E8356" s="11"/>
      <c r="F8356" s="11"/>
      <c r="G8356" s="11"/>
      <c r="H8356" s="11"/>
      <c r="I8356" s="11"/>
      <c r="J8356" s="11"/>
      <c r="K8356" s="11"/>
      <c r="L8356" s="11"/>
      <c r="M8356" s="12"/>
      <c r="N8356" s="12"/>
      <c r="O8356" s="11"/>
      <c r="P8356" s="11"/>
    </row>
    <row r="8357" spans="1:16" ht="12.75" x14ac:dyDescent="0.35">
      <c r="A8357" s="11"/>
      <c r="B8357" s="9"/>
      <c r="C8357" s="9"/>
      <c r="D8357" s="9"/>
      <c r="E8357" s="11"/>
      <c r="F8357" s="11"/>
      <c r="G8357" s="11"/>
      <c r="H8357" s="11"/>
      <c r="I8357" s="11"/>
      <c r="J8357" s="11"/>
      <c r="K8357" s="11"/>
      <c r="L8357" s="11"/>
      <c r="M8357" s="12"/>
      <c r="N8357" s="12"/>
      <c r="O8357" s="11"/>
      <c r="P8357" s="11"/>
    </row>
    <row r="8358" spans="1:16" ht="12.75" x14ac:dyDescent="0.35">
      <c r="A8358" s="11"/>
      <c r="B8358" s="9"/>
      <c r="C8358" s="9"/>
      <c r="D8358" s="9"/>
      <c r="E8358" s="11"/>
      <c r="F8358" s="11"/>
      <c r="G8358" s="11"/>
      <c r="H8358" s="11"/>
      <c r="I8358" s="11"/>
      <c r="J8358" s="11"/>
      <c r="K8358" s="11"/>
      <c r="L8358" s="11"/>
      <c r="M8358" s="12"/>
      <c r="N8358" s="12"/>
      <c r="O8358" s="11"/>
      <c r="P8358" s="11"/>
    </row>
    <row r="8359" spans="1:16" ht="12.75" x14ac:dyDescent="0.35">
      <c r="A8359" s="11"/>
      <c r="B8359" s="9"/>
      <c r="C8359" s="9"/>
      <c r="D8359" s="9"/>
      <c r="E8359" s="11"/>
      <c r="F8359" s="11"/>
      <c r="G8359" s="11"/>
      <c r="H8359" s="11"/>
      <c r="I8359" s="11"/>
      <c r="J8359" s="11"/>
      <c r="K8359" s="11"/>
      <c r="L8359" s="11"/>
      <c r="M8359" s="12"/>
      <c r="N8359" s="12"/>
      <c r="O8359" s="11"/>
      <c r="P8359" s="11"/>
    </row>
    <row r="8360" spans="1:16" ht="12.75" x14ac:dyDescent="0.35">
      <c r="A8360" s="11"/>
      <c r="B8360" s="9"/>
      <c r="C8360" s="9"/>
      <c r="D8360" s="9"/>
      <c r="E8360" s="11"/>
      <c r="F8360" s="11"/>
      <c r="G8360" s="11"/>
      <c r="H8360" s="11"/>
      <c r="I8360" s="11"/>
      <c r="J8360" s="11"/>
      <c r="K8360" s="11"/>
      <c r="L8360" s="11"/>
      <c r="M8360" s="12"/>
      <c r="N8360" s="12"/>
      <c r="O8360" s="11"/>
      <c r="P8360" s="11"/>
    </row>
    <row r="8361" spans="1:16" ht="12.75" x14ac:dyDescent="0.35">
      <c r="A8361" s="11"/>
      <c r="B8361" s="9"/>
      <c r="C8361" s="9"/>
      <c r="D8361" s="9"/>
      <c r="E8361" s="11"/>
      <c r="F8361" s="11"/>
      <c r="G8361" s="11"/>
      <c r="H8361" s="11"/>
      <c r="I8361" s="11"/>
      <c r="J8361" s="11"/>
      <c r="K8361" s="11"/>
      <c r="L8361" s="11"/>
      <c r="M8361" s="12"/>
      <c r="N8361" s="12"/>
      <c r="O8361" s="11"/>
      <c r="P8361" s="11"/>
    </row>
    <row r="8362" spans="1:16" ht="12.75" x14ac:dyDescent="0.35">
      <c r="A8362" s="11"/>
      <c r="B8362" s="9"/>
      <c r="C8362" s="9"/>
      <c r="D8362" s="9"/>
      <c r="E8362" s="11"/>
      <c r="F8362" s="11"/>
      <c r="G8362" s="11"/>
      <c r="H8362" s="11"/>
      <c r="I8362" s="11"/>
      <c r="J8362" s="11"/>
      <c r="K8362" s="11"/>
      <c r="L8362" s="11"/>
      <c r="M8362" s="12"/>
      <c r="N8362" s="12"/>
      <c r="O8362" s="11"/>
      <c r="P8362" s="11"/>
    </row>
    <row r="8363" spans="1:16" ht="12.75" x14ac:dyDescent="0.35">
      <c r="A8363" s="11"/>
      <c r="B8363" s="9"/>
      <c r="C8363" s="9"/>
      <c r="D8363" s="9"/>
      <c r="E8363" s="11"/>
      <c r="F8363" s="11"/>
      <c r="G8363" s="11"/>
      <c r="H8363" s="11"/>
      <c r="I8363" s="11"/>
      <c r="J8363" s="11"/>
      <c r="K8363" s="11"/>
      <c r="L8363" s="11"/>
      <c r="M8363" s="12"/>
      <c r="N8363" s="12"/>
      <c r="O8363" s="11"/>
      <c r="P8363" s="11"/>
    </row>
    <row r="8364" spans="1:16" ht="12.75" x14ac:dyDescent="0.35">
      <c r="A8364" s="11"/>
      <c r="B8364" s="9"/>
      <c r="C8364" s="9"/>
      <c r="D8364" s="9"/>
      <c r="E8364" s="11"/>
      <c r="F8364" s="11"/>
      <c r="G8364" s="11"/>
      <c r="H8364" s="11"/>
      <c r="I8364" s="11"/>
      <c r="J8364" s="11"/>
      <c r="K8364" s="11"/>
      <c r="L8364" s="11"/>
      <c r="M8364" s="12"/>
      <c r="N8364" s="12"/>
      <c r="O8364" s="11"/>
      <c r="P8364" s="11"/>
    </row>
    <row r="8365" spans="1:16" ht="12.75" x14ac:dyDescent="0.35">
      <c r="A8365" s="11"/>
      <c r="B8365" s="9"/>
      <c r="C8365" s="9"/>
      <c r="D8365" s="9"/>
      <c r="E8365" s="11"/>
      <c r="F8365" s="11"/>
      <c r="G8365" s="11"/>
      <c r="H8365" s="11"/>
      <c r="I8365" s="11"/>
      <c r="J8365" s="11"/>
      <c r="K8365" s="11"/>
      <c r="L8365" s="11"/>
      <c r="M8365" s="12"/>
      <c r="N8365" s="12"/>
      <c r="O8365" s="11"/>
      <c r="P8365" s="11"/>
    </row>
    <row r="8366" spans="1:16" ht="12.75" x14ac:dyDescent="0.35">
      <c r="A8366" s="11"/>
      <c r="B8366" s="9"/>
      <c r="C8366" s="9"/>
      <c r="D8366" s="9"/>
      <c r="E8366" s="11"/>
      <c r="F8366" s="11"/>
      <c r="G8366" s="11"/>
      <c r="H8366" s="11"/>
      <c r="I8366" s="11"/>
      <c r="J8366" s="11"/>
      <c r="K8366" s="11"/>
      <c r="L8366" s="11"/>
      <c r="M8366" s="12"/>
      <c r="N8366" s="12"/>
      <c r="O8366" s="11"/>
      <c r="P8366" s="11"/>
    </row>
    <row r="8367" spans="1:16" ht="12.75" x14ac:dyDescent="0.35">
      <c r="A8367" s="11"/>
      <c r="B8367" s="9"/>
      <c r="C8367" s="9"/>
      <c r="D8367" s="9"/>
      <c r="E8367" s="11"/>
      <c r="F8367" s="11"/>
      <c r="G8367" s="11"/>
      <c r="H8367" s="11"/>
      <c r="I8367" s="11"/>
      <c r="J8367" s="11"/>
      <c r="K8367" s="11"/>
      <c r="L8367" s="11"/>
      <c r="M8367" s="12"/>
      <c r="N8367" s="12"/>
      <c r="O8367" s="11"/>
      <c r="P8367" s="11"/>
    </row>
    <row r="8368" spans="1:16" ht="12.75" x14ac:dyDescent="0.35">
      <c r="A8368" s="11"/>
      <c r="B8368" s="9"/>
      <c r="C8368" s="9"/>
      <c r="D8368" s="9"/>
      <c r="E8368" s="11"/>
      <c r="F8368" s="11"/>
      <c r="G8368" s="11"/>
      <c r="H8368" s="11"/>
      <c r="I8368" s="11"/>
      <c r="J8368" s="11"/>
      <c r="K8368" s="11"/>
      <c r="L8368" s="11"/>
      <c r="M8368" s="12"/>
      <c r="N8368" s="12"/>
      <c r="O8368" s="11"/>
      <c r="P8368" s="11"/>
    </row>
    <row r="8369" spans="1:16" ht="12.75" x14ac:dyDescent="0.35">
      <c r="A8369" s="11"/>
      <c r="B8369" s="9"/>
      <c r="C8369" s="9"/>
      <c r="D8369" s="9"/>
      <c r="E8369" s="11"/>
      <c r="F8369" s="11"/>
      <c r="G8369" s="11"/>
      <c r="H8369" s="11"/>
      <c r="I8369" s="11"/>
      <c r="J8369" s="11"/>
      <c r="K8369" s="11"/>
      <c r="L8369" s="11"/>
      <c r="M8369" s="12"/>
      <c r="N8369" s="12"/>
      <c r="O8369" s="11"/>
      <c r="P8369" s="11"/>
    </row>
    <row r="8370" spans="1:16" ht="12.75" x14ac:dyDescent="0.35">
      <c r="A8370" s="11"/>
      <c r="B8370" s="9"/>
      <c r="C8370" s="9"/>
      <c r="D8370" s="9"/>
      <c r="E8370" s="11"/>
      <c r="F8370" s="11"/>
      <c r="G8370" s="11"/>
      <c r="H8370" s="11"/>
      <c r="I8370" s="11"/>
      <c r="J8370" s="11"/>
      <c r="K8370" s="11"/>
      <c r="L8370" s="11"/>
      <c r="M8370" s="12"/>
      <c r="N8370" s="12"/>
      <c r="O8370" s="11"/>
      <c r="P8370" s="11"/>
    </row>
    <row r="8371" spans="1:16" ht="12.75" x14ac:dyDescent="0.35">
      <c r="A8371" s="11"/>
      <c r="B8371" s="9"/>
      <c r="C8371" s="9"/>
      <c r="D8371" s="9"/>
      <c r="E8371" s="11"/>
      <c r="F8371" s="11"/>
      <c r="G8371" s="11"/>
      <c r="H8371" s="11"/>
      <c r="I8371" s="11"/>
      <c r="J8371" s="11"/>
      <c r="K8371" s="11"/>
      <c r="L8371" s="11"/>
      <c r="M8371" s="12"/>
      <c r="N8371" s="12"/>
      <c r="O8371" s="11"/>
      <c r="P8371" s="11"/>
    </row>
    <row r="8372" spans="1:16" ht="12.75" x14ac:dyDescent="0.35">
      <c r="A8372" s="11"/>
      <c r="B8372" s="9"/>
      <c r="C8372" s="9"/>
      <c r="D8372" s="9"/>
      <c r="E8372" s="11"/>
      <c r="F8372" s="11"/>
      <c r="G8372" s="11"/>
      <c r="H8372" s="11"/>
      <c r="I8372" s="11"/>
      <c r="J8372" s="11"/>
      <c r="K8372" s="11"/>
      <c r="L8372" s="11"/>
      <c r="M8372" s="12"/>
      <c r="N8372" s="12"/>
      <c r="O8372" s="11"/>
      <c r="P8372" s="11"/>
    </row>
    <row r="8373" spans="1:16" ht="12.75" x14ac:dyDescent="0.35">
      <c r="A8373" s="11"/>
      <c r="B8373" s="9"/>
      <c r="C8373" s="9"/>
      <c r="D8373" s="9"/>
      <c r="E8373" s="11"/>
      <c r="F8373" s="11"/>
      <c r="G8373" s="11"/>
      <c r="H8373" s="11"/>
      <c r="I8373" s="11"/>
      <c r="J8373" s="11"/>
      <c r="K8373" s="11"/>
      <c r="L8373" s="11"/>
      <c r="M8373" s="12"/>
      <c r="N8373" s="12"/>
      <c r="O8373" s="11"/>
      <c r="P8373" s="11"/>
    </row>
    <row r="8374" spans="1:16" ht="12.75" x14ac:dyDescent="0.35">
      <c r="A8374" s="11"/>
      <c r="B8374" s="9"/>
      <c r="C8374" s="9"/>
      <c r="D8374" s="9"/>
      <c r="E8374" s="11"/>
      <c r="F8374" s="11"/>
      <c r="G8374" s="11"/>
      <c r="H8374" s="11"/>
      <c r="I8374" s="11"/>
      <c r="J8374" s="11"/>
      <c r="K8374" s="11"/>
      <c r="L8374" s="11"/>
      <c r="M8374" s="12"/>
      <c r="N8374" s="12"/>
      <c r="O8374" s="11"/>
      <c r="P8374" s="11"/>
    </row>
    <row r="8375" spans="1:16" ht="12.75" x14ac:dyDescent="0.35">
      <c r="A8375" s="11"/>
      <c r="B8375" s="9"/>
      <c r="C8375" s="9"/>
      <c r="D8375" s="9"/>
      <c r="E8375" s="11"/>
      <c r="F8375" s="11"/>
      <c r="G8375" s="11"/>
      <c r="H8375" s="11"/>
      <c r="I8375" s="11"/>
      <c r="J8375" s="11"/>
      <c r="K8375" s="11"/>
      <c r="L8375" s="11"/>
      <c r="M8375" s="12"/>
      <c r="N8375" s="12"/>
      <c r="O8375" s="11"/>
      <c r="P8375" s="11"/>
    </row>
    <row r="8376" spans="1:16" ht="12.75" x14ac:dyDescent="0.35">
      <c r="A8376" s="11"/>
      <c r="B8376" s="9"/>
      <c r="C8376" s="9"/>
      <c r="D8376" s="9"/>
      <c r="E8376" s="11"/>
      <c r="F8376" s="11"/>
      <c r="G8376" s="11"/>
      <c r="H8376" s="11"/>
      <c r="I8376" s="11"/>
      <c r="J8376" s="11"/>
      <c r="K8376" s="11"/>
      <c r="L8376" s="11"/>
      <c r="M8376" s="12"/>
      <c r="N8376" s="12"/>
      <c r="O8376" s="11"/>
      <c r="P8376" s="11"/>
    </row>
    <row r="8377" spans="1:16" ht="12.75" x14ac:dyDescent="0.35">
      <c r="A8377" s="11"/>
      <c r="B8377" s="9"/>
      <c r="C8377" s="9"/>
      <c r="D8377" s="9"/>
      <c r="E8377" s="11"/>
      <c r="F8377" s="11"/>
      <c r="G8377" s="11"/>
      <c r="H8377" s="11"/>
      <c r="I8377" s="11"/>
      <c r="J8377" s="11"/>
      <c r="K8377" s="11"/>
      <c r="L8377" s="11"/>
      <c r="M8377" s="12"/>
      <c r="N8377" s="12"/>
      <c r="O8377" s="11"/>
      <c r="P8377" s="11"/>
    </row>
    <row r="8378" spans="1:16" ht="12.75" x14ac:dyDescent="0.35">
      <c r="A8378" s="11"/>
      <c r="B8378" s="9"/>
      <c r="C8378" s="9"/>
      <c r="D8378" s="9"/>
      <c r="E8378" s="11"/>
      <c r="F8378" s="11"/>
      <c r="G8378" s="11"/>
      <c r="H8378" s="11"/>
      <c r="I8378" s="11"/>
      <c r="J8378" s="11"/>
      <c r="K8378" s="11"/>
      <c r="L8378" s="11"/>
      <c r="M8378" s="12"/>
      <c r="N8378" s="12"/>
      <c r="O8378" s="11"/>
      <c r="P8378" s="11"/>
    </row>
    <row r="8379" spans="1:16" ht="12.75" x14ac:dyDescent="0.35">
      <c r="A8379" s="11"/>
      <c r="B8379" s="9"/>
      <c r="C8379" s="9"/>
      <c r="D8379" s="9"/>
      <c r="E8379" s="11"/>
      <c r="F8379" s="11"/>
      <c r="G8379" s="11"/>
      <c r="H8379" s="11"/>
      <c r="I8379" s="11"/>
      <c r="J8379" s="11"/>
      <c r="K8379" s="11"/>
      <c r="L8379" s="11"/>
      <c r="M8379" s="12"/>
      <c r="N8379" s="12"/>
      <c r="O8379" s="11"/>
      <c r="P8379" s="11"/>
    </row>
    <row r="8380" spans="1:16" ht="12.75" x14ac:dyDescent="0.35">
      <c r="A8380" s="11"/>
      <c r="B8380" s="9"/>
      <c r="C8380" s="9"/>
      <c r="D8380" s="9"/>
      <c r="E8380" s="11"/>
      <c r="F8380" s="11"/>
      <c r="G8380" s="11"/>
      <c r="H8380" s="11"/>
      <c r="I8380" s="11"/>
      <c r="J8380" s="11"/>
      <c r="K8380" s="11"/>
      <c r="L8380" s="11"/>
      <c r="M8380" s="12"/>
      <c r="N8380" s="12"/>
      <c r="O8380" s="11"/>
      <c r="P8380" s="11"/>
    </row>
    <row r="8381" spans="1:16" ht="12.75" x14ac:dyDescent="0.35">
      <c r="A8381" s="11"/>
      <c r="B8381" s="9"/>
      <c r="C8381" s="9"/>
      <c r="D8381" s="9"/>
      <c r="E8381" s="11"/>
      <c r="F8381" s="11"/>
      <c r="G8381" s="11"/>
      <c r="H8381" s="11"/>
      <c r="I8381" s="11"/>
      <c r="J8381" s="11"/>
      <c r="K8381" s="11"/>
      <c r="L8381" s="11"/>
      <c r="M8381" s="12"/>
      <c r="N8381" s="12"/>
      <c r="O8381" s="11"/>
      <c r="P8381" s="11"/>
    </row>
    <row r="8382" spans="1:16" ht="12.75" x14ac:dyDescent="0.35">
      <c r="A8382" s="11"/>
      <c r="B8382" s="9"/>
      <c r="C8382" s="9"/>
      <c r="D8382" s="9"/>
      <c r="E8382" s="11"/>
      <c r="F8382" s="11"/>
      <c r="G8382" s="11"/>
      <c r="H8382" s="11"/>
      <c r="I8382" s="11"/>
      <c r="J8382" s="11"/>
      <c r="K8382" s="11"/>
      <c r="L8382" s="11"/>
      <c r="M8382" s="12"/>
      <c r="N8382" s="12"/>
      <c r="O8382" s="11"/>
      <c r="P8382" s="11"/>
    </row>
    <row r="8383" spans="1:16" ht="12.75" x14ac:dyDescent="0.35">
      <c r="A8383" s="11"/>
      <c r="B8383" s="9"/>
      <c r="C8383" s="9"/>
      <c r="D8383" s="9"/>
      <c r="E8383" s="11"/>
      <c r="F8383" s="11"/>
      <c r="G8383" s="11"/>
      <c r="H8383" s="11"/>
      <c r="I8383" s="11"/>
      <c r="J8383" s="11"/>
      <c r="K8383" s="11"/>
      <c r="L8383" s="11"/>
      <c r="M8383" s="12"/>
      <c r="N8383" s="12"/>
      <c r="O8383" s="11"/>
      <c r="P8383" s="11"/>
    </row>
    <row r="8384" spans="1:16" ht="12.75" x14ac:dyDescent="0.35">
      <c r="A8384" s="11"/>
      <c r="B8384" s="9"/>
      <c r="C8384" s="9"/>
      <c r="D8384" s="9"/>
      <c r="E8384" s="11"/>
      <c r="F8384" s="11"/>
      <c r="G8384" s="11"/>
      <c r="H8384" s="11"/>
      <c r="I8384" s="11"/>
      <c r="J8384" s="11"/>
      <c r="K8384" s="11"/>
      <c r="L8384" s="11"/>
      <c r="M8384" s="12"/>
      <c r="N8384" s="12"/>
      <c r="O8384" s="11"/>
      <c r="P8384" s="11"/>
    </row>
    <row r="8385" spans="1:16" ht="12.75" x14ac:dyDescent="0.35">
      <c r="A8385" s="11"/>
      <c r="B8385" s="9"/>
      <c r="C8385" s="9"/>
      <c r="D8385" s="9"/>
      <c r="E8385" s="11"/>
      <c r="F8385" s="11"/>
      <c r="G8385" s="11"/>
      <c r="H8385" s="11"/>
      <c r="I8385" s="11"/>
      <c r="J8385" s="11"/>
      <c r="K8385" s="11"/>
      <c r="L8385" s="11"/>
      <c r="M8385" s="12"/>
      <c r="N8385" s="12"/>
      <c r="O8385" s="11"/>
      <c r="P8385" s="11"/>
    </row>
    <row r="8386" spans="1:16" ht="12.75" x14ac:dyDescent="0.35">
      <c r="A8386" s="11"/>
      <c r="B8386" s="9"/>
      <c r="C8386" s="9"/>
      <c r="D8386" s="9"/>
      <c r="E8386" s="11"/>
      <c r="F8386" s="11"/>
      <c r="G8386" s="11"/>
      <c r="H8386" s="11"/>
      <c r="I8386" s="11"/>
      <c r="J8386" s="11"/>
      <c r="K8386" s="11"/>
      <c r="L8386" s="11"/>
      <c r="M8386" s="12"/>
      <c r="N8386" s="12"/>
      <c r="O8386" s="11"/>
      <c r="P8386" s="11"/>
    </row>
    <row r="8387" spans="1:16" ht="12.75" x14ac:dyDescent="0.35">
      <c r="A8387" s="11"/>
      <c r="B8387" s="9"/>
      <c r="C8387" s="9"/>
      <c r="D8387" s="9"/>
      <c r="E8387" s="11"/>
      <c r="F8387" s="11"/>
      <c r="G8387" s="11"/>
      <c r="H8387" s="11"/>
      <c r="I8387" s="11"/>
      <c r="J8387" s="11"/>
      <c r="K8387" s="11"/>
      <c r="L8387" s="11"/>
      <c r="M8387" s="12"/>
      <c r="N8387" s="12"/>
      <c r="O8387" s="11"/>
      <c r="P8387" s="11"/>
    </row>
    <row r="8388" spans="1:16" ht="12.75" x14ac:dyDescent="0.35">
      <c r="A8388" s="11"/>
      <c r="B8388" s="9"/>
      <c r="C8388" s="9"/>
      <c r="D8388" s="9"/>
      <c r="E8388" s="11"/>
      <c r="F8388" s="11"/>
      <c r="G8388" s="11"/>
      <c r="H8388" s="11"/>
      <c r="I8388" s="11"/>
      <c r="J8388" s="11"/>
      <c r="K8388" s="11"/>
      <c r="L8388" s="11"/>
      <c r="M8388" s="12"/>
      <c r="N8388" s="12"/>
      <c r="O8388" s="11"/>
      <c r="P8388" s="11"/>
    </row>
    <row r="8389" spans="1:16" ht="12.75" x14ac:dyDescent="0.35">
      <c r="A8389" s="11"/>
      <c r="B8389" s="9"/>
      <c r="C8389" s="9"/>
      <c r="D8389" s="9"/>
      <c r="E8389" s="11"/>
      <c r="F8389" s="11"/>
      <c r="G8389" s="11"/>
      <c r="H8389" s="11"/>
      <c r="I8389" s="11"/>
      <c r="J8389" s="11"/>
      <c r="K8389" s="11"/>
      <c r="L8389" s="11"/>
      <c r="M8389" s="12"/>
      <c r="N8389" s="12"/>
      <c r="O8389" s="11"/>
      <c r="P8389" s="11"/>
    </row>
    <row r="8390" spans="1:16" ht="12.75" x14ac:dyDescent="0.35">
      <c r="A8390" s="11"/>
      <c r="B8390" s="9"/>
      <c r="C8390" s="9"/>
      <c r="D8390" s="9"/>
      <c r="E8390" s="11"/>
      <c r="F8390" s="11"/>
      <c r="G8390" s="11"/>
      <c r="H8390" s="11"/>
      <c r="I8390" s="11"/>
      <c r="J8390" s="11"/>
      <c r="K8390" s="11"/>
      <c r="L8390" s="11"/>
      <c r="M8390" s="12"/>
      <c r="N8390" s="12"/>
      <c r="O8390" s="11"/>
      <c r="P8390" s="11"/>
    </row>
    <row r="8391" spans="1:16" ht="12.75" x14ac:dyDescent="0.35">
      <c r="A8391" s="11"/>
      <c r="B8391" s="9"/>
      <c r="C8391" s="9"/>
      <c r="D8391" s="9"/>
      <c r="E8391" s="11"/>
      <c r="F8391" s="11"/>
      <c r="G8391" s="11"/>
      <c r="H8391" s="11"/>
      <c r="I8391" s="11"/>
      <c r="J8391" s="11"/>
      <c r="K8391" s="11"/>
      <c r="L8391" s="11"/>
      <c r="M8391" s="12"/>
      <c r="N8391" s="12"/>
      <c r="O8391" s="11"/>
      <c r="P8391" s="11"/>
    </row>
    <row r="8392" spans="1:16" ht="12.75" x14ac:dyDescent="0.35">
      <c r="A8392" s="11"/>
      <c r="B8392" s="9"/>
      <c r="C8392" s="9"/>
      <c r="D8392" s="9"/>
      <c r="E8392" s="11"/>
      <c r="F8392" s="11"/>
      <c r="G8392" s="11"/>
      <c r="H8392" s="11"/>
      <c r="I8392" s="11"/>
      <c r="J8392" s="11"/>
      <c r="K8392" s="11"/>
      <c r="L8392" s="11"/>
      <c r="M8392" s="12"/>
      <c r="N8392" s="12"/>
      <c r="O8392" s="11"/>
      <c r="P8392" s="11"/>
    </row>
    <row r="8393" spans="1:16" ht="12.75" x14ac:dyDescent="0.35">
      <c r="A8393" s="11"/>
      <c r="B8393" s="9"/>
      <c r="C8393" s="9"/>
      <c r="D8393" s="9"/>
      <c r="E8393" s="11"/>
      <c r="F8393" s="11"/>
      <c r="G8393" s="11"/>
      <c r="H8393" s="11"/>
      <c r="I8393" s="11"/>
      <c r="J8393" s="11"/>
      <c r="K8393" s="11"/>
      <c r="L8393" s="11"/>
      <c r="M8393" s="12"/>
      <c r="N8393" s="12"/>
      <c r="O8393" s="11"/>
      <c r="P8393" s="11"/>
    </row>
    <row r="8394" spans="1:16" ht="12.75" x14ac:dyDescent="0.35">
      <c r="A8394" s="11"/>
      <c r="B8394" s="9"/>
      <c r="C8394" s="9"/>
      <c r="D8394" s="9"/>
      <c r="E8394" s="11"/>
      <c r="F8394" s="11"/>
      <c r="G8394" s="11"/>
      <c r="H8394" s="11"/>
      <c r="I8394" s="11"/>
      <c r="J8394" s="11"/>
      <c r="K8394" s="11"/>
      <c r="L8394" s="11"/>
      <c r="M8394" s="12"/>
      <c r="N8394" s="12"/>
      <c r="O8394" s="11"/>
      <c r="P8394" s="11"/>
    </row>
    <row r="8395" spans="1:16" ht="12.75" x14ac:dyDescent="0.35">
      <c r="A8395" s="11"/>
      <c r="B8395" s="9"/>
      <c r="C8395" s="9"/>
      <c r="D8395" s="9"/>
      <c r="E8395" s="11"/>
      <c r="F8395" s="11"/>
      <c r="G8395" s="11"/>
      <c r="H8395" s="11"/>
      <c r="I8395" s="11"/>
      <c r="J8395" s="11"/>
      <c r="K8395" s="11"/>
      <c r="L8395" s="11"/>
      <c r="M8395" s="12"/>
      <c r="N8395" s="12"/>
      <c r="O8395" s="11"/>
      <c r="P8395" s="11"/>
    </row>
    <row r="8396" spans="1:16" ht="12.75" x14ac:dyDescent="0.35">
      <c r="A8396" s="11"/>
      <c r="B8396" s="9"/>
      <c r="C8396" s="9"/>
      <c r="D8396" s="9"/>
      <c r="E8396" s="11"/>
      <c r="F8396" s="11"/>
      <c r="G8396" s="11"/>
      <c r="H8396" s="11"/>
      <c r="I8396" s="11"/>
      <c r="J8396" s="11"/>
      <c r="K8396" s="11"/>
      <c r="L8396" s="11"/>
      <c r="M8396" s="12"/>
      <c r="N8396" s="12"/>
      <c r="O8396" s="11"/>
      <c r="P8396" s="11"/>
    </row>
    <row r="8397" spans="1:16" ht="12.75" x14ac:dyDescent="0.35">
      <c r="A8397" s="11"/>
      <c r="B8397" s="9"/>
      <c r="C8397" s="9"/>
      <c r="D8397" s="9"/>
      <c r="E8397" s="11"/>
      <c r="F8397" s="11"/>
      <c r="G8397" s="11"/>
      <c r="H8397" s="11"/>
      <c r="I8397" s="11"/>
      <c r="J8397" s="11"/>
      <c r="K8397" s="11"/>
      <c r="L8397" s="11"/>
      <c r="M8397" s="12"/>
      <c r="N8397" s="12"/>
      <c r="O8397" s="11"/>
      <c r="P8397" s="11"/>
    </row>
    <row r="8398" spans="1:16" ht="12.75" x14ac:dyDescent="0.35">
      <c r="A8398" s="11"/>
      <c r="B8398" s="9"/>
      <c r="C8398" s="9"/>
      <c r="D8398" s="9"/>
      <c r="E8398" s="11"/>
      <c r="F8398" s="11"/>
      <c r="G8398" s="11"/>
      <c r="H8398" s="11"/>
      <c r="I8398" s="11"/>
      <c r="J8398" s="11"/>
      <c r="K8398" s="11"/>
      <c r="L8398" s="11"/>
      <c r="M8398" s="12"/>
      <c r="N8398" s="12"/>
      <c r="O8398" s="11"/>
      <c r="P8398" s="11"/>
    </row>
    <row r="8399" spans="1:16" ht="12.75" x14ac:dyDescent="0.35">
      <c r="A8399" s="11"/>
      <c r="B8399" s="9"/>
      <c r="C8399" s="9"/>
      <c r="D8399" s="9"/>
      <c r="E8399" s="11"/>
      <c r="F8399" s="11"/>
      <c r="G8399" s="11"/>
      <c r="H8399" s="11"/>
      <c r="I8399" s="11"/>
      <c r="J8399" s="11"/>
      <c r="K8399" s="11"/>
      <c r="L8399" s="11"/>
      <c r="M8399" s="12"/>
      <c r="N8399" s="12"/>
      <c r="O8399" s="11"/>
      <c r="P8399" s="11"/>
    </row>
    <row r="8400" spans="1:16" ht="12.75" x14ac:dyDescent="0.35">
      <c r="A8400" s="11"/>
      <c r="B8400" s="9"/>
      <c r="C8400" s="9"/>
      <c r="D8400" s="9"/>
      <c r="E8400" s="11"/>
      <c r="F8400" s="11"/>
      <c r="G8400" s="11"/>
      <c r="H8400" s="11"/>
      <c r="I8400" s="11"/>
      <c r="J8400" s="11"/>
      <c r="K8400" s="11"/>
      <c r="L8400" s="11"/>
      <c r="M8400" s="12"/>
      <c r="N8400" s="12"/>
      <c r="O8400" s="11"/>
      <c r="P8400" s="11"/>
    </row>
    <row r="8401" spans="1:16" ht="12.75" x14ac:dyDescent="0.35">
      <c r="A8401" s="11"/>
      <c r="B8401" s="9"/>
      <c r="C8401" s="9"/>
      <c r="D8401" s="9"/>
      <c r="E8401" s="11"/>
      <c r="F8401" s="11"/>
      <c r="G8401" s="11"/>
      <c r="H8401" s="11"/>
      <c r="I8401" s="11"/>
      <c r="J8401" s="11"/>
      <c r="K8401" s="11"/>
      <c r="L8401" s="11"/>
      <c r="M8401" s="12"/>
      <c r="N8401" s="12"/>
      <c r="O8401" s="11"/>
      <c r="P8401" s="11"/>
    </row>
    <row r="8402" spans="1:16" ht="12.75" x14ac:dyDescent="0.35">
      <c r="A8402" s="11"/>
      <c r="B8402" s="9"/>
      <c r="C8402" s="9"/>
      <c r="D8402" s="9"/>
      <c r="E8402" s="11"/>
      <c r="F8402" s="11"/>
      <c r="G8402" s="11"/>
      <c r="H8402" s="11"/>
      <c r="I8402" s="11"/>
      <c r="J8402" s="11"/>
      <c r="K8402" s="11"/>
      <c r="L8402" s="11"/>
      <c r="M8402" s="12"/>
      <c r="N8402" s="12"/>
      <c r="O8402" s="11"/>
      <c r="P8402" s="11"/>
    </row>
    <row r="8403" spans="1:16" ht="12.75" x14ac:dyDescent="0.35">
      <c r="A8403" s="11"/>
      <c r="B8403" s="9"/>
      <c r="C8403" s="9"/>
      <c r="D8403" s="9"/>
      <c r="E8403" s="11"/>
      <c r="F8403" s="11"/>
      <c r="G8403" s="11"/>
      <c r="H8403" s="11"/>
      <c r="I8403" s="11"/>
      <c r="J8403" s="11"/>
      <c r="K8403" s="11"/>
      <c r="L8403" s="11"/>
      <c r="M8403" s="12"/>
      <c r="N8403" s="12"/>
      <c r="O8403" s="11"/>
      <c r="P8403" s="11"/>
    </row>
    <row r="8404" spans="1:16" ht="12.75" x14ac:dyDescent="0.35">
      <c r="A8404" s="11"/>
      <c r="B8404" s="9"/>
      <c r="C8404" s="9"/>
      <c r="D8404" s="9"/>
      <c r="E8404" s="11"/>
      <c r="F8404" s="11"/>
      <c r="G8404" s="11"/>
      <c r="H8404" s="11"/>
      <c r="I8404" s="11"/>
      <c r="J8404" s="11"/>
      <c r="K8404" s="11"/>
      <c r="L8404" s="11"/>
      <c r="M8404" s="12"/>
      <c r="N8404" s="12"/>
      <c r="O8404" s="11"/>
      <c r="P8404" s="11"/>
    </row>
    <row r="8405" spans="1:16" ht="12.75" x14ac:dyDescent="0.35">
      <c r="A8405" s="11"/>
      <c r="B8405" s="9"/>
      <c r="C8405" s="9"/>
      <c r="D8405" s="9"/>
      <c r="E8405" s="11"/>
      <c r="F8405" s="11"/>
      <c r="G8405" s="11"/>
      <c r="H8405" s="11"/>
      <c r="I8405" s="11"/>
      <c r="J8405" s="11"/>
      <c r="K8405" s="11"/>
      <c r="L8405" s="11"/>
      <c r="M8405" s="12"/>
      <c r="N8405" s="12"/>
      <c r="O8405" s="11"/>
      <c r="P8405" s="11"/>
    </row>
    <row r="8406" spans="1:16" ht="12.75" x14ac:dyDescent="0.35">
      <c r="A8406" s="11"/>
      <c r="B8406" s="9"/>
      <c r="C8406" s="9"/>
      <c r="D8406" s="9"/>
      <c r="E8406" s="11"/>
      <c r="F8406" s="11"/>
      <c r="G8406" s="11"/>
      <c r="H8406" s="11"/>
      <c r="I8406" s="11"/>
      <c r="J8406" s="11"/>
      <c r="K8406" s="11"/>
      <c r="L8406" s="11"/>
      <c r="M8406" s="12"/>
      <c r="N8406" s="12"/>
      <c r="O8406" s="11"/>
      <c r="P8406" s="11"/>
    </row>
    <row r="8407" spans="1:16" ht="12.75" x14ac:dyDescent="0.35">
      <c r="A8407" s="11"/>
      <c r="B8407" s="9"/>
      <c r="C8407" s="9"/>
      <c r="D8407" s="9"/>
      <c r="E8407" s="11"/>
      <c r="F8407" s="11"/>
      <c r="G8407" s="11"/>
      <c r="H8407" s="11"/>
      <c r="I8407" s="11"/>
      <c r="J8407" s="11"/>
      <c r="K8407" s="11"/>
      <c r="L8407" s="11"/>
      <c r="M8407" s="12"/>
      <c r="N8407" s="12"/>
      <c r="O8407" s="11"/>
      <c r="P8407" s="11"/>
    </row>
    <row r="8408" spans="1:16" ht="12.75" x14ac:dyDescent="0.35">
      <c r="A8408" s="11"/>
      <c r="B8408" s="9"/>
      <c r="C8408" s="9"/>
      <c r="D8408" s="9"/>
      <c r="E8408" s="11"/>
      <c r="F8408" s="11"/>
      <c r="G8408" s="11"/>
      <c r="H8408" s="11"/>
      <c r="I8408" s="11"/>
      <c r="J8408" s="11"/>
      <c r="K8408" s="11"/>
      <c r="L8408" s="11"/>
      <c r="M8408" s="12"/>
      <c r="N8408" s="12"/>
      <c r="O8408" s="11"/>
      <c r="P8408" s="11"/>
    </row>
    <row r="8409" spans="1:16" ht="12.75" x14ac:dyDescent="0.35">
      <c r="A8409" s="11"/>
      <c r="B8409" s="9"/>
      <c r="C8409" s="9"/>
      <c r="D8409" s="9"/>
      <c r="E8409" s="11"/>
      <c r="F8409" s="11"/>
      <c r="G8409" s="11"/>
      <c r="H8409" s="11"/>
      <c r="I8409" s="11"/>
      <c r="J8409" s="11"/>
      <c r="K8409" s="11"/>
      <c r="L8409" s="11"/>
      <c r="M8409" s="12"/>
      <c r="N8409" s="12"/>
      <c r="O8409" s="11"/>
      <c r="P8409" s="11"/>
    </row>
    <row r="8410" spans="1:16" ht="12.75" x14ac:dyDescent="0.35">
      <c r="A8410" s="11"/>
      <c r="B8410" s="9"/>
      <c r="C8410" s="9"/>
      <c r="D8410" s="9"/>
      <c r="E8410" s="11"/>
      <c r="F8410" s="11"/>
      <c r="G8410" s="11"/>
      <c r="H8410" s="11"/>
      <c r="I8410" s="11"/>
      <c r="J8410" s="11"/>
      <c r="K8410" s="11"/>
      <c r="L8410" s="11"/>
      <c r="M8410" s="12"/>
      <c r="N8410" s="12"/>
      <c r="O8410" s="11"/>
      <c r="P8410" s="11"/>
    </row>
    <row r="8411" spans="1:16" ht="12.75" x14ac:dyDescent="0.35">
      <c r="A8411" s="11"/>
      <c r="B8411" s="9"/>
      <c r="C8411" s="9"/>
      <c r="D8411" s="9"/>
      <c r="E8411" s="11"/>
      <c r="F8411" s="11"/>
      <c r="G8411" s="11"/>
      <c r="H8411" s="11"/>
      <c r="I8411" s="11"/>
      <c r="J8411" s="11"/>
      <c r="K8411" s="11"/>
      <c r="L8411" s="11"/>
      <c r="M8411" s="12"/>
      <c r="N8411" s="12"/>
      <c r="O8411" s="11"/>
      <c r="P8411" s="11"/>
    </row>
    <row r="8412" spans="1:16" ht="12.75" x14ac:dyDescent="0.35">
      <c r="A8412" s="11"/>
      <c r="B8412" s="9"/>
      <c r="C8412" s="9"/>
      <c r="D8412" s="9"/>
      <c r="E8412" s="11"/>
      <c r="F8412" s="11"/>
      <c r="G8412" s="11"/>
      <c r="H8412" s="11"/>
      <c r="I8412" s="11"/>
      <c r="J8412" s="11"/>
      <c r="K8412" s="11"/>
      <c r="L8412" s="11"/>
      <c r="M8412" s="12"/>
      <c r="N8412" s="12"/>
      <c r="O8412" s="11"/>
      <c r="P8412" s="11"/>
    </row>
    <row r="8413" spans="1:16" ht="12.75" x14ac:dyDescent="0.35">
      <c r="A8413" s="11"/>
      <c r="B8413" s="9"/>
      <c r="C8413" s="9"/>
      <c r="D8413" s="9"/>
      <c r="E8413" s="11"/>
      <c r="F8413" s="11"/>
      <c r="G8413" s="11"/>
      <c r="H8413" s="11"/>
      <c r="I8413" s="11"/>
      <c r="J8413" s="11"/>
      <c r="K8413" s="11"/>
      <c r="L8413" s="11"/>
      <c r="M8413" s="12"/>
      <c r="N8413" s="12"/>
      <c r="O8413" s="11"/>
      <c r="P8413" s="11"/>
    </row>
    <row r="8414" spans="1:16" ht="12.75" x14ac:dyDescent="0.35">
      <c r="A8414" s="11"/>
      <c r="B8414" s="9"/>
      <c r="C8414" s="9"/>
      <c r="D8414" s="9"/>
      <c r="E8414" s="11"/>
      <c r="F8414" s="11"/>
      <c r="G8414" s="11"/>
      <c r="H8414" s="11"/>
      <c r="I8414" s="11"/>
      <c r="J8414" s="11"/>
      <c r="K8414" s="11"/>
      <c r="L8414" s="11"/>
      <c r="M8414" s="12"/>
      <c r="N8414" s="12"/>
      <c r="O8414" s="11"/>
      <c r="P8414" s="11"/>
    </row>
    <row r="8415" spans="1:16" ht="12.75" x14ac:dyDescent="0.35">
      <c r="A8415" s="11"/>
      <c r="B8415" s="9"/>
      <c r="C8415" s="9"/>
      <c r="D8415" s="9"/>
      <c r="E8415" s="11"/>
      <c r="F8415" s="11"/>
      <c r="G8415" s="11"/>
      <c r="H8415" s="11"/>
      <c r="I8415" s="11"/>
      <c r="J8415" s="11"/>
      <c r="K8415" s="11"/>
      <c r="L8415" s="11"/>
      <c r="M8415" s="12"/>
      <c r="N8415" s="12"/>
      <c r="O8415" s="11"/>
      <c r="P8415" s="11"/>
    </row>
    <row r="8416" spans="1:16" ht="12.75" x14ac:dyDescent="0.35">
      <c r="A8416" s="11"/>
      <c r="B8416" s="9"/>
      <c r="C8416" s="9"/>
      <c r="D8416" s="9"/>
      <c r="E8416" s="11"/>
      <c r="F8416" s="11"/>
      <c r="G8416" s="11"/>
      <c r="H8416" s="11"/>
      <c r="I8416" s="11"/>
      <c r="J8416" s="11"/>
      <c r="K8416" s="11"/>
      <c r="L8416" s="11"/>
      <c r="M8416" s="12"/>
      <c r="N8416" s="12"/>
      <c r="O8416" s="11"/>
      <c r="P8416" s="11"/>
    </row>
    <row r="8417" spans="1:16" ht="12.75" x14ac:dyDescent="0.35">
      <c r="A8417" s="11"/>
      <c r="B8417" s="9"/>
      <c r="C8417" s="9"/>
      <c r="D8417" s="9"/>
      <c r="E8417" s="11"/>
      <c r="F8417" s="11"/>
      <c r="G8417" s="11"/>
      <c r="H8417" s="11"/>
      <c r="I8417" s="11"/>
      <c r="J8417" s="11"/>
      <c r="K8417" s="11"/>
      <c r="L8417" s="11"/>
      <c r="M8417" s="12"/>
      <c r="N8417" s="12"/>
      <c r="O8417" s="11"/>
      <c r="P8417" s="11"/>
    </row>
    <row r="8418" spans="1:16" ht="12.75" x14ac:dyDescent="0.35">
      <c r="A8418" s="11"/>
      <c r="B8418" s="9"/>
      <c r="C8418" s="9"/>
      <c r="D8418" s="9"/>
      <c r="E8418" s="11"/>
      <c r="F8418" s="11"/>
      <c r="G8418" s="11"/>
      <c r="H8418" s="11"/>
      <c r="I8418" s="11"/>
      <c r="J8418" s="11"/>
      <c r="K8418" s="11"/>
      <c r="L8418" s="11"/>
      <c r="M8418" s="12"/>
      <c r="N8418" s="12"/>
      <c r="O8418" s="11"/>
      <c r="P8418" s="11"/>
    </row>
    <row r="8419" spans="1:16" ht="12.75" x14ac:dyDescent="0.35">
      <c r="A8419" s="11"/>
      <c r="B8419" s="9"/>
      <c r="C8419" s="9"/>
      <c r="D8419" s="9"/>
      <c r="E8419" s="11"/>
      <c r="F8419" s="11"/>
      <c r="G8419" s="11"/>
      <c r="H8419" s="11"/>
      <c r="I8419" s="11"/>
      <c r="J8419" s="11"/>
      <c r="K8419" s="11"/>
      <c r="L8419" s="11"/>
      <c r="M8419" s="12"/>
      <c r="N8419" s="12"/>
      <c r="O8419" s="11"/>
      <c r="P8419" s="11"/>
    </row>
    <row r="8420" spans="1:16" ht="12.75" x14ac:dyDescent="0.35">
      <c r="A8420" s="11"/>
      <c r="B8420" s="9"/>
      <c r="C8420" s="9"/>
      <c r="D8420" s="9"/>
      <c r="E8420" s="11"/>
      <c r="F8420" s="11"/>
      <c r="G8420" s="11"/>
      <c r="H8420" s="11"/>
      <c r="I8420" s="11"/>
      <c r="J8420" s="11"/>
      <c r="K8420" s="11"/>
      <c r="L8420" s="11"/>
      <c r="M8420" s="12"/>
      <c r="N8420" s="12"/>
      <c r="O8420" s="11"/>
      <c r="P8420" s="11"/>
    </row>
    <row r="8421" spans="1:16" ht="12.75" x14ac:dyDescent="0.35">
      <c r="A8421" s="11"/>
      <c r="B8421" s="9"/>
      <c r="C8421" s="9"/>
      <c r="D8421" s="9"/>
      <c r="E8421" s="11"/>
      <c r="F8421" s="11"/>
      <c r="G8421" s="11"/>
      <c r="H8421" s="11"/>
      <c r="I8421" s="11"/>
      <c r="J8421" s="11"/>
      <c r="K8421" s="11"/>
      <c r="L8421" s="11"/>
      <c r="M8421" s="12"/>
      <c r="N8421" s="12"/>
      <c r="O8421" s="11"/>
      <c r="P8421" s="11"/>
    </row>
    <row r="8422" spans="1:16" ht="12.75" x14ac:dyDescent="0.35">
      <c r="A8422" s="11"/>
      <c r="B8422" s="9"/>
      <c r="C8422" s="9"/>
      <c r="D8422" s="9"/>
      <c r="E8422" s="11"/>
      <c r="F8422" s="11"/>
      <c r="G8422" s="11"/>
      <c r="H8422" s="11"/>
      <c r="I8422" s="11"/>
      <c r="J8422" s="11"/>
      <c r="K8422" s="11"/>
      <c r="L8422" s="11"/>
      <c r="M8422" s="12"/>
      <c r="N8422" s="12"/>
      <c r="O8422" s="11"/>
      <c r="P8422" s="11"/>
    </row>
    <row r="8423" spans="1:16" ht="12.75" x14ac:dyDescent="0.35">
      <c r="A8423" s="11"/>
      <c r="B8423" s="9"/>
      <c r="C8423" s="9"/>
      <c r="D8423" s="9"/>
      <c r="E8423" s="11"/>
      <c r="F8423" s="11"/>
      <c r="G8423" s="11"/>
      <c r="H8423" s="11"/>
      <c r="I8423" s="11"/>
      <c r="J8423" s="11"/>
      <c r="K8423" s="11"/>
      <c r="L8423" s="11"/>
      <c r="M8423" s="12"/>
      <c r="N8423" s="12"/>
      <c r="O8423" s="11"/>
      <c r="P8423" s="11"/>
    </row>
    <row r="8424" spans="1:16" ht="12.75" x14ac:dyDescent="0.35">
      <c r="A8424" s="11"/>
      <c r="B8424" s="9"/>
      <c r="C8424" s="9"/>
      <c r="D8424" s="9"/>
      <c r="E8424" s="11"/>
      <c r="F8424" s="11"/>
      <c r="G8424" s="11"/>
      <c r="H8424" s="11"/>
      <c r="I8424" s="11"/>
      <c r="J8424" s="11"/>
      <c r="K8424" s="11"/>
      <c r="L8424" s="11"/>
      <c r="M8424" s="12"/>
      <c r="N8424" s="12"/>
      <c r="O8424" s="11"/>
      <c r="P8424" s="11"/>
    </row>
    <row r="8425" spans="1:16" ht="12.75" x14ac:dyDescent="0.35">
      <c r="A8425" s="11"/>
      <c r="B8425" s="9"/>
      <c r="C8425" s="9"/>
      <c r="D8425" s="9"/>
      <c r="E8425" s="11"/>
      <c r="F8425" s="11"/>
      <c r="G8425" s="11"/>
      <c r="H8425" s="11"/>
      <c r="I8425" s="11"/>
      <c r="J8425" s="11"/>
      <c r="K8425" s="11"/>
      <c r="L8425" s="11"/>
      <c r="M8425" s="12"/>
      <c r="N8425" s="12"/>
      <c r="O8425" s="11"/>
      <c r="P8425" s="11"/>
    </row>
    <row r="8426" spans="1:16" ht="12.75" x14ac:dyDescent="0.35">
      <c r="A8426" s="11"/>
      <c r="B8426" s="9"/>
      <c r="C8426" s="9"/>
      <c r="D8426" s="9"/>
      <c r="E8426" s="11"/>
      <c r="F8426" s="11"/>
      <c r="G8426" s="11"/>
      <c r="H8426" s="11"/>
      <c r="I8426" s="11"/>
      <c r="J8426" s="11"/>
      <c r="K8426" s="11"/>
      <c r="L8426" s="11"/>
      <c r="M8426" s="12"/>
      <c r="N8426" s="12"/>
      <c r="O8426" s="11"/>
      <c r="P8426" s="11"/>
    </row>
    <row r="8427" spans="1:16" ht="12.75" x14ac:dyDescent="0.35">
      <c r="A8427" s="11"/>
      <c r="B8427" s="9"/>
      <c r="C8427" s="9"/>
      <c r="D8427" s="9"/>
      <c r="E8427" s="11"/>
      <c r="F8427" s="11"/>
      <c r="G8427" s="11"/>
      <c r="H8427" s="11"/>
      <c r="I8427" s="11"/>
      <c r="J8427" s="11"/>
      <c r="K8427" s="11"/>
      <c r="L8427" s="11"/>
      <c r="M8427" s="12"/>
      <c r="N8427" s="12"/>
      <c r="O8427" s="11"/>
      <c r="P8427" s="11"/>
    </row>
    <row r="8428" spans="1:16" ht="12.75" x14ac:dyDescent="0.35">
      <c r="A8428" s="11"/>
      <c r="B8428" s="9"/>
      <c r="C8428" s="9"/>
      <c r="D8428" s="9"/>
      <c r="E8428" s="11"/>
      <c r="F8428" s="11"/>
      <c r="G8428" s="11"/>
      <c r="H8428" s="11"/>
      <c r="I8428" s="11"/>
      <c r="J8428" s="11"/>
      <c r="K8428" s="11"/>
      <c r="L8428" s="11"/>
      <c r="M8428" s="12"/>
      <c r="N8428" s="12"/>
      <c r="O8428" s="11"/>
      <c r="P8428" s="11"/>
    </row>
    <row r="8429" spans="1:16" ht="12.75" x14ac:dyDescent="0.35">
      <c r="A8429" s="11"/>
      <c r="B8429" s="9"/>
      <c r="C8429" s="9"/>
      <c r="D8429" s="9"/>
      <c r="E8429" s="11"/>
      <c r="F8429" s="11"/>
      <c r="G8429" s="11"/>
      <c r="H8429" s="11"/>
      <c r="I8429" s="11"/>
      <c r="J8429" s="11"/>
      <c r="K8429" s="11"/>
      <c r="L8429" s="11"/>
      <c r="M8429" s="12"/>
      <c r="N8429" s="12"/>
      <c r="O8429" s="11"/>
      <c r="P8429" s="11"/>
    </row>
    <row r="8430" spans="1:16" ht="12.75" x14ac:dyDescent="0.35">
      <c r="A8430" s="11"/>
      <c r="B8430" s="9"/>
      <c r="C8430" s="9"/>
      <c r="D8430" s="9"/>
      <c r="E8430" s="11"/>
      <c r="F8430" s="11"/>
      <c r="G8430" s="11"/>
      <c r="H8430" s="11"/>
      <c r="I8430" s="11"/>
      <c r="J8430" s="11"/>
      <c r="K8430" s="11"/>
      <c r="L8430" s="11"/>
      <c r="M8430" s="12"/>
      <c r="N8430" s="12"/>
      <c r="O8430" s="11"/>
      <c r="P8430" s="11"/>
    </row>
    <row r="8431" spans="1:16" ht="12.75" x14ac:dyDescent="0.35">
      <c r="A8431" s="11"/>
      <c r="B8431" s="9"/>
      <c r="C8431" s="9"/>
      <c r="D8431" s="9"/>
      <c r="E8431" s="11"/>
      <c r="F8431" s="11"/>
      <c r="G8431" s="11"/>
      <c r="H8431" s="11"/>
      <c r="I8431" s="11"/>
      <c r="J8431" s="11"/>
      <c r="K8431" s="11"/>
      <c r="L8431" s="11"/>
      <c r="M8431" s="12"/>
      <c r="N8431" s="12"/>
      <c r="O8431" s="11"/>
      <c r="P8431" s="11"/>
    </row>
    <row r="8432" spans="1:16" ht="12.75" x14ac:dyDescent="0.35">
      <c r="A8432" s="11"/>
      <c r="B8432" s="9"/>
      <c r="C8432" s="9"/>
      <c r="D8432" s="9"/>
      <c r="E8432" s="11"/>
      <c r="F8432" s="11"/>
      <c r="G8432" s="11"/>
      <c r="H8432" s="11"/>
      <c r="I8432" s="11"/>
      <c r="J8432" s="11"/>
      <c r="K8432" s="11"/>
      <c r="L8432" s="11"/>
      <c r="M8432" s="12"/>
      <c r="N8432" s="12"/>
      <c r="O8432" s="11"/>
      <c r="P8432" s="11"/>
    </row>
    <row r="8433" spans="1:16" ht="12.75" x14ac:dyDescent="0.35">
      <c r="A8433" s="11"/>
      <c r="B8433" s="9"/>
      <c r="C8433" s="9"/>
      <c r="D8433" s="9"/>
      <c r="E8433" s="11"/>
      <c r="F8433" s="11"/>
      <c r="G8433" s="11"/>
      <c r="H8433" s="11"/>
      <c r="I8433" s="11"/>
      <c r="J8433" s="11"/>
      <c r="K8433" s="11"/>
      <c r="L8433" s="11"/>
      <c r="M8433" s="12"/>
      <c r="N8433" s="12"/>
      <c r="O8433" s="11"/>
      <c r="P8433" s="11"/>
    </row>
    <row r="8434" spans="1:16" ht="12.75" x14ac:dyDescent="0.35">
      <c r="A8434" s="11"/>
      <c r="B8434" s="9"/>
      <c r="C8434" s="9"/>
      <c r="D8434" s="9"/>
      <c r="E8434" s="11"/>
      <c r="F8434" s="11"/>
      <c r="G8434" s="11"/>
      <c r="H8434" s="11"/>
      <c r="I8434" s="11"/>
      <c r="J8434" s="11"/>
      <c r="K8434" s="11"/>
      <c r="L8434" s="11"/>
      <c r="M8434" s="12"/>
      <c r="N8434" s="12"/>
      <c r="O8434" s="11"/>
      <c r="P8434" s="11"/>
    </row>
    <row r="8435" spans="1:16" ht="12.75" x14ac:dyDescent="0.35">
      <c r="A8435" s="11"/>
      <c r="B8435" s="9"/>
      <c r="C8435" s="9"/>
      <c r="D8435" s="9"/>
      <c r="E8435" s="11"/>
      <c r="F8435" s="11"/>
      <c r="G8435" s="11"/>
      <c r="H8435" s="11"/>
      <c r="I8435" s="11"/>
      <c r="J8435" s="11"/>
      <c r="K8435" s="11"/>
      <c r="L8435" s="11"/>
      <c r="M8435" s="12"/>
      <c r="N8435" s="12"/>
      <c r="O8435" s="11"/>
      <c r="P8435" s="11"/>
    </row>
    <row r="8436" spans="1:16" ht="12.75" x14ac:dyDescent="0.35">
      <c r="A8436" s="11"/>
      <c r="B8436" s="9"/>
      <c r="C8436" s="9"/>
      <c r="D8436" s="9"/>
      <c r="E8436" s="11"/>
      <c r="F8436" s="11"/>
      <c r="G8436" s="11"/>
      <c r="H8436" s="11"/>
      <c r="I8436" s="11"/>
      <c r="J8436" s="11"/>
      <c r="K8436" s="11"/>
      <c r="L8436" s="11"/>
      <c r="M8436" s="12"/>
      <c r="N8436" s="12"/>
      <c r="O8436" s="11"/>
      <c r="P8436" s="11"/>
    </row>
    <row r="8437" spans="1:16" ht="12.75" x14ac:dyDescent="0.35">
      <c r="A8437" s="11"/>
      <c r="B8437" s="9"/>
      <c r="C8437" s="9"/>
      <c r="D8437" s="9"/>
      <c r="E8437" s="11"/>
      <c r="F8437" s="11"/>
      <c r="G8437" s="11"/>
      <c r="H8437" s="11"/>
      <c r="I8437" s="11"/>
      <c r="J8437" s="11"/>
      <c r="K8437" s="11"/>
      <c r="L8437" s="11"/>
      <c r="M8437" s="12"/>
      <c r="N8437" s="12"/>
      <c r="O8437" s="11"/>
      <c r="P8437" s="11"/>
    </row>
    <row r="8438" spans="1:16" ht="12.75" x14ac:dyDescent="0.35">
      <c r="A8438" s="11"/>
      <c r="B8438" s="9"/>
      <c r="C8438" s="9"/>
      <c r="D8438" s="9"/>
      <c r="E8438" s="11"/>
      <c r="F8438" s="11"/>
      <c r="G8438" s="11"/>
      <c r="H8438" s="11"/>
      <c r="I8438" s="11"/>
      <c r="J8438" s="11"/>
      <c r="K8438" s="11"/>
      <c r="L8438" s="11"/>
      <c r="M8438" s="12"/>
      <c r="N8438" s="12"/>
      <c r="O8438" s="11"/>
      <c r="P8438" s="11"/>
    </row>
    <row r="8439" spans="1:16" ht="12.75" x14ac:dyDescent="0.35">
      <c r="A8439" s="11"/>
      <c r="B8439" s="9"/>
      <c r="C8439" s="9"/>
      <c r="D8439" s="9"/>
      <c r="E8439" s="11"/>
      <c r="F8439" s="11"/>
      <c r="G8439" s="11"/>
      <c r="H8439" s="11"/>
      <c r="I8439" s="11"/>
      <c r="J8439" s="11"/>
      <c r="K8439" s="11"/>
      <c r="L8439" s="11"/>
      <c r="M8439" s="12"/>
      <c r="N8439" s="12"/>
      <c r="O8439" s="11"/>
      <c r="P8439" s="11"/>
    </row>
    <row r="8440" spans="1:16" ht="12.75" x14ac:dyDescent="0.35">
      <c r="A8440" s="11"/>
      <c r="B8440" s="9"/>
      <c r="C8440" s="9"/>
      <c r="D8440" s="9"/>
      <c r="E8440" s="11"/>
      <c r="F8440" s="11"/>
      <c r="G8440" s="11"/>
      <c r="H8440" s="11"/>
      <c r="I8440" s="11"/>
      <c r="J8440" s="11"/>
      <c r="K8440" s="11"/>
      <c r="L8440" s="11"/>
      <c r="M8440" s="12"/>
      <c r="N8440" s="12"/>
      <c r="O8440" s="11"/>
      <c r="P8440" s="11"/>
    </row>
    <row r="8441" spans="1:16" ht="12.75" x14ac:dyDescent="0.35">
      <c r="A8441" s="11"/>
      <c r="B8441" s="9"/>
      <c r="C8441" s="9"/>
      <c r="D8441" s="9"/>
      <c r="E8441" s="11"/>
      <c r="F8441" s="11"/>
      <c r="G8441" s="11"/>
      <c r="H8441" s="11"/>
      <c r="I8441" s="11"/>
      <c r="J8441" s="11"/>
      <c r="K8441" s="11"/>
      <c r="L8441" s="11"/>
      <c r="M8441" s="12"/>
      <c r="N8441" s="12"/>
      <c r="O8441" s="11"/>
      <c r="P8441" s="11"/>
    </row>
    <row r="8442" spans="1:16" ht="12.75" x14ac:dyDescent="0.35">
      <c r="A8442" s="11"/>
      <c r="B8442" s="9"/>
      <c r="C8442" s="9"/>
      <c r="D8442" s="9"/>
      <c r="E8442" s="11"/>
      <c r="F8442" s="11"/>
      <c r="G8442" s="11"/>
      <c r="H8442" s="11"/>
      <c r="I8442" s="11"/>
      <c r="J8442" s="11"/>
      <c r="K8442" s="11"/>
      <c r="L8442" s="11"/>
      <c r="M8442" s="12"/>
      <c r="N8442" s="12"/>
      <c r="O8442" s="11"/>
      <c r="P8442" s="11"/>
    </row>
    <row r="8443" spans="1:16" ht="12.75" x14ac:dyDescent="0.35">
      <c r="A8443" s="11"/>
      <c r="B8443" s="9"/>
      <c r="C8443" s="9"/>
      <c r="D8443" s="9"/>
      <c r="E8443" s="11"/>
      <c r="F8443" s="11"/>
      <c r="G8443" s="11"/>
      <c r="H8443" s="11"/>
      <c r="I8443" s="11"/>
      <c r="J8443" s="11"/>
      <c r="K8443" s="11"/>
      <c r="L8443" s="11"/>
      <c r="M8443" s="12"/>
      <c r="N8443" s="12"/>
      <c r="O8443" s="11"/>
      <c r="P8443" s="11"/>
    </row>
    <row r="8444" spans="1:16" ht="12.75" x14ac:dyDescent="0.35">
      <c r="A8444" s="11"/>
      <c r="B8444" s="9"/>
      <c r="C8444" s="9"/>
      <c r="D8444" s="9"/>
      <c r="E8444" s="11"/>
      <c r="F8444" s="11"/>
      <c r="G8444" s="11"/>
      <c r="H8444" s="11"/>
      <c r="I8444" s="11"/>
      <c r="J8444" s="11"/>
      <c r="K8444" s="11"/>
      <c r="L8444" s="11"/>
      <c r="M8444" s="12"/>
      <c r="N8444" s="12"/>
      <c r="O8444" s="11"/>
      <c r="P8444" s="11"/>
    </row>
    <row r="8445" spans="1:16" ht="12.75" x14ac:dyDescent="0.35">
      <c r="A8445" s="11"/>
      <c r="B8445" s="9"/>
      <c r="C8445" s="9"/>
      <c r="D8445" s="9"/>
      <c r="E8445" s="11"/>
      <c r="F8445" s="11"/>
      <c r="G8445" s="11"/>
      <c r="H8445" s="11"/>
      <c r="I8445" s="11"/>
      <c r="J8445" s="11"/>
      <c r="K8445" s="11"/>
      <c r="L8445" s="11"/>
      <c r="M8445" s="12"/>
      <c r="N8445" s="12"/>
      <c r="O8445" s="11"/>
      <c r="P8445" s="11"/>
    </row>
    <row r="8446" spans="1:16" ht="12.75" x14ac:dyDescent="0.35">
      <c r="A8446" s="11"/>
      <c r="B8446" s="9"/>
      <c r="C8446" s="9"/>
      <c r="D8446" s="9"/>
      <c r="E8446" s="11"/>
      <c r="F8446" s="11"/>
      <c r="G8446" s="11"/>
      <c r="H8446" s="11"/>
      <c r="I8446" s="11"/>
      <c r="J8446" s="11"/>
      <c r="K8446" s="11"/>
      <c r="L8446" s="11"/>
      <c r="M8446" s="12"/>
      <c r="N8446" s="12"/>
      <c r="O8446" s="11"/>
      <c r="P8446" s="11"/>
    </row>
    <row r="8447" spans="1:16" ht="12.75" x14ac:dyDescent="0.35">
      <c r="A8447" s="11"/>
      <c r="B8447" s="9"/>
      <c r="C8447" s="9"/>
      <c r="D8447" s="9"/>
      <c r="E8447" s="11"/>
      <c r="F8447" s="11"/>
      <c r="G8447" s="11"/>
      <c r="H8447" s="11"/>
      <c r="I8447" s="11"/>
      <c r="J8447" s="11"/>
      <c r="K8447" s="11"/>
      <c r="L8447" s="11"/>
      <c r="M8447" s="12"/>
      <c r="N8447" s="12"/>
      <c r="O8447" s="11"/>
      <c r="P8447" s="11"/>
    </row>
    <row r="8448" spans="1:16" ht="12.75" x14ac:dyDescent="0.35">
      <c r="A8448" s="11"/>
      <c r="B8448" s="9"/>
      <c r="C8448" s="9"/>
      <c r="D8448" s="9"/>
      <c r="E8448" s="11"/>
      <c r="F8448" s="11"/>
      <c r="G8448" s="11"/>
      <c r="H8448" s="11"/>
      <c r="I8448" s="11"/>
      <c r="J8448" s="11"/>
      <c r="K8448" s="11"/>
      <c r="L8448" s="11"/>
      <c r="M8448" s="12"/>
      <c r="N8448" s="12"/>
      <c r="O8448" s="11"/>
      <c r="P8448" s="11"/>
    </row>
    <row r="8449" spans="1:16" ht="12.75" x14ac:dyDescent="0.35">
      <c r="A8449" s="11"/>
      <c r="B8449" s="9"/>
      <c r="C8449" s="9"/>
      <c r="D8449" s="9"/>
      <c r="E8449" s="11"/>
      <c r="F8449" s="11"/>
      <c r="G8449" s="11"/>
      <c r="H8449" s="11"/>
      <c r="I8449" s="11"/>
      <c r="J8449" s="11"/>
      <c r="K8449" s="11"/>
      <c r="L8449" s="11"/>
      <c r="M8449" s="12"/>
      <c r="N8449" s="12"/>
      <c r="O8449" s="11"/>
      <c r="P8449" s="11"/>
    </row>
    <row r="8450" spans="1:16" ht="12.75" x14ac:dyDescent="0.35">
      <c r="A8450" s="11"/>
      <c r="B8450" s="9"/>
      <c r="C8450" s="9"/>
      <c r="D8450" s="9"/>
      <c r="E8450" s="11"/>
      <c r="F8450" s="11"/>
      <c r="G8450" s="11"/>
      <c r="H8450" s="11"/>
      <c r="I8450" s="11"/>
      <c r="J8450" s="11"/>
      <c r="K8450" s="11"/>
      <c r="L8450" s="11"/>
      <c r="M8450" s="12"/>
      <c r="N8450" s="12"/>
      <c r="O8450" s="11"/>
      <c r="P8450" s="11"/>
    </row>
    <row r="8451" spans="1:16" ht="12.75" x14ac:dyDescent="0.35">
      <c r="A8451" s="11"/>
      <c r="B8451" s="9"/>
      <c r="C8451" s="9"/>
      <c r="D8451" s="9"/>
      <c r="E8451" s="11"/>
      <c r="F8451" s="11"/>
      <c r="G8451" s="11"/>
      <c r="H8451" s="11"/>
      <c r="I8451" s="11"/>
      <c r="J8451" s="11"/>
      <c r="K8451" s="11"/>
      <c r="L8451" s="11"/>
      <c r="M8451" s="12"/>
      <c r="N8451" s="12"/>
      <c r="O8451" s="11"/>
      <c r="P8451" s="11"/>
    </row>
    <row r="8452" spans="1:16" ht="12.75" x14ac:dyDescent="0.35">
      <c r="A8452" s="11"/>
      <c r="B8452" s="9"/>
      <c r="C8452" s="9"/>
      <c r="D8452" s="9"/>
      <c r="E8452" s="11"/>
      <c r="F8452" s="11"/>
      <c r="G8452" s="11"/>
      <c r="H8452" s="11"/>
      <c r="I8452" s="11"/>
      <c r="J8452" s="11"/>
      <c r="K8452" s="11"/>
      <c r="L8452" s="11"/>
      <c r="M8452" s="12"/>
      <c r="N8452" s="12"/>
      <c r="O8452" s="11"/>
      <c r="P8452" s="11"/>
    </row>
    <row r="8453" spans="1:16" ht="12.75" x14ac:dyDescent="0.35">
      <c r="A8453" s="11"/>
      <c r="B8453" s="9"/>
      <c r="C8453" s="9"/>
      <c r="D8453" s="9"/>
      <c r="E8453" s="11"/>
      <c r="F8453" s="11"/>
      <c r="G8453" s="11"/>
      <c r="H8453" s="11"/>
      <c r="I8453" s="11"/>
      <c r="J8453" s="11"/>
      <c r="K8453" s="11"/>
      <c r="L8453" s="11"/>
      <c r="M8453" s="12"/>
      <c r="N8453" s="12"/>
      <c r="O8453" s="11"/>
      <c r="P8453" s="11"/>
    </row>
    <row r="8454" spans="1:16" ht="12.75" x14ac:dyDescent="0.35">
      <c r="A8454" s="11"/>
      <c r="B8454" s="9"/>
      <c r="C8454" s="9"/>
      <c r="D8454" s="9"/>
      <c r="E8454" s="11"/>
      <c r="F8454" s="11"/>
      <c r="G8454" s="11"/>
      <c r="H8454" s="11"/>
      <c r="I8454" s="11"/>
      <c r="J8454" s="11"/>
      <c r="K8454" s="11"/>
      <c r="L8454" s="11"/>
      <c r="M8454" s="12"/>
      <c r="N8454" s="12"/>
      <c r="O8454" s="11"/>
      <c r="P8454" s="11"/>
    </row>
    <row r="8455" spans="1:16" ht="12.75" x14ac:dyDescent="0.35">
      <c r="A8455" s="11"/>
      <c r="B8455" s="9"/>
      <c r="C8455" s="9"/>
      <c r="D8455" s="9"/>
      <c r="E8455" s="11"/>
      <c r="F8455" s="11"/>
      <c r="G8455" s="11"/>
      <c r="H8455" s="11"/>
      <c r="I8455" s="11"/>
      <c r="J8455" s="11"/>
      <c r="K8455" s="11"/>
      <c r="L8455" s="11"/>
      <c r="M8455" s="12"/>
      <c r="N8455" s="12"/>
      <c r="O8455" s="11"/>
      <c r="P8455" s="11"/>
    </row>
    <row r="8456" spans="1:16" ht="12.75" x14ac:dyDescent="0.35">
      <c r="A8456" s="11"/>
      <c r="B8456" s="9"/>
      <c r="C8456" s="9"/>
      <c r="D8456" s="9"/>
      <c r="E8456" s="11"/>
      <c r="F8456" s="11"/>
      <c r="G8456" s="11"/>
      <c r="H8456" s="11"/>
      <c r="I8456" s="11"/>
      <c r="J8456" s="11"/>
      <c r="K8456" s="11"/>
      <c r="L8456" s="11"/>
      <c r="M8456" s="12"/>
      <c r="N8456" s="12"/>
      <c r="O8456" s="11"/>
      <c r="P8456" s="11"/>
    </row>
    <row r="8457" spans="1:16" ht="12.75" x14ac:dyDescent="0.35">
      <c r="A8457" s="11"/>
      <c r="B8457" s="9"/>
      <c r="C8457" s="9"/>
      <c r="D8457" s="9"/>
      <c r="E8457" s="11"/>
      <c r="F8457" s="11"/>
      <c r="G8457" s="11"/>
      <c r="H8457" s="11"/>
      <c r="I8457" s="11"/>
      <c r="J8457" s="11"/>
      <c r="K8457" s="11"/>
      <c r="L8457" s="11"/>
      <c r="M8457" s="12"/>
      <c r="N8457" s="12"/>
      <c r="O8457" s="11"/>
      <c r="P8457" s="11"/>
    </row>
    <row r="8458" spans="1:16" ht="12.75" x14ac:dyDescent="0.35">
      <c r="A8458" s="11"/>
      <c r="B8458" s="9"/>
      <c r="C8458" s="9"/>
      <c r="D8458" s="9"/>
      <c r="E8458" s="11"/>
      <c r="F8458" s="11"/>
      <c r="G8458" s="11"/>
      <c r="H8458" s="11"/>
      <c r="I8458" s="11"/>
      <c r="J8458" s="11"/>
      <c r="K8458" s="11"/>
      <c r="L8458" s="11"/>
      <c r="M8458" s="12"/>
      <c r="N8458" s="12"/>
      <c r="O8458" s="11"/>
      <c r="P8458" s="11"/>
    </row>
    <row r="8459" spans="1:16" ht="12.75" x14ac:dyDescent="0.35">
      <c r="A8459" s="11"/>
      <c r="B8459" s="9"/>
      <c r="C8459" s="9"/>
      <c r="D8459" s="9"/>
      <c r="E8459" s="11"/>
      <c r="F8459" s="11"/>
      <c r="G8459" s="11"/>
      <c r="H8459" s="11"/>
      <c r="I8459" s="11"/>
      <c r="J8459" s="11"/>
      <c r="K8459" s="11"/>
      <c r="L8459" s="11"/>
      <c r="M8459" s="12"/>
      <c r="N8459" s="12"/>
      <c r="O8459" s="11"/>
      <c r="P8459" s="11"/>
    </row>
    <row r="8460" spans="1:16" ht="12.75" x14ac:dyDescent="0.35">
      <c r="A8460" s="11"/>
      <c r="B8460" s="9"/>
      <c r="C8460" s="9"/>
      <c r="D8460" s="9"/>
      <c r="E8460" s="11"/>
      <c r="F8460" s="11"/>
      <c r="G8460" s="11"/>
      <c r="H8460" s="11"/>
      <c r="I8460" s="11"/>
      <c r="J8460" s="11"/>
      <c r="K8460" s="11"/>
      <c r="L8460" s="11"/>
      <c r="M8460" s="12"/>
      <c r="N8460" s="12"/>
      <c r="O8460" s="11"/>
      <c r="P8460" s="11"/>
    </row>
    <row r="8461" spans="1:16" ht="12.75" x14ac:dyDescent="0.35">
      <c r="A8461" s="11"/>
      <c r="B8461" s="9"/>
      <c r="C8461" s="9"/>
      <c r="D8461" s="9"/>
      <c r="E8461" s="11"/>
      <c r="F8461" s="11"/>
      <c r="G8461" s="11"/>
      <c r="H8461" s="11"/>
      <c r="I8461" s="11"/>
      <c r="J8461" s="11"/>
      <c r="K8461" s="11"/>
      <c r="L8461" s="11"/>
      <c r="M8461" s="12"/>
      <c r="N8461" s="12"/>
      <c r="O8461" s="11"/>
      <c r="P8461" s="11"/>
    </row>
    <row r="8462" spans="1:16" ht="12.75" x14ac:dyDescent="0.35">
      <c r="A8462" s="11"/>
      <c r="B8462" s="9"/>
      <c r="C8462" s="9"/>
      <c r="D8462" s="9"/>
      <c r="E8462" s="11"/>
      <c r="F8462" s="11"/>
      <c r="G8462" s="11"/>
      <c r="H8462" s="11"/>
      <c r="I8462" s="11"/>
      <c r="J8462" s="11"/>
      <c r="K8462" s="11"/>
      <c r="L8462" s="11"/>
      <c r="M8462" s="12"/>
      <c r="N8462" s="12"/>
      <c r="O8462" s="11"/>
      <c r="P8462" s="11"/>
    </row>
    <row r="8463" spans="1:16" ht="12.75" x14ac:dyDescent="0.35">
      <c r="A8463" s="11"/>
      <c r="B8463" s="9"/>
      <c r="C8463" s="9"/>
      <c r="D8463" s="9"/>
      <c r="E8463" s="11"/>
      <c r="F8463" s="11"/>
      <c r="G8463" s="11"/>
      <c r="H8463" s="11"/>
      <c r="I8463" s="11"/>
      <c r="J8463" s="11"/>
      <c r="K8463" s="11"/>
      <c r="L8463" s="11"/>
      <c r="M8463" s="12"/>
      <c r="N8463" s="12"/>
      <c r="O8463" s="11"/>
      <c r="P8463" s="11"/>
    </row>
    <row r="8464" spans="1:16" ht="12.75" x14ac:dyDescent="0.35">
      <c r="A8464" s="11"/>
      <c r="B8464" s="9"/>
      <c r="C8464" s="9"/>
      <c r="D8464" s="9"/>
      <c r="E8464" s="11"/>
      <c r="F8464" s="11"/>
      <c r="G8464" s="11"/>
      <c r="H8464" s="11"/>
      <c r="I8464" s="11"/>
      <c r="J8464" s="11"/>
      <c r="K8464" s="11"/>
      <c r="L8464" s="11"/>
      <c r="M8464" s="12"/>
      <c r="N8464" s="12"/>
      <c r="O8464" s="11"/>
      <c r="P8464" s="11"/>
    </row>
    <row r="8465" spans="1:16" ht="12.75" x14ac:dyDescent="0.35">
      <c r="A8465" s="11"/>
      <c r="B8465" s="9"/>
      <c r="C8465" s="9"/>
      <c r="D8465" s="9"/>
      <c r="E8465" s="11"/>
      <c r="F8465" s="11"/>
      <c r="G8465" s="11"/>
      <c r="H8465" s="11"/>
      <c r="I8465" s="11"/>
      <c r="J8465" s="11"/>
      <c r="K8465" s="11"/>
      <c r="L8465" s="11"/>
      <c r="M8465" s="12"/>
      <c r="N8465" s="12"/>
      <c r="O8465" s="11"/>
      <c r="P8465" s="11"/>
    </row>
    <row r="8466" spans="1:16" ht="12.75" x14ac:dyDescent="0.35">
      <c r="A8466" s="11"/>
      <c r="B8466" s="9"/>
      <c r="C8466" s="9"/>
      <c r="D8466" s="9"/>
      <c r="E8466" s="11"/>
      <c r="F8466" s="11"/>
      <c r="G8466" s="11"/>
      <c r="H8466" s="11"/>
      <c r="I8466" s="11"/>
      <c r="J8466" s="11"/>
      <c r="K8466" s="11"/>
      <c r="L8466" s="11"/>
      <c r="M8466" s="12"/>
      <c r="N8466" s="12"/>
      <c r="O8466" s="11"/>
      <c r="P8466" s="11"/>
    </row>
    <row r="8467" spans="1:16" ht="12.75" x14ac:dyDescent="0.35">
      <c r="A8467" s="11"/>
      <c r="B8467" s="9"/>
      <c r="C8467" s="9"/>
      <c r="D8467" s="9"/>
      <c r="E8467" s="11"/>
      <c r="F8467" s="11"/>
      <c r="G8467" s="11"/>
      <c r="H8467" s="11"/>
      <c r="I8467" s="11"/>
      <c r="J8467" s="11"/>
      <c r="K8467" s="11"/>
      <c r="L8467" s="11"/>
      <c r="M8467" s="12"/>
      <c r="N8467" s="12"/>
      <c r="O8467" s="11"/>
      <c r="P8467" s="11"/>
    </row>
    <row r="8468" spans="1:16" ht="12.75" x14ac:dyDescent="0.35">
      <c r="A8468" s="11"/>
      <c r="B8468" s="9"/>
      <c r="C8468" s="9"/>
      <c r="D8468" s="9"/>
      <c r="E8468" s="11"/>
      <c r="F8468" s="11"/>
      <c r="G8468" s="11"/>
      <c r="H8468" s="11"/>
      <c r="I8468" s="11"/>
      <c r="J8468" s="11"/>
      <c r="K8468" s="11"/>
      <c r="L8468" s="11"/>
      <c r="M8468" s="12"/>
      <c r="N8468" s="12"/>
      <c r="O8468" s="11"/>
      <c r="P8468" s="11"/>
    </row>
    <row r="8469" spans="1:16" ht="12.75" x14ac:dyDescent="0.35">
      <c r="A8469" s="11"/>
      <c r="B8469" s="9"/>
      <c r="C8469" s="9"/>
      <c r="D8469" s="9"/>
      <c r="E8469" s="11"/>
      <c r="F8469" s="11"/>
      <c r="G8469" s="11"/>
      <c r="H8469" s="11"/>
      <c r="I8469" s="11"/>
      <c r="J8469" s="11"/>
      <c r="K8469" s="11"/>
      <c r="L8469" s="11"/>
      <c r="M8469" s="12"/>
      <c r="N8469" s="12"/>
      <c r="O8469" s="11"/>
      <c r="P8469" s="11"/>
    </row>
    <row r="8470" spans="1:16" ht="12.75" x14ac:dyDescent="0.35">
      <c r="A8470" s="11"/>
      <c r="B8470" s="9"/>
      <c r="C8470" s="9"/>
      <c r="D8470" s="9"/>
      <c r="E8470" s="11"/>
      <c r="F8470" s="11"/>
      <c r="G8470" s="11"/>
      <c r="H8470" s="11"/>
      <c r="I8470" s="11"/>
      <c r="J8470" s="11"/>
      <c r="K8470" s="11"/>
      <c r="L8470" s="11"/>
      <c r="M8470" s="12"/>
      <c r="N8470" s="12"/>
      <c r="O8470" s="11"/>
      <c r="P8470" s="11"/>
    </row>
    <row r="8471" spans="1:16" ht="12.75" x14ac:dyDescent="0.35">
      <c r="A8471" s="11"/>
      <c r="B8471" s="9"/>
      <c r="C8471" s="9"/>
      <c r="D8471" s="9"/>
      <c r="E8471" s="11"/>
      <c r="F8471" s="11"/>
      <c r="G8471" s="11"/>
      <c r="H8471" s="11"/>
      <c r="I8471" s="11"/>
      <c r="J8471" s="11"/>
      <c r="K8471" s="11"/>
      <c r="L8471" s="11"/>
      <c r="M8471" s="12"/>
      <c r="N8471" s="12"/>
      <c r="O8471" s="11"/>
      <c r="P8471" s="11"/>
    </row>
    <row r="8472" spans="1:16" ht="12.75" x14ac:dyDescent="0.35">
      <c r="A8472" s="11"/>
      <c r="B8472" s="9"/>
      <c r="C8472" s="9"/>
      <c r="D8472" s="9"/>
      <c r="E8472" s="11"/>
      <c r="F8472" s="11"/>
      <c r="G8472" s="11"/>
      <c r="H8472" s="11"/>
      <c r="I8472" s="11"/>
      <c r="J8472" s="11"/>
      <c r="K8472" s="11"/>
      <c r="L8472" s="11"/>
      <c r="M8472" s="12"/>
      <c r="N8472" s="12"/>
      <c r="O8472" s="11"/>
      <c r="P8472" s="11"/>
    </row>
    <row r="8473" spans="1:16" ht="12.75" x14ac:dyDescent="0.35">
      <c r="A8473" s="11"/>
      <c r="B8473" s="9"/>
      <c r="C8473" s="9"/>
      <c r="D8473" s="9"/>
      <c r="E8473" s="11"/>
      <c r="F8473" s="11"/>
      <c r="G8473" s="11"/>
      <c r="H8473" s="11"/>
      <c r="I8473" s="11"/>
      <c r="J8473" s="11"/>
      <c r="K8473" s="11"/>
      <c r="L8473" s="11"/>
      <c r="M8473" s="12"/>
      <c r="N8473" s="12"/>
      <c r="O8473" s="11"/>
      <c r="P8473" s="11"/>
    </row>
    <row r="8474" spans="1:16" ht="12.75" x14ac:dyDescent="0.35">
      <c r="A8474" s="11"/>
      <c r="B8474" s="9"/>
      <c r="C8474" s="9"/>
      <c r="D8474" s="9"/>
      <c r="E8474" s="11"/>
      <c r="F8474" s="11"/>
      <c r="G8474" s="11"/>
      <c r="H8474" s="11"/>
      <c r="I8474" s="11"/>
      <c r="J8474" s="11"/>
      <c r="K8474" s="11"/>
      <c r="L8474" s="11"/>
      <c r="M8474" s="12"/>
      <c r="N8474" s="12"/>
      <c r="O8474" s="11"/>
      <c r="P8474" s="11"/>
    </row>
    <row r="8475" spans="1:16" ht="12.75" x14ac:dyDescent="0.35">
      <c r="A8475" s="11"/>
      <c r="B8475" s="9"/>
      <c r="C8475" s="9"/>
      <c r="D8475" s="9"/>
      <c r="E8475" s="11"/>
      <c r="F8475" s="11"/>
      <c r="G8475" s="11"/>
      <c r="H8475" s="11"/>
      <c r="I8475" s="11"/>
      <c r="J8475" s="11"/>
      <c r="K8475" s="11"/>
      <c r="L8475" s="11"/>
      <c r="M8475" s="12"/>
      <c r="N8475" s="12"/>
      <c r="O8475" s="11"/>
      <c r="P8475" s="11"/>
    </row>
    <row r="8476" spans="1:16" ht="12.75" x14ac:dyDescent="0.35">
      <c r="A8476" s="11"/>
      <c r="B8476" s="9"/>
      <c r="C8476" s="9"/>
      <c r="D8476" s="9"/>
      <c r="E8476" s="11"/>
      <c r="F8476" s="11"/>
      <c r="G8476" s="11"/>
      <c r="H8476" s="11"/>
      <c r="I8476" s="11"/>
      <c r="J8476" s="11"/>
      <c r="K8476" s="11"/>
      <c r="L8476" s="11"/>
      <c r="M8476" s="12"/>
      <c r="N8476" s="12"/>
      <c r="O8476" s="11"/>
      <c r="P8476" s="11"/>
    </row>
    <row r="8477" spans="1:16" ht="12.75" x14ac:dyDescent="0.35">
      <c r="A8477" s="11"/>
      <c r="B8477" s="9"/>
      <c r="C8477" s="9"/>
      <c r="D8477" s="9"/>
      <c r="E8477" s="11"/>
      <c r="F8477" s="11"/>
      <c r="G8477" s="11"/>
      <c r="H8477" s="11"/>
      <c r="I8477" s="11"/>
      <c r="J8477" s="11"/>
      <c r="K8477" s="11"/>
      <c r="L8477" s="11"/>
      <c r="M8477" s="12"/>
      <c r="N8477" s="12"/>
      <c r="O8477" s="11"/>
      <c r="P8477" s="11"/>
    </row>
    <row r="8478" spans="1:16" ht="12.75" x14ac:dyDescent="0.35">
      <c r="A8478" s="11"/>
      <c r="B8478" s="9"/>
      <c r="C8478" s="9"/>
      <c r="D8478" s="9"/>
      <c r="E8478" s="11"/>
      <c r="F8478" s="11"/>
      <c r="G8478" s="11"/>
      <c r="H8478" s="11"/>
      <c r="I8478" s="11"/>
      <c r="J8478" s="11"/>
      <c r="K8478" s="11"/>
      <c r="L8478" s="11"/>
      <c r="M8478" s="12"/>
      <c r="N8478" s="12"/>
      <c r="O8478" s="11"/>
      <c r="P8478" s="11"/>
    </row>
    <row r="8479" spans="1:16" ht="12.75" x14ac:dyDescent="0.35">
      <c r="A8479" s="11"/>
      <c r="B8479" s="9"/>
      <c r="C8479" s="9"/>
      <c r="D8479" s="9"/>
      <c r="E8479" s="11"/>
      <c r="F8479" s="11"/>
      <c r="G8479" s="11"/>
      <c r="H8479" s="11"/>
      <c r="I8479" s="11"/>
      <c r="J8479" s="11"/>
      <c r="K8479" s="11"/>
      <c r="L8479" s="11"/>
      <c r="M8479" s="12"/>
      <c r="N8479" s="12"/>
      <c r="O8479" s="11"/>
      <c r="P8479" s="11"/>
    </row>
    <row r="8480" spans="1:16" ht="12.75" x14ac:dyDescent="0.35">
      <c r="A8480" s="11"/>
      <c r="B8480" s="9"/>
      <c r="C8480" s="9"/>
      <c r="D8480" s="9"/>
      <c r="E8480" s="11"/>
      <c r="F8480" s="11"/>
      <c r="G8480" s="11"/>
      <c r="H8480" s="11"/>
      <c r="I8480" s="11"/>
      <c r="J8480" s="11"/>
      <c r="K8480" s="11"/>
      <c r="L8480" s="11"/>
      <c r="M8480" s="12"/>
      <c r="N8480" s="12"/>
      <c r="O8480" s="11"/>
      <c r="P8480" s="11"/>
    </row>
    <row r="8481" spans="1:16" ht="12.75" x14ac:dyDescent="0.35">
      <c r="A8481" s="11"/>
      <c r="B8481" s="9"/>
      <c r="C8481" s="9"/>
      <c r="D8481" s="9"/>
      <c r="E8481" s="11"/>
      <c r="F8481" s="11"/>
      <c r="G8481" s="11"/>
      <c r="H8481" s="11"/>
      <c r="I8481" s="11"/>
      <c r="J8481" s="11"/>
      <c r="K8481" s="11"/>
      <c r="L8481" s="11"/>
      <c r="M8481" s="12"/>
      <c r="N8481" s="12"/>
      <c r="O8481" s="11"/>
      <c r="P8481" s="11"/>
    </row>
    <row r="8482" spans="1:16" ht="12.75" x14ac:dyDescent="0.35">
      <c r="A8482" s="11"/>
      <c r="B8482" s="9"/>
      <c r="C8482" s="9"/>
      <c r="D8482" s="9"/>
      <c r="E8482" s="11"/>
      <c r="F8482" s="11"/>
      <c r="G8482" s="11"/>
      <c r="H8482" s="11"/>
      <c r="I8482" s="11"/>
      <c r="J8482" s="11"/>
      <c r="K8482" s="11"/>
      <c r="L8482" s="11"/>
      <c r="M8482" s="12"/>
      <c r="N8482" s="12"/>
      <c r="O8482" s="11"/>
      <c r="P8482" s="11"/>
    </row>
    <row r="8483" spans="1:16" ht="12.75" x14ac:dyDescent="0.35">
      <c r="A8483" s="11"/>
      <c r="B8483" s="9"/>
      <c r="C8483" s="9"/>
      <c r="D8483" s="9"/>
      <c r="E8483" s="11"/>
      <c r="F8483" s="11"/>
      <c r="G8483" s="11"/>
      <c r="H8483" s="11"/>
      <c r="I8483" s="11"/>
      <c r="J8483" s="11"/>
      <c r="K8483" s="11"/>
      <c r="L8483" s="11"/>
      <c r="M8483" s="12"/>
      <c r="N8483" s="12"/>
      <c r="O8483" s="11"/>
      <c r="P8483" s="11"/>
    </row>
    <row r="8484" spans="1:16" ht="12.75" x14ac:dyDescent="0.35">
      <c r="A8484" s="11"/>
      <c r="B8484" s="9"/>
      <c r="C8484" s="9"/>
      <c r="D8484" s="9"/>
      <c r="E8484" s="11"/>
      <c r="F8484" s="11"/>
      <c r="G8484" s="11"/>
      <c r="H8484" s="11"/>
      <c r="I8484" s="11"/>
      <c r="J8484" s="11"/>
      <c r="K8484" s="11"/>
      <c r="L8484" s="11"/>
      <c r="M8484" s="12"/>
      <c r="N8484" s="12"/>
      <c r="O8484" s="11"/>
      <c r="P8484" s="11"/>
    </row>
    <row r="8485" spans="1:16" ht="12.75" x14ac:dyDescent="0.35">
      <c r="A8485" s="11"/>
      <c r="B8485" s="9"/>
      <c r="C8485" s="9"/>
      <c r="D8485" s="9"/>
      <c r="E8485" s="11"/>
      <c r="F8485" s="11"/>
      <c r="G8485" s="11"/>
      <c r="H8485" s="11"/>
      <c r="I8485" s="11"/>
      <c r="J8485" s="11"/>
      <c r="K8485" s="11"/>
      <c r="L8485" s="11"/>
      <c r="M8485" s="12"/>
      <c r="N8485" s="12"/>
      <c r="O8485" s="11"/>
      <c r="P8485" s="11"/>
    </row>
    <row r="8486" spans="1:16" ht="12.75" x14ac:dyDescent="0.35">
      <c r="A8486" s="11"/>
      <c r="B8486" s="9"/>
      <c r="C8486" s="9"/>
      <c r="D8486" s="9"/>
      <c r="E8486" s="11"/>
      <c r="F8486" s="11"/>
      <c r="G8486" s="11"/>
      <c r="H8486" s="11"/>
      <c r="I8486" s="11"/>
      <c r="J8486" s="11"/>
      <c r="K8486" s="11"/>
      <c r="L8486" s="11"/>
      <c r="M8486" s="12"/>
      <c r="N8486" s="12"/>
      <c r="O8486" s="11"/>
      <c r="P8486" s="11"/>
    </row>
    <row r="8487" spans="1:16" ht="12.75" x14ac:dyDescent="0.35">
      <c r="A8487" s="11"/>
      <c r="B8487" s="9"/>
      <c r="C8487" s="9"/>
      <c r="D8487" s="9"/>
      <c r="E8487" s="11"/>
      <c r="F8487" s="11"/>
      <c r="G8487" s="11"/>
      <c r="H8487" s="11"/>
      <c r="I8487" s="11"/>
      <c r="J8487" s="11"/>
      <c r="K8487" s="11"/>
      <c r="L8487" s="11"/>
      <c r="M8487" s="12"/>
      <c r="N8487" s="12"/>
      <c r="O8487" s="11"/>
      <c r="P8487" s="11"/>
    </row>
    <row r="8488" spans="1:16" ht="12.75" x14ac:dyDescent="0.35">
      <c r="A8488" s="11"/>
      <c r="B8488" s="9"/>
      <c r="C8488" s="9"/>
      <c r="D8488" s="9"/>
      <c r="E8488" s="11"/>
      <c r="F8488" s="11"/>
      <c r="G8488" s="11"/>
      <c r="H8488" s="11"/>
      <c r="I8488" s="11"/>
      <c r="J8488" s="11"/>
      <c r="K8488" s="11"/>
      <c r="L8488" s="11"/>
      <c r="M8488" s="12"/>
      <c r="N8488" s="12"/>
      <c r="O8488" s="11"/>
      <c r="P8488" s="11"/>
    </row>
    <row r="8489" spans="1:16" ht="12.75" x14ac:dyDescent="0.35">
      <c r="A8489" s="11"/>
      <c r="B8489" s="9"/>
      <c r="C8489" s="9"/>
      <c r="D8489" s="9"/>
      <c r="E8489" s="11"/>
      <c r="F8489" s="11"/>
      <c r="G8489" s="11"/>
      <c r="H8489" s="11"/>
      <c r="I8489" s="11"/>
      <c r="J8489" s="11"/>
      <c r="K8489" s="11"/>
      <c r="L8489" s="11"/>
      <c r="M8489" s="12"/>
      <c r="N8489" s="12"/>
      <c r="O8489" s="11"/>
      <c r="P8489" s="11"/>
    </row>
    <row r="8490" spans="1:16" ht="12.75" x14ac:dyDescent="0.35">
      <c r="A8490" s="11"/>
      <c r="B8490" s="9"/>
      <c r="C8490" s="9"/>
      <c r="D8490" s="9"/>
      <c r="E8490" s="11"/>
      <c r="F8490" s="11"/>
      <c r="G8490" s="11"/>
      <c r="H8490" s="11"/>
      <c r="I8490" s="11"/>
      <c r="J8490" s="11"/>
      <c r="K8490" s="11"/>
      <c r="L8490" s="11"/>
      <c r="M8490" s="12"/>
      <c r="N8490" s="12"/>
      <c r="O8490" s="11"/>
      <c r="P8490" s="11"/>
    </row>
    <row r="8491" spans="1:16" ht="12.75" x14ac:dyDescent="0.35">
      <c r="A8491" s="11"/>
      <c r="B8491" s="9"/>
      <c r="C8491" s="9"/>
      <c r="D8491" s="9"/>
      <c r="E8491" s="11"/>
      <c r="F8491" s="11"/>
      <c r="G8491" s="11"/>
      <c r="H8491" s="11"/>
      <c r="I8491" s="11"/>
      <c r="J8491" s="11"/>
      <c r="K8491" s="11"/>
      <c r="L8491" s="11"/>
      <c r="M8491" s="12"/>
      <c r="N8491" s="12"/>
      <c r="O8491" s="11"/>
      <c r="P8491" s="11"/>
    </row>
    <row r="8492" spans="1:16" ht="12.75" x14ac:dyDescent="0.35">
      <c r="A8492" s="11"/>
      <c r="B8492" s="9"/>
      <c r="C8492" s="9"/>
      <c r="D8492" s="9"/>
      <c r="E8492" s="11"/>
      <c r="F8492" s="11"/>
      <c r="G8492" s="11"/>
      <c r="H8492" s="11"/>
      <c r="I8492" s="11"/>
      <c r="J8492" s="11"/>
      <c r="K8492" s="11"/>
      <c r="L8492" s="11"/>
      <c r="M8492" s="12"/>
      <c r="N8492" s="12"/>
      <c r="O8492" s="11"/>
      <c r="P8492" s="11"/>
    </row>
    <row r="8493" spans="1:16" ht="12.75" x14ac:dyDescent="0.35">
      <c r="A8493" s="11"/>
      <c r="B8493" s="9"/>
      <c r="C8493" s="9"/>
      <c r="D8493" s="9"/>
      <c r="E8493" s="11"/>
      <c r="F8493" s="11"/>
      <c r="G8493" s="11"/>
      <c r="H8493" s="11"/>
      <c r="I8493" s="11"/>
      <c r="J8493" s="11"/>
      <c r="K8493" s="11"/>
      <c r="L8493" s="11"/>
      <c r="M8493" s="12"/>
      <c r="N8493" s="12"/>
      <c r="O8493" s="11"/>
      <c r="P8493" s="11"/>
    </row>
    <row r="8494" spans="1:16" ht="12.75" x14ac:dyDescent="0.35">
      <c r="A8494" s="11"/>
      <c r="B8494" s="9"/>
      <c r="C8494" s="9"/>
      <c r="D8494" s="9"/>
      <c r="E8494" s="11"/>
      <c r="F8494" s="11"/>
      <c r="G8494" s="11"/>
      <c r="H8494" s="11"/>
      <c r="I8494" s="11"/>
      <c r="J8494" s="11"/>
      <c r="K8494" s="11"/>
      <c r="L8494" s="11"/>
      <c r="M8494" s="12"/>
      <c r="N8494" s="12"/>
      <c r="O8494" s="11"/>
      <c r="P8494" s="11"/>
    </row>
    <row r="8495" spans="1:16" ht="12.75" x14ac:dyDescent="0.35">
      <c r="A8495" s="11"/>
      <c r="B8495" s="9"/>
      <c r="C8495" s="9"/>
      <c r="D8495" s="9"/>
      <c r="E8495" s="11"/>
      <c r="F8495" s="11"/>
      <c r="G8495" s="11"/>
      <c r="H8495" s="11"/>
      <c r="I8495" s="11"/>
      <c r="J8495" s="11"/>
      <c r="K8495" s="11"/>
      <c r="L8495" s="11"/>
      <c r="M8495" s="12"/>
      <c r="N8495" s="12"/>
      <c r="O8495" s="11"/>
      <c r="P8495" s="11"/>
    </row>
    <row r="8496" spans="1:16" ht="12.75" x14ac:dyDescent="0.35">
      <c r="A8496" s="11"/>
      <c r="B8496" s="9"/>
      <c r="C8496" s="9"/>
      <c r="D8496" s="9"/>
      <c r="E8496" s="11"/>
      <c r="F8496" s="11"/>
      <c r="G8496" s="11"/>
      <c r="H8496" s="11"/>
      <c r="I8496" s="11"/>
      <c r="J8496" s="11"/>
      <c r="K8496" s="11"/>
      <c r="L8496" s="11"/>
      <c r="M8496" s="12"/>
      <c r="N8496" s="12"/>
      <c r="O8496" s="11"/>
      <c r="P8496" s="11"/>
    </row>
    <row r="8497" spans="1:16" ht="12.75" x14ac:dyDescent="0.35">
      <c r="A8497" s="11"/>
      <c r="B8497" s="9"/>
      <c r="C8497" s="9"/>
      <c r="D8497" s="9"/>
      <c r="E8497" s="11"/>
      <c r="F8497" s="11"/>
      <c r="G8497" s="11"/>
      <c r="H8497" s="11"/>
      <c r="I8497" s="11"/>
      <c r="J8497" s="11"/>
      <c r="K8497" s="11"/>
      <c r="L8497" s="11"/>
      <c r="M8497" s="12"/>
      <c r="N8497" s="12"/>
      <c r="O8497" s="11"/>
      <c r="P8497" s="11"/>
    </row>
    <row r="8498" spans="1:16" ht="12.75" x14ac:dyDescent="0.35">
      <c r="A8498" s="11"/>
      <c r="B8498" s="9"/>
      <c r="C8498" s="9"/>
      <c r="D8498" s="9"/>
      <c r="E8498" s="11"/>
      <c r="F8498" s="11"/>
      <c r="G8498" s="11"/>
      <c r="H8498" s="11"/>
      <c r="I8498" s="11"/>
      <c r="J8498" s="11"/>
      <c r="K8498" s="11"/>
      <c r="L8498" s="11"/>
      <c r="M8498" s="12"/>
      <c r="N8498" s="12"/>
      <c r="O8498" s="11"/>
      <c r="P8498" s="11"/>
    </row>
    <row r="8499" spans="1:16" ht="12.75" x14ac:dyDescent="0.35">
      <c r="A8499" s="11"/>
      <c r="B8499" s="9"/>
      <c r="C8499" s="9"/>
      <c r="D8499" s="9"/>
      <c r="E8499" s="11"/>
      <c r="F8499" s="11"/>
      <c r="G8499" s="11"/>
      <c r="H8499" s="11"/>
      <c r="I8499" s="11"/>
      <c r="J8499" s="11"/>
      <c r="K8499" s="11"/>
      <c r="L8499" s="11"/>
      <c r="M8499" s="12"/>
      <c r="N8499" s="12"/>
      <c r="O8499" s="11"/>
      <c r="P8499" s="11"/>
    </row>
    <row r="8500" spans="1:16" ht="12.75" x14ac:dyDescent="0.35">
      <c r="A8500" s="11"/>
      <c r="B8500" s="9"/>
      <c r="C8500" s="9"/>
      <c r="D8500" s="9"/>
      <c r="E8500" s="11"/>
      <c r="F8500" s="11"/>
      <c r="G8500" s="11"/>
      <c r="H8500" s="11"/>
      <c r="I8500" s="11"/>
      <c r="J8500" s="11"/>
      <c r="K8500" s="11"/>
      <c r="L8500" s="11"/>
      <c r="M8500" s="12"/>
      <c r="N8500" s="12"/>
      <c r="O8500" s="11"/>
      <c r="P8500" s="11"/>
    </row>
    <row r="8501" spans="1:16" ht="12.75" x14ac:dyDescent="0.35">
      <c r="A8501" s="11"/>
      <c r="B8501" s="9"/>
      <c r="C8501" s="9"/>
      <c r="D8501" s="9"/>
      <c r="E8501" s="11"/>
      <c r="F8501" s="11"/>
      <c r="G8501" s="11"/>
      <c r="H8501" s="11"/>
      <c r="I8501" s="11"/>
      <c r="J8501" s="11"/>
      <c r="K8501" s="11"/>
      <c r="L8501" s="11"/>
      <c r="M8501" s="12"/>
      <c r="N8501" s="12"/>
      <c r="O8501" s="11"/>
      <c r="P8501" s="11"/>
    </row>
    <row r="8502" spans="1:16" ht="12.75" x14ac:dyDescent="0.35">
      <c r="A8502" s="11"/>
      <c r="B8502" s="9"/>
      <c r="C8502" s="9"/>
      <c r="D8502" s="9"/>
      <c r="E8502" s="11"/>
      <c r="F8502" s="11"/>
      <c r="G8502" s="11"/>
      <c r="H8502" s="11"/>
      <c r="I8502" s="11"/>
      <c r="J8502" s="11"/>
      <c r="K8502" s="11"/>
      <c r="L8502" s="11"/>
      <c r="M8502" s="12"/>
      <c r="N8502" s="12"/>
      <c r="O8502" s="11"/>
      <c r="P8502" s="11"/>
    </row>
    <row r="8503" spans="1:16" ht="12.75" x14ac:dyDescent="0.35">
      <c r="A8503" s="11"/>
      <c r="B8503" s="9"/>
      <c r="C8503" s="9"/>
      <c r="D8503" s="9"/>
      <c r="E8503" s="11"/>
      <c r="F8503" s="11"/>
      <c r="G8503" s="11"/>
      <c r="H8503" s="11"/>
      <c r="I8503" s="11"/>
      <c r="J8503" s="11"/>
      <c r="K8503" s="11"/>
      <c r="L8503" s="11"/>
      <c r="M8503" s="12"/>
      <c r="N8503" s="12"/>
      <c r="O8503" s="11"/>
      <c r="P8503" s="11"/>
    </row>
    <row r="8504" spans="1:16" ht="12.75" x14ac:dyDescent="0.35">
      <c r="A8504" s="11"/>
      <c r="B8504" s="9"/>
      <c r="C8504" s="9"/>
      <c r="D8504" s="9"/>
      <c r="E8504" s="11"/>
      <c r="F8504" s="11"/>
      <c r="G8504" s="11"/>
      <c r="H8504" s="11"/>
      <c r="I8504" s="11"/>
      <c r="J8504" s="11"/>
      <c r="K8504" s="11"/>
      <c r="L8504" s="11"/>
      <c r="M8504" s="12"/>
      <c r="N8504" s="12"/>
      <c r="O8504" s="11"/>
      <c r="P8504" s="11"/>
    </row>
    <row r="8505" spans="1:16" ht="12.75" x14ac:dyDescent="0.35">
      <c r="A8505" s="11"/>
      <c r="B8505" s="9"/>
      <c r="C8505" s="9"/>
      <c r="D8505" s="9"/>
      <c r="E8505" s="11"/>
      <c r="F8505" s="11"/>
      <c r="G8505" s="11"/>
      <c r="H8505" s="11"/>
      <c r="I8505" s="11"/>
      <c r="J8505" s="11"/>
      <c r="K8505" s="11"/>
      <c r="L8505" s="11"/>
      <c r="M8505" s="12"/>
      <c r="N8505" s="12"/>
      <c r="O8505" s="11"/>
      <c r="P8505" s="11"/>
    </row>
    <row r="8506" spans="1:16" ht="12.75" x14ac:dyDescent="0.35">
      <c r="A8506" s="11"/>
      <c r="B8506" s="9"/>
      <c r="C8506" s="9"/>
      <c r="D8506" s="9"/>
      <c r="E8506" s="11"/>
      <c r="F8506" s="11"/>
      <c r="G8506" s="11"/>
      <c r="H8506" s="11"/>
      <c r="I8506" s="11"/>
      <c r="J8506" s="11"/>
      <c r="K8506" s="11"/>
      <c r="L8506" s="11"/>
      <c r="M8506" s="12"/>
      <c r="N8506" s="12"/>
      <c r="O8506" s="11"/>
      <c r="P8506" s="11"/>
    </row>
    <row r="8507" spans="1:16" ht="12.75" x14ac:dyDescent="0.35">
      <c r="A8507" s="11"/>
      <c r="B8507" s="9"/>
      <c r="C8507" s="9"/>
      <c r="D8507" s="9"/>
      <c r="E8507" s="11"/>
      <c r="F8507" s="11"/>
      <c r="G8507" s="11"/>
      <c r="H8507" s="11"/>
      <c r="I8507" s="11"/>
      <c r="J8507" s="11"/>
      <c r="K8507" s="11"/>
      <c r="L8507" s="11"/>
      <c r="M8507" s="12"/>
      <c r="N8507" s="12"/>
      <c r="O8507" s="11"/>
      <c r="P8507" s="11"/>
    </row>
    <row r="8508" spans="1:16" ht="12.75" x14ac:dyDescent="0.35">
      <c r="A8508" s="11"/>
      <c r="B8508" s="9"/>
      <c r="C8508" s="9"/>
      <c r="D8508" s="9"/>
      <c r="E8508" s="11"/>
      <c r="F8508" s="11"/>
      <c r="G8508" s="11"/>
      <c r="H8508" s="11"/>
      <c r="I8508" s="11"/>
      <c r="J8508" s="11"/>
      <c r="K8508" s="11"/>
      <c r="L8508" s="11"/>
      <c r="M8508" s="12"/>
      <c r="N8508" s="12"/>
      <c r="O8508" s="11"/>
      <c r="P8508" s="11"/>
    </row>
    <row r="8509" spans="1:16" ht="12.75" x14ac:dyDescent="0.35">
      <c r="A8509" s="11"/>
      <c r="B8509" s="9"/>
      <c r="C8509" s="9"/>
      <c r="D8509" s="9"/>
      <c r="E8509" s="11"/>
      <c r="F8509" s="11"/>
      <c r="G8509" s="11"/>
      <c r="H8509" s="11"/>
      <c r="I8509" s="11"/>
      <c r="J8509" s="11"/>
      <c r="K8509" s="11"/>
      <c r="L8509" s="11"/>
      <c r="M8509" s="12"/>
      <c r="N8509" s="12"/>
      <c r="O8509" s="11"/>
      <c r="P8509" s="11"/>
    </row>
    <row r="8510" spans="1:16" ht="12.75" x14ac:dyDescent="0.35">
      <c r="A8510" s="11"/>
      <c r="B8510" s="9"/>
      <c r="C8510" s="9"/>
      <c r="D8510" s="9"/>
      <c r="E8510" s="11"/>
      <c r="F8510" s="11"/>
      <c r="G8510" s="11"/>
      <c r="H8510" s="11"/>
      <c r="I8510" s="11"/>
      <c r="J8510" s="11"/>
      <c r="K8510" s="11"/>
      <c r="L8510" s="11"/>
      <c r="M8510" s="12"/>
      <c r="N8510" s="12"/>
      <c r="O8510" s="11"/>
      <c r="P8510" s="11"/>
    </row>
    <row r="8511" spans="1:16" ht="12.75" x14ac:dyDescent="0.35">
      <c r="A8511" s="11"/>
      <c r="B8511" s="9"/>
      <c r="C8511" s="9"/>
      <c r="D8511" s="9"/>
      <c r="E8511" s="11"/>
      <c r="F8511" s="11"/>
      <c r="G8511" s="11"/>
      <c r="H8511" s="11"/>
      <c r="I8511" s="11"/>
      <c r="J8511" s="11"/>
      <c r="K8511" s="11"/>
      <c r="L8511" s="11"/>
      <c r="M8511" s="12"/>
      <c r="N8511" s="12"/>
      <c r="O8511" s="11"/>
      <c r="P8511" s="11"/>
    </row>
    <row r="8512" spans="1:16" ht="12.75" x14ac:dyDescent="0.35">
      <c r="A8512" s="11"/>
      <c r="B8512" s="9"/>
      <c r="C8512" s="9"/>
      <c r="D8512" s="9"/>
      <c r="E8512" s="11"/>
      <c r="F8512" s="11"/>
      <c r="G8512" s="11"/>
      <c r="H8512" s="11"/>
      <c r="I8512" s="11"/>
      <c r="J8512" s="11"/>
      <c r="K8512" s="11"/>
      <c r="L8512" s="11"/>
      <c r="M8512" s="12"/>
      <c r="N8512" s="12"/>
      <c r="O8512" s="11"/>
      <c r="P8512" s="11"/>
    </row>
    <row r="8513" spans="1:16" ht="12.75" x14ac:dyDescent="0.35">
      <c r="A8513" s="11"/>
      <c r="B8513" s="9"/>
      <c r="C8513" s="9"/>
      <c r="D8513" s="9"/>
      <c r="E8513" s="11"/>
      <c r="F8513" s="11"/>
      <c r="G8513" s="11"/>
      <c r="H8513" s="11"/>
      <c r="I8513" s="11"/>
      <c r="J8513" s="11"/>
      <c r="K8513" s="11"/>
      <c r="L8513" s="11"/>
      <c r="M8513" s="12"/>
      <c r="N8513" s="12"/>
      <c r="O8513" s="11"/>
      <c r="P8513" s="11"/>
    </row>
    <row r="8514" spans="1:16" ht="12.75" x14ac:dyDescent="0.35">
      <c r="A8514" s="11"/>
      <c r="B8514" s="9"/>
      <c r="C8514" s="9"/>
      <c r="D8514" s="9"/>
      <c r="E8514" s="11"/>
      <c r="F8514" s="11"/>
      <c r="G8514" s="11"/>
      <c r="H8514" s="11"/>
      <c r="I8514" s="11"/>
      <c r="J8514" s="11"/>
      <c r="K8514" s="11"/>
      <c r="L8514" s="11"/>
      <c r="M8514" s="12"/>
      <c r="N8514" s="12"/>
      <c r="O8514" s="11"/>
      <c r="P8514" s="11"/>
    </row>
    <row r="8515" spans="1:16" ht="12.75" x14ac:dyDescent="0.35">
      <c r="A8515" s="11"/>
      <c r="B8515" s="9"/>
      <c r="C8515" s="9"/>
      <c r="D8515" s="9"/>
      <c r="E8515" s="11"/>
      <c r="F8515" s="11"/>
      <c r="G8515" s="11"/>
      <c r="H8515" s="11"/>
      <c r="I8515" s="11"/>
      <c r="J8515" s="11"/>
      <c r="K8515" s="11"/>
      <c r="L8515" s="11"/>
      <c r="M8515" s="12"/>
      <c r="N8515" s="12"/>
      <c r="O8515" s="11"/>
      <c r="P8515" s="11"/>
    </row>
    <row r="8516" spans="1:16" ht="12.75" x14ac:dyDescent="0.35">
      <c r="A8516" s="11"/>
      <c r="B8516" s="9"/>
      <c r="C8516" s="9"/>
      <c r="D8516" s="9"/>
      <c r="E8516" s="11"/>
      <c r="F8516" s="11"/>
      <c r="G8516" s="11"/>
      <c r="H8516" s="11"/>
      <c r="I8516" s="11"/>
      <c r="J8516" s="11"/>
      <c r="K8516" s="11"/>
      <c r="L8516" s="11"/>
      <c r="M8516" s="12"/>
      <c r="N8516" s="12"/>
      <c r="O8516" s="11"/>
      <c r="P8516" s="11"/>
    </row>
    <row r="8517" spans="1:16" ht="12.75" x14ac:dyDescent="0.35">
      <c r="A8517" s="11"/>
      <c r="B8517" s="9"/>
      <c r="C8517" s="9"/>
      <c r="D8517" s="9"/>
      <c r="E8517" s="11"/>
      <c r="F8517" s="11"/>
      <c r="G8517" s="11"/>
      <c r="H8517" s="11"/>
      <c r="I8517" s="11"/>
      <c r="J8517" s="11"/>
      <c r="K8517" s="11"/>
      <c r="L8517" s="11"/>
      <c r="M8517" s="12"/>
      <c r="N8517" s="12"/>
      <c r="O8517" s="11"/>
      <c r="P8517" s="11"/>
    </row>
    <row r="8518" spans="1:16" ht="12.75" x14ac:dyDescent="0.35">
      <c r="A8518" s="11"/>
      <c r="B8518" s="9"/>
      <c r="C8518" s="9"/>
      <c r="D8518" s="9"/>
      <c r="E8518" s="11"/>
      <c r="F8518" s="11"/>
      <c r="G8518" s="11"/>
      <c r="H8518" s="11"/>
      <c r="I8518" s="11"/>
      <c r="J8518" s="11"/>
      <c r="K8518" s="11"/>
      <c r="L8518" s="11"/>
      <c r="M8518" s="12"/>
      <c r="N8518" s="12"/>
      <c r="O8518" s="11"/>
      <c r="P8518" s="11"/>
    </row>
    <row r="8519" spans="1:16" ht="12.75" x14ac:dyDescent="0.35">
      <c r="A8519" s="11"/>
      <c r="B8519" s="9"/>
      <c r="C8519" s="9"/>
      <c r="D8519" s="9"/>
      <c r="E8519" s="11"/>
      <c r="F8519" s="11"/>
      <c r="G8519" s="11"/>
      <c r="H8519" s="11"/>
      <c r="I8519" s="11"/>
      <c r="J8519" s="11"/>
      <c r="K8519" s="11"/>
      <c r="L8519" s="11"/>
      <c r="M8519" s="12"/>
      <c r="N8519" s="12"/>
      <c r="O8519" s="11"/>
      <c r="P8519" s="11"/>
    </row>
    <row r="8520" spans="1:16" ht="12.75" x14ac:dyDescent="0.35">
      <c r="A8520" s="11"/>
      <c r="B8520" s="9"/>
      <c r="C8520" s="9"/>
      <c r="D8520" s="9"/>
      <c r="E8520" s="11"/>
      <c r="F8520" s="11"/>
      <c r="G8520" s="11"/>
      <c r="H8520" s="11"/>
      <c r="I8520" s="11"/>
      <c r="J8520" s="11"/>
      <c r="K8520" s="11"/>
      <c r="L8520" s="11"/>
      <c r="M8520" s="12"/>
      <c r="N8520" s="12"/>
      <c r="O8520" s="11"/>
      <c r="P8520" s="11"/>
    </row>
    <row r="8521" spans="1:16" ht="12.75" x14ac:dyDescent="0.35">
      <c r="A8521" s="11"/>
      <c r="B8521" s="9"/>
      <c r="C8521" s="9"/>
      <c r="D8521" s="9"/>
      <c r="E8521" s="11"/>
      <c r="F8521" s="11"/>
      <c r="G8521" s="11"/>
      <c r="H8521" s="11"/>
      <c r="I8521" s="11"/>
      <c r="J8521" s="11"/>
      <c r="K8521" s="11"/>
      <c r="L8521" s="11"/>
      <c r="M8521" s="12"/>
      <c r="N8521" s="12"/>
      <c r="O8521" s="11"/>
      <c r="P8521" s="11"/>
    </row>
    <row r="8522" spans="1:16" ht="12.75" x14ac:dyDescent="0.35">
      <c r="A8522" s="11"/>
      <c r="B8522" s="9"/>
      <c r="C8522" s="9"/>
      <c r="D8522" s="9"/>
      <c r="E8522" s="11"/>
      <c r="F8522" s="11"/>
      <c r="G8522" s="11"/>
      <c r="H8522" s="11"/>
      <c r="I8522" s="11"/>
      <c r="J8522" s="11"/>
      <c r="K8522" s="11"/>
      <c r="L8522" s="11"/>
      <c r="M8522" s="12"/>
      <c r="N8522" s="12"/>
      <c r="O8522" s="11"/>
      <c r="P8522" s="11"/>
    </row>
    <row r="8523" spans="1:16" ht="12.75" x14ac:dyDescent="0.35">
      <c r="A8523" s="11"/>
      <c r="B8523" s="9"/>
      <c r="C8523" s="9"/>
      <c r="D8523" s="9"/>
      <c r="E8523" s="11"/>
      <c r="F8523" s="11"/>
      <c r="G8523" s="11"/>
      <c r="H8523" s="11"/>
      <c r="I8523" s="11"/>
      <c r="J8523" s="11"/>
      <c r="K8523" s="11"/>
      <c r="L8523" s="11"/>
      <c r="M8523" s="12"/>
      <c r="N8523" s="12"/>
      <c r="O8523" s="11"/>
      <c r="P8523" s="11"/>
    </row>
    <row r="8524" spans="1:16" ht="12.75" x14ac:dyDescent="0.35">
      <c r="A8524" s="11"/>
      <c r="B8524" s="9"/>
      <c r="C8524" s="9"/>
      <c r="D8524" s="9"/>
      <c r="E8524" s="11"/>
      <c r="F8524" s="11"/>
      <c r="G8524" s="11"/>
      <c r="H8524" s="11"/>
      <c r="I8524" s="11"/>
      <c r="J8524" s="11"/>
      <c r="K8524" s="11"/>
      <c r="L8524" s="11"/>
      <c r="M8524" s="12"/>
      <c r="N8524" s="12"/>
      <c r="O8524" s="11"/>
      <c r="P8524" s="11"/>
    </row>
    <row r="8525" spans="1:16" ht="12.75" x14ac:dyDescent="0.35">
      <c r="A8525" s="11"/>
      <c r="B8525" s="9"/>
      <c r="C8525" s="9"/>
      <c r="D8525" s="9"/>
      <c r="E8525" s="11"/>
      <c r="F8525" s="11"/>
      <c r="G8525" s="11"/>
      <c r="H8525" s="11"/>
      <c r="I8525" s="11"/>
      <c r="J8525" s="11"/>
      <c r="K8525" s="11"/>
      <c r="L8525" s="11"/>
      <c r="M8525" s="12"/>
      <c r="N8525" s="12"/>
      <c r="O8525" s="11"/>
      <c r="P8525" s="11"/>
    </row>
    <row r="8526" spans="1:16" ht="12.75" x14ac:dyDescent="0.35">
      <c r="A8526" s="11"/>
      <c r="B8526" s="9"/>
      <c r="C8526" s="9"/>
      <c r="D8526" s="9"/>
      <c r="E8526" s="11"/>
      <c r="F8526" s="11"/>
      <c r="G8526" s="11"/>
      <c r="H8526" s="11"/>
      <c r="I8526" s="11"/>
      <c r="J8526" s="11"/>
      <c r="K8526" s="11"/>
      <c r="L8526" s="11"/>
      <c r="M8526" s="12"/>
      <c r="N8526" s="12"/>
      <c r="O8526" s="11"/>
      <c r="P8526" s="11"/>
    </row>
    <row r="8527" spans="1:16" ht="12.75" x14ac:dyDescent="0.35">
      <c r="A8527" s="11"/>
      <c r="B8527" s="9"/>
      <c r="C8527" s="9"/>
      <c r="D8527" s="9"/>
      <c r="E8527" s="11"/>
      <c r="F8527" s="11"/>
      <c r="G8527" s="11"/>
      <c r="H8527" s="11"/>
      <c r="I8527" s="11"/>
      <c r="J8527" s="11"/>
      <c r="K8527" s="11"/>
      <c r="L8527" s="11"/>
      <c r="M8527" s="12"/>
      <c r="N8527" s="12"/>
      <c r="O8527" s="11"/>
      <c r="P8527" s="11"/>
    </row>
    <row r="8528" spans="1:16" ht="12.75" x14ac:dyDescent="0.35">
      <c r="A8528" s="11"/>
      <c r="B8528" s="9"/>
      <c r="C8528" s="9"/>
      <c r="D8528" s="9"/>
      <c r="E8528" s="11"/>
      <c r="F8528" s="11"/>
      <c r="G8528" s="11"/>
      <c r="H8528" s="11"/>
      <c r="I8528" s="11"/>
      <c r="J8528" s="11"/>
      <c r="K8528" s="11"/>
      <c r="L8528" s="11"/>
      <c r="M8528" s="12"/>
      <c r="N8528" s="12"/>
      <c r="O8528" s="11"/>
      <c r="P8528" s="11"/>
    </row>
    <row r="8529" spans="1:16" ht="12.75" x14ac:dyDescent="0.35">
      <c r="A8529" s="11"/>
      <c r="B8529" s="9"/>
      <c r="C8529" s="9"/>
      <c r="D8529" s="9"/>
      <c r="E8529" s="11"/>
      <c r="F8529" s="11"/>
      <c r="G8529" s="11"/>
      <c r="H8529" s="11"/>
      <c r="I8529" s="11"/>
      <c r="J8529" s="11"/>
      <c r="K8529" s="11"/>
      <c r="L8529" s="11"/>
      <c r="M8529" s="12"/>
      <c r="N8529" s="12"/>
      <c r="O8529" s="11"/>
      <c r="P8529" s="11"/>
    </row>
    <row r="8530" spans="1:16" ht="12.75" x14ac:dyDescent="0.35">
      <c r="A8530" s="11"/>
      <c r="B8530" s="9"/>
      <c r="C8530" s="9"/>
      <c r="D8530" s="9"/>
      <c r="E8530" s="11"/>
      <c r="F8530" s="11"/>
      <c r="G8530" s="11"/>
      <c r="H8530" s="11"/>
      <c r="I8530" s="11"/>
      <c r="J8530" s="11"/>
      <c r="K8530" s="11"/>
      <c r="L8530" s="11"/>
      <c r="M8530" s="12"/>
      <c r="N8530" s="12"/>
      <c r="O8530" s="11"/>
      <c r="P8530" s="11"/>
    </row>
    <row r="8531" spans="1:16" ht="12.75" x14ac:dyDescent="0.35">
      <c r="A8531" s="11"/>
      <c r="B8531" s="9"/>
      <c r="C8531" s="9"/>
      <c r="D8531" s="9"/>
      <c r="E8531" s="11"/>
      <c r="F8531" s="11"/>
      <c r="G8531" s="11"/>
      <c r="H8531" s="11"/>
      <c r="I8531" s="11"/>
      <c r="J8531" s="11"/>
      <c r="K8531" s="11"/>
      <c r="L8531" s="11"/>
      <c r="M8531" s="12"/>
      <c r="N8531" s="12"/>
      <c r="O8531" s="11"/>
      <c r="P8531" s="11"/>
    </row>
    <row r="8532" spans="1:16" ht="12.75" x14ac:dyDescent="0.35">
      <c r="A8532" s="11"/>
      <c r="B8532" s="9"/>
      <c r="C8532" s="9"/>
      <c r="D8532" s="9"/>
      <c r="E8532" s="11"/>
      <c r="F8532" s="11"/>
      <c r="G8532" s="11"/>
      <c r="H8532" s="11"/>
      <c r="I8532" s="11"/>
      <c r="J8532" s="11"/>
      <c r="K8532" s="11"/>
      <c r="L8532" s="11"/>
      <c r="M8532" s="12"/>
      <c r="N8532" s="12"/>
      <c r="O8532" s="11"/>
      <c r="P8532" s="11"/>
    </row>
    <row r="8533" spans="1:16" ht="12.75" x14ac:dyDescent="0.35">
      <c r="A8533" s="11"/>
      <c r="B8533" s="9"/>
      <c r="C8533" s="9"/>
      <c r="D8533" s="9"/>
      <c r="E8533" s="11"/>
      <c r="F8533" s="11"/>
      <c r="G8533" s="11"/>
      <c r="H8533" s="11"/>
      <c r="I8533" s="11"/>
      <c r="J8533" s="11"/>
      <c r="K8533" s="11"/>
      <c r="L8533" s="11"/>
      <c r="M8533" s="12"/>
      <c r="N8533" s="12"/>
      <c r="O8533" s="11"/>
      <c r="P8533" s="11"/>
    </row>
    <row r="8534" spans="1:16" ht="12.75" x14ac:dyDescent="0.35">
      <c r="A8534" s="11"/>
      <c r="B8534" s="9"/>
      <c r="C8534" s="9"/>
      <c r="D8534" s="9"/>
      <c r="E8534" s="11"/>
      <c r="F8534" s="11"/>
      <c r="G8534" s="11"/>
      <c r="H8534" s="11"/>
      <c r="I8534" s="11"/>
      <c r="J8534" s="11"/>
      <c r="K8534" s="11"/>
      <c r="L8534" s="11"/>
      <c r="M8534" s="12"/>
      <c r="N8534" s="12"/>
      <c r="O8534" s="11"/>
      <c r="P8534" s="11"/>
    </row>
    <row r="8535" spans="1:16" ht="12.75" x14ac:dyDescent="0.35">
      <c r="A8535" s="11"/>
      <c r="B8535" s="9"/>
      <c r="C8535" s="9"/>
      <c r="D8535" s="9"/>
      <c r="E8535" s="11"/>
      <c r="F8535" s="11"/>
      <c r="G8535" s="11"/>
      <c r="H8535" s="11"/>
      <c r="I8535" s="11"/>
      <c r="J8535" s="11"/>
      <c r="K8535" s="11"/>
      <c r="L8535" s="11"/>
      <c r="M8535" s="12"/>
      <c r="N8535" s="12"/>
      <c r="O8535" s="11"/>
      <c r="P8535" s="11"/>
    </row>
    <row r="8536" spans="1:16" ht="12.75" x14ac:dyDescent="0.35">
      <c r="A8536" s="11"/>
      <c r="B8536" s="9"/>
      <c r="C8536" s="9"/>
      <c r="D8536" s="9"/>
      <c r="E8536" s="11"/>
      <c r="F8536" s="11"/>
      <c r="G8536" s="11"/>
      <c r="H8536" s="11"/>
      <c r="I8536" s="11"/>
      <c r="J8536" s="11"/>
      <c r="K8536" s="11"/>
      <c r="L8536" s="11"/>
      <c r="M8536" s="12"/>
      <c r="N8536" s="12"/>
      <c r="O8536" s="11"/>
      <c r="P8536" s="11"/>
    </row>
    <row r="8537" spans="1:16" ht="12.75" x14ac:dyDescent="0.35">
      <c r="A8537" s="11"/>
      <c r="B8537" s="9"/>
      <c r="C8537" s="9"/>
      <c r="D8537" s="9"/>
      <c r="E8537" s="11"/>
      <c r="F8537" s="11"/>
      <c r="G8537" s="11"/>
      <c r="H8537" s="11"/>
      <c r="I8537" s="11"/>
      <c r="J8537" s="11"/>
      <c r="K8537" s="11"/>
      <c r="L8537" s="11"/>
      <c r="M8537" s="12"/>
      <c r="N8537" s="12"/>
      <c r="O8537" s="11"/>
      <c r="P8537" s="11"/>
    </row>
    <row r="8538" spans="1:16" ht="12.75" x14ac:dyDescent="0.35">
      <c r="A8538" s="11"/>
      <c r="B8538" s="9"/>
      <c r="C8538" s="9"/>
      <c r="D8538" s="9"/>
      <c r="E8538" s="11"/>
      <c r="F8538" s="11"/>
      <c r="G8538" s="11"/>
      <c r="H8538" s="11"/>
      <c r="I8538" s="11"/>
      <c r="J8538" s="11"/>
      <c r="K8538" s="11"/>
      <c r="L8538" s="11"/>
      <c r="M8538" s="12"/>
      <c r="N8538" s="12"/>
      <c r="O8538" s="11"/>
      <c r="P8538" s="11"/>
    </row>
    <row r="8539" spans="1:16" ht="12.75" x14ac:dyDescent="0.35">
      <c r="A8539" s="11"/>
      <c r="B8539" s="9"/>
      <c r="C8539" s="9"/>
      <c r="D8539" s="9"/>
      <c r="E8539" s="11"/>
      <c r="F8539" s="11"/>
      <c r="G8539" s="11"/>
      <c r="H8539" s="11"/>
      <c r="I8539" s="11"/>
      <c r="J8539" s="11"/>
      <c r="K8539" s="11"/>
      <c r="L8539" s="11"/>
      <c r="M8539" s="12"/>
      <c r="N8539" s="12"/>
      <c r="O8539" s="11"/>
      <c r="P8539" s="11"/>
    </row>
    <row r="8540" spans="1:16" ht="12.75" x14ac:dyDescent="0.35">
      <c r="A8540" s="11"/>
      <c r="B8540" s="9"/>
      <c r="C8540" s="9"/>
      <c r="D8540" s="9"/>
      <c r="E8540" s="11"/>
      <c r="F8540" s="11"/>
      <c r="G8540" s="11"/>
      <c r="H8540" s="11"/>
      <c r="I8540" s="11"/>
      <c r="J8540" s="11"/>
      <c r="K8540" s="11"/>
      <c r="L8540" s="11"/>
      <c r="M8540" s="12"/>
      <c r="N8540" s="12"/>
      <c r="O8540" s="11"/>
      <c r="P8540" s="11"/>
    </row>
    <row r="8541" spans="1:16" ht="12.75" x14ac:dyDescent="0.35">
      <c r="A8541" s="11"/>
      <c r="B8541" s="9"/>
      <c r="C8541" s="9"/>
      <c r="D8541" s="9"/>
      <c r="E8541" s="11"/>
      <c r="F8541" s="11"/>
      <c r="G8541" s="11"/>
      <c r="H8541" s="11"/>
      <c r="I8541" s="11"/>
      <c r="J8541" s="11"/>
      <c r="K8541" s="11"/>
      <c r="L8541" s="11"/>
      <c r="M8541" s="12"/>
      <c r="N8541" s="12"/>
      <c r="O8541" s="11"/>
      <c r="P8541" s="11"/>
    </row>
    <row r="8542" spans="1:16" ht="12.75" x14ac:dyDescent="0.35">
      <c r="A8542" s="11"/>
      <c r="B8542" s="9"/>
      <c r="C8542" s="9"/>
      <c r="D8542" s="9"/>
      <c r="E8542" s="11"/>
      <c r="F8542" s="11"/>
      <c r="G8542" s="11"/>
      <c r="H8542" s="11"/>
      <c r="I8542" s="11"/>
      <c r="J8542" s="11"/>
      <c r="K8542" s="11"/>
      <c r="L8542" s="11"/>
      <c r="M8542" s="12"/>
      <c r="N8542" s="12"/>
      <c r="O8542" s="11"/>
      <c r="P8542" s="11"/>
    </row>
    <row r="8543" spans="1:16" ht="12.75" x14ac:dyDescent="0.35">
      <c r="A8543" s="11"/>
      <c r="B8543" s="9"/>
      <c r="C8543" s="9"/>
      <c r="D8543" s="9"/>
      <c r="E8543" s="11"/>
      <c r="F8543" s="11"/>
      <c r="G8543" s="11"/>
      <c r="H8543" s="11"/>
      <c r="I8543" s="11"/>
      <c r="J8543" s="11"/>
      <c r="K8543" s="11"/>
      <c r="L8543" s="11"/>
      <c r="M8543" s="12"/>
      <c r="N8543" s="12"/>
      <c r="O8543" s="11"/>
      <c r="P8543" s="11"/>
    </row>
    <row r="8544" spans="1:16" ht="12.75" x14ac:dyDescent="0.35">
      <c r="A8544" s="11"/>
      <c r="B8544" s="9"/>
      <c r="C8544" s="9"/>
      <c r="D8544" s="9"/>
      <c r="E8544" s="11"/>
      <c r="F8544" s="11"/>
      <c r="G8544" s="11"/>
      <c r="H8544" s="11"/>
      <c r="I8544" s="11"/>
      <c r="J8544" s="11"/>
      <c r="K8544" s="11"/>
      <c r="L8544" s="11"/>
      <c r="M8544" s="12"/>
      <c r="N8544" s="12"/>
      <c r="O8544" s="11"/>
      <c r="P8544" s="11"/>
    </row>
    <row r="8545" spans="1:16" ht="12.75" x14ac:dyDescent="0.35">
      <c r="A8545" s="11"/>
      <c r="B8545" s="9"/>
      <c r="C8545" s="9"/>
      <c r="D8545" s="9"/>
      <c r="E8545" s="11"/>
      <c r="F8545" s="11"/>
      <c r="G8545" s="11"/>
      <c r="H8545" s="11"/>
      <c r="I8545" s="11"/>
      <c r="J8545" s="11"/>
      <c r="K8545" s="11"/>
      <c r="L8545" s="11"/>
      <c r="M8545" s="12"/>
      <c r="N8545" s="12"/>
      <c r="O8545" s="11"/>
      <c r="P8545" s="11"/>
    </row>
    <row r="8546" spans="1:16" ht="12.75" x14ac:dyDescent="0.35">
      <c r="A8546" s="11"/>
      <c r="B8546" s="9"/>
      <c r="C8546" s="9"/>
      <c r="D8546" s="9"/>
      <c r="E8546" s="11"/>
      <c r="F8546" s="11"/>
      <c r="G8546" s="11"/>
      <c r="H8546" s="11"/>
      <c r="I8546" s="11"/>
      <c r="J8546" s="11"/>
      <c r="K8546" s="11"/>
      <c r="L8546" s="11"/>
      <c r="M8546" s="12"/>
      <c r="N8546" s="12"/>
      <c r="O8546" s="11"/>
      <c r="P8546" s="11"/>
    </row>
    <row r="8547" spans="1:16" ht="12.75" x14ac:dyDescent="0.35">
      <c r="A8547" s="11"/>
      <c r="B8547" s="9"/>
      <c r="C8547" s="9"/>
      <c r="D8547" s="9"/>
      <c r="E8547" s="11"/>
      <c r="F8547" s="11"/>
      <c r="G8547" s="11"/>
      <c r="H8547" s="11"/>
      <c r="I8547" s="11"/>
      <c r="J8547" s="11"/>
      <c r="K8547" s="11"/>
      <c r="L8547" s="11"/>
      <c r="M8547" s="12"/>
      <c r="N8547" s="12"/>
      <c r="O8547" s="11"/>
      <c r="P8547" s="11"/>
    </row>
    <row r="8548" spans="1:16" ht="12.75" x14ac:dyDescent="0.35">
      <c r="A8548" s="11"/>
      <c r="B8548" s="9"/>
      <c r="C8548" s="9"/>
      <c r="D8548" s="9"/>
      <c r="E8548" s="11"/>
      <c r="F8548" s="11"/>
      <c r="G8548" s="11"/>
      <c r="H8548" s="11"/>
      <c r="I8548" s="11"/>
      <c r="J8548" s="11"/>
      <c r="K8548" s="11"/>
      <c r="L8548" s="11"/>
      <c r="M8548" s="12"/>
      <c r="N8548" s="12"/>
      <c r="O8548" s="11"/>
      <c r="P8548" s="11"/>
    </row>
    <row r="8549" spans="1:16" ht="12.75" x14ac:dyDescent="0.35">
      <c r="A8549" s="11"/>
      <c r="B8549" s="9"/>
      <c r="C8549" s="9"/>
      <c r="D8549" s="9"/>
      <c r="E8549" s="11"/>
      <c r="F8549" s="11"/>
      <c r="G8549" s="11"/>
      <c r="H8549" s="11"/>
      <c r="I8549" s="11"/>
      <c r="J8549" s="11"/>
      <c r="K8549" s="11"/>
      <c r="L8549" s="11"/>
      <c r="M8549" s="12"/>
      <c r="N8549" s="12"/>
      <c r="O8549" s="11"/>
      <c r="P8549" s="11"/>
    </row>
    <row r="8550" spans="1:16" ht="12.75" x14ac:dyDescent="0.35">
      <c r="A8550" s="11"/>
      <c r="B8550" s="9"/>
      <c r="C8550" s="9"/>
      <c r="D8550" s="9"/>
      <c r="E8550" s="11"/>
      <c r="F8550" s="11"/>
      <c r="G8550" s="11"/>
      <c r="H8550" s="11"/>
      <c r="I8550" s="11"/>
      <c r="J8550" s="11"/>
      <c r="K8550" s="11"/>
      <c r="L8550" s="11"/>
      <c r="M8550" s="12"/>
      <c r="N8550" s="12"/>
      <c r="O8550" s="11"/>
      <c r="P8550" s="11"/>
    </row>
    <row r="8551" spans="1:16" ht="12.75" x14ac:dyDescent="0.35">
      <c r="A8551" s="11"/>
      <c r="B8551" s="9"/>
      <c r="C8551" s="9"/>
      <c r="D8551" s="9"/>
      <c r="E8551" s="11"/>
      <c r="F8551" s="11"/>
      <c r="G8551" s="11"/>
      <c r="H8551" s="11"/>
      <c r="I8551" s="11"/>
      <c r="J8551" s="11"/>
      <c r="K8551" s="11"/>
      <c r="L8551" s="11"/>
      <c r="M8551" s="12"/>
      <c r="N8551" s="12"/>
      <c r="O8551" s="11"/>
      <c r="P8551" s="11"/>
    </row>
    <row r="8552" spans="1:16" ht="12.75" x14ac:dyDescent="0.35">
      <c r="A8552" s="11"/>
      <c r="B8552" s="9"/>
      <c r="C8552" s="9"/>
      <c r="D8552" s="9"/>
      <c r="E8552" s="11"/>
      <c r="F8552" s="11"/>
      <c r="G8552" s="11"/>
      <c r="H8552" s="11"/>
      <c r="I8552" s="11"/>
      <c r="J8552" s="11"/>
      <c r="K8552" s="11"/>
      <c r="L8552" s="11"/>
      <c r="M8552" s="12"/>
      <c r="N8552" s="12"/>
      <c r="O8552" s="11"/>
      <c r="P8552" s="11"/>
    </row>
    <row r="8553" spans="1:16" ht="12.75" x14ac:dyDescent="0.35">
      <c r="A8553" s="11"/>
      <c r="B8553" s="9"/>
      <c r="C8553" s="9"/>
      <c r="D8553" s="9"/>
      <c r="E8553" s="11"/>
      <c r="F8553" s="11"/>
      <c r="G8553" s="11"/>
      <c r="H8553" s="11"/>
      <c r="I8553" s="11"/>
      <c r="J8553" s="11"/>
      <c r="K8553" s="11"/>
      <c r="L8553" s="11"/>
      <c r="M8553" s="12"/>
      <c r="N8553" s="12"/>
      <c r="O8553" s="11"/>
      <c r="P8553" s="11"/>
    </row>
    <row r="8554" spans="1:16" ht="12.75" x14ac:dyDescent="0.35">
      <c r="A8554" s="11"/>
      <c r="B8554" s="9"/>
      <c r="C8554" s="9"/>
      <c r="D8554" s="9"/>
      <c r="E8554" s="11"/>
      <c r="F8554" s="11"/>
      <c r="G8554" s="11"/>
      <c r="H8554" s="11"/>
      <c r="I8554" s="11"/>
      <c r="J8554" s="11"/>
      <c r="K8554" s="11"/>
      <c r="L8554" s="11"/>
      <c r="M8554" s="12"/>
      <c r="N8554" s="12"/>
      <c r="O8554" s="11"/>
      <c r="P8554" s="11"/>
    </row>
    <row r="8555" spans="1:16" ht="12.75" x14ac:dyDescent="0.35">
      <c r="A8555" s="11"/>
      <c r="B8555" s="9"/>
      <c r="C8555" s="9"/>
      <c r="D8555" s="9"/>
      <c r="E8555" s="11"/>
      <c r="F8555" s="11"/>
      <c r="G8555" s="11"/>
      <c r="H8555" s="11"/>
      <c r="I8555" s="11"/>
      <c r="J8555" s="11"/>
      <c r="K8555" s="11"/>
      <c r="L8555" s="11"/>
      <c r="M8555" s="12"/>
      <c r="N8555" s="12"/>
      <c r="O8555" s="11"/>
      <c r="P8555" s="11"/>
    </row>
    <row r="8556" spans="1:16" ht="12.75" x14ac:dyDescent="0.35">
      <c r="A8556" s="11"/>
      <c r="B8556" s="9"/>
      <c r="C8556" s="9"/>
      <c r="D8556" s="9"/>
      <c r="E8556" s="11"/>
      <c r="F8556" s="11"/>
      <c r="G8556" s="11"/>
      <c r="H8556" s="11"/>
      <c r="I8556" s="11"/>
      <c r="J8556" s="11"/>
      <c r="K8556" s="11"/>
      <c r="L8556" s="11"/>
      <c r="M8556" s="12"/>
      <c r="N8556" s="12"/>
      <c r="O8556" s="11"/>
      <c r="P8556" s="11"/>
    </row>
    <row r="8557" spans="1:16" ht="12.75" x14ac:dyDescent="0.35">
      <c r="A8557" s="11"/>
      <c r="B8557" s="9"/>
      <c r="C8557" s="9"/>
      <c r="D8557" s="9"/>
      <c r="E8557" s="11"/>
      <c r="F8557" s="11"/>
      <c r="G8557" s="11"/>
      <c r="H8557" s="11"/>
      <c r="I8557" s="11"/>
      <c r="J8557" s="11"/>
      <c r="K8557" s="11"/>
      <c r="L8557" s="11"/>
      <c r="M8557" s="12"/>
      <c r="N8557" s="12"/>
      <c r="O8557" s="11"/>
      <c r="P8557" s="11"/>
    </row>
    <row r="8558" spans="1:16" ht="12.75" x14ac:dyDescent="0.35">
      <c r="A8558" s="11"/>
      <c r="B8558" s="9"/>
      <c r="C8558" s="9"/>
      <c r="D8558" s="9"/>
      <c r="E8558" s="11"/>
      <c r="F8558" s="11"/>
      <c r="G8558" s="11"/>
      <c r="H8558" s="11"/>
      <c r="I8558" s="11"/>
      <c r="J8558" s="11"/>
      <c r="K8558" s="11"/>
      <c r="L8558" s="11"/>
      <c r="M8558" s="12"/>
      <c r="N8558" s="12"/>
      <c r="O8558" s="11"/>
      <c r="P8558" s="11"/>
    </row>
    <row r="8559" spans="1:16" ht="12.75" x14ac:dyDescent="0.35">
      <c r="A8559" s="11"/>
      <c r="B8559" s="9"/>
      <c r="C8559" s="9"/>
      <c r="D8559" s="9"/>
      <c r="E8559" s="11"/>
      <c r="F8559" s="11"/>
      <c r="G8559" s="11"/>
      <c r="H8559" s="11"/>
      <c r="I8559" s="11"/>
      <c r="J8559" s="11"/>
      <c r="K8559" s="11"/>
      <c r="L8559" s="11"/>
      <c r="M8559" s="12"/>
      <c r="N8559" s="12"/>
      <c r="O8559" s="11"/>
      <c r="P8559" s="11"/>
    </row>
    <row r="8560" spans="1:16" ht="12.75" x14ac:dyDescent="0.35">
      <c r="A8560" s="11"/>
      <c r="B8560" s="9"/>
      <c r="C8560" s="9"/>
      <c r="D8560" s="9"/>
      <c r="E8560" s="11"/>
      <c r="F8560" s="11"/>
      <c r="G8560" s="11"/>
      <c r="H8560" s="11"/>
      <c r="I8560" s="11"/>
      <c r="J8560" s="11"/>
      <c r="K8560" s="11"/>
      <c r="L8560" s="11"/>
      <c r="M8560" s="12"/>
      <c r="N8560" s="12"/>
      <c r="O8560" s="11"/>
      <c r="P8560" s="11"/>
    </row>
    <row r="8561" spans="1:16" ht="12.75" x14ac:dyDescent="0.35">
      <c r="A8561" s="11"/>
      <c r="B8561" s="9"/>
      <c r="C8561" s="9"/>
      <c r="D8561" s="9"/>
      <c r="E8561" s="11"/>
      <c r="F8561" s="11"/>
      <c r="G8561" s="11"/>
      <c r="H8561" s="11"/>
      <c r="I8561" s="11"/>
      <c r="J8561" s="11"/>
      <c r="K8561" s="11"/>
      <c r="L8561" s="11"/>
      <c r="M8561" s="12"/>
      <c r="N8561" s="12"/>
      <c r="O8561" s="11"/>
      <c r="P8561" s="11"/>
    </row>
    <row r="8562" spans="1:16" ht="12.75" x14ac:dyDescent="0.35">
      <c r="A8562" s="11"/>
      <c r="B8562" s="9"/>
      <c r="C8562" s="9"/>
      <c r="D8562" s="9"/>
      <c r="E8562" s="11"/>
      <c r="F8562" s="11"/>
      <c r="G8562" s="11"/>
      <c r="H8562" s="11"/>
      <c r="I8562" s="11"/>
      <c r="J8562" s="11"/>
      <c r="K8562" s="11"/>
      <c r="L8562" s="11"/>
      <c r="M8562" s="12"/>
      <c r="N8562" s="12"/>
      <c r="O8562" s="11"/>
      <c r="P8562" s="11"/>
    </row>
    <row r="8563" spans="1:16" ht="12.75" x14ac:dyDescent="0.35">
      <c r="A8563" s="11"/>
      <c r="B8563" s="9"/>
      <c r="C8563" s="9"/>
      <c r="D8563" s="9"/>
      <c r="E8563" s="11"/>
      <c r="F8563" s="11"/>
      <c r="G8563" s="11"/>
      <c r="H8563" s="11"/>
      <c r="I8563" s="11"/>
      <c r="J8563" s="11"/>
      <c r="K8563" s="11"/>
      <c r="L8563" s="11"/>
      <c r="M8563" s="12"/>
      <c r="N8563" s="12"/>
      <c r="O8563" s="11"/>
      <c r="P8563" s="11"/>
    </row>
    <row r="8564" spans="1:16" ht="12.75" x14ac:dyDescent="0.35">
      <c r="A8564" s="11"/>
      <c r="B8564" s="9"/>
      <c r="C8564" s="9"/>
      <c r="D8564" s="9"/>
      <c r="E8564" s="11"/>
      <c r="F8564" s="11"/>
      <c r="G8564" s="11"/>
      <c r="H8564" s="11"/>
      <c r="I8564" s="11"/>
      <c r="J8564" s="11"/>
      <c r="K8564" s="11"/>
      <c r="L8564" s="11"/>
      <c r="M8564" s="12"/>
      <c r="N8564" s="12"/>
      <c r="O8564" s="11"/>
      <c r="P8564" s="11"/>
    </row>
    <row r="8565" spans="1:16" ht="12.75" x14ac:dyDescent="0.35">
      <c r="A8565" s="11"/>
      <c r="B8565" s="9"/>
      <c r="C8565" s="9"/>
      <c r="D8565" s="9"/>
      <c r="E8565" s="11"/>
      <c r="F8565" s="11"/>
      <c r="G8565" s="11"/>
      <c r="H8565" s="11"/>
      <c r="I8565" s="11"/>
      <c r="J8565" s="11"/>
      <c r="K8565" s="11"/>
      <c r="L8565" s="11"/>
      <c r="M8565" s="12"/>
      <c r="N8565" s="12"/>
      <c r="O8565" s="11"/>
      <c r="P8565" s="11"/>
    </row>
    <row r="8566" spans="1:16" ht="12.75" x14ac:dyDescent="0.35">
      <c r="A8566" s="11"/>
      <c r="B8566" s="9"/>
      <c r="C8566" s="9"/>
      <c r="D8566" s="9"/>
      <c r="E8566" s="11"/>
      <c r="F8566" s="11"/>
      <c r="G8566" s="11"/>
      <c r="H8566" s="11"/>
      <c r="I8566" s="11"/>
      <c r="J8566" s="11"/>
      <c r="K8566" s="11"/>
      <c r="L8566" s="11"/>
      <c r="M8566" s="12"/>
      <c r="N8566" s="12"/>
      <c r="O8566" s="11"/>
      <c r="P8566" s="11"/>
    </row>
    <row r="8567" spans="1:16" ht="12.75" x14ac:dyDescent="0.35">
      <c r="A8567" s="11"/>
      <c r="B8567" s="9"/>
      <c r="C8567" s="9"/>
      <c r="D8567" s="9"/>
      <c r="E8567" s="11"/>
      <c r="F8567" s="11"/>
      <c r="G8567" s="11"/>
      <c r="H8567" s="11"/>
      <c r="I8567" s="11"/>
      <c r="J8567" s="11"/>
      <c r="K8567" s="11"/>
      <c r="L8567" s="11"/>
      <c r="M8567" s="12"/>
      <c r="N8567" s="12"/>
      <c r="O8567" s="11"/>
      <c r="P8567" s="11"/>
    </row>
    <row r="8568" spans="1:16" ht="12.75" x14ac:dyDescent="0.35">
      <c r="A8568" s="11"/>
      <c r="B8568" s="9"/>
      <c r="C8568" s="9"/>
      <c r="D8568" s="9"/>
      <c r="E8568" s="11"/>
      <c r="F8568" s="11"/>
      <c r="G8568" s="11"/>
      <c r="H8568" s="11"/>
      <c r="I8568" s="11"/>
      <c r="J8568" s="11"/>
      <c r="K8568" s="11"/>
      <c r="L8568" s="11"/>
      <c r="M8568" s="12"/>
      <c r="N8568" s="12"/>
      <c r="O8568" s="11"/>
      <c r="P8568" s="11"/>
    </row>
    <row r="8569" spans="1:16" ht="12.75" x14ac:dyDescent="0.35">
      <c r="A8569" s="11"/>
      <c r="B8569" s="9"/>
      <c r="C8569" s="9"/>
      <c r="D8569" s="9"/>
      <c r="E8569" s="11"/>
      <c r="F8569" s="11"/>
      <c r="G8569" s="11"/>
      <c r="H8569" s="11"/>
      <c r="I8569" s="11"/>
      <c r="J8569" s="11"/>
      <c r="K8569" s="11"/>
      <c r="L8569" s="11"/>
      <c r="M8569" s="12"/>
      <c r="N8569" s="12"/>
      <c r="O8569" s="11"/>
      <c r="P8569" s="11"/>
    </row>
    <row r="8570" spans="1:16" ht="12.75" x14ac:dyDescent="0.35">
      <c r="A8570" s="11"/>
      <c r="B8570" s="9"/>
      <c r="C8570" s="9"/>
      <c r="D8570" s="9"/>
      <c r="E8570" s="11"/>
      <c r="F8570" s="11"/>
      <c r="G8570" s="11"/>
      <c r="H8570" s="11"/>
      <c r="I8570" s="11"/>
      <c r="J8570" s="11"/>
      <c r="K8570" s="11"/>
      <c r="L8570" s="11"/>
      <c r="M8570" s="12"/>
      <c r="N8570" s="12"/>
      <c r="O8570" s="11"/>
      <c r="P8570" s="11"/>
    </row>
    <row r="8571" spans="1:16" ht="12.75" x14ac:dyDescent="0.35">
      <c r="A8571" s="11"/>
      <c r="B8571" s="9"/>
      <c r="C8571" s="9"/>
      <c r="D8571" s="9"/>
      <c r="E8571" s="11"/>
      <c r="F8571" s="11"/>
      <c r="G8571" s="11"/>
      <c r="H8571" s="11"/>
      <c r="I8571" s="11"/>
      <c r="J8571" s="11"/>
      <c r="K8571" s="11"/>
      <c r="L8571" s="11"/>
      <c r="M8571" s="12"/>
      <c r="N8571" s="12"/>
      <c r="O8571" s="11"/>
      <c r="P8571" s="11"/>
    </row>
    <row r="8572" spans="1:16" ht="12.75" x14ac:dyDescent="0.35">
      <c r="A8572" s="11"/>
      <c r="B8572" s="9"/>
      <c r="C8572" s="9"/>
      <c r="D8572" s="9"/>
      <c r="E8572" s="11"/>
      <c r="F8572" s="11"/>
      <c r="G8572" s="11"/>
      <c r="H8572" s="11"/>
      <c r="I8572" s="11"/>
      <c r="J8572" s="11"/>
      <c r="K8572" s="11"/>
      <c r="L8572" s="11"/>
      <c r="M8572" s="12"/>
      <c r="N8572" s="12"/>
      <c r="O8572" s="11"/>
      <c r="P8572" s="11"/>
    </row>
    <row r="8573" spans="1:16" ht="12.75" x14ac:dyDescent="0.35">
      <c r="A8573" s="11"/>
      <c r="B8573" s="9"/>
      <c r="C8573" s="9"/>
      <c r="D8573" s="9"/>
      <c r="E8573" s="11"/>
      <c r="F8573" s="11"/>
      <c r="G8573" s="11"/>
      <c r="H8573" s="11"/>
      <c r="I8573" s="11"/>
      <c r="J8573" s="11"/>
      <c r="K8573" s="11"/>
      <c r="L8573" s="11"/>
      <c r="M8573" s="12"/>
      <c r="N8573" s="12"/>
      <c r="O8573" s="11"/>
      <c r="P8573" s="11"/>
    </row>
    <row r="8574" spans="1:16" ht="12.75" x14ac:dyDescent="0.35">
      <c r="A8574" s="11"/>
      <c r="B8574" s="9"/>
      <c r="C8574" s="9"/>
      <c r="D8574" s="9"/>
      <c r="E8574" s="11"/>
      <c r="F8574" s="11"/>
      <c r="G8574" s="11"/>
      <c r="H8574" s="11"/>
      <c r="I8574" s="11"/>
      <c r="J8574" s="11"/>
      <c r="K8574" s="11"/>
      <c r="L8574" s="11"/>
      <c r="M8574" s="12"/>
      <c r="N8574" s="12"/>
      <c r="O8574" s="11"/>
      <c r="P8574" s="11"/>
    </row>
    <row r="8575" spans="1:16" ht="12.75" x14ac:dyDescent="0.35">
      <c r="A8575" s="11"/>
      <c r="B8575" s="9"/>
      <c r="C8575" s="9"/>
      <c r="D8575" s="9"/>
      <c r="E8575" s="11"/>
      <c r="F8575" s="11"/>
      <c r="G8575" s="11"/>
      <c r="H8575" s="11"/>
      <c r="I8575" s="11"/>
      <c r="J8575" s="11"/>
      <c r="K8575" s="11"/>
      <c r="L8575" s="11"/>
      <c r="M8575" s="12"/>
      <c r="N8575" s="12"/>
      <c r="O8575" s="11"/>
      <c r="P8575" s="11"/>
    </row>
    <row r="8576" spans="1:16" ht="12.75" x14ac:dyDescent="0.35">
      <c r="A8576" s="11"/>
      <c r="B8576" s="9"/>
      <c r="C8576" s="9"/>
      <c r="D8576" s="9"/>
      <c r="E8576" s="11"/>
      <c r="F8576" s="11"/>
      <c r="G8576" s="11"/>
      <c r="H8576" s="11"/>
      <c r="I8576" s="11"/>
      <c r="J8576" s="11"/>
      <c r="K8576" s="11"/>
      <c r="L8576" s="11"/>
      <c r="M8576" s="12"/>
      <c r="N8576" s="12"/>
      <c r="O8576" s="11"/>
      <c r="P8576" s="11"/>
    </row>
    <row r="8577" spans="1:16" ht="12.75" x14ac:dyDescent="0.35">
      <c r="A8577" s="11"/>
      <c r="B8577" s="9"/>
      <c r="C8577" s="9"/>
      <c r="D8577" s="9"/>
      <c r="E8577" s="11"/>
      <c r="F8577" s="11"/>
      <c r="G8577" s="11"/>
      <c r="H8577" s="11"/>
      <c r="I8577" s="11"/>
      <c r="J8577" s="11"/>
      <c r="K8577" s="11"/>
      <c r="L8577" s="11"/>
      <c r="M8577" s="12"/>
      <c r="N8577" s="12"/>
      <c r="O8577" s="11"/>
      <c r="P8577" s="11"/>
    </row>
    <row r="8578" spans="1:16" ht="12.75" x14ac:dyDescent="0.35">
      <c r="A8578" s="11"/>
      <c r="B8578" s="9"/>
      <c r="C8578" s="9"/>
      <c r="D8578" s="9"/>
      <c r="E8578" s="11"/>
      <c r="F8578" s="11"/>
      <c r="G8578" s="11"/>
      <c r="H8578" s="11"/>
      <c r="I8578" s="11"/>
      <c r="J8578" s="11"/>
      <c r="K8578" s="11"/>
      <c r="L8578" s="11"/>
      <c r="M8578" s="12"/>
      <c r="N8578" s="12"/>
      <c r="O8578" s="11"/>
      <c r="P8578" s="11"/>
    </row>
    <row r="8579" spans="1:16" ht="12.75" x14ac:dyDescent="0.35">
      <c r="A8579" s="11"/>
      <c r="B8579" s="9"/>
      <c r="C8579" s="9"/>
      <c r="D8579" s="9"/>
      <c r="E8579" s="11"/>
      <c r="F8579" s="11"/>
      <c r="G8579" s="11"/>
      <c r="H8579" s="11"/>
      <c r="I8579" s="11"/>
      <c r="J8579" s="11"/>
      <c r="K8579" s="11"/>
      <c r="L8579" s="11"/>
      <c r="M8579" s="12"/>
      <c r="N8579" s="12"/>
      <c r="O8579" s="11"/>
      <c r="P8579" s="11"/>
    </row>
    <row r="8580" spans="1:16" ht="12.75" x14ac:dyDescent="0.35">
      <c r="A8580" s="11"/>
      <c r="B8580" s="9"/>
      <c r="C8580" s="9"/>
      <c r="D8580" s="9"/>
      <c r="E8580" s="11"/>
      <c r="F8580" s="11"/>
      <c r="G8580" s="11"/>
      <c r="H8580" s="11"/>
      <c r="I8580" s="11"/>
      <c r="J8580" s="11"/>
      <c r="K8580" s="11"/>
      <c r="L8580" s="11"/>
      <c r="M8580" s="12"/>
      <c r="N8580" s="12"/>
      <c r="O8580" s="11"/>
      <c r="P8580" s="11"/>
    </row>
    <row r="8581" spans="1:16" ht="12.75" x14ac:dyDescent="0.35">
      <c r="A8581" s="11"/>
      <c r="B8581" s="9"/>
      <c r="C8581" s="9"/>
      <c r="D8581" s="9"/>
      <c r="E8581" s="11"/>
      <c r="F8581" s="11"/>
      <c r="G8581" s="11"/>
      <c r="H8581" s="11"/>
      <c r="I8581" s="11"/>
      <c r="J8581" s="11"/>
      <c r="K8581" s="11"/>
      <c r="L8581" s="11"/>
      <c r="M8581" s="12"/>
      <c r="N8581" s="12"/>
      <c r="O8581" s="11"/>
      <c r="P8581" s="11"/>
    </row>
    <row r="8582" spans="1:16" ht="12.75" x14ac:dyDescent="0.35">
      <c r="A8582" s="11"/>
      <c r="B8582" s="9"/>
      <c r="C8582" s="9"/>
      <c r="D8582" s="9"/>
      <c r="E8582" s="11"/>
      <c r="F8582" s="11"/>
      <c r="G8582" s="11"/>
      <c r="H8582" s="11"/>
      <c r="I8582" s="11"/>
      <c r="J8582" s="11"/>
      <c r="K8582" s="11"/>
      <c r="L8582" s="11"/>
      <c r="M8582" s="12"/>
      <c r="N8582" s="12"/>
      <c r="O8582" s="11"/>
      <c r="P8582" s="11"/>
    </row>
    <row r="8583" spans="1:16" ht="12.75" x14ac:dyDescent="0.35">
      <c r="A8583" s="11"/>
      <c r="B8583" s="9"/>
      <c r="C8583" s="9"/>
      <c r="D8583" s="9"/>
      <c r="E8583" s="11"/>
      <c r="F8583" s="11"/>
      <c r="G8583" s="11"/>
      <c r="H8583" s="11"/>
      <c r="I8583" s="11"/>
      <c r="J8583" s="11"/>
      <c r="K8583" s="11"/>
      <c r="L8583" s="11"/>
      <c r="M8583" s="12"/>
      <c r="N8583" s="12"/>
      <c r="O8583" s="11"/>
      <c r="P8583" s="11"/>
    </row>
    <row r="8584" spans="1:16" ht="12.75" x14ac:dyDescent="0.35">
      <c r="A8584" s="11"/>
      <c r="B8584" s="9"/>
      <c r="C8584" s="9"/>
      <c r="D8584" s="9"/>
      <c r="E8584" s="11"/>
      <c r="F8584" s="11"/>
      <c r="G8584" s="11"/>
      <c r="H8584" s="11"/>
      <c r="I8584" s="11"/>
      <c r="J8584" s="11"/>
      <c r="K8584" s="11"/>
      <c r="L8584" s="11"/>
      <c r="M8584" s="12"/>
      <c r="N8584" s="12"/>
      <c r="O8584" s="11"/>
      <c r="P8584" s="11"/>
    </row>
    <row r="8585" spans="1:16" ht="12.75" x14ac:dyDescent="0.35">
      <c r="A8585" s="11"/>
      <c r="B8585" s="9"/>
      <c r="C8585" s="9"/>
      <c r="D8585" s="9"/>
      <c r="E8585" s="11"/>
      <c r="F8585" s="11"/>
      <c r="G8585" s="11"/>
      <c r="H8585" s="11"/>
      <c r="I8585" s="11"/>
      <c r="J8585" s="11"/>
      <c r="K8585" s="11"/>
      <c r="L8585" s="11"/>
      <c r="M8585" s="12"/>
      <c r="N8585" s="12"/>
      <c r="O8585" s="11"/>
      <c r="P8585" s="11"/>
    </row>
    <row r="8586" spans="1:16" ht="12.75" x14ac:dyDescent="0.35">
      <c r="A8586" s="11"/>
      <c r="B8586" s="9"/>
      <c r="C8586" s="9"/>
      <c r="D8586" s="9"/>
      <c r="E8586" s="11"/>
      <c r="F8586" s="11"/>
      <c r="G8586" s="11"/>
      <c r="H8586" s="11"/>
      <c r="I8586" s="11"/>
      <c r="J8586" s="11"/>
      <c r="K8586" s="11"/>
      <c r="L8586" s="11"/>
      <c r="M8586" s="12"/>
      <c r="N8586" s="12"/>
      <c r="O8586" s="11"/>
      <c r="P8586" s="11"/>
    </row>
    <row r="8587" spans="1:16" ht="12.75" x14ac:dyDescent="0.35">
      <c r="A8587" s="11"/>
      <c r="B8587" s="9"/>
      <c r="C8587" s="9"/>
      <c r="D8587" s="9"/>
      <c r="E8587" s="11"/>
      <c r="F8587" s="11"/>
      <c r="G8587" s="11"/>
      <c r="H8587" s="11"/>
      <c r="I8587" s="11"/>
      <c r="J8587" s="11"/>
      <c r="K8587" s="11"/>
      <c r="L8587" s="11"/>
      <c r="M8587" s="12"/>
      <c r="N8587" s="12"/>
      <c r="O8587" s="11"/>
      <c r="P8587" s="11"/>
    </row>
    <row r="8588" spans="1:16" ht="12.75" x14ac:dyDescent="0.35">
      <c r="A8588" s="11"/>
      <c r="B8588" s="9"/>
      <c r="C8588" s="9"/>
      <c r="D8588" s="9"/>
      <c r="E8588" s="11"/>
      <c r="F8588" s="11"/>
      <c r="G8588" s="11"/>
      <c r="H8588" s="11"/>
      <c r="I8588" s="11"/>
      <c r="J8588" s="11"/>
      <c r="K8588" s="11"/>
      <c r="L8588" s="11"/>
      <c r="M8588" s="12"/>
      <c r="N8588" s="12"/>
      <c r="O8588" s="11"/>
      <c r="P8588" s="11"/>
    </row>
    <row r="8589" spans="1:16" ht="12.75" x14ac:dyDescent="0.35">
      <c r="A8589" s="11"/>
      <c r="B8589" s="9"/>
      <c r="C8589" s="9"/>
      <c r="D8589" s="9"/>
      <c r="E8589" s="11"/>
      <c r="F8589" s="11"/>
      <c r="G8589" s="11"/>
      <c r="H8589" s="11"/>
      <c r="I8589" s="11"/>
      <c r="J8589" s="11"/>
      <c r="K8589" s="11"/>
      <c r="L8589" s="11"/>
      <c r="M8589" s="12"/>
      <c r="N8589" s="12"/>
      <c r="O8589" s="11"/>
      <c r="P8589" s="11"/>
    </row>
    <row r="8590" spans="1:16" ht="12.75" x14ac:dyDescent="0.35">
      <c r="A8590" s="11"/>
      <c r="B8590" s="9"/>
      <c r="C8590" s="9"/>
      <c r="D8590" s="9"/>
      <c r="E8590" s="11"/>
      <c r="F8590" s="11"/>
      <c r="G8590" s="11"/>
      <c r="H8590" s="11"/>
      <c r="I8590" s="11"/>
      <c r="J8590" s="11"/>
      <c r="K8590" s="11"/>
      <c r="L8590" s="11"/>
      <c r="M8590" s="12"/>
      <c r="N8590" s="12"/>
      <c r="O8590" s="11"/>
      <c r="P8590" s="11"/>
    </row>
    <row r="8591" spans="1:16" ht="12.75" x14ac:dyDescent="0.35">
      <c r="A8591" s="11"/>
      <c r="B8591" s="9"/>
      <c r="C8591" s="9"/>
      <c r="D8591" s="9"/>
      <c r="E8591" s="11"/>
      <c r="F8591" s="11"/>
      <c r="G8591" s="11"/>
      <c r="H8591" s="11"/>
      <c r="I8591" s="11"/>
      <c r="J8591" s="11"/>
      <c r="K8591" s="11"/>
      <c r="L8591" s="11"/>
      <c r="M8591" s="12"/>
      <c r="N8591" s="12"/>
      <c r="O8591" s="11"/>
      <c r="P8591" s="11"/>
    </row>
    <row r="8592" spans="1:16" ht="12.75" x14ac:dyDescent="0.35">
      <c r="A8592" s="11"/>
      <c r="B8592" s="9"/>
      <c r="C8592" s="9"/>
      <c r="D8592" s="9"/>
      <c r="E8592" s="11"/>
      <c r="F8592" s="11"/>
      <c r="G8592" s="11"/>
      <c r="H8592" s="11"/>
      <c r="I8592" s="11"/>
      <c r="J8592" s="11"/>
      <c r="K8592" s="11"/>
      <c r="L8592" s="11"/>
      <c r="M8592" s="12"/>
      <c r="N8592" s="12"/>
      <c r="O8592" s="11"/>
      <c r="P8592" s="11"/>
    </row>
    <row r="8593" spans="1:16" ht="12.75" x14ac:dyDescent="0.35">
      <c r="A8593" s="11"/>
      <c r="B8593" s="9"/>
      <c r="C8593" s="9"/>
      <c r="D8593" s="9"/>
      <c r="E8593" s="11"/>
      <c r="F8593" s="11"/>
      <c r="G8593" s="11"/>
      <c r="H8593" s="11"/>
      <c r="I8593" s="11"/>
      <c r="J8593" s="11"/>
      <c r="K8593" s="11"/>
      <c r="L8593" s="11"/>
      <c r="M8593" s="12"/>
      <c r="N8593" s="12"/>
      <c r="O8593" s="11"/>
      <c r="P8593" s="11"/>
    </row>
    <row r="8594" spans="1:16" ht="12.75" x14ac:dyDescent="0.35">
      <c r="A8594" s="11"/>
      <c r="B8594" s="9"/>
      <c r="C8594" s="9"/>
      <c r="D8594" s="9"/>
      <c r="E8594" s="11"/>
      <c r="F8594" s="11"/>
      <c r="G8594" s="11"/>
      <c r="H8594" s="11"/>
      <c r="I8594" s="11"/>
      <c r="J8594" s="11"/>
      <c r="K8594" s="11"/>
      <c r="L8594" s="11"/>
      <c r="M8594" s="12"/>
      <c r="N8594" s="12"/>
      <c r="O8594" s="11"/>
      <c r="P8594" s="11"/>
    </row>
    <row r="8595" spans="1:16" ht="12.75" x14ac:dyDescent="0.35">
      <c r="A8595" s="11"/>
      <c r="B8595" s="9"/>
      <c r="C8595" s="9"/>
      <c r="D8595" s="9"/>
      <c r="E8595" s="11"/>
      <c r="F8595" s="11"/>
      <c r="G8595" s="11"/>
      <c r="H8595" s="11"/>
      <c r="I8595" s="11"/>
      <c r="J8595" s="11"/>
      <c r="K8595" s="11"/>
      <c r="L8595" s="11"/>
      <c r="M8595" s="12"/>
      <c r="N8595" s="12"/>
      <c r="O8595" s="11"/>
      <c r="P8595" s="11"/>
    </row>
    <row r="8596" spans="1:16" ht="12.75" x14ac:dyDescent="0.35">
      <c r="A8596" s="11"/>
      <c r="B8596" s="9"/>
      <c r="C8596" s="9"/>
      <c r="D8596" s="9"/>
      <c r="E8596" s="11"/>
      <c r="F8596" s="11"/>
      <c r="G8596" s="11"/>
      <c r="H8596" s="11"/>
      <c r="I8596" s="11"/>
      <c r="J8596" s="11"/>
      <c r="K8596" s="11"/>
      <c r="L8596" s="11"/>
      <c r="M8596" s="12"/>
      <c r="N8596" s="12"/>
      <c r="O8596" s="11"/>
      <c r="P8596" s="11"/>
    </row>
    <row r="8597" spans="1:16" ht="12.75" x14ac:dyDescent="0.35">
      <c r="A8597" s="11"/>
      <c r="B8597" s="9"/>
      <c r="C8597" s="9"/>
      <c r="D8597" s="9"/>
      <c r="E8597" s="11"/>
      <c r="F8597" s="11"/>
      <c r="G8597" s="11"/>
      <c r="H8597" s="11"/>
      <c r="I8597" s="11"/>
      <c r="J8597" s="11"/>
      <c r="K8597" s="11"/>
      <c r="L8597" s="11"/>
      <c r="M8597" s="12"/>
      <c r="N8597" s="12"/>
      <c r="O8597" s="11"/>
      <c r="P8597" s="11"/>
    </row>
    <row r="8598" spans="1:16" ht="12.75" x14ac:dyDescent="0.35">
      <c r="A8598" s="11"/>
      <c r="B8598" s="9"/>
      <c r="C8598" s="9"/>
      <c r="D8598" s="9"/>
      <c r="E8598" s="11"/>
      <c r="F8598" s="11"/>
      <c r="G8598" s="11"/>
      <c r="H8598" s="11"/>
      <c r="I8598" s="11"/>
      <c r="J8598" s="11"/>
      <c r="K8598" s="11"/>
      <c r="L8598" s="11"/>
      <c r="M8598" s="12"/>
      <c r="N8598" s="12"/>
      <c r="O8598" s="11"/>
      <c r="P8598" s="11"/>
    </row>
    <row r="8599" spans="1:16" ht="12.75" x14ac:dyDescent="0.35">
      <c r="A8599" s="11"/>
      <c r="B8599" s="9"/>
      <c r="C8599" s="9"/>
      <c r="D8599" s="9"/>
      <c r="E8599" s="11"/>
      <c r="F8599" s="11"/>
      <c r="G8599" s="11"/>
      <c r="H8599" s="11"/>
      <c r="I8599" s="11"/>
      <c r="J8599" s="11"/>
      <c r="K8599" s="11"/>
      <c r="L8599" s="11"/>
      <c r="M8599" s="12"/>
      <c r="N8599" s="12"/>
      <c r="O8599" s="11"/>
      <c r="P8599" s="11"/>
    </row>
    <row r="8600" spans="1:16" ht="12.75" x14ac:dyDescent="0.35">
      <c r="A8600" s="11"/>
      <c r="B8600" s="9"/>
      <c r="C8600" s="9"/>
      <c r="D8600" s="9"/>
      <c r="E8600" s="11"/>
      <c r="F8600" s="11"/>
      <c r="G8600" s="11"/>
      <c r="H8600" s="11"/>
      <c r="I8600" s="11"/>
      <c r="J8600" s="11"/>
      <c r="K8600" s="11"/>
      <c r="L8600" s="11"/>
      <c r="M8600" s="12"/>
      <c r="N8600" s="12"/>
      <c r="O8600" s="11"/>
      <c r="P8600" s="11"/>
    </row>
    <row r="8601" spans="1:16" ht="12.75" x14ac:dyDescent="0.35">
      <c r="A8601" s="11"/>
      <c r="B8601" s="9"/>
      <c r="C8601" s="9"/>
      <c r="D8601" s="9"/>
      <c r="E8601" s="11"/>
      <c r="F8601" s="11"/>
      <c r="G8601" s="11"/>
      <c r="H8601" s="11"/>
      <c r="I8601" s="11"/>
      <c r="J8601" s="11"/>
      <c r="K8601" s="11"/>
      <c r="L8601" s="11"/>
      <c r="M8601" s="12"/>
      <c r="N8601" s="12"/>
      <c r="O8601" s="11"/>
      <c r="P8601" s="11"/>
    </row>
    <row r="8602" spans="1:16" ht="12.75" x14ac:dyDescent="0.35">
      <c r="A8602" s="11"/>
      <c r="B8602" s="9"/>
      <c r="C8602" s="9"/>
      <c r="D8602" s="9"/>
      <c r="E8602" s="11"/>
      <c r="F8602" s="11"/>
      <c r="G8602" s="11"/>
      <c r="H8602" s="11"/>
      <c r="I8602" s="11"/>
      <c r="J8602" s="11"/>
      <c r="K8602" s="11"/>
      <c r="L8602" s="11"/>
      <c r="M8602" s="12"/>
      <c r="N8602" s="12"/>
      <c r="O8602" s="11"/>
      <c r="P8602" s="11"/>
    </row>
    <row r="8603" spans="1:16" ht="12.75" x14ac:dyDescent="0.35">
      <c r="A8603" s="11"/>
      <c r="B8603" s="9"/>
      <c r="C8603" s="9"/>
      <c r="D8603" s="9"/>
      <c r="E8603" s="11"/>
      <c r="F8603" s="11"/>
      <c r="G8603" s="11"/>
      <c r="H8603" s="11"/>
      <c r="I8603" s="11"/>
      <c r="J8603" s="11"/>
      <c r="K8603" s="11"/>
      <c r="L8603" s="11"/>
      <c r="M8603" s="12"/>
      <c r="N8603" s="12"/>
      <c r="O8603" s="11"/>
      <c r="P8603" s="11"/>
    </row>
    <row r="8604" spans="1:16" ht="12.75" x14ac:dyDescent="0.35">
      <c r="A8604" s="11"/>
      <c r="B8604" s="9"/>
      <c r="C8604" s="9"/>
      <c r="D8604" s="9"/>
      <c r="E8604" s="11"/>
      <c r="F8604" s="11"/>
      <c r="G8604" s="11"/>
      <c r="H8604" s="11"/>
      <c r="I8604" s="11"/>
      <c r="J8604" s="11"/>
      <c r="K8604" s="11"/>
      <c r="L8604" s="11"/>
      <c r="M8604" s="12"/>
      <c r="N8604" s="12"/>
      <c r="O8604" s="11"/>
      <c r="P8604" s="11"/>
    </row>
    <row r="8605" spans="1:16" ht="12.75" x14ac:dyDescent="0.35">
      <c r="A8605" s="11"/>
      <c r="B8605" s="9"/>
      <c r="C8605" s="9"/>
      <c r="D8605" s="9"/>
      <c r="E8605" s="11"/>
      <c r="F8605" s="11"/>
      <c r="G8605" s="11"/>
      <c r="H8605" s="11"/>
      <c r="I8605" s="11"/>
      <c r="J8605" s="11"/>
      <c r="K8605" s="11"/>
      <c r="L8605" s="11"/>
      <c r="M8605" s="12"/>
      <c r="N8605" s="12"/>
      <c r="O8605" s="11"/>
      <c r="P8605" s="11"/>
    </row>
    <row r="8606" spans="1:16" ht="12.75" x14ac:dyDescent="0.35">
      <c r="A8606" s="11"/>
      <c r="B8606" s="9"/>
      <c r="C8606" s="9"/>
      <c r="D8606" s="9"/>
      <c r="E8606" s="11"/>
      <c r="F8606" s="11"/>
      <c r="G8606" s="11"/>
      <c r="H8606" s="11"/>
      <c r="I8606" s="11"/>
      <c r="J8606" s="11"/>
      <c r="K8606" s="11"/>
      <c r="L8606" s="11"/>
      <c r="M8606" s="12"/>
      <c r="N8606" s="12"/>
      <c r="O8606" s="11"/>
      <c r="P8606" s="11"/>
    </row>
    <row r="8607" spans="1:16" ht="12.75" x14ac:dyDescent="0.35">
      <c r="A8607" s="11"/>
      <c r="B8607" s="9"/>
      <c r="C8607" s="9"/>
      <c r="D8607" s="9"/>
      <c r="E8607" s="11"/>
      <c r="F8607" s="11"/>
      <c r="G8607" s="11"/>
      <c r="H8607" s="11"/>
      <c r="I8607" s="11"/>
      <c r="J8607" s="11"/>
      <c r="K8607" s="11"/>
      <c r="L8607" s="11"/>
      <c r="M8607" s="12"/>
      <c r="N8607" s="12"/>
      <c r="O8607" s="11"/>
      <c r="P8607" s="11"/>
    </row>
    <row r="8608" spans="1:16" ht="12.75" x14ac:dyDescent="0.35">
      <c r="A8608" s="11"/>
      <c r="B8608" s="9"/>
      <c r="C8608" s="9"/>
      <c r="D8608" s="9"/>
      <c r="E8608" s="11"/>
      <c r="F8608" s="11"/>
      <c r="G8608" s="11"/>
      <c r="H8608" s="11"/>
      <c r="I8608" s="11"/>
      <c r="J8608" s="11"/>
      <c r="K8608" s="11"/>
      <c r="L8608" s="11"/>
      <c r="M8608" s="12"/>
      <c r="N8608" s="12"/>
      <c r="O8608" s="11"/>
      <c r="P8608" s="11"/>
    </row>
    <row r="8609" spans="1:16" ht="12.75" x14ac:dyDescent="0.35">
      <c r="A8609" s="11"/>
      <c r="B8609" s="9"/>
      <c r="C8609" s="9"/>
      <c r="D8609" s="9"/>
      <c r="E8609" s="11"/>
      <c r="F8609" s="11"/>
      <c r="G8609" s="11"/>
      <c r="H8609" s="11"/>
      <c r="I8609" s="11"/>
      <c r="J8609" s="11"/>
      <c r="K8609" s="11"/>
      <c r="L8609" s="11"/>
      <c r="M8609" s="12"/>
      <c r="N8609" s="12"/>
      <c r="O8609" s="11"/>
      <c r="P8609" s="11"/>
    </row>
    <row r="8610" spans="1:16" ht="12.75" x14ac:dyDescent="0.35">
      <c r="A8610" s="11"/>
      <c r="B8610" s="9"/>
      <c r="C8610" s="9"/>
      <c r="D8610" s="9"/>
      <c r="E8610" s="11"/>
      <c r="F8610" s="11"/>
      <c r="G8610" s="11"/>
      <c r="H8610" s="11"/>
      <c r="I8610" s="11"/>
      <c r="J8610" s="11"/>
      <c r="K8610" s="11"/>
      <c r="L8610" s="11"/>
      <c r="M8610" s="12"/>
      <c r="N8610" s="12"/>
      <c r="O8610" s="11"/>
      <c r="P8610" s="11"/>
    </row>
    <row r="8611" spans="1:16" ht="12.75" x14ac:dyDescent="0.35">
      <c r="A8611" s="11"/>
      <c r="B8611" s="9"/>
      <c r="C8611" s="9"/>
      <c r="D8611" s="9"/>
      <c r="E8611" s="11"/>
      <c r="F8611" s="11"/>
      <c r="G8611" s="11"/>
      <c r="H8611" s="11"/>
      <c r="I8611" s="11"/>
      <c r="J8611" s="11"/>
      <c r="K8611" s="11"/>
      <c r="L8611" s="11"/>
      <c r="M8611" s="12"/>
      <c r="N8611" s="12"/>
      <c r="O8611" s="11"/>
      <c r="P8611" s="11"/>
    </row>
    <row r="8612" spans="1:16" ht="12.75" x14ac:dyDescent="0.35">
      <c r="A8612" s="11"/>
      <c r="B8612" s="9"/>
      <c r="C8612" s="9"/>
      <c r="D8612" s="9"/>
      <c r="E8612" s="11"/>
      <c r="F8612" s="11"/>
      <c r="G8612" s="11"/>
      <c r="H8612" s="11"/>
      <c r="I8612" s="11"/>
      <c r="J8612" s="11"/>
      <c r="K8612" s="11"/>
      <c r="L8612" s="11"/>
      <c r="M8612" s="12"/>
      <c r="N8612" s="12"/>
      <c r="O8612" s="11"/>
      <c r="P8612" s="11"/>
    </row>
    <row r="8613" spans="1:16" ht="12.75" x14ac:dyDescent="0.35">
      <c r="A8613" s="11"/>
      <c r="B8613" s="9"/>
      <c r="C8613" s="9"/>
      <c r="D8613" s="9"/>
      <c r="E8613" s="11"/>
      <c r="F8613" s="11"/>
      <c r="G8613" s="11"/>
      <c r="H8613" s="11"/>
      <c r="I8613" s="11"/>
      <c r="J8613" s="11"/>
      <c r="K8613" s="11"/>
      <c r="L8613" s="11"/>
      <c r="M8613" s="12"/>
      <c r="N8613" s="12"/>
      <c r="O8613" s="11"/>
      <c r="P8613" s="11"/>
    </row>
    <row r="8614" spans="1:16" ht="12.75" x14ac:dyDescent="0.35">
      <c r="A8614" s="11"/>
      <c r="B8614" s="9"/>
      <c r="C8614" s="9"/>
      <c r="D8614" s="9"/>
      <c r="E8614" s="11"/>
      <c r="F8614" s="11"/>
      <c r="G8614" s="11"/>
      <c r="H8614" s="11"/>
      <c r="I8614" s="11"/>
      <c r="J8614" s="11"/>
      <c r="K8614" s="11"/>
      <c r="L8614" s="11"/>
      <c r="M8614" s="12"/>
      <c r="N8614" s="12"/>
      <c r="O8614" s="11"/>
      <c r="P8614" s="11"/>
    </row>
    <row r="8615" spans="1:16" ht="12.75" x14ac:dyDescent="0.35">
      <c r="A8615" s="11"/>
      <c r="B8615" s="9"/>
      <c r="C8615" s="9"/>
      <c r="D8615" s="9"/>
      <c r="E8615" s="11"/>
      <c r="F8615" s="11"/>
      <c r="G8615" s="11"/>
      <c r="H8615" s="11"/>
      <c r="I8615" s="11"/>
      <c r="J8615" s="11"/>
      <c r="K8615" s="11"/>
      <c r="L8615" s="11"/>
      <c r="M8615" s="12"/>
      <c r="N8615" s="12"/>
      <c r="O8615" s="11"/>
      <c r="P8615" s="11"/>
    </row>
    <row r="8616" spans="1:16" ht="12.75" x14ac:dyDescent="0.35">
      <c r="A8616" s="11"/>
      <c r="B8616" s="9"/>
      <c r="C8616" s="9"/>
      <c r="D8616" s="9"/>
      <c r="E8616" s="11"/>
      <c r="F8616" s="11"/>
      <c r="G8616" s="11"/>
      <c r="H8616" s="11"/>
      <c r="I8616" s="11"/>
      <c r="J8616" s="11"/>
      <c r="K8616" s="11"/>
      <c r="L8616" s="11"/>
      <c r="M8616" s="12"/>
      <c r="N8616" s="12"/>
      <c r="O8616" s="11"/>
      <c r="P8616" s="11"/>
    </row>
    <row r="8617" spans="1:16" ht="12.75" x14ac:dyDescent="0.35">
      <c r="A8617" s="11"/>
      <c r="B8617" s="9"/>
      <c r="C8617" s="9"/>
      <c r="D8617" s="9"/>
      <c r="E8617" s="11"/>
      <c r="F8617" s="11"/>
      <c r="G8617" s="11"/>
      <c r="H8617" s="11"/>
      <c r="I8617" s="11"/>
      <c r="J8617" s="11"/>
      <c r="K8617" s="11"/>
      <c r="L8617" s="11"/>
      <c r="M8617" s="12"/>
      <c r="N8617" s="12"/>
      <c r="O8617" s="11"/>
      <c r="P8617" s="11"/>
    </row>
    <row r="8618" spans="1:16" ht="12.75" x14ac:dyDescent="0.35">
      <c r="A8618" s="11"/>
      <c r="B8618" s="9"/>
      <c r="C8618" s="9"/>
      <c r="D8618" s="9"/>
      <c r="E8618" s="11"/>
      <c r="F8618" s="11"/>
      <c r="G8618" s="11"/>
      <c r="H8618" s="11"/>
      <c r="I8618" s="11"/>
      <c r="J8618" s="11"/>
      <c r="K8618" s="11"/>
      <c r="L8618" s="11"/>
      <c r="M8618" s="12"/>
      <c r="N8618" s="12"/>
      <c r="O8618" s="11"/>
      <c r="P8618" s="11"/>
    </row>
    <row r="8619" spans="1:16" ht="12.75" x14ac:dyDescent="0.35">
      <c r="A8619" s="11"/>
      <c r="B8619" s="9"/>
      <c r="C8619" s="9"/>
      <c r="D8619" s="9"/>
      <c r="E8619" s="11"/>
      <c r="F8619" s="11"/>
      <c r="G8619" s="11"/>
      <c r="H8619" s="11"/>
      <c r="I8619" s="11"/>
      <c r="J8619" s="11"/>
      <c r="K8619" s="11"/>
      <c r="L8619" s="11"/>
      <c r="M8619" s="12"/>
      <c r="N8619" s="12"/>
      <c r="O8619" s="11"/>
      <c r="P8619" s="11"/>
    </row>
    <row r="8620" spans="1:16" ht="12.75" x14ac:dyDescent="0.35">
      <c r="A8620" s="11"/>
      <c r="B8620" s="9"/>
      <c r="C8620" s="9"/>
      <c r="D8620" s="9"/>
      <c r="E8620" s="11"/>
      <c r="F8620" s="11"/>
      <c r="G8620" s="11"/>
      <c r="H8620" s="11"/>
      <c r="I8620" s="11"/>
      <c r="J8620" s="11"/>
      <c r="K8620" s="11"/>
      <c r="L8620" s="11"/>
      <c r="M8620" s="12"/>
      <c r="N8620" s="12"/>
      <c r="O8620" s="11"/>
      <c r="P8620" s="11"/>
    </row>
    <row r="8621" spans="1:16" ht="12.75" x14ac:dyDescent="0.35">
      <c r="A8621" s="11"/>
      <c r="B8621" s="9"/>
      <c r="C8621" s="9"/>
      <c r="D8621" s="9"/>
      <c r="E8621" s="11"/>
      <c r="F8621" s="11"/>
      <c r="G8621" s="11"/>
      <c r="H8621" s="11"/>
      <c r="I8621" s="11"/>
      <c r="J8621" s="11"/>
      <c r="K8621" s="11"/>
      <c r="L8621" s="11"/>
      <c r="M8621" s="12"/>
      <c r="N8621" s="12"/>
      <c r="O8621" s="11"/>
      <c r="P8621" s="11"/>
    </row>
    <row r="8622" spans="1:16" ht="12.75" x14ac:dyDescent="0.35">
      <c r="A8622" s="11"/>
      <c r="B8622" s="9"/>
      <c r="C8622" s="9"/>
      <c r="D8622" s="9"/>
      <c r="E8622" s="11"/>
      <c r="F8622" s="11"/>
      <c r="G8622" s="11"/>
      <c r="H8622" s="11"/>
      <c r="I8622" s="11"/>
      <c r="J8622" s="11"/>
      <c r="K8622" s="11"/>
      <c r="L8622" s="11"/>
      <c r="M8622" s="12"/>
      <c r="N8622" s="12"/>
      <c r="O8622" s="11"/>
      <c r="P8622" s="11"/>
    </row>
    <row r="8623" spans="1:16" ht="12.75" x14ac:dyDescent="0.35">
      <c r="A8623" s="11"/>
      <c r="B8623" s="9"/>
      <c r="C8623" s="9"/>
      <c r="D8623" s="9"/>
      <c r="E8623" s="11"/>
      <c r="F8623" s="11"/>
      <c r="G8623" s="11"/>
      <c r="H8623" s="11"/>
      <c r="I8623" s="11"/>
      <c r="J8623" s="11"/>
      <c r="K8623" s="11"/>
      <c r="L8623" s="11"/>
      <c r="M8623" s="12"/>
      <c r="N8623" s="12"/>
      <c r="O8623" s="11"/>
      <c r="P8623" s="11"/>
    </row>
    <row r="8624" spans="1:16" ht="12.75" x14ac:dyDescent="0.35">
      <c r="A8624" s="11"/>
      <c r="B8624" s="9"/>
      <c r="C8624" s="9"/>
      <c r="D8624" s="9"/>
      <c r="E8624" s="11"/>
      <c r="F8624" s="11"/>
      <c r="G8624" s="11"/>
      <c r="H8624" s="11"/>
      <c r="I8624" s="11"/>
      <c r="J8624" s="11"/>
      <c r="K8624" s="11"/>
      <c r="L8624" s="11"/>
      <c r="M8624" s="12"/>
      <c r="N8624" s="12"/>
      <c r="O8624" s="11"/>
      <c r="P8624" s="11"/>
    </row>
    <row r="8625" spans="1:16" ht="12.75" x14ac:dyDescent="0.35">
      <c r="A8625" s="11"/>
      <c r="B8625" s="9"/>
      <c r="C8625" s="9"/>
      <c r="D8625" s="9"/>
      <c r="E8625" s="11"/>
      <c r="F8625" s="11"/>
      <c r="G8625" s="11"/>
      <c r="H8625" s="11"/>
      <c r="I8625" s="11"/>
      <c r="J8625" s="11"/>
      <c r="K8625" s="11"/>
      <c r="L8625" s="11"/>
      <c r="M8625" s="12"/>
      <c r="N8625" s="12"/>
      <c r="O8625" s="11"/>
      <c r="P8625" s="11"/>
    </row>
    <row r="8626" spans="1:16" ht="12.75" x14ac:dyDescent="0.35">
      <c r="A8626" s="11"/>
      <c r="B8626" s="9"/>
      <c r="C8626" s="9"/>
      <c r="D8626" s="9"/>
      <c r="E8626" s="11"/>
      <c r="F8626" s="11"/>
      <c r="G8626" s="11"/>
      <c r="H8626" s="11"/>
      <c r="I8626" s="11"/>
      <c r="J8626" s="11"/>
      <c r="K8626" s="11"/>
      <c r="L8626" s="11"/>
      <c r="M8626" s="12"/>
      <c r="N8626" s="12"/>
      <c r="O8626" s="11"/>
      <c r="P8626" s="11"/>
    </row>
    <row r="8627" spans="1:16" ht="12.75" x14ac:dyDescent="0.35">
      <c r="A8627" s="11"/>
      <c r="B8627" s="9"/>
      <c r="C8627" s="9"/>
      <c r="D8627" s="9"/>
      <c r="E8627" s="11"/>
      <c r="F8627" s="11"/>
      <c r="G8627" s="11"/>
      <c r="H8627" s="11"/>
      <c r="I8627" s="11"/>
      <c r="J8627" s="11"/>
      <c r="K8627" s="11"/>
      <c r="L8627" s="11"/>
      <c r="M8627" s="12"/>
      <c r="N8627" s="12"/>
      <c r="O8627" s="11"/>
      <c r="P8627" s="11"/>
    </row>
    <row r="8628" spans="1:16" ht="12.75" x14ac:dyDescent="0.35">
      <c r="A8628" s="11"/>
      <c r="B8628" s="9"/>
      <c r="C8628" s="9"/>
      <c r="D8628" s="9"/>
      <c r="E8628" s="11"/>
      <c r="F8628" s="11"/>
      <c r="G8628" s="11"/>
      <c r="H8628" s="11"/>
      <c r="I8628" s="11"/>
      <c r="J8628" s="11"/>
      <c r="K8628" s="11"/>
      <c r="L8628" s="11"/>
      <c r="M8628" s="12"/>
      <c r="N8628" s="12"/>
      <c r="O8628" s="11"/>
      <c r="P8628" s="11"/>
    </row>
    <row r="8629" spans="1:16" ht="12.75" x14ac:dyDescent="0.35">
      <c r="A8629" s="11"/>
      <c r="B8629" s="9"/>
      <c r="C8629" s="9"/>
      <c r="D8629" s="9"/>
      <c r="E8629" s="11"/>
      <c r="F8629" s="11"/>
      <c r="G8629" s="11"/>
      <c r="H8629" s="11"/>
      <c r="I8629" s="11"/>
      <c r="J8629" s="11"/>
      <c r="K8629" s="11"/>
      <c r="L8629" s="11"/>
      <c r="M8629" s="12"/>
      <c r="N8629" s="12"/>
      <c r="O8629" s="11"/>
      <c r="P8629" s="11"/>
    </row>
    <row r="8630" spans="1:16" ht="12.75" x14ac:dyDescent="0.35">
      <c r="A8630" s="11"/>
      <c r="B8630" s="9"/>
      <c r="C8630" s="9"/>
      <c r="D8630" s="9"/>
      <c r="E8630" s="11"/>
      <c r="F8630" s="11"/>
      <c r="G8630" s="11"/>
      <c r="H8630" s="11"/>
      <c r="I8630" s="11"/>
      <c r="J8630" s="11"/>
      <c r="K8630" s="11"/>
      <c r="L8630" s="11"/>
      <c r="M8630" s="12"/>
      <c r="N8630" s="12"/>
      <c r="O8630" s="11"/>
      <c r="P8630" s="11"/>
    </row>
    <row r="8631" spans="1:16" ht="12.75" x14ac:dyDescent="0.35">
      <c r="A8631" s="11"/>
      <c r="B8631" s="9"/>
      <c r="C8631" s="9"/>
      <c r="D8631" s="9"/>
      <c r="E8631" s="11"/>
      <c r="F8631" s="11"/>
      <c r="G8631" s="11"/>
      <c r="H8631" s="11"/>
      <c r="I8631" s="11"/>
      <c r="J8631" s="11"/>
      <c r="K8631" s="11"/>
      <c r="L8631" s="11"/>
      <c r="M8631" s="12"/>
      <c r="N8631" s="12"/>
      <c r="O8631" s="11"/>
      <c r="P8631" s="11"/>
    </row>
    <row r="8632" spans="1:16" ht="12.75" x14ac:dyDescent="0.35">
      <c r="A8632" s="11"/>
      <c r="B8632" s="9"/>
      <c r="C8632" s="9"/>
      <c r="D8632" s="9"/>
      <c r="E8632" s="11"/>
      <c r="F8632" s="11"/>
      <c r="G8632" s="11"/>
      <c r="H8632" s="11"/>
      <c r="I8632" s="11"/>
      <c r="J8632" s="11"/>
      <c r="K8632" s="11"/>
      <c r="L8632" s="11"/>
      <c r="M8632" s="12"/>
      <c r="N8632" s="12"/>
      <c r="O8632" s="11"/>
      <c r="P8632" s="11"/>
    </row>
    <row r="8633" spans="1:16" ht="12.75" x14ac:dyDescent="0.35">
      <c r="A8633" s="11"/>
      <c r="B8633" s="9"/>
      <c r="C8633" s="9"/>
      <c r="D8633" s="9"/>
      <c r="E8633" s="11"/>
      <c r="F8633" s="11"/>
      <c r="G8633" s="11"/>
      <c r="H8633" s="11"/>
      <c r="I8633" s="11"/>
      <c r="J8633" s="11"/>
      <c r="K8633" s="11"/>
      <c r="L8633" s="11"/>
      <c r="M8633" s="12"/>
      <c r="N8633" s="12"/>
      <c r="O8633" s="11"/>
      <c r="P8633" s="11"/>
    </row>
    <row r="8634" spans="1:16" ht="12.75" x14ac:dyDescent="0.35">
      <c r="A8634" s="11"/>
      <c r="B8634" s="9"/>
      <c r="C8634" s="9"/>
      <c r="D8634" s="9"/>
      <c r="E8634" s="11"/>
      <c r="F8634" s="11"/>
      <c r="G8634" s="11"/>
      <c r="H8634" s="11"/>
      <c r="I8634" s="11"/>
      <c r="J8634" s="11"/>
      <c r="K8634" s="11"/>
      <c r="L8634" s="11"/>
      <c r="M8634" s="12"/>
      <c r="N8634" s="12"/>
      <c r="O8634" s="11"/>
      <c r="P8634" s="11"/>
    </row>
    <row r="8635" spans="1:16" ht="12.75" x14ac:dyDescent="0.35">
      <c r="A8635" s="11"/>
      <c r="B8635" s="9"/>
      <c r="C8635" s="9"/>
      <c r="D8635" s="9"/>
      <c r="E8635" s="11"/>
      <c r="F8635" s="11"/>
      <c r="G8635" s="11"/>
      <c r="H8635" s="11"/>
      <c r="I8635" s="11"/>
      <c r="J8635" s="11"/>
      <c r="K8635" s="11"/>
      <c r="L8635" s="11"/>
      <c r="M8635" s="12"/>
      <c r="N8635" s="12"/>
      <c r="O8635" s="11"/>
      <c r="P8635" s="11"/>
    </row>
    <row r="8636" spans="1:16" ht="12.75" x14ac:dyDescent="0.35">
      <c r="A8636" s="11"/>
      <c r="B8636" s="9"/>
      <c r="C8636" s="9"/>
      <c r="D8636" s="9"/>
      <c r="E8636" s="11"/>
      <c r="F8636" s="11"/>
      <c r="G8636" s="11"/>
      <c r="H8636" s="11"/>
      <c r="I8636" s="11"/>
      <c r="J8636" s="11"/>
      <c r="K8636" s="11"/>
      <c r="L8636" s="11"/>
      <c r="M8636" s="12"/>
      <c r="N8636" s="12"/>
      <c r="O8636" s="11"/>
      <c r="P8636" s="11"/>
    </row>
    <row r="8637" spans="1:16" ht="12.75" x14ac:dyDescent="0.35">
      <c r="A8637" s="11"/>
      <c r="B8637" s="9"/>
      <c r="C8637" s="9"/>
      <c r="D8637" s="9"/>
      <c r="E8637" s="11"/>
      <c r="F8637" s="11"/>
      <c r="G8637" s="11"/>
      <c r="H8637" s="11"/>
      <c r="I8637" s="11"/>
      <c r="J8637" s="11"/>
      <c r="K8637" s="11"/>
      <c r="L8637" s="11"/>
      <c r="M8637" s="12"/>
      <c r="N8637" s="12"/>
      <c r="O8637" s="11"/>
      <c r="P8637" s="11"/>
    </row>
    <row r="8638" spans="1:16" ht="12.75" x14ac:dyDescent="0.35">
      <c r="A8638" s="11"/>
      <c r="B8638" s="9"/>
      <c r="C8638" s="9"/>
      <c r="D8638" s="9"/>
      <c r="E8638" s="11"/>
      <c r="F8638" s="11"/>
      <c r="G8638" s="11"/>
      <c r="H8638" s="11"/>
      <c r="I8638" s="11"/>
      <c r="J8638" s="11"/>
      <c r="K8638" s="11"/>
      <c r="L8638" s="11"/>
      <c r="M8638" s="12"/>
      <c r="N8638" s="12"/>
      <c r="O8638" s="11"/>
      <c r="P8638" s="11"/>
    </row>
    <row r="8639" spans="1:16" ht="12.75" x14ac:dyDescent="0.35">
      <c r="A8639" s="11"/>
      <c r="B8639" s="9"/>
      <c r="C8639" s="9"/>
      <c r="D8639" s="9"/>
      <c r="E8639" s="11"/>
      <c r="F8639" s="11"/>
      <c r="G8639" s="11"/>
      <c r="H8639" s="11"/>
      <c r="I8639" s="11"/>
      <c r="J8639" s="11"/>
      <c r="K8639" s="11"/>
      <c r="L8639" s="11"/>
      <c r="M8639" s="12"/>
      <c r="N8639" s="12"/>
      <c r="O8639" s="11"/>
      <c r="P8639" s="11"/>
    </row>
    <row r="8640" spans="1:16" ht="12.75" x14ac:dyDescent="0.35">
      <c r="A8640" s="11"/>
      <c r="B8640" s="9"/>
      <c r="C8640" s="9"/>
      <c r="D8640" s="9"/>
      <c r="E8640" s="11"/>
      <c r="F8640" s="11"/>
      <c r="G8640" s="11"/>
      <c r="H8640" s="11"/>
      <c r="I8640" s="11"/>
      <c r="J8640" s="11"/>
      <c r="K8640" s="11"/>
      <c r="L8640" s="11"/>
      <c r="M8640" s="12"/>
      <c r="N8640" s="12"/>
      <c r="O8640" s="11"/>
      <c r="P8640" s="11"/>
    </row>
    <row r="8641" spans="1:16" ht="12.75" x14ac:dyDescent="0.35">
      <c r="A8641" s="11"/>
      <c r="B8641" s="9"/>
      <c r="C8641" s="9"/>
      <c r="D8641" s="9"/>
      <c r="E8641" s="11"/>
      <c r="F8641" s="11"/>
      <c r="G8641" s="11"/>
      <c r="H8641" s="11"/>
      <c r="I8641" s="11"/>
      <c r="J8641" s="11"/>
      <c r="K8641" s="11"/>
      <c r="L8641" s="11"/>
      <c r="M8641" s="12"/>
      <c r="N8641" s="12"/>
      <c r="O8641" s="11"/>
      <c r="P8641" s="11"/>
    </row>
    <row r="8642" spans="1:16" ht="12.75" x14ac:dyDescent="0.35">
      <c r="A8642" s="11"/>
      <c r="B8642" s="9"/>
      <c r="C8642" s="9"/>
      <c r="D8642" s="9"/>
      <c r="E8642" s="11"/>
      <c r="F8642" s="11"/>
      <c r="G8642" s="11"/>
      <c r="H8642" s="11"/>
      <c r="I8642" s="11"/>
      <c r="J8642" s="11"/>
      <c r="K8642" s="11"/>
      <c r="L8642" s="11"/>
      <c r="M8642" s="12"/>
      <c r="N8642" s="12"/>
      <c r="O8642" s="11"/>
      <c r="P8642" s="11"/>
    </row>
    <row r="8643" spans="1:16" ht="12.75" x14ac:dyDescent="0.35">
      <c r="A8643" s="11"/>
      <c r="B8643" s="9"/>
      <c r="C8643" s="9"/>
      <c r="D8643" s="9"/>
      <c r="E8643" s="11"/>
      <c r="F8643" s="11"/>
      <c r="G8643" s="11"/>
      <c r="H8643" s="11"/>
      <c r="I8643" s="11"/>
      <c r="J8643" s="11"/>
      <c r="K8643" s="11"/>
      <c r="L8643" s="11"/>
      <c r="M8643" s="12"/>
      <c r="N8643" s="12"/>
      <c r="O8643" s="11"/>
      <c r="P8643" s="11"/>
    </row>
    <row r="8644" spans="1:16" ht="12.75" x14ac:dyDescent="0.35">
      <c r="A8644" s="11"/>
      <c r="B8644" s="9"/>
      <c r="C8644" s="9"/>
      <c r="D8644" s="9"/>
      <c r="E8644" s="11"/>
      <c r="F8644" s="11"/>
      <c r="G8644" s="11"/>
      <c r="H8644" s="11"/>
      <c r="I8644" s="11"/>
      <c r="J8644" s="11"/>
      <c r="K8644" s="11"/>
      <c r="L8644" s="11"/>
      <c r="M8644" s="12"/>
      <c r="N8644" s="12"/>
      <c r="O8644" s="11"/>
      <c r="P8644" s="11"/>
    </row>
    <row r="8645" spans="1:16" ht="12.75" x14ac:dyDescent="0.35">
      <c r="A8645" s="11"/>
      <c r="B8645" s="9"/>
      <c r="C8645" s="9"/>
      <c r="D8645" s="9"/>
      <c r="E8645" s="11"/>
      <c r="F8645" s="11"/>
      <c r="G8645" s="11"/>
      <c r="H8645" s="11"/>
      <c r="I8645" s="11"/>
      <c r="J8645" s="11"/>
      <c r="K8645" s="11"/>
      <c r="L8645" s="11"/>
      <c r="M8645" s="12"/>
      <c r="N8645" s="12"/>
      <c r="O8645" s="11"/>
      <c r="P8645" s="11"/>
    </row>
    <row r="8646" spans="1:16" ht="12.75" x14ac:dyDescent="0.35">
      <c r="A8646" s="11"/>
      <c r="B8646" s="9"/>
      <c r="C8646" s="9"/>
      <c r="D8646" s="9"/>
      <c r="E8646" s="11"/>
      <c r="F8646" s="11"/>
      <c r="G8646" s="11"/>
      <c r="H8646" s="11"/>
      <c r="I8646" s="11"/>
      <c r="J8646" s="11"/>
      <c r="K8646" s="11"/>
      <c r="L8646" s="11"/>
      <c r="M8646" s="12"/>
      <c r="N8646" s="12"/>
      <c r="O8646" s="11"/>
      <c r="P8646" s="11"/>
    </row>
    <row r="8647" spans="1:16" ht="12.75" x14ac:dyDescent="0.35">
      <c r="A8647" s="11"/>
      <c r="B8647" s="9"/>
      <c r="C8647" s="9"/>
      <c r="D8647" s="9"/>
      <c r="E8647" s="11"/>
      <c r="F8647" s="11"/>
      <c r="G8647" s="11"/>
      <c r="H8647" s="11"/>
      <c r="I8647" s="11"/>
      <c r="J8647" s="11"/>
      <c r="K8647" s="11"/>
      <c r="L8647" s="11"/>
      <c r="M8647" s="12"/>
      <c r="N8647" s="12"/>
      <c r="O8647" s="11"/>
      <c r="P8647" s="11"/>
    </row>
    <row r="8648" spans="1:16" ht="12.75" x14ac:dyDescent="0.35">
      <c r="A8648" s="11"/>
      <c r="B8648" s="9"/>
      <c r="C8648" s="9"/>
      <c r="D8648" s="9"/>
      <c r="E8648" s="11"/>
      <c r="F8648" s="11"/>
      <c r="G8648" s="11"/>
      <c r="H8648" s="11"/>
      <c r="I8648" s="11"/>
      <c r="J8648" s="11"/>
      <c r="K8648" s="11"/>
      <c r="L8648" s="11"/>
      <c r="M8648" s="12"/>
      <c r="N8648" s="12"/>
      <c r="O8648" s="11"/>
      <c r="P8648" s="11"/>
    </row>
    <row r="8649" spans="1:16" ht="12.75" x14ac:dyDescent="0.35">
      <c r="A8649" s="11"/>
      <c r="B8649" s="9"/>
      <c r="C8649" s="9"/>
      <c r="D8649" s="9"/>
      <c r="E8649" s="11"/>
      <c r="F8649" s="11"/>
      <c r="G8649" s="11"/>
      <c r="H8649" s="11"/>
      <c r="I8649" s="11"/>
      <c r="J8649" s="11"/>
      <c r="K8649" s="11"/>
      <c r="L8649" s="11"/>
      <c r="M8649" s="12"/>
      <c r="N8649" s="12"/>
      <c r="O8649" s="11"/>
      <c r="P8649" s="11"/>
    </row>
    <row r="8650" spans="1:16" ht="12.75" x14ac:dyDescent="0.35">
      <c r="A8650" s="11"/>
      <c r="B8650" s="9"/>
      <c r="C8650" s="9"/>
      <c r="D8650" s="9"/>
      <c r="E8650" s="11"/>
      <c r="F8650" s="11"/>
      <c r="G8650" s="11"/>
      <c r="H8650" s="11"/>
      <c r="I8650" s="11"/>
      <c r="J8650" s="11"/>
      <c r="K8650" s="11"/>
      <c r="L8650" s="11"/>
      <c r="M8650" s="12"/>
      <c r="N8650" s="12"/>
      <c r="O8650" s="11"/>
      <c r="P8650" s="11"/>
    </row>
    <row r="8651" spans="1:16" ht="12.75" x14ac:dyDescent="0.35">
      <c r="A8651" s="11"/>
      <c r="B8651" s="9"/>
      <c r="C8651" s="9"/>
      <c r="D8651" s="9"/>
      <c r="E8651" s="11"/>
      <c r="F8651" s="11"/>
      <c r="G8651" s="11"/>
      <c r="H8651" s="11"/>
      <c r="I8651" s="11"/>
      <c r="J8651" s="11"/>
      <c r="K8651" s="11"/>
      <c r="L8651" s="11"/>
      <c r="M8651" s="12"/>
      <c r="N8651" s="12"/>
      <c r="O8651" s="11"/>
      <c r="P8651" s="11"/>
    </row>
    <row r="8652" spans="1:16" ht="12.75" x14ac:dyDescent="0.35">
      <c r="A8652" s="11"/>
      <c r="B8652" s="9"/>
      <c r="C8652" s="9"/>
      <c r="D8652" s="9"/>
      <c r="E8652" s="11"/>
      <c r="F8652" s="11"/>
      <c r="G8652" s="11"/>
      <c r="H8652" s="11"/>
      <c r="I8652" s="11"/>
      <c r="J8652" s="11"/>
      <c r="K8652" s="11"/>
      <c r="L8652" s="11"/>
      <c r="M8652" s="12"/>
      <c r="N8652" s="12"/>
      <c r="O8652" s="11"/>
      <c r="P8652" s="11"/>
    </row>
    <row r="8653" spans="1:16" ht="12.75" x14ac:dyDescent="0.35">
      <c r="A8653" s="11"/>
      <c r="B8653" s="9"/>
      <c r="C8653" s="9"/>
      <c r="D8653" s="9"/>
      <c r="E8653" s="11"/>
      <c r="F8653" s="11"/>
      <c r="G8653" s="11"/>
      <c r="H8653" s="11"/>
      <c r="I8653" s="11"/>
      <c r="J8653" s="11"/>
      <c r="K8653" s="11"/>
      <c r="L8653" s="11"/>
      <c r="M8653" s="12"/>
      <c r="N8653" s="12"/>
      <c r="O8653" s="11"/>
      <c r="P8653" s="11"/>
    </row>
    <row r="8654" spans="1:16" ht="12.75" x14ac:dyDescent="0.35">
      <c r="A8654" s="11"/>
      <c r="B8654" s="9"/>
      <c r="C8654" s="9"/>
      <c r="D8654" s="9"/>
      <c r="E8654" s="11"/>
      <c r="F8654" s="11"/>
      <c r="G8654" s="11"/>
      <c r="H8654" s="11"/>
      <c r="I8654" s="11"/>
      <c r="J8654" s="11"/>
      <c r="K8654" s="11"/>
      <c r="L8654" s="11"/>
      <c r="M8654" s="12"/>
      <c r="N8654" s="12"/>
      <c r="O8654" s="11"/>
      <c r="P8654" s="11"/>
    </row>
    <row r="8655" spans="1:16" ht="12.75" x14ac:dyDescent="0.35">
      <c r="A8655" s="11"/>
      <c r="B8655" s="9"/>
      <c r="C8655" s="9"/>
      <c r="D8655" s="9"/>
      <c r="E8655" s="11"/>
      <c r="F8655" s="11"/>
      <c r="G8655" s="11"/>
      <c r="H8655" s="11"/>
      <c r="I8655" s="11"/>
      <c r="J8655" s="11"/>
      <c r="K8655" s="11"/>
      <c r="L8655" s="11"/>
      <c r="M8655" s="12"/>
      <c r="N8655" s="12"/>
      <c r="O8655" s="11"/>
      <c r="P8655" s="11"/>
    </row>
    <row r="8656" spans="1:16" ht="12.75" x14ac:dyDescent="0.35">
      <c r="A8656" s="11"/>
      <c r="B8656" s="9"/>
      <c r="C8656" s="9"/>
      <c r="D8656" s="9"/>
      <c r="E8656" s="11"/>
      <c r="F8656" s="11"/>
      <c r="G8656" s="11"/>
      <c r="H8656" s="11"/>
      <c r="I8656" s="11"/>
      <c r="J8656" s="11"/>
      <c r="K8656" s="11"/>
      <c r="L8656" s="11"/>
      <c r="M8656" s="12"/>
      <c r="N8656" s="12"/>
      <c r="O8656" s="11"/>
      <c r="P8656" s="11"/>
    </row>
    <row r="8657" spans="1:16" ht="12.75" x14ac:dyDescent="0.35">
      <c r="A8657" s="11"/>
      <c r="B8657" s="9"/>
      <c r="C8657" s="9"/>
      <c r="D8657" s="9"/>
      <c r="E8657" s="11"/>
      <c r="F8657" s="11"/>
      <c r="G8657" s="11"/>
      <c r="H8657" s="11"/>
      <c r="I8657" s="11"/>
      <c r="J8657" s="11"/>
      <c r="K8657" s="11"/>
      <c r="L8657" s="11"/>
      <c r="M8657" s="12"/>
      <c r="N8657" s="12"/>
      <c r="O8657" s="11"/>
      <c r="P8657" s="11"/>
    </row>
    <row r="8658" spans="1:16" ht="12.75" x14ac:dyDescent="0.35">
      <c r="A8658" s="11"/>
      <c r="B8658" s="9"/>
      <c r="C8658" s="9"/>
      <c r="D8658" s="9"/>
      <c r="E8658" s="11"/>
      <c r="F8658" s="11"/>
      <c r="G8658" s="11"/>
      <c r="H8658" s="11"/>
      <c r="I8658" s="11"/>
      <c r="J8658" s="11"/>
      <c r="K8658" s="11"/>
      <c r="L8658" s="11"/>
      <c r="M8658" s="12"/>
      <c r="N8658" s="12"/>
      <c r="O8658" s="11"/>
      <c r="P8658" s="11"/>
    </row>
    <row r="8659" spans="1:16" ht="12.75" x14ac:dyDescent="0.35">
      <c r="A8659" s="11"/>
      <c r="B8659" s="9"/>
      <c r="C8659" s="9"/>
      <c r="D8659" s="9"/>
      <c r="E8659" s="11"/>
      <c r="F8659" s="11"/>
      <c r="G8659" s="11"/>
      <c r="H8659" s="11"/>
      <c r="I8659" s="11"/>
      <c r="J8659" s="11"/>
      <c r="K8659" s="11"/>
      <c r="L8659" s="11"/>
      <c r="M8659" s="12"/>
      <c r="N8659" s="12"/>
      <c r="O8659" s="11"/>
      <c r="P8659" s="11"/>
    </row>
    <row r="8660" spans="1:16" ht="12.75" x14ac:dyDescent="0.35">
      <c r="A8660" s="11"/>
      <c r="B8660" s="9"/>
      <c r="C8660" s="9"/>
      <c r="D8660" s="9"/>
      <c r="E8660" s="11"/>
      <c r="F8660" s="11"/>
      <c r="G8660" s="11"/>
      <c r="H8660" s="11"/>
      <c r="I8660" s="11"/>
      <c r="J8660" s="11"/>
      <c r="K8660" s="11"/>
      <c r="L8660" s="11"/>
      <c r="M8660" s="12"/>
      <c r="N8660" s="12"/>
      <c r="O8660" s="11"/>
      <c r="P8660" s="11"/>
    </row>
    <row r="8661" spans="1:16" ht="12.75" x14ac:dyDescent="0.35">
      <c r="A8661" s="11"/>
      <c r="B8661" s="9"/>
      <c r="C8661" s="9"/>
      <c r="D8661" s="9"/>
      <c r="E8661" s="11"/>
      <c r="F8661" s="11"/>
      <c r="G8661" s="11"/>
      <c r="H8661" s="11"/>
      <c r="I8661" s="11"/>
      <c r="J8661" s="11"/>
      <c r="K8661" s="11"/>
      <c r="L8661" s="11"/>
      <c r="M8661" s="12"/>
      <c r="N8661" s="12"/>
      <c r="O8661" s="11"/>
      <c r="P8661" s="11"/>
    </row>
    <row r="8662" spans="1:16" ht="12.75" x14ac:dyDescent="0.35">
      <c r="A8662" s="11"/>
      <c r="B8662" s="9"/>
      <c r="C8662" s="9"/>
      <c r="D8662" s="9"/>
      <c r="E8662" s="11"/>
      <c r="F8662" s="11"/>
      <c r="G8662" s="11"/>
      <c r="H8662" s="11"/>
      <c r="I8662" s="11"/>
      <c r="J8662" s="11"/>
      <c r="K8662" s="11"/>
      <c r="L8662" s="11"/>
      <c r="M8662" s="12"/>
      <c r="N8662" s="12"/>
      <c r="O8662" s="11"/>
      <c r="P8662" s="11"/>
    </row>
    <row r="8663" spans="1:16" ht="12.75" x14ac:dyDescent="0.35">
      <c r="A8663" s="11"/>
      <c r="B8663" s="9"/>
      <c r="C8663" s="9"/>
      <c r="D8663" s="9"/>
      <c r="E8663" s="11"/>
      <c r="F8663" s="11"/>
      <c r="G8663" s="11"/>
      <c r="H8663" s="11"/>
      <c r="I8663" s="11"/>
      <c r="J8663" s="11"/>
      <c r="K8663" s="11"/>
      <c r="L8663" s="11"/>
      <c r="M8663" s="12"/>
      <c r="N8663" s="12"/>
      <c r="O8663" s="11"/>
      <c r="P8663" s="11"/>
    </row>
    <row r="8664" spans="1:16" ht="12.75" x14ac:dyDescent="0.35">
      <c r="A8664" s="11"/>
      <c r="B8664" s="9"/>
      <c r="C8664" s="9"/>
      <c r="D8664" s="9"/>
      <c r="E8664" s="11"/>
      <c r="F8664" s="11"/>
      <c r="G8664" s="11"/>
      <c r="H8664" s="11"/>
      <c r="I8664" s="11"/>
      <c r="J8664" s="11"/>
      <c r="K8664" s="11"/>
      <c r="L8664" s="11"/>
      <c r="M8664" s="12"/>
      <c r="N8664" s="12"/>
      <c r="O8664" s="11"/>
      <c r="P8664" s="11"/>
    </row>
    <row r="8665" spans="1:16" ht="12.75" x14ac:dyDescent="0.35">
      <c r="A8665" s="11"/>
      <c r="B8665" s="9"/>
      <c r="C8665" s="9"/>
      <c r="D8665" s="9"/>
      <c r="E8665" s="11"/>
      <c r="F8665" s="11"/>
      <c r="G8665" s="11"/>
      <c r="H8665" s="11"/>
      <c r="I8665" s="11"/>
      <c r="J8665" s="11"/>
      <c r="K8665" s="11"/>
      <c r="L8665" s="11"/>
      <c r="M8665" s="12"/>
      <c r="N8665" s="12"/>
      <c r="O8665" s="11"/>
      <c r="P8665" s="11"/>
    </row>
    <row r="8666" spans="1:16" ht="12.75" x14ac:dyDescent="0.35">
      <c r="A8666" s="11"/>
      <c r="B8666" s="9"/>
      <c r="C8666" s="9"/>
      <c r="D8666" s="9"/>
      <c r="E8666" s="11"/>
      <c r="F8666" s="11"/>
      <c r="G8666" s="11"/>
      <c r="H8666" s="11"/>
      <c r="I8666" s="11"/>
      <c r="J8666" s="11"/>
      <c r="K8666" s="11"/>
      <c r="L8666" s="11"/>
      <c r="M8666" s="12"/>
      <c r="N8666" s="12"/>
      <c r="O8666" s="11"/>
      <c r="P8666" s="11"/>
    </row>
    <row r="8667" spans="1:16" ht="12.75" x14ac:dyDescent="0.35">
      <c r="A8667" s="11"/>
      <c r="B8667" s="9"/>
      <c r="C8667" s="9"/>
      <c r="D8667" s="9"/>
      <c r="E8667" s="11"/>
      <c r="F8667" s="11"/>
      <c r="G8667" s="11"/>
      <c r="H8667" s="11"/>
      <c r="I8667" s="11"/>
      <c r="J8667" s="11"/>
      <c r="K8667" s="11"/>
      <c r="L8667" s="11"/>
      <c r="M8667" s="12"/>
      <c r="N8667" s="12"/>
      <c r="O8667" s="11"/>
      <c r="P8667" s="11"/>
    </row>
    <row r="8668" spans="1:16" ht="12.75" x14ac:dyDescent="0.35">
      <c r="A8668" s="11"/>
      <c r="B8668" s="9"/>
      <c r="C8668" s="9"/>
      <c r="D8668" s="9"/>
      <c r="E8668" s="11"/>
      <c r="F8668" s="11"/>
      <c r="G8668" s="11"/>
      <c r="H8668" s="11"/>
      <c r="I8668" s="11"/>
      <c r="J8668" s="11"/>
      <c r="K8668" s="11"/>
      <c r="L8668" s="11"/>
      <c r="M8668" s="12"/>
      <c r="N8668" s="12"/>
      <c r="O8668" s="11"/>
      <c r="P8668" s="11"/>
    </row>
    <row r="8669" spans="1:16" ht="12.75" x14ac:dyDescent="0.35">
      <c r="A8669" s="11"/>
      <c r="B8669" s="9"/>
      <c r="C8669" s="9"/>
      <c r="D8669" s="9"/>
      <c r="E8669" s="11"/>
      <c r="F8669" s="11"/>
      <c r="G8669" s="11"/>
      <c r="H8669" s="11"/>
      <c r="I8669" s="11"/>
      <c r="J8669" s="11"/>
      <c r="K8669" s="11"/>
      <c r="L8669" s="11"/>
      <c r="M8669" s="12"/>
      <c r="N8669" s="12"/>
      <c r="O8669" s="11"/>
      <c r="P8669" s="11"/>
    </row>
    <row r="8670" spans="1:16" ht="12.75" x14ac:dyDescent="0.35">
      <c r="A8670" s="11"/>
      <c r="B8670" s="9"/>
      <c r="C8670" s="9"/>
      <c r="D8670" s="9"/>
      <c r="E8670" s="11"/>
      <c r="F8670" s="11"/>
      <c r="G8670" s="11"/>
      <c r="H8670" s="11"/>
      <c r="I8670" s="11"/>
      <c r="J8670" s="11"/>
      <c r="K8670" s="11"/>
      <c r="L8670" s="11"/>
      <c r="M8670" s="12"/>
      <c r="N8670" s="12"/>
      <c r="O8670" s="11"/>
      <c r="P8670" s="11"/>
    </row>
    <row r="8671" spans="1:16" ht="12.75" x14ac:dyDescent="0.35">
      <c r="A8671" s="11"/>
      <c r="B8671" s="9"/>
      <c r="C8671" s="9"/>
      <c r="D8671" s="9"/>
      <c r="E8671" s="11"/>
      <c r="F8671" s="11"/>
      <c r="G8671" s="11"/>
      <c r="H8671" s="11"/>
      <c r="I8671" s="11"/>
      <c r="J8671" s="11"/>
      <c r="K8671" s="11"/>
      <c r="L8671" s="11"/>
      <c r="M8671" s="12"/>
      <c r="N8671" s="12"/>
      <c r="O8671" s="11"/>
      <c r="P8671" s="11"/>
    </row>
    <row r="8672" spans="1:16" ht="12.75" x14ac:dyDescent="0.35">
      <c r="A8672" s="11"/>
      <c r="B8672" s="9"/>
      <c r="C8672" s="9"/>
      <c r="D8672" s="9"/>
      <c r="E8672" s="11"/>
      <c r="F8672" s="11"/>
      <c r="G8672" s="11"/>
      <c r="H8672" s="11"/>
      <c r="I8672" s="11"/>
      <c r="J8672" s="11"/>
      <c r="K8672" s="11"/>
      <c r="L8672" s="11"/>
      <c r="M8672" s="12"/>
      <c r="N8672" s="12"/>
      <c r="O8672" s="11"/>
      <c r="P8672" s="11"/>
    </row>
    <row r="8673" spans="1:16" ht="12.75" x14ac:dyDescent="0.35">
      <c r="A8673" s="11"/>
      <c r="B8673" s="9"/>
      <c r="C8673" s="9"/>
      <c r="D8673" s="9"/>
      <c r="E8673" s="11"/>
      <c r="F8673" s="11"/>
      <c r="G8673" s="11"/>
      <c r="H8673" s="11"/>
      <c r="I8673" s="11"/>
      <c r="J8673" s="11"/>
      <c r="K8673" s="11"/>
      <c r="L8673" s="11"/>
      <c r="M8673" s="12"/>
      <c r="N8673" s="12"/>
      <c r="O8673" s="11"/>
      <c r="P8673" s="11"/>
    </row>
    <row r="8674" spans="1:16" ht="12.75" x14ac:dyDescent="0.35">
      <c r="A8674" s="11"/>
      <c r="B8674" s="9"/>
      <c r="C8674" s="9"/>
      <c r="D8674" s="9"/>
      <c r="E8674" s="11"/>
      <c r="F8674" s="11"/>
      <c r="G8674" s="11"/>
      <c r="H8674" s="11"/>
      <c r="I8674" s="11"/>
      <c r="J8674" s="11"/>
      <c r="K8674" s="11"/>
      <c r="L8674" s="11"/>
      <c r="M8674" s="12"/>
      <c r="N8674" s="12"/>
      <c r="O8674" s="11"/>
      <c r="P8674" s="11"/>
    </row>
    <row r="8675" spans="1:16" ht="12.75" x14ac:dyDescent="0.35">
      <c r="A8675" s="11"/>
      <c r="B8675" s="9"/>
      <c r="C8675" s="9"/>
      <c r="D8675" s="9"/>
      <c r="E8675" s="11"/>
      <c r="F8675" s="11"/>
      <c r="G8675" s="11"/>
      <c r="H8675" s="11"/>
      <c r="I8675" s="11"/>
      <c r="J8675" s="11"/>
      <c r="K8675" s="11"/>
      <c r="L8675" s="11"/>
      <c r="M8675" s="12"/>
      <c r="N8675" s="12"/>
      <c r="O8675" s="11"/>
      <c r="P8675" s="11"/>
    </row>
    <row r="8676" spans="1:16" ht="12.75" x14ac:dyDescent="0.35">
      <c r="A8676" s="11"/>
      <c r="B8676" s="9"/>
      <c r="C8676" s="9"/>
      <c r="D8676" s="9"/>
      <c r="E8676" s="11"/>
      <c r="F8676" s="11"/>
      <c r="G8676" s="11"/>
      <c r="H8676" s="11"/>
      <c r="I8676" s="11"/>
      <c r="J8676" s="11"/>
      <c r="K8676" s="11"/>
      <c r="L8676" s="11"/>
      <c r="M8676" s="12"/>
      <c r="N8676" s="12"/>
      <c r="O8676" s="11"/>
      <c r="P8676" s="11"/>
    </row>
    <row r="8677" spans="1:16" ht="12.75" x14ac:dyDescent="0.35">
      <c r="A8677" s="11"/>
      <c r="B8677" s="9"/>
      <c r="C8677" s="9"/>
      <c r="D8677" s="9"/>
      <c r="E8677" s="11"/>
      <c r="F8677" s="11"/>
      <c r="G8677" s="11"/>
      <c r="H8677" s="11"/>
      <c r="I8677" s="11"/>
      <c r="J8677" s="11"/>
      <c r="K8677" s="11"/>
      <c r="L8677" s="11"/>
      <c r="M8677" s="12"/>
      <c r="N8677" s="12"/>
      <c r="O8677" s="11"/>
      <c r="P8677" s="11"/>
    </row>
    <row r="8678" spans="1:16" ht="12.75" x14ac:dyDescent="0.35">
      <c r="A8678" s="11"/>
      <c r="B8678" s="9"/>
      <c r="C8678" s="9"/>
      <c r="D8678" s="9"/>
      <c r="E8678" s="11"/>
      <c r="F8678" s="11"/>
      <c r="G8678" s="11"/>
      <c r="H8678" s="11"/>
      <c r="I8678" s="11"/>
      <c r="J8678" s="11"/>
      <c r="K8678" s="11"/>
      <c r="L8678" s="11"/>
      <c r="M8678" s="12"/>
      <c r="N8678" s="12"/>
      <c r="O8678" s="11"/>
      <c r="P8678" s="11"/>
    </row>
    <row r="8679" spans="1:16" ht="12.75" x14ac:dyDescent="0.35">
      <c r="A8679" s="11"/>
      <c r="B8679" s="9"/>
      <c r="C8679" s="9"/>
      <c r="D8679" s="9"/>
      <c r="E8679" s="11"/>
      <c r="F8679" s="11"/>
      <c r="G8679" s="11"/>
      <c r="H8679" s="11"/>
      <c r="I8679" s="11"/>
      <c r="J8679" s="11"/>
      <c r="K8679" s="11"/>
      <c r="L8679" s="11"/>
      <c r="M8679" s="12"/>
      <c r="N8679" s="12"/>
      <c r="O8679" s="11"/>
      <c r="P8679" s="11"/>
    </row>
    <row r="8680" spans="1:16" ht="12.75" x14ac:dyDescent="0.35">
      <c r="A8680" s="11"/>
      <c r="B8680" s="9"/>
      <c r="C8680" s="9"/>
      <c r="D8680" s="9"/>
      <c r="E8680" s="11"/>
      <c r="F8680" s="11"/>
      <c r="G8680" s="11"/>
      <c r="H8680" s="11"/>
      <c r="I8680" s="11"/>
      <c r="J8680" s="11"/>
      <c r="K8680" s="11"/>
      <c r="L8680" s="11"/>
      <c r="M8680" s="12"/>
      <c r="N8680" s="12"/>
      <c r="O8680" s="11"/>
      <c r="P8680" s="11"/>
    </row>
    <row r="8681" spans="1:16" ht="12.75" x14ac:dyDescent="0.35">
      <c r="A8681" s="11"/>
      <c r="B8681" s="9"/>
      <c r="C8681" s="9"/>
      <c r="D8681" s="9"/>
      <c r="E8681" s="11"/>
      <c r="F8681" s="11"/>
      <c r="G8681" s="11"/>
      <c r="H8681" s="11"/>
      <c r="I8681" s="11"/>
      <c r="J8681" s="11"/>
      <c r="K8681" s="11"/>
      <c r="L8681" s="11"/>
      <c r="M8681" s="12"/>
      <c r="N8681" s="12"/>
      <c r="O8681" s="11"/>
      <c r="P8681" s="11"/>
    </row>
    <row r="8682" spans="1:16" ht="12.75" x14ac:dyDescent="0.35">
      <c r="A8682" s="11"/>
      <c r="B8682" s="9"/>
      <c r="C8682" s="9"/>
      <c r="D8682" s="9"/>
      <c r="E8682" s="11"/>
      <c r="F8682" s="11"/>
      <c r="G8682" s="11"/>
      <c r="H8682" s="11"/>
      <c r="I8682" s="11"/>
      <c r="J8682" s="11"/>
      <c r="K8682" s="11"/>
      <c r="L8682" s="11"/>
      <c r="M8682" s="12"/>
      <c r="N8682" s="12"/>
      <c r="O8682" s="11"/>
      <c r="P8682" s="11"/>
    </row>
    <row r="8683" spans="1:16" ht="12.75" x14ac:dyDescent="0.35">
      <c r="A8683" s="11"/>
      <c r="B8683" s="9"/>
      <c r="C8683" s="9"/>
      <c r="D8683" s="9"/>
      <c r="E8683" s="11"/>
      <c r="F8683" s="11"/>
      <c r="G8683" s="11"/>
      <c r="H8683" s="11"/>
      <c r="I8683" s="11"/>
      <c r="J8683" s="11"/>
      <c r="K8683" s="11"/>
      <c r="L8683" s="11"/>
      <c r="M8683" s="12"/>
      <c r="N8683" s="12"/>
      <c r="O8683" s="11"/>
      <c r="P8683" s="11"/>
    </row>
    <row r="8684" spans="1:16" ht="12.75" x14ac:dyDescent="0.35">
      <c r="A8684" s="11"/>
      <c r="B8684" s="9"/>
      <c r="C8684" s="9"/>
      <c r="D8684" s="9"/>
      <c r="E8684" s="11"/>
      <c r="F8684" s="11"/>
      <c r="G8684" s="11"/>
      <c r="H8684" s="11"/>
      <c r="I8684" s="11"/>
      <c r="J8684" s="11"/>
      <c r="K8684" s="11"/>
      <c r="L8684" s="11"/>
      <c r="M8684" s="12"/>
      <c r="N8684" s="12"/>
      <c r="O8684" s="11"/>
      <c r="P8684" s="11"/>
    </row>
    <row r="8685" spans="1:16" ht="12.75" x14ac:dyDescent="0.35">
      <c r="A8685" s="11"/>
      <c r="B8685" s="9"/>
      <c r="C8685" s="9"/>
      <c r="D8685" s="9"/>
      <c r="E8685" s="11"/>
      <c r="F8685" s="11"/>
      <c r="G8685" s="11"/>
      <c r="H8685" s="11"/>
      <c r="I8685" s="11"/>
      <c r="J8685" s="11"/>
      <c r="K8685" s="11"/>
      <c r="L8685" s="11"/>
      <c r="M8685" s="12"/>
      <c r="N8685" s="12"/>
      <c r="O8685" s="11"/>
      <c r="P8685" s="11"/>
    </row>
    <row r="8686" spans="1:16" ht="12.75" x14ac:dyDescent="0.35">
      <c r="A8686" s="11"/>
      <c r="B8686" s="9"/>
      <c r="C8686" s="9"/>
      <c r="D8686" s="9"/>
      <c r="E8686" s="11"/>
      <c r="F8686" s="11"/>
      <c r="G8686" s="11"/>
      <c r="H8686" s="11"/>
      <c r="I8686" s="11"/>
      <c r="J8686" s="11"/>
      <c r="K8686" s="11"/>
      <c r="L8686" s="11"/>
      <c r="M8686" s="12"/>
      <c r="N8686" s="12"/>
      <c r="O8686" s="11"/>
      <c r="P8686" s="11"/>
    </row>
    <row r="8687" spans="1:16" ht="12.75" x14ac:dyDescent="0.35">
      <c r="A8687" s="11"/>
      <c r="B8687" s="9"/>
      <c r="C8687" s="9"/>
      <c r="D8687" s="9"/>
      <c r="E8687" s="11"/>
      <c r="F8687" s="11"/>
      <c r="G8687" s="11"/>
      <c r="H8687" s="11"/>
      <c r="I8687" s="11"/>
      <c r="J8687" s="11"/>
      <c r="K8687" s="11"/>
      <c r="L8687" s="11"/>
      <c r="M8687" s="12"/>
      <c r="N8687" s="12"/>
      <c r="O8687" s="11"/>
      <c r="P8687" s="11"/>
    </row>
    <row r="8688" spans="1:16" ht="12.75" x14ac:dyDescent="0.35">
      <c r="A8688" s="11"/>
      <c r="B8688" s="9"/>
      <c r="C8688" s="9"/>
      <c r="D8688" s="9"/>
      <c r="E8688" s="11"/>
      <c r="F8688" s="11"/>
      <c r="G8688" s="11"/>
      <c r="H8688" s="11"/>
      <c r="I8688" s="11"/>
      <c r="J8688" s="11"/>
      <c r="K8688" s="11"/>
      <c r="L8688" s="11"/>
      <c r="M8688" s="12"/>
      <c r="N8688" s="12"/>
      <c r="O8688" s="11"/>
      <c r="P8688" s="11"/>
    </row>
    <row r="8689" spans="1:16" ht="12.75" x14ac:dyDescent="0.35">
      <c r="A8689" s="11"/>
      <c r="B8689" s="9"/>
      <c r="C8689" s="9"/>
      <c r="D8689" s="9"/>
      <c r="E8689" s="11"/>
      <c r="F8689" s="11"/>
      <c r="G8689" s="11"/>
      <c r="H8689" s="11"/>
      <c r="I8689" s="11"/>
      <c r="J8689" s="11"/>
      <c r="K8689" s="11"/>
      <c r="L8689" s="11"/>
      <c r="M8689" s="12"/>
      <c r="N8689" s="12"/>
      <c r="O8689" s="11"/>
      <c r="P8689" s="11"/>
    </row>
    <row r="8690" spans="1:16" ht="12.75" x14ac:dyDescent="0.35">
      <c r="A8690" s="11"/>
      <c r="B8690" s="9"/>
      <c r="C8690" s="9"/>
      <c r="D8690" s="9"/>
      <c r="E8690" s="11"/>
      <c r="F8690" s="11"/>
      <c r="G8690" s="11"/>
      <c r="H8690" s="11"/>
      <c r="I8690" s="11"/>
      <c r="J8690" s="11"/>
      <c r="K8690" s="11"/>
      <c r="L8690" s="11"/>
      <c r="M8690" s="12"/>
      <c r="N8690" s="12"/>
      <c r="O8690" s="11"/>
      <c r="P8690" s="11"/>
    </row>
    <row r="8691" spans="1:16" ht="12.75" x14ac:dyDescent="0.35">
      <c r="A8691" s="11"/>
      <c r="B8691" s="9"/>
      <c r="C8691" s="9"/>
      <c r="D8691" s="9"/>
      <c r="E8691" s="11"/>
      <c r="F8691" s="11"/>
      <c r="G8691" s="11"/>
      <c r="H8691" s="11"/>
      <c r="I8691" s="11"/>
      <c r="J8691" s="11"/>
      <c r="K8691" s="11"/>
      <c r="L8691" s="11"/>
      <c r="M8691" s="12"/>
      <c r="N8691" s="12"/>
      <c r="O8691" s="11"/>
      <c r="P8691" s="11"/>
    </row>
    <row r="8692" spans="1:16" ht="12.75" x14ac:dyDescent="0.35">
      <c r="A8692" s="11"/>
      <c r="B8692" s="9"/>
      <c r="C8692" s="9"/>
      <c r="D8692" s="9"/>
      <c r="E8692" s="11"/>
      <c r="F8692" s="11"/>
      <c r="G8692" s="11"/>
      <c r="H8692" s="11"/>
      <c r="I8692" s="11"/>
      <c r="J8692" s="11"/>
      <c r="K8692" s="11"/>
      <c r="L8692" s="11"/>
      <c r="M8692" s="12"/>
      <c r="N8692" s="12"/>
      <c r="O8692" s="11"/>
      <c r="P8692" s="11"/>
    </row>
    <row r="8693" spans="1:16" ht="12.75" x14ac:dyDescent="0.35">
      <c r="A8693" s="11"/>
      <c r="B8693" s="9"/>
      <c r="C8693" s="9"/>
      <c r="D8693" s="9"/>
      <c r="E8693" s="11"/>
      <c r="F8693" s="11"/>
      <c r="G8693" s="11"/>
      <c r="H8693" s="11"/>
      <c r="I8693" s="11"/>
      <c r="J8693" s="11"/>
      <c r="K8693" s="11"/>
      <c r="L8693" s="11"/>
      <c r="M8693" s="12"/>
      <c r="N8693" s="12"/>
      <c r="O8693" s="11"/>
      <c r="P8693" s="11"/>
    </row>
    <row r="8694" spans="1:16" ht="12.75" x14ac:dyDescent="0.35">
      <c r="A8694" s="11"/>
      <c r="B8694" s="9"/>
      <c r="C8694" s="9"/>
      <c r="D8694" s="9"/>
      <c r="E8694" s="11"/>
      <c r="F8694" s="11"/>
      <c r="G8694" s="11"/>
      <c r="H8694" s="11"/>
      <c r="I8694" s="11"/>
      <c r="J8694" s="11"/>
      <c r="K8694" s="11"/>
      <c r="L8694" s="11"/>
      <c r="M8694" s="12"/>
      <c r="N8694" s="12"/>
      <c r="O8694" s="11"/>
      <c r="P8694" s="11"/>
    </row>
    <row r="8695" spans="1:16" ht="12.75" x14ac:dyDescent="0.35">
      <c r="A8695" s="11"/>
      <c r="B8695" s="9"/>
      <c r="C8695" s="9"/>
      <c r="D8695" s="9"/>
      <c r="E8695" s="11"/>
      <c r="F8695" s="11"/>
      <c r="G8695" s="11"/>
      <c r="H8695" s="11"/>
      <c r="I8695" s="11"/>
      <c r="J8695" s="11"/>
      <c r="K8695" s="11"/>
      <c r="L8695" s="11"/>
      <c r="M8695" s="12"/>
      <c r="N8695" s="12"/>
      <c r="O8695" s="11"/>
      <c r="P8695" s="11"/>
    </row>
    <row r="8696" spans="1:16" ht="12.75" x14ac:dyDescent="0.35">
      <c r="A8696" s="11"/>
      <c r="B8696" s="9"/>
      <c r="C8696" s="9"/>
      <c r="D8696" s="9"/>
      <c r="E8696" s="11"/>
      <c r="F8696" s="11"/>
      <c r="G8696" s="11"/>
      <c r="H8696" s="11"/>
      <c r="I8696" s="11"/>
      <c r="J8696" s="11"/>
      <c r="K8696" s="11"/>
      <c r="L8696" s="11"/>
      <c r="M8696" s="12"/>
      <c r="N8696" s="12"/>
      <c r="O8696" s="11"/>
      <c r="P8696" s="11"/>
    </row>
    <row r="8697" spans="1:16" ht="12.75" x14ac:dyDescent="0.35">
      <c r="A8697" s="11"/>
      <c r="B8697" s="9"/>
      <c r="C8697" s="9"/>
      <c r="D8697" s="9"/>
      <c r="E8697" s="11"/>
      <c r="F8697" s="11"/>
      <c r="G8697" s="11"/>
      <c r="H8697" s="11"/>
      <c r="I8697" s="11"/>
      <c r="J8697" s="11"/>
      <c r="K8697" s="11"/>
      <c r="L8697" s="11"/>
      <c r="M8697" s="12"/>
      <c r="N8697" s="12"/>
      <c r="O8697" s="11"/>
      <c r="P8697" s="11"/>
    </row>
    <row r="8698" spans="1:16" ht="12.75" x14ac:dyDescent="0.35">
      <c r="A8698" s="11"/>
      <c r="B8698" s="9"/>
      <c r="C8698" s="9"/>
      <c r="D8698" s="9"/>
      <c r="E8698" s="11"/>
      <c r="F8698" s="11"/>
      <c r="G8698" s="11"/>
      <c r="H8698" s="11"/>
      <c r="I8698" s="11"/>
      <c r="J8698" s="11"/>
      <c r="K8698" s="11"/>
      <c r="L8698" s="11"/>
      <c r="M8698" s="12"/>
      <c r="N8698" s="12"/>
      <c r="O8698" s="11"/>
      <c r="P8698" s="11"/>
    </row>
    <row r="8699" spans="1:16" ht="12.75" x14ac:dyDescent="0.35">
      <c r="A8699" s="11"/>
      <c r="B8699" s="9"/>
      <c r="C8699" s="9"/>
      <c r="D8699" s="9"/>
      <c r="E8699" s="11"/>
      <c r="F8699" s="11"/>
      <c r="G8699" s="11"/>
      <c r="H8699" s="11"/>
      <c r="I8699" s="11"/>
      <c r="J8699" s="11"/>
      <c r="K8699" s="11"/>
      <c r="L8699" s="11"/>
      <c r="M8699" s="12"/>
      <c r="N8699" s="12"/>
      <c r="O8699" s="11"/>
      <c r="P8699" s="11"/>
    </row>
    <row r="8700" spans="1:16" ht="12.75" x14ac:dyDescent="0.35">
      <c r="A8700" s="11"/>
      <c r="B8700" s="9"/>
      <c r="C8700" s="9"/>
      <c r="D8700" s="9"/>
      <c r="E8700" s="11"/>
      <c r="F8700" s="11"/>
      <c r="G8700" s="11"/>
      <c r="H8700" s="11"/>
      <c r="I8700" s="11"/>
      <c r="J8700" s="11"/>
      <c r="K8700" s="11"/>
      <c r="L8700" s="11"/>
      <c r="M8700" s="12"/>
      <c r="N8700" s="12"/>
      <c r="O8700" s="11"/>
      <c r="P8700" s="11"/>
    </row>
    <row r="8701" spans="1:16" ht="12.75" x14ac:dyDescent="0.35">
      <c r="A8701" s="11"/>
      <c r="B8701" s="9"/>
      <c r="C8701" s="9"/>
      <c r="D8701" s="9"/>
      <c r="E8701" s="11"/>
      <c r="F8701" s="11"/>
      <c r="G8701" s="11"/>
      <c r="H8701" s="11"/>
      <c r="I8701" s="11"/>
      <c r="J8701" s="11"/>
      <c r="K8701" s="11"/>
      <c r="L8701" s="11"/>
      <c r="M8701" s="12"/>
      <c r="N8701" s="12"/>
      <c r="O8701" s="11"/>
      <c r="P8701" s="11"/>
    </row>
    <row r="8702" spans="1:16" ht="12.75" x14ac:dyDescent="0.35">
      <c r="A8702" s="11"/>
      <c r="B8702" s="9"/>
      <c r="C8702" s="9"/>
      <c r="D8702" s="9"/>
      <c r="E8702" s="11"/>
      <c r="F8702" s="11"/>
      <c r="G8702" s="11"/>
      <c r="H8702" s="11"/>
      <c r="I8702" s="11"/>
      <c r="J8702" s="11"/>
      <c r="K8702" s="11"/>
      <c r="L8702" s="11"/>
      <c r="M8702" s="12"/>
      <c r="N8702" s="12"/>
      <c r="O8702" s="11"/>
      <c r="P8702" s="11"/>
    </row>
    <row r="8703" spans="1:16" ht="12.75" x14ac:dyDescent="0.35">
      <c r="A8703" s="11"/>
      <c r="B8703" s="9"/>
      <c r="C8703" s="9"/>
      <c r="D8703" s="9"/>
      <c r="E8703" s="11"/>
      <c r="F8703" s="11"/>
      <c r="G8703" s="11"/>
      <c r="H8703" s="11"/>
      <c r="I8703" s="11"/>
      <c r="J8703" s="11"/>
      <c r="K8703" s="11"/>
      <c r="L8703" s="11"/>
      <c r="M8703" s="12"/>
      <c r="N8703" s="12"/>
      <c r="O8703" s="11"/>
      <c r="P8703" s="11"/>
    </row>
    <row r="8704" spans="1:16" ht="12.75" x14ac:dyDescent="0.35">
      <c r="A8704" s="11"/>
      <c r="B8704" s="9"/>
      <c r="C8704" s="9"/>
      <c r="D8704" s="9"/>
      <c r="E8704" s="11"/>
      <c r="F8704" s="11"/>
      <c r="G8704" s="11"/>
      <c r="H8704" s="11"/>
      <c r="I8704" s="11"/>
      <c r="J8704" s="11"/>
      <c r="K8704" s="11"/>
      <c r="L8704" s="11"/>
      <c r="M8704" s="12"/>
      <c r="N8704" s="12"/>
      <c r="O8704" s="11"/>
      <c r="P8704" s="11"/>
    </row>
    <row r="8705" spans="1:16" ht="12.75" x14ac:dyDescent="0.35">
      <c r="A8705" s="11"/>
      <c r="B8705" s="9"/>
      <c r="C8705" s="9"/>
      <c r="D8705" s="9"/>
      <c r="E8705" s="11"/>
      <c r="F8705" s="11"/>
      <c r="G8705" s="11"/>
      <c r="H8705" s="11"/>
      <c r="I8705" s="11"/>
      <c r="J8705" s="11"/>
      <c r="K8705" s="11"/>
      <c r="L8705" s="11"/>
      <c r="M8705" s="12"/>
      <c r="N8705" s="12"/>
      <c r="O8705" s="11"/>
      <c r="P8705" s="11"/>
    </row>
    <row r="8706" spans="1:16" ht="12.75" x14ac:dyDescent="0.35">
      <c r="A8706" s="11"/>
      <c r="B8706" s="9"/>
      <c r="C8706" s="9"/>
      <c r="D8706" s="9"/>
      <c r="E8706" s="11"/>
      <c r="F8706" s="11"/>
      <c r="G8706" s="11"/>
      <c r="H8706" s="11"/>
      <c r="I8706" s="11"/>
      <c r="J8706" s="11"/>
      <c r="K8706" s="11"/>
      <c r="L8706" s="11"/>
      <c r="M8706" s="12"/>
      <c r="N8706" s="12"/>
      <c r="O8706" s="11"/>
      <c r="P8706" s="11"/>
    </row>
    <row r="8707" spans="1:16" ht="12.75" x14ac:dyDescent="0.35">
      <c r="A8707" s="11"/>
      <c r="B8707" s="9"/>
      <c r="C8707" s="9"/>
      <c r="D8707" s="9"/>
      <c r="E8707" s="11"/>
      <c r="F8707" s="11"/>
      <c r="G8707" s="11"/>
      <c r="H8707" s="11"/>
      <c r="I8707" s="11"/>
      <c r="J8707" s="11"/>
      <c r="K8707" s="11"/>
      <c r="L8707" s="11"/>
      <c r="M8707" s="12"/>
      <c r="N8707" s="12"/>
      <c r="O8707" s="11"/>
      <c r="P8707" s="11"/>
    </row>
    <row r="8708" spans="1:16" ht="12.75" x14ac:dyDescent="0.35">
      <c r="A8708" s="11"/>
      <c r="B8708" s="9"/>
      <c r="C8708" s="9"/>
      <c r="D8708" s="9"/>
      <c r="E8708" s="11"/>
      <c r="F8708" s="11"/>
      <c r="G8708" s="11"/>
      <c r="H8708" s="11"/>
      <c r="I8708" s="11"/>
      <c r="J8708" s="11"/>
      <c r="K8708" s="11"/>
      <c r="L8708" s="11"/>
      <c r="M8708" s="12"/>
      <c r="N8708" s="12"/>
      <c r="O8708" s="11"/>
      <c r="P8708" s="11"/>
    </row>
    <row r="8709" spans="1:16" ht="12.75" x14ac:dyDescent="0.35">
      <c r="A8709" s="11"/>
      <c r="B8709" s="9"/>
      <c r="C8709" s="9"/>
      <c r="D8709" s="9"/>
      <c r="E8709" s="11"/>
      <c r="F8709" s="11"/>
      <c r="G8709" s="11"/>
      <c r="H8709" s="11"/>
      <c r="I8709" s="11"/>
      <c r="J8709" s="11"/>
      <c r="K8709" s="11"/>
      <c r="L8709" s="11"/>
      <c r="M8709" s="12"/>
      <c r="N8709" s="12"/>
      <c r="O8709" s="11"/>
      <c r="P8709" s="11"/>
    </row>
    <row r="8710" spans="1:16" ht="12.75" x14ac:dyDescent="0.35">
      <c r="A8710" s="11"/>
      <c r="B8710" s="9"/>
      <c r="C8710" s="9"/>
      <c r="D8710" s="9"/>
      <c r="E8710" s="11"/>
      <c r="F8710" s="11"/>
      <c r="G8710" s="11"/>
      <c r="H8710" s="11"/>
      <c r="I8710" s="11"/>
      <c r="J8710" s="11"/>
      <c r="K8710" s="11"/>
      <c r="L8710" s="11"/>
      <c r="M8710" s="12"/>
      <c r="N8710" s="12"/>
      <c r="O8710" s="11"/>
      <c r="P8710" s="11"/>
    </row>
    <row r="8711" spans="1:16" ht="12.75" x14ac:dyDescent="0.35">
      <c r="A8711" s="11"/>
      <c r="B8711" s="9"/>
      <c r="C8711" s="9"/>
      <c r="D8711" s="9"/>
      <c r="E8711" s="11"/>
      <c r="F8711" s="11"/>
      <c r="G8711" s="11"/>
      <c r="H8711" s="11"/>
      <c r="I8711" s="11"/>
      <c r="J8711" s="11"/>
      <c r="K8711" s="11"/>
      <c r="L8711" s="11"/>
      <c r="M8711" s="12"/>
      <c r="N8711" s="12"/>
      <c r="O8711" s="11"/>
      <c r="P8711" s="11"/>
    </row>
    <row r="8712" spans="1:16" ht="12.75" x14ac:dyDescent="0.35">
      <c r="A8712" s="11"/>
      <c r="B8712" s="9"/>
      <c r="C8712" s="9"/>
      <c r="D8712" s="9"/>
      <c r="E8712" s="11"/>
      <c r="F8712" s="11"/>
      <c r="G8712" s="11"/>
      <c r="H8712" s="11"/>
      <c r="I8712" s="11"/>
      <c r="J8712" s="11"/>
      <c r="K8712" s="11"/>
      <c r="L8712" s="11"/>
      <c r="M8712" s="12"/>
      <c r="N8712" s="12"/>
      <c r="O8712" s="11"/>
      <c r="P8712" s="11"/>
    </row>
    <row r="8713" spans="1:16" ht="12.75" x14ac:dyDescent="0.35">
      <c r="A8713" s="11"/>
      <c r="B8713" s="9"/>
      <c r="C8713" s="9"/>
      <c r="D8713" s="9"/>
      <c r="E8713" s="11"/>
      <c r="F8713" s="11"/>
      <c r="G8713" s="11"/>
      <c r="H8713" s="11"/>
      <c r="I8713" s="11"/>
      <c r="J8713" s="11"/>
      <c r="K8713" s="11"/>
      <c r="L8713" s="11"/>
      <c r="M8713" s="12"/>
      <c r="N8713" s="12"/>
      <c r="O8713" s="11"/>
      <c r="P8713" s="11"/>
    </row>
    <row r="8714" spans="1:16" ht="12.75" x14ac:dyDescent="0.35">
      <c r="A8714" s="11"/>
      <c r="B8714" s="9"/>
      <c r="C8714" s="9"/>
      <c r="D8714" s="9"/>
      <c r="E8714" s="11"/>
      <c r="F8714" s="11"/>
      <c r="G8714" s="11"/>
      <c r="H8714" s="11"/>
      <c r="I8714" s="11"/>
      <c r="J8714" s="11"/>
      <c r="K8714" s="11"/>
      <c r="L8714" s="11"/>
      <c r="M8714" s="12"/>
      <c r="N8714" s="12"/>
      <c r="O8714" s="11"/>
      <c r="P8714" s="11"/>
    </row>
    <row r="8715" spans="1:16" ht="12.75" x14ac:dyDescent="0.35">
      <c r="A8715" s="11"/>
      <c r="B8715" s="9"/>
      <c r="C8715" s="9"/>
      <c r="D8715" s="9"/>
      <c r="E8715" s="11"/>
      <c r="F8715" s="11"/>
      <c r="G8715" s="11"/>
      <c r="H8715" s="11"/>
      <c r="I8715" s="11"/>
      <c r="J8715" s="11"/>
      <c r="K8715" s="11"/>
      <c r="L8715" s="11"/>
      <c r="M8715" s="12"/>
      <c r="N8715" s="12"/>
      <c r="O8715" s="11"/>
      <c r="P8715" s="11"/>
    </row>
    <row r="8716" spans="1:16" ht="12.75" x14ac:dyDescent="0.35">
      <c r="A8716" s="11"/>
      <c r="B8716" s="9"/>
      <c r="C8716" s="9"/>
      <c r="D8716" s="9"/>
      <c r="E8716" s="11"/>
      <c r="F8716" s="11"/>
      <c r="G8716" s="11"/>
      <c r="H8716" s="11"/>
      <c r="I8716" s="11"/>
      <c r="J8716" s="11"/>
      <c r="K8716" s="11"/>
      <c r="L8716" s="11"/>
      <c r="M8716" s="12"/>
      <c r="N8716" s="12"/>
      <c r="O8716" s="11"/>
      <c r="P8716" s="11"/>
    </row>
    <row r="8717" spans="1:16" ht="12.75" x14ac:dyDescent="0.35">
      <c r="A8717" s="11"/>
      <c r="B8717" s="9"/>
      <c r="C8717" s="9"/>
      <c r="D8717" s="9"/>
      <c r="E8717" s="11"/>
      <c r="F8717" s="11"/>
      <c r="G8717" s="11"/>
      <c r="H8717" s="11"/>
      <c r="I8717" s="11"/>
      <c r="J8717" s="11"/>
      <c r="K8717" s="11"/>
      <c r="L8717" s="11"/>
      <c r="M8717" s="12"/>
      <c r="N8717" s="12"/>
      <c r="O8717" s="11"/>
      <c r="P8717" s="11"/>
    </row>
    <row r="8718" spans="1:16" ht="12.75" x14ac:dyDescent="0.35">
      <c r="A8718" s="11"/>
      <c r="B8718" s="9"/>
      <c r="C8718" s="9"/>
      <c r="D8718" s="9"/>
      <c r="E8718" s="11"/>
      <c r="F8718" s="11"/>
      <c r="G8718" s="11"/>
      <c r="H8718" s="11"/>
      <c r="I8718" s="11"/>
      <c r="J8718" s="11"/>
      <c r="K8718" s="11"/>
      <c r="L8718" s="11"/>
      <c r="M8718" s="12"/>
      <c r="N8718" s="12"/>
      <c r="O8718" s="11"/>
      <c r="P8718" s="11"/>
    </row>
    <row r="8719" spans="1:16" ht="12.75" x14ac:dyDescent="0.35">
      <c r="A8719" s="11"/>
      <c r="B8719" s="9"/>
      <c r="C8719" s="9"/>
      <c r="D8719" s="9"/>
      <c r="E8719" s="11"/>
      <c r="F8719" s="11"/>
      <c r="G8719" s="11"/>
      <c r="H8719" s="11"/>
      <c r="I8719" s="11"/>
      <c r="J8719" s="11"/>
      <c r="K8719" s="11"/>
      <c r="L8719" s="11"/>
      <c r="M8719" s="12"/>
      <c r="N8719" s="12"/>
      <c r="O8719" s="11"/>
      <c r="P8719" s="11"/>
    </row>
    <row r="8720" spans="1:16" ht="12.75" x14ac:dyDescent="0.35">
      <c r="A8720" s="11"/>
      <c r="B8720" s="9"/>
      <c r="C8720" s="9"/>
      <c r="D8720" s="9"/>
      <c r="E8720" s="11"/>
      <c r="F8720" s="11"/>
      <c r="G8720" s="11"/>
      <c r="H8720" s="11"/>
      <c r="I8720" s="11"/>
      <c r="J8720" s="11"/>
      <c r="K8720" s="11"/>
      <c r="L8720" s="11"/>
      <c r="M8720" s="12"/>
      <c r="N8720" s="12"/>
      <c r="O8720" s="11"/>
      <c r="P8720" s="11"/>
    </row>
    <row r="8721" spans="1:16" ht="12.75" x14ac:dyDescent="0.35">
      <c r="A8721" s="11"/>
      <c r="B8721" s="9"/>
      <c r="C8721" s="9"/>
      <c r="D8721" s="9"/>
      <c r="E8721" s="11"/>
      <c r="F8721" s="11"/>
      <c r="G8721" s="11"/>
      <c r="H8721" s="11"/>
      <c r="I8721" s="11"/>
      <c r="J8721" s="11"/>
      <c r="K8721" s="11"/>
      <c r="L8721" s="11"/>
      <c r="M8721" s="12"/>
      <c r="N8721" s="12"/>
      <c r="O8721" s="11"/>
      <c r="P8721" s="11"/>
    </row>
    <row r="8722" spans="1:16" ht="12.75" x14ac:dyDescent="0.35">
      <c r="A8722" s="11"/>
      <c r="B8722" s="9"/>
      <c r="C8722" s="9"/>
      <c r="D8722" s="9"/>
      <c r="E8722" s="11"/>
      <c r="F8722" s="11"/>
      <c r="G8722" s="11"/>
      <c r="H8722" s="11"/>
      <c r="I8722" s="11"/>
      <c r="J8722" s="11"/>
      <c r="K8722" s="11"/>
      <c r="L8722" s="11"/>
      <c r="M8722" s="12"/>
      <c r="N8722" s="12"/>
      <c r="O8722" s="11"/>
      <c r="P8722" s="11"/>
    </row>
    <row r="8723" spans="1:16" ht="12.75" x14ac:dyDescent="0.35">
      <c r="A8723" s="11"/>
      <c r="B8723" s="9"/>
      <c r="C8723" s="9"/>
      <c r="D8723" s="9"/>
      <c r="E8723" s="11"/>
      <c r="F8723" s="11"/>
      <c r="G8723" s="11"/>
      <c r="H8723" s="11"/>
      <c r="I8723" s="11"/>
      <c r="J8723" s="11"/>
      <c r="K8723" s="11"/>
      <c r="L8723" s="11"/>
      <c r="M8723" s="12"/>
      <c r="N8723" s="12"/>
      <c r="O8723" s="11"/>
      <c r="P8723" s="11"/>
    </row>
    <row r="8724" spans="1:16" ht="12.75" x14ac:dyDescent="0.35">
      <c r="A8724" s="11"/>
      <c r="B8724" s="9"/>
      <c r="C8724" s="9"/>
      <c r="D8724" s="9"/>
      <c r="E8724" s="11"/>
      <c r="F8724" s="11"/>
      <c r="G8724" s="11"/>
      <c r="H8724" s="11"/>
      <c r="I8724" s="11"/>
      <c r="J8724" s="11"/>
      <c r="K8724" s="11"/>
      <c r="L8724" s="11"/>
      <c r="M8724" s="12"/>
      <c r="N8724" s="12"/>
      <c r="O8724" s="11"/>
      <c r="P8724" s="11"/>
    </row>
    <row r="8725" spans="1:16" ht="12.75" x14ac:dyDescent="0.35">
      <c r="A8725" s="11"/>
      <c r="B8725" s="9"/>
      <c r="C8725" s="9"/>
      <c r="D8725" s="9"/>
      <c r="E8725" s="11"/>
      <c r="F8725" s="11"/>
      <c r="G8725" s="11"/>
      <c r="H8725" s="11"/>
      <c r="I8725" s="11"/>
      <c r="J8725" s="11"/>
      <c r="K8725" s="11"/>
      <c r="L8725" s="11"/>
      <c r="M8725" s="12"/>
      <c r="N8725" s="12"/>
      <c r="O8725" s="11"/>
      <c r="P8725" s="11"/>
    </row>
    <row r="8726" spans="1:16" ht="12.75" x14ac:dyDescent="0.35">
      <c r="A8726" s="11"/>
      <c r="B8726" s="9"/>
      <c r="C8726" s="9"/>
      <c r="D8726" s="9"/>
      <c r="E8726" s="11"/>
      <c r="F8726" s="11"/>
      <c r="G8726" s="11"/>
      <c r="H8726" s="11"/>
      <c r="I8726" s="11"/>
      <c r="J8726" s="11"/>
      <c r="K8726" s="11"/>
      <c r="L8726" s="11"/>
      <c r="M8726" s="12"/>
      <c r="N8726" s="12"/>
      <c r="O8726" s="11"/>
      <c r="P8726" s="11"/>
    </row>
    <row r="8727" spans="1:16" ht="12.75" x14ac:dyDescent="0.35">
      <c r="A8727" s="11"/>
      <c r="B8727" s="9"/>
      <c r="C8727" s="9"/>
      <c r="D8727" s="9"/>
      <c r="E8727" s="11"/>
      <c r="F8727" s="11"/>
      <c r="G8727" s="11"/>
      <c r="H8727" s="11"/>
      <c r="I8727" s="11"/>
      <c r="J8727" s="11"/>
      <c r="K8727" s="11"/>
      <c r="L8727" s="11"/>
      <c r="M8727" s="12"/>
      <c r="N8727" s="12"/>
      <c r="O8727" s="11"/>
      <c r="P8727" s="11"/>
    </row>
    <row r="8728" spans="1:16" ht="12.75" x14ac:dyDescent="0.35">
      <c r="A8728" s="11"/>
      <c r="B8728" s="9"/>
      <c r="C8728" s="9"/>
      <c r="D8728" s="9"/>
      <c r="E8728" s="11"/>
      <c r="F8728" s="11"/>
      <c r="G8728" s="11"/>
      <c r="H8728" s="11"/>
      <c r="I8728" s="11"/>
      <c r="J8728" s="11"/>
      <c r="K8728" s="11"/>
      <c r="L8728" s="11"/>
      <c r="M8728" s="12"/>
      <c r="N8728" s="12"/>
      <c r="O8728" s="11"/>
      <c r="P8728" s="11"/>
    </row>
    <row r="8729" spans="1:16" ht="12.75" x14ac:dyDescent="0.35">
      <c r="A8729" s="11"/>
      <c r="B8729" s="9"/>
      <c r="C8729" s="9"/>
      <c r="D8729" s="9"/>
      <c r="E8729" s="11"/>
      <c r="F8729" s="11"/>
      <c r="G8729" s="11"/>
      <c r="H8729" s="11"/>
      <c r="I8729" s="11"/>
      <c r="J8729" s="11"/>
      <c r="K8729" s="11"/>
      <c r="L8729" s="11"/>
      <c r="M8729" s="12"/>
      <c r="N8729" s="12"/>
      <c r="O8729" s="11"/>
      <c r="P8729" s="11"/>
    </row>
    <row r="8730" spans="1:16" ht="12.75" x14ac:dyDescent="0.35">
      <c r="A8730" s="11"/>
      <c r="B8730" s="9"/>
      <c r="C8730" s="9"/>
      <c r="D8730" s="9"/>
      <c r="E8730" s="11"/>
      <c r="F8730" s="11"/>
      <c r="G8730" s="11"/>
      <c r="H8730" s="11"/>
      <c r="I8730" s="11"/>
      <c r="J8730" s="11"/>
      <c r="K8730" s="11"/>
      <c r="L8730" s="11"/>
      <c r="M8730" s="12"/>
      <c r="N8730" s="12"/>
      <c r="O8730" s="11"/>
      <c r="P8730" s="11"/>
    </row>
    <row r="8731" spans="1:16" ht="12.75" x14ac:dyDescent="0.35">
      <c r="A8731" s="11"/>
      <c r="B8731" s="9"/>
      <c r="C8731" s="9"/>
      <c r="D8731" s="9"/>
      <c r="E8731" s="11"/>
      <c r="F8731" s="11"/>
      <c r="G8731" s="11"/>
      <c r="H8731" s="11"/>
      <c r="I8731" s="11"/>
      <c r="J8731" s="11"/>
      <c r="K8731" s="11"/>
      <c r="L8731" s="11"/>
      <c r="M8731" s="12"/>
      <c r="N8731" s="12"/>
      <c r="O8731" s="11"/>
      <c r="P8731" s="11"/>
    </row>
    <row r="8732" spans="1:16" ht="12.75" x14ac:dyDescent="0.35">
      <c r="A8732" s="11"/>
      <c r="B8732" s="9"/>
      <c r="C8732" s="9"/>
      <c r="D8732" s="9"/>
      <c r="E8732" s="11"/>
      <c r="F8732" s="11"/>
      <c r="G8732" s="11"/>
      <c r="H8732" s="11"/>
      <c r="I8732" s="11"/>
      <c r="J8732" s="11"/>
      <c r="K8732" s="11"/>
      <c r="L8732" s="11"/>
      <c r="M8732" s="12"/>
      <c r="N8732" s="12"/>
      <c r="O8732" s="11"/>
      <c r="P8732" s="11"/>
    </row>
    <row r="8733" spans="1:16" ht="12.75" x14ac:dyDescent="0.35">
      <c r="A8733" s="11"/>
      <c r="B8733" s="9"/>
      <c r="C8733" s="9"/>
      <c r="D8733" s="9"/>
      <c r="E8733" s="11"/>
      <c r="F8733" s="11"/>
      <c r="G8733" s="11"/>
      <c r="H8733" s="11"/>
      <c r="I8733" s="11"/>
      <c r="J8733" s="11"/>
      <c r="K8733" s="11"/>
      <c r="L8733" s="11"/>
      <c r="M8733" s="12"/>
      <c r="N8733" s="12"/>
      <c r="O8733" s="11"/>
      <c r="P8733" s="11"/>
    </row>
    <row r="8734" spans="1:16" ht="12.75" x14ac:dyDescent="0.35">
      <c r="A8734" s="11"/>
      <c r="B8734" s="9"/>
      <c r="C8734" s="9"/>
      <c r="D8734" s="9"/>
      <c r="E8734" s="11"/>
      <c r="F8734" s="11"/>
      <c r="G8734" s="11"/>
      <c r="H8734" s="11"/>
      <c r="I8734" s="11"/>
      <c r="J8734" s="11"/>
      <c r="K8734" s="11"/>
      <c r="L8734" s="11"/>
      <c r="M8734" s="12"/>
      <c r="N8734" s="12"/>
      <c r="O8734" s="11"/>
      <c r="P8734" s="11"/>
    </row>
    <row r="8735" spans="1:16" ht="12.75" x14ac:dyDescent="0.35">
      <c r="A8735" s="11"/>
      <c r="B8735" s="9"/>
      <c r="C8735" s="9"/>
      <c r="D8735" s="9"/>
      <c r="E8735" s="11"/>
      <c r="F8735" s="11"/>
      <c r="G8735" s="11"/>
      <c r="H8735" s="11"/>
      <c r="I8735" s="11"/>
      <c r="J8735" s="11"/>
      <c r="K8735" s="11"/>
      <c r="L8735" s="11"/>
      <c r="M8735" s="12"/>
      <c r="N8735" s="12"/>
      <c r="O8735" s="11"/>
      <c r="P8735" s="11"/>
    </row>
    <row r="8736" spans="1:16" ht="12.75" x14ac:dyDescent="0.35">
      <c r="A8736" s="11"/>
      <c r="B8736" s="9"/>
      <c r="C8736" s="9"/>
      <c r="D8736" s="9"/>
      <c r="E8736" s="11"/>
      <c r="F8736" s="11"/>
      <c r="G8736" s="11"/>
      <c r="H8736" s="11"/>
      <c r="I8736" s="11"/>
      <c r="J8736" s="11"/>
      <c r="K8736" s="11"/>
      <c r="L8736" s="11"/>
      <c r="M8736" s="12"/>
      <c r="N8736" s="12"/>
      <c r="O8736" s="11"/>
      <c r="P8736" s="11"/>
    </row>
    <row r="8737" spans="1:16" ht="12.75" x14ac:dyDescent="0.35">
      <c r="A8737" s="11"/>
      <c r="B8737" s="9"/>
      <c r="C8737" s="9"/>
      <c r="D8737" s="9"/>
      <c r="E8737" s="11"/>
      <c r="F8737" s="11"/>
      <c r="G8737" s="11"/>
      <c r="H8737" s="11"/>
      <c r="I8737" s="11"/>
      <c r="J8737" s="11"/>
      <c r="K8737" s="11"/>
      <c r="L8737" s="11"/>
      <c r="M8737" s="12"/>
      <c r="N8737" s="12"/>
      <c r="O8737" s="11"/>
      <c r="P8737" s="11"/>
    </row>
    <row r="8738" spans="1:16" ht="12.75" x14ac:dyDescent="0.35">
      <c r="A8738" s="11"/>
      <c r="B8738" s="9"/>
      <c r="C8738" s="9"/>
      <c r="D8738" s="9"/>
      <c r="E8738" s="11"/>
      <c r="F8738" s="11"/>
      <c r="G8738" s="11"/>
      <c r="H8738" s="11"/>
      <c r="I8738" s="11"/>
      <c r="J8738" s="11"/>
      <c r="K8738" s="11"/>
      <c r="L8738" s="11"/>
      <c r="M8738" s="12"/>
      <c r="N8738" s="12"/>
      <c r="O8738" s="11"/>
      <c r="P8738" s="11"/>
    </row>
    <row r="8739" spans="1:16" ht="12.75" x14ac:dyDescent="0.35">
      <c r="A8739" s="11"/>
      <c r="B8739" s="9"/>
      <c r="C8739" s="9"/>
      <c r="D8739" s="9"/>
      <c r="E8739" s="11"/>
      <c r="F8739" s="11"/>
      <c r="G8739" s="11"/>
      <c r="H8739" s="11"/>
      <c r="I8739" s="11"/>
      <c r="J8739" s="11"/>
      <c r="K8739" s="11"/>
      <c r="L8739" s="11"/>
      <c r="M8739" s="12"/>
      <c r="N8739" s="12"/>
      <c r="O8739" s="11"/>
      <c r="P8739" s="11"/>
    </row>
    <row r="8740" spans="1:16" ht="12.75" x14ac:dyDescent="0.35">
      <c r="A8740" s="11"/>
      <c r="B8740" s="9"/>
      <c r="C8740" s="9"/>
      <c r="D8740" s="9"/>
      <c r="E8740" s="11"/>
      <c r="F8740" s="11"/>
      <c r="G8740" s="11"/>
      <c r="H8740" s="11"/>
      <c r="I8740" s="11"/>
      <c r="J8740" s="11"/>
      <c r="K8740" s="11"/>
      <c r="L8740" s="11"/>
      <c r="M8740" s="12"/>
      <c r="N8740" s="12"/>
      <c r="O8740" s="11"/>
      <c r="P8740" s="11"/>
    </row>
    <row r="8741" spans="1:16" ht="12.75" x14ac:dyDescent="0.35">
      <c r="A8741" s="11"/>
      <c r="B8741" s="9"/>
      <c r="C8741" s="9"/>
      <c r="D8741" s="9"/>
      <c r="E8741" s="11"/>
      <c r="F8741" s="11"/>
      <c r="G8741" s="11"/>
      <c r="H8741" s="11"/>
      <c r="I8741" s="11"/>
      <c r="J8741" s="11"/>
      <c r="K8741" s="11"/>
      <c r="L8741" s="11"/>
      <c r="M8741" s="12"/>
      <c r="N8741" s="12"/>
      <c r="O8741" s="11"/>
      <c r="P8741" s="11"/>
    </row>
    <row r="8742" spans="1:16" ht="12.75" x14ac:dyDescent="0.35">
      <c r="A8742" s="11"/>
      <c r="B8742" s="9"/>
      <c r="C8742" s="9"/>
      <c r="D8742" s="9"/>
      <c r="E8742" s="11"/>
      <c r="F8742" s="11"/>
      <c r="G8742" s="11"/>
      <c r="H8742" s="11"/>
      <c r="I8742" s="11"/>
      <c r="J8742" s="11"/>
      <c r="K8742" s="11"/>
      <c r="L8742" s="11"/>
      <c r="M8742" s="12"/>
      <c r="N8742" s="12"/>
      <c r="O8742" s="11"/>
      <c r="P8742" s="11"/>
    </row>
    <row r="8743" spans="1:16" ht="12.75" x14ac:dyDescent="0.35">
      <c r="A8743" s="11"/>
      <c r="B8743" s="9"/>
      <c r="C8743" s="9"/>
      <c r="D8743" s="9"/>
      <c r="E8743" s="11"/>
      <c r="F8743" s="11"/>
      <c r="G8743" s="11"/>
      <c r="H8743" s="11"/>
      <c r="I8743" s="11"/>
      <c r="J8743" s="11"/>
      <c r="K8743" s="11"/>
      <c r="L8743" s="11"/>
      <c r="M8743" s="12"/>
      <c r="N8743" s="12"/>
      <c r="O8743" s="11"/>
      <c r="P8743" s="11"/>
    </row>
    <row r="8744" spans="1:16" ht="12.75" x14ac:dyDescent="0.35">
      <c r="A8744" s="11"/>
      <c r="B8744" s="9"/>
      <c r="C8744" s="9"/>
      <c r="D8744" s="9"/>
      <c r="E8744" s="11"/>
      <c r="F8744" s="11"/>
      <c r="G8744" s="11"/>
      <c r="H8744" s="11"/>
      <c r="I8744" s="11"/>
      <c r="J8744" s="11"/>
      <c r="K8744" s="11"/>
      <c r="L8744" s="11"/>
      <c r="M8744" s="12"/>
      <c r="N8744" s="12"/>
      <c r="O8744" s="11"/>
      <c r="P8744" s="11"/>
    </row>
    <row r="8745" spans="1:16" ht="12.75" x14ac:dyDescent="0.35">
      <c r="A8745" s="11"/>
      <c r="B8745" s="9"/>
      <c r="C8745" s="9"/>
      <c r="D8745" s="9"/>
      <c r="E8745" s="11"/>
      <c r="F8745" s="11"/>
      <c r="G8745" s="11"/>
      <c r="H8745" s="11"/>
      <c r="I8745" s="11"/>
      <c r="J8745" s="11"/>
      <c r="K8745" s="11"/>
      <c r="L8745" s="11"/>
      <c r="M8745" s="12"/>
      <c r="N8745" s="12"/>
      <c r="O8745" s="11"/>
      <c r="P8745" s="11"/>
    </row>
    <row r="8746" spans="1:16" ht="12.75" x14ac:dyDescent="0.35">
      <c r="A8746" s="11"/>
      <c r="B8746" s="9"/>
      <c r="C8746" s="9"/>
      <c r="D8746" s="9"/>
      <c r="E8746" s="11"/>
      <c r="F8746" s="11"/>
      <c r="G8746" s="11"/>
      <c r="H8746" s="11"/>
      <c r="I8746" s="11"/>
      <c r="J8746" s="11"/>
      <c r="K8746" s="11"/>
      <c r="L8746" s="11"/>
      <c r="M8746" s="12"/>
      <c r="N8746" s="12"/>
      <c r="O8746" s="11"/>
      <c r="P8746" s="11"/>
    </row>
    <row r="8747" spans="1:16" ht="12.75" x14ac:dyDescent="0.35">
      <c r="A8747" s="11"/>
      <c r="B8747" s="9"/>
      <c r="C8747" s="9"/>
      <c r="D8747" s="9"/>
      <c r="E8747" s="11"/>
      <c r="F8747" s="11"/>
      <c r="G8747" s="11"/>
      <c r="H8747" s="11"/>
      <c r="I8747" s="11"/>
      <c r="J8747" s="11"/>
      <c r="K8747" s="11"/>
      <c r="L8747" s="11"/>
      <c r="M8747" s="12"/>
      <c r="N8747" s="12"/>
      <c r="O8747" s="11"/>
      <c r="P8747" s="11"/>
    </row>
    <row r="8748" spans="1:16" ht="12.75" x14ac:dyDescent="0.35">
      <c r="A8748" s="11"/>
      <c r="B8748" s="9"/>
      <c r="C8748" s="9"/>
      <c r="D8748" s="9"/>
      <c r="E8748" s="11"/>
      <c r="F8748" s="11"/>
      <c r="G8748" s="11"/>
      <c r="H8748" s="11"/>
      <c r="I8748" s="11"/>
      <c r="J8748" s="11"/>
      <c r="K8748" s="11"/>
      <c r="L8748" s="11"/>
      <c r="M8748" s="12"/>
      <c r="N8748" s="12"/>
      <c r="O8748" s="11"/>
      <c r="P8748" s="11"/>
    </row>
    <row r="8749" spans="1:16" ht="12.75" x14ac:dyDescent="0.35">
      <c r="A8749" s="11"/>
      <c r="B8749" s="9"/>
      <c r="C8749" s="9"/>
      <c r="D8749" s="9"/>
      <c r="E8749" s="11"/>
      <c r="F8749" s="11"/>
      <c r="G8749" s="11"/>
      <c r="H8749" s="11"/>
      <c r="I8749" s="11"/>
      <c r="J8749" s="11"/>
      <c r="K8749" s="11"/>
      <c r="L8749" s="11"/>
      <c r="M8749" s="12"/>
      <c r="N8749" s="12"/>
      <c r="O8749" s="11"/>
      <c r="P8749" s="11"/>
    </row>
    <row r="8750" spans="1:16" ht="12.75" x14ac:dyDescent="0.35">
      <c r="A8750" s="11"/>
      <c r="B8750" s="9"/>
      <c r="C8750" s="9"/>
      <c r="D8750" s="9"/>
      <c r="E8750" s="11"/>
      <c r="F8750" s="11"/>
      <c r="G8750" s="11"/>
      <c r="H8750" s="11"/>
      <c r="I8750" s="11"/>
      <c r="J8750" s="11"/>
      <c r="K8750" s="11"/>
      <c r="L8750" s="11"/>
      <c r="M8750" s="12"/>
      <c r="N8750" s="12"/>
      <c r="O8750" s="11"/>
      <c r="P8750" s="11"/>
    </row>
    <row r="8751" spans="1:16" ht="12.75" x14ac:dyDescent="0.35">
      <c r="A8751" s="11"/>
      <c r="B8751" s="9"/>
      <c r="C8751" s="9"/>
      <c r="D8751" s="9"/>
      <c r="E8751" s="11"/>
      <c r="F8751" s="11"/>
      <c r="G8751" s="11"/>
      <c r="H8751" s="11"/>
      <c r="I8751" s="11"/>
      <c r="J8751" s="11"/>
      <c r="K8751" s="11"/>
      <c r="L8751" s="11"/>
      <c r="M8751" s="12"/>
      <c r="N8751" s="12"/>
      <c r="O8751" s="11"/>
      <c r="P8751" s="11"/>
    </row>
    <row r="8752" spans="1:16" ht="12.75" x14ac:dyDescent="0.35">
      <c r="A8752" s="11"/>
      <c r="B8752" s="9"/>
      <c r="C8752" s="9"/>
      <c r="D8752" s="9"/>
      <c r="E8752" s="11"/>
      <c r="F8752" s="11"/>
      <c r="G8752" s="11"/>
      <c r="H8752" s="11"/>
      <c r="I8752" s="11"/>
      <c r="J8752" s="11"/>
      <c r="K8752" s="11"/>
      <c r="L8752" s="11"/>
      <c r="M8752" s="12"/>
      <c r="N8752" s="12"/>
      <c r="O8752" s="11"/>
      <c r="P8752" s="11"/>
    </row>
    <row r="8753" spans="1:16" ht="12.75" x14ac:dyDescent="0.35">
      <c r="A8753" s="11"/>
      <c r="B8753" s="9"/>
      <c r="C8753" s="9"/>
      <c r="D8753" s="9"/>
      <c r="E8753" s="11"/>
      <c r="F8753" s="11"/>
      <c r="G8753" s="11"/>
      <c r="H8753" s="11"/>
      <c r="I8753" s="11"/>
      <c r="J8753" s="11"/>
      <c r="K8753" s="11"/>
      <c r="L8753" s="11"/>
      <c r="M8753" s="12"/>
      <c r="N8753" s="12"/>
      <c r="O8753" s="11"/>
      <c r="P8753" s="11"/>
    </row>
    <row r="8754" spans="1:16" ht="12.75" x14ac:dyDescent="0.35">
      <c r="A8754" s="11"/>
      <c r="B8754" s="9"/>
      <c r="C8754" s="9"/>
      <c r="D8754" s="9"/>
      <c r="E8754" s="11"/>
      <c r="F8754" s="11"/>
      <c r="G8754" s="11"/>
      <c r="H8754" s="11"/>
      <c r="I8754" s="11"/>
      <c r="J8754" s="11"/>
      <c r="K8754" s="11"/>
      <c r="L8754" s="11"/>
      <c r="M8754" s="12"/>
      <c r="N8754" s="12"/>
      <c r="O8754" s="11"/>
      <c r="P8754" s="11"/>
    </row>
    <row r="8755" spans="1:16" ht="12.75" x14ac:dyDescent="0.35">
      <c r="A8755" s="11"/>
      <c r="B8755" s="9"/>
      <c r="C8755" s="9"/>
      <c r="D8755" s="9"/>
      <c r="E8755" s="11"/>
      <c r="F8755" s="11"/>
      <c r="G8755" s="11"/>
      <c r="H8755" s="11"/>
      <c r="I8755" s="11"/>
      <c r="J8755" s="11"/>
      <c r="K8755" s="11"/>
      <c r="L8755" s="11"/>
      <c r="M8755" s="12"/>
      <c r="N8755" s="12"/>
      <c r="O8755" s="11"/>
      <c r="P8755" s="11"/>
    </row>
    <row r="8756" spans="1:16" ht="12.75" x14ac:dyDescent="0.35">
      <c r="A8756" s="11"/>
      <c r="B8756" s="9"/>
      <c r="C8756" s="9"/>
      <c r="D8756" s="9"/>
      <c r="E8756" s="11"/>
      <c r="F8756" s="11"/>
      <c r="G8756" s="11"/>
      <c r="H8756" s="11"/>
      <c r="I8756" s="11"/>
      <c r="J8756" s="11"/>
      <c r="K8756" s="11"/>
      <c r="L8756" s="11"/>
      <c r="M8756" s="12"/>
      <c r="N8756" s="12"/>
      <c r="O8756" s="11"/>
      <c r="P8756" s="11"/>
    </row>
    <row r="8757" spans="1:16" ht="12.75" x14ac:dyDescent="0.35">
      <c r="A8757" s="11"/>
      <c r="B8757" s="9"/>
      <c r="C8757" s="9"/>
      <c r="D8757" s="9"/>
      <c r="E8757" s="11"/>
      <c r="F8757" s="11"/>
      <c r="G8757" s="11"/>
      <c r="H8757" s="11"/>
      <c r="I8757" s="11"/>
      <c r="J8757" s="11"/>
      <c r="K8757" s="11"/>
      <c r="L8757" s="11"/>
      <c r="M8757" s="12"/>
      <c r="N8757" s="12"/>
      <c r="O8757" s="11"/>
      <c r="P8757" s="11"/>
    </row>
    <row r="8758" spans="1:16" ht="12.75" x14ac:dyDescent="0.35">
      <c r="A8758" s="11"/>
      <c r="B8758" s="9"/>
      <c r="C8758" s="9"/>
      <c r="D8758" s="9"/>
      <c r="E8758" s="11"/>
      <c r="F8758" s="11"/>
      <c r="G8758" s="11"/>
      <c r="H8758" s="11"/>
      <c r="I8758" s="11"/>
      <c r="J8758" s="11"/>
      <c r="K8758" s="11"/>
      <c r="L8758" s="11"/>
      <c r="M8758" s="12"/>
      <c r="N8758" s="12"/>
      <c r="O8758" s="11"/>
      <c r="P8758" s="11"/>
    </row>
    <row r="8759" spans="1:16" ht="12.75" x14ac:dyDescent="0.35">
      <c r="A8759" s="11"/>
      <c r="B8759" s="9"/>
      <c r="C8759" s="9"/>
      <c r="D8759" s="9"/>
      <c r="E8759" s="11"/>
      <c r="F8759" s="11"/>
      <c r="G8759" s="11"/>
      <c r="H8759" s="11"/>
      <c r="I8759" s="11"/>
      <c r="J8759" s="11"/>
      <c r="K8759" s="11"/>
      <c r="L8759" s="11"/>
      <c r="M8759" s="12"/>
      <c r="N8759" s="12"/>
      <c r="O8759" s="11"/>
      <c r="P8759" s="11"/>
    </row>
    <row r="8760" spans="1:16" ht="12.75" x14ac:dyDescent="0.35">
      <c r="A8760" s="11"/>
      <c r="B8760" s="9"/>
      <c r="C8760" s="9"/>
      <c r="D8760" s="9"/>
      <c r="E8760" s="11"/>
      <c r="F8760" s="11"/>
      <c r="G8760" s="11"/>
      <c r="H8760" s="11"/>
      <c r="I8760" s="11"/>
      <c r="J8760" s="11"/>
      <c r="K8760" s="11"/>
      <c r="L8760" s="11"/>
      <c r="M8760" s="12"/>
      <c r="N8760" s="12"/>
      <c r="O8760" s="11"/>
      <c r="P8760" s="11"/>
    </row>
    <row r="8761" spans="1:16" ht="12.75" x14ac:dyDescent="0.35">
      <c r="A8761" s="11"/>
      <c r="B8761" s="9"/>
      <c r="C8761" s="9"/>
      <c r="D8761" s="9"/>
      <c r="E8761" s="11"/>
      <c r="F8761" s="11"/>
      <c r="G8761" s="11"/>
      <c r="H8761" s="11"/>
      <c r="I8761" s="11"/>
      <c r="J8761" s="11"/>
      <c r="K8761" s="11"/>
      <c r="L8761" s="11"/>
      <c r="M8761" s="12"/>
      <c r="N8761" s="12"/>
      <c r="O8761" s="11"/>
      <c r="P8761" s="11"/>
    </row>
    <row r="8762" spans="1:16" ht="12.75" x14ac:dyDescent="0.35">
      <c r="A8762" s="11"/>
      <c r="B8762" s="9"/>
      <c r="C8762" s="9"/>
      <c r="D8762" s="9"/>
      <c r="E8762" s="11"/>
      <c r="F8762" s="11"/>
      <c r="G8762" s="11"/>
      <c r="H8762" s="11"/>
      <c r="I8762" s="11"/>
      <c r="J8762" s="11"/>
      <c r="K8762" s="11"/>
      <c r="L8762" s="11"/>
      <c r="M8762" s="12"/>
      <c r="N8762" s="12"/>
      <c r="O8762" s="11"/>
      <c r="P8762" s="11"/>
    </row>
    <row r="8763" spans="1:16" ht="12.75" x14ac:dyDescent="0.35">
      <c r="A8763" s="11"/>
      <c r="B8763" s="9"/>
      <c r="C8763" s="9"/>
      <c r="D8763" s="9"/>
      <c r="E8763" s="11"/>
      <c r="F8763" s="11"/>
      <c r="G8763" s="11"/>
      <c r="H8763" s="11"/>
      <c r="I8763" s="11"/>
      <c r="J8763" s="11"/>
      <c r="K8763" s="11"/>
      <c r="L8763" s="11"/>
      <c r="M8763" s="12"/>
      <c r="N8763" s="12"/>
      <c r="O8763" s="11"/>
      <c r="P8763" s="11"/>
    </row>
    <row r="8764" spans="1:16" ht="12.75" x14ac:dyDescent="0.35">
      <c r="A8764" s="11"/>
      <c r="B8764" s="9"/>
      <c r="C8764" s="9"/>
      <c r="D8764" s="9"/>
      <c r="E8764" s="11"/>
      <c r="F8764" s="11"/>
      <c r="G8764" s="11"/>
      <c r="H8764" s="11"/>
      <c r="I8764" s="11"/>
      <c r="J8764" s="11"/>
      <c r="K8764" s="11"/>
      <c r="L8764" s="11"/>
      <c r="M8764" s="12"/>
      <c r="N8764" s="12"/>
      <c r="O8764" s="11"/>
      <c r="P8764" s="11"/>
    </row>
    <row r="8765" spans="1:16" ht="12.75" x14ac:dyDescent="0.35">
      <c r="A8765" s="11"/>
      <c r="B8765" s="9"/>
      <c r="C8765" s="9"/>
      <c r="D8765" s="9"/>
      <c r="E8765" s="11"/>
      <c r="F8765" s="11"/>
      <c r="G8765" s="11"/>
      <c r="H8765" s="11"/>
      <c r="I8765" s="11"/>
      <c r="J8765" s="11"/>
      <c r="K8765" s="11"/>
      <c r="L8765" s="11"/>
      <c r="M8765" s="12"/>
      <c r="N8765" s="12"/>
      <c r="O8765" s="11"/>
      <c r="P8765" s="11"/>
    </row>
    <row r="8766" spans="1:16" ht="12.75" x14ac:dyDescent="0.35">
      <c r="A8766" s="11"/>
      <c r="B8766" s="9"/>
      <c r="C8766" s="9"/>
      <c r="D8766" s="9"/>
      <c r="E8766" s="11"/>
      <c r="F8766" s="11"/>
      <c r="G8766" s="11"/>
      <c r="H8766" s="11"/>
      <c r="I8766" s="11"/>
      <c r="J8766" s="11"/>
      <c r="K8766" s="11"/>
      <c r="L8766" s="11"/>
      <c r="M8766" s="12"/>
      <c r="N8766" s="12"/>
      <c r="O8766" s="11"/>
      <c r="P8766" s="11"/>
    </row>
    <row r="8767" spans="1:16" ht="12.75" x14ac:dyDescent="0.35">
      <c r="A8767" s="11"/>
      <c r="B8767" s="9"/>
      <c r="C8767" s="9"/>
      <c r="D8767" s="9"/>
      <c r="E8767" s="11"/>
      <c r="F8767" s="11"/>
      <c r="G8767" s="11"/>
      <c r="H8767" s="11"/>
      <c r="I8767" s="11"/>
      <c r="J8767" s="11"/>
      <c r="K8767" s="11"/>
      <c r="L8767" s="11"/>
      <c r="M8767" s="12"/>
      <c r="N8767" s="12"/>
      <c r="O8767" s="11"/>
      <c r="P8767" s="11"/>
    </row>
    <row r="8768" spans="1:16" ht="12.75" x14ac:dyDescent="0.35">
      <c r="A8768" s="11"/>
      <c r="B8768" s="9"/>
      <c r="C8768" s="9"/>
      <c r="D8768" s="9"/>
      <c r="E8768" s="11"/>
      <c r="F8768" s="11"/>
      <c r="G8768" s="11"/>
      <c r="H8768" s="11"/>
      <c r="I8768" s="11"/>
      <c r="J8768" s="11"/>
      <c r="K8768" s="11"/>
      <c r="L8768" s="11"/>
      <c r="M8768" s="12"/>
      <c r="N8768" s="12"/>
      <c r="O8768" s="11"/>
      <c r="P8768" s="11"/>
    </row>
    <row r="8769" spans="1:16" ht="12.75" x14ac:dyDescent="0.35">
      <c r="A8769" s="11"/>
      <c r="B8769" s="9"/>
      <c r="C8769" s="9"/>
      <c r="D8769" s="9"/>
      <c r="E8769" s="11"/>
      <c r="F8769" s="11"/>
      <c r="G8769" s="11"/>
      <c r="H8769" s="11"/>
      <c r="I8769" s="11"/>
      <c r="J8769" s="11"/>
      <c r="K8769" s="11"/>
      <c r="L8769" s="11"/>
      <c r="M8769" s="12"/>
      <c r="N8769" s="12"/>
      <c r="O8769" s="11"/>
      <c r="P8769" s="11"/>
    </row>
    <row r="8770" spans="1:16" ht="12.75" x14ac:dyDescent="0.35">
      <c r="A8770" s="11"/>
      <c r="B8770" s="9"/>
      <c r="C8770" s="9"/>
      <c r="D8770" s="9"/>
      <c r="E8770" s="11"/>
      <c r="F8770" s="11"/>
      <c r="G8770" s="11"/>
      <c r="H8770" s="11"/>
      <c r="I8770" s="11"/>
      <c r="J8770" s="11"/>
      <c r="K8770" s="11"/>
      <c r="L8770" s="11"/>
      <c r="M8770" s="12"/>
      <c r="N8770" s="12"/>
      <c r="O8770" s="11"/>
      <c r="P8770" s="11"/>
    </row>
    <row r="8771" spans="1:16" ht="12.75" x14ac:dyDescent="0.35">
      <c r="A8771" s="11"/>
      <c r="B8771" s="9"/>
      <c r="C8771" s="9"/>
      <c r="D8771" s="9"/>
      <c r="E8771" s="11"/>
      <c r="F8771" s="11"/>
      <c r="G8771" s="11"/>
      <c r="H8771" s="11"/>
      <c r="I8771" s="11"/>
      <c r="J8771" s="11"/>
      <c r="K8771" s="11"/>
      <c r="L8771" s="11"/>
      <c r="M8771" s="12"/>
      <c r="N8771" s="12"/>
      <c r="O8771" s="11"/>
      <c r="P8771" s="11"/>
    </row>
    <row r="8772" spans="1:16" ht="12.75" x14ac:dyDescent="0.35">
      <c r="A8772" s="11"/>
      <c r="B8772" s="9"/>
      <c r="C8772" s="9"/>
      <c r="D8772" s="9"/>
      <c r="E8772" s="11"/>
      <c r="F8772" s="11"/>
      <c r="G8772" s="11"/>
      <c r="H8772" s="11"/>
      <c r="I8772" s="11"/>
      <c r="J8772" s="11"/>
      <c r="K8772" s="11"/>
      <c r="L8772" s="11"/>
      <c r="M8772" s="12"/>
      <c r="N8772" s="12"/>
      <c r="O8772" s="11"/>
      <c r="P8772" s="11"/>
    </row>
    <row r="8773" spans="1:16" ht="12.75" x14ac:dyDescent="0.35">
      <c r="A8773" s="11"/>
      <c r="B8773" s="9"/>
      <c r="C8773" s="9"/>
      <c r="D8773" s="9"/>
      <c r="E8773" s="11"/>
      <c r="F8773" s="11"/>
      <c r="G8773" s="11"/>
      <c r="H8773" s="11"/>
      <c r="I8773" s="11"/>
      <c r="J8773" s="11"/>
      <c r="K8773" s="11"/>
      <c r="L8773" s="11"/>
      <c r="M8773" s="12"/>
      <c r="N8773" s="12"/>
      <c r="O8773" s="11"/>
      <c r="P8773" s="11"/>
    </row>
    <row r="8774" spans="1:16" ht="12.75" x14ac:dyDescent="0.35">
      <c r="A8774" s="11"/>
      <c r="B8774" s="9"/>
      <c r="C8774" s="9"/>
      <c r="D8774" s="9"/>
      <c r="E8774" s="11"/>
      <c r="F8774" s="11"/>
      <c r="G8774" s="11"/>
      <c r="H8774" s="11"/>
      <c r="I8774" s="11"/>
      <c r="J8774" s="11"/>
      <c r="K8774" s="11"/>
      <c r="L8774" s="11"/>
      <c r="M8774" s="12"/>
      <c r="N8774" s="12"/>
      <c r="O8774" s="11"/>
      <c r="P8774" s="11"/>
    </row>
    <row r="8775" spans="1:16" ht="12.75" x14ac:dyDescent="0.35">
      <c r="A8775" s="11"/>
      <c r="B8775" s="9"/>
      <c r="C8775" s="9"/>
      <c r="D8775" s="9"/>
      <c r="E8775" s="11"/>
      <c r="F8775" s="11"/>
      <c r="G8775" s="11"/>
      <c r="H8775" s="11"/>
      <c r="I8775" s="11"/>
      <c r="J8775" s="11"/>
      <c r="K8775" s="11"/>
      <c r="L8775" s="11"/>
      <c r="M8775" s="12"/>
      <c r="N8775" s="12"/>
      <c r="O8775" s="11"/>
      <c r="P8775" s="11"/>
    </row>
    <row r="8776" spans="1:16" ht="12.75" x14ac:dyDescent="0.35">
      <c r="A8776" s="11"/>
      <c r="B8776" s="9"/>
      <c r="C8776" s="9"/>
      <c r="D8776" s="9"/>
      <c r="E8776" s="11"/>
      <c r="F8776" s="11"/>
      <c r="G8776" s="11"/>
      <c r="H8776" s="11"/>
      <c r="I8776" s="11"/>
      <c r="J8776" s="11"/>
      <c r="K8776" s="11"/>
      <c r="L8776" s="11"/>
      <c r="M8776" s="12"/>
      <c r="N8776" s="12"/>
      <c r="O8776" s="11"/>
      <c r="P8776" s="11"/>
    </row>
    <row r="8777" spans="1:16" ht="12.75" x14ac:dyDescent="0.35">
      <c r="A8777" s="11"/>
      <c r="B8777" s="9"/>
      <c r="C8777" s="9"/>
      <c r="D8777" s="9"/>
      <c r="E8777" s="11"/>
      <c r="F8777" s="11"/>
      <c r="G8777" s="11"/>
      <c r="H8777" s="11"/>
      <c r="I8777" s="11"/>
      <c r="J8777" s="11"/>
      <c r="K8777" s="11"/>
      <c r="L8777" s="11"/>
      <c r="M8777" s="12"/>
      <c r="N8777" s="12"/>
      <c r="O8777" s="11"/>
      <c r="P8777" s="11"/>
    </row>
    <row r="8778" spans="1:16" ht="12.75" x14ac:dyDescent="0.35">
      <c r="A8778" s="11"/>
      <c r="B8778" s="9"/>
      <c r="C8778" s="9"/>
      <c r="D8778" s="9"/>
      <c r="E8778" s="11"/>
      <c r="F8778" s="11"/>
      <c r="G8778" s="11"/>
      <c r="H8778" s="11"/>
      <c r="I8778" s="11"/>
      <c r="J8778" s="11"/>
      <c r="K8778" s="11"/>
      <c r="L8778" s="11"/>
      <c r="M8778" s="12"/>
      <c r="N8778" s="12"/>
      <c r="O8778" s="11"/>
      <c r="P8778" s="11"/>
    </row>
    <row r="8779" spans="1:16" ht="12.75" x14ac:dyDescent="0.35">
      <c r="A8779" s="11"/>
      <c r="B8779" s="9"/>
      <c r="C8779" s="9"/>
      <c r="D8779" s="9"/>
      <c r="E8779" s="11"/>
      <c r="F8779" s="11"/>
      <c r="G8779" s="11"/>
      <c r="H8779" s="11"/>
      <c r="I8779" s="11"/>
      <c r="J8779" s="11"/>
      <c r="K8779" s="11"/>
      <c r="L8779" s="11"/>
      <c r="M8779" s="12"/>
      <c r="N8779" s="12"/>
      <c r="O8779" s="11"/>
      <c r="P8779" s="11"/>
    </row>
    <row r="8780" spans="1:16" ht="12.75" x14ac:dyDescent="0.35">
      <c r="A8780" s="11"/>
      <c r="B8780" s="9"/>
      <c r="C8780" s="9"/>
      <c r="D8780" s="9"/>
      <c r="E8780" s="11"/>
      <c r="F8780" s="11"/>
      <c r="G8780" s="11"/>
      <c r="H8780" s="11"/>
      <c r="I8780" s="11"/>
      <c r="J8780" s="11"/>
      <c r="K8780" s="11"/>
      <c r="L8780" s="11"/>
      <c r="M8780" s="12"/>
      <c r="N8780" s="12"/>
      <c r="O8780" s="11"/>
      <c r="P8780" s="11"/>
    </row>
    <row r="8781" spans="1:16" ht="12.75" x14ac:dyDescent="0.35">
      <c r="A8781" s="11"/>
      <c r="B8781" s="9"/>
      <c r="C8781" s="9"/>
      <c r="D8781" s="9"/>
      <c r="E8781" s="11"/>
      <c r="F8781" s="11"/>
      <c r="G8781" s="11"/>
      <c r="H8781" s="11"/>
      <c r="I8781" s="11"/>
      <c r="J8781" s="11"/>
      <c r="K8781" s="11"/>
      <c r="L8781" s="11"/>
      <c r="M8781" s="12"/>
      <c r="N8781" s="12"/>
      <c r="O8781" s="11"/>
      <c r="P8781" s="11"/>
    </row>
    <row r="8782" spans="1:16" ht="12.75" x14ac:dyDescent="0.35">
      <c r="A8782" s="11"/>
      <c r="B8782" s="9"/>
      <c r="C8782" s="9"/>
      <c r="D8782" s="9"/>
      <c r="E8782" s="11"/>
      <c r="F8782" s="11"/>
      <c r="G8782" s="11"/>
      <c r="H8782" s="11"/>
      <c r="I8782" s="11"/>
      <c r="J8782" s="11"/>
      <c r="K8782" s="11"/>
      <c r="L8782" s="11"/>
      <c r="M8782" s="12"/>
      <c r="N8782" s="12"/>
      <c r="O8782" s="11"/>
      <c r="P8782" s="11"/>
    </row>
    <row r="8783" spans="1:16" ht="12.75" x14ac:dyDescent="0.35">
      <c r="A8783" s="11"/>
      <c r="B8783" s="9"/>
      <c r="C8783" s="9"/>
      <c r="D8783" s="9"/>
      <c r="E8783" s="11"/>
      <c r="F8783" s="11"/>
      <c r="G8783" s="11"/>
      <c r="H8783" s="11"/>
      <c r="I8783" s="11"/>
      <c r="J8783" s="11"/>
      <c r="K8783" s="11"/>
      <c r="L8783" s="11"/>
      <c r="M8783" s="12"/>
      <c r="N8783" s="12"/>
      <c r="O8783" s="11"/>
      <c r="P8783" s="11"/>
    </row>
    <row r="8784" spans="1:16" ht="12.75" x14ac:dyDescent="0.35">
      <c r="A8784" s="11"/>
      <c r="B8784" s="9"/>
      <c r="C8784" s="9"/>
      <c r="D8784" s="9"/>
      <c r="E8784" s="11"/>
      <c r="F8784" s="11"/>
      <c r="G8784" s="11"/>
      <c r="H8784" s="11"/>
      <c r="I8784" s="11"/>
      <c r="J8784" s="11"/>
      <c r="K8784" s="11"/>
      <c r="L8784" s="11"/>
      <c r="M8784" s="12"/>
      <c r="N8784" s="12"/>
      <c r="O8784" s="11"/>
      <c r="P8784" s="11"/>
    </row>
    <row r="8785" spans="1:16" ht="12.75" x14ac:dyDescent="0.35">
      <c r="A8785" s="11"/>
      <c r="B8785" s="9"/>
      <c r="C8785" s="9"/>
      <c r="D8785" s="9"/>
      <c r="E8785" s="11"/>
      <c r="F8785" s="11"/>
      <c r="G8785" s="11"/>
      <c r="H8785" s="11"/>
      <c r="I8785" s="11"/>
      <c r="J8785" s="11"/>
      <c r="K8785" s="11"/>
      <c r="L8785" s="11"/>
      <c r="M8785" s="12"/>
      <c r="N8785" s="12"/>
      <c r="O8785" s="11"/>
      <c r="P8785" s="11"/>
    </row>
    <row r="8786" spans="1:16" ht="12.75" x14ac:dyDescent="0.35">
      <c r="A8786" s="11"/>
      <c r="B8786" s="9"/>
      <c r="C8786" s="9"/>
      <c r="D8786" s="9"/>
      <c r="E8786" s="11"/>
      <c r="F8786" s="11"/>
      <c r="G8786" s="11"/>
      <c r="H8786" s="11"/>
      <c r="I8786" s="11"/>
      <c r="J8786" s="11"/>
      <c r="K8786" s="11"/>
      <c r="L8786" s="11"/>
      <c r="M8786" s="12"/>
      <c r="N8786" s="12"/>
      <c r="O8786" s="11"/>
      <c r="P8786" s="11"/>
    </row>
    <row r="8787" spans="1:16" ht="12.75" x14ac:dyDescent="0.35">
      <c r="A8787" s="11"/>
      <c r="B8787" s="9"/>
      <c r="C8787" s="9"/>
      <c r="D8787" s="9"/>
      <c r="E8787" s="11"/>
      <c r="F8787" s="11"/>
      <c r="G8787" s="11"/>
      <c r="H8787" s="11"/>
      <c r="I8787" s="11"/>
      <c r="J8787" s="11"/>
      <c r="K8787" s="11"/>
      <c r="L8787" s="11"/>
      <c r="M8787" s="12"/>
      <c r="N8787" s="12"/>
      <c r="O8787" s="11"/>
      <c r="P8787" s="11"/>
    </row>
    <row r="8788" spans="1:16" ht="12.75" x14ac:dyDescent="0.35">
      <c r="A8788" s="11"/>
      <c r="B8788" s="9"/>
      <c r="C8788" s="9"/>
      <c r="D8788" s="9"/>
      <c r="E8788" s="11"/>
      <c r="F8788" s="11"/>
      <c r="G8788" s="11"/>
      <c r="H8788" s="11"/>
      <c r="I8788" s="11"/>
      <c r="J8788" s="11"/>
      <c r="K8788" s="11"/>
      <c r="L8788" s="11"/>
      <c r="M8788" s="12"/>
      <c r="N8788" s="12"/>
      <c r="O8788" s="11"/>
      <c r="P8788" s="11"/>
    </row>
    <row r="8789" spans="1:16" ht="12.75" x14ac:dyDescent="0.35">
      <c r="A8789" s="11"/>
      <c r="B8789" s="9"/>
      <c r="C8789" s="9"/>
      <c r="D8789" s="9"/>
      <c r="E8789" s="11"/>
      <c r="F8789" s="11"/>
      <c r="G8789" s="11"/>
      <c r="H8789" s="11"/>
      <c r="I8789" s="11"/>
      <c r="J8789" s="11"/>
      <c r="K8789" s="11"/>
      <c r="L8789" s="11"/>
      <c r="M8789" s="12"/>
      <c r="N8789" s="12"/>
      <c r="O8789" s="11"/>
      <c r="P8789" s="11"/>
    </row>
    <row r="8790" spans="1:16" ht="12.75" x14ac:dyDescent="0.35">
      <c r="A8790" s="11"/>
      <c r="B8790" s="9"/>
      <c r="C8790" s="9"/>
      <c r="D8790" s="9"/>
      <c r="E8790" s="11"/>
      <c r="F8790" s="11"/>
      <c r="G8790" s="11"/>
      <c r="H8790" s="11"/>
      <c r="I8790" s="11"/>
      <c r="J8790" s="11"/>
      <c r="K8790" s="11"/>
      <c r="L8790" s="11"/>
      <c r="M8790" s="12"/>
      <c r="N8790" s="12"/>
      <c r="O8790" s="11"/>
      <c r="P8790" s="11"/>
    </row>
    <row r="8791" spans="1:16" ht="12.75" x14ac:dyDescent="0.35">
      <c r="A8791" s="11"/>
      <c r="B8791" s="9"/>
      <c r="C8791" s="9"/>
      <c r="D8791" s="9"/>
      <c r="E8791" s="11"/>
      <c r="F8791" s="11"/>
      <c r="G8791" s="11"/>
      <c r="H8791" s="11"/>
      <c r="I8791" s="11"/>
      <c r="J8791" s="11"/>
      <c r="K8791" s="11"/>
      <c r="L8791" s="11"/>
      <c r="M8791" s="12"/>
      <c r="N8791" s="12"/>
      <c r="O8791" s="11"/>
      <c r="P8791" s="11"/>
    </row>
    <row r="8792" spans="1:16" ht="12.75" x14ac:dyDescent="0.35">
      <c r="A8792" s="11"/>
      <c r="B8792" s="9"/>
      <c r="C8792" s="9"/>
      <c r="D8792" s="9"/>
      <c r="E8792" s="11"/>
      <c r="F8792" s="11"/>
      <c r="G8792" s="11"/>
      <c r="H8792" s="11"/>
      <c r="I8792" s="11"/>
      <c r="J8792" s="11"/>
      <c r="K8792" s="11"/>
      <c r="L8792" s="11"/>
      <c r="M8792" s="12"/>
      <c r="N8792" s="12"/>
      <c r="O8792" s="11"/>
      <c r="P8792" s="11"/>
    </row>
    <row r="8793" spans="1:16" ht="12.75" x14ac:dyDescent="0.35">
      <c r="A8793" s="11"/>
      <c r="B8793" s="9"/>
      <c r="C8793" s="9"/>
      <c r="D8793" s="9"/>
      <c r="E8793" s="11"/>
      <c r="F8793" s="11"/>
      <c r="G8793" s="11"/>
      <c r="H8793" s="11"/>
      <c r="I8793" s="11"/>
      <c r="J8793" s="11"/>
      <c r="K8793" s="11"/>
      <c r="L8793" s="11"/>
      <c r="M8793" s="12"/>
      <c r="N8793" s="12"/>
      <c r="O8793" s="11"/>
      <c r="P8793" s="11"/>
    </row>
    <row r="8794" spans="1:16" ht="12.75" x14ac:dyDescent="0.35">
      <c r="A8794" s="11"/>
      <c r="B8794" s="9"/>
      <c r="C8794" s="9"/>
      <c r="D8794" s="9"/>
      <c r="E8794" s="11"/>
      <c r="F8794" s="11"/>
      <c r="G8794" s="11"/>
      <c r="H8794" s="11"/>
      <c r="I8794" s="11"/>
      <c r="J8794" s="11"/>
      <c r="K8794" s="11"/>
      <c r="L8794" s="11"/>
      <c r="M8794" s="12"/>
      <c r="N8794" s="12"/>
      <c r="O8794" s="11"/>
      <c r="P8794" s="11"/>
    </row>
    <row r="8795" spans="1:16" ht="12.75" x14ac:dyDescent="0.35">
      <c r="A8795" s="11"/>
      <c r="B8795" s="9"/>
      <c r="C8795" s="9"/>
      <c r="D8795" s="9"/>
      <c r="E8795" s="11"/>
      <c r="F8795" s="11"/>
      <c r="G8795" s="11"/>
      <c r="H8795" s="11"/>
      <c r="I8795" s="11"/>
      <c r="J8795" s="11"/>
      <c r="K8795" s="11"/>
      <c r="L8795" s="11"/>
      <c r="M8795" s="12"/>
      <c r="N8795" s="12"/>
      <c r="O8795" s="11"/>
      <c r="P8795" s="11"/>
    </row>
    <row r="8796" spans="1:16" ht="12.75" x14ac:dyDescent="0.35">
      <c r="A8796" s="11"/>
      <c r="B8796" s="9"/>
      <c r="C8796" s="9"/>
      <c r="D8796" s="9"/>
      <c r="E8796" s="11"/>
      <c r="F8796" s="11"/>
      <c r="G8796" s="11"/>
      <c r="H8796" s="11"/>
      <c r="I8796" s="11"/>
      <c r="J8796" s="11"/>
      <c r="K8796" s="11"/>
      <c r="L8796" s="11"/>
      <c r="M8796" s="12"/>
      <c r="N8796" s="12"/>
      <c r="O8796" s="11"/>
      <c r="P8796" s="11"/>
    </row>
    <row r="8797" spans="1:16" ht="12.75" x14ac:dyDescent="0.35">
      <c r="A8797" s="11"/>
      <c r="B8797" s="9"/>
      <c r="C8797" s="9"/>
      <c r="D8797" s="9"/>
      <c r="E8797" s="11"/>
      <c r="F8797" s="11"/>
      <c r="G8797" s="11"/>
      <c r="H8797" s="11"/>
      <c r="I8797" s="11"/>
      <c r="J8797" s="11"/>
      <c r="K8797" s="11"/>
      <c r="L8797" s="11"/>
      <c r="M8797" s="12"/>
      <c r="N8797" s="12"/>
      <c r="O8797" s="11"/>
      <c r="P8797" s="11"/>
    </row>
    <row r="8798" spans="1:16" ht="12.75" x14ac:dyDescent="0.35">
      <c r="A8798" s="11"/>
      <c r="B8798" s="9"/>
      <c r="C8798" s="9"/>
      <c r="D8798" s="9"/>
      <c r="E8798" s="11"/>
      <c r="F8798" s="11"/>
      <c r="G8798" s="11"/>
      <c r="H8798" s="11"/>
      <c r="I8798" s="11"/>
      <c r="J8798" s="11"/>
      <c r="K8798" s="11"/>
      <c r="L8798" s="11"/>
      <c r="M8798" s="12"/>
      <c r="N8798" s="12"/>
      <c r="O8798" s="11"/>
      <c r="P8798" s="11"/>
    </row>
    <row r="8799" spans="1:16" ht="12.75" x14ac:dyDescent="0.35">
      <c r="A8799" s="11"/>
      <c r="B8799" s="9"/>
      <c r="C8799" s="9"/>
      <c r="D8799" s="9"/>
      <c r="E8799" s="11"/>
      <c r="F8799" s="11"/>
      <c r="G8799" s="11"/>
      <c r="H8799" s="11"/>
      <c r="I8799" s="11"/>
      <c r="J8799" s="11"/>
      <c r="K8799" s="11"/>
      <c r="L8799" s="11"/>
      <c r="M8799" s="12"/>
      <c r="N8799" s="12"/>
      <c r="O8799" s="11"/>
      <c r="P8799" s="11"/>
    </row>
    <row r="8800" spans="1:16" ht="12.75" x14ac:dyDescent="0.35">
      <c r="A8800" s="11"/>
      <c r="B8800" s="9"/>
      <c r="C8800" s="9"/>
      <c r="D8800" s="9"/>
      <c r="E8800" s="11"/>
      <c r="F8800" s="11"/>
      <c r="G8800" s="11"/>
      <c r="H8800" s="11"/>
      <c r="I8800" s="11"/>
      <c r="J8800" s="11"/>
      <c r="K8800" s="11"/>
      <c r="L8800" s="11"/>
      <c r="M8800" s="12"/>
      <c r="N8800" s="12"/>
      <c r="O8800" s="11"/>
      <c r="P8800" s="11"/>
    </row>
    <row r="8801" spans="1:16" ht="12.75" x14ac:dyDescent="0.35">
      <c r="A8801" s="11"/>
      <c r="B8801" s="9"/>
      <c r="C8801" s="9"/>
      <c r="D8801" s="9"/>
      <c r="E8801" s="11"/>
      <c r="F8801" s="11"/>
      <c r="G8801" s="11"/>
      <c r="H8801" s="11"/>
      <c r="I8801" s="11"/>
      <c r="J8801" s="11"/>
      <c r="K8801" s="11"/>
      <c r="L8801" s="11"/>
      <c r="M8801" s="12"/>
      <c r="N8801" s="12"/>
      <c r="O8801" s="11"/>
      <c r="P8801" s="11"/>
    </row>
    <row r="8802" spans="1:16" ht="12.75" x14ac:dyDescent="0.35">
      <c r="A8802" s="11"/>
      <c r="B8802" s="9"/>
      <c r="C8802" s="9"/>
      <c r="D8802" s="9"/>
      <c r="E8802" s="11"/>
      <c r="F8802" s="11"/>
      <c r="G8802" s="11"/>
      <c r="H8802" s="11"/>
      <c r="I8802" s="11"/>
      <c r="J8802" s="11"/>
      <c r="K8802" s="11"/>
      <c r="L8802" s="11"/>
      <c r="M8802" s="12"/>
      <c r="N8802" s="12"/>
      <c r="O8802" s="11"/>
      <c r="P8802" s="11"/>
    </row>
    <row r="8803" spans="1:16" ht="12.75" x14ac:dyDescent="0.35">
      <c r="A8803" s="11"/>
      <c r="B8803" s="9"/>
      <c r="C8803" s="9"/>
      <c r="D8803" s="9"/>
      <c r="E8803" s="11"/>
      <c r="F8803" s="11"/>
      <c r="G8803" s="11"/>
      <c r="H8803" s="11"/>
      <c r="I8803" s="11"/>
      <c r="J8803" s="11"/>
      <c r="K8803" s="11"/>
      <c r="L8803" s="11"/>
      <c r="M8803" s="12"/>
      <c r="N8803" s="12"/>
      <c r="O8803" s="11"/>
      <c r="P8803" s="11"/>
    </row>
    <row r="8804" spans="1:16" ht="12.75" x14ac:dyDescent="0.35">
      <c r="A8804" s="11"/>
      <c r="B8804" s="9"/>
      <c r="C8804" s="9"/>
      <c r="D8804" s="9"/>
      <c r="E8804" s="11"/>
      <c r="F8804" s="11"/>
      <c r="G8804" s="11"/>
      <c r="H8804" s="11"/>
      <c r="I8804" s="11"/>
      <c r="J8804" s="11"/>
      <c r="K8804" s="11"/>
      <c r="L8804" s="11"/>
      <c r="M8804" s="12"/>
      <c r="N8804" s="12"/>
      <c r="O8804" s="11"/>
      <c r="P8804" s="11"/>
    </row>
    <row r="8805" spans="1:16" ht="12.75" x14ac:dyDescent="0.35">
      <c r="A8805" s="11"/>
      <c r="B8805" s="9"/>
      <c r="C8805" s="9"/>
      <c r="D8805" s="9"/>
      <c r="E8805" s="11"/>
      <c r="F8805" s="11"/>
      <c r="G8805" s="11"/>
      <c r="H8805" s="11"/>
      <c r="I8805" s="11"/>
      <c r="J8805" s="11"/>
      <c r="K8805" s="11"/>
      <c r="L8805" s="11"/>
      <c r="M8805" s="12"/>
      <c r="N8805" s="12"/>
      <c r="O8805" s="11"/>
      <c r="P8805" s="11"/>
    </row>
    <row r="8806" spans="1:16" ht="12.75" x14ac:dyDescent="0.35">
      <c r="A8806" s="11"/>
      <c r="B8806" s="9"/>
      <c r="C8806" s="9"/>
      <c r="D8806" s="9"/>
      <c r="E8806" s="11"/>
      <c r="F8806" s="11"/>
      <c r="G8806" s="11"/>
      <c r="H8806" s="11"/>
      <c r="I8806" s="11"/>
      <c r="J8806" s="11"/>
      <c r="K8806" s="11"/>
      <c r="L8806" s="11"/>
      <c r="M8806" s="12"/>
      <c r="N8806" s="12"/>
      <c r="O8806" s="11"/>
      <c r="P8806" s="11"/>
    </row>
    <row r="8807" spans="1:16" ht="12.75" x14ac:dyDescent="0.35">
      <c r="A8807" s="11"/>
      <c r="B8807" s="9"/>
      <c r="C8807" s="9"/>
      <c r="D8807" s="9"/>
      <c r="E8807" s="11"/>
      <c r="F8807" s="11"/>
      <c r="G8807" s="11"/>
      <c r="H8807" s="11"/>
      <c r="I8807" s="11"/>
      <c r="J8807" s="11"/>
      <c r="K8807" s="11"/>
      <c r="L8807" s="11"/>
      <c r="M8807" s="12"/>
      <c r="N8807" s="12"/>
      <c r="O8807" s="11"/>
      <c r="P8807" s="11"/>
    </row>
    <row r="8808" spans="1:16" ht="12.75" x14ac:dyDescent="0.35">
      <c r="A8808" s="11"/>
      <c r="B8808" s="9"/>
      <c r="C8808" s="9"/>
      <c r="D8808" s="9"/>
      <c r="E8808" s="11"/>
      <c r="F8808" s="11"/>
      <c r="G8808" s="11"/>
      <c r="H8808" s="11"/>
      <c r="I8808" s="11"/>
      <c r="J8808" s="11"/>
      <c r="K8808" s="11"/>
      <c r="L8808" s="11"/>
      <c r="M8808" s="12"/>
      <c r="N8808" s="12"/>
      <c r="O8808" s="11"/>
      <c r="P8808" s="11"/>
    </row>
    <row r="8809" spans="1:16" ht="12.75" x14ac:dyDescent="0.35">
      <c r="A8809" s="11"/>
      <c r="B8809" s="9"/>
      <c r="C8809" s="9"/>
      <c r="D8809" s="9"/>
      <c r="E8809" s="11"/>
      <c r="F8809" s="11"/>
      <c r="G8809" s="11"/>
      <c r="H8809" s="11"/>
      <c r="I8809" s="11"/>
      <c r="J8809" s="11"/>
      <c r="K8809" s="11"/>
      <c r="L8809" s="11"/>
      <c r="M8809" s="12"/>
      <c r="N8809" s="12"/>
      <c r="O8809" s="11"/>
      <c r="P8809" s="11"/>
    </row>
    <row r="8810" spans="1:16" ht="12.75" x14ac:dyDescent="0.35">
      <c r="A8810" s="11"/>
      <c r="B8810" s="9"/>
      <c r="C8810" s="9"/>
      <c r="D8810" s="9"/>
      <c r="E8810" s="11"/>
      <c r="F8810" s="11"/>
      <c r="G8810" s="11"/>
      <c r="H8810" s="11"/>
      <c r="I8810" s="11"/>
      <c r="J8810" s="11"/>
      <c r="K8810" s="11"/>
      <c r="L8810" s="11"/>
      <c r="M8810" s="12"/>
      <c r="N8810" s="12"/>
      <c r="O8810" s="11"/>
      <c r="P8810" s="11"/>
    </row>
    <row r="8811" spans="1:16" ht="12.75" x14ac:dyDescent="0.35">
      <c r="A8811" s="11"/>
      <c r="B8811" s="9"/>
      <c r="C8811" s="9"/>
      <c r="D8811" s="9"/>
      <c r="E8811" s="11"/>
      <c r="F8811" s="11"/>
      <c r="G8811" s="11"/>
      <c r="H8811" s="11"/>
      <c r="I8811" s="11"/>
      <c r="J8811" s="11"/>
      <c r="K8811" s="11"/>
      <c r="L8811" s="11"/>
      <c r="M8811" s="12"/>
      <c r="N8811" s="12"/>
      <c r="O8811" s="11"/>
      <c r="P8811" s="11"/>
    </row>
    <row r="8812" spans="1:16" ht="12.75" x14ac:dyDescent="0.35">
      <c r="A8812" s="11"/>
      <c r="B8812" s="9"/>
      <c r="C8812" s="9"/>
      <c r="D8812" s="9"/>
      <c r="E8812" s="11"/>
      <c r="F8812" s="11"/>
      <c r="G8812" s="11"/>
      <c r="H8812" s="11"/>
      <c r="I8812" s="11"/>
      <c r="J8812" s="11"/>
      <c r="K8812" s="11"/>
      <c r="L8812" s="11"/>
      <c r="M8812" s="12"/>
      <c r="N8812" s="12"/>
      <c r="O8812" s="11"/>
      <c r="P8812" s="11"/>
    </row>
    <row r="8813" spans="1:16" ht="12.75" x14ac:dyDescent="0.35">
      <c r="A8813" s="11"/>
      <c r="B8813" s="9"/>
      <c r="C8813" s="9"/>
      <c r="D8813" s="9"/>
      <c r="E8813" s="11"/>
      <c r="F8813" s="11"/>
      <c r="G8813" s="11"/>
      <c r="H8813" s="11"/>
      <c r="I8813" s="11"/>
      <c r="J8813" s="11"/>
      <c r="K8813" s="11"/>
      <c r="L8813" s="11"/>
      <c r="M8813" s="12"/>
      <c r="N8813" s="12"/>
      <c r="O8813" s="11"/>
      <c r="P8813" s="11"/>
    </row>
    <row r="8814" spans="1:16" ht="12.75" x14ac:dyDescent="0.35">
      <c r="A8814" s="11"/>
      <c r="B8814" s="9"/>
      <c r="C8814" s="9"/>
      <c r="D8814" s="9"/>
      <c r="E8814" s="11"/>
      <c r="F8814" s="11"/>
      <c r="G8814" s="11"/>
      <c r="H8814" s="11"/>
      <c r="I8814" s="11"/>
      <c r="J8814" s="11"/>
      <c r="K8814" s="11"/>
      <c r="L8814" s="11"/>
      <c r="M8814" s="12"/>
      <c r="N8814" s="12"/>
      <c r="O8814" s="11"/>
      <c r="P8814" s="11"/>
    </row>
    <row r="8815" spans="1:16" ht="12.75" x14ac:dyDescent="0.35">
      <c r="A8815" s="11"/>
      <c r="B8815" s="9"/>
      <c r="C8815" s="9"/>
      <c r="D8815" s="9"/>
      <c r="E8815" s="11"/>
      <c r="F8815" s="11"/>
      <c r="G8815" s="11"/>
      <c r="H8815" s="11"/>
      <c r="I8815" s="11"/>
      <c r="J8815" s="11"/>
      <c r="K8815" s="11"/>
      <c r="L8815" s="11"/>
      <c r="M8815" s="12"/>
      <c r="N8815" s="12"/>
      <c r="O8815" s="11"/>
      <c r="P8815" s="11"/>
    </row>
    <row r="8816" spans="1:16" ht="12.75" x14ac:dyDescent="0.35">
      <c r="A8816" s="11"/>
      <c r="B8816" s="9"/>
      <c r="C8816" s="9"/>
      <c r="D8816" s="9"/>
      <c r="E8816" s="11"/>
      <c r="F8816" s="11"/>
      <c r="G8816" s="11"/>
      <c r="H8816" s="11"/>
      <c r="I8816" s="11"/>
      <c r="J8816" s="11"/>
      <c r="K8816" s="11"/>
      <c r="L8816" s="11"/>
      <c r="M8816" s="12"/>
      <c r="N8816" s="12"/>
      <c r="O8816" s="11"/>
      <c r="P8816" s="11"/>
    </row>
    <row r="8817" spans="1:16" ht="12.75" x14ac:dyDescent="0.35">
      <c r="A8817" s="11"/>
      <c r="B8817" s="9"/>
      <c r="C8817" s="9"/>
      <c r="D8817" s="9"/>
      <c r="E8817" s="11"/>
      <c r="F8817" s="11"/>
      <c r="G8817" s="11"/>
      <c r="H8817" s="11"/>
      <c r="I8817" s="11"/>
      <c r="J8817" s="11"/>
      <c r="K8817" s="11"/>
      <c r="L8817" s="11"/>
      <c r="M8817" s="12"/>
      <c r="N8817" s="12"/>
      <c r="O8817" s="11"/>
      <c r="P8817" s="11"/>
    </row>
    <row r="8818" spans="1:16" ht="12.75" x14ac:dyDescent="0.35">
      <c r="A8818" s="11"/>
      <c r="B8818" s="9"/>
      <c r="C8818" s="9"/>
      <c r="D8818" s="9"/>
      <c r="E8818" s="11"/>
      <c r="F8818" s="11"/>
      <c r="G8818" s="11"/>
      <c r="H8818" s="11"/>
      <c r="I8818" s="11"/>
      <c r="J8818" s="11"/>
      <c r="K8818" s="11"/>
      <c r="L8818" s="11"/>
      <c r="M8818" s="12"/>
      <c r="N8818" s="12"/>
      <c r="O8818" s="11"/>
      <c r="P8818" s="11"/>
    </row>
    <row r="8819" spans="1:16" ht="12.75" x14ac:dyDescent="0.35">
      <c r="A8819" s="11"/>
      <c r="B8819" s="9"/>
      <c r="C8819" s="9"/>
      <c r="D8819" s="9"/>
      <c r="E8819" s="11"/>
      <c r="F8819" s="11"/>
      <c r="G8819" s="11"/>
      <c r="H8819" s="11"/>
      <c r="I8819" s="11"/>
      <c r="J8819" s="11"/>
      <c r="K8819" s="11"/>
      <c r="L8819" s="11"/>
      <c r="M8819" s="12"/>
      <c r="N8819" s="12"/>
      <c r="O8819" s="11"/>
      <c r="P8819" s="11"/>
    </row>
    <row r="8820" spans="1:16" ht="12.75" x14ac:dyDescent="0.35">
      <c r="A8820" s="11"/>
      <c r="B8820" s="9"/>
      <c r="C8820" s="9"/>
      <c r="D8820" s="9"/>
      <c r="E8820" s="11"/>
      <c r="F8820" s="11"/>
      <c r="G8820" s="11"/>
      <c r="H8820" s="11"/>
      <c r="I8820" s="11"/>
      <c r="J8820" s="11"/>
      <c r="K8820" s="11"/>
      <c r="L8820" s="11"/>
      <c r="M8820" s="12"/>
      <c r="N8820" s="12"/>
      <c r="O8820" s="11"/>
      <c r="P8820" s="11"/>
    </row>
    <row r="8821" spans="1:16" ht="12.75" x14ac:dyDescent="0.35">
      <c r="A8821" s="11"/>
      <c r="B8821" s="9"/>
      <c r="C8821" s="9"/>
      <c r="D8821" s="9"/>
      <c r="E8821" s="11"/>
      <c r="F8821" s="11"/>
      <c r="G8821" s="11"/>
      <c r="H8821" s="11"/>
      <c r="I8821" s="11"/>
      <c r="J8821" s="11"/>
      <c r="K8821" s="11"/>
      <c r="L8821" s="11"/>
      <c r="M8821" s="12"/>
      <c r="N8821" s="12"/>
      <c r="O8821" s="11"/>
      <c r="P8821" s="11"/>
    </row>
    <row r="8822" spans="1:16" ht="12.75" x14ac:dyDescent="0.35">
      <c r="A8822" s="11"/>
      <c r="B8822" s="9"/>
      <c r="C8822" s="9"/>
      <c r="D8822" s="9"/>
      <c r="E8822" s="11"/>
      <c r="F8822" s="11"/>
      <c r="G8822" s="11"/>
      <c r="H8822" s="11"/>
      <c r="I8822" s="11"/>
      <c r="J8822" s="11"/>
      <c r="K8822" s="11"/>
      <c r="L8822" s="11"/>
      <c r="M8822" s="12"/>
      <c r="N8822" s="12"/>
      <c r="O8822" s="11"/>
      <c r="P8822" s="11"/>
    </row>
    <row r="8823" spans="1:16" ht="12.75" x14ac:dyDescent="0.35">
      <c r="A8823" s="11"/>
      <c r="B8823" s="9"/>
      <c r="C8823" s="9"/>
      <c r="D8823" s="9"/>
      <c r="E8823" s="11"/>
      <c r="F8823" s="11"/>
      <c r="G8823" s="11"/>
      <c r="H8823" s="11"/>
      <c r="I8823" s="11"/>
      <c r="J8823" s="11"/>
      <c r="K8823" s="11"/>
      <c r="L8823" s="11"/>
      <c r="M8823" s="12"/>
      <c r="N8823" s="12"/>
      <c r="O8823" s="11"/>
      <c r="P8823" s="11"/>
    </row>
    <row r="8824" spans="1:16" ht="12.75" x14ac:dyDescent="0.35">
      <c r="A8824" s="11"/>
      <c r="B8824" s="9"/>
      <c r="C8824" s="9"/>
      <c r="D8824" s="9"/>
      <c r="E8824" s="11"/>
      <c r="F8824" s="11"/>
      <c r="G8824" s="11"/>
      <c r="H8824" s="11"/>
      <c r="I8824" s="11"/>
      <c r="J8824" s="11"/>
      <c r="K8824" s="11"/>
      <c r="L8824" s="11"/>
      <c r="M8824" s="12"/>
      <c r="N8824" s="12"/>
      <c r="O8824" s="11"/>
      <c r="P8824" s="11"/>
    </row>
    <row r="8825" spans="1:16" ht="12.75" x14ac:dyDescent="0.35">
      <c r="A8825" s="11"/>
      <c r="B8825" s="9"/>
      <c r="C8825" s="9"/>
      <c r="D8825" s="9"/>
      <c r="E8825" s="11"/>
      <c r="F8825" s="11"/>
      <c r="G8825" s="11"/>
      <c r="H8825" s="11"/>
      <c r="I8825" s="11"/>
      <c r="J8825" s="11"/>
      <c r="K8825" s="11"/>
      <c r="L8825" s="11"/>
      <c r="M8825" s="12"/>
      <c r="N8825" s="12"/>
      <c r="O8825" s="11"/>
      <c r="P8825" s="11"/>
    </row>
    <row r="8826" spans="1:16" ht="12.75" x14ac:dyDescent="0.35">
      <c r="A8826" s="11"/>
      <c r="B8826" s="9"/>
      <c r="C8826" s="9"/>
      <c r="D8826" s="9"/>
      <c r="E8826" s="11"/>
      <c r="F8826" s="11"/>
      <c r="G8826" s="11"/>
      <c r="H8826" s="11"/>
      <c r="I8826" s="11"/>
      <c r="J8826" s="11"/>
      <c r="K8826" s="11"/>
      <c r="L8826" s="11"/>
      <c r="M8826" s="12"/>
      <c r="N8826" s="12"/>
      <c r="O8826" s="11"/>
      <c r="P8826" s="11"/>
    </row>
    <row r="8827" spans="1:16" ht="12.75" x14ac:dyDescent="0.35">
      <c r="A8827" s="11"/>
      <c r="B8827" s="9"/>
      <c r="C8827" s="9"/>
      <c r="D8827" s="9"/>
      <c r="E8827" s="11"/>
      <c r="F8827" s="11"/>
      <c r="G8827" s="11"/>
      <c r="H8827" s="11"/>
      <c r="I8827" s="11"/>
      <c r="J8827" s="11"/>
      <c r="K8827" s="11"/>
      <c r="L8827" s="11"/>
      <c r="M8827" s="12"/>
      <c r="N8827" s="12"/>
      <c r="O8827" s="11"/>
      <c r="P8827" s="11"/>
    </row>
    <row r="8828" spans="1:16" ht="12.75" x14ac:dyDescent="0.35">
      <c r="A8828" s="11"/>
      <c r="B8828" s="9"/>
      <c r="C8828" s="9"/>
      <c r="D8828" s="9"/>
      <c r="E8828" s="11"/>
      <c r="F8828" s="11"/>
      <c r="G8828" s="11"/>
      <c r="H8828" s="11"/>
      <c r="I8828" s="11"/>
      <c r="J8828" s="11"/>
      <c r="K8828" s="11"/>
      <c r="L8828" s="11"/>
      <c r="M8828" s="12"/>
      <c r="N8828" s="12"/>
      <c r="O8828" s="11"/>
      <c r="P8828" s="11"/>
    </row>
    <row r="8829" spans="1:16" ht="12.75" x14ac:dyDescent="0.35">
      <c r="A8829" s="11"/>
      <c r="B8829" s="9"/>
      <c r="C8829" s="9"/>
      <c r="D8829" s="9"/>
      <c r="E8829" s="11"/>
      <c r="F8829" s="11"/>
      <c r="G8829" s="11"/>
      <c r="H8829" s="11"/>
      <c r="I8829" s="11"/>
      <c r="J8829" s="11"/>
      <c r="K8829" s="11"/>
      <c r="L8829" s="11"/>
      <c r="M8829" s="12"/>
      <c r="N8829" s="12"/>
      <c r="O8829" s="11"/>
      <c r="P8829" s="11"/>
    </row>
    <row r="8830" spans="1:16" ht="12.75" x14ac:dyDescent="0.35">
      <c r="A8830" s="11"/>
      <c r="B8830" s="9"/>
      <c r="C8830" s="9"/>
      <c r="D8830" s="9"/>
      <c r="E8830" s="11"/>
      <c r="F8830" s="11"/>
      <c r="G8830" s="11"/>
      <c r="H8830" s="11"/>
      <c r="I8830" s="11"/>
      <c r="J8830" s="11"/>
      <c r="K8830" s="11"/>
      <c r="L8830" s="11"/>
      <c r="M8830" s="12"/>
      <c r="N8830" s="12"/>
      <c r="O8830" s="11"/>
      <c r="P8830" s="11"/>
    </row>
    <row r="8831" spans="1:16" ht="12.75" x14ac:dyDescent="0.35">
      <c r="A8831" s="11"/>
      <c r="B8831" s="9"/>
      <c r="C8831" s="9"/>
      <c r="D8831" s="9"/>
      <c r="E8831" s="11"/>
      <c r="F8831" s="11"/>
      <c r="G8831" s="11"/>
      <c r="H8831" s="11"/>
      <c r="I8831" s="11"/>
      <c r="J8831" s="11"/>
      <c r="K8831" s="11"/>
      <c r="L8831" s="11"/>
      <c r="M8831" s="12"/>
      <c r="N8831" s="12"/>
      <c r="O8831" s="11"/>
      <c r="P8831" s="11"/>
    </row>
    <row r="8832" spans="1:16" ht="12.75" x14ac:dyDescent="0.35">
      <c r="A8832" s="11"/>
      <c r="B8832" s="9"/>
      <c r="C8832" s="9"/>
      <c r="D8832" s="9"/>
      <c r="E8832" s="11"/>
      <c r="F8832" s="11"/>
      <c r="G8832" s="11"/>
      <c r="H8832" s="11"/>
      <c r="I8832" s="11"/>
      <c r="J8832" s="11"/>
      <c r="K8832" s="11"/>
      <c r="L8832" s="11"/>
      <c r="M8832" s="12"/>
      <c r="N8832" s="12"/>
      <c r="O8832" s="11"/>
      <c r="P8832" s="11"/>
    </row>
    <row r="8833" spans="1:16" ht="12.75" x14ac:dyDescent="0.35">
      <c r="A8833" s="11"/>
      <c r="B8833" s="9"/>
      <c r="C8833" s="9"/>
      <c r="D8833" s="9"/>
      <c r="E8833" s="11"/>
      <c r="F8833" s="11"/>
      <c r="G8833" s="11"/>
      <c r="H8833" s="11"/>
      <c r="I8833" s="11"/>
      <c r="J8833" s="11"/>
      <c r="K8833" s="11"/>
      <c r="L8833" s="11"/>
      <c r="M8833" s="12"/>
      <c r="N8833" s="12"/>
      <c r="O8833" s="11"/>
      <c r="P8833" s="11"/>
    </row>
    <row r="8834" spans="1:16" ht="12.75" x14ac:dyDescent="0.35">
      <c r="A8834" s="11"/>
      <c r="B8834" s="9"/>
      <c r="C8834" s="9"/>
      <c r="D8834" s="9"/>
      <c r="E8834" s="11"/>
      <c r="F8834" s="11"/>
      <c r="G8834" s="11"/>
      <c r="H8834" s="11"/>
      <c r="I8834" s="11"/>
      <c r="J8834" s="11"/>
      <c r="K8834" s="11"/>
      <c r="L8834" s="11"/>
      <c r="M8834" s="12"/>
      <c r="N8834" s="12"/>
      <c r="O8834" s="11"/>
      <c r="P8834" s="11"/>
    </row>
    <row r="8835" spans="1:16" ht="12.75" x14ac:dyDescent="0.35">
      <c r="A8835" s="11"/>
      <c r="B8835" s="9"/>
      <c r="C8835" s="9"/>
      <c r="D8835" s="9"/>
      <c r="E8835" s="11"/>
      <c r="F8835" s="11"/>
      <c r="G8835" s="11"/>
      <c r="H8835" s="11"/>
      <c r="I8835" s="11"/>
      <c r="J8835" s="11"/>
      <c r="K8835" s="11"/>
      <c r="L8835" s="11"/>
      <c r="M8835" s="12"/>
      <c r="N8835" s="12"/>
      <c r="O8835" s="11"/>
      <c r="P8835" s="11"/>
    </row>
    <row r="8836" spans="1:16" ht="12.75" x14ac:dyDescent="0.35">
      <c r="A8836" s="11"/>
      <c r="B8836" s="9"/>
      <c r="C8836" s="9"/>
      <c r="D8836" s="9"/>
      <c r="E8836" s="11"/>
      <c r="F8836" s="11"/>
      <c r="G8836" s="11"/>
      <c r="H8836" s="11"/>
      <c r="I8836" s="11"/>
      <c r="J8836" s="11"/>
      <c r="K8836" s="11"/>
      <c r="L8836" s="11"/>
      <c r="M8836" s="12"/>
      <c r="N8836" s="12"/>
      <c r="O8836" s="11"/>
      <c r="P8836" s="11"/>
    </row>
    <row r="8837" spans="1:16" ht="12.75" x14ac:dyDescent="0.35">
      <c r="A8837" s="11"/>
      <c r="B8837" s="9"/>
      <c r="C8837" s="9"/>
      <c r="D8837" s="9"/>
      <c r="E8837" s="11"/>
      <c r="F8837" s="11"/>
      <c r="G8837" s="11"/>
      <c r="H8837" s="11"/>
      <c r="I8837" s="11"/>
      <c r="J8837" s="11"/>
      <c r="K8837" s="11"/>
      <c r="L8837" s="11"/>
      <c r="M8837" s="12"/>
      <c r="N8837" s="12"/>
      <c r="O8837" s="11"/>
      <c r="P8837" s="11"/>
    </row>
    <row r="8838" spans="1:16" ht="12.75" x14ac:dyDescent="0.35">
      <c r="A8838" s="11"/>
      <c r="B8838" s="9"/>
      <c r="C8838" s="9"/>
      <c r="D8838" s="9"/>
      <c r="E8838" s="11"/>
      <c r="F8838" s="11"/>
      <c r="G8838" s="11"/>
      <c r="H8838" s="11"/>
      <c r="I8838" s="11"/>
      <c r="J8838" s="11"/>
      <c r="K8838" s="11"/>
      <c r="L8838" s="11"/>
      <c r="M8838" s="12"/>
      <c r="N8838" s="12"/>
      <c r="O8838" s="11"/>
      <c r="P8838" s="11"/>
    </row>
    <row r="8839" spans="1:16" ht="12.75" x14ac:dyDescent="0.35">
      <c r="A8839" s="11"/>
      <c r="B8839" s="9"/>
      <c r="C8839" s="9"/>
      <c r="D8839" s="9"/>
      <c r="E8839" s="11"/>
      <c r="F8839" s="11"/>
      <c r="G8839" s="11"/>
      <c r="H8839" s="11"/>
      <c r="I8839" s="11"/>
      <c r="J8839" s="11"/>
      <c r="K8839" s="11"/>
      <c r="L8839" s="11"/>
      <c r="M8839" s="12"/>
      <c r="N8839" s="12"/>
      <c r="O8839" s="11"/>
      <c r="P8839" s="11"/>
    </row>
    <row r="8840" spans="1:16" ht="12.75" x14ac:dyDescent="0.35">
      <c r="A8840" s="11"/>
      <c r="B8840" s="9"/>
      <c r="C8840" s="9"/>
      <c r="D8840" s="9"/>
      <c r="E8840" s="11"/>
      <c r="F8840" s="11"/>
      <c r="G8840" s="11"/>
      <c r="H8840" s="11"/>
      <c r="I8840" s="11"/>
      <c r="J8840" s="11"/>
      <c r="K8840" s="11"/>
      <c r="L8840" s="11"/>
      <c r="M8840" s="12"/>
      <c r="N8840" s="12"/>
      <c r="O8840" s="11"/>
      <c r="P8840" s="11"/>
    </row>
    <row r="8841" spans="1:16" ht="12.75" x14ac:dyDescent="0.35">
      <c r="A8841" s="11"/>
      <c r="B8841" s="9"/>
      <c r="C8841" s="9"/>
      <c r="D8841" s="9"/>
      <c r="E8841" s="11"/>
      <c r="F8841" s="11"/>
      <c r="G8841" s="11"/>
      <c r="H8841" s="11"/>
      <c r="I8841" s="11"/>
      <c r="J8841" s="11"/>
      <c r="K8841" s="11"/>
      <c r="L8841" s="11"/>
      <c r="M8841" s="12"/>
      <c r="N8841" s="12"/>
      <c r="O8841" s="11"/>
      <c r="P8841" s="11"/>
    </row>
    <row r="8842" spans="1:16" ht="12.75" x14ac:dyDescent="0.35">
      <c r="A8842" s="11"/>
      <c r="B8842" s="9"/>
      <c r="C8842" s="9"/>
      <c r="D8842" s="9"/>
      <c r="E8842" s="11"/>
      <c r="F8842" s="11"/>
      <c r="G8842" s="11"/>
      <c r="H8842" s="11"/>
      <c r="I8842" s="11"/>
      <c r="J8842" s="11"/>
      <c r="K8842" s="11"/>
      <c r="L8842" s="11"/>
      <c r="M8842" s="12"/>
      <c r="N8842" s="12"/>
      <c r="O8842" s="11"/>
      <c r="P8842" s="11"/>
    </row>
    <row r="8843" spans="1:16" ht="12.75" x14ac:dyDescent="0.35">
      <c r="A8843" s="11"/>
      <c r="B8843" s="9"/>
      <c r="C8843" s="9"/>
      <c r="D8843" s="9"/>
      <c r="E8843" s="11"/>
      <c r="F8843" s="11"/>
      <c r="G8843" s="11"/>
      <c r="H8843" s="11"/>
      <c r="I8843" s="11"/>
      <c r="J8843" s="11"/>
      <c r="K8843" s="11"/>
      <c r="L8843" s="11"/>
      <c r="M8843" s="12"/>
      <c r="N8843" s="12"/>
      <c r="O8843" s="11"/>
      <c r="P8843" s="11"/>
    </row>
    <row r="8844" spans="1:16" ht="12.75" x14ac:dyDescent="0.35">
      <c r="A8844" s="11"/>
      <c r="B8844" s="9"/>
      <c r="C8844" s="9"/>
      <c r="D8844" s="9"/>
      <c r="E8844" s="11"/>
      <c r="F8844" s="11"/>
      <c r="G8844" s="11"/>
      <c r="H8844" s="11"/>
      <c r="I8844" s="11"/>
      <c r="J8844" s="11"/>
      <c r="K8844" s="11"/>
      <c r="L8844" s="11"/>
      <c r="M8844" s="12"/>
      <c r="N8844" s="12"/>
      <c r="O8844" s="11"/>
      <c r="P8844" s="11"/>
    </row>
    <row r="8845" spans="1:16" ht="12.75" x14ac:dyDescent="0.35">
      <c r="A8845" s="11"/>
      <c r="B8845" s="9"/>
      <c r="C8845" s="9"/>
      <c r="D8845" s="9"/>
      <c r="E8845" s="11"/>
      <c r="F8845" s="11"/>
      <c r="G8845" s="11"/>
      <c r="H8845" s="11"/>
      <c r="I8845" s="11"/>
      <c r="J8845" s="11"/>
      <c r="K8845" s="11"/>
      <c r="L8845" s="11"/>
      <c r="M8845" s="12"/>
      <c r="N8845" s="12"/>
      <c r="O8845" s="11"/>
      <c r="P8845" s="11"/>
    </row>
    <row r="8846" spans="1:16" ht="12.75" x14ac:dyDescent="0.35">
      <c r="A8846" s="11"/>
      <c r="B8846" s="9"/>
      <c r="C8846" s="9"/>
      <c r="D8846" s="9"/>
      <c r="E8846" s="11"/>
      <c r="F8846" s="11"/>
      <c r="G8846" s="11"/>
      <c r="H8846" s="11"/>
      <c r="I8846" s="11"/>
      <c r="J8846" s="11"/>
      <c r="K8846" s="11"/>
      <c r="L8846" s="11"/>
      <c r="M8846" s="12"/>
      <c r="N8846" s="12"/>
      <c r="O8846" s="11"/>
      <c r="P8846" s="11"/>
    </row>
    <row r="8847" spans="1:16" ht="12.75" x14ac:dyDescent="0.35">
      <c r="A8847" s="11"/>
      <c r="B8847" s="9"/>
      <c r="C8847" s="9"/>
      <c r="D8847" s="9"/>
      <c r="E8847" s="11"/>
      <c r="F8847" s="11"/>
      <c r="G8847" s="11"/>
      <c r="H8847" s="11"/>
      <c r="I8847" s="11"/>
      <c r="J8847" s="11"/>
      <c r="K8847" s="11"/>
      <c r="L8847" s="11"/>
      <c r="M8847" s="12"/>
      <c r="N8847" s="12"/>
      <c r="O8847" s="11"/>
      <c r="P8847" s="11"/>
    </row>
    <row r="8848" spans="1:16" ht="12.75" x14ac:dyDescent="0.35">
      <c r="A8848" s="11"/>
      <c r="B8848" s="9"/>
      <c r="C8848" s="9"/>
      <c r="D8848" s="9"/>
      <c r="E8848" s="11"/>
      <c r="F8848" s="11"/>
      <c r="G8848" s="11"/>
      <c r="H8848" s="11"/>
      <c r="I8848" s="11"/>
      <c r="J8848" s="11"/>
      <c r="K8848" s="11"/>
      <c r="L8848" s="11"/>
      <c r="M8848" s="12"/>
      <c r="N8848" s="12"/>
      <c r="O8848" s="11"/>
      <c r="P8848" s="11"/>
    </row>
    <row r="8849" spans="1:16" ht="12.75" x14ac:dyDescent="0.35">
      <c r="A8849" s="11"/>
      <c r="B8849" s="9"/>
      <c r="C8849" s="9"/>
      <c r="D8849" s="9"/>
      <c r="E8849" s="11"/>
      <c r="F8849" s="11"/>
      <c r="G8849" s="11"/>
      <c r="H8849" s="11"/>
      <c r="I8849" s="11"/>
      <c r="J8849" s="11"/>
      <c r="K8849" s="11"/>
      <c r="L8849" s="11"/>
      <c r="M8849" s="12"/>
      <c r="N8849" s="12"/>
      <c r="O8849" s="11"/>
      <c r="P8849" s="11"/>
    </row>
    <row r="8850" spans="1:16" ht="12.75" x14ac:dyDescent="0.35">
      <c r="A8850" s="11"/>
      <c r="B8850" s="9"/>
      <c r="C8850" s="9"/>
      <c r="D8850" s="9"/>
      <c r="E8850" s="11"/>
      <c r="F8850" s="11"/>
      <c r="G8850" s="11"/>
      <c r="H8850" s="11"/>
      <c r="I8850" s="11"/>
      <c r="J8850" s="11"/>
      <c r="K8850" s="11"/>
      <c r="L8850" s="11"/>
      <c r="M8850" s="12"/>
      <c r="N8850" s="12"/>
      <c r="O8850" s="11"/>
      <c r="P8850" s="11"/>
    </row>
    <row r="8851" spans="1:16" ht="12.75" x14ac:dyDescent="0.35">
      <c r="A8851" s="11"/>
      <c r="B8851" s="9"/>
      <c r="C8851" s="9"/>
      <c r="D8851" s="9"/>
      <c r="E8851" s="11"/>
      <c r="F8851" s="11"/>
      <c r="G8851" s="11"/>
      <c r="H8851" s="11"/>
      <c r="I8851" s="11"/>
      <c r="J8851" s="11"/>
      <c r="K8851" s="11"/>
      <c r="L8851" s="11"/>
      <c r="M8851" s="12"/>
      <c r="N8851" s="12"/>
      <c r="O8851" s="11"/>
      <c r="P8851" s="11"/>
    </row>
    <row r="8852" spans="1:16" ht="12.75" x14ac:dyDescent="0.35">
      <c r="A8852" s="11"/>
      <c r="B8852" s="9"/>
      <c r="C8852" s="9"/>
      <c r="D8852" s="9"/>
      <c r="E8852" s="11"/>
      <c r="F8852" s="11"/>
      <c r="G8852" s="11"/>
      <c r="H8852" s="11"/>
      <c r="I8852" s="11"/>
      <c r="J8852" s="11"/>
      <c r="K8852" s="11"/>
      <c r="L8852" s="11"/>
      <c r="M8852" s="12"/>
      <c r="N8852" s="12"/>
      <c r="O8852" s="11"/>
      <c r="P8852" s="11"/>
    </row>
    <row r="8853" spans="1:16" ht="12.75" x14ac:dyDescent="0.35">
      <c r="A8853" s="11"/>
      <c r="B8853" s="9"/>
      <c r="C8853" s="9"/>
      <c r="D8853" s="9"/>
      <c r="E8853" s="11"/>
      <c r="F8853" s="11"/>
      <c r="G8853" s="11"/>
      <c r="H8853" s="11"/>
      <c r="I8853" s="11"/>
      <c r="J8853" s="11"/>
      <c r="K8853" s="11"/>
      <c r="L8853" s="11"/>
      <c r="M8853" s="12"/>
      <c r="N8853" s="12"/>
      <c r="O8853" s="11"/>
      <c r="P8853" s="11"/>
    </row>
    <row r="8854" spans="1:16" ht="12.75" x14ac:dyDescent="0.35">
      <c r="A8854" s="11"/>
      <c r="B8854" s="9"/>
      <c r="C8854" s="9"/>
      <c r="D8854" s="9"/>
      <c r="E8854" s="11"/>
      <c r="F8854" s="11"/>
      <c r="G8854" s="11"/>
      <c r="H8854" s="11"/>
      <c r="I8854" s="11"/>
      <c r="J8854" s="11"/>
      <c r="K8854" s="11"/>
      <c r="L8854" s="11"/>
      <c r="M8854" s="12"/>
      <c r="N8854" s="12"/>
      <c r="O8854" s="11"/>
      <c r="P8854" s="11"/>
    </row>
    <row r="8855" spans="1:16" ht="12.75" x14ac:dyDescent="0.35">
      <c r="A8855" s="11"/>
      <c r="B8855" s="9"/>
      <c r="C8855" s="9"/>
      <c r="D8855" s="9"/>
      <c r="E8855" s="11"/>
      <c r="F8855" s="11"/>
      <c r="G8855" s="11"/>
      <c r="H8855" s="11"/>
      <c r="I8855" s="11"/>
      <c r="J8855" s="11"/>
      <c r="K8855" s="11"/>
      <c r="L8855" s="11"/>
      <c r="M8855" s="12"/>
      <c r="N8855" s="12"/>
      <c r="O8855" s="11"/>
      <c r="P8855" s="11"/>
    </row>
    <row r="8856" spans="1:16" ht="12.75" x14ac:dyDescent="0.35">
      <c r="A8856" s="11"/>
      <c r="B8856" s="9"/>
      <c r="C8856" s="9"/>
      <c r="D8856" s="9"/>
      <c r="E8856" s="11"/>
      <c r="F8856" s="11"/>
      <c r="G8856" s="11"/>
      <c r="H8856" s="11"/>
      <c r="I8856" s="11"/>
      <c r="J8856" s="11"/>
      <c r="K8856" s="11"/>
      <c r="L8856" s="11"/>
      <c r="M8856" s="12"/>
      <c r="N8856" s="12"/>
      <c r="O8856" s="11"/>
      <c r="P8856" s="11"/>
    </row>
    <row r="8857" spans="1:16" ht="12.75" x14ac:dyDescent="0.35">
      <c r="A8857" s="11"/>
      <c r="B8857" s="9"/>
      <c r="C8857" s="9"/>
      <c r="D8857" s="9"/>
      <c r="E8857" s="11"/>
      <c r="F8857" s="11"/>
      <c r="G8857" s="11"/>
      <c r="H8857" s="11"/>
      <c r="I8857" s="11"/>
      <c r="J8857" s="11"/>
      <c r="K8857" s="11"/>
      <c r="L8857" s="11"/>
      <c r="M8857" s="12"/>
      <c r="N8857" s="12"/>
      <c r="O8857" s="11"/>
      <c r="P8857" s="11"/>
    </row>
    <row r="8858" spans="1:16" ht="12.75" x14ac:dyDescent="0.35">
      <c r="A8858" s="11"/>
      <c r="B8858" s="9"/>
      <c r="C8858" s="9"/>
      <c r="D8858" s="9"/>
      <c r="E8858" s="11"/>
      <c r="F8858" s="11"/>
      <c r="G8858" s="11"/>
      <c r="H8858" s="11"/>
      <c r="I8858" s="11"/>
      <c r="J8858" s="11"/>
      <c r="K8858" s="11"/>
      <c r="L8858" s="11"/>
      <c r="M8858" s="12"/>
      <c r="N8858" s="12"/>
      <c r="O8858" s="11"/>
      <c r="P8858" s="11"/>
    </row>
    <row r="8859" spans="1:16" ht="12.75" x14ac:dyDescent="0.35">
      <c r="A8859" s="11"/>
      <c r="B8859" s="9"/>
      <c r="C8859" s="9"/>
      <c r="D8859" s="9"/>
      <c r="E8859" s="11"/>
      <c r="F8859" s="11"/>
      <c r="G8859" s="11"/>
      <c r="H8859" s="11"/>
      <c r="I8859" s="11"/>
      <c r="J8859" s="11"/>
      <c r="K8859" s="11"/>
      <c r="L8859" s="11"/>
      <c r="M8859" s="12"/>
      <c r="N8859" s="12"/>
      <c r="O8859" s="11"/>
      <c r="P8859" s="11"/>
    </row>
    <row r="8860" spans="1:16" ht="12.75" x14ac:dyDescent="0.35">
      <c r="A8860" s="11"/>
      <c r="B8860" s="9"/>
      <c r="C8860" s="9"/>
      <c r="D8860" s="9"/>
      <c r="E8860" s="11"/>
      <c r="F8860" s="11"/>
      <c r="G8860" s="11"/>
      <c r="H8860" s="11"/>
      <c r="I8860" s="11"/>
      <c r="J8860" s="11"/>
      <c r="K8860" s="11"/>
      <c r="L8860" s="11"/>
      <c r="M8860" s="12"/>
      <c r="N8860" s="12"/>
      <c r="O8860" s="11"/>
      <c r="P8860" s="11"/>
    </row>
    <row r="8861" spans="1:16" ht="12.75" x14ac:dyDescent="0.35">
      <c r="A8861" s="11"/>
      <c r="B8861" s="9"/>
      <c r="C8861" s="9"/>
      <c r="D8861" s="9"/>
      <c r="E8861" s="11"/>
      <c r="F8861" s="11"/>
      <c r="G8861" s="11"/>
      <c r="H8861" s="11"/>
      <c r="I8861" s="11"/>
      <c r="J8861" s="11"/>
      <c r="K8861" s="11"/>
      <c r="L8861" s="11"/>
      <c r="M8861" s="12"/>
      <c r="N8861" s="12"/>
      <c r="O8861" s="11"/>
      <c r="P8861" s="11"/>
    </row>
    <row r="8862" spans="1:16" ht="12.75" x14ac:dyDescent="0.35">
      <c r="A8862" s="11"/>
      <c r="B8862" s="9"/>
      <c r="C8862" s="9"/>
      <c r="D8862" s="9"/>
      <c r="E8862" s="11"/>
      <c r="F8862" s="11"/>
      <c r="G8862" s="11"/>
      <c r="H8862" s="11"/>
      <c r="I8862" s="11"/>
      <c r="J8862" s="11"/>
      <c r="K8862" s="11"/>
      <c r="L8862" s="11"/>
      <c r="M8862" s="12"/>
      <c r="N8862" s="12"/>
      <c r="O8862" s="11"/>
      <c r="P8862" s="11"/>
    </row>
    <row r="8863" spans="1:16" ht="12.75" x14ac:dyDescent="0.35">
      <c r="A8863" s="11"/>
      <c r="B8863" s="9"/>
      <c r="C8863" s="9"/>
      <c r="D8863" s="9"/>
      <c r="E8863" s="11"/>
      <c r="F8863" s="11"/>
      <c r="G8863" s="11"/>
      <c r="H8863" s="11"/>
      <c r="I8863" s="11"/>
      <c r="J8863" s="11"/>
      <c r="K8863" s="11"/>
      <c r="L8863" s="11"/>
      <c r="M8863" s="12"/>
      <c r="N8863" s="12"/>
      <c r="O8863" s="11"/>
      <c r="P8863" s="11"/>
    </row>
    <row r="8864" spans="1:16" ht="12.75" x14ac:dyDescent="0.35">
      <c r="A8864" s="11"/>
      <c r="B8864" s="9"/>
      <c r="C8864" s="9"/>
      <c r="D8864" s="9"/>
      <c r="E8864" s="11"/>
      <c r="F8864" s="11"/>
      <c r="G8864" s="11"/>
      <c r="H8864" s="11"/>
      <c r="I8864" s="11"/>
      <c r="J8864" s="11"/>
      <c r="K8864" s="11"/>
      <c r="L8864" s="11"/>
      <c r="M8864" s="12"/>
      <c r="N8864" s="12"/>
      <c r="O8864" s="11"/>
      <c r="P8864" s="11"/>
    </row>
    <row r="8865" spans="1:16" ht="12.75" x14ac:dyDescent="0.35">
      <c r="A8865" s="11"/>
      <c r="B8865" s="9"/>
      <c r="C8865" s="9"/>
      <c r="D8865" s="9"/>
      <c r="E8865" s="11"/>
      <c r="F8865" s="11"/>
      <c r="G8865" s="11"/>
      <c r="H8865" s="11"/>
      <c r="I8865" s="11"/>
      <c r="J8865" s="11"/>
      <c r="K8865" s="11"/>
      <c r="L8865" s="11"/>
      <c r="M8865" s="12"/>
      <c r="N8865" s="12"/>
      <c r="O8865" s="11"/>
      <c r="P8865" s="11"/>
    </row>
    <row r="8866" spans="1:16" ht="12.75" x14ac:dyDescent="0.35">
      <c r="A8866" s="11"/>
      <c r="B8866" s="9"/>
      <c r="C8866" s="9"/>
      <c r="D8866" s="9"/>
      <c r="E8866" s="11"/>
      <c r="F8866" s="11"/>
      <c r="G8866" s="11"/>
      <c r="H8866" s="11"/>
      <c r="I8866" s="11"/>
      <c r="J8866" s="11"/>
      <c r="K8866" s="11"/>
      <c r="L8866" s="11"/>
      <c r="M8866" s="12"/>
      <c r="N8866" s="12"/>
      <c r="O8866" s="11"/>
      <c r="P8866" s="11"/>
    </row>
    <row r="8867" spans="1:16" ht="12.75" x14ac:dyDescent="0.35">
      <c r="A8867" s="11"/>
      <c r="B8867" s="9"/>
      <c r="C8867" s="9"/>
      <c r="D8867" s="9"/>
      <c r="E8867" s="11"/>
      <c r="F8867" s="11"/>
      <c r="G8867" s="11"/>
      <c r="H8867" s="11"/>
      <c r="I8867" s="11"/>
      <c r="J8867" s="11"/>
      <c r="K8867" s="11"/>
      <c r="L8867" s="11"/>
      <c r="M8867" s="12"/>
      <c r="N8867" s="12"/>
      <c r="O8867" s="11"/>
      <c r="P8867" s="11"/>
    </row>
    <row r="8868" spans="1:16" ht="12.75" x14ac:dyDescent="0.35">
      <c r="A8868" s="11"/>
      <c r="B8868" s="9"/>
      <c r="C8868" s="9"/>
      <c r="D8868" s="9"/>
      <c r="E8868" s="11"/>
      <c r="F8868" s="11"/>
      <c r="G8868" s="11"/>
      <c r="H8868" s="11"/>
      <c r="I8868" s="11"/>
      <c r="J8868" s="11"/>
      <c r="K8868" s="11"/>
      <c r="L8868" s="11"/>
      <c r="M8868" s="12"/>
      <c r="N8868" s="12"/>
      <c r="O8868" s="11"/>
      <c r="P8868" s="11"/>
    </row>
    <row r="8869" spans="1:16" ht="12.75" x14ac:dyDescent="0.35">
      <c r="A8869" s="11"/>
      <c r="B8869" s="9"/>
      <c r="C8869" s="9"/>
      <c r="D8869" s="9"/>
      <c r="E8869" s="11"/>
      <c r="F8869" s="11"/>
      <c r="G8869" s="11"/>
      <c r="H8869" s="11"/>
      <c r="I8869" s="11"/>
      <c r="J8869" s="11"/>
      <c r="K8869" s="11"/>
      <c r="L8869" s="11"/>
      <c r="M8869" s="12"/>
      <c r="N8869" s="12"/>
      <c r="O8869" s="11"/>
      <c r="P8869" s="11"/>
    </row>
    <row r="8870" spans="1:16" ht="12.75" x14ac:dyDescent="0.35">
      <c r="A8870" s="11"/>
      <c r="B8870" s="9"/>
      <c r="C8870" s="9"/>
      <c r="D8870" s="9"/>
      <c r="E8870" s="11"/>
      <c r="F8870" s="11"/>
      <c r="G8870" s="11"/>
      <c r="H8870" s="11"/>
      <c r="I8870" s="11"/>
      <c r="J8870" s="11"/>
      <c r="K8870" s="11"/>
      <c r="L8870" s="11"/>
      <c r="M8870" s="12"/>
      <c r="N8870" s="12"/>
      <c r="O8870" s="11"/>
      <c r="P8870" s="11"/>
    </row>
    <row r="8871" spans="1:16" ht="12.75" x14ac:dyDescent="0.35">
      <c r="A8871" s="11"/>
      <c r="B8871" s="9"/>
      <c r="C8871" s="9"/>
      <c r="D8871" s="9"/>
      <c r="E8871" s="11"/>
      <c r="F8871" s="11"/>
      <c r="G8871" s="11"/>
      <c r="H8871" s="11"/>
      <c r="I8871" s="11"/>
      <c r="J8871" s="11"/>
      <c r="K8871" s="11"/>
      <c r="L8871" s="11"/>
      <c r="M8871" s="12"/>
      <c r="N8871" s="12"/>
      <c r="O8871" s="11"/>
      <c r="P8871" s="11"/>
    </row>
    <row r="8872" spans="1:16" ht="12.75" x14ac:dyDescent="0.35">
      <c r="A8872" s="11"/>
      <c r="B8872" s="9"/>
      <c r="C8872" s="9"/>
      <c r="D8872" s="9"/>
      <c r="E8872" s="11"/>
      <c r="F8872" s="11"/>
      <c r="G8872" s="11"/>
      <c r="H8872" s="11"/>
      <c r="I8872" s="11"/>
      <c r="J8872" s="11"/>
      <c r="K8872" s="11"/>
      <c r="L8872" s="11"/>
      <c r="M8872" s="12"/>
      <c r="N8872" s="12"/>
      <c r="O8872" s="11"/>
      <c r="P8872" s="11"/>
    </row>
    <row r="8873" spans="1:16" ht="12.75" x14ac:dyDescent="0.35">
      <c r="A8873" s="11"/>
      <c r="B8873" s="9"/>
      <c r="C8873" s="9"/>
      <c r="D8873" s="9"/>
      <c r="E8873" s="11"/>
      <c r="F8873" s="11"/>
      <c r="G8873" s="11"/>
      <c r="H8873" s="11"/>
      <c r="I8873" s="11"/>
      <c r="J8873" s="11"/>
      <c r="K8873" s="11"/>
      <c r="L8873" s="11"/>
      <c r="M8873" s="12"/>
      <c r="N8873" s="12"/>
      <c r="O8873" s="11"/>
      <c r="P8873" s="11"/>
    </row>
    <row r="8874" spans="1:16" ht="12.75" x14ac:dyDescent="0.35">
      <c r="A8874" s="11"/>
      <c r="B8874" s="9"/>
      <c r="C8874" s="9"/>
      <c r="D8874" s="9"/>
      <c r="E8874" s="11"/>
      <c r="F8874" s="11"/>
      <c r="G8874" s="11"/>
      <c r="H8874" s="11"/>
      <c r="I8874" s="11"/>
      <c r="J8874" s="11"/>
      <c r="K8874" s="11"/>
      <c r="L8874" s="11"/>
      <c r="M8874" s="12"/>
      <c r="N8874" s="12"/>
      <c r="O8874" s="11"/>
      <c r="P8874" s="11"/>
    </row>
    <row r="8875" spans="1:16" ht="12.75" x14ac:dyDescent="0.35">
      <c r="A8875" s="11"/>
      <c r="B8875" s="9"/>
      <c r="C8875" s="9"/>
      <c r="D8875" s="9"/>
      <c r="E8875" s="11"/>
      <c r="F8875" s="11"/>
      <c r="G8875" s="11"/>
      <c r="H8875" s="11"/>
      <c r="I8875" s="11"/>
      <c r="J8875" s="11"/>
      <c r="K8875" s="11"/>
      <c r="L8875" s="11"/>
      <c r="M8875" s="12"/>
      <c r="N8875" s="12"/>
      <c r="O8875" s="11"/>
      <c r="P8875" s="11"/>
    </row>
    <row r="8876" spans="1:16" ht="12.75" x14ac:dyDescent="0.35">
      <c r="A8876" s="11"/>
      <c r="B8876" s="9"/>
      <c r="C8876" s="9"/>
      <c r="D8876" s="9"/>
      <c r="E8876" s="11"/>
      <c r="F8876" s="11"/>
      <c r="G8876" s="11"/>
      <c r="H8876" s="11"/>
      <c r="I8876" s="11"/>
      <c r="J8876" s="11"/>
      <c r="K8876" s="11"/>
      <c r="L8876" s="11"/>
      <c r="M8876" s="12"/>
      <c r="N8876" s="12"/>
      <c r="O8876" s="11"/>
      <c r="P8876" s="11"/>
    </row>
    <row r="8877" spans="1:16" ht="12.75" x14ac:dyDescent="0.35">
      <c r="A8877" s="11"/>
      <c r="B8877" s="9"/>
      <c r="C8877" s="9"/>
      <c r="D8877" s="9"/>
      <c r="E8877" s="11"/>
      <c r="F8877" s="11"/>
      <c r="G8877" s="11"/>
      <c r="H8877" s="11"/>
      <c r="I8877" s="11"/>
      <c r="J8877" s="11"/>
      <c r="K8877" s="11"/>
      <c r="L8877" s="11"/>
      <c r="M8877" s="12"/>
      <c r="N8877" s="12"/>
      <c r="O8877" s="11"/>
      <c r="P8877" s="11"/>
    </row>
    <row r="8878" spans="1:16" ht="12.75" x14ac:dyDescent="0.35">
      <c r="A8878" s="11"/>
      <c r="B8878" s="9"/>
      <c r="C8878" s="9"/>
      <c r="D8878" s="9"/>
      <c r="E8878" s="11"/>
      <c r="F8878" s="11"/>
      <c r="G8878" s="11"/>
      <c r="H8878" s="11"/>
      <c r="I8878" s="11"/>
      <c r="J8878" s="11"/>
      <c r="K8878" s="11"/>
      <c r="L8878" s="11"/>
      <c r="M8878" s="12"/>
      <c r="N8878" s="12"/>
      <c r="O8878" s="11"/>
      <c r="P8878" s="11"/>
    </row>
    <row r="8879" spans="1:16" ht="12.75" x14ac:dyDescent="0.35">
      <c r="A8879" s="11"/>
      <c r="B8879" s="9"/>
      <c r="C8879" s="9"/>
      <c r="D8879" s="9"/>
      <c r="E8879" s="11"/>
      <c r="F8879" s="11"/>
      <c r="G8879" s="11"/>
      <c r="H8879" s="11"/>
      <c r="I8879" s="11"/>
      <c r="J8879" s="11"/>
      <c r="K8879" s="11"/>
      <c r="L8879" s="11"/>
      <c r="M8879" s="12"/>
      <c r="N8879" s="12"/>
      <c r="O8879" s="11"/>
      <c r="P8879" s="11"/>
    </row>
    <row r="8880" spans="1:16" ht="12.75" x14ac:dyDescent="0.35">
      <c r="A8880" s="11"/>
      <c r="B8880" s="9"/>
      <c r="C8880" s="9"/>
      <c r="D8880" s="9"/>
      <c r="E8880" s="11"/>
      <c r="F8880" s="11"/>
      <c r="G8880" s="11"/>
      <c r="H8880" s="11"/>
      <c r="I8880" s="11"/>
      <c r="J8880" s="11"/>
      <c r="K8880" s="11"/>
      <c r="L8880" s="11"/>
      <c r="M8880" s="12"/>
      <c r="N8880" s="12"/>
      <c r="O8880" s="11"/>
      <c r="P8880" s="11"/>
    </row>
    <row r="8881" spans="1:16" ht="12.75" x14ac:dyDescent="0.35">
      <c r="A8881" s="11"/>
      <c r="B8881" s="9"/>
      <c r="C8881" s="9"/>
      <c r="D8881" s="9"/>
      <c r="E8881" s="11"/>
      <c r="F8881" s="11"/>
      <c r="G8881" s="11"/>
      <c r="H8881" s="11"/>
      <c r="I8881" s="11"/>
      <c r="J8881" s="11"/>
      <c r="K8881" s="11"/>
      <c r="L8881" s="11"/>
      <c r="M8881" s="12"/>
      <c r="N8881" s="12"/>
      <c r="O8881" s="11"/>
      <c r="P8881" s="11"/>
    </row>
    <row r="8882" spans="1:16" ht="12.75" x14ac:dyDescent="0.35">
      <c r="A8882" s="11"/>
      <c r="B8882" s="9"/>
      <c r="C8882" s="9"/>
      <c r="D8882" s="9"/>
      <c r="E8882" s="11"/>
      <c r="F8882" s="11"/>
      <c r="G8882" s="11"/>
      <c r="H8882" s="11"/>
      <c r="I8882" s="11"/>
      <c r="J8882" s="11"/>
      <c r="K8882" s="11"/>
      <c r="L8882" s="11"/>
      <c r="M8882" s="12"/>
      <c r="N8882" s="12"/>
      <c r="O8882" s="11"/>
      <c r="P8882" s="11"/>
    </row>
    <row r="8883" spans="1:16" ht="12.75" x14ac:dyDescent="0.35">
      <c r="A8883" s="11"/>
      <c r="B8883" s="9"/>
      <c r="C8883" s="9"/>
      <c r="D8883" s="9"/>
      <c r="E8883" s="11"/>
      <c r="F8883" s="11"/>
      <c r="G8883" s="11"/>
      <c r="H8883" s="11"/>
      <c r="I8883" s="11"/>
      <c r="J8883" s="11"/>
      <c r="K8883" s="11"/>
      <c r="L8883" s="11"/>
      <c r="M8883" s="12"/>
      <c r="N8883" s="12"/>
      <c r="O8883" s="11"/>
      <c r="P8883" s="11"/>
    </row>
    <row r="8884" spans="1:16" ht="12.75" x14ac:dyDescent="0.35">
      <c r="A8884" s="11"/>
      <c r="B8884" s="9"/>
      <c r="C8884" s="9"/>
      <c r="D8884" s="9"/>
      <c r="E8884" s="11"/>
      <c r="F8884" s="11"/>
      <c r="G8884" s="11"/>
      <c r="H8884" s="11"/>
      <c r="I8884" s="11"/>
      <c r="J8884" s="11"/>
      <c r="K8884" s="11"/>
      <c r="L8884" s="11"/>
      <c r="M8884" s="12"/>
      <c r="N8884" s="12"/>
      <c r="O8884" s="11"/>
      <c r="P8884" s="11"/>
    </row>
    <row r="8885" spans="1:16" ht="12.75" x14ac:dyDescent="0.35">
      <c r="A8885" s="11"/>
      <c r="B8885" s="9"/>
      <c r="C8885" s="9"/>
      <c r="D8885" s="9"/>
      <c r="E8885" s="11"/>
      <c r="F8885" s="11"/>
      <c r="G8885" s="11"/>
      <c r="H8885" s="11"/>
      <c r="I8885" s="11"/>
      <c r="J8885" s="11"/>
      <c r="K8885" s="11"/>
      <c r="L8885" s="11"/>
      <c r="M8885" s="12"/>
      <c r="N8885" s="12"/>
      <c r="O8885" s="11"/>
      <c r="P8885" s="11"/>
    </row>
    <row r="8886" spans="1:16" ht="12.75" x14ac:dyDescent="0.35">
      <c r="A8886" s="11"/>
      <c r="B8886" s="9"/>
      <c r="C8886" s="9"/>
      <c r="D8886" s="9"/>
      <c r="E8886" s="11"/>
      <c r="F8886" s="11"/>
      <c r="G8886" s="11"/>
      <c r="H8886" s="11"/>
      <c r="I8886" s="11"/>
      <c r="J8886" s="11"/>
      <c r="K8886" s="11"/>
      <c r="L8886" s="11"/>
      <c r="M8886" s="12"/>
      <c r="N8886" s="12"/>
      <c r="O8886" s="11"/>
      <c r="P8886" s="11"/>
    </row>
    <row r="8887" spans="1:16" ht="12.75" x14ac:dyDescent="0.35">
      <c r="A8887" s="11"/>
      <c r="B8887" s="9"/>
      <c r="C8887" s="9"/>
      <c r="D8887" s="9"/>
      <c r="E8887" s="11"/>
      <c r="F8887" s="11"/>
      <c r="G8887" s="11"/>
      <c r="H8887" s="11"/>
      <c r="I8887" s="11"/>
      <c r="J8887" s="11"/>
      <c r="K8887" s="11"/>
      <c r="L8887" s="11"/>
      <c r="M8887" s="12"/>
      <c r="N8887" s="12"/>
      <c r="O8887" s="11"/>
      <c r="P8887" s="11"/>
    </row>
    <row r="8888" spans="1:16" ht="12.75" x14ac:dyDescent="0.35">
      <c r="A8888" s="11"/>
      <c r="B8888" s="9"/>
      <c r="C8888" s="9"/>
      <c r="D8888" s="9"/>
      <c r="E8888" s="11"/>
      <c r="F8888" s="11"/>
      <c r="G8888" s="11"/>
      <c r="H8888" s="11"/>
      <c r="I8888" s="11"/>
      <c r="J8888" s="11"/>
      <c r="K8888" s="11"/>
      <c r="L8888" s="11"/>
      <c r="M8888" s="12"/>
      <c r="N8888" s="12"/>
      <c r="O8888" s="11"/>
      <c r="P8888" s="11"/>
    </row>
    <row r="8889" spans="1:16" ht="12.75" x14ac:dyDescent="0.35">
      <c r="A8889" s="11"/>
      <c r="B8889" s="9"/>
      <c r="C8889" s="9"/>
      <c r="D8889" s="9"/>
      <c r="E8889" s="11"/>
      <c r="F8889" s="11"/>
      <c r="G8889" s="11"/>
      <c r="H8889" s="11"/>
      <c r="I8889" s="11"/>
      <c r="J8889" s="11"/>
      <c r="K8889" s="11"/>
      <c r="L8889" s="11"/>
      <c r="M8889" s="12"/>
      <c r="N8889" s="12"/>
      <c r="O8889" s="11"/>
      <c r="P8889" s="11"/>
    </row>
    <row r="8890" spans="1:16" ht="12.75" x14ac:dyDescent="0.35">
      <c r="A8890" s="11"/>
      <c r="B8890" s="9"/>
      <c r="C8890" s="9"/>
      <c r="D8890" s="9"/>
      <c r="E8890" s="11"/>
      <c r="F8890" s="11"/>
      <c r="G8890" s="11"/>
      <c r="H8890" s="11"/>
      <c r="I8890" s="11"/>
      <c r="J8890" s="11"/>
      <c r="K8890" s="11"/>
      <c r="L8890" s="11"/>
      <c r="M8890" s="12"/>
      <c r="N8890" s="12"/>
      <c r="O8890" s="11"/>
      <c r="P8890" s="11"/>
    </row>
    <row r="8891" spans="1:16" ht="12.75" x14ac:dyDescent="0.35">
      <c r="A8891" s="11"/>
      <c r="B8891" s="9"/>
      <c r="C8891" s="9"/>
      <c r="D8891" s="9"/>
      <c r="E8891" s="11"/>
      <c r="F8891" s="11"/>
      <c r="G8891" s="11"/>
      <c r="H8891" s="11"/>
      <c r="I8891" s="11"/>
      <c r="J8891" s="11"/>
      <c r="K8891" s="11"/>
      <c r="L8891" s="11"/>
      <c r="M8891" s="12"/>
      <c r="N8891" s="12"/>
      <c r="O8891" s="11"/>
      <c r="P8891" s="11"/>
    </row>
    <row r="8892" spans="1:16" ht="12.75" x14ac:dyDescent="0.35">
      <c r="A8892" s="11"/>
      <c r="B8892" s="9"/>
      <c r="C8892" s="9"/>
      <c r="D8892" s="9"/>
      <c r="E8892" s="11"/>
      <c r="F8892" s="11"/>
      <c r="G8892" s="11"/>
      <c r="H8892" s="11"/>
      <c r="I8892" s="11"/>
      <c r="J8892" s="11"/>
      <c r="K8892" s="11"/>
      <c r="L8892" s="11"/>
      <c r="M8892" s="12"/>
      <c r="N8892" s="12"/>
      <c r="O8892" s="11"/>
      <c r="P8892" s="11"/>
    </row>
    <row r="8893" spans="1:16" ht="12.75" x14ac:dyDescent="0.35">
      <c r="A8893" s="11"/>
      <c r="B8893" s="9"/>
      <c r="C8893" s="9"/>
      <c r="D8893" s="9"/>
      <c r="E8893" s="11"/>
      <c r="F8893" s="11"/>
      <c r="G8893" s="11"/>
      <c r="H8893" s="11"/>
      <c r="I8893" s="11"/>
      <c r="J8893" s="11"/>
      <c r="K8893" s="11"/>
      <c r="L8893" s="11"/>
      <c r="M8893" s="12"/>
      <c r="N8893" s="12"/>
      <c r="O8893" s="11"/>
      <c r="P8893" s="11"/>
    </row>
    <row r="8894" spans="1:16" ht="12.75" x14ac:dyDescent="0.35">
      <c r="A8894" s="11"/>
      <c r="B8894" s="9"/>
      <c r="C8894" s="9"/>
      <c r="D8894" s="9"/>
      <c r="E8894" s="11"/>
      <c r="F8894" s="11"/>
      <c r="G8894" s="11"/>
      <c r="H8894" s="11"/>
      <c r="I8894" s="11"/>
      <c r="J8894" s="11"/>
      <c r="K8894" s="11"/>
      <c r="L8894" s="11"/>
      <c r="M8894" s="12"/>
      <c r="N8894" s="12"/>
      <c r="O8894" s="11"/>
      <c r="P8894" s="11"/>
    </row>
    <row r="8895" spans="1:16" ht="12.75" x14ac:dyDescent="0.35">
      <c r="A8895" s="11"/>
      <c r="B8895" s="9"/>
      <c r="C8895" s="9"/>
      <c r="D8895" s="9"/>
      <c r="E8895" s="11"/>
      <c r="F8895" s="11"/>
      <c r="G8895" s="11"/>
      <c r="H8895" s="11"/>
      <c r="I8895" s="11"/>
      <c r="J8895" s="11"/>
      <c r="K8895" s="11"/>
      <c r="L8895" s="11"/>
      <c r="M8895" s="12"/>
      <c r="N8895" s="12"/>
      <c r="O8895" s="11"/>
      <c r="P8895" s="11"/>
    </row>
    <row r="8896" spans="1:16" ht="12.75" x14ac:dyDescent="0.35">
      <c r="A8896" s="11"/>
      <c r="B8896" s="9"/>
      <c r="C8896" s="9"/>
      <c r="D8896" s="9"/>
      <c r="E8896" s="11"/>
      <c r="F8896" s="11"/>
      <c r="G8896" s="11"/>
      <c r="H8896" s="11"/>
      <c r="I8896" s="11"/>
      <c r="J8896" s="11"/>
      <c r="K8896" s="11"/>
      <c r="L8896" s="11"/>
      <c r="M8896" s="12"/>
      <c r="N8896" s="12"/>
      <c r="O8896" s="11"/>
      <c r="P8896" s="11"/>
    </row>
    <row r="8897" spans="1:16" ht="12.75" x14ac:dyDescent="0.35">
      <c r="A8897" s="11"/>
      <c r="B8897" s="9"/>
      <c r="C8897" s="9"/>
      <c r="D8897" s="9"/>
      <c r="E8897" s="11"/>
      <c r="F8897" s="11"/>
      <c r="G8897" s="11"/>
      <c r="H8897" s="11"/>
      <c r="I8897" s="11"/>
      <c r="J8897" s="11"/>
      <c r="K8897" s="11"/>
      <c r="L8897" s="11"/>
      <c r="M8897" s="12"/>
      <c r="N8897" s="12"/>
      <c r="O8897" s="11"/>
      <c r="P8897" s="11"/>
    </row>
    <row r="8898" spans="1:16" ht="12.75" x14ac:dyDescent="0.35">
      <c r="A8898" s="11"/>
      <c r="B8898" s="9"/>
      <c r="C8898" s="9"/>
      <c r="D8898" s="9"/>
      <c r="E8898" s="11"/>
      <c r="F8898" s="11"/>
      <c r="G8898" s="11"/>
      <c r="H8898" s="11"/>
      <c r="I8898" s="11"/>
      <c r="J8898" s="11"/>
      <c r="K8898" s="11"/>
      <c r="L8898" s="11"/>
      <c r="M8898" s="12"/>
      <c r="N8898" s="12"/>
      <c r="O8898" s="11"/>
      <c r="P8898" s="11"/>
    </row>
    <row r="8899" spans="1:16" ht="12.75" x14ac:dyDescent="0.35">
      <c r="A8899" s="11"/>
      <c r="B8899" s="9"/>
      <c r="C8899" s="9"/>
      <c r="D8899" s="9"/>
      <c r="E8899" s="11"/>
      <c r="F8899" s="11"/>
      <c r="G8899" s="11"/>
      <c r="H8899" s="11"/>
      <c r="I8899" s="11"/>
      <c r="J8899" s="11"/>
      <c r="K8899" s="11"/>
      <c r="L8899" s="11"/>
      <c r="M8899" s="12"/>
      <c r="N8899" s="12"/>
      <c r="O8899" s="11"/>
      <c r="P8899" s="11"/>
    </row>
    <row r="8900" spans="1:16" ht="12.75" x14ac:dyDescent="0.35">
      <c r="A8900" s="11"/>
      <c r="B8900" s="9"/>
      <c r="C8900" s="9"/>
      <c r="D8900" s="9"/>
      <c r="E8900" s="11"/>
      <c r="F8900" s="11"/>
      <c r="G8900" s="11"/>
      <c r="H8900" s="11"/>
      <c r="I8900" s="11"/>
      <c r="J8900" s="11"/>
      <c r="K8900" s="11"/>
      <c r="L8900" s="11"/>
      <c r="M8900" s="12"/>
      <c r="N8900" s="12"/>
      <c r="O8900" s="11"/>
      <c r="P8900" s="11"/>
    </row>
    <row r="8901" spans="1:16" ht="12.75" x14ac:dyDescent="0.35">
      <c r="A8901" s="11"/>
      <c r="B8901" s="9"/>
      <c r="C8901" s="9"/>
      <c r="D8901" s="9"/>
      <c r="E8901" s="11"/>
      <c r="F8901" s="11"/>
      <c r="G8901" s="11"/>
      <c r="H8901" s="11"/>
      <c r="I8901" s="11"/>
      <c r="J8901" s="11"/>
      <c r="K8901" s="11"/>
      <c r="L8901" s="11"/>
      <c r="M8901" s="12"/>
      <c r="N8901" s="12"/>
      <c r="O8901" s="11"/>
      <c r="P8901" s="11"/>
    </row>
    <row r="8902" spans="1:16" ht="12.75" x14ac:dyDescent="0.35">
      <c r="A8902" s="11"/>
      <c r="B8902" s="9"/>
      <c r="C8902" s="9"/>
      <c r="D8902" s="9"/>
      <c r="E8902" s="11"/>
      <c r="F8902" s="11"/>
      <c r="G8902" s="11"/>
      <c r="H8902" s="11"/>
      <c r="I8902" s="11"/>
      <c r="J8902" s="11"/>
      <c r="K8902" s="11"/>
      <c r="L8902" s="11"/>
      <c r="M8902" s="12"/>
      <c r="N8902" s="12"/>
      <c r="O8902" s="11"/>
      <c r="P8902" s="11"/>
    </row>
    <row r="8903" spans="1:16" ht="12.75" x14ac:dyDescent="0.35">
      <c r="A8903" s="11"/>
      <c r="B8903" s="9"/>
      <c r="C8903" s="9"/>
      <c r="D8903" s="9"/>
      <c r="E8903" s="11"/>
      <c r="F8903" s="11"/>
      <c r="G8903" s="11"/>
      <c r="H8903" s="11"/>
      <c r="I8903" s="11"/>
      <c r="J8903" s="11"/>
      <c r="K8903" s="11"/>
      <c r="L8903" s="11"/>
      <c r="M8903" s="12"/>
      <c r="N8903" s="12"/>
      <c r="O8903" s="11"/>
      <c r="P8903" s="11"/>
    </row>
    <row r="8904" spans="1:16" ht="12.75" x14ac:dyDescent="0.35">
      <c r="A8904" s="11"/>
      <c r="B8904" s="9"/>
      <c r="C8904" s="9"/>
      <c r="D8904" s="9"/>
      <c r="E8904" s="11"/>
      <c r="F8904" s="11"/>
      <c r="G8904" s="11"/>
      <c r="H8904" s="11"/>
      <c r="I8904" s="11"/>
      <c r="J8904" s="11"/>
      <c r="K8904" s="11"/>
      <c r="L8904" s="11"/>
      <c r="M8904" s="12"/>
      <c r="N8904" s="12"/>
      <c r="O8904" s="11"/>
      <c r="P8904" s="11"/>
    </row>
    <row r="8905" spans="1:16" ht="12.75" x14ac:dyDescent="0.35">
      <c r="A8905" s="11"/>
      <c r="B8905" s="9"/>
      <c r="C8905" s="9"/>
      <c r="D8905" s="9"/>
      <c r="E8905" s="11"/>
      <c r="F8905" s="11"/>
      <c r="G8905" s="11"/>
      <c r="H8905" s="11"/>
      <c r="I8905" s="11"/>
      <c r="J8905" s="11"/>
      <c r="K8905" s="11"/>
      <c r="L8905" s="11"/>
      <c r="M8905" s="12"/>
      <c r="N8905" s="12"/>
      <c r="O8905" s="11"/>
      <c r="P8905" s="11"/>
    </row>
    <row r="8906" spans="1:16" ht="12.75" x14ac:dyDescent="0.35">
      <c r="A8906" s="11"/>
      <c r="B8906" s="9"/>
      <c r="C8906" s="9"/>
      <c r="D8906" s="9"/>
      <c r="E8906" s="11"/>
      <c r="F8906" s="11"/>
      <c r="G8906" s="11"/>
      <c r="H8906" s="11"/>
      <c r="I8906" s="11"/>
      <c r="J8906" s="11"/>
      <c r="K8906" s="11"/>
      <c r="L8906" s="11"/>
      <c r="M8906" s="12"/>
      <c r="N8906" s="12"/>
      <c r="O8906" s="11"/>
      <c r="P8906" s="11"/>
    </row>
    <row r="8907" spans="1:16" ht="12.75" x14ac:dyDescent="0.35">
      <c r="A8907" s="11"/>
      <c r="B8907" s="9"/>
      <c r="C8907" s="9"/>
      <c r="D8907" s="9"/>
      <c r="E8907" s="11"/>
      <c r="F8907" s="11"/>
      <c r="G8907" s="11"/>
      <c r="H8907" s="11"/>
      <c r="I8907" s="11"/>
      <c r="J8907" s="11"/>
      <c r="K8907" s="11"/>
      <c r="L8907" s="11"/>
      <c r="M8907" s="12"/>
      <c r="N8907" s="12"/>
      <c r="O8907" s="11"/>
      <c r="P8907" s="11"/>
    </row>
    <row r="8908" spans="1:16" ht="12.75" x14ac:dyDescent="0.35">
      <c r="A8908" s="11"/>
      <c r="B8908" s="9"/>
      <c r="C8908" s="9"/>
      <c r="D8908" s="9"/>
      <c r="E8908" s="11"/>
      <c r="F8908" s="11"/>
      <c r="G8908" s="11"/>
      <c r="H8908" s="11"/>
      <c r="I8908" s="11"/>
      <c r="J8908" s="11"/>
      <c r="K8908" s="11"/>
      <c r="L8908" s="11"/>
      <c r="M8908" s="12"/>
      <c r="N8908" s="12"/>
      <c r="O8908" s="11"/>
      <c r="P8908" s="11"/>
    </row>
    <row r="8909" spans="1:16" ht="12.75" x14ac:dyDescent="0.35">
      <c r="A8909" s="11"/>
      <c r="B8909" s="9"/>
      <c r="C8909" s="9"/>
      <c r="D8909" s="9"/>
      <c r="E8909" s="11"/>
      <c r="F8909" s="11"/>
      <c r="G8909" s="11"/>
      <c r="H8909" s="11"/>
      <c r="I8909" s="11"/>
      <c r="J8909" s="11"/>
      <c r="K8909" s="11"/>
      <c r="L8909" s="11"/>
      <c r="M8909" s="12"/>
      <c r="N8909" s="12"/>
      <c r="O8909" s="11"/>
      <c r="P8909" s="11"/>
    </row>
    <row r="8910" spans="1:16" ht="12.75" x14ac:dyDescent="0.35">
      <c r="A8910" s="11"/>
      <c r="B8910" s="9"/>
      <c r="C8910" s="9"/>
      <c r="D8910" s="9"/>
      <c r="E8910" s="11"/>
      <c r="F8910" s="11"/>
      <c r="G8910" s="11"/>
      <c r="H8910" s="11"/>
      <c r="I8910" s="11"/>
      <c r="J8910" s="11"/>
      <c r="K8910" s="11"/>
      <c r="L8910" s="11"/>
      <c r="M8910" s="12"/>
      <c r="N8910" s="12"/>
      <c r="O8910" s="11"/>
      <c r="P8910" s="11"/>
    </row>
    <row r="8911" spans="1:16" ht="12.75" x14ac:dyDescent="0.35">
      <c r="A8911" s="11"/>
      <c r="B8911" s="9"/>
      <c r="C8911" s="9"/>
      <c r="D8911" s="9"/>
      <c r="E8911" s="11"/>
      <c r="F8911" s="11"/>
      <c r="G8911" s="11"/>
      <c r="H8911" s="11"/>
      <c r="I8911" s="11"/>
      <c r="J8911" s="11"/>
      <c r="K8911" s="11"/>
      <c r="L8911" s="11"/>
      <c r="M8911" s="12"/>
      <c r="N8911" s="12"/>
      <c r="O8911" s="11"/>
      <c r="P8911" s="11"/>
    </row>
    <row r="8912" spans="1:16" ht="12.75" x14ac:dyDescent="0.35">
      <c r="A8912" s="11"/>
      <c r="B8912" s="9"/>
      <c r="C8912" s="9"/>
      <c r="D8912" s="9"/>
      <c r="E8912" s="11"/>
      <c r="F8912" s="11"/>
      <c r="G8912" s="11"/>
      <c r="H8912" s="11"/>
      <c r="I8912" s="11"/>
      <c r="J8912" s="11"/>
      <c r="K8912" s="11"/>
      <c r="L8912" s="11"/>
      <c r="M8912" s="12"/>
      <c r="N8912" s="12"/>
      <c r="O8912" s="11"/>
      <c r="P8912" s="11"/>
    </row>
    <row r="8913" spans="1:16" ht="12.75" x14ac:dyDescent="0.35">
      <c r="A8913" s="11"/>
      <c r="B8913" s="9"/>
      <c r="C8913" s="9"/>
      <c r="D8913" s="9"/>
      <c r="E8913" s="11"/>
      <c r="F8913" s="11"/>
      <c r="G8913" s="11"/>
      <c r="H8913" s="11"/>
      <c r="I8913" s="11"/>
      <c r="J8913" s="11"/>
      <c r="K8913" s="11"/>
      <c r="L8913" s="11"/>
      <c r="M8913" s="12"/>
      <c r="N8913" s="12"/>
      <c r="O8913" s="11"/>
      <c r="P8913" s="11"/>
    </row>
    <row r="8914" spans="1:16" ht="12.75" x14ac:dyDescent="0.35">
      <c r="A8914" s="11"/>
      <c r="B8914" s="9"/>
      <c r="C8914" s="9"/>
      <c r="D8914" s="9"/>
      <c r="E8914" s="11"/>
      <c r="F8914" s="11"/>
      <c r="G8914" s="11"/>
      <c r="H8914" s="11"/>
      <c r="I8914" s="11"/>
      <c r="J8914" s="11"/>
      <c r="K8914" s="11"/>
      <c r="L8914" s="11"/>
      <c r="M8914" s="12"/>
      <c r="N8914" s="12"/>
      <c r="O8914" s="11"/>
      <c r="P8914" s="11"/>
    </row>
    <row r="8915" spans="1:16" ht="12.75" x14ac:dyDescent="0.35">
      <c r="A8915" s="11"/>
      <c r="B8915" s="9"/>
      <c r="C8915" s="9"/>
      <c r="D8915" s="9"/>
      <c r="E8915" s="11"/>
      <c r="F8915" s="11"/>
      <c r="G8915" s="11"/>
      <c r="H8915" s="11"/>
      <c r="I8915" s="11"/>
      <c r="J8915" s="11"/>
      <c r="K8915" s="11"/>
      <c r="L8915" s="11"/>
      <c r="M8915" s="12"/>
      <c r="N8915" s="12"/>
      <c r="O8915" s="11"/>
      <c r="P8915" s="11"/>
    </row>
    <row r="8916" spans="1:16" ht="12.75" x14ac:dyDescent="0.35">
      <c r="A8916" s="11"/>
      <c r="B8916" s="9"/>
      <c r="C8916" s="9"/>
      <c r="D8916" s="9"/>
      <c r="E8916" s="11"/>
      <c r="F8916" s="11"/>
      <c r="G8916" s="11"/>
      <c r="H8916" s="11"/>
      <c r="I8916" s="11"/>
      <c r="J8916" s="11"/>
      <c r="K8916" s="11"/>
      <c r="L8916" s="11"/>
      <c r="M8916" s="12"/>
      <c r="N8916" s="12"/>
      <c r="O8916" s="11"/>
      <c r="P8916" s="11"/>
    </row>
    <row r="8917" spans="1:16" ht="12.75" x14ac:dyDescent="0.35">
      <c r="A8917" s="11"/>
      <c r="B8917" s="9"/>
      <c r="C8917" s="9"/>
      <c r="D8917" s="9"/>
      <c r="E8917" s="11"/>
      <c r="F8917" s="11"/>
      <c r="G8917" s="11"/>
      <c r="H8917" s="11"/>
      <c r="I8917" s="11"/>
      <c r="J8917" s="11"/>
      <c r="K8917" s="11"/>
      <c r="L8917" s="11"/>
      <c r="M8917" s="12"/>
      <c r="N8917" s="12"/>
      <c r="O8917" s="11"/>
      <c r="P8917" s="11"/>
    </row>
    <row r="8918" spans="1:16" ht="12.75" x14ac:dyDescent="0.35">
      <c r="A8918" s="11"/>
      <c r="B8918" s="9"/>
      <c r="C8918" s="9"/>
      <c r="D8918" s="9"/>
      <c r="E8918" s="11"/>
      <c r="F8918" s="11"/>
      <c r="G8918" s="11"/>
      <c r="H8918" s="11"/>
      <c r="I8918" s="11"/>
      <c r="J8918" s="11"/>
      <c r="K8918" s="11"/>
      <c r="L8918" s="11"/>
      <c r="M8918" s="12"/>
      <c r="N8918" s="12"/>
      <c r="O8918" s="11"/>
      <c r="P8918" s="11"/>
    </row>
    <row r="8919" spans="1:16" ht="12.75" x14ac:dyDescent="0.35">
      <c r="A8919" s="11"/>
      <c r="B8919" s="9"/>
      <c r="C8919" s="9"/>
      <c r="D8919" s="9"/>
      <c r="E8919" s="11"/>
      <c r="F8919" s="11"/>
      <c r="G8919" s="11"/>
      <c r="H8919" s="11"/>
      <c r="I8919" s="11"/>
      <c r="J8919" s="11"/>
      <c r="K8919" s="11"/>
      <c r="L8919" s="11"/>
      <c r="M8919" s="12"/>
      <c r="N8919" s="12"/>
      <c r="O8919" s="11"/>
      <c r="P8919" s="11"/>
    </row>
    <row r="8920" spans="1:16" ht="12.75" x14ac:dyDescent="0.35">
      <c r="A8920" s="11"/>
      <c r="B8920" s="9"/>
      <c r="C8920" s="9"/>
      <c r="D8920" s="9"/>
      <c r="E8920" s="11"/>
      <c r="F8920" s="11"/>
      <c r="G8920" s="11"/>
      <c r="H8920" s="11"/>
      <c r="I8920" s="11"/>
      <c r="J8920" s="11"/>
      <c r="K8920" s="11"/>
      <c r="L8920" s="11"/>
      <c r="M8920" s="12"/>
      <c r="N8920" s="12"/>
      <c r="O8920" s="11"/>
      <c r="P8920" s="11"/>
    </row>
    <row r="8921" spans="1:16" ht="12.75" x14ac:dyDescent="0.35">
      <c r="A8921" s="11"/>
      <c r="B8921" s="9"/>
      <c r="C8921" s="9"/>
      <c r="D8921" s="9"/>
      <c r="E8921" s="11"/>
      <c r="F8921" s="11"/>
      <c r="G8921" s="11"/>
      <c r="H8921" s="11"/>
      <c r="I8921" s="11"/>
      <c r="J8921" s="11"/>
      <c r="K8921" s="11"/>
      <c r="L8921" s="11"/>
      <c r="M8921" s="12"/>
      <c r="N8921" s="12"/>
      <c r="O8921" s="11"/>
      <c r="P8921" s="11"/>
    </row>
    <row r="8922" spans="1:16" ht="12.75" x14ac:dyDescent="0.35">
      <c r="A8922" s="11"/>
      <c r="B8922" s="9"/>
      <c r="C8922" s="9"/>
      <c r="D8922" s="9"/>
      <c r="E8922" s="11"/>
      <c r="F8922" s="11"/>
      <c r="G8922" s="11"/>
      <c r="H8922" s="11"/>
      <c r="I8922" s="11"/>
      <c r="J8922" s="11"/>
      <c r="K8922" s="11"/>
      <c r="L8922" s="11"/>
      <c r="M8922" s="12"/>
      <c r="N8922" s="12"/>
      <c r="O8922" s="11"/>
      <c r="P8922" s="11"/>
    </row>
    <row r="8923" spans="1:16" ht="12.75" x14ac:dyDescent="0.35">
      <c r="A8923" s="11"/>
      <c r="B8923" s="9"/>
      <c r="C8923" s="9"/>
      <c r="D8923" s="9"/>
      <c r="E8923" s="11"/>
      <c r="F8923" s="11"/>
      <c r="G8923" s="11"/>
      <c r="H8923" s="11"/>
      <c r="I8923" s="11"/>
      <c r="J8923" s="11"/>
      <c r="K8923" s="11"/>
      <c r="L8923" s="11"/>
      <c r="M8923" s="12"/>
      <c r="N8923" s="12"/>
      <c r="O8923" s="11"/>
      <c r="P8923" s="11"/>
    </row>
    <row r="8924" spans="1:16" ht="12.75" x14ac:dyDescent="0.35">
      <c r="A8924" s="11"/>
      <c r="B8924" s="9"/>
      <c r="C8924" s="9"/>
      <c r="D8924" s="9"/>
      <c r="E8924" s="11"/>
      <c r="F8924" s="11"/>
      <c r="G8924" s="11"/>
      <c r="H8924" s="11"/>
      <c r="I8924" s="11"/>
      <c r="J8924" s="11"/>
      <c r="K8924" s="11"/>
      <c r="L8924" s="11"/>
      <c r="M8924" s="12"/>
      <c r="N8924" s="12"/>
      <c r="O8924" s="11"/>
      <c r="P8924" s="11"/>
    </row>
    <row r="8925" spans="1:16" ht="12.75" x14ac:dyDescent="0.35">
      <c r="A8925" s="11"/>
      <c r="B8925" s="9"/>
      <c r="C8925" s="9"/>
      <c r="D8925" s="9"/>
      <c r="E8925" s="11"/>
      <c r="F8925" s="11"/>
      <c r="G8925" s="11"/>
      <c r="H8925" s="11"/>
      <c r="I8925" s="11"/>
      <c r="J8925" s="11"/>
      <c r="K8925" s="11"/>
      <c r="L8925" s="11"/>
      <c r="M8925" s="12"/>
      <c r="N8925" s="12"/>
      <c r="O8925" s="11"/>
      <c r="P8925" s="11"/>
    </row>
    <row r="8926" spans="1:16" ht="12.75" x14ac:dyDescent="0.35">
      <c r="A8926" s="11"/>
      <c r="B8926" s="9"/>
      <c r="C8926" s="9"/>
      <c r="D8926" s="9"/>
      <c r="E8926" s="11"/>
      <c r="F8926" s="11"/>
      <c r="G8926" s="11"/>
      <c r="H8926" s="11"/>
      <c r="I8926" s="11"/>
      <c r="J8926" s="11"/>
      <c r="K8926" s="11"/>
      <c r="L8926" s="11"/>
      <c r="M8926" s="12"/>
      <c r="N8926" s="12"/>
      <c r="O8926" s="11"/>
      <c r="P8926" s="11"/>
    </row>
    <row r="8927" spans="1:16" ht="12.75" x14ac:dyDescent="0.35">
      <c r="A8927" s="11"/>
      <c r="B8927" s="9"/>
      <c r="C8927" s="9"/>
      <c r="D8927" s="9"/>
      <c r="E8927" s="11"/>
      <c r="F8927" s="11"/>
      <c r="G8927" s="11"/>
      <c r="H8927" s="11"/>
      <c r="I8927" s="11"/>
      <c r="J8927" s="11"/>
      <c r="K8927" s="11"/>
      <c r="L8927" s="11"/>
      <c r="M8927" s="12"/>
      <c r="N8927" s="12"/>
      <c r="O8927" s="11"/>
      <c r="P8927" s="11"/>
    </row>
    <row r="8928" spans="1:16" ht="12.75" x14ac:dyDescent="0.35">
      <c r="A8928" s="11"/>
      <c r="B8928" s="9"/>
      <c r="C8928" s="9"/>
      <c r="D8928" s="9"/>
      <c r="E8928" s="11"/>
      <c r="F8928" s="11"/>
      <c r="G8928" s="11"/>
      <c r="H8928" s="11"/>
      <c r="I8928" s="11"/>
      <c r="J8928" s="11"/>
      <c r="K8928" s="11"/>
      <c r="L8928" s="11"/>
      <c r="M8928" s="12"/>
      <c r="N8928" s="12"/>
      <c r="O8928" s="11"/>
      <c r="P8928" s="11"/>
    </row>
    <row r="8929" spans="1:16" ht="12.75" x14ac:dyDescent="0.35">
      <c r="A8929" s="11"/>
      <c r="B8929" s="9"/>
      <c r="C8929" s="9"/>
      <c r="D8929" s="9"/>
      <c r="E8929" s="11"/>
      <c r="F8929" s="11"/>
      <c r="G8929" s="11"/>
      <c r="H8929" s="11"/>
      <c r="I8929" s="11"/>
      <c r="J8929" s="11"/>
      <c r="K8929" s="11"/>
      <c r="L8929" s="11"/>
      <c r="M8929" s="12"/>
      <c r="N8929" s="12"/>
      <c r="O8929" s="11"/>
      <c r="P8929" s="11"/>
    </row>
    <row r="8930" spans="1:16" ht="12.75" x14ac:dyDescent="0.35">
      <c r="A8930" s="11"/>
      <c r="B8930" s="9"/>
      <c r="C8930" s="9"/>
      <c r="D8930" s="9"/>
      <c r="E8930" s="11"/>
      <c r="F8930" s="11"/>
      <c r="G8930" s="11"/>
      <c r="H8930" s="11"/>
      <c r="I8930" s="11"/>
      <c r="J8930" s="11"/>
      <c r="K8930" s="11"/>
      <c r="L8930" s="11"/>
      <c r="M8930" s="12"/>
      <c r="N8930" s="12"/>
      <c r="O8930" s="11"/>
      <c r="P8930" s="11"/>
    </row>
    <row r="8931" spans="1:16" ht="12.75" x14ac:dyDescent="0.35">
      <c r="A8931" s="11"/>
      <c r="B8931" s="9"/>
      <c r="C8931" s="9"/>
      <c r="D8931" s="9"/>
      <c r="E8931" s="11"/>
      <c r="F8931" s="11"/>
      <c r="G8931" s="11"/>
      <c r="H8931" s="11"/>
      <c r="I8931" s="11"/>
      <c r="J8931" s="11"/>
      <c r="K8931" s="11"/>
      <c r="L8931" s="11"/>
      <c r="M8931" s="12"/>
      <c r="N8931" s="12"/>
      <c r="O8931" s="11"/>
      <c r="P8931" s="11"/>
    </row>
    <row r="8932" spans="1:16" ht="12.75" x14ac:dyDescent="0.35">
      <c r="A8932" s="11"/>
      <c r="B8932" s="9"/>
      <c r="C8932" s="9"/>
      <c r="D8932" s="9"/>
      <c r="E8932" s="11"/>
      <c r="F8932" s="11"/>
      <c r="G8932" s="11"/>
      <c r="H8932" s="11"/>
      <c r="I8932" s="11"/>
      <c r="J8932" s="11"/>
      <c r="K8932" s="11"/>
      <c r="L8932" s="11"/>
      <c r="M8932" s="12"/>
      <c r="N8932" s="12"/>
      <c r="O8932" s="11"/>
      <c r="P8932" s="11"/>
    </row>
    <row r="8933" spans="1:16" ht="12.75" x14ac:dyDescent="0.35">
      <c r="A8933" s="11"/>
      <c r="B8933" s="9"/>
      <c r="C8933" s="9"/>
      <c r="D8933" s="9"/>
      <c r="E8933" s="11"/>
      <c r="F8933" s="11"/>
      <c r="G8933" s="11"/>
      <c r="H8933" s="11"/>
      <c r="I8933" s="11"/>
      <c r="J8933" s="11"/>
      <c r="K8933" s="11"/>
      <c r="L8933" s="11"/>
      <c r="M8933" s="12"/>
      <c r="N8933" s="12"/>
      <c r="O8933" s="11"/>
      <c r="P8933" s="11"/>
    </row>
    <row r="8934" spans="1:16" ht="12.75" x14ac:dyDescent="0.35">
      <c r="A8934" s="11"/>
      <c r="B8934" s="9"/>
      <c r="C8934" s="9"/>
      <c r="D8934" s="9"/>
      <c r="E8934" s="11"/>
      <c r="F8934" s="11"/>
      <c r="G8934" s="11"/>
      <c r="H8934" s="11"/>
      <c r="I8934" s="11"/>
      <c r="J8934" s="11"/>
      <c r="K8934" s="11"/>
      <c r="L8934" s="11"/>
      <c r="M8934" s="12"/>
      <c r="N8934" s="12"/>
      <c r="O8934" s="11"/>
      <c r="P8934" s="11"/>
    </row>
    <row r="8935" spans="1:16" ht="12.75" x14ac:dyDescent="0.35">
      <c r="A8935" s="11"/>
      <c r="B8935" s="9"/>
      <c r="C8935" s="9"/>
      <c r="D8935" s="9"/>
      <c r="E8935" s="11"/>
      <c r="F8935" s="11"/>
      <c r="G8935" s="11"/>
      <c r="H8935" s="11"/>
      <c r="I8935" s="11"/>
      <c r="J8935" s="11"/>
      <c r="K8935" s="11"/>
      <c r="L8935" s="11"/>
      <c r="M8935" s="12"/>
      <c r="N8935" s="12"/>
      <c r="O8935" s="11"/>
      <c r="P8935" s="11"/>
    </row>
    <row r="8936" spans="1:16" ht="12.75" x14ac:dyDescent="0.35">
      <c r="A8936" s="11"/>
      <c r="B8936" s="9"/>
      <c r="C8936" s="9"/>
      <c r="D8936" s="9"/>
      <c r="E8936" s="11"/>
      <c r="F8936" s="11"/>
      <c r="G8936" s="11"/>
      <c r="H8936" s="11"/>
      <c r="I8936" s="11"/>
      <c r="J8936" s="11"/>
      <c r="K8936" s="11"/>
      <c r="L8936" s="11"/>
      <c r="M8936" s="12"/>
      <c r="N8936" s="12"/>
      <c r="O8936" s="11"/>
      <c r="P8936" s="11"/>
    </row>
    <row r="8937" spans="1:16" ht="12.75" x14ac:dyDescent="0.35">
      <c r="A8937" s="11"/>
      <c r="B8937" s="9"/>
      <c r="C8937" s="9"/>
      <c r="D8937" s="9"/>
      <c r="E8937" s="11"/>
      <c r="F8937" s="11"/>
      <c r="G8937" s="11"/>
      <c r="H8937" s="11"/>
      <c r="I8937" s="11"/>
      <c r="J8937" s="11"/>
      <c r="K8937" s="11"/>
      <c r="L8937" s="11"/>
      <c r="M8937" s="12"/>
      <c r="N8937" s="12"/>
      <c r="O8937" s="11"/>
      <c r="P8937" s="11"/>
    </row>
    <row r="8938" spans="1:16" ht="12.75" x14ac:dyDescent="0.35">
      <c r="A8938" s="11"/>
      <c r="B8938" s="9"/>
      <c r="C8938" s="9"/>
      <c r="D8938" s="9"/>
      <c r="E8938" s="11"/>
      <c r="F8938" s="11"/>
      <c r="G8938" s="11"/>
      <c r="H8938" s="11"/>
      <c r="I8938" s="11"/>
      <c r="J8938" s="11"/>
      <c r="K8938" s="11"/>
      <c r="L8938" s="11"/>
      <c r="M8938" s="12"/>
      <c r="N8938" s="12"/>
      <c r="O8938" s="11"/>
      <c r="P8938" s="11"/>
    </row>
    <row r="8939" spans="1:16" ht="12.75" x14ac:dyDescent="0.35">
      <c r="A8939" s="11"/>
      <c r="B8939" s="9"/>
      <c r="C8939" s="9"/>
      <c r="D8939" s="9"/>
      <c r="E8939" s="11"/>
      <c r="F8939" s="11"/>
      <c r="G8939" s="11"/>
      <c r="H8939" s="11"/>
      <c r="I8939" s="11"/>
      <c r="J8939" s="11"/>
      <c r="K8939" s="11"/>
      <c r="L8939" s="11"/>
      <c r="M8939" s="12"/>
      <c r="N8939" s="12"/>
      <c r="O8939" s="11"/>
      <c r="P8939" s="11"/>
    </row>
    <row r="8940" spans="1:16" ht="12.75" x14ac:dyDescent="0.35">
      <c r="A8940" s="11"/>
      <c r="B8940" s="9"/>
      <c r="C8940" s="9"/>
      <c r="D8940" s="9"/>
      <c r="E8940" s="11"/>
      <c r="F8940" s="11"/>
      <c r="G8940" s="11"/>
      <c r="H8940" s="11"/>
      <c r="I8940" s="11"/>
      <c r="J8940" s="11"/>
      <c r="K8940" s="11"/>
      <c r="L8940" s="11"/>
      <c r="M8940" s="12"/>
      <c r="N8940" s="12"/>
      <c r="O8940" s="11"/>
      <c r="P8940" s="11"/>
    </row>
    <row r="8941" spans="1:16" ht="12.75" x14ac:dyDescent="0.35">
      <c r="A8941" s="11"/>
      <c r="B8941" s="9"/>
      <c r="C8941" s="9"/>
      <c r="D8941" s="9"/>
      <c r="E8941" s="11"/>
      <c r="F8941" s="11"/>
      <c r="G8941" s="11"/>
      <c r="H8941" s="11"/>
      <c r="I8941" s="11"/>
      <c r="J8941" s="11"/>
      <c r="K8941" s="11"/>
      <c r="L8941" s="11"/>
      <c r="M8941" s="12"/>
      <c r="N8941" s="12"/>
      <c r="O8941" s="11"/>
      <c r="P8941" s="11"/>
    </row>
    <row r="8942" spans="1:16" ht="12.75" x14ac:dyDescent="0.35">
      <c r="A8942" s="11"/>
      <c r="B8942" s="9"/>
      <c r="C8942" s="9"/>
      <c r="D8942" s="9"/>
      <c r="E8942" s="11"/>
      <c r="F8942" s="11"/>
      <c r="G8942" s="11"/>
      <c r="H8942" s="11"/>
      <c r="I8942" s="11"/>
      <c r="J8942" s="11"/>
      <c r="K8942" s="11"/>
      <c r="L8942" s="11"/>
      <c r="M8942" s="12"/>
      <c r="N8942" s="12"/>
      <c r="O8942" s="11"/>
      <c r="P8942" s="11"/>
    </row>
    <row r="8943" spans="1:16" ht="12.75" x14ac:dyDescent="0.35">
      <c r="A8943" s="11"/>
      <c r="B8943" s="9"/>
      <c r="C8943" s="9"/>
      <c r="D8943" s="9"/>
      <c r="E8943" s="11"/>
      <c r="F8943" s="11"/>
      <c r="G8943" s="11"/>
      <c r="H8943" s="11"/>
      <c r="I8943" s="11"/>
      <c r="J8943" s="11"/>
      <c r="K8943" s="11"/>
      <c r="L8943" s="11"/>
      <c r="M8943" s="12"/>
      <c r="N8943" s="12"/>
      <c r="O8943" s="11"/>
      <c r="P8943" s="11"/>
    </row>
    <row r="8944" spans="1:16" ht="12.75" x14ac:dyDescent="0.35">
      <c r="A8944" s="11"/>
      <c r="B8944" s="9"/>
      <c r="C8944" s="9"/>
      <c r="D8944" s="9"/>
      <c r="E8944" s="11"/>
      <c r="F8944" s="11"/>
      <c r="G8944" s="11"/>
      <c r="H8944" s="11"/>
      <c r="I8944" s="11"/>
      <c r="J8944" s="11"/>
      <c r="K8944" s="11"/>
      <c r="L8944" s="11"/>
      <c r="M8944" s="12"/>
      <c r="N8944" s="12"/>
      <c r="O8944" s="11"/>
      <c r="P8944" s="11"/>
    </row>
    <row r="8945" spans="1:16" ht="12.75" x14ac:dyDescent="0.35">
      <c r="A8945" s="11"/>
      <c r="B8945" s="9"/>
      <c r="C8945" s="9"/>
      <c r="D8945" s="9"/>
      <c r="E8945" s="11"/>
      <c r="F8945" s="11"/>
      <c r="G8945" s="11"/>
      <c r="H8945" s="11"/>
      <c r="I8945" s="11"/>
      <c r="J8945" s="11"/>
      <c r="K8945" s="11"/>
      <c r="L8945" s="11"/>
      <c r="M8945" s="12"/>
      <c r="N8945" s="12"/>
      <c r="O8945" s="11"/>
      <c r="P8945" s="11"/>
    </row>
    <row r="8946" spans="1:16" ht="12.75" x14ac:dyDescent="0.35">
      <c r="A8946" s="11"/>
      <c r="B8946" s="9"/>
      <c r="C8946" s="9"/>
      <c r="D8946" s="9"/>
      <c r="E8946" s="11"/>
      <c r="F8946" s="11"/>
      <c r="G8946" s="11"/>
      <c r="H8946" s="11"/>
      <c r="I8946" s="11"/>
      <c r="J8946" s="11"/>
      <c r="K8946" s="11"/>
      <c r="L8946" s="11"/>
      <c r="M8946" s="12"/>
      <c r="N8946" s="12"/>
      <c r="O8946" s="11"/>
      <c r="P8946" s="11"/>
    </row>
    <row r="8947" spans="1:16" ht="12.75" x14ac:dyDescent="0.35">
      <c r="A8947" s="11"/>
      <c r="B8947" s="9"/>
      <c r="C8947" s="9"/>
      <c r="D8947" s="9"/>
      <c r="E8947" s="11"/>
      <c r="F8947" s="11"/>
      <c r="G8947" s="11"/>
      <c r="H8947" s="11"/>
      <c r="I8947" s="11"/>
      <c r="J8947" s="11"/>
      <c r="K8947" s="11"/>
      <c r="L8947" s="11"/>
      <c r="M8947" s="12"/>
      <c r="N8947" s="12"/>
      <c r="O8947" s="11"/>
      <c r="P8947" s="11"/>
    </row>
    <row r="8948" spans="1:16" ht="12.75" x14ac:dyDescent="0.35">
      <c r="A8948" s="11"/>
      <c r="B8948" s="9"/>
      <c r="C8948" s="9"/>
      <c r="D8948" s="9"/>
      <c r="E8948" s="11"/>
      <c r="F8948" s="11"/>
      <c r="G8948" s="11"/>
      <c r="H8948" s="11"/>
      <c r="I8948" s="11"/>
      <c r="J8948" s="11"/>
      <c r="K8948" s="11"/>
      <c r="L8948" s="11"/>
      <c r="M8948" s="12"/>
      <c r="N8948" s="12"/>
      <c r="O8948" s="11"/>
      <c r="P8948" s="11"/>
    </row>
    <row r="8949" spans="1:16" ht="12.75" x14ac:dyDescent="0.35">
      <c r="A8949" s="11"/>
      <c r="B8949" s="9"/>
      <c r="C8949" s="9"/>
      <c r="D8949" s="9"/>
      <c r="E8949" s="11"/>
      <c r="F8949" s="11"/>
      <c r="G8949" s="11"/>
      <c r="H8949" s="11"/>
      <c r="I8949" s="11"/>
      <c r="J8949" s="11"/>
      <c r="K8949" s="11"/>
      <c r="L8949" s="11"/>
      <c r="M8949" s="12"/>
      <c r="N8949" s="12"/>
      <c r="O8949" s="11"/>
      <c r="P8949" s="11"/>
    </row>
    <row r="8950" spans="1:16" ht="12.75" x14ac:dyDescent="0.35">
      <c r="A8950" s="11"/>
      <c r="B8950" s="9"/>
      <c r="C8950" s="9"/>
      <c r="D8950" s="9"/>
      <c r="E8950" s="11"/>
      <c r="F8950" s="11"/>
      <c r="G8950" s="11"/>
      <c r="H8950" s="11"/>
      <c r="I8950" s="11"/>
      <c r="J8950" s="11"/>
      <c r="K8950" s="11"/>
      <c r="L8950" s="11"/>
      <c r="M8950" s="12"/>
      <c r="N8950" s="12"/>
      <c r="O8950" s="11"/>
      <c r="P8950" s="11"/>
    </row>
    <row r="8951" spans="1:16" ht="12.75" x14ac:dyDescent="0.35">
      <c r="A8951" s="11"/>
      <c r="B8951" s="9"/>
      <c r="C8951" s="9"/>
      <c r="D8951" s="9"/>
      <c r="E8951" s="11"/>
      <c r="F8951" s="11"/>
      <c r="G8951" s="11"/>
      <c r="H8951" s="11"/>
      <c r="I8951" s="11"/>
      <c r="J8951" s="11"/>
      <c r="K8951" s="11"/>
      <c r="L8951" s="11"/>
      <c r="M8951" s="12"/>
      <c r="N8951" s="12"/>
      <c r="O8951" s="11"/>
      <c r="P8951" s="11"/>
    </row>
    <row r="8952" spans="1:16" ht="12.75" x14ac:dyDescent="0.35">
      <c r="A8952" s="11"/>
      <c r="B8952" s="9"/>
      <c r="C8952" s="9"/>
      <c r="D8952" s="9"/>
      <c r="E8952" s="11"/>
      <c r="F8952" s="11"/>
      <c r="G8952" s="11"/>
      <c r="H8952" s="11"/>
      <c r="I8952" s="11"/>
      <c r="J8952" s="11"/>
      <c r="K8952" s="11"/>
      <c r="L8952" s="11"/>
      <c r="M8952" s="12"/>
      <c r="N8952" s="12"/>
      <c r="O8952" s="11"/>
      <c r="P8952" s="11"/>
    </row>
    <row r="8953" spans="1:16" ht="12.75" x14ac:dyDescent="0.35">
      <c r="A8953" s="11"/>
      <c r="B8953" s="9"/>
      <c r="C8953" s="9"/>
      <c r="D8953" s="9"/>
      <c r="E8953" s="11"/>
      <c r="F8953" s="11"/>
      <c r="G8953" s="11"/>
      <c r="H8953" s="11"/>
      <c r="I8953" s="11"/>
      <c r="J8953" s="11"/>
      <c r="K8953" s="11"/>
      <c r="L8953" s="11"/>
      <c r="M8953" s="12"/>
      <c r="N8953" s="12"/>
      <c r="O8953" s="11"/>
      <c r="P8953" s="11"/>
    </row>
    <row r="8954" spans="1:16" ht="12.75" x14ac:dyDescent="0.35">
      <c r="A8954" s="11"/>
      <c r="B8954" s="9"/>
      <c r="C8954" s="9"/>
      <c r="D8954" s="9"/>
      <c r="E8954" s="11"/>
      <c r="F8954" s="11"/>
      <c r="G8954" s="11"/>
      <c r="H8954" s="11"/>
      <c r="I8954" s="11"/>
      <c r="J8954" s="11"/>
      <c r="K8954" s="11"/>
      <c r="L8954" s="11"/>
      <c r="M8954" s="12"/>
      <c r="N8954" s="12"/>
      <c r="O8954" s="11"/>
      <c r="P8954" s="11"/>
    </row>
    <row r="8955" spans="1:16" ht="12.75" x14ac:dyDescent="0.35">
      <c r="A8955" s="11"/>
      <c r="B8955" s="9"/>
      <c r="C8955" s="9"/>
      <c r="D8955" s="9"/>
      <c r="E8955" s="11"/>
      <c r="F8955" s="11"/>
      <c r="G8955" s="11"/>
      <c r="H8955" s="11"/>
      <c r="I8955" s="11"/>
      <c r="J8955" s="11"/>
      <c r="K8955" s="11"/>
      <c r="L8955" s="11"/>
      <c r="M8955" s="12"/>
      <c r="N8955" s="12"/>
      <c r="O8955" s="11"/>
      <c r="P8955" s="11"/>
    </row>
    <row r="8956" spans="1:16" ht="12.75" x14ac:dyDescent="0.35">
      <c r="A8956" s="11"/>
      <c r="B8956" s="9"/>
      <c r="C8956" s="9"/>
      <c r="D8956" s="9"/>
      <c r="E8956" s="11"/>
      <c r="F8956" s="11"/>
      <c r="G8956" s="11"/>
      <c r="H8956" s="11"/>
      <c r="I8956" s="11"/>
      <c r="J8956" s="11"/>
      <c r="K8956" s="11"/>
      <c r="L8956" s="11"/>
      <c r="M8956" s="12"/>
      <c r="N8956" s="12"/>
      <c r="O8956" s="11"/>
      <c r="P8956" s="11"/>
    </row>
    <row r="8957" spans="1:16" ht="12.75" x14ac:dyDescent="0.35">
      <c r="A8957" s="11"/>
      <c r="B8957" s="9"/>
      <c r="C8957" s="9"/>
      <c r="D8957" s="9"/>
      <c r="E8957" s="11"/>
      <c r="F8957" s="11"/>
      <c r="G8957" s="11"/>
      <c r="H8957" s="11"/>
      <c r="I8957" s="11"/>
      <c r="J8957" s="11"/>
      <c r="K8957" s="11"/>
      <c r="L8957" s="11"/>
      <c r="M8957" s="12"/>
      <c r="N8957" s="12"/>
      <c r="O8957" s="11"/>
      <c r="P8957" s="11"/>
    </row>
    <row r="8958" spans="1:16" ht="12.75" x14ac:dyDescent="0.35">
      <c r="A8958" s="11"/>
      <c r="B8958" s="9"/>
      <c r="C8958" s="9"/>
      <c r="D8958" s="9"/>
      <c r="E8958" s="11"/>
      <c r="F8958" s="11"/>
      <c r="G8958" s="11"/>
      <c r="H8958" s="11"/>
      <c r="I8958" s="11"/>
      <c r="J8958" s="11"/>
      <c r="K8958" s="11"/>
      <c r="L8958" s="11"/>
      <c r="M8958" s="12"/>
      <c r="N8958" s="12"/>
      <c r="O8958" s="11"/>
      <c r="P8958" s="11"/>
    </row>
    <row r="8959" spans="1:16" ht="12.75" x14ac:dyDescent="0.35">
      <c r="A8959" s="11"/>
      <c r="B8959" s="9"/>
      <c r="C8959" s="9"/>
      <c r="D8959" s="9"/>
      <c r="E8959" s="11"/>
      <c r="F8959" s="11"/>
      <c r="G8959" s="11"/>
      <c r="H8959" s="11"/>
      <c r="I8959" s="11"/>
      <c r="J8959" s="11"/>
      <c r="K8959" s="11"/>
      <c r="L8959" s="11"/>
      <c r="M8959" s="12"/>
      <c r="N8959" s="12"/>
      <c r="O8959" s="11"/>
      <c r="P8959" s="11"/>
    </row>
    <row r="8960" spans="1:16" ht="12.75" x14ac:dyDescent="0.35">
      <c r="A8960" s="11"/>
      <c r="B8960" s="9"/>
      <c r="C8960" s="9"/>
      <c r="D8960" s="9"/>
      <c r="E8960" s="11"/>
      <c r="F8960" s="11"/>
      <c r="G8960" s="11"/>
      <c r="H8960" s="11"/>
      <c r="I8960" s="11"/>
      <c r="J8960" s="11"/>
      <c r="K8960" s="11"/>
      <c r="L8960" s="11"/>
      <c r="M8960" s="12"/>
      <c r="N8960" s="12"/>
      <c r="O8960" s="11"/>
      <c r="P8960" s="11"/>
    </row>
    <row r="8961" spans="1:16" ht="12.75" x14ac:dyDescent="0.35">
      <c r="A8961" s="11"/>
      <c r="B8961" s="9"/>
      <c r="C8961" s="9"/>
      <c r="D8961" s="9"/>
      <c r="E8961" s="11"/>
      <c r="F8961" s="11"/>
      <c r="G8961" s="11"/>
      <c r="H8961" s="11"/>
      <c r="I8961" s="11"/>
      <c r="J8961" s="11"/>
      <c r="K8961" s="11"/>
      <c r="L8961" s="11"/>
      <c r="M8961" s="12"/>
      <c r="N8961" s="12"/>
      <c r="O8961" s="11"/>
      <c r="P8961" s="11"/>
    </row>
    <row r="8962" spans="1:16" ht="12.75" x14ac:dyDescent="0.35">
      <c r="A8962" s="11"/>
      <c r="B8962" s="9"/>
      <c r="C8962" s="9"/>
      <c r="D8962" s="9"/>
      <c r="E8962" s="11"/>
      <c r="F8962" s="11"/>
      <c r="G8962" s="11"/>
      <c r="H8962" s="11"/>
      <c r="I8962" s="11"/>
      <c r="J8962" s="11"/>
      <c r="K8962" s="11"/>
      <c r="L8962" s="11"/>
      <c r="M8962" s="12"/>
      <c r="N8962" s="12"/>
      <c r="O8962" s="11"/>
      <c r="P8962" s="11"/>
    </row>
    <row r="8963" spans="1:16" ht="12.75" x14ac:dyDescent="0.35">
      <c r="A8963" s="11"/>
      <c r="B8963" s="9"/>
      <c r="C8963" s="9"/>
      <c r="D8963" s="9"/>
      <c r="E8963" s="11"/>
      <c r="F8963" s="11"/>
      <c r="G8963" s="11"/>
      <c r="H8963" s="11"/>
      <c r="I8963" s="11"/>
      <c r="J8963" s="11"/>
      <c r="K8963" s="11"/>
      <c r="L8963" s="11"/>
      <c r="M8963" s="12"/>
      <c r="N8963" s="12"/>
      <c r="O8963" s="11"/>
      <c r="P8963" s="11"/>
    </row>
    <row r="8964" spans="1:16" ht="12.75" x14ac:dyDescent="0.35">
      <c r="A8964" s="11"/>
      <c r="B8964" s="9"/>
      <c r="C8964" s="9"/>
      <c r="D8964" s="9"/>
      <c r="E8964" s="11"/>
      <c r="F8964" s="11"/>
      <c r="G8964" s="11"/>
      <c r="H8964" s="11"/>
      <c r="I8964" s="11"/>
      <c r="J8964" s="11"/>
      <c r="K8964" s="11"/>
      <c r="L8964" s="11"/>
      <c r="M8964" s="12"/>
      <c r="N8964" s="12"/>
      <c r="O8964" s="11"/>
      <c r="P8964" s="11"/>
    </row>
    <row r="8965" spans="1:16" ht="12.75" x14ac:dyDescent="0.35">
      <c r="A8965" s="11"/>
      <c r="B8965" s="9"/>
      <c r="C8965" s="9"/>
      <c r="D8965" s="9"/>
      <c r="E8965" s="11"/>
      <c r="F8965" s="11"/>
      <c r="G8965" s="11"/>
      <c r="H8965" s="11"/>
      <c r="I8965" s="11"/>
      <c r="J8965" s="11"/>
      <c r="K8965" s="11"/>
      <c r="L8965" s="11"/>
      <c r="M8965" s="12"/>
      <c r="N8965" s="12"/>
      <c r="O8965" s="11"/>
      <c r="P8965" s="11"/>
    </row>
    <row r="8966" spans="1:16" ht="12.75" x14ac:dyDescent="0.35">
      <c r="A8966" s="11"/>
      <c r="B8966" s="9"/>
      <c r="C8966" s="9"/>
      <c r="D8966" s="9"/>
      <c r="E8966" s="11"/>
      <c r="F8966" s="11"/>
      <c r="G8966" s="11"/>
      <c r="H8966" s="11"/>
      <c r="I8966" s="11"/>
      <c r="J8966" s="11"/>
      <c r="K8966" s="11"/>
      <c r="L8966" s="11"/>
      <c r="M8966" s="12"/>
      <c r="N8966" s="12"/>
      <c r="O8966" s="11"/>
      <c r="P8966" s="11"/>
    </row>
    <row r="8967" spans="1:16" ht="12.75" x14ac:dyDescent="0.35">
      <c r="A8967" s="11"/>
      <c r="B8967" s="9"/>
      <c r="C8967" s="9"/>
      <c r="D8967" s="9"/>
      <c r="E8967" s="11"/>
      <c r="F8967" s="11"/>
      <c r="G8967" s="11"/>
      <c r="H8967" s="11"/>
      <c r="I8967" s="11"/>
      <c r="J8967" s="11"/>
      <c r="K8967" s="11"/>
      <c r="L8967" s="11"/>
      <c r="M8967" s="12"/>
      <c r="N8967" s="12"/>
      <c r="O8967" s="11"/>
      <c r="P8967" s="11"/>
    </row>
    <row r="8968" spans="1:16" ht="12.75" x14ac:dyDescent="0.35">
      <c r="A8968" s="11"/>
      <c r="B8968" s="9"/>
      <c r="C8968" s="9"/>
      <c r="D8968" s="9"/>
      <c r="E8968" s="11"/>
      <c r="F8968" s="11"/>
      <c r="G8968" s="11"/>
      <c r="H8968" s="11"/>
      <c r="I8968" s="11"/>
      <c r="J8968" s="11"/>
      <c r="K8968" s="11"/>
      <c r="L8968" s="11"/>
      <c r="M8968" s="12"/>
      <c r="N8968" s="12"/>
      <c r="O8968" s="11"/>
      <c r="P8968" s="11"/>
    </row>
    <row r="8969" spans="1:16" ht="12.75" x14ac:dyDescent="0.35">
      <c r="A8969" s="11"/>
      <c r="B8969" s="9"/>
      <c r="C8969" s="9"/>
      <c r="D8969" s="9"/>
      <c r="E8969" s="11"/>
      <c r="F8969" s="11"/>
      <c r="G8969" s="11"/>
      <c r="H8969" s="11"/>
      <c r="I8969" s="11"/>
      <c r="J8969" s="11"/>
      <c r="K8969" s="11"/>
      <c r="L8969" s="11"/>
      <c r="M8969" s="12"/>
      <c r="N8969" s="12"/>
      <c r="O8969" s="11"/>
      <c r="P8969" s="11"/>
    </row>
    <row r="8970" spans="1:16" ht="12.75" x14ac:dyDescent="0.35">
      <c r="A8970" s="11"/>
      <c r="B8970" s="9"/>
      <c r="C8970" s="9"/>
      <c r="D8970" s="9"/>
      <c r="E8970" s="11"/>
      <c r="F8970" s="11"/>
      <c r="G8970" s="11"/>
      <c r="H8970" s="11"/>
      <c r="I8970" s="11"/>
      <c r="J8970" s="11"/>
      <c r="K8970" s="11"/>
      <c r="L8970" s="11"/>
      <c r="M8970" s="12"/>
      <c r="N8970" s="12"/>
      <c r="O8970" s="11"/>
      <c r="P8970" s="11"/>
    </row>
    <row r="8971" spans="1:16" ht="12.75" x14ac:dyDescent="0.35">
      <c r="A8971" s="11"/>
      <c r="B8971" s="9"/>
      <c r="C8971" s="9"/>
      <c r="D8971" s="9"/>
      <c r="E8971" s="11"/>
      <c r="F8971" s="11"/>
      <c r="G8971" s="11"/>
      <c r="H8971" s="11"/>
      <c r="I8971" s="11"/>
      <c r="J8971" s="11"/>
      <c r="K8971" s="11"/>
      <c r="L8971" s="11"/>
      <c r="M8971" s="12"/>
      <c r="N8971" s="12"/>
      <c r="O8971" s="11"/>
      <c r="P8971" s="11"/>
    </row>
    <row r="8972" spans="1:16" ht="12.75" x14ac:dyDescent="0.35">
      <c r="A8972" s="11"/>
      <c r="B8972" s="9"/>
      <c r="C8972" s="9"/>
      <c r="D8972" s="9"/>
      <c r="E8972" s="11"/>
      <c r="F8972" s="11"/>
      <c r="G8972" s="11"/>
      <c r="H8972" s="11"/>
      <c r="I8972" s="11"/>
      <c r="J8972" s="11"/>
      <c r="K8972" s="11"/>
      <c r="L8972" s="11"/>
      <c r="M8972" s="12"/>
      <c r="N8972" s="12"/>
      <c r="O8972" s="11"/>
      <c r="P8972" s="11"/>
    </row>
    <row r="8973" spans="1:16" ht="12.75" x14ac:dyDescent="0.35">
      <c r="A8973" s="11"/>
      <c r="B8973" s="9"/>
      <c r="C8973" s="9"/>
      <c r="D8973" s="9"/>
      <c r="E8973" s="11"/>
      <c r="F8973" s="11"/>
      <c r="G8973" s="11"/>
      <c r="H8973" s="11"/>
      <c r="I8973" s="11"/>
      <c r="J8973" s="11"/>
      <c r="K8973" s="11"/>
      <c r="L8973" s="11"/>
      <c r="M8973" s="12"/>
      <c r="N8973" s="12"/>
      <c r="O8973" s="11"/>
      <c r="P8973" s="11"/>
    </row>
    <row r="8974" spans="1:16" ht="12.75" x14ac:dyDescent="0.35">
      <c r="A8974" s="11"/>
      <c r="B8974" s="9"/>
      <c r="C8974" s="9"/>
      <c r="D8974" s="9"/>
      <c r="E8974" s="11"/>
      <c r="F8974" s="11"/>
      <c r="G8974" s="11"/>
      <c r="H8974" s="11"/>
      <c r="I8974" s="11"/>
      <c r="J8974" s="11"/>
      <c r="K8974" s="11"/>
      <c r="L8974" s="11"/>
      <c r="M8974" s="12"/>
      <c r="N8974" s="12"/>
      <c r="O8974" s="11"/>
      <c r="P8974" s="11"/>
    </row>
    <row r="8975" spans="1:16" ht="12.75" x14ac:dyDescent="0.35">
      <c r="A8975" s="11"/>
      <c r="B8975" s="9"/>
      <c r="C8975" s="9"/>
      <c r="D8975" s="9"/>
      <c r="E8975" s="11"/>
      <c r="F8975" s="11"/>
      <c r="G8975" s="11"/>
      <c r="H8975" s="11"/>
      <c r="I8975" s="11"/>
      <c r="J8975" s="11"/>
      <c r="K8975" s="11"/>
      <c r="L8975" s="11"/>
      <c r="M8975" s="12"/>
      <c r="N8975" s="12"/>
      <c r="O8975" s="11"/>
      <c r="P8975" s="11"/>
    </row>
    <row r="8976" spans="1:16" ht="12.75" x14ac:dyDescent="0.35">
      <c r="A8976" s="11"/>
      <c r="B8976" s="9"/>
      <c r="C8976" s="9"/>
      <c r="D8976" s="9"/>
      <c r="E8976" s="11"/>
      <c r="F8976" s="11"/>
      <c r="G8976" s="11"/>
      <c r="H8976" s="11"/>
      <c r="I8976" s="11"/>
      <c r="J8976" s="11"/>
      <c r="K8976" s="11"/>
      <c r="L8976" s="11"/>
      <c r="M8976" s="12"/>
      <c r="N8976" s="12"/>
      <c r="O8976" s="11"/>
      <c r="P8976" s="11"/>
    </row>
    <row r="8977" spans="1:16" ht="12.75" x14ac:dyDescent="0.35">
      <c r="A8977" s="11"/>
      <c r="B8977" s="9"/>
      <c r="C8977" s="9"/>
      <c r="D8977" s="9"/>
      <c r="E8977" s="11"/>
      <c r="F8977" s="11"/>
      <c r="G8977" s="11"/>
      <c r="H8977" s="11"/>
      <c r="I8977" s="11"/>
      <c r="J8977" s="11"/>
      <c r="K8977" s="11"/>
      <c r="L8977" s="11"/>
      <c r="M8977" s="12"/>
      <c r="N8977" s="12"/>
      <c r="O8977" s="11"/>
      <c r="P8977" s="11"/>
    </row>
    <row r="8978" spans="1:16" ht="12.75" x14ac:dyDescent="0.35">
      <c r="A8978" s="11"/>
      <c r="B8978" s="9"/>
      <c r="C8978" s="9"/>
      <c r="D8978" s="9"/>
      <c r="E8978" s="11"/>
      <c r="F8978" s="11"/>
      <c r="G8978" s="11"/>
      <c r="H8978" s="11"/>
      <c r="I8978" s="11"/>
      <c r="J8978" s="11"/>
      <c r="K8978" s="11"/>
      <c r="L8978" s="11"/>
      <c r="M8978" s="12"/>
      <c r="N8978" s="12"/>
      <c r="O8978" s="11"/>
      <c r="P8978" s="11"/>
    </row>
    <row r="8979" spans="1:16" ht="12.75" x14ac:dyDescent="0.35">
      <c r="A8979" s="11"/>
      <c r="B8979" s="9"/>
      <c r="C8979" s="9"/>
      <c r="D8979" s="9"/>
      <c r="E8979" s="11"/>
      <c r="F8979" s="11"/>
      <c r="G8979" s="11"/>
      <c r="H8979" s="11"/>
      <c r="I8979" s="11"/>
      <c r="J8979" s="11"/>
      <c r="K8979" s="11"/>
      <c r="L8979" s="11"/>
      <c r="M8979" s="12"/>
      <c r="N8979" s="12"/>
      <c r="O8979" s="11"/>
      <c r="P8979" s="11"/>
    </row>
    <row r="8980" spans="1:16" ht="12.75" x14ac:dyDescent="0.35">
      <c r="A8980" s="11"/>
      <c r="B8980" s="9"/>
      <c r="C8980" s="9"/>
      <c r="D8980" s="9"/>
      <c r="E8980" s="11"/>
      <c r="F8980" s="11"/>
      <c r="G8980" s="11"/>
      <c r="H8980" s="11"/>
      <c r="I8980" s="11"/>
      <c r="J8980" s="11"/>
      <c r="K8980" s="11"/>
      <c r="L8980" s="11"/>
      <c r="M8980" s="12"/>
      <c r="N8980" s="12"/>
      <c r="O8980" s="11"/>
      <c r="P8980" s="11"/>
    </row>
    <row r="8981" spans="1:16" ht="12.75" x14ac:dyDescent="0.35">
      <c r="A8981" s="11"/>
      <c r="B8981" s="9"/>
      <c r="C8981" s="9"/>
      <c r="D8981" s="9"/>
      <c r="E8981" s="11"/>
      <c r="F8981" s="11"/>
      <c r="G8981" s="11"/>
      <c r="H8981" s="11"/>
      <c r="I8981" s="11"/>
      <c r="J8981" s="11"/>
      <c r="K8981" s="11"/>
      <c r="L8981" s="11"/>
      <c r="M8981" s="12"/>
      <c r="N8981" s="12"/>
      <c r="O8981" s="11"/>
      <c r="P8981" s="11"/>
    </row>
    <row r="8982" spans="1:16" ht="12.75" x14ac:dyDescent="0.35">
      <c r="A8982" s="11"/>
      <c r="B8982" s="9"/>
      <c r="C8982" s="9"/>
      <c r="D8982" s="9"/>
      <c r="E8982" s="11"/>
      <c r="F8982" s="11"/>
      <c r="G8982" s="11"/>
      <c r="H8982" s="11"/>
      <c r="I8982" s="11"/>
      <c r="J8982" s="11"/>
      <c r="K8982" s="11"/>
      <c r="L8982" s="11"/>
      <c r="M8982" s="12"/>
      <c r="N8982" s="12"/>
      <c r="O8982" s="11"/>
      <c r="P8982" s="11"/>
    </row>
    <row r="8983" spans="1:16" ht="12.75" x14ac:dyDescent="0.35">
      <c r="A8983" s="11"/>
      <c r="B8983" s="9"/>
      <c r="C8983" s="9"/>
      <c r="D8983" s="9"/>
      <c r="E8983" s="11"/>
      <c r="F8983" s="11"/>
      <c r="G8983" s="11"/>
      <c r="H8983" s="11"/>
      <c r="I8983" s="11"/>
      <c r="J8983" s="11"/>
      <c r="K8983" s="11"/>
      <c r="L8983" s="11"/>
      <c r="M8983" s="12"/>
      <c r="N8983" s="12"/>
      <c r="O8983" s="11"/>
      <c r="P8983" s="11"/>
    </row>
    <row r="8984" spans="1:16" ht="12.75" x14ac:dyDescent="0.35">
      <c r="A8984" s="11"/>
      <c r="B8984" s="9"/>
      <c r="C8984" s="9"/>
      <c r="D8984" s="9"/>
      <c r="E8984" s="11"/>
      <c r="F8984" s="11"/>
      <c r="G8984" s="11"/>
      <c r="H8984" s="11"/>
      <c r="I8984" s="11"/>
      <c r="J8984" s="11"/>
      <c r="K8984" s="11"/>
      <c r="L8984" s="11"/>
      <c r="M8984" s="12"/>
      <c r="N8984" s="12"/>
      <c r="O8984" s="11"/>
      <c r="P8984" s="11"/>
    </row>
    <row r="8985" spans="1:16" ht="12.75" x14ac:dyDescent="0.35">
      <c r="A8985" s="11"/>
      <c r="B8985" s="9"/>
      <c r="C8985" s="9"/>
      <c r="D8985" s="9"/>
      <c r="E8985" s="11"/>
      <c r="F8985" s="11"/>
      <c r="G8985" s="11"/>
      <c r="H8985" s="11"/>
      <c r="I8985" s="11"/>
      <c r="J8985" s="11"/>
      <c r="K8985" s="11"/>
      <c r="L8985" s="11"/>
      <c r="M8985" s="12"/>
      <c r="N8985" s="12"/>
      <c r="O8985" s="11"/>
      <c r="P8985" s="11"/>
    </row>
    <row r="8986" spans="1:16" ht="12.75" x14ac:dyDescent="0.35">
      <c r="A8986" s="11"/>
      <c r="B8986" s="9"/>
      <c r="C8986" s="9"/>
      <c r="D8986" s="9"/>
      <c r="E8986" s="11"/>
      <c r="F8986" s="11"/>
      <c r="G8986" s="11"/>
      <c r="H8986" s="11"/>
      <c r="I8986" s="11"/>
      <c r="J8986" s="11"/>
      <c r="K8986" s="11"/>
      <c r="L8986" s="11"/>
      <c r="M8986" s="12"/>
      <c r="N8986" s="12"/>
      <c r="O8986" s="11"/>
      <c r="P8986" s="11"/>
    </row>
    <row r="8987" spans="1:16" ht="12.75" x14ac:dyDescent="0.35">
      <c r="A8987" s="11"/>
      <c r="B8987" s="9"/>
      <c r="C8987" s="9"/>
      <c r="D8987" s="9"/>
      <c r="E8987" s="11"/>
      <c r="F8987" s="11"/>
      <c r="G8987" s="11"/>
      <c r="H8987" s="11"/>
      <c r="I8987" s="11"/>
      <c r="J8987" s="11"/>
      <c r="K8987" s="11"/>
      <c r="L8987" s="11"/>
      <c r="M8987" s="12"/>
      <c r="N8987" s="12"/>
      <c r="O8987" s="11"/>
      <c r="P8987" s="11"/>
    </row>
    <row r="8988" spans="1:16" ht="12.75" x14ac:dyDescent="0.35">
      <c r="A8988" s="11"/>
      <c r="B8988" s="9"/>
      <c r="C8988" s="9"/>
      <c r="D8988" s="9"/>
      <c r="E8988" s="11"/>
      <c r="F8988" s="11"/>
      <c r="G8988" s="11"/>
      <c r="H8988" s="11"/>
      <c r="I8988" s="11"/>
      <c r="J8988" s="11"/>
      <c r="K8988" s="11"/>
      <c r="L8988" s="11"/>
      <c r="M8988" s="12"/>
      <c r="N8988" s="12"/>
      <c r="O8988" s="11"/>
      <c r="P8988" s="11"/>
    </row>
    <row r="8989" spans="1:16" ht="12.75" x14ac:dyDescent="0.35">
      <c r="A8989" s="11"/>
      <c r="B8989" s="9"/>
      <c r="C8989" s="9"/>
      <c r="D8989" s="9"/>
      <c r="E8989" s="11"/>
      <c r="F8989" s="11"/>
      <c r="G8989" s="11"/>
      <c r="H8989" s="11"/>
      <c r="I8989" s="11"/>
      <c r="J8989" s="11"/>
      <c r="K8989" s="11"/>
      <c r="L8989" s="11"/>
      <c r="M8989" s="12"/>
      <c r="N8989" s="12"/>
      <c r="O8989" s="11"/>
      <c r="P8989" s="11"/>
    </row>
    <row r="8990" spans="1:16" ht="12.75" x14ac:dyDescent="0.35">
      <c r="A8990" s="11"/>
      <c r="B8990" s="9"/>
      <c r="C8990" s="9"/>
      <c r="D8990" s="9"/>
      <c r="E8990" s="11"/>
      <c r="F8990" s="11"/>
      <c r="G8990" s="11"/>
      <c r="H8990" s="11"/>
      <c r="I8990" s="11"/>
      <c r="J8990" s="11"/>
      <c r="K8990" s="11"/>
      <c r="L8990" s="11"/>
      <c r="M8990" s="12"/>
      <c r="N8990" s="12"/>
      <c r="O8990" s="11"/>
      <c r="P8990" s="11"/>
    </row>
    <row r="8991" spans="1:16" ht="12.75" x14ac:dyDescent="0.35">
      <c r="A8991" s="11"/>
      <c r="B8991" s="9"/>
      <c r="C8991" s="9"/>
      <c r="D8991" s="9"/>
      <c r="E8991" s="11"/>
      <c r="F8991" s="11"/>
      <c r="G8991" s="11"/>
      <c r="H8991" s="11"/>
      <c r="I8991" s="11"/>
      <c r="J8991" s="11"/>
      <c r="K8991" s="11"/>
      <c r="L8991" s="11"/>
      <c r="M8991" s="12"/>
      <c r="N8991" s="12"/>
      <c r="O8991" s="11"/>
      <c r="P8991" s="11"/>
    </row>
    <row r="8992" spans="1:16" ht="12.75" x14ac:dyDescent="0.35">
      <c r="A8992" s="11"/>
      <c r="B8992" s="9"/>
      <c r="C8992" s="9"/>
      <c r="D8992" s="9"/>
      <c r="E8992" s="11"/>
      <c r="F8992" s="11"/>
      <c r="G8992" s="11"/>
      <c r="H8992" s="11"/>
      <c r="I8992" s="11"/>
      <c r="J8992" s="11"/>
      <c r="K8992" s="11"/>
      <c r="L8992" s="11"/>
      <c r="M8992" s="12"/>
      <c r="N8992" s="12"/>
      <c r="O8992" s="11"/>
      <c r="P8992" s="11"/>
    </row>
    <row r="8993" spans="1:16" ht="12.75" x14ac:dyDescent="0.35">
      <c r="A8993" s="11"/>
      <c r="B8993" s="9"/>
      <c r="C8993" s="9"/>
      <c r="D8993" s="9"/>
      <c r="E8993" s="11"/>
      <c r="F8993" s="11"/>
      <c r="G8993" s="11"/>
      <c r="H8993" s="11"/>
      <c r="I8993" s="11"/>
      <c r="J8993" s="11"/>
      <c r="K8993" s="11"/>
      <c r="L8993" s="11"/>
      <c r="M8993" s="12"/>
      <c r="N8993" s="12"/>
      <c r="O8993" s="11"/>
      <c r="P8993" s="11"/>
    </row>
    <row r="8994" spans="1:16" ht="12.75" x14ac:dyDescent="0.35">
      <c r="A8994" s="11"/>
      <c r="B8994" s="9"/>
      <c r="C8994" s="9"/>
      <c r="D8994" s="9"/>
      <c r="E8994" s="11"/>
      <c r="F8994" s="11"/>
      <c r="G8994" s="11"/>
      <c r="H8994" s="11"/>
      <c r="I8994" s="11"/>
      <c r="J8994" s="11"/>
      <c r="K8994" s="11"/>
      <c r="L8994" s="11"/>
      <c r="M8994" s="12"/>
      <c r="N8994" s="12"/>
      <c r="O8994" s="11"/>
      <c r="P8994" s="11"/>
    </row>
    <row r="8995" spans="1:16" ht="12.75" x14ac:dyDescent="0.35">
      <c r="A8995" s="11"/>
      <c r="B8995" s="9"/>
      <c r="C8995" s="9"/>
      <c r="D8995" s="9"/>
      <c r="E8995" s="11"/>
      <c r="F8995" s="11"/>
      <c r="G8995" s="11"/>
      <c r="H8995" s="11"/>
      <c r="I8995" s="11"/>
      <c r="J8995" s="11"/>
      <c r="K8995" s="11"/>
      <c r="L8995" s="11"/>
      <c r="M8995" s="12"/>
      <c r="N8995" s="12"/>
      <c r="O8995" s="11"/>
      <c r="P8995" s="11"/>
    </row>
    <row r="8996" spans="1:16" ht="12.75" x14ac:dyDescent="0.35">
      <c r="A8996" s="11"/>
      <c r="B8996" s="9"/>
      <c r="C8996" s="9"/>
      <c r="D8996" s="9"/>
      <c r="E8996" s="11"/>
      <c r="F8996" s="11"/>
      <c r="G8996" s="11"/>
      <c r="H8996" s="11"/>
      <c r="I8996" s="11"/>
      <c r="J8996" s="11"/>
      <c r="K8996" s="11"/>
      <c r="L8996" s="11"/>
      <c r="M8996" s="12"/>
      <c r="N8996" s="12"/>
      <c r="O8996" s="11"/>
      <c r="P8996" s="11"/>
    </row>
    <row r="8997" spans="1:16" ht="12.75" x14ac:dyDescent="0.35">
      <c r="A8997" s="11"/>
      <c r="B8997" s="9"/>
      <c r="C8997" s="9"/>
      <c r="D8997" s="9"/>
      <c r="E8997" s="11"/>
      <c r="F8997" s="11"/>
      <c r="G8997" s="11"/>
      <c r="H8997" s="11"/>
      <c r="I8997" s="11"/>
      <c r="J8997" s="11"/>
      <c r="K8997" s="11"/>
      <c r="L8997" s="11"/>
      <c r="M8997" s="12"/>
      <c r="N8997" s="12"/>
      <c r="O8997" s="11"/>
      <c r="P8997" s="11"/>
    </row>
    <row r="8998" spans="1:16" ht="12.75" x14ac:dyDescent="0.35">
      <c r="A8998" s="11"/>
      <c r="B8998" s="9"/>
      <c r="C8998" s="9"/>
      <c r="D8998" s="9"/>
      <c r="E8998" s="11"/>
      <c r="F8998" s="11"/>
      <c r="G8998" s="11"/>
      <c r="H8998" s="11"/>
      <c r="I8998" s="11"/>
      <c r="J8998" s="11"/>
      <c r="K8998" s="11"/>
      <c r="L8998" s="11"/>
      <c r="M8998" s="12"/>
      <c r="N8998" s="12"/>
      <c r="O8998" s="11"/>
      <c r="P8998" s="11"/>
    </row>
    <row r="8999" spans="1:16" ht="12.75" x14ac:dyDescent="0.35">
      <c r="A8999" s="11"/>
      <c r="B8999" s="9"/>
      <c r="C8999" s="9"/>
      <c r="D8999" s="9"/>
      <c r="E8999" s="11"/>
      <c r="F8999" s="11"/>
      <c r="G8999" s="11"/>
      <c r="H8999" s="11"/>
      <c r="I8999" s="11"/>
      <c r="J8999" s="11"/>
      <c r="K8999" s="11"/>
      <c r="L8999" s="11"/>
      <c r="M8999" s="12"/>
      <c r="N8999" s="12"/>
      <c r="O8999" s="11"/>
      <c r="P8999" s="11"/>
    </row>
    <row r="9000" spans="1:16" ht="12.75" x14ac:dyDescent="0.35">
      <c r="A9000" s="11"/>
      <c r="B9000" s="9"/>
      <c r="C9000" s="9"/>
      <c r="D9000" s="9"/>
      <c r="E9000" s="11"/>
      <c r="F9000" s="11"/>
      <c r="G9000" s="11"/>
      <c r="H9000" s="11"/>
      <c r="I9000" s="11"/>
      <c r="J9000" s="11"/>
      <c r="K9000" s="11"/>
      <c r="L9000" s="11"/>
      <c r="M9000" s="12"/>
      <c r="N9000" s="12"/>
      <c r="O9000" s="11"/>
      <c r="P9000" s="11"/>
    </row>
    <row r="9001" spans="1:16" ht="12.75" x14ac:dyDescent="0.35">
      <c r="A9001" s="11"/>
      <c r="B9001" s="9"/>
      <c r="C9001" s="9"/>
      <c r="D9001" s="9"/>
      <c r="E9001" s="11"/>
      <c r="F9001" s="11"/>
      <c r="G9001" s="11"/>
      <c r="H9001" s="11"/>
      <c r="I9001" s="11"/>
      <c r="J9001" s="11"/>
      <c r="K9001" s="11"/>
      <c r="L9001" s="11"/>
      <c r="M9001" s="12"/>
      <c r="N9001" s="12"/>
      <c r="O9001" s="11"/>
      <c r="P9001" s="11"/>
    </row>
    <row r="9002" spans="1:16" ht="12.75" x14ac:dyDescent="0.35">
      <c r="A9002" s="11"/>
      <c r="B9002" s="9"/>
      <c r="C9002" s="9"/>
      <c r="D9002" s="9"/>
      <c r="E9002" s="11"/>
      <c r="F9002" s="11"/>
      <c r="G9002" s="11"/>
      <c r="H9002" s="11"/>
      <c r="I9002" s="11"/>
      <c r="J9002" s="11"/>
      <c r="K9002" s="11"/>
      <c r="L9002" s="11"/>
      <c r="M9002" s="12"/>
      <c r="N9002" s="12"/>
      <c r="O9002" s="11"/>
      <c r="P9002" s="11"/>
    </row>
    <row r="9003" spans="1:16" ht="12.75" x14ac:dyDescent="0.35">
      <c r="A9003" s="11"/>
      <c r="B9003" s="9"/>
      <c r="C9003" s="9"/>
      <c r="D9003" s="9"/>
      <c r="E9003" s="11"/>
      <c r="F9003" s="11"/>
      <c r="G9003" s="11"/>
      <c r="H9003" s="11"/>
      <c r="I9003" s="11"/>
      <c r="J9003" s="11"/>
      <c r="K9003" s="11"/>
      <c r="L9003" s="11"/>
      <c r="M9003" s="12"/>
      <c r="N9003" s="12"/>
      <c r="O9003" s="11"/>
      <c r="P9003" s="11"/>
    </row>
    <row r="9004" spans="1:16" ht="12.75" x14ac:dyDescent="0.35">
      <c r="A9004" s="11"/>
      <c r="B9004" s="9"/>
      <c r="C9004" s="9"/>
      <c r="D9004" s="9"/>
      <c r="E9004" s="11"/>
      <c r="F9004" s="11"/>
      <c r="G9004" s="11"/>
      <c r="H9004" s="11"/>
      <c r="I9004" s="11"/>
      <c r="J9004" s="11"/>
      <c r="K9004" s="11"/>
      <c r="L9004" s="11"/>
      <c r="M9004" s="12"/>
      <c r="N9004" s="12"/>
      <c r="O9004" s="11"/>
      <c r="P9004" s="11"/>
    </row>
    <row r="9005" spans="1:16" ht="12.75" x14ac:dyDescent="0.35">
      <c r="A9005" s="11"/>
      <c r="B9005" s="9"/>
      <c r="C9005" s="9"/>
      <c r="D9005" s="9"/>
      <c r="E9005" s="11"/>
      <c r="F9005" s="11"/>
      <c r="G9005" s="11"/>
      <c r="H9005" s="11"/>
      <c r="I9005" s="11"/>
      <c r="J9005" s="11"/>
      <c r="K9005" s="11"/>
      <c r="L9005" s="11"/>
      <c r="M9005" s="12"/>
      <c r="N9005" s="12"/>
      <c r="O9005" s="11"/>
      <c r="P9005" s="11"/>
    </row>
    <row r="9006" spans="1:16" ht="12.75" x14ac:dyDescent="0.35">
      <c r="A9006" s="11"/>
      <c r="B9006" s="9"/>
      <c r="C9006" s="9"/>
      <c r="D9006" s="9"/>
      <c r="E9006" s="11"/>
      <c r="F9006" s="11"/>
      <c r="G9006" s="11"/>
      <c r="H9006" s="11"/>
      <c r="I9006" s="11"/>
      <c r="J9006" s="11"/>
      <c r="K9006" s="11"/>
      <c r="L9006" s="11"/>
      <c r="M9006" s="12"/>
      <c r="N9006" s="12"/>
      <c r="O9006" s="11"/>
      <c r="P9006" s="11"/>
    </row>
    <row r="9007" spans="1:16" ht="12.75" x14ac:dyDescent="0.35">
      <c r="A9007" s="11"/>
      <c r="B9007" s="9"/>
      <c r="C9007" s="9"/>
      <c r="D9007" s="9"/>
      <c r="E9007" s="11"/>
      <c r="F9007" s="11"/>
      <c r="G9007" s="11"/>
      <c r="H9007" s="11"/>
      <c r="I9007" s="11"/>
      <c r="J9007" s="11"/>
      <c r="K9007" s="11"/>
      <c r="L9007" s="11"/>
      <c r="M9007" s="12"/>
      <c r="N9007" s="12"/>
      <c r="O9007" s="11"/>
      <c r="P9007" s="11"/>
    </row>
    <row r="9008" spans="1:16" ht="12.75" x14ac:dyDescent="0.35">
      <c r="A9008" s="11"/>
      <c r="B9008" s="9"/>
      <c r="C9008" s="9"/>
      <c r="D9008" s="9"/>
      <c r="E9008" s="11"/>
      <c r="F9008" s="11"/>
      <c r="G9008" s="11"/>
      <c r="H9008" s="11"/>
      <c r="I9008" s="11"/>
      <c r="J9008" s="11"/>
      <c r="K9008" s="11"/>
      <c r="L9008" s="11"/>
      <c r="M9008" s="12"/>
      <c r="N9008" s="12"/>
      <c r="O9008" s="11"/>
      <c r="P9008" s="11"/>
    </row>
    <row r="9009" spans="1:16" ht="12.75" x14ac:dyDescent="0.35">
      <c r="A9009" s="11"/>
      <c r="B9009" s="9"/>
      <c r="C9009" s="9"/>
      <c r="D9009" s="9"/>
      <c r="E9009" s="11"/>
      <c r="F9009" s="11"/>
      <c r="G9009" s="11"/>
      <c r="H9009" s="11"/>
      <c r="I9009" s="11"/>
      <c r="J9009" s="11"/>
      <c r="K9009" s="11"/>
      <c r="L9009" s="11"/>
      <c r="M9009" s="12"/>
      <c r="N9009" s="12"/>
      <c r="O9009" s="11"/>
      <c r="P9009" s="11"/>
    </row>
    <row r="9010" spans="1:16" ht="12.75" x14ac:dyDescent="0.35">
      <c r="A9010" s="11"/>
      <c r="B9010" s="9"/>
      <c r="C9010" s="9"/>
      <c r="D9010" s="9"/>
      <c r="E9010" s="11"/>
      <c r="F9010" s="11"/>
      <c r="G9010" s="11"/>
      <c r="H9010" s="11"/>
      <c r="I9010" s="11"/>
      <c r="J9010" s="11"/>
      <c r="K9010" s="11"/>
      <c r="L9010" s="11"/>
      <c r="M9010" s="12"/>
      <c r="N9010" s="12"/>
      <c r="O9010" s="11"/>
      <c r="P9010" s="11"/>
    </row>
    <row r="9011" spans="1:16" ht="12.75" x14ac:dyDescent="0.35">
      <c r="A9011" s="11"/>
      <c r="B9011" s="9"/>
      <c r="C9011" s="9"/>
      <c r="D9011" s="9"/>
      <c r="E9011" s="11"/>
      <c r="F9011" s="11"/>
      <c r="G9011" s="11"/>
      <c r="H9011" s="11"/>
      <c r="I9011" s="11"/>
      <c r="J9011" s="11"/>
      <c r="K9011" s="11"/>
      <c r="L9011" s="11"/>
      <c r="M9011" s="12"/>
      <c r="N9011" s="12"/>
      <c r="O9011" s="11"/>
      <c r="P9011" s="11"/>
    </row>
    <row r="9012" spans="1:16" ht="12.75" x14ac:dyDescent="0.35">
      <c r="A9012" s="11"/>
      <c r="B9012" s="9"/>
      <c r="C9012" s="9"/>
      <c r="D9012" s="9"/>
      <c r="E9012" s="11"/>
      <c r="F9012" s="11"/>
      <c r="G9012" s="11"/>
      <c r="H9012" s="11"/>
      <c r="I9012" s="11"/>
      <c r="J9012" s="11"/>
      <c r="K9012" s="11"/>
      <c r="L9012" s="11"/>
      <c r="M9012" s="12"/>
      <c r="N9012" s="12"/>
      <c r="O9012" s="11"/>
      <c r="P9012" s="11"/>
    </row>
    <row r="9013" spans="1:16" ht="12.75" x14ac:dyDescent="0.35">
      <c r="A9013" s="11"/>
      <c r="B9013" s="9"/>
      <c r="C9013" s="9"/>
      <c r="D9013" s="9"/>
      <c r="E9013" s="11"/>
      <c r="F9013" s="11"/>
      <c r="G9013" s="11"/>
      <c r="H9013" s="11"/>
      <c r="I9013" s="11"/>
      <c r="J9013" s="11"/>
      <c r="K9013" s="11"/>
      <c r="L9013" s="11"/>
      <c r="M9013" s="12"/>
      <c r="N9013" s="12"/>
      <c r="O9013" s="11"/>
      <c r="P9013" s="11"/>
    </row>
    <row r="9014" spans="1:16" ht="12.75" x14ac:dyDescent="0.35">
      <c r="A9014" s="11"/>
      <c r="B9014" s="9"/>
      <c r="C9014" s="9"/>
      <c r="D9014" s="9"/>
      <c r="E9014" s="11"/>
      <c r="F9014" s="11"/>
      <c r="G9014" s="11"/>
      <c r="H9014" s="11"/>
      <c r="I9014" s="11"/>
      <c r="J9014" s="11"/>
      <c r="K9014" s="11"/>
      <c r="L9014" s="11"/>
      <c r="M9014" s="12"/>
      <c r="N9014" s="12"/>
      <c r="O9014" s="11"/>
      <c r="P9014" s="11"/>
    </row>
    <row r="9015" spans="1:16" ht="12.75" x14ac:dyDescent="0.35">
      <c r="A9015" s="11"/>
      <c r="B9015" s="9"/>
      <c r="C9015" s="9"/>
      <c r="D9015" s="9"/>
      <c r="E9015" s="11"/>
      <c r="F9015" s="11"/>
      <c r="G9015" s="11"/>
      <c r="H9015" s="11"/>
      <c r="I9015" s="11"/>
      <c r="J9015" s="11"/>
      <c r="K9015" s="11"/>
      <c r="L9015" s="11"/>
      <c r="M9015" s="12"/>
      <c r="N9015" s="12"/>
      <c r="O9015" s="11"/>
      <c r="P9015" s="11"/>
    </row>
    <row r="9016" spans="1:16" ht="12.75" x14ac:dyDescent="0.35">
      <c r="A9016" s="11"/>
      <c r="B9016" s="9"/>
      <c r="C9016" s="9"/>
      <c r="D9016" s="9"/>
      <c r="E9016" s="11"/>
      <c r="F9016" s="11"/>
      <c r="G9016" s="11"/>
      <c r="H9016" s="11"/>
      <c r="I9016" s="11"/>
      <c r="J9016" s="11"/>
      <c r="K9016" s="11"/>
      <c r="L9016" s="11"/>
      <c r="M9016" s="12"/>
      <c r="N9016" s="12"/>
      <c r="O9016" s="11"/>
      <c r="P9016" s="11"/>
    </row>
    <row r="9017" spans="1:16" ht="12.75" x14ac:dyDescent="0.35">
      <c r="A9017" s="11"/>
      <c r="B9017" s="9"/>
      <c r="C9017" s="9"/>
      <c r="D9017" s="9"/>
      <c r="E9017" s="11"/>
      <c r="F9017" s="11"/>
      <c r="G9017" s="11"/>
      <c r="H9017" s="11"/>
      <c r="I9017" s="11"/>
      <c r="J9017" s="11"/>
      <c r="K9017" s="11"/>
      <c r="L9017" s="11"/>
      <c r="M9017" s="12"/>
      <c r="N9017" s="12"/>
      <c r="O9017" s="11"/>
      <c r="P9017" s="11"/>
    </row>
    <row r="9018" spans="1:16" ht="12.75" x14ac:dyDescent="0.35">
      <c r="A9018" s="11"/>
      <c r="B9018" s="9"/>
      <c r="C9018" s="9"/>
      <c r="D9018" s="9"/>
      <c r="E9018" s="11"/>
      <c r="F9018" s="11"/>
      <c r="G9018" s="11"/>
      <c r="H9018" s="11"/>
      <c r="I9018" s="11"/>
      <c r="J9018" s="11"/>
      <c r="K9018" s="11"/>
      <c r="L9018" s="11"/>
      <c r="M9018" s="12"/>
      <c r="N9018" s="12"/>
      <c r="O9018" s="11"/>
      <c r="P9018" s="11"/>
    </row>
    <row r="9019" spans="1:16" ht="12.75" x14ac:dyDescent="0.35">
      <c r="A9019" s="11"/>
      <c r="B9019" s="9"/>
      <c r="C9019" s="9"/>
      <c r="D9019" s="9"/>
      <c r="E9019" s="11"/>
      <c r="F9019" s="11"/>
      <c r="G9019" s="11"/>
      <c r="H9019" s="11"/>
      <c r="I9019" s="11"/>
      <c r="J9019" s="11"/>
      <c r="K9019" s="11"/>
      <c r="L9019" s="11"/>
      <c r="M9019" s="12"/>
      <c r="N9019" s="12"/>
      <c r="O9019" s="11"/>
      <c r="P9019" s="11"/>
    </row>
    <row r="9020" spans="1:16" ht="12.75" x14ac:dyDescent="0.35">
      <c r="A9020" s="11"/>
      <c r="B9020" s="9"/>
      <c r="C9020" s="9"/>
      <c r="D9020" s="9"/>
      <c r="E9020" s="11"/>
      <c r="F9020" s="11"/>
      <c r="G9020" s="11"/>
      <c r="H9020" s="11"/>
      <c r="I9020" s="11"/>
      <c r="J9020" s="11"/>
      <c r="K9020" s="11"/>
      <c r="L9020" s="11"/>
      <c r="M9020" s="12"/>
      <c r="N9020" s="12"/>
      <c r="O9020" s="11"/>
      <c r="P9020" s="11"/>
    </row>
    <row r="9021" spans="1:16" ht="12.75" x14ac:dyDescent="0.35">
      <c r="A9021" s="11"/>
      <c r="B9021" s="9"/>
      <c r="C9021" s="9"/>
      <c r="D9021" s="9"/>
      <c r="E9021" s="11"/>
      <c r="F9021" s="11"/>
      <c r="G9021" s="11"/>
      <c r="H9021" s="11"/>
      <c r="I9021" s="11"/>
      <c r="J9021" s="11"/>
      <c r="K9021" s="11"/>
      <c r="L9021" s="11"/>
      <c r="M9021" s="12"/>
      <c r="N9021" s="12"/>
      <c r="O9021" s="11"/>
      <c r="P9021" s="11"/>
    </row>
    <row r="9022" spans="1:16" ht="12.75" x14ac:dyDescent="0.35">
      <c r="A9022" s="11"/>
      <c r="B9022" s="9"/>
      <c r="C9022" s="9"/>
      <c r="D9022" s="9"/>
      <c r="E9022" s="11"/>
      <c r="F9022" s="11"/>
      <c r="G9022" s="11"/>
      <c r="H9022" s="11"/>
      <c r="I9022" s="11"/>
      <c r="J9022" s="11"/>
      <c r="K9022" s="11"/>
      <c r="L9022" s="11"/>
      <c r="M9022" s="12"/>
      <c r="N9022" s="12"/>
      <c r="O9022" s="11"/>
      <c r="P9022" s="11"/>
    </row>
    <row r="9023" spans="1:16" ht="12.75" x14ac:dyDescent="0.35">
      <c r="A9023" s="11"/>
      <c r="B9023" s="9"/>
      <c r="C9023" s="9"/>
      <c r="D9023" s="9"/>
      <c r="E9023" s="11"/>
      <c r="F9023" s="11"/>
      <c r="G9023" s="11"/>
      <c r="H9023" s="11"/>
      <c r="I9023" s="11"/>
      <c r="J9023" s="11"/>
      <c r="K9023" s="11"/>
      <c r="L9023" s="11"/>
      <c r="M9023" s="12"/>
      <c r="N9023" s="12"/>
      <c r="O9023" s="11"/>
      <c r="P9023" s="11"/>
    </row>
    <row r="9024" spans="1:16" ht="12.75" x14ac:dyDescent="0.35">
      <c r="A9024" s="11"/>
      <c r="B9024" s="9"/>
      <c r="C9024" s="9"/>
      <c r="D9024" s="9"/>
      <c r="E9024" s="11"/>
      <c r="F9024" s="11"/>
      <c r="G9024" s="11"/>
      <c r="H9024" s="11"/>
      <c r="I9024" s="11"/>
      <c r="J9024" s="11"/>
      <c r="K9024" s="11"/>
      <c r="L9024" s="11"/>
      <c r="M9024" s="12"/>
      <c r="N9024" s="12"/>
      <c r="O9024" s="11"/>
      <c r="P9024" s="11"/>
    </row>
    <row r="9025" spans="1:16" ht="12.75" x14ac:dyDescent="0.35">
      <c r="A9025" s="11"/>
      <c r="B9025" s="9"/>
      <c r="C9025" s="9"/>
      <c r="D9025" s="9"/>
      <c r="E9025" s="11"/>
      <c r="F9025" s="11"/>
      <c r="G9025" s="11"/>
      <c r="H9025" s="11"/>
      <c r="I9025" s="11"/>
      <c r="J9025" s="11"/>
      <c r="K9025" s="11"/>
      <c r="L9025" s="11"/>
      <c r="M9025" s="12"/>
      <c r="N9025" s="12"/>
      <c r="O9025" s="11"/>
      <c r="P9025" s="11"/>
    </row>
    <row r="9026" spans="1:16" ht="12.75" x14ac:dyDescent="0.35">
      <c r="A9026" s="11"/>
      <c r="B9026" s="9"/>
      <c r="C9026" s="9"/>
      <c r="D9026" s="9"/>
      <c r="E9026" s="11"/>
      <c r="F9026" s="11"/>
      <c r="G9026" s="11"/>
      <c r="H9026" s="11"/>
      <c r="I9026" s="11"/>
      <c r="J9026" s="11"/>
      <c r="K9026" s="11"/>
      <c r="L9026" s="11"/>
      <c r="M9026" s="12"/>
      <c r="N9026" s="12"/>
      <c r="O9026" s="11"/>
      <c r="P9026" s="11"/>
    </row>
    <row r="9027" spans="1:16" ht="12.75" x14ac:dyDescent="0.35">
      <c r="A9027" s="11"/>
      <c r="B9027" s="9"/>
      <c r="C9027" s="9"/>
      <c r="D9027" s="9"/>
      <c r="E9027" s="11"/>
      <c r="F9027" s="11"/>
      <c r="G9027" s="11"/>
      <c r="H9027" s="11"/>
      <c r="I9027" s="11"/>
      <c r="J9027" s="11"/>
      <c r="K9027" s="11"/>
      <c r="L9027" s="11"/>
      <c r="M9027" s="12"/>
      <c r="N9027" s="12"/>
      <c r="O9027" s="11"/>
      <c r="P9027" s="11"/>
    </row>
    <row r="9028" spans="1:16" ht="12.75" x14ac:dyDescent="0.35">
      <c r="A9028" s="11"/>
      <c r="B9028" s="9"/>
      <c r="C9028" s="9"/>
      <c r="D9028" s="9"/>
      <c r="E9028" s="11"/>
      <c r="F9028" s="11"/>
      <c r="G9028" s="11"/>
      <c r="H9028" s="11"/>
      <c r="I9028" s="11"/>
      <c r="J9028" s="11"/>
      <c r="K9028" s="11"/>
      <c r="L9028" s="11"/>
      <c r="M9028" s="12"/>
      <c r="N9028" s="12"/>
      <c r="O9028" s="11"/>
      <c r="P9028" s="11"/>
    </row>
    <row r="9029" spans="1:16" ht="12.75" x14ac:dyDescent="0.35">
      <c r="A9029" s="11"/>
      <c r="B9029" s="9"/>
      <c r="C9029" s="9"/>
      <c r="D9029" s="9"/>
      <c r="E9029" s="11"/>
      <c r="F9029" s="11"/>
      <c r="G9029" s="11"/>
      <c r="H9029" s="11"/>
      <c r="I9029" s="11"/>
      <c r="J9029" s="11"/>
      <c r="K9029" s="11"/>
      <c r="L9029" s="11"/>
      <c r="M9029" s="12"/>
      <c r="N9029" s="12"/>
      <c r="O9029" s="11"/>
      <c r="P9029" s="11"/>
    </row>
    <row r="9030" spans="1:16" ht="12.75" x14ac:dyDescent="0.35">
      <c r="A9030" s="11"/>
      <c r="B9030" s="9"/>
      <c r="C9030" s="9"/>
      <c r="D9030" s="9"/>
      <c r="E9030" s="11"/>
      <c r="F9030" s="11"/>
      <c r="G9030" s="11"/>
      <c r="H9030" s="11"/>
      <c r="I9030" s="11"/>
      <c r="J9030" s="11"/>
      <c r="K9030" s="11"/>
      <c r="L9030" s="11"/>
      <c r="M9030" s="12"/>
      <c r="N9030" s="12"/>
      <c r="O9030" s="11"/>
      <c r="P9030" s="11"/>
    </row>
    <row r="9031" spans="1:16" ht="12.75" x14ac:dyDescent="0.35">
      <c r="A9031" s="11"/>
      <c r="B9031" s="9"/>
      <c r="C9031" s="9"/>
      <c r="D9031" s="9"/>
      <c r="E9031" s="11"/>
      <c r="F9031" s="11"/>
      <c r="G9031" s="11"/>
      <c r="H9031" s="11"/>
      <c r="I9031" s="11"/>
      <c r="J9031" s="11"/>
      <c r="K9031" s="11"/>
      <c r="L9031" s="11"/>
      <c r="M9031" s="12"/>
      <c r="N9031" s="12"/>
      <c r="O9031" s="11"/>
      <c r="P9031" s="11"/>
    </row>
    <row r="9032" spans="1:16" ht="12.75" x14ac:dyDescent="0.35">
      <c r="A9032" s="11"/>
      <c r="B9032" s="9"/>
      <c r="C9032" s="9"/>
      <c r="D9032" s="9"/>
      <c r="E9032" s="11"/>
      <c r="F9032" s="11"/>
      <c r="G9032" s="11"/>
      <c r="H9032" s="11"/>
      <c r="I9032" s="11"/>
      <c r="J9032" s="11"/>
      <c r="K9032" s="11"/>
      <c r="L9032" s="11"/>
      <c r="M9032" s="12"/>
      <c r="N9032" s="12"/>
      <c r="O9032" s="11"/>
      <c r="P9032" s="11"/>
    </row>
    <row r="9033" spans="1:16" ht="12.75" x14ac:dyDescent="0.35">
      <c r="A9033" s="11"/>
      <c r="B9033" s="9"/>
      <c r="C9033" s="9"/>
      <c r="D9033" s="9"/>
      <c r="E9033" s="11"/>
      <c r="F9033" s="11"/>
      <c r="G9033" s="11"/>
      <c r="H9033" s="11"/>
      <c r="I9033" s="11"/>
      <c r="J9033" s="11"/>
      <c r="K9033" s="11"/>
      <c r="L9033" s="11"/>
      <c r="M9033" s="12"/>
      <c r="N9033" s="12"/>
      <c r="O9033" s="11"/>
      <c r="P9033" s="11"/>
    </row>
    <row r="9034" spans="1:16" ht="12.75" x14ac:dyDescent="0.35">
      <c r="A9034" s="11"/>
      <c r="B9034" s="9"/>
      <c r="C9034" s="9"/>
      <c r="D9034" s="9"/>
      <c r="E9034" s="11"/>
      <c r="F9034" s="11"/>
      <c r="G9034" s="11"/>
      <c r="H9034" s="11"/>
      <c r="I9034" s="11"/>
      <c r="J9034" s="11"/>
      <c r="K9034" s="11"/>
      <c r="L9034" s="11"/>
      <c r="M9034" s="12"/>
      <c r="N9034" s="12"/>
      <c r="O9034" s="11"/>
      <c r="P9034" s="11"/>
    </row>
    <row r="9035" spans="1:16" ht="12.75" x14ac:dyDescent="0.35">
      <c r="A9035" s="11"/>
      <c r="B9035" s="9"/>
      <c r="C9035" s="9"/>
      <c r="D9035" s="9"/>
      <c r="E9035" s="11"/>
      <c r="F9035" s="11"/>
      <c r="G9035" s="11"/>
      <c r="H9035" s="11"/>
      <c r="I9035" s="11"/>
      <c r="J9035" s="11"/>
      <c r="K9035" s="11"/>
      <c r="L9035" s="11"/>
      <c r="M9035" s="12"/>
      <c r="N9035" s="12"/>
      <c r="O9035" s="11"/>
      <c r="P9035" s="11"/>
    </row>
    <row r="9036" spans="1:16" ht="12.75" x14ac:dyDescent="0.35">
      <c r="A9036" s="11"/>
      <c r="B9036" s="9"/>
      <c r="C9036" s="9"/>
      <c r="D9036" s="9"/>
      <c r="E9036" s="11"/>
      <c r="F9036" s="11"/>
      <c r="G9036" s="11"/>
      <c r="H9036" s="11"/>
      <c r="I9036" s="11"/>
      <c r="J9036" s="11"/>
      <c r="K9036" s="11"/>
      <c r="L9036" s="11"/>
      <c r="M9036" s="12"/>
      <c r="N9036" s="12"/>
      <c r="O9036" s="11"/>
      <c r="P9036" s="11"/>
    </row>
    <row r="9037" spans="1:16" ht="12.75" x14ac:dyDescent="0.35">
      <c r="A9037" s="11"/>
      <c r="B9037" s="9"/>
      <c r="C9037" s="9"/>
      <c r="D9037" s="9"/>
      <c r="E9037" s="11"/>
      <c r="F9037" s="11"/>
      <c r="G9037" s="11"/>
      <c r="H9037" s="11"/>
      <c r="I9037" s="11"/>
      <c r="J9037" s="11"/>
      <c r="K9037" s="11"/>
      <c r="L9037" s="11"/>
      <c r="M9037" s="12"/>
      <c r="N9037" s="12"/>
      <c r="O9037" s="11"/>
      <c r="P9037" s="11"/>
    </row>
    <row r="9038" spans="1:16" ht="12.75" x14ac:dyDescent="0.35">
      <c r="A9038" s="11"/>
      <c r="B9038" s="9"/>
      <c r="C9038" s="9"/>
      <c r="D9038" s="9"/>
      <c r="E9038" s="11"/>
      <c r="F9038" s="11"/>
      <c r="G9038" s="11"/>
      <c r="H9038" s="11"/>
      <c r="I9038" s="11"/>
      <c r="J9038" s="11"/>
      <c r="K9038" s="11"/>
      <c r="L9038" s="11"/>
      <c r="M9038" s="12"/>
      <c r="N9038" s="12"/>
      <c r="O9038" s="11"/>
      <c r="P9038" s="11"/>
    </row>
    <row r="9039" spans="1:16" ht="12.75" x14ac:dyDescent="0.35">
      <c r="A9039" s="11"/>
      <c r="B9039" s="9"/>
      <c r="C9039" s="9"/>
      <c r="D9039" s="9"/>
      <c r="E9039" s="11"/>
      <c r="F9039" s="11"/>
      <c r="G9039" s="11"/>
      <c r="H9039" s="11"/>
      <c r="I9039" s="11"/>
      <c r="J9039" s="11"/>
      <c r="K9039" s="11"/>
      <c r="L9039" s="11"/>
      <c r="M9039" s="12"/>
      <c r="N9039" s="12"/>
      <c r="O9039" s="11"/>
      <c r="P9039" s="11"/>
    </row>
    <row r="9040" spans="1:16" ht="12.75" x14ac:dyDescent="0.35">
      <c r="A9040" s="11"/>
      <c r="B9040" s="9"/>
      <c r="C9040" s="9"/>
      <c r="D9040" s="9"/>
      <c r="E9040" s="11"/>
      <c r="F9040" s="11"/>
      <c r="G9040" s="11"/>
      <c r="H9040" s="11"/>
      <c r="I9040" s="11"/>
      <c r="J9040" s="11"/>
      <c r="K9040" s="11"/>
      <c r="L9040" s="11"/>
      <c r="M9040" s="12"/>
      <c r="N9040" s="12"/>
      <c r="O9040" s="11"/>
      <c r="P9040" s="11"/>
    </row>
    <row r="9041" spans="1:16" ht="12.75" x14ac:dyDescent="0.35">
      <c r="A9041" s="11"/>
      <c r="B9041" s="9"/>
      <c r="C9041" s="9"/>
      <c r="D9041" s="9"/>
      <c r="E9041" s="11"/>
      <c r="F9041" s="11"/>
      <c r="G9041" s="11"/>
      <c r="H9041" s="11"/>
      <c r="I9041" s="11"/>
      <c r="J9041" s="11"/>
      <c r="K9041" s="11"/>
      <c r="L9041" s="11"/>
      <c r="M9041" s="12"/>
      <c r="N9041" s="12"/>
      <c r="O9041" s="11"/>
      <c r="P9041" s="11"/>
    </row>
    <row r="9042" spans="1:16" ht="12.75" x14ac:dyDescent="0.35">
      <c r="A9042" s="11"/>
      <c r="B9042" s="9"/>
      <c r="C9042" s="9"/>
      <c r="D9042" s="9"/>
      <c r="E9042" s="11"/>
      <c r="F9042" s="11"/>
      <c r="G9042" s="11"/>
      <c r="H9042" s="11"/>
      <c r="I9042" s="11"/>
      <c r="J9042" s="11"/>
      <c r="K9042" s="11"/>
      <c r="L9042" s="11"/>
      <c r="M9042" s="12"/>
      <c r="N9042" s="12"/>
      <c r="O9042" s="11"/>
      <c r="P9042" s="11"/>
    </row>
    <row r="9043" spans="1:16" ht="12.75" x14ac:dyDescent="0.35">
      <c r="A9043" s="11"/>
      <c r="B9043" s="9"/>
      <c r="C9043" s="9"/>
      <c r="D9043" s="9"/>
      <c r="E9043" s="11"/>
      <c r="F9043" s="11"/>
      <c r="G9043" s="11"/>
      <c r="H9043" s="11"/>
      <c r="I9043" s="11"/>
      <c r="J9043" s="11"/>
      <c r="K9043" s="11"/>
      <c r="L9043" s="11"/>
      <c r="M9043" s="12"/>
      <c r="N9043" s="12"/>
      <c r="O9043" s="11"/>
      <c r="P9043" s="11"/>
    </row>
    <row r="9044" spans="1:16" ht="12.75" x14ac:dyDescent="0.35">
      <c r="A9044" s="11"/>
      <c r="B9044" s="9"/>
      <c r="C9044" s="9"/>
      <c r="D9044" s="9"/>
      <c r="E9044" s="11"/>
      <c r="F9044" s="11"/>
      <c r="G9044" s="11"/>
      <c r="H9044" s="11"/>
      <c r="I9044" s="11"/>
      <c r="J9044" s="11"/>
      <c r="K9044" s="11"/>
      <c r="L9044" s="11"/>
      <c r="M9044" s="12"/>
      <c r="N9044" s="12"/>
      <c r="O9044" s="11"/>
      <c r="P9044" s="11"/>
    </row>
    <row r="9045" spans="1:16" ht="12.75" x14ac:dyDescent="0.35">
      <c r="A9045" s="11"/>
      <c r="B9045" s="9"/>
      <c r="C9045" s="9"/>
      <c r="D9045" s="9"/>
      <c r="E9045" s="11"/>
      <c r="F9045" s="11"/>
      <c r="G9045" s="11"/>
      <c r="H9045" s="11"/>
      <c r="I9045" s="11"/>
      <c r="J9045" s="11"/>
      <c r="K9045" s="11"/>
      <c r="L9045" s="11"/>
      <c r="M9045" s="12"/>
      <c r="N9045" s="12"/>
      <c r="O9045" s="11"/>
      <c r="P9045" s="11"/>
    </row>
    <row r="9046" spans="1:16" ht="12.75" x14ac:dyDescent="0.35">
      <c r="A9046" s="11"/>
      <c r="B9046" s="9"/>
      <c r="C9046" s="9"/>
      <c r="D9046" s="9"/>
      <c r="E9046" s="11"/>
      <c r="F9046" s="11"/>
      <c r="G9046" s="11"/>
      <c r="H9046" s="11"/>
      <c r="I9046" s="11"/>
      <c r="J9046" s="11"/>
      <c r="K9046" s="11"/>
      <c r="L9046" s="11"/>
      <c r="M9046" s="12"/>
      <c r="N9046" s="12"/>
      <c r="O9046" s="11"/>
      <c r="P9046" s="11"/>
    </row>
    <row r="9047" spans="1:16" ht="12.75" x14ac:dyDescent="0.35">
      <c r="A9047" s="11"/>
      <c r="B9047" s="9"/>
      <c r="C9047" s="9"/>
      <c r="D9047" s="9"/>
      <c r="E9047" s="11"/>
      <c r="F9047" s="11"/>
      <c r="G9047" s="11"/>
      <c r="H9047" s="11"/>
      <c r="I9047" s="11"/>
      <c r="J9047" s="11"/>
      <c r="K9047" s="11"/>
      <c r="L9047" s="11"/>
      <c r="M9047" s="12"/>
      <c r="N9047" s="12"/>
      <c r="O9047" s="11"/>
      <c r="P9047" s="11"/>
    </row>
    <row r="9048" spans="1:16" ht="12.75" x14ac:dyDescent="0.35">
      <c r="A9048" s="11"/>
      <c r="B9048" s="9"/>
      <c r="C9048" s="9"/>
      <c r="D9048" s="9"/>
      <c r="E9048" s="11"/>
      <c r="F9048" s="11"/>
      <c r="G9048" s="11"/>
      <c r="H9048" s="11"/>
      <c r="I9048" s="11"/>
      <c r="J9048" s="11"/>
      <c r="K9048" s="11"/>
      <c r="L9048" s="11"/>
      <c r="M9048" s="12"/>
      <c r="N9048" s="12"/>
      <c r="O9048" s="11"/>
      <c r="P9048" s="11"/>
    </row>
    <row r="9049" spans="1:16" ht="12.75" x14ac:dyDescent="0.35">
      <c r="A9049" s="11"/>
      <c r="B9049" s="9"/>
      <c r="C9049" s="9"/>
      <c r="D9049" s="9"/>
      <c r="E9049" s="11"/>
      <c r="F9049" s="11"/>
      <c r="G9049" s="11"/>
      <c r="H9049" s="11"/>
      <c r="I9049" s="11"/>
      <c r="J9049" s="11"/>
      <c r="K9049" s="11"/>
      <c r="L9049" s="11"/>
      <c r="M9049" s="12"/>
      <c r="N9049" s="12"/>
      <c r="O9049" s="11"/>
      <c r="P9049" s="11"/>
    </row>
    <row r="9050" spans="1:16" ht="12.75" x14ac:dyDescent="0.35">
      <c r="A9050" s="11"/>
      <c r="B9050" s="9"/>
      <c r="C9050" s="9"/>
      <c r="D9050" s="9"/>
      <c r="E9050" s="11"/>
      <c r="F9050" s="11"/>
      <c r="G9050" s="11"/>
      <c r="H9050" s="11"/>
      <c r="I9050" s="11"/>
      <c r="J9050" s="11"/>
      <c r="K9050" s="11"/>
      <c r="L9050" s="11"/>
      <c r="M9050" s="12"/>
      <c r="N9050" s="12"/>
      <c r="O9050" s="11"/>
      <c r="P9050" s="11"/>
    </row>
    <row r="9051" spans="1:16" ht="12.75" x14ac:dyDescent="0.35">
      <c r="A9051" s="11"/>
      <c r="B9051" s="9"/>
      <c r="C9051" s="9"/>
      <c r="D9051" s="9"/>
      <c r="E9051" s="11"/>
      <c r="F9051" s="11"/>
      <c r="G9051" s="11"/>
      <c r="H9051" s="11"/>
      <c r="I9051" s="11"/>
      <c r="J9051" s="11"/>
      <c r="K9051" s="11"/>
      <c r="L9051" s="11"/>
      <c r="M9051" s="12"/>
      <c r="N9051" s="12"/>
      <c r="O9051" s="11"/>
      <c r="P9051" s="11"/>
    </row>
    <row r="9052" spans="1:16" ht="12.75" x14ac:dyDescent="0.35">
      <c r="A9052" s="11"/>
      <c r="B9052" s="9"/>
      <c r="C9052" s="9"/>
      <c r="D9052" s="9"/>
      <c r="E9052" s="11"/>
      <c r="F9052" s="11"/>
      <c r="G9052" s="11"/>
      <c r="H9052" s="11"/>
      <c r="I9052" s="11"/>
      <c r="J9052" s="11"/>
      <c r="K9052" s="11"/>
      <c r="L9052" s="11"/>
      <c r="M9052" s="12"/>
      <c r="N9052" s="12"/>
      <c r="O9052" s="11"/>
      <c r="P9052" s="11"/>
    </row>
    <row r="9053" spans="1:16" ht="12.75" x14ac:dyDescent="0.35">
      <c r="A9053" s="11"/>
      <c r="B9053" s="9"/>
      <c r="C9053" s="9"/>
      <c r="D9053" s="9"/>
      <c r="E9053" s="11"/>
      <c r="F9053" s="11"/>
      <c r="G9053" s="11"/>
      <c r="H9053" s="11"/>
      <c r="I9053" s="11"/>
      <c r="J9053" s="11"/>
      <c r="K9053" s="11"/>
      <c r="L9053" s="11"/>
      <c r="M9053" s="12"/>
      <c r="N9053" s="12"/>
      <c r="O9053" s="11"/>
      <c r="P9053" s="11"/>
    </row>
    <row r="9054" spans="1:16" ht="12.75" x14ac:dyDescent="0.35">
      <c r="A9054" s="11"/>
      <c r="B9054" s="9"/>
      <c r="C9054" s="9"/>
      <c r="D9054" s="9"/>
      <c r="E9054" s="11"/>
      <c r="F9054" s="11"/>
      <c r="G9054" s="11"/>
      <c r="H9054" s="11"/>
      <c r="I9054" s="11"/>
      <c r="J9054" s="11"/>
      <c r="K9054" s="11"/>
      <c r="L9054" s="11"/>
      <c r="M9054" s="12"/>
      <c r="N9054" s="12"/>
      <c r="O9054" s="11"/>
      <c r="P9054" s="11"/>
    </row>
    <row r="9055" spans="1:16" ht="12.75" x14ac:dyDescent="0.35">
      <c r="A9055" s="11"/>
      <c r="B9055" s="9"/>
      <c r="C9055" s="9"/>
      <c r="D9055" s="9"/>
      <c r="E9055" s="11"/>
      <c r="F9055" s="11"/>
      <c r="G9055" s="11"/>
      <c r="H9055" s="11"/>
      <c r="I9055" s="11"/>
      <c r="J9055" s="11"/>
      <c r="K9055" s="11"/>
      <c r="L9055" s="11"/>
      <c r="M9055" s="12"/>
      <c r="N9055" s="12"/>
      <c r="O9055" s="11"/>
      <c r="P9055" s="11"/>
    </row>
    <row r="9056" spans="1:16" ht="12.75" x14ac:dyDescent="0.35">
      <c r="A9056" s="11"/>
      <c r="B9056" s="9"/>
      <c r="C9056" s="9"/>
      <c r="D9056" s="9"/>
      <c r="E9056" s="11"/>
      <c r="F9056" s="11"/>
      <c r="G9056" s="11"/>
      <c r="H9056" s="11"/>
      <c r="I9056" s="11"/>
      <c r="J9056" s="11"/>
      <c r="K9056" s="11"/>
      <c r="L9056" s="11"/>
      <c r="M9056" s="12"/>
      <c r="N9056" s="12"/>
      <c r="O9056" s="11"/>
      <c r="P9056" s="11"/>
    </row>
    <row r="9057" spans="1:16" ht="12.75" x14ac:dyDescent="0.35">
      <c r="A9057" s="11"/>
      <c r="B9057" s="9"/>
      <c r="C9057" s="9"/>
      <c r="D9057" s="9"/>
      <c r="E9057" s="11"/>
      <c r="F9057" s="11"/>
      <c r="G9057" s="11"/>
      <c r="H9057" s="11"/>
      <c r="I9057" s="11"/>
      <c r="J9057" s="11"/>
      <c r="K9057" s="11"/>
      <c r="L9057" s="11"/>
      <c r="M9057" s="12"/>
      <c r="N9057" s="12"/>
      <c r="O9057" s="11"/>
      <c r="P9057" s="11"/>
    </row>
    <row r="9058" spans="1:16" ht="12.75" x14ac:dyDescent="0.35">
      <c r="A9058" s="11"/>
      <c r="B9058" s="9"/>
      <c r="C9058" s="9"/>
      <c r="D9058" s="9"/>
      <c r="E9058" s="11"/>
      <c r="F9058" s="11"/>
      <c r="G9058" s="11"/>
      <c r="H9058" s="11"/>
      <c r="I9058" s="11"/>
      <c r="J9058" s="11"/>
      <c r="K9058" s="11"/>
      <c r="L9058" s="11"/>
      <c r="M9058" s="12"/>
      <c r="N9058" s="12"/>
      <c r="O9058" s="11"/>
      <c r="P9058" s="11"/>
    </row>
    <row r="9059" spans="1:16" ht="12.75" x14ac:dyDescent="0.35">
      <c r="A9059" s="11"/>
      <c r="B9059" s="9"/>
      <c r="C9059" s="9"/>
      <c r="D9059" s="9"/>
      <c r="E9059" s="11"/>
      <c r="F9059" s="11"/>
      <c r="G9059" s="11"/>
      <c r="H9059" s="11"/>
      <c r="I9059" s="11"/>
      <c r="J9059" s="11"/>
      <c r="K9059" s="11"/>
      <c r="L9059" s="11"/>
      <c r="M9059" s="12"/>
      <c r="N9059" s="12"/>
      <c r="O9059" s="11"/>
      <c r="P9059" s="11"/>
    </row>
    <row r="9060" spans="1:16" ht="12.75" x14ac:dyDescent="0.35">
      <c r="A9060" s="11"/>
      <c r="B9060" s="9"/>
      <c r="C9060" s="9"/>
      <c r="D9060" s="9"/>
      <c r="E9060" s="11"/>
      <c r="F9060" s="11"/>
      <c r="G9060" s="11"/>
      <c r="H9060" s="11"/>
      <c r="I9060" s="11"/>
      <c r="J9060" s="11"/>
      <c r="K9060" s="11"/>
      <c r="L9060" s="11"/>
      <c r="M9060" s="12"/>
      <c r="N9060" s="12"/>
      <c r="O9060" s="11"/>
      <c r="P9060" s="11"/>
    </row>
    <row r="9061" spans="1:16" ht="12.75" x14ac:dyDescent="0.35">
      <c r="A9061" s="11"/>
      <c r="B9061" s="9"/>
      <c r="C9061" s="9"/>
      <c r="D9061" s="9"/>
      <c r="E9061" s="11"/>
      <c r="F9061" s="11"/>
      <c r="G9061" s="11"/>
      <c r="H9061" s="11"/>
      <c r="I9061" s="11"/>
      <c r="J9061" s="11"/>
      <c r="K9061" s="11"/>
      <c r="L9061" s="11"/>
      <c r="M9061" s="12"/>
      <c r="N9061" s="12"/>
      <c r="O9061" s="11"/>
      <c r="P9061" s="11"/>
    </row>
    <row r="9062" spans="1:16" ht="12.75" x14ac:dyDescent="0.35">
      <c r="A9062" s="11"/>
      <c r="B9062" s="9"/>
      <c r="C9062" s="9"/>
      <c r="D9062" s="9"/>
      <c r="E9062" s="11"/>
      <c r="F9062" s="11"/>
      <c r="G9062" s="11"/>
      <c r="H9062" s="11"/>
      <c r="I9062" s="11"/>
      <c r="J9062" s="11"/>
      <c r="K9062" s="11"/>
      <c r="L9062" s="11"/>
      <c r="M9062" s="12"/>
      <c r="N9062" s="12"/>
      <c r="O9062" s="11"/>
      <c r="P9062" s="11"/>
    </row>
    <row r="9063" spans="1:16" ht="12.75" x14ac:dyDescent="0.35">
      <c r="A9063" s="11"/>
      <c r="B9063" s="9"/>
      <c r="C9063" s="9"/>
      <c r="D9063" s="9"/>
      <c r="E9063" s="11"/>
      <c r="F9063" s="11"/>
      <c r="G9063" s="11"/>
      <c r="H9063" s="11"/>
      <c r="I9063" s="11"/>
      <c r="J9063" s="11"/>
      <c r="K9063" s="11"/>
      <c r="L9063" s="11"/>
      <c r="M9063" s="12"/>
      <c r="N9063" s="12"/>
      <c r="O9063" s="11"/>
      <c r="P9063" s="11"/>
    </row>
    <row r="9064" spans="1:16" ht="12.75" x14ac:dyDescent="0.35">
      <c r="A9064" s="11"/>
      <c r="B9064" s="9"/>
      <c r="C9064" s="9"/>
      <c r="D9064" s="9"/>
      <c r="E9064" s="11"/>
      <c r="F9064" s="11"/>
      <c r="G9064" s="11"/>
      <c r="H9064" s="11"/>
      <c r="I9064" s="11"/>
      <c r="J9064" s="11"/>
      <c r="K9064" s="11"/>
      <c r="L9064" s="11"/>
      <c r="M9064" s="12"/>
      <c r="N9064" s="12"/>
      <c r="O9064" s="11"/>
      <c r="P9064" s="11"/>
    </row>
    <row r="9065" spans="1:16" ht="12.75" x14ac:dyDescent="0.35">
      <c r="A9065" s="11"/>
      <c r="B9065" s="9"/>
      <c r="C9065" s="9"/>
      <c r="D9065" s="9"/>
      <c r="E9065" s="11"/>
      <c r="F9065" s="11"/>
      <c r="G9065" s="11"/>
      <c r="H9065" s="11"/>
      <c r="I9065" s="11"/>
      <c r="J9065" s="11"/>
      <c r="K9065" s="11"/>
      <c r="L9065" s="11"/>
      <c r="M9065" s="12"/>
      <c r="N9065" s="12"/>
      <c r="O9065" s="11"/>
      <c r="P9065" s="11"/>
    </row>
    <row r="9066" spans="1:16" ht="12.75" x14ac:dyDescent="0.35">
      <c r="A9066" s="11"/>
      <c r="B9066" s="9"/>
      <c r="C9066" s="9"/>
      <c r="D9066" s="9"/>
      <c r="E9066" s="11"/>
      <c r="F9066" s="11"/>
      <c r="G9066" s="11"/>
      <c r="H9066" s="11"/>
      <c r="I9066" s="11"/>
      <c r="J9066" s="11"/>
      <c r="K9066" s="11"/>
      <c r="L9066" s="11"/>
      <c r="M9066" s="12"/>
      <c r="N9066" s="12"/>
      <c r="O9066" s="11"/>
      <c r="P9066" s="11"/>
    </row>
    <row r="9067" spans="1:16" ht="12.75" x14ac:dyDescent="0.35">
      <c r="A9067" s="11"/>
      <c r="B9067" s="9"/>
      <c r="C9067" s="9"/>
      <c r="D9067" s="9"/>
      <c r="E9067" s="11"/>
      <c r="F9067" s="11"/>
      <c r="G9067" s="11"/>
      <c r="H9067" s="11"/>
      <c r="I9067" s="11"/>
      <c r="J9067" s="11"/>
      <c r="K9067" s="11"/>
      <c r="L9067" s="11"/>
      <c r="M9067" s="12"/>
      <c r="N9067" s="12"/>
      <c r="O9067" s="11"/>
      <c r="P9067" s="11"/>
    </row>
    <row r="9068" spans="1:16" ht="12.75" x14ac:dyDescent="0.35">
      <c r="A9068" s="11"/>
      <c r="B9068" s="9"/>
      <c r="C9068" s="9"/>
      <c r="D9068" s="9"/>
      <c r="E9068" s="11"/>
      <c r="F9068" s="11"/>
      <c r="G9068" s="11"/>
      <c r="H9068" s="11"/>
      <c r="I9068" s="11"/>
      <c r="J9068" s="11"/>
      <c r="K9068" s="11"/>
      <c r="L9068" s="11"/>
      <c r="M9068" s="12"/>
      <c r="N9068" s="12"/>
      <c r="O9068" s="11"/>
      <c r="P9068" s="11"/>
    </row>
    <row r="9069" spans="1:16" ht="12.75" x14ac:dyDescent="0.35">
      <c r="A9069" s="11"/>
      <c r="B9069" s="9"/>
      <c r="C9069" s="9"/>
      <c r="D9069" s="9"/>
      <c r="E9069" s="11"/>
      <c r="F9069" s="11"/>
      <c r="G9069" s="11"/>
      <c r="H9069" s="11"/>
      <c r="I9069" s="11"/>
      <c r="J9069" s="11"/>
      <c r="K9069" s="11"/>
      <c r="L9069" s="11"/>
      <c r="M9069" s="12"/>
      <c r="N9069" s="12"/>
      <c r="O9069" s="11"/>
      <c r="P9069" s="11"/>
    </row>
    <row r="9070" spans="1:16" ht="12.75" x14ac:dyDescent="0.35">
      <c r="A9070" s="11"/>
      <c r="B9070" s="9"/>
      <c r="C9070" s="9"/>
      <c r="D9070" s="9"/>
      <c r="E9070" s="11"/>
      <c r="F9070" s="11"/>
      <c r="G9070" s="11"/>
      <c r="H9070" s="11"/>
      <c r="I9070" s="11"/>
      <c r="J9070" s="11"/>
      <c r="K9070" s="11"/>
      <c r="L9070" s="11"/>
      <c r="M9070" s="12"/>
      <c r="N9070" s="12"/>
      <c r="O9070" s="11"/>
      <c r="P9070" s="11"/>
    </row>
    <row r="9071" spans="1:16" ht="12.75" x14ac:dyDescent="0.35">
      <c r="A9071" s="11"/>
      <c r="B9071" s="9"/>
      <c r="C9071" s="9"/>
      <c r="D9071" s="9"/>
      <c r="E9071" s="11"/>
      <c r="F9071" s="11"/>
      <c r="G9071" s="11"/>
      <c r="H9071" s="11"/>
      <c r="I9071" s="11"/>
      <c r="J9071" s="11"/>
      <c r="K9071" s="11"/>
      <c r="L9071" s="11"/>
      <c r="M9071" s="12"/>
      <c r="N9071" s="12"/>
      <c r="O9071" s="11"/>
      <c r="P9071" s="11"/>
    </row>
    <row r="9072" spans="1:16" ht="12.75" x14ac:dyDescent="0.35">
      <c r="A9072" s="11"/>
      <c r="B9072" s="9"/>
      <c r="C9072" s="9"/>
      <c r="D9072" s="9"/>
      <c r="E9072" s="11"/>
      <c r="F9072" s="11"/>
      <c r="G9072" s="11"/>
      <c r="H9072" s="11"/>
      <c r="I9072" s="11"/>
      <c r="J9072" s="11"/>
      <c r="K9072" s="11"/>
      <c r="L9072" s="11"/>
      <c r="M9072" s="12"/>
      <c r="N9072" s="12"/>
      <c r="O9072" s="11"/>
      <c r="P9072" s="11"/>
    </row>
    <row r="9073" spans="1:16" ht="12.75" x14ac:dyDescent="0.35">
      <c r="A9073" s="11"/>
      <c r="B9073" s="9"/>
      <c r="C9073" s="9"/>
      <c r="D9073" s="9"/>
      <c r="E9073" s="11"/>
      <c r="F9073" s="11"/>
      <c r="G9073" s="11"/>
      <c r="H9073" s="11"/>
      <c r="I9073" s="11"/>
      <c r="J9073" s="11"/>
      <c r="K9073" s="11"/>
      <c r="L9073" s="11"/>
      <c r="M9073" s="12"/>
      <c r="N9073" s="12"/>
      <c r="O9073" s="11"/>
      <c r="P9073" s="11"/>
    </row>
    <row r="9074" spans="1:16" ht="12.75" x14ac:dyDescent="0.35">
      <c r="A9074" s="11"/>
      <c r="B9074" s="9"/>
      <c r="C9074" s="9"/>
      <c r="D9074" s="9"/>
      <c r="E9074" s="11"/>
      <c r="F9074" s="11"/>
      <c r="G9074" s="11"/>
      <c r="H9074" s="11"/>
      <c r="I9074" s="11"/>
      <c r="J9074" s="11"/>
      <c r="K9074" s="11"/>
      <c r="L9074" s="11"/>
      <c r="M9074" s="12"/>
      <c r="N9074" s="12"/>
      <c r="O9074" s="11"/>
      <c r="P9074" s="11"/>
    </row>
    <row r="9075" spans="1:16" ht="12.75" x14ac:dyDescent="0.35">
      <c r="A9075" s="11"/>
      <c r="B9075" s="9"/>
      <c r="C9075" s="9"/>
      <c r="D9075" s="9"/>
      <c r="E9075" s="11"/>
      <c r="F9075" s="11"/>
      <c r="G9075" s="11"/>
      <c r="H9075" s="11"/>
      <c r="I9075" s="11"/>
      <c r="J9075" s="11"/>
      <c r="K9075" s="11"/>
      <c r="L9075" s="11"/>
      <c r="M9075" s="12"/>
      <c r="N9075" s="12"/>
      <c r="O9075" s="11"/>
      <c r="P9075" s="11"/>
    </row>
    <row r="9076" spans="1:16" ht="12.75" x14ac:dyDescent="0.35">
      <c r="A9076" s="11"/>
      <c r="B9076" s="9"/>
      <c r="C9076" s="9"/>
      <c r="D9076" s="9"/>
      <c r="E9076" s="11"/>
      <c r="F9076" s="11"/>
      <c r="G9076" s="11"/>
      <c r="H9076" s="11"/>
      <c r="I9076" s="11"/>
      <c r="J9076" s="11"/>
      <c r="K9076" s="11"/>
      <c r="L9076" s="11"/>
      <c r="M9076" s="12"/>
      <c r="N9076" s="12"/>
      <c r="O9076" s="11"/>
      <c r="P9076" s="11"/>
    </row>
    <row r="9077" spans="1:16" ht="12.75" x14ac:dyDescent="0.35">
      <c r="A9077" s="11"/>
      <c r="B9077" s="9"/>
      <c r="C9077" s="9"/>
      <c r="D9077" s="9"/>
      <c r="E9077" s="11"/>
      <c r="F9077" s="11"/>
      <c r="G9077" s="11"/>
      <c r="H9077" s="11"/>
      <c r="I9077" s="11"/>
      <c r="J9077" s="11"/>
      <c r="K9077" s="11"/>
      <c r="L9077" s="11"/>
      <c r="M9077" s="12"/>
      <c r="N9077" s="12"/>
      <c r="O9077" s="11"/>
      <c r="P9077" s="11"/>
    </row>
    <row r="9078" spans="1:16" ht="12.75" x14ac:dyDescent="0.35">
      <c r="A9078" s="11"/>
      <c r="B9078" s="9"/>
      <c r="C9078" s="9"/>
      <c r="D9078" s="9"/>
      <c r="E9078" s="11"/>
      <c r="F9078" s="11"/>
      <c r="G9078" s="11"/>
      <c r="H9078" s="11"/>
      <c r="I9078" s="11"/>
      <c r="J9078" s="11"/>
      <c r="K9078" s="11"/>
      <c r="L9078" s="11"/>
      <c r="M9078" s="12"/>
      <c r="N9078" s="12"/>
      <c r="O9078" s="11"/>
      <c r="P9078" s="11"/>
    </row>
    <row r="9079" spans="1:16" ht="12.75" x14ac:dyDescent="0.35">
      <c r="A9079" s="11"/>
      <c r="B9079" s="9"/>
      <c r="C9079" s="9"/>
      <c r="D9079" s="9"/>
      <c r="E9079" s="11"/>
      <c r="F9079" s="11"/>
      <c r="G9079" s="11"/>
      <c r="H9079" s="11"/>
      <c r="I9079" s="11"/>
      <c r="J9079" s="11"/>
      <c r="K9079" s="11"/>
      <c r="L9079" s="11"/>
      <c r="M9079" s="12"/>
      <c r="N9079" s="12"/>
      <c r="O9079" s="11"/>
      <c r="P9079" s="11"/>
    </row>
    <row r="9080" spans="1:16" ht="12.75" x14ac:dyDescent="0.35">
      <c r="A9080" s="11"/>
      <c r="B9080" s="9"/>
      <c r="C9080" s="9"/>
      <c r="D9080" s="9"/>
      <c r="E9080" s="11"/>
      <c r="F9080" s="11"/>
      <c r="G9080" s="11"/>
      <c r="H9080" s="11"/>
      <c r="I9080" s="11"/>
      <c r="J9080" s="11"/>
      <c r="K9080" s="11"/>
      <c r="L9080" s="11"/>
      <c r="M9080" s="12"/>
      <c r="N9080" s="12"/>
      <c r="O9080" s="11"/>
      <c r="P9080" s="11"/>
    </row>
    <row r="9081" spans="1:16" ht="12.75" x14ac:dyDescent="0.35">
      <c r="A9081" s="11"/>
      <c r="B9081" s="9"/>
      <c r="C9081" s="9"/>
      <c r="D9081" s="9"/>
      <c r="E9081" s="11"/>
      <c r="F9081" s="11"/>
      <c r="G9081" s="11"/>
      <c r="H9081" s="11"/>
      <c r="I9081" s="11"/>
      <c r="J9081" s="11"/>
      <c r="K9081" s="11"/>
      <c r="L9081" s="11"/>
      <c r="M9081" s="12"/>
      <c r="N9081" s="12"/>
      <c r="O9081" s="11"/>
      <c r="P9081" s="11"/>
    </row>
    <row r="9082" spans="1:16" ht="12.75" x14ac:dyDescent="0.35">
      <c r="A9082" s="11"/>
      <c r="B9082" s="9"/>
      <c r="C9082" s="9"/>
      <c r="D9082" s="9"/>
      <c r="E9082" s="11"/>
      <c r="F9082" s="11"/>
      <c r="G9082" s="11"/>
      <c r="H9082" s="11"/>
      <c r="I9082" s="11"/>
      <c r="J9082" s="11"/>
      <c r="K9082" s="11"/>
      <c r="L9082" s="11"/>
      <c r="M9082" s="12"/>
      <c r="N9082" s="12"/>
      <c r="O9082" s="11"/>
      <c r="P9082" s="11"/>
    </row>
    <row r="9083" spans="1:16" ht="12.75" x14ac:dyDescent="0.35">
      <c r="A9083" s="11"/>
      <c r="B9083" s="9"/>
      <c r="C9083" s="9"/>
      <c r="D9083" s="9"/>
      <c r="E9083" s="11"/>
      <c r="F9083" s="11"/>
      <c r="G9083" s="11"/>
      <c r="H9083" s="11"/>
      <c r="I9083" s="11"/>
      <c r="J9083" s="11"/>
      <c r="K9083" s="11"/>
      <c r="L9083" s="11"/>
      <c r="M9083" s="12"/>
      <c r="N9083" s="12"/>
      <c r="O9083" s="11"/>
      <c r="P9083" s="11"/>
    </row>
    <row r="9084" spans="1:16" ht="12.75" x14ac:dyDescent="0.35">
      <c r="A9084" s="11"/>
      <c r="B9084" s="9"/>
      <c r="C9084" s="9"/>
      <c r="D9084" s="9"/>
      <c r="E9084" s="11"/>
      <c r="F9084" s="11"/>
      <c r="G9084" s="11"/>
      <c r="H9084" s="11"/>
      <c r="I9084" s="11"/>
      <c r="J9084" s="11"/>
      <c r="K9084" s="11"/>
      <c r="L9084" s="11"/>
      <c r="M9084" s="12"/>
      <c r="N9084" s="12"/>
      <c r="O9084" s="11"/>
      <c r="P9084" s="11"/>
    </row>
    <row r="9085" spans="1:16" ht="12.75" x14ac:dyDescent="0.35">
      <c r="A9085" s="11"/>
      <c r="B9085" s="9"/>
      <c r="C9085" s="9"/>
      <c r="D9085" s="9"/>
      <c r="E9085" s="11"/>
      <c r="F9085" s="11"/>
      <c r="G9085" s="11"/>
      <c r="H9085" s="11"/>
      <c r="I9085" s="11"/>
      <c r="J9085" s="11"/>
      <c r="K9085" s="11"/>
      <c r="L9085" s="11"/>
      <c r="M9085" s="12"/>
      <c r="N9085" s="12"/>
      <c r="O9085" s="11"/>
      <c r="P9085" s="11"/>
    </row>
    <row r="9086" spans="1:16" ht="12.75" x14ac:dyDescent="0.35">
      <c r="A9086" s="11"/>
      <c r="B9086" s="9"/>
      <c r="C9086" s="9"/>
      <c r="D9086" s="9"/>
      <c r="E9086" s="11"/>
      <c r="F9086" s="11"/>
      <c r="G9086" s="11"/>
      <c r="H9086" s="11"/>
      <c r="I9086" s="11"/>
      <c r="J9086" s="11"/>
      <c r="K9086" s="11"/>
      <c r="L9086" s="11"/>
      <c r="M9086" s="12"/>
      <c r="N9086" s="12"/>
      <c r="O9086" s="11"/>
      <c r="P9086" s="11"/>
    </row>
    <row r="9087" spans="1:16" ht="12.75" x14ac:dyDescent="0.35">
      <c r="A9087" s="11"/>
      <c r="B9087" s="9"/>
      <c r="C9087" s="9"/>
      <c r="D9087" s="9"/>
      <c r="E9087" s="11"/>
      <c r="F9087" s="11"/>
      <c r="G9087" s="11"/>
      <c r="H9087" s="11"/>
      <c r="I9087" s="11"/>
      <c r="J9087" s="11"/>
      <c r="K9087" s="11"/>
      <c r="L9087" s="11"/>
      <c r="M9087" s="12"/>
      <c r="N9087" s="12"/>
      <c r="O9087" s="11"/>
      <c r="P9087" s="11"/>
    </row>
    <row r="9088" spans="1:16" ht="12.75" x14ac:dyDescent="0.35">
      <c r="A9088" s="11"/>
      <c r="B9088" s="9"/>
      <c r="C9088" s="9"/>
      <c r="D9088" s="9"/>
      <c r="E9088" s="11"/>
      <c r="F9088" s="11"/>
      <c r="G9088" s="11"/>
      <c r="H9088" s="11"/>
      <c r="I9088" s="11"/>
      <c r="J9088" s="11"/>
      <c r="K9088" s="11"/>
      <c r="L9088" s="11"/>
      <c r="M9088" s="12"/>
      <c r="N9088" s="12"/>
      <c r="O9088" s="11"/>
      <c r="P9088" s="11"/>
    </row>
    <row r="9089" spans="1:16" ht="12.75" x14ac:dyDescent="0.35">
      <c r="A9089" s="11"/>
      <c r="B9089" s="9"/>
      <c r="C9089" s="9"/>
      <c r="D9089" s="9"/>
      <c r="E9089" s="11"/>
      <c r="F9089" s="11"/>
      <c r="G9089" s="11"/>
      <c r="H9089" s="11"/>
      <c r="I9089" s="11"/>
      <c r="J9089" s="11"/>
      <c r="K9089" s="11"/>
      <c r="L9089" s="11"/>
      <c r="M9089" s="12"/>
      <c r="N9089" s="12"/>
      <c r="O9089" s="11"/>
      <c r="P9089" s="11"/>
    </row>
    <row r="9090" spans="1:16" ht="12.75" x14ac:dyDescent="0.35">
      <c r="A9090" s="11"/>
      <c r="B9090" s="9"/>
      <c r="C9090" s="9"/>
      <c r="D9090" s="9"/>
      <c r="E9090" s="11"/>
      <c r="F9090" s="11"/>
      <c r="G9090" s="11"/>
      <c r="H9090" s="11"/>
      <c r="I9090" s="11"/>
      <c r="J9090" s="11"/>
      <c r="K9090" s="11"/>
      <c r="L9090" s="11"/>
      <c r="M9090" s="12"/>
      <c r="N9090" s="12"/>
      <c r="O9090" s="11"/>
      <c r="P9090" s="11"/>
    </row>
    <row r="9091" spans="1:16" ht="12.75" x14ac:dyDescent="0.35">
      <c r="A9091" s="11"/>
      <c r="B9091" s="9"/>
      <c r="C9091" s="9"/>
      <c r="D9091" s="9"/>
      <c r="E9091" s="11"/>
      <c r="F9091" s="11"/>
      <c r="G9091" s="11"/>
      <c r="H9091" s="11"/>
      <c r="I9091" s="11"/>
      <c r="J9091" s="11"/>
      <c r="K9091" s="11"/>
      <c r="L9091" s="11"/>
      <c r="M9091" s="12"/>
      <c r="N9091" s="12"/>
      <c r="O9091" s="11"/>
      <c r="P9091" s="11"/>
    </row>
    <row r="9092" spans="1:16" ht="12.75" x14ac:dyDescent="0.35">
      <c r="A9092" s="11"/>
      <c r="B9092" s="9"/>
      <c r="C9092" s="9"/>
      <c r="D9092" s="9"/>
      <c r="E9092" s="11"/>
      <c r="F9092" s="11"/>
      <c r="G9092" s="11"/>
      <c r="H9092" s="11"/>
      <c r="I9092" s="11"/>
      <c r="J9092" s="11"/>
      <c r="K9092" s="11"/>
      <c r="L9092" s="11"/>
      <c r="M9092" s="12"/>
      <c r="N9092" s="12"/>
      <c r="O9092" s="11"/>
      <c r="P9092" s="11"/>
    </row>
    <row r="9093" spans="1:16" ht="12.75" x14ac:dyDescent="0.35">
      <c r="A9093" s="11"/>
      <c r="B9093" s="9"/>
      <c r="C9093" s="9"/>
      <c r="D9093" s="9"/>
      <c r="E9093" s="11"/>
      <c r="F9093" s="11"/>
      <c r="G9093" s="11"/>
      <c r="H9093" s="11"/>
      <c r="I9093" s="11"/>
      <c r="J9093" s="11"/>
      <c r="K9093" s="11"/>
      <c r="L9093" s="11"/>
      <c r="M9093" s="12"/>
      <c r="N9093" s="12"/>
      <c r="O9093" s="11"/>
      <c r="P9093" s="11"/>
    </row>
    <row r="9094" spans="1:16" ht="12.75" x14ac:dyDescent="0.35">
      <c r="A9094" s="11"/>
      <c r="B9094" s="9"/>
      <c r="C9094" s="9"/>
      <c r="D9094" s="9"/>
      <c r="E9094" s="11"/>
      <c r="F9094" s="11"/>
      <c r="G9094" s="11"/>
      <c r="H9094" s="11"/>
      <c r="I9094" s="11"/>
      <c r="J9094" s="11"/>
      <c r="K9094" s="11"/>
      <c r="L9094" s="11"/>
      <c r="M9094" s="12"/>
      <c r="N9094" s="12"/>
      <c r="O9094" s="11"/>
      <c r="P9094" s="11"/>
    </row>
    <row r="9095" spans="1:16" ht="12.75" x14ac:dyDescent="0.35">
      <c r="A9095" s="11"/>
      <c r="B9095" s="9"/>
      <c r="C9095" s="9"/>
      <c r="D9095" s="9"/>
      <c r="E9095" s="11"/>
      <c r="F9095" s="11"/>
      <c r="G9095" s="11"/>
      <c r="H9095" s="11"/>
      <c r="I9095" s="11"/>
      <c r="J9095" s="11"/>
      <c r="K9095" s="11"/>
      <c r="L9095" s="11"/>
      <c r="M9095" s="12"/>
      <c r="N9095" s="12"/>
      <c r="O9095" s="11"/>
      <c r="P9095" s="11"/>
    </row>
    <row r="9096" spans="1:16" ht="12.75" x14ac:dyDescent="0.35">
      <c r="A9096" s="11"/>
      <c r="B9096" s="9"/>
      <c r="C9096" s="9"/>
      <c r="D9096" s="9"/>
      <c r="E9096" s="11"/>
      <c r="F9096" s="11"/>
      <c r="G9096" s="11"/>
      <c r="H9096" s="11"/>
      <c r="I9096" s="11"/>
      <c r="J9096" s="11"/>
      <c r="K9096" s="11"/>
      <c r="L9096" s="11"/>
      <c r="M9096" s="12"/>
      <c r="N9096" s="12"/>
      <c r="O9096" s="11"/>
      <c r="P9096" s="11"/>
    </row>
    <row r="9097" spans="1:16" ht="12.75" x14ac:dyDescent="0.35">
      <c r="A9097" s="11"/>
      <c r="B9097" s="9"/>
      <c r="C9097" s="9"/>
      <c r="D9097" s="9"/>
      <c r="E9097" s="11"/>
      <c r="F9097" s="11"/>
      <c r="G9097" s="11"/>
      <c r="H9097" s="11"/>
      <c r="I9097" s="11"/>
      <c r="J9097" s="11"/>
      <c r="K9097" s="11"/>
      <c r="L9097" s="11"/>
      <c r="M9097" s="12"/>
      <c r="N9097" s="12"/>
      <c r="O9097" s="11"/>
      <c r="P9097" s="11"/>
    </row>
    <row r="9098" spans="1:16" ht="12.75" x14ac:dyDescent="0.35">
      <c r="A9098" s="11"/>
      <c r="B9098" s="9"/>
      <c r="C9098" s="9"/>
      <c r="D9098" s="9"/>
      <c r="E9098" s="11"/>
      <c r="F9098" s="11"/>
      <c r="G9098" s="11"/>
      <c r="H9098" s="11"/>
      <c r="I9098" s="11"/>
      <c r="J9098" s="11"/>
      <c r="K9098" s="11"/>
      <c r="L9098" s="11"/>
      <c r="M9098" s="12"/>
      <c r="N9098" s="12"/>
      <c r="O9098" s="11"/>
      <c r="P9098" s="11"/>
    </row>
    <row r="9099" spans="1:16" ht="12.75" x14ac:dyDescent="0.35">
      <c r="A9099" s="11"/>
      <c r="B9099" s="9"/>
      <c r="C9099" s="9"/>
      <c r="D9099" s="9"/>
      <c r="E9099" s="11"/>
      <c r="F9099" s="11"/>
      <c r="G9099" s="11"/>
      <c r="H9099" s="11"/>
      <c r="I9099" s="11"/>
      <c r="J9099" s="11"/>
      <c r="K9099" s="11"/>
      <c r="L9099" s="11"/>
      <c r="M9099" s="12"/>
      <c r="N9099" s="12"/>
      <c r="O9099" s="11"/>
      <c r="P9099" s="11"/>
    </row>
    <row r="9100" spans="1:16" ht="12.75" x14ac:dyDescent="0.35">
      <c r="A9100" s="11"/>
      <c r="B9100" s="9"/>
      <c r="C9100" s="9"/>
      <c r="D9100" s="9"/>
      <c r="E9100" s="11"/>
      <c r="F9100" s="11"/>
      <c r="G9100" s="11"/>
      <c r="H9100" s="11"/>
      <c r="I9100" s="11"/>
      <c r="J9100" s="11"/>
      <c r="K9100" s="11"/>
      <c r="L9100" s="11"/>
      <c r="M9100" s="12"/>
      <c r="N9100" s="12"/>
      <c r="O9100" s="11"/>
      <c r="P9100" s="11"/>
    </row>
    <row r="9101" spans="1:16" ht="12.75" x14ac:dyDescent="0.35">
      <c r="A9101" s="11"/>
      <c r="B9101" s="9"/>
      <c r="C9101" s="9"/>
      <c r="D9101" s="9"/>
      <c r="E9101" s="11"/>
      <c r="F9101" s="11"/>
      <c r="G9101" s="11"/>
      <c r="H9101" s="11"/>
      <c r="I9101" s="11"/>
      <c r="J9101" s="11"/>
      <c r="K9101" s="11"/>
      <c r="L9101" s="11"/>
      <c r="M9101" s="12"/>
      <c r="N9101" s="12"/>
      <c r="O9101" s="11"/>
      <c r="P9101" s="11"/>
    </row>
    <row r="9102" spans="1:16" ht="12.75" x14ac:dyDescent="0.35">
      <c r="A9102" s="11"/>
      <c r="B9102" s="9"/>
      <c r="C9102" s="9"/>
      <c r="D9102" s="9"/>
      <c r="E9102" s="11"/>
      <c r="F9102" s="11"/>
      <c r="G9102" s="11"/>
      <c r="H9102" s="11"/>
      <c r="I9102" s="11"/>
      <c r="J9102" s="11"/>
      <c r="K9102" s="11"/>
      <c r="L9102" s="11"/>
      <c r="M9102" s="12"/>
      <c r="N9102" s="12"/>
      <c r="O9102" s="11"/>
      <c r="P9102" s="11"/>
    </row>
    <row r="9103" spans="1:16" ht="12.75" x14ac:dyDescent="0.35">
      <c r="A9103" s="11"/>
      <c r="B9103" s="9"/>
      <c r="C9103" s="9"/>
      <c r="D9103" s="9"/>
      <c r="E9103" s="11"/>
      <c r="F9103" s="11"/>
      <c r="G9103" s="11"/>
      <c r="H9103" s="11"/>
      <c r="I9103" s="11"/>
      <c r="J9103" s="11"/>
      <c r="K9103" s="11"/>
      <c r="L9103" s="11"/>
      <c r="M9103" s="12"/>
      <c r="N9103" s="12"/>
      <c r="O9103" s="11"/>
      <c r="P9103" s="11"/>
    </row>
    <row r="9104" spans="1:16" ht="12.75" x14ac:dyDescent="0.35">
      <c r="A9104" s="11"/>
      <c r="B9104" s="9"/>
      <c r="C9104" s="9"/>
      <c r="D9104" s="9"/>
      <c r="E9104" s="11"/>
      <c r="F9104" s="11"/>
      <c r="G9104" s="11"/>
      <c r="H9104" s="11"/>
      <c r="I9104" s="11"/>
      <c r="J9104" s="11"/>
      <c r="K9104" s="11"/>
      <c r="L9104" s="11"/>
      <c r="M9104" s="12"/>
      <c r="N9104" s="12"/>
      <c r="O9104" s="11"/>
      <c r="P9104" s="11"/>
    </row>
    <row r="9105" spans="1:16" ht="12.75" x14ac:dyDescent="0.35">
      <c r="A9105" s="11"/>
      <c r="B9105" s="9"/>
      <c r="C9105" s="9"/>
      <c r="D9105" s="9"/>
      <c r="E9105" s="11"/>
      <c r="F9105" s="11"/>
      <c r="G9105" s="11"/>
      <c r="H9105" s="11"/>
      <c r="I9105" s="11"/>
      <c r="J9105" s="11"/>
      <c r="K9105" s="11"/>
      <c r="L9105" s="11"/>
      <c r="M9105" s="12"/>
      <c r="N9105" s="12"/>
      <c r="O9105" s="11"/>
      <c r="P9105" s="11"/>
    </row>
    <row r="9106" spans="1:16" ht="12.75" x14ac:dyDescent="0.35">
      <c r="A9106" s="11"/>
      <c r="B9106" s="9"/>
      <c r="C9106" s="9"/>
      <c r="D9106" s="9"/>
      <c r="E9106" s="11"/>
      <c r="F9106" s="11"/>
      <c r="G9106" s="11"/>
      <c r="H9106" s="11"/>
      <c r="I9106" s="11"/>
      <c r="J9106" s="11"/>
      <c r="K9106" s="11"/>
      <c r="L9106" s="11"/>
      <c r="M9106" s="12"/>
      <c r="N9106" s="12"/>
      <c r="O9106" s="11"/>
      <c r="P9106" s="11"/>
    </row>
    <row r="9107" spans="1:16" ht="12.75" x14ac:dyDescent="0.35">
      <c r="A9107" s="11"/>
      <c r="B9107" s="9"/>
      <c r="C9107" s="9"/>
      <c r="D9107" s="9"/>
      <c r="E9107" s="11"/>
      <c r="F9107" s="11"/>
      <c r="G9107" s="11"/>
      <c r="H9107" s="11"/>
      <c r="I9107" s="11"/>
      <c r="J9107" s="11"/>
      <c r="K9107" s="11"/>
      <c r="L9107" s="11"/>
      <c r="M9107" s="12"/>
      <c r="N9107" s="12"/>
      <c r="O9107" s="11"/>
      <c r="P9107" s="11"/>
    </row>
    <row r="9108" spans="1:16" ht="12.75" x14ac:dyDescent="0.35">
      <c r="A9108" s="11"/>
      <c r="B9108" s="9"/>
      <c r="C9108" s="9"/>
      <c r="D9108" s="9"/>
      <c r="E9108" s="11"/>
      <c r="F9108" s="11"/>
      <c r="G9108" s="11"/>
      <c r="H9108" s="11"/>
      <c r="I9108" s="11"/>
      <c r="J9108" s="11"/>
      <c r="K9108" s="11"/>
      <c r="L9108" s="11"/>
      <c r="M9108" s="12"/>
      <c r="N9108" s="12"/>
      <c r="O9108" s="11"/>
      <c r="P9108" s="11"/>
    </row>
    <row r="9109" spans="1:16" ht="12.75" x14ac:dyDescent="0.35">
      <c r="A9109" s="11"/>
      <c r="B9109" s="9"/>
      <c r="C9109" s="9"/>
      <c r="D9109" s="9"/>
      <c r="E9109" s="11"/>
      <c r="F9109" s="11"/>
      <c r="G9109" s="11"/>
      <c r="H9109" s="11"/>
      <c r="I9109" s="11"/>
      <c r="J9109" s="11"/>
      <c r="K9109" s="11"/>
      <c r="L9109" s="11"/>
      <c r="M9109" s="12"/>
      <c r="N9109" s="12"/>
      <c r="O9109" s="11"/>
      <c r="P9109" s="11"/>
    </row>
    <row r="9110" spans="1:16" ht="12.75" x14ac:dyDescent="0.35">
      <c r="A9110" s="11"/>
      <c r="B9110" s="9"/>
      <c r="C9110" s="9"/>
      <c r="D9110" s="9"/>
      <c r="E9110" s="11"/>
      <c r="F9110" s="11"/>
      <c r="G9110" s="11"/>
      <c r="H9110" s="11"/>
      <c r="I9110" s="11"/>
      <c r="J9110" s="11"/>
      <c r="K9110" s="11"/>
      <c r="L9110" s="11"/>
      <c r="M9110" s="12"/>
      <c r="N9110" s="12"/>
      <c r="O9110" s="11"/>
      <c r="P9110" s="11"/>
    </row>
    <row r="9111" spans="1:16" ht="12.75" x14ac:dyDescent="0.35">
      <c r="A9111" s="11"/>
      <c r="B9111" s="9"/>
      <c r="C9111" s="9"/>
      <c r="D9111" s="9"/>
      <c r="E9111" s="11"/>
      <c r="F9111" s="11"/>
      <c r="G9111" s="11"/>
      <c r="H9111" s="11"/>
      <c r="I9111" s="11"/>
      <c r="J9111" s="11"/>
      <c r="K9111" s="11"/>
      <c r="L9111" s="11"/>
      <c r="M9111" s="12"/>
      <c r="N9111" s="12"/>
      <c r="O9111" s="11"/>
      <c r="P9111" s="11"/>
    </row>
    <row r="9112" spans="1:16" ht="12.75" x14ac:dyDescent="0.35">
      <c r="A9112" s="11"/>
      <c r="B9112" s="9"/>
      <c r="C9112" s="9"/>
      <c r="D9112" s="9"/>
      <c r="E9112" s="11"/>
      <c r="F9112" s="11"/>
      <c r="G9112" s="11"/>
      <c r="H9112" s="11"/>
      <c r="I9112" s="11"/>
      <c r="J9112" s="11"/>
      <c r="K9112" s="11"/>
      <c r="L9112" s="11"/>
      <c r="M9112" s="12"/>
      <c r="N9112" s="12"/>
      <c r="O9112" s="11"/>
      <c r="P9112" s="11"/>
    </row>
    <row r="9113" spans="1:16" ht="12.75" x14ac:dyDescent="0.35">
      <c r="A9113" s="11"/>
      <c r="B9113" s="9"/>
      <c r="C9113" s="9"/>
      <c r="D9113" s="9"/>
      <c r="E9113" s="11"/>
      <c r="F9113" s="11"/>
      <c r="G9113" s="11"/>
      <c r="H9113" s="11"/>
      <c r="I9113" s="11"/>
      <c r="J9113" s="11"/>
      <c r="K9113" s="11"/>
      <c r="L9113" s="11"/>
      <c r="M9113" s="12"/>
      <c r="N9113" s="12"/>
      <c r="O9113" s="11"/>
      <c r="P9113" s="11"/>
    </row>
    <row r="9114" spans="1:16" ht="12.75" x14ac:dyDescent="0.35">
      <c r="A9114" s="11"/>
      <c r="B9114" s="9"/>
      <c r="C9114" s="9"/>
      <c r="D9114" s="9"/>
      <c r="E9114" s="11"/>
      <c r="F9114" s="11"/>
      <c r="G9114" s="11"/>
      <c r="H9114" s="11"/>
      <c r="I9114" s="11"/>
      <c r="J9114" s="11"/>
      <c r="K9114" s="11"/>
      <c r="L9114" s="11"/>
      <c r="M9114" s="12"/>
      <c r="N9114" s="12"/>
      <c r="O9114" s="11"/>
      <c r="P9114" s="11"/>
    </row>
    <row r="9115" spans="1:16" ht="12.75" x14ac:dyDescent="0.35">
      <c r="A9115" s="11"/>
      <c r="B9115" s="9"/>
      <c r="C9115" s="9"/>
      <c r="D9115" s="9"/>
      <c r="E9115" s="11"/>
      <c r="F9115" s="11"/>
      <c r="G9115" s="11"/>
      <c r="H9115" s="11"/>
      <c r="I9115" s="11"/>
      <c r="J9115" s="11"/>
      <c r="K9115" s="11"/>
      <c r="L9115" s="11"/>
      <c r="M9115" s="12"/>
      <c r="N9115" s="12"/>
      <c r="O9115" s="11"/>
      <c r="P9115" s="11"/>
    </row>
    <row r="9116" spans="1:16" ht="12.75" x14ac:dyDescent="0.35">
      <c r="A9116" s="11"/>
      <c r="B9116" s="9"/>
      <c r="C9116" s="9"/>
      <c r="D9116" s="9"/>
      <c r="E9116" s="11"/>
      <c r="F9116" s="11"/>
      <c r="G9116" s="11"/>
      <c r="H9116" s="11"/>
      <c r="I9116" s="11"/>
      <c r="J9116" s="11"/>
      <c r="K9116" s="11"/>
      <c r="L9116" s="11"/>
      <c r="M9116" s="12"/>
      <c r="N9116" s="12"/>
      <c r="O9116" s="11"/>
      <c r="P9116" s="11"/>
    </row>
    <row r="9117" spans="1:16" ht="12.75" x14ac:dyDescent="0.35">
      <c r="A9117" s="11"/>
      <c r="B9117" s="9"/>
      <c r="C9117" s="9"/>
      <c r="D9117" s="9"/>
      <c r="E9117" s="11"/>
      <c r="F9117" s="11"/>
      <c r="G9117" s="11"/>
      <c r="H9117" s="11"/>
      <c r="I9117" s="11"/>
      <c r="J9117" s="11"/>
      <c r="K9117" s="11"/>
      <c r="L9117" s="11"/>
      <c r="M9117" s="12"/>
      <c r="N9117" s="12"/>
      <c r="O9117" s="11"/>
      <c r="P9117" s="11"/>
    </row>
    <row r="9118" spans="1:16" ht="12.75" x14ac:dyDescent="0.35">
      <c r="A9118" s="11"/>
      <c r="B9118" s="9"/>
      <c r="C9118" s="9"/>
      <c r="D9118" s="9"/>
      <c r="E9118" s="11"/>
      <c r="F9118" s="11"/>
      <c r="G9118" s="11"/>
      <c r="H9118" s="11"/>
      <c r="I9118" s="11"/>
      <c r="J9118" s="11"/>
      <c r="K9118" s="11"/>
      <c r="L9118" s="11"/>
      <c r="M9118" s="12"/>
      <c r="N9118" s="12"/>
      <c r="O9118" s="11"/>
      <c r="P9118" s="11"/>
    </row>
    <row r="9119" spans="1:16" ht="12.75" x14ac:dyDescent="0.35">
      <c r="A9119" s="11"/>
      <c r="B9119" s="9"/>
      <c r="C9119" s="9"/>
      <c r="D9119" s="9"/>
      <c r="E9119" s="11"/>
      <c r="F9119" s="11"/>
      <c r="G9119" s="11"/>
      <c r="H9119" s="11"/>
      <c r="I9119" s="11"/>
      <c r="J9119" s="11"/>
      <c r="K9119" s="11"/>
      <c r="L9119" s="11"/>
      <c r="M9119" s="12"/>
      <c r="N9119" s="12"/>
      <c r="O9119" s="11"/>
      <c r="P9119" s="11"/>
    </row>
    <row r="9120" spans="1:16" ht="12.75" x14ac:dyDescent="0.35">
      <c r="A9120" s="11"/>
      <c r="B9120" s="9"/>
      <c r="C9120" s="9"/>
      <c r="D9120" s="9"/>
      <c r="E9120" s="11"/>
      <c r="F9120" s="11"/>
      <c r="G9120" s="11"/>
      <c r="H9120" s="11"/>
      <c r="I9120" s="11"/>
      <c r="J9120" s="11"/>
      <c r="K9120" s="11"/>
      <c r="L9120" s="11"/>
      <c r="M9120" s="12"/>
      <c r="N9120" s="12"/>
      <c r="O9120" s="11"/>
      <c r="P9120" s="11"/>
    </row>
    <row r="9121" spans="1:16" ht="12.75" x14ac:dyDescent="0.35">
      <c r="A9121" s="11"/>
      <c r="B9121" s="9"/>
      <c r="C9121" s="9"/>
      <c r="D9121" s="9"/>
      <c r="E9121" s="11"/>
      <c r="F9121" s="11"/>
      <c r="G9121" s="11"/>
      <c r="H9121" s="11"/>
      <c r="I9121" s="11"/>
      <c r="J9121" s="11"/>
      <c r="K9121" s="11"/>
      <c r="L9121" s="11"/>
      <c r="M9121" s="12"/>
      <c r="N9121" s="12"/>
      <c r="O9121" s="11"/>
      <c r="P9121" s="11"/>
    </row>
    <row r="9122" spans="1:16" ht="12.75" x14ac:dyDescent="0.35">
      <c r="A9122" s="11"/>
      <c r="B9122" s="9"/>
      <c r="C9122" s="9"/>
      <c r="D9122" s="9"/>
      <c r="E9122" s="11"/>
      <c r="F9122" s="11"/>
      <c r="G9122" s="11"/>
      <c r="H9122" s="11"/>
      <c r="I9122" s="11"/>
      <c r="J9122" s="11"/>
      <c r="K9122" s="11"/>
      <c r="L9122" s="11"/>
      <c r="M9122" s="12"/>
      <c r="N9122" s="12"/>
      <c r="O9122" s="11"/>
      <c r="P9122" s="11"/>
    </row>
    <row r="9123" spans="1:16" ht="12.75" x14ac:dyDescent="0.35">
      <c r="A9123" s="11"/>
      <c r="B9123" s="9"/>
      <c r="C9123" s="9"/>
      <c r="D9123" s="9"/>
      <c r="E9123" s="11"/>
      <c r="F9123" s="11"/>
      <c r="G9123" s="11"/>
      <c r="H9123" s="11"/>
      <c r="I9123" s="11"/>
      <c r="J9123" s="11"/>
      <c r="K9123" s="11"/>
      <c r="L9123" s="11"/>
      <c r="M9123" s="12"/>
      <c r="N9123" s="12"/>
      <c r="O9123" s="11"/>
      <c r="P9123" s="11"/>
    </row>
    <row r="9124" spans="1:16" ht="12.75" x14ac:dyDescent="0.35">
      <c r="A9124" s="11"/>
      <c r="B9124" s="9"/>
      <c r="C9124" s="9"/>
      <c r="D9124" s="9"/>
      <c r="E9124" s="11"/>
      <c r="F9124" s="11"/>
      <c r="G9124" s="11"/>
      <c r="H9124" s="11"/>
      <c r="I9124" s="11"/>
      <c r="J9124" s="11"/>
      <c r="K9124" s="11"/>
      <c r="L9124" s="11"/>
      <c r="M9124" s="12"/>
      <c r="N9124" s="12"/>
      <c r="O9124" s="11"/>
      <c r="P9124" s="11"/>
    </row>
    <row r="9125" spans="1:16" ht="12.75" x14ac:dyDescent="0.35">
      <c r="A9125" s="11"/>
      <c r="B9125" s="9"/>
      <c r="C9125" s="9"/>
      <c r="D9125" s="9"/>
      <c r="E9125" s="11"/>
      <c r="F9125" s="11"/>
      <c r="G9125" s="11"/>
      <c r="H9125" s="11"/>
      <c r="I9125" s="11"/>
      <c r="J9125" s="11"/>
      <c r="K9125" s="11"/>
      <c r="L9125" s="11"/>
      <c r="M9125" s="12"/>
      <c r="N9125" s="12"/>
      <c r="O9125" s="11"/>
      <c r="P9125" s="11"/>
    </row>
    <row r="9126" spans="1:16" ht="12.75" x14ac:dyDescent="0.35">
      <c r="A9126" s="11"/>
      <c r="B9126" s="9"/>
      <c r="C9126" s="9"/>
      <c r="D9126" s="9"/>
      <c r="E9126" s="11"/>
      <c r="F9126" s="11"/>
      <c r="G9126" s="11"/>
      <c r="H9126" s="11"/>
      <c r="I9126" s="11"/>
      <c r="J9126" s="11"/>
      <c r="K9126" s="11"/>
      <c r="L9126" s="11"/>
      <c r="M9126" s="12"/>
      <c r="N9126" s="12"/>
      <c r="O9126" s="11"/>
      <c r="P9126" s="11"/>
    </row>
    <row r="9127" spans="1:16" ht="12.75" x14ac:dyDescent="0.35">
      <c r="A9127" s="11"/>
      <c r="B9127" s="9"/>
      <c r="C9127" s="9"/>
      <c r="D9127" s="9"/>
      <c r="E9127" s="11"/>
      <c r="F9127" s="11"/>
      <c r="G9127" s="11"/>
      <c r="H9127" s="11"/>
      <c r="I9127" s="11"/>
      <c r="J9127" s="11"/>
      <c r="K9127" s="11"/>
      <c r="L9127" s="11"/>
      <c r="M9127" s="12"/>
      <c r="N9127" s="12"/>
      <c r="O9127" s="11"/>
      <c r="P9127" s="11"/>
    </row>
    <row r="9128" spans="1:16" ht="12.75" x14ac:dyDescent="0.35">
      <c r="A9128" s="11"/>
      <c r="B9128" s="9"/>
      <c r="C9128" s="9"/>
      <c r="D9128" s="9"/>
      <c r="E9128" s="11"/>
      <c r="F9128" s="11"/>
      <c r="G9128" s="11"/>
      <c r="H9128" s="11"/>
      <c r="I9128" s="11"/>
      <c r="J9128" s="11"/>
      <c r="K9128" s="11"/>
      <c r="L9128" s="11"/>
      <c r="M9128" s="12"/>
      <c r="N9128" s="12"/>
      <c r="O9128" s="11"/>
      <c r="P9128" s="11"/>
    </row>
    <row r="9129" spans="1:16" ht="12.75" x14ac:dyDescent="0.35">
      <c r="A9129" s="11"/>
      <c r="B9129" s="9"/>
      <c r="C9129" s="9"/>
      <c r="D9129" s="9"/>
      <c r="E9129" s="11"/>
      <c r="F9129" s="11"/>
      <c r="G9129" s="11"/>
      <c r="H9129" s="11"/>
      <c r="I9129" s="11"/>
      <c r="J9129" s="11"/>
      <c r="K9129" s="11"/>
      <c r="L9129" s="11"/>
      <c r="M9129" s="12"/>
      <c r="N9129" s="12"/>
      <c r="O9129" s="11"/>
      <c r="P9129" s="11"/>
    </row>
    <row r="9130" spans="1:16" ht="12.75" x14ac:dyDescent="0.35">
      <c r="A9130" s="11"/>
      <c r="B9130" s="9"/>
      <c r="C9130" s="9"/>
      <c r="D9130" s="9"/>
      <c r="E9130" s="11"/>
      <c r="F9130" s="11"/>
      <c r="G9130" s="11"/>
      <c r="H9130" s="11"/>
      <c r="I9130" s="11"/>
      <c r="J9130" s="11"/>
      <c r="K9130" s="11"/>
      <c r="L9130" s="11"/>
      <c r="M9130" s="12"/>
      <c r="N9130" s="12"/>
      <c r="O9130" s="11"/>
      <c r="P9130" s="11"/>
    </row>
    <row r="9131" spans="1:16" ht="12.75" x14ac:dyDescent="0.35">
      <c r="A9131" s="11"/>
      <c r="B9131" s="9"/>
      <c r="C9131" s="9"/>
      <c r="D9131" s="9"/>
      <c r="E9131" s="11"/>
      <c r="F9131" s="11"/>
      <c r="G9131" s="11"/>
      <c r="H9131" s="11"/>
      <c r="I9131" s="11"/>
      <c r="J9131" s="11"/>
      <c r="K9131" s="11"/>
      <c r="L9131" s="11"/>
      <c r="M9131" s="12"/>
      <c r="N9131" s="12"/>
      <c r="O9131" s="11"/>
      <c r="P9131" s="11"/>
    </row>
    <row r="9132" spans="1:16" ht="12.75" x14ac:dyDescent="0.35">
      <c r="A9132" s="11"/>
      <c r="B9132" s="9"/>
      <c r="C9132" s="9"/>
      <c r="D9132" s="9"/>
      <c r="E9132" s="11"/>
      <c r="F9132" s="11"/>
      <c r="G9132" s="11"/>
      <c r="H9132" s="11"/>
      <c r="I9132" s="11"/>
      <c r="J9132" s="11"/>
      <c r="K9132" s="11"/>
      <c r="L9132" s="11"/>
      <c r="M9132" s="12"/>
      <c r="N9132" s="12"/>
      <c r="O9132" s="11"/>
      <c r="P9132" s="11"/>
    </row>
    <row r="9133" spans="1:16" ht="12.75" x14ac:dyDescent="0.35">
      <c r="A9133" s="11"/>
      <c r="B9133" s="9"/>
      <c r="C9133" s="9"/>
      <c r="D9133" s="9"/>
      <c r="E9133" s="11"/>
      <c r="F9133" s="11"/>
      <c r="G9133" s="11"/>
      <c r="H9133" s="11"/>
      <c r="I9133" s="11"/>
      <c r="J9133" s="11"/>
      <c r="K9133" s="11"/>
      <c r="L9133" s="11"/>
      <c r="M9133" s="12"/>
      <c r="N9133" s="12"/>
      <c r="O9133" s="11"/>
      <c r="P9133" s="11"/>
    </row>
    <row r="9134" spans="1:16" ht="12.75" x14ac:dyDescent="0.35">
      <c r="A9134" s="11"/>
      <c r="B9134" s="9"/>
      <c r="C9134" s="9"/>
      <c r="D9134" s="9"/>
      <c r="E9134" s="11"/>
      <c r="F9134" s="11"/>
      <c r="G9134" s="11"/>
      <c r="H9134" s="11"/>
      <c r="I9134" s="11"/>
      <c r="J9134" s="11"/>
      <c r="K9134" s="11"/>
      <c r="L9134" s="11"/>
      <c r="M9134" s="12"/>
      <c r="N9134" s="12"/>
      <c r="O9134" s="11"/>
      <c r="P9134" s="11"/>
    </row>
    <row r="9135" spans="1:16" ht="12.75" x14ac:dyDescent="0.35">
      <c r="A9135" s="11"/>
      <c r="B9135" s="9"/>
      <c r="C9135" s="9"/>
      <c r="D9135" s="9"/>
      <c r="E9135" s="11"/>
      <c r="F9135" s="11"/>
      <c r="G9135" s="11"/>
      <c r="H9135" s="11"/>
      <c r="I9135" s="11"/>
      <c r="J9135" s="11"/>
      <c r="K9135" s="11"/>
      <c r="L9135" s="11"/>
      <c r="M9135" s="12"/>
      <c r="N9135" s="12"/>
      <c r="O9135" s="11"/>
      <c r="P9135" s="11"/>
    </row>
    <row r="9136" spans="1:16" ht="12.75" x14ac:dyDescent="0.35">
      <c r="A9136" s="11"/>
      <c r="B9136" s="9"/>
      <c r="C9136" s="9"/>
      <c r="D9136" s="9"/>
      <c r="E9136" s="11"/>
      <c r="F9136" s="11"/>
      <c r="G9136" s="11"/>
      <c r="H9136" s="11"/>
      <c r="I9136" s="11"/>
      <c r="J9136" s="11"/>
      <c r="K9136" s="11"/>
      <c r="L9136" s="11"/>
      <c r="M9136" s="12"/>
      <c r="N9136" s="12"/>
      <c r="O9136" s="11"/>
      <c r="P9136" s="11"/>
    </row>
    <row r="9137" spans="1:16" ht="12.75" x14ac:dyDescent="0.35">
      <c r="A9137" s="11"/>
      <c r="B9137" s="9"/>
      <c r="C9137" s="9"/>
      <c r="D9137" s="9"/>
      <c r="E9137" s="11"/>
      <c r="F9137" s="11"/>
      <c r="G9137" s="11"/>
      <c r="H9137" s="11"/>
      <c r="I9137" s="11"/>
      <c r="J9137" s="11"/>
      <c r="K9137" s="11"/>
      <c r="L9137" s="11"/>
      <c r="M9137" s="12"/>
      <c r="N9137" s="12"/>
      <c r="O9137" s="11"/>
      <c r="P9137" s="11"/>
    </row>
    <row r="9138" spans="1:16" ht="12.75" x14ac:dyDescent="0.35">
      <c r="A9138" s="11"/>
      <c r="B9138" s="9"/>
      <c r="C9138" s="9"/>
      <c r="D9138" s="9"/>
      <c r="E9138" s="11"/>
      <c r="F9138" s="11"/>
      <c r="G9138" s="11"/>
      <c r="H9138" s="11"/>
      <c r="I9138" s="11"/>
      <c r="J9138" s="11"/>
      <c r="K9138" s="11"/>
      <c r="L9138" s="11"/>
      <c r="M9138" s="12"/>
      <c r="N9138" s="12"/>
      <c r="O9138" s="11"/>
      <c r="P9138" s="11"/>
    </row>
    <row r="9139" spans="1:16" ht="12.75" x14ac:dyDescent="0.35">
      <c r="A9139" s="11"/>
      <c r="B9139" s="9"/>
      <c r="C9139" s="9"/>
      <c r="D9139" s="9"/>
      <c r="E9139" s="11"/>
      <c r="F9139" s="11"/>
      <c r="G9139" s="11"/>
      <c r="H9139" s="11"/>
      <c r="I9139" s="11"/>
      <c r="J9139" s="11"/>
      <c r="K9139" s="11"/>
      <c r="L9139" s="11"/>
      <c r="M9139" s="12"/>
      <c r="N9139" s="12"/>
      <c r="O9139" s="11"/>
      <c r="P9139" s="11"/>
    </row>
    <row r="9140" spans="1:16" ht="12.75" x14ac:dyDescent="0.35">
      <c r="A9140" s="11"/>
      <c r="B9140" s="9"/>
      <c r="C9140" s="9"/>
      <c r="D9140" s="9"/>
      <c r="E9140" s="11"/>
      <c r="F9140" s="11"/>
      <c r="G9140" s="11"/>
      <c r="H9140" s="11"/>
      <c r="I9140" s="11"/>
      <c r="J9140" s="11"/>
      <c r="K9140" s="11"/>
      <c r="L9140" s="11"/>
      <c r="M9140" s="12"/>
      <c r="N9140" s="12"/>
      <c r="O9140" s="11"/>
      <c r="P9140" s="11"/>
    </row>
    <row r="9141" spans="1:16" ht="12.75" x14ac:dyDescent="0.35">
      <c r="A9141" s="11"/>
      <c r="B9141" s="9"/>
      <c r="C9141" s="9"/>
      <c r="D9141" s="9"/>
      <c r="E9141" s="11"/>
      <c r="F9141" s="11"/>
      <c r="G9141" s="11"/>
      <c r="H9141" s="11"/>
      <c r="I9141" s="11"/>
      <c r="J9141" s="11"/>
      <c r="K9141" s="11"/>
      <c r="L9141" s="11"/>
      <c r="M9141" s="12"/>
      <c r="N9141" s="12"/>
      <c r="O9141" s="11"/>
      <c r="P9141" s="11"/>
    </row>
    <row r="9142" spans="1:16" ht="12.75" x14ac:dyDescent="0.35">
      <c r="A9142" s="11"/>
      <c r="B9142" s="9"/>
      <c r="C9142" s="9"/>
      <c r="D9142" s="9"/>
      <c r="E9142" s="11"/>
      <c r="F9142" s="11"/>
      <c r="G9142" s="11"/>
      <c r="H9142" s="11"/>
      <c r="I9142" s="11"/>
      <c r="J9142" s="11"/>
      <c r="K9142" s="11"/>
      <c r="L9142" s="11"/>
      <c r="M9142" s="12"/>
      <c r="N9142" s="12"/>
      <c r="O9142" s="11"/>
      <c r="P9142" s="11"/>
    </row>
    <row r="9143" spans="1:16" ht="12.75" x14ac:dyDescent="0.35">
      <c r="A9143" s="11"/>
      <c r="B9143" s="9"/>
      <c r="C9143" s="9"/>
      <c r="D9143" s="9"/>
      <c r="E9143" s="11"/>
      <c r="F9143" s="11"/>
      <c r="G9143" s="11"/>
      <c r="H9143" s="11"/>
      <c r="I9143" s="11"/>
      <c r="J9143" s="11"/>
      <c r="K9143" s="11"/>
      <c r="L9143" s="11"/>
      <c r="M9143" s="12"/>
      <c r="N9143" s="12"/>
      <c r="O9143" s="11"/>
      <c r="P9143" s="11"/>
    </row>
    <row r="9144" spans="1:16" ht="12.75" x14ac:dyDescent="0.35">
      <c r="A9144" s="11"/>
      <c r="B9144" s="9"/>
      <c r="C9144" s="9"/>
      <c r="D9144" s="9"/>
      <c r="E9144" s="11"/>
      <c r="F9144" s="11"/>
      <c r="G9144" s="11"/>
      <c r="H9144" s="11"/>
      <c r="I9144" s="11"/>
      <c r="J9144" s="11"/>
      <c r="K9144" s="11"/>
      <c r="L9144" s="11"/>
      <c r="M9144" s="12"/>
      <c r="N9144" s="12"/>
      <c r="O9144" s="11"/>
      <c r="P9144" s="11"/>
    </row>
    <row r="9145" spans="1:16" ht="12.75" x14ac:dyDescent="0.35">
      <c r="A9145" s="11"/>
      <c r="B9145" s="9"/>
      <c r="C9145" s="9"/>
      <c r="D9145" s="9"/>
      <c r="E9145" s="11"/>
      <c r="F9145" s="11"/>
      <c r="G9145" s="11"/>
      <c r="H9145" s="11"/>
      <c r="I9145" s="11"/>
      <c r="J9145" s="11"/>
      <c r="K9145" s="11"/>
      <c r="L9145" s="11"/>
      <c r="M9145" s="12"/>
      <c r="N9145" s="12"/>
      <c r="O9145" s="11"/>
      <c r="P9145" s="11"/>
    </row>
    <row r="9146" spans="1:16" ht="12.75" x14ac:dyDescent="0.35">
      <c r="A9146" s="11"/>
      <c r="B9146" s="9"/>
      <c r="C9146" s="9"/>
      <c r="D9146" s="9"/>
      <c r="E9146" s="11"/>
      <c r="F9146" s="11"/>
      <c r="G9146" s="11"/>
      <c r="H9146" s="11"/>
      <c r="I9146" s="11"/>
      <c r="J9146" s="11"/>
      <c r="K9146" s="11"/>
      <c r="L9146" s="11"/>
      <c r="M9146" s="12"/>
      <c r="N9146" s="12"/>
      <c r="O9146" s="11"/>
      <c r="P9146" s="11"/>
    </row>
    <row r="9147" spans="1:16" ht="12.75" x14ac:dyDescent="0.35">
      <c r="A9147" s="11"/>
      <c r="B9147" s="9"/>
      <c r="C9147" s="9"/>
      <c r="D9147" s="9"/>
      <c r="E9147" s="11"/>
      <c r="F9147" s="11"/>
      <c r="G9147" s="11"/>
      <c r="H9147" s="11"/>
      <c r="I9147" s="11"/>
      <c r="J9147" s="11"/>
      <c r="K9147" s="11"/>
      <c r="L9147" s="11"/>
      <c r="M9147" s="12"/>
      <c r="N9147" s="12"/>
      <c r="O9147" s="11"/>
      <c r="P9147" s="11"/>
    </row>
    <row r="9148" spans="1:16" ht="12.75" x14ac:dyDescent="0.35">
      <c r="A9148" s="11"/>
      <c r="B9148" s="9"/>
      <c r="C9148" s="9"/>
      <c r="D9148" s="9"/>
      <c r="E9148" s="11"/>
      <c r="F9148" s="11"/>
      <c r="G9148" s="11"/>
      <c r="H9148" s="11"/>
      <c r="I9148" s="11"/>
      <c r="J9148" s="11"/>
      <c r="K9148" s="11"/>
      <c r="L9148" s="11"/>
      <c r="M9148" s="12"/>
      <c r="N9148" s="12"/>
      <c r="O9148" s="11"/>
      <c r="P9148" s="11"/>
    </row>
    <row r="9149" spans="1:16" ht="12.75" x14ac:dyDescent="0.35">
      <c r="A9149" s="11"/>
      <c r="B9149" s="9"/>
      <c r="C9149" s="9"/>
      <c r="D9149" s="9"/>
      <c r="E9149" s="11"/>
      <c r="F9149" s="11"/>
      <c r="G9149" s="11"/>
      <c r="H9149" s="11"/>
      <c r="I9149" s="11"/>
      <c r="J9149" s="11"/>
      <c r="K9149" s="11"/>
      <c r="L9149" s="11"/>
      <c r="M9149" s="12"/>
      <c r="N9149" s="12"/>
      <c r="O9149" s="11"/>
      <c r="P9149" s="11"/>
    </row>
    <row r="9150" spans="1:16" ht="12.75" x14ac:dyDescent="0.35">
      <c r="A9150" s="11"/>
      <c r="B9150" s="9"/>
      <c r="C9150" s="9"/>
      <c r="D9150" s="9"/>
      <c r="E9150" s="11"/>
      <c r="F9150" s="11"/>
      <c r="G9150" s="11"/>
      <c r="H9150" s="11"/>
      <c r="I9150" s="11"/>
      <c r="J9150" s="11"/>
      <c r="K9150" s="11"/>
      <c r="L9150" s="11"/>
      <c r="M9150" s="12"/>
      <c r="N9150" s="12"/>
      <c r="O9150" s="11"/>
      <c r="P9150" s="11"/>
    </row>
    <row r="9151" spans="1:16" ht="12.75" x14ac:dyDescent="0.35">
      <c r="A9151" s="11"/>
      <c r="B9151" s="9"/>
      <c r="C9151" s="9"/>
      <c r="D9151" s="9"/>
      <c r="E9151" s="11"/>
      <c r="F9151" s="11"/>
      <c r="G9151" s="11"/>
      <c r="H9151" s="11"/>
      <c r="I9151" s="11"/>
      <c r="J9151" s="11"/>
      <c r="K9151" s="11"/>
      <c r="L9151" s="11"/>
      <c r="M9151" s="12"/>
      <c r="N9151" s="12"/>
      <c r="O9151" s="11"/>
      <c r="P9151" s="11"/>
    </row>
    <row r="9152" spans="1:16" ht="12.75" x14ac:dyDescent="0.35">
      <c r="A9152" s="11"/>
      <c r="B9152" s="9"/>
      <c r="C9152" s="9"/>
      <c r="D9152" s="9"/>
      <c r="E9152" s="11"/>
      <c r="F9152" s="11"/>
      <c r="G9152" s="11"/>
      <c r="H9152" s="11"/>
      <c r="I9152" s="11"/>
      <c r="J9152" s="11"/>
      <c r="K9152" s="11"/>
      <c r="L9152" s="11"/>
      <c r="M9152" s="12"/>
      <c r="N9152" s="12"/>
      <c r="O9152" s="11"/>
      <c r="P9152" s="11"/>
    </row>
    <row r="9153" spans="1:16" ht="12.75" x14ac:dyDescent="0.35">
      <c r="A9153" s="11"/>
      <c r="B9153" s="9"/>
      <c r="C9153" s="9"/>
      <c r="D9153" s="9"/>
      <c r="E9153" s="11"/>
      <c r="F9153" s="11"/>
      <c r="G9153" s="11"/>
      <c r="H9153" s="11"/>
      <c r="I9153" s="11"/>
      <c r="J9153" s="11"/>
      <c r="K9153" s="11"/>
      <c r="L9153" s="11"/>
      <c r="M9153" s="12"/>
      <c r="N9153" s="12"/>
      <c r="O9153" s="11"/>
      <c r="P9153" s="11"/>
    </row>
    <row r="9154" spans="1:16" ht="12.75" x14ac:dyDescent="0.35">
      <c r="A9154" s="11"/>
      <c r="B9154" s="9"/>
      <c r="C9154" s="9"/>
      <c r="D9154" s="9"/>
      <c r="E9154" s="11"/>
      <c r="F9154" s="11"/>
      <c r="G9154" s="11"/>
      <c r="H9154" s="11"/>
      <c r="I9154" s="11"/>
      <c r="J9154" s="11"/>
      <c r="K9154" s="11"/>
      <c r="L9154" s="11"/>
      <c r="M9154" s="12"/>
      <c r="N9154" s="12"/>
      <c r="O9154" s="11"/>
      <c r="P9154" s="11"/>
    </row>
    <row r="9155" spans="1:16" ht="12.75" x14ac:dyDescent="0.35">
      <c r="A9155" s="11"/>
      <c r="B9155" s="9"/>
      <c r="C9155" s="9"/>
      <c r="D9155" s="9"/>
      <c r="E9155" s="11"/>
      <c r="F9155" s="11"/>
      <c r="G9155" s="11"/>
      <c r="H9155" s="11"/>
      <c r="I9155" s="11"/>
      <c r="J9155" s="11"/>
      <c r="K9155" s="11"/>
      <c r="L9155" s="11"/>
      <c r="M9155" s="12"/>
      <c r="N9155" s="12"/>
      <c r="O9155" s="11"/>
      <c r="P9155" s="11"/>
    </row>
    <row r="9156" spans="1:16" ht="12.75" x14ac:dyDescent="0.35">
      <c r="A9156" s="11"/>
      <c r="B9156" s="9"/>
      <c r="C9156" s="9"/>
      <c r="D9156" s="9"/>
      <c r="E9156" s="11"/>
      <c r="F9156" s="11"/>
      <c r="G9156" s="11"/>
      <c r="H9156" s="11"/>
      <c r="I9156" s="11"/>
      <c r="J9156" s="11"/>
      <c r="K9156" s="11"/>
      <c r="L9156" s="11"/>
      <c r="M9156" s="12"/>
      <c r="N9156" s="12"/>
      <c r="O9156" s="11"/>
      <c r="P9156" s="11"/>
    </row>
    <row r="9157" spans="1:16" ht="12.75" x14ac:dyDescent="0.35">
      <c r="A9157" s="11"/>
      <c r="B9157" s="9"/>
      <c r="C9157" s="9"/>
      <c r="D9157" s="9"/>
      <c r="E9157" s="11"/>
      <c r="F9157" s="11"/>
      <c r="G9157" s="11"/>
      <c r="H9157" s="11"/>
      <c r="I9157" s="11"/>
      <c r="J9157" s="11"/>
      <c r="K9157" s="11"/>
      <c r="L9157" s="11"/>
      <c r="M9157" s="12"/>
      <c r="N9157" s="12"/>
      <c r="O9157" s="11"/>
      <c r="P9157" s="11"/>
    </row>
    <row r="9158" spans="1:16" ht="12.75" x14ac:dyDescent="0.35">
      <c r="A9158" s="11"/>
      <c r="B9158" s="9"/>
      <c r="C9158" s="9"/>
      <c r="D9158" s="9"/>
      <c r="E9158" s="11"/>
      <c r="F9158" s="11"/>
      <c r="G9158" s="11"/>
      <c r="H9158" s="11"/>
      <c r="I9158" s="11"/>
      <c r="J9158" s="11"/>
      <c r="K9158" s="11"/>
      <c r="L9158" s="11"/>
      <c r="M9158" s="12"/>
      <c r="N9158" s="12"/>
      <c r="O9158" s="11"/>
      <c r="P9158" s="11"/>
    </row>
    <row r="9159" spans="1:16" ht="12.75" x14ac:dyDescent="0.35">
      <c r="A9159" s="11"/>
      <c r="B9159" s="9"/>
      <c r="C9159" s="9"/>
      <c r="D9159" s="9"/>
      <c r="E9159" s="11"/>
      <c r="F9159" s="11"/>
      <c r="G9159" s="11"/>
      <c r="H9159" s="11"/>
      <c r="I9159" s="11"/>
      <c r="J9159" s="11"/>
      <c r="K9159" s="11"/>
      <c r="L9159" s="11"/>
      <c r="M9159" s="12"/>
      <c r="N9159" s="12"/>
      <c r="O9159" s="11"/>
      <c r="P9159" s="11"/>
    </row>
    <row r="9160" spans="1:16" ht="12.75" x14ac:dyDescent="0.35">
      <c r="A9160" s="11"/>
      <c r="B9160" s="9"/>
      <c r="C9160" s="9"/>
      <c r="D9160" s="9"/>
      <c r="E9160" s="11"/>
      <c r="F9160" s="11"/>
      <c r="G9160" s="11"/>
      <c r="H9160" s="11"/>
      <c r="I9160" s="11"/>
      <c r="J9160" s="11"/>
      <c r="K9160" s="11"/>
      <c r="L9160" s="11"/>
      <c r="M9160" s="12"/>
      <c r="N9160" s="12"/>
      <c r="O9160" s="11"/>
      <c r="P9160" s="11"/>
    </row>
    <row r="9161" spans="1:16" ht="12.75" x14ac:dyDescent="0.35">
      <c r="A9161" s="11"/>
      <c r="B9161" s="9"/>
      <c r="C9161" s="9"/>
      <c r="D9161" s="9"/>
      <c r="E9161" s="11"/>
      <c r="F9161" s="11"/>
      <c r="G9161" s="11"/>
      <c r="H9161" s="11"/>
      <c r="I9161" s="11"/>
      <c r="J9161" s="11"/>
      <c r="K9161" s="11"/>
      <c r="L9161" s="11"/>
      <c r="M9161" s="12"/>
      <c r="N9161" s="12"/>
      <c r="O9161" s="11"/>
      <c r="P9161" s="11"/>
    </row>
    <row r="9162" spans="1:16" ht="12.75" x14ac:dyDescent="0.35">
      <c r="A9162" s="11"/>
      <c r="B9162" s="9"/>
      <c r="C9162" s="9"/>
      <c r="D9162" s="9"/>
      <c r="E9162" s="11"/>
      <c r="F9162" s="11"/>
      <c r="G9162" s="11"/>
      <c r="H9162" s="11"/>
      <c r="I9162" s="11"/>
      <c r="J9162" s="11"/>
      <c r="K9162" s="11"/>
      <c r="L9162" s="11"/>
      <c r="M9162" s="12"/>
      <c r="N9162" s="12"/>
      <c r="O9162" s="11"/>
      <c r="P9162" s="11"/>
    </row>
    <row r="9163" spans="1:16" ht="12.75" x14ac:dyDescent="0.35">
      <c r="A9163" s="11"/>
      <c r="B9163" s="9"/>
      <c r="C9163" s="9"/>
      <c r="D9163" s="9"/>
      <c r="E9163" s="11"/>
      <c r="F9163" s="11"/>
      <c r="G9163" s="11"/>
      <c r="H9163" s="11"/>
      <c r="I9163" s="11"/>
      <c r="J9163" s="11"/>
      <c r="K9163" s="11"/>
      <c r="L9163" s="11"/>
      <c r="M9163" s="12"/>
      <c r="N9163" s="12"/>
      <c r="O9163" s="11"/>
      <c r="P9163" s="11"/>
    </row>
    <row r="9164" spans="1:16" ht="12.75" x14ac:dyDescent="0.35">
      <c r="A9164" s="11"/>
      <c r="B9164" s="9"/>
      <c r="C9164" s="9"/>
      <c r="D9164" s="9"/>
      <c r="E9164" s="11"/>
      <c r="F9164" s="11"/>
      <c r="G9164" s="11"/>
      <c r="H9164" s="11"/>
      <c r="I9164" s="11"/>
      <c r="J9164" s="11"/>
      <c r="K9164" s="11"/>
      <c r="L9164" s="11"/>
      <c r="M9164" s="12"/>
      <c r="N9164" s="12"/>
      <c r="O9164" s="11"/>
      <c r="P9164" s="11"/>
    </row>
    <row r="9165" spans="1:16" ht="12.75" x14ac:dyDescent="0.35">
      <c r="A9165" s="11"/>
      <c r="B9165" s="9"/>
      <c r="C9165" s="9"/>
      <c r="D9165" s="9"/>
      <c r="E9165" s="11"/>
      <c r="F9165" s="11"/>
      <c r="G9165" s="11"/>
      <c r="H9165" s="11"/>
      <c r="I9165" s="11"/>
      <c r="J9165" s="11"/>
      <c r="K9165" s="11"/>
      <c r="L9165" s="11"/>
      <c r="M9165" s="12"/>
      <c r="N9165" s="12"/>
      <c r="O9165" s="11"/>
      <c r="P9165" s="11"/>
    </row>
    <row r="9166" spans="1:16" ht="12.75" x14ac:dyDescent="0.35">
      <c r="A9166" s="11"/>
      <c r="B9166" s="9"/>
      <c r="C9166" s="9"/>
      <c r="D9166" s="9"/>
      <c r="E9166" s="11"/>
      <c r="F9166" s="11"/>
      <c r="G9166" s="11"/>
      <c r="H9166" s="11"/>
      <c r="I9166" s="11"/>
      <c r="J9166" s="11"/>
      <c r="K9166" s="11"/>
      <c r="L9166" s="11"/>
      <c r="M9166" s="12"/>
      <c r="N9166" s="12"/>
      <c r="O9166" s="11"/>
      <c r="P9166" s="11"/>
    </row>
    <row r="9167" spans="1:16" ht="12.75" x14ac:dyDescent="0.35">
      <c r="A9167" s="11"/>
      <c r="B9167" s="9"/>
      <c r="C9167" s="9"/>
      <c r="D9167" s="9"/>
      <c r="E9167" s="11"/>
      <c r="F9167" s="11"/>
      <c r="G9167" s="11"/>
      <c r="H9167" s="11"/>
      <c r="I9167" s="11"/>
      <c r="J9167" s="11"/>
      <c r="K9167" s="11"/>
      <c r="L9167" s="11"/>
      <c r="M9167" s="12"/>
      <c r="N9167" s="12"/>
      <c r="O9167" s="11"/>
      <c r="P9167" s="11"/>
    </row>
    <row r="9168" spans="1:16" ht="12.75" x14ac:dyDescent="0.35">
      <c r="A9168" s="11"/>
      <c r="B9168" s="9"/>
      <c r="C9168" s="9"/>
      <c r="D9168" s="9"/>
      <c r="E9168" s="11"/>
      <c r="F9168" s="11"/>
      <c r="G9168" s="11"/>
      <c r="H9168" s="11"/>
      <c r="I9168" s="11"/>
      <c r="J9168" s="11"/>
      <c r="K9168" s="11"/>
      <c r="L9168" s="11"/>
      <c r="M9168" s="12"/>
      <c r="N9168" s="12"/>
      <c r="O9168" s="11"/>
      <c r="P9168" s="11"/>
    </row>
    <row r="9169" spans="1:16" ht="12.75" x14ac:dyDescent="0.35">
      <c r="A9169" s="11"/>
      <c r="B9169" s="9"/>
      <c r="C9169" s="9"/>
      <c r="D9169" s="9"/>
      <c r="E9169" s="11"/>
      <c r="F9169" s="11"/>
      <c r="G9169" s="11"/>
      <c r="H9169" s="11"/>
      <c r="I9169" s="11"/>
      <c r="J9169" s="11"/>
      <c r="K9169" s="11"/>
      <c r="L9169" s="11"/>
      <c r="M9169" s="12"/>
      <c r="N9169" s="12"/>
      <c r="O9169" s="11"/>
      <c r="P9169" s="11"/>
    </row>
    <row r="9170" spans="1:16" ht="12.75" x14ac:dyDescent="0.35">
      <c r="A9170" s="11"/>
      <c r="B9170" s="9"/>
      <c r="C9170" s="9"/>
      <c r="D9170" s="9"/>
      <c r="E9170" s="11"/>
      <c r="F9170" s="11"/>
      <c r="G9170" s="11"/>
      <c r="H9170" s="11"/>
      <c r="I9170" s="11"/>
      <c r="J9170" s="11"/>
      <c r="K9170" s="11"/>
      <c r="L9170" s="11"/>
      <c r="M9170" s="12"/>
      <c r="N9170" s="12"/>
      <c r="O9170" s="11"/>
      <c r="P9170" s="11"/>
    </row>
    <row r="9171" spans="1:16" ht="12.75" x14ac:dyDescent="0.35">
      <c r="A9171" s="11"/>
      <c r="B9171" s="9"/>
      <c r="C9171" s="9"/>
      <c r="D9171" s="9"/>
      <c r="E9171" s="11"/>
      <c r="F9171" s="11"/>
      <c r="G9171" s="11"/>
      <c r="H9171" s="11"/>
      <c r="I9171" s="11"/>
      <c r="J9171" s="11"/>
      <c r="K9171" s="11"/>
      <c r="L9171" s="11"/>
      <c r="M9171" s="12"/>
      <c r="N9171" s="12"/>
      <c r="O9171" s="11"/>
      <c r="P9171" s="11"/>
    </row>
    <row r="9172" spans="1:16" ht="12.75" x14ac:dyDescent="0.35">
      <c r="A9172" s="11"/>
      <c r="B9172" s="9"/>
      <c r="C9172" s="9"/>
      <c r="D9172" s="9"/>
      <c r="E9172" s="11"/>
      <c r="F9172" s="11"/>
      <c r="G9172" s="11"/>
      <c r="H9172" s="11"/>
      <c r="I9172" s="11"/>
      <c r="J9172" s="11"/>
      <c r="K9172" s="11"/>
      <c r="L9172" s="11"/>
      <c r="M9172" s="12"/>
      <c r="N9172" s="12"/>
      <c r="O9172" s="11"/>
      <c r="P9172" s="11"/>
    </row>
    <row r="9173" spans="1:16" ht="12.75" x14ac:dyDescent="0.35">
      <c r="A9173" s="11"/>
      <c r="B9173" s="9"/>
      <c r="C9173" s="9"/>
      <c r="D9173" s="9"/>
      <c r="E9173" s="11"/>
      <c r="F9173" s="11"/>
      <c r="G9173" s="11"/>
      <c r="H9173" s="11"/>
      <c r="I9173" s="11"/>
      <c r="J9173" s="11"/>
      <c r="K9173" s="11"/>
      <c r="L9173" s="11"/>
      <c r="M9173" s="12"/>
      <c r="N9173" s="12"/>
      <c r="O9173" s="11"/>
      <c r="P9173" s="11"/>
    </row>
    <row r="9174" spans="1:16" ht="12.75" x14ac:dyDescent="0.35">
      <c r="A9174" s="11"/>
      <c r="B9174" s="9"/>
      <c r="C9174" s="9"/>
      <c r="D9174" s="9"/>
      <c r="E9174" s="11"/>
      <c r="F9174" s="11"/>
      <c r="G9174" s="11"/>
      <c r="H9174" s="11"/>
      <c r="I9174" s="11"/>
      <c r="J9174" s="11"/>
      <c r="K9174" s="11"/>
      <c r="L9174" s="11"/>
      <c r="M9174" s="12"/>
      <c r="N9174" s="12"/>
      <c r="O9174" s="11"/>
      <c r="P9174" s="11"/>
    </row>
    <row r="9175" spans="1:16" ht="12.75" x14ac:dyDescent="0.35">
      <c r="A9175" s="11"/>
      <c r="B9175" s="9"/>
      <c r="C9175" s="9"/>
      <c r="D9175" s="9"/>
      <c r="E9175" s="11"/>
      <c r="F9175" s="11"/>
      <c r="G9175" s="11"/>
      <c r="H9175" s="11"/>
      <c r="I9175" s="11"/>
      <c r="J9175" s="11"/>
      <c r="K9175" s="11"/>
      <c r="L9175" s="11"/>
      <c r="M9175" s="12"/>
      <c r="N9175" s="12"/>
      <c r="O9175" s="11"/>
      <c r="P9175" s="11"/>
    </row>
    <row r="9176" spans="1:16" ht="12.75" x14ac:dyDescent="0.35">
      <c r="A9176" s="11"/>
      <c r="B9176" s="9"/>
      <c r="C9176" s="9"/>
      <c r="D9176" s="9"/>
      <c r="E9176" s="11"/>
      <c r="F9176" s="11"/>
      <c r="G9176" s="11"/>
      <c r="H9176" s="11"/>
      <c r="I9176" s="11"/>
      <c r="J9176" s="11"/>
      <c r="K9176" s="11"/>
      <c r="L9176" s="11"/>
      <c r="M9176" s="12"/>
      <c r="N9176" s="12"/>
      <c r="O9176" s="11"/>
      <c r="P9176" s="11"/>
    </row>
    <row r="9177" spans="1:16" ht="12.75" x14ac:dyDescent="0.35">
      <c r="A9177" s="11"/>
      <c r="B9177" s="9"/>
      <c r="C9177" s="9"/>
      <c r="D9177" s="9"/>
      <c r="E9177" s="11"/>
      <c r="F9177" s="11"/>
      <c r="G9177" s="11"/>
      <c r="H9177" s="11"/>
      <c r="I9177" s="11"/>
      <c r="J9177" s="11"/>
      <c r="K9177" s="11"/>
      <c r="L9177" s="11"/>
      <c r="M9177" s="12"/>
      <c r="N9177" s="12"/>
      <c r="O9177" s="11"/>
      <c r="P9177" s="11"/>
    </row>
    <row r="9178" spans="1:16" ht="12.75" x14ac:dyDescent="0.35">
      <c r="A9178" s="11"/>
      <c r="B9178" s="9"/>
      <c r="C9178" s="9"/>
      <c r="D9178" s="9"/>
      <c r="E9178" s="11"/>
      <c r="F9178" s="11"/>
      <c r="G9178" s="11"/>
      <c r="H9178" s="11"/>
      <c r="I9178" s="11"/>
      <c r="J9178" s="11"/>
      <c r="K9178" s="11"/>
      <c r="L9178" s="11"/>
      <c r="M9178" s="12"/>
      <c r="N9178" s="12"/>
      <c r="O9178" s="11"/>
      <c r="P9178" s="11"/>
    </row>
    <row r="9179" spans="1:16" ht="12.75" x14ac:dyDescent="0.35">
      <c r="A9179" s="11"/>
      <c r="B9179" s="9"/>
      <c r="C9179" s="9"/>
      <c r="D9179" s="9"/>
      <c r="E9179" s="11"/>
      <c r="F9179" s="11"/>
      <c r="G9179" s="11"/>
      <c r="H9179" s="11"/>
      <c r="I9179" s="11"/>
      <c r="J9179" s="11"/>
      <c r="K9179" s="11"/>
      <c r="L9179" s="11"/>
      <c r="M9179" s="12"/>
      <c r="N9179" s="12"/>
      <c r="O9179" s="11"/>
      <c r="P9179" s="11"/>
    </row>
    <row r="9180" spans="1:16" ht="12.75" x14ac:dyDescent="0.35">
      <c r="A9180" s="11"/>
      <c r="B9180" s="9"/>
      <c r="C9180" s="9"/>
      <c r="D9180" s="9"/>
      <c r="E9180" s="11"/>
      <c r="F9180" s="11"/>
      <c r="G9180" s="11"/>
      <c r="H9180" s="11"/>
      <c r="I9180" s="11"/>
      <c r="J9180" s="11"/>
      <c r="K9180" s="11"/>
      <c r="L9180" s="11"/>
      <c r="M9180" s="12"/>
      <c r="N9180" s="12"/>
      <c r="O9180" s="11"/>
      <c r="P9180" s="11"/>
    </row>
    <row r="9181" spans="1:16" ht="12.75" x14ac:dyDescent="0.35">
      <c r="A9181" s="11"/>
      <c r="B9181" s="9"/>
      <c r="C9181" s="9"/>
      <c r="D9181" s="9"/>
      <c r="E9181" s="11"/>
      <c r="F9181" s="11"/>
      <c r="G9181" s="11"/>
      <c r="H9181" s="11"/>
      <c r="I9181" s="11"/>
      <c r="J9181" s="11"/>
      <c r="K9181" s="11"/>
      <c r="L9181" s="11"/>
      <c r="M9181" s="12"/>
      <c r="N9181" s="12"/>
      <c r="O9181" s="11"/>
      <c r="P9181" s="11"/>
    </row>
    <row r="9182" spans="1:16" ht="12.75" x14ac:dyDescent="0.35">
      <c r="A9182" s="11"/>
      <c r="B9182" s="9"/>
      <c r="C9182" s="9"/>
      <c r="D9182" s="9"/>
      <c r="E9182" s="11"/>
      <c r="F9182" s="11"/>
      <c r="G9182" s="11"/>
      <c r="H9182" s="11"/>
      <c r="I9182" s="11"/>
      <c r="J9182" s="11"/>
      <c r="K9182" s="11"/>
      <c r="L9182" s="11"/>
      <c r="M9182" s="12"/>
      <c r="N9182" s="12"/>
      <c r="O9182" s="11"/>
      <c r="P9182" s="11"/>
    </row>
    <row r="9183" spans="1:16" ht="12.75" x14ac:dyDescent="0.35">
      <c r="A9183" s="11"/>
      <c r="B9183" s="9"/>
      <c r="C9183" s="9"/>
      <c r="D9183" s="9"/>
      <c r="E9183" s="11"/>
      <c r="F9183" s="11"/>
      <c r="G9183" s="11"/>
      <c r="H9183" s="11"/>
      <c r="I9183" s="11"/>
      <c r="J9183" s="11"/>
      <c r="K9183" s="11"/>
      <c r="L9183" s="11"/>
      <c r="M9183" s="12"/>
      <c r="N9183" s="12"/>
      <c r="O9183" s="11"/>
      <c r="P9183" s="11"/>
    </row>
    <row r="9184" spans="1:16" ht="12.75" x14ac:dyDescent="0.35">
      <c r="A9184" s="11"/>
      <c r="B9184" s="9"/>
      <c r="C9184" s="9"/>
      <c r="D9184" s="9"/>
      <c r="E9184" s="11"/>
      <c r="F9184" s="11"/>
      <c r="G9184" s="11"/>
      <c r="H9184" s="11"/>
      <c r="I9184" s="11"/>
      <c r="J9184" s="11"/>
      <c r="K9184" s="11"/>
      <c r="L9184" s="11"/>
      <c r="M9184" s="12"/>
      <c r="N9184" s="12"/>
      <c r="O9184" s="11"/>
      <c r="P9184" s="11"/>
    </row>
    <row r="9185" spans="1:16" ht="12.75" x14ac:dyDescent="0.35">
      <c r="A9185" s="11"/>
      <c r="B9185" s="9"/>
      <c r="C9185" s="9"/>
      <c r="D9185" s="9"/>
      <c r="E9185" s="11"/>
      <c r="F9185" s="11"/>
      <c r="G9185" s="11"/>
      <c r="H9185" s="11"/>
      <c r="I9185" s="11"/>
      <c r="J9185" s="11"/>
      <c r="K9185" s="11"/>
      <c r="L9185" s="11"/>
      <c r="M9185" s="12"/>
      <c r="N9185" s="12"/>
      <c r="O9185" s="11"/>
      <c r="P9185" s="11"/>
    </row>
    <row r="9186" spans="1:16" ht="12.75" x14ac:dyDescent="0.35">
      <c r="A9186" s="11"/>
      <c r="B9186" s="9"/>
      <c r="C9186" s="9"/>
      <c r="D9186" s="9"/>
      <c r="E9186" s="11"/>
      <c r="F9186" s="11"/>
      <c r="G9186" s="11"/>
      <c r="H9186" s="11"/>
      <c r="I9186" s="11"/>
      <c r="J9186" s="11"/>
      <c r="K9186" s="11"/>
      <c r="L9186" s="11"/>
      <c r="M9186" s="12"/>
      <c r="N9186" s="12"/>
      <c r="O9186" s="11"/>
      <c r="P9186" s="11"/>
    </row>
    <row r="9187" spans="1:16" ht="12.75" x14ac:dyDescent="0.35">
      <c r="A9187" s="11"/>
      <c r="B9187" s="9"/>
      <c r="C9187" s="9"/>
      <c r="D9187" s="9"/>
      <c r="E9187" s="11"/>
      <c r="F9187" s="11"/>
      <c r="G9187" s="11"/>
      <c r="H9187" s="11"/>
      <c r="I9187" s="11"/>
      <c r="J9187" s="11"/>
      <c r="K9187" s="11"/>
      <c r="L9187" s="11"/>
      <c r="M9187" s="12"/>
      <c r="N9187" s="12"/>
      <c r="O9187" s="11"/>
      <c r="P9187" s="11"/>
    </row>
    <row r="9188" spans="1:16" ht="12.75" x14ac:dyDescent="0.35">
      <c r="A9188" s="11"/>
      <c r="B9188" s="9"/>
      <c r="C9188" s="9"/>
      <c r="D9188" s="9"/>
      <c r="E9188" s="11"/>
      <c r="F9188" s="11"/>
      <c r="G9188" s="11"/>
      <c r="H9188" s="11"/>
      <c r="I9188" s="11"/>
      <c r="J9188" s="11"/>
      <c r="K9188" s="11"/>
      <c r="L9188" s="11"/>
      <c r="M9188" s="12"/>
      <c r="N9188" s="12"/>
      <c r="O9188" s="11"/>
      <c r="P9188" s="11"/>
    </row>
    <row r="9189" spans="1:16" ht="12.75" x14ac:dyDescent="0.35">
      <c r="A9189" s="11"/>
      <c r="B9189" s="9"/>
      <c r="C9189" s="9"/>
      <c r="D9189" s="9"/>
      <c r="E9189" s="11"/>
      <c r="F9189" s="11"/>
      <c r="G9189" s="11"/>
      <c r="H9189" s="11"/>
      <c r="I9189" s="11"/>
      <c r="J9189" s="11"/>
      <c r="K9189" s="11"/>
      <c r="L9189" s="11"/>
      <c r="M9189" s="12"/>
      <c r="N9189" s="12"/>
      <c r="O9189" s="11"/>
      <c r="P9189" s="11"/>
    </row>
    <row r="9190" spans="1:16" ht="12.75" x14ac:dyDescent="0.35">
      <c r="A9190" s="11"/>
      <c r="B9190" s="9"/>
      <c r="C9190" s="9"/>
      <c r="D9190" s="9"/>
      <c r="E9190" s="11"/>
      <c r="F9190" s="11"/>
      <c r="G9190" s="11"/>
      <c r="H9190" s="11"/>
      <c r="I9190" s="11"/>
      <c r="J9190" s="11"/>
      <c r="K9190" s="11"/>
      <c r="L9190" s="11"/>
      <c r="M9190" s="12"/>
      <c r="N9190" s="12"/>
      <c r="O9190" s="11"/>
      <c r="P9190" s="11"/>
    </row>
    <row r="9191" spans="1:16" ht="12.75" x14ac:dyDescent="0.35">
      <c r="A9191" s="11"/>
      <c r="B9191" s="9"/>
      <c r="C9191" s="9"/>
      <c r="D9191" s="9"/>
      <c r="E9191" s="11"/>
      <c r="F9191" s="11"/>
      <c r="G9191" s="11"/>
      <c r="H9191" s="11"/>
      <c r="I9191" s="11"/>
      <c r="J9191" s="11"/>
      <c r="K9191" s="11"/>
      <c r="L9191" s="11"/>
      <c r="M9191" s="12"/>
      <c r="N9191" s="12"/>
      <c r="O9191" s="11"/>
      <c r="P9191" s="11"/>
    </row>
    <row r="9192" spans="1:16" ht="12.75" x14ac:dyDescent="0.35">
      <c r="A9192" s="11"/>
      <c r="B9192" s="9"/>
      <c r="C9192" s="9"/>
      <c r="D9192" s="9"/>
      <c r="E9192" s="11"/>
      <c r="F9192" s="11"/>
      <c r="G9192" s="11"/>
      <c r="H9192" s="11"/>
      <c r="I9192" s="11"/>
      <c r="J9192" s="11"/>
      <c r="K9192" s="11"/>
      <c r="L9192" s="11"/>
      <c r="M9192" s="12"/>
      <c r="N9192" s="12"/>
      <c r="O9192" s="11"/>
      <c r="P9192" s="11"/>
    </row>
    <row r="9193" spans="1:16" ht="12.75" x14ac:dyDescent="0.35">
      <c r="A9193" s="11"/>
      <c r="B9193" s="9"/>
      <c r="C9193" s="9"/>
      <c r="D9193" s="9"/>
      <c r="E9193" s="11"/>
      <c r="F9193" s="11"/>
      <c r="G9193" s="11"/>
      <c r="H9193" s="11"/>
      <c r="I9193" s="11"/>
      <c r="J9193" s="11"/>
      <c r="K9193" s="11"/>
      <c r="L9193" s="11"/>
      <c r="M9193" s="12"/>
      <c r="N9193" s="12"/>
      <c r="O9193" s="11"/>
      <c r="P9193" s="11"/>
    </row>
    <row r="9194" spans="1:16" ht="12.75" x14ac:dyDescent="0.35">
      <c r="A9194" s="11"/>
      <c r="B9194" s="9"/>
      <c r="C9194" s="9"/>
      <c r="D9194" s="9"/>
      <c r="E9194" s="11"/>
      <c r="F9194" s="11"/>
      <c r="G9194" s="11"/>
      <c r="H9194" s="11"/>
      <c r="I9194" s="11"/>
      <c r="J9194" s="11"/>
      <c r="K9194" s="11"/>
      <c r="L9194" s="11"/>
      <c r="M9194" s="12"/>
      <c r="N9194" s="12"/>
      <c r="O9194" s="11"/>
      <c r="P9194" s="11"/>
    </row>
    <row r="9195" spans="1:16" ht="12.75" x14ac:dyDescent="0.35">
      <c r="A9195" s="11"/>
      <c r="B9195" s="9"/>
      <c r="C9195" s="9"/>
      <c r="D9195" s="9"/>
      <c r="E9195" s="11"/>
      <c r="F9195" s="11"/>
      <c r="G9195" s="11"/>
      <c r="H9195" s="11"/>
      <c r="I9195" s="11"/>
      <c r="J9195" s="11"/>
      <c r="K9195" s="11"/>
      <c r="L9195" s="11"/>
      <c r="M9195" s="12"/>
      <c r="N9195" s="12"/>
      <c r="O9195" s="11"/>
      <c r="P9195" s="11"/>
    </row>
    <row r="9196" spans="1:16" ht="12.75" x14ac:dyDescent="0.35">
      <c r="A9196" s="11"/>
      <c r="B9196" s="9"/>
      <c r="C9196" s="9"/>
      <c r="D9196" s="9"/>
      <c r="E9196" s="11"/>
      <c r="F9196" s="11"/>
      <c r="G9196" s="11"/>
      <c r="H9196" s="11"/>
      <c r="I9196" s="11"/>
      <c r="J9196" s="11"/>
      <c r="K9196" s="11"/>
      <c r="L9196" s="11"/>
      <c r="M9196" s="12"/>
      <c r="N9196" s="12"/>
      <c r="O9196" s="11"/>
      <c r="P9196" s="11"/>
    </row>
    <row r="9197" spans="1:16" ht="12.75" x14ac:dyDescent="0.35">
      <c r="A9197" s="11"/>
      <c r="B9197" s="9"/>
      <c r="C9197" s="9"/>
      <c r="D9197" s="9"/>
      <c r="E9197" s="11"/>
      <c r="F9197" s="11"/>
      <c r="G9197" s="11"/>
      <c r="H9197" s="11"/>
      <c r="I9197" s="11"/>
      <c r="J9197" s="11"/>
      <c r="K9197" s="11"/>
      <c r="L9197" s="11"/>
      <c r="M9197" s="12"/>
      <c r="N9197" s="12"/>
      <c r="O9197" s="11"/>
      <c r="P9197" s="11"/>
    </row>
    <row r="9198" spans="1:16" ht="12.75" x14ac:dyDescent="0.35">
      <c r="A9198" s="11"/>
      <c r="B9198" s="9"/>
      <c r="C9198" s="9"/>
      <c r="D9198" s="9"/>
      <c r="E9198" s="11"/>
      <c r="F9198" s="11"/>
      <c r="G9198" s="11"/>
      <c r="H9198" s="11"/>
      <c r="I9198" s="11"/>
      <c r="J9198" s="11"/>
      <c r="K9198" s="11"/>
      <c r="L9198" s="11"/>
      <c r="M9198" s="12"/>
      <c r="N9198" s="12"/>
      <c r="O9198" s="11"/>
      <c r="P9198" s="11"/>
    </row>
    <row r="9199" spans="1:16" ht="12.75" x14ac:dyDescent="0.35">
      <c r="A9199" s="11"/>
      <c r="B9199" s="9"/>
      <c r="C9199" s="9"/>
      <c r="D9199" s="9"/>
      <c r="E9199" s="11"/>
      <c r="F9199" s="11"/>
      <c r="G9199" s="11"/>
      <c r="H9199" s="11"/>
      <c r="I9199" s="11"/>
      <c r="J9199" s="11"/>
      <c r="K9199" s="11"/>
      <c r="L9199" s="11"/>
      <c r="M9199" s="12"/>
      <c r="N9199" s="12"/>
      <c r="O9199" s="11"/>
      <c r="P9199" s="11"/>
    </row>
    <row r="9200" spans="1:16" ht="12.75" x14ac:dyDescent="0.35">
      <c r="A9200" s="11"/>
      <c r="B9200" s="9"/>
      <c r="C9200" s="9"/>
      <c r="D9200" s="9"/>
      <c r="E9200" s="11"/>
      <c r="F9200" s="11"/>
      <c r="G9200" s="11"/>
      <c r="H9200" s="11"/>
      <c r="I9200" s="11"/>
      <c r="J9200" s="11"/>
      <c r="K9200" s="11"/>
      <c r="L9200" s="11"/>
      <c r="M9200" s="12"/>
      <c r="N9200" s="12"/>
      <c r="O9200" s="11"/>
      <c r="P9200" s="11"/>
    </row>
    <row r="9201" spans="1:16" ht="12.75" x14ac:dyDescent="0.35">
      <c r="A9201" s="11"/>
      <c r="B9201" s="9"/>
      <c r="C9201" s="9"/>
      <c r="D9201" s="9"/>
      <c r="E9201" s="11"/>
      <c r="F9201" s="11"/>
      <c r="G9201" s="11"/>
      <c r="H9201" s="11"/>
      <c r="I9201" s="11"/>
      <c r="J9201" s="11"/>
      <c r="K9201" s="11"/>
      <c r="L9201" s="11"/>
      <c r="M9201" s="12"/>
      <c r="N9201" s="12"/>
      <c r="O9201" s="11"/>
      <c r="P9201" s="11"/>
    </row>
    <row r="9202" spans="1:16" ht="12.75" x14ac:dyDescent="0.35">
      <c r="A9202" s="11"/>
      <c r="B9202" s="9"/>
      <c r="C9202" s="9"/>
      <c r="D9202" s="9"/>
      <c r="E9202" s="11"/>
      <c r="F9202" s="11"/>
      <c r="G9202" s="11"/>
      <c r="H9202" s="11"/>
      <c r="I9202" s="11"/>
      <c r="J9202" s="11"/>
      <c r="K9202" s="11"/>
      <c r="L9202" s="11"/>
      <c r="M9202" s="12"/>
      <c r="N9202" s="12"/>
      <c r="O9202" s="11"/>
      <c r="P9202" s="11"/>
    </row>
    <row r="9203" spans="1:16" ht="12.75" x14ac:dyDescent="0.35">
      <c r="A9203" s="11"/>
      <c r="B9203" s="9"/>
      <c r="C9203" s="9"/>
      <c r="D9203" s="9"/>
      <c r="E9203" s="11"/>
      <c r="F9203" s="11"/>
      <c r="G9203" s="11"/>
      <c r="H9203" s="11"/>
      <c r="I9203" s="11"/>
      <c r="J9203" s="11"/>
      <c r="K9203" s="11"/>
      <c r="L9203" s="11"/>
      <c r="M9203" s="12"/>
      <c r="N9203" s="12"/>
      <c r="O9203" s="11"/>
      <c r="P9203" s="11"/>
    </row>
    <row r="9204" spans="1:16" ht="12.75" x14ac:dyDescent="0.35">
      <c r="A9204" s="11"/>
      <c r="B9204" s="9"/>
      <c r="C9204" s="9"/>
      <c r="D9204" s="9"/>
      <c r="E9204" s="11"/>
      <c r="F9204" s="11"/>
      <c r="G9204" s="11"/>
      <c r="H9204" s="11"/>
      <c r="I9204" s="11"/>
      <c r="J9204" s="11"/>
      <c r="K9204" s="11"/>
      <c r="L9204" s="11"/>
      <c r="M9204" s="12"/>
      <c r="N9204" s="12"/>
      <c r="O9204" s="11"/>
      <c r="P9204" s="11"/>
    </row>
    <row r="9205" spans="1:16" ht="12.75" x14ac:dyDescent="0.35">
      <c r="A9205" s="11"/>
      <c r="B9205" s="9"/>
      <c r="C9205" s="9"/>
      <c r="D9205" s="9"/>
      <c r="E9205" s="11"/>
      <c r="F9205" s="11"/>
      <c r="G9205" s="11"/>
      <c r="H9205" s="11"/>
      <c r="I9205" s="11"/>
      <c r="J9205" s="11"/>
      <c r="K9205" s="11"/>
      <c r="L9205" s="11"/>
      <c r="M9205" s="12"/>
      <c r="N9205" s="12"/>
      <c r="O9205" s="11"/>
      <c r="P9205" s="11"/>
    </row>
    <row r="9206" spans="1:16" ht="12.75" x14ac:dyDescent="0.35">
      <c r="A9206" s="11"/>
      <c r="B9206" s="9"/>
      <c r="C9206" s="9"/>
      <c r="D9206" s="9"/>
      <c r="E9206" s="11"/>
      <c r="F9206" s="11"/>
      <c r="G9206" s="11"/>
      <c r="H9206" s="11"/>
      <c r="I9206" s="11"/>
      <c r="J9206" s="11"/>
      <c r="K9206" s="11"/>
      <c r="L9206" s="11"/>
      <c r="M9206" s="12"/>
      <c r="N9206" s="12"/>
      <c r="O9206" s="11"/>
      <c r="P9206" s="11"/>
    </row>
    <row r="9207" spans="1:16" ht="12.75" x14ac:dyDescent="0.35">
      <c r="A9207" s="11"/>
      <c r="B9207" s="9"/>
      <c r="C9207" s="9"/>
      <c r="D9207" s="9"/>
      <c r="E9207" s="11"/>
      <c r="F9207" s="11"/>
      <c r="G9207" s="11"/>
      <c r="H9207" s="11"/>
      <c r="I9207" s="11"/>
      <c r="J9207" s="11"/>
      <c r="K9207" s="11"/>
      <c r="L9207" s="11"/>
      <c r="M9207" s="12"/>
      <c r="N9207" s="12"/>
      <c r="O9207" s="11"/>
      <c r="P9207" s="11"/>
    </row>
    <row r="9208" spans="1:16" ht="12.75" x14ac:dyDescent="0.35">
      <c r="A9208" s="11"/>
      <c r="B9208" s="9"/>
      <c r="C9208" s="9"/>
      <c r="D9208" s="9"/>
      <c r="E9208" s="11"/>
      <c r="F9208" s="11"/>
      <c r="G9208" s="11"/>
      <c r="H9208" s="11"/>
      <c r="I9208" s="11"/>
      <c r="J9208" s="11"/>
      <c r="K9208" s="11"/>
      <c r="L9208" s="11"/>
      <c r="M9208" s="12"/>
      <c r="N9208" s="12"/>
      <c r="O9208" s="11"/>
      <c r="P9208" s="11"/>
    </row>
    <row r="9209" spans="1:16" ht="12.75" x14ac:dyDescent="0.35">
      <c r="A9209" s="11"/>
      <c r="B9209" s="9"/>
      <c r="C9209" s="9"/>
      <c r="D9209" s="9"/>
      <c r="E9209" s="11"/>
      <c r="F9209" s="11"/>
      <c r="G9209" s="11"/>
      <c r="H9209" s="11"/>
      <c r="I9209" s="11"/>
      <c r="J9209" s="11"/>
      <c r="K9209" s="11"/>
      <c r="L9209" s="11"/>
      <c r="M9209" s="12"/>
      <c r="N9209" s="12"/>
      <c r="O9209" s="11"/>
      <c r="P9209" s="11"/>
    </row>
    <row r="9210" spans="1:16" ht="12.75" x14ac:dyDescent="0.35">
      <c r="A9210" s="11"/>
      <c r="B9210" s="9"/>
      <c r="C9210" s="9"/>
      <c r="D9210" s="9"/>
      <c r="E9210" s="11"/>
      <c r="F9210" s="11"/>
      <c r="G9210" s="11"/>
      <c r="H9210" s="11"/>
      <c r="I9210" s="11"/>
      <c r="J9210" s="11"/>
      <c r="K9210" s="11"/>
      <c r="L9210" s="11"/>
      <c r="M9210" s="12"/>
      <c r="N9210" s="12"/>
      <c r="O9210" s="11"/>
      <c r="P9210" s="11"/>
    </row>
    <row r="9211" spans="1:16" ht="12.75" x14ac:dyDescent="0.35">
      <c r="A9211" s="11"/>
      <c r="B9211" s="9"/>
      <c r="C9211" s="9"/>
      <c r="D9211" s="9"/>
      <c r="E9211" s="11"/>
      <c r="F9211" s="11"/>
      <c r="G9211" s="11"/>
      <c r="H9211" s="11"/>
      <c r="I9211" s="11"/>
      <c r="J9211" s="11"/>
      <c r="K9211" s="11"/>
      <c r="L9211" s="11"/>
      <c r="M9211" s="12"/>
      <c r="N9211" s="12"/>
      <c r="O9211" s="11"/>
      <c r="P9211" s="11"/>
    </row>
    <row r="9212" spans="1:16" ht="12.75" x14ac:dyDescent="0.35">
      <c r="A9212" s="11"/>
      <c r="B9212" s="9"/>
      <c r="C9212" s="9"/>
      <c r="D9212" s="9"/>
      <c r="E9212" s="11"/>
      <c r="F9212" s="11"/>
      <c r="G9212" s="11"/>
      <c r="H9212" s="11"/>
      <c r="I9212" s="11"/>
      <c r="J9212" s="11"/>
      <c r="K9212" s="11"/>
      <c r="L9212" s="11"/>
      <c r="M9212" s="12"/>
      <c r="N9212" s="12"/>
      <c r="O9212" s="11"/>
      <c r="P9212" s="11"/>
    </row>
    <row r="9213" spans="1:16" ht="12.75" x14ac:dyDescent="0.35">
      <c r="A9213" s="11"/>
      <c r="B9213" s="9"/>
      <c r="C9213" s="9"/>
      <c r="D9213" s="9"/>
      <c r="E9213" s="11"/>
      <c r="F9213" s="11"/>
      <c r="G9213" s="11"/>
      <c r="H9213" s="11"/>
      <c r="I9213" s="11"/>
      <c r="J9213" s="11"/>
      <c r="K9213" s="11"/>
      <c r="L9213" s="11"/>
      <c r="M9213" s="12"/>
      <c r="N9213" s="12"/>
      <c r="O9213" s="11"/>
      <c r="P9213" s="11"/>
    </row>
    <row r="9214" spans="1:16" ht="12.75" x14ac:dyDescent="0.35">
      <c r="A9214" s="11"/>
      <c r="B9214" s="9"/>
      <c r="C9214" s="9"/>
      <c r="D9214" s="9"/>
      <c r="E9214" s="11"/>
      <c r="F9214" s="11"/>
      <c r="G9214" s="11"/>
      <c r="H9214" s="11"/>
      <c r="I9214" s="11"/>
      <c r="J9214" s="11"/>
      <c r="K9214" s="11"/>
      <c r="L9214" s="11"/>
      <c r="M9214" s="12"/>
      <c r="N9214" s="12"/>
      <c r="O9214" s="11"/>
      <c r="P9214" s="11"/>
    </row>
    <row r="9215" spans="1:16" ht="12.75" x14ac:dyDescent="0.35">
      <c r="A9215" s="11"/>
      <c r="B9215" s="9"/>
      <c r="C9215" s="9"/>
      <c r="D9215" s="9"/>
      <c r="E9215" s="11"/>
      <c r="F9215" s="11"/>
      <c r="G9215" s="11"/>
      <c r="H9215" s="11"/>
      <c r="I9215" s="11"/>
      <c r="J9215" s="11"/>
      <c r="K9215" s="11"/>
      <c r="L9215" s="11"/>
      <c r="M9215" s="12"/>
      <c r="N9215" s="12"/>
      <c r="O9215" s="11"/>
      <c r="P9215" s="11"/>
    </row>
    <row r="9216" spans="1:16" ht="12.75" x14ac:dyDescent="0.35">
      <c r="A9216" s="11"/>
      <c r="B9216" s="9"/>
      <c r="C9216" s="9"/>
      <c r="D9216" s="9"/>
      <c r="E9216" s="11"/>
      <c r="F9216" s="11"/>
      <c r="G9216" s="11"/>
      <c r="H9216" s="11"/>
      <c r="I9216" s="11"/>
      <c r="J9216" s="11"/>
      <c r="K9216" s="11"/>
      <c r="L9216" s="11"/>
      <c r="M9216" s="12"/>
      <c r="N9216" s="12"/>
      <c r="O9216" s="11"/>
      <c r="P9216" s="11"/>
    </row>
    <row r="9217" spans="1:16" ht="12.75" x14ac:dyDescent="0.35">
      <c r="A9217" s="11"/>
      <c r="B9217" s="9"/>
      <c r="C9217" s="9"/>
      <c r="D9217" s="9"/>
      <c r="E9217" s="11"/>
      <c r="F9217" s="11"/>
      <c r="G9217" s="11"/>
      <c r="H9217" s="11"/>
      <c r="I9217" s="11"/>
      <c r="J9217" s="11"/>
      <c r="K9217" s="11"/>
      <c r="L9217" s="11"/>
      <c r="M9217" s="12"/>
      <c r="N9217" s="12"/>
      <c r="O9217" s="11"/>
      <c r="P9217" s="11"/>
    </row>
    <row r="9218" spans="1:16" ht="12.75" x14ac:dyDescent="0.35">
      <c r="A9218" s="11"/>
      <c r="B9218" s="9"/>
      <c r="C9218" s="9"/>
      <c r="D9218" s="9"/>
      <c r="E9218" s="11"/>
      <c r="F9218" s="11"/>
      <c r="G9218" s="11"/>
      <c r="H9218" s="11"/>
      <c r="I9218" s="11"/>
      <c r="J9218" s="11"/>
      <c r="K9218" s="11"/>
      <c r="L9218" s="11"/>
      <c r="M9218" s="12"/>
      <c r="N9218" s="12"/>
      <c r="O9218" s="11"/>
      <c r="P9218" s="11"/>
    </row>
    <row r="9219" spans="1:16" ht="12.75" x14ac:dyDescent="0.35">
      <c r="A9219" s="11"/>
      <c r="B9219" s="9"/>
      <c r="C9219" s="9"/>
      <c r="D9219" s="9"/>
      <c r="E9219" s="11"/>
      <c r="F9219" s="11"/>
      <c r="G9219" s="11"/>
      <c r="H9219" s="11"/>
      <c r="I9219" s="11"/>
      <c r="J9219" s="11"/>
      <c r="K9219" s="11"/>
      <c r="L9219" s="11"/>
      <c r="M9219" s="12"/>
      <c r="N9219" s="12"/>
      <c r="O9219" s="11"/>
      <c r="P9219" s="11"/>
    </row>
    <row r="9220" spans="1:16" ht="12.75" x14ac:dyDescent="0.35">
      <c r="A9220" s="11"/>
      <c r="B9220" s="9"/>
      <c r="C9220" s="9"/>
      <c r="D9220" s="9"/>
      <c r="E9220" s="11"/>
      <c r="F9220" s="11"/>
      <c r="G9220" s="11"/>
      <c r="H9220" s="11"/>
      <c r="I9220" s="11"/>
      <c r="J9220" s="11"/>
      <c r="K9220" s="11"/>
      <c r="L9220" s="11"/>
      <c r="M9220" s="12"/>
      <c r="N9220" s="12"/>
      <c r="O9220" s="11"/>
      <c r="P9220" s="11"/>
    </row>
    <row r="9221" spans="1:16" ht="12.75" x14ac:dyDescent="0.35">
      <c r="A9221" s="11"/>
      <c r="B9221" s="9"/>
      <c r="C9221" s="9"/>
      <c r="D9221" s="9"/>
      <c r="E9221" s="11"/>
      <c r="F9221" s="11"/>
      <c r="G9221" s="11"/>
      <c r="H9221" s="11"/>
      <c r="I9221" s="11"/>
      <c r="J9221" s="11"/>
      <c r="K9221" s="11"/>
      <c r="L9221" s="11"/>
      <c r="M9221" s="12"/>
      <c r="N9221" s="12"/>
      <c r="O9221" s="11"/>
      <c r="P9221" s="11"/>
    </row>
    <row r="9222" spans="1:16" ht="12.75" x14ac:dyDescent="0.35">
      <c r="A9222" s="11"/>
      <c r="B9222" s="9"/>
      <c r="C9222" s="9"/>
      <c r="D9222" s="9"/>
      <c r="E9222" s="11"/>
      <c r="F9222" s="11"/>
      <c r="G9222" s="11"/>
      <c r="H9222" s="11"/>
      <c r="I9222" s="11"/>
      <c r="J9222" s="11"/>
      <c r="K9222" s="11"/>
      <c r="L9222" s="11"/>
      <c r="M9222" s="12"/>
      <c r="N9222" s="12"/>
      <c r="O9222" s="11"/>
      <c r="P9222" s="11"/>
    </row>
    <row r="9223" spans="1:16" ht="12.75" x14ac:dyDescent="0.35">
      <c r="A9223" s="11"/>
      <c r="B9223" s="9"/>
      <c r="C9223" s="9"/>
      <c r="D9223" s="9"/>
      <c r="E9223" s="11"/>
      <c r="F9223" s="11"/>
      <c r="G9223" s="11"/>
      <c r="H9223" s="11"/>
      <c r="I9223" s="11"/>
      <c r="J9223" s="11"/>
      <c r="K9223" s="11"/>
      <c r="L9223" s="11"/>
      <c r="M9223" s="12"/>
      <c r="N9223" s="12"/>
      <c r="O9223" s="11"/>
      <c r="P9223" s="11"/>
    </row>
    <row r="9224" spans="1:16" ht="12.75" x14ac:dyDescent="0.35">
      <c r="A9224" s="11"/>
      <c r="B9224" s="9"/>
      <c r="C9224" s="9"/>
      <c r="D9224" s="9"/>
      <c r="E9224" s="11"/>
      <c r="F9224" s="11"/>
      <c r="G9224" s="11"/>
      <c r="H9224" s="11"/>
      <c r="I9224" s="11"/>
      <c r="J9224" s="11"/>
      <c r="K9224" s="11"/>
      <c r="L9224" s="11"/>
      <c r="M9224" s="12"/>
      <c r="N9224" s="12"/>
      <c r="O9224" s="11"/>
      <c r="P9224" s="11"/>
    </row>
    <row r="9225" spans="1:16" ht="12.75" x14ac:dyDescent="0.35">
      <c r="A9225" s="11"/>
      <c r="B9225" s="9"/>
      <c r="C9225" s="9"/>
      <c r="D9225" s="9"/>
      <c r="E9225" s="11"/>
      <c r="F9225" s="11"/>
      <c r="G9225" s="11"/>
      <c r="H9225" s="11"/>
      <c r="I9225" s="11"/>
      <c r="J9225" s="11"/>
      <c r="K9225" s="11"/>
      <c r="L9225" s="11"/>
      <c r="M9225" s="12"/>
      <c r="N9225" s="12"/>
      <c r="O9225" s="11"/>
      <c r="P9225" s="11"/>
    </row>
    <row r="9226" spans="1:16" ht="12.75" x14ac:dyDescent="0.35">
      <c r="A9226" s="11"/>
      <c r="B9226" s="9"/>
      <c r="C9226" s="9"/>
      <c r="D9226" s="9"/>
      <c r="E9226" s="11"/>
      <c r="F9226" s="11"/>
      <c r="G9226" s="11"/>
      <c r="H9226" s="11"/>
      <c r="I9226" s="11"/>
      <c r="J9226" s="11"/>
      <c r="K9226" s="11"/>
      <c r="L9226" s="11"/>
      <c r="M9226" s="12"/>
      <c r="N9226" s="12"/>
      <c r="O9226" s="11"/>
      <c r="P9226" s="11"/>
    </row>
    <row r="9227" spans="1:16" ht="12.75" x14ac:dyDescent="0.35">
      <c r="A9227" s="11"/>
      <c r="B9227" s="9"/>
      <c r="C9227" s="9"/>
      <c r="D9227" s="9"/>
      <c r="E9227" s="11"/>
      <c r="F9227" s="11"/>
      <c r="G9227" s="11"/>
      <c r="H9227" s="11"/>
      <c r="I9227" s="11"/>
      <c r="J9227" s="11"/>
      <c r="K9227" s="11"/>
      <c r="L9227" s="11"/>
      <c r="M9227" s="12"/>
      <c r="N9227" s="12"/>
      <c r="O9227" s="11"/>
      <c r="P9227" s="11"/>
    </row>
    <row r="9228" spans="1:16" ht="12.75" x14ac:dyDescent="0.35">
      <c r="A9228" s="11"/>
      <c r="B9228" s="9"/>
      <c r="C9228" s="9"/>
      <c r="D9228" s="9"/>
      <c r="E9228" s="11"/>
      <c r="F9228" s="11"/>
      <c r="G9228" s="11"/>
      <c r="H9228" s="11"/>
      <c r="I9228" s="11"/>
      <c r="J9228" s="11"/>
      <c r="K9228" s="11"/>
      <c r="L9228" s="11"/>
      <c r="M9228" s="12"/>
      <c r="N9228" s="12"/>
      <c r="O9228" s="11"/>
      <c r="P9228" s="11"/>
    </row>
    <row r="9229" spans="1:16" ht="12.75" x14ac:dyDescent="0.35">
      <c r="A9229" s="11"/>
      <c r="B9229" s="9"/>
      <c r="C9229" s="9"/>
      <c r="D9229" s="9"/>
      <c r="E9229" s="11"/>
      <c r="F9229" s="11"/>
      <c r="G9229" s="11"/>
      <c r="H9229" s="11"/>
      <c r="I9229" s="11"/>
      <c r="J9229" s="11"/>
      <c r="K9229" s="11"/>
      <c r="L9229" s="11"/>
      <c r="M9229" s="12"/>
      <c r="N9229" s="12"/>
      <c r="O9229" s="11"/>
      <c r="P9229" s="11"/>
    </row>
    <row r="9230" spans="1:16" ht="12.75" x14ac:dyDescent="0.35">
      <c r="A9230" s="11"/>
      <c r="B9230" s="9"/>
      <c r="C9230" s="9"/>
      <c r="D9230" s="9"/>
      <c r="E9230" s="11"/>
      <c r="F9230" s="11"/>
      <c r="G9230" s="11"/>
      <c r="H9230" s="11"/>
      <c r="I9230" s="11"/>
      <c r="J9230" s="11"/>
      <c r="K9230" s="11"/>
      <c r="L9230" s="11"/>
      <c r="M9230" s="12"/>
      <c r="N9230" s="12"/>
      <c r="O9230" s="11"/>
      <c r="P9230" s="11"/>
    </row>
    <row r="9231" spans="1:16" ht="12.75" x14ac:dyDescent="0.35">
      <c r="A9231" s="11"/>
      <c r="B9231" s="9"/>
      <c r="C9231" s="9"/>
      <c r="D9231" s="9"/>
      <c r="E9231" s="11"/>
      <c r="F9231" s="11"/>
      <c r="G9231" s="11"/>
      <c r="H9231" s="11"/>
      <c r="I9231" s="11"/>
      <c r="J9231" s="11"/>
      <c r="K9231" s="11"/>
      <c r="L9231" s="11"/>
      <c r="M9231" s="12"/>
      <c r="N9231" s="12"/>
      <c r="O9231" s="11"/>
      <c r="P9231" s="11"/>
    </row>
    <row r="9232" spans="1:16" ht="12.75" x14ac:dyDescent="0.35">
      <c r="A9232" s="11"/>
      <c r="B9232" s="9"/>
      <c r="C9232" s="9"/>
      <c r="D9232" s="9"/>
      <c r="E9232" s="11"/>
      <c r="F9232" s="11"/>
      <c r="G9232" s="11"/>
      <c r="H9232" s="11"/>
      <c r="I9232" s="11"/>
      <c r="J9232" s="11"/>
      <c r="K9232" s="11"/>
      <c r="L9232" s="11"/>
      <c r="M9232" s="12"/>
      <c r="N9232" s="12"/>
      <c r="O9232" s="11"/>
      <c r="P9232" s="11"/>
    </row>
    <row r="9233" spans="1:16" ht="12.75" x14ac:dyDescent="0.35">
      <c r="A9233" s="11"/>
      <c r="B9233" s="9"/>
      <c r="C9233" s="9"/>
      <c r="D9233" s="9"/>
      <c r="E9233" s="11"/>
      <c r="F9233" s="11"/>
      <c r="G9233" s="11"/>
      <c r="H9233" s="11"/>
      <c r="I9233" s="11"/>
      <c r="J9233" s="11"/>
      <c r="K9233" s="11"/>
      <c r="L9233" s="11"/>
      <c r="M9233" s="12"/>
      <c r="N9233" s="12"/>
      <c r="O9233" s="11"/>
      <c r="P9233" s="11"/>
    </row>
    <row r="9234" spans="1:16" ht="12.75" x14ac:dyDescent="0.35">
      <c r="A9234" s="11"/>
      <c r="B9234" s="9"/>
      <c r="C9234" s="9"/>
      <c r="D9234" s="9"/>
      <c r="E9234" s="11"/>
      <c r="F9234" s="11"/>
      <c r="G9234" s="11"/>
      <c r="H9234" s="11"/>
      <c r="I9234" s="11"/>
      <c r="J9234" s="11"/>
      <c r="K9234" s="11"/>
      <c r="L9234" s="11"/>
      <c r="M9234" s="12"/>
      <c r="N9234" s="12"/>
      <c r="O9234" s="11"/>
      <c r="P9234" s="11"/>
    </row>
    <row r="9235" spans="1:16" ht="12.75" x14ac:dyDescent="0.35">
      <c r="A9235" s="11"/>
      <c r="B9235" s="9"/>
      <c r="C9235" s="9"/>
      <c r="D9235" s="9"/>
      <c r="E9235" s="11"/>
      <c r="F9235" s="11"/>
      <c r="G9235" s="11"/>
      <c r="H9235" s="11"/>
      <c r="I9235" s="11"/>
      <c r="J9235" s="11"/>
      <c r="K9235" s="11"/>
      <c r="L9235" s="11"/>
      <c r="M9235" s="12"/>
      <c r="N9235" s="12"/>
      <c r="O9235" s="11"/>
      <c r="P9235" s="11"/>
    </row>
    <row r="9236" spans="1:16" ht="12.75" x14ac:dyDescent="0.35">
      <c r="A9236" s="11"/>
      <c r="B9236" s="9"/>
      <c r="C9236" s="9"/>
      <c r="D9236" s="9"/>
      <c r="E9236" s="11"/>
      <c r="F9236" s="11"/>
      <c r="G9236" s="11"/>
      <c r="H9236" s="11"/>
      <c r="I9236" s="11"/>
      <c r="J9236" s="11"/>
      <c r="K9236" s="11"/>
      <c r="L9236" s="11"/>
      <c r="M9236" s="12"/>
      <c r="N9236" s="12"/>
      <c r="O9236" s="11"/>
      <c r="P9236" s="11"/>
    </row>
    <row r="9237" spans="1:16" ht="12.75" x14ac:dyDescent="0.35">
      <c r="A9237" s="11"/>
      <c r="B9237" s="9"/>
      <c r="C9237" s="9"/>
      <c r="D9237" s="9"/>
      <c r="E9237" s="11"/>
      <c r="F9237" s="11"/>
      <c r="G9237" s="11"/>
      <c r="H9237" s="11"/>
      <c r="I9237" s="11"/>
      <c r="J9237" s="11"/>
      <c r="K9237" s="11"/>
      <c r="L9237" s="11"/>
      <c r="M9237" s="12"/>
      <c r="N9237" s="12"/>
      <c r="O9237" s="11"/>
      <c r="P9237" s="11"/>
    </row>
    <row r="9238" spans="1:16" ht="12.75" x14ac:dyDescent="0.35">
      <c r="A9238" s="11"/>
      <c r="B9238" s="9"/>
      <c r="C9238" s="9"/>
      <c r="D9238" s="9"/>
      <c r="E9238" s="11"/>
      <c r="F9238" s="11"/>
      <c r="G9238" s="11"/>
      <c r="H9238" s="11"/>
      <c r="I9238" s="11"/>
      <c r="J9238" s="11"/>
      <c r="K9238" s="11"/>
      <c r="L9238" s="11"/>
      <c r="M9238" s="12"/>
      <c r="N9238" s="12"/>
      <c r="O9238" s="11"/>
      <c r="P9238" s="11"/>
    </row>
    <row r="9239" spans="1:16" ht="12.75" x14ac:dyDescent="0.35">
      <c r="A9239" s="11"/>
      <c r="B9239" s="9"/>
      <c r="C9239" s="9"/>
      <c r="D9239" s="9"/>
      <c r="E9239" s="11"/>
      <c r="F9239" s="11"/>
      <c r="G9239" s="11"/>
      <c r="H9239" s="11"/>
      <c r="I9239" s="11"/>
      <c r="J9239" s="11"/>
      <c r="K9239" s="11"/>
      <c r="L9239" s="11"/>
      <c r="M9239" s="12"/>
      <c r="N9239" s="12"/>
      <c r="O9239" s="11"/>
      <c r="P9239" s="11"/>
    </row>
    <row r="9240" spans="1:16" ht="12.75" x14ac:dyDescent="0.35">
      <c r="A9240" s="11"/>
      <c r="B9240" s="9"/>
      <c r="C9240" s="9"/>
      <c r="D9240" s="9"/>
      <c r="E9240" s="11"/>
      <c r="F9240" s="11"/>
      <c r="G9240" s="11"/>
      <c r="H9240" s="11"/>
      <c r="I9240" s="11"/>
      <c r="J9240" s="11"/>
      <c r="K9240" s="11"/>
      <c r="L9240" s="11"/>
      <c r="M9240" s="12"/>
      <c r="N9240" s="12"/>
      <c r="O9240" s="11"/>
      <c r="P9240" s="11"/>
    </row>
    <row r="9241" spans="1:16" ht="12.75" x14ac:dyDescent="0.35">
      <c r="A9241" s="11"/>
      <c r="B9241" s="9"/>
      <c r="C9241" s="9"/>
      <c r="D9241" s="9"/>
      <c r="E9241" s="11"/>
      <c r="F9241" s="11"/>
      <c r="G9241" s="11"/>
      <c r="H9241" s="11"/>
      <c r="I9241" s="11"/>
      <c r="J9241" s="11"/>
      <c r="K9241" s="11"/>
      <c r="L9241" s="11"/>
      <c r="M9241" s="12"/>
      <c r="N9241" s="12"/>
      <c r="O9241" s="11"/>
      <c r="P9241" s="11"/>
    </row>
    <row r="9242" spans="1:16" ht="12.75" x14ac:dyDescent="0.35">
      <c r="A9242" s="11"/>
      <c r="B9242" s="9"/>
      <c r="C9242" s="9"/>
      <c r="D9242" s="9"/>
      <c r="E9242" s="11"/>
      <c r="F9242" s="11"/>
      <c r="G9242" s="11"/>
      <c r="H9242" s="11"/>
      <c r="I9242" s="11"/>
      <c r="J9242" s="11"/>
      <c r="K9242" s="11"/>
      <c r="L9242" s="11"/>
      <c r="M9242" s="12"/>
      <c r="N9242" s="12"/>
      <c r="O9242" s="11"/>
      <c r="P9242" s="11"/>
    </row>
    <row r="9243" spans="1:16" ht="12.75" x14ac:dyDescent="0.35">
      <c r="A9243" s="11"/>
      <c r="B9243" s="9"/>
      <c r="C9243" s="9"/>
      <c r="D9243" s="9"/>
      <c r="E9243" s="11"/>
      <c r="F9243" s="11"/>
      <c r="G9243" s="11"/>
      <c r="H9243" s="11"/>
      <c r="I9243" s="11"/>
      <c r="J9243" s="11"/>
      <c r="K9243" s="11"/>
      <c r="L9243" s="11"/>
      <c r="M9243" s="12"/>
      <c r="N9243" s="12"/>
      <c r="O9243" s="11"/>
      <c r="P9243" s="11"/>
    </row>
    <row r="9244" spans="1:16" ht="12.75" x14ac:dyDescent="0.35">
      <c r="A9244" s="11"/>
      <c r="B9244" s="9"/>
      <c r="C9244" s="9"/>
      <c r="D9244" s="9"/>
      <c r="E9244" s="11"/>
      <c r="F9244" s="11"/>
      <c r="G9244" s="11"/>
      <c r="H9244" s="11"/>
      <c r="I9244" s="11"/>
      <c r="J9244" s="11"/>
      <c r="K9244" s="11"/>
      <c r="L9244" s="11"/>
      <c r="M9244" s="12"/>
      <c r="N9244" s="12"/>
      <c r="O9244" s="11"/>
      <c r="P9244" s="11"/>
    </row>
    <row r="9245" spans="1:16" ht="12.75" x14ac:dyDescent="0.35">
      <c r="A9245" s="11"/>
      <c r="B9245" s="9"/>
      <c r="C9245" s="9"/>
      <c r="D9245" s="9"/>
      <c r="E9245" s="11"/>
      <c r="F9245" s="11"/>
      <c r="G9245" s="11"/>
      <c r="H9245" s="11"/>
      <c r="I9245" s="11"/>
      <c r="J9245" s="11"/>
      <c r="K9245" s="11"/>
      <c r="L9245" s="11"/>
      <c r="M9245" s="12"/>
      <c r="N9245" s="12"/>
      <c r="O9245" s="11"/>
      <c r="P9245" s="11"/>
    </row>
    <row r="9246" spans="1:16" ht="12.75" x14ac:dyDescent="0.35">
      <c r="A9246" s="11"/>
      <c r="B9246" s="9"/>
      <c r="C9246" s="9"/>
      <c r="D9246" s="9"/>
      <c r="E9246" s="11"/>
      <c r="F9246" s="11"/>
      <c r="G9246" s="11"/>
      <c r="H9246" s="11"/>
      <c r="I9246" s="11"/>
      <c r="J9246" s="11"/>
      <c r="K9246" s="11"/>
      <c r="L9246" s="11"/>
      <c r="M9246" s="12"/>
      <c r="N9246" s="12"/>
      <c r="O9246" s="11"/>
      <c r="P9246" s="11"/>
    </row>
    <row r="9247" spans="1:16" ht="12.75" x14ac:dyDescent="0.35">
      <c r="A9247" s="11"/>
      <c r="B9247" s="9"/>
      <c r="C9247" s="9"/>
      <c r="D9247" s="9"/>
      <c r="E9247" s="11"/>
      <c r="F9247" s="11"/>
      <c r="G9247" s="11"/>
      <c r="H9247" s="11"/>
      <c r="I9247" s="11"/>
      <c r="J9247" s="11"/>
      <c r="K9247" s="11"/>
      <c r="L9247" s="11"/>
      <c r="M9247" s="12"/>
      <c r="N9247" s="12"/>
      <c r="O9247" s="11"/>
      <c r="P9247" s="11"/>
    </row>
    <row r="9248" spans="1:16" ht="12.75" x14ac:dyDescent="0.35">
      <c r="A9248" s="11"/>
      <c r="B9248" s="9"/>
      <c r="C9248" s="9"/>
      <c r="D9248" s="9"/>
      <c r="E9248" s="11"/>
      <c r="F9248" s="11"/>
      <c r="G9248" s="11"/>
      <c r="H9248" s="11"/>
      <c r="I9248" s="11"/>
      <c r="J9248" s="11"/>
      <c r="K9248" s="11"/>
      <c r="L9248" s="11"/>
      <c r="M9248" s="12"/>
      <c r="N9248" s="12"/>
      <c r="O9248" s="11"/>
      <c r="P9248" s="11"/>
    </row>
    <row r="9249" spans="1:16" ht="12.75" x14ac:dyDescent="0.35">
      <c r="A9249" s="11"/>
      <c r="B9249" s="9"/>
      <c r="C9249" s="9"/>
      <c r="D9249" s="9"/>
      <c r="E9249" s="11"/>
      <c r="F9249" s="11"/>
      <c r="G9249" s="11"/>
      <c r="H9249" s="11"/>
      <c r="I9249" s="11"/>
      <c r="J9249" s="11"/>
      <c r="K9249" s="11"/>
      <c r="L9249" s="11"/>
      <c r="M9249" s="12"/>
      <c r="N9249" s="12"/>
      <c r="O9249" s="11"/>
      <c r="P9249" s="11"/>
    </row>
    <row r="9250" spans="1:16" ht="12.75" x14ac:dyDescent="0.35">
      <c r="A9250" s="11"/>
      <c r="B9250" s="9"/>
      <c r="C9250" s="9"/>
      <c r="D9250" s="9"/>
      <c r="E9250" s="11"/>
      <c r="F9250" s="11"/>
      <c r="G9250" s="11"/>
      <c r="H9250" s="11"/>
      <c r="I9250" s="11"/>
      <c r="J9250" s="11"/>
      <c r="K9250" s="11"/>
      <c r="L9250" s="11"/>
      <c r="M9250" s="12"/>
      <c r="N9250" s="12"/>
      <c r="O9250" s="11"/>
      <c r="P9250" s="11"/>
    </row>
    <row r="9251" spans="1:16" ht="12.75" x14ac:dyDescent="0.35">
      <c r="A9251" s="11"/>
      <c r="B9251" s="9"/>
      <c r="C9251" s="9"/>
      <c r="D9251" s="9"/>
      <c r="E9251" s="11"/>
      <c r="F9251" s="11"/>
      <c r="G9251" s="11"/>
      <c r="H9251" s="11"/>
      <c r="I9251" s="11"/>
      <c r="J9251" s="11"/>
      <c r="K9251" s="11"/>
      <c r="L9251" s="11"/>
      <c r="M9251" s="12"/>
      <c r="N9251" s="12"/>
      <c r="O9251" s="11"/>
      <c r="P9251" s="11"/>
    </row>
    <row r="9252" spans="1:16" ht="12.75" x14ac:dyDescent="0.35">
      <c r="A9252" s="11"/>
      <c r="B9252" s="9"/>
      <c r="C9252" s="9"/>
      <c r="D9252" s="9"/>
      <c r="E9252" s="11"/>
      <c r="F9252" s="11"/>
      <c r="G9252" s="11"/>
      <c r="H9252" s="11"/>
      <c r="I9252" s="11"/>
      <c r="J9252" s="11"/>
      <c r="K9252" s="11"/>
      <c r="L9252" s="11"/>
      <c r="M9252" s="12"/>
      <c r="N9252" s="12"/>
      <c r="O9252" s="11"/>
      <c r="P9252" s="11"/>
    </row>
    <row r="9253" spans="1:16" ht="12.75" x14ac:dyDescent="0.35">
      <c r="A9253" s="11"/>
      <c r="B9253" s="9"/>
      <c r="C9253" s="9"/>
      <c r="D9253" s="9"/>
      <c r="E9253" s="11"/>
      <c r="F9253" s="11"/>
      <c r="G9253" s="11"/>
      <c r="H9253" s="11"/>
      <c r="I9253" s="11"/>
      <c r="J9253" s="11"/>
      <c r="K9253" s="11"/>
      <c r="L9253" s="11"/>
      <c r="M9253" s="12"/>
      <c r="N9253" s="12"/>
      <c r="O9253" s="11"/>
      <c r="P9253" s="11"/>
    </row>
    <row r="9254" spans="1:16" ht="12.75" x14ac:dyDescent="0.35">
      <c r="A9254" s="11"/>
      <c r="B9254" s="9"/>
      <c r="C9254" s="9"/>
      <c r="D9254" s="9"/>
      <c r="E9254" s="11"/>
      <c r="F9254" s="11"/>
      <c r="G9254" s="11"/>
      <c r="H9254" s="11"/>
      <c r="I9254" s="11"/>
      <c r="J9254" s="11"/>
      <c r="K9254" s="11"/>
      <c r="L9254" s="11"/>
      <c r="M9254" s="12"/>
      <c r="N9254" s="12"/>
      <c r="O9254" s="11"/>
      <c r="P9254" s="11"/>
    </row>
    <row r="9255" spans="1:16" ht="12.75" x14ac:dyDescent="0.35">
      <c r="A9255" s="11"/>
      <c r="B9255" s="9"/>
      <c r="C9255" s="9"/>
      <c r="D9255" s="9"/>
      <c r="E9255" s="11"/>
      <c r="F9255" s="11"/>
      <c r="G9255" s="11"/>
      <c r="H9255" s="11"/>
      <c r="I9255" s="11"/>
      <c r="J9255" s="11"/>
      <c r="K9255" s="11"/>
      <c r="L9255" s="11"/>
      <c r="M9255" s="12"/>
      <c r="N9255" s="12"/>
      <c r="O9255" s="11"/>
      <c r="P9255" s="11"/>
    </row>
    <row r="9256" spans="1:16" ht="12.75" x14ac:dyDescent="0.35">
      <c r="A9256" s="11"/>
      <c r="B9256" s="9"/>
      <c r="C9256" s="9"/>
      <c r="D9256" s="9"/>
      <c r="E9256" s="11"/>
      <c r="F9256" s="11"/>
      <c r="G9256" s="11"/>
      <c r="H9256" s="11"/>
      <c r="I9256" s="11"/>
      <c r="J9256" s="11"/>
      <c r="K9256" s="11"/>
      <c r="L9256" s="11"/>
      <c r="M9256" s="12"/>
      <c r="N9256" s="12"/>
      <c r="O9256" s="11"/>
      <c r="P9256" s="11"/>
    </row>
    <row r="9257" spans="1:16" ht="12.75" x14ac:dyDescent="0.35">
      <c r="A9257" s="11"/>
      <c r="B9257" s="9"/>
      <c r="C9257" s="9"/>
      <c r="D9257" s="9"/>
      <c r="E9257" s="11"/>
      <c r="F9257" s="11"/>
      <c r="G9257" s="11"/>
      <c r="H9257" s="11"/>
      <c r="I9257" s="11"/>
      <c r="J9257" s="11"/>
      <c r="K9257" s="11"/>
      <c r="L9257" s="11"/>
      <c r="M9257" s="12"/>
      <c r="N9257" s="12"/>
      <c r="O9257" s="11"/>
      <c r="P9257" s="11"/>
    </row>
    <row r="9258" spans="1:16" ht="12.75" x14ac:dyDescent="0.35">
      <c r="A9258" s="11"/>
      <c r="B9258" s="9"/>
      <c r="C9258" s="9"/>
      <c r="D9258" s="9"/>
      <c r="E9258" s="11"/>
      <c r="F9258" s="11"/>
      <c r="G9258" s="11"/>
      <c r="H9258" s="11"/>
      <c r="I9258" s="11"/>
      <c r="J9258" s="11"/>
      <c r="K9258" s="11"/>
      <c r="L9258" s="11"/>
      <c r="M9258" s="12"/>
      <c r="N9258" s="12"/>
      <c r="O9258" s="11"/>
      <c r="P9258" s="11"/>
    </row>
    <row r="9259" spans="1:16" ht="12.75" x14ac:dyDescent="0.35">
      <c r="A9259" s="11"/>
      <c r="B9259" s="9"/>
      <c r="C9259" s="9"/>
      <c r="D9259" s="9"/>
      <c r="E9259" s="11"/>
      <c r="F9259" s="11"/>
      <c r="G9259" s="11"/>
      <c r="H9259" s="11"/>
      <c r="I9259" s="11"/>
      <c r="J9259" s="11"/>
      <c r="K9259" s="11"/>
      <c r="L9259" s="11"/>
      <c r="M9259" s="12"/>
      <c r="N9259" s="12"/>
      <c r="O9259" s="11"/>
      <c r="P9259" s="11"/>
    </row>
    <row r="9260" spans="1:16" ht="12.75" x14ac:dyDescent="0.35">
      <c r="A9260" s="11"/>
      <c r="B9260" s="9"/>
      <c r="C9260" s="9"/>
      <c r="D9260" s="9"/>
      <c r="E9260" s="11"/>
      <c r="F9260" s="11"/>
      <c r="G9260" s="11"/>
      <c r="H9260" s="11"/>
      <c r="I9260" s="11"/>
      <c r="J9260" s="11"/>
      <c r="K9260" s="11"/>
      <c r="L9260" s="11"/>
      <c r="M9260" s="12"/>
      <c r="N9260" s="12"/>
      <c r="O9260" s="11"/>
      <c r="P9260" s="11"/>
    </row>
    <row r="9261" spans="1:16" ht="12.75" x14ac:dyDescent="0.35">
      <c r="A9261" s="11"/>
      <c r="B9261" s="9"/>
      <c r="C9261" s="9"/>
      <c r="D9261" s="9"/>
      <c r="E9261" s="11"/>
      <c r="F9261" s="11"/>
      <c r="G9261" s="11"/>
      <c r="H9261" s="11"/>
      <c r="I9261" s="11"/>
      <c r="J9261" s="11"/>
      <c r="K9261" s="11"/>
      <c r="L9261" s="11"/>
      <c r="M9261" s="12"/>
      <c r="N9261" s="12"/>
      <c r="O9261" s="11"/>
      <c r="P9261" s="11"/>
    </row>
    <row r="9262" spans="1:16" ht="12.75" x14ac:dyDescent="0.35">
      <c r="A9262" s="11"/>
      <c r="B9262" s="9"/>
      <c r="C9262" s="9"/>
      <c r="D9262" s="9"/>
      <c r="E9262" s="11"/>
      <c r="F9262" s="11"/>
      <c r="G9262" s="11"/>
      <c r="H9262" s="11"/>
      <c r="I9262" s="11"/>
      <c r="J9262" s="11"/>
      <c r="K9262" s="11"/>
      <c r="L9262" s="11"/>
      <c r="M9262" s="12"/>
      <c r="N9262" s="12"/>
      <c r="O9262" s="11"/>
      <c r="P9262" s="11"/>
    </row>
    <row r="9263" spans="1:16" ht="12.75" x14ac:dyDescent="0.35">
      <c r="A9263" s="11"/>
      <c r="B9263" s="9"/>
      <c r="C9263" s="9"/>
      <c r="D9263" s="9"/>
      <c r="E9263" s="11"/>
      <c r="F9263" s="11"/>
      <c r="G9263" s="11"/>
      <c r="H9263" s="11"/>
      <c r="I9263" s="11"/>
      <c r="J9263" s="11"/>
      <c r="K9263" s="11"/>
      <c r="L9263" s="11"/>
      <c r="M9263" s="12"/>
      <c r="N9263" s="12"/>
      <c r="O9263" s="11"/>
      <c r="P9263" s="11"/>
    </row>
    <row r="9264" spans="1:16" ht="12.75" x14ac:dyDescent="0.35">
      <c r="A9264" s="11"/>
      <c r="B9264" s="9"/>
      <c r="C9264" s="9"/>
      <c r="D9264" s="9"/>
      <c r="E9264" s="11"/>
      <c r="F9264" s="11"/>
      <c r="G9264" s="11"/>
      <c r="H9264" s="11"/>
      <c r="I9264" s="11"/>
      <c r="J9264" s="11"/>
      <c r="K9264" s="11"/>
      <c r="L9264" s="11"/>
      <c r="M9264" s="12"/>
      <c r="N9264" s="12"/>
      <c r="O9264" s="11"/>
      <c r="P9264" s="11"/>
    </row>
    <row r="9265" spans="1:16" ht="12.75" x14ac:dyDescent="0.35">
      <c r="A9265" s="11"/>
      <c r="B9265" s="9"/>
      <c r="C9265" s="9"/>
      <c r="D9265" s="9"/>
      <c r="E9265" s="11"/>
      <c r="F9265" s="11"/>
      <c r="G9265" s="11"/>
      <c r="H9265" s="11"/>
      <c r="I9265" s="11"/>
      <c r="J9265" s="11"/>
      <c r="K9265" s="11"/>
      <c r="L9265" s="11"/>
      <c r="M9265" s="12"/>
      <c r="N9265" s="12"/>
      <c r="O9265" s="11"/>
      <c r="P9265" s="11"/>
    </row>
    <row r="9266" spans="1:16" ht="12.75" x14ac:dyDescent="0.35">
      <c r="A9266" s="11"/>
      <c r="B9266" s="9"/>
      <c r="C9266" s="9"/>
      <c r="D9266" s="9"/>
      <c r="E9266" s="11"/>
      <c r="F9266" s="11"/>
      <c r="G9266" s="11"/>
      <c r="H9266" s="11"/>
      <c r="I9266" s="11"/>
      <c r="J9266" s="11"/>
      <c r="K9266" s="11"/>
      <c r="L9266" s="11"/>
      <c r="M9266" s="12"/>
      <c r="N9266" s="12"/>
      <c r="O9266" s="11"/>
      <c r="P9266" s="11"/>
    </row>
    <row r="9267" spans="1:16" ht="12.75" x14ac:dyDescent="0.35">
      <c r="A9267" s="11"/>
      <c r="B9267" s="9"/>
      <c r="C9267" s="9"/>
      <c r="D9267" s="9"/>
      <c r="E9267" s="11"/>
      <c r="F9267" s="11"/>
      <c r="G9267" s="11"/>
      <c r="H9267" s="11"/>
      <c r="I9267" s="11"/>
      <c r="J9267" s="11"/>
      <c r="K9267" s="11"/>
      <c r="L9267" s="11"/>
      <c r="M9267" s="12"/>
      <c r="N9267" s="12"/>
      <c r="O9267" s="11"/>
      <c r="P9267" s="11"/>
    </row>
    <row r="9268" spans="1:16" ht="12.75" x14ac:dyDescent="0.35">
      <c r="A9268" s="11"/>
      <c r="B9268" s="9"/>
      <c r="C9268" s="9"/>
      <c r="D9268" s="9"/>
      <c r="E9268" s="11"/>
      <c r="F9268" s="11"/>
      <c r="G9268" s="11"/>
      <c r="H9268" s="11"/>
      <c r="I9268" s="11"/>
      <c r="J9268" s="11"/>
      <c r="K9268" s="11"/>
      <c r="L9268" s="11"/>
      <c r="M9268" s="12"/>
      <c r="N9268" s="12"/>
      <c r="O9268" s="11"/>
      <c r="P9268" s="11"/>
    </row>
    <row r="9269" spans="1:16" ht="12.75" x14ac:dyDescent="0.35">
      <c r="A9269" s="11"/>
      <c r="B9269" s="9"/>
      <c r="C9269" s="9"/>
      <c r="D9269" s="9"/>
      <c r="E9269" s="11"/>
      <c r="F9269" s="11"/>
      <c r="G9269" s="11"/>
      <c r="H9269" s="11"/>
      <c r="I9269" s="11"/>
      <c r="J9269" s="11"/>
      <c r="K9269" s="11"/>
      <c r="L9269" s="11"/>
      <c r="M9269" s="12"/>
      <c r="N9269" s="12"/>
      <c r="O9269" s="11"/>
      <c r="P9269" s="11"/>
    </row>
    <row r="9270" spans="1:16" ht="12.75" x14ac:dyDescent="0.35">
      <c r="A9270" s="11"/>
      <c r="B9270" s="9"/>
      <c r="C9270" s="9"/>
      <c r="D9270" s="9"/>
      <c r="E9270" s="11"/>
      <c r="F9270" s="11"/>
      <c r="G9270" s="11"/>
      <c r="H9270" s="11"/>
      <c r="I9270" s="11"/>
      <c r="J9270" s="11"/>
      <c r="K9270" s="11"/>
      <c r="L9270" s="11"/>
      <c r="M9270" s="12"/>
      <c r="N9270" s="12"/>
      <c r="O9270" s="11"/>
      <c r="P9270" s="11"/>
    </row>
    <row r="9271" spans="1:16" ht="12.75" x14ac:dyDescent="0.35">
      <c r="A9271" s="11"/>
      <c r="B9271" s="9"/>
      <c r="C9271" s="9"/>
      <c r="D9271" s="9"/>
      <c r="E9271" s="11"/>
      <c r="F9271" s="11"/>
      <c r="G9271" s="11"/>
      <c r="H9271" s="11"/>
      <c r="I9271" s="11"/>
      <c r="J9271" s="11"/>
      <c r="K9271" s="11"/>
      <c r="L9271" s="11"/>
      <c r="M9271" s="12"/>
      <c r="N9271" s="12"/>
      <c r="O9271" s="11"/>
      <c r="P9271" s="11"/>
    </row>
    <row r="9272" spans="1:16" ht="12.75" x14ac:dyDescent="0.35">
      <c r="A9272" s="11"/>
      <c r="B9272" s="9"/>
      <c r="C9272" s="9"/>
      <c r="D9272" s="9"/>
      <c r="E9272" s="11"/>
      <c r="F9272" s="11"/>
      <c r="G9272" s="11"/>
      <c r="H9272" s="11"/>
      <c r="I9272" s="11"/>
      <c r="J9272" s="11"/>
      <c r="K9272" s="11"/>
      <c r="L9272" s="11"/>
      <c r="M9272" s="12"/>
      <c r="N9272" s="12"/>
      <c r="O9272" s="11"/>
      <c r="P9272" s="11"/>
    </row>
    <row r="9273" spans="1:16" ht="12.75" x14ac:dyDescent="0.35">
      <c r="A9273" s="11"/>
      <c r="B9273" s="9"/>
      <c r="C9273" s="9"/>
      <c r="D9273" s="9"/>
      <c r="E9273" s="11"/>
      <c r="F9273" s="11"/>
      <c r="G9273" s="11"/>
      <c r="H9273" s="11"/>
      <c r="I9273" s="11"/>
      <c r="J9273" s="11"/>
      <c r="K9273" s="11"/>
      <c r="L9273" s="11"/>
      <c r="M9273" s="12"/>
      <c r="N9273" s="12"/>
      <c r="O9273" s="11"/>
      <c r="P9273" s="11"/>
    </row>
    <row r="9274" spans="1:16" ht="12.75" x14ac:dyDescent="0.35">
      <c r="A9274" s="11"/>
      <c r="B9274" s="9"/>
      <c r="C9274" s="9"/>
      <c r="D9274" s="9"/>
      <c r="E9274" s="11"/>
      <c r="F9274" s="11"/>
      <c r="G9274" s="11"/>
      <c r="H9274" s="11"/>
      <c r="I9274" s="11"/>
      <c r="J9274" s="11"/>
      <c r="K9274" s="11"/>
      <c r="L9274" s="11"/>
      <c r="M9274" s="12"/>
      <c r="N9274" s="12"/>
      <c r="O9274" s="11"/>
      <c r="P9274" s="11"/>
    </row>
    <row r="9275" spans="1:16" ht="12.75" x14ac:dyDescent="0.35">
      <c r="A9275" s="11"/>
      <c r="B9275" s="9"/>
      <c r="C9275" s="9"/>
      <c r="D9275" s="9"/>
      <c r="E9275" s="11"/>
      <c r="F9275" s="11"/>
      <c r="G9275" s="11"/>
      <c r="H9275" s="11"/>
      <c r="I9275" s="11"/>
      <c r="J9275" s="11"/>
      <c r="K9275" s="11"/>
      <c r="L9275" s="11"/>
      <c r="M9275" s="12"/>
      <c r="N9275" s="12"/>
      <c r="O9275" s="11"/>
      <c r="P9275" s="11"/>
    </row>
    <row r="9276" spans="1:16" ht="12.75" x14ac:dyDescent="0.35">
      <c r="A9276" s="11"/>
      <c r="B9276" s="9"/>
      <c r="C9276" s="9"/>
      <c r="D9276" s="9"/>
      <c r="E9276" s="11"/>
      <c r="F9276" s="11"/>
      <c r="G9276" s="11"/>
      <c r="H9276" s="11"/>
      <c r="I9276" s="11"/>
      <c r="J9276" s="11"/>
      <c r="K9276" s="11"/>
      <c r="L9276" s="11"/>
      <c r="M9276" s="12"/>
      <c r="N9276" s="12"/>
      <c r="O9276" s="11"/>
      <c r="P9276" s="11"/>
    </row>
    <row r="9277" spans="1:16" ht="12.75" x14ac:dyDescent="0.35">
      <c r="A9277" s="11"/>
      <c r="B9277" s="9"/>
      <c r="C9277" s="9"/>
      <c r="D9277" s="9"/>
      <c r="E9277" s="11"/>
      <c r="F9277" s="11"/>
      <c r="G9277" s="11"/>
      <c r="H9277" s="11"/>
      <c r="I9277" s="11"/>
      <c r="J9277" s="11"/>
      <c r="K9277" s="11"/>
      <c r="L9277" s="11"/>
      <c r="M9277" s="12"/>
      <c r="N9277" s="12"/>
      <c r="O9277" s="11"/>
      <c r="P9277" s="11"/>
    </row>
    <row r="9278" spans="1:16" ht="12.75" x14ac:dyDescent="0.35">
      <c r="A9278" s="11"/>
      <c r="B9278" s="9"/>
      <c r="C9278" s="9"/>
      <c r="D9278" s="9"/>
      <c r="E9278" s="11"/>
      <c r="F9278" s="11"/>
      <c r="G9278" s="11"/>
      <c r="H9278" s="11"/>
      <c r="I9278" s="11"/>
      <c r="J9278" s="11"/>
      <c r="K9278" s="11"/>
      <c r="L9278" s="11"/>
      <c r="M9278" s="12"/>
      <c r="N9278" s="12"/>
      <c r="O9278" s="11"/>
      <c r="P9278" s="11"/>
    </row>
    <row r="9279" spans="1:16" ht="12.75" x14ac:dyDescent="0.35">
      <c r="A9279" s="11"/>
      <c r="B9279" s="9"/>
      <c r="C9279" s="9"/>
      <c r="D9279" s="9"/>
      <c r="E9279" s="11"/>
      <c r="F9279" s="11"/>
      <c r="G9279" s="11"/>
      <c r="H9279" s="11"/>
      <c r="I9279" s="11"/>
      <c r="J9279" s="11"/>
      <c r="K9279" s="11"/>
      <c r="L9279" s="11"/>
      <c r="M9279" s="12"/>
      <c r="N9279" s="12"/>
      <c r="O9279" s="11"/>
      <c r="P9279" s="11"/>
    </row>
    <row r="9280" spans="1:16" ht="12.75" x14ac:dyDescent="0.35">
      <c r="A9280" s="11"/>
      <c r="B9280" s="9"/>
      <c r="C9280" s="9"/>
      <c r="D9280" s="9"/>
      <c r="E9280" s="11"/>
      <c r="F9280" s="11"/>
      <c r="G9280" s="11"/>
      <c r="H9280" s="11"/>
      <c r="I9280" s="11"/>
      <c r="J9280" s="11"/>
      <c r="K9280" s="11"/>
      <c r="L9280" s="11"/>
      <c r="M9280" s="12"/>
      <c r="N9280" s="12"/>
      <c r="O9280" s="11"/>
      <c r="P9280" s="11"/>
    </row>
    <row r="9281" spans="1:16" ht="12.75" x14ac:dyDescent="0.35">
      <c r="A9281" s="11"/>
      <c r="B9281" s="9"/>
      <c r="C9281" s="9"/>
      <c r="D9281" s="9"/>
      <c r="E9281" s="11"/>
      <c r="F9281" s="11"/>
      <c r="G9281" s="11"/>
      <c r="H9281" s="11"/>
      <c r="I9281" s="11"/>
      <c r="J9281" s="11"/>
      <c r="K9281" s="11"/>
      <c r="L9281" s="11"/>
      <c r="M9281" s="12"/>
      <c r="N9281" s="12"/>
      <c r="O9281" s="11"/>
      <c r="P9281" s="11"/>
    </row>
    <row r="9282" spans="1:16" ht="12.75" x14ac:dyDescent="0.35">
      <c r="A9282" s="11"/>
      <c r="B9282" s="9"/>
      <c r="C9282" s="9"/>
      <c r="D9282" s="9"/>
      <c r="E9282" s="11"/>
      <c r="F9282" s="11"/>
      <c r="G9282" s="11"/>
      <c r="H9282" s="11"/>
      <c r="I9282" s="11"/>
      <c r="J9282" s="11"/>
      <c r="K9282" s="11"/>
      <c r="L9282" s="11"/>
      <c r="M9282" s="12"/>
      <c r="N9282" s="12"/>
      <c r="O9282" s="11"/>
      <c r="P9282" s="11"/>
    </row>
    <row r="9283" spans="1:16" ht="12.75" x14ac:dyDescent="0.35">
      <c r="A9283" s="11"/>
      <c r="B9283" s="9"/>
      <c r="C9283" s="9"/>
      <c r="D9283" s="9"/>
      <c r="E9283" s="11"/>
      <c r="F9283" s="11"/>
      <c r="G9283" s="11"/>
      <c r="H9283" s="11"/>
      <c r="I9283" s="11"/>
      <c r="J9283" s="11"/>
      <c r="K9283" s="11"/>
      <c r="L9283" s="11"/>
      <c r="M9283" s="12"/>
      <c r="N9283" s="12"/>
      <c r="O9283" s="11"/>
      <c r="P9283" s="11"/>
    </row>
    <row r="9284" spans="1:16" ht="12.75" x14ac:dyDescent="0.35">
      <c r="A9284" s="11"/>
      <c r="B9284" s="9"/>
      <c r="C9284" s="9"/>
      <c r="D9284" s="9"/>
      <c r="E9284" s="11"/>
      <c r="F9284" s="11"/>
      <c r="G9284" s="11"/>
      <c r="H9284" s="11"/>
      <c r="I9284" s="11"/>
      <c r="J9284" s="11"/>
      <c r="K9284" s="11"/>
      <c r="L9284" s="11"/>
      <c r="M9284" s="12"/>
      <c r="N9284" s="12"/>
      <c r="O9284" s="11"/>
      <c r="P9284" s="11"/>
    </row>
    <row r="9285" spans="1:16" ht="12.75" x14ac:dyDescent="0.35">
      <c r="A9285" s="11"/>
      <c r="B9285" s="9"/>
      <c r="C9285" s="9"/>
      <c r="D9285" s="9"/>
      <c r="E9285" s="11"/>
      <c r="F9285" s="11"/>
      <c r="G9285" s="11"/>
      <c r="H9285" s="11"/>
      <c r="I9285" s="11"/>
      <c r="J9285" s="11"/>
      <c r="K9285" s="11"/>
      <c r="L9285" s="11"/>
      <c r="M9285" s="12"/>
      <c r="N9285" s="12"/>
      <c r="O9285" s="11"/>
      <c r="P9285" s="11"/>
    </row>
    <row r="9286" spans="1:16" ht="12.75" x14ac:dyDescent="0.35">
      <c r="A9286" s="11"/>
      <c r="B9286" s="9"/>
      <c r="C9286" s="9"/>
      <c r="D9286" s="9"/>
      <c r="E9286" s="11"/>
      <c r="F9286" s="11"/>
      <c r="G9286" s="11"/>
      <c r="H9286" s="11"/>
      <c r="I9286" s="11"/>
      <c r="J9286" s="11"/>
      <c r="K9286" s="11"/>
      <c r="L9286" s="11"/>
      <c r="M9286" s="12"/>
      <c r="N9286" s="12"/>
      <c r="O9286" s="11"/>
      <c r="P9286" s="11"/>
    </row>
    <row r="9287" spans="1:16" ht="12.75" x14ac:dyDescent="0.35">
      <c r="A9287" s="11"/>
      <c r="B9287" s="9"/>
      <c r="C9287" s="9"/>
      <c r="D9287" s="9"/>
      <c r="E9287" s="11"/>
      <c r="F9287" s="11"/>
      <c r="G9287" s="11"/>
      <c r="H9287" s="11"/>
      <c r="I9287" s="11"/>
      <c r="J9287" s="11"/>
      <c r="K9287" s="11"/>
      <c r="L9287" s="11"/>
      <c r="M9287" s="12"/>
      <c r="N9287" s="12"/>
      <c r="O9287" s="11"/>
      <c r="P9287" s="11"/>
    </row>
    <row r="9288" spans="1:16" ht="12.75" x14ac:dyDescent="0.35">
      <c r="A9288" s="11"/>
      <c r="B9288" s="9"/>
      <c r="C9288" s="9"/>
      <c r="D9288" s="9"/>
      <c r="E9288" s="11"/>
      <c r="F9288" s="11"/>
      <c r="G9288" s="11"/>
      <c r="H9288" s="11"/>
      <c r="I9288" s="11"/>
      <c r="J9288" s="11"/>
      <c r="K9288" s="11"/>
      <c r="L9288" s="11"/>
      <c r="M9288" s="12"/>
      <c r="N9288" s="12"/>
      <c r="O9288" s="11"/>
      <c r="P9288" s="11"/>
    </row>
    <row r="9289" spans="1:16" ht="12.75" x14ac:dyDescent="0.35">
      <c r="A9289" s="11"/>
      <c r="B9289" s="9"/>
      <c r="C9289" s="9"/>
      <c r="D9289" s="9"/>
      <c r="E9289" s="11"/>
      <c r="F9289" s="11"/>
      <c r="G9289" s="11"/>
      <c r="H9289" s="11"/>
      <c r="I9289" s="11"/>
      <c r="J9289" s="11"/>
      <c r="K9289" s="11"/>
      <c r="L9289" s="11"/>
      <c r="M9289" s="12"/>
      <c r="N9289" s="12"/>
      <c r="O9289" s="11"/>
      <c r="P9289" s="11"/>
    </row>
    <row r="9290" spans="1:16" ht="12.75" x14ac:dyDescent="0.35">
      <c r="A9290" s="11"/>
      <c r="B9290" s="9"/>
      <c r="C9290" s="9"/>
      <c r="D9290" s="9"/>
      <c r="E9290" s="11"/>
      <c r="F9290" s="11"/>
      <c r="G9290" s="11"/>
      <c r="H9290" s="11"/>
      <c r="I9290" s="11"/>
      <c r="J9290" s="11"/>
      <c r="K9290" s="11"/>
      <c r="L9290" s="11"/>
      <c r="M9290" s="12"/>
      <c r="N9290" s="12"/>
      <c r="O9290" s="11"/>
      <c r="P9290" s="11"/>
    </row>
    <row r="9291" spans="1:16" ht="12.75" x14ac:dyDescent="0.35">
      <c r="A9291" s="11"/>
      <c r="B9291" s="9"/>
      <c r="C9291" s="9"/>
      <c r="D9291" s="9"/>
      <c r="E9291" s="11"/>
      <c r="F9291" s="11"/>
      <c r="G9291" s="11"/>
      <c r="H9291" s="11"/>
      <c r="I9291" s="11"/>
      <c r="J9291" s="11"/>
      <c r="K9291" s="11"/>
      <c r="L9291" s="11"/>
      <c r="M9291" s="12"/>
      <c r="N9291" s="12"/>
      <c r="O9291" s="11"/>
      <c r="P9291" s="11"/>
    </row>
    <row r="9292" spans="1:16" ht="12.75" x14ac:dyDescent="0.35">
      <c r="A9292" s="11"/>
      <c r="B9292" s="9"/>
      <c r="C9292" s="9"/>
      <c r="D9292" s="9"/>
      <c r="E9292" s="11"/>
      <c r="F9292" s="11"/>
      <c r="G9292" s="11"/>
      <c r="H9292" s="11"/>
      <c r="I9292" s="11"/>
      <c r="J9292" s="11"/>
      <c r="K9292" s="11"/>
      <c r="L9292" s="11"/>
      <c r="M9292" s="12"/>
      <c r="N9292" s="12"/>
      <c r="O9292" s="11"/>
      <c r="P9292" s="11"/>
    </row>
    <row r="9293" spans="1:16" ht="12.75" x14ac:dyDescent="0.35">
      <c r="A9293" s="11"/>
      <c r="B9293" s="9"/>
      <c r="C9293" s="9"/>
      <c r="D9293" s="9"/>
      <c r="E9293" s="11"/>
      <c r="F9293" s="11"/>
      <c r="G9293" s="11"/>
      <c r="H9293" s="11"/>
      <c r="I9293" s="11"/>
      <c r="J9293" s="11"/>
      <c r="K9293" s="11"/>
      <c r="L9293" s="11"/>
      <c r="M9293" s="12"/>
      <c r="N9293" s="12"/>
      <c r="O9293" s="11"/>
      <c r="P9293" s="11"/>
    </row>
    <row r="9294" spans="1:16" ht="12.75" x14ac:dyDescent="0.35">
      <c r="A9294" s="11"/>
      <c r="B9294" s="9"/>
      <c r="C9294" s="9"/>
      <c r="D9294" s="9"/>
      <c r="E9294" s="11"/>
      <c r="F9294" s="11"/>
      <c r="G9294" s="11"/>
      <c r="H9294" s="11"/>
      <c r="I9294" s="11"/>
      <c r="J9294" s="11"/>
      <c r="K9294" s="11"/>
      <c r="L9294" s="11"/>
      <c r="M9294" s="12"/>
      <c r="N9294" s="12"/>
      <c r="O9294" s="11"/>
      <c r="P9294" s="11"/>
    </row>
    <row r="9295" spans="1:16" ht="12.75" x14ac:dyDescent="0.35">
      <c r="A9295" s="11"/>
      <c r="B9295" s="9"/>
      <c r="C9295" s="9"/>
      <c r="D9295" s="9"/>
      <c r="E9295" s="11"/>
      <c r="F9295" s="11"/>
      <c r="G9295" s="11"/>
      <c r="H9295" s="11"/>
      <c r="I9295" s="11"/>
      <c r="J9295" s="11"/>
      <c r="K9295" s="11"/>
      <c r="L9295" s="11"/>
      <c r="M9295" s="12"/>
      <c r="N9295" s="12"/>
      <c r="O9295" s="11"/>
      <c r="P9295" s="11"/>
    </row>
    <row r="9296" spans="1:16" ht="12.75" x14ac:dyDescent="0.35">
      <c r="A9296" s="11"/>
      <c r="B9296" s="9"/>
      <c r="C9296" s="9"/>
      <c r="D9296" s="9"/>
      <c r="E9296" s="11"/>
      <c r="F9296" s="11"/>
      <c r="G9296" s="11"/>
      <c r="H9296" s="11"/>
      <c r="I9296" s="11"/>
      <c r="J9296" s="11"/>
      <c r="K9296" s="11"/>
      <c r="L9296" s="11"/>
      <c r="M9296" s="12"/>
      <c r="N9296" s="12"/>
      <c r="O9296" s="11"/>
      <c r="P9296" s="11"/>
    </row>
    <row r="9297" spans="1:16" ht="12.75" x14ac:dyDescent="0.35">
      <c r="A9297" s="11"/>
      <c r="B9297" s="9"/>
      <c r="C9297" s="9"/>
      <c r="D9297" s="9"/>
      <c r="E9297" s="11"/>
      <c r="F9297" s="11"/>
      <c r="G9297" s="11"/>
      <c r="H9297" s="11"/>
      <c r="I9297" s="11"/>
      <c r="J9297" s="11"/>
      <c r="K9297" s="11"/>
      <c r="L9297" s="11"/>
      <c r="M9297" s="12"/>
      <c r="N9297" s="12"/>
      <c r="O9297" s="11"/>
      <c r="P9297" s="11"/>
    </row>
    <row r="9298" spans="1:16" ht="12.75" x14ac:dyDescent="0.35">
      <c r="A9298" s="11"/>
      <c r="B9298" s="9"/>
      <c r="C9298" s="9"/>
      <c r="D9298" s="9"/>
      <c r="E9298" s="11"/>
      <c r="F9298" s="11"/>
      <c r="G9298" s="11"/>
      <c r="H9298" s="11"/>
      <c r="I9298" s="11"/>
      <c r="J9298" s="11"/>
      <c r="K9298" s="11"/>
      <c r="L9298" s="11"/>
      <c r="M9298" s="12"/>
      <c r="N9298" s="12"/>
      <c r="O9298" s="11"/>
      <c r="P9298" s="11"/>
    </row>
    <row r="9299" spans="1:16" ht="12.75" x14ac:dyDescent="0.35">
      <c r="A9299" s="11"/>
      <c r="B9299" s="9"/>
      <c r="C9299" s="9"/>
      <c r="D9299" s="9"/>
      <c r="E9299" s="11"/>
      <c r="F9299" s="11"/>
      <c r="G9299" s="11"/>
      <c r="H9299" s="11"/>
      <c r="I9299" s="11"/>
      <c r="J9299" s="11"/>
      <c r="K9299" s="11"/>
      <c r="L9299" s="11"/>
      <c r="M9299" s="12"/>
      <c r="N9299" s="12"/>
      <c r="O9299" s="11"/>
      <c r="P9299" s="11"/>
    </row>
    <row r="9300" spans="1:16" ht="12.75" x14ac:dyDescent="0.35">
      <c r="A9300" s="11"/>
      <c r="B9300" s="9"/>
      <c r="C9300" s="9"/>
      <c r="D9300" s="9"/>
      <c r="E9300" s="11"/>
      <c r="F9300" s="11"/>
      <c r="G9300" s="11"/>
      <c r="H9300" s="11"/>
      <c r="I9300" s="11"/>
      <c r="J9300" s="11"/>
      <c r="K9300" s="11"/>
      <c r="L9300" s="11"/>
      <c r="M9300" s="12"/>
      <c r="N9300" s="12"/>
      <c r="O9300" s="11"/>
      <c r="P9300" s="11"/>
    </row>
    <row r="9301" spans="1:16" ht="12.75" x14ac:dyDescent="0.35">
      <c r="A9301" s="11"/>
      <c r="B9301" s="9"/>
      <c r="C9301" s="9"/>
      <c r="D9301" s="9"/>
      <c r="E9301" s="11"/>
      <c r="F9301" s="11"/>
      <c r="G9301" s="11"/>
      <c r="H9301" s="11"/>
      <c r="I9301" s="11"/>
      <c r="J9301" s="11"/>
      <c r="K9301" s="11"/>
      <c r="L9301" s="11"/>
      <c r="M9301" s="12"/>
      <c r="N9301" s="12"/>
      <c r="O9301" s="11"/>
      <c r="P9301" s="11"/>
    </row>
    <row r="9302" spans="1:16" ht="12.75" x14ac:dyDescent="0.35">
      <c r="A9302" s="11"/>
      <c r="B9302" s="9"/>
      <c r="C9302" s="9"/>
      <c r="D9302" s="9"/>
      <c r="E9302" s="11"/>
      <c r="F9302" s="11"/>
      <c r="G9302" s="11"/>
      <c r="H9302" s="11"/>
      <c r="I9302" s="11"/>
      <c r="J9302" s="11"/>
      <c r="K9302" s="11"/>
      <c r="L9302" s="11"/>
      <c r="M9302" s="12"/>
      <c r="N9302" s="12"/>
      <c r="O9302" s="11"/>
      <c r="P9302" s="11"/>
    </row>
    <row r="9303" spans="1:16" ht="12.75" x14ac:dyDescent="0.35">
      <c r="A9303" s="11"/>
      <c r="B9303" s="9"/>
      <c r="C9303" s="9"/>
      <c r="D9303" s="9"/>
      <c r="E9303" s="11"/>
      <c r="F9303" s="11"/>
      <c r="G9303" s="11"/>
      <c r="H9303" s="11"/>
      <c r="I9303" s="11"/>
      <c r="J9303" s="11"/>
      <c r="K9303" s="11"/>
      <c r="L9303" s="11"/>
      <c r="M9303" s="12"/>
      <c r="N9303" s="12"/>
      <c r="O9303" s="11"/>
      <c r="P9303" s="11"/>
    </row>
    <row r="9304" spans="1:16" ht="12.75" x14ac:dyDescent="0.35">
      <c r="A9304" s="11"/>
      <c r="B9304" s="9"/>
      <c r="C9304" s="9"/>
      <c r="D9304" s="9"/>
      <c r="E9304" s="11"/>
      <c r="F9304" s="11"/>
      <c r="G9304" s="11"/>
      <c r="H9304" s="11"/>
      <c r="I9304" s="11"/>
      <c r="J9304" s="11"/>
      <c r="K9304" s="11"/>
      <c r="L9304" s="11"/>
      <c r="M9304" s="12"/>
      <c r="N9304" s="12"/>
      <c r="O9304" s="11"/>
      <c r="P9304" s="11"/>
    </row>
    <row r="9305" spans="1:16" ht="12.75" x14ac:dyDescent="0.35">
      <c r="A9305" s="11"/>
      <c r="B9305" s="9"/>
      <c r="C9305" s="9"/>
      <c r="D9305" s="9"/>
      <c r="E9305" s="11"/>
      <c r="F9305" s="11"/>
      <c r="G9305" s="11"/>
      <c r="H9305" s="11"/>
      <c r="I9305" s="11"/>
      <c r="J9305" s="11"/>
      <c r="K9305" s="11"/>
      <c r="L9305" s="11"/>
      <c r="M9305" s="12"/>
      <c r="N9305" s="12"/>
      <c r="O9305" s="11"/>
      <c r="P9305" s="11"/>
    </row>
    <row r="9306" spans="1:16" ht="12.75" x14ac:dyDescent="0.35">
      <c r="A9306" s="11"/>
      <c r="B9306" s="9"/>
      <c r="C9306" s="9"/>
      <c r="D9306" s="9"/>
      <c r="E9306" s="11"/>
      <c r="F9306" s="11"/>
      <c r="G9306" s="11"/>
      <c r="H9306" s="11"/>
      <c r="I9306" s="11"/>
      <c r="J9306" s="11"/>
      <c r="K9306" s="11"/>
      <c r="L9306" s="11"/>
      <c r="M9306" s="12"/>
      <c r="N9306" s="12"/>
      <c r="O9306" s="11"/>
      <c r="P9306" s="11"/>
    </row>
    <row r="9307" spans="1:16" ht="12.75" x14ac:dyDescent="0.35">
      <c r="A9307" s="11"/>
      <c r="B9307" s="9"/>
      <c r="C9307" s="9"/>
      <c r="D9307" s="9"/>
      <c r="E9307" s="11"/>
      <c r="F9307" s="11"/>
      <c r="G9307" s="11"/>
      <c r="H9307" s="11"/>
      <c r="I9307" s="11"/>
      <c r="J9307" s="11"/>
      <c r="K9307" s="11"/>
      <c r="L9307" s="11"/>
      <c r="M9307" s="12"/>
      <c r="N9307" s="12"/>
      <c r="O9307" s="11"/>
      <c r="P9307" s="11"/>
    </row>
    <row r="9308" spans="1:16" ht="12.75" x14ac:dyDescent="0.35">
      <c r="A9308" s="11"/>
      <c r="B9308" s="9"/>
      <c r="C9308" s="9"/>
      <c r="D9308" s="9"/>
      <c r="E9308" s="11"/>
      <c r="F9308" s="11"/>
      <c r="G9308" s="11"/>
      <c r="H9308" s="11"/>
      <c r="I9308" s="11"/>
      <c r="J9308" s="11"/>
      <c r="K9308" s="11"/>
      <c r="L9308" s="11"/>
      <c r="M9308" s="12"/>
      <c r="N9308" s="12"/>
      <c r="O9308" s="11"/>
      <c r="P9308" s="11"/>
    </row>
    <row r="9309" spans="1:16" ht="12.75" x14ac:dyDescent="0.35">
      <c r="A9309" s="11"/>
      <c r="B9309" s="9"/>
      <c r="C9309" s="9"/>
      <c r="D9309" s="9"/>
      <c r="E9309" s="11"/>
      <c r="F9309" s="11"/>
      <c r="G9309" s="11"/>
      <c r="H9309" s="11"/>
      <c r="I9309" s="11"/>
      <c r="J9309" s="11"/>
      <c r="K9309" s="11"/>
      <c r="L9309" s="11"/>
      <c r="M9309" s="12"/>
      <c r="N9309" s="12"/>
      <c r="O9309" s="11"/>
      <c r="P9309" s="11"/>
    </row>
    <row r="9310" spans="1:16" ht="12.75" x14ac:dyDescent="0.35">
      <c r="A9310" s="11"/>
      <c r="B9310" s="9"/>
      <c r="C9310" s="9"/>
      <c r="D9310" s="9"/>
      <c r="E9310" s="11"/>
      <c r="F9310" s="11"/>
      <c r="G9310" s="11"/>
      <c r="H9310" s="11"/>
      <c r="I9310" s="11"/>
      <c r="J9310" s="11"/>
      <c r="K9310" s="11"/>
      <c r="L9310" s="11"/>
      <c r="M9310" s="12"/>
      <c r="N9310" s="12"/>
      <c r="O9310" s="11"/>
      <c r="P9310" s="11"/>
    </row>
    <row r="9311" spans="1:16" ht="12.75" x14ac:dyDescent="0.35">
      <c r="A9311" s="11"/>
      <c r="B9311" s="9"/>
      <c r="C9311" s="9"/>
      <c r="D9311" s="9"/>
      <c r="E9311" s="11"/>
      <c r="F9311" s="11"/>
      <c r="G9311" s="11"/>
      <c r="H9311" s="11"/>
      <c r="I9311" s="11"/>
      <c r="J9311" s="11"/>
      <c r="K9311" s="11"/>
      <c r="L9311" s="11"/>
      <c r="M9311" s="12"/>
      <c r="N9311" s="12"/>
      <c r="O9311" s="11"/>
      <c r="P9311" s="11"/>
    </row>
    <row r="9312" spans="1:16" ht="12.75" x14ac:dyDescent="0.35">
      <c r="A9312" s="11"/>
      <c r="B9312" s="9"/>
      <c r="C9312" s="9"/>
      <c r="D9312" s="9"/>
      <c r="E9312" s="11"/>
      <c r="F9312" s="11"/>
      <c r="G9312" s="11"/>
      <c r="H9312" s="11"/>
      <c r="I9312" s="11"/>
      <c r="J9312" s="11"/>
      <c r="K9312" s="11"/>
      <c r="L9312" s="11"/>
      <c r="M9312" s="12"/>
      <c r="N9312" s="12"/>
      <c r="O9312" s="11"/>
      <c r="P9312" s="11"/>
    </row>
    <row r="9313" spans="1:16" ht="12.75" x14ac:dyDescent="0.35">
      <c r="A9313" s="11"/>
      <c r="B9313" s="9"/>
      <c r="C9313" s="9"/>
      <c r="D9313" s="9"/>
      <c r="E9313" s="11"/>
      <c r="F9313" s="11"/>
      <c r="G9313" s="11"/>
      <c r="H9313" s="11"/>
      <c r="I9313" s="11"/>
      <c r="J9313" s="11"/>
      <c r="K9313" s="11"/>
      <c r="L9313" s="11"/>
      <c r="M9313" s="12"/>
      <c r="N9313" s="12"/>
      <c r="O9313" s="11"/>
      <c r="P9313" s="11"/>
    </row>
    <row r="9314" spans="1:16" ht="12.75" x14ac:dyDescent="0.35">
      <c r="A9314" s="11"/>
      <c r="B9314" s="9"/>
      <c r="C9314" s="9"/>
      <c r="D9314" s="9"/>
      <c r="E9314" s="11"/>
      <c r="F9314" s="11"/>
      <c r="G9314" s="11"/>
      <c r="H9314" s="11"/>
      <c r="I9314" s="11"/>
      <c r="J9314" s="11"/>
      <c r="K9314" s="11"/>
      <c r="L9314" s="11"/>
      <c r="M9314" s="12"/>
      <c r="N9314" s="12"/>
      <c r="O9314" s="11"/>
      <c r="P9314" s="11"/>
    </row>
    <row r="9315" spans="1:16" ht="12.75" x14ac:dyDescent="0.35">
      <c r="A9315" s="11"/>
      <c r="B9315" s="9"/>
      <c r="C9315" s="9"/>
      <c r="D9315" s="9"/>
      <c r="E9315" s="11"/>
      <c r="F9315" s="11"/>
      <c r="G9315" s="11"/>
      <c r="H9315" s="11"/>
      <c r="I9315" s="11"/>
      <c r="J9315" s="11"/>
      <c r="K9315" s="11"/>
      <c r="L9315" s="11"/>
      <c r="M9315" s="12"/>
      <c r="N9315" s="12"/>
      <c r="O9315" s="11"/>
      <c r="P9315" s="11"/>
    </row>
    <row r="9316" spans="1:16" ht="12.75" x14ac:dyDescent="0.35">
      <c r="A9316" s="11"/>
      <c r="B9316" s="9"/>
      <c r="C9316" s="9"/>
      <c r="D9316" s="9"/>
      <c r="E9316" s="11"/>
      <c r="F9316" s="11"/>
      <c r="G9316" s="11"/>
      <c r="H9316" s="11"/>
      <c r="I9316" s="11"/>
      <c r="J9316" s="11"/>
      <c r="K9316" s="11"/>
      <c r="L9316" s="11"/>
      <c r="M9316" s="12"/>
      <c r="N9316" s="12"/>
      <c r="O9316" s="11"/>
      <c r="P9316" s="11"/>
    </row>
    <row r="9317" spans="1:16" ht="12.75" x14ac:dyDescent="0.35">
      <c r="A9317" s="11"/>
      <c r="B9317" s="9"/>
      <c r="C9317" s="9"/>
      <c r="D9317" s="9"/>
      <c r="E9317" s="11"/>
      <c r="F9317" s="11"/>
      <c r="G9317" s="11"/>
      <c r="H9317" s="11"/>
      <c r="I9317" s="11"/>
      <c r="J9317" s="11"/>
      <c r="K9317" s="11"/>
      <c r="L9317" s="11"/>
      <c r="M9317" s="12"/>
      <c r="N9317" s="12"/>
      <c r="O9317" s="11"/>
      <c r="P9317" s="11"/>
    </row>
    <row r="9318" spans="1:16" ht="12.75" x14ac:dyDescent="0.35">
      <c r="A9318" s="11"/>
      <c r="B9318" s="9"/>
      <c r="C9318" s="9"/>
      <c r="D9318" s="9"/>
      <c r="E9318" s="11"/>
      <c r="F9318" s="11"/>
      <c r="G9318" s="11"/>
      <c r="H9318" s="11"/>
      <c r="I9318" s="11"/>
      <c r="J9318" s="11"/>
      <c r="K9318" s="11"/>
      <c r="L9318" s="11"/>
      <c r="M9318" s="12"/>
      <c r="N9318" s="12"/>
      <c r="O9318" s="11"/>
      <c r="P9318" s="11"/>
    </row>
    <row r="9319" spans="1:16" ht="12.75" x14ac:dyDescent="0.35">
      <c r="A9319" s="11"/>
      <c r="B9319" s="9"/>
      <c r="C9319" s="9"/>
      <c r="D9319" s="9"/>
      <c r="E9319" s="11"/>
      <c r="F9319" s="11"/>
      <c r="G9319" s="11"/>
      <c r="H9319" s="11"/>
      <c r="I9319" s="11"/>
      <c r="J9319" s="11"/>
      <c r="K9319" s="11"/>
      <c r="L9319" s="11"/>
      <c r="M9319" s="12"/>
      <c r="N9319" s="12"/>
      <c r="O9319" s="11"/>
      <c r="P9319" s="11"/>
    </row>
    <row r="9320" spans="1:16" ht="12.75" x14ac:dyDescent="0.35">
      <c r="A9320" s="11"/>
      <c r="B9320" s="9"/>
      <c r="C9320" s="9"/>
      <c r="D9320" s="9"/>
      <c r="E9320" s="11"/>
      <c r="F9320" s="11"/>
      <c r="G9320" s="11"/>
      <c r="H9320" s="11"/>
      <c r="I9320" s="11"/>
      <c r="J9320" s="11"/>
      <c r="K9320" s="11"/>
      <c r="L9320" s="11"/>
      <c r="M9320" s="12"/>
      <c r="N9320" s="12"/>
      <c r="O9320" s="11"/>
      <c r="P9320" s="11"/>
    </row>
    <row r="9321" spans="1:16" ht="12.75" x14ac:dyDescent="0.35">
      <c r="A9321" s="11"/>
      <c r="B9321" s="9"/>
      <c r="C9321" s="9"/>
      <c r="D9321" s="9"/>
      <c r="E9321" s="11"/>
      <c r="F9321" s="11"/>
      <c r="G9321" s="11"/>
      <c r="H9321" s="11"/>
      <c r="I9321" s="11"/>
      <c r="J9321" s="11"/>
      <c r="K9321" s="11"/>
      <c r="L9321" s="11"/>
      <c r="M9321" s="12"/>
      <c r="N9321" s="12"/>
      <c r="O9321" s="11"/>
      <c r="P9321" s="11"/>
    </row>
    <row r="9322" spans="1:16" ht="12.75" x14ac:dyDescent="0.35">
      <c r="A9322" s="11"/>
      <c r="B9322" s="9"/>
      <c r="C9322" s="9"/>
      <c r="D9322" s="9"/>
      <c r="E9322" s="11"/>
      <c r="F9322" s="11"/>
      <c r="G9322" s="11"/>
      <c r="H9322" s="11"/>
      <c r="I9322" s="11"/>
      <c r="J9322" s="11"/>
      <c r="K9322" s="11"/>
      <c r="L9322" s="11"/>
      <c r="M9322" s="12"/>
      <c r="N9322" s="12"/>
      <c r="O9322" s="11"/>
      <c r="P9322" s="11"/>
    </row>
    <row r="9323" spans="1:16" ht="12.75" x14ac:dyDescent="0.35">
      <c r="A9323" s="11"/>
      <c r="B9323" s="9"/>
      <c r="C9323" s="9"/>
      <c r="D9323" s="9"/>
      <c r="E9323" s="11"/>
      <c r="F9323" s="11"/>
      <c r="G9323" s="11"/>
      <c r="H9323" s="11"/>
      <c r="I9323" s="11"/>
      <c r="J9323" s="11"/>
      <c r="K9323" s="11"/>
      <c r="L9323" s="11"/>
      <c r="M9323" s="12"/>
      <c r="N9323" s="12"/>
      <c r="O9323" s="11"/>
      <c r="P9323" s="11"/>
    </row>
    <row r="9324" spans="1:16" ht="12.75" x14ac:dyDescent="0.35">
      <c r="A9324" s="11"/>
      <c r="B9324" s="9"/>
      <c r="C9324" s="9"/>
      <c r="D9324" s="9"/>
      <c r="E9324" s="11"/>
      <c r="F9324" s="11"/>
      <c r="G9324" s="11"/>
      <c r="H9324" s="11"/>
      <c r="I9324" s="11"/>
      <c r="J9324" s="11"/>
      <c r="K9324" s="11"/>
      <c r="L9324" s="11"/>
      <c r="M9324" s="12"/>
      <c r="N9324" s="12"/>
      <c r="O9324" s="11"/>
      <c r="P9324" s="11"/>
    </row>
    <row r="9325" spans="1:16" ht="12.75" x14ac:dyDescent="0.35">
      <c r="A9325" s="11"/>
      <c r="B9325" s="9"/>
      <c r="C9325" s="9"/>
      <c r="D9325" s="9"/>
      <c r="E9325" s="11"/>
      <c r="F9325" s="11"/>
      <c r="G9325" s="11"/>
      <c r="H9325" s="11"/>
      <c r="I9325" s="11"/>
      <c r="J9325" s="11"/>
      <c r="K9325" s="11"/>
      <c r="L9325" s="11"/>
      <c r="M9325" s="12"/>
      <c r="N9325" s="12"/>
      <c r="O9325" s="11"/>
      <c r="P9325" s="11"/>
    </row>
  </sheetData>
  <mergeCells count="2">
    <mergeCell ref="A1:F1"/>
    <mergeCell ref="G1:O1"/>
  </mergeCells>
  <hyperlinks>
    <hyperlink ref="B3" r:id="rId1" display="https://twitter.com/dont_blink1" xr:uid="{43790672-F963-4653-A2B5-2DE84BE68E5B}"/>
    <hyperlink ref="E3" r:id="rId2" display="https://twitter.com/dont_blink1/status/722917360798027776" xr:uid="{0D74DCA7-7335-4A43-89AA-6ADDBFC8778F}"/>
    <hyperlink ref="O3" r:id="rId3" display="https://pbs.twimg.com/profile_images/692464957263314945/xj5TwuM3_normal.jpg" xr:uid="{FE5153EA-510F-4E52-8236-0EB89435F144}"/>
    <hyperlink ref="B4" r:id="rId4" display="https://twitter.com/Incognino_" xr:uid="{04EADAA2-2836-44FD-B96A-BCBFF1D55B6F}"/>
    <hyperlink ref="E4" r:id="rId5" display="https://twitter.com/Incognino_/status/722917462380003328" xr:uid="{4101BB36-BB7A-485C-AF5B-96A917ADDE9B}"/>
    <hyperlink ref="O4" r:id="rId6" display="https://pbs.twimg.com/profile_images/3237152318/f24f9ed6d0fe5ac36815083ed0e7c559_normal.jpeg" xr:uid="{161AA48E-11AB-4AB6-B233-747987D7D62E}"/>
    <hyperlink ref="B5" r:id="rId7" display="https://twitter.com/khilogram" xr:uid="{D3AF1476-F32D-4AA9-8999-B8F620973A3F}"/>
    <hyperlink ref="E5" r:id="rId8" display="https://twitter.com/khilogram/status/722918906914975744" xr:uid="{71781047-1CE0-4536-8370-B9AFF1D7DCBD}"/>
    <hyperlink ref="O5" r:id="rId9" display="https://pbs.twimg.com/profile_images/721573146306830337/ZW0NIcS2_normal.jpg" xr:uid="{47165D98-5D3E-4B8F-BD3C-04B3ADA241DE}"/>
    <hyperlink ref="B6" r:id="rId10" display="https://twitter.com/mk1GolfForSale" xr:uid="{6D51EDAA-56F9-4FF7-8E97-076D54FE6A20}"/>
    <hyperlink ref="E6" r:id="rId11" display="https://twitter.com/mk1GolfForSale/status/722919020224061441" xr:uid="{D1446BAA-DBC9-4E7C-8CAA-DB4D04618E02}"/>
    <hyperlink ref="O6" r:id="rId12" display="https://pbs.twimg.com/profile_images/3279995885/2c9f035864a3ab529eb3144a61e4dfa9_normal.jpeg" xr:uid="{73EFDCB0-43E9-4004-B8B1-A09359F1D2D9}"/>
    <hyperlink ref="B7" r:id="rId13" display="https://twitter.com/WorldWideStance" xr:uid="{1335BB0D-6179-4E0E-A174-2C27735EB15E}"/>
    <hyperlink ref="E7" r:id="rId14" display="https://twitter.com/WorldWideStance/status/722919125606014976" xr:uid="{F38115B7-5C8E-44F7-AE06-BDA9EA865311}"/>
    <hyperlink ref="O7" r:id="rId15" display="https://pbs.twimg.com/profile_images/600380442336960513/FHH3lN5S_normal.jpg" xr:uid="{1A113CC6-C279-4E44-AA4A-0F4050DE7DEE}"/>
    <hyperlink ref="B8" r:id="rId16" display="https://twitter.com/Wise_PLLC" xr:uid="{FB40E187-A4F7-4B30-A6E3-B6B13A5C4A2A}"/>
    <hyperlink ref="E8" r:id="rId17" display="https://twitter.com/Wise_PLLC/status/722919162847178752" xr:uid="{D1DF43B8-421B-4D8C-A33C-878148826440}"/>
    <hyperlink ref="O8" r:id="rId18" display="https://pbs.twimg.com/profile_images/459480339438501888/EnQu9AcQ_normal.png" xr:uid="{E0E20439-C371-4E63-AC3F-659718357D20}"/>
    <hyperlink ref="B9" r:id="rId19" display="https://twitter.com/Duambyth" xr:uid="{400AE265-D949-4F17-8827-FC757C593EB0}"/>
    <hyperlink ref="E9" r:id="rId20" display="https://twitter.com/Duambyth/status/722919180652011522" xr:uid="{5A1781EE-9EA0-4CE5-8DD7-AC6A99EEFA8D}"/>
    <hyperlink ref="O9" r:id="rId21" display="https://pbs.twimg.com/profile_images/714558560936529920/fOUFpJYx_normal.jpg" xr:uid="{07B7F517-B3CC-4857-AA1A-38C5F3FFEF8D}"/>
    <hyperlink ref="B10" r:id="rId22" display="https://twitter.com/Scirocco_Tuning" xr:uid="{4CBCDA35-28AF-4C8C-80D5-3A10DA88C830}"/>
    <hyperlink ref="E10" r:id="rId23" display="https://twitter.com/Scirocco_Tuning/status/722919770484510720" xr:uid="{F20EC1E1-44E9-46F8-B75D-868DA1862600}"/>
    <hyperlink ref="O10" r:id="rId24" display="https://pbs.twimg.com/profile_images/1610421423/Image2_normal.jpg" xr:uid="{3AE19B31-DF40-4A1E-B888-5E959B6499A2}"/>
    <hyperlink ref="B11" r:id="rId25" display="https://twitter.com/ice_it_down" xr:uid="{6341E5ED-7244-4F86-B885-B3769D35ED4F}"/>
    <hyperlink ref="E11" r:id="rId26" display="https://twitter.com/ice_it_down/status/722919856744620032" xr:uid="{A0F1A238-FA45-47C2-9FDB-4B93CC17C440}"/>
    <hyperlink ref="O11" r:id="rId27" display="https://pbs.twimg.com/profile_images/715697896910417920/JwcxwNfT_normal.jpg" xr:uid="{55EB1E71-6D37-47C4-BCAC-E998890856F6}"/>
    <hyperlink ref="B12" r:id="rId28" display="https://twitter.com/TedFlitton" xr:uid="{FE259D56-FE83-4086-9490-0D010E98D6B0}"/>
    <hyperlink ref="E12" r:id="rId29" display="https://twitter.com/TedFlitton/status/722920009291304964" xr:uid="{20B4DAB1-FDE0-489B-AD89-917AA8AE5392}"/>
    <hyperlink ref="O12" r:id="rId30" display="https://pbs.twimg.com/profile_images/552612598974132224/ZNRfmfZ7_normal.jpeg" xr:uid="{89ACD73B-B86E-410E-AF84-259FAD90C00B}"/>
    <hyperlink ref="B13" r:id="rId31" display="https://twitter.com/jckronbauer" xr:uid="{06C6FFE6-B890-4A40-AB17-F92BA9AB0683}"/>
    <hyperlink ref="E13" r:id="rId32" display="https://twitter.com/jckronbauer/status/722920360593727488" xr:uid="{1B1ED5FE-07E1-4BF0-B9DD-FA54BC4A6EBE}"/>
    <hyperlink ref="O13" r:id="rId33" display="https://pbs.twimg.com/profile_images/632680953865981952/RcuZey8Q_normal.jpg" xr:uid="{FA31C380-840A-49CA-8092-398A205087CE}"/>
    <hyperlink ref="B14" r:id="rId34" display="https://twitter.com/beetlebug1938" xr:uid="{96A7C6F3-F249-46FE-B966-540664B75143}"/>
    <hyperlink ref="E14" r:id="rId35" display="https://twitter.com/beetlebug1938/status/722920664047427584" xr:uid="{E1E116B2-F4F0-489E-9B47-0FB31D4ED9EB}"/>
    <hyperlink ref="O14" r:id="rId36" display="https://pbs.twimg.com/profile_images/718820712757215233/LXXndPTS_normal.jpg" xr:uid="{CD6424AD-1AD7-4F16-A149-BF0A69C99CEE}"/>
    <hyperlink ref="B15" r:id="rId37" display="https://twitter.com/beetlebug1938" xr:uid="{3F51B9F3-1CCC-402B-BEB1-43E27F6AD2B8}"/>
    <hyperlink ref="E15" r:id="rId38" display="https://twitter.com/beetlebug1938/status/722920669781082112" xr:uid="{C76737D8-D2B8-467B-81E0-23969C68EC9D}"/>
    <hyperlink ref="O15" r:id="rId39" display="https://pbs.twimg.com/profile_images/718820712757215233/LXXndPTS_normal.jpg" xr:uid="{2E0EEE40-CE4F-4624-B116-7AAEA994AB19}"/>
    <hyperlink ref="B16" r:id="rId40" display="https://twitter.com/beetlebug1938" xr:uid="{303A1227-A767-481B-A0C9-10BF2AAA39B8}"/>
    <hyperlink ref="E16" r:id="rId41" display="https://twitter.com/beetlebug1938/status/722920672981303296" xr:uid="{204D1119-A805-48BC-8AE1-03CBCD93CABE}"/>
    <hyperlink ref="O16" r:id="rId42" display="https://pbs.twimg.com/profile_images/718820712757215233/LXXndPTS_normal.jpg" xr:uid="{28D683F6-8CCF-4F17-B97F-EC71FC25EBC8}"/>
    <hyperlink ref="B17" r:id="rId43" display="https://twitter.com/beetlebug1938" xr:uid="{FD41D8DB-54B0-409C-9127-E3DF16FEDCC9}"/>
    <hyperlink ref="E17" r:id="rId44" display="https://twitter.com/beetlebug1938/status/722920679306371072" xr:uid="{EB38B284-563C-4B81-B515-A7AA5BD91DA8}"/>
    <hyperlink ref="O17" r:id="rId45" display="https://pbs.twimg.com/profile_images/718820712757215233/LXXndPTS_normal.jpg" xr:uid="{3227DEA5-5414-49E6-ADCF-1460881D9266}"/>
    <hyperlink ref="B18" r:id="rId46" display="https://twitter.com/beetlebug1938" xr:uid="{01A789EF-6ECF-418B-B739-8E123553941D}"/>
    <hyperlink ref="E18" r:id="rId47" display="https://twitter.com/beetlebug1938/status/722920710230908928" xr:uid="{1036E069-10F9-4834-8E01-32253B411947}"/>
    <hyperlink ref="O18" r:id="rId48" display="https://pbs.twimg.com/profile_images/718820712757215233/LXXndPTS_normal.jpg" xr:uid="{B64E9AE2-9427-4394-9CC2-33B079D8E3D7}"/>
    <hyperlink ref="B19" r:id="rId49" display="https://twitter.com/FuscaWorld" xr:uid="{C8AAFFDD-C926-4267-8BC6-CC8375FD43A2}"/>
    <hyperlink ref="E19" r:id="rId50" display="https://twitter.com/FuscaWorld/status/722921243725443072" xr:uid="{017295DE-695D-4412-92D9-8353DFE4FD16}"/>
    <hyperlink ref="O19" r:id="rId51" display="https://pbs.twimg.com/profile_images/705780107844067328/e7O4UBNb_normal.jpg" xr:uid="{140133FB-F4E8-4BE6-95A5-7867579175D3}"/>
    <hyperlink ref="B20" r:id="rId52" display="https://twitter.com/louiscroberts" xr:uid="{5B89ADEA-CDE8-400A-8B90-3717FCCC2A37}"/>
    <hyperlink ref="E20" r:id="rId53" display="https://twitter.com/louiscroberts/status/722921285802659840" xr:uid="{0CB09C06-C86A-48EB-9E4B-C44CAF321AE3}"/>
    <hyperlink ref="O20" r:id="rId54" display="https://pbs.twimg.com/profile_images/700188970026606592/y5ePQvYf_normal.jpg" xr:uid="{45223801-2650-496E-B8CF-B986E8E5AB2D}"/>
    <hyperlink ref="B21" r:id="rId55" display="https://twitter.com/Watercolorhere" xr:uid="{1A3E2803-4736-4E43-BDA7-A7BFC7C49BEF}"/>
    <hyperlink ref="E21" r:id="rId56" display="https://twitter.com/Watercolorhere/status/722921331394609153" xr:uid="{76E39BC2-2B96-47C9-B431-E3022E8F8D37}"/>
    <hyperlink ref="O21" r:id="rId57" display="https://pbs.twimg.com/profile_images/437383806853468160/wGuL_DMN_normal.jpeg" xr:uid="{EFE45093-C192-4ABF-A9AB-AF37514074A2}"/>
    <hyperlink ref="B22" r:id="rId58" display="https://twitter.com/Kaikoujin" xr:uid="{814ECD4E-BF54-445B-9342-C1733765029E}"/>
    <hyperlink ref="E22" r:id="rId59" display="https://twitter.com/Kaikoujin/status/722921825919852544" xr:uid="{0F9A9B1C-E1A2-420C-A619-D473A0AF4B4C}"/>
    <hyperlink ref="O22" r:id="rId60" display="https://pbs.twimg.com/profile_images/702146561287917568/9enKzseK_normal.jpg" xr:uid="{8A18B73E-2643-4FA7-8130-5A59E1D9AA59}"/>
    <hyperlink ref="B23" r:id="rId61" display="https://twitter.com/jeffyboy56" xr:uid="{1DEF13C4-CE35-462C-80D0-C27110A26C8C}"/>
    <hyperlink ref="E23" r:id="rId62" display="https://twitter.com/jeffyboy56/status/722922118241992704" xr:uid="{7C574C51-E359-4084-85ED-D636FFBBDDD7}"/>
    <hyperlink ref="O23" r:id="rId63" display="https://pbs.twimg.com/profile_images/711704579289845766/SyXBbA2L_normal.jpg" xr:uid="{2C4907AE-E0EA-4731-A6E1-33E5E79E906D}"/>
    <hyperlink ref="B24" r:id="rId64" display="https://twitter.com/quickfoundnet" xr:uid="{690D930C-2BBF-4228-916E-0AE4A12CC4F4}"/>
    <hyperlink ref="E24" r:id="rId65" display="https://twitter.com/quickfoundnet/status/722922193655435265" xr:uid="{6A85F431-6CEF-4030-9690-775B53FAAAFF}"/>
    <hyperlink ref="O24" r:id="rId66" display="https://pbs.twimg.com/profile_images/448914739268034560/9ke9iLLn_normal.jpeg" xr:uid="{8EBFB249-2BA6-4E27-9737-25CFBD445DA4}"/>
    <hyperlink ref="B25" r:id="rId67" display="https://twitter.com/Watercolorhere" xr:uid="{2751CFE3-C25A-4DA6-890D-5EDDAB6F790F}"/>
    <hyperlink ref="E25" r:id="rId68" display="https://twitter.com/Watercolorhere/status/722922705129906176" xr:uid="{562FBCD5-0820-4112-9B94-3094B7B3A9CB}"/>
    <hyperlink ref="O25" r:id="rId69" display="https://pbs.twimg.com/profile_images/437383806853468160/wGuL_DMN_normal.jpeg" xr:uid="{5CF66611-2B20-4581-A451-2E622D342820}"/>
    <hyperlink ref="B26" r:id="rId70" display="https://twitter.com/DnBcorporation" xr:uid="{EBF69E6E-0316-45D8-A356-5D6E7183DA78}"/>
    <hyperlink ref="E26" r:id="rId71" display="https://twitter.com/DnBcorporation/status/722922737388359680" xr:uid="{F3FF613B-75FE-4E2D-8DF0-C43271FC02E4}"/>
    <hyperlink ref="O26" r:id="rId72" display="https://pbs.twimg.com/profile_images/559659103723585536/oexmCla7_normal.jpeg" xr:uid="{D069E6F9-4F03-4E47-962E-67E2473ADF21}"/>
    <hyperlink ref="B27" r:id="rId73" display="https://twitter.com/NeedTechs" xr:uid="{18F6E0E8-2904-447F-86A9-D537247DB454}"/>
    <hyperlink ref="E27" r:id="rId74" display="https://twitter.com/NeedTechs/status/722922822410997762" xr:uid="{27ADAF49-54B6-4E7C-9BE4-824A2315FC9F}"/>
    <hyperlink ref="O27" r:id="rId75" display="https://pbs.twimg.com/profile_images/588750621353717760/15I04Sdg_normal.png" xr:uid="{E09C51BD-6A36-49A2-9B5E-ACF2AD34F61E}"/>
    <hyperlink ref="B28" r:id="rId76" display="https://twitter.com/ummanamoonji" xr:uid="{140C7AE2-A552-49ED-BED5-41BBBC3E61F4}"/>
    <hyperlink ref="E28" r:id="rId77" display="https://twitter.com/ummanamoonji/status/722923122328883200" xr:uid="{A6C1D661-48BB-44CB-9425-11A24C0E18D6}"/>
    <hyperlink ref="O28" r:id="rId78" display="https://pbs.twimg.com/profile_images/705568005053247489/wOXUSBP9_normal.jpg" xr:uid="{B112C47C-BF1E-406F-8302-E6BBB2007E7E}"/>
    <hyperlink ref="B29" r:id="rId79" display="https://twitter.com/SergioM47589336" xr:uid="{353276C0-567A-4510-89A0-DAB2F014ABC1}"/>
    <hyperlink ref="E29" r:id="rId80" display="https://twitter.com/SergioM47589336/status/722923243867357184" xr:uid="{06BB3BA2-25EA-42AD-B0E7-9B071CCF72BB}"/>
    <hyperlink ref="O29" r:id="rId81" display="https://pbs.twimg.com/profile_images/651732570611318784/Pzh_eCAY_normal.jpg" xr:uid="{5F902FB6-6825-4D0A-9B8A-0017F7C0FC56}"/>
    <hyperlink ref="B30" r:id="rId82" display="https://twitter.com/cuco996" xr:uid="{C66137AA-C8DA-4E43-A151-8EF2C818FF0C}"/>
    <hyperlink ref="E30" r:id="rId83" display="https://twitter.com/cuco996/status/722923570540756992" xr:uid="{E341ACE7-0D53-4C9E-9333-5E29964935DC}"/>
    <hyperlink ref="O30" r:id="rId84" display="https://pbs.twimg.com/profile_images/1623055213/download_normal.jpg" xr:uid="{A14BC270-4714-4E9E-900D-39DEBED85C4B}"/>
    <hyperlink ref="B31" r:id="rId85" display="https://twitter.com/andrewsduncan1" xr:uid="{F7667DBC-4659-49DC-B4D1-4ED0E6247DAE}"/>
    <hyperlink ref="E31" r:id="rId86" display="https://twitter.com/andrewsduncan1/status/722923775516405760" xr:uid="{53CE8878-77CB-4FD6-96A3-D3501190C487}"/>
    <hyperlink ref="O31" r:id="rId87" display="https://pbs.twimg.com/profile_images/663730127906463744/l017r0-__normal.jpg" xr:uid="{CD82F852-E7C7-410D-BE52-8ABC2456B54C}"/>
    <hyperlink ref="B32" r:id="rId88" display="https://twitter.com/Carscoop" xr:uid="{7B480138-266E-4A89-8CCA-184EFB5226BB}"/>
    <hyperlink ref="E32" r:id="rId89" display="https://twitter.com/Carscoop/status/722924380074827777" xr:uid="{2BD6C0D5-F8CF-47C4-805F-AFA45A3A179C}"/>
    <hyperlink ref="F32" r:id="rId90" xr:uid="{23A1D42F-F292-40BB-A9C4-17F2849DCD01}"/>
    <hyperlink ref="O32" r:id="rId91" display="https://pbs.twimg.com/profile_images/599709666017435648/r0vhT_9C_normal.png" xr:uid="{94584174-80D1-428C-9A82-63EB318C3852}"/>
    <hyperlink ref="B33" r:id="rId92" display="https://twitter.com/VWBeetleSales" xr:uid="{113F3A98-D29C-495B-AB1B-2D6506330989}"/>
    <hyperlink ref="E33" r:id="rId93" display="https://twitter.com/VWBeetleSales/status/722925463681703937" xr:uid="{7466CE21-9040-4669-86A3-CB9C4A2E6785}"/>
    <hyperlink ref="F33" r:id="rId94" xr:uid="{B99350D4-EFC0-45B6-933B-121964836713}"/>
    <hyperlink ref="O33" r:id="rId95" display="https://pbs.twimg.com/profile_images/703294545195307008/qeCvrX86_normal.jpg" xr:uid="{C14B022D-8B23-4028-A626-F4C27EC20B81}"/>
    <hyperlink ref="B34" r:id="rId96" display="https://twitter.com/ShannonLeinert" xr:uid="{2D698F8D-234F-4E18-9F43-E18A284D0030}"/>
    <hyperlink ref="E34" r:id="rId97" display="https://twitter.com/ShannonLeinert/status/722926128940224512" xr:uid="{D6B57AAC-B80E-46AC-94F9-0328BA1DF4E4}"/>
    <hyperlink ref="O34" r:id="rId98" display="https://pbs.twimg.com/profile_images/720179724543090688/GalvaHrn_normal.jpg" xr:uid="{5FC51BB7-AAEE-4F30-9B25-0F11EF801F14}"/>
    <hyperlink ref="B35" r:id="rId99" display="https://twitter.com/vwdepo" xr:uid="{F4CAB8D3-D65A-4E88-914D-55F22AE83BA8}"/>
    <hyperlink ref="E35" r:id="rId100" display="https://twitter.com/vwdepo/status/722927125674782720" xr:uid="{A42EF7ED-961A-4753-9303-3282A333DDBA}"/>
    <hyperlink ref="O35" r:id="rId101" display="https://pbs.twimg.com/profile_images/3378184537/c20ae9a7a410821b4f189c34a63380f7_normal.png" xr:uid="{B705665D-65E7-492A-95AB-520538ECFA8C}"/>
    <hyperlink ref="B36" r:id="rId102" display="https://twitter.com/ThreeCountyVW" xr:uid="{395F0639-CE21-453D-A6DB-E77343482BBF}"/>
    <hyperlink ref="E36" r:id="rId103" display="https://twitter.com/ThreeCountyVW/status/722927329693990913" xr:uid="{4AB3CD6E-7F4D-46A2-938C-2FC0A27A3E4E}"/>
    <hyperlink ref="O36" r:id="rId104" display="https://pbs.twimg.com/profile_images/510134807351672832/NEa_-oCU_normal.jpeg" xr:uid="{E8A7E466-C792-4D3E-9D8C-3A41A5D3101B}"/>
    <hyperlink ref="B37" r:id="rId105" display="https://twitter.com/chriscostner" xr:uid="{DCEB3B79-8327-4D8A-925E-D9570254D24F}"/>
    <hyperlink ref="E37" r:id="rId106" display="https://twitter.com/chriscostner/status/722927692635484163" xr:uid="{27E6F872-BF93-4D8F-A35F-650DB0F1B843}"/>
    <hyperlink ref="O37" r:id="rId107" display="https://pbs.twimg.com/profile_images/721179462084268032/t24RTVac_normal.jpg" xr:uid="{B3EA57CE-9D47-4FDF-8506-12C25B7D9BBC}"/>
    <hyperlink ref="B38" r:id="rId108" display="https://twitter.com/APMACanada" xr:uid="{7BD5A6EA-DCEC-4F65-AAA5-6FF79498B4A5}"/>
    <hyperlink ref="E38" r:id="rId109" display="https://twitter.com/APMACanada/status/722927975314911235" xr:uid="{3C1007AE-BFCB-474C-8589-D417DCD16277}"/>
    <hyperlink ref="O38" r:id="rId110" display="https://pbs.twimg.com/profile_images/707247826615595009/ypTyp3v8_normal.jpg" xr:uid="{8504CC2A-AF0C-4A41-80F5-D955BC298700}"/>
    <hyperlink ref="B39" r:id="rId111" display="https://twitter.com/CNBC" xr:uid="{7B92A668-9480-4F05-9BD9-6A436EE90A83}"/>
    <hyperlink ref="E39" r:id="rId112" display="https://twitter.com/CNBC/status/722928029882822657" xr:uid="{1B01E567-90BB-41DB-8090-3829336E0675}"/>
    <hyperlink ref="O39" r:id="rId113" display="https://pbs.twimg.com/profile_images/700355164734156800/1k4mmfUm_normal.png" xr:uid="{3D920E7C-25EB-44C9-AA12-43458FB3D72D}"/>
    <hyperlink ref="B40" r:id="rId114" display="https://twitter.com/CNBCtech" xr:uid="{1649DBD3-6EFA-4895-A4D2-B0B68419F978}"/>
    <hyperlink ref="E40" r:id="rId115" display="https://twitter.com/CNBCtech/status/722928137173082112" xr:uid="{3472ADF3-58CD-4176-8359-83DF7B708F03}"/>
    <hyperlink ref="O40" r:id="rId116" display="https://pbs.twimg.com/profile_images/551071362756792320/_kVG5EAu_normal.png" xr:uid="{84CA957E-FD20-472A-A378-238044309C1B}"/>
    <hyperlink ref="B41" r:id="rId117" display="https://twitter.com/CARNAGE740807" xr:uid="{4EE5BFF2-B3CA-479A-828C-4C4554E967B6}"/>
    <hyperlink ref="E41" r:id="rId118" display="https://twitter.com/CARNAGE740807/status/722929011874107393" xr:uid="{785505AD-FF4E-49A4-9AEA-19DA81F7A370}"/>
    <hyperlink ref="O41" r:id="rId119" display="https://pbs.twimg.com/profile_images/378800000538868894/4b58611d16dd4db5af22f43af6033f57_normal.jpeg" xr:uid="{C5C30EEC-29E7-461E-82B8-67719BC1E5CB}"/>
    <hyperlink ref="B42" r:id="rId120" display="https://twitter.com/incanus77" xr:uid="{AFDD1AD5-3421-4A37-8254-6C850A74C077}"/>
    <hyperlink ref="E42" r:id="rId121" display="https://twitter.com/incanus77/status/722929012159356928" xr:uid="{DEB02A28-F36A-4FD8-A467-CAA6EC675BBF}"/>
    <hyperlink ref="O42" r:id="rId122" display="https://pbs.twimg.com/profile_images/1730880458/6611288273_3f2969e2e4_o_normal.jpg" xr:uid="{0E5BCFB4-36C0-49C8-A3E2-E9E097D10531}"/>
    <hyperlink ref="B43" r:id="rId123" display="https://twitter.com/dan_infinity" xr:uid="{48DD9C38-3AA4-4092-82C1-FC6685D73EB6}"/>
    <hyperlink ref="E43" r:id="rId124" display="https://twitter.com/dan_infinity/status/722929251104788480" xr:uid="{B06FED69-F985-4733-A99B-C56012313B82}"/>
    <hyperlink ref="O43" r:id="rId125" display="https://pbs.twimg.com/profile_images/674772208972111872/j_kUU3s__normal.jpg" xr:uid="{F1D939E1-7BD1-4E5F-94CC-9E780E5F275E}"/>
    <hyperlink ref="B44" r:id="rId126" display="https://twitter.com/murphloomis" xr:uid="{C224BC24-A92A-4BC3-A925-A6A5992919AC}"/>
    <hyperlink ref="E44" r:id="rId127" display="https://twitter.com/murphloomis/status/722929843680198657" xr:uid="{BC8865E5-AD83-4DC6-8A55-9A541BFC252F}"/>
    <hyperlink ref="O44" r:id="rId128" display="https://pbs.twimg.com/profile_images/708651707534745600/qkQs_f1L_normal.jpg" xr:uid="{A29BEC07-C846-430D-A150-68EC47A6DD19}"/>
    <hyperlink ref="B45" r:id="rId129" display="https://twitter.com/thenewautonews" xr:uid="{3162E740-CD11-4842-9E86-03C33DD2B68A}"/>
    <hyperlink ref="E45" r:id="rId130" display="https://twitter.com/thenewautonews/status/722929847844995074" xr:uid="{2678394E-5B9A-4D89-85F2-FC134A5A56B5}"/>
    <hyperlink ref="O45" r:id="rId131" display="https://pbs.twimg.com/profile_images/649749711885307904/rF5Jhht9_normal.png" xr:uid="{569E9D9E-D9FB-4661-9E9B-6E6C3AA12910}"/>
    <hyperlink ref="B46" r:id="rId132" display="https://twitter.com/jamelise" xr:uid="{4F1694B7-06E0-458A-9451-148EE65175CE}"/>
    <hyperlink ref="E46" r:id="rId133" display="https://twitter.com/jamelise/status/722929922700914689" xr:uid="{598D9F7B-0D17-49F7-B897-25C90A8113F9}"/>
    <hyperlink ref="O46" r:id="rId134" display="https://pbs.twimg.com/profile_images/426116134018899969/MsH4oK1S_normal.jpeg" xr:uid="{1CBCB5CF-7C6E-4DB8-A776-591418621F79}"/>
    <hyperlink ref="B47" r:id="rId135" display="https://twitter.com/OnlineCarReview" xr:uid="{E0B90A97-AD3C-4986-B530-AB23F78951B1}"/>
    <hyperlink ref="E47" r:id="rId136" display="https://twitter.com/OnlineCarReview/status/722929993337012226" xr:uid="{FF66C7D7-9129-454A-B39E-590645CE16A0}"/>
    <hyperlink ref="O47" r:id="rId137" display="https://pbs.twimg.com/profile_images/652871584131092480/QA_B6SBO_normal.jpg" xr:uid="{C283A8C7-6CC9-476A-8E1F-063DA43778CE}"/>
    <hyperlink ref="B48" r:id="rId138" display="https://twitter.com/OnlineCarReview" xr:uid="{598D8A8E-DB2D-4658-A15F-A9A26E5BC200}"/>
    <hyperlink ref="E48" r:id="rId139" display="https://twitter.com/OnlineCarReview/status/722929994427604992" xr:uid="{17D3652B-F251-4859-A246-7269D0A90E74}"/>
    <hyperlink ref="O48" r:id="rId140" display="https://pbs.twimg.com/profile_images/652871584131092480/QA_B6SBO_normal.jpg" xr:uid="{23EB6934-85B5-4498-80C7-EB814057B7EE}"/>
    <hyperlink ref="B49" r:id="rId141" display="https://twitter.com/OnlineCarReview" xr:uid="{F4E0E0F3-7669-41DA-A713-BF9170081825}"/>
    <hyperlink ref="E49" r:id="rId142" display="https://twitter.com/OnlineCarReview/status/722929995446759424" xr:uid="{7A49423E-0A02-46E7-A7E7-676BC5453ED4}"/>
    <hyperlink ref="O49" r:id="rId143" display="https://pbs.twimg.com/profile_images/652871584131092480/QA_B6SBO_normal.jpg" xr:uid="{A4423125-E708-41D8-B147-6166D23E5E1B}"/>
    <hyperlink ref="B50" r:id="rId144" display="https://twitter.com/Insta_VWT" xr:uid="{DEE51ECD-9E62-4488-B548-A421F92B2219}"/>
    <hyperlink ref="E50" r:id="rId145" display="https://twitter.com/Insta_VWT/status/722930230516695040" xr:uid="{49618B3E-2FFC-4486-91DB-410A07C946EC}"/>
    <hyperlink ref="O50" r:id="rId146" display="https://pbs.twimg.com/profile_images/424893967197433858/iQ86NktX_normal.jpeg" xr:uid="{B246B4F1-69A5-4D02-BDB9-92C6D075FB80}"/>
    <hyperlink ref="B51" r:id="rId147" display="https://twitter.com/VeeDubMk1_" xr:uid="{891B7BED-6554-4709-8CFB-C915ED683885}"/>
    <hyperlink ref="E51" r:id="rId148" display="https://twitter.com/VeeDubMk1_/status/722930433726537728" xr:uid="{D6756C66-6D57-40B6-8B04-1E0936D5665D}"/>
    <hyperlink ref="O51" r:id="rId149" display="https://pbs.twimg.com/profile_images/672878354127839232/M7OYc-zx_normal.jpg" xr:uid="{A02BA963-76DB-46A3-ABE8-15755C8A2977}"/>
    <hyperlink ref="B52" r:id="rId150" display="https://twitter.com/hashtagvanlife" xr:uid="{686C5DB0-307E-4E89-80C8-FD082E13C20C}"/>
    <hyperlink ref="E52" r:id="rId151" display="https://twitter.com/hashtagvanlife/status/722930771212791808" xr:uid="{2913AA83-BDC6-45C6-AE2F-230D2FA64FE9}"/>
    <hyperlink ref="O52" r:id="rId152" display="https://pbs.twimg.com/profile_images/653637535545995264/gHuXQ5Bt_normal.jpg" xr:uid="{D233FA93-D5BF-4F2A-8B4A-C83B95242F03}"/>
    <hyperlink ref="B53" r:id="rId153" display="https://twitter.com/jyarmis" xr:uid="{5A1D69A6-CADE-4981-A536-0C3C777AB961}"/>
    <hyperlink ref="E53" r:id="rId154" display="https://twitter.com/jyarmis/status/722930887638126593" xr:uid="{B2982165-53E9-4ED3-A347-9991132E9FDF}"/>
    <hyperlink ref="O53" r:id="rId155" display="https://pbs.twimg.com/profile_images/2701034445/64fd9e6e414510aa09faefbaa5ac8e7d_normal.jpeg" xr:uid="{684FE8D1-3D03-4944-9795-5955647A6C92}"/>
    <hyperlink ref="B54" r:id="rId156" display="https://twitter.com/ThoughtsToPondr" xr:uid="{75221503-AF05-491D-A398-3C52A4CAF4A5}"/>
    <hyperlink ref="E54" r:id="rId157" display="https://twitter.com/ThoughtsToPondr/status/722931299086938112" xr:uid="{00477510-12F5-4769-9F7D-B60213742CCD}"/>
    <hyperlink ref="O54" r:id="rId158" display="https://pbs.twimg.com/profile_images/693095514821255169/T33S6NtY_normal.jpg" xr:uid="{CA5087AD-A3CD-40AC-9687-FCAF27CC6FD1}"/>
    <hyperlink ref="B55" r:id="rId159" display="https://twitter.com/VCT_Tweets" xr:uid="{0BF4ECDE-42F2-49E7-B13A-4394B6731199}"/>
    <hyperlink ref="E55" r:id="rId160" display="https://twitter.com/VCT_Tweets/status/722931640859762688" xr:uid="{7780BAE3-3D27-41CE-9BAB-5160D6495159}"/>
    <hyperlink ref="O55" r:id="rId161" display="https://pbs.twimg.com/profile_images/569800899141177344/nVFLMSdb_normal.png" xr:uid="{DF95970C-3C9E-44F7-B2ED-5212EBDC5943}"/>
    <hyperlink ref="B56" r:id="rId162" display="https://twitter.com/VCT_Tweets" xr:uid="{AF0B95DB-231B-49B0-8B5A-AF2EE232BDBD}"/>
    <hyperlink ref="E56" r:id="rId163" display="https://twitter.com/VCT_Tweets/status/722931652150837248" xr:uid="{293B487A-FED3-4656-8B3F-45851C0E41CB}"/>
    <hyperlink ref="O56" r:id="rId164" display="https://pbs.twimg.com/profile_images/569800899141177344/nVFLMSdb_normal.png" xr:uid="{F11917C9-4E5E-4216-BC9E-B65ECB132F60}"/>
    <hyperlink ref="B57" r:id="rId165" display="https://twitter.com/VCT_Tweets" xr:uid="{73A7D78C-2438-4CC3-8574-FB59C1E2A8FA}"/>
    <hyperlink ref="E57" r:id="rId166" display="https://twitter.com/VCT_Tweets/status/722931662481395712" xr:uid="{D20604F6-E6D5-4293-8936-A8DECDC53538}"/>
    <hyperlink ref="O57" r:id="rId167" display="https://pbs.twimg.com/profile_images/569800899141177344/nVFLMSdb_normal.png" xr:uid="{4017FC2D-DA03-49CA-B7FC-368DA1F5DA6E}"/>
    <hyperlink ref="B58" r:id="rId168" display="https://twitter.com/VCT_Tweets" xr:uid="{FCEBEDC6-BDB5-4BC6-B018-889FAE7F670E}"/>
    <hyperlink ref="E58" r:id="rId169" display="https://twitter.com/VCT_Tweets/status/722931678117814272" xr:uid="{36B5A02F-3FE5-4FDC-BB24-8E0C8FDA1DA8}"/>
    <hyperlink ref="O58" r:id="rId170" display="https://pbs.twimg.com/profile_images/569800899141177344/nVFLMSdb_normal.png" xr:uid="{890B2B3A-F675-495B-BA09-AC23E7B7B647}"/>
    <hyperlink ref="B59" r:id="rId171" display="https://twitter.com/VCT_Tweets" xr:uid="{397BDC0F-A545-49BD-B640-53E246D56FD8}"/>
    <hyperlink ref="E59" r:id="rId172" display="https://twitter.com/VCT_Tweets/status/722931701538795520" xr:uid="{1C86627B-9972-40E9-9FD1-4CFCCAE5F1A3}"/>
    <hyperlink ref="O59" r:id="rId173" display="https://pbs.twimg.com/profile_images/569800899141177344/nVFLMSdb_normal.png" xr:uid="{5CC9B5E5-1E74-43F1-BAFE-BB2C5B1C74EC}"/>
    <hyperlink ref="B60" r:id="rId174" display="https://twitter.com/ARAinLA" xr:uid="{43039F11-A140-4927-B0E7-DAFF36018BA1}"/>
    <hyperlink ref="E60" r:id="rId175" display="https://twitter.com/ARAinLA/status/722932447688527872" xr:uid="{6A0F325D-5DAC-4D7B-86FF-8BFABDED4261}"/>
    <hyperlink ref="O60" r:id="rId176" display="https://pbs.twimg.com/profile_images/716275254285377537/osAIJRRC_normal.jpg" xr:uid="{DB64A347-DD39-49E4-8A84-1F4CB53772A5}"/>
    <hyperlink ref="B61" r:id="rId177" display="https://twitter.com/Lindsay_VW" xr:uid="{435BFE42-58EB-41BB-9B57-4A3B5636984B}"/>
    <hyperlink ref="E61" r:id="rId178" display="https://twitter.com/Lindsay_VW/status/722932557319430145" xr:uid="{BDF0DD72-A4B4-4C4B-8167-B2932A913D0D}"/>
    <hyperlink ref="O61" r:id="rId179" display="https://pbs.twimg.com/profile_images/716020780899807232/fnaRfVpE_normal.jpg" xr:uid="{AF9D7494-7F1D-4263-B02F-1C46CD2529C5}"/>
    <hyperlink ref="B62" r:id="rId180" display="https://twitter.com/VWCamperSales" xr:uid="{A2BC2426-2A75-4248-B9D2-4D6FDE031844}"/>
    <hyperlink ref="E62" r:id="rId181" display="https://twitter.com/VWCamperSales/status/722932899431841792" xr:uid="{8B91F11B-EEEF-43EC-A9D8-2FF13C4DBA48}"/>
    <hyperlink ref="F62" r:id="rId182" xr:uid="{9990D7F6-8B22-4E02-8E49-B7FA44A3944E}"/>
    <hyperlink ref="O62" r:id="rId183" display="https://pbs.twimg.com/profile_images/627949001179037696/skEBkS05_normal.jpg" xr:uid="{D316466B-7F5C-4CA2-99B7-18000529D1CC}"/>
    <hyperlink ref="B63" r:id="rId184" display="https://twitter.com/Lindsay_VW" xr:uid="{7A950DC8-944D-413B-B21E-8499744CA0EC}"/>
    <hyperlink ref="E63" r:id="rId185" display="https://twitter.com/Lindsay_VW/status/722932944357236736" xr:uid="{3E150466-552B-4345-BB9C-ACC7FB92257F}"/>
    <hyperlink ref="O63" r:id="rId186" display="https://pbs.twimg.com/profile_images/716020780899807232/fnaRfVpE_normal.jpg" xr:uid="{E18DC2DA-D20E-4423-B7A2-8C56C9C81F16}"/>
    <hyperlink ref="B64" r:id="rId187" display="https://twitter.com/SCGsoflo" xr:uid="{091E75F7-3C7D-42E6-A370-E906F5546B74}"/>
    <hyperlink ref="E64" r:id="rId188" display="https://twitter.com/SCGsoflo/status/722933093267419136" xr:uid="{9F71B685-39B2-4956-9519-88C81EA5C12A}"/>
    <hyperlink ref="O64" r:id="rId189" display="https://pbs.twimg.com/profile_images/717892743075340288/Xxt7RaLM_normal.jpg" xr:uid="{717E81A9-2967-4A3E-B3C7-35CEEA469B97}"/>
    <hyperlink ref="B65" r:id="rId190" display="https://twitter.com/1111Tony" xr:uid="{C4825C37-EF4C-4504-9675-7AFCB131E1EA}"/>
    <hyperlink ref="E65" r:id="rId191" display="https://twitter.com/1111Tony/status/722933323794923520" xr:uid="{F95F5CA3-D341-460F-99F5-3ED4D2FFF4D9}"/>
    <hyperlink ref="O65" r:id="rId192" display="https://pbs.twimg.com/profile_images/710089607652593666/xKw1qnN2_normal.jpg" xr:uid="{23A8A3ED-387C-4FBF-BE3A-BBFB849257C0}"/>
    <hyperlink ref="B66" r:id="rId193" display="https://twitter.com/JahiirHdez" xr:uid="{0E9005E6-58B5-431C-910C-5B0C12A96A41}"/>
    <hyperlink ref="E66" r:id="rId194" display="https://twitter.com/JahiirHdez/status/722933572277907456" xr:uid="{8AD79E81-CC79-4BE8-9E4B-CAD4901D5EA8}"/>
    <hyperlink ref="O66" r:id="rId195" display="https://pbs.twimg.com/profile_images/717367617393004544/YoABeH1n_normal.jpg" xr:uid="{FCBBD465-4126-43F7-8C14-8FBFCFEFCB98}"/>
    <hyperlink ref="B67" r:id="rId196" display="https://twitter.com/Ersoy_50" xr:uid="{451619B7-89A1-4CEA-B2EB-B181450BC2EC}"/>
    <hyperlink ref="E67" r:id="rId197" display="https://twitter.com/Ersoy_50/status/722935367767298048" xr:uid="{3CA725AF-8CFA-48FC-A438-1293B861EDCE}"/>
    <hyperlink ref="O67" r:id="rId198" display="https://pbs.twimg.com/profile_images/672213374206402560/QB5b3iyi_normal.jpg" xr:uid="{84BCEBEC-5E28-4DC1-88D1-B33ADDCC245A}"/>
    <hyperlink ref="B68" r:id="rId199" display="https://twitter.com/Scirocco_Tuning" xr:uid="{57C86EEB-0ACF-4A2A-AEB4-EFE2AA9BE5D1}"/>
    <hyperlink ref="E68" r:id="rId200" display="https://twitter.com/Scirocco_Tuning/status/722935495739777024" xr:uid="{A727603B-A67A-4983-8C0A-2F21007CDE74}"/>
    <hyperlink ref="O68" r:id="rId201" display="https://pbs.twimg.com/profile_images/1610421423/Image2_normal.jpg" xr:uid="{25CDBA79-92F8-423D-A913-954AEAA3FDA7}"/>
    <hyperlink ref="B69" r:id="rId202" display="https://twitter.com/MilapNPatel" xr:uid="{9B45040E-87BE-42F8-A9D9-FFA5B334FB06}"/>
    <hyperlink ref="E69" r:id="rId203" display="https://twitter.com/MilapNPatel/status/722937055190261760" xr:uid="{B1639520-5438-4A38-9859-6EBF36A00EB4}"/>
    <hyperlink ref="O69" r:id="rId204" display="https://pbs.twimg.com/profile_images/663928844462587904/sse66ZqZ_normal.jpg" xr:uid="{558F8FBD-BF0C-410A-B2BE-A5103F66B4F7}"/>
    <hyperlink ref="B70" r:id="rId205" display="https://twitter.com/drumwom" xr:uid="{EE6E3C4A-1DD1-492B-A509-26955E1C2626}"/>
    <hyperlink ref="E70" r:id="rId206" display="https://twitter.com/drumwom/status/722937521751990272" xr:uid="{FC839DE2-049C-44FE-871C-074F5BD09C77}"/>
    <hyperlink ref="O70" r:id="rId207" display="https://pbs.twimg.com/profile_images/692812370859552768/EHWF1RrL_normal.jpg" xr:uid="{E4BB2B25-066C-4BBB-987B-B155AAE681CD}"/>
    <hyperlink ref="B71" r:id="rId208" display="https://twitter.com/TimDalrymple" xr:uid="{BAEAE4C8-BC10-4C3B-8BD0-6A9296CE8868}"/>
    <hyperlink ref="E71" r:id="rId209" display="https://twitter.com/TimDalrymple/status/722937740946374658" xr:uid="{3D347C02-FF3A-4CA3-B19E-D313704E2C22}"/>
    <hyperlink ref="O71" r:id="rId210" display="https://pbs.twimg.com/profile_images/642449026361593856/RzLMorNs_normal.jpg" xr:uid="{60BA62FA-1592-4132-9305-7FB4D5EE6702}"/>
    <hyperlink ref="B72" r:id="rId211" display="https://twitter.com/techhippie" xr:uid="{A5747F67-DA81-480B-BF85-9698643D24B6}"/>
    <hyperlink ref="E72" r:id="rId212" display="https://twitter.com/techhippie/status/722937799729655810" xr:uid="{AC72D5F9-6EAD-4EA9-AE36-38A37A78E6C2}"/>
    <hyperlink ref="O72" r:id="rId213" display="https://pbs.twimg.com/profile_images/702511217793863680/lty8h9vE_normal.jpg" xr:uid="{40BDD3AE-4C7B-4295-99A5-79D10ACBCB97}"/>
    <hyperlink ref="B73" r:id="rId214" display="https://twitter.com/techhippie" xr:uid="{87303C68-6E38-45EC-BEF7-4EF499E48648}"/>
    <hyperlink ref="E73" r:id="rId215" display="https://twitter.com/techhippie/status/722937829127516160" xr:uid="{23D55C9C-20B8-4A88-89E8-AA60BE26CFFB}"/>
    <hyperlink ref="O73" r:id="rId216" display="https://pbs.twimg.com/profile_images/702511217793863680/lty8h9vE_normal.jpg" xr:uid="{2B735DF2-CD44-4AD9-AA9C-FCA3A10E6D7B}"/>
    <hyperlink ref="B74" r:id="rId217" display="https://twitter.com/techhippie" xr:uid="{1880A39E-5794-4C79-B4A5-70E08E1C1B76}"/>
    <hyperlink ref="E74" r:id="rId218" display="https://twitter.com/techhippie/status/722937850573012992" xr:uid="{935DBD4C-7E70-4A5E-A89F-81EF01115858}"/>
    <hyperlink ref="O74" r:id="rId219" display="https://pbs.twimg.com/profile_images/702511217793863680/lty8h9vE_normal.jpg" xr:uid="{94E29F84-0DA4-4ECB-87A2-AE4826C18F6D}"/>
    <hyperlink ref="B75" r:id="rId220" display="https://twitter.com/VolkswagenLatAm" xr:uid="{51512F0C-74F2-4632-850F-4777288DEC6A}"/>
    <hyperlink ref="E75" r:id="rId221" display="https://twitter.com/VolkswagenLatAm/status/722938010396794881" xr:uid="{F9194815-DBD0-45EE-AEC5-B55A3FE467FB}"/>
    <hyperlink ref="O75" r:id="rId222" display="https://pbs.twimg.com/profile_images/689835963204395008/E51dlp1H_normal.jpg" xr:uid="{5F4EFC65-94F4-4CCC-B504-3EA08DB32500}"/>
    <hyperlink ref="B76" r:id="rId223" display="https://twitter.com/EverCharge" xr:uid="{E1D96DCA-9760-4F7F-BDE7-ACFD2929274F}"/>
    <hyperlink ref="E76" r:id="rId224" display="https://twitter.com/EverCharge/status/722938033729847297" xr:uid="{C24C05AF-E292-4A21-9984-B2C3D1FA5A06}"/>
    <hyperlink ref="O76" r:id="rId225" display="https://pbs.twimg.com/profile_images/662690618221555712/8SCotH6T_normal.jpg" xr:uid="{9B81B91F-C76E-4D7A-BA9D-B343A494D29D}"/>
    <hyperlink ref="B77" r:id="rId226" display="https://twitter.com/chrispillennews" xr:uid="{042BA7E8-2CD0-4EFB-96BD-EE1ED2711C6C}"/>
    <hyperlink ref="E77" r:id="rId227" display="https://twitter.com/chrispillennews/status/722938038305861632" xr:uid="{1C5EFD28-C941-4003-97B1-E63E16267EC1}"/>
    <hyperlink ref="O77" r:id="rId228" display="https://pbs.twimg.com/profile_images/589041144027357185/LMeiK-X6_normal.jpg" xr:uid="{1022DFD0-C9C4-41CB-B2DE-5E549749072E}"/>
    <hyperlink ref="B78" r:id="rId229" display="https://twitter.com/AleGomezFabio" xr:uid="{1A820151-221C-4683-A646-F0AEEEDBA710}"/>
    <hyperlink ref="E78" r:id="rId230" display="https://twitter.com/AleGomezFabio/status/722938302077140992" xr:uid="{E4F21E69-379E-4922-80CA-84E7FE374F83}"/>
    <hyperlink ref="O78" r:id="rId231" display="https://pbs.twimg.com/profile_images/677190735326797824/thtg9vaL_normal.jpg" xr:uid="{09618B1C-C67D-43E2-A862-BA7B3365DED8}"/>
    <hyperlink ref="B79" r:id="rId232" display="https://twitter.com/fusca_elite_br" xr:uid="{7222D7E8-BC96-48FD-A9AF-972DA74F2601}"/>
    <hyperlink ref="E79" r:id="rId233" display="https://twitter.com/fusca_elite_br/status/722938468721004544" xr:uid="{7A03FEFC-B855-4904-8659-3EFC4E78D067}"/>
    <hyperlink ref="O79" r:id="rId234" display="https://pbs.twimg.com/profile_images/512597028388339712/HtMtLn2o_normal.jpeg" xr:uid="{3658C71D-4767-4B16-84B5-0AA7A103BCA0}"/>
    <hyperlink ref="B80" r:id="rId235" display="https://twitter.com/RobShiveley" xr:uid="{CA97DA4A-F4E2-4881-98F7-49E03C2161FA}"/>
    <hyperlink ref="E80" r:id="rId236" display="https://twitter.com/RobShiveley/status/722938911824179200" xr:uid="{AF464B43-173B-4100-A2C8-BE1A02A62FFB}"/>
    <hyperlink ref="O80" r:id="rId237" display="https://pbs.twimg.com/profile_images/558916397942595586/e0Be53dr_normal.jpeg" xr:uid="{139225AD-277A-4EC5-BBDE-6208F9B299CA}"/>
    <hyperlink ref="B81" r:id="rId238" display="https://twitter.com/SoyFortunato" xr:uid="{5B65EC3C-C6A5-4138-83BC-60F0B4B43518}"/>
    <hyperlink ref="E81" r:id="rId239" display="https://twitter.com/SoyFortunato/status/722939440763547648" xr:uid="{F8511BEF-4416-48DD-952D-0405DDE00E4E}"/>
    <hyperlink ref="O81" r:id="rId240" display="https://pbs.twimg.com/profile_images/660699617533829120/TpvFSk5-_normal.jpg" xr:uid="{6B627657-A688-4968-B699-9CC3CF5E0179}"/>
    <hyperlink ref="B82" r:id="rId241" display="https://twitter.com/Tkarera" xr:uid="{1BCB5C9B-B485-4CAE-B4E2-4702F05AF0D5}"/>
    <hyperlink ref="E82" r:id="rId242" display="https://twitter.com/Tkarera/status/722939635479883776" xr:uid="{A4B21729-14D8-4128-AC8B-3D07DA72DC05}"/>
    <hyperlink ref="O82" r:id="rId243" display="https://pbs.twimg.com/profile_images/2678224876/e0d50fddebcbb0ae56734edce9d553a0_normal.jpeg" xr:uid="{3B76484B-AF21-499A-B23E-7FDB9F9B14CF}"/>
    <hyperlink ref="B83" r:id="rId244" display="https://twitter.com/geek_porn_" xr:uid="{BC64AF80-6E41-4EDA-8C7F-E0D3D6D3A868}"/>
    <hyperlink ref="E83" r:id="rId245" display="https://twitter.com/geek_porn_/status/722939953479606272" xr:uid="{83EB0682-8031-4B01-9E22-896522136F84}"/>
    <hyperlink ref="O83" r:id="rId246" display="https://pbs.twimg.com/profile_images/706435215263178752/bvPrLFNY_normal.jpg" xr:uid="{3DB13A8E-83DC-45D4-93C4-A4D373B9E9B4}"/>
    <hyperlink ref="B84" r:id="rId247" display="https://twitter.com/EV_laadpalen" xr:uid="{78133427-918B-450A-A7E4-9F8EACBFF56F}"/>
    <hyperlink ref="E84" r:id="rId248" display="https://twitter.com/EV_laadpalen/status/722939975571009536" xr:uid="{5D0B2D0D-4B5E-4A45-AE0C-F90829E295E3}"/>
    <hyperlink ref="O84" r:id="rId249" display="https://pbs.twimg.com/profile_images/689196240744099840/iDXqLAHV_normal.jpg" xr:uid="{F7D9DEB8-C36E-4AC0-AC13-231CE2234151}"/>
    <hyperlink ref="B85" r:id="rId250" display="https://twitter.com/LifeBlab" xr:uid="{612DCB83-41D6-443E-916F-DEECFC66E8EA}"/>
    <hyperlink ref="E85" r:id="rId251" display="https://twitter.com/LifeBlab/status/722940069187858432" xr:uid="{A23BD81B-4EC4-41C3-A031-8C673E89617B}"/>
    <hyperlink ref="O85" r:id="rId252" display="https://pbs.twimg.com/profile_images/1247253854/lifeblab-icon6_normal.png" xr:uid="{12050DD1-B67C-46F0-B3B9-CDB56F9E56C8}"/>
    <hyperlink ref="B86" r:id="rId253" display="https://twitter.com/moteking25" xr:uid="{8DEDE11B-C989-45CA-BE08-5D8BC940CEA4}"/>
    <hyperlink ref="E86" r:id="rId254" display="https://twitter.com/moteking25/status/722940476651806723" xr:uid="{8EF703D1-5A66-4F76-8717-F6B83B216E09}"/>
    <hyperlink ref="O86" r:id="rId255" display="https://pbs.twimg.com/profile_images/695836169418899456/Z9ohOFD9_normal.jpg" xr:uid="{093E49C4-0E1D-45D4-8DD9-DECE6C66192C}"/>
    <hyperlink ref="B87" r:id="rId256" display="https://twitter.com/DubLuvTuning" xr:uid="{6CD04FFD-86C9-4D38-8AE4-CA24FBDFC637}"/>
    <hyperlink ref="E87" r:id="rId257" display="https://twitter.com/DubLuvTuning/status/722941045739253760" xr:uid="{85FE0EF6-5715-4CD4-9A2C-6338767F6B3A}"/>
    <hyperlink ref="O87" r:id="rId258" display="https://pbs.twimg.com/profile_images/378800000572104796/1de43e1cf23efb3f4101c02afad0d3b6_normal.png" xr:uid="{7B3CDBA8-2F26-4577-B113-0826EE090275}"/>
    <hyperlink ref="B88" r:id="rId259" display="https://twitter.com/VanagonNews" xr:uid="{184A0B6E-DD41-401B-85E5-2C723A26C964}"/>
    <hyperlink ref="E88" r:id="rId260" display="https://twitter.com/VanagonNews/status/722941292120924160" xr:uid="{32FD0183-6F24-48B9-AFB0-790D083C92E0}"/>
    <hyperlink ref="O88" r:id="rId261" display="https://pbs.twimg.com/profile_images/439107942877376514/dsUl4fwt_normal.jpeg" xr:uid="{FFA22381-EBFA-4CD2-B0AC-9A24748D1076}"/>
    <hyperlink ref="B89" r:id="rId262" display="https://twitter.com/TiagoJNatal" xr:uid="{55AA4A88-5673-4A02-A135-6EE3A0E612EA}"/>
    <hyperlink ref="E89" r:id="rId263" display="https://twitter.com/TiagoJNatal/status/722942364743045120" xr:uid="{60202E91-A55F-4C66-A141-83AE1FAAFEE3}"/>
    <hyperlink ref="O89" r:id="rId264" display="https://pbs.twimg.com/profile_images/643597052790861824/YcZv_OD3_normal.jpg" xr:uid="{8974667D-DD63-494D-A6E8-06CD66F6021D}"/>
    <hyperlink ref="B90" r:id="rId265" display="https://twitter.com/svperi_" xr:uid="{092A5AF2-1D53-4192-99E0-711991BB4158}"/>
    <hyperlink ref="E90" r:id="rId266" display="https://twitter.com/svperi_/status/722942420254638080" xr:uid="{7BFEA2ED-DE3C-447B-8C2B-F9A1B6A329E6}"/>
    <hyperlink ref="O90" r:id="rId267" display="https://pbs.twimg.com/profile_images/714975740178141188/wYkUoAgt_normal.jpg" xr:uid="{BA5CBCC1-44AC-42FB-BBA2-6501DBAA47A2}"/>
    <hyperlink ref="B91" r:id="rId268" display="https://twitter.com/ReevesVW" xr:uid="{23FC4813-1E0B-4439-B7E6-E2066F122595}"/>
    <hyperlink ref="E91" r:id="rId269" display="https://twitter.com/ReevesVW/status/722942442517860353" xr:uid="{7A800E66-4A99-465E-9E7A-E6EF3F6916E4}"/>
    <hyperlink ref="O91" r:id="rId270" display="https://pbs.twimg.com/profile_images/595226480394788865/NKsGZJOG_normal.png" xr:uid="{ADD23800-122B-46DF-9CB4-974158D64E7F}"/>
    <hyperlink ref="B92" r:id="rId271" display="https://twitter.com/ReevesTampa" xr:uid="{67E35C0E-BBE1-4867-ADBB-11FD812F64D4}"/>
    <hyperlink ref="E92" r:id="rId272" display="https://twitter.com/ReevesTampa/status/722942736500793344" xr:uid="{5AE1C08F-1A62-4942-94EA-357419C38D0C}"/>
    <hyperlink ref="O92" r:id="rId273" display="https://pbs.twimg.com/profile_images/2464355771/thpakh5ojb4m3fru7xm1_normal.png" xr:uid="{065C5540-8660-4F74-A9C3-E848014DDB25}"/>
    <hyperlink ref="B93" r:id="rId274" display="https://twitter.com/VolkswagenPost" xr:uid="{6391521A-7EA8-4585-8CD8-69E6261AEDC1}"/>
    <hyperlink ref="E93" r:id="rId275" display="https://twitter.com/VolkswagenPost/status/722942883096064000" xr:uid="{E1F09CBA-71F1-4B2F-9D01-18680DF9862F}"/>
    <hyperlink ref="O93" r:id="rId276" display="https://pbs.twimg.com/profile_images/530071272881803264/a_jcCmPZ_normal.png" xr:uid="{B6FA2673-35D9-4EE6-945E-8E003469BB14}"/>
    <hyperlink ref="B94" r:id="rId277" display="https://twitter.com/VolkswagenPost" xr:uid="{99EE6927-5D74-447D-888B-ADF4F4284317}"/>
    <hyperlink ref="E94" r:id="rId278" display="https://twitter.com/VolkswagenPost/status/722942883947487232" xr:uid="{775681A1-C0B4-4DAD-B1E4-BF1C041976FA}"/>
    <hyperlink ref="O94" r:id="rId279" display="https://pbs.twimg.com/profile_images/530071272881803264/a_jcCmPZ_normal.png" xr:uid="{64D83237-73E0-4372-9925-371872566CF5}"/>
    <hyperlink ref="B95" r:id="rId280" display="https://twitter.com/VolkswagenPost" xr:uid="{E2D1B5AE-01A4-4231-B5E8-EE8D9F8E2E89}"/>
    <hyperlink ref="E95" r:id="rId281" display="https://twitter.com/VolkswagenPost/status/722942890519982080" xr:uid="{0B4F415B-4975-4088-8E29-B6B33F50BEDB}"/>
    <hyperlink ref="O95" r:id="rId282" display="https://pbs.twimg.com/profile_images/530071272881803264/a_jcCmPZ_normal.png" xr:uid="{CBCF1238-7DEB-4D9A-A39B-EDD5110FE014}"/>
    <hyperlink ref="B96" r:id="rId283" display="https://twitter.com/businessanglr" xr:uid="{2C8F0D68-FB5F-44B8-8CAF-7AD29AA0E232}"/>
    <hyperlink ref="E96" r:id="rId284" display="https://twitter.com/businessanglr/status/722942936883838976" xr:uid="{9871DA74-AEEA-4039-9521-E7C74F561942}"/>
    <hyperlink ref="O96" r:id="rId285" display="https://pbs.twimg.com/profile_images/677530351833608192/lMRcVg2M_normal.png" xr:uid="{E85BB6A1-65FD-4C69-A0C4-25C956548FD5}"/>
    <hyperlink ref="B97" r:id="rId286" display="https://twitter.com/Ffyncwraig" xr:uid="{D16FBCC0-D295-471F-9A97-C735C016B82E}"/>
    <hyperlink ref="E97" r:id="rId287" display="https://twitter.com/Ffyncwraig/status/722944025473499136" xr:uid="{61964B82-821C-44CC-B4BD-6B367C951F6F}"/>
    <hyperlink ref="O97" r:id="rId288" display="https://pbs.twimg.com/profile_images/710979350984859648/6nidLcPr_normal.jpg" xr:uid="{625CEF00-73D7-49EC-B0CF-CB55E2DB8E6E}"/>
    <hyperlink ref="B98" r:id="rId289" display="https://twitter.com/moteking25" xr:uid="{D0E8F06B-1125-4A5E-8F05-DC55696D94FE}"/>
    <hyperlink ref="E98" r:id="rId290" display="https://twitter.com/moteking25/status/722945137261711360" xr:uid="{E9C9D723-7067-4946-AC02-9DA414269FF6}"/>
    <hyperlink ref="O98" r:id="rId291" display="https://pbs.twimg.com/profile_images/695836169418899456/Z9ohOFD9_normal.jpg" xr:uid="{DB17EE7C-5E88-4EC9-B092-2D559FDBF913}"/>
    <hyperlink ref="B99" r:id="rId292" display="https://twitter.com/sunpech" xr:uid="{74C4ADEA-435C-4E66-86DC-DD230FA1E935}"/>
    <hyperlink ref="E99" r:id="rId293" display="https://twitter.com/sunpech/status/722945177749336065" xr:uid="{9914EA6A-E402-4B09-A75D-4FD32AB9E21D}"/>
    <hyperlink ref="O99" r:id="rId294" display="https://pbs.twimg.com/profile_images/378800000677554410/dc50890761d211abe980eecb124e1609_normal.jpeg" xr:uid="{D104682C-11DF-4668-8045-C43032704F10}"/>
    <hyperlink ref="B100" r:id="rId295" display="https://twitter.com/PethauBachOG" xr:uid="{4D2378C5-C563-45A9-81DB-17966E17FE60}"/>
    <hyperlink ref="E100" r:id="rId296" display="https://twitter.com/PethauBachOG/status/722945249232990208" xr:uid="{DBE55F17-AA2D-43D1-B3C2-23EE6DECEF2C}"/>
    <hyperlink ref="O100" r:id="rId297" display="https://pbs.twimg.com/profile_images/722900359384064000/Fa4h47eT_normal.jpg" xr:uid="{2D400FD4-53D6-403E-BF8E-411C3A7E65C1}"/>
    <hyperlink ref="B101" r:id="rId298" display="https://twitter.com/DubLuvTuning" xr:uid="{630DF61A-CB72-4503-9D7B-EABC4FEA1171}"/>
    <hyperlink ref="E101" r:id="rId299" display="https://twitter.com/DubLuvTuning/status/722945265850785792" xr:uid="{C6EA9B67-0A70-4A7D-BD55-A7BB9857DFE0}"/>
    <hyperlink ref="O101" r:id="rId300" display="https://pbs.twimg.com/profile_images/378800000572104796/1de43e1cf23efb3f4101c02afad0d3b6_normal.png" xr:uid="{BE6193CD-8C6C-4918-BFE2-CD4A493DC89C}"/>
    <hyperlink ref="B102" r:id="rId301" display="https://twitter.com/OnlineCarReview" xr:uid="{F8841140-FE6F-43D3-A9CB-A1A9D99A2944}"/>
    <hyperlink ref="E102" r:id="rId302" display="https://twitter.com/OnlineCarReview/status/722945619082354688" xr:uid="{CE99BFBC-E67B-48FF-A2D4-EA0860C96938}"/>
    <hyperlink ref="O102" r:id="rId303" display="https://pbs.twimg.com/profile_images/652871584131092480/QA_B6SBO_normal.jpg" xr:uid="{3030CDDB-AFD9-4E5F-A39A-26CE313CE55D}"/>
    <hyperlink ref="B103" r:id="rId304" display="https://twitter.com/OnlineCarReview" xr:uid="{04AAEEF6-7B7F-4328-95D9-52E474A4AD44}"/>
    <hyperlink ref="E103" r:id="rId305" display="https://twitter.com/OnlineCarReview/status/722945620672053254" xr:uid="{CA6271C2-3719-412C-8641-E5B7A834F1AA}"/>
    <hyperlink ref="O103" r:id="rId306" display="https://pbs.twimg.com/profile_images/652871584131092480/QA_B6SBO_normal.jpg" xr:uid="{EF942D9F-E533-456B-9228-B3BF31022448}"/>
    <hyperlink ref="B104" r:id="rId307" display="https://twitter.com/OnlineCarReview" xr:uid="{95D700B8-57C0-4412-B611-998874CB7B07}"/>
    <hyperlink ref="E104" r:id="rId308" display="https://twitter.com/OnlineCarReview/status/722945622328737792" xr:uid="{C31F6F0A-52B9-4D8F-B2E3-942548E91943}"/>
    <hyperlink ref="O104" r:id="rId309" display="https://pbs.twimg.com/profile_images/652871584131092480/QA_B6SBO_normal.jpg" xr:uid="{79C4A5F1-932F-49E7-A082-8ECA166E4247}"/>
    <hyperlink ref="B105" r:id="rId310" display="https://twitter.com/VolkswagenPost" xr:uid="{B0BCE8BD-E6E3-40E1-B46E-B3AE8F5F3E70}"/>
    <hyperlink ref="E105" r:id="rId311" display="https://twitter.com/VolkswagenPost/status/722945777694158849" xr:uid="{3F4F9A19-02F9-414C-9200-055ECD76B59C}"/>
    <hyperlink ref="O105" r:id="rId312" display="https://pbs.twimg.com/profile_images/530071272881803264/a_jcCmPZ_normal.png" xr:uid="{C888E6CF-CA03-47E7-8B6D-44B71B42B570}"/>
    <hyperlink ref="B106" r:id="rId313" display="https://twitter.com/VolkswagenPost" xr:uid="{8C6CF340-5DB7-4009-9444-A1BFABD3300F}"/>
    <hyperlink ref="E106" r:id="rId314" display="https://twitter.com/VolkswagenPost/status/722945778688208898" xr:uid="{6AFA0127-6DD2-4AA4-ACED-29D8F3E41C05}"/>
    <hyperlink ref="O106" r:id="rId315" display="https://pbs.twimg.com/profile_images/530071272881803264/a_jcCmPZ_normal.png" xr:uid="{B03303BE-9E8D-4E3A-B1BC-F75DC5EA3D59}"/>
    <hyperlink ref="B107" r:id="rId316" display="https://twitter.com/VolkswagenPost" xr:uid="{85188FC6-E5F3-4265-B3BA-E1DF5351DD3E}"/>
    <hyperlink ref="E107" r:id="rId317" display="https://twitter.com/VolkswagenPost/status/722945779724193796" xr:uid="{6698D3C9-5439-450F-B8E6-CDB54AF1504F}"/>
    <hyperlink ref="O107" r:id="rId318" display="https://pbs.twimg.com/profile_images/530071272881803264/a_jcCmPZ_normal.png" xr:uid="{67E00116-E043-4960-B30B-EAC7D05F1F1E}"/>
    <hyperlink ref="B108" r:id="rId319" display="https://twitter.com/VolkswagenPost" xr:uid="{651EE1C5-C75A-4330-85DC-3C06D03E8991}"/>
    <hyperlink ref="E108" r:id="rId320" display="https://twitter.com/VolkswagenPost/status/722945780827328514" xr:uid="{359661CF-BEBC-41BD-BF4A-EA75B3BE9A0C}"/>
    <hyperlink ref="O108" r:id="rId321" display="https://pbs.twimg.com/profile_images/530071272881803264/a_jcCmPZ_normal.png" xr:uid="{740C166B-8531-4387-901A-AC66FF6FBF80}"/>
    <hyperlink ref="B109" r:id="rId322" display="https://twitter.com/VolkswagenPost" xr:uid="{F5AEB95B-6A6A-4BFD-84F0-D15E3DED96D8}"/>
    <hyperlink ref="E109" r:id="rId323" display="https://twitter.com/VolkswagenPost/status/722945781628440578" xr:uid="{064D1061-C454-46A3-A2CD-24A3F9306A93}"/>
    <hyperlink ref="O109" r:id="rId324" display="https://pbs.twimg.com/profile_images/530071272881803264/a_jcCmPZ_normal.png" xr:uid="{2C7144EE-BA06-4401-8FD7-3C7BD055F38D}"/>
    <hyperlink ref="B110" r:id="rId325" display="https://twitter.com/Baselimkara" xr:uid="{F3529789-DC64-4ED2-8CA3-F5005F935B9A}"/>
    <hyperlink ref="E110" r:id="rId326" display="https://twitter.com/Baselimkara/status/722947275685814272" xr:uid="{B8238608-1D4A-4F08-92EA-5225C01E05C6}"/>
    <hyperlink ref="O110" r:id="rId327" display="https://pbs.twimg.com/profile_images/708611847948259328/CfRQk67-_normal.jpg" xr:uid="{34ED3C0C-71AE-407F-8C9D-1AEA2FD9E71E}"/>
    <hyperlink ref="B111" r:id="rId328" display="https://twitter.com/sneev" xr:uid="{68B64E0C-4146-4DFA-BB39-54F4DB8DFF32}"/>
    <hyperlink ref="E111" r:id="rId329" display="https://twitter.com/sneev/status/722947696978317313" xr:uid="{EB234AEE-506C-4EA0-959B-E313FC1547B4}"/>
    <hyperlink ref="O111" r:id="rId330" display="https://pbs.twimg.com/profile_images/667362007910252545/H-hDAB9b_normal.jpg" xr:uid="{62AC2FD4-4608-48F9-A98B-2E442980F1EE}"/>
    <hyperlink ref="B112" r:id="rId331" display="https://twitter.com/VWCamperSales" xr:uid="{E71A5C4C-F474-4D9B-9E94-86EA5C9C1D52}"/>
    <hyperlink ref="E112" r:id="rId332" display="https://twitter.com/VWCamperSales/status/722947854336061440" xr:uid="{CC937EE4-DA20-41B3-B11F-31BA209B1B1B}"/>
    <hyperlink ref="F112" r:id="rId333" xr:uid="{F9C7AE5D-536B-4359-97F4-CD9721BFC6FC}"/>
    <hyperlink ref="O112" r:id="rId334" display="https://pbs.twimg.com/profile_images/627949001179037696/skEBkS05_normal.jpg" xr:uid="{AACAD7CE-A5A8-4D94-9049-D97DB03F9C25}"/>
    <hyperlink ref="B113" r:id="rId335" display="https://twitter.com/Appy_GeekMEX" xr:uid="{A57A9555-87B8-442A-A5D5-296C673C3EF8}"/>
    <hyperlink ref="E113" r:id="rId336" display="https://twitter.com/Appy_GeekMEX/status/722947882072936448" xr:uid="{7F27029F-1961-45CB-8519-B32D9C5B20B2}"/>
    <hyperlink ref="O113" r:id="rId337" display="https://pbs.twimg.com/profile_images/679764111144566784/ajCap2wo_normal.png" xr:uid="{D2F68A6A-0D08-4A25-9DA9-D9D5DD0D1ADD}"/>
    <hyperlink ref="B114" r:id="rId338" display="https://twitter.com/MavrickHnter" xr:uid="{88A73C16-32F5-424B-A9A1-2CA6811AD2F2}"/>
    <hyperlink ref="E114" r:id="rId339" display="https://twitter.com/MavrickHnter/status/722948262773305348" xr:uid="{BB4CBD8F-D8FD-45C5-92D7-B9DDDA67303F}"/>
    <hyperlink ref="O114" r:id="rId340" display="https://pbs.twimg.com/profile_images/677258005356916736/HRoY0ej8_normal.jpg" xr:uid="{1B98C3A7-EEC0-4667-A1AB-45E06F47BC51}"/>
    <hyperlink ref="B115" r:id="rId341" display="https://twitter.com/anchit_roy" xr:uid="{A10AE242-28E4-4781-B6D2-26DB96675BAF}"/>
    <hyperlink ref="E115" r:id="rId342" display="https://twitter.com/anchit_roy/status/722948265906466816" xr:uid="{C789CD60-B884-4C60-986A-9AB5BC2B04F6}"/>
    <hyperlink ref="O115" r:id="rId343" display="https://pbs.twimg.com/profile_images/695480363582246916/cmAcBkj9_normal.jpg" xr:uid="{6BEB1E2D-E3C9-4A99-A30A-76008A9E428F}"/>
    <hyperlink ref="B116" r:id="rId344" display="https://twitter.com/travelbykristi" xr:uid="{F2407040-A4F1-450C-8125-FA08241F0B12}"/>
    <hyperlink ref="E116" r:id="rId345" display="https://twitter.com/travelbykristi/status/722949776224952324" xr:uid="{37D89F0D-25C1-435A-82A4-1B2D665A30CE}"/>
    <hyperlink ref="O116" r:id="rId346" display="https://pbs.twimg.com/profile_images/723075772450107392/K9chUj8b_normal.jpg" xr:uid="{C2EA7D1C-7D34-490D-A5AE-B18514A24EBE}"/>
    <hyperlink ref="B117" r:id="rId347" display="https://twitter.com/panicswitch777" xr:uid="{6A5C408A-10BE-4EDE-93BA-37209E7281C6}"/>
    <hyperlink ref="E117" r:id="rId348" display="https://twitter.com/panicswitch777/status/722949791458529281" xr:uid="{FE95BDAE-60E7-46EC-B9BA-DEF670C662BA}"/>
    <hyperlink ref="O117" r:id="rId349" display="https://pbs.twimg.com/profile_images/661248829682024449/IlOGOPEg_normal.jpg" xr:uid="{094A199D-017D-4AD5-A7A7-142581015B90}"/>
    <hyperlink ref="B118" r:id="rId350" display="https://twitter.com/beetlebug1938" xr:uid="{245FB98C-1747-4050-9CE8-7EEE8FBF6D35}"/>
    <hyperlink ref="E118" r:id="rId351" display="https://twitter.com/beetlebug1938/status/722950133231534080" xr:uid="{EE6BC304-A577-4D64-9286-77338E9C7E13}"/>
    <hyperlink ref="O118" r:id="rId352" display="https://pbs.twimg.com/profile_images/718820712757215233/LXXndPTS_normal.jpg" xr:uid="{3815DDCB-4AB4-4EB8-B048-766EF4AB1B63}"/>
    <hyperlink ref="B119" r:id="rId353" display="https://twitter.com/beetlebug1938" xr:uid="{EFE5E2CB-17FB-4FD2-BD08-B60BBFA98A4E}"/>
    <hyperlink ref="E119" r:id="rId354" display="https://twitter.com/beetlebug1938/status/722950139111948289" xr:uid="{6DA3E458-AEB9-4937-8D1D-385639407DC2}"/>
    <hyperlink ref="O119" r:id="rId355" display="https://pbs.twimg.com/profile_images/718820712757215233/LXXndPTS_normal.jpg" xr:uid="{61B487A2-F295-4A29-B2FA-8E5D459BD781}"/>
    <hyperlink ref="B120" r:id="rId356" display="https://twitter.com/beetlebug1938" xr:uid="{ADCAE46A-522B-4DA9-A1FD-CC4A7D4C701B}"/>
    <hyperlink ref="E120" r:id="rId357" display="https://twitter.com/beetlebug1938/status/722950164864962560" xr:uid="{93411AF6-4492-453B-83AE-B3850F145D7D}"/>
    <hyperlink ref="O120" r:id="rId358" display="https://pbs.twimg.com/profile_images/718820712757215233/LXXndPTS_normal.jpg" xr:uid="{A2ECC30A-5AE9-4350-BD17-B3AFA2FE77B0}"/>
    <hyperlink ref="B121" r:id="rId359" display="https://twitter.com/beetlebug1938" xr:uid="{E498E83C-4B0E-4B88-BE9D-44EF763B7092}"/>
    <hyperlink ref="E121" r:id="rId360" display="https://twitter.com/beetlebug1938/status/722950172871921664" xr:uid="{C46E7257-B670-4559-A788-81ECC53286AF}"/>
    <hyperlink ref="O121" r:id="rId361" display="https://pbs.twimg.com/profile_images/718820712757215233/LXXndPTS_normal.jpg" xr:uid="{C774AEBD-EAE7-41E9-A432-3F6B2179C4C8}"/>
    <hyperlink ref="B122" r:id="rId362" display="https://twitter.com/beetlebug1938" xr:uid="{849093C2-F024-4B68-B828-A7ED16BC8F18}"/>
    <hyperlink ref="E122" r:id="rId363" display="https://twitter.com/beetlebug1938/status/722950224734490624" xr:uid="{C06EF0DA-44E1-448A-8621-27C44DBB4EEE}"/>
    <hyperlink ref="O122" r:id="rId364" display="https://pbs.twimg.com/profile_images/718820712757215233/LXXndPTS_normal.jpg" xr:uid="{A2C382B6-EE42-49EF-9572-673C02E66E6A}"/>
    <hyperlink ref="B123" r:id="rId365" display="https://twitter.com/kevdritchie" xr:uid="{97906F27-EB03-473F-953D-8CB09469ABA0}"/>
    <hyperlink ref="E123" r:id="rId366" display="https://twitter.com/kevdritchie/status/722950304870875136" xr:uid="{8BC0FD26-B93D-465B-B089-44909BAF9273}"/>
    <hyperlink ref="O123" r:id="rId367" display="https://pbs.twimg.com/profile_images/536992595621081088/MeyB4zuy_normal.jpeg" xr:uid="{15EB1C0E-FAF8-44ED-880A-D701FC002C28}"/>
    <hyperlink ref="B124" r:id="rId368" display="https://twitter.com/mgl_8" xr:uid="{50A99CC8-49A2-489A-B072-F073336CAEE8}"/>
    <hyperlink ref="E124" r:id="rId369" display="https://twitter.com/mgl_8/status/722950369127579653" xr:uid="{2FF1D881-CB97-4289-868C-AB08C4179D8C}"/>
    <hyperlink ref="O124" r:id="rId370" display="https://pbs.twimg.com/profile_images/707665258375221248/5ouE9r6w_normal.jpg" xr:uid="{8F5959FF-6CEB-44D1-B546-AE7E08B841CD}"/>
    <hyperlink ref="B125" r:id="rId371" display="https://twitter.com/bakagi" xr:uid="{E1DD87D8-B4F5-43A0-938B-46E0FA65327A}"/>
    <hyperlink ref="E125" r:id="rId372" display="https://twitter.com/bakagi/status/722951391472279553" xr:uid="{DD9D32C5-0249-4DB0-B4C9-6C0E1793E40E}"/>
    <hyperlink ref="O125" r:id="rId373" display="https://pbs.twimg.com/profile_images/720484955634200577/YteI5x1n_normal.jpg" xr:uid="{21E05820-BD81-423C-9FC6-C509D0148BEA}"/>
    <hyperlink ref="B126" r:id="rId374" display="https://twitter.com/FuscaWorld" xr:uid="{EB43FFC8-E563-4778-8FF0-ADD20E5A31A7}"/>
    <hyperlink ref="E126" r:id="rId375" display="https://twitter.com/FuscaWorld/status/722951534112284672" xr:uid="{B31BE0A4-966B-4528-BCFD-3DC92A1006CC}"/>
    <hyperlink ref="O126" r:id="rId376" display="https://pbs.twimg.com/profile_images/705780107844067328/e7O4UBNb_normal.jpg" xr:uid="{10FE9E0E-9DBB-4E6B-BF4C-A210ED68CFA8}"/>
    <hyperlink ref="B127" r:id="rId377" display="https://twitter.com/francoveas1" xr:uid="{18538A84-567E-4BAE-88C3-FF63DF445BF5}"/>
    <hyperlink ref="E127" r:id="rId378" display="https://twitter.com/francoveas1/status/722951623329386496" xr:uid="{EC123D8F-0CE7-43CB-9651-1E2AA38EDABF}"/>
    <hyperlink ref="O127" r:id="rId379" display="https://pbs.twimg.com/profile_images/714551884053356545/2ZgetQ5e_normal.jpg" xr:uid="{3727F5DE-A647-4DFC-8894-775727F5C1A4}"/>
    <hyperlink ref="B128" r:id="rId380" display="https://twitter.com/SocialMAXorg" xr:uid="{97DE4450-6308-4814-ACA6-10B7D43CF963}"/>
    <hyperlink ref="E128" r:id="rId381" display="https://twitter.com/SocialMAXorg/status/722952147952766977" xr:uid="{F8DF28A4-DDC3-4CEE-8D95-BED0CBDC2241}"/>
    <hyperlink ref="O128" r:id="rId382" display="https://pbs.twimg.com/profile_images/675744269617893376/euzFIoRi_normal.png" xr:uid="{58C5F478-00CC-4733-BE4C-56C2B8D11C28}"/>
    <hyperlink ref="B129" r:id="rId383" display="https://twitter.com/kenminesinger" xr:uid="{EE537B32-FC46-43F4-838A-79B672137490}"/>
    <hyperlink ref="E129" r:id="rId384" display="https://twitter.com/kenminesinger/status/722952222674255873" xr:uid="{D71C58D2-B126-4166-8B69-48182B5F1A28}"/>
    <hyperlink ref="O129" r:id="rId385" display="https://pbs.twimg.com/profile_images/653964889468243968/EqURjf02_normal.png" xr:uid="{1BADAB81-5BCB-432E-8480-1D2F2EE9BC66}"/>
    <hyperlink ref="B130" r:id="rId386" display="https://twitter.com/treatertweeter" xr:uid="{B44E971E-DAF2-42AB-BB12-5F8C32B35662}"/>
    <hyperlink ref="E130" r:id="rId387" display="https://twitter.com/treatertweeter/status/722952465717583872" xr:uid="{A44285CB-7F56-4D11-8389-53695E4438A4}"/>
    <hyperlink ref="O130" r:id="rId388" display="https://pbs.twimg.com/profile_images/483846203830837248/JmwSWSme_normal.jpeg" xr:uid="{06B2A310-B0EB-486F-B0A5-A715FFE5666B}"/>
    <hyperlink ref="B131" r:id="rId389" display="https://twitter.com/Manolo_Breton" xr:uid="{F827C863-0D2A-4FF2-AD7C-78F5E27BC8BD}"/>
    <hyperlink ref="E131" r:id="rId390" display="https://twitter.com/Manolo_Breton/status/722952829162258433" xr:uid="{B4134DB8-0183-41F5-B3A9-25687C07C4BF}"/>
    <hyperlink ref="O131" r:id="rId391" display="https://pbs.twimg.com/profile_images/711248931980582912/CJpAou94_normal.jpg" xr:uid="{850F4E7E-58F5-4E9C-AEBC-BD74F071377C}"/>
    <hyperlink ref="B132" r:id="rId392" display="https://twitter.com/vw_escarabajo" xr:uid="{E1B9E326-3AAC-451D-91B6-C5965CE26768}"/>
    <hyperlink ref="E132" r:id="rId393" display="https://twitter.com/vw_escarabajo/status/722953009114783744" xr:uid="{3FE31F2D-FD69-45F9-A43D-71F6FEB9D73A}"/>
    <hyperlink ref="O132" r:id="rId394" display="https://pbs.twimg.com/profile_images/2335693624/8d0zkbzviiv8pqpcupyd_normal.jpeg" xr:uid="{B15799C1-76C4-47D8-8712-5F7731887CC6}"/>
    <hyperlink ref="B133" r:id="rId395" display="https://twitter.com/srujanshinde27" xr:uid="{9F22BDCA-24A7-421C-9985-BBDFD3CE20DC}"/>
    <hyperlink ref="E133" r:id="rId396" display="https://twitter.com/srujanshinde27/status/722953219178172417" xr:uid="{C63821E8-4A32-4783-8D62-E18360132B21}"/>
    <hyperlink ref="O133" r:id="rId397" display="https://pbs.twimg.com/profile_images/720319573199704064/ZSlLVbVZ_normal.jpg" xr:uid="{76189360-A814-4EA8-8DA2-5F7B12E14317}"/>
    <hyperlink ref="B134" r:id="rId398" display="https://twitter.com/vwmaniacs" xr:uid="{6305C76E-011C-49AD-9972-D51C3CAFA785}"/>
    <hyperlink ref="E134" r:id="rId399" display="https://twitter.com/vwmaniacs/status/722953804275044352" xr:uid="{F971B400-438F-421B-B20F-BAC782C36ADD}"/>
    <hyperlink ref="O134" r:id="rId400" display="https://pbs.twimg.com/profile_images/2188709653/420231_385567048140178_106973562666196_1378230_25473722_n_normal.jpg" xr:uid="{53ED895A-5791-4924-AA17-988F7546D2F0}"/>
    <hyperlink ref="B135" r:id="rId401" display="https://twitter.com/FuscaWorld" xr:uid="{3594D4F6-5897-4A7B-B715-4E94B79A03D3}"/>
    <hyperlink ref="E135" r:id="rId402" display="https://twitter.com/FuscaWorld/status/722954285256957952" xr:uid="{E669DD64-43EE-4BF3-9CCD-5274A34D904F}"/>
    <hyperlink ref="O135" r:id="rId403" display="https://pbs.twimg.com/profile_images/705780107844067328/e7O4UBNb_normal.jpg" xr:uid="{AD998985-A31D-4456-AE99-21F84DC3C178}"/>
    <hyperlink ref="B136" r:id="rId404" display="https://twitter.com/PonziTracker" xr:uid="{53FE1D5B-8E6D-489F-B266-9BDBF0D3161E}"/>
    <hyperlink ref="E136" r:id="rId405" display="https://twitter.com/PonziTracker/status/722955483464798208" xr:uid="{1CC13FC8-7105-4DE4-9BC1-0510C5FB1405}"/>
    <hyperlink ref="O136" r:id="rId406" display="https://pbs.twimg.com/profile_images/2906819300/3cdd8998f18f70dae2fed6ded31c19b7_normal.jpeg" xr:uid="{3F66976A-143E-44F4-92EB-53E56B418454}"/>
    <hyperlink ref="B137" r:id="rId407" display="https://twitter.com/junior1980rodr" xr:uid="{AFE133DC-C8C1-4AAE-93FE-7E516905A52B}"/>
    <hyperlink ref="E137" r:id="rId408" display="https://twitter.com/junior1980rodr/status/722956076937674753" xr:uid="{421FF2F2-3601-4413-9539-A722ED4E1DC0}"/>
    <hyperlink ref="O137" r:id="rId409" display="https://pbs.twimg.com/profile_images/677356460255350785/VfTigLv2_normal.jpg" xr:uid="{6BE42E7B-570A-4CC4-8931-F44E4294609D}"/>
    <hyperlink ref="B138" r:id="rId410" display="https://twitter.com/junior1980rodr" xr:uid="{8BC80875-5856-449E-A6ED-E66B0079E6FD}"/>
    <hyperlink ref="E138" r:id="rId411" display="https://twitter.com/junior1980rodr/status/722956107992457216" xr:uid="{D1BC174F-A44D-42DA-9D53-C3D8A1FE9C8B}"/>
    <hyperlink ref="O138" r:id="rId412" display="https://pbs.twimg.com/profile_images/677356460255350785/VfTigLv2_normal.jpg" xr:uid="{A9286D03-861C-408F-92CF-3551DAB21887}"/>
    <hyperlink ref="B139" r:id="rId413" display="https://twitter.com/ertlife_press" xr:uid="{9D7B5C4A-80A5-40FA-85E1-784A0B8A1BF0}"/>
    <hyperlink ref="E139" r:id="rId414" display="https://twitter.com/ertlife_press/status/722956938833735680" xr:uid="{5ADE13B2-57AA-4186-9E20-A538CD4CA6FA}"/>
    <hyperlink ref="O139" r:id="rId415" display="https://pbs.twimg.com/profile_images/468433825815474176/TEcbgoWM_normal.png" xr:uid="{59F4C6C8-0BD7-43CE-A1EE-D8B7BB040316}"/>
    <hyperlink ref="B140" r:id="rId416" display="https://twitter.com/VAGFanArg" xr:uid="{C2B4280F-9A34-4784-B1E4-09A5513BCEC4}"/>
    <hyperlink ref="E140" r:id="rId417" display="https://twitter.com/VAGFanArg/status/722957129955450880" xr:uid="{BBAFD879-2D81-492D-8F34-D9DD040783EF}"/>
    <hyperlink ref="O140" r:id="rId418" display="https://pbs.twimg.com/profile_images/667876096088653825/FOW14Ke4_normal.jpg" xr:uid="{DF600F04-694B-4BE3-A4BA-6403DD3D5EDD}"/>
    <hyperlink ref="B141" r:id="rId419" display="https://twitter.com/gie_fer19" xr:uid="{ADEFB213-9725-4A3D-8791-4503BBE4E512}"/>
    <hyperlink ref="E141" r:id="rId420" display="https://twitter.com/gie_fer19/status/722957137291280385" xr:uid="{44B7575B-46E0-4F26-B368-813321832789}"/>
    <hyperlink ref="O141" r:id="rId421" display="https://pbs.twimg.com/profile_images/478385604686643200/7VNZabuJ_normal.jpeg" xr:uid="{A98B6F18-5BE4-400D-B2DB-2BCD1F73A4F2}"/>
    <hyperlink ref="B142" r:id="rId422" display="https://twitter.com/radioweapon" xr:uid="{5D48BAA3-1E19-475E-83F3-45B51C155CD1}"/>
    <hyperlink ref="E142" r:id="rId423" display="https://twitter.com/radioweapon/status/722957426153005056" xr:uid="{D05438FE-793F-4CB3-A324-5EA90C4A44E9}"/>
    <hyperlink ref="O142" r:id="rId424" display="https://pbs.twimg.com/profile_images/687805683958349825/KlBTeF-A_normal.jpg" xr:uid="{11A2C014-6F2C-4CAF-ABF6-11A16ECAB86A}"/>
    <hyperlink ref="B143" r:id="rId425" display="https://twitter.com/VAGFanArg" xr:uid="{0FABA8E2-822F-42A0-A590-0EB34C28C19A}"/>
    <hyperlink ref="E143" r:id="rId426" display="https://twitter.com/VAGFanArg/status/722957466753851392" xr:uid="{583F4746-58AA-4BF2-AE66-39F271A0D75B}"/>
    <hyperlink ref="O143" r:id="rId427" display="https://pbs.twimg.com/profile_images/667876096088653825/FOW14Ke4_normal.jpg" xr:uid="{17DD2E2A-508C-4C5D-902E-513817CCF747}"/>
    <hyperlink ref="B144" r:id="rId428" display="https://twitter.com/tw_teria" xr:uid="{456E6714-A9ED-4639-9BB8-DDE02054AEC7}"/>
    <hyperlink ref="E144" r:id="rId429" display="https://twitter.com/tw_teria/status/722957831901577217" xr:uid="{7B8854FB-8461-4D38-9C0B-6AEB9460A98F}"/>
    <hyperlink ref="O144" r:id="rId430" display="https://pbs.twimg.com/profile_images/686190790498897920/ZvPjcisY_normal.jpg" xr:uid="{37597FC7-674D-4AFC-B249-241CF6CB189B}"/>
    <hyperlink ref="B145" r:id="rId431" display="https://twitter.com/VAGFanArg" xr:uid="{394C023A-01F3-4292-AF95-DEC386DE1689}"/>
    <hyperlink ref="E145" r:id="rId432" display="https://twitter.com/VAGFanArg/status/722957843272339456" xr:uid="{EE3E4EA0-1AEE-4EC4-89B2-65C5A775EF29}"/>
    <hyperlink ref="O145" r:id="rId433" display="https://pbs.twimg.com/profile_images/667876096088653825/FOW14Ke4_normal.jpg" xr:uid="{86423FDA-7770-4A35-BE23-1CEB22E7A667}"/>
    <hyperlink ref="B146" r:id="rId434" display="https://twitter.com/Jeff_Molek16v" xr:uid="{5AF30C9F-18EA-4119-8DD0-B784940F2716}"/>
    <hyperlink ref="E146" r:id="rId435" display="https://twitter.com/Jeff_Molek16v/status/722958427274633216" xr:uid="{77B65C32-1549-4850-94F6-3E7E661A813A}"/>
    <hyperlink ref="O146" r:id="rId436" display="https://pbs.twimg.com/profile_images/697477577301233664/WcI9GrNZ_normal.jpg" xr:uid="{B26993CD-7683-43C7-AA16-3C801B2150F4}"/>
    <hyperlink ref="B147" r:id="rId437" display="https://twitter.com/caroltpsworld" xr:uid="{BB2F5C3D-C25E-455F-9317-23915898CB11}"/>
    <hyperlink ref="E147" r:id="rId438" display="https://twitter.com/caroltpsworld/status/722958815142928385" xr:uid="{85896E30-7DCF-432D-A3B4-ADE0263FA7C9}"/>
    <hyperlink ref="O147" r:id="rId439" display="https://pbs.twimg.com/profile_images/670346825421840384/5FH2v0cM_normal.jpg" xr:uid="{D84FE52D-1430-4ACC-B175-7652F46AB7A2}"/>
    <hyperlink ref="B148" r:id="rId440" display="https://twitter.com/Rymilledge32" xr:uid="{096A5BB0-AFFD-48F1-B36B-D1ECB8FF9B15}"/>
    <hyperlink ref="E148" r:id="rId441" display="https://twitter.com/Rymilledge32/status/722959257897832449" xr:uid="{7DB85035-2CF4-48D2-A6E0-CAE0E57C3540}"/>
    <hyperlink ref="O148" r:id="rId442" display="https://pbs.twimg.com/profile_images/686683642509307904/1_1fP8j4_normal.jpg" xr:uid="{AF3212E5-4E5C-4CEA-9ADB-7374D0444C4D}"/>
    <hyperlink ref="B149" r:id="rId443" display="https://twitter.com/nealboudette" xr:uid="{B4D6A66B-371F-4ADE-9145-25465AA39563}"/>
    <hyperlink ref="E149" r:id="rId444" display="https://twitter.com/nealboudette/status/722959705077866496" xr:uid="{5A315317-3381-4BA7-BC6F-C4EEB61D2725}"/>
    <hyperlink ref="O149" r:id="rId445" display="https://pbs.twimg.com/profile_images/714548199294418944/5p7GzpJ5_normal.jpg" xr:uid="{B3F71C19-DCF8-4B8A-AE45-7BB8C9D4887D}"/>
    <hyperlink ref="B150" r:id="rId446" display="https://twitter.com/FuscaWorld" xr:uid="{7B9012E7-7967-4907-BFB1-96C63CC52F20}"/>
    <hyperlink ref="E150" r:id="rId447" display="https://twitter.com/FuscaWorld/status/722959761768087552" xr:uid="{F432E703-5953-4379-BAC0-74E33DE8C38D}"/>
    <hyperlink ref="O150" r:id="rId448" display="https://pbs.twimg.com/profile_images/705780107844067328/e7O4UBNb_normal.jpg" xr:uid="{AB264E5B-4AA0-4192-8A96-90F47BC2A01D}"/>
    <hyperlink ref="B151" r:id="rId449" display="https://twitter.com/Scirocco_Tuning" xr:uid="{6B46CEDE-70D6-4480-998D-E6ED75422302}"/>
    <hyperlink ref="E151" r:id="rId450" display="https://twitter.com/Scirocco_Tuning/status/722960015838044161" xr:uid="{39248343-FD98-40C2-BDC7-E5F49E5B0090}"/>
    <hyperlink ref="O151" r:id="rId451" display="https://pbs.twimg.com/profile_images/1610421423/Image2_normal.jpg" xr:uid="{C3F683B1-1026-406B-BCD7-15D6224E1498}"/>
    <hyperlink ref="B152" r:id="rId452" display="https://twitter.com/MarcosOmr" xr:uid="{CD8030B9-5263-4786-9B0C-DE3A07425FA3}"/>
    <hyperlink ref="E152" r:id="rId453" display="https://twitter.com/MarcosOmr/status/722960121832169472" xr:uid="{6C5B757A-00F2-49BF-A9B7-4591C3135975}"/>
    <hyperlink ref="O152" r:id="rId454" display="https://pbs.twimg.com/profile_images/662126706174509057/SqMlQ2tO_normal.jpg" xr:uid="{B5ED3A1A-53BA-4788-82E3-FC507ACA76F4}"/>
    <hyperlink ref="B153" r:id="rId455" display="https://twitter.com/memlopes" xr:uid="{2639FBB3-B771-4686-9E49-C6F20E5A43D0}"/>
    <hyperlink ref="E153" r:id="rId456" display="https://twitter.com/memlopes/status/722960226693971969" xr:uid="{51310EDF-034F-4A3B-81E9-A7F4415E3924}"/>
    <hyperlink ref="O153" r:id="rId457" display="https://pbs.twimg.com/profile_images/615595547915849728/59myu3d6_normal.jpg" xr:uid="{91C1BF92-615E-406C-84DB-4F396B67FC44}"/>
    <hyperlink ref="B154" r:id="rId458" display="https://twitter.com/EuroshopVW" xr:uid="{B4C4DFC0-DC30-40E1-872F-56A339C0E016}"/>
    <hyperlink ref="E154" r:id="rId459" display="https://twitter.com/EuroshopVW/status/722960413277577216" xr:uid="{15622783-D7A9-4A67-AB63-F76D020012E8}"/>
    <hyperlink ref="O154" r:id="rId460" display="https://pbs.twimg.com/profile_images/502847546432049152/cWdf-yyG_normal.png" xr:uid="{BC3EF7B5-F66F-4CF0-A346-01DEF46FB166}"/>
    <hyperlink ref="B155" r:id="rId461" display="https://twitter.com/OnlineCarReview" xr:uid="{B6899944-25FD-4F93-ACAB-02932BDA4583}"/>
    <hyperlink ref="E155" r:id="rId462" display="https://twitter.com/OnlineCarReview/status/722960445414334465" xr:uid="{9BAFEA4F-9FEE-40A3-9DDD-7489EE6209B6}"/>
    <hyperlink ref="O155" r:id="rId463" display="https://pbs.twimg.com/profile_images/652871584131092480/QA_B6SBO_normal.jpg" xr:uid="{0B7A3719-F754-4A18-87D2-032F53FB1111}"/>
    <hyperlink ref="B156" r:id="rId464" display="https://twitter.com/OnlineCarReview" xr:uid="{C9DE54CE-74D4-4452-8F46-F94CB4F6C931}"/>
    <hyperlink ref="E156" r:id="rId465" display="https://twitter.com/OnlineCarReview/status/722960446299361281" xr:uid="{9A108845-C1B6-4D55-9AF7-982667EBA7D8}"/>
    <hyperlink ref="O156" r:id="rId466" display="https://pbs.twimg.com/profile_images/652871584131092480/QA_B6SBO_normal.jpg" xr:uid="{40BFE853-33EE-405F-BE1E-6DB59905226A}"/>
    <hyperlink ref="B157" r:id="rId467" display="https://twitter.com/OnlineCarReview" xr:uid="{D13E384F-244C-4E84-B4B9-97B8A4F39F4D}"/>
    <hyperlink ref="E157" r:id="rId468" display="https://twitter.com/OnlineCarReview/status/722960447154982912" xr:uid="{6EED9997-059C-4126-9B4C-7ED70FCDF923}"/>
    <hyperlink ref="O157" r:id="rId469" display="https://pbs.twimg.com/profile_images/652871584131092480/QA_B6SBO_normal.jpg" xr:uid="{7F2D1124-0FE2-4145-8ED2-689851DFD26D}"/>
    <hyperlink ref="B158" r:id="rId470" display="https://twitter.com/ianjbarlow" xr:uid="{9520A451-4C54-4338-87F0-DC6DC963AD6D}"/>
    <hyperlink ref="E158" r:id="rId471" display="https://twitter.com/ianjbarlow/status/722960533696045056" xr:uid="{9A76B7C0-4C0A-48CF-988F-7D36E6C4C920}"/>
    <hyperlink ref="O158" r:id="rId472" display="https://pbs.twimg.com/profile_images/540633420636778496/e4HMVsPM_normal.jpeg" xr:uid="{68A00BAB-8D04-487F-8EDD-84320A54020E}"/>
    <hyperlink ref="B159" r:id="rId473" display="https://twitter.com/ianjbarlow" xr:uid="{F5B27810-5CEF-4BB3-8949-5119754AA0EB}"/>
    <hyperlink ref="E159" r:id="rId474" display="https://twitter.com/ianjbarlow/status/722960865578766337" xr:uid="{3062FED8-7852-4746-9546-3D0054349E91}"/>
    <hyperlink ref="O159" r:id="rId475" display="https://pbs.twimg.com/profile_images/540633420636778496/e4HMVsPM_normal.jpeg" xr:uid="{9942A194-04F0-419B-A5AA-A2DDFBDE50AF}"/>
    <hyperlink ref="B160" r:id="rId476" display="https://twitter.com/richmhales" xr:uid="{6D893BBA-CDCF-4E0F-8644-B80DE43D6B46}"/>
    <hyperlink ref="E160" r:id="rId477" display="https://twitter.com/richmhales/status/722960947405557761" xr:uid="{1E9AB0D2-EB26-4D62-AF81-D16BC2C3B93B}"/>
    <hyperlink ref="O160" r:id="rId478" display="https://pbs.twimg.com/profile_images/702957547096023040/HZp77amN_normal.jpg" xr:uid="{C8B344E5-4E28-4B24-B2B4-1DD9C7BE9BFB}"/>
    <hyperlink ref="B161" r:id="rId479" display="https://twitter.com/JasonSmeall" xr:uid="{91367F3E-F0CF-4FE0-98C0-D00B94F8FE6B}"/>
    <hyperlink ref="E161" r:id="rId480" display="https://twitter.com/JasonSmeall/status/722960953587863552" xr:uid="{86D3DF87-5F22-431D-A001-092FE6E6A385}"/>
    <hyperlink ref="O161" r:id="rId481" display="https://pbs.twimg.com/profile_images/418039128002154497/XgNVeCQo_normal.jpeg" xr:uid="{4921300D-BB04-469D-B8CD-4EC0E2352F64}"/>
    <hyperlink ref="B162" r:id="rId482" display="https://twitter.com/woorisec_id" xr:uid="{F1CD4A5E-BCEA-4AC2-95A3-1DFAD50D1815}"/>
    <hyperlink ref="E162" r:id="rId483" display="https://twitter.com/woorisec_id/status/722961069564518402" xr:uid="{728F1EA6-5B77-4914-8A16-D079C7871BC3}"/>
    <hyperlink ref="O162" r:id="rId484" display="https://pbs.twimg.com/profile_images/3730120577/38f3cdb921ec1540a2ef0a4898d05a43_normal.jpeg" xr:uid="{7315CB5E-EE25-486A-B8BB-0C1B358B818C}"/>
    <hyperlink ref="B163" r:id="rId485" display="https://twitter.com/ColinOsborn" xr:uid="{1DC30A47-E575-4F24-B7A1-E680551245E0}"/>
    <hyperlink ref="E163" r:id="rId486" display="https://twitter.com/ColinOsborn/status/722961139944951809" xr:uid="{D563D702-A228-44C4-9288-54625AE5E40C}"/>
    <hyperlink ref="O163" r:id="rId487" display="https://pbs.twimg.com/profile_images/621544211695820800/wK5O2s-1_normal.jpg" xr:uid="{A66E539F-5E8B-4CB7-98CD-B8378B8C5975}"/>
    <hyperlink ref="B164" r:id="rId488" display="https://twitter.com/tammysmeall" xr:uid="{84447DF3-69B8-449B-BB3B-4C350BC67CC7}"/>
    <hyperlink ref="E164" r:id="rId489" display="https://twitter.com/tammysmeall/status/722961167040262148" xr:uid="{59DB1E1E-25F2-4D01-813D-95D2B10AA09E}"/>
    <hyperlink ref="O164" r:id="rId490" display="https://pbs.twimg.com/profile_images/442823868361633792/SiajxK49_normal.jpeg" xr:uid="{656E62A0-B27A-4010-814E-616C75DD0E7A}"/>
    <hyperlink ref="B165" r:id="rId491" display="https://twitter.com/leocastillo_RA" xr:uid="{8D576992-B67F-46AF-A4A9-D801B77B0480}"/>
    <hyperlink ref="E165" r:id="rId492" display="https://twitter.com/leocastillo_RA/status/722961254399152128" xr:uid="{EE2E3F81-0499-43FF-8919-C98EC9649878}"/>
    <hyperlink ref="O165" r:id="rId493" display="https://pbs.twimg.com/profile_images/563054027936894978/MG_Z0sRE_normal.jpeg" xr:uid="{571E170C-9DC6-4C36-9331-1BF929E42064}"/>
    <hyperlink ref="B166" r:id="rId494" display="https://twitter.com/katepolivannaya" xr:uid="{A5AF48CB-CBFE-4B02-88F2-98B719486864}"/>
    <hyperlink ref="E166" r:id="rId495" display="https://twitter.com/katepolivannaya/status/722961966596272128" xr:uid="{052BB7B8-866D-4A26-9C4E-CD0D21F7FB62}"/>
    <hyperlink ref="N166" r:id="rId496" xr:uid="{B756A486-4359-4DF6-B5DB-0EC1B4C0DBAF}"/>
    <hyperlink ref="O166" r:id="rId497" display="https://pbs.twimg.com/profile_images/378800000269167545/547246c2d00fe0ade6d3db649a34a6ca_normal.jpeg" xr:uid="{8B427BE6-F4B1-46AF-986A-4FA8A4A8E5A3}"/>
    <hyperlink ref="B167" r:id="rId498" display="https://twitter.com/dejbanlaw" xr:uid="{3641F62D-B9A6-498E-A102-A61FD85E8091}"/>
    <hyperlink ref="E167" r:id="rId499" display="https://twitter.com/dejbanlaw/status/722962104697819136" xr:uid="{CDBF6263-B77B-45CC-A7F1-6888DE5FEB45}"/>
    <hyperlink ref="O167" r:id="rId500" display="https://pbs.twimg.com/profile_images/676465930424082432/zT-RyXf4_normal.jpg" xr:uid="{4E3D05B4-0859-487C-ABE4-CCA52FD3FB25}"/>
    <hyperlink ref="B168" r:id="rId501" display="https://twitter.com/greenolizer" xr:uid="{5B9F1FFC-0692-473C-AFB8-BD0279A8690C}"/>
    <hyperlink ref="E168" r:id="rId502" display="https://twitter.com/greenolizer/status/722962365080342528" xr:uid="{BC4114A9-C8E9-4DAD-9458-5748C785CAD4}"/>
    <hyperlink ref="O168" r:id="rId503" display="https://pbs.twimg.com/profile_images/516936394556452865/EVI9XNVu_normal.jpeg" xr:uid="{2ED5F173-3E2F-48D9-906E-8B9FC1F76A66}"/>
    <hyperlink ref="B169" r:id="rId504" display="https://twitter.com/Technolizer" xr:uid="{0B579008-60F8-425A-9325-466040946F17}"/>
    <hyperlink ref="E169" r:id="rId505" display="https://twitter.com/Technolizer/status/722962660111843328" xr:uid="{A7E2BDEE-FF4F-428A-8CB2-DDD8F05DC4FE}"/>
    <hyperlink ref="O169" r:id="rId506" display="https://pbs.twimg.com/profile_images/521406794015313920/-veccN5n_normal.jpeg" xr:uid="{27A564A7-49FA-480F-9181-FFF2A3AA5EDE}"/>
    <hyperlink ref="B170" r:id="rId507" display="https://twitter.com/CollectHW" xr:uid="{849219C6-125B-4722-A77E-6BBF9B0BEE65}"/>
    <hyperlink ref="E170" r:id="rId508" display="https://twitter.com/CollectHW/status/722963036017930240" xr:uid="{704C0E1A-7F00-4FB3-B658-0674A21058C0}"/>
    <hyperlink ref="O170" r:id="rId509" display="https://pbs.twimg.com/profile_images/522469771573350400/e5WjUwRr_normal.png" xr:uid="{40565BF2-968F-4CF0-A64C-B78C40FB04BE}"/>
    <hyperlink ref="B171" r:id="rId510" display="https://twitter.com/BeginTry" xr:uid="{AC64B19A-F747-4BA6-9333-FD2495DDCE8E}"/>
    <hyperlink ref="E171" r:id="rId511" display="https://twitter.com/BeginTry/status/722963787322552321" xr:uid="{6ED16D2A-06D0-467D-8008-95A32A6C3E38}"/>
    <hyperlink ref="O171" r:id="rId512" display="https://pbs.twimg.com/profile_images/663770205378736128/N0Ut9uE0_normal.jpg" xr:uid="{8C13D94E-BD16-490A-88E4-8D4DBFB6CD7A}"/>
    <hyperlink ref="B172" r:id="rId513" display="https://twitter.com/sateibank" xr:uid="{E1AF8988-92AA-46CC-A22D-43ADCC1E1822}"/>
    <hyperlink ref="E172" r:id="rId514" display="https://twitter.com/sateibank/status/722963803076329473" xr:uid="{81B06F24-50D2-44E3-B5E1-10815283522F}"/>
    <hyperlink ref="O172" r:id="rId515" display="https://pbs.twimg.com/profile_images/498644079387754496/5cUzlSkH_normal.jpeg" xr:uid="{A5D18188-CCEA-483B-8BCA-281283B9C0AB}"/>
    <hyperlink ref="B173" r:id="rId516" display="https://twitter.com/JessehTayior" xr:uid="{75952407-52BC-4A7D-BD79-485D4B4107CF}"/>
    <hyperlink ref="E173" r:id="rId517" display="https://twitter.com/JessehTayior/status/722964425892847620" xr:uid="{2CABE24D-BF1F-4CAC-8347-A56027D327B7}"/>
    <hyperlink ref="O173" r:id="rId518" display="https://pbs.twimg.com/profile_images/541542486343421953/neIUzi4a_normal.jpeg" xr:uid="{065A1928-BEE1-4289-8BA2-C76F30576E33}"/>
    <hyperlink ref="B174" r:id="rId519" display="https://twitter.com/layners3104" xr:uid="{192DD9E6-CB1C-40DB-9E3D-AF2B03047913}"/>
    <hyperlink ref="E174" r:id="rId520" display="https://twitter.com/layners3104/status/722964429386690561" xr:uid="{618DBDE3-23FE-4601-B370-96ED65C3D51F}"/>
    <hyperlink ref="O174" r:id="rId521" display="https://pbs.twimg.com/profile_images/593625099263209472/kdrPbXkm_normal.jpg" xr:uid="{F7DB7F55-081F-4B88-9E98-3BA626EB6D12}"/>
    <hyperlink ref="B175" r:id="rId522" display="https://twitter.com/CandlcePerth" xr:uid="{A5236EB7-0CAB-4EAE-8425-033CDD60987C}"/>
    <hyperlink ref="E175" r:id="rId523" display="https://twitter.com/CandlcePerth/status/722964436768690176" xr:uid="{5979D0DD-BFC8-4C98-B26C-7BEAE7F0CDE7}"/>
    <hyperlink ref="O175" r:id="rId524" display="https://pbs.twimg.com/profile_images/540345085599440897/7mWcf4cg_normal.jpeg" xr:uid="{75535CE7-E42E-478D-BEDB-18A92D604D01}"/>
    <hyperlink ref="B176" r:id="rId525" display="https://twitter.com/JesslcaLynnzi" xr:uid="{3A9250C5-DAAE-4628-972C-A007C56E3C9B}"/>
    <hyperlink ref="E176" r:id="rId526" display="https://twitter.com/JesslcaLynnzi/status/722964439906000897" xr:uid="{4C7D1704-B77F-43A4-AC07-998ADA2EF6C3}"/>
    <hyperlink ref="O176" r:id="rId527" display="https://pbs.twimg.com/profile_images/534297088927223808/POk_n10c_normal.jpeg" xr:uid="{27F1F92B-3494-4178-AFBC-3C1A3E39F37D}"/>
    <hyperlink ref="B177" r:id="rId528" display="https://twitter.com/Scoia_B" xr:uid="{DA9C3C9D-BBB5-4DF0-8BD2-6E5932CE9583}"/>
    <hyperlink ref="E177" r:id="rId529" display="https://twitter.com/Scoia_B/status/722964443714465792" xr:uid="{D4613389-2FF1-470D-87D4-BD2F74E23F90}"/>
    <hyperlink ref="O177" r:id="rId530" display="https://pbs.twimg.com/profile_images/541515485410775041/9oeSd8D2_normal.jpeg" xr:uid="{7D7E432C-396F-4998-A615-36F9577FCA97}"/>
    <hyperlink ref="B178" r:id="rId531" display="https://twitter.com/brlsbakehouse" xr:uid="{993B124E-8A4D-4488-ADAB-38F5EECB1FF2}"/>
    <hyperlink ref="E178" r:id="rId532" display="https://twitter.com/brlsbakehouse/status/722964450878345216" xr:uid="{1EFEAEA0-620C-4E5C-94E9-717460592D7C}"/>
    <hyperlink ref="O178" r:id="rId533" display="https://pbs.twimg.com/profile_images/541552509446524928/Xzuo-nea_normal.jpeg" xr:uid="{54883644-F34C-447E-9E98-C4CFA61D7217}"/>
    <hyperlink ref="B179" r:id="rId534" display="https://twitter.com/STlillgreenDK" xr:uid="{8B5A0AC0-CE97-46BF-88A7-1AFE2C80043F}"/>
    <hyperlink ref="E179" r:id="rId535" display="https://twitter.com/STlillgreenDK/status/722964473409990658" xr:uid="{105D5262-EFC2-446C-953D-0B12E14F7AB6}"/>
    <hyperlink ref="O179" r:id="rId536" display="https://pbs.twimg.com/profile_images/575826253321629696/1w4h8TgV_normal.jpeg" xr:uid="{180B2C78-C52C-4E15-913C-F6D30F1E8006}"/>
    <hyperlink ref="B180" r:id="rId537" display="https://twitter.com/R0__Sheen" xr:uid="{2E7BA5FF-A6A5-43B0-AF86-2B6E77B529C9}"/>
    <hyperlink ref="E180" r:id="rId538" display="https://twitter.com/R0__Sheen/status/722964502833147904" xr:uid="{93DDABEC-41EE-4A24-87AE-539430D4C1A8}"/>
    <hyperlink ref="O180" r:id="rId539" display="https://pbs.twimg.com/profile_images/540385969191792640/5UuttPGD_normal.jpeg" xr:uid="{6DD6472A-5D44-4C0D-AACD-91178E25C0E0}"/>
    <hyperlink ref="B181" r:id="rId540" display="https://twitter.com/jlynx2" xr:uid="{B775603A-4AC0-4A42-A4EA-2D7B8002749B}"/>
    <hyperlink ref="E181" r:id="rId541" display="https://twitter.com/jlynx2/status/722964504435408896" xr:uid="{C1A085F2-1E56-4D9B-8B8E-F630EEEEFCCF}"/>
    <hyperlink ref="O181" r:id="rId542" display="https://pbs.twimg.com/profile_images/540328313173327873/pKABtTLk_normal.jpeg" xr:uid="{147C7157-0B73-49A8-9EA5-0F37FCBD8252}"/>
    <hyperlink ref="B182" r:id="rId543" display="https://twitter.com/graspfltness" xr:uid="{3015C308-31D6-46F2-822D-05E73E89F048}"/>
    <hyperlink ref="E182" r:id="rId544" display="https://twitter.com/graspfltness/status/722964507572752384" xr:uid="{63C9FF8A-6C78-4F70-9F4A-507614B2C337}"/>
    <hyperlink ref="O182" r:id="rId545" display="https://pbs.twimg.com/profile_images/540387283837648896/IaElcjvk_normal.jpeg" xr:uid="{C4754C08-6CBB-416A-B294-0F7E4BA27718}"/>
    <hyperlink ref="B183" r:id="rId546" display="https://twitter.com/92_hss" xr:uid="{831BBAF9-AEF7-43BD-9D5F-C25C5619590F}"/>
    <hyperlink ref="E183" r:id="rId547" display="https://twitter.com/92_hss/status/722964515114065921" xr:uid="{81DBFF18-280C-4D45-B96A-B25A524E0630}"/>
    <hyperlink ref="O183" r:id="rId548" display="https://pbs.twimg.com/profile_images/539551658976743425/B9sz3A9W_normal.jpeg" xr:uid="{D9D6EB42-912D-4C06-8B67-8AD2B418585F}"/>
    <hyperlink ref="B184" r:id="rId549" display="https://twitter.com/7clemsonfan" xr:uid="{DE3D4DDD-2E4F-40C3-B4AA-EC5FCF1A0AA5}"/>
    <hyperlink ref="E184" r:id="rId550" display="https://twitter.com/7clemsonfan/status/722964528137383936" xr:uid="{5087803B-D506-47C7-B864-38CDCF2D0063}"/>
    <hyperlink ref="O184" r:id="rId551" display="https://pbs.twimg.com/profile_images/593635412611969025/nh0BGdve_normal.jpg" xr:uid="{9E7F0233-8E1B-4507-A518-A3D66BFAD978}"/>
    <hyperlink ref="B185" r:id="rId552" display="https://twitter.com/Sale6Mm" xr:uid="{A340A3FB-2321-429F-A7D4-8FA403E373F9}"/>
    <hyperlink ref="E185" r:id="rId553" display="https://twitter.com/Sale6Mm/status/722964578515202048" xr:uid="{16A3D8C9-95E1-468B-B655-EA4DCC18E1B8}"/>
    <hyperlink ref="O185" r:id="rId554" display="https://pbs.twimg.com/profile_images/539565961561767936/Vm-qjPcl_normal.jpeg" xr:uid="{FCADA4BA-5407-4FE1-AF33-4365C2EA62CA}"/>
    <hyperlink ref="B186" r:id="rId555" display="https://twitter.com/BeeB4_a" xr:uid="{F39420D1-B85D-4AD0-AA69-BA592F0C9428}"/>
    <hyperlink ref="E186" r:id="rId556" display="https://twitter.com/BeeB4_a/status/722964582646554624" xr:uid="{2F9B8928-EBA5-4219-BC36-538E880772D3}"/>
    <hyperlink ref="O186" r:id="rId557" display="https://pbs.twimg.com/profile_images/539558295070330880/coHy_qCB_normal.jpeg" xr:uid="{5BAF0334-2A75-4C6A-A523-2AE538BB53F9}"/>
    <hyperlink ref="B187" r:id="rId558" display="https://twitter.com/roscoiantuono" xr:uid="{37DA6979-EBA2-41E3-8262-1ACDE87A5F00}"/>
    <hyperlink ref="E187" r:id="rId559" display="https://twitter.com/roscoiantuono/status/722964597859340288" xr:uid="{D61FFA16-06C4-4515-82D6-D6AD0E43DDCF}"/>
    <hyperlink ref="O187" r:id="rId560" display="https://pbs.twimg.com/profile_images/540363354230239232/gFNlJxme_normal.jpeg" xr:uid="{DECC64C8-4D95-44EB-A70B-0CA135A335C5}"/>
    <hyperlink ref="B188" r:id="rId561" display="https://twitter.com/LoyalBoy_Flness" xr:uid="{9283A95C-A24F-4896-B8BE-BA0BD4433F74}"/>
    <hyperlink ref="E188" r:id="rId562" display="https://twitter.com/LoyalBoy_Flness/status/722964606902276096" xr:uid="{DB0C8B4B-29EC-4F26-A2ED-A6458C038649}"/>
    <hyperlink ref="O188" r:id="rId563" display="https://pbs.twimg.com/profile_images/534269939948220416/vqcFp_cA_normal.jpeg" xr:uid="{E49B8F12-1EEB-427F-8EA0-C866B0A4551F}"/>
    <hyperlink ref="B189" r:id="rId564" display="https://twitter.com/VaienzuelaBecky" xr:uid="{E727BBFA-D7A1-4603-9CE1-F7ABC9E9BB4D}"/>
    <hyperlink ref="E189" r:id="rId565" display="https://twitter.com/VaienzuelaBecky/status/722964609871806464" xr:uid="{727B81FF-6C9A-4443-AF0F-D8624C8424AF}"/>
    <hyperlink ref="O189" r:id="rId566" display="https://pbs.twimg.com/profile_images/540356626348531712/weH0Y1fr_normal.jpeg" xr:uid="{7A9A0D00-1C39-4FA4-A196-4395A4213095}"/>
    <hyperlink ref="B190" r:id="rId567" display="https://twitter.com/dejbanlaw" xr:uid="{9DD6170B-3B3B-499C-818B-D4187D3EC180}"/>
    <hyperlink ref="E190" r:id="rId568" display="https://twitter.com/dejbanlaw/status/722964692402991105" xr:uid="{17AA04FC-CF7E-4390-97C7-B8F4F2164256}"/>
    <hyperlink ref="O190" r:id="rId569" display="https://pbs.twimg.com/profile_images/676465930424082432/zT-RyXf4_normal.jpg" xr:uid="{720B629C-7405-4E78-B712-C5F0E8C171AB}"/>
    <hyperlink ref="B191" r:id="rId570" display="https://twitter.com/FlemingtonAudi" xr:uid="{31A9B599-2268-4904-B6EB-B20092EDFC60}"/>
    <hyperlink ref="E191" r:id="rId571" display="https://twitter.com/FlemingtonAudi/status/722964876864438272" xr:uid="{043D6383-5FC3-4553-AB87-EDB8B3598313}"/>
    <hyperlink ref="O191" r:id="rId572" display="https://pbs.twimg.com/profile_images/710856857213145088/7Ub_HbSX_normal.jpg" xr:uid="{099D9A90-A952-4DB3-BEF2-7EEA5FA5047F}"/>
    <hyperlink ref="B192" r:id="rId573" display="https://twitter.com/eimshiba" xr:uid="{7205F122-7351-49AB-B1B5-08E2F45EA62C}"/>
    <hyperlink ref="E192" r:id="rId574" display="https://twitter.com/eimshiba/status/722964987661029377" xr:uid="{70144262-A1B5-40BE-9F28-9DBC4CEACE6A}"/>
    <hyperlink ref="O192" r:id="rId575" display="https://pbs.twimg.com/profile_images/713202600439652352/v_xElP9S_normal.jpg" xr:uid="{E69B7208-CC14-49AA-9A68-4BBC7FC8A964}"/>
    <hyperlink ref="B193" r:id="rId576" display="https://twitter.com/HethedudejohndK" xr:uid="{4DB1667A-1714-43AA-B507-7648884ACA36}"/>
    <hyperlink ref="E193" r:id="rId577" display="https://twitter.com/HethedudejohndK/status/722966401451880448" xr:uid="{8E3C4B7B-0075-49A5-9C99-F19AE46C83FD}"/>
    <hyperlink ref="O193" r:id="rId578" display="https://pbs.twimg.com/profile_images/575849222290870273/cidU1uD3_normal.jpeg" xr:uid="{9E92D319-1334-4CD4-B797-479C4B48B9E2}"/>
    <hyperlink ref="B194" r:id="rId579" display="https://twitter.com/ghcj" xr:uid="{22454BF4-25BB-44ED-B235-80B66271B4EB}"/>
    <hyperlink ref="E194" r:id="rId580" display="https://twitter.com/ghcj/status/722966411887288320" xr:uid="{1CC8A743-04E7-46AB-B772-6D6CB6BD09AB}"/>
    <hyperlink ref="O194" r:id="rId581" display="https://pbs.twimg.com/profile_images/318679564/ghcj-logo-lg_normal.png" xr:uid="{DF44C3FD-4641-48FA-8A88-86C2D9AA95DA}"/>
    <hyperlink ref="B195" r:id="rId582" display="https://twitter.com/UJwowhowfunoD" xr:uid="{34411FE9-6D67-462E-911B-E8BE0A8A45F9}"/>
    <hyperlink ref="E195" r:id="rId583" display="https://twitter.com/UJwowhowfunoD/status/722966843695095810" xr:uid="{ABC5F0FC-7340-4DC9-BA35-263BF5F47950}"/>
    <hyperlink ref="O195" r:id="rId584" display="https://pbs.twimg.com/profile_images/575834977293619200/Jd4bmLaE_normal.jpeg" xr:uid="{05709A8B-3562-42D9-ADA1-A35F31B3D150}"/>
    <hyperlink ref="B196" r:id="rId585" display="https://twitter.com/qkWippitGuud2h" xr:uid="{83731DEF-78A9-4DD0-9BFB-0144E50635B1}"/>
    <hyperlink ref="E196" r:id="rId586" display="https://twitter.com/qkWippitGuud2h/status/722966904390881281" xr:uid="{C2FCC219-4423-41CF-9D62-AB476990CABC}"/>
    <hyperlink ref="O196" r:id="rId587" display="https://pbs.twimg.com/profile_images/575856103205957633/jJGILf4m_normal.jpeg" xr:uid="{06DB30F6-B230-47FB-86ED-5BCE49E420B9}"/>
    <hyperlink ref="B197" r:id="rId588" display="https://twitter.com/scottnewell" xr:uid="{DFD0C57B-3077-4FAC-AD8B-B568354B1570}"/>
    <hyperlink ref="E197" r:id="rId589" display="https://twitter.com/scottnewell/status/722966986917969923" xr:uid="{63A11C32-CE31-40FE-B1E2-2425B4242E75}"/>
    <hyperlink ref="O197" r:id="rId590" display="https://pbs.twimg.com/profile_images/647823655095762944/mgzxBFUI_normal.jpg" xr:uid="{DCBB4C08-F211-42AE-8F8F-92BE8C8BAD37}"/>
    <hyperlink ref="B198" r:id="rId591" display="https://twitter.com/techhippie" xr:uid="{7733FE86-BE97-4013-8C1F-8AFA480232C0}"/>
    <hyperlink ref="E198" r:id="rId592" display="https://twitter.com/techhippie/status/722967018702561281" xr:uid="{075F9266-BB93-40C8-86A4-98E23E406858}"/>
    <hyperlink ref="O198" r:id="rId593" display="https://pbs.twimg.com/profile_images/702511217793863680/lty8h9vE_normal.jpg" xr:uid="{126692A4-6832-4D1B-BD7C-CA1629776C16}"/>
    <hyperlink ref="B199" r:id="rId594" display="https://twitter.com/techhippie" xr:uid="{9F221502-99A9-4EBF-920C-51693874D64C}"/>
    <hyperlink ref="E199" r:id="rId595" display="https://twitter.com/techhippie/status/722967028479479808" xr:uid="{80B07528-40BA-48FF-B406-F60049371952}"/>
    <hyperlink ref="O199" r:id="rId596" display="https://pbs.twimg.com/profile_images/702511217793863680/lty8h9vE_normal.jpg" xr:uid="{C924155D-3D9E-48D7-8FC6-FEBF159FC878}"/>
    <hyperlink ref="B200" r:id="rId597" display="https://twitter.com/techhippie" xr:uid="{9E605FB0-FB02-413F-BE16-2F0F7ABDA8BC}"/>
    <hyperlink ref="E200" r:id="rId598" display="https://twitter.com/techhippie/status/722967039506264064" xr:uid="{2F7367B5-381D-413C-B865-691709D488C0}"/>
    <hyperlink ref="O200" r:id="rId599" display="https://pbs.twimg.com/profile_images/702511217793863680/lty8h9vE_normal.jpg" xr:uid="{4B14DD48-C2E5-49F1-A867-DC366FFDF114}"/>
    <hyperlink ref="B201" r:id="rId600" display="https://twitter.com/techhippie" xr:uid="{60D3E3EE-0E61-4BFF-B8BA-4B1E7F9DDED8}"/>
    <hyperlink ref="E201" r:id="rId601" display="https://twitter.com/techhippie/status/722967047143989248" xr:uid="{03341F73-8F9F-463F-ABFD-66A9D1B6CCE3}"/>
    <hyperlink ref="O201" r:id="rId602" display="https://pbs.twimg.com/profile_images/702511217793863680/lty8h9vE_normal.jpg" xr:uid="{4ACC1F78-D4ED-445C-BAC3-6B4B8877DB71}"/>
    <hyperlink ref="B202" r:id="rId603" display="https://twitter.com/techhippie" xr:uid="{5BA87528-DC56-4929-B650-D6B37D5FB7F0}"/>
    <hyperlink ref="E202" r:id="rId604" display="https://twitter.com/techhippie/status/722967069319434242" xr:uid="{1F467BC2-C906-4771-9811-F6FBBD1D1523}"/>
    <hyperlink ref="O202" r:id="rId605" display="https://pbs.twimg.com/profile_images/702511217793863680/lty8h9vE_normal.jpg" xr:uid="{28193175-CB15-4AD5-91C4-1358D1F12BB3}"/>
    <hyperlink ref="B203" r:id="rId606" display="https://twitter.com/jullaanfarias" xr:uid="{E243B2A8-AD42-4751-9B97-D2813AFF0E09}"/>
    <hyperlink ref="E203" r:id="rId607" display="https://twitter.com/jullaanfarias/status/722967273808498688" xr:uid="{8DC2CF10-C0DD-41AB-9D93-E8DBDDFB7EFE}"/>
    <hyperlink ref="O203" r:id="rId608" display="https://pbs.twimg.com/profile_images/539572612972937216/Sj07yqK2_normal.jpeg" xr:uid="{F7CE0042-8FCC-4AF0-8446-238FBE2D93EC}"/>
    <hyperlink ref="B204" r:id="rId609" display="https://twitter.com/phoebejane41" xr:uid="{D7A27BF1-6FB7-4B1E-A2ED-90CD9418C4AD}"/>
    <hyperlink ref="E204" r:id="rId610" display="https://twitter.com/phoebejane41/status/722967275909840896" xr:uid="{81B6009D-21DA-4E59-BEF6-8E943035FB93}"/>
    <hyperlink ref="O204" r:id="rId611" display="https://pbs.twimg.com/profile_images/540346259656421376/_11gzx3X_normal.jpeg" xr:uid="{FEE1E06A-215F-42F2-8CE1-FD8E67E34879}"/>
    <hyperlink ref="B205" r:id="rId612" display="https://twitter.com/RoyalPark_7ever" xr:uid="{B9116924-5FC7-4BF5-9BAF-C3E036BEE3AD}"/>
    <hyperlink ref="E205" r:id="rId613" display="https://twitter.com/RoyalPark_7ever/status/722967299473457153" xr:uid="{23BA59D4-D2A7-4EAB-9B0E-ACD4645D3808}"/>
    <hyperlink ref="O205" r:id="rId614" display="https://pbs.twimg.com/profile_images/540350900318269440/eTgbhGfp_normal.png" xr:uid="{268778B1-F381-4A1D-A4F1-72FC6E5DF754}"/>
    <hyperlink ref="B206" r:id="rId615" display="https://twitter.com/De4nShabs" xr:uid="{1E154F5D-505E-4CB7-A4FE-9C4C3906931A}"/>
    <hyperlink ref="E206" r:id="rId616" display="https://twitter.com/De4nShabs/status/722967352283942912" xr:uid="{116F583E-34D0-4B73-AB28-B96ECCC7BEE5}"/>
    <hyperlink ref="O206" r:id="rId617" display="https://pbs.twimg.com/profile_images/541540793627205632/O4JShlmM_normal.jpeg" xr:uid="{11AD8D48-6F84-4FBF-9EC9-94597CE05977}"/>
    <hyperlink ref="B207" r:id="rId618" display="https://twitter.com/m4ssagepeng" xr:uid="{02AA9270-AD54-44DE-9B2C-F7376723E54F}"/>
    <hyperlink ref="E207" r:id="rId619" display="https://twitter.com/m4ssagepeng/status/722967369832894464" xr:uid="{94DFD26E-AA4D-4E6B-996F-8E56D2CE1533}"/>
    <hyperlink ref="O207" r:id="rId620" display="https://pbs.twimg.com/profile_images/541536694131240960/G0sIh0GK_normal.jpeg" xr:uid="{A5183D7F-B094-4F5B-8D50-6ECA220AC014}"/>
    <hyperlink ref="B208" r:id="rId621" display="https://twitter.com/tksoftawremy" xr:uid="{97564024-23FD-4C69-AF5D-72E9893CF669}"/>
    <hyperlink ref="E208" r:id="rId622" display="https://twitter.com/tksoftawremy/status/722967402003066880" xr:uid="{140799FD-61FB-4E20-9F9C-B79483FCCD33}"/>
    <hyperlink ref="O208" r:id="rId623" display="https://pbs.twimg.com/profile_images/575809548591632384/bWtfu4WY_normal.jpeg" xr:uid="{E26A72F6-C969-492D-91CD-768106A13123}"/>
    <hyperlink ref="B209" r:id="rId624" display="https://twitter.com/lucysmlthYNWA" xr:uid="{7FF910D5-3314-404D-9056-4C6EFB8A77C3}"/>
    <hyperlink ref="E209" r:id="rId625" display="https://twitter.com/lucysmlthYNWA/status/722967477265817600" xr:uid="{91F547C0-652E-4146-83B9-67746F3B72BE}"/>
    <hyperlink ref="O209" r:id="rId626" display="https://pbs.twimg.com/profile_images/541530057865715713/JvQroOW1_normal.png" xr:uid="{31FE6D5D-297C-4F73-BB7A-201EEAC8FC71}"/>
    <hyperlink ref="B210" r:id="rId627" display="https://twitter.com/libertyjemima19" xr:uid="{2C7EE7FB-5702-4760-B2EF-39590E0E725E}"/>
    <hyperlink ref="E210" r:id="rId628" display="https://twitter.com/libertyjemima19/status/722967493887799297" xr:uid="{62C822AC-D888-46A4-B4E7-BA71520FF500}"/>
    <hyperlink ref="O210" r:id="rId629" display="https://pbs.twimg.com/profile_images/541561976821137408/poMKmbeF_normal.jpeg" xr:uid="{16D08A41-EB0D-4A33-84E6-ECEDF0F7E2DC}"/>
    <hyperlink ref="B211" r:id="rId630" display="https://twitter.com/_lamShunnKilla" xr:uid="{C749D796-F250-445D-98E6-7953D9A1DB5E}"/>
    <hyperlink ref="E211" r:id="rId631" display="https://twitter.com/_lamShunnKilla/status/722967533486268416" xr:uid="{AA21EDB0-FF2C-4F82-A355-901CC12CEF23}"/>
    <hyperlink ref="O211" r:id="rId632" display="https://pbs.twimg.com/profile_images/594576957766938628/bo7inS3P_normal.jpg" xr:uid="{F2E7AAF5-E24B-4070-A127-B870CFBE58E8}"/>
    <hyperlink ref="B212" r:id="rId633" display="https://twitter.com/lEnmanuelSoy" xr:uid="{EF3E9AF7-EE56-4520-8F5A-CDE02F7F2906}"/>
    <hyperlink ref="E212" r:id="rId634" display="https://twitter.com/lEnmanuelSoy/status/722967546987724801" xr:uid="{7466D5C0-1659-401B-B2AB-DACA46DFD649}"/>
    <hyperlink ref="O212" r:id="rId635" display="https://pbs.twimg.com/profile_images/539623645472382976/nUD-8CHL_normal.jpeg" xr:uid="{BF95595A-00CC-43D3-A654-EBD4B8F3953E}"/>
    <hyperlink ref="B213" r:id="rId636" display="https://twitter.com/pllyylunaa" xr:uid="{135EDE22-7B8B-4030-8183-A94E20ACF47A}"/>
    <hyperlink ref="E213" r:id="rId637" display="https://twitter.com/pllyylunaa/status/722967550494150656" xr:uid="{DE45A36E-BD23-46E1-9CEB-152C0B9207B9}"/>
    <hyperlink ref="O213" r:id="rId638" display="https://pbs.twimg.com/profile_images/539577814849437696/QHRg5xVu_normal.jpeg" xr:uid="{93042A0D-8AAB-4950-BF5E-64D842EB65E9}"/>
    <hyperlink ref="B214" r:id="rId639" display="https://twitter.com/rawanAlhalda" xr:uid="{6305FB67-647D-4DF3-BD9A-0502A130E5D7}"/>
    <hyperlink ref="E214" r:id="rId640" display="https://twitter.com/rawanAlhalda/status/722967569360130050" xr:uid="{86C02F2A-22B8-46C7-B84E-0680F5BF1D50}"/>
    <hyperlink ref="O214" r:id="rId641" display="https://pbs.twimg.com/profile_images/539569923677515776/IcX_j1kg_normal.jpeg" xr:uid="{74A3FE3B-44AB-4199-9E7F-D522AAAA1719}"/>
    <hyperlink ref="B215" r:id="rId642" display="https://twitter.com/LarlsaLewis" xr:uid="{6262BA93-F2DA-4C1A-A0BF-8A70A98EF575}"/>
    <hyperlink ref="E215" r:id="rId643" display="https://twitter.com/LarlsaLewis/status/722967576997847041" xr:uid="{BC443AAA-50BB-456B-91D1-E43169C0BB01}"/>
    <hyperlink ref="O215" r:id="rId644" display="https://pbs.twimg.com/profile_images/541552311894429696/3viUU7gh_normal.jpeg" xr:uid="{0A6FB848-9189-4810-854A-C2166F009224}"/>
    <hyperlink ref="B216" r:id="rId645" display="https://twitter.com/thenoosavolce" xr:uid="{5F8D1073-541C-4228-A456-1F9572E8F1CD}"/>
    <hyperlink ref="E216" r:id="rId646" display="https://twitter.com/thenoosavolce/status/722967623135289344" xr:uid="{3B97C457-0C72-4E9F-82E3-B8A627E4AD0E}"/>
    <hyperlink ref="O216" r:id="rId647" display="https://pbs.twimg.com/profile_images/540357243083190272/2nP7G2Hg_normal.jpeg" xr:uid="{7EA353DE-1F68-4FB9-BC9A-BF688F5F0799}"/>
    <hyperlink ref="B217" r:id="rId648" display="https://twitter.com/Caaml_Castroo" xr:uid="{04FA55C5-F2C9-43B0-B3E8-45791DFADBBE}"/>
    <hyperlink ref="E217" r:id="rId649" display="https://twitter.com/Caaml_Castroo/status/722967646480785408" xr:uid="{FA43B5A8-D0F7-4893-B112-5E9A199A91FF}"/>
    <hyperlink ref="O217" r:id="rId650" display="https://pbs.twimg.com/profile_images/539618617701462016/FEGxTnUy_normal.jpeg" xr:uid="{2D6093E6-9160-419F-82A1-DD661EB59A6D}"/>
    <hyperlink ref="B218" r:id="rId651" display="https://twitter.com/alfredlsdope" xr:uid="{B0F75741-E4C3-4727-A33D-76F00A987AA8}"/>
    <hyperlink ref="E218" r:id="rId652" display="https://twitter.com/alfredlsdope/status/722967676654628865" xr:uid="{9B8F859C-8F38-4CD0-9535-43638BB52A30}"/>
    <hyperlink ref="O218" r:id="rId653" display="https://pbs.twimg.com/profile_images/534282352097497088/deVA6mCF_normal.jpeg" xr:uid="{9264A1B1-BF84-4DB6-88A9-9F8F4781DAD0}"/>
    <hyperlink ref="B219" r:id="rId654" display="https://twitter.com/TheoChrls" xr:uid="{1DB85E9B-8B77-439F-A422-1C16D91A3A8D}"/>
    <hyperlink ref="E219" r:id="rId655" display="https://twitter.com/TheoChrls/status/722967795374383104" xr:uid="{39EEDD70-2505-4013-B65B-ED08E6125F96}"/>
    <hyperlink ref="O219" r:id="rId656" display="https://pbs.twimg.com/profile_images/541550089299574784/VpUrf3na_normal.png" xr:uid="{6B195E34-2D9D-40FB-88F9-F67BEE5A4089}"/>
    <hyperlink ref="B220" r:id="rId657" display="https://twitter.com/Bella_marlah" xr:uid="{422C7BB0-A7E7-4CC1-9EDB-70F329329A05}"/>
    <hyperlink ref="E220" r:id="rId658" display="https://twitter.com/Bella_marlah/status/722967812097073152" xr:uid="{251B9B5A-FA3F-485A-9F85-EE7B92D6E9E0}"/>
    <hyperlink ref="O220" r:id="rId659" display="https://pbs.twimg.com/profile_images/594581818139123712/ddlH54WT_normal.jpg" xr:uid="{26FFFA95-57C2-4883-A8D4-B252A91880C5}"/>
    <hyperlink ref="B221" r:id="rId660" display="https://twitter.com/Heipmestagram" xr:uid="{48758340-E769-45A0-830B-BDB2ED0636FF}"/>
    <hyperlink ref="E221" r:id="rId661" display="https://twitter.com/Heipmestagram/status/722967883882618880" xr:uid="{63CB35A2-6640-479A-B8A3-A3242D34A04C}"/>
    <hyperlink ref="O221" r:id="rId662" display="https://pbs.twimg.com/profile_images/534286982751731712/AbQ3hQiy_normal.jpeg" xr:uid="{A6BC1A9F-089B-47A9-B92B-09D89DF1AB13}"/>
    <hyperlink ref="B222" r:id="rId663" display="https://twitter.com/m0hsaqr" xr:uid="{A8FC2FBF-8BF5-4CD1-B501-6EE55829D820}"/>
    <hyperlink ref="E222" r:id="rId664" display="https://twitter.com/m0hsaqr/status/722967898801758208" xr:uid="{B3A37293-F837-4CC8-BBF9-F6EC1964B0C1}"/>
    <hyperlink ref="O222" r:id="rId665" display="https://pbs.twimg.com/profile_images/539559893074984961/1N3X2rAJ_normal.jpeg" xr:uid="{B25497C9-FD79-4DC3-847A-0616C35D6140}"/>
    <hyperlink ref="B223" r:id="rId666" display="https://twitter.com/__BOMBSHEiLbby" xr:uid="{94F32E4C-7051-4825-9A61-E8CE4AD0FE1C}"/>
    <hyperlink ref="E223" r:id="rId667" display="https://twitter.com/__BOMBSHEiLbby/status/722967903406948352" xr:uid="{478CF97A-3DFE-474D-BFCF-6FD4CF1749F2}"/>
    <hyperlink ref="O223" r:id="rId668" display="https://pbs.twimg.com/profile_images/594587097240973312/P8uIFMEX_normal.jpg" xr:uid="{4CF2DD20-9FBE-4923-B05B-7959BBED8DF2}"/>
    <hyperlink ref="B224" r:id="rId669" display="https://twitter.com/LarryStrlpperss" xr:uid="{580F10AF-B33E-43DB-8A1F-930711946860}"/>
    <hyperlink ref="E224" r:id="rId670" display="https://twitter.com/LarryStrlpperss/status/722968000664592384" xr:uid="{4AE2F326-3911-4A93-B90F-F61881073AA4}"/>
    <hyperlink ref="O224" r:id="rId671" display="https://pbs.twimg.com/profile_images/539633253410676736/DtSkKCOz_normal.jpeg" xr:uid="{A4E42E78-BA22-4C09-913A-ADA3A60D9EBC}"/>
    <hyperlink ref="B225" r:id="rId672" display="https://twitter.com/Shellieqqi" xr:uid="{3DCDFE26-B866-43DE-B577-AE4016B4EC68}"/>
    <hyperlink ref="E225" r:id="rId673" display="https://twitter.com/Shellieqqi/status/722968019660595200" xr:uid="{73158180-3EC0-44A8-8C90-B549F68B9109}"/>
    <hyperlink ref="O225" r:id="rId674" display="https://pbs.twimg.com/profile_images/1692784653/1309160708_normal.jpg" xr:uid="{93011AB3-F154-426B-A046-7E4160A1D955}"/>
    <hyperlink ref="B226" r:id="rId675" display="https://twitter.com/TomWhitham52" xr:uid="{7D755E51-B987-4A3C-A357-054EA1BF9BCB}"/>
    <hyperlink ref="E226" r:id="rId676" display="https://twitter.com/TomWhitham52/status/722968023385145344" xr:uid="{4E00C22F-E215-44AE-B916-5E72E5E0AB69}"/>
    <hyperlink ref="O226" r:id="rId677" display="https://pbs.twimg.com/profile_images/541534403026255872/hdzM4epT_normal.jpeg" xr:uid="{BFD1CD46-97D1-402D-B7ED-975DB75B46D1}"/>
    <hyperlink ref="B227" r:id="rId678" display="https://twitter.com/jas0nrbakker" xr:uid="{A1999E3F-0286-4A3F-BB10-055057CF6EA3}"/>
    <hyperlink ref="E227" r:id="rId679" display="https://twitter.com/jas0nrbakker/status/722968049326907392" xr:uid="{B090377C-CD9B-472D-84F5-B4C8CE724FF9}"/>
    <hyperlink ref="O227" r:id="rId680" display="https://pbs.twimg.com/profile_images/540352265794895872/hMgxU1jI_normal.png" xr:uid="{C832047A-81E4-4696-9F71-8F5B0FC50626}"/>
    <hyperlink ref="B228" r:id="rId681" display="https://twitter.com/Kathy_GarclaBri" xr:uid="{D49BB83B-11D8-4897-BD29-B89DE4207C9C}"/>
    <hyperlink ref="E228" r:id="rId682" display="https://twitter.com/Kathy_GarclaBri/status/722968050841096192" xr:uid="{80AFA728-7569-416D-A0C6-33652F898B31}"/>
    <hyperlink ref="O228" r:id="rId683" display="https://pbs.twimg.com/profile_images/539583451138359297/0bXaMGer_normal.png" xr:uid="{737A3DA0-DB5B-40B5-A959-136BA5435B5D}"/>
    <hyperlink ref="B229" r:id="rId684" display="https://twitter.com/lrajcohen" xr:uid="{F3011586-8C3F-49B2-9D56-1A864664D55D}"/>
    <hyperlink ref="E229" r:id="rId685" display="https://twitter.com/lrajcohen/status/722968082344452096" xr:uid="{54BCF25E-328D-46DB-9BA9-BDC62268BF66}"/>
    <hyperlink ref="O229" r:id="rId686" display="https://pbs.twimg.com/profile_images/594572458465693696/zQRqAxeS_normal.jpg" xr:uid="{0DE379CE-5F2F-45BE-9E4C-94E45AC730A2}"/>
    <hyperlink ref="B230" r:id="rId687" display="https://twitter.com/iMeme_74" xr:uid="{94F87D68-0A1A-4455-809C-94B46B1FBA13}"/>
    <hyperlink ref="E230" r:id="rId688" display="https://twitter.com/iMeme_74/status/722968084487757824" xr:uid="{48F66B71-EB34-4354-BBDB-9DA3B10E4522}"/>
    <hyperlink ref="O230" r:id="rId689" display="https://pbs.twimg.com/profile_images/539563909066534912/CSDVZnPV_normal.jpeg" xr:uid="{9E063327-21C5-47AB-939D-070CD1342184}"/>
    <hyperlink ref="B231" r:id="rId690" display="https://twitter.com/zvpdublQa" xr:uid="{93EB4B09-0AF7-4CB6-B01E-F325A28FCD80}"/>
    <hyperlink ref="E231" r:id="rId691" display="https://twitter.com/zvpdublQa/status/722968153932730368" xr:uid="{7D891CFA-BB69-4E58-955E-051681024974}"/>
    <hyperlink ref="O231" r:id="rId692" display="https://pbs.twimg.com/profile_images/577167647520858112/iO9LRVe4_normal.jpeg" xr:uid="{E75814CE-FF68-4F24-BD25-90D3E5321576}"/>
    <hyperlink ref="B232" r:id="rId693" display="https://twitter.com/BarboobraB" xr:uid="{0900E7AE-0FF7-4050-8CCE-8E6B633F33DB}"/>
    <hyperlink ref="E232" r:id="rId694" display="https://twitter.com/BarboobraB/status/722968187852210176" xr:uid="{21C1CDD5-7864-4B7A-A536-0EEEB4FD7118}"/>
    <hyperlink ref="O232" r:id="rId695" display="https://pbs.twimg.com/profile_images/568180812365824000/UV_KgHoo_normal.jpeg" xr:uid="{79FE090B-9274-4839-B8D8-4267BED8FB6E}"/>
    <hyperlink ref="B233" r:id="rId696" display="https://twitter.com/VWKennesaw" xr:uid="{91ED9AFF-2543-400B-9A98-467D57B20D78}"/>
    <hyperlink ref="E233" r:id="rId697" display="https://twitter.com/VWKennesaw/status/722968223730262017" xr:uid="{62D32C24-12D2-4C80-BE6B-4D90DA9EF315}"/>
    <hyperlink ref="O233" r:id="rId698" display="https://pbs.twimg.com/profile_images/3782942002/d3b9810cf47585074dba6962b97afb55_normal.jpeg" xr:uid="{0450A8F6-268E-4796-B8B0-06061AA36EBE}"/>
    <hyperlink ref="B234" r:id="rId699" display="https://twitter.com/DaddyBearForex" xr:uid="{0535C9A0-22D9-4852-BE20-CB3F57EC64E0}"/>
    <hyperlink ref="E234" r:id="rId700" display="https://twitter.com/DaddyBearForex/status/722968317057589248" xr:uid="{8AC7DFF2-C4A2-4454-9E8A-89F2E7F405D5}"/>
    <hyperlink ref="O234" r:id="rId701" display="https://pbs.twimg.com/profile_images/574254046900449280/R62v7NBc_normal.jpeg" xr:uid="{93CAA2E4-263B-447E-8B34-C03686A0640D}"/>
    <hyperlink ref="B235" r:id="rId702" display="https://twitter.com/ebaycampervans" xr:uid="{DA493D5C-6AC2-48CC-B5E8-4126C8041871}"/>
    <hyperlink ref="E235" r:id="rId703" display="https://twitter.com/ebaycampervans/status/722968486851411968" xr:uid="{0EF3825C-15FF-4B5E-9B6E-B05830AF5A3F}"/>
    <hyperlink ref="O235" r:id="rId704" display="https://pbs.twimg.com/profile_images/599357023407464449/BL9Bpo6T_normal.jpg" xr:uid="{5FAE679A-F168-4BFA-9F3E-CD84F8AE9548}"/>
    <hyperlink ref="B236" r:id="rId705" display="https://twitter.com/the1dynasty" xr:uid="{35395C88-15E7-4867-A6BC-7681C4692F70}"/>
    <hyperlink ref="E236" r:id="rId706" display="https://twitter.com/the1dynasty/status/722968719324930049" xr:uid="{73F46022-FCE3-4992-BA1A-DF20B669A012}"/>
    <hyperlink ref="O236" r:id="rId707" display="https://pbs.twimg.com/profile_images/1988153514/530284_10150767594782704_662382703_11643075_1642544757_n_normal.jpg" xr:uid="{06D628C1-4016-49A7-897A-E18F4C4B3B7A}"/>
    <hyperlink ref="P236" r:id="rId708" location="26.07754862,-80.36214814" display="http://ctrlq.org/maps/address/ - 26.07754862,-80.36214814" xr:uid="{C5F87619-A3EC-4C90-AB59-8F9597ACD0F6}"/>
    <hyperlink ref="B237" r:id="rId709" display="https://twitter.com/marcus_philipp1" xr:uid="{C87F1E7A-09DC-45D1-98FE-E385638FCA70}"/>
    <hyperlink ref="E237" r:id="rId710" display="https://twitter.com/marcus_philipp1/status/722969197626560512" xr:uid="{CD020F3A-60C1-4D93-A373-64FF9841E02A}"/>
    <hyperlink ref="O237" r:id="rId711" display="https://pbs.twimg.com/profile_images/715030110844362754/PC9gDSCU_normal.jpg" xr:uid="{86B72BC4-0267-44D4-A9A1-1E5B2E6318EE}"/>
    <hyperlink ref="B238" r:id="rId712" display="https://twitter.com/cljeremyxtjH" xr:uid="{44530480-8DF2-494B-A788-A76FC1DEB48A}"/>
    <hyperlink ref="E238" r:id="rId713" display="https://twitter.com/cljeremyxtjH/status/722969249250045952" xr:uid="{AE566F60-8F7F-49DB-9432-87EB80FDEC36}"/>
    <hyperlink ref="O238" r:id="rId714" display="https://pbs.twimg.com/profile_images/577167027292385280/oCoqTtKg_normal.jpeg" xr:uid="{6A32C53F-93B1-4E16-92D9-4CB6C3AB8CC4}"/>
    <hyperlink ref="B239" r:id="rId715" display="https://twitter.com/BeginTry" xr:uid="{B8DD67A4-F3D3-48C9-8EF4-4AA40ACD4E76}"/>
    <hyperlink ref="E239" r:id="rId716" display="https://twitter.com/BeginTry/status/722969276349435908" xr:uid="{7D8E8F64-C6B0-476C-BAF2-CDFDE3A56005}"/>
    <hyperlink ref="O239" r:id="rId717" display="https://pbs.twimg.com/profile_images/663770205378736128/N0Ut9uE0_normal.jpg" xr:uid="{D614207C-84A9-4F4A-B744-B2183A7EB7F8}"/>
    <hyperlink ref="B240" r:id="rId718" display="https://twitter.com/MalibuMoms" xr:uid="{324222DC-D7DF-4946-930A-59D3A1C13A98}"/>
    <hyperlink ref="E240" r:id="rId719" display="https://twitter.com/MalibuMoms/status/722969358725574657" xr:uid="{589DF192-1034-4FF1-BD86-AF5F52F69258}"/>
    <hyperlink ref="O240" r:id="rId720" display="https://pbs.twimg.com/profile_images/632371610276622336/i9dfhe5Q_normal.jpg" xr:uid="{33ECE1C0-88AB-4425-9391-C29BD9EEA62A}"/>
    <hyperlink ref="B241" r:id="rId721" display="https://twitter.com/wikatu" xr:uid="{33514024-5B5F-4542-87D3-F1E3E1B65BF5}"/>
    <hyperlink ref="E241" r:id="rId722" display="https://twitter.com/wikatu/status/722971068453900289" xr:uid="{A2F42D05-AF4E-401D-AD1A-AD79EB54E60E}"/>
    <hyperlink ref="O241" r:id="rId723" display="https://pbs.twimg.com/profile_images/1844337440/test_normal.gif" xr:uid="{81B22C92-401C-4556-AC60-C889B478EA24}"/>
    <hyperlink ref="B242" r:id="rId724" display="https://twitter.com/DJdsnapz" xr:uid="{24C46CA2-21E3-48DC-B3C9-E8731089D32C}"/>
    <hyperlink ref="E242" r:id="rId725" display="https://twitter.com/DJdsnapz/status/722971262151213056" xr:uid="{3F2655E5-00F4-488F-9516-68AB4C594A14}"/>
    <hyperlink ref="O242" r:id="rId726" display="https://pbs.twimg.com/profile_images/647832236000153600/O7WDz2Ei_normal.jpg" xr:uid="{6EE82042-32FB-4520-9187-A3B3E6BC144C}"/>
    <hyperlink ref="B243" r:id="rId727" display="https://twitter.com/Jeni_Melt" xr:uid="{4354C3FA-E5E5-4B2B-8ED1-44FB516DDB7E}"/>
    <hyperlink ref="E243" r:id="rId728" display="https://twitter.com/Jeni_Melt/status/722974919894552576" xr:uid="{CDFB13A5-41D5-48FA-8E06-C6186B2D60E0}"/>
    <hyperlink ref="O243" r:id="rId729" display="https://pbs.twimg.com/profile_images/682043416683745280/rn5w22XG_normal.jpg" xr:uid="{07F28FC4-7815-4F09-8BBC-83D85521579A}"/>
    <hyperlink ref="B244" r:id="rId730" display="https://twitter.com/VWCamperSales" xr:uid="{E0544641-B687-49FD-817F-990B4B24906B}"/>
    <hyperlink ref="E244" r:id="rId731" display="https://twitter.com/VWCamperSales/status/722975683572420609" xr:uid="{525D672E-B7E5-457F-A1AC-69657FCB559C}"/>
    <hyperlink ref="F244" r:id="rId732" xr:uid="{FB4CFAED-4ED0-4061-BED9-D829230BC898}"/>
    <hyperlink ref="O244" r:id="rId733" display="https://pbs.twimg.com/profile_images/627949001179037696/skEBkS05_normal.jpg" xr:uid="{4124E07C-A46A-4B23-934E-C0826E28F6C1}"/>
    <hyperlink ref="B245" r:id="rId734" display="https://twitter.com/Insight4News4" xr:uid="{6F1BB81E-D72D-4D40-9EF1-53D3845130FF}"/>
    <hyperlink ref="E245" r:id="rId735" display="https://twitter.com/Insight4News4/status/722975836438204416" xr:uid="{8D3E5F71-3B4E-45D7-906C-4591754BFC8B}"/>
    <hyperlink ref="O245" r:id="rId736" display="https://pbs.twimg.com/profile_images/580741690610311168/xyn37E4I_normal.jpg" xr:uid="{C06533F9-F96A-411C-B212-36A0C7DF61C2}"/>
    <hyperlink ref="B246" r:id="rId737" display="https://twitter.com/debossgarage" xr:uid="{A5BD9966-04CF-461C-A9DE-5AC1BFAE1411}"/>
    <hyperlink ref="E246" r:id="rId738" display="https://twitter.com/debossgarage/status/722976490409721857" xr:uid="{55428AD9-A17C-4FC3-B9B1-7ED7CE0C4BDF}"/>
    <hyperlink ref="O246" r:id="rId739" display="https://pbs.twimg.com/profile_images/567812071895490560/PohK6H-Y_normal.png" xr:uid="{A435DBDA-ACF2-4F50-8C52-DB8E9684B86C}"/>
    <hyperlink ref="B247" r:id="rId740" display="https://twitter.com/ghcj" xr:uid="{C3017D5D-E4F8-45D6-BC62-51E98EEF05DB}"/>
    <hyperlink ref="E247" r:id="rId741" display="https://twitter.com/ghcj/status/722976788972867584" xr:uid="{534CD336-06AD-4695-9E48-0DE299E9E9C5}"/>
    <hyperlink ref="O247" r:id="rId742" display="https://pbs.twimg.com/profile_images/318679564/ghcj-logo-lg_normal.png" xr:uid="{C095C23A-41F4-43D3-8910-F15C7BBA1854}"/>
    <hyperlink ref="B248" r:id="rId743" display="https://twitter.com/lamontto" xr:uid="{E1464E8D-C917-485A-86D5-419D970392AD}"/>
    <hyperlink ref="E248" r:id="rId744" display="https://twitter.com/lamontto/status/722976907571109888" xr:uid="{91F4F48F-C5E8-4DFB-82F4-C1D47D84D2D2}"/>
    <hyperlink ref="O248" r:id="rId745" display="https://pbs.twimg.com/profile_images/653334158484357120/pjDnQtCN_normal.jpg" xr:uid="{BA9EF839-B902-4FB8-AA7D-50E122D346D1}"/>
    <hyperlink ref="B249" r:id="rId746" display="https://twitter.com/Scirocco_Tuning" xr:uid="{0BAE5771-60E6-4695-8747-BAAEE384C886}"/>
    <hyperlink ref="E249" r:id="rId747" display="https://twitter.com/Scirocco_Tuning/status/722978660261761024" xr:uid="{EC07B637-2AB5-46A5-BFEE-0CBC3D1AD41A}"/>
    <hyperlink ref="O249" r:id="rId748" display="https://pbs.twimg.com/profile_images/1610421423/Image2_normal.jpg" xr:uid="{16CFC797-03CF-4608-B452-7FE582DEACE8}"/>
    <hyperlink ref="B250" r:id="rId749" display="https://twitter.com/OrlandoYurie" xr:uid="{01D82B5E-5BBE-46E0-A0CB-76D3FCEF610A}"/>
    <hyperlink ref="E250" r:id="rId750" display="https://twitter.com/OrlandoYurie/status/722979413374197760" xr:uid="{25533A38-4C8D-4C1A-ABF1-32BA66A1EA6B}"/>
    <hyperlink ref="O250" r:id="rId751" display="https://pbs.twimg.com/profile_images/717565742518894592/4GC2w_GN_normal.jpg" xr:uid="{0D44684C-BA1C-45E6-A4D7-4FF3CBC1402F}"/>
    <hyperlink ref="B251" r:id="rId752" display="https://twitter.com/OrlandoYurie" xr:uid="{8E0EDF6E-D171-4A92-8215-FD46232E2367}"/>
    <hyperlink ref="E251" r:id="rId753" display="https://twitter.com/OrlandoYurie/status/722980008910815232" xr:uid="{ECE2EA7E-129E-439F-9CF0-D4210BF4B3BB}"/>
    <hyperlink ref="O251" r:id="rId754" display="https://pbs.twimg.com/profile_images/717565742518894592/4GC2w_GN_normal.jpg" xr:uid="{615A02C9-E742-4B0F-8ECC-44FCC966146F}"/>
    <hyperlink ref="B252" r:id="rId755" display="https://twitter.com/Doubleupblood" xr:uid="{EAFDD20C-16F3-48A1-943A-FAE5A72C8ADD}"/>
    <hyperlink ref="E252" r:id="rId756" display="https://twitter.com/Doubleupblood/status/722980281922117632" xr:uid="{BDC8B0F2-1E2B-485B-8133-7C2C157D6B13}"/>
    <hyperlink ref="O252" r:id="rId757" display="https://pbs.twimg.com/profile_images/721148944915439616/UZ5XovmR_normal.jpg" xr:uid="{D3969C8A-648C-4185-963E-FE2F1AC3F343}"/>
    <hyperlink ref="B253" r:id="rId758" display="https://twitter.com/beetlebug1938" xr:uid="{D5F9FBE5-3418-4201-BF15-70F4B7790AD6}"/>
    <hyperlink ref="E253" r:id="rId759" display="https://twitter.com/beetlebug1938/status/722980447110725632" xr:uid="{507CEDC8-6495-4C96-89C0-BD5E24E0630F}"/>
    <hyperlink ref="O253" r:id="rId760" display="https://pbs.twimg.com/profile_images/718820712757215233/LXXndPTS_normal.jpg" xr:uid="{8ADEFA1A-AB69-4C43-A255-DB5F37AB4798}"/>
    <hyperlink ref="B254" r:id="rId761" display="https://twitter.com/beetlebug1938" xr:uid="{BBD48C2B-DF52-4952-8D4D-3C67134445F2}"/>
    <hyperlink ref="E254" r:id="rId762" display="https://twitter.com/beetlebug1938/status/722980497756971012" xr:uid="{21DB0AA4-5B20-4D71-9506-0E306B370311}"/>
    <hyperlink ref="O254" r:id="rId763" display="https://pbs.twimg.com/profile_images/718820712757215233/LXXndPTS_normal.jpg" xr:uid="{8BB9A783-06F2-45E9-9FB5-79FEDFCF9D51}"/>
    <hyperlink ref="B255" r:id="rId764" display="https://twitter.com/beetlebug1938" xr:uid="{E42B76C2-EFDB-4225-9679-3B8EDD29A866}"/>
    <hyperlink ref="E255" r:id="rId765" display="https://twitter.com/beetlebug1938/status/722980510226604032" xr:uid="{B8DEC8B2-3A92-43C7-9164-F17287835A76}"/>
    <hyperlink ref="O255" r:id="rId766" display="https://pbs.twimg.com/profile_images/718820712757215233/LXXndPTS_normal.jpg" xr:uid="{8A0D8769-B6F6-4537-BA24-35BAFCB31175}"/>
    <hyperlink ref="B256" r:id="rId767" display="https://twitter.com/beetlebug1938" xr:uid="{544447AD-A79E-407F-8A90-0417BBFED783}"/>
    <hyperlink ref="E256" r:id="rId768" display="https://twitter.com/beetlebug1938/status/722980523170246656" xr:uid="{CDA8B13F-0FAE-4539-9CC5-BE0EEA7E2F9A}"/>
    <hyperlink ref="O256" r:id="rId769" display="https://pbs.twimg.com/profile_images/718820712757215233/LXXndPTS_normal.jpg" xr:uid="{844F8FAE-6E4E-4F1D-B804-CE45B9ABB91B}"/>
    <hyperlink ref="B257" r:id="rId770" display="https://twitter.com/beetlebug1938" xr:uid="{1ECE77F4-F9B1-4303-8943-89E5BA1FA55E}"/>
    <hyperlink ref="E257" r:id="rId771" display="https://twitter.com/beetlebug1938/status/722980542988357632" xr:uid="{7C0C5DD8-D738-4DC7-A98C-5FE591CC35BA}"/>
    <hyperlink ref="O257" r:id="rId772" display="https://pbs.twimg.com/profile_images/718820712757215233/LXXndPTS_normal.jpg" xr:uid="{B7E7ECD8-5EA0-4E80-B8B3-BECAC2052670}"/>
    <hyperlink ref="B258" r:id="rId773" display="https://twitter.com/mellin_walter" xr:uid="{8CA8EDEC-BB1B-4AA0-ABE1-372D822DB190}"/>
    <hyperlink ref="E258" r:id="rId774" display="https://twitter.com/mellin_walter/status/722980720633737216" xr:uid="{E81A20EC-4467-4CC8-8D58-7687646D3301}"/>
    <hyperlink ref="O258" r:id="rId775" display="https://pbs.twimg.com/profile_images/720687356303400960/kGE26Ez3_normal.jpg" xr:uid="{FC9931AA-34EA-45B8-9982-E249F6A5A81F}"/>
    <hyperlink ref="B259" r:id="rId776" display="https://twitter.com/wikatu" xr:uid="{97D4860E-D761-403C-9CBA-3751D473923B}"/>
    <hyperlink ref="E259" r:id="rId777" display="https://twitter.com/wikatu/status/722981886591541248" xr:uid="{11EF7E43-61FC-4D4F-82C5-DF7CA0E56FB3}"/>
    <hyperlink ref="O259" r:id="rId778" display="https://pbs.twimg.com/profile_images/1844337440/test_normal.gif" xr:uid="{60338BAE-8FA7-4BAE-91C4-0AC69B20F876}"/>
    <hyperlink ref="B260" r:id="rId779" display="https://twitter.com/PrudhommeJeff" xr:uid="{E3D6E5BB-D0BE-4D5D-84AE-09A98AB87404}"/>
    <hyperlink ref="E260" r:id="rId780" display="https://twitter.com/PrudhommeJeff/status/722983355571142656" xr:uid="{C99F34CE-BF53-4111-A3AD-AEADA1DA2010}"/>
    <hyperlink ref="O260" r:id="rId781" display="https://pbs.twimg.com/profile_images/378800000559239980/e181a9907e282c6bcd790198e5f4161d_normal.jpeg" xr:uid="{9B8BB647-34D6-4ECD-B219-865658627542}"/>
    <hyperlink ref="B261" r:id="rId782" display="https://twitter.com/Rene03R" xr:uid="{F025E399-3B59-4462-8190-C7883C941E3A}"/>
    <hyperlink ref="E261" r:id="rId783" display="https://twitter.com/Rene03R/status/722983465952657408" xr:uid="{F857B696-FA93-4C79-A823-717FEE026AE1}"/>
    <hyperlink ref="O261" r:id="rId784" display="https://pbs.twimg.com/profile_images/705934896267571200/6L7xyc7q_normal.jpg" xr:uid="{CD4E2A5C-57D1-4CE7-B825-344966D690F5}"/>
    <hyperlink ref="B262" r:id="rId785" display="https://twitter.com/bluesuezoo" xr:uid="{54BE90C3-24E6-4E6D-9784-6247EF2DC7FC}"/>
    <hyperlink ref="E262" r:id="rId786" display="https://twitter.com/bluesuezoo/status/722984045148168192" xr:uid="{4A1CAD0F-8C68-4CAF-910B-82969EA55150}"/>
    <hyperlink ref="O262" r:id="rId787" display="https://pbs.twimg.com/profile_images/378800000770511910/f2717d32a14082fef01983978a41d3be_normal.jpeg" xr:uid="{ADA54629-E1A2-43F6-8231-3339B5173C28}"/>
    <hyperlink ref="B263" r:id="rId788" display="https://twitter.com/VWCamperSales" xr:uid="{339E92E8-D9D6-47D2-B915-9F1779E101AF}"/>
    <hyperlink ref="E263" r:id="rId789" display="https://twitter.com/VWCamperSales/status/722984096876498944" xr:uid="{7600C850-A515-4C24-BBFD-EDF41F7A801C}"/>
    <hyperlink ref="F263" r:id="rId790" xr:uid="{FA26C3E5-EBC8-40D5-A79D-2CD6BC04B55B}"/>
    <hyperlink ref="O263" r:id="rId791" display="https://pbs.twimg.com/profile_images/627949001179037696/skEBkS05_normal.jpg" xr:uid="{931B3503-B6BD-4D54-A163-77DED30B7E63}"/>
    <hyperlink ref="B264" r:id="rId792" display="https://twitter.com/Julliooos" xr:uid="{52C5C45D-806D-49A9-89F2-06F79198383E}"/>
    <hyperlink ref="E264" r:id="rId793" display="https://twitter.com/Julliooos/status/722984338036387840" xr:uid="{9805EEC6-03DC-4091-AF19-CDDF1940C28E}"/>
    <hyperlink ref="O264" r:id="rId794" display="https://pbs.twimg.com/profile_images/649256068443439104/oCfaia9Q_normal.png" xr:uid="{53618200-2244-478B-99AE-AB084EA9B3D0}"/>
    <hyperlink ref="B265" r:id="rId795" display="https://twitter.com/MotoAuxilio" xr:uid="{255204DB-E14A-4215-A00D-4AFFFD7EA63A}"/>
    <hyperlink ref="E265" r:id="rId796" display="https://twitter.com/MotoAuxilio/status/722984424699101184" xr:uid="{D05D961A-7495-400A-B678-029B1EB7E10E}"/>
    <hyperlink ref="O265" r:id="rId797" display="https://pbs.twimg.com/profile_images/613401628050243585/Xz2SCzIZ_normal.jpg" xr:uid="{0A440D02-835F-4F19-8BDB-600F0C274191}"/>
    <hyperlink ref="B266" r:id="rId798" display="https://twitter.com/Co_Virgini" xr:uid="{CE47673D-F99C-4B66-84A8-7B7379D07CF4}"/>
    <hyperlink ref="E266" r:id="rId799" display="https://twitter.com/Co_Virgini/status/722985172426219522" xr:uid="{DBFE79D4-5AC6-4189-93F1-CD60F32BD1DA}"/>
    <hyperlink ref="O266" r:id="rId800" display="https://pbs.twimg.com/profile_images/714558246435090432/6Ua0IUf__normal.jpg" xr:uid="{C67153C5-3DF4-4B87-8021-D99933BBF568}"/>
    <hyperlink ref="B267" r:id="rId801" display="https://twitter.com/VanagonNews" xr:uid="{8FC1E23E-D02D-4841-86C4-378555B845C6}"/>
    <hyperlink ref="E267" r:id="rId802" display="https://twitter.com/VanagonNews/status/722985629634560001" xr:uid="{347C4C63-16F0-48BA-B6A4-CC223EBD56B9}"/>
    <hyperlink ref="O267" r:id="rId803" display="https://pbs.twimg.com/profile_images/439107942877376514/dsUl4fwt_normal.jpeg" xr:uid="{84AACC7A-12C5-4B7F-8CDF-FCCF3F7F1383}"/>
    <hyperlink ref="B268" r:id="rId804" display="https://twitter.com/stefanmeierfkw" xr:uid="{62380FAA-5F3C-4E4B-8273-24B011CAC51B}"/>
    <hyperlink ref="E268" r:id="rId805" display="https://twitter.com/stefanmeierfkw/status/722985702590414848" xr:uid="{69640670-DC2D-41B1-A88E-769CEB46AA7C}"/>
    <hyperlink ref="O268" r:id="rId806" display="https://pbs.twimg.com/profile_images/694080257087913984/Yked6rPu_normal.jpg" xr:uid="{7FC4B3FB-EB50-42B6-B4EF-7320C3B77A0F}"/>
    <hyperlink ref="B269" r:id="rId807" display="https://twitter.com/manbitesfilm" xr:uid="{0174F1E7-0F50-4554-941A-BA8517C2B440}"/>
    <hyperlink ref="E269" r:id="rId808" display="https://twitter.com/manbitesfilm/status/722986065674424320" xr:uid="{21EB64CA-E7B8-4782-B075-EA50952C7F53}"/>
    <hyperlink ref="O269" r:id="rId809" display="https://pbs.twimg.com/profile_images/1257298211/image_normal.jpg" xr:uid="{FCECDE3A-9611-405A-B78A-4601297437AF}"/>
    <hyperlink ref="B270" r:id="rId810" display="https://twitter.com/Michael_Vasanth" xr:uid="{AE3CA060-3342-4275-BE9A-53B2756BBD69}"/>
    <hyperlink ref="E270" r:id="rId811" display="https://twitter.com/Michael_Vasanth/status/722986730773721088" xr:uid="{41A8994A-FA8C-4662-9E40-36CF5A190A5E}"/>
    <hyperlink ref="O270" r:id="rId812" display="https://pbs.twimg.com/profile_images/693447250224087040/au64Cdjo_normal.jpg" xr:uid="{D960A76F-BB5B-4288-9326-003F47E7512C}"/>
    <hyperlink ref="B271" r:id="rId813" display="https://twitter.com/darrenmorin" xr:uid="{37D88B79-9314-4872-9C13-A05A5B522CB2}"/>
    <hyperlink ref="E271" r:id="rId814" display="https://twitter.com/darrenmorin/status/722986835668946944" xr:uid="{04CC8191-554D-47F5-B26D-A294229BF353}"/>
    <hyperlink ref="O271" r:id="rId815" display="https://pbs.twimg.com/profile_images/697661303406665728/G5qdQSja_normal.jpg" xr:uid="{7CCD31D0-CBD0-408A-B958-D41333412B9E}"/>
    <hyperlink ref="B272" r:id="rId816" display="https://twitter.com/Medienspiegel_D" xr:uid="{437583E1-42E2-4B35-B23A-299C969FDC27}"/>
    <hyperlink ref="E272" r:id="rId817" display="https://twitter.com/Medienspiegel_D/status/722987476734742528" xr:uid="{826CF394-95ED-486B-B1DF-CDA77811B568}"/>
    <hyperlink ref="O272" r:id="rId818" display="https://pbs.twimg.com/profile_images/571042602321842176/i19YeFP5_normal.jpeg" xr:uid="{DE394E8A-3199-4496-A367-289F1C1B98A2}"/>
    <hyperlink ref="B273" r:id="rId819" display="https://twitter.com/StevenWeisbrot" xr:uid="{AEEDA44D-04D0-4F3C-B458-F6FEE2BFD19F}"/>
    <hyperlink ref="E273" r:id="rId820" display="https://twitter.com/StevenWeisbrot/status/722988054592557056" xr:uid="{8A5359D0-5486-4498-BEB4-78B99730C795}"/>
    <hyperlink ref="O273" r:id="rId821" display="https://pbs.twimg.com/profile_images/1444180180/StevenWeisbrot_normal.jpg" xr:uid="{7E488D46-DE46-4DDA-8A90-EC6C187FB676}"/>
    <hyperlink ref="B274" r:id="rId822" display="https://twitter.com/StevenWeisbrot" xr:uid="{677194BD-C04C-45DB-9BA1-484D6EED9244}"/>
    <hyperlink ref="E274" r:id="rId823" display="https://twitter.com/StevenWeisbrot/status/722989077251928064" xr:uid="{25FC674A-A1DE-4805-B2B0-A54C9851BA97}"/>
    <hyperlink ref="O274" r:id="rId824" display="https://pbs.twimg.com/profile_images/1444180180/StevenWeisbrot_normal.jpg" xr:uid="{12D87846-43BD-4C9A-852A-1CDB11DDBE8E}"/>
    <hyperlink ref="B275" r:id="rId825" display="https://twitter.com/VolkswagenPost" xr:uid="{3F859A44-671F-4EB0-953B-43E31E6A386C}"/>
    <hyperlink ref="E275" r:id="rId826" display="https://twitter.com/VolkswagenPost/status/722990415410917381" xr:uid="{DA09D9CB-F917-45D0-9474-6690AA473F40}"/>
    <hyperlink ref="O275" r:id="rId827" display="https://pbs.twimg.com/profile_images/530071272881803264/a_jcCmPZ_normal.png" xr:uid="{4AF8E6B8-810A-47D4-8A3E-A8384ABDEC57}"/>
    <hyperlink ref="B276" r:id="rId828" display="https://twitter.com/VolkswagenPost" xr:uid="{C8966202-6078-4A9C-B288-399E46D2771D}"/>
    <hyperlink ref="E276" r:id="rId829" display="https://twitter.com/VolkswagenPost/status/722990416384000002" xr:uid="{82596202-EAC0-48DC-9917-7908A8687F6B}"/>
    <hyperlink ref="O276" r:id="rId830" display="https://pbs.twimg.com/profile_images/530071272881803264/a_jcCmPZ_normal.png" xr:uid="{BB60A5A7-EBF2-46B2-9229-DC0DA973CA58}"/>
    <hyperlink ref="B277" r:id="rId831" display="https://twitter.com/VolkswagenPost" xr:uid="{DFAF44C0-1455-4EA2-B524-73B3F381F636}"/>
    <hyperlink ref="E277" r:id="rId832" display="https://twitter.com/VolkswagenPost/status/722990417495482368" xr:uid="{F4BBA68A-597F-41E4-966E-19EFB7B12F4A}"/>
    <hyperlink ref="O277" r:id="rId833" display="https://pbs.twimg.com/profile_images/530071272881803264/a_jcCmPZ_normal.png" xr:uid="{4B9330F8-2A07-4895-B499-71993BC08B9F}"/>
    <hyperlink ref="B278" r:id="rId834" display="https://twitter.com/VolkswagenPost" xr:uid="{A99E7DD6-7393-45A4-9464-3B5C65AD35FC}"/>
    <hyperlink ref="E278" r:id="rId835" display="https://twitter.com/VolkswagenPost/status/722990418321805312" xr:uid="{69CF3237-7313-41F9-937D-2D5D43507A69}"/>
    <hyperlink ref="O278" r:id="rId836" display="https://pbs.twimg.com/profile_images/530071272881803264/a_jcCmPZ_normal.png" xr:uid="{BE828545-FD40-46A1-B33C-58AF9F2D24DE}"/>
    <hyperlink ref="B279" r:id="rId837" display="https://twitter.com/PanchaliH" xr:uid="{EBBE312C-2CA0-4457-A6B7-9660947A67E7}"/>
    <hyperlink ref="E279" r:id="rId838" display="https://twitter.com/PanchaliH/status/722990442082648064" xr:uid="{13F1580F-5F7E-498F-B479-96D75D435B42}"/>
    <hyperlink ref="O279" r:id="rId839" display="https://pbs.twimg.com/profile_images/707578990874247169/jW0rMsDZ_normal.jpg" xr:uid="{15479276-8F47-4793-9A5D-7C8DBC776E16}"/>
    <hyperlink ref="B280" r:id="rId840" display="https://twitter.com/VWCamperSales" xr:uid="{F826EF54-147A-4ADB-B561-D6CF84610F00}"/>
    <hyperlink ref="E280" r:id="rId841" display="https://twitter.com/VWCamperSales/status/722990524257325056" xr:uid="{94AF0776-0BF3-492B-B102-C5E1C3100462}"/>
    <hyperlink ref="F280" r:id="rId842" xr:uid="{364014A1-B07B-41DF-B41C-A571A899375D}"/>
    <hyperlink ref="O280" r:id="rId843" display="https://pbs.twimg.com/profile_images/627949001179037696/skEBkS05_normal.jpg" xr:uid="{6D1D6A49-4E9B-4D0D-A76C-FA2621F3E29E}"/>
    <hyperlink ref="B281" r:id="rId844" display="https://twitter.com/FilipKekusz" xr:uid="{3D11A65B-D528-42ED-9E7E-091916DB8E79}"/>
    <hyperlink ref="E281" r:id="rId845" display="https://twitter.com/FilipKekusz/status/722990888880771073" xr:uid="{CFFA6E84-F4C3-4335-A438-10D9E0D6BE9D}"/>
    <hyperlink ref="O281" r:id="rId846" display="https://pbs.twimg.com/profile_images/666601160581582849/wFEqPn6Y_normal.jpg" xr:uid="{8FAD77C5-DCBC-4020-BB8A-B3E7BA641104}"/>
    <hyperlink ref="B282" r:id="rId847" display="https://twitter.com/SpirosChihaia" xr:uid="{B2C9D599-3629-4BFD-AB2B-BF0B6BF74A49}"/>
    <hyperlink ref="E282" r:id="rId848" display="https://twitter.com/SpirosChihaia/status/722991199607480320" xr:uid="{0CC6C6FF-4E96-4797-9AA4-F34C6CE83E1B}"/>
    <hyperlink ref="O282" r:id="rId849" display="https://abs.twimg.com/sticky/default_profile_images/default_profile_6_normal.png" xr:uid="{B067AA55-3543-4D01-A9C7-86DFD966AFBA}"/>
    <hyperlink ref="B283" r:id="rId850" display="https://twitter.com/VWShawty" xr:uid="{6D527275-DFC0-4144-AC3F-A562C909A4EE}"/>
    <hyperlink ref="E283" r:id="rId851" display="https://twitter.com/VWShawty/status/722991783458836480" xr:uid="{FCF6E08B-379E-4F96-8630-AB03EEAB9786}"/>
    <hyperlink ref="O283" r:id="rId852" display="https://pbs.twimg.com/profile_images/718275890933809156/npH4oxJP_normal.jpg" xr:uid="{4AE4BA17-2A5F-47CB-864F-A0AF5BC9AFB8}"/>
    <hyperlink ref="B284" r:id="rId853" display="https://twitter.com/VWShawty" xr:uid="{4DC36EFD-13ED-4C51-B994-2C10B424B755}"/>
    <hyperlink ref="E284" r:id="rId854" display="https://twitter.com/VWShawty/status/722992017672945664" xr:uid="{CD0498B0-38F9-474C-B4E7-5E2918F3AEE9}"/>
    <hyperlink ref="O284" r:id="rId855" display="https://pbs.twimg.com/profile_images/718275890933809156/npH4oxJP_normal.jpg" xr:uid="{9DD37E28-6EA4-4D08-81F4-656E877006BD}"/>
    <hyperlink ref="B285" r:id="rId856" display="https://twitter.com/wingston" xr:uid="{9E318A4E-8CFE-4EAE-8277-2F1209D72DF0}"/>
    <hyperlink ref="E285" r:id="rId857" display="https://twitter.com/wingston/status/722992270375448576" xr:uid="{2A419856-A067-45E2-A363-06AC69802D9B}"/>
    <hyperlink ref="O285" r:id="rId858" display="https://pbs.twimg.com/profile_images/3537672406/190f79c88052bd5078e91796fd0fffe1_normal.jpeg" xr:uid="{6937BB16-5BD6-48AB-9F64-C66DC701070C}"/>
    <hyperlink ref="B286" r:id="rId859" display="https://twitter.com/mnyabere" xr:uid="{080D18C5-4C1A-47BF-A1A7-60D820EF46C9}"/>
    <hyperlink ref="E286" r:id="rId860" display="https://twitter.com/mnyabere/status/722994289353981953" xr:uid="{CB9971B2-CB49-47F3-A4DD-63BEC1570691}"/>
    <hyperlink ref="O286" r:id="rId861" display="https://pbs.twimg.com/profile_images/546728056795062272/5WYgxWJz_normal.jpeg" xr:uid="{B650B79C-C569-4D8F-A417-86F10DE81F2D}"/>
    <hyperlink ref="B287" r:id="rId862" display="https://twitter.com/JosueeOliveros" xr:uid="{9BE3E913-CBFE-4184-9537-3FF2E11C2694}"/>
    <hyperlink ref="E287" r:id="rId863" display="https://twitter.com/JosueeOliveros/status/722994412591173632" xr:uid="{08AF031E-A3FD-40C9-8F87-E5576E20D5C1}"/>
    <hyperlink ref="O287" r:id="rId864" display="https://pbs.twimg.com/profile_images/628000154319130624/FlHD71tD_normal.jpg" xr:uid="{5249A6E1-F846-4D69-A3D9-A27BD3127723}"/>
    <hyperlink ref="B288" r:id="rId865" display="https://twitter.com/bdebaca" xr:uid="{55E473D3-79CD-411C-A64C-A842C81835B2}"/>
    <hyperlink ref="E288" r:id="rId866" display="https://twitter.com/bdebaca/status/722994628899815424" xr:uid="{B073F3EF-3888-4277-9B94-8E2311C16FAB}"/>
    <hyperlink ref="O288" r:id="rId867" display="https://pbs.twimg.com/profile_images/690620812315865089/ghuUMy7Q_normal.jpg" xr:uid="{66622527-D6DB-4A44-82CD-89C9CCC39ED6}"/>
    <hyperlink ref="B289" r:id="rId868" display="https://twitter.com/VWCamperSales" xr:uid="{1C12BFA4-8D3A-40F8-9FB0-B1465F3CE346}"/>
    <hyperlink ref="E289" r:id="rId869" display="https://twitter.com/VWCamperSales/status/722995688192114688" xr:uid="{C15D1750-B598-4CCE-B392-51B349ED6A03}"/>
    <hyperlink ref="F289" r:id="rId870" xr:uid="{92102740-99A7-428E-9143-9C56E53399B0}"/>
    <hyperlink ref="O289" r:id="rId871" display="https://pbs.twimg.com/profile_images/627949001179037696/skEBkS05_normal.jpg" xr:uid="{DA9C9553-D660-44C3-9E3F-E43B2CE47199}"/>
    <hyperlink ref="B290" r:id="rId872" display="https://twitter.com/Zherk_kck" xr:uid="{514C3B09-7B6C-4B4B-8148-0964C4D373F2}"/>
    <hyperlink ref="E290" r:id="rId873" display="https://twitter.com/Zherk_kck/status/722995875316961280" xr:uid="{D5EDBB7A-19FA-49E3-8285-A33EFAAE3E64}"/>
    <hyperlink ref="O290" r:id="rId874" display="https://pbs.twimg.com/profile_images/697515278964543489/ctHQtnZm_normal.jpg" xr:uid="{D207422E-0DD4-4482-AC9F-FA78299FC24B}"/>
    <hyperlink ref="B291" r:id="rId875" display="https://twitter.com/sarahkaiserrr" xr:uid="{46EBC37F-F641-444E-9C97-E9B3D3CCAF13}"/>
    <hyperlink ref="E291" r:id="rId876" display="https://twitter.com/sarahkaiserrr/status/722996033916014592" xr:uid="{2AF51167-0440-4E4B-BF04-F16E9BB0A913}"/>
    <hyperlink ref="O291" r:id="rId877" display="https://pbs.twimg.com/profile_images/713802957674913792/3gNtGi6a_normal.jpg" xr:uid="{CCF4D044-0B33-46B9-903B-0007612EAE3C}"/>
    <hyperlink ref="B292" r:id="rId878" display="https://twitter.com/sarahkaiserrr" xr:uid="{183A77AA-FB92-40AB-A0CB-80D186EAD2D1}"/>
    <hyperlink ref="E292" r:id="rId879" display="https://twitter.com/sarahkaiserrr/status/722996236685467649" xr:uid="{71C2B1BC-C912-481B-92D9-3C9F5E89E7E0}"/>
    <hyperlink ref="O292" r:id="rId880" display="https://pbs.twimg.com/profile_images/713802957674913792/3gNtGi6a_normal.jpg" xr:uid="{5CB9A7C5-3AD8-4380-8520-47BFE99DAE65}"/>
    <hyperlink ref="B293" r:id="rId881" display="https://twitter.com/FredChristian10" xr:uid="{16B41569-D1C2-4635-A9A4-FB83BC4640E5}"/>
    <hyperlink ref="E293" r:id="rId882" display="https://twitter.com/FredChristian10/status/722996821119782912" xr:uid="{78CB1447-0696-4EDB-8FAA-722A1ACE748F}"/>
    <hyperlink ref="O293" r:id="rId883" display="https://pbs.twimg.com/profile_images/527635549872345088/sDHCliSk_normal.png" xr:uid="{0CAC19DC-6937-4D49-80F6-3DC7381BE9E1}"/>
    <hyperlink ref="B294" r:id="rId884" display="https://twitter.com/techhippie" xr:uid="{7FAFDCB0-ACA6-40BC-BAEB-6B0E4EB21F89}"/>
    <hyperlink ref="E294" r:id="rId885" display="https://twitter.com/techhippie/status/722997258158006272" xr:uid="{904DA097-D934-4441-B1CE-43731FF30079}"/>
    <hyperlink ref="O294" r:id="rId886" display="https://pbs.twimg.com/profile_images/702511217793863680/lty8h9vE_normal.jpg" xr:uid="{0E0BA642-8ED8-472F-BFF5-CAAB86A7C73F}"/>
    <hyperlink ref="B295" r:id="rId887" display="https://twitter.com/_SJIII" xr:uid="{EB8D37CE-B574-4E05-8AFF-9C0741223E6D}"/>
    <hyperlink ref="E295" r:id="rId888" display="https://twitter.com/_SJIII/status/722997344644390912" xr:uid="{F875EF96-C8D6-4AE7-AE9D-E11D82B81C63}"/>
    <hyperlink ref="O295" r:id="rId889" display="https://pbs.twimg.com/profile_images/717551821284245504/CiExS9tE_normal.jpg" xr:uid="{C17FAD82-73CA-4237-BAA0-B05E9FF3E84F}"/>
    <hyperlink ref="B296" r:id="rId890" display="https://twitter.com/kngeuro" xr:uid="{BA19F6E7-9B64-423C-B034-E4723EEE0F6A}"/>
    <hyperlink ref="E296" r:id="rId891" display="https://twitter.com/kngeuro/status/722998391802892288" xr:uid="{662B0A43-07F0-4CA2-9B45-EF8C097F396E}"/>
    <hyperlink ref="O296" r:id="rId892" display="https://pbs.twimg.com/profile_images/570375988065935360/ooT_Nq7x_normal.jpeg" xr:uid="{46159438-9A90-4483-A636-140A9223F4F6}"/>
    <hyperlink ref="B297" r:id="rId893" display="https://twitter.com/JWalkVA" xr:uid="{9EEFFB37-5CB6-4E32-AC8A-3B4FB1F6F4F3}"/>
    <hyperlink ref="E297" r:id="rId894" display="https://twitter.com/JWalkVA/status/722998743272939521" xr:uid="{A54631A1-43CD-41D5-9656-9A3955BDC365}"/>
    <hyperlink ref="O297" r:id="rId895" display="https://pbs.twimg.com/profile_images/689855096339959809/GAqOtQLU_normal.jpg" xr:uid="{6C9123B7-142A-45D9-A39B-E9CA9B3C6E73}"/>
    <hyperlink ref="B298" r:id="rId896" display="https://twitter.com/EricSWalz" xr:uid="{4B9AD524-1104-4CBE-9377-D88FB05F5EA6}"/>
    <hyperlink ref="E298" r:id="rId897" display="https://twitter.com/EricSWalz/status/722998847526445059" xr:uid="{8214D01D-AF5C-4E29-B443-8BB2BBF66DB8}"/>
    <hyperlink ref="O298" r:id="rId898" display="https://pbs.twimg.com/profile_images/708146653216157696/1QlyxxR8_normal.jpg" xr:uid="{82475333-D41C-42B7-93C6-86EF9118A9A4}"/>
    <hyperlink ref="B299" r:id="rId899" display="https://twitter.com/Kittypunk16" xr:uid="{6AD94DAB-117E-46AF-B0D0-3C56A184B733}"/>
    <hyperlink ref="E299" r:id="rId900" display="https://twitter.com/Kittypunk16/status/723000185010458624" xr:uid="{3BB90546-FE98-4F6F-B260-619687379663}"/>
    <hyperlink ref="O299" r:id="rId901" display="https://pbs.twimg.com/profile_images/680948958844338176/k8qFUheG_normal.png" xr:uid="{E5DB5D97-6EED-473E-A09D-7ABA5BE695CE}"/>
    <hyperlink ref="B300" r:id="rId902" display="https://twitter.com/dgrally" xr:uid="{8ED4CF86-B166-407F-BC8C-76CB2AADE1B9}"/>
    <hyperlink ref="E300" r:id="rId903" display="https://twitter.com/dgrally/status/723000240241033216" xr:uid="{AB707BBB-C8DD-45F6-9C8E-7D309BAA124E}"/>
    <hyperlink ref="O300" r:id="rId904" display="https://pbs.twimg.com/profile_images/673634327683469312/ClE0FhT1_normal.jpg" xr:uid="{48A51F15-B94F-4575-BC33-028FC62C8C7A}"/>
    <hyperlink ref="B301" r:id="rId905" display="https://twitter.com/dgrally" xr:uid="{44D21D74-4E3E-4467-AF38-2998B3448FBA}"/>
    <hyperlink ref="E301" r:id="rId906" display="https://twitter.com/dgrally/status/723000247304200192" xr:uid="{75492FA1-10DE-4FDD-A339-A266451BADB0}"/>
    <hyperlink ref="O301" r:id="rId907" display="https://pbs.twimg.com/profile_images/673634327683469312/ClE0FhT1_normal.jpg" xr:uid="{ABAAA7ED-F074-4984-8B69-D53B21344824}"/>
    <hyperlink ref="B302" r:id="rId908" display="https://twitter.com/Slothrop677" xr:uid="{BB060000-5D9D-4B78-8DF5-3FA29AC2D83A}"/>
    <hyperlink ref="E302" r:id="rId909" display="https://twitter.com/Slothrop677/status/723000422127046656" xr:uid="{577170D0-DECD-4A42-9ACA-FEF277869084}"/>
    <hyperlink ref="O302" r:id="rId910" display="https://pbs.twimg.com/profile_images/599919472334483457/2GRnpPot_normal.jpg" xr:uid="{0F05224C-B45F-4560-9D3A-D72F82D8C8DA}"/>
    <hyperlink ref="B303" r:id="rId911" display="https://twitter.com/CDMC97" xr:uid="{32A24F9E-A2C5-44F1-B228-B557AB7EFA70}"/>
    <hyperlink ref="E303" r:id="rId912" display="https://twitter.com/CDMC97/status/723000643548385281" xr:uid="{F3C78A07-766C-45DE-8E94-2C1B5A5BF586}"/>
    <hyperlink ref="O303" r:id="rId913" display="https://pbs.twimg.com/profile_images/721360494548819968/019Dh54Q_normal.jpg" xr:uid="{0A29BE19-4214-461C-B667-263BBAAE3E55}"/>
    <hyperlink ref="B304" r:id="rId914" display="https://twitter.com/Gagan10cuAn" xr:uid="{A323BC95-69E3-40AF-B836-C697C4CF0E73}"/>
    <hyperlink ref="E304" r:id="rId915" display="https://twitter.com/Gagan10cuAn/status/723001029789396992" xr:uid="{67E9C447-FA98-4E05-B022-B290F0B4DDD7}"/>
    <hyperlink ref="O304" r:id="rId916" display="https://pbs.twimg.com/profile_images/682976399867641856/z7wCgoPX_normal.jpg" xr:uid="{4C4A1A79-542A-4725-BE5A-560EF818CD20}"/>
    <hyperlink ref="B305" r:id="rId917" display="https://twitter.com/SuranClub" xr:uid="{BA6AB16B-DE58-4FFD-8F3B-F1D3A5DE26AA}"/>
    <hyperlink ref="E305" r:id="rId918" display="https://twitter.com/SuranClub/status/723001291438477312" xr:uid="{EF05B1BD-ADD7-4E20-8736-2EDF1068E4F7}"/>
    <hyperlink ref="O305" r:id="rId919" display="https://pbs.twimg.com/profile_images/634021831364747264/5vPrL2JH_normal.jpg" xr:uid="{CA025CE5-3451-45C3-9A2A-390F91CEBB05}"/>
    <hyperlink ref="B306" r:id="rId920" display="https://twitter.com/SuranClub" xr:uid="{34DD9262-4EBF-41E4-AC13-970E32334881}"/>
    <hyperlink ref="E306" r:id="rId921" display="https://twitter.com/SuranClub/status/723001316172259328" xr:uid="{66311F42-FD79-4531-9307-E92F342E7EFB}"/>
    <hyperlink ref="O306" r:id="rId922" display="https://pbs.twimg.com/profile_images/634021831364747264/5vPrL2JH_normal.jpg" xr:uid="{EC9D841E-FEA4-4D37-AB14-C15FA83F564D}"/>
    <hyperlink ref="B307" r:id="rId923" display="https://twitter.com/1i0k0z8s" xr:uid="{25F9E50B-E9B0-48C4-A490-58DFAE56EDC3}"/>
    <hyperlink ref="E307" r:id="rId924" display="https://twitter.com/1i0k0z8s/status/723002392808038401" xr:uid="{FF4221F3-555A-48F1-9A67-A0DD0D8FE3BD}"/>
    <hyperlink ref="O307" r:id="rId925" display="https://pbs.twimg.com/profile_images/722783750057164801/9lN6tKFA_normal.jpg" xr:uid="{B1C785FF-7A11-418A-96DB-E4E5C1210222}"/>
    <hyperlink ref="B308" r:id="rId926" display="https://twitter.com/KimQuistAnderse" xr:uid="{92EDC5BF-691A-4EC3-B243-86BEF0602652}"/>
    <hyperlink ref="E308" r:id="rId927" display="https://twitter.com/KimQuistAnderse/status/723002707611627520" xr:uid="{A5015C40-54D5-4E21-B963-8D1352D2E398}"/>
    <hyperlink ref="O308" r:id="rId928" display="https://pbs.twimg.com/profile_images/679764699349647360/o7mBVaLr_normal.jpg" xr:uid="{6EADBEE3-4AFD-4CE0-8DB0-C76B9129BA39}"/>
    <hyperlink ref="B309" r:id="rId929" display="https://twitter.com/DubLuvTuning" xr:uid="{B6E0DFA7-161B-4CE3-98B9-D9C5F40DD91F}"/>
    <hyperlink ref="E309" r:id="rId930" display="https://twitter.com/DubLuvTuning/status/723003255324848128" xr:uid="{605F9B59-974E-4E3B-991D-EB1FF2E0108D}"/>
    <hyperlink ref="O309" r:id="rId931" display="https://pbs.twimg.com/profile_images/378800000572104796/1de43e1cf23efb3f4101c02afad0d3b6_normal.png" xr:uid="{1DD7A17F-F1F1-447E-80E0-23BA3344DE0E}"/>
    <hyperlink ref="B310" r:id="rId932" display="https://twitter.com/CHORO_Q022" xr:uid="{0948F46D-2091-46CB-8899-A0668B43CAEC}"/>
    <hyperlink ref="E310" r:id="rId933" display="https://twitter.com/CHORO_Q022/status/723003297397805056" xr:uid="{D000AB29-28EB-4234-A3E3-C9094D47319D}"/>
    <hyperlink ref="O310" r:id="rId934" display="https://pbs.twimg.com/profile_images/689108532717682688/x9P6ch7c_normal.jpg" xr:uid="{A0FC254F-988C-4199-8133-576ED903D911}"/>
    <hyperlink ref="B311" r:id="rId935" display="https://twitter.com/vwpalmspringspr" xr:uid="{1A25D4A9-9691-41AC-BC6D-37190A825711}"/>
    <hyperlink ref="E311" r:id="rId936" display="https://twitter.com/vwpalmspringspr/status/723003449122631680" xr:uid="{C8CE41D0-24BA-49DD-BDDC-C047B71E336A}"/>
    <hyperlink ref="O311" r:id="rId937" display="https://pbs.twimg.com/profile_images/722518700427882496/rsO6Da_T_normal.jpg" xr:uid="{0CD88E05-548A-4582-A191-584EEAE70F73}"/>
    <hyperlink ref="B312" r:id="rId938" display="https://twitter.com/SallyBundockBBC" xr:uid="{33C0B98A-3634-449D-B977-86E1EC8F0E04}"/>
    <hyperlink ref="E312" r:id="rId939" display="https://twitter.com/SallyBundockBBC/status/723004819238051840" xr:uid="{DF87F897-4F02-45F3-A436-FF12C0C09F8D}"/>
    <hyperlink ref="O312" r:id="rId940" display="https://pbs.twimg.com/profile_images/649188305096019968/QRO2H696_normal.jpg" xr:uid="{52631799-61A8-4369-8E0F-9B52750D9BB2}"/>
    <hyperlink ref="B313" r:id="rId941" display="https://twitter.com/dreamgolfjob" xr:uid="{3635571A-786D-4CB3-8C4D-AD9DEC94E88A}"/>
    <hyperlink ref="E313" r:id="rId942" display="https://twitter.com/dreamgolfjob/status/723005349607968768" xr:uid="{8E0098B2-0DCA-4927-872F-8B13704FE6D0}"/>
    <hyperlink ref="O313" r:id="rId943" display="https://pbs.twimg.com/profile_images/1881442204/511.511jpeg_normal.jpg" xr:uid="{3146F2A0-9700-4FA9-8ACB-DA53911A113C}"/>
    <hyperlink ref="B314" r:id="rId944" display="https://twitter.com/1phillipsprince" xr:uid="{88C4D3FB-DD4D-4987-A56F-5327E40CC79C}"/>
    <hyperlink ref="E314" r:id="rId945" display="https://twitter.com/1phillipsprince/status/723005471909515265" xr:uid="{58FD6FAC-4C67-45C1-83C4-998BF4144272}"/>
    <hyperlink ref="O314" r:id="rId946" display="https://pbs.twimg.com/profile_images/3227674119/2a2fa2d73f09b9d265a29833d5cbf338_normal.jpeg" xr:uid="{ED4DB608-75B0-473B-B739-CB7120D78589}"/>
    <hyperlink ref="B315" r:id="rId947" display="https://twitter.com/VWsightings" xr:uid="{417C43C3-4344-4EAC-9400-EFE3B705B54B}"/>
    <hyperlink ref="E315" r:id="rId948" display="https://twitter.com/VWsightings/status/723005774822268928" xr:uid="{0A173BDA-38A3-410A-AF65-E22553E9C884}"/>
    <hyperlink ref="O315" r:id="rId949" display="https://pbs.twimg.com/profile_images/378800000854855954/0d555726054b01e3c9d6b5241432dc4a_normal.jpeg" xr:uid="{1A92CA58-39D4-49E7-9177-88B13065FEF7}"/>
    <hyperlink ref="B316" r:id="rId950" display="https://twitter.com/VWsightings" xr:uid="{F54D0427-8B18-434A-AE61-DAC96B2E8E50}"/>
    <hyperlink ref="E316" r:id="rId951" display="https://twitter.com/VWsightings/status/723005879608598528" xr:uid="{470BD102-079B-4BA5-85AA-912F666BA533}"/>
    <hyperlink ref="O316" r:id="rId952" display="https://pbs.twimg.com/profile_images/378800000854855954/0d555726054b01e3c9d6b5241432dc4a_normal.jpeg" xr:uid="{99200A8D-BFB6-4CB3-B524-D629F3CD218E}"/>
    <hyperlink ref="B317" r:id="rId953" display="https://twitter.com/VWsightings" xr:uid="{B44A3A6A-6573-4984-9C17-C52F48528699}"/>
    <hyperlink ref="E317" r:id="rId954" display="https://twitter.com/VWsightings/status/723006516287156224" xr:uid="{02C1DBED-9F54-46AD-AE2A-CC4CA0FDCF72}"/>
    <hyperlink ref="O317" r:id="rId955" display="https://pbs.twimg.com/profile_images/378800000854855954/0d555726054b01e3c9d6b5241432dc4a_normal.jpeg" xr:uid="{D06B809C-BFE1-49E8-B620-9A45C96A3AFC}"/>
    <hyperlink ref="B318" r:id="rId956" display="https://twitter.com/TM909" xr:uid="{CB08D70E-464A-40CE-891C-7319828D539D}"/>
    <hyperlink ref="E318" r:id="rId957" display="https://twitter.com/TM909/status/723006557483487232" xr:uid="{CADB3D57-3F23-4A54-A0E5-0EF8E59858FE}"/>
    <hyperlink ref="O318" r:id="rId958" display="https://pbs.twimg.com/profile_images/717947360848969732/BRmBoCSo_normal.jpg" xr:uid="{2D67C1E2-033A-44A7-83CE-E7D104302291}"/>
    <hyperlink ref="B319" r:id="rId959" display="https://twitter.com/BasuAshis" xr:uid="{1144803B-A8D7-417A-9D18-7EC998986D89}"/>
    <hyperlink ref="E319" r:id="rId960" display="https://twitter.com/BasuAshis/status/723006561916833792" xr:uid="{87412DC2-3CD3-4AA4-B4A8-E6D6DCADD2C8}"/>
    <hyperlink ref="O319" r:id="rId961" display="https://pbs.twimg.com/profile_images/2725303585/19be329858c9709636ca75e5c321fc12_normal.jpeg" xr:uid="{DB48ABC2-DEDF-434D-985B-ADB4BF4E3BA9}"/>
    <hyperlink ref="B320" r:id="rId962" display="https://twitter.com/Lucas_esquiivel" xr:uid="{138EC2EA-C80D-4DC1-9BCA-49FDC3419E28}"/>
    <hyperlink ref="E320" r:id="rId963" display="https://twitter.com/Lucas_esquiivel/status/723006647891841024" xr:uid="{A800430B-2DE9-44FB-9829-E105F0CB807F}"/>
    <hyperlink ref="O320" r:id="rId964" display="https://pbs.twimg.com/profile_images/693277089785577473/8EuV76Ni_normal.png" xr:uid="{571AB6EC-C9E8-4515-99AA-19B36521192A}"/>
    <hyperlink ref="B321" r:id="rId965" display="https://twitter.com/davebaxtersa" xr:uid="{5FCD4BBC-EE0A-4B77-AB00-768116845B68}"/>
    <hyperlink ref="E321" r:id="rId966" display="https://twitter.com/davebaxtersa/status/723006959893504000" xr:uid="{4E25B817-A8D3-45F7-A91B-FF986594F98B}"/>
    <hyperlink ref="O321" r:id="rId967" display="https://pbs.twimg.com/profile_images/1150290421/IMG00011-20101017-1453_normal.jpg" xr:uid="{F4DC66F5-729E-4529-8523-F7CBCF85DA4F}"/>
    <hyperlink ref="B322" r:id="rId968" display="https://twitter.com/VWsightings" xr:uid="{53508131-507B-4CDA-A718-7F70A24D06D3}"/>
    <hyperlink ref="E322" r:id="rId969" display="https://twitter.com/VWsightings/status/723007847789944832" xr:uid="{C009C6A8-8D18-4381-A433-03B5EB133BC9}"/>
    <hyperlink ref="O322" r:id="rId970" display="https://pbs.twimg.com/profile_images/378800000854855954/0d555726054b01e3c9d6b5241432dc4a_normal.jpeg" xr:uid="{10108299-0AEA-4730-983F-BA87762A3AD2}"/>
    <hyperlink ref="B323" r:id="rId971" display="https://twitter.com/Scirocco_Tuning" xr:uid="{5DFA5ABC-E01B-4AEA-B7C1-0A29632BEC51}"/>
    <hyperlink ref="E323" r:id="rId972" display="https://twitter.com/Scirocco_Tuning/status/723008700013764608" xr:uid="{8BCC7E2D-049D-43E2-B222-7C68B33DAFCB}"/>
    <hyperlink ref="O323" r:id="rId973" display="https://pbs.twimg.com/profile_images/1610421423/Image2_normal.jpg" xr:uid="{379FB0B0-25EE-46BC-B092-9B8747CF187F}"/>
    <hyperlink ref="B324" r:id="rId974" display="https://twitter.com/VWsightings" xr:uid="{F7FD0CBD-8E61-451B-A627-3018EB1D3763}"/>
    <hyperlink ref="E324" r:id="rId975" display="https://twitter.com/VWsightings/status/723010047140306944" xr:uid="{A24A6B64-DB8D-4564-807D-3684695CCE65}"/>
    <hyperlink ref="O324" r:id="rId976" display="https://pbs.twimg.com/profile_images/378800000854855954/0d555726054b01e3c9d6b5241432dc4a_normal.jpeg" xr:uid="{72540946-3A62-434A-8BE5-6862BB796368}"/>
    <hyperlink ref="B325" r:id="rId977" display="https://twitter.com/LocaldriverUS" xr:uid="{C4ED3166-49BD-4CBC-B98F-E9F0903533C7}"/>
    <hyperlink ref="C325" r:id="rId978" xr:uid="{B313685A-B6FC-4670-B3BA-948283235685}"/>
    <hyperlink ref="E325" r:id="rId979" display="https://twitter.com/LocaldriverUS/status/723010370391011328" xr:uid="{5C6987C2-7E23-4584-9043-85C7FE6F9789}"/>
    <hyperlink ref="O325" r:id="rId980" display="https://pbs.twimg.com/profile_images/3276572864/7e19a331bf93c7acc57143c7e1a7904d_normal.jpeg" xr:uid="{986810C0-F13A-47DB-B002-B3EB4FC22DC7}"/>
    <hyperlink ref="B326" r:id="rId981" display="https://twitter.com/Ismoke_weed" xr:uid="{C339A513-98CF-4FF4-A5B4-ED533DA0C086}"/>
    <hyperlink ref="E326" r:id="rId982" display="https://twitter.com/Ismoke_weed/status/723010603984543744" xr:uid="{33482031-95DF-496E-930E-ECB74CBCF90A}"/>
    <hyperlink ref="O326" r:id="rId983" display="https://pbs.twimg.com/profile_images/699095952318144512/KWfqDlB3_normal.jpg" xr:uid="{B0872A99-4CF9-42C6-8834-CA8E46E9F0C5}"/>
    <hyperlink ref="B327" r:id="rId984" display="https://twitter.com/beetlebug1938" xr:uid="{3B31B61D-73F0-4A12-A75F-4FA9DA20C6E4}"/>
    <hyperlink ref="E327" r:id="rId985" display="https://twitter.com/beetlebug1938/status/723010687316926464" xr:uid="{70A6AD69-C749-4F95-AD1B-458690A0E162}"/>
    <hyperlink ref="O327" r:id="rId986" display="https://pbs.twimg.com/profile_images/718820712757215233/LXXndPTS_normal.jpg" xr:uid="{B3C03902-A47E-49D7-903E-907D596D2289}"/>
    <hyperlink ref="B328" r:id="rId987" display="https://twitter.com/beetlebug1938" xr:uid="{EFD07AFD-2167-4575-AAA0-19BFF9BCF0F0}"/>
    <hyperlink ref="E328" r:id="rId988" display="https://twitter.com/beetlebug1938/status/723010726437224448" xr:uid="{3B7D5E77-78E4-4E2A-91F0-09CA76196895}"/>
    <hyperlink ref="O328" r:id="rId989" display="https://pbs.twimg.com/profile_images/718820712757215233/LXXndPTS_normal.jpg" xr:uid="{468CAE1B-7550-4A8D-A3BB-FB6174C55A94}"/>
    <hyperlink ref="B329" r:id="rId990" display="https://twitter.com/beetlebug1938" xr:uid="{9952BDE1-8F96-45FB-8C83-4268B582E490}"/>
    <hyperlink ref="E329" r:id="rId991" display="https://twitter.com/beetlebug1938/status/723010758280359936" xr:uid="{6E4A1818-4D26-4E1B-A746-8A7D1D613991}"/>
    <hyperlink ref="O329" r:id="rId992" display="https://pbs.twimg.com/profile_images/718820712757215233/LXXndPTS_normal.jpg" xr:uid="{1D0D9597-02A7-40B9-A6FA-48F8EFB4F9CF}"/>
    <hyperlink ref="B330" r:id="rId993" display="https://twitter.com/StackMechanics" xr:uid="{006F86B2-EC8F-4859-A3DC-0C99F8194630}"/>
    <hyperlink ref="E330" r:id="rId994" display="https://twitter.com/StackMechanics/status/723010862903091200" xr:uid="{8F178E6D-1ADC-4296-8D0D-BC152A7FF690}"/>
    <hyperlink ref="O330" r:id="rId995" display="https://pbs.twimg.com/profile_images/1943169885/profile-image_normal.png" xr:uid="{938743A0-B0B4-4E7D-8900-B72988BE16D0}"/>
    <hyperlink ref="B331" r:id="rId996" display="https://twitter.com/furqan_satcom" xr:uid="{CD44A4B0-C18D-4986-B7A9-92CD0AEDDB5B}"/>
    <hyperlink ref="E331" r:id="rId997" display="https://twitter.com/furqan_satcom/status/723010868531744768" xr:uid="{9C040B7D-6BA5-43E2-857E-80AE0B5B767C}"/>
    <hyperlink ref="O331" r:id="rId998" display="https://pbs.twimg.com/profile_images/709439945719554049/EsfOsVRH_normal.jpg" xr:uid="{39C8DC62-3A29-4F40-AC00-819F92E1BB92}"/>
    <hyperlink ref="B332" r:id="rId999" display="https://twitter.com/TobiasKestin" xr:uid="{70A8AC4E-E993-43FF-8025-614978C29DA5}"/>
    <hyperlink ref="E332" r:id="rId1000" display="https://twitter.com/TobiasKestin/status/723011484436037632" xr:uid="{CB3C4CDC-1B3A-4308-ACA6-5E6215DB48B0}"/>
    <hyperlink ref="O332" r:id="rId1001" display="https://pbs.twimg.com/profile_images/716573294313521152/Cv6eqZOo_normal.jpg" xr:uid="{6107F6DC-92A2-406F-AA73-DC92A1F25317}"/>
    <hyperlink ref="B333" r:id="rId1002" display="https://twitter.com/jawasnu" xr:uid="{2967F6C3-7C64-45D2-BC47-A1DFC1B47FEE}"/>
    <hyperlink ref="E333" r:id="rId1003" display="https://twitter.com/jawasnu/status/723011615185055745" xr:uid="{5F158F58-0882-4C9E-BBA6-F4E273D7D735}"/>
    <hyperlink ref="O333" r:id="rId1004" display="https://pbs.twimg.com/profile_images/615562400859848704/E6pxkTo2_normal.jpg" xr:uid="{B08B601F-B556-445A-A8FA-0741C806D2ED}"/>
    <hyperlink ref="B334" r:id="rId1005" display="https://twitter.com/webaraba" xr:uid="{9873DB64-4E82-43F0-9EB2-8D7817158813}"/>
    <hyperlink ref="C334" r:id="rId1006" xr:uid="{F4883F1D-6C28-4541-A68C-BC916BC4166E}"/>
    <hyperlink ref="E334" r:id="rId1007" display="https://twitter.com/webaraba/status/723012019314630656" xr:uid="{22D5689F-62C9-4C74-8A03-FD9C70BCB637}"/>
    <hyperlink ref="F334" r:id="rId1008" xr:uid="{7220FE32-D63B-4430-BE4C-7EB4ED90FF3F}"/>
    <hyperlink ref="O334" r:id="rId1009" display="https://pbs.twimg.com/profile_images/641238966541361152/-oEpQ9XT_normal.png" xr:uid="{3F3101D8-686A-4E19-896C-A1D5EDB21F6E}"/>
    <hyperlink ref="B335" r:id="rId1010" display="https://twitter.com/RezakwpAuto" xr:uid="{B81BA11B-CB72-4926-9DA4-FE1CB4626E7D}"/>
    <hyperlink ref="E335" r:id="rId1011" display="https://twitter.com/RezakwpAuto/status/723012264018763780" xr:uid="{47AD0F23-D689-4B1C-A9F5-B9915E65BA02}"/>
    <hyperlink ref="O335" r:id="rId1012" display="https://pbs.twimg.com/profile_images/644228348651159552/w05y-L9C_normal.jpg" xr:uid="{631F9BF6-1B93-4347-98E6-B35E2EB7E1BF}"/>
    <hyperlink ref="P335" r:id="rId1013" location="-31.34053,20.9168" display="http://ctrlq.org/maps/address/ - -31.34053,20.9168" xr:uid="{14577A3A-257A-4024-95BC-9341874034B0}"/>
    <hyperlink ref="B336" r:id="rId1014" display="https://twitter.com/cginoffice" xr:uid="{1523441B-4D3F-4E9B-9D16-976CC40EB3F8}"/>
    <hyperlink ref="E336" r:id="rId1015" display="https://twitter.com/cginoffice/status/723012492700487682" xr:uid="{9F906F5D-5EAB-467E-9F6C-F4D49DB63C30}"/>
    <hyperlink ref="O336" r:id="rId1016" display="https://pbs.twimg.com/profile_images/661977126980222976/MIICdbPJ_normal.jpg" xr:uid="{C151D6F9-7BC8-4233-A6E6-3AA598205201}"/>
    <hyperlink ref="B337" r:id="rId1017" display="https://twitter.com/MarkCSchneider" xr:uid="{B42ECA51-C8FD-4BA6-A3A8-B7A575B851CF}"/>
    <hyperlink ref="E337" r:id="rId1018" display="https://twitter.com/MarkCSchneider/status/723013737104420864" xr:uid="{42494E0D-47CE-460E-BECF-CC765E7A4017}"/>
    <hyperlink ref="O337" r:id="rId1019" display="https://pbs.twimg.com/profile_images/706784695795769345/XGXgdjww_normal.jpg" xr:uid="{D4DA30C4-D4B7-4184-85A0-955AD66F92E1}"/>
    <hyperlink ref="B338" r:id="rId1020" display="https://twitter.com/stefanrothe" xr:uid="{8781372F-96DA-402E-9294-927FB1F9FB1E}"/>
    <hyperlink ref="E338" r:id="rId1021" display="https://twitter.com/stefanrothe/status/723013737263722496" xr:uid="{4A2C0624-B940-4FB8-9AF6-121C6FBE3B02}"/>
    <hyperlink ref="O338" r:id="rId1022" display="https://pbs.twimg.com/profile_images/719408466880651264/85vqYWsM_normal.jpg" xr:uid="{6DCE72E2-15E3-46CE-8E62-B676C2F5A45B}"/>
    <hyperlink ref="B339" r:id="rId1023" display="https://twitter.com/MarkCSchneider" xr:uid="{E52BBC85-C093-4B2D-94D9-F435C613C1C1}"/>
    <hyperlink ref="E339" r:id="rId1024" display="https://twitter.com/MarkCSchneider/status/723013985591799808" xr:uid="{335E7761-80DD-48EA-AD6E-FF2491BD1E00}"/>
    <hyperlink ref="O339" r:id="rId1025" display="https://pbs.twimg.com/profile_images/706784695795769345/XGXgdjww_normal.jpg" xr:uid="{173DFD15-992B-40DF-BA62-2128CA249846}"/>
    <hyperlink ref="B340" r:id="rId1026" display="https://twitter.com/vaughn_bill" xr:uid="{5D1B62F7-05CB-4020-A670-9E3589D3BA29}"/>
    <hyperlink ref="E340" r:id="rId1027" display="https://twitter.com/vaughn_bill/status/723014052398567424" xr:uid="{A389283D-6ECF-4138-9E90-AD38C70AE64E}"/>
    <hyperlink ref="O340" r:id="rId1028" display="https://pbs.twimg.com/profile_images/567750100772855808/YTBbVSSU_normal.jpeg" xr:uid="{0A60AABE-00E3-433C-BC1F-23B829C240C5}"/>
    <hyperlink ref="B341" r:id="rId1029" display="https://twitter.com/SPIEGELONLINE" xr:uid="{1A78853D-662E-44FE-971C-13A3DABD5F0E}"/>
    <hyperlink ref="E341" r:id="rId1030" display="https://twitter.com/SPIEGELONLINE/status/723014404552441856" xr:uid="{437E9101-E601-47F6-A767-5D678099021C}"/>
    <hyperlink ref="O341" r:id="rId1031" display="https://pbs.twimg.com/profile_images/1719664041/tw_spon_normal.jpg" xr:uid="{87D29047-4B41-46A8-92BF-7F57A623D2F0}"/>
    <hyperlink ref="B342" r:id="rId1032" display="https://twitter.com/PanchoChavez_" xr:uid="{9D66E5EA-9D5F-4C83-99E4-EAFBD326CC25}"/>
    <hyperlink ref="E342" r:id="rId1033" display="https://twitter.com/PanchoChavez_/status/723014654914617345" xr:uid="{632B46CC-2D18-49C3-9837-662BE8FDB59E}"/>
    <hyperlink ref="O342" r:id="rId1034" display="https://pbs.twimg.com/profile_images/665332613347831808/m6b_V4Xn_normal.jpg" xr:uid="{8B831485-AB52-4577-AA83-CAAF651619B1}"/>
    <hyperlink ref="B343" r:id="rId1035" display="https://twitter.com/it_itt" xr:uid="{63C4FA3B-8D2B-4355-B61A-058D4504C834}"/>
    <hyperlink ref="E343" r:id="rId1036" display="https://twitter.com/it_itt/status/723014709616635904" xr:uid="{3B3A70C4-0FFD-45BE-B58E-E85D794D192C}"/>
    <hyperlink ref="O343" r:id="rId1037" display="https://pbs.twimg.com/profile_images/694690850241011712/MIUbJ12E_normal.jpg" xr:uid="{C3E957B6-3536-40E2-9A7B-D7D0419FF595}"/>
    <hyperlink ref="B344" r:id="rId1038" display="https://twitter.com/handelsblatt" xr:uid="{C588E88B-7CED-49B2-AF0D-050FF5ACC11D}"/>
    <hyperlink ref="E344" r:id="rId1039" display="https://twitter.com/handelsblatt/status/723014713664262144" xr:uid="{602CC102-51AC-4C7D-8929-80ED102C28FD}"/>
    <hyperlink ref="O344" r:id="rId1040" display="https://pbs.twimg.com/profile_images/562563461171798017/AkHF4keI_normal.png" xr:uid="{15141557-6736-45D0-B913-C8FA827EED68}"/>
    <hyperlink ref="B345" r:id="rId1041" display="https://twitter.com/vaughn_bill" xr:uid="{442846D9-EE18-4A28-B65B-2069AAA32ED1}"/>
    <hyperlink ref="E345" r:id="rId1042" display="https://twitter.com/vaughn_bill/status/723014849194659840" xr:uid="{BF40AF1E-86F6-4735-91DB-2CFB1366AB03}"/>
    <hyperlink ref="O345" r:id="rId1043" display="https://pbs.twimg.com/profile_images/567750100772855808/YTBbVSSU_normal.jpeg" xr:uid="{C62402B1-E3E7-4CB2-B38B-95273F8CB0F7}"/>
    <hyperlink ref="B346" r:id="rId1044" display="https://twitter.com/ivomechels" xr:uid="{D2DEF594-149F-43DF-AD80-431301269361}"/>
    <hyperlink ref="E346" r:id="rId1045" display="https://twitter.com/ivomechels/status/723015355698806785" xr:uid="{84FA98AF-1156-4BCF-A814-54FC748EB404}"/>
    <hyperlink ref="O346" r:id="rId1046" display="https://pbs.twimg.com/profile_images/1348837821/IvoMechels03_normal.jpg" xr:uid="{AF665C41-2F37-4843-BECE-52DD16DF4CA7}"/>
    <hyperlink ref="B347" r:id="rId1047" display="https://twitter.com/vaughn_bill" xr:uid="{648C8E4C-2867-40B9-A006-06F53D056730}"/>
    <hyperlink ref="E347" r:id="rId1048" display="https://twitter.com/vaughn_bill/status/723015572976361475" xr:uid="{FECA6E79-55F3-4B42-8218-8216898F395C}"/>
    <hyperlink ref="O347" r:id="rId1049" display="https://pbs.twimg.com/profile_images/567750100772855808/YTBbVSSU_normal.jpeg" xr:uid="{A85A48CC-95A4-47FA-BD8E-16093D985336}"/>
    <hyperlink ref="B348" r:id="rId1050" display="https://twitter.com/VUruburu" xr:uid="{9AA3B5CE-9112-4A8C-A4C8-108245A2B955}"/>
    <hyperlink ref="E348" r:id="rId1051" display="https://twitter.com/VUruburu/status/723015658414456833" xr:uid="{3806AE4F-1DF5-40FF-AD33-3C0F4782C227}"/>
    <hyperlink ref="O348" r:id="rId1052" display="https://pbs.twimg.com/profile_images/1303402494/image_normal.jpg" xr:uid="{ADB098C2-7403-4132-80A9-9F9ACAE754DF}"/>
    <hyperlink ref="B349" r:id="rId1053" display="https://twitter.com/Gareth1958" xr:uid="{438D8DAF-BBF2-45B9-8E31-43C6EB3CE8AC}"/>
    <hyperlink ref="E349" r:id="rId1054" display="https://twitter.com/Gareth1958/status/723015761376219136" xr:uid="{E87332A2-5A53-4101-9CC3-1C7CAFF80874}"/>
    <hyperlink ref="O349" r:id="rId1055" display="https://pbs.twimg.com/profile_images/601500876432384000/erGCfhZl_normal.jpg" xr:uid="{5F317DAE-07E2-419C-BD9A-825B4C441CB3}"/>
    <hyperlink ref="B350" r:id="rId1056" display="https://twitter.com/matt_fowler79" xr:uid="{9AF13118-7D56-48BD-AC45-C902976B7859}"/>
    <hyperlink ref="E350" r:id="rId1057" display="https://twitter.com/matt_fowler79/status/723015838719074305" xr:uid="{24C6BCEC-1AA1-4C43-B4B5-7CB94CBEF561}"/>
    <hyperlink ref="O350" r:id="rId1058" display="https://pbs.twimg.com/profile_images/1622881609/image_normal.jpg" xr:uid="{FCCCD794-4EAE-430A-9E60-8AE5EED6EB5F}"/>
    <hyperlink ref="B351" r:id="rId1059" display="https://twitter.com/kensegovia" xr:uid="{A8C936AF-F2FD-45D3-9976-17F850A5EEF4}"/>
    <hyperlink ref="E351" r:id="rId1060" display="https://twitter.com/kensegovia/status/723015842376470528" xr:uid="{03A7B626-DD6F-40DD-8F6E-C5A6F099D5A8}"/>
    <hyperlink ref="O351" r:id="rId1061" display="https://pbs.twimg.com/profile_images/2913473301/cb78ad4fd93b205a7e987ba1d345a438_normal.jpeg" xr:uid="{CB95207F-AB99-43FB-A8EE-8900DAFE7242}"/>
    <hyperlink ref="B352" r:id="rId1062" display="https://twitter.com/Chio_Vilchis" xr:uid="{C8BF81C6-8469-40E0-BAD5-88706767338D}"/>
    <hyperlink ref="E352" r:id="rId1063" display="https://twitter.com/Chio_Vilchis/status/723015955736059908" xr:uid="{4AF29D08-7A78-4BCF-A049-06A14D70CDAE}"/>
    <hyperlink ref="O352" r:id="rId1064" display="https://pbs.twimg.com/profile_images/691338329158057984/bHr__ZZL_normal.jpg" xr:uid="{9D70DA54-B2A3-41E3-82D0-44C7A825A8E1}"/>
    <hyperlink ref="B353" r:id="rId1065" display="https://twitter.com/enCARtorTanay" xr:uid="{D97E3F27-7F9D-41F8-A8ED-9B2C42978BB6}"/>
    <hyperlink ref="E353" r:id="rId1066" display="https://twitter.com/enCARtorTanay/status/723016042939703296" xr:uid="{9EDDC960-C261-498F-9FAA-2AA64B49DB00}"/>
    <hyperlink ref="O353" r:id="rId1067" display="https://pbs.twimg.com/profile_images/686954765318684672/WxWRcFJI_normal.jpg" xr:uid="{A9BCEEFB-2CCA-4016-B5FA-6AF9077C5F93}"/>
    <hyperlink ref="B354" r:id="rId1068" display="https://twitter.com/handelsblatt" xr:uid="{52461195-6D7A-4792-9D0C-239BBD16F83A}"/>
    <hyperlink ref="E354" r:id="rId1069" display="https://twitter.com/handelsblatt/status/723016165019246592" xr:uid="{50F1F44E-2AFE-4247-84A4-BFD551F0FE89}"/>
    <hyperlink ref="O354" r:id="rId1070" display="https://pbs.twimg.com/profile_images/562563461171798017/AkHF4keI_normal.png" xr:uid="{6CD6AB25-F37B-42E6-97E5-F7D723D2434A}"/>
    <hyperlink ref="B355" r:id="rId1071" display="https://twitter.com/GamemomManuela" xr:uid="{B7A732AF-543A-4D77-956D-030A1DAB37E3}"/>
    <hyperlink ref="E355" r:id="rId1072" display="https://twitter.com/GamemomManuela/status/723016268723425280" xr:uid="{A2D2B978-7506-4FAF-99A9-590E85AAC7F1}"/>
    <hyperlink ref="O355" r:id="rId1073" display="https://pbs.twimg.com/profile_images/678207078725492736/74zDNMK2_normal.jpg" xr:uid="{CF42B205-BD51-418E-ABA5-0E3E59ADFD27}"/>
    <hyperlink ref="B356" r:id="rId1074" display="https://twitter.com/Imtweetingtoo" xr:uid="{0DD3F379-9CEF-42A3-8C9A-E164D9B77C6D}"/>
    <hyperlink ref="E356" r:id="rId1075" display="https://twitter.com/Imtweetingtoo/status/723016307399004161" xr:uid="{73DF4243-7770-483F-BE77-25D12D20DAA5}"/>
    <hyperlink ref="O356" r:id="rId1076" display="https://pbs.twimg.com/profile_images/1566466190/socialmedia07_100_normal.jpg" xr:uid="{C57C50BE-B97F-42DB-9595-AA1AF6492660}"/>
    <hyperlink ref="B357" r:id="rId1077" display="https://twitter.com/TaitaCap" xr:uid="{8ADFB851-CDCF-4621-92FA-E7570127CDA0}"/>
    <hyperlink ref="E357" r:id="rId1078" display="https://twitter.com/TaitaCap/status/723016505298923520" xr:uid="{F9F512FE-4546-48AF-A266-DFDDAE7E01C4}"/>
    <hyperlink ref="O357" r:id="rId1079" display="https://pbs.twimg.com/profile_images/441861706751291392/Z-HgWtQW_normal.png" xr:uid="{F69FA4DA-B725-4673-8423-DE50E6D123A4}"/>
    <hyperlink ref="B358" r:id="rId1080" display="https://twitter.com/calerliu" xr:uid="{FB6A4DD2-0B85-4FC2-91EC-92F3371E257D}"/>
    <hyperlink ref="E358" r:id="rId1081" display="https://twitter.com/calerliu/status/723016568360304640" xr:uid="{4E466807-1378-4E8B-B06F-73CE3C21BFFF}"/>
    <hyperlink ref="O358" r:id="rId1082" display="https://pbs.twimg.com/profile_images/581304253232222209/xA9FxzU4_normal.jpg" xr:uid="{53D3E01D-5350-4D33-A9FB-346B5D744BA4}"/>
    <hyperlink ref="P358" r:id="rId1083" location="25.04653,121.53201" display="http://ctrlq.org/maps/address/ - 25.04653,121.53201" xr:uid="{56303F15-159A-4550-A0BD-357CC8356479}"/>
    <hyperlink ref="B359" r:id="rId1084" display="https://twitter.com/MasAcuy" xr:uid="{EB7538C9-8CEE-44C6-A134-359682C09A5A}"/>
    <hyperlink ref="E359" r:id="rId1085" display="https://twitter.com/MasAcuy/status/723016595040292864" xr:uid="{4FEB0539-9AC9-4F0B-9990-AC48668D88EC}"/>
    <hyperlink ref="O359" r:id="rId1086" display="https://pbs.twimg.com/profile_images/714952023771385856/rd4udFP4_normal.jpg" xr:uid="{234E0D5A-A71D-499D-AC4F-5741DBE80CC9}"/>
    <hyperlink ref="B360" r:id="rId1087" display="https://twitter.com/kovermarroquin" xr:uid="{258D65AC-42A5-4B00-927D-F4CE912143E3}"/>
    <hyperlink ref="E360" r:id="rId1088" display="https://twitter.com/kovermarroquin/status/723016686648086528" xr:uid="{6375CDFF-511D-4CDC-9F65-4ACAA213BFF9}"/>
    <hyperlink ref="O360" r:id="rId1089" display="https://pbs.twimg.com/profile_images/585985662311989249/JuiH7935_normal.jpg" xr:uid="{3E6F9BE5-3015-4DD3-9A42-0E5B7BECC7FC}"/>
    <hyperlink ref="B361" r:id="rId1090" display="https://twitter.com/godmodetrader" xr:uid="{BF5F044F-E790-46FA-9322-75E5D941F4D3}"/>
    <hyperlink ref="C361" r:id="rId1091" xr:uid="{B4E4AC7F-FB56-4D5A-B3CB-1C4001120C22}"/>
    <hyperlink ref="E361" r:id="rId1092" display="https://twitter.com/godmodetrader/status/723017472572559360" xr:uid="{5411E00F-AA97-4F2C-8A63-61E06E296320}"/>
    <hyperlink ref="O361" r:id="rId1093" display="https://pbs.twimg.com/profile_images/466932117843095552/3U3jGoYm_normal.jpeg" xr:uid="{7E7A9F46-5413-4FDB-B84A-E7B40213E9C8}"/>
    <hyperlink ref="B362" r:id="rId1094" display="https://twitter.com/NurminenTapio" xr:uid="{1BDE7CCD-1B46-408D-BBDC-39CB5E9FB8B7}"/>
    <hyperlink ref="E362" r:id="rId1095" display="https://twitter.com/NurminenTapio/status/723017500141694976" xr:uid="{26513417-8E95-4768-9581-08EBAE8A9A1D}"/>
    <hyperlink ref="O362" r:id="rId1096" display="https://pbs.twimg.com/profile_images/723022210781351936/8F5B1xB5_normal.jpg" xr:uid="{2491F21F-5821-483B-B0F1-774D7CD6708A}"/>
    <hyperlink ref="B363" r:id="rId1097" display="https://twitter.com/CarlEReid" xr:uid="{0575E5DA-6125-4E20-A939-D2B8F6D4EBDB}"/>
    <hyperlink ref="E363" r:id="rId1098" display="https://twitter.com/CarlEReid/status/723018001927131136" xr:uid="{F2F2F6FD-204F-49AF-A1C6-2B814FFCD771}"/>
    <hyperlink ref="O363" r:id="rId1099" display="https://pbs.twimg.com/profile_images/689312198766804992/wcPsXoZ4_normal.jpg" xr:uid="{C7AECA4F-E93E-4981-88F1-8A6231489466}"/>
    <hyperlink ref="B364" r:id="rId1100" display="https://twitter.com/AmBeautifulShow" xr:uid="{B7F629D8-A9DE-43BC-9738-568945B5FBAA}"/>
    <hyperlink ref="E364" r:id="rId1101" display="https://twitter.com/AmBeautifulShow/status/723019203792375808" xr:uid="{CEF77DA3-E70D-428E-9250-27111A9EEA69}"/>
    <hyperlink ref="O364" r:id="rId1102" display="https://pbs.twimg.com/profile_images/701247809287286785/ZAA-TgHg_normal.jpg" xr:uid="{C79E647B-CCB5-4A28-8E93-03D21360E41A}"/>
    <hyperlink ref="B365" r:id="rId1103" display="https://twitter.com/Fumblkrusch" xr:uid="{FE8FE73B-100F-41C1-A9AD-C3991D1F0587}"/>
    <hyperlink ref="E365" r:id="rId1104" display="https://twitter.com/Fumblkrusch/status/723019355697500160" xr:uid="{BCC70B26-B9FA-4101-9186-D16C63587935}"/>
    <hyperlink ref="O365" r:id="rId1105" display="https://pbs.twimg.com/profile_images/581493900763893760/mHgaLoR5_normal.jpg" xr:uid="{E1E1EBE5-337C-4068-BA07-035E1F94F777}"/>
    <hyperlink ref="B366" r:id="rId1106" display="https://twitter.com/wznewsline" xr:uid="{1448D4E9-3870-4004-BB40-EB20DBCC0DCC}"/>
    <hyperlink ref="E366" r:id="rId1107" display="https://twitter.com/wznewsline/status/723019378866937856" xr:uid="{1C80E0B3-2A15-4C38-841A-97AFA57B9ED5}"/>
    <hyperlink ref="O366" r:id="rId1108" display="https://pbs.twimg.com/profile_images/619495022715645952/KN0iPdsN_normal.jpg" xr:uid="{D7260ADD-E7E4-4B17-826B-5DD2D68E2ED6}"/>
    <hyperlink ref="B367" r:id="rId1109" display="https://twitter.com/oldcar_photo" xr:uid="{25ACBE06-154A-4F60-A2B8-A3F20BEDD6DA}"/>
    <hyperlink ref="E367" r:id="rId1110" display="https://twitter.com/oldcar_photo/status/723020250015502336" xr:uid="{21A876AD-2581-48EF-AB49-AD7761DA7171}"/>
    <hyperlink ref="O367" r:id="rId1111" display="https://pbs.twimg.com/profile_images/615493650785660928/XHUh6HOk_normal.jpg" xr:uid="{21ABCB17-C5DE-486E-87E4-9E0D10001C6F}"/>
    <hyperlink ref="B368" r:id="rId1112" display="https://twitter.com/DMBRICH" xr:uid="{E9468B7A-800D-4101-A935-F123CA98AE3D}"/>
    <hyperlink ref="E368" r:id="rId1113" display="https://twitter.com/DMBRICH/status/723020423026241536" xr:uid="{319074BA-F0E1-483A-95E0-4326B571AC86}"/>
    <hyperlink ref="O368" r:id="rId1114" display="https://pbs.twimg.com/profile_images/2890202231/1b31352e84b062829a177f25ba0cfcfc_normal.png" xr:uid="{C497AE33-3DAA-4097-BD42-EA4ADAE59287}"/>
    <hyperlink ref="B369" r:id="rId1115" display="https://twitter.com/steffenbar" xr:uid="{25C05A5B-4C73-4F23-88C8-064A6B397302}"/>
    <hyperlink ref="E369" r:id="rId1116" display="https://twitter.com/steffenbar/status/723020599216496640" xr:uid="{ECDD7841-113C-4BB2-906E-FF1B65FCF7D1}"/>
    <hyperlink ref="N369" r:id="rId1117" xr:uid="{C6722D7D-2BDD-4B77-892A-A26B0D66144C}"/>
    <hyperlink ref="O369" r:id="rId1118" display="https://pbs.twimg.com/profile_images/715650786756313088/PPQ1ZdFd_normal.jpg" xr:uid="{A2FAC253-50C0-4497-A7E6-AD03AEF0F7BB}"/>
    <hyperlink ref="B370" r:id="rId1119" display="https://twitter.com/Ryan911T" xr:uid="{6B324369-6718-4A2F-948F-7C7EEC1DEA0C}"/>
    <hyperlink ref="E370" r:id="rId1120" display="https://twitter.com/Ryan911T/status/723021104588165120" xr:uid="{97FB74FF-D8D3-4DF5-A98A-6EB2E2AB7DC1}"/>
    <hyperlink ref="O370" r:id="rId1121" display="https://pbs.twimg.com/profile_images/684099411543101440/V_Lw58zf_normal.jpg" xr:uid="{1EBE6A95-D00C-4BCE-8651-336F4F1B6665}"/>
    <hyperlink ref="B371" r:id="rId1122" display="https://twitter.com/idriveexotic" xr:uid="{37F15128-E705-4BBF-81E5-0929A3E355DB}"/>
    <hyperlink ref="E371" r:id="rId1123" display="https://twitter.com/idriveexotic/status/723021106379132928" xr:uid="{FA17BAF9-C7E9-44BC-A396-E84632CC7EC6}"/>
    <hyperlink ref="O371" r:id="rId1124" display="https://pbs.twimg.com/profile_images/3704737815/c83da87d5dbea893be21848f6ac584e0_normal.jpeg" xr:uid="{5D32CAD6-74CC-4B9E-BECF-B2C23A18BDB4}"/>
    <hyperlink ref="B372" r:id="rId1125" display="https://twitter.com/motoexposure" xr:uid="{FFF6AEAD-6353-470A-8BB1-44966544510E}"/>
    <hyperlink ref="E372" r:id="rId1126" display="https://twitter.com/motoexposure/status/723021106685329408" xr:uid="{6F977E4B-6608-4DE9-9D81-93DE4FD8BE3D}"/>
    <hyperlink ref="O372" r:id="rId1127" display="https://pbs.twimg.com/profile_images/506526749669093376/KljjxBrL_normal.jpeg" xr:uid="{D7D949A4-BEAF-4276-9B83-7BB767ADCD9F}"/>
    <hyperlink ref="B373" r:id="rId1128" display="https://twitter.com/ThorstenRamus" xr:uid="{AA68575D-593A-4EA8-A10A-CB496206329B}"/>
    <hyperlink ref="E373" r:id="rId1129" display="https://twitter.com/ThorstenRamus/status/723021187064958976" xr:uid="{64F8058E-C162-4877-89A5-EF188D670E5B}"/>
    <hyperlink ref="O373" r:id="rId1130" display="https://pbs.twimg.com/profile_images/649160019590684676/25rXh6pN_normal.jpg" xr:uid="{943A1FFF-6599-4135-ADFE-977D6D5BA024}"/>
    <hyperlink ref="B374" r:id="rId1131" display="https://twitter.com/angelathompson5" xr:uid="{88E49F21-5198-4459-8802-D9769E29F9CF}"/>
    <hyperlink ref="E374" r:id="rId1132" display="https://twitter.com/angelathompson5/status/723021247139962880" xr:uid="{399E00EF-4273-45AD-AC25-9D95E01E50DF}"/>
    <hyperlink ref="O374" r:id="rId1133" display="https://pbs.twimg.com/profile_images/721594748243480576/gUBd3roe_normal.jpg" xr:uid="{96D6745A-1804-4C11-A9CF-46C0B37138FB}"/>
    <hyperlink ref="B375" r:id="rId1134" display="https://twitter.com/TheNewsBritain" xr:uid="{BEDF03CD-78AE-46BF-BFB6-C11F0C243951}"/>
    <hyperlink ref="E375" r:id="rId1135" display="https://twitter.com/TheNewsBritain/status/723021432175747072" xr:uid="{74EF1113-783C-4B33-A4F0-A53EAB6A112B}"/>
    <hyperlink ref="O375" r:id="rId1136" display="https://pbs.twimg.com/profile_images/619152026967113728/CD2TkgJc_normal.jpg" xr:uid="{07B151CB-E367-45D1-BBB1-1A6EC621B38D}"/>
    <hyperlink ref="B376" r:id="rId1137" display="https://twitter.com/OnlineCarReview" xr:uid="{AF26347F-3337-4EAA-8DD5-E86BDC466AAC}"/>
    <hyperlink ref="E376" r:id="rId1138" display="https://twitter.com/OnlineCarReview/status/723021589638303745" xr:uid="{57CA3786-065B-4B9F-BA72-E28F0C35DC00}"/>
    <hyperlink ref="O376" r:id="rId1139" display="https://pbs.twimg.com/profile_images/652871584131092480/QA_B6SBO_normal.jpg" xr:uid="{15F3FCE1-575C-4E99-9003-8741389B1C6D}"/>
    <hyperlink ref="B377" r:id="rId1140" display="https://twitter.com/VolkswagenPost" xr:uid="{F91806AA-1FCC-4439-9B0E-EA15A4D17020}"/>
    <hyperlink ref="E377" r:id="rId1141" display="https://twitter.com/VolkswagenPost/status/723021628850900993" xr:uid="{AEA8FDD0-3E08-425A-A08E-FD2042242DE2}"/>
    <hyperlink ref="O377" r:id="rId1142" display="https://pbs.twimg.com/profile_images/530071272881803264/a_jcCmPZ_normal.png" xr:uid="{E12AD1CB-EC4E-4F65-8239-92DED1AD2899}"/>
    <hyperlink ref="B378" r:id="rId1143" display="https://twitter.com/ebaycampervans" xr:uid="{6048FDAF-63FF-4B9C-9E20-6DDCF8A24AE1}"/>
    <hyperlink ref="E378" r:id="rId1144" display="https://twitter.com/ebaycampervans/status/723021877577285634" xr:uid="{BAACEE7A-3443-4846-8530-0063FCC320FE}"/>
    <hyperlink ref="O378" r:id="rId1145" display="https://pbs.twimg.com/profile_images/599357023407464449/BL9Bpo6T_normal.jpg" xr:uid="{4CC8D7EC-D116-4C8A-9995-89446FFB42A8}"/>
    <hyperlink ref="B379" r:id="rId1146" display="https://twitter.com/FlugelGewitter" xr:uid="{658929B0-8B08-4BC1-9B75-39307E376451}"/>
    <hyperlink ref="E379" r:id="rId1147" display="https://twitter.com/FlugelGewitter/status/723021912910270464" xr:uid="{3BDAE1A6-3744-41E8-87E6-D0705AB7EB5B}"/>
    <hyperlink ref="O379" r:id="rId1148" display="https://pbs.twimg.com/profile_images/650921239872147456/LYT4N0Me_normal.jpg" xr:uid="{48F4FEA8-00C9-46BB-AECD-543D8C136B51}"/>
    <hyperlink ref="B380" r:id="rId1149" display="https://twitter.com/RaiSuedtirol" xr:uid="{F2343164-BEE0-4FD4-9EFE-399652B653E5}"/>
    <hyperlink ref="E380" r:id="rId1150" display="https://twitter.com/RaiSuedtirol/status/723022828317085697" xr:uid="{DCB032E8-7FF0-40E3-8642-008AD7BF6480}"/>
    <hyperlink ref="O380" r:id="rId1151" display="https://pbs.twimg.com/profile_images/378800000827989310/a59e804b88caad138f48bd62e7a05b93_normal.jpeg" xr:uid="{6BAA9E90-17FA-4F33-A38E-8FD077DE032B}"/>
    <hyperlink ref="B381" r:id="rId1152" display="https://twitter.com/Stahlhammer" xr:uid="{90B805B4-A4C9-4A49-A736-4A80106CBE10}"/>
    <hyperlink ref="E381" r:id="rId1153" display="https://twitter.com/Stahlhammer/status/723023067681828864" xr:uid="{699261F7-6959-4EE6-9929-9D1B7E500E58}"/>
    <hyperlink ref="O381" r:id="rId1154" display="https://pbs.twimg.com/profile_images/603480066887127041/ZqzOY80Q_normal.jpg" xr:uid="{FB2D2B20-AF25-4ECF-933F-B473AD1524E7}"/>
    <hyperlink ref="B382" r:id="rId1155" display="https://twitter.com/Chaos_Be" xr:uid="{30C086A2-0E5B-4691-B508-F5B6C02124FF}"/>
    <hyperlink ref="E382" r:id="rId1156" display="https://twitter.com/Chaos_Be/status/723023113299083264" xr:uid="{A8564211-50E5-4E55-A5AC-479165ABD979}"/>
    <hyperlink ref="O382" r:id="rId1157" display="https://pbs.twimg.com/profile_images/715236149044887552/b9OGpOYu_normal.jpg" xr:uid="{54E1A20A-F80C-4A79-A3D1-19C4F6004D84}"/>
    <hyperlink ref="B383" r:id="rId1158" display="https://twitter.com/ldnsecuritysynd" xr:uid="{FA08991B-C80F-470B-A7BD-B48F6E375C38}"/>
    <hyperlink ref="E383" r:id="rId1159" display="https://twitter.com/ldnsecuritysynd/status/723023271525015552" xr:uid="{39A769FC-65EE-4F62-9C34-15C4EAD6A2E8}"/>
    <hyperlink ref="O383" r:id="rId1160" display="https://pbs.twimg.com/profile_images/593454474041102336/YZAKB69P_normal.jpg" xr:uid="{6D6C0F16-8925-4595-918D-32EBD11F8468}"/>
    <hyperlink ref="B384" r:id="rId1161" display="https://twitter.com/westfalenblatt" xr:uid="{94A4E76A-4826-4416-82E4-BFDAC863D8CF}"/>
    <hyperlink ref="E384" r:id="rId1162" display="https://twitter.com/westfalenblatt/status/723023304001343488" xr:uid="{77ED1F08-56BA-487F-B3E6-B9A889F10B36}"/>
    <hyperlink ref="O384" r:id="rId1163" display="https://pbs.twimg.com/profile_images/711933431207337984/h7mA8J-B_normal.jpg" xr:uid="{C1753772-932E-4844-9826-1DEE7F56BADD}"/>
    <hyperlink ref="B385" r:id="rId1164" display="https://twitter.com/stoneman_luke" xr:uid="{7BDFB920-2949-48F6-B735-F577760CD825}"/>
    <hyperlink ref="E385" r:id="rId1165" display="https://twitter.com/stoneman_luke/status/723023374390169601" xr:uid="{5DA81632-9FAE-4794-B5B5-802EA1E4CAD6}"/>
    <hyperlink ref="O385" r:id="rId1166" display="https://pbs.twimg.com/profile_images/644913065356562432/M0SOn6fS_normal.jpg" xr:uid="{C27524BA-6B15-49BA-B4BA-E702A1D84AEB}"/>
    <hyperlink ref="B386" r:id="rId1167" display="https://twitter.com/VWBeetleSales" xr:uid="{68ADA161-B059-4174-886B-05D66FBAFD5D}"/>
    <hyperlink ref="E386" r:id="rId1168" display="https://twitter.com/VWBeetleSales/status/723023729794539521" xr:uid="{63292469-BE87-41E1-8DA6-AFDC8C3BD0EF}"/>
    <hyperlink ref="F386" r:id="rId1169" xr:uid="{9A169CF9-B3AA-4D51-A9E2-0BDA2C6F94CB}"/>
    <hyperlink ref="O386" r:id="rId1170" display="https://pbs.twimg.com/profile_images/703294545195307008/qeCvrX86_normal.jpg" xr:uid="{BDC01FDD-8827-4309-9457-F5B1D38917AD}"/>
    <hyperlink ref="B387" r:id="rId1171" display="https://twitter.com/da010445" xr:uid="{D1C82E14-B9FA-4013-A946-7BD41E164DD6}"/>
    <hyperlink ref="E387" r:id="rId1172" display="https://twitter.com/da010445/status/723024020199759872" xr:uid="{672410BB-484E-40BE-AAC8-7D2C4DD467DD}"/>
    <hyperlink ref="O387" r:id="rId1173" display="https://pbs.twimg.com/profile_images/709312840293752832/LFjOEGaT_normal.jpg" xr:uid="{1801E104-858B-4C14-A957-01B79A7D43F0}"/>
    <hyperlink ref="B388" r:id="rId1174" display="https://twitter.com/KleinerNilsson" xr:uid="{E60FB786-F462-4C68-9636-E265644CA4D0}"/>
    <hyperlink ref="E388" r:id="rId1175" display="https://twitter.com/KleinerNilsson/status/723024276689936384" xr:uid="{934DB96F-D855-48B9-8147-2180A13C1B7F}"/>
    <hyperlink ref="O388" r:id="rId1176" display="https://pbs.twimg.com/profile_images/510474128579502080/cJ14WGd__normal.jpeg" xr:uid="{81975BF5-D35A-43D3-A691-6D2BC8291F71}"/>
    <hyperlink ref="B389" r:id="rId1177" display="https://twitter.com/yildirimege01" xr:uid="{CB5980B4-3F43-4CA3-A761-86E98EBC96BF}"/>
    <hyperlink ref="E389" r:id="rId1178" display="https://twitter.com/yildirimege01/status/723024324232372225" xr:uid="{3BC6B61B-79EF-4307-A0C2-0EC6557E1CA0}"/>
    <hyperlink ref="O389" r:id="rId1179" display="https://pbs.twimg.com/profile_images/697513772756398080/CEVTXuTq_normal.jpg" xr:uid="{D4D9DCBB-1DC7-401D-BC11-24F25692E22B}"/>
    <hyperlink ref="B390" r:id="rId1180" display="https://twitter.com/media_release" xr:uid="{DDF4BDEA-A6B3-40F9-B922-54F44F7D6769}"/>
    <hyperlink ref="C390" r:id="rId1181" xr:uid="{3290E6E8-B477-495F-9DF0-EC25EB4D6196}"/>
    <hyperlink ref="E390" r:id="rId1182" display="https://twitter.com/media_release/status/723024347707760640" xr:uid="{A92D4342-10D3-4BD0-A93B-76FA798102AB}"/>
    <hyperlink ref="O390" r:id="rId1183" display="https://pbs.twimg.com/profile_images/547849775983239168/FVCeQMac_normal.jpeg" xr:uid="{78EB6B4F-787F-492E-97DD-ED7DF592B3F3}"/>
    <hyperlink ref="B391" r:id="rId1184" display="https://twitter.com/SummerOfTuning" xr:uid="{20E40160-65ED-4FC6-84CC-7A4765B84977}"/>
    <hyperlink ref="E391" r:id="rId1185" display="https://twitter.com/SummerOfTuning/status/723024437075947520" xr:uid="{794B6100-7B2C-4EDF-A273-7597C1059AB5}"/>
    <hyperlink ref="O391" r:id="rId1186" display="https://pbs.twimg.com/profile_images/605054915308863488/4JlC_VKY_normal.jpg" xr:uid="{653B8E95-F9E7-4F1A-9CC1-2633B92DAF8E}"/>
    <hyperlink ref="B392" r:id="rId1187" display="https://twitter.com/Mlitze01" xr:uid="{6461E4DE-D57D-43AA-A70C-266191648077}"/>
    <hyperlink ref="E392" r:id="rId1188" display="https://twitter.com/Mlitze01/status/723024447381356548" xr:uid="{5CEC0B56-F5E2-46EC-AE16-5FA5C9CBFD55}"/>
    <hyperlink ref="O392" r:id="rId1189" display="https://pbs.twimg.com/profile_images/571414874254909441/B3cvD1Av_normal.jpeg" xr:uid="{AA1B99AB-96C0-4054-A496-900B266FBC5A}"/>
    <hyperlink ref="B393" r:id="rId1190" display="https://twitter.com/collam1020" xr:uid="{4B6921FC-8A89-4734-B1C8-6EDCF832F582}"/>
    <hyperlink ref="E393" r:id="rId1191" display="https://twitter.com/collam1020/status/723024530709614592" xr:uid="{DD41656F-4C11-4EE7-A46B-2556DF4FBF12}"/>
    <hyperlink ref="O393" r:id="rId1192" display="https://pbs.twimg.com/profile_images/715773615212507137/4pE52DAT_normal.jpg" xr:uid="{A2A4C396-708F-4C2A-A600-D6157D36B40D}"/>
    <hyperlink ref="B394" r:id="rId1193" display="https://twitter.com/DeezaSunglasses" xr:uid="{FDF568DF-E6FC-4027-9073-1F3E87C2DEB6}"/>
    <hyperlink ref="E394" r:id="rId1194" display="https://twitter.com/DeezaSunglasses/status/723024838013661184" xr:uid="{EFE6E1A3-8DFB-49EC-B665-96EC1FC2596F}"/>
    <hyperlink ref="O394" r:id="rId1195" display="https://pbs.twimg.com/profile_images/681930519152619524/O4FX8h-k_normal.jpg" xr:uid="{5E18E3D5-C6DF-48C6-91C2-484A368CD059}"/>
    <hyperlink ref="B395" r:id="rId1196" display="https://twitter.com/DJJEZZ" xr:uid="{E388298B-54C1-45AB-AE82-5F5ECAA5DAA1}"/>
    <hyperlink ref="E395" r:id="rId1197" display="https://twitter.com/DJJEZZ/status/723024979730665473" xr:uid="{CBB604BF-D8DB-43AE-A151-A3249FAF9B5A}"/>
    <hyperlink ref="O395" r:id="rId1198" display="https://pbs.twimg.com/profile_images/709900455934038020/6MH7FXB7_normal.jpg" xr:uid="{F0BE6489-E600-4927-A37A-076AC939F25C}"/>
    <hyperlink ref="B396" r:id="rId1199" display="https://twitter.com/rpo_wirtschaft" xr:uid="{8347B4AA-3D88-43D8-BF8C-CFB2327420C9}"/>
    <hyperlink ref="E396" r:id="rId1200" display="https://twitter.com/rpo_wirtschaft/status/723025224082554880" xr:uid="{41922D16-241E-40D6-AD4A-E5BB2CB71C77}"/>
    <hyperlink ref="O396" r:id="rId1201" display="https://pbs.twimg.com/profile_images/62751185/logo_rp_normal.gif" xr:uid="{A451DAA3-F47F-4DD2-B6CA-2D39BAA485DB}"/>
    <hyperlink ref="B397" r:id="rId1202" display="https://twitter.com/rponline" xr:uid="{5A5A3332-8778-4320-B411-9B43A864D0D2}"/>
    <hyperlink ref="E397" r:id="rId1203" display="https://twitter.com/rponline/status/723025449543196672" xr:uid="{70244BAA-4F5A-4751-A3EF-2260A06CF6B2}"/>
    <hyperlink ref="O397" r:id="rId1204" display="https://pbs.twimg.com/profile_images/691967023258210304/J22K4Bad_normal.png" xr:uid="{FB018EE2-2BBF-4E18-8611-ACFE7B096A9F}"/>
    <hyperlink ref="B398" r:id="rId1205" display="https://twitter.com/ohchisock" xr:uid="{C8FF06E9-504A-4235-B2C0-2B1F6828B763}"/>
    <hyperlink ref="E398" r:id="rId1206" display="https://twitter.com/ohchisock/status/723025597417578496" xr:uid="{C7CE1A94-078E-48B2-BACC-B09309C99A29}"/>
    <hyperlink ref="O398" r:id="rId1207" display="https://pbs.twimg.com/profile_images/722506002373963776/G7islOV8_normal.jpg" xr:uid="{16BC6759-35AB-42D2-9F85-EF5CE3184A71}"/>
    <hyperlink ref="B399" r:id="rId1208" display="https://twitter.com/WynfordE" xr:uid="{D2A3D9F7-E8FA-4C84-8E77-0CBBDDB767B7}"/>
    <hyperlink ref="E399" r:id="rId1209" display="https://twitter.com/WynfordE/status/723025678308913152" xr:uid="{FE08B979-A496-4482-86FA-133C3DDC6E3A}"/>
    <hyperlink ref="O399" r:id="rId1210" display="https://pbs.twimg.com/profile_images/553587831558246400/76qHyAQL_normal.jpeg" xr:uid="{967F6E4A-10E8-437C-BD96-62FFBB2D0718}"/>
    <hyperlink ref="B400" r:id="rId1211" display="https://twitter.com/apronline" xr:uid="{A45B9765-23E3-4B37-9C91-3EA8C7578460}"/>
    <hyperlink ref="E400" r:id="rId1212" display="https://twitter.com/apronline/status/723025708688101376" xr:uid="{04983257-C222-4EB5-91FD-5E728B99762D}"/>
    <hyperlink ref="O400" r:id="rId1213" display="https://pbs.twimg.com/profile_images/1249555569/apr_twitter_normal.jpg" xr:uid="{AD3AE5D8-829B-4803-B3A0-8F5BCE70D784}"/>
    <hyperlink ref="B401" r:id="rId1214" display="https://twitter.com/LievenDeswaef" xr:uid="{9CFF8124-813F-4D93-96C5-3AC572C86BA2}"/>
    <hyperlink ref="E401" r:id="rId1215" display="https://twitter.com/LievenDeswaef/status/723025806616854529" xr:uid="{1786D2E8-63C2-4585-ADF2-FEDBED8D55F5}"/>
    <hyperlink ref="O401" r:id="rId1216" display="https://pbs.twimg.com/profile_images/1685667191/Foto_1_normal.jpg" xr:uid="{09FB1329-BBC3-4088-B452-13F5F8C58DCC}"/>
    <hyperlink ref="B402" r:id="rId1217" display="https://twitter.com/Scirocco_Tuning" xr:uid="{632D041D-09CD-44AE-9680-2FE5851555E9}"/>
    <hyperlink ref="E402" r:id="rId1218" display="https://twitter.com/Scirocco_Tuning/status/723025935541350400" xr:uid="{4DA1CF2B-0541-4878-9E35-552DA525F578}"/>
    <hyperlink ref="O402" r:id="rId1219" display="https://pbs.twimg.com/profile_images/1610421423/Image2_normal.jpg" xr:uid="{F7F80D9D-7BBC-4D70-91D1-318282514FDA}"/>
    <hyperlink ref="B403" r:id="rId1220" display="https://twitter.com/PedroJ_Cuestas" xr:uid="{D2B0D1CD-7D50-4EC7-AA92-1A498A7B8CE1}"/>
    <hyperlink ref="E403" r:id="rId1221" display="https://twitter.com/PedroJ_Cuestas/status/723026455177879552" xr:uid="{12650951-459C-4A0E-AE75-37E6FBAC0B79}"/>
    <hyperlink ref="O403" r:id="rId1222" display="https://pbs.twimg.com/profile_images/691874663518097409/iKVhggqL_normal.jpg" xr:uid="{B2F9062B-A37C-4A56-A4BD-CE844F85A9B0}"/>
    <hyperlink ref="B404" r:id="rId1223" display="https://twitter.com/Werner__Venter" xr:uid="{1652A67E-A09A-462B-83A7-B230122CE56F}"/>
    <hyperlink ref="E404" r:id="rId1224" display="https://twitter.com/Werner__Venter/status/723026525474402304" xr:uid="{707164C2-D88C-405E-B938-8E76CA12A785}"/>
    <hyperlink ref="O404" r:id="rId1225" display="https://pbs.twimg.com/profile_images/573472540397584384/QBM3YPvp_normal.jpeg" xr:uid="{608C6A1C-21E9-4150-B081-DBEF7A0EF182}"/>
    <hyperlink ref="B405" r:id="rId1226" display="https://twitter.com/Stadtpirat" xr:uid="{C36AAF12-B230-49DF-AABB-CAED87FD9AF2}"/>
    <hyperlink ref="E405" r:id="rId1227" display="https://twitter.com/Stadtpirat/status/723026615073169408" xr:uid="{4717B02C-61C3-406A-B03A-FF6154BA3AED}"/>
    <hyperlink ref="O405" r:id="rId1228" display="https://pbs.twimg.com/profile_images/883241100/_LQ_normal.png" xr:uid="{7B256F5E-5194-44B9-BEEC-78A11753D64C}"/>
    <hyperlink ref="B406" r:id="rId1229" display="https://twitter.com/Mrmacmax92" xr:uid="{FA19C417-8E90-44E9-BF8F-58AC7803B874}"/>
    <hyperlink ref="E406" r:id="rId1230" display="https://twitter.com/Mrmacmax92/status/723026809428815872" xr:uid="{3CAC7E72-2088-4C71-8C2B-6A4D8159ECC6}"/>
    <hyperlink ref="O406" r:id="rId1231" display="https://pbs.twimg.com/profile_images/491952742551015426/Jwy076--_normal.jpeg" xr:uid="{58452B61-7426-4B50-AE1A-EC841BFE072F}"/>
    <hyperlink ref="B407" r:id="rId1232" display="https://twitter.com/alletun" xr:uid="{2A64C7B1-B395-492C-829C-8860E3C80F44}"/>
    <hyperlink ref="E407" r:id="rId1233" display="https://twitter.com/alletun/status/723026856492945409" xr:uid="{D5B4A420-FF34-41F4-A90A-91195E268332}"/>
    <hyperlink ref="O407" r:id="rId1234" display="https://pbs.twimg.com/profile_images/558535484582793216/1YKaWa1i_normal.jpeg" xr:uid="{E9E13A8F-BA88-4F5D-8B7B-5A66B4AC8AF6}"/>
    <hyperlink ref="B408" r:id="rId1235" display="https://twitter.com/ACPCarnegie" xr:uid="{903E81F0-6E31-4840-B8EA-D508D4B6A0ED}"/>
    <hyperlink ref="E408" r:id="rId1236" display="https://twitter.com/ACPCarnegie/status/723027454374322176" xr:uid="{089A00CB-189D-43D3-A467-053FE3CEEA3D}"/>
    <hyperlink ref="O408" r:id="rId1237" display="https://pbs.twimg.com/profile_images/540819462514311168/gAcZ1aEd_normal.jpeg" xr:uid="{F48963A9-1822-41DD-A79F-01F52C2063AD}"/>
    <hyperlink ref="B409" r:id="rId1238" display="https://twitter.com/Glaur2Laurent" xr:uid="{7D7534AA-25EC-4DF0-BD85-D391D4068775}"/>
    <hyperlink ref="E409" r:id="rId1239" display="https://twitter.com/Glaur2Laurent/status/723027575401025536" xr:uid="{854FF7EB-F230-4E26-8DE8-919E86797203}"/>
    <hyperlink ref="O409" r:id="rId1240" display="https://pbs.twimg.com/profile_images/680846089575084034/pf0_Xgt3_normal.jpg" xr:uid="{8D2374CF-7781-4D1D-99F3-3E47F867884A}"/>
    <hyperlink ref="B410" r:id="rId1241" display="https://twitter.com/techhippie" xr:uid="{7B471543-6B46-422E-8DF3-6008B8CDE812}"/>
    <hyperlink ref="E410" r:id="rId1242" display="https://twitter.com/techhippie/status/723027622855364608" xr:uid="{F141822B-BEF1-432E-9DCF-B98B88DB9567}"/>
    <hyperlink ref="O410" r:id="rId1243" display="https://pbs.twimg.com/profile_images/702511217793863680/lty8h9vE_normal.jpg" xr:uid="{6A02A9F2-3F99-4089-82CD-89DEF7C51BB5}"/>
    <hyperlink ref="B411" r:id="rId1244" display="https://twitter.com/techhippie" xr:uid="{98EF37E7-8DD3-4D5B-82C0-3A2A34F8CCA1}"/>
    <hyperlink ref="E411" r:id="rId1245" display="https://twitter.com/techhippie/status/723027638609129472" xr:uid="{39A19C01-840E-4D69-BE21-A0BED2CAEE7D}"/>
    <hyperlink ref="O411" r:id="rId1246" display="https://pbs.twimg.com/profile_images/702511217793863680/lty8h9vE_normal.jpg" xr:uid="{C5545B56-45A7-40D4-83FE-4CBD979DF4E5}"/>
    <hyperlink ref="B412" r:id="rId1247" display="https://twitter.com/Stefmaster5" xr:uid="{FC5BCDF1-61DB-4A6C-BBD0-71613C7887C4}"/>
    <hyperlink ref="E412" r:id="rId1248" display="https://twitter.com/Stefmaster5/status/723027764115333120" xr:uid="{DE9B8CF2-D25C-414B-B017-AE421A41B62C}"/>
    <hyperlink ref="O412" r:id="rId1249" display="https://pbs.twimg.com/profile_images/703271910138896384/3J2VGGFX_normal.jpg" xr:uid="{D7BDCA8A-41C5-4338-A4DD-B0916F07E6C8}"/>
    <hyperlink ref="B413" r:id="rId1250" display="https://twitter.com/gaddap" xr:uid="{35D71889-14CC-4464-A9D1-BFB78DCB6F54}"/>
    <hyperlink ref="E413" r:id="rId1251" display="https://twitter.com/gaddap/status/723027943266521088" xr:uid="{BF3899F2-5925-4A59-999E-6B029F28F924}"/>
    <hyperlink ref="O413" r:id="rId1252" display="https://pbs.twimg.com/profile_images/378800000541986952/888c793741006a5f978416077e1b2b00_normal.jpeg" xr:uid="{89F25328-3265-4C91-87ED-5A94442A87E7}"/>
    <hyperlink ref="B414" r:id="rId1253" display="https://twitter.com/cmbautomotive" xr:uid="{15497C54-D79D-45D0-AE06-1BC4756E858E}"/>
    <hyperlink ref="E414" r:id="rId1254" display="https://twitter.com/cmbautomotive/status/723028042784841728" xr:uid="{9DD5128E-B420-4966-B2D7-FBE72E257ED8}"/>
    <hyperlink ref="O414" r:id="rId1255" display="https://pbs.twimg.com/profile_images/611551355707240448/Nv7_c41P_normal.jpg" xr:uid="{6453963F-DFE2-4C50-B001-F86F910DDAB7}"/>
    <hyperlink ref="B415" r:id="rId1256" display="https://twitter.com/deutch_az" xr:uid="{17AD5594-6015-4D80-8684-63A7899725B1}"/>
    <hyperlink ref="E415" r:id="rId1257" display="https://twitter.com/deutch_az/status/723028249639444480" xr:uid="{764592D5-8829-44B8-B067-9CA31208F0A0}"/>
    <hyperlink ref="O415" r:id="rId1258" display="https://pbs.twimg.com/profile_images/659295730222280705/W1FqHCVo_normal.jpg" xr:uid="{8A8F3670-2D2E-45F9-BEC7-59027B2CFBB5}"/>
    <hyperlink ref="B416" r:id="rId1259" display="https://twitter.com/ragsforex" xr:uid="{694054A9-79DB-4D36-A612-815FF36B9D3A}"/>
    <hyperlink ref="E416" r:id="rId1260" display="https://twitter.com/ragsforex/status/723028389062316033" xr:uid="{DEA90CF5-E3FE-4383-97D5-8D45892E2182}"/>
    <hyperlink ref="O416" r:id="rId1261" display="https://pbs.twimg.com/profile_images/723196900162342913/o0iey4an_normal.jpg" xr:uid="{816E7CD0-F436-4FF1-9137-A52D9AEEE38A}"/>
    <hyperlink ref="B417" r:id="rId1262" display="https://twitter.com/DhakaTribune" xr:uid="{B715C923-94C8-4870-8BB5-4ABBE36B93BD}"/>
    <hyperlink ref="E417" r:id="rId1263" display="https://twitter.com/DhakaTribune/status/723028577327804419" xr:uid="{122D3A9D-2C43-4C34-8E82-1568ED81448E}"/>
    <hyperlink ref="O417" r:id="rId1264" display="https://pbs.twimg.com/profile_images/3514281595/3692f510c22e1434a52e6dbabeae58ce_normal.png" xr:uid="{0CA8E991-EB98-4D79-9DB6-52536EFBE7E1}"/>
    <hyperlink ref="B418" r:id="rId1265" display="https://twitter.com/wiwo" xr:uid="{975AC04F-4A12-43C3-8DAA-928A536DE1F4}"/>
    <hyperlink ref="E418" r:id="rId1266" display="https://twitter.com/wiwo/status/723029421100163073" xr:uid="{D30E231E-0DAA-4436-BFF9-9465811434A6}"/>
    <hyperlink ref="O418" r:id="rId1267" display="https://pbs.twimg.com/profile_images/596378323128836096/23C3DVmy_normal.jpg" xr:uid="{2A7846C2-D2E7-458C-8810-5F558352B47D}"/>
    <hyperlink ref="B419" r:id="rId1268" display="https://twitter.com/donaukurier" xr:uid="{02C528DB-3B4A-4686-AB20-46D42B918B55}"/>
    <hyperlink ref="C419" r:id="rId1269" xr:uid="{30F3EA4D-3E84-45AE-A4EE-18BAACDF9305}"/>
    <hyperlink ref="E419" r:id="rId1270" display="https://twitter.com/donaukurier/status/723030506057531392" xr:uid="{627626DD-39EE-4D71-B4EB-CD4841AD1198}"/>
    <hyperlink ref="O419" r:id="rId1271" display="https://pbs.twimg.com/profile_images/453883735738310657/v_R7tMWg_normal.jpeg" xr:uid="{B4357ED5-C6E3-46A5-8961-685530C463E4}"/>
    <hyperlink ref="B420" r:id="rId1272" display="https://twitter.com/VWBeetleSales" xr:uid="{6EAE943B-3CAD-42C7-A3A0-F429082DE31D}"/>
    <hyperlink ref="E420" r:id="rId1273" display="https://twitter.com/VWBeetleSales/status/723030532490022912" xr:uid="{209BA4AA-6C86-49B5-AECD-584AF3130C45}"/>
    <hyperlink ref="F420" r:id="rId1274" xr:uid="{4C3C12CA-8C2A-40E5-AB88-C21E02B0811B}"/>
    <hyperlink ref="O420" r:id="rId1275" display="https://pbs.twimg.com/profile_images/703294545195307008/qeCvrX86_normal.jpg" xr:uid="{4E000F3E-E485-4BE0-A7E4-967DE29A0052}"/>
    <hyperlink ref="B421" r:id="rId1276" display="https://twitter.com/IFeelPossessed" xr:uid="{BB313459-4ED9-4A9D-9155-99274F8204F3}"/>
    <hyperlink ref="E421" r:id="rId1277" display="https://twitter.com/IFeelPossessed/status/723030993083502592" xr:uid="{B06E80DD-FE26-4AA3-9FC2-EC1B408CD472}"/>
    <hyperlink ref="O421" r:id="rId1278" display="https://pbs.twimg.com/profile_images/602201660635652097/MOKTWd4d_normal.jpg" xr:uid="{D9CC0837-4264-4CC3-8B0C-5F413CEF6D55}"/>
    <hyperlink ref="B422" r:id="rId1279" display="https://twitter.com/ChristianKreb" xr:uid="{7D842D30-5332-4D8E-927B-0E7C6D5554F3}"/>
    <hyperlink ref="E422" r:id="rId1280" display="https://twitter.com/ChristianKreb/status/723031285711642624" xr:uid="{4403915D-F048-4ABC-B353-5B9024C1C95B}"/>
    <hyperlink ref="O422" r:id="rId1281" display="https://pbs.twimg.com/profile_images/718049797077352448/j32g6Rzn_normal.jpg" xr:uid="{A60B025B-58AB-4E76-8E0E-95940028F0C2}"/>
    <hyperlink ref="B423" r:id="rId1282" display="https://twitter.com/AchillePrick" xr:uid="{2D71CD0A-00D1-4451-9542-C9FF4ECB96ED}"/>
    <hyperlink ref="E423" r:id="rId1283" display="https://twitter.com/AchillePrick/status/723031498505351168" xr:uid="{814CB6BC-6587-4CA7-974E-2DC1B500943C}"/>
    <hyperlink ref="O423" r:id="rId1284" display="https://pbs.twimg.com/profile_images/630378503/AchilleNos_normal.jpg" xr:uid="{F18D266A-66E7-49B3-AAD8-BEE739472A96}"/>
    <hyperlink ref="B424" r:id="rId1285" display="https://twitter.com/MERIAUXL" xr:uid="{43F7F3D2-1A35-4DC1-931A-D9F9353FCC7F}"/>
    <hyperlink ref="E424" r:id="rId1286" display="https://twitter.com/MERIAUXL/status/723031853775642625" xr:uid="{F2A2FF9F-1EDD-4039-BFC3-5F04993E6E3F}"/>
    <hyperlink ref="O424" r:id="rId1287" display="https://pbs.twimg.com/profile_images/657801345097990144/7uTTqbdA_normal.jpg" xr:uid="{30D8823C-22B3-4569-9F63-18C4846601D9}"/>
    <hyperlink ref="B425" r:id="rId1288" display="https://twitter.com/VolkerVotsmeier" xr:uid="{EB0EF44E-38C6-4FCC-92A9-F27B4EE5994D}"/>
    <hyperlink ref="E425" r:id="rId1289" display="https://twitter.com/VolkerVotsmeier/status/723032551971909634" xr:uid="{6FA67BD1-6EC4-4BBF-B7F5-D3AB2826BFEB}"/>
    <hyperlink ref="O425" r:id="rId1290" display="https://pbs.twimg.com/profile_images/507897198911053824/7OqYAonJ_normal.jpeg" xr:uid="{DB30DEB9-568E-4513-9D33-6AF248CC85C3}"/>
    <hyperlink ref="B426" r:id="rId1291" display="https://twitter.com/Speak_EV" xr:uid="{B7E00C6D-BA26-4914-871B-A2C57D70EB38}"/>
    <hyperlink ref="E426" r:id="rId1292" display="https://twitter.com/Speak_EV/status/723032558733262848" xr:uid="{EBA48CA7-B207-44DB-90FA-0B9BE4C15ED7}"/>
    <hyperlink ref="O426" r:id="rId1293" display="https://pbs.twimg.com/profile_images/378800000383656962/389f4a2062ec3c75e130fd84590d969c_normal.png" xr:uid="{7301385D-4E56-4702-93D6-D0E255997F1F}"/>
    <hyperlink ref="B427" r:id="rId1294" display="https://twitter.com/boerseARD" xr:uid="{D87240A0-5619-496E-8EB7-89848EDE15B2}"/>
    <hyperlink ref="E427" r:id="rId1295" display="https://twitter.com/boerseARD/status/723032920030478336" xr:uid="{D75A2136-D4B7-40BD-99CF-35C1E07D62EC}"/>
    <hyperlink ref="O427" r:id="rId1296" display="https://pbs.twimg.com/profile_images/666163579700277248/vIv69HhR_normal.jpg" xr:uid="{DC491436-875B-4C01-BBAB-4D7BDE63E9AD}"/>
    <hyperlink ref="B428" r:id="rId1297" display="https://twitter.com/handelsblatt" xr:uid="{BC09A97A-9E41-4BD7-8206-AA5C0076D9AE}"/>
    <hyperlink ref="E428" r:id="rId1298" display="https://twitter.com/handelsblatt/status/723033068148260864" xr:uid="{010A5238-7097-46BD-8D1D-6C81B5A93664}"/>
    <hyperlink ref="O428" r:id="rId1299" display="https://pbs.twimg.com/profile_images/562563461171798017/AkHF4keI_normal.png" xr:uid="{3246A7C3-C048-4F32-8581-058DFB64C1E2}"/>
    <hyperlink ref="B429" r:id="rId1300" display="https://twitter.com/NancyCNBC" xr:uid="{92C0EBF7-36F7-481B-BCE2-2C21142C16D1}"/>
    <hyperlink ref="E429" r:id="rId1301" display="https://twitter.com/NancyCNBC/status/723033112054112257" xr:uid="{9CEF456E-75C0-42FE-8163-906561AA2413}"/>
    <hyperlink ref="O429" r:id="rId1302" display="https://pbs.twimg.com/profile_images/715557322471444481/wBjLQge8_normal.jpg" xr:uid="{73848B13-C073-4907-885C-23CBC854EDC6}"/>
    <hyperlink ref="B430" r:id="rId1303" display="https://twitter.com/raulubian" xr:uid="{914C35BD-C9F2-4FE9-9A7D-D3DE8050E080}"/>
    <hyperlink ref="E430" r:id="rId1304" display="https://twitter.com/raulubian/status/723033365302091776" xr:uid="{4058D018-5579-4F08-B8F9-DD198569C972}"/>
    <hyperlink ref="O430" r:id="rId1305" display="https://pbs.twimg.com/profile_images/1756710768/image_normal.jpg" xr:uid="{A40763AA-211D-45D6-B9F7-F2D4C160C9D8}"/>
    <hyperlink ref="B431" r:id="rId1306" display="https://twitter.com/dtb200" xr:uid="{64F4FDFC-6228-4F72-A99A-1FE192225128}"/>
    <hyperlink ref="E431" r:id="rId1307" display="https://twitter.com/dtb200/status/723034245657034752" xr:uid="{96ED9408-284F-4C13-AA78-503B4C216655}"/>
    <hyperlink ref="O431" r:id="rId1308" display="https://pbs.twimg.com/profile_images/567406246412574720/L8XUd18r_normal.png" xr:uid="{E065BA2A-950F-45DC-994D-41076314349D}"/>
    <hyperlink ref="B432" r:id="rId1309" display="https://twitter.com/ksta_news" xr:uid="{C8337B08-077C-4F89-9E7B-10A3FDB04DC3}"/>
    <hyperlink ref="C432" r:id="rId1310" xr:uid="{FC4AAF1C-702C-4C41-A752-CC9B2ED31076}"/>
    <hyperlink ref="E432" r:id="rId1311" display="https://twitter.com/ksta_news/status/723034533256421376" xr:uid="{5774279D-CF5E-4EDE-823D-78EB6270CF13}"/>
    <hyperlink ref="O432" r:id="rId1312" display="https://pbs.twimg.com/profile_images/2323790201/ctdn7vtih30fwf5dcx8z_normal.jpeg" xr:uid="{BC9C1170-1E59-4F24-BAF1-B674A4EEF018}"/>
    <hyperlink ref="B433" r:id="rId1313" display="https://twitter.com/CreditChemist" xr:uid="{37258603-1CE0-403A-BEED-465645BA9CB8}"/>
    <hyperlink ref="E433" r:id="rId1314" display="https://twitter.com/CreditChemist/status/723034866149896192" xr:uid="{F69D7C8E-C040-4A0D-8D12-2C0F292AEC59}"/>
    <hyperlink ref="O433" r:id="rId1315" display="https://pbs.twimg.com/profile_images/700071746502791169/Bo6w2SEg_normal.jpg" xr:uid="{DE45CC85-B747-4973-A34A-967D907FEB41}"/>
    <hyperlink ref="B434" r:id="rId1316" display="https://twitter.com/oleh_matsko" xr:uid="{55894F73-80F1-462D-93F2-A0B568AB992A}"/>
    <hyperlink ref="E434" r:id="rId1317" display="https://twitter.com/oleh_matsko/status/723035102154993664" xr:uid="{5FAEE5A6-8A07-4F83-B627-58A4C3EC6359}"/>
    <hyperlink ref="O434" r:id="rId1318" display="https://pbs.twimg.com/profile_images/720167656918265856/pDmDLCWP_normal.jpg" xr:uid="{1523592C-099F-494D-BEFE-69066B0F1D8F}"/>
    <hyperlink ref="B435" r:id="rId1319" display="https://twitter.com/raulubian" xr:uid="{EF0C0EA8-3262-4F52-96E5-FB495C132B0E}"/>
    <hyperlink ref="E435" r:id="rId1320" display="https://twitter.com/raulubian/status/723035460205981696" xr:uid="{4BB069C4-2515-4FB7-977A-74106659F55E}"/>
    <hyperlink ref="O435" r:id="rId1321" display="https://pbs.twimg.com/profile_images/1756710768/image_normal.jpg" xr:uid="{FA2F36BA-DCC7-4DE2-829D-F61457EA88EF}"/>
    <hyperlink ref="B436" r:id="rId1322" display="https://twitter.com/aktionaer" xr:uid="{426E9495-9F9E-4C4E-9079-EE717F234CE5}"/>
    <hyperlink ref="E436" r:id="rId1323" display="https://twitter.com/aktionaer/status/723035470863589376" xr:uid="{55EED815-CA68-4CD2-B517-8C0E2F7E9279}"/>
    <hyperlink ref="O436" r:id="rId1324" display="https://pbs.twimg.com/profile_images/679552623641509888/_vPw9IS2_normal.png" xr:uid="{F0709838-6347-481F-B61B-8D4DF63E8707}"/>
    <hyperlink ref="B437" r:id="rId1325" display="https://twitter.com/reutersBenHir" xr:uid="{33D15CEE-842D-4B68-B74E-661475E01727}"/>
    <hyperlink ref="E437" r:id="rId1326" display="https://twitter.com/reutersBenHir/status/723035796169576452" xr:uid="{97512C02-FC86-49D3-8DA8-9CAA9C6B848A}"/>
    <hyperlink ref="O437" r:id="rId1327" display="https://pbs.twimg.com/profile_images/668968842/Venice_pic_normal.jpg" xr:uid="{C82A006D-5A1A-4540-85BA-00666685386F}"/>
    <hyperlink ref="B438" r:id="rId1328" display="https://twitter.com/VWCamperSales" xr:uid="{F1E2CB1A-9FE5-468A-8035-49A6CBBCCACE}"/>
    <hyperlink ref="E438" r:id="rId1329" display="https://twitter.com/VWCamperSales/status/723035826779639809" xr:uid="{1939B2F6-0C29-4060-AB90-357B3E1C688F}"/>
    <hyperlink ref="F438" r:id="rId1330" xr:uid="{D909B52F-FA5D-4F3A-AD0A-5548FC792DCE}"/>
    <hyperlink ref="O438" r:id="rId1331" display="https://pbs.twimg.com/profile_images/627949001179037696/skEBkS05_normal.jpg" xr:uid="{7D0F8BD2-F02E-4977-87DD-E9650A3614C5}"/>
    <hyperlink ref="B439" r:id="rId1332" display="https://twitter.com/VWCamperSales" xr:uid="{A7A67FC9-EDAA-40FA-9A6D-294FFE68049E}"/>
    <hyperlink ref="E439" r:id="rId1333" display="https://twitter.com/VWCamperSales/status/723035833620533248" xr:uid="{27BB33C7-6BA0-483D-A0FD-14278C6096E4}"/>
    <hyperlink ref="F439" r:id="rId1334" xr:uid="{D7C9E34C-0887-4F4C-816E-40A2C4C7E3D0}"/>
    <hyperlink ref="O439" r:id="rId1335" display="https://pbs.twimg.com/profile_images/627949001179037696/skEBkS05_normal.jpg" xr:uid="{B5198B0C-5E0E-4378-A4D4-EB1180F2FBE4}"/>
    <hyperlink ref="B440" r:id="rId1336" display="https://twitter.com/bradshaw_sw" xr:uid="{AC1D5589-F08C-446C-B8D3-AB4B0EE327F9}"/>
    <hyperlink ref="E440" r:id="rId1337" display="https://twitter.com/bradshaw_sw/status/723036272797880320" xr:uid="{3AE670D7-0DE5-4ECA-91BD-2B78A191A3A7}"/>
    <hyperlink ref="O440" r:id="rId1338" display="https://pbs.twimg.com/profile_images/643481656960155648/NZK8ZbDk_normal.jpg" xr:uid="{2EE2F1A7-18D0-41E0-B9CD-59CC0FC188CB}"/>
    <hyperlink ref="B441" r:id="rId1339" display="https://twitter.com/IOLmotoring" xr:uid="{41781619-0516-4F8B-9ED1-F7E36AF8CC52}"/>
    <hyperlink ref="E441" r:id="rId1340" display="https://twitter.com/IOLmotoring/status/723036644463378432" xr:uid="{07F21AB1-8010-400B-BF15-659BD58E29C7}"/>
    <hyperlink ref="O441" r:id="rId1341" display="https://pbs.twimg.com/profile_images/690476388189671424/Y8ZTnKpu_normal.jpg" xr:uid="{CC838257-E93A-48DB-82FC-0A991C293802}"/>
    <hyperlink ref="B442" r:id="rId1342" display="https://twitter.com/StZ_NEWS" xr:uid="{1FB09009-2101-45E1-8071-68B93C711E3F}"/>
    <hyperlink ref="E442" r:id="rId1343" display="https://twitter.com/StZ_NEWS/status/723036711429758976" xr:uid="{46347D54-D0C3-4297-A154-940DAB02C711}"/>
    <hyperlink ref="O442" r:id="rId1344" display="https://pbs.twimg.com/profile_images/2161429802/stz_gross_normal.jpg" xr:uid="{6FC3258F-C0C2-4B63-9C86-6E2943014836}"/>
    <hyperlink ref="B443" r:id="rId1345" display="https://twitter.com/tgc_bs" xr:uid="{B59FF065-F211-4BEC-B598-AB6F12805AEA}"/>
    <hyperlink ref="E443" r:id="rId1346" display="https://twitter.com/tgc_bs/status/723037063193473024" xr:uid="{64A088EF-3C99-4330-BA7B-A6CB5FD386B0}"/>
    <hyperlink ref="O443" r:id="rId1347" display="https://pbs.twimg.com/profile_images/511276789013159936/8V47OVvR_normal.jpeg" xr:uid="{CFBF9585-83EF-4884-9041-C31FB9609E83}"/>
    <hyperlink ref="P443" r:id="rId1348" location="33.12704338,-117.32451272" display="http://ctrlq.org/maps/address/ - 33.12704338,-117.32451272" xr:uid="{D08502CC-03A0-4984-A874-9FDB98712B14}"/>
    <hyperlink ref="B444" r:id="rId1349" display="https://twitter.com/Mk1GolfOC" xr:uid="{2B15D61A-C151-4923-8A3C-C43F33B1EA3D}"/>
    <hyperlink ref="E444" r:id="rId1350" display="https://twitter.com/Mk1GolfOC/status/723037190926807040" xr:uid="{510F867F-433E-4B5E-88B5-C03DDD08F816}"/>
    <hyperlink ref="O444" r:id="rId1351" display="https://pbs.twimg.com/profile_images/502398043379859459/MXV7u33Q_normal.jpeg" xr:uid="{7560D77D-8666-42B2-9D27-F24A0DD25D1D}"/>
    <hyperlink ref="B445" r:id="rId1352" display="https://twitter.com/Mphilpot1" xr:uid="{AB805469-B05D-42D2-9EB5-2414865D955C}"/>
    <hyperlink ref="E445" r:id="rId1353" display="https://twitter.com/Mphilpot1/status/723037676820041728" xr:uid="{856078FE-7BE6-4849-A96D-700C007A4767}"/>
    <hyperlink ref="O445" r:id="rId1354" display="https://pbs.twimg.com/profile_images/422164778639839234/LVnS1q1c_normal.jpeg" xr:uid="{26340508-23BD-4855-9887-A135CA6087CA}"/>
    <hyperlink ref="B446" r:id="rId1355" display="https://twitter.com/deanomsport" xr:uid="{62052ED2-8758-419F-AF5C-5CF3F3EE693F}"/>
    <hyperlink ref="E446" r:id="rId1356" display="https://twitter.com/deanomsport/status/723037794801713152" xr:uid="{88C4998D-04CE-46E7-A209-2E3C65392DBA}"/>
    <hyperlink ref="O446" r:id="rId1357" display="https://pbs.twimg.com/profile_images/653310353653297153/bYVyhn8J_normal.jpg" xr:uid="{84E28CC6-ED2B-41EB-8771-03CDD5F17503}"/>
    <hyperlink ref="B447" r:id="rId1358" display="https://twitter.com/ManuelaKC" xr:uid="{D59F3736-A9CB-4031-9881-3696A3C9313E}"/>
    <hyperlink ref="E447" r:id="rId1359" display="https://twitter.com/ManuelaKC/status/723038044442509313" xr:uid="{E7F6D639-D2CC-4CFA-BEAD-BE109A8AA860}"/>
    <hyperlink ref="O447" r:id="rId1360" display="https://pbs.twimg.com/profile_images/3272805912/cc8e643d4da4f63d27bc817e690d7d74_normal.jpeg" xr:uid="{64539A65-FA79-4C7B-8574-E1B7F4FE6537}"/>
    <hyperlink ref="B448" r:id="rId1361" display="https://twitter.com/databaseDNA" xr:uid="{331CA5B8-C066-499C-8D35-DBA4B2F79425}"/>
    <hyperlink ref="E448" r:id="rId1362" display="https://twitter.com/databaseDNA/status/723038128135512067" xr:uid="{EF72D016-30C4-4B74-BBE9-5931A4963BD2}"/>
    <hyperlink ref="O448" r:id="rId1363" display="https://pbs.twimg.com/profile_images/378800000135015772/87ac890c0f60047e05c0609f790388a7_normal.jpeg" xr:uid="{500A8846-422C-49FE-A2BD-449E1F5BEC17}"/>
    <hyperlink ref="B449" r:id="rId1364" display="https://twitter.com/VolkswagenPost" xr:uid="{B73FD5A2-5B1C-413A-B4B0-E5D79CA54A57}"/>
    <hyperlink ref="E449" r:id="rId1365" display="https://twitter.com/VolkswagenPost/status/723038136062763008" xr:uid="{A4687ED9-DD98-4004-867E-43EE15952931}"/>
    <hyperlink ref="O449" r:id="rId1366" display="https://pbs.twimg.com/profile_images/530071272881803264/a_jcCmPZ_normal.png" xr:uid="{92C89631-1A4A-4FC1-A130-FDC38BD7D263}"/>
    <hyperlink ref="B450" r:id="rId1367" display="https://twitter.com/VolkswagenPost" xr:uid="{135F53E1-395D-49AE-8554-6E316437AA2E}"/>
    <hyperlink ref="E450" r:id="rId1368" display="https://twitter.com/VolkswagenPost/status/723038137740460032" xr:uid="{EFE92ADA-6CEB-4991-8F41-1F1BC986EA9E}"/>
    <hyperlink ref="O450" r:id="rId1369" display="https://pbs.twimg.com/profile_images/530071272881803264/a_jcCmPZ_normal.png" xr:uid="{D39B7884-0E36-472D-9BF8-218196F461D2}"/>
    <hyperlink ref="B451" r:id="rId1370" display="https://twitter.com/VolkswagenPost" xr:uid="{3C538BE9-A746-4226-8048-62E15F71140E}"/>
    <hyperlink ref="E451" r:id="rId1371" display="https://twitter.com/VolkswagenPost/status/723038138814189569" xr:uid="{753DCED8-87DD-463E-9266-ED653AF1E554}"/>
    <hyperlink ref="O451" r:id="rId1372" display="https://pbs.twimg.com/profile_images/530071272881803264/a_jcCmPZ_normal.png" xr:uid="{B1A55C1E-8262-4471-97EA-D0B0BED81BEA}"/>
    <hyperlink ref="B452" r:id="rId1373" display="https://twitter.com/ItoParedes" xr:uid="{A30C0963-3FF7-490F-BE84-48651793A3A9}"/>
    <hyperlink ref="E452" r:id="rId1374" display="https://twitter.com/ItoParedes/status/723038303210053632" xr:uid="{E3ED5635-3795-437B-9703-D3B63A615CD1}"/>
    <hyperlink ref="O452" r:id="rId1375" display="https://pbs.twimg.com/profile_images/1602774074/IMG_0924_normal.JPG" xr:uid="{F5F3819B-99E4-48B6-926B-0A6C3FE4A5B8}"/>
    <hyperlink ref="B453" r:id="rId1376" display="https://twitter.com/Mk1GolfOC" xr:uid="{537B851D-471D-461E-853F-C6A143295753}"/>
    <hyperlink ref="E453" r:id="rId1377" display="https://twitter.com/Mk1GolfOC/status/723038623206137856" xr:uid="{CA1A7F65-A4F6-42BB-BBD4-A759926C4ACC}"/>
    <hyperlink ref="O453" r:id="rId1378" display="https://pbs.twimg.com/profile_images/502398043379859459/MXV7u33Q_normal.jpeg" xr:uid="{1819684F-AE5E-4E45-B92C-120E2FD863C4}"/>
    <hyperlink ref="B454" r:id="rId1379" display="https://twitter.com/dwnews" xr:uid="{DE8095DA-5FE9-46AE-A175-0D055B4AD2B1}"/>
    <hyperlink ref="E454" r:id="rId1380" display="https://twitter.com/dwnews/status/723038679879585792" xr:uid="{6496945D-E5C8-4F0C-9C92-57EA58729D92}"/>
    <hyperlink ref="O454" r:id="rId1381" display="https://pbs.twimg.com/profile_images/608213167496417280/QSxgcLn__normal.png" xr:uid="{F6AB832C-7125-4294-86A2-774082EA5BBE}"/>
    <hyperlink ref="B455" r:id="rId1382" display="https://twitter.com/MikeDeGerman" xr:uid="{9E2D3036-9E4A-47FD-B6FE-4FAEDBB4760B}"/>
    <hyperlink ref="E455" r:id="rId1383" display="https://twitter.com/MikeDeGerman/status/723038683629113344" xr:uid="{75C4B89A-F680-441C-8814-D1CDF9F8D74F}"/>
    <hyperlink ref="O455" r:id="rId1384" display="https://pbs.twimg.com/profile_images/681777513186627584/bwQZYr23_normal.jpg" xr:uid="{C944629E-EDF8-4260-9373-C9681DD1DEAD}"/>
    <hyperlink ref="B456" r:id="rId1385" display="https://twitter.com/EnergieDevlpmt" xr:uid="{41A70A4A-EDA5-4E2C-9292-E7CC6152101A}"/>
    <hyperlink ref="E456" r:id="rId1386" display="https://twitter.com/EnergieDevlpmt/status/723038834951221249" xr:uid="{50FDE524-3782-499D-B391-4237AB123C36}"/>
    <hyperlink ref="O456" r:id="rId1387" display="https://pbs.twimg.com/profile_images/671802073848090624/NQemr0iG_normal.png" xr:uid="{E0D77D0F-9667-40F9-B076-AB3DD0C065EB}"/>
    <hyperlink ref="B457" r:id="rId1388" display="https://twitter.com/emiliamuthoni" xr:uid="{B5FBE27C-FE8A-4CCD-A0C2-EEDC992E3336}"/>
    <hyperlink ref="E457" r:id="rId1389" display="https://twitter.com/emiliamuthoni/status/723039283838259201" xr:uid="{995A610C-419F-439E-BE7A-22F30E8E44C9}"/>
    <hyperlink ref="O457" r:id="rId1390" display="https://pbs.twimg.com/profile_images/578500949288824832/VFFH0A8N_normal.jpeg" xr:uid="{6F5656D5-96B0-4D8A-9A10-AD02193C1CA2}"/>
    <hyperlink ref="B458" r:id="rId1391" display="https://twitter.com/BelleNews" xr:uid="{8B560013-7812-4EC2-9D18-6A4BD3AA9A10}"/>
    <hyperlink ref="E458" r:id="rId1392" display="https://twitter.com/BelleNews/status/723039297151098880" xr:uid="{0EF7F1EA-7C12-42E5-9B50-F06308685073}"/>
    <hyperlink ref="O458" r:id="rId1393" display="https://pbs.twimg.com/profile_images/2150289983/logo_facebook_new_normal.jpg" xr:uid="{1BAD658C-C42C-488F-9CAA-05B915650B77}"/>
    <hyperlink ref="B459" r:id="rId1394" display="https://twitter.com/mvdweyer" xr:uid="{9B6ED677-6D6D-4304-B381-C7D0D85CC55F}"/>
    <hyperlink ref="E459" r:id="rId1395" display="https://twitter.com/mvdweyer/status/723039555025162240" xr:uid="{9AE757F9-16A9-4A9A-BBDC-784815BE1108}"/>
    <hyperlink ref="O459" r:id="rId1396" display="https://pbs.twimg.com/profile_images/489747056584445953/3tvslEko_normal.jpeg" xr:uid="{A707893D-461D-4991-88FB-E789F636E786}"/>
    <hyperlink ref="B460" r:id="rId1397" display="https://twitter.com/80230e4f9e424a1" xr:uid="{7D5E3469-01A3-416C-9E19-CD19E5598850}"/>
    <hyperlink ref="E460" r:id="rId1398" display="https://twitter.com/80230e4f9e424a1/status/723039746973417472" xr:uid="{0C2040F0-B9BE-4BFD-9B5E-BE5D84EA2CB2}"/>
    <hyperlink ref="O460" r:id="rId1399" display="https://pbs.twimg.com/profile_images/715865125589221377/LL-u_qje_normal.jpg" xr:uid="{66C9A6B0-BEF7-4CD1-987A-8D6BD8CE72BE}"/>
    <hyperlink ref="B461" r:id="rId1400" display="https://twitter.com/EineZeitung" xr:uid="{7B0EA988-16B1-4675-9DA7-8F13DBB57077}"/>
    <hyperlink ref="E461" r:id="rId1401" display="https://twitter.com/EineZeitung/status/723040029296058370" xr:uid="{75F82F3B-461A-4EFF-8367-E6576142141C}"/>
    <hyperlink ref="O461" r:id="rId1402" display="https://pbs.twimg.com/profile_images/668712088009838592/IpcJuvga_normal.png" xr:uid="{46FCC34A-A82F-4F13-9DAE-9C16F8FF7A74}"/>
    <hyperlink ref="B462" r:id="rId1403" display="https://twitter.com/wg12307" xr:uid="{28E5CC31-649B-4950-9869-A968F418FF13}"/>
    <hyperlink ref="E462" r:id="rId1404" display="https://twitter.com/wg12307/status/723040133507895296" xr:uid="{A9915D4E-CB5A-4583-BE90-FCB2F5E64327}"/>
    <hyperlink ref="O462" r:id="rId1405" display="https://pbs.twimg.com/profile_images/378800000210197475/0dc436cb9044eecbb42d45b90630a327_normal.jpeg" xr:uid="{6219B42A-837C-434A-987C-A2C7CD686139}"/>
    <hyperlink ref="B463" r:id="rId1406" display="https://twitter.com/DollysdelightsS" xr:uid="{E60D374A-7903-4FBE-B590-399DD1FDBAF2}"/>
    <hyperlink ref="E463" r:id="rId1407" display="https://twitter.com/DollysdelightsS/status/723040232015310848" xr:uid="{54FD8525-6106-42FF-8A5A-88F2AB085390}"/>
    <hyperlink ref="O463" r:id="rId1408" display="https://pbs.twimg.com/profile_images/596082788459257856/4JBjLpzQ_normal.jpg" xr:uid="{5B15119E-C72A-4307-A195-27FE2DB4ECA8}"/>
    <hyperlink ref="B464" r:id="rId1409" display="https://twitter.com/BerndZiesemer" xr:uid="{9C3D4F4E-FC5A-488C-9E30-C0B2073371A8}"/>
    <hyperlink ref="E464" r:id="rId1410" display="https://twitter.com/BerndZiesemer/status/723040328777756673" xr:uid="{52456793-AF60-4C33-9BE8-BB01CF8EB4B3}"/>
    <hyperlink ref="O464" r:id="rId1411" display="https://pbs.twimg.com/profile_images/378800000307960407/a765711867b2e7400de3860f4ee9cc9d_normal.jpeg" xr:uid="{1E364A1D-8455-41E5-93ED-7E7E9E49A9CA}"/>
    <hyperlink ref="B465" r:id="rId1412" display="https://twitter.com/ItoParedes" xr:uid="{C23F298D-D663-4F3E-B929-6234542D6591}"/>
    <hyperlink ref="E465" r:id="rId1413" display="https://twitter.com/ItoParedes/status/723040458352545792" xr:uid="{87D6104B-9BF1-45C7-ACC9-18A8DD638DBF}"/>
    <hyperlink ref="O465" r:id="rId1414" display="https://pbs.twimg.com/profile_images/1602774074/IMG_0924_normal.JPG" xr:uid="{07A77214-BF2C-47D8-914C-814B7F57D97C}"/>
    <hyperlink ref="B466" r:id="rId1415" display="https://twitter.com/mikespence" xr:uid="{E83AB9D1-0658-407F-8220-895D90275E4E}"/>
    <hyperlink ref="E466" r:id="rId1416" display="https://twitter.com/mikespence/status/723040493207171073" xr:uid="{EB8C0202-127D-49AD-ADC0-66E9819F6384}"/>
    <hyperlink ref="O466" r:id="rId1417" display="https://pbs.twimg.com/profile_images/703183811673264128/eqato_EY_normal.jpg" xr:uid="{9C05EA67-64C8-49EE-B3D4-05149520E9EA}"/>
    <hyperlink ref="B467" r:id="rId1418" display="https://twitter.com/JClaesz" xr:uid="{F68F7FF4-0E82-4968-B6D9-1DD0698F6507}"/>
    <hyperlink ref="E467" r:id="rId1419" display="https://twitter.com/JClaesz/status/723040602653253632" xr:uid="{5B1871A3-7961-4E5D-AF8E-ABD5B7AC22D9}"/>
    <hyperlink ref="O467" r:id="rId1420" display="https://pbs.twimg.com/profile_images/695000806655811584/7lC1MdUr_normal.png" xr:uid="{21A901A6-B318-4CCA-BE57-C6CC63C6CCA5}"/>
    <hyperlink ref="B468" r:id="rId1421" display="https://twitter.com/beetlebug1938" xr:uid="{825156F2-EE39-466D-90AC-37112323EAA8}"/>
    <hyperlink ref="E468" r:id="rId1422" display="https://twitter.com/beetlebug1938/status/723040734501306368" xr:uid="{57DC72A8-6B1F-4ADA-9952-B0C5807C1055}"/>
    <hyperlink ref="O468" r:id="rId1423" display="https://pbs.twimg.com/profile_images/718820712757215233/LXXndPTS_normal.jpg" xr:uid="{763D8049-1E05-4330-A9CE-C846DE1A1880}"/>
    <hyperlink ref="B469" r:id="rId1424" display="https://twitter.com/beetlebug1938" xr:uid="{0E41748B-08B3-4930-9826-96B01182498C}"/>
    <hyperlink ref="E469" r:id="rId1425" display="https://twitter.com/beetlebug1938/status/723040769641201664" xr:uid="{774A9199-D69B-4E57-A059-1F902803C625}"/>
    <hyperlink ref="O469" r:id="rId1426" display="https://pbs.twimg.com/profile_images/718820712757215233/LXXndPTS_normal.jpg" xr:uid="{258A5DF6-D12C-47A0-BC40-40A3624BC154}"/>
    <hyperlink ref="B470" r:id="rId1427" display="https://twitter.com/AlexWitzleben" xr:uid="{CD3FA211-0BA8-4A34-9297-78BD57C90CEF}"/>
    <hyperlink ref="E470" r:id="rId1428" display="https://twitter.com/AlexWitzleben/status/723040785285812224" xr:uid="{76109258-58FD-4063-9F7D-15FD2D7BECC2}"/>
    <hyperlink ref="O470" r:id="rId1429" display="https://pbs.twimg.com/profile_images/1913087124/AvW_website_normal.jpg" xr:uid="{2CAB1D81-7210-4A1E-A4D5-5C07AB1A91B0}"/>
    <hyperlink ref="B471" r:id="rId1430" display="https://twitter.com/franz_rother" xr:uid="{D528CDB0-9155-4B9F-ADB4-711E33F8B068}"/>
    <hyperlink ref="E471" r:id="rId1431" display="https://twitter.com/franz_rother/status/723040799013912576" xr:uid="{E47A9755-F139-45F5-BB59-DDD8473F9C2E}"/>
    <hyperlink ref="O471" r:id="rId1432" display="https://pbs.twimg.com/profile_images/3228351590/aadb36f2b020cc27adac139aac4a5663_normal.jpeg" xr:uid="{9E8FE1BA-A71D-4C88-9578-4D717FAB7CE7}"/>
    <hyperlink ref="B472" r:id="rId1433" display="https://twitter.com/beetlebug1938" xr:uid="{0BC42B41-4BFC-4073-9241-F57797DE5C04}"/>
    <hyperlink ref="E472" r:id="rId1434" display="https://twitter.com/beetlebug1938/status/723040802499362816" xr:uid="{36B7C428-BFF7-4B5A-8E13-1BF4DF2AAD9C}"/>
    <hyperlink ref="O472" r:id="rId1435" display="https://pbs.twimg.com/profile_images/718820712757215233/LXXndPTS_normal.jpg" xr:uid="{D7D2483C-115B-4A6E-A2F3-4BDB8539F51F}"/>
    <hyperlink ref="B473" r:id="rId1436" display="https://twitter.com/beetlebug1938" xr:uid="{C9096AEE-A90A-4DF4-9DA7-215177D43257}"/>
    <hyperlink ref="E473" r:id="rId1437" display="https://twitter.com/beetlebug1938/status/723040820320940032" xr:uid="{28C7A474-2A58-4B03-9E2A-18AACC955E65}"/>
    <hyperlink ref="O473" r:id="rId1438" display="https://pbs.twimg.com/profile_images/718820712757215233/LXXndPTS_normal.jpg" xr:uid="{A3296A77-E53F-4058-B185-19B175D7E5C0}"/>
    <hyperlink ref="B474" r:id="rId1439" display="https://twitter.com/MllerOlga" xr:uid="{57627978-0971-4544-BFE4-93F897BCF3E9}"/>
    <hyperlink ref="E474" r:id="rId1440" display="https://twitter.com/MllerOlga/status/723040988529307649" xr:uid="{65CCBBE5-861C-42B6-8C45-F227DF0B8C8D}"/>
    <hyperlink ref="O474" r:id="rId1441" display="https://pbs.twimg.com/profile_images/706404867372408832/mwUZrmr6_normal.jpg" xr:uid="{7E7BEEB4-837A-4CBF-85D2-F0F68F8F187E}"/>
    <hyperlink ref="B475" r:id="rId1442" display="https://twitter.com/damienmcguin" xr:uid="{D62C5324-29B0-4C29-8770-3B7075879160}"/>
    <hyperlink ref="E475" r:id="rId1443" display="https://twitter.com/damienmcguin/status/723041063062007808" xr:uid="{92E708A4-ABD4-453A-8523-FA7D2B666751}"/>
    <hyperlink ref="O475" r:id="rId1444" display="https://pbs.twimg.com/profile_images/701358144577007616/6WCV8aLv_normal.jpg" xr:uid="{418CACD3-6615-4367-AE02-27D9A75EF809}"/>
    <hyperlink ref="B476" r:id="rId1445" display="https://twitter.com/chitchatautos" xr:uid="{2343FCF7-1A05-4093-BE8C-C8D313A9A8C5}"/>
    <hyperlink ref="E476" r:id="rId1446" display="https://twitter.com/chitchatautos/status/723041095404281856" xr:uid="{E5F7B1CE-2993-4E5C-B55D-C16C5F96478A}"/>
    <hyperlink ref="O476" r:id="rId1447" display="https://pbs.twimg.com/profile_images/721905387130105858/l1HV6rxa_normal.jpg" xr:uid="{C24421B1-81BF-4FA7-968C-B0A6CA23BC52}"/>
    <hyperlink ref="B477" r:id="rId1448" display="https://twitter.com/OnlyFerrariPics" xr:uid="{940D4F94-A7D8-4D30-AEDE-84B03BED63F4}"/>
    <hyperlink ref="E477" r:id="rId1449" display="https://twitter.com/OnlyFerrariPics/status/723041150316216320" xr:uid="{C3FFE80B-B3B7-48BF-B4ED-FDA2C2632233}"/>
    <hyperlink ref="O477" r:id="rId1450" display="https://pbs.twimg.com/profile_images/540037751416971264/FUsmNZrb_normal.jpeg" xr:uid="{9444F962-472C-4E7E-9E4D-3B2643FA5C48}"/>
    <hyperlink ref="B478" r:id="rId1451" display="https://twitter.com/LesleeTT" xr:uid="{B8B16EAE-AF37-48EA-B38E-E9294A6E96CB}"/>
    <hyperlink ref="E478" r:id="rId1452" display="https://twitter.com/LesleeTT/status/723041209095081984" xr:uid="{F395BC6B-1B72-4137-80B2-6801F35790E0}"/>
    <hyperlink ref="O478" r:id="rId1453" display="https://pbs.twimg.com/profile_images/3354949108/ec46d404bd4f1d6828362a121d4f6ae7_normal.jpeg" xr:uid="{37133189-613A-4811-A952-0F9C4AC99498}"/>
    <hyperlink ref="B479" r:id="rId1454" display="https://twitter.com/11271101K" xr:uid="{8B3F1DE2-BBFD-4293-B227-828AA44C8326}"/>
    <hyperlink ref="E479" r:id="rId1455" display="https://twitter.com/11271101K/status/723041426976559105" xr:uid="{D310FE37-CBD1-4093-AE18-657D312209E7}"/>
    <hyperlink ref="O479" r:id="rId1456" display="https://pbs.twimg.com/profile_images/673308216739008512/qCSbZnhu_normal.jpg" xr:uid="{CBF688E4-AE0E-4F1C-AFD4-06228D6EE037}"/>
    <hyperlink ref="B480" r:id="rId1457" display="https://twitter.com/bot_car25" xr:uid="{54CC332F-C535-4FDD-922F-092792A7DB70}"/>
    <hyperlink ref="E480" r:id="rId1458" display="https://twitter.com/bot_car25/status/723041623379161089" xr:uid="{6A31449B-72F3-43F7-BDE7-ABE05958C686}"/>
    <hyperlink ref="O480" r:id="rId1459" display="https://pbs.twimg.com/profile_images/717066737406124032/4zBNh17M_normal.jpg" xr:uid="{FE2031AD-01A2-4C22-9663-B4812DDF1701}"/>
    <hyperlink ref="B481" r:id="rId1460" display="https://twitter.com/franz_rother" xr:uid="{A769D6DE-16CA-436C-8130-8BF5C3357D93}"/>
    <hyperlink ref="E481" r:id="rId1461" display="https://twitter.com/franz_rother/status/723041995850178560" xr:uid="{2AA25D7F-1265-42D6-B919-5557356B820C}"/>
    <hyperlink ref="O481" r:id="rId1462" display="https://pbs.twimg.com/profile_images/3228351590/aadb36f2b020cc27adac139aac4a5663_normal.jpeg" xr:uid="{8919C7EF-0282-42A8-94DE-184553D96F92}"/>
    <hyperlink ref="B482" r:id="rId1463" display="https://twitter.com/ingenieur_de" xr:uid="{7FC69E8B-80F4-4B32-8779-80AB9C796E29}"/>
    <hyperlink ref="C482" r:id="rId1464" xr:uid="{4AF86F63-2B30-4F21-9B58-75FCD8735A37}"/>
    <hyperlink ref="E482" r:id="rId1465" display="https://twitter.com/ingenieur_de/status/723042057871220736" xr:uid="{50FB6552-969D-40F9-95B5-CA98FC39A144}"/>
    <hyperlink ref="O482" r:id="rId1466" display="https://pbs.twimg.com/profile_images/464294575624839168/2yUa4yUA_normal.png" xr:uid="{C3EAA608-B813-4DD4-973A-3922A7CEDAA5}"/>
    <hyperlink ref="B483" r:id="rId1467" display="https://twitter.com/11271101K" xr:uid="{BE0BB207-3333-4DE3-8D7C-1C0702FFAC06}"/>
    <hyperlink ref="E483" r:id="rId1468" display="https://twitter.com/11271101K/status/723042178197426177" xr:uid="{6861A801-92AC-421A-8997-EEF4DA2B3EC9}"/>
    <hyperlink ref="O483" r:id="rId1469" display="https://pbs.twimg.com/profile_images/673308216739008512/qCSbZnhu_normal.jpg" xr:uid="{283402EC-4A82-4BB5-9B03-4BD2449995CF}"/>
    <hyperlink ref="B484" r:id="rId1470" display="https://twitter.com/Pred_cnh" xr:uid="{7B49D4E1-1BA1-4A6D-86D4-21DA7DFDD289}"/>
    <hyperlink ref="E484" r:id="rId1471" display="https://twitter.com/Pred_cnh/status/723042315955220480" xr:uid="{C998E13B-C200-4FED-A5E8-15B4F518866A}"/>
    <hyperlink ref="O484" r:id="rId1472" display="https://pbs.twimg.com/profile_images/1695402189/nebula_normal.jpg" xr:uid="{44C6DC09-91CF-4611-8A78-BC0046E28BD7}"/>
    <hyperlink ref="B485" r:id="rId1473" display="https://twitter.com/JClaesz" xr:uid="{95A4123D-D477-4317-953F-E573F1904D39}"/>
    <hyperlink ref="E485" r:id="rId1474" display="https://twitter.com/JClaesz/status/723042362218270722" xr:uid="{137D6328-A4AF-4576-B97B-DBBDF51D2E4D}"/>
    <hyperlink ref="O485" r:id="rId1475" display="https://pbs.twimg.com/profile_images/695000806655811584/7lC1MdUr_normal.png" xr:uid="{EC9F193A-5F4D-47C8-8E89-454F378D8D7B}"/>
    <hyperlink ref="B486" r:id="rId1476" display="https://twitter.com/handelsblatt" xr:uid="{A28E624A-3DB2-40F5-8E03-C6D5D5F59677}"/>
    <hyperlink ref="E486" r:id="rId1477" display="https://twitter.com/handelsblatt/status/723042404253728768" xr:uid="{0B69E9A2-474B-4035-B761-53F4241C48F9}"/>
    <hyperlink ref="O486" r:id="rId1478" display="https://pbs.twimg.com/profile_images/562563461171798017/AkHF4keI_normal.png" xr:uid="{EDDE2665-AF0B-452B-9A55-8449D71F2CD3}"/>
    <hyperlink ref="B487" r:id="rId1479" display="https://twitter.com/cleantechken" xr:uid="{58F9B219-FDC2-4A73-938F-E86B3667128A}"/>
    <hyperlink ref="E487" r:id="rId1480" display="https://twitter.com/cleantechken/status/723042937723060224" xr:uid="{01D6CACB-240A-4E3D-8959-DECF100ECD85}"/>
    <hyperlink ref="O487" r:id="rId1481" display="https://pbs.twimg.com/profile_images/1303110064/ken_crop_normal.jpg" xr:uid="{33E80DFC-9DEE-4AF9-BE42-A00EF13B5E31}"/>
    <hyperlink ref="B488" r:id="rId1482" display="https://twitter.com/lasao5" xr:uid="{4C72F26A-55F4-4F22-AEE4-CC494600F798}"/>
    <hyperlink ref="E488" r:id="rId1483" display="https://twitter.com/lasao5/status/723043304854589440" xr:uid="{E80FA23C-A595-4E97-8586-2218D08FD5A7}"/>
    <hyperlink ref="O488" r:id="rId1484" display="https://pbs.twimg.com/profile_images/663678308467388417/lVEbHUdH_normal.jpg" xr:uid="{020428E3-4E69-46DA-8D89-086809A57A5F}"/>
    <hyperlink ref="B489" r:id="rId1485" display="https://twitter.com/EuropeIndustry" xr:uid="{D981279E-46C7-44C6-8AAD-16CEB03F3C08}"/>
    <hyperlink ref="E489" r:id="rId1486" display="https://twitter.com/EuropeIndustry/status/723043508748214272" xr:uid="{57880271-DDD6-41E5-8648-986F05A6EA5F}"/>
    <hyperlink ref="O489" r:id="rId1487" display="https://pbs.twimg.com/profile_images/378800000038464969/e8c6a0d490068116195580ff6643ca8d_normal.jpeg" xr:uid="{79DFCBB2-FBA8-49FE-B30D-9F8ED0574F6F}"/>
    <hyperlink ref="B490" r:id="rId1488" display="https://twitter.com/Truck_Trailer" xr:uid="{1C256DE8-874E-4311-A334-751B36D6B202}"/>
    <hyperlink ref="E490" r:id="rId1489" display="https://twitter.com/Truck_Trailer/status/723043847006216192" xr:uid="{85BD1C16-CEDF-4171-9BC1-C6D8CF92A74E}"/>
    <hyperlink ref="O490" r:id="rId1490" display="https://pbs.twimg.com/profile_images/471996983930912768/ADy9Kodu_normal.png" xr:uid="{BBB22CA7-91F9-4015-9863-634BBADD554A}"/>
    <hyperlink ref="B491" r:id="rId1491" display="https://twitter.com/VWHeritage" xr:uid="{FC83AA44-02F4-40AE-8340-125F53B7AEAD}"/>
    <hyperlink ref="E491" r:id="rId1492" display="https://twitter.com/VWHeritage/status/723043862961356800" xr:uid="{C8025415-F4AF-47D9-AF6D-AFB6ABD5675A}"/>
    <hyperlink ref="O491" r:id="rId1493" display="https://pbs.twimg.com/profile_images/709359494128599041/-2u0_Nqv_normal.jpg" xr:uid="{598BE259-670D-4008-A908-A5BF1EEB0708}"/>
    <hyperlink ref="B492" r:id="rId1494" display="https://twitter.com/the_commentary" xr:uid="{05168B8A-6C43-43F1-B05B-81C2CB381D09}"/>
    <hyperlink ref="E492" r:id="rId1495" display="https://twitter.com/the_commentary/status/723043898751229952" xr:uid="{E92C4631-5B8C-42D9-8F24-CDA57C372730}"/>
    <hyperlink ref="O492" r:id="rId1496" display="https://pbs.twimg.com/profile_images/715774572742750208/3hmVtMBE_normal.jpg" xr:uid="{52DA525C-055D-48AC-AE51-46446CAAA4C5}"/>
    <hyperlink ref="B493" r:id="rId1497" display="https://twitter.com/MiManske" xr:uid="{C991C5CE-2CC4-4D6B-8E34-729025BE9529}"/>
    <hyperlink ref="E493" r:id="rId1498" display="https://twitter.com/MiManske/status/723043906384883714" xr:uid="{A82C9CEF-19C6-490E-9B12-B5AF6D25F15E}"/>
    <hyperlink ref="O493" r:id="rId1499" display="https://pbs.twimg.com/profile_images/652191269934993408/5bZKOI8y_normal.jpg" xr:uid="{D3D366F2-B979-4739-B770-05C8C1A8E92B}"/>
    <hyperlink ref="B494" r:id="rId1500" display="https://twitter.com/imfree81" xr:uid="{8B01FC1B-2E10-4533-BBEB-F30BDAB506D2}"/>
    <hyperlink ref="E494" r:id="rId1501" display="https://twitter.com/imfree81/status/723043974735376384" xr:uid="{00589F26-F711-48A8-950B-B26F0F310236}"/>
    <hyperlink ref="O494" r:id="rId1502" display="https://pbs.twimg.com/profile_images/1859860496/image_normal.jpg" xr:uid="{D3896C1D-AEC5-4AD0-B5B1-843D48C72360}"/>
    <hyperlink ref="B495" r:id="rId1503" display="https://twitter.com/moniquegoyens" xr:uid="{A574855F-CA74-45BA-BB9E-8F6C9B89D3E9}"/>
    <hyperlink ref="E495" r:id="rId1504" display="https://twitter.com/moniquegoyens/status/723044034021728256" xr:uid="{1FE1D95C-92F7-421F-B47F-CB3E2CDC3D15}"/>
    <hyperlink ref="O495" r:id="rId1505" display="https://pbs.twimg.com/profile_images/602105290432106497/5dKZAU3H_normal.jpg" xr:uid="{85CE738C-48F9-46EC-A44C-AF099CD052B1}"/>
    <hyperlink ref="B496" r:id="rId1506" display="https://twitter.com/imfree81" xr:uid="{A88B167F-6E9D-44A4-A815-FA94570D32C9}"/>
    <hyperlink ref="E496" r:id="rId1507" display="https://twitter.com/imfree81/status/723044051793129472" xr:uid="{623B0E56-E34A-4718-9536-14D08F537EF6}"/>
    <hyperlink ref="O496" r:id="rId1508" display="https://pbs.twimg.com/profile_images/1859860496/image_normal.jpg" xr:uid="{FD3894CC-7BEA-43C5-A9EF-B33EA59D947A}"/>
    <hyperlink ref="B497" r:id="rId1509" display="https://twitter.com/kipangacap" xr:uid="{C4602896-16D7-4789-95CF-BB3D9336E073}"/>
    <hyperlink ref="E497" r:id="rId1510" display="https://twitter.com/kipangacap/status/723044062274674688" xr:uid="{20A535AF-191F-4AB8-B210-FC50CE700A01}"/>
    <hyperlink ref="O497" r:id="rId1511" display="https://pbs.twimg.com/profile_images/663353903199711233/bLusZVz1_normal.png" xr:uid="{EDA1C032-68D4-417C-BB36-FCEB506E6E00}"/>
    <hyperlink ref="B498" r:id="rId1512" display="https://twitter.com/BILD_Reporter" xr:uid="{E643D77B-D4E9-490B-9107-0FC0763890D5}"/>
    <hyperlink ref="E498" r:id="rId1513" display="https://twitter.com/BILD_Reporter/status/723044192402976768" xr:uid="{AF3B022E-07B8-4EB7-A81A-E26A853A2D0B}"/>
    <hyperlink ref="O498" r:id="rId1514" display="https://pbs.twimg.com/profile_images/578542636140781568/2T_ukEU0_normal.jpeg" xr:uid="{B34C8127-9DD5-4558-8B5B-EEF2F0FFC027}"/>
    <hyperlink ref="B499" r:id="rId1515" display="https://twitter.com/VWCamperSales" xr:uid="{C411A8F9-62FA-4005-AF40-5BD0E6D84124}"/>
    <hyperlink ref="E499" r:id="rId1516" display="https://twitter.com/VWCamperSales/status/723044373022167040" xr:uid="{B655F1BD-D394-4F74-B7BC-9DBBA1A3C8C2}"/>
    <hyperlink ref="F499" r:id="rId1517" xr:uid="{0E43AD12-56E8-49D2-9472-E305D17A7D2F}"/>
    <hyperlink ref="O499" r:id="rId1518" display="https://pbs.twimg.com/profile_images/627949001179037696/skEBkS05_normal.jpg" xr:uid="{981DE7ED-0676-4187-97D5-038B5AB4479F}"/>
    <hyperlink ref="B500" r:id="rId1519" display="https://twitter.com/VWCamperSales" xr:uid="{80370E21-9D36-4E1A-9FB3-DB8908C381FA}"/>
    <hyperlink ref="E500" r:id="rId1520" display="https://twitter.com/VWCamperSales/status/723044376025255936" xr:uid="{E04B0AA7-27BB-4913-B670-BA2954ADE95E}"/>
    <hyperlink ref="F500" r:id="rId1521" xr:uid="{03807664-F2D2-45C1-8A8B-7A81B0B9DF92}"/>
    <hyperlink ref="O500" r:id="rId1522" display="https://pbs.twimg.com/profile_images/627949001179037696/skEBkS05_normal.jpg" xr:uid="{EB3AB2EC-EE67-486E-AFB1-67511102702B}"/>
    <hyperlink ref="B501" r:id="rId1523" display="https://twitter.com/RuimteOrdening" xr:uid="{F4423ACB-D6E9-49E2-9BFC-D104456C6EC9}"/>
    <hyperlink ref="E501" r:id="rId1524" display="https://twitter.com/RuimteOrdening/status/723044386175631360" xr:uid="{E4038757-F664-43B1-9889-23520360DB44}"/>
    <hyperlink ref="O501" r:id="rId1525" display="https://pbs.twimg.com/profile_images/1477876373/RO_normal.jpg" xr:uid="{76DE776E-CDD7-4A2C-8A1A-F263B61E15E5}"/>
    <hyperlink ref="B502" r:id="rId1526" display="https://twitter.com/BILD_Politik" xr:uid="{434F4D10-E377-4D83-AB1B-D99F3BCF7F95}"/>
    <hyperlink ref="E502" r:id="rId1527" display="https://twitter.com/BILD_Politik/status/723044689713176576" xr:uid="{E96CF009-15F8-4B7E-8A0A-2539CC719803}"/>
    <hyperlink ref="O502" r:id="rId1528" display="https://pbs.twimg.com/profile_images/577458296845516800/tNsYSZtV_normal.jpeg" xr:uid="{913D9FF4-69F0-454B-8F06-A06C1BD33B41}"/>
    <hyperlink ref="B503" r:id="rId1529" display="https://twitter.com/irishjulian" xr:uid="{1B324181-39D3-4E8B-9EE3-29FECABE8157}"/>
    <hyperlink ref="E503" r:id="rId1530" display="https://twitter.com/irishjulian/status/723044849868484608" xr:uid="{37C5F377-E50E-4F66-BB61-16D537E6DC51}"/>
    <hyperlink ref="O503" r:id="rId1531" display="https://pbs.twimg.com/profile_images/678935142824550400/JdB89I4k_normal.jpg" xr:uid="{2CEF5C41-3968-45B5-B9A7-9D48191756E1}"/>
    <hyperlink ref="B504" r:id="rId1532" display="https://twitter.com/ANHurst" xr:uid="{C5D0160B-ED26-4202-B214-E83A5A5E63DF}"/>
    <hyperlink ref="E504" r:id="rId1533" display="https://twitter.com/ANHurst/status/723045107948228608" xr:uid="{862AA774-1C85-4941-9CF2-F39BD999BB2C}"/>
    <hyperlink ref="O504" r:id="rId1534" display="https://pbs.twimg.com/profile_images/718041603957473282/OmNS8fO8_normal.jpg" xr:uid="{7BC3D7B1-183C-4C79-BED9-510D7BCE6774}"/>
    <hyperlink ref="B505" r:id="rId1535" display="https://twitter.com/ivomechels" xr:uid="{4A6224D7-E3BB-406B-B9F6-793B21215C41}"/>
    <hyperlink ref="E505" r:id="rId1536" display="https://twitter.com/ivomechels/status/723045203918094336" xr:uid="{98F35483-7E11-4700-9FCA-AD7C9740A2EB}"/>
    <hyperlink ref="O505" r:id="rId1537" display="https://pbs.twimg.com/profile_images/1348837821/IvoMechels03_normal.jpg" xr:uid="{99F05A75-5C4E-4709-A48A-354503104698}"/>
    <hyperlink ref="B506" r:id="rId1538" display="https://twitter.com/barbcore" xr:uid="{C1EE0EA0-CC1F-4578-9A0F-FB2E7C68AB56}"/>
    <hyperlink ref="E506" r:id="rId1539" display="https://twitter.com/barbcore/status/723045359220604928" xr:uid="{160E611E-0BAD-48D0-82FA-1BFC1270ABBD}"/>
    <hyperlink ref="O506" r:id="rId1540" display="https://pbs.twimg.com/profile_images/719865624848134144/_pu_ldv9_normal.jpg" xr:uid="{E41CE601-D513-46E7-8C9B-6AB394622B3A}"/>
    <hyperlink ref="B507" r:id="rId1541" display="https://twitter.com/AlcuinBramerton" xr:uid="{F26FF25C-49B5-4BA0-8C7F-93471C27896D}"/>
    <hyperlink ref="E507" r:id="rId1542" display="https://twitter.com/AlcuinBramerton/status/723045609955971072" xr:uid="{D0A27582-5B79-4C23-907D-97EAFA96C6C9}"/>
    <hyperlink ref="O507" r:id="rId1543" display="https://pbs.twimg.com/profile_images/3437818220/cc7481466f6ca22100233370b25f7e3b_normal.jpeg" xr:uid="{437CFCEE-8051-411C-A24D-6B5E84C8BAED}"/>
    <hyperlink ref="B508" r:id="rId1544" display="https://twitter.com/thecomficottage" xr:uid="{8A7A0F7D-4269-4926-B56A-6E06A7239DA1}"/>
    <hyperlink ref="E508" r:id="rId1545" display="https://twitter.com/thecomficottage/status/723045725899096065" xr:uid="{8F1B3020-BD7B-4908-82D1-6918E3D53831}"/>
    <hyperlink ref="O508" r:id="rId1546" display="https://pbs.twimg.com/profile_images/720907345778384896/wmdPKToi_normal.jpg" xr:uid="{8CBD20F9-6CC0-4618-9D27-64E8D0664F25}"/>
    <hyperlink ref="B509" r:id="rId1547" display="https://twitter.com/foresight_lab" xr:uid="{03229CFF-EBAD-4C03-952C-F14109056764}"/>
    <hyperlink ref="E509" r:id="rId1548" display="https://twitter.com/foresight_lab/status/723046028274880512" xr:uid="{694D88B3-0872-4C09-8F3A-89D55DFBEFA7}"/>
    <hyperlink ref="O509" r:id="rId1549" display="https://pbs.twimg.com/profile_images/665798535779065856/sbUN3m6Q_normal.jpg" xr:uid="{66AF9A2B-0BEE-4B12-93AB-C0CD9DB3CEF9}"/>
    <hyperlink ref="B510" r:id="rId1550" display="https://twitter.com/PaulbrooksAMG" xr:uid="{D4FB4685-1586-4060-A446-E0C847537F87}"/>
    <hyperlink ref="E510" r:id="rId1551" display="https://twitter.com/PaulbrooksAMG/status/723046282290450432" xr:uid="{A83CC382-9EDD-4964-9B4E-4C32A8151D63}"/>
    <hyperlink ref="O510" r:id="rId1552" display="https://pbs.twimg.com/profile_images/622455357219176448/1ysvnVP5_normal.jpg" xr:uid="{942CE4D2-342F-470D-9FBD-4E48D31D113F}"/>
    <hyperlink ref="B511" r:id="rId1553" display="https://twitter.com/twittonium" xr:uid="{7119A4B9-2D3C-445E-BC6A-6F0367F11AAE}"/>
    <hyperlink ref="E511" r:id="rId1554" display="https://twitter.com/twittonium/status/723046363441696769" xr:uid="{C95E856F-1700-4112-9B6D-B658D18136C5}"/>
    <hyperlink ref="O511" r:id="rId1555" display="https://pbs.twimg.com/profile_images/662335141537280001/ZH4b_Zba_normal.png" xr:uid="{B9CD068B-BBB6-439D-9368-54E6578F6862}"/>
    <hyperlink ref="B512" r:id="rId1556" display="https://twitter.com/newsonhunt" xr:uid="{2FE7DBEB-4071-452C-94E0-B2E47D79E1B7}"/>
    <hyperlink ref="E512" r:id="rId1557" display="https://twitter.com/newsonhunt/status/723046386657193984" xr:uid="{329E7E9A-E6DA-4D89-A79E-047C12518637}"/>
    <hyperlink ref="O512" r:id="rId1558" display="https://pbs.twimg.com/profile_images/696635247115395072/86JBdqIX_normal.jpg" xr:uid="{84465BF5-4E38-4E5D-BE75-C01258179A77}"/>
    <hyperlink ref="B513" r:id="rId1559" display="https://twitter.com/boersianer_info" xr:uid="{4EEA44CA-E767-4CFC-83D3-46876555F3AD}"/>
    <hyperlink ref="E513" r:id="rId1560" display="https://twitter.com/boersianer_info/status/723046498137714688" xr:uid="{33019564-C4EC-43C2-B916-16F2D7A28615}"/>
    <hyperlink ref="O513" r:id="rId1561" display="https://pbs.twimg.com/profile_images/643546779485609984/HFH_S8Bf_normal.jpg" xr:uid="{74524329-3F0C-4C9C-B939-6547DE1A51AF}"/>
    <hyperlink ref="B514" r:id="rId1562" display="https://twitter.com/boerseARD" xr:uid="{4AE4ABF3-B74D-4B78-ADCF-E698C595861E}"/>
    <hyperlink ref="E514" r:id="rId1563" display="https://twitter.com/boerseARD/status/723046800085512192" xr:uid="{D6AABEA6-7701-4D0B-B110-A7FE6FB470E8}"/>
    <hyperlink ref="O514" r:id="rId1564" display="https://pbs.twimg.com/profile_images/666163579700277248/vIv69HhR_normal.jpg" xr:uid="{65A3D05A-8A12-4489-9D7A-C61019892857}"/>
    <hyperlink ref="B515" r:id="rId1565" display="https://twitter.com/CarolineHydeTV" xr:uid="{ADEB3CB6-7569-4A0B-B3A3-A6758E430FD9}"/>
    <hyperlink ref="E515" r:id="rId1566" display="https://twitter.com/CarolineHydeTV/status/723046999029780480" xr:uid="{E9EC0CB1-D71D-45F3-80E7-9E9093C87CE0}"/>
    <hyperlink ref="O515" r:id="rId1567" display="https://pbs.twimg.com/profile_images/2149695694/hyde_twitter_photo_version_2_normal.jpg" xr:uid="{74F9AACD-9697-49DD-BA73-1F52F5B00EEE}"/>
    <hyperlink ref="B516" r:id="rId1568" display="https://twitter.com/MoneyguruGr" xr:uid="{C07C76B9-262B-4E63-BEFD-B18BABEE50B7}"/>
    <hyperlink ref="E516" r:id="rId1569" display="https://twitter.com/MoneyguruGr/status/723047232929304576" xr:uid="{255C3A9D-1535-448F-8470-C01E674EC9A9}"/>
    <hyperlink ref="O516" r:id="rId1570" display="https://pbs.twimg.com/profile_images/378800000532695479/bc3f9d473554281643b5e76aa3306944_normal.jpeg" xr:uid="{1D21E056-9D22-47AF-A581-207AED560832}"/>
    <hyperlink ref="B517" r:id="rId1571" display="https://twitter.com/NDRinfo" xr:uid="{231E8BAD-E1DC-4B3D-85F6-04D989490033}"/>
    <hyperlink ref="E517" r:id="rId1572" display="https://twitter.com/NDRinfo/status/723047371077234688" xr:uid="{E52BA8F3-EC94-4E69-A2AC-4113B06E1608}"/>
    <hyperlink ref="O517" r:id="rId1573" display="https://pbs.twimg.com/profile_images/694104559229243392/gP-hYBim_normal.png" xr:uid="{BF1723A4-EB88-4CA2-8A12-CABD23A4D128}"/>
    <hyperlink ref="B518" r:id="rId1574" display="https://twitter.com/dw_deutsch" xr:uid="{ED77E317-85F4-4B6B-9502-EAE673AC7610}"/>
    <hyperlink ref="E518" r:id="rId1575" display="https://twitter.com/dw_deutsch/status/723047399631900672" xr:uid="{3FB1C7CB-BFEE-4C65-ABA5-667D7DF8C7DD}"/>
    <hyperlink ref="O518" r:id="rId1576" display="https://pbs.twimg.com/profile_images/461118397548212226/84PnzODQ_normal.png" xr:uid="{5930515F-3D2A-46ED-8167-70E397EBC546}"/>
    <hyperlink ref="B519" r:id="rId1577" display="https://twitter.com/VeeDoubleMoo" xr:uid="{95854A8A-F096-47FF-8325-55A9A59E6D04}"/>
    <hyperlink ref="E519" r:id="rId1578" display="https://twitter.com/VeeDoubleMoo/status/723047588920975360" xr:uid="{5DDFA8EC-0798-4C33-9345-6EFFDDDB4AB4}"/>
    <hyperlink ref="O519" r:id="rId1579" display="https://pbs.twimg.com/profile_images/708599144546492416/bXlQViDS_normal.jpg" xr:uid="{85E92B69-5AD3-4D90-BFE0-E2E0A83E92E0}"/>
    <hyperlink ref="B520" r:id="rId1580" display="https://twitter.com/BBoason" xr:uid="{E7F1BAE1-C4FF-4D0B-AD2F-3308C8C2BC94}"/>
    <hyperlink ref="E520" r:id="rId1581" display="https://twitter.com/BBoason/status/723047651843948545" xr:uid="{58738D20-7425-4BDB-8AA1-1AC77272C61C}"/>
    <hyperlink ref="O520" r:id="rId1582" display="https://pbs.twimg.com/profile_images/690093754351489024/RHFZ8vSn_normal.jpg" xr:uid="{B26CA9E9-8889-409A-B508-CEDE941B2E7B}"/>
    <hyperlink ref="B521" r:id="rId1583" display="https://twitter.com/aktionaer" xr:uid="{B2E7ADBA-3122-4682-9FFB-94BECE4E5B42}"/>
    <hyperlink ref="E521" r:id="rId1584" display="https://twitter.com/aktionaer/status/723047737785118721" xr:uid="{766930D8-EC64-43FF-AC93-F85DCDE647E2}"/>
    <hyperlink ref="O521" r:id="rId1585" display="https://pbs.twimg.com/profile_images/679552623641509888/_vPw9IS2_normal.png" xr:uid="{A3386C2F-BDB5-4A20-BF79-2A9494118128}"/>
    <hyperlink ref="B522" r:id="rId1586" display="https://twitter.com/bigphilgj" xr:uid="{C59B4584-900A-4BE6-980D-868A47583144}"/>
    <hyperlink ref="E522" r:id="rId1587" display="https://twitter.com/bigphilgj/status/723048470391754752" xr:uid="{A02265EA-1762-41B1-8A1A-32A15720F9CA}"/>
    <hyperlink ref="O522" r:id="rId1588" display="https://pbs.twimg.com/profile_images/428501531046866944/o0SmDeTr_normal.jpeg" xr:uid="{3FA2FD1B-29ED-4C8D-B4FB-CE8A133733C0}"/>
    <hyperlink ref="B523" r:id="rId1589" display="https://twitter.com/cleantechken" xr:uid="{D4B0DAEF-FB8E-4004-B13F-FF2550B74DA9}"/>
    <hyperlink ref="E523" r:id="rId1590" display="https://twitter.com/cleantechken/status/723048503858085888" xr:uid="{F801F923-976A-4BCD-B53B-90291FB93D94}"/>
    <hyperlink ref="O523" r:id="rId1591" display="https://pbs.twimg.com/profile_images/1303110064/ken_crop_normal.jpg" xr:uid="{BEB0155A-D1EB-42C5-9044-215F32A2F267}"/>
    <hyperlink ref="B524" r:id="rId1592" display="https://twitter.com/JezMans" xr:uid="{5FAFF30D-C883-4B52-ABC5-94AFA2CE08CE}"/>
    <hyperlink ref="E524" r:id="rId1593" display="https://twitter.com/JezMans/status/723048628105912320" xr:uid="{FAE3AE05-FDBA-487F-A0F8-6C880737041C}"/>
    <hyperlink ref="O524" r:id="rId1594" display="https://pbs.twimg.com/profile_images/712364651837857792/FZ-qlJ-9_normal.jpg" xr:uid="{0347EC83-F911-4A0D-B426-66D01A360DE1}"/>
    <hyperlink ref="B525" r:id="rId1595" display="https://twitter.com/beuc" xr:uid="{818F6F2D-E96C-43C3-AA11-A9A99F3114FA}"/>
    <hyperlink ref="E525" r:id="rId1596" display="https://twitter.com/beuc/status/723048652026056704" xr:uid="{C20FAB3C-502B-43CB-8716-62CAE88C4C10}"/>
    <hyperlink ref="O525" r:id="rId1597" display="https://pbs.twimg.com/profile_images/1749790667/twitter_normal.jpg" xr:uid="{CA747893-03F8-4AE3-BEA3-2178BC6C9AC0}"/>
    <hyperlink ref="B526" r:id="rId1598" display="https://twitter.com/alex_pegg" xr:uid="{D3254C40-C72A-4B5A-9159-1199A18A8EC5}"/>
    <hyperlink ref="E526" r:id="rId1599" display="https://twitter.com/alex_pegg/status/723048705264357376" xr:uid="{665D6262-6ACE-4FF9-BEA0-6B84C1B502D9}"/>
    <hyperlink ref="O526" r:id="rId1600" display="https://pbs.twimg.com/profile_images/670347577980751872/zCb6hc7V_normal.jpg" xr:uid="{0245F72D-130F-43FD-A37A-FD2A77F84B5C}"/>
    <hyperlink ref="B527" r:id="rId1601" display="https://twitter.com/JulieTestAchats" xr:uid="{F4016D42-D0D9-4F7E-A157-DBBD9DE94CA6}"/>
    <hyperlink ref="E527" r:id="rId1602" display="https://twitter.com/JulieTestAchats/status/723048782515081216" xr:uid="{0C86DC3D-4D62-4F9A-84D2-0DD018235BA4}"/>
    <hyperlink ref="O527" r:id="rId1603" display="https://pbs.twimg.com/profile_images/674233130828468224/KRUDL_tK_normal.jpg" xr:uid="{77DED040-D8B1-453B-9670-DE8ADA2D1D27}"/>
    <hyperlink ref="B528" r:id="rId1604" display="https://twitter.com/MarkPlackett1" xr:uid="{06E8086A-921B-44BE-8B57-1EEFA9C37B28}"/>
    <hyperlink ref="E528" r:id="rId1605" display="https://twitter.com/MarkPlackett1/status/723048850684964864" xr:uid="{22FC971C-47B7-4D11-8EC4-16F7332DF943}"/>
    <hyperlink ref="O528" r:id="rId1606" display="https://pbs.twimg.com/profile_images/378800000145293528/2e1ca65f88bf272a2c3cbd223ffb91bc_normal.jpeg" xr:uid="{B012F12F-F43A-47D7-8942-270EE5ABEC18}"/>
    <hyperlink ref="B529" r:id="rId1607" display="https://twitter.com/MrConso" xr:uid="{61C521B5-DDD1-43E5-B534-B95943A720EA}"/>
    <hyperlink ref="E529" r:id="rId1608" display="https://twitter.com/MrConso/status/723048873854382084" xr:uid="{E515ACD2-D7AC-4BBC-9D66-A93B465F2A48}"/>
    <hyperlink ref="O529" r:id="rId1609" display="https://pbs.twimg.com/profile_images/722773279921041409/jcBYmqDu_normal.jpg" xr:uid="{93514EDB-FB80-4201-AE12-E48DF8120812}"/>
    <hyperlink ref="B530" r:id="rId1610" display="https://twitter.com/SNovember_TA" xr:uid="{C20C9E36-02DF-4ED0-BEE1-F03CC3B2F47C}"/>
    <hyperlink ref="E530" r:id="rId1611" display="https://twitter.com/SNovember_TA/status/723048959816663040" xr:uid="{F0D92190-6781-41C7-AC6D-B8A2C5C90D6D}"/>
    <hyperlink ref="O530" r:id="rId1612" display="https://pbs.twimg.com/profile_images/641589533696491520/z_Rxec7o_normal.jpg" xr:uid="{BD5249BF-F7E4-42BC-8646-284E07BDDCD3}"/>
    <hyperlink ref="B531" r:id="rId1613" display="https://twitter.com/Drey_VH" xr:uid="{270AB68B-0F6D-4DAC-866F-9F16E9904233}"/>
    <hyperlink ref="E531" r:id="rId1614" display="https://twitter.com/Drey_VH/status/723049137638350848" xr:uid="{196E35C5-F575-4665-9C7D-E2288E0C9926}"/>
    <hyperlink ref="O531" r:id="rId1615" display="https://pbs.twimg.com/profile_images/688412401667035136/gvoxnxoc_normal.jpg" xr:uid="{50AC2D1B-AFE4-40C2-BBFF-572E3054F83F}"/>
    <hyperlink ref="B532" r:id="rId1616" display="https://twitter.com/E_Analytics" xr:uid="{063188C7-BDE8-4832-951C-B2726B151A17}"/>
    <hyperlink ref="E532" r:id="rId1617" display="https://twitter.com/E_Analytics/status/723049471421087744" xr:uid="{0B033748-A547-4873-85DC-47E2FE48E918}"/>
    <hyperlink ref="O532" r:id="rId1618" display="https://pbs.twimg.com/profile_images/3208156993/90e308e22dcfd4f3fdd3c6a20cae68f9_normal.png" xr:uid="{088DC194-BEA4-4732-BFD6-FDA1793DCE3B}"/>
    <hyperlink ref="B533" r:id="rId1619" display="https://twitter.com/Drey_VH" xr:uid="{3B00F1B2-0554-4F2C-96EC-FD33CA99CBD6}"/>
    <hyperlink ref="E533" r:id="rId1620" display="https://twitter.com/Drey_VH/status/723049491234979840" xr:uid="{53EAC86E-D4F5-4356-920B-70ACDD176C15}"/>
    <hyperlink ref="O533" r:id="rId1621" display="https://pbs.twimg.com/profile_images/688412401667035136/gvoxnxoc_normal.jpg" xr:uid="{3CEDAB1B-4284-4A7D-B60D-C0B60DDA3783}"/>
    <hyperlink ref="B534" r:id="rId1622" display="https://twitter.com/DammoPhotograph" xr:uid="{2C263861-D1C5-4A3B-A4D5-7DF3221AB5AD}"/>
    <hyperlink ref="E534" r:id="rId1623" display="https://twitter.com/DammoPhotograph/status/723049539758751744" xr:uid="{51BBD834-3444-480C-B9E9-AA6ACC2ABE0E}"/>
    <hyperlink ref="O534" r:id="rId1624" display="https://pbs.twimg.com/profile_images/3637114988/814547479e176ca9b59f1fb8f90c6f38_normal.jpeg" xr:uid="{7CFF0A1B-5F35-406F-B964-012E065EF940}"/>
    <hyperlink ref="B535" r:id="rId1625" display="https://twitter.com/MoneyguruGr" xr:uid="{730425B2-4F65-4CE3-AC86-3E0C38B65E6B}"/>
    <hyperlink ref="E535" r:id="rId1626" display="https://twitter.com/MoneyguruGr/status/723049620750798849" xr:uid="{52D054C1-341B-4965-A4A7-D8835411AB69}"/>
    <hyperlink ref="O535" r:id="rId1627" display="https://pbs.twimg.com/profile_images/378800000532695479/bc3f9d473554281643b5e76aa3306944_normal.jpeg" xr:uid="{B38F54C7-BD12-4C79-A84B-208EAEF69186}"/>
    <hyperlink ref="B536" r:id="rId1628" display="https://twitter.com/adlitammm" xr:uid="{AF8D3B9F-50BE-4E60-AFAB-33FEBDBC447B}"/>
    <hyperlink ref="E536" r:id="rId1629" display="https://twitter.com/adlitammm/status/723049967145766912" xr:uid="{8D1EB67D-302C-4359-B469-785D35FE09FD}"/>
    <hyperlink ref="O536" r:id="rId1630" display="https://pbs.twimg.com/profile_images/709223273599381504/k54xhvFc_normal.jpg" xr:uid="{3590B67C-05E0-439F-8E6B-B0BDC73D5A20}"/>
    <hyperlink ref="B537" r:id="rId1631" display="https://twitter.com/MarkPlackett1" xr:uid="{48D94AAE-5374-4064-97D9-77E81ABF15D5}"/>
    <hyperlink ref="E537" r:id="rId1632" display="https://twitter.com/MarkPlackett1/status/723050002868654080" xr:uid="{41A416EA-26B1-476A-AF3C-6D4F1195308D}"/>
    <hyperlink ref="O537" r:id="rId1633" display="https://pbs.twimg.com/profile_images/378800000145293528/2e1ca65f88bf272a2c3cbd223ffb91bc_normal.jpeg" xr:uid="{FFCE3922-1402-4E66-B695-2FCB43DC3776}"/>
    <hyperlink ref="B538" r:id="rId1634" display="https://twitter.com/Rauwald" xr:uid="{4B88881D-41CA-45CE-85C0-385BB43855C9}"/>
    <hyperlink ref="E538" r:id="rId1635" display="https://twitter.com/Rauwald/status/723050294821683200" xr:uid="{2DF80A99-B81B-4B33-96BA-D770E9C64E07}"/>
    <hyperlink ref="O538" r:id="rId1636" display="https://pbs.twimg.com/profile_images/583625441010790402/DeDv5EpS_normal.jpg" xr:uid="{B23ABD13-31F8-4399-8C19-B62EA4C39D9F}"/>
    <hyperlink ref="B539" r:id="rId1637" display="https://twitter.com/ratemycamper" xr:uid="{28DC8817-AD0D-4ED7-AA48-7B6FE25BB905}"/>
    <hyperlink ref="E539" r:id="rId1638" display="https://twitter.com/ratemycamper/status/723050382113529856" xr:uid="{B93B80B7-45D2-43CD-B1DA-CD9578156331}"/>
    <hyperlink ref="O539" r:id="rId1639" display="https://pbs.twimg.com/profile_images/710929065939755009/-Rgs_z20_normal.jpg" xr:uid="{1E2138F2-B186-4794-9E3B-C9DE901D318C}"/>
    <hyperlink ref="B540" r:id="rId1640" display="https://twitter.com/Gavlarr78" xr:uid="{ADFC78A8-E81C-4397-BE6D-EDAE647B7AFD}"/>
    <hyperlink ref="E540" r:id="rId1641" display="https://twitter.com/Gavlarr78/status/723050390003023872" xr:uid="{AE8C8742-3112-4B00-AD1D-87601FEFB197}"/>
    <hyperlink ref="O540" r:id="rId1642" display="https://pbs.twimg.com/profile_images/709097571046854656/IwOIbe2__normal.jpg" xr:uid="{123F4CB8-60C1-49FE-8E08-881CA1D5F2A1}"/>
    <hyperlink ref="B541" r:id="rId1643" display="https://twitter.com/Insta_VWT" xr:uid="{A92A4385-B070-4B6B-A57E-25E84847F628}"/>
    <hyperlink ref="E541" r:id="rId1644" display="https://twitter.com/Insta_VWT/status/723050636724592641" xr:uid="{F7B2012A-A3D7-448C-BA17-EDF5DD228E92}"/>
    <hyperlink ref="O541" r:id="rId1645" display="https://pbs.twimg.com/profile_images/424893967197433858/iQ86NktX_normal.jpeg" xr:uid="{2E3086E3-F696-46CE-B131-FEF25F89EB9D}"/>
    <hyperlink ref="B542" r:id="rId1646" display="https://twitter.com/VeeDubMk1_" xr:uid="{EECADD09-D155-4D43-9883-C614DCD61454}"/>
    <hyperlink ref="E542" r:id="rId1647" display="https://twitter.com/VeeDubMk1_/status/723050776222916608" xr:uid="{6366DD8C-E389-47BB-A7CB-F91B9D00F832}"/>
    <hyperlink ref="O542" r:id="rId1648" display="https://pbs.twimg.com/profile_images/672878354127839232/M7OYc-zx_normal.jpg" xr:uid="{4C4E2B74-3486-4747-9958-2662C9FB9B40}"/>
    <hyperlink ref="B543" r:id="rId1649" display="https://twitter.com/RadoVon" xr:uid="{00595CAA-FC63-4E14-B33A-A083D5450946}"/>
    <hyperlink ref="E543" r:id="rId1650" display="https://twitter.com/RadoVon/status/723050854513668096" xr:uid="{D501CDE3-D402-4B0B-B8E7-FC986495E995}"/>
    <hyperlink ref="O543" r:id="rId1651" display="https://pbs.twimg.com/profile_images/678698246538047488/E18o9a3f_normal.jpg" xr:uid="{94E93A27-6463-40E0-832D-BEB968F17CD1}"/>
    <hyperlink ref="B544" r:id="rId1652" display="https://twitter.com/BintaBalinda" xr:uid="{1936EACA-9240-4CE9-ADED-41E9BBFE1A74}"/>
    <hyperlink ref="E544" r:id="rId1653" display="https://twitter.com/BintaBalinda/status/723051149121613824" xr:uid="{E084E32C-A3E0-4FA2-A2C8-C9AC64485FFF}"/>
    <hyperlink ref="O544" r:id="rId1654" display="https://pbs.twimg.com/profile_images/687162952152055810/r6ZCGBXR_normal.jpg" xr:uid="{CCD64456-D736-4295-AE79-A3D552197C6D}"/>
    <hyperlink ref="B545" r:id="rId1655" display="https://twitter.com/fujiyamapapa" xr:uid="{DBA74471-1E03-481B-AC0D-F59CD716668D}"/>
    <hyperlink ref="E545" r:id="rId1656" display="https://twitter.com/fujiyamapapa/status/723051187742724096" xr:uid="{6AD5193E-7E5C-4763-8B0E-0A1536202A82}"/>
    <hyperlink ref="O545" r:id="rId1657" display="https://pbs.twimg.com/profile_images/2268638548/m2eO5C0G_normal" xr:uid="{0A62AEAC-4580-4741-964C-D7D40CB4B5D8}"/>
    <hyperlink ref="B546" r:id="rId1658" display="https://twitter.com/richardfoster1" xr:uid="{5DB599D2-4F9F-4EB8-A285-00E98A09E4A7}"/>
    <hyperlink ref="E546" r:id="rId1659" display="https://twitter.com/richardfoster1/status/723051728254427136" xr:uid="{E82FC3D7-73DD-4A6D-8F4A-CA89A18D55F1}"/>
    <hyperlink ref="O546" r:id="rId1660" display="https://pbs.twimg.com/profile_images/3535830182/df7c9e30fd671a70310e341eb33e0190_normal.jpeg" xr:uid="{0B571421-D8F0-40F2-ADFF-3CE3860A10A1}"/>
    <hyperlink ref="B547" r:id="rId1661" display="https://twitter.com/Scirocco_Tuning" xr:uid="{2E70C1F2-0F4A-43E1-A6C6-51F0435D2C0F}"/>
    <hyperlink ref="E547" r:id="rId1662" display="https://twitter.com/Scirocco_Tuning/status/723051914586411008" xr:uid="{1A5458DA-03F6-4F43-903A-984F42EFE017}"/>
    <hyperlink ref="O547" r:id="rId1663" display="https://pbs.twimg.com/profile_images/1610421423/Image2_normal.jpg" xr:uid="{28EDA8D7-507D-4EF9-BAFE-0D30B6B2AB07}"/>
    <hyperlink ref="B548" r:id="rId1664" display="https://twitter.com/SK_Handels_GmbH" xr:uid="{8441D6B2-DA1F-42B2-B2D0-9DEA2061764E}"/>
    <hyperlink ref="E548" r:id="rId1665" display="https://twitter.com/SK_Handels_GmbH/status/723052301544525824" xr:uid="{40EFC7BA-A8C3-4D3C-A7A1-CEBE80C0EB85}"/>
    <hyperlink ref="O548" r:id="rId1666" display="https://pbs.twimg.com/profile_images/625966208110718976/OrDtlvmk_normal.jpg" xr:uid="{4191B2D6-05BD-4FD1-BE66-BC0F067C31F7}"/>
    <hyperlink ref="B549" r:id="rId1667" display="https://twitter.com/Sufiy" xr:uid="{344A2F53-C674-424D-98DA-82755B2EB4FF}"/>
    <hyperlink ref="E549" r:id="rId1668" display="https://twitter.com/Sufiy/status/723052346343870464" xr:uid="{F7326090-DB47-4462-B3A3-264A8FD31F7C}"/>
    <hyperlink ref="O549" r:id="rId1669" display="https://pbs.twimg.com/profile_images/292857657/GreenGrowth_normal.jpg" xr:uid="{4318AF5B-AA58-44EF-A237-98B73B3C6D76}"/>
    <hyperlink ref="B550" r:id="rId1670" display="https://twitter.com/zeitonline_wir" xr:uid="{871C235B-570D-47FB-9494-D929425DD780}"/>
    <hyperlink ref="E550" r:id="rId1671" display="https://twitter.com/zeitonline_wir/status/723052464350584832" xr:uid="{226F141E-82CF-4525-8855-1C6D2067BDBB}"/>
    <hyperlink ref="O550" r:id="rId1672" display="https://pbs.twimg.com/profile_images/587542294913556480/VN9ydDdE_normal.jpg" xr:uid="{372A26D0-A3CE-4CA2-BE6E-A39BA90503AA}"/>
    <hyperlink ref="B551" r:id="rId1673" display="https://twitter.com/remootapp" xr:uid="{35C3F1C2-DB36-46A1-981C-E0B6E7F77176}"/>
    <hyperlink ref="E551" r:id="rId1674" display="https://twitter.com/remootapp/status/723052721348198400" xr:uid="{9591E3EC-EC1A-467F-A950-E14EE8113A7A}"/>
    <hyperlink ref="O551" r:id="rId1675" display="https://pbs.twimg.com/profile_images/565798050342260736/Nkumd_zj_normal.png" xr:uid="{56F2D367-DC97-4009-8C91-39C62FC5042D}"/>
    <hyperlink ref="B552" r:id="rId1676" display="https://twitter.com/dapper013" xr:uid="{F130575D-D8E5-4BDA-B6C2-A1FEF42FAC3D}"/>
    <hyperlink ref="E552" r:id="rId1677" display="https://twitter.com/dapper013/status/723052729103470592" xr:uid="{522247BE-6A7A-4EC6-88AA-E233EA255D80}"/>
    <hyperlink ref="O552" r:id="rId1678" display="https://pbs.twimg.com/profile_images/704424786777280513/YQVkJF57_normal.jpg" xr:uid="{814C00FB-C524-4BA7-B338-5070F6E1F755}"/>
    <hyperlink ref="B553" r:id="rId1679" display="https://twitter.com/eshellshear" xr:uid="{6D5F7670-A3DA-48D5-9BCD-D8A0F3144D0B}"/>
    <hyperlink ref="E553" r:id="rId1680" display="https://twitter.com/eshellshear/status/723052802327502848" xr:uid="{FF614A05-BF63-461B-A210-F32CCF879908}"/>
    <hyperlink ref="O553" r:id="rId1681" display="https://pbs.twimg.com/profile_images/540441799987195904/nL_CxXyc_normal.jpeg" xr:uid="{0959A740-4F23-47BC-99EE-B4FB61D0DD3A}"/>
    <hyperlink ref="B554" r:id="rId1682" display="https://twitter.com/antivokou" xr:uid="{25B42E9E-40CA-43B3-866C-27B23BEA19BD}"/>
    <hyperlink ref="E554" r:id="rId1683" display="https://twitter.com/antivokou/status/723052966131863552" xr:uid="{920421A6-4BC9-4AC9-8560-54E72C7B9219}"/>
    <hyperlink ref="O554" r:id="rId1684" display="https://pbs.twimg.com/profile_images/684756833207205888/gmAhxSB9_normal.jpg" xr:uid="{C1B1F558-04B4-49DD-8C47-D812C9588B31}"/>
    <hyperlink ref="B555" r:id="rId1685" display="https://twitter.com/ywakrahS" xr:uid="{EC341B7A-B82F-4309-9E05-E37D226F50D2}"/>
    <hyperlink ref="E555" r:id="rId1686" display="https://twitter.com/ywakrahS/status/723053069714464768" xr:uid="{A5573995-E271-4173-89C5-5A82CAF5651D}"/>
    <hyperlink ref="O555" r:id="rId1687" display="https://pbs.twimg.com/profile_images/539929562889453568/6v9OpdnB_normal.jpeg" xr:uid="{80D11E9B-F9C3-4A74-82D0-5ED7718E729E}"/>
    <hyperlink ref="B556" r:id="rId1688" display="https://twitter.com/AvukatQ" xr:uid="{E7DD8D20-BAA5-47D9-B4CA-8799D52900B2}"/>
    <hyperlink ref="E556" r:id="rId1689" display="https://twitter.com/AvukatQ/status/723053122831028224" xr:uid="{743A312B-E551-4306-95F3-BFAA78124B81}"/>
    <hyperlink ref="O556" r:id="rId1690" display="https://pbs.twimg.com/profile_images/720601303387254784/GSc_bEtz_normal.jpg" xr:uid="{9D474779-3FAA-4E4E-B155-FDEBA346BAD1}"/>
    <hyperlink ref="B557" r:id="rId1691" display="https://twitter.com/CarsNewsTV" xr:uid="{B8253EA2-301A-4D06-81D2-9F5EDF6FA1D3}"/>
    <hyperlink ref="E557" r:id="rId1692" display="https://twitter.com/CarsNewsTV/status/723053189109547008" xr:uid="{E1BBFC74-A575-438A-9564-955D0D7C460A}"/>
    <hyperlink ref="O557" r:id="rId1693" display="https://pbs.twimg.com/profile_images/2560671855/5poluh8q6tmr8x6ruq28_normal.jpeg" xr:uid="{7135FE37-45E9-4063-8665-2F5FD820B183}"/>
    <hyperlink ref="B558" r:id="rId1694" display="https://twitter.com/boerseARD" xr:uid="{3C3ABAEB-CA91-4489-85D5-A9B07F79E672}"/>
    <hyperlink ref="E558" r:id="rId1695" display="https://twitter.com/boerseARD/status/723053219547508736" xr:uid="{E714F3E6-4A85-48B5-9AAA-DFAD528B39ED}"/>
    <hyperlink ref="O558" r:id="rId1696" display="https://pbs.twimg.com/profile_images/666163579700277248/vIv69HhR_normal.jpg" xr:uid="{1A7F0959-5932-4AB3-AFDE-CD1E64083C94}"/>
    <hyperlink ref="B559" r:id="rId1697" display="https://twitter.com/RumBat" xr:uid="{BE5AE4EE-0398-4475-8645-0A91CC607CE5}"/>
    <hyperlink ref="E559" r:id="rId1698" display="https://twitter.com/RumBat/status/723053233367846912" xr:uid="{A007A13A-0377-4655-80F1-5C0BD3CDCBEA}"/>
    <hyperlink ref="O559" r:id="rId1699" display="https://pbs.twimg.com/profile_images/2491572045/qzn83rp5ru7t95b5phpn_normal.jpeg" xr:uid="{7993A0D4-5B12-4994-9E3C-4F28DB35D8D7}"/>
    <hyperlink ref="B560" r:id="rId1700" display="https://twitter.com/faznet" xr:uid="{A1FB6FC9-2398-4B73-8FEE-6B19808AC4BB}"/>
    <hyperlink ref="C560" r:id="rId1701" xr:uid="{0F0284F6-D1DF-45A3-8EFE-A6F55E5E12D8}"/>
    <hyperlink ref="E560" r:id="rId1702" display="https://twitter.com/faznet/status/723053414091882496" xr:uid="{0E68FB96-B6D4-494B-8E34-C048C0C21385}"/>
    <hyperlink ref="O560" r:id="rId1703" display="https://pbs.twimg.com/profile_images/477438671151304705/8XlAQ509_normal.jpeg" xr:uid="{83DCF2F8-06DA-42FE-91A5-688D21BCBEFC}"/>
    <hyperlink ref="B561" r:id="rId1704" display="https://twitter.com/AFECTADOGRUPOVW" xr:uid="{05E7619F-7F61-4956-BD43-4C8C8EECFEB7}"/>
    <hyperlink ref="E561" r:id="rId1705" display="https://twitter.com/AFECTADOGRUPOVW/status/723054093216837633" xr:uid="{29137203-3752-457A-9A07-8E7AA5CD0028}"/>
    <hyperlink ref="O561" r:id="rId1706" display="https://pbs.twimg.com/profile_images/649519091892531200/gFXmbSPM_normal.jpg" xr:uid="{05AB3C3F-BAB6-47B6-9DFF-5CD17A0459F7}"/>
    <hyperlink ref="B562" r:id="rId1707" display="https://twitter.com/bot_innovation" xr:uid="{BDAD19CA-7390-4851-B95C-4D683C66742B}"/>
    <hyperlink ref="E562" r:id="rId1708" display="https://twitter.com/bot_innovation/status/723054098677915648" xr:uid="{9C792432-B7A8-4FAB-BE9D-622B8D2E4CE3}"/>
    <hyperlink ref="O562" r:id="rId1709" display="https://pbs.twimg.com/profile_images/619405980380622848/ljgsbkJo_normal.jpg" xr:uid="{582E3BB3-7F6E-4031-B763-1545C1186F72}"/>
    <hyperlink ref="B563" r:id="rId1710" display="https://twitter.com/1stMiniMerlin" xr:uid="{E6B68291-7425-4413-A4DE-30C0A604EE29}"/>
    <hyperlink ref="E563" r:id="rId1711" display="https://twitter.com/1stMiniMerlin/status/723054212649615361" xr:uid="{3F388AA6-496A-4DB4-B436-FA1451814977}"/>
    <hyperlink ref="O563" r:id="rId1712" display="https://pbs.twimg.com/profile_images/665983049436233728/ISdbk2zE_normal.png" xr:uid="{A92C1984-439A-415C-88AE-AAF8C850CDA3}"/>
    <hyperlink ref="B564" r:id="rId1713" display="https://twitter.com/AFECTADOGRUPOVW" xr:uid="{DB7089D8-E5BE-4310-9B29-1C016EB8FBF2}"/>
    <hyperlink ref="E564" r:id="rId1714" display="https://twitter.com/AFECTADOGRUPOVW/status/723054214495105024" xr:uid="{72CC4628-732C-4766-82D5-543371ED9466}"/>
    <hyperlink ref="O564" r:id="rId1715" display="https://pbs.twimg.com/profile_images/649519091892531200/gFXmbSPM_normal.jpg" xr:uid="{33DB944F-9C60-4917-B441-E87FD3543042}"/>
    <hyperlink ref="B565" r:id="rId1716" display="https://twitter.com/neuepresse" xr:uid="{5346FB68-318C-4C6F-B758-BB8F647C9282}"/>
    <hyperlink ref="E565" r:id="rId1717" display="https://twitter.com/neuepresse/status/723054333772718080" xr:uid="{927338B7-019D-455E-B64C-2CC9008D8F1E}"/>
    <hyperlink ref="O565" r:id="rId1718" display="https://pbs.twimg.com/profile_images/459000575602864128/kGiBZUHq_normal.jpeg" xr:uid="{0343D128-E967-4048-98DE-5DAC4E7289FF}"/>
    <hyperlink ref="B566" r:id="rId1719" display="https://twitter.com/arturotaxi" xr:uid="{6751C0CB-B7AA-4F3C-B0E9-61C117786F1C}"/>
    <hyperlink ref="E566" r:id="rId1720" display="https://twitter.com/arturotaxi/status/723054338374045696" xr:uid="{40E58309-8360-4A56-936E-F2BC1E147269}"/>
    <hyperlink ref="O566" r:id="rId1721" display="https://pbs.twimg.com/profile_images/717389494362759170/HA2F1UKk_normal.jpg" xr:uid="{BA955855-29E1-4D68-830F-2627CF9E4C58}"/>
    <hyperlink ref="B567" r:id="rId1722" display="https://twitter.com/AFECTADOGRUPOVW" xr:uid="{3E391840-5FE5-4AFA-853A-BA3F6FCFCC8F}"/>
    <hyperlink ref="E567" r:id="rId1723" display="https://twitter.com/AFECTADOGRUPOVW/status/723054357726425090" xr:uid="{9297AA30-3521-4E27-B1E2-433CBA3E9228}"/>
    <hyperlink ref="O567" r:id="rId1724" display="https://pbs.twimg.com/profile_images/649519091892531200/gFXmbSPM_normal.jpg" xr:uid="{A96579F2-7CD4-41BC-8375-8E8080F1EF75}"/>
    <hyperlink ref="B568" r:id="rId1725" display="https://twitter.com/PRESSEKONTOR" xr:uid="{4332A396-32C5-469D-8F04-6CF67EC32ABD}"/>
    <hyperlink ref="E568" r:id="rId1726" display="https://twitter.com/PRESSEKONTOR/status/723054424592142336" xr:uid="{062EA005-7FE4-4D3B-A20C-0F261A751613}"/>
    <hyperlink ref="O568" r:id="rId1727" display="https://pbs.twimg.com/profile_images/584030077870018560/aLXqHYI6_normal.jpg" xr:uid="{A32895C8-D313-4CDC-A2FC-5E23066239F5}"/>
    <hyperlink ref="B569" r:id="rId1728" display="https://twitter.com/EFEverde" xr:uid="{36F851BF-9819-477F-B09D-EF97BBBAAD6E}"/>
    <hyperlink ref="E569" r:id="rId1729" display="https://twitter.com/EFEverde/status/723054427397980160" xr:uid="{CD6A7CF0-A618-4876-B932-5E1F09D852F1}"/>
    <hyperlink ref="O569" r:id="rId1730" display="https://pbs.twimg.com/profile_images/3211861595/0d4798c412a9de9347643e28b897b349_normal.jpeg" xr:uid="{05FC1D06-7FC8-454A-BDEF-E9384EC729A9}"/>
    <hyperlink ref="B570" r:id="rId1731" display="https://twitter.com/AFECTADOGRUPOVW" xr:uid="{20DD1A23-2DF2-49D9-8EB6-82EA1ED3CEF2}"/>
    <hyperlink ref="E570" r:id="rId1732" display="https://twitter.com/AFECTADOGRUPOVW/status/723054588421513216" xr:uid="{6E389E9C-4484-4905-AEE0-B88EAFE39B8D}"/>
    <hyperlink ref="O570" r:id="rId1733" display="https://pbs.twimg.com/profile_images/649519091892531200/gFXmbSPM_normal.jpg" xr:uid="{320086B4-0776-4707-B177-84A74681B8EE}"/>
    <hyperlink ref="B571" r:id="rId1734" display="https://twitter.com/AFECTADOGRUPOVW" xr:uid="{9E648DC7-B204-464D-913C-0B05BCF00D22}"/>
    <hyperlink ref="E571" r:id="rId1735" display="https://twitter.com/AFECTADOGRUPOVW/status/723054760819974144" xr:uid="{A35EFF2F-5181-4069-B191-737F665A5049}"/>
    <hyperlink ref="O571" r:id="rId1736" display="https://pbs.twimg.com/profile_images/649519091892531200/gFXmbSPM_normal.jpg" xr:uid="{3FBF28EC-CF16-410A-A329-1F0E32414876}"/>
    <hyperlink ref="B572" r:id="rId1737" display="https://twitter.com/maritimegallery" xr:uid="{852E1CC6-0F95-48F7-8472-8047510E85B5}"/>
    <hyperlink ref="E572" r:id="rId1738" display="https://twitter.com/maritimegallery/status/723054784505225216" xr:uid="{207A9CE4-B4FD-4E27-AB44-D25DA8EDA55A}"/>
    <hyperlink ref="O572" r:id="rId1739" display="https://pbs.twimg.com/profile_images/378800000811296054/a3acc5391fa9d6a7b27ffcf3dcd7a89e_normal.jpeg" xr:uid="{C00E64B2-E72E-40C1-B82A-D17487A5259D}"/>
    <hyperlink ref="B573" r:id="rId1740" display="https://twitter.com/Sufiy" xr:uid="{50CE3220-48AB-4F9A-9620-5735241E98F7}"/>
    <hyperlink ref="E573" r:id="rId1741" display="https://twitter.com/Sufiy/status/723054991372619776" xr:uid="{7E4D26BC-70BC-4852-BA69-0BE460A9FF52}"/>
    <hyperlink ref="O573" r:id="rId1742" display="https://pbs.twimg.com/profile_images/292857657/GreenGrowth_normal.jpg" xr:uid="{B1B05258-0660-4EDA-9EC0-CD5ECDA23754}"/>
    <hyperlink ref="B574" r:id="rId1743" display="https://twitter.com/AFECTADOGRUPOVW" xr:uid="{557C91C9-84DC-46F8-A00B-4EBC31B30967}"/>
    <hyperlink ref="E574" r:id="rId1744" display="https://twitter.com/AFECTADOGRUPOVW/status/723055175707987968" xr:uid="{50051838-22C5-4C63-AA0D-311FA82755E5}"/>
    <hyperlink ref="O574" r:id="rId1745" display="https://pbs.twimg.com/profile_images/649519091892531200/gFXmbSPM_normal.jpg" xr:uid="{D8B60673-B849-4085-8802-5C2905FAC220}"/>
    <hyperlink ref="B575" r:id="rId1746" display="https://twitter.com/DennisDost" xr:uid="{0D6DB32B-ED34-4272-AD79-05C3F8D8CE92}"/>
    <hyperlink ref="E575" r:id="rId1747" display="https://twitter.com/DennisDost/status/723055279550672897" xr:uid="{5D3F638F-111D-4996-BFB6-C6C0E77960D0}"/>
    <hyperlink ref="O575" r:id="rId1748" display="https://abs.twimg.com/sticky/default_profile_images/default_profile_5_normal.png" xr:uid="{834FE94F-88D4-49B0-A64E-9D9DDC4E50B0}"/>
    <hyperlink ref="B576" r:id="rId1749" display="https://twitter.com/AFECTADOGRUPOVW" xr:uid="{32543376-98E3-4341-B699-13937FCA6D25}"/>
    <hyperlink ref="E576" r:id="rId1750" display="https://twitter.com/AFECTADOGRUPOVW/status/723055499013328896" xr:uid="{5E1910A1-782C-4D2A-8D9A-8D79B85DAE33}"/>
    <hyperlink ref="O576" r:id="rId1751" display="https://pbs.twimg.com/profile_images/649519091892531200/gFXmbSPM_normal.jpg" xr:uid="{FB1B69C5-9136-4C51-9888-7B609E404100}"/>
    <hyperlink ref="B577" r:id="rId1752" display="https://twitter.com/FusionAlloys" xr:uid="{182D14C7-4D60-433B-B58E-A581780E56DA}"/>
    <hyperlink ref="E577" r:id="rId1753" display="https://twitter.com/FusionAlloys/status/723055556425035776" xr:uid="{620DCC8A-52FA-4656-905C-9B23FAA89B23}"/>
    <hyperlink ref="O577" r:id="rId1754" display="https://pbs.twimg.com/profile_images/2840829620/fbb342e160a7fb58b5f5be5c3bd3723f_normal.png" xr:uid="{ACB65A58-0BCA-466F-BF2B-F8310E75DF0A}"/>
    <hyperlink ref="B578" r:id="rId1755" display="https://twitter.com/AndrzejNowak" xr:uid="{184B7327-3A58-4BE5-AC9C-1BCC63301B9E}"/>
    <hyperlink ref="E578" r:id="rId1756" display="https://twitter.com/AndrzejNowak/status/723055567929905152" xr:uid="{105E1D65-0AE8-4773-A104-5E8219437C6D}"/>
    <hyperlink ref="O578" r:id="rId1757" display="https://pbs.twimg.com/profile_images/667281645/Pa083935_normal.jpg" xr:uid="{99B806D0-3687-4A2C-917B-0950183F5899}"/>
    <hyperlink ref="B579" r:id="rId1758" display="https://twitter.com/faudtnieuws" xr:uid="{B5E65E3A-93ED-4A17-BB44-A33A7BE2442F}"/>
    <hyperlink ref="E579" r:id="rId1759" display="https://twitter.com/faudtnieuws/status/723055588964323328" xr:uid="{B4B1D53F-DA58-4620-A3A5-E33463FFAB82}"/>
    <hyperlink ref="O579" r:id="rId1760" display="https://pbs.twimg.com/profile_images/694644745558212608/y4VKK2aP_normal.jpg" xr:uid="{0C5752B6-1196-49CD-8A4E-909A27946455}"/>
    <hyperlink ref="B580" r:id="rId1761" display="https://twitter.com/shiryaevdomaneg" xr:uid="{772C342F-D8A6-4CA8-A0B9-4F214220B9AE}"/>
    <hyperlink ref="E580" r:id="rId1762" display="https://twitter.com/shiryaevdomaneg/status/723055591325728768" xr:uid="{43FE3D42-B597-421D-A3D6-B1EECE4CA71E}"/>
    <hyperlink ref="O580" r:id="rId1763" display="https://pbs.twimg.com/profile_images/707311591440699393/hNBW2eth_normal.jpg" xr:uid="{A8189F9C-625E-4DE7-B87A-279E5017B378}"/>
    <hyperlink ref="B581" r:id="rId1764" display="https://twitter.com/Sufiy" xr:uid="{6FA266B2-4ADB-496F-8D5C-F9BF89BC5CC0}"/>
    <hyperlink ref="E581" r:id="rId1765" display="https://twitter.com/Sufiy/status/723055811690397696" xr:uid="{BD7C12D2-A14B-4081-A321-4233EB53B14B}"/>
    <hyperlink ref="O581" r:id="rId1766" display="https://pbs.twimg.com/profile_images/292857657/GreenGrowth_normal.jpg" xr:uid="{82DD7E20-11A1-474A-9E2E-38CBC27B2E60}"/>
    <hyperlink ref="B582" r:id="rId1767" display="https://twitter.com/maritimegallery" xr:uid="{73F3C2B7-5C7D-4C93-8852-F245E8532FA8}"/>
    <hyperlink ref="E582" r:id="rId1768" display="https://twitter.com/maritimegallery/status/723055873103253504" xr:uid="{E72C951E-F6ED-46F5-95C9-4BB932B6E9D0}"/>
    <hyperlink ref="O582" r:id="rId1769" display="https://pbs.twimg.com/profile_images/378800000811296054/a3acc5391fa9d6a7b27ffcf3dcd7a89e_normal.jpeg" xr:uid="{7F9C5AD9-2DF6-4F97-96FD-2C91FF7F9F07}"/>
    <hyperlink ref="B583" r:id="rId1770" display="https://twitter.com/damugo1974" xr:uid="{235A2DA3-BA96-41E5-B629-E64D6204B95E}"/>
    <hyperlink ref="E583" r:id="rId1771" display="https://twitter.com/damugo1974/status/723055899124752384" xr:uid="{D8E225B6-F0CC-439C-9297-DFB5A06BBCC7}"/>
    <hyperlink ref="O583" r:id="rId1772" display="https://pbs.twimg.com/profile_images/588293168321335296/51B8hEpE_normal.png" xr:uid="{2FBA22A1-5BA4-46FA-A0C4-118CA2C55E88}"/>
    <hyperlink ref="B584" r:id="rId1773" display="https://twitter.com/handelsblatt" xr:uid="{03B4DEA3-A7C8-4EA3-B0B9-0E0DC5361A22}"/>
    <hyperlink ref="E584" r:id="rId1774" display="https://twitter.com/handelsblatt/status/723056286645006336" xr:uid="{6C9CAB87-99ED-4364-90A4-5CAD8393DAF6}"/>
    <hyperlink ref="O584" r:id="rId1775" display="https://pbs.twimg.com/profile_images/562563461171798017/AkHF4keI_normal.png" xr:uid="{C668E977-BFB8-4749-8468-106322B8789F}"/>
    <hyperlink ref="B585" r:id="rId1776" display="https://twitter.com/KSCoghlan" xr:uid="{7B47A47C-CF6F-481B-9AB0-8A08672956B3}"/>
    <hyperlink ref="E585" r:id="rId1777" display="https://twitter.com/KSCoghlan/status/723056425971253248" xr:uid="{BE109D89-0386-4831-B8D5-1774D6855CFE}"/>
    <hyperlink ref="O585" r:id="rId1778" display="https://pbs.twimg.com/profile_images/500457594234736640/JfyXymKL_normal.jpeg" xr:uid="{9B953802-211C-4E96-8819-A4413F7A906F}"/>
    <hyperlink ref="B586" r:id="rId1779" display="https://twitter.com/ME262P" xr:uid="{BD974F23-4EE6-40F4-A425-D48E22348A9A}"/>
    <hyperlink ref="E586" r:id="rId1780" display="https://twitter.com/ME262P/status/723056478119063552" xr:uid="{607FBBC8-FD7F-4118-9AC9-2C46DC8F5B49}"/>
    <hyperlink ref="O586" r:id="rId1781" display="https://pbs.twimg.com/profile_images/534347903415091200/7vSjzA4l_normal.jpeg" xr:uid="{A2F016E1-E232-463A-8007-88A9855FA0F1}"/>
    <hyperlink ref="B587" r:id="rId1782" display="https://twitter.com/EineAnderePolit" xr:uid="{FA544FFF-DDB5-43A2-9D20-6FDE426A0A47}"/>
    <hyperlink ref="E587" r:id="rId1783" display="https://twitter.com/EineAnderePolit/status/723056578937671680" xr:uid="{8C1B8132-8F37-46CC-BAAF-1A4D43A7C7B3}"/>
    <hyperlink ref="O587" r:id="rId1784" display="https://pbs.twimg.com/profile_images/657102687893327873/IWixsvBW_normal.jpg" xr:uid="{15898A6A-0938-401F-9A5F-DBA7E6A8D9E7}"/>
    <hyperlink ref="B588" r:id="rId1785" display="https://twitter.com/Aufziehvogel_LE" xr:uid="{00BE8EFD-56B1-435F-B553-047AA9ED0563}"/>
    <hyperlink ref="E588" r:id="rId1786" display="https://twitter.com/Aufziehvogel_LE/status/723056753554890752" xr:uid="{478D8F89-BF71-4080-938A-592A21124A4D}"/>
    <hyperlink ref="O588" r:id="rId1787" display="https://pbs.twimg.com/profile_images/412511127864500224/h2Y9i8Ok_normal.jpeg" xr:uid="{5987FE61-1561-4158-8B03-69086D3DF732}"/>
    <hyperlink ref="P588" r:id="rId1788" location="48.15,11.5833" display="http://ctrlq.org/maps/address/ - 48.15,11.5833" xr:uid="{52C335E0-593A-4E8D-9DE4-CF60C59BD0E2}"/>
    <hyperlink ref="B589" r:id="rId1789" display="https://twitter.com/NDRreporter" xr:uid="{42B17220-3056-4936-87B5-4115153011AB}"/>
    <hyperlink ref="E589" r:id="rId1790" display="https://twitter.com/NDRreporter/status/723056965568450560" xr:uid="{FFC6B0D9-8320-4280-BD5E-085D0E9F0887}"/>
    <hyperlink ref="O589" r:id="rId1791" display="https://pbs.twimg.com/profile_images/466908605317279744/I5a712BQ_normal.jpeg" xr:uid="{44D71FC8-40FB-47CF-BA07-834817D3E2E8}"/>
    <hyperlink ref="B590" r:id="rId1792" display="https://twitter.com/zeitonline" xr:uid="{9EA02D6C-D434-40B8-A585-B4F8288AC0D9}"/>
    <hyperlink ref="E590" r:id="rId1793" display="https://twitter.com/zeitonline/status/723057715241693184" xr:uid="{58FFB773-7711-4F14-8CF5-697433156C93}"/>
    <hyperlink ref="O590" r:id="rId1794" display="https://pbs.twimg.com/profile_images/702423578608852994/zVbR9TA1_normal.jpg" xr:uid="{C5936ECB-E2EA-4501-AB15-D0DEAA84BD30}"/>
    <hyperlink ref="B591" r:id="rId1795" display="https://twitter.com/techhippie" xr:uid="{EF6CD6A7-DD70-47C7-93AB-89CB7E484A44}"/>
    <hyperlink ref="E591" r:id="rId1796" display="https://twitter.com/techhippie/status/723057730890641408" xr:uid="{F80E1959-2502-4495-BC15-3A84F4DC61A7}"/>
    <hyperlink ref="O591" r:id="rId1797" display="https://pbs.twimg.com/profile_images/702511217793863680/lty8h9vE_normal.jpg" xr:uid="{C6E324E1-3FBE-4E06-803B-ED45156E882C}"/>
    <hyperlink ref="B592" r:id="rId1798" display="https://twitter.com/techhippie" xr:uid="{276FF3FE-0EB2-4877-B9F1-5E173966F3EB}"/>
    <hyperlink ref="E592" r:id="rId1799" display="https://twitter.com/techhippie/status/723057756689805312" xr:uid="{AA4006BD-B94E-4ADF-BDEE-002981BCDE0A}"/>
    <hyperlink ref="O592" r:id="rId1800" display="https://pbs.twimg.com/profile_images/702511217793863680/lty8h9vE_normal.jpg" xr:uid="{05594AF9-889D-4761-A8C8-1A82696ADC38}"/>
    <hyperlink ref="B593" r:id="rId1801" display="https://twitter.com/soundsofawesome" xr:uid="{8488FE00-B07B-4690-8698-485A4A40A17A}"/>
    <hyperlink ref="E593" r:id="rId1802" display="https://twitter.com/soundsofawesome/status/723058830230298624" xr:uid="{DDE6308B-5041-4013-92A4-368ACBE96F64}"/>
    <hyperlink ref="O593" r:id="rId1803" display="https://pbs.twimg.com/profile_images/378800000471630648/a95691815bc486025cede45197e62b24_normal.jpeg" xr:uid="{69554848-7101-4B8D-B64E-11AA64763C6D}"/>
    <hyperlink ref="B594" r:id="rId1804" display="https://twitter.com/carstech42160" xr:uid="{B43E96E1-4747-43D3-8D3B-89EE233E9002}"/>
    <hyperlink ref="E594" r:id="rId1805" display="https://twitter.com/carstech42160/status/723058855320514561" xr:uid="{265EA0A7-9533-40E5-ADB2-14081CA1DFEA}"/>
    <hyperlink ref="O594" r:id="rId1806" display="https://pbs.twimg.com/profile_images/709727688462831616/KG2oHK_4_normal.jpg" xr:uid="{602EE2F9-FA00-485F-B7D4-2849FFE43606}"/>
    <hyperlink ref="B595" r:id="rId1807" display="https://twitter.com/Kurtzer90" xr:uid="{E7C39D8B-B2A5-475A-9313-C70194AB0910}"/>
    <hyperlink ref="E595" r:id="rId1808" display="https://twitter.com/Kurtzer90/status/723059628842602496" xr:uid="{2D4F8D82-BEC3-4B52-93D5-465054212E16}"/>
    <hyperlink ref="O595" r:id="rId1809" display="https://pbs.twimg.com/profile_images/463700870073286657/N6mCbx-y_normal.png" xr:uid="{B066AF36-EAD1-4F58-BE89-6D83DE232E56}"/>
    <hyperlink ref="B596" r:id="rId1810" display="https://twitter.com/BWResearch" xr:uid="{C94F5013-881F-4124-9E06-1C994B85A4C9}"/>
    <hyperlink ref="E596" r:id="rId1811" display="https://twitter.com/BWResearch/status/723059664192188416" xr:uid="{97056297-762C-493C-A529-5527B6241F31}"/>
    <hyperlink ref="O596" r:id="rId1812" display="https://pbs.twimg.com/profile_images/1454103259/logo_normal.gif" xr:uid="{C4ACC2D1-E816-40E3-AB9D-165F5D9D5A30}"/>
    <hyperlink ref="B597" r:id="rId1813" display="https://twitter.com/Marina_Ilona" xr:uid="{0995CDEB-A018-41BD-8E96-A873D01C8EAD}"/>
    <hyperlink ref="E597" r:id="rId1814" display="https://twitter.com/Marina_Ilona/status/723060386069659648" xr:uid="{1902046B-FD41-4755-B1F0-A5E8066A4E50}"/>
    <hyperlink ref="O597" r:id="rId1815" display="https://pbs.twimg.com/profile_images/692310744122179588/mSQOWSau_normal.jpg" xr:uid="{B2EBE6BB-91F3-47AF-A116-EE2411BA87F1}"/>
    <hyperlink ref="B598" r:id="rId1816" display="https://twitter.com/vwpress_en" xr:uid="{6168D43A-AFC4-4E6B-9DBD-39E556EA174D}"/>
    <hyperlink ref="E598" r:id="rId1817" display="https://twitter.com/vwpress_en/status/723060477010546688" xr:uid="{54C4B987-8190-4CEA-A8AA-D9B0C6EB62BF}"/>
    <hyperlink ref="O598" r:id="rId1818" display="https://pbs.twimg.com/profile_images/682117963349135360/IUfZQy35_normal.png" xr:uid="{80780D13-DB67-4C2D-A572-485B7D6E9258}"/>
    <hyperlink ref="B599" r:id="rId1819" display="https://twitter.com/vwpress_de" xr:uid="{E47ABB55-1DDC-4D62-A3C0-50EB069A34D1}"/>
    <hyperlink ref="E599" r:id="rId1820" display="https://twitter.com/vwpress_de/status/723060517577850880" xr:uid="{7AD7AD97-38ED-438C-A5AE-0091E4046FB6}"/>
    <hyperlink ref="O599" r:id="rId1821" display="https://pbs.twimg.com/profile_images/682117656502222848/Ge7YeAF3_normal.png" xr:uid="{3C486EA3-9ED3-426F-B0EE-882C58312A32}"/>
    <hyperlink ref="B600" r:id="rId1822" display="https://twitter.com/ksujan16" xr:uid="{8C828CF8-170E-4DEF-AF15-C34276E570F3}"/>
    <hyperlink ref="E600" r:id="rId1823" display="https://twitter.com/ksujan16/status/723061043300192257" xr:uid="{369CDBBC-2A3B-459D-B118-28C055E19F04}"/>
    <hyperlink ref="O600" r:id="rId1824" display="https://pbs.twimg.com/profile_images/709319178251964416/HcPFO-Tj_normal.jpg" xr:uid="{62619178-7046-4B56-8350-01ED9EA92C9B}"/>
    <hyperlink ref="B601" r:id="rId1825" display="https://twitter.com/boeser_Klaus" xr:uid="{8C2D2CB8-1B27-4CCD-A8E4-256BFD76A04A}"/>
    <hyperlink ref="E601" r:id="rId1826" display="https://twitter.com/boeser_Klaus/status/723061142550007808" xr:uid="{4A2AA4B0-F05E-4962-B28E-E847EB2DF4F1}"/>
    <hyperlink ref="O601" r:id="rId1827" display="https://pbs.twimg.com/profile_images/3668786744/579a077df8e8a1808ea48107bc6d84fd_normal.jpeg" xr:uid="{F8084187-6331-47C1-90F0-D019B8993682}"/>
    <hyperlink ref="B602" r:id="rId1828" display="https://twitter.com/shinemyrideuk" xr:uid="{A265FE2B-35AF-4793-9E34-1501F245E33A}"/>
    <hyperlink ref="E602" r:id="rId1829" display="https://twitter.com/shinemyrideuk/status/723061297349271552" xr:uid="{2C960B2F-1ED7-4F7B-938D-A344A40480BF}"/>
    <hyperlink ref="O602" r:id="rId1830" display="https://pbs.twimg.com/profile_images/673219952988413952/RwM7EX2v_normal.png" xr:uid="{F2D0A050-DA01-4731-9E27-EC57C733AED1}"/>
    <hyperlink ref="B603" r:id="rId1831" display="https://twitter.com/gertschulze" xr:uid="{E149DCC9-7A4A-4EBE-ABD3-104627CB0E88}"/>
    <hyperlink ref="E603" r:id="rId1832" display="https://twitter.com/gertschulze/status/723061428287115264" xr:uid="{4A292E81-1FC3-4A7C-9DCD-B954EB1DF1F3}"/>
    <hyperlink ref="O603" r:id="rId1833" display="https://pbs.twimg.com/profile_images/705027169228099584/Ql9hI--__normal.jpg" xr:uid="{1734CFB6-328E-43F1-B214-F59282E53EC0}"/>
    <hyperlink ref="B604" r:id="rId1834" display="https://twitter.com/mvdweyer" xr:uid="{8FFDAF8F-9253-48F4-9B59-5C3E9D91C8A3}"/>
    <hyperlink ref="E604" r:id="rId1835" display="https://twitter.com/mvdweyer/status/723061474344587264" xr:uid="{23DAB0B1-8B86-48E6-91BD-A4D297CC965C}"/>
    <hyperlink ref="O604" r:id="rId1836" display="https://pbs.twimg.com/profile_images/489747056584445953/3tvslEko_normal.jpeg" xr:uid="{74C49FC8-939F-4347-92EC-F54A851E467A}"/>
    <hyperlink ref="B605" r:id="rId1837" display="https://twitter.com/VWBeetleSales" xr:uid="{FC7F3395-262D-45EA-9257-8C73850D70E9}"/>
    <hyperlink ref="E605" r:id="rId1838" display="https://twitter.com/VWBeetleSales/status/723061722609684480" xr:uid="{AB07951B-4202-4703-8ABD-881D5A43CCE2}"/>
    <hyperlink ref="F605" r:id="rId1839" xr:uid="{86F151AB-414A-4308-B157-FC99AC880A15}"/>
    <hyperlink ref="O605" r:id="rId1840" display="https://pbs.twimg.com/profile_images/703294545195307008/qeCvrX86_normal.jpg" xr:uid="{0FC5168B-A56C-4F93-9F6E-39E74B4679A0}"/>
    <hyperlink ref="B606" r:id="rId1841" display="https://twitter.com/intellicar" xr:uid="{471E4292-EA90-43BB-87E8-27D10B7CE4E5}"/>
    <hyperlink ref="C606" r:id="rId1842" xr:uid="{1AFB5952-155A-40D2-A31F-D80C2B157BAD}"/>
    <hyperlink ref="E606" r:id="rId1843" display="https://twitter.com/intellicar/status/723062017884598272" xr:uid="{6830F757-185B-49B5-A667-D561A61CC1F3}"/>
    <hyperlink ref="O606" r:id="rId1844" display="https://pbs.twimg.com/profile_images/507083916704899072/zhnuNlCn_normal.jpeg" xr:uid="{F3178AE8-CB83-4A6B-BC37-3CAC9E4701D4}"/>
    <hyperlink ref="B607" r:id="rId1845" display="https://twitter.com/1000dinge" xr:uid="{D99BEB7E-2EC7-4701-A278-A49882D5AD48}"/>
    <hyperlink ref="E607" r:id="rId1846" display="https://twitter.com/1000dinge/status/723062446701862912" xr:uid="{5345839E-E879-401F-A402-2CD5A8E08E9D}"/>
    <hyperlink ref="O607" r:id="rId1847" display="https://pbs.twimg.com/profile_images/1678801900/wirrer_typ_normal.jpg" xr:uid="{66531A11-D5A1-4E85-81B6-108C45FDBE21}"/>
    <hyperlink ref="B608" r:id="rId1848" display="https://twitter.com/RhodiumCar" xr:uid="{8425BB31-B37D-43CC-BCD9-EB0C7873626D}"/>
    <hyperlink ref="E608" r:id="rId1849" display="https://twitter.com/RhodiumCar/status/723062744467927040" xr:uid="{E4388488-F0C7-409B-9B1F-F68BAB5A6F3A}"/>
    <hyperlink ref="O608" r:id="rId1850" display="https://pbs.twimg.com/profile_images/523083731729252352/lckhEXci_normal.png" xr:uid="{C04266DA-FD63-4093-AFCB-20EAC07177C2}"/>
    <hyperlink ref="B609" r:id="rId1851" display="https://twitter.com/DirkEllisVW" xr:uid="{9EB1719F-D23C-4DE5-84E5-18E80D844881}"/>
    <hyperlink ref="E609" r:id="rId1852" display="https://twitter.com/DirkEllisVW/status/723062902790479872" xr:uid="{30F25A55-3454-4628-955C-A86AFF20DF98}"/>
    <hyperlink ref="O609" r:id="rId1853" display="https://pbs.twimg.com/profile_images/677140771783450624/9_7T_mk7_normal.jpg" xr:uid="{DCBA5F24-A7E0-41DA-94A1-9F00542BDC2B}"/>
    <hyperlink ref="B610" r:id="rId1854" display="https://twitter.com/10tradeDeutsche" xr:uid="{801E1379-98C3-46B8-92CC-4262AF7CCBC0}"/>
    <hyperlink ref="E610" r:id="rId1855" display="https://twitter.com/10tradeDeutsche/status/723063050895413248" xr:uid="{7F2F154E-37EC-45FC-9662-BC973E92C0C9}"/>
    <hyperlink ref="O610" r:id="rId1856" display="https://pbs.twimg.com/profile_images/675985665474064384/hFOAQJ2E_normal.png" xr:uid="{662300DE-D58D-499A-A87B-4ED1F0B47C6A}"/>
    <hyperlink ref="B611" r:id="rId1857" display="https://twitter.com/autogazette" xr:uid="{F8F5F9E3-83A4-4E1B-BEBF-D5147C30C45A}"/>
    <hyperlink ref="E611" r:id="rId1858" display="https://twitter.com/autogazette/status/723063257712451584" xr:uid="{575A222C-8FEA-428F-9870-BEF248FDD973}"/>
    <hyperlink ref="O611" r:id="rId1859" display="https://pbs.twimg.com/profile_images/1170019200/ag_fb_logo_normal.jpg" xr:uid="{816AFC21-29C6-47A0-9936-2E600D29CA06}"/>
    <hyperlink ref="B612" r:id="rId1860" display="https://twitter.com/instock_de" xr:uid="{9152C9B6-A843-4238-A5C0-32DC13F42B4D}"/>
    <hyperlink ref="C612" r:id="rId1861" xr:uid="{E6A7D875-E1DB-44C7-AAA5-97B48F4648BF}"/>
    <hyperlink ref="E612" r:id="rId1862" display="https://twitter.com/instock_de/status/723063558049681408" xr:uid="{0931220B-4623-4D58-AF9E-0D01F4C3A5C5}"/>
    <hyperlink ref="O612" r:id="rId1863" display="https://pbs.twimg.com/profile_images/1200648485/instock_normal.jpg" xr:uid="{E155051E-F045-4F21-9508-456089ED5CC0}"/>
    <hyperlink ref="B613" r:id="rId1864" display="https://twitter.com/aa_albanian" xr:uid="{58BED1E1-61F2-4DB0-A77E-CB0593653C52}"/>
    <hyperlink ref="E613" r:id="rId1865" display="https://twitter.com/aa_albanian/status/723064161593257984" xr:uid="{FD02587F-3AEA-4862-BE4C-A38FA1AD2930}"/>
    <hyperlink ref="O613" r:id="rId1866" display="https://pbs.twimg.com/profile_images/499187225486061568/3-sPmpp6_normal.jpeg" xr:uid="{B06A4A9C-F08D-4607-A6EF-A868BF6FF026}"/>
    <hyperlink ref="B614" r:id="rId1867" display="https://twitter.com/LiseDeshautel" xr:uid="{F46B4BEA-CCD0-4410-88C9-37032527B890}"/>
    <hyperlink ref="E614" r:id="rId1868" display="https://twitter.com/LiseDeshautel/status/723064191557337088" xr:uid="{0A967BE5-7416-4127-8603-AB94D4465565}"/>
    <hyperlink ref="O614" r:id="rId1869" display="https://pbs.twimg.com/profile_images/698167146061393920/_NStR49S_normal.jpg" xr:uid="{195FAE2D-0CB4-45AF-91B0-2E239355D701}"/>
    <hyperlink ref="B615" r:id="rId1870" display="https://twitter.com/ML42222157" xr:uid="{F513394A-D305-42E2-9884-F6F455290105}"/>
    <hyperlink ref="E615" r:id="rId1871" display="https://twitter.com/ML42222157/status/723065070813609984" xr:uid="{0E4874BD-A6D0-4D11-96EB-BA0AD8B08713}"/>
    <hyperlink ref="O615" r:id="rId1872" display="https://pbs.twimg.com/profile_images/2547861726/image_normal.jpg" xr:uid="{95206EB7-4F3E-4317-A719-D1D5E4888011}"/>
    <hyperlink ref="B616" r:id="rId1873" display="https://twitter.com/AlertRNS" xr:uid="{0E04B561-F18B-439E-8113-74B9E98AA46C}"/>
    <hyperlink ref="E616" r:id="rId1874" display="https://twitter.com/AlertRNS/status/723065120914608128" xr:uid="{491DD4B9-3F4E-4BCD-99CF-580CFD352D79}"/>
    <hyperlink ref="O616" r:id="rId1875" display="https://pbs.twimg.com/profile_images/672033788948533248/EX6zwR9B_normal.jpg" xr:uid="{34A19E6F-B431-4477-870B-DBE3B98265EE}"/>
    <hyperlink ref="B617" r:id="rId1876" display="https://twitter.com/TodoLoVerde" xr:uid="{E5D74E8C-679B-4742-B706-9F0D754A6B6E}"/>
    <hyperlink ref="E617" r:id="rId1877" display="https://twitter.com/TodoLoVerde/status/723065188505784320" xr:uid="{26B62B8F-E47A-481C-A7B0-8DEE7EB69077}"/>
    <hyperlink ref="O617" r:id="rId1878" display="https://pbs.twimg.com/profile_images/568043809972305921/7jtD5JLU_normal.jpeg" xr:uid="{5183EE57-6F93-4763-8FBA-968EFAC39A98}"/>
    <hyperlink ref="B618" r:id="rId1879" display="https://twitter.com/gas_guz" xr:uid="{6B0236DC-E2CE-4F59-A80C-6734E44CC693}"/>
    <hyperlink ref="E618" r:id="rId1880" display="https://twitter.com/gas_guz/status/723065196646785027" xr:uid="{E7524F53-2961-4DCD-835A-0A46535EA649}"/>
    <hyperlink ref="O618" r:id="rId1881" display="https://pbs.twimg.com/profile_images/690210351649005568/MsJLMgBm_normal.jpg" xr:uid="{94149450-866A-4DDE-9F6C-C19ED2D4555C}"/>
    <hyperlink ref="B619" r:id="rId1882" display="https://twitter.com/samiamebarki1" xr:uid="{F12EDE68-D72B-43AC-8137-B589A781BC19}"/>
    <hyperlink ref="E619" r:id="rId1883" display="https://twitter.com/samiamebarki1/status/723065291580690432" xr:uid="{01B30897-4263-4E9B-814B-E14C13032224}"/>
    <hyperlink ref="O619" r:id="rId1884" display="https://pbs.twimg.com/profile_images/2346135175/qykofyyqb1o1mchiek3d_normal.jpeg" xr:uid="{6FCB053D-5D3C-444F-9721-E187F3E9346B}"/>
    <hyperlink ref="B620" r:id="rId1885" display="https://twitter.com/Matthijs85" xr:uid="{C0C30FDE-FD2E-434E-A7B5-571FAA9F3DC0}"/>
    <hyperlink ref="E620" r:id="rId1886" display="https://twitter.com/Matthijs85/status/723065294734774272" xr:uid="{3AE24E30-B631-43EA-9C67-347E0083AC02}"/>
    <hyperlink ref="O620" r:id="rId1887" display="https://pbs.twimg.com/profile_images/695061017399791617/E8xZCNGr_normal.jpg" xr:uid="{EE4CFAB7-D485-45E5-8B9E-9CC25D7E10AF}"/>
    <hyperlink ref="B621" r:id="rId1888" display="https://twitter.com/Scirocco_Tuning" xr:uid="{8E74596B-7987-4C01-8B42-5401A1D4160B}"/>
    <hyperlink ref="E621" r:id="rId1889" display="https://twitter.com/Scirocco_Tuning/status/723067587668619264" xr:uid="{C87C6250-0C0D-4A47-92F9-3CE4AD268873}"/>
    <hyperlink ref="O621" r:id="rId1890" display="https://pbs.twimg.com/profile_images/1610421423/Image2_normal.jpg" xr:uid="{A63BE9AC-FE71-405B-87A2-C757822C284F}"/>
    <hyperlink ref="B622" r:id="rId1891" display="https://twitter.com/Pete_Ubhi" xr:uid="{13EBFAF4-7C31-4F60-AB5A-65059774D0E8}"/>
    <hyperlink ref="E622" r:id="rId1892" display="https://twitter.com/Pete_Ubhi/status/723067691465072640" xr:uid="{9782D744-E00A-4A63-A37C-6BECCD4257F9}"/>
    <hyperlink ref="O622" r:id="rId1893" display="https://pbs.twimg.com/profile_images/534739727736639488/Un6t22Yz_normal.jpeg" xr:uid="{62CA878B-F9E4-424E-B9DD-56C17827D64B}"/>
    <hyperlink ref="B623" r:id="rId1894" display="https://twitter.com/chellebows1" xr:uid="{CF187E6B-795B-4D77-9DD0-1785520247CA}"/>
    <hyperlink ref="E623" r:id="rId1895" display="https://twitter.com/chellebows1/status/723067782263410688" xr:uid="{7F45527D-D3F6-4D61-B53A-DE82E054556D}"/>
    <hyperlink ref="O623" r:id="rId1896" display="https://pbs.twimg.com/profile_images/714190546366042112/qAF0jO-8_normal.jpg" xr:uid="{C4AA8AAD-B9DC-43E6-998D-C312080DC531}"/>
    <hyperlink ref="B624" r:id="rId1897" display="https://twitter.com/Test_Achats" xr:uid="{8F863E20-B229-46FB-AC85-2832B937D5E4}"/>
    <hyperlink ref="E624" r:id="rId1898" display="https://twitter.com/Test_Achats/status/723067857840435200" xr:uid="{907A97E5-918B-4718-87F1-11C780784B48}"/>
    <hyperlink ref="O624" r:id="rId1899" display="https://pbs.twimg.com/profile_images/717651142327607296/1uRZ3jg3_normal.jpg" xr:uid="{8D02ACA2-97E0-4F32-ADC1-B9CAA2D017A0}"/>
    <hyperlink ref="B625" r:id="rId1900" display="https://twitter.com/mishegas" xr:uid="{8865E70D-5ECE-433E-913C-796C4162EAB1}"/>
    <hyperlink ref="E625" r:id="rId1901" display="https://twitter.com/mishegas/status/723067974349807616" xr:uid="{13C274A5-2B4E-4CEF-B5A1-2DD8F1743D7A}"/>
    <hyperlink ref="O625" r:id="rId1902" display="https://pbs.twimg.com/profile_images/712271031986167808/28m0atkO_normal.jpg" xr:uid="{5C5A7CDC-6162-4CFE-972D-C95CCC64F3E1}"/>
    <hyperlink ref="B626" r:id="rId1903" display="https://twitter.com/frugalmaniac" xr:uid="{CD4B4F8D-C9CE-4E56-9DE2-B3A93154B011}"/>
    <hyperlink ref="E626" r:id="rId1904" display="https://twitter.com/frugalmaniac/status/723068097725403136" xr:uid="{A96ECA79-C7F0-4862-92D7-BDD08B36EBF7}"/>
    <hyperlink ref="O626" r:id="rId1905" display="https://pbs.twimg.com/profile_images/459437340893532161/JWfT0I5C_normal.jpeg" xr:uid="{BCF20E90-8E47-43CA-9157-8CD34179F299}"/>
    <hyperlink ref="B627" r:id="rId1906" display="https://twitter.com/Testaankoop" xr:uid="{0D692816-5F2C-498A-AA15-7DABEA67C10E}"/>
    <hyperlink ref="E627" r:id="rId1907" display="https://twitter.com/Testaankoop/status/723068192306827264" xr:uid="{68F5591D-9148-42FA-ACFE-0FF3781A395A}"/>
    <hyperlink ref="O627" r:id="rId1908" display="https://pbs.twimg.com/profile_images/717650351445385217/YaaLk3FA_normal.jpg" xr:uid="{E629DAD8-B0C9-4851-9E4C-7C1850CA6B1D}"/>
    <hyperlink ref="B628" r:id="rId1909" display="https://twitter.com/arifyetiskin" xr:uid="{2F42FD47-74B4-4554-88F7-950298C18A80}"/>
    <hyperlink ref="E628" r:id="rId1910" display="https://twitter.com/arifyetiskin/status/723068356245491712" xr:uid="{9512B495-B74C-4F2D-87CC-D0A6C27F7CE5}"/>
    <hyperlink ref="O628" r:id="rId1911" display="https://pbs.twimg.com/profile_images/678065921462771713/kuItu_4T_normal.jpg" xr:uid="{F7AC29D3-86AD-4448-8704-9FF61AEEEDAD}"/>
    <hyperlink ref="B629" r:id="rId1912" display="https://twitter.com/AutohausCampers" xr:uid="{DAEAAFA7-FF5C-4513-ABF9-AAEFC2DE066F}"/>
    <hyperlink ref="E629" r:id="rId1913" display="https://twitter.com/AutohausCampers/status/723068442597679105" xr:uid="{D60620A3-263A-47D1-AA18-EDADD78AB280}"/>
    <hyperlink ref="O629" r:id="rId1914" display="https://pbs.twimg.com/profile_images/691571532208959488/iOvDHSKU_normal.jpg" xr:uid="{92BC8F99-B0F9-4B48-89A6-B1E2501462A5}"/>
    <hyperlink ref="B630" r:id="rId1915" display="https://twitter.com/Federalnaba" xr:uid="{00BADED1-D539-4836-A4D8-3439BBD49E10}"/>
    <hyperlink ref="C630" r:id="rId1916" xr:uid="{91D22A44-37CA-44CF-B733-C1A0E9606216}"/>
    <hyperlink ref="E630" r:id="rId1917" display="https://twitter.com/Federalnaba/status/723068526018334720" xr:uid="{F83B6EB6-54AA-4F26-870A-0C55ACE58059}"/>
    <hyperlink ref="O630" r:id="rId1918" display="https://pbs.twimg.com/profile_images/578163971032674304/5-_WwSf__normal.jpeg" xr:uid="{296F0807-8CA1-4318-9DBF-EC522A547EF7}"/>
    <hyperlink ref="B631" r:id="rId1919" display="https://twitter.com/DirkEllisVW" xr:uid="{2C44CD7C-4EED-43E8-849A-A5F7ACAF77B1}"/>
    <hyperlink ref="E631" r:id="rId1920" display="https://twitter.com/DirkEllisVW/status/723068527104667648" xr:uid="{4FAD5009-2FC8-4D43-A551-459A846CC88A}"/>
    <hyperlink ref="O631" r:id="rId1921" display="https://pbs.twimg.com/profile_images/677140771783450624/9_7T_mk7_normal.jpg" xr:uid="{A3ABA063-BA97-432C-A4F7-4150100BFDA7}"/>
    <hyperlink ref="B632" r:id="rId1922" display="https://twitter.com/VolkswagenPost" xr:uid="{E7E9DB24-0250-45F4-92E3-5580C6474152}"/>
    <hyperlink ref="E632" r:id="rId1923" display="https://twitter.com/VolkswagenPost/status/723068725558026240" xr:uid="{470E2230-5A4D-44D4-905E-978E5B5EB671}"/>
    <hyperlink ref="O632" r:id="rId1924" display="https://pbs.twimg.com/profile_images/530071272881803264/a_jcCmPZ_normal.png" xr:uid="{1B9EDD93-A21E-455B-AEFE-CED400DD3CDF}"/>
    <hyperlink ref="B633" r:id="rId1925" display="https://twitter.com/MathiasB9" xr:uid="{AF86F04A-7EE6-4F23-8D94-E15D274BF101}"/>
    <hyperlink ref="E633" r:id="rId1926" display="https://twitter.com/MathiasB9/status/723068744549822464" xr:uid="{1154C33A-4137-4385-B252-5736C1A8719F}"/>
    <hyperlink ref="O633" r:id="rId1927" display="https://pbs.twimg.com/profile_images/640586325645725696/k22mJ46Z_normal.jpg" xr:uid="{F2A6A3E5-6BC7-44E0-A702-8D73E8E5341A}"/>
    <hyperlink ref="B634" r:id="rId1928" display="https://twitter.com/MartaMa55978031" xr:uid="{1BBBF4BC-7AB3-414C-B2F4-C30D4DEF0A6D}"/>
    <hyperlink ref="E634" r:id="rId1929" display="https://twitter.com/MartaMa55978031/status/723068791572312064" xr:uid="{09651213-FB3A-470E-9500-6E3B7409A634}"/>
    <hyperlink ref="O634" r:id="rId1930" display="https://abs.twimg.com/sticky/default_profile_images/default_profile_6_normal.png" xr:uid="{4FF2A794-6B80-44FE-93F5-F45FC17E6821}"/>
    <hyperlink ref="B635" r:id="rId1931" display="https://twitter.com/Armored_Horse" xr:uid="{ABFE919D-C16E-4800-AE44-1EA1A8E7BE1E}"/>
    <hyperlink ref="E635" r:id="rId1932" display="https://twitter.com/Armored_Horse/status/723068862472830976" xr:uid="{41DDA69C-6153-476E-BAA4-C0E4DA49DB84}"/>
    <hyperlink ref="O635" r:id="rId1933" display="https://pbs.twimg.com/profile_images/587513473216729088/GvZsEJNL_normal.jpg" xr:uid="{2349AE57-894B-47ED-AB91-63BAD4FF2015}"/>
    <hyperlink ref="B636" r:id="rId1934" display="https://twitter.com/sami3dat" xr:uid="{6F053059-F482-43AF-9337-63F8F60D4A61}"/>
    <hyperlink ref="E636" r:id="rId1935" display="https://twitter.com/sami3dat/status/723069111060828161" xr:uid="{8C49C8F3-40B1-449A-95A6-AC2A4BA30B0B}"/>
    <hyperlink ref="O636" r:id="rId1936" display="https://pbs.twimg.com/profile_images/593866311987503104/AiMhtNR0_normal.jpg" xr:uid="{39C8A138-CDAF-42AF-82C1-701F2F7D5D9C}"/>
    <hyperlink ref="B637" r:id="rId1937" display="https://twitter.com/FAZ_Finance" xr:uid="{A3C5BEDE-2C40-451F-BC3B-3B58BF4B5119}"/>
    <hyperlink ref="C637" r:id="rId1938" xr:uid="{7DE7EC2C-694E-4B5E-9B1C-5F05C91A4912}"/>
    <hyperlink ref="E637" r:id="rId1939" display="https://twitter.com/FAZ_Finance/status/723069339881095168" xr:uid="{F12A08CD-7606-44FB-9BFF-A62B9CC801BE}"/>
    <hyperlink ref="F637" r:id="rId1940" xr:uid="{DB571D69-5A5A-49D3-BCD1-A4EAEE473A88}"/>
    <hyperlink ref="O637" r:id="rId1941" display="https://pbs.twimg.com/profile_images/477443424241463296/bKWNQp65_normal.jpeg" xr:uid="{D60A50CB-E15B-4481-B649-EB6B8EA306FE}"/>
    <hyperlink ref="B638" r:id="rId1942" display="https://twitter.com/FAZ_Finanzen" xr:uid="{3538B60B-782C-40DE-A33E-43FBBB4CD031}"/>
    <hyperlink ref="E638" r:id="rId1943" display="https://twitter.com/FAZ_Finanzen/status/723069340833185792" xr:uid="{CB921676-7CFD-4B36-8A57-1CA51ED401CE}"/>
    <hyperlink ref="F638" r:id="rId1944" xr:uid="{E34AA4FE-C4E5-4D18-9139-BB90F9F16897}"/>
    <hyperlink ref="O638" r:id="rId1945" display="https://pbs.twimg.com/profile_images/477440456867868673/TZIaw60e_normal.jpeg" xr:uid="{FB2066F7-970C-4949-A623-E7FD44F9AB20}"/>
    <hyperlink ref="B639" r:id="rId1946" display="https://twitter.com/FAZ_NET" xr:uid="{6B9EF72D-A6C2-43C3-B8E4-9315D6B49925}"/>
    <hyperlink ref="E639" r:id="rId1947" display="https://twitter.com/FAZ_NET/status/723069341739147264" xr:uid="{F297E6BE-729B-4676-8394-62067727476A}"/>
    <hyperlink ref="F639" r:id="rId1948" xr:uid="{7497EA73-98B7-4641-9670-6687E84CDCAC}"/>
    <hyperlink ref="O639" r:id="rId1949" display="https://pbs.twimg.com/profile_images/477439590232358913/xbZaJ1Ms_normal.jpeg" xr:uid="{E536F3D1-67BD-490B-8C11-235000514ACB}"/>
    <hyperlink ref="B640" r:id="rId1950" display="https://twitter.com/CorpCrimeBlot" xr:uid="{51017410-714D-4F6A-80C7-86847B9245FC}"/>
    <hyperlink ref="E640" r:id="rId1951" display="https://twitter.com/CorpCrimeBlot/status/723069416091447296" xr:uid="{3C9DC3D4-84D4-4CE2-99AF-96D37EA1C9B4}"/>
    <hyperlink ref="O640" r:id="rId1952" display="https://pbs.twimg.com/profile_images/2291468552/a3mgrcu9klvlr29qkx9f_normal.jpeg" xr:uid="{0A27BE36-F1D6-4816-83F4-04AA9943550A}"/>
    <hyperlink ref="B641" r:id="rId1953" display="https://twitter.com/Logistique01" xr:uid="{87E499E1-7319-4BE3-82DA-014E93633A1A}"/>
    <hyperlink ref="E641" r:id="rId1954" display="https://twitter.com/Logistique01/status/723069517098704896" xr:uid="{E9CD7EC6-2E54-463C-A576-D489FBCE3B49}"/>
    <hyperlink ref="O641" r:id="rId1955" display="https://pbs.twimg.com/profile_images/3497903431/ae95594a00a0817e860e73da8fef6dca_normal.png" xr:uid="{07339E1D-F2CA-471B-88B4-C99272832368}"/>
    <hyperlink ref="B642" r:id="rId1956" display="https://twitter.com/deutch_az" xr:uid="{9B72CA9A-485C-4B0F-B11D-C3EF27B9177C}"/>
    <hyperlink ref="E642" r:id="rId1957" display="https://twitter.com/deutch_az/status/723069861371334656" xr:uid="{5ECCE714-9FFD-4313-8CCD-C82584BBCB72}"/>
    <hyperlink ref="O642" r:id="rId1958" display="https://pbs.twimg.com/profile_images/659295730222280705/W1FqHCVo_normal.jpg" xr:uid="{352824D1-43E1-44A4-9B3D-9525C3F59A64}"/>
    <hyperlink ref="B643" r:id="rId1959" display="https://twitter.com/ichbindasschon" xr:uid="{A288A1FF-3F07-4498-9F40-733A45B38612}"/>
    <hyperlink ref="E643" r:id="rId1960" display="https://twitter.com/ichbindasschon/status/723069948675776512" xr:uid="{06777202-4D00-42E7-BC53-19F60D0116D3}"/>
    <hyperlink ref="O643" r:id="rId1961" display="https://pbs.twimg.com/profile_images/712327895096512512/R5mlUCj0_normal.jpg" xr:uid="{DB19E3BC-88E7-44F6-BA4F-8F7DB4A340CA}"/>
    <hyperlink ref="B644" r:id="rId1962" display="https://twitter.com/c_g_citizen" xr:uid="{846134DA-5886-431E-B0CF-47E6E07453F3}"/>
    <hyperlink ref="E644" r:id="rId1963" display="https://twitter.com/c_g_citizen/status/723070135947251712" xr:uid="{BCB3FA29-33A2-4D60-A13F-338A1A0A24EB}"/>
    <hyperlink ref="O644" r:id="rId1964" display="https://pbs.twimg.com/profile_images/378800000406287118/af6d14603e7f0e059e0878a766289154_normal.png" xr:uid="{E3E78FF3-DB5C-4BA3-83B0-54FF920F854D}"/>
    <hyperlink ref="B645" r:id="rId1965" display="https://twitter.com/deutch_az" xr:uid="{BFC3A2C3-35FC-42BD-9D21-0853B3F200C6}"/>
    <hyperlink ref="E645" r:id="rId1966" display="https://twitter.com/deutch_az/status/723070445252005888" xr:uid="{D4C9099A-7097-46C5-AD20-58B8D50CB058}"/>
    <hyperlink ref="O645" r:id="rId1967" display="https://pbs.twimg.com/profile_images/659295730222280705/W1FqHCVo_normal.jpg" xr:uid="{73502028-05CA-4EF6-BE61-F88D2B5620EA}"/>
    <hyperlink ref="B646" r:id="rId1968" display="https://twitter.com/RobsterRound" xr:uid="{D6A38983-C9AE-42A5-9A4E-4A231CD859DF}"/>
    <hyperlink ref="E646" r:id="rId1969" display="https://twitter.com/RobsterRound/status/723070802732691456" xr:uid="{1A77F2A4-5DA1-4640-9925-B1B4F6917EBF}"/>
    <hyperlink ref="O646" r:id="rId1970" display="https://pbs.twimg.com/profile_images/719093309738770432/-ot7iGIC_normal.jpg" xr:uid="{B92E518E-7B32-4EE8-B296-F4D61B9C0184}"/>
    <hyperlink ref="B647" r:id="rId1971" display="https://twitter.com/NifsaLsilll" xr:uid="{FED90AC8-D125-4744-8D79-B32067C95439}"/>
    <hyperlink ref="E647" r:id="rId1972" display="https://twitter.com/NifsaLsilll/status/723071290773401600" xr:uid="{36BC15EB-9E72-4B91-9532-F3B81EDDC998}"/>
    <hyperlink ref="O647" r:id="rId1973" display="https://pbs.twimg.com/profile_images/719454005991071744/coeXnXYF_normal.jpg" xr:uid="{5E8FDA04-FA8F-489A-93AE-FA83170B7DFA}"/>
    <hyperlink ref="B648" r:id="rId1974" display="https://twitter.com/CarNewsBit" xr:uid="{9AFE244B-674E-4E5F-BC82-4BCDF293A8E9}"/>
    <hyperlink ref="E648" r:id="rId1975" display="https://twitter.com/CarNewsBit/status/723072177935912960" xr:uid="{15BB06C4-D588-4FE1-93C4-B19DE6BBB7DB}"/>
    <hyperlink ref="O648" r:id="rId1976" display="https://abs.twimg.com/sticky/default_profile_images/default_profile_5_normal.png" xr:uid="{CC2D144F-C334-4E26-9990-F7185C3DFC9C}"/>
    <hyperlink ref="B649" r:id="rId1977" display="https://twitter.com/SalihiShejzije" xr:uid="{F5A0EEA4-C016-4904-ACBF-813B5D2DF6C7}"/>
    <hyperlink ref="E649" r:id="rId1978" display="https://twitter.com/SalihiShejzije/status/723072424376471552" xr:uid="{E2C01E57-8323-4C0C-9CFE-51F746C1281D}"/>
    <hyperlink ref="O649" r:id="rId1979" display="https://pbs.twimg.com/profile_images/704001047216447488/5a1ozl-l_normal.jpg" xr:uid="{E3457FFD-BDAB-4C12-AC75-C3E615896925}"/>
    <hyperlink ref="B650" r:id="rId1980" display="https://twitter.com/BeterLeefmilieu" xr:uid="{CD249FF0-7B63-433F-AB67-EB0F09012575}"/>
    <hyperlink ref="E650" r:id="rId1981" display="https://twitter.com/BeterLeefmilieu/status/723072474703863808" xr:uid="{EDDF43F1-78F3-4BA0-8810-0231CE5B4785}"/>
    <hyperlink ref="O650" r:id="rId1982" display="https://pbs.twimg.com/profile_images/659687955565441025/MDqjnVHe_normal.jpg" xr:uid="{9B0CB380-0FE6-45A7-AB28-C81C352F3412}"/>
    <hyperlink ref="B651" r:id="rId1983" display="https://twitter.com/bodo1962" xr:uid="{CCAA7F71-3A1A-489D-ADE0-593495DBDBA5}"/>
    <hyperlink ref="E651" r:id="rId1984" display="https://twitter.com/bodo1962/status/723072497197830144" xr:uid="{7AFEA776-A784-47B1-80D9-61368338E1B0}"/>
    <hyperlink ref="O651" r:id="rId1985" display="https://pbs.twimg.com/profile_images/439706141728051201/GQgdrA5p_normal.jpeg" xr:uid="{F191059A-B5C0-4900-82A0-7CD9BFD3C7C8}"/>
    <hyperlink ref="B652" r:id="rId1986" display="https://twitter.com/Frank_unternehm" xr:uid="{7A0AE83B-F3A8-4D20-815D-3484B1A88C30}"/>
    <hyperlink ref="E652" r:id="rId1987" display="https://twitter.com/Frank_unternehm/status/723073298121252864" xr:uid="{F223434C-C0F3-4904-A040-C93C0088A119}"/>
    <hyperlink ref="O652" r:id="rId1988" display="https://pbs.twimg.com/profile_images/708224790017003520/AQu5hT8M_normal.jpg" xr:uid="{F85CEBC2-3159-4B4B-87DC-AB9453505279}"/>
    <hyperlink ref="B653" r:id="rId1989" display="https://twitter.com/Emission_Claims" xr:uid="{B923A8DD-A3DC-4893-B46E-9F33B5D70F47}"/>
    <hyperlink ref="E653" r:id="rId1990" display="https://twitter.com/Emission_Claims/status/723074003926134784" xr:uid="{12516C8B-742F-4D2C-ABD5-B4051392868B}"/>
    <hyperlink ref="O653" r:id="rId1991" display="https://pbs.twimg.com/profile_images/652482665900285952/jeA6rKOi_normal.jpg" xr:uid="{32D7A486-6C03-49B3-B2DD-73EC27350F13}"/>
    <hyperlink ref="B654" r:id="rId1992" display="https://twitter.com/SMSFCoach" xr:uid="{3412BC99-2951-4170-BEF0-59F1D9F1E713}"/>
    <hyperlink ref="E654" r:id="rId1993" display="https://twitter.com/SMSFCoach/status/723074136365375488" xr:uid="{46245832-29E1-4275-9F3E-C5949EEC6126}"/>
    <hyperlink ref="O654" r:id="rId1994" display="https://pbs.twimg.com/profile_images/666741182064553984/Mzus5geM_normal.jpg" xr:uid="{DD54A5EA-7A75-42BB-8D20-480756BD1D99}"/>
    <hyperlink ref="B655" r:id="rId1995" display="https://twitter.com/JungbluthMarion" xr:uid="{B31A7915-5D87-49D2-9C94-FBE0640C7255}"/>
    <hyperlink ref="E655" r:id="rId1996" display="https://twitter.com/JungbluthMarion/status/723074238299684864" xr:uid="{FB0DE0D7-7C3F-4D96-ACFD-150677FE45D8}"/>
    <hyperlink ref="O655" r:id="rId1997" display="https://pbs.twimg.com/profile_images/473415820228304896/eTUQb8dm_normal.jpeg" xr:uid="{280DB58B-7BD3-4BA5-B1C6-1F5C58854716}"/>
    <hyperlink ref="B656" r:id="rId1998" display="https://twitter.com/NifsaLsilll" xr:uid="{B8E1A7FB-FB47-45E4-BD14-49B7D711CC5F}"/>
    <hyperlink ref="E656" r:id="rId1999" display="https://twitter.com/NifsaLsilll/status/723074632861896705" xr:uid="{E17DFFAB-B83E-4F66-A729-F1B6E69375AC}"/>
    <hyperlink ref="O656" r:id="rId2000" display="https://pbs.twimg.com/profile_images/719454005991071744/coeXnXYF_normal.jpg" xr:uid="{8DEEBF3B-5F3A-4018-B8D2-A18EF3E6C417}"/>
    <hyperlink ref="B657" r:id="rId2001" display="https://twitter.com/axelneuhaus" xr:uid="{51FFF30D-EEF3-4F95-AE58-DA33B26BE1FB}"/>
    <hyperlink ref="E657" r:id="rId2002" display="https://twitter.com/axelneuhaus/status/723075179732148224" xr:uid="{0B9A102C-32C2-492D-A007-96C0136062EA}"/>
    <hyperlink ref="O657" r:id="rId2003" display="https://pbs.twimg.com/profile_images/601746963160240128/I5CRQlMA_normal.jpg" xr:uid="{218AE831-5EDA-435A-876D-6826EFF92860}"/>
    <hyperlink ref="B658" r:id="rId2004" display="https://twitter.com/ebaycampervans" xr:uid="{6A02A017-C8EC-41F1-A432-28E0CD88D48A}"/>
    <hyperlink ref="E658" r:id="rId2005" display="https://twitter.com/ebaycampervans/status/723075322736844800" xr:uid="{043BCDE3-D86A-47E1-B750-91FF962001B7}"/>
    <hyperlink ref="O658" r:id="rId2006" display="https://pbs.twimg.com/profile_images/599357023407464449/BL9Bpo6T_normal.jpg" xr:uid="{B32EBB33-D30C-4701-A207-1C7567088671}"/>
    <hyperlink ref="B659" r:id="rId2007" display="https://twitter.com/ExistAutocare" xr:uid="{B106A140-A40D-4445-B8A6-1EA2E722948F}"/>
    <hyperlink ref="E659" r:id="rId2008" display="https://twitter.com/ExistAutocare/status/723075552312176640" xr:uid="{85274002-9F63-45B1-B718-52FC3F731EFF}"/>
    <hyperlink ref="O659" r:id="rId2009" display="https://pbs.twimg.com/profile_images/344513261573756879/61c9558432496f4a861ad93b4c679e59_normal.jpeg" xr:uid="{175C99AF-2316-42F0-A379-367CC8B0A93F}"/>
    <hyperlink ref="B660" r:id="rId2010" display="https://twitter.com/mj_palin" xr:uid="{7FEB72EC-3F71-4128-90F4-181511AE250E}"/>
    <hyperlink ref="E660" r:id="rId2011" display="https://twitter.com/mj_palin/status/723075829312315393" xr:uid="{5EB6810E-738C-4316-BA08-CC562F45560A}"/>
    <hyperlink ref="O660" r:id="rId2012" display="https://abs.twimg.com/sticky/default_profile_images/default_profile_6_normal.png" xr:uid="{90BCDCC8-F521-428C-8DE7-8C3D5D22774D}"/>
    <hyperlink ref="B661" r:id="rId2013" display="https://twitter.com/MiManske" xr:uid="{FEB77D9E-C29C-4A41-AD6E-AD630C6D0CC6}"/>
    <hyperlink ref="E661" r:id="rId2014" display="https://twitter.com/MiManske/status/723076159022456832" xr:uid="{65E5E576-CC9B-458F-B8D3-3C02ABB7EEB0}"/>
    <hyperlink ref="O661" r:id="rId2015" display="https://pbs.twimg.com/profile_images/652191269934993408/5bZKOI8y_normal.jpg" xr:uid="{ECD69E63-4DF9-4F53-82AF-F79DAEEBDCE4}"/>
    <hyperlink ref="B662" r:id="rId2016" display="https://twitter.com/BILD_Reporter" xr:uid="{44249AD3-35BE-4016-9380-2B351026C1EA}"/>
    <hyperlink ref="E662" r:id="rId2017" display="https://twitter.com/BILD_Reporter/status/723076374110605312" xr:uid="{3365216F-8021-4832-8405-6543EA8B1FC9}"/>
    <hyperlink ref="O662" r:id="rId2018" display="https://pbs.twimg.com/profile_images/578542636140781568/2T_ukEU0_normal.jpeg" xr:uid="{AAC0718E-BAB6-4E48-B3E6-767C2A7B7036}"/>
    <hyperlink ref="B663" r:id="rId2019" display="https://twitter.com/PiratenNH" xr:uid="{DF932AD0-595A-4EBC-AD12-A86C6849840B}"/>
    <hyperlink ref="E663" r:id="rId2020" display="https://twitter.com/PiratenNH/status/723076746980003840" xr:uid="{04E8E08D-CB34-43C7-B2B1-708953EE2AFE}"/>
    <hyperlink ref="O663" r:id="rId2021" display="https://pbs.twimg.com/profile_images/547443913082953728/9xbSGKkT_normal.jpeg" xr:uid="{3B64E499-68EA-4B6F-A2B1-E50C354918D2}"/>
    <hyperlink ref="B664" r:id="rId2022" display="https://twitter.com/PP_amsterdam" xr:uid="{D77CE2CF-D4B9-406D-AF76-5CFA4C5F8C42}"/>
    <hyperlink ref="E664" r:id="rId2023" display="https://twitter.com/PP_amsterdam/status/723076746980024321" xr:uid="{1694D6FC-0401-4C98-896A-053EBBCE1203}"/>
    <hyperlink ref="O664" r:id="rId2024" display="https://pbs.twimg.com/profile_images/432910539367260160/DWkQSFng_normal.jpeg" xr:uid="{76E1C313-05FB-43D4-BDC0-F6152835A9A9}"/>
    <hyperlink ref="B665" r:id="rId2025" display="https://twitter.com/melanievwbarons" xr:uid="{114DFC9D-C2E3-4E40-A199-53169E3C963F}"/>
    <hyperlink ref="E665" r:id="rId2026" display="https://twitter.com/melanievwbarons/status/723077836333043712" xr:uid="{F94003DB-160F-4D9E-BF7D-A0130BEEDD0A}"/>
    <hyperlink ref="O665" r:id="rId2027" display="https://pbs.twimg.com/profile_images/676294042716676096/x9M2eIQ-_normal.jpg" xr:uid="{58711588-E426-4027-ACBD-749B287283F8}"/>
    <hyperlink ref="B666" r:id="rId2028" display="https://twitter.com/JasonAdelaCruz" xr:uid="{DF3D71AC-3DB2-4DF7-B933-B7EF86142DE7}"/>
    <hyperlink ref="E666" r:id="rId2029" display="https://twitter.com/JasonAdelaCruz/status/723078135856672768" xr:uid="{BF3CD381-9CDC-446F-95DE-50CD1215F303}"/>
    <hyperlink ref="O666" r:id="rId2030" display="https://pbs.twimg.com/profile_images/3097554049/a1262b87b94a5bc549fbdbd7e4b298d5_normal.jpeg" xr:uid="{20515565-8B47-453B-82F8-75B5FFFB9063}"/>
    <hyperlink ref="B667" r:id="rId2031" display="https://twitter.com/chefreporterNRW" xr:uid="{C1675511-7EEE-4A25-A192-AC281F17DEF2}"/>
    <hyperlink ref="E667" r:id="rId2032" display="https://twitter.com/chefreporterNRW/status/723078270745468932" xr:uid="{23CC1A1F-92DB-433B-BA55-C68E6AC3EE7A}"/>
    <hyperlink ref="O667" r:id="rId2033" display="https://pbs.twimg.com/profile_images/439735434776940544/23u_i7Km_normal.jpeg" xr:uid="{0483AC4C-1780-4641-BD77-872AE4DD5B6D}"/>
    <hyperlink ref="B668" r:id="rId2034" display="https://twitter.com/VWBeetleSales" xr:uid="{15230C9B-5B2B-480F-980B-3EDD75CB20E7}"/>
    <hyperlink ref="E668" r:id="rId2035" display="https://twitter.com/VWBeetleSales/status/723078345345224704" xr:uid="{8D6B70AC-2EB5-487F-8A51-5C3B570504C1}"/>
    <hyperlink ref="F668" r:id="rId2036" xr:uid="{7708A93B-EA39-4FBE-BD06-468ECBD7E3E0}"/>
    <hyperlink ref="O668" r:id="rId2037" display="https://pbs.twimg.com/profile_images/703294545195307008/qeCvrX86_normal.jpg" xr:uid="{3E9D7B24-41C1-4B7D-89D1-632494CE9AF3}"/>
    <hyperlink ref="B669" r:id="rId2038" display="https://twitter.com/CAScherbaum" xr:uid="{EFC2A7ED-9515-4A2D-A076-1CCD054790BC}"/>
    <hyperlink ref="E669" r:id="rId2039" display="https://twitter.com/CAScherbaum/status/723078406829649920" xr:uid="{4D135B27-C505-4E00-9ACF-4C3E7FD45D8E}"/>
    <hyperlink ref="O669" r:id="rId2040" display="https://pbs.twimg.com/profile_images/609256126081855488/SjaopwPY_normal.jpg" xr:uid="{5C7CAD20-672A-48B1-9A86-A74CA0E2581D}"/>
    <hyperlink ref="B670" r:id="rId2041" display="https://twitter.com/tagesschau" xr:uid="{40EB52BF-F262-4791-BA1E-36B95A5CD116}"/>
    <hyperlink ref="E670" r:id="rId2042" display="https://twitter.com/tagesschau/status/723078582004813824" xr:uid="{58F5E321-362E-45BF-AED5-A99D642B5C0A}"/>
    <hyperlink ref="F670" r:id="rId2043" xr:uid="{4490CD84-6641-43CE-9335-09113681E59D}"/>
    <hyperlink ref="O670" r:id="rId2044" display="https://pbs.twimg.com/profile_images/531688614640365568/U84uXoIT_normal.png" xr:uid="{61F47EE8-2F55-4651-980A-FC7F407A2C3D}"/>
    <hyperlink ref="B671" r:id="rId2045" display="https://twitter.com/NDRreporter" xr:uid="{AFAA5AB9-EE46-4409-8C89-84FA79FC72E3}"/>
    <hyperlink ref="E671" r:id="rId2046" display="https://twitter.com/NDRreporter/status/723078727706406912" xr:uid="{6FC88CEE-57EF-4C28-B851-BCB517908AFA}"/>
    <hyperlink ref="O671" r:id="rId2047" display="https://pbs.twimg.com/profile_images/466908605317279744/I5a712BQ_normal.jpeg" xr:uid="{2F882EF1-E327-43BE-AAE8-67CF6D0BE6B2}"/>
    <hyperlink ref="B672" r:id="rId2048" display="https://twitter.com/foroDGT" xr:uid="{8FB9C002-41CF-4A5C-A362-DD89C17C09F2}"/>
    <hyperlink ref="E672" r:id="rId2049" display="https://twitter.com/foroDGT/status/723078853535641600" xr:uid="{3939A9B4-F582-4393-ABD5-BF89F936B9B3}"/>
    <hyperlink ref="O672" r:id="rId2050" display="https://pbs.twimg.com/profile_images/2596469392/rrzwjd2fhczd13316a2h_normal.png" xr:uid="{1FACA7CE-A0E4-403E-9C67-32616A4534BC}"/>
    <hyperlink ref="B673" r:id="rId2051" display="https://twitter.com/presroi" xr:uid="{4B33D362-F5D2-4E45-AA56-C920FDABEDE2}"/>
    <hyperlink ref="E673" r:id="rId2052" display="https://twitter.com/presroi/status/723078900415229952" xr:uid="{5D51794E-87C0-42D8-8EB2-84032D76CC05}"/>
    <hyperlink ref="O673" r:id="rId2053" display="https://pbs.twimg.com/profile_images/1783388331/IMG_4820_normal.JPG" xr:uid="{2E976687-810F-4E6D-AD49-32458A26E3AB}"/>
    <hyperlink ref="B674" r:id="rId2054" display="https://twitter.com/aldicop" xr:uid="{822ACD6F-2D40-4B8B-9A79-17F9E0E2DA05}"/>
    <hyperlink ref="E674" r:id="rId2055" display="https://twitter.com/aldicop/status/723079148118376448" xr:uid="{456CBDDD-F44E-47BE-B8FC-019B50C44F6F}"/>
    <hyperlink ref="O674" r:id="rId2056" display="https://pbs.twimg.com/profile_images/633994786354122753/N58sd1yK_normal.jpg" xr:uid="{949C764E-5627-4E17-BC08-3B9961318C31}"/>
    <hyperlink ref="B675" r:id="rId2057" display="https://twitter.com/cdwITMonitor" xr:uid="{BF683A9B-AF45-4928-8338-92CC5F057F0C}"/>
    <hyperlink ref="E675" r:id="rId2058" display="https://twitter.com/cdwITMonitor/status/723079407338811393" xr:uid="{40AF6F43-7432-4736-B81A-89C4D8EDBD27}"/>
    <hyperlink ref="O675" r:id="rId2059" display="https://pbs.twimg.com/profile_images/662637585773305856/iBVZmgJg_normal.jpg" xr:uid="{91849769-40DF-4C1D-82FA-D9158BDCAC6E}"/>
    <hyperlink ref="B676" r:id="rId2060" display="https://twitter.com/ErnstNordholt" xr:uid="{E853A8C0-4BC1-4263-AD3A-693BA3F4FE98}"/>
    <hyperlink ref="E676" r:id="rId2061" display="https://twitter.com/ErnstNordholt/status/723079426422898688" xr:uid="{2512636C-81E5-4CDA-BB33-D1BEE5EF3BE0}"/>
    <hyperlink ref="O676" r:id="rId2062" display="https://pbs.twimg.com/profile_images/698509815870578688/S6oEQDwn_normal.jpg" xr:uid="{42652A0F-C6D9-4626-B874-5C7DAF168AE0}"/>
    <hyperlink ref="B677" r:id="rId2063" display="https://twitter.com/JMGlachant" xr:uid="{48235892-1A21-4918-BC30-39B706D5D713}"/>
    <hyperlink ref="E677" r:id="rId2064" display="https://twitter.com/JMGlachant/status/723079621701435393" xr:uid="{9ED7353A-AD52-45CD-A4AA-8E258122B75E}"/>
    <hyperlink ref="O677" r:id="rId2065" display="https://pbs.twimg.com/profile_images/561258913891639296/Hro6CFpW_normal.jpeg" xr:uid="{41129050-86A0-4506-AD57-5859736226AD}"/>
    <hyperlink ref="B678" r:id="rId2066" display="https://twitter.com/brinthusha" xr:uid="{ADE681EB-7E8C-4010-9E4D-DAD1927FCE34}"/>
    <hyperlink ref="E678" r:id="rId2067" display="https://twitter.com/brinthusha/status/723079666282582017" xr:uid="{E89F84CF-AC02-4FC4-AED2-5ACCAC318D8E}"/>
    <hyperlink ref="O678" r:id="rId2068" display="https://pbs.twimg.com/profile_images/717759338954276865/kYeKWhbD_normal.jpg" xr:uid="{2DD27531-7126-4B67-A491-1241A5FF31A1}"/>
    <hyperlink ref="B679" r:id="rId2069" display="https://twitter.com/jamesak47" xr:uid="{8DA805C3-4EC7-4446-B0C8-5EB371F0641B}"/>
    <hyperlink ref="E679" r:id="rId2070" display="https://twitter.com/jamesak47/status/723079811397222400" xr:uid="{D341C639-BD7D-4903-AEE2-691B8ED5B8DF}"/>
    <hyperlink ref="O679" r:id="rId2071" display="https://pbs.twimg.com/profile_images/2167442174/JAK1_normal.jpg" xr:uid="{14FA16A5-C96E-4AA7-B082-E7DFE417946E}"/>
    <hyperlink ref="B680" r:id="rId2072" display="https://twitter.com/VWBeetleSales" xr:uid="{5D8CCC46-98AA-42EA-A851-0F256C7D5BAF}"/>
    <hyperlink ref="E680" r:id="rId2073" display="https://twitter.com/VWBeetleSales/status/723079853159784452" xr:uid="{138E7DA5-D1CC-4FE4-9A45-7876BAADB3C3}"/>
    <hyperlink ref="F680" r:id="rId2074" xr:uid="{4A882108-9E59-4AB5-8026-C2CDDC588463}"/>
    <hyperlink ref="O680" r:id="rId2075" display="https://pbs.twimg.com/profile_images/703294545195307008/qeCvrX86_normal.jpg" xr:uid="{BADF9783-4229-4F0A-B0B6-DB44FF575248}"/>
    <hyperlink ref="B681" r:id="rId2076" display="https://twitter.com/VWCamperSales" xr:uid="{EE3FAC41-5C67-4B78-BE2F-C598D314AD77}"/>
    <hyperlink ref="E681" r:id="rId2077" display="https://twitter.com/VWCamperSales/status/723080107628191746" xr:uid="{CF225B19-E1EE-4A6D-9AE8-314DF3CEA428}"/>
    <hyperlink ref="F681" r:id="rId2078" xr:uid="{1A7F768A-F4C0-4842-A917-4096605BE122}"/>
    <hyperlink ref="O681" r:id="rId2079" display="https://pbs.twimg.com/profile_images/627949001179037696/skEBkS05_normal.jpg" xr:uid="{8AADAF87-1EC0-4C79-9B0E-86BF00A69928}"/>
    <hyperlink ref="B682" r:id="rId2080" display="https://twitter.com/michellelove13" xr:uid="{4B6259BE-EEA7-4C6A-B983-1D89EC4D5CCA}"/>
    <hyperlink ref="E682" r:id="rId2081" display="https://twitter.com/michellelove13/status/723080924963975168" xr:uid="{20135129-A9FB-4B60-92D7-136B491C799A}"/>
    <hyperlink ref="O682" r:id="rId2082" display="https://pbs.twimg.com/profile_images/583236161679818752/orli-VFP_normal.jpg" xr:uid="{31610B75-5AEC-45B9-B09B-446839817C61}"/>
    <hyperlink ref="B683" r:id="rId2083" display="https://twitter.com/michellelove13" xr:uid="{DEF4B4BE-315E-46E7-A214-90996549C61C}"/>
    <hyperlink ref="E683" r:id="rId2084" display="https://twitter.com/michellelove13/status/723080941741203456" xr:uid="{8AF92A97-8EE5-4DF7-B1DA-A5687ADDABDE}"/>
    <hyperlink ref="O683" r:id="rId2085" display="https://pbs.twimg.com/profile_images/583236161679818752/orli-VFP_normal.jpg" xr:uid="{F238CBD2-3167-4F75-8F1A-1D5852B39206}"/>
    <hyperlink ref="B684" r:id="rId2086" display="https://twitter.com/michellelove13" xr:uid="{580F7D58-001C-4951-9664-F6EF8C76C7E3}"/>
    <hyperlink ref="E684" r:id="rId2087" display="https://twitter.com/michellelove13/status/723081059294941185" xr:uid="{727BCD73-1EA3-40A3-B6A7-3BB11BAECED0}"/>
    <hyperlink ref="O684" r:id="rId2088" display="https://pbs.twimg.com/profile_images/583236161679818752/orli-VFP_normal.jpg" xr:uid="{9F72B802-D66F-4C4A-8002-2D654C31BF5C}"/>
    <hyperlink ref="B685" r:id="rId2089" display="https://twitter.com/Insta_VWT" xr:uid="{4A878345-9723-4F0A-926E-1EA976BEF694}"/>
    <hyperlink ref="E685" r:id="rId2090" display="https://twitter.com/Insta_VWT/status/723081084699836416" xr:uid="{E702855D-8C5D-42B0-9263-B27FDDD328DD}"/>
    <hyperlink ref="O685" r:id="rId2091" display="https://pbs.twimg.com/profile_images/424893967197433858/iQ86NktX_normal.jpeg" xr:uid="{6E6E047E-507A-4146-A372-F349E90D26E9}"/>
    <hyperlink ref="B686" r:id="rId2092" display="https://twitter.com/VeeDubMk1_" xr:uid="{8C547096-1BD1-4380-9318-EF2C9AFCC554}"/>
    <hyperlink ref="E686" r:id="rId2093" display="https://twitter.com/VeeDubMk1_/status/723081245299740672" xr:uid="{57CD609C-817F-4936-A7ED-3A5E1AFAE38E}"/>
    <hyperlink ref="O686" r:id="rId2094" display="https://pbs.twimg.com/profile_images/672878354127839232/M7OYc-zx_normal.jpg" xr:uid="{0D18C09D-6FA3-4BBE-B2E6-8BA94B92AE7F}"/>
    <hyperlink ref="B687" r:id="rId2095" display="https://twitter.com/aktionaer" xr:uid="{923C5357-8906-4677-845B-13343EC3B9D7}"/>
    <hyperlink ref="E687" r:id="rId2096" display="https://twitter.com/aktionaer/status/723081303537524736" xr:uid="{377BCA82-CB64-4CFE-A673-F3CE1B6DFB12}"/>
    <hyperlink ref="O687" r:id="rId2097" display="https://pbs.twimg.com/profile_images/679552623641509888/_vPw9IS2_normal.png" xr:uid="{1057D955-601C-4A53-804A-A0F482CBBEB3}"/>
    <hyperlink ref="B688" r:id="rId2098" display="https://twitter.com/NWVT" xr:uid="{B350AE7C-E04B-4C97-9CBA-CE05CEBCFE3D}"/>
    <hyperlink ref="E688" r:id="rId2099" display="https://twitter.com/NWVT/status/723081934008684544" xr:uid="{2672DF44-D3A9-4D25-B3C2-F7FCE3F62687}"/>
    <hyperlink ref="O688" r:id="rId2100" display="https://pbs.twimg.com/profile_images/644256129166540800/UJ6W_YLI_normal.jpg" xr:uid="{EFC45A5C-17FD-43AA-8AAD-F7E7C9322EB0}"/>
    <hyperlink ref="B689" r:id="rId2101" display="https://twitter.com/ELMEX" xr:uid="{01CC3A71-6F7C-4AD9-9540-FAD6366E1567}"/>
    <hyperlink ref="E689" r:id="rId2102" display="https://twitter.com/ELMEX/status/723082397927923715" xr:uid="{D514F818-2BAE-4BF2-8263-3B3CED3E5FCC}"/>
    <hyperlink ref="O689" r:id="rId2103" display="https://pbs.twimg.com/profile_images/16798882/elmar-2_normal.jpg" xr:uid="{05CB4394-5A21-4BDA-A44A-8B04B16D2737}"/>
    <hyperlink ref="B690" r:id="rId2104" display="https://twitter.com/ADAC" xr:uid="{E7CE2EF7-2652-404F-9CC0-7DEBF02B238C}"/>
    <hyperlink ref="E690" r:id="rId2105" display="https://twitter.com/ADAC/status/723082530723889152" xr:uid="{902A65BE-0ED6-424A-B96C-D8502B161B38}"/>
    <hyperlink ref="O690" r:id="rId2106" display="https://pbs.twimg.com/profile_images/1064577918/Logo_340_tcm11-225485_normal.jpg" xr:uid="{43AD33D4-E665-4A52-857E-E129914B5A43}"/>
    <hyperlink ref="B691" r:id="rId2107" display="https://twitter.com/VCT_Tweets" xr:uid="{E104724F-A9EE-4837-9E7B-7A5D5F171C90}"/>
    <hyperlink ref="E691" r:id="rId2108" display="https://twitter.com/VCT_Tweets/status/723082544661540864" xr:uid="{9C2F44E0-6FF6-4F26-BADF-62E146980865}"/>
    <hyperlink ref="O691" r:id="rId2109" display="https://pbs.twimg.com/profile_images/569800899141177344/nVFLMSdb_normal.png" xr:uid="{534E8742-362E-4471-BEE3-4D93BD3C8AEF}"/>
    <hyperlink ref="B692" r:id="rId2110" display="https://twitter.com/anteafonds" xr:uid="{E59E5A02-2FE2-4424-9244-163270372F04}"/>
    <hyperlink ref="E692" r:id="rId2111" display="https://twitter.com/anteafonds/status/723082721929519104" xr:uid="{8AF8F9BE-8933-42F8-90CB-74D34A094DBF}"/>
    <hyperlink ref="O692" r:id="rId2112" display="https://pbs.twimg.com/profile_images/1163268131/Logo_f_r_Twitter_normal.jpg" xr:uid="{E6F8854A-A8BF-42E7-9FAB-8CCBB2BBCE8E}"/>
    <hyperlink ref="B693" r:id="rId2113" display="https://twitter.com/SJ_LOWTEC" xr:uid="{7410871A-66A9-4C41-9512-58128B0E1821}"/>
    <hyperlink ref="E693" r:id="rId2114" display="https://twitter.com/SJ_LOWTEC/status/723083315650154496" xr:uid="{BA17222A-FA2B-4A6D-89DA-4DE5B31D4A87}"/>
    <hyperlink ref="O693" r:id="rId2115" display="https://pbs.twimg.com/profile_images/2598553252/qoojuj09m53kdh24r09y_normal.jpeg" xr:uid="{178372DF-F705-4A3F-A216-9D252CA8ADA8}"/>
    <hyperlink ref="B694" r:id="rId2116" display="https://twitter.com/laoluakanni" xr:uid="{31DDF63C-98C5-4815-BA15-E2CFA8159C03}"/>
    <hyperlink ref="E694" r:id="rId2117" display="https://twitter.com/laoluakanni/status/723083382209556480" xr:uid="{7DA2A453-6547-4AA1-89B0-4243B29F8E29}"/>
    <hyperlink ref="O694" r:id="rId2118" display="https://pbs.twimg.com/profile_images/716597196439859200/jCVf3LFy_normal.jpg" xr:uid="{F7CB7DB9-21E9-4303-BCDF-8CD89EE8A52C}"/>
    <hyperlink ref="B695" r:id="rId2119" display="https://twitter.com/ChrisJBCarroll" xr:uid="{125A9B6F-8E06-4C60-8201-D702D1A9BBD9}"/>
    <hyperlink ref="E695" r:id="rId2120" display="https://twitter.com/ChrisJBCarroll/status/723083419656310784" xr:uid="{FF8BE188-6CD3-44D7-847A-0CF0E8A25C5E}"/>
    <hyperlink ref="O695" r:id="rId2121" display="https://pbs.twimg.com/profile_images/378800000461582138/dea3b11d48a7b41fa52ff65a08ce5a0c_normal.jpeg" xr:uid="{7B16480A-43FA-4CAF-91FF-5635FCF5D2BA}"/>
    <hyperlink ref="B696" r:id="rId2122" display="https://twitter.com/Wir_Koeln" xr:uid="{AEA202C9-1584-43E6-A60B-84FC3305CA62}"/>
    <hyperlink ref="E696" r:id="rId2123" display="https://twitter.com/Wir_Koeln/status/723083483904651264" xr:uid="{423F258F-BD2A-490B-ACDD-8441E6C7D84A}"/>
    <hyperlink ref="O696" r:id="rId2124" display="https://pbs.twimg.com/profile_images/610108234049978368/pZvfSjPA_normal.jpg" xr:uid="{3AB580D0-6804-4927-8CAD-AEFF350B985E}"/>
    <hyperlink ref="B697" r:id="rId2125" display="https://twitter.com/Scirocco_Tuning" xr:uid="{19B199DD-1E60-4431-B370-E5831218F5E7}"/>
    <hyperlink ref="E697" r:id="rId2126" display="https://twitter.com/Scirocco_Tuning/status/723083863388479489" xr:uid="{2D7CE0D3-5DA9-4D40-B78E-78CD44FA50F6}"/>
    <hyperlink ref="O697" r:id="rId2127" display="https://pbs.twimg.com/profile_images/1610421423/Image2_normal.jpg" xr:uid="{9F2D878B-C034-4BDA-B90F-D4AD08970FED}"/>
    <hyperlink ref="B698" r:id="rId2128" display="https://twitter.com/AlexanderXV" xr:uid="{08465006-0A6F-4494-B749-EAF87E962C7A}"/>
    <hyperlink ref="E698" r:id="rId2129" display="https://twitter.com/AlexanderXV/status/723084217299562496" xr:uid="{87870420-5DB6-45E0-BF21-08CBB4B5F770}"/>
    <hyperlink ref="O698" r:id="rId2130" display="https://pbs.twimg.com/profile_images/558071990989234176/26P9fNQe_normal.jpeg" xr:uid="{67541C60-7119-4CF4-A559-7AF683108F5B}"/>
    <hyperlink ref="B699" r:id="rId2131" display="https://twitter.com/ForgeMotorsport" xr:uid="{E2951FF0-244B-4520-BF8E-F837C8A85846}"/>
    <hyperlink ref="E699" r:id="rId2132" display="https://twitter.com/ForgeMotorsport/status/723084304688025600" xr:uid="{4461D16B-9ACA-4783-A7AF-045431C41750}"/>
    <hyperlink ref="O699" r:id="rId2133" display="https://pbs.twimg.com/profile_images/1878103165/forge_logo_normal.jpg" xr:uid="{D22677BE-2238-4A0D-B4D1-173BD11F3E9C}"/>
    <hyperlink ref="B700" r:id="rId2134" display="https://twitter.com/VolkswagenPost" xr:uid="{BC5847BB-4DCD-4538-9780-5898E13692FF}"/>
    <hyperlink ref="E700" r:id="rId2135" display="https://twitter.com/VolkswagenPost/status/723084411017687041" xr:uid="{8D29B58D-4823-4BDF-8797-DC189F39FAA1}"/>
    <hyperlink ref="O700" r:id="rId2136" display="https://pbs.twimg.com/profile_images/530071272881803264/a_jcCmPZ_normal.png" xr:uid="{45E7A39D-2F05-4B24-BAB5-BFBBA6F1C21C}"/>
    <hyperlink ref="B701" r:id="rId2137" display="https://twitter.com/VolkswagenPost" xr:uid="{7EF918D0-EA40-4287-B9E5-7E539D37690C}"/>
    <hyperlink ref="E701" r:id="rId2138" display="https://twitter.com/VolkswagenPost/status/723084411965571072" xr:uid="{78A4895A-6627-4759-B2C8-2D2C0A5D3808}"/>
    <hyperlink ref="O701" r:id="rId2139" display="https://pbs.twimg.com/profile_images/530071272881803264/a_jcCmPZ_normal.png" xr:uid="{E3143681-BD9D-467E-9D3D-EA1CA0D5AB26}"/>
    <hyperlink ref="B702" r:id="rId2140" display="https://twitter.com/VolkswagenPost" xr:uid="{85228535-1324-4579-A79C-BE06900EF6EC}"/>
    <hyperlink ref="E702" r:id="rId2141" display="https://twitter.com/VolkswagenPost/status/723084412913491968" xr:uid="{F094E8B6-5254-44EA-8B08-DA67947503C5}"/>
    <hyperlink ref="O702" r:id="rId2142" display="https://pbs.twimg.com/profile_images/530071272881803264/a_jcCmPZ_normal.png" xr:uid="{64DA4802-91BC-4E9C-84FC-30CCF97E54AE}"/>
    <hyperlink ref="B703" r:id="rId2143" display="https://twitter.com/OnlineCarReview" xr:uid="{57266F6F-10C2-4CE0-9F06-02BF8032245C}"/>
    <hyperlink ref="E703" r:id="rId2144" display="https://twitter.com/OnlineCarReview/status/723084430370197505" xr:uid="{DD4DBB4A-7C95-4E4A-8699-CB02E9E76AC6}"/>
    <hyperlink ref="O703" r:id="rId2145" display="https://pbs.twimg.com/profile_images/652871584131092480/QA_B6SBO_normal.jpg" xr:uid="{35FDFA16-C472-46F3-A3E7-2E9E8003D3CA}"/>
    <hyperlink ref="B704" r:id="rId2146" display="https://twitter.com/OnlineCarReview" xr:uid="{B7B4CAA9-8134-4D04-B2B0-A9FB98D792B8}"/>
    <hyperlink ref="E704" r:id="rId2147" display="https://twitter.com/OnlineCarReview/status/723084431443906561" xr:uid="{6FF7C51D-C628-40AC-804E-AA75E4B275DF}"/>
    <hyperlink ref="O704" r:id="rId2148" display="https://pbs.twimg.com/profile_images/652871584131092480/QA_B6SBO_normal.jpg" xr:uid="{BA0B5AE7-D46B-4102-9038-BD36917C72CF}"/>
    <hyperlink ref="B705" r:id="rId2149" display="https://twitter.com/OnlineCarReview" xr:uid="{88C290D5-F1AA-42AE-AD57-E167C065BF33}"/>
    <hyperlink ref="E705" r:id="rId2150" display="https://twitter.com/OnlineCarReview/status/723084432412807169" xr:uid="{9FF02E6D-1C0A-4661-89D9-1CCCB866C302}"/>
    <hyperlink ref="O705" r:id="rId2151" display="https://pbs.twimg.com/profile_images/652871584131092480/QA_B6SBO_normal.jpg" xr:uid="{68C9C46C-00C5-4245-9F7C-626E6E1BE8FF}"/>
    <hyperlink ref="B706" r:id="rId2152" display="https://twitter.com/wehrs18" xr:uid="{4CB5B016-549D-4247-B22B-0C1D3E033FE6}"/>
    <hyperlink ref="E706" r:id="rId2153" display="https://twitter.com/wehrs18/status/723084523848638464" xr:uid="{0665E0BC-ECBE-487E-97FD-753B9470C470}"/>
    <hyperlink ref="O706" r:id="rId2154" display="https://pbs.twimg.com/profile_images/687314255507513346/a83L5Opq_normal.jpg" xr:uid="{8B9E9581-BC62-4A28-9A61-946944DA0ABC}"/>
    <hyperlink ref="B707" r:id="rId2155" display="https://twitter.com/ErnstNordholt" xr:uid="{1469B22E-171E-4F65-9AFF-6981100C31B6}"/>
    <hyperlink ref="E707" r:id="rId2156" display="https://twitter.com/ErnstNordholt/status/723084663229575168" xr:uid="{6094D077-CC5A-4D38-AAF1-25653A5D8986}"/>
    <hyperlink ref="O707" r:id="rId2157" display="https://pbs.twimg.com/profile_images/698509815870578688/S6oEQDwn_normal.jpg" xr:uid="{99BEFB09-4838-492B-9366-099226773FE8}"/>
    <hyperlink ref="B708" r:id="rId2158" display="https://twitter.com/ErnstNordholt" xr:uid="{FEE279BB-0FAC-44FE-9B05-7666F059C5EA}"/>
    <hyperlink ref="E708" r:id="rId2159" display="https://twitter.com/ErnstNordholt/status/723084681638342656" xr:uid="{E31DDB15-4281-4F29-A419-CA440B700DB5}"/>
    <hyperlink ref="O708" r:id="rId2160" display="https://pbs.twimg.com/profile_images/698509815870578688/S6oEQDwn_normal.jpg" xr:uid="{3C77CDFA-22EE-4787-BEA7-A465D26B981B}"/>
    <hyperlink ref="B709" r:id="rId2161" display="https://twitter.com/ErnstNordholt" xr:uid="{76D91834-3BA6-4084-B70F-A6A5E6BC8534}"/>
    <hyperlink ref="E709" r:id="rId2162" display="https://twitter.com/ErnstNordholt/status/723084705793351680" xr:uid="{8C77D64F-3D71-497B-92BC-836F6277BC51}"/>
    <hyperlink ref="O709" r:id="rId2163" display="https://pbs.twimg.com/profile_images/698509815870578688/S6oEQDwn_normal.jpg" xr:uid="{AE448F77-EF60-4311-8821-32D371A48F95}"/>
    <hyperlink ref="B710" r:id="rId2164" display="https://twitter.com/AutomaticEarth" xr:uid="{FA225E0E-43C0-4D19-AEC1-24A9E903405D}"/>
    <hyperlink ref="E710" r:id="rId2165" display="https://twitter.com/AutomaticEarth/status/723085016436084736" xr:uid="{343A9D96-2C39-48FC-8B4D-E722175AB1C3}"/>
    <hyperlink ref="O710" r:id="rId2166" display="https://pbs.twimg.com/profile_images/2174193757/OB-SS055_042412_H_20120424135809_normal.jpg" xr:uid="{8239825C-54DE-48B3-86DA-687839FB65A2}"/>
    <hyperlink ref="B711" r:id="rId2167" display="https://twitter.com/AutoExpress" xr:uid="{F19AF9D9-BC42-4F5C-8C8B-1B173EA8DEF5}"/>
    <hyperlink ref="E711" r:id="rId2168" display="https://twitter.com/AutoExpress/status/723085373199392770" xr:uid="{379CE03D-4D5F-40E1-9178-C6076808E66A}"/>
    <hyperlink ref="O711" r:id="rId2169" display="https://pbs.twimg.com/profile_images/378800000673633859/9729e4c280465095c6f835c9f6b36378_normal.jpeg" xr:uid="{4852EBD2-7574-4639-856F-1F2662E616B2}"/>
    <hyperlink ref="B712" r:id="rId2170" display="https://twitter.com/CarLiquidation" xr:uid="{C461F115-C08A-4033-A206-CB8F13AAF95B}"/>
    <hyperlink ref="E712" r:id="rId2171" display="https://twitter.com/CarLiquidation/status/723085902348611584" xr:uid="{CC4FC566-3755-4905-BCB1-D54EFBB059DC}"/>
    <hyperlink ref="O712" r:id="rId2172" display="https://pbs.twimg.com/profile_images/646922543052521472/aLakJI0K_normal.png" xr:uid="{EB0BE645-53D2-42EF-A58C-B0D00D16F847}"/>
    <hyperlink ref="B713" r:id="rId2173" display="https://twitter.com/TowleTompkins" xr:uid="{6E940993-1275-47F5-9CE7-F7E3325ECC2F}"/>
    <hyperlink ref="E713" r:id="rId2174" display="https://twitter.com/TowleTompkins/status/723086064332591106" xr:uid="{185CBD78-B828-42E2-AA41-F49CB92F7152}"/>
    <hyperlink ref="O713" r:id="rId2175" display="https://pbs.twimg.com/profile_images/1764479590/Towle_Pix_normal" xr:uid="{43B94BFE-97F3-4770-B610-2C2570CFDB7F}"/>
    <hyperlink ref="B714" r:id="rId2176" display="https://twitter.com/bilanmagazine" xr:uid="{CFA9EFA3-4B93-4797-A051-7BAE1178D0F1}"/>
    <hyperlink ref="E714" r:id="rId2177" display="https://twitter.com/bilanmagazine/status/723086406084640768" xr:uid="{DB8D4B7B-AAA8-4F4E-9E1D-4CE54EA71C15}"/>
    <hyperlink ref="O714" r:id="rId2178" display="https://pbs.twimg.com/profile_images/3568153380/ec6619b2af81970e1f5c05c8948ac893_normal.png" xr:uid="{2D08C9DF-44E8-4AA8-92E8-DE421A304608}"/>
    <hyperlink ref="B715" r:id="rId2179" display="https://twitter.com/CihazTV" xr:uid="{EBA1903F-5E7D-45A2-93C9-7B225B3FBBBA}"/>
    <hyperlink ref="E715" r:id="rId2180" display="https://twitter.com/CihazTV/status/723087216386281472" xr:uid="{7125FC8B-564C-447F-BFC6-B16E9E2CCF7E}"/>
    <hyperlink ref="O715" r:id="rId2181" display="https://pbs.twimg.com/profile_images/633399603744759809/ufe5sYIT_normal.png" xr:uid="{9C0E315E-1759-4C40-B56C-AA411E425230}"/>
    <hyperlink ref="B716" r:id="rId2182" display="https://twitter.com/tagesthemen" xr:uid="{1907A418-C587-40DE-92E1-DC3A06F47A08}"/>
    <hyperlink ref="E716" r:id="rId2183" display="https://twitter.com/tagesthemen/status/723087363665235968" xr:uid="{0EDB4349-06EC-44D7-A31B-3429BA0EB7DB}"/>
    <hyperlink ref="O716" r:id="rId2184" display="https://pbs.twimg.com/profile_images/378800000857813420/Vakw6Bma_normal.jpeg" xr:uid="{310D4CF3-80E5-468F-9FFE-DB675564D50F}"/>
    <hyperlink ref="B717" r:id="rId2185" display="https://twitter.com/panicswitch777" xr:uid="{6BFCA8F4-8EC2-496E-9416-0F43500F0BCE}"/>
    <hyperlink ref="E717" r:id="rId2186" display="https://twitter.com/panicswitch777/status/723087481260769280" xr:uid="{DC68CFBC-23A8-45D7-882E-63E4883FAC71}"/>
    <hyperlink ref="O717" r:id="rId2187" display="https://pbs.twimg.com/profile_images/661248829682024449/IlOGOPEg_normal.jpg" xr:uid="{6BF2DEC2-D1CC-4A47-B9C9-F1B07BF84810}"/>
    <hyperlink ref="B718" r:id="rId2188" display="https://twitter.com/MarkCSchneider" xr:uid="{D50B7C2D-2B15-4AA1-AD89-88131DC7C4C3}"/>
    <hyperlink ref="E718" r:id="rId2189" display="https://twitter.com/MarkCSchneider/status/723087657060818944" xr:uid="{356DB8A8-B5BA-447E-8F5A-102CCDB1C4B9}"/>
    <hyperlink ref="O718" r:id="rId2190" display="https://pbs.twimg.com/profile_images/706784695795769345/XGXgdjww_normal.jpg" xr:uid="{16576DB8-3B35-4A01-93B1-8D2AF8E04820}"/>
    <hyperlink ref="B719" r:id="rId2191" display="https://twitter.com/marin_fj" xr:uid="{CFC3D532-6023-48C1-A603-5B117D49646E}"/>
    <hyperlink ref="E719" r:id="rId2192" display="https://twitter.com/marin_fj/status/723087682721701888" xr:uid="{4FB10D5E-9F0E-4743-AC4C-E781C6B6E33E}"/>
    <hyperlink ref="O719" r:id="rId2193" display="https://pbs.twimg.com/profile_images/681121215470252033/KvFLFijn_normal.jpg" xr:uid="{D4EC7CD2-F8E9-4E7D-94BA-A7847129B43A}"/>
    <hyperlink ref="B720" r:id="rId2194" display="https://twitter.com/panicswitch777" xr:uid="{FC9DD36F-F8A3-4E48-BD9E-EF3773D14472}"/>
    <hyperlink ref="E720" r:id="rId2195" display="https://twitter.com/panicswitch777/status/723087752087015424" xr:uid="{28256D9D-3D56-4A90-9C5C-BC34038CBCF3}"/>
    <hyperlink ref="O720" r:id="rId2196" display="https://pbs.twimg.com/profile_images/661248829682024449/IlOGOPEg_normal.jpg" xr:uid="{93F7BC65-1DD6-4A15-A3FB-5CFD1CD2A954}"/>
    <hyperlink ref="B721" r:id="rId2197" display="https://twitter.com/OneStepBayond" xr:uid="{354A1BE6-50ED-4745-BAB4-B932A30D862A}"/>
    <hyperlink ref="E721" r:id="rId2198" display="https://twitter.com/OneStepBayond/status/723087854121832448" xr:uid="{3DC6F02F-5585-4B76-80C6-2A2331E23F1F}"/>
    <hyperlink ref="O721" r:id="rId2199" display="https://pbs.twimg.com/profile_images/685102900184485888/rhqb81-h_normal.jpg" xr:uid="{CC31F70E-493C-4560-94F1-E00E3C8AB46F}"/>
    <hyperlink ref="B722" r:id="rId2200" display="https://twitter.com/VWBeetleSales" xr:uid="{B4859CEF-DBCF-4FC9-8E97-E4715F783EA4}"/>
    <hyperlink ref="E722" r:id="rId2201" display="https://twitter.com/VWBeetleSales/status/723087902251446272" xr:uid="{395AAF0A-4E2B-4DBE-87D7-8D09E623F8CF}"/>
    <hyperlink ref="F722" r:id="rId2202" xr:uid="{F0027887-61C8-4FEE-A286-CD11CD1E66DB}"/>
    <hyperlink ref="O722" r:id="rId2203" display="https://pbs.twimg.com/profile_images/703294545195307008/qeCvrX86_normal.jpg" xr:uid="{89721F9C-CE9D-4B77-82CE-F5A042E8AB19}"/>
    <hyperlink ref="B723" r:id="rId2204" display="https://twitter.com/panicswitch777" xr:uid="{CCA7B0CA-8277-48E2-B11C-47063EE5F562}"/>
    <hyperlink ref="E723" r:id="rId2205" display="https://twitter.com/panicswitch777/status/723088098989465601" xr:uid="{EE0527EC-3E7C-4D6D-80D2-79E7B8CDBCAE}"/>
    <hyperlink ref="O723" r:id="rId2206" display="https://pbs.twimg.com/profile_images/661248829682024449/IlOGOPEg_normal.jpg" xr:uid="{08BD950E-5138-4F20-A1AC-DABADF8F0F07}"/>
    <hyperlink ref="B724" r:id="rId2207" display="https://twitter.com/techhippie" xr:uid="{D6F8E443-D672-4217-8C66-BAFE42DC4010}"/>
    <hyperlink ref="E724" r:id="rId2208" display="https://twitter.com/techhippie/status/723088233622589440" xr:uid="{F33E05EF-C93F-444F-AF6C-4E09EC950B82}"/>
    <hyperlink ref="O724" r:id="rId2209" display="https://pbs.twimg.com/profile_images/702511217793863680/lty8h9vE_normal.jpg" xr:uid="{FFF57544-3E16-48C9-9310-2D4433A707C6}"/>
    <hyperlink ref="B725" r:id="rId2210" display="https://twitter.com/techhippie" xr:uid="{FA6EC69D-2B61-4FA5-A578-F2CD4E6F88EB}"/>
    <hyperlink ref="E725" r:id="rId2211" display="https://twitter.com/techhippie/status/723088259874729984" xr:uid="{5CE8E5C9-7C8B-4E46-AC94-3632D1B0BFFA}"/>
    <hyperlink ref="O725" r:id="rId2212" display="https://pbs.twimg.com/profile_images/702511217793863680/lty8h9vE_normal.jpg" xr:uid="{4D904867-D9D6-4703-BCA9-4D10C1F5439A}"/>
    <hyperlink ref="B726" r:id="rId2213" display="https://twitter.com/MarkCSchneider" xr:uid="{650147B9-FDC6-470F-9264-63893A54E190}"/>
    <hyperlink ref="E726" r:id="rId2214" display="https://twitter.com/MarkCSchneider/status/723088449088065537" xr:uid="{3EFAA01F-4D48-4B85-8D66-7381540BF065}"/>
    <hyperlink ref="O726" r:id="rId2215" display="https://pbs.twimg.com/profile_images/706784695795769345/XGXgdjww_normal.jpg" xr:uid="{58A46796-FA72-4331-80B5-2007667C1BBE}"/>
    <hyperlink ref="B727" r:id="rId2216" display="https://twitter.com/carlo_fiat" xr:uid="{3E651D6D-C459-40EB-8ACE-5D9DBB05D6F7}"/>
    <hyperlink ref="E727" r:id="rId2217" display="https://twitter.com/carlo_fiat/status/723088926471258116" xr:uid="{42FFE299-1D05-4E6E-8B63-EFE51007BBE5}"/>
    <hyperlink ref="O727" r:id="rId2218" display="https://pbs.twimg.com/profile_images/586872499041935360/1jIE3_Mq_normal.jpg" xr:uid="{C7D6C4EA-769E-4531-81C5-9264796BB03D}"/>
    <hyperlink ref="B728" r:id="rId2219" display="https://twitter.com/camillebob0" xr:uid="{5A2F0AD3-75BE-4AB7-9DEB-0DF59C0A2FA8}"/>
    <hyperlink ref="E728" r:id="rId2220" display="https://twitter.com/camillebob0/status/723089400683462656" xr:uid="{CEFE973A-76D7-4719-A7AE-2A812C946349}"/>
    <hyperlink ref="O728" r:id="rId2221" display="https://pbs.twimg.com/profile_images/650667637186396160/y7N_BL6R_normal.jpg" xr:uid="{FCA650BB-4F10-4ED4-A683-B9276ABDFE22}"/>
    <hyperlink ref="B729" r:id="rId2222" display="https://twitter.com/VWLorient" xr:uid="{B4F22650-4A55-4DF1-9255-6DDA9D6B1049}"/>
    <hyperlink ref="E729" r:id="rId2223" display="https://twitter.com/VWLorient/status/723089612550361088" xr:uid="{9F02DA91-3C98-4F4D-9FE7-FEB1263528D6}"/>
    <hyperlink ref="O729" r:id="rId2224" display="https://pbs.twimg.com/profile_images/585459329895161857/329eptxM_normal.jpg" xr:uid="{60CD3FEF-E73C-41F3-A004-0B6C79B4D2D9}"/>
    <hyperlink ref="B730" r:id="rId2225" display="https://twitter.com/tyres4sale_com" xr:uid="{DEA5939F-BBD3-47BA-B492-C907420353F5}"/>
    <hyperlink ref="E730" r:id="rId2226" display="https://twitter.com/tyres4sale_com/status/723089759875125249" xr:uid="{80ED2C64-1E17-4CF7-9E66-A758D9F3BC7C}"/>
    <hyperlink ref="O730" r:id="rId2227" display="https://pbs.twimg.com/profile_images/621239347208192000/wXN4MLBs_normal.jpg" xr:uid="{736A220F-1314-475D-BC35-56172378F980}"/>
    <hyperlink ref="B731" r:id="rId2228" display="https://twitter.com/ME262P" xr:uid="{239155D8-0F95-467B-A5BF-58EE9F5E95F7}"/>
    <hyperlink ref="E731" r:id="rId2229" display="https://twitter.com/ME262P/status/723089845707399168" xr:uid="{4FB0CDA6-4683-4BF5-907C-3CA932917DA9}"/>
    <hyperlink ref="O731" r:id="rId2230" display="https://pbs.twimg.com/profile_images/534347903415091200/7vSjzA4l_normal.jpeg" xr:uid="{F08068C9-70E4-4211-8C85-79E992C99CEF}"/>
    <hyperlink ref="B732" r:id="rId2231" display="https://twitter.com/instock_de" xr:uid="{B5A16B62-4F37-49F2-BA4B-730967C8AD86}"/>
    <hyperlink ref="C732" r:id="rId2232" xr:uid="{1D1EBB1D-9507-4B0A-8FAD-5610BE95F0AF}"/>
    <hyperlink ref="E732" r:id="rId2233" display="https://twitter.com/instock_de/status/723090156471746560" xr:uid="{F2D48A40-4388-4F28-9B0E-F6BFF8B6477B}"/>
    <hyperlink ref="O732" r:id="rId2234" display="https://pbs.twimg.com/profile_images/1200648485/instock_normal.jpg" xr:uid="{63C7CEA5-F441-4EB4-8C50-D9AD7F88A6F2}"/>
    <hyperlink ref="B733" r:id="rId2235" display="https://twitter.com/Charms1Mulder" xr:uid="{D4D1F7C5-1A16-4D7F-810F-5BD93E5F8423}"/>
    <hyperlink ref="E733" r:id="rId2236" display="https://twitter.com/Charms1Mulder/status/723090287887785984" xr:uid="{06F6BE0D-A77E-40C3-8975-8F12541EA930}"/>
    <hyperlink ref="O733" r:id="rId2237" display="https://pbs.twimg.com/profile_images/714167209438887936/-TI6fNjX_normal.jpg" xr:uid="{1ADDA08B-B476-47EE-862B-D6E2C3A0C625}"/>
    <hyperlink ref="B734" r:id="rId2238" display="https://twitter.com/Ballverteiler" xr:uid="{159E0CAA-5753-476D-98CB-D0A600290B5D}"/>
    <hyperlink ref="E734" r:id="rId2239" display="https://twitter.com/Ballverteiler/status/723090426199158784" xr:uid="{3720DDC5-7F6D-463B-B613-5E53FD4B5F81}"/>
    <hyperlink ref="O734" r:id="rId2240" display="https://pbs.twimg.com/profile_images/623234591248265217/_ccxJZ55_normal.jpg" xr:uid="{A8F78C7E-7005-4DAB-87CE-8F2B4AD8491A}"/>
    <hyperlink ref="B735" r:id="rId2241" display="https://twitter.com/borispucalev" xr:uid="{5BA330E1-3BDA-4C16-A9D3-20F6489A5CB3}"/>
    <hyperlink ref="E735" r:id="rId2242" display="https://twitter.com/borispucalev/status/723090824339329024" xr:uid="{9FB5C6F7-DB61-4951-8649-0280C1EBFAA5}"/>
    <hyperlink ref="O735" r:id="rId2243" display="https://pbs.twimg.com/profile_images/650255677798109184/qalFxc71_normal.jpg" xr:uid="{31E4D0BB-9E1B-4243-AC80-7E576F72829E}"/>
    <hyperlink ref="B736" r:id="rId2244" display="https://twitter.com/burt_jessica" xr:uid="{83209E93-99A3-4895-9C98-A69C8963806E}"/>
    <hyperlink ref="E736" r:id="rId2245" display="https://twitter.com/burt_jessica/status/723090955922870272" xr:uid="{57725E85-248A-4AA4-95BF-2A078C87C5F6}"/>
    <hyperlink ref="O736" r:id="rId2246" display="https://pbs.twimg.com/profile_images/522705009558192129/L8WvMlLX_normal.jpeg" xr:uid="{A356461A-0FCD-49AA-8F2D-C65EE362D07D}"/>
    <hyperlink ref="B737" r:id="rId2247" display="https://twitter.com/JRE6198" xr:uid="{4C31FBC7-949F-4606-B69F-711355F628C7}"/>
    <hyperlink ref="E737" r:id="rId2248" display="https://twitter.com/JRE6198/status/723090999703015424" xr:uid="{10E8D73A-03EE-4789-B5C2-217E47523569}"/>
    <hyperlink ref="O737" r:id="rId2249" display="https://pbs.twimg.com/profile_images/691987198736994304/QKaDTAUU_normal.jpg" xr:uid="{F9970CFF-8EE6-46F8-90F0-FEA8BEEC6995}"/>
    <hyperlink ref="B738" r:id="rId2250" display="https://twitter.com/vwpress_en" xr:uid="{999D1324-0BE0-40FC-9A34-647C681FBAC4}"/>
    <hyperlink ref="E738" r:id="rId2251" display="https://twitter.com/vwpress_en/status/723091280901844992" xr:uid="{CC2943BC-E832-45DA-8730-59B10963B2EC}"/>
    <hyperlink ref="O738" r:id="rId2252" display="https://pbs.twimg.com/profile_images/682117963349135360/IUfZQy35_normal.png" xr:uid="{B6D84749-E95B-4FDE-873E-4FC4391CBC4A}"/>
    <hyperlink ref="B739" r:id="rId2253" display="https://twitter.com/vwpress_de" xr:uid="{942D1F84-FC37-4D17-8A25-C2AD6D8F1A0C}"/>
    <hyperlink ref="E739" r:id="rId2254" display="https://twitter.com/vwpress_de/status/723091311977443328" xr:uid="{981E41EE-8BEE-460F-B0D1-66FF1E83E024}"/>
    <hyperlink ref="O739" r:id="rId2255" display="https://pbs.twimg.com/profile_images/682117656502222848/Ge7YeAF3_normal.png" xr:uid="{E974A650-11B4-4842-ABFF-BFDB57A274DB}"/>
    <hyperlink ref="B740" r:id="rId2256" display="https://twitter.com/techislet" xr:uid="{92EA53AC-535F-44B8-8BF5-BD436794AE03}"/>
    <hyperlink ref="E740" r:id="rId2257" display="https://twitter.com/techislet/status/723091418319872000" xr:uid="{4B7ADE1B-EFC4-4CE1-B286-D299A175E04F}"/>
    <hyperlink ref="O740" r:id="rId2258" display="https://pbs.twimg.com/profile_images/640893185158352896/TMGmsF0r_normal.png" xr:uid="{BFC2B325-491C-4244-8B30-E1235A680E19}"/>
    <hyperlink ref="B741" r:id="rId2259" display="https://twitter.com/MeinAuto" xr:uid="{9470FE7E-8CF5-4AB0-A887-F2264D15AF8E}"/>
    <hyperlink ref="C741" r:id="rId2260" xr:uid="{4DBD22DB-A931-4432-B25C-FBC23C097F39}"/>
    <hyperlink ref="E741" r:id="rId2261" display="https://twitter.com/MeinAuto/status/723091512356155392" xr:uid="{56DBB0FE-E178-4389-B0E2-FC90775A2E70}"/>
    <hyperlink ref="O741" r:id="rId2262" display="https://pbs.twimg.com/profile_images/636822179775148032/1WKFZxO8_normal.png" xr:uid="{5AE552F2-0214-4A76-BA84-7B0359FDC270}"/>
    <hyperlink ref="B742" r:id="rId2263" display="https://twitter.com/GianMarcoSolas" xr:uid="{9D1AE0B2-1FD7-4710-9E68-5BECD1A1C41C}"/>
    <hyperlink ref="E742" r:id="rId2264" display="https://twitter.com/GianMarcoSolas/status/723091947980771328" xr:uid="{C045F201-5222-4818-A20D-10E687DD1EC8}"/>
    <hyperlink ref="O742" r:id="rId2265" display="https://pbs.twimg.com/profile_images/717791489737232385/xRQsxjNT_normal.jpg" xr:uid="{A4B2F565-4D3A-4C79-B171-47824DCC5092}"/>
    <hyperlink ref="B743" r:id="rId2266" display="https://twitter.com/VWCamperSales" xr:uid="{DCC8D995-9604-4BF8-B051-5C382AF74235}"/>
    <hyperlink ref="E743" r:id="rId2267" display="https://twitter.com/VWCamperSales/status/723092056390791168" xr:uid="{076998DD-50CC-4EC8-A27D-76FF38989932}"/>
    <hyperlink ref="F743" r:id="rId2268" xr:uid="{0B3D264B-7AD8-4BEC-A654-DBF67F2DD1F2}"/>
    <hyperlink ref="O743" r:id="rId2269" display="https://pbs.twimg.com/profile_images/627949001179037696/skEBkS05_normal.jpg" xr:uid="{47FF59D5-7703-4C33-93F7-F3FF0489946D}"/>
    <hyperlink ref="B744" r:id="rId2270" display="https://twitter.com/sophiastrelli" xr:uid="{BDA9E985-15CC-4682-9656-71B5C3A0EDE0}"/>
    <hyperlink ref="E744" r:id="rId2271" display="https://twitter.com/sophiastrelli/status/723092259797905408" xr:uid="{C510B4E6-8AC8-4E66-9EF8-091CCF9C0B7C}"/>
    <hyperlink ref="O744" r:id="rId2272" display="https://pbs.twimg.com/profile_images/610791642908364802/6HpxS-0Y_normal.jpg" xr:uid="{56533EE9-6A23-4568-AB10-A031E98248CD}"/>
    <hyperlink ref="B745" r:id="rId2273" display="https://twitter.com/ZoomStocks" xr:uid="{A7F23C9D-80D8-4B8F-A759-3477A50789DF}"/>
    <hyperlink ref="E745" r:id="rId2274" display="https://twitter.com/ZoomStocks/status/723092863857238018" xr:uid="{52FB40C7-B690-4D7E-91F0-00C8C7965E89}"/>
    <hyperlink ref="O745" r:id="rId2275" display="https://pbs.twimg.com/profile_images/692688034601443328/Xvlk-vez_normal.png" xr:uid="{EE585BF6-CBA5-49F5-B4D7-873C2386F3D3}"/>
    <hyperlink ref="B746" r:id="rId2276" display="https://twitter.com/infamyreborn92" xr:uid="{CD4A99F2-E843-483D-9B2D-7DEEA5285113}"/>
    <hyperlink ref="E746" r:id="rId2277" display="https://twitter.com/infamyreborn92/status/723092925677199360" xr:uid="{4BD53D4F-25D6-472C-B38F-507318377C88}"/>
    <hyperlink ref="O746" r:id="rId2278" display="https://pbs.twimg.com/profile_images/643476793425534976/p8cfxOAu_normal.jpg" xr:uid="{151779A3-8DFE-435D-ABFE-F2DE16F893A1}"/>
    <hyperlink ref="B747" r:id="rId2279" display="https://twitter.com/VWBeetleSales" xr:uid="{6C3E6A2C-8F40-431F-BB4F-74A5577BFEBD}"/>
    <hyperlink ref="E747" r:id="rId2280" display="https://twitter.com/VWBeetleSales/status/723093206292811778" xr:uid="{70989E1F-3EB5-4175-93B0-60E48588EBE1}"/>
    <hyperlink ref="F747" r:id="rId2281" xr:uid="{5CB98A33-459E-42C1-AFF1-743A946BB22F}"/>
    <hyperlink ref="O747" r:id="rId2282" display="https://pbs.twimg.com/profile_images/703294545195307008/qeCvrX86_normal.jpg" xr:uid="{5072EBF6-F9ED-453F-9941-4CE36EF822F6}"/>
    <hyperlink ref="B748" r:id="rId2283" display="https://twitter.com/jkpender" xr:uid="{A600EAA8-FD65-4727-A242-A88AE2FF123E}"/>
    <hyperlink ref="E748" r:id="rId2284" display="https://twitter.com/jkpender/status/723093280905416705" xr:uid="{D558E20A-539C-4960-8AC7-78A7039F22E8}"/>
    <hyperlink ref="O748" r:id="rId2285" display="https://pbs.twimg.com/profile_images/2506752590/image_normal.jpg" xr:uid="{DD8E48AD-2AA3-4BE7-99DF-44AEC7C51A47}"/>
    <hyperlink ref="B749" r:id="rId2286" display="https://twitter.com/GlobalEthicist" xr:uid="{3442B52E-824F-4DD3-AB9F-5A255B4FA2D4}"/>
    <hyperlink ref="E749" r:id="rId2287" display="https://twitter.com/GlobalEthicist/status/723093743683805184" xr:uid="{AE729A57-882B-403A-BB42-D58847CAF683}"/>
    <hyperlink ref="O749" r:id="rId2288" display="https://pbs.twimg.com/profile_images/521406560179085312/6RyXKIat_normal.jpeg" xr:uid="{41EC971B-9608-402A-823F-B071DD1D665B}"/>
    <hyperlink ref="B750" r:id="rId2289" display="https://twitter.com/dailynewsdns" xr:uid="{AD8FB585-9661-4E66-BCEB-BC0DBE6CC03C}"/>
    <hyperlink ref="E750" r:id="rId2290" display="https://twitter.com/dailynewsdns/status/723093960822915072" xr:uid="{90479BD8-9DFF-440F-ABBF-D66713CFC963}"/>
    <hyperlink ref="O750" r:id="rId2291" display="https://pbs.twimg.com/profile_images/676313123561717760/xP_QEuHj_normal.png" xr:uid="{08DAE892-0E47-4DE5-A071-BD1058E3F9AC}"/>
    <hyperlink ref="B751" r:id="rId2292" display="https://twitter.com/dailynewsdns" xr:uid="{32E0B033-82EE-45DC-9B92-C37A3462EF0F}"/>
    <hyperlink ref="E751" r:id="rId2293" display="https://twitter.com/dailynewsdns/status/723093967412301824" xr:uid="{3E0B3A32-A739-4D70-9F75-84F4547AF765}"/>
    <hyperlink ref="F751" r:id="rId2294" xr:uid="{1A20D42F-5F74-4B47-AFA0-E1E8FA44D953}"/>
    <hyperlink ref="O751" r:id="rId2295" display="https://pbs.twimg.com/profile_images/676313123561717760/xP_QEuHj_normal.png" xr:uid="{450C2A9E-EB12-4400-AEE1-E9C6EBB6E7D0}"/>
    <hyperlink ref="B752" r:id="rId2296" display="https://twitter.com/drheinzhafner" xr:uid="{CB0C4FB3-70AB-4DF3-8502-F63CBAFB1A98}"/>
    <hyperlink ref="E752" r:id="rId2297" display="https://twitter.com/drheinzhafner/status/723094201286705152" xr:uid="{B3D9101C-2160-45E7-9EF0-2B34F73C5027}"/>
    <hyperlink ref="O752" r:id="rId2298" display="https://pbs.twimg.com/profile_images/631826304950779904/RBfvk7po_normal.jpg" xr:uid="{08471C90-AD86-47FB-8B13-E8AE78AEDEF5}"/>
    <hyperlink ref="B753" r:id="rId2299" display="https://twitter.com/NicolasTetrault" xr:uid="{D913B003-612C-412A-9883-725EC543C0B3}"/>
    <hyperlink ref="E753" r:id="rId2300" display="https://twitter.com/NicolasTetrault/status/723094212217024512" xr:uid="{76F6AC6B-1FBF-4105-A459-8AEEAC0BA946}"/>
    <hyperlink ref="F753" r:id="rId2301" xr:uid="{A2C9DE59-9122-44B0-A608-F910E553CA15}"/>
    <hyperlink ref="O753" r:id="rId2302" display="https://pbs.twimg.com/profile_images/653707832076832768/bC61HZBB_normal.jpg" xr:uid="{9DAA804A-88AF-4C7F-A959-D9997F656DDC}"/>
    <hyperlink ref="B754" r:id="rId2303" display="https://twitter.com/rumpeltweet" xr:uid="{55C05E2C-958B-4229-A080-65CB2FC11F40}"/>
    <hyperlink ref="E754" r:id="rId2304" display="https://twitter.com/rumpeltweet/status/723094380752543744" xr:uid="{CA7B1F88-AC74-43FE-BA39-091389989AD4}"/>
    <hyperlink ref="O754" r:id="rId2305" display="https://pbs.twimg.com/profile_images/509425318827130880/lTrSLCDa_normal.jpeg" xr:uid="{D78D8916-C278-451A-8522-A14EE1183188}"/>
    <hyperlink ref="B755" r:id="rId2306" display="https://twitter.com/mikapleskinen" xr:uid="{911E3C11-38D2-491E-974B-4956067C958B}"/>
    <hyperlink ref="E755" r:id="rId2307" display="https://twitter.com/mikapleskinen/status/723094464827428864" xr:uid="{51D33E54-DAA2-4A69-B1E9-C55684BFA35B}"/>
    <hyperlink ref="O755" r:id="rId2308" display="https://pbs.twimg.com/profile_images/699684634448302084/VyH2kl34_normal.jpg" xr:uid="{F59FEF25-0D81-43F7-B708-A2B4B6159903}"/>
    <hyperlink ref="B756" r:id="rId2309" display="https://twitter.com/VWBeetleSales" xr:uid="{79D81B16-C5ED-4632-85EC-6719C78BDA80}"/>
    <hyperlink ref="E756" r:id="rId2310" display="https://twitter.com/VWBeetleSales/status/723094955728609280" xr:uid="{32827D73-38EC-419E-838A-B02B9EB5CDA0}"/>
    <hyperlink ref="F756" r:id="rId2311" xr:uid="{7073D4B4-5734-49C1-A093-95B609984082}"/>
    <hyperlink ref="O756" r:id="rId2312" display="https://pbs.twimg.com/profile_images/703294545195307008/qeCvrX86_normal.jpg" xr:uid="{455F13BB-D884-4B2D-B42B-B784E3423F10}"/>
    <hyperlink ref="B757" r:id="rId2313" display="https://twitter.com/wintonsauto" xr:uid="{0E36F71C-9D96-4397-AF25-ED5744BC1DA1}"/>
    <hyperlink ref="E757" r:id="rId2314" display="https://twitter.com/wintonsauto/status/723095313188167680" xr:uid="{FFE8B28D-D643-4697-B167-D9714DA53900}"/>
    <hyperlink ref="O757" r:id="rId2315" display="https://pbs.twimg.com/profile_images/436538745232568320/WdIrwRnz_normal.jpeg" xr:uid="{D305FC43-4119-48B6-86AC-AC8B030E05BD}"/>
    <hyperlink ref="B758" r:id="rId2316" display="https://twitter.com/Verzaehler" xr:uid="{9741444E-43AF-42E2-AC05-99D403737ED2}"/>
    <hyperlink ref="E758" r:id="rId2317" display="https://twitter.com/Verzaehler/status/723095568440918017" xr:uid="{6F910AD7-3343-4C13-AC60-DEF6F5DA198B}"/>
    <hyperlink ref="O758" r:id="rId2318" display="https://pbs.twimg.com/profile_images/586495538566074368/DtFkSLuI_normal.jpg" xr:uid="{FC052F74-1FDE-4A43-8B4D-1F9673E6DF27}"/>
    <hyperlink ref="B759" r:id="rId2319" display="https://twitter.com/ZzoranNnikolic" xr:uid="{966C1AE3-2D39-469E-9192-1FDEB4F99356}"/>
    <hyperlink ref="E759" r:id="rId2320" display="https://twitter.com/ZzoranNnikolic/status/723095616734162944" xr:uid="{074637EA-B728-4AAA-8796-90FFA8AB224B}"/>
    <hyperlink ref="O759" r:id="rId2321" display="https://pbs.twimg.com/profile_images/420211830854676480/9VeSEboq_normal.jpeg" xr:uid="{13DD36C7-4485-415C-9B29-29EB2F9A2849}"/>
    <hyperlink ref="B760" r:id="rId2322" display="https://twitter.com/weare_van" xr:uid="{ED17905B-686C-4BF5-8F7B-AF94BF284A9D}"/>
    <hyperlink ref="E760" r:id="rId2323" display="https://twitter.com/weare_van/status/723095627194851328" xr:uid="{3A5D1BFA-D234-4881-8C91-7C98C4962289}"/>
    <hyperlink ref="O760" r:id="rId2324" display="https://pbs.twimg.com/profile_images/707176643509538817/-s_VKgK4_normal.jpg" xr:uid="{6D0843DE-C4C9-4E2B-AD31-CC9F63C01446}"/>
    <hyperlink ref="B761" r:id="rId2325" display="https://twitter.com/krishuzey" xr:uid="{4CC4B308-AF95-4DBD-8C8B-D42CC62220B4}"/>
    <hyperlink ref="E761" r:id="rId2326" display="https://twitter.com/krishuzey/status/723096017902641152" xr:uid="{11E283E9-4DA8-45E9-B43B-62892132C7A9}"/>
    <hyperlink ref="O761" r:id="rId2327" display="https://pbs.twimg.com/profile_images/2603319177/lfdoC12A_normal" xr:uid="{57F0D97A-0F48-4959-92F4-F6C6F50BC287}"/>
    <hyperlink ref="B762" r:id="rId2328" display="https://twitter.com/AmwalAlGhad_EN" xr:uid="{A065B04B-0CA1-456E-A589-A560519BC8A2}"/>
    <hyperlink ref="E762" r:id="rId2329" display="https://twitter.com/AmwalAlGhad_EN/status/723096026270199808" xr:uid="{1F92C6AB-6FB6-40A2-B7B1-34166F9B4F9B}"/>
    <hyperlink ref="O762" r:id="rId2330" display="https://pbs.twimg.com/profile_images/1874504895/amwal1_normal.jpg" xr:uid="{29E103E5-E310-4CC5-A0CB-1AE1B3C9A026}"/>
    <hyperlink ref="B763" r:id="rId2331" display="https://twitter.com/shamereflect" xr:uid="{7F136399-856E-421D-985D-1C97005A6A15}"/>
    <hyperlink ref="E763" r:id="rId2332" display="https://twitter.com/shamereflect/status/723096268893900800" xr:uid="{77110359-651B-4959-9607-FD775C27021B}"/>
    <hyperlink ref="O763" r:id="rId2333" display="https://pbs.twimg.com/profile_images/598485163241267200/wFl-W3I2_normal.jpg" xr:uid="{CBB7932F-58A0-4841-8971-32664D6D7F82}"/>
    <hyperlink ref="B764" r:id="rId2334" display="https://twitter.com/DoMarMac" xr:uid="{F047422F-0336-4DC8-8EDF-4FA8C66E4E9C}"/>
    <hyperlink ref="E764" r:id="rId2335" display="https://twitter.com/DoMarMac/status/723096397281648640" xr:uid="{70E477BA-FA5D-4BAE-8257-E5A919A72F49}"/>
    <hyperlink ref="O764" r:id="rId2336" display="https://pbs.twimg.com/profile_images/1833245422/twitter_yo_normal.jpg" xr:uid="{C18C6EA6-95A8-485A-A08F-0718F5BED0F0}"/>
    <hyperlink ref="B765" r:id="rId2337" display="https://twitter.com/DoMarMac" xr:uid="{C9D82E27-2500-43EE-9DEB-2C442EA9A851}"/>
    <hyperlink ref="E765" r:id="rId2338" display="https://twitter.com/DoMarMac/status/723096438239027201" xr:uid="{DB29CB02-470E-4D1B-BA44-C72AAF1AB012}"/>
    <hyperlink ref="O765" r:id="rId2339" display="https://pbs.twimg.com/profile_images/1833245422/twitter_yo_normal.jpg" xr:uid="{A7048C9D-A0BC-4A25-8F7C-DD3949ACF786}"/>
    <hyperlink ref="B766" r:id="rId2340" display="https://twitter.com/DoMarMac" xr:uid="{1AACBE44-ED71-4DC3-9321-DEB5377CA67B}"/>
    <hyperlink ref="E766" r:id="rId2341" display="https://twitter.com/DoMarMac/status/723096483365416960" xr:uid="{733AD3DF-4777-4334-97B9-B9D12665C7C9}"/>
    <hyperlink ref="O766" r:id="rId2342" display="https://pbs.twimg.com/profile_images/1833245422/twitter_yo_normal.jpg" xr:uid="{FA38E75A-2EA0-4C92-9C36-D69EED5DDC6B}"/>
    <hyperlink ref="B767" r:id="rId2343" display="https://twitter.com/VolkswagenCZ" xr:uid="{4EDA8E3F-4891-4308-8211-26309B08D828}"/>
    <hyperlink ref="E767" r:id="rId2344" display="https://twitter.com/VolkswagenCZ/status/723096485806661632" xr:uid="{7CDD288C-FD9F-4C01-BAA3-A52D8A60969B}"/>
    <hyperlink ref="O767" r:id="rId2345" display="https://pbs.twimg.com/profile_images/689102170717839360/y5b-XDuX_normal.jpg" xr:uid="{C0A9082F-88F1-463D-B862-9513657CBF07}"/>
    <hyperlink ref="B768" r:id="rId2346" display="https://twitter.com/DoMarMac" xr:uid="{566965C3-7A78-4906-B410-38FBBD6CA7D4}"/>
    <hyperlink ref="E768" r:id="rId2347" display="https://twitter.com/DoMarMac/status/723096761464664064" xr:uid="{0F780F2E-C2CE-4D50-B099-54270D14D99B}"/>
    <hyperlink ref="O768" r:id="rId2348" display="https://pbs.twimg.com/profile_images/1833245422/twitter_yo_normal.jpg" xr:uid="{45B7BFA4-78F6-4B4D-A01F-C75333B05639}"/>
    <hyperlink ref="B769" r:id="rId2349" display="https://twitter.com/DoMarMac" xr:uid="{15DB80C7-57F2-4A26-A574-62216E5C4F44}"/>
    <hyperlink ref="E769" r:id="rId2350" display="https://twitter.com/DoMarMac/status/723096801755144192" xr:uid="{05170A8C-00A3-4D1B-ACA7-FDE31F5DE151}"/>
    <hyperlink ref="O769" r:id="rId2351" display="https://pbs.twimg.com/profile_images/1833245422/twitter_yo_normal.jpg" xr:uid="{811A2C34-4EC7-472E-AB59-384CBB2B3B06}"/>
    <hyperlink ref="B770" r:id="rId2352" display="https://twitter.com/Ch4r32" xr:uid="{6A19C4D3-1CC4-4B0F-9D97-3FD2F89C1294}"/>
    <hyperlink ref="E770" r:id="rId2353" display="https://twitter.com/Ch4r32/status/723096860940984320" xr:uid="{B9070E6B-3F71-4535-A346-7FB7F7C9EB42}"/>
    <hyperlink ref="O770" r:id="rId2354" display="https://pbs.twimg.com/profile_images/661245109216915456/IYc4wvrt_normal.jpg" xr:uid="{BB6D50EA-C2ED-451A-943A-69076D95B08B}"/>
    <hyperlink ref="P770" r:id="rId2355" location="41.52666667,-70.66305556" display="http://ctrlq.org/maps/address/ - 41.52666667,-70.66305556" xr:uid="{59544C7E-FD42-4D87-A638-552F89A7F5CF}"/>
    <hyperlink ref="B771" r:id="rId2356" display="https://twitter.com/treibholzfilm" xr:uid="{FC66DE23-10F0-4EBC-AEA5-C04D7F027DA5}"/>
    <hyperlink ref="E771" r:id="rId2357" display="https://twitter.com/treibholzfilm/status/723097034224504832" xr:uid="{6F085D3A-9DCD-4DD6-A2C2-3C6417501EE9}"/>
    <hyperlink ref="O771" r:id="rId2358" display="https://pbs.twimg.com/profile_images/644482436257185792/immN1agH_normal.jpg" xr:uid="{90F4DEBB-A10B-4A5A-BC07-3269BD400465}"/>
    <hyperlink ref="P771" r:id="rId2359" location="50.17851,8.63508" display="http://ctrlq.org/maps/address/ - 50.17851,8.63508" xr:uid="{9CE1FB65-153E-47EE-959E-1AAECC9453DB}"/>
    <hyperlink ref="B772" r:id="rId2360" display="https://twitter.com/dwnews" xr:uid="{F46D29F0-7631-4BC0-8DFB-F48CB6936B13}"/>
    <hyperlink ref="E772" r:id="rId2361" display="https://twitter.com/dwnews/status/723097205788143617" xr:uid="{FA221BD5-2F64-4F5D-9821-A3379C6567B1}"/>
    <hyperlink ref="O772" r:id="rId2362" display="https://pbs.twimg.com/profile_images/608213167496417280/QSxgcLn__normal.png" xr:uid="{425A0ABC-05F6-4721-BC8A-0FB69C6B2E9E}"/>
    <hyperlink ref="B773" r:id="rId2363" display="https://twitter.com/treibholzfilm" xr:uid="{0D2044B1-6323-4448-8739-AAA5C77B9EF2}"/>
    <hyperlink ref="E773" r:id="rId2364" display="https://twitter.com/treibholzfilm/status/723097223911841792" xr:uid="{73DBDC96-710B-4791-8492-173CC24FE774}"/>
    <hyperlink ref="O773" r:id="rId2365" display="https://pbs.twimg.com/profile_images/644482436257185792/immN1agH_normal.jpg" xr:uid="{0AF987FE-89CF-4A59-AC3B-528EEBD461F1}"/>
    <hyperlink ref="P773" r:id="rId2366" location="50.17851,8.63508" display="http://ctrlq.org/maps/address/ - 50.17851,8.63508" xr:uid="{0320D368-C330-4C34-8497-DF802D13C89E}"/>
    <hyperlink ref="B774" r:id="rId2367" display="https://twitter.com/treibholzfilm" xr:uid="{F33688DE-6924-4583-BED7-5078EA9843CC}"/>
    <hyperlink ref="E774" r:id="rId2368" display="https://twitter.com/treibholzfilm/status/723097365662580736" xr:uid="{5892B072-1154-4D35-A9BE-90C0308BE9B3}"/>
    <hyperlink ref="O774" r:id="rId2369" display="https://pbs.twimg.com/profile_images/644482436257185792/immN1agH_normal.jpg" xr:uid="{AB4B1A6A-70A5-4E07-AB9C-13908741678E}"/>
    <hyperlink ref="P774" r:id="rId2370" location="50.17851,8.63508" display="http://ctrlq.org/maps/address/ - 50.17851,8.63508" xr:uid="{78B1A7A1-B7F3-4751-A903-B679573B8BC1}"/>
    <hyperlink ref="B775" r:id="rId2371" display="https://twitter.com/Ch4r32" xr:uid="{A65C0275-20AD-4255-B14D-C03EDE18D532}"/>
    <hyperlink ref="E775" r:id="rId2372" display="https://twitter.com/Ch4r32/status/723097401603567616" xr:uid="{49CDB437-57B4-4598-9DBD-291608A0851A}"/>
    <hyperlink ref="O775" r:id="rId2373" display="https://pbs.twimg.com/profile_images/661245109216915456/IYc4wvrt_normal.jpg" xr:uid="{91A46F7E-F4B1-4687-8E12-17F3DDC01647}"/>
    <hyperlink ref="P775" r:id="rId2374" location="41.52666667,-70.66305556" display="http://ctrlq.org/maps/address/ - 41.52666667,-70.66305556" xr:uid="{9C329D6A-1CED-49AD-85FD-72004BE4698F}"/>
    <hyperlink ref="B776" r:id="rId2375" display="https://twitter.com/felix_wiedemann" xr:uid="{3DEFDAA1-0CDB-4F9A-8EA9-152FE1951841}"/>
    <hyperlink ref="E776" r:id="rId2376" display="https://twitter.com/felix_wiedemann/status/723097447338110976" xr:uid="{B3902746-72AE-405E-9BD3-4548C200EDA7}"/>
    <hyperlink ref="O776" r:id="rId2377" display="https://pbs.twimg.com/profile_images/592295568753426432/zFxFymhV_normal.png" xr:uid="{20E90811-5B3E-4711-9D3E-0EBAC928331F}"/>
    <hyperlink ref="B777" r:id="rId2378" display="https://twitter.com/BusinessTimes" xr:uid="{38B1D4D3-A383-4CCF-BBA5-A747982EA91B}"/>
    <hyperlink ref="E777" r:id="rId2379" display="https://twitter.com/BusinessTimes/status/723097519782125569" xr:uid="{F1BE254B-0474-492B-8F22-EFFD0992A4FE}"/>
    <hyperlink ref="O777" r:id="rId2380" display="https://pbs.twimg.com/profile_images/641091558503124992/tQG2jH6x_normal.png" xr:uid="{631CBE73-FABC-4ABB-A801-058B15C5B0FE}"/>
    <hyperlink ref="B778" r:id="rId2381" display="https://twitter.com/helkearo" xr:uid="{870C039D-6A12-4CFF-B5AD-9CF17D66D600}"/>
    <hyperlink ref="E778" r:id="rId2382" display="https://twitter.com/helkearo/status/723097584198242304" xr:uid="{2DC26B36-EEFA-40C2-86D7-17EB607944B7}"/>
    <hyperlink ref="O778" r:id="rId2383" display="https://pbs.twimg.com/profile_images/632106336319221760/dxhF4knQ_normal.jpg" xr:uid="{6F4EBA79-6052-4536-8DFE-FCAE0057D269}"/>
    <hyperlink ref="B779" r:id="rId2384" display="https://twitter.com/treibholzfilm" xr:uid="{F6C2E0E9-8560-46B1-A8F2-3229765905B1}"/>
    <hyperlink ref="E779" r:id="rId2385" display="https://twitter.com/treibholzfilm/status/723097671876096000" xr:uid="{133BD172-1FBF-4E74-9AFF-19916969E563}"/>
    <hyperlink ref="O779" r:id="rId2386" display="https://pbs.twimg.com/profile_images/644482436257185792/immN1agH_normal.jpg" xr:uid="{88E0DB98-FB07-4B87-9D02-91794196D98D}"/>
    <hyperlink ref="P779" r:id="rId2387" location="50.17851,8.63508" display="http://ctrlq.org/maps/address/ - 50.17851,8.63508" xr:uid="{5F1ADE2C-E67D-45AC-8471-BE90BE14D79F}"/>
    <hyperlink ref="B780" r:id="rId2388" display="https://twitter.com/acerbickhan" xr:uid="{41646361-5814-4651-8C44-ACF144D255E6}"/>
    <hyperlink ref="E780" r:id="rId2389" display="https://twitter.com/acerbickhan/status/723097719871574016" xr:uid="{6444A716-427A-45A3-A160-17399824A904}"/>
    <hyperlink ref="O780" r:id="rId2390" display="https://pbs.twimg.com/profile_images/701453556604342272/TFaLiPvq_normal.jpg" xr:uid="{CF388E12-58E0-4D94-81CC-3EFA2814D863}"/>
    <hyperlink ref="B781" r:id="rId2391" display="https://twitter.com/treibholzfilm" xr:uid="{F4680EC6-9EE6-436A-9EB3-7FD096DB5B63}"/>
    <hyperlink ref="E781" r:id="rId2392" display="https://twitter.com/treibholzfilm/status/723097804609077248" xr:uid="{8580AB9E-8A3B-4158-9C8F-F9716E3F7624}"/>
    <hyperlink ref="O781" r:id="rId2393" display="https://pbs.twimg.com/profile_images/644482436257185792/immN1agH_normal.jpg" xr:uid="{777158D5-0827-42D5-8A63-45A793617E9E}"/>
    <hyperlink ref="P781" r:id="rId2394" location="50.17851,8.63508" display="http://ctrlq.org/maps/address/ - 50.17851,8.63508" xr:uid="{14BFD050-744E-4558-B97F-24D0EF9F4650}"/>
    <hyperlink ref="B782" r:id="rId2395" display="https://twitter.com/DieselGate_es" xr:uid="{B96DE514-16AE-4EEA-9D95-9C7A2439A235}"/>
    <hyperlink ref="E782" r:id="rId2396" display="https://twitter.com/DieselGate_es/status/723097915460345856" xr:uid="{212BD1B1-408B-4B3A-809F-542C6A1139B3}"/>
    <hyperlink ref="O782" r:id="rId2397" display="https://pbs.twimg.com/profile_images/659086897868861440/czPvIhsj_normal.png" xr:uid="{6014A60F-A0A9-4902-AB72-FFC1DA12C350}"/>
    <hyperlink ref="B783" r:id="rId2398" display="https://twitter.com/skribjohn" xr:uid="{A65260FB-A296-43EA-A180-01A56523CF79}"/>
    <hyperlink ref="E783" r:id="rId2399" display="https://twitter.com/skribjohn/status/723099149487497217" xr:uid="{42F09B19-46F5-449C-A338-E18523D598F4}"/>
    <hyperlink ref="O783" r:id="rId2400" display="https://pbs.twimg.com/profile_images/667033853249363969/AHcASHUk_normal.jpg" xr:uid="{2F06DA69-D280-4995-910A-59E388EA52BA}"/>
    <hyperlink ref="B784" r:id="rId2401" display="https://twitter.com/Zaur_705" xr:uid="{0C6F65FE-5199-4659-85CA-216415C29B2C}"/>
    <hyperlink ref="E784" r:id="rId2402" display="https://twitter.com/Zaur_705/status/723099473539293184" xr:uid="{C08F6D15-058F-4490-ADF7-5F3FFDF32F94}"/>
    <hyperlink ref="O784" r:id="rId2403" display="https://pbs.twimg.com/profile_images/701745532595613696/EjnEYipt_normal.jpg" xr:uid="{A4D7A1B9-D1DE-45CC-AE62-A246E7EA3529}"/>
    <hyperlink ref="B785" r:id="rId2404" display="https://twitter.com/VWBeetleSales" xr:uid="{BE313EF6-F53B-4224-977F-09D5CFD2B6C1}"/>
    <hyperlink ref="E785" r:id="rId2405" display="https://twitter.com/VWBeetleSales/status/723099742683590656" xr:uid="{9008A6CC-D3E6-4531-9B62-1D860CC490EC}"/>
    <hyperlink ref="F785" r:id="rId2406" xr:uid="{4FD65519-16E0-46C7-904F-04914A932426}"/>
    <hyperlink ref="O785" r:id="rId2407" display="https://pbs.twimg.com/profile_images/703294545195307008/qeCvrX86_normal.jpg" xr:uid="{06B5963C-DCF3-407C-8BC1-19350FC1DEED}"/>
    <hyperlink ref="B786" r:id="rId2408" display="https://twitter.com/OnlineCarReview" xr:uid="{DFACEC27-12C1-44A3-9145-A6D872D92352}"/>
    <hyperlink ref="E786" r:id="rId2409" display="https://twitter.com/OnlineCarReview/status/723099812107702272" xr:uid="{237C5C92-FE3F-48D1-8D5C-D2A54FAE57A0}"/>
    <hyperlink ref="O786" r:id="rId2410" display="https://pbs.twimg.com/profile_images/652871584131092480/QA_B6SBO_normal.jpg" xr:uid="{A024ABCE-B3A6-4A10-AA13-9289DBC20C18}"/>
    <hyperlink ref="B787" r:id="rId2411" display="https://twitter.com/VWCamperSales" xr:uid="{7D789E69-1DC2-4BE4-B9A1-7D67DCC9696B}"/>
    <hyperlink ref="E787" r:id="rId2412" display="https://twitter.com/VWCamperSales/status/723100255999299584" xr:uid="{7C2C7CEF-F885-42C8-A42A-650733FAA9EB}"/>
    <hyperlink ref="F787" r:id="rId2413" xr:uid="{BC90B724-BE5A-4211-A2C0-B5C5AE71A274}"/>
    <hyperlink ref="O787" r:id="rId2414" display="https://pbs.twimg.com/profile_images/627949001179037696/skEBkS05_normal.jpg" xr:uid="{A9B1DDDB-92DE-4EE1-A102-E1245DB9C5E3}"/>
    <hyperlink ref="B788" r:id="rId2415" display="https://twitter.com/FiginiiAxel" xr:uid="{1D07074E-D827-4425-BEDE-ADC35CD7AB99}"/>
    <hyperlink ref="E788" r:id="rId2416" display="https://twitter.com/FiginiiAxel/status/723100519661707264" xr:uid="{BCC6214F-AAEA-4E8A-8E89-624C4CBBE0B7}"/>
    <hyperlink ref="O788" r:id="rId2417" display="https://pbs.twimg.com/profile_images/713855501222674432/O6YWG-cc_normal.jpg" xr:uid="{C7A9B8FD-43A0-4BC5-9265-302D255DCF0D}"/>
    <hyperlink ref="B789" r:id="rId2418" display="https://twitter.com/ThomasGleee" xr:uid="{E72F8ABD-6E44-4569-B7BE-07B4FEC7AE8D}"/>
    <hyperlink ref="E789" r:id="rId2419" display="https://twitter.com/ThomasGleee/status/723100522299969536" xr:uid="{30FC68E9-547E-467C-989D-676CE3312215}"/>
    <hyperlink ref="O789" r:id="rId2420" display="https://pbs.twimg.com/profile_images/626773115566206976/VmLXjrX1_normal.jpg" xr:uid="{1250F615-3F21-462F-8123-83AC9C18C085}"/>
    <hyperlink ref="B790" r:id="rId2421" display="https://twitter.com/willclarkeinoz" xr:uid="{11D4E935-DF7A-4449-9985-2DC69F71598B}"/>
    <hyperlink ref="E790" r:id="rId2422" display="https://twitter.com/willclarkeinoz/status/723100734758088704" xr:uid="{71E8EB00-0F49-46FB-814C-CEFFECC69CA7}"/>
    <hyperlink ref="O790" r:id="rId2423" display="https://pbs.twimg.com/profile_images/630988022146686977/5PtGw20c_normal.jpg" xr:uid="{D672F7F9-86ED-475A-8032-253DC10F482E}"/>
    <hyperlink ref="B791" r:id="rId2424" display="https://twitter.com/AlexisMautoneRC" xr:uid="{A3D960A8-6D78-4B61-833C-B76BED152CA8}"/>
    <hyperlink ref="E791" r:id="rId2425" display="https://twitter.com/AlexisMautoneRC/status/723100762532761600" xr:uid="{AC91B2B0-008D-47FF-AAFB-924553CC1FA1}"/>
    <hyperlink ref="O791" r:id="rId2426" display="https://pbs.twimg.com/profile_images/702550714980155396/zsFrS_dk_normal.jpg" xr:uid="{891CC344-75B2-4F50-A532-715800A2D27B}"/>
    <hyperlink ref="B792" r:id="rId2427" display="https://twitter.com/cikuwa1" xr:uid="{F0B18BFF-2576-4306-BD87-1D65C70772A2}"/>
    <hyperlink ref="E792" r:id="rId2428" display="https://twitter.com/cikuwa1/status/723101007517896704" xr:uid="{FA59CDBD-CBB7-4912-945A-B28BF154B512}"/>
    <hyperlink ref="O792" r:id="rId2429" display="https://pbs.twimg.com/profile_images/719482832477794305/ANIK9yYM_normal.jpg" xr:uid="{54C9773E-3DF5-4BCB-8B98-24705BFAB950}"/>
    <hyperlink ref="B793" r:id="rId2430" display="https://twitter.com/VWBeetleSales" xr:uid="{2C98803E-8717-4F73-9EB0-B436FFA16AA8}"/>
    <hyperlink ref="E793" r:id="rId2431" display="https://twitter.com/VWBeetleSales/status/723101504563879936" xr:uid="{12AFF705-6BAB-43CE-B751-51CCF4FD27CE}"/>
    <hyperlink ref="F793" r:id="rId2432" xr:uid="{A1389D7E-10D0-4E5D-BD70-B946131A388A}"/>
    <hyperlink ref="O793" r:id="rId2433" display="https://pbs.twimg.com/profile_images/703294545195307008/qeCvrX86_normal.jpg" xr:uid="{4E8D44FC-B68E-45CA-8A95-A5F17B44A3D4}"/>
    <hyperlink ref="B794" r:id="rId2434" display="https://twitter.com/MarkoJokela" xr:uid="{BD4FEECB-3179-434B-9327-35DF6151ECC6}"/>
    <hyperlink ref="E794" r:id="rId2435" display="https://twitter.com/MarkoJokela/status/723101733560422403" xr:uid="{8C04EDEE-6706-4EB8-B596-B9FD92649357}"/>
    <hyperlink ref="O794" r:id="rId2436" display="https://pbs.twimg.com/profile_images/432785601452982272/RWDE1b--_normal.jpeg" xr:uid="{804FB262-CD77-4AD7-A81F-37B6832748D7}"/>
    <hyperlink ref="B795" r:id="rId2437" display="https://twitter.com/aus_business" xr:uid="{EAD667CB-921C-4B40-ABF9-75C6C87CDF02}"/>
    <hyperlink ref="E795" r:id="rId2438" display="https://twitter.com/aus_business/status/723101812383842305" xr:uid="{A0BFA4F1-D03F-42A0-9E45-16E80F545E93}"/>
    <hyperlink ref="O795" r:id="rId2439" display="https://pbs.twimg.com/profile_images/2201085737/twitter_business_normal.png" xr:uid="{6E004F59-441B-4E4E-8E67-7B1A5D96AE36}"/>
    <hyperlink ref="B796" r:id="rId2440" display="https://twitter.com/beetlebug1938" xr:uid="{AB7A04DC-BBA9-46E5-BBF2-B3D7808EB552}"/>
    <hyperlink ref="E796" r:id="rId2441" display="https://twitter.com/beetlebug1938/status/723101872429666305" xr:uid="{934B5836-DDBB-46B9-9939-C804062A9FB8}"/>
    <hyperlink ref="O796" r:id="rId2442" display="https://pbs.twimg.com/profile_images/718820712757215233/LXXndPTS_normal.jpg" xr:uid="{F9DEED6F-C0F3-4A17-955D-54B08CC9B188}"/>
    <hyperlink ref="B797" r:id="rId2443" display="https://twitter.com/ciocirlans" xr:uid="{339199F5-571D-45A6-8024-A9A3A4B110D6}"/>
    <hyperlink ref="E797" r:id="rId2444" display="https://twitter.com/ciocirlans/status/723101903341666304" xr:uid="{3E3D5248-3D2D-44B1-A654-AC26E23BEE91}"/>
    <hyperlink ref="O797" r:id="rId2445" display="https://pbs.twimg.com/profile_images/477029152441110528/11WmXfGi_normal.jpeg" xr:uid="{43100F4B-DBE8-4950-8B3F-BB67D2EDE90B}"/>
    <hyperlink ref="B798" r:id="rId2446" display="https://twitter.com/beetlebug1938" xr:uid="{DB859854-A107-4EE5-AC17-AFFDE80671A6}"/>
    <hyperlink ref="E798" r:id="rId2447" display="https://twitter.com/beetlebug1938/status/723101903412965376" xr:uid="{706F9EFD-74C6-487E-BE01-FC0F10CE6245}"/>
    <hyperlink ref="O798" r:id="rId2448" display="https://pbs.twimg.com/profile_images/718820712757215233/LXXndPTS_normal.jpg" xr:uid="{93732276-477C-4660-B215-9612A2DE1E9A}"/>
    <hyperlink ref="B799" r:id="rId2449" display="https://twitter.com/beetlebug1938" xr:uid="{361FBE31-FF47-4EDB-A536-4EDAAC6B4A96}"/>
    <hyperlink ref="E799" r:id="rId2450" display="https://twitter.com/beetlebug1938/status/723101936040456192" xr:uid="{534BD574-FE19-4D32-9233-CD9F5BE72365}"/>
    <hyperlink ref="O799" r:id="rId2451" display="https://pbs.twimg.com/profile_images/718820712757215233/LXXndPTS_normal.jpg" xr:uid="{AB48D4F7-8855-48A4-BC25-4D86FCDFC98A}"/>
    <hyperlink ref="B800" r:id="rId2452" display="https://twitter.com/beetlebug1938" xr:uid="{861209F8-8303-4902-8DA5-3B35B01460AB}"/>
    <hyperlink ref="E800" r:id="rId2453" display="https://twitter.com/beetlebug1938/status/723101943862796288" xr:uid="{68D6ABF4-8917-497B-9578-516DC7A4A79D}"/>
    <hyperlink ref="O800" r:id="rId2454" display="https://pbs.twimg.com/profile_images/718820712757215233/LXXndPTS_normal.jpg" xr:uid="{413D90F1-1C1B-467B-86CD-D6DE05FA9333}"/>
    <hyperlink ref="B801" r:id="rId2455" display="https://twitter.com/anadin325" xr:uid="{1BA69D75-A23D-4E7E-AA7C-E136D9565DC3}"/>
    <hyperlink ref="E801" r:id="rId2456" display="https://twitter.com/anadin325/status/723102246905348097" xr:uid="{C24D4F7A-C52F-486A-9B08-B3BA3723E0A6}"/>
    <hyperlink ref="O801" r:id="rId2457" display="https://pbs.twimg.com/profile_images/710629331001851904/b3UNgZb6_normal.jpg" xr:uid="{28D834AD-7FEB-48F3-8A88-C53A9D210809}"/>
    <hyperlink ref="B802" r:id="rId2458" display="https://twitter.com/treibholzfilm" xr:uid="{90CB617A-4B94-48C4-A760-894302FE78C3}"/>
    <hyperlink ref="E802" r:id="rId2459" display="https://twitter.com/treibholzfilm/status/723102321635385345" xr:uid="{F43664C1-9866-4C64-B948-D52C680D2B4F}"/>
    <hyperlink ref="O802" r:id="rId2460" display="https://pbs.twimg.com/profile_images/644482436257185792/immN1agH_normal.jpg" xr:uid="{04623A40-4783-4BF6-BB8E-DBFD7B688864}"/>
    <hyperlink ref="P802" r:id="rId2461" location="50.17851,8.63508" display="http://ctrlq.org/maps/address/ - 50.17851,8.63508" xr:uid="{522A0DE9-AA2D-4C27-A90C-DCCED0840219}"/>
    <hyperlink ref="B803" r:id="rId2462" display="https://twitter.com/treibholzfilm" xr:uid="{55A642D1-31D9-4710-BBBF-9AA58718C530}"/>
    <hyperlink ref="E803" r:id="rId2463" display="https://twitter.com/treibholzfilm/status/723102453890191360" xr:uid="{D8520EAA-2900-41B2-8BA7-1F0CC93FCF8B}"/>
    <hyperlink ref="O803" r:id="rId2464" display="https://pbs.twimg.com/profile_images/644482436257185792/immN1agH_normal.jpg" xr:uid="{A9314C04-B4D1-47D9-8601-D1E07AC1F913}"/>
    <hyperlink ref="P803" r:id="rId2465" location="50.17851,8.63508" display="http://ctrlq.org/maps/address/ - 50.17851,8.63508" xr:uid="{06167820-EB6C-48FE-9DC8-C3585C98A660}"/>
    <hyperlink ref="B804" r:id="rId2466" display="https://twitter.com/MH_Customz" xr:uid="{E2A0E2C0-AB8B-4572-836B-46E2DBC0CD64}"/>
    <hyperlink ref="E804" r:id="rId2467" display="https://twitter.com/MH_Customz/status/723102543287599104" xr:uid="{286A3FE6-BEBE-4F0A-B1FB-7820A1C4D7EC}"/>
    <hyperlink ref="O804" r:id="rId2468" display="https://pbs.twimg.com/profile_images/698629997234417665/Asfz3TvT_normal.jpg" xr:uid="{A355057D-5F4E-4CDA-B1BD-C677F90D71E4}"/>
    <hyperlink ref="B805" r:id="rId2469" display="https://twitter.com/c_garrels" xr:uid="{3E9441A7-707F-4C2F-8F6E-5C5FC89056B8}"/>
    <hyperlink ref="E805" r:id="rId2470" display="https://twitter.com/c_garrels/status/723102599096856576" xr:uid="{B0AF0C7D-959C-47EE-8C4E-8CC04D53BACF}"/>
    <hyperlink ref="O805" r:id="rId2471" display="https://pbs.twimg.com/profile_images/669855217513578496/tHE9dIDO_normal.jpg" xr:uid="{FDA1EA38-2CAF-499E-ABEC-39893C15A3F9}"/>
    <hyperlink ref="B806" r:id="rId2472" display="https://twitter.com/treibholzfilm" xr:uid="{207ABA91-77D3-4387-889C-1B137976D0A3}"/>
    <hyperlink ref="E806" r:id="rId2473" display="https://twitter.com/treibholzfilm/status/723102599998746624" xr:uid="{0DC34556-691A-465E-A2CA-8C7EA541349B}"/>
    <hyperlink ref="O806" r:id="rId2474" display="https://pbs.twimg.com/profile_images/644482436257185792/immN1agH_normal.jpg" xr:uid="{81E8B867-9F6F-4FC2-9150-987CDC463FFB}"/>
    <hyperlink ref="P806" r:id="rId2475" location="50.17851,8.63508" display="http://ctrlq.org/maps/address/ - 50.17851,8.63508" xr:uid="{527C7F8D-2950-45EE-9AA9-400B2DA8CD67}"/>
    <hyperlink ref="B807" r:id="rId2476" display="https://twitter.com/Bristol_Eats" xr:uid="{8A97F896-0E6D-4002-8FB1-C0214BC2A2C2}"/>
    <hyperlink ref="E807" r:id="rId2477" display="https://twitter.com/Bristol_Eats/status/723102700204904448" xr:uid="{4FA36FAD-6E7F-4FFF-9511-9B14A4CB6D13}"/>
    <hyperlink ref="O807" r:id="rId2478" display="https://pbs.twimg.com/profile_images/524179364510834688/ypglTT-e_normal.png" xr:uid="{CC3579FD-3D12-4F6E-B9F8-3BB313F9E1AD}"/>
    <hyperlink ref="B808" r:id="rId2479" display="https://twitter.com/businessanglr" xr:uid="{5AD82B92-AE92-4254-AF58-D70842BA6402}"/>
    <hyperlink ref="E808" r:id="rId2480" display="https://twitter.com/businessanglr/status/723102737479700480" xr:uid="{56DD3C70-44D3-4FF4-B771-6CE8FACA947F}"/>
    <hyperlink ref="O808" r:id="rId2481" display="https://pbs.twimg.com/profile_images/677530351833608192/lMRcVg2M_normal.png" xr:uid="{4CE47296-8413-48E6-BA7F-8AABB0F0528D}"/>
    <hyperlink ref="B809" r:id="rId2482" display="https://twitter.com/treibholzfilm" xr:uid="{DFD75D2F-E043-46D9-B344-35A937641EC5}"/>
    <hyperlink ref="E809" r:id="rId2483" display="https://twitter.com/treibholzfilm/status/723102753598349312" xr:uid="{60415168-27AC-4CE1-854C-5253BC27FACB}"/>
    <hyperlink ref="O809" r:id="rId2484" display="https://pbs.twimg.com/profile_images/644482436257185792/immN1agH_normal.jpg" xr:uid="{5D84B797-E77D-40F6-ABAD-DEE096B5E2F4}"/>
    <hyperlink ref="P809" r:id="rId2485" location="50.17851,8.63508" display="http://ctrlq.org/maps/address/ - 50.17851,8.63508" xr:uid="{2A5490CD-6B96-4808-B9B0-88FBC3B5781C}"/>
    <hyperlink ref="B810" r:id="rId2486" display="https://twitter.com/Iteration23" xr:uid="{5F45CE0D-4B46-4A08-8D30-4C9DBCCAA086}"/>
    <hyperlink ref="E810" r:id="rId2487" display="https://twitter.com/Iteration23/status/723102893683822592" xr:uid="{74A69936-F4B1-4BD1-846F-172084E10C7B}"/>
    <hyperlink ref="O810" r:id="rId2488" display="https://pbs.twimg.com/profile_images/519414589843206144/kQ4kNi1f_normal.png" xr:uid="{EA188BE6-FD49-46B8-9CD8-9CBA3D8AC2E4}"/>
    <hyperlink ref="B811" r:id="rId2489" display="https://twitter.com/treibholzfilm" xr:uid="{3F1CDA43-04F9-4407-AB6A-B850984242AC}"/>
    <hyperlink ref="E811" r:id="rId2490" display="https://twitter.com/treibholzfilm/status/723102909899124736" xr:uid="{7EC8180E-FEA8-427C-BE21-E7CA60351817}"/>
    <hyperlink ref="O811" r:id="rId2491" display="https://pbs.twimg.com/profile_images/644482436257185792/immN1agH_normal.jpg" xr:uid="{1F91BC5C-D76D-4937-8101-E91530D497AD}"/>
    <hyperlink ref="P811" r:id="rId2492" location="50.17851,8.63508" display="http://ctrlq.org/maps/address/ - 50.17851,8.63508" xr:uid="{C36AE42D-1A06-4892-8816-934ACBDE8BAC}"/>
    <hyperlink ref="B812" r:id="rId2493" display="https://twitter.com/treibholzfilm" xr:uid="{2AF3C9C3-93D3-487E-89B1-FA39B5C28459}"/>
    <hyperlink ref="E812" r:id="rId2494" display="https://twitter.com/treibholzfilm/status/723103229333114880" xr:uid="{80DA12D6-6928-4383-B5CC-61B92CC16821}"/>
    <hyperlink ref="O812" r:id="rId2495" display="https://pbs.twimg.com/profile_images/644482436257185792/immN1agH_normal.jpg" xr:uid="{4FFF9CF0-987D-4CCB-95EA-84B7142143B9}"/>
    <hyperlink ref="P812" r:id="rId2496" location="50.17851,8.63508" display="http://ctrlq.org/maps/address/ - 50.17851,8.63508" xr:uid="{C10FAB35-6D5E-495F-A05E-E4F5B13F25DD}"/>
    <hyperlink ref="B813" r:id="rId2497" display="https://twitter.com/drubald" xr:uid="{C04C212C-CD72-431E-989D-AB38B6925D7D}"/>
    <hyperlink ref="E813" r:id="rId2498" display="https://twitter.com/drubald/status/723103268126220288" xr:uid="{DE952531-B58D-4040-961E-1DBBFCDBA92A}"/>
    <hyperlink ref="O813" r:id="rId2499" display="https://pbs.twimg.com/profile_images/632544277294379008/4oFaNwWv_normal.jpg" xr:uid="{6D8B6D9D-72E8-4D3E-AA25-D099D27B6D43}"/>
    <hyperlink ref="B814" r:id="rId2500" display="https://twitter.com/shergar777" xr:uid="{890BDDB0-2D11-4399-8DAC-52133AC9D06F}"/>
    <hyperlink ref="E814" r:id="rId2501" display="https://twitter.com/shergar777/status/723103316469755904" xr:uid="{8EC6F6CD-7CA6-4E36-A228-2D42EFD71391}"/>
    <hyperlink ref="O814" r:id="rId2502" display="https://pbs.twimg.com/profile_images/615837760490983424/48U9iiHd_normal.jpg" xr:uid="{B7EE1D9A-0D89-4E00-80F9-E1208D038006}"/>
    <hyperlink ref="B815" r:id="rId2503" display="https://twitter.com/tagesschau" xr:uid="{98D7C74F-3A9D-4AA9-9C45-B5919C26AF97}"/>
    <hyperlink ref="E815" r:id="rId2504" display="https://twitter.com/tagesschau/status/723103564420268032" xr:uid="{E6C4A41D-E48A-4B24-952B-E066C833DAB2}"/>
    <hyperlink ref="F815" r:id="rId2505" xr:uid="{796ECBB1-5EF4-415E-B1AF-8252CF6B745B}"/>
    <hyperlink ref="O815" r:id="rId2506" display="https://pbs.twimg.com/profile_images/531688614640365568/U84uXoIT_normal.png" xr:uid="{8264EC0F-258B-47DC-AE36-9F929B86674E}"/>
    <hyperlink ref="B816" r:id="rId2507" display="https://twitter.com/oh1984" xr:uid="{EB0E7673-69BD-4ED7-A2C4-53D83711C1D8}"/>
    <hyperlink ref="E816" r:id="rId2508" display="https://twitter.com/oh1984/status/723103626235920385" xr:uid="{9886D7FF-5653-4E1D-BC48-6A006C2E1FA5}"/>
    <hyperlink ref="O816" r:id="rId2509" display="https://pbs.twimg.com/profile_images/700972629222535168/o3dpe-y1_normal.png" xr:uid="{50461717-188A-4E5D-BB38-92CA5A29EC46}"/>
    <hyperlink ref="B817" r:id="rId2510" display="https://twitter.com/nickhughesfood" xr:uid="{8675D334-A97D-4501-A742-3B2F0C882201}"/>
    <hyperlink ref="E817" r:id="rId2511" display="https://twitter.com/nickhughesfood/status/723103766795431936" xr:uid="{73AB8996-B64D-4EE1-B5EE-17F6DE30CB0C}"/>
    <hyperlink ref="O817" r:id="rId2512" display="https://pbs.twimg.com/profile_images/557832372851200000/2Z4dzaBo_normal.jpeg" xr:uid="{0E3767A5-50D6-4532-945A-BC18D45D0B88}"/>
    <hyperlink ref="B818" r:id="rId2513" display="https://twitter.com/Dirty_Weekender" xr:uid="{B8FA4B2E-D64A-4BF0-B36B-DF39BD2C4DC1}"/>
    <hyperlink ref="E818" r:id="rId2514" display="https://twitter.com/Dirty_Weekender/status/723103767374127104" xr:uid="{FF7851A7-7A9C-444C-9614-D63460DC28FE}"/>
    <hyperlink ref="O818" r:id="rId2515" display="https://pbs.twimg.com/profile_images/707913515613429761/_gfquIcl_normal.jpg" xr:uid="{7FCAE8AF-30C4-43BC-8F94-17909B1B40A1}"/>
    <hyperlink ref="B819" r:id="rId2516" display="https://twitter.com/fruitloopsXO" xr:uid="{7BCA78A0-D3D1-4D84-8F43-06E2F9F7D6BE}"/>
    <hyperlink ref="E819" r:id="rId2517" display="https://twitter.com/fruitloopsXO/status/723103885875929088" xr:uid="{8C870CF4-F6EB-4383-8009-BD71919D17DD}"/>
    <hyperlink ref="O819" r:id="rId2518" display="https://pbs.twimg.com/profile_images/600712402657800195/trVzvctT_normal.jpg" xr:uid="{BFBCEE67-CDAD-4B95-A044-50A12C692C6E}"/>
    <hyperlink ref="B820" r:id="rId2519" display="https://twitter.com/FuscaWorld" xr:uid="{A48E304E-3BB6-404E-9997-F714A2CAF54E}"/>
    <hyperlink ref="E820" r:id="rId2520" display="https://twitter.com/FuscaWorld/status/723103946634596352" xr:uid="{D5F3B76A-D3A8-41D6-8387-63F4F790EE72}"/>
    <hyperlink ref="O820" r:id="rId2521" display="https://pbs.twimg.com/profile_images/705780107844067328/e7O4UBNb_normal.jpg" xr:uid="{8FDDF4AD-3345-4366-BA1D-BEFCF9E0D748}"/>
    <hyperlink ref="B821" r:id="rId2522" display="https://twitter.com/zeitonline_wir" xr:uid="{F746BE08-422B-4428-89E1-86A039A83BBD}"/>
    <hyperlink ref="E821" r:id="rId2523" display="https://twitter.com/zeitonline_wir/status/723104240588230656" xr:uid="{ADCF01B9-249D-44C8-905A-CF51C85E4CFB}"/>
    <hyperlink ref="O821" r:id="rId2524" display="https://pbs.twimg.com/profile_images/587542294913556480/VN9ydDdE_normal.jpg" xr:uid="{2B686798-34F9-46A1-B76F-EFA0434F5B87}"/>
    <hyperlink ref="B822" r:id="rId2525" display="https://twitter.com/AlGrossnickle" xr:uid="{3253FBB8-EFB3-4982-AEB2-9B4ABB658032}"/>
    <hyperlink ref="E822" r:id="rId2526" display="https://twitter.com/AlGrossnickle/status/723104414462963712" xr:uid="{4E1B1240-D04C-41B3-BE82-113229BDDB75}"/>
    <hyperlink ref="O822" r:id="rId2527" display="https://pbs.twimg.com/profile_images/3678787525/68f7625c0ddc0805d5f8b7ed0f9db98f_normal.jpeg" xr:uid="{C18F14E3-D090-4719-A4AF-B87DBAC5CA93}"/>
    <hyperlink ref="B823" r:id="rId2528" display="https://twitter.com/Markenartikler" xr:uid="{1DFDF93B-8274-4C80-AB7E-FA73507B9FCA}"/>
    <hyperlink ref="E823" r:id="rId2529" display="https://twitter.com/Markenartikler/status/723104509082230784" xr:uid="{D517A90A-F61F-4B69-964D-C56399C4B0F1}"/>
    <hyperlink ref="O823" r:id="rId2530" display="https://pbs.twimg.com/profile_images/684297499461423104/URLCw8tn_normal.jpg" xr:uid="{D504FD53-9C82-4A46-98C8-595DA5455A83}"/>
    <hyperlink ref="B824" r:id="rId2531" display="https://twitter.com/VWBeetleSales" xr:uid="{FE9D17E4-8D6B-4669-B32E-9C65AFE7CB92}"/>
    <hyperlink ref="E824" r:id="rId2532" display="https://twitter.com/VWBeetleSales/status/723104513133965312" xr:uid="{151D2B2E-B197-4ACC-8845-9D84FF8D7CB3}"/>
    <hyperlink ref="F824" r:id="rId2533" xr:uid="{280AADC7-9F3A-40BE-B4D3-867B2412CACA}"/>
    <hyperlink ref="O824" r:id="rId2534" display="https://pbs.twimg.com/profile_images/703294545195307008/qeCvrX86_normal.jpg" xr:uid="{CB64225A-82E9-4788-AA1A-F0B38E24C256}"/>
    <hyperlink ref="B825" r:id="rId2535" display="https://twitter.com/VWBeetleSales" xr:uid="{5920041A-45E6-4B0F-890D-8B4F4D6C79BF}"/>
    <hyperlink ref="E825" r:id="rId2536" display="https://twitter.com/VWBeetleSales/status/723104517005283328" xr:uid="{F19C7760-B6BE-4B35-B6A5-8D2496741F47}"/>
    <hyperlink ref="F825" r:id="rId2537" xr:uid="{8576BC05-0F86-40A3-A4E1-636F54D71F87}"/>
    <hyperlink ref="O825" r:id="rId2538" display="https://pbs.twimg.com/profile_images/703294545195307008/qeCvrX86_normal.jpg" xr:uid="{00D679F5-49BB-42A7-90C9-A077DA3E1A2F}"/>
    <hyperlink ref="B826" r:id="rId2539" display="https://twitter.com/LombardaMotori" xr:uid="{B527D29B-0A03-4242-987F-E9C6457A4DA3}"/>
    <hyperlink ref="E826" r:id="rId2540" display="https://twitter.com/LombardaMotori/status/723104526115442688" xr:uid="{DE6D87AB-FD35-4DDA-BBC2-22167B0CFD32}"/>
    <hyperlink ref="O826" r:id="rId2541" display="https://pbs.twimg.com/profile_images/558298291985608704/57n8APEK_normal.jpeg" xr:uid="{C83A6E08-2346-4FE1-959F-9FCBA5CCE41B}"/>
    <hyperlink ref="P826" r:id="rId2542" location="45.5801,9.2725" display="http://ctrlq.org/maps/address/ - 45.5801,9.2725" xr:uid="{6350B059-8E8D-452B-B69B-EBAB070E5501}"/>
    <hyperlink ref="B827" r:id="rId2543" display="https://twitter.com/vwpress_de" xr:uid="{9C89A204-DAB4-4A4A-A524-45434FCA3D61}"/>
    <hyperlink ref="E827" r:id="rId2544" display="https://twitter.com/vwpress_de/status/723104815820234752" xr:uid="{9BE5C381-F388-4650-89AD-F06B2AB3065C}"/>
    <hyperlink ref="O827" r:id="rId2545" display="https://pbs.twimg.com/profile_images/682117656502222848/Ge7YeAF3_normal.png" xr:uid="{DC67C8C1-DE57-4053-95B9-2E4FDAF7665B}"/>
    <hyperlink ref="B828" r:id="rId2546" display="https://twitter.com/renesari" xr:uid="{8204D2CE-C598-443E-8C93-55F196A3B5CC}"/>
    <hyperlink ref="E828" r:id="rId2547" display="https://twitter.com/renesari/status/723104899995574274" xr:uid="{12F5C959-57C9-4EA6-82ED-699A1F71E5C9}"/>
    <hyperlink ref="O828" r:id="rId2548" display="https://pbs.twimg.com/profile_images/441387643/Imageprofil_normal.jpg" xr:uid="{26496EE9-71E2-4CFF-8A1F-05FC8EEC2554}"/>
    <hyperlink ref="B829" r:id="rId2549" display="https://twitter.com/VCDeV" xr:uid="{E547BA34-F32E-465C-ACA4-98B269D2EA65}"/>
    <hyperlink ref="E829" r:id="rId2550" display="https://twitter.com/VCDeV/status/723105101586391040" xr:uid="{30794EB2-A966-4548-9016-A09FAB94F6B6}"/>
    <hyperlink ref="O829" r:id="rId2551" display="https://pbs.twimg.com/profile_images/448813982271291392/3ey9jQV0_normal.jpeg" xr:uid="{CC493DA1-0BE3-4E67-B3E6-E739E06CD6F8}"/>
    <hyperlink ref="B830" r:id="rId2552" display="https://twitter.com/kurmava" xr:uid="{F0C99071-F5A2-49D2-A6B5-BAEFF5533B36}"/>
    <hyperlink ref="E830" r:id="rId2553" display="https://twitter.com/kurmava/status/723105331497181184" xr:uid="{5A41776E-631C-4560-95A7-5562C6D21665}"/>
    <hyperlink ref="O830" r:id="rId2554" display="https://pbs.twimg.com/profile_images/2856462943/2f13ac323ea0958d3b575c5144487626_normal.jpeg" xr:uid="{50183AFB-2155-463C-900B-7DBFB9A904A7}"/>
    <hyperlink ref="B831" r:id="rId2555" display="https://twitter.com/AaronShamrock" xr:uid="{19CA6A43-D537-44A3-A160-67D11627CD88}"/>
    <hyperlink ref="E831" r:id="rId2556" display="https://twitter.com/AaronShamrock/status/723105338342273025" xr:uid="{D49FF2B6-8FF3-4324-8A93-9EF2F0B98715}"/>
    <hyperlink ref="O831" r:id="rId2557" display="https://pbs.twimg.com/profile_images/723119904141000704/OBGf_2Ph_normal.jpg" xr:uid="{A7F55225-B35A-47BD-9DF0-C1264006C614}"/>
    <hyperlink ref="B832" r:id="rId2558" display="https://twitter.com/HolloConsultant" xr:uid="{79799A62-72A7-453F-8294-D5931AEAA347}"/>
    <hyperlink ref="E832" r:id="rId2559" display="https://twitter.com/HolloConsultant/status/723105628672110592" xr:uid="{A379CDBA-64EE-471B-BE79-C40089248BFE}"/>
    <hyperlink ref="O832" r:id="rId2560" display="https://pbs.twimg.com/profile_images/650264967120318464/tVAdbNhW_normal.jpg" xr:uid="{72BA51CA-C006-4CAD-8BF1-052B39ED3D7D}"/>
    <hyperlink ref="B833" r:id="rId2561" display="https://twitter.com/VRwatchingU" xr:uid="{269E6ED0-3B98-4159-AD9E-0F17F4A6967F}"/>
    <hyperlink ref="E833" r:id="rId2562" display="https://twitter.com/VRwatchingU/status/723105630114836480" xr:uid="{ACA8E299-830D-4C02-A507-3729EA2A1B4B}"/>
    <hyperlink ref="O833" r:id="rId2563" display="https://pbs.twimg.com/profile_images/1616567344/VRwatch2_normal.jpg" xr:uid="{4FBE788B-8ACA-4B3F-A9EF-C995ABB207FF}"/>
    <hyperlink ref="B834" r:id="rId2564" display="https://twitter.com/vwpress_PL" xr:uid="{6E6F02D6-190F-4785-A50D-C952C5D22817}"/>
    <hyperlink ref="E834" r:id="rId2565" display="https://twitter.com/vwpress_PL/status/723105656744505345" xr:uid="{76FFE39B-77D6-4C47-A9C8-9189C4C85F28}"/>
    <hyperlink ref="O834" r:id="rId2566" display="https://pbs.twimg.com/profile_images/578161844965154816/nanRJ9Ax_normal.jpeg" xr:uid="{391C0F56-EAB5-4FA8-8346-B04385A76597}"/>
    <hyperlink ref="B835" r:id="rId2567" display="https://twitter.com/snn_aslan" xr:uid="{73EFB1EB-6BBB-4CF6-80EB-152DA55FFCED}"/>
    <hyperlink ref="E835" r:id="rId2568" display="https://twitter.com/snn_aslan/status/723105843747651584" xr:uid="{405926B4-F99D-4878-9A6E-F196E5D1AC6C}"/>
    <hyperlink ref="O835" r:id="rId2569" display="https://pbs.twimg.com/profile_images/442904929033003008/3NrMgCyx_normal.jpeg" xr:uid="{699AE0C8-AC3C-4A01-A1A9-65ABDB342BB1}"/>
    <hyperlink ref="B836" r:id="rId2570" display="https://twitter.com/FrVision" xr:uid="{7D314A8F-AF26-46C3-9187-11AF7FE0B416}"/>
    <hyperlink ref="E836" r:id="rId2571" display="https://twitter.com/FrVision/status/723105881034903552" xr:uid="{1C6B3E58-7409-46A7-B99D-2E53A04F3DFB}"/>
    <hyperlink ref="O836" r:id="rId2572" display="https://pbs.twimg.com/profile_images/655324200245272576/n6_8jlJ2_normal.jpg" xr:uid="{66D7E6F1-C622-4329-A72B-F57AC03380C4}"/>
    <hyperlink ref="B837" r:id="rId2573" display="https://twitter.com/EvvoNewBeetles" xr:uid="{8E013079-D848-43EF-B99F-C6C23ADD1B3A}"/>
    <hyperlink ref="E837" r:id="rId2574" display="https://twitter.com/EvvoNewBeetles/status/723105976249929728" xr:uid="{F21CAE1F-A770-43F3-88D5-9DD3B704811A}"/>
    <hyperlink ref="O837" r:id="rId2575" display="https://pbs.twimg.com/profile_images/633346486823190529/bN4Fxs99_normal.jpg" xr:uid="{552A4A7B-99F5-42F6-8402-613BD7E15476}"/>
    <hyperlink ref="B838" r:id="rId2576" display="https://twitter.com/instagramcc" xr:uid="{4CA7E238-A1F2-4C71-BDD1-4ED493E17968}"/>
    <hyperlink ref="E838" r:id="rId2577" display="https://twitter.com/instagramcc/status/723106035238592512" xr:uid="{CAF35D4C-AA94-4E06-971B-7C5B136ED9C8}"/>
    <hyperlink ref="O838" r:id="rId2578" display="https://pbs.twimg.com/profile_images/540938088189411328/gw2_sYLD_normal.jpeg" xr:uid="{FAA73471-96E5-4025-B32D-4A7C187B4A8E}"/>
    <hyperlink ref="B839" r:id="rId2579" display="https://twitter.com/wehrs18" xr:uid="{116C98D7-2E14-42D4-909B-66B48CC87973}"/>
    <hyperlink ref="E839" r:id="rId2580" display="https://twitter.com/wehrs18/status/723106862896394240" xr:uid="{80B5F9E5-CE6B-4406-8B70-EDE58E1353E1}"/>
    <hyperlink ref="O839" r:id="rId2581" display="https://pbs.twimg.com/profile_images/687314255507513346/a83L5Opq_normal.jpg" xr:uid="{7E15B506-DB8F-4A65-865A-B9102F2B9418}"/>
    <hyperlink ref="B840" r:id="rId2582" display="https://twitter.com/ArcticPreserve" xr:uid="{C52BBB6E-CBD0-4D77-9B1D-E7168DB9CF23}"/>
    <hyperlink ref="E840" r:id="rId2583" display="https://twitter.com/ArcticPreserve/status/723107059626074112" xr:uid="{B8826F6E-A5DA-4CFF-A55D-20F1CD99F863}"/>
    <hyperlink ref="O840" r:id="rId2584" display="https://pbs.twimg.com/profile_images/3398986760/169ef7953adf953270106ccfa5b90065_normal.jpeg" xr:uid="{3EED85AA-0751-4DA6-9E6B-A48A7D266687}"/>
    <hyperlink ref="B841" r:id="rId2585" display="https://twitter.com/vzbv" xr:uid="{C1D50647-1181-4DA6-8F42-72B556BE1FFA}"/>
    <hyperlink ref="E841" r:id="rId2586" display="https://twitter.com/vzbv/status/723107329579737088" xr:uid="{E1A51B11-E3C1-4D3A-8954-E976CEC38E33}"/>
    <hyperlink ref="O841" r:id="rId2587" display="https://pbs.twimg.com/profile_images/617979796744568832/YHw6Izem_normal.jpg" xr:uid="{F2F81D66-CFE9-4A7A-8223-20D03BEA5E57}"/>
    <hyperlink ref="B842" r:id="rId2588" display="https://twitter.com/kekkocanu10" xr:uid="{515B4801-0524-4ACF-B614-1F65A9DB9727}"/>
    <hyperlink ref="E842" r:id="rId2589" display="https://twitter.com/kekkocanu10/status/723107403718336512" xr:uid="{9678D40A-4FDF-4F24-AC14-179BB48A5A5D}"/>
    <hyperlink ref="O842" r:id="rId2590" display="https://pbs.twimg.com/profile_images/665582079892131841/703-QxKz_normal.jpg" xr:uid="{2D606E42-8104-42D3-A6D0-894C428C213A}"/>
    <hyperlink ref="B843" r:id="rId2591" display="https://twitter.com/BioFares" xr:uid="{FCF0A739-207E-47C3-992E-6E2D3C181447}"/>
    <hyperlink ref="E843" r:id="rId2592" display="https://twitter.com/BioFares/status/723107739782643712" xr:uid="{8749B2A6-87F3-4FF3-A55A-C22CF13747B1}"/>
    <hyperlink ref="O843" r:id="rId2593" display="https://pbs.twimg.com/profile_images/459716655581364224/L2RGYkk5_normal.jpeg" xr:uid="{48BFBA6F-498C-406B-8FAE-F9E50EDDAEDC}"/>
    <hyperlink ref="B844" r:id="rId2594" display="https://twitter.com/worstwriter" xr:uid="{3AA3A0E3-B249-4DA7-A137-95BEC2485A68}"/>
    <hyperlink ref="E844" r:id="rId2595" display="https://twitter.com/worstwriter/status/723107757507809281" xr:uid="{F038695E-8346-4970-99A7-7BFAB167225D}"/>
    <hyperlink ref="O844" r:id="rId2596" display="https://pbs.twimg.com/profile_images/701151335853506560/mD3xM1Vm_normal.png" xr:uid="{114AAAEE-8AAE-4D68-BB17-566AE1627385}"/>
    <hyperlink ref="B845" r:id="rId2597" display="https://twitter.com/SheBuysCars" xr:uid="{404015DA-04A7-494E-8228-291594FD4C9F}"/>
    <hyperlink ref="E845" r:id="rId2598" display="https://twitter.com/SheBuysCars/status/723108411370426368" xr:uid="{4258C55C-2405-485A-8CD5-6F9D394B2D10}"/>
    <hyperlink ref="O845" r:id="rId2599" display="https://pbs.twimg.com/profile_images/2407676510/apohx30f0kmstf96p08a_normal.jpeg" xr:uid="{21F509F4-C9B1-477A-81FA-D20C6C36A3B1}"/>
    <hyperlink ref="B846" r:id="rId2600" display="https://twitter.com/m_jaremczuk" xr:uid="{C9E389A9-B74D-45C0-BD27-3C5B8ABA108C}"/>
    <hyperlink ref="E846" r:id="rId2601" display="https://twitter.com/m_jaremczuk/status/723108628669018112" xr:uid="{6470C501-FAEA-42C9-AF87-ED0E1529799A}"/>
    <hyperlink ref="O846" r:id="rId2602" display="https://pbs.twimg.com/profile_images/658039201645109252/pYRgJI8U_normal.jpg" xr:uid="{B108C2FA-D41C-4619-B8D1-971F7790205C}"/>
    <hyperlink ref="B847" r:id="rId2603" display="https://twitter.com/VWCamperSales" xr:uid="{B9DCB143-B3F6-4C15-BAA7-29A45D34116B}"/>
    <hyperlink ref="E847" r:id="rId2604" display="https://twitter.com/VWCamperSales/status/723108792695590912" xr:uid="{8E7799EC-9209-4B08-A877-88546A43E6F0}"/>
    <hyperlink ref="F847" r:id="rId2605" xr:uid="{B510F1E5-0EA5-4F5E-9B73-2799B6EF6A4D}"/>
    <hyperlink ref="O847" r:id="rId2606" display="https://pbs.twimg.com/profile_images/627949001179037696/skEBkS05_normal.jpg" xr:uid="{C44C40D6-6756-46C3-A327-B32595912C5A}"/>
    <hyperlink ref="B848" r:id="rId2607" display="https://twitter.com/EvvoNewBeetles" xr:uid="{E4F591E3-5A09-4166-B001-44849E348853}"/>
    <hyperlink ref="E848" r:id="rId2608" display="https://twitter.com/EvvoNewBeetles/status/723109010786926593" xr:uid="{CF2394A1-FD8F-4C98-B264-EDA6A97E2528}"/>
    <hyperlink ref="O848" r:id="rId2609" display="https://pbs.twimg.com/profile_images/633346486823190529/bN4Fxs99_normal.jpg" xr:uid="{48C22C61-85BA-4965-8637-95BB1F3098A9}"/>
    <hyperlink ref="B849" r:id="rId2610" display="https://twitter.com/Klaus_Mueller" xr:uid="{FCB5E86B-CBAC-4914-A4F0-B9C196D7A766}"/>
    <hyperlink ref="E849" r:id="rId2611" display="https://twitter.com/Klaus_Mueller/status/723109285807403008" xr:uid="{6317E631-F04E-4C05-A18B-94F0476871E8}"/>
    <hyperlink ref="O849" r:id="rId2612" display="https://pbs.twimg.com/profile_images/461785939711258624/FzsPRmqR_normal.jpeg" xr:uid="{97D6FCF9-C425-4140-A46A-D7E5CA16E421}"/>
    <hyperlink ref="B850" r:id="rId2613" display="https://twitter.com/EvvoNewBeetles" xr:uid="{9D47B581-0034-4C7D-BCC5-383D26437F8C}"/>
    <hyperlink ref="E850" r:id="rId2614" display="https://twitter.com/EvvoNewBeetles/status/723109389436108800" xr:uid="{35C066EA-9A15-4D0A-8546-4E136658AFBC}"/>
    <hyperlink ref="O850" r:id="rId2615" display="https://pbs.twimg.com/profile_images/633346486823190529/bN4Fxs99_normal.jpg" xr:uid="{FAE1317B-DD1A-4604-A6FD-BC615DFD1583}"/>
    <hyperlink ref="B851" r:id="rId2616" display="https://twitter.com/EvvoNewBeetles" xr:uid="{B86F64A5-E7FE-4374-8306-946DA90D62E6}"/>
    <hyperlink ref="E851" r:id="rId2617" display="https://twitter.com/EvvoNewBeetles/status/723109486861402112" xr:uid="{EA5471B8-90D2-469C-87A7-4D3D24808BCD}"/>
    <hyperlink ref="O851" r:id="rId2618" display="https://pbs.twimg.com/profile_images/633346486823190529/bN4Fxs99_normal.jpg" xr:uid="{70602859-A70C-4559-AB3F-7933D74CA3C1}"/>
    <hyperlink ref="B852" r:id="rId2619" display="https://twitter.com/TLA_Chloe" xr:uid="{489796D5-5FE6-43D4-90B0-4567634545CB}"/>
    <hyperlink ref="E852" r:id="rId2620" display="https://twitter.com/TLA_Chloe/status/723109603802648577" xr:uid="{2DEDA6F0-6BA1-4B97-BC4B-264A87AC9BD4}"/>
    <hyperlink ref="O852" r:id="rId2621" display="https://pbs.twimg.com/profile_images/711506811044630528/iPmEbHu-_normal.jpg" xr:uid="{87677305-8A53-4485-93D1-9804AFDF202D}"/>
    <hyperlink ref="B853" r:id="rId2622" display="https://twitter.com/lovemyclassic" xr:uid="{A2191112-B331-4A96-BC41-5266895D1736}"/>
    <hyperlink ref="E853" r:id="rId2623" display="https://twitter.com/lovemyclassic/status/723109683884527616" xr:uid="{F4264397-64D2-4CFA-9617-65216825E38B}"/>
    <hyperlink ref="O853" r:id="rId2624" display="https://pbs.twimg.com/profile_images/491512724430389248/olmYLPA8_normal.png" xr:uid="{BCF39667-55B2-41D2-9241-73000C1F4D1D}"/>
    <hyperlink ref="B854" r:id="rId2625" display="https://twitter.com/Nick_Buckland" xr:uid="{60C4DBAA-276A-490A-96EA-D5548D7D41DF}"/>
    <hyperlink ref="E854" r:id="rId2626" display="https://twitter.com/Nick_Buckland/status/723110365144465408" xr:uid="{B916ACF4-7950-4A48-A240-4D8BC20AE524}"/>
    <hyperlink ref="O854" r:id="rId2627" display="https://pbs.twimg.com/profile_images/718944783939579904/yhlqqgZE_normal.jpg" xr:uid="{D1FDDD20-5627-4AA7-8F35-25770A0A3EAA}"/>
    <hyperlink ref="B855" r:id="rId2628" display="https://twitter.com/modautomotive" xr:uid="{098DC619-0CA3-478C-9E5C-68D37B1708E4}"/>
    <hyperlink ref="E855" r:id="rId2629" display="https://twitter.com/modautomotive/status/723110490407342080" xr:uid="{880FD240-D273-40BB-9469-341877866B6F}"/>
    <hyperlink ref="O855" r:id="rId2630" display="https://pbs.twimg.com/profile_images/690858619840155649/8GrzU3w1_normal.jpg" xr:uid="{1375E420-2451-4B92-BABC-7059B28215F8}"/>
    <hyperlink ref="B856" r:id="rId2631" display="https://twitter.com/KNordlichtW" xr:uid="{1267253F-C575-4A04-A9AA-7C46BFA40DD1}"/>
    <hyperlink ref="E856" r:id="rId2632" display="https://twitter.com/KNordlichtW/status/723110555632848896" xr:uid="{919B6740-272B-4D50-BBF6-E8EFCA3FB1A0}"/>
    <hyperlink ref="O856" r:id="rId2633" display="https://pbs.twimg.com/profile_images/712334466585333760/rN4Fnyef_normal.jpg" xr:uid="{111B353B-EB32-435A-8464-623948DD865C}"/>
    <hyperlink ref="B857" r:id="rId2634" display="https://twitter.com/SPIEGELONLINE" xr:uid="{05922511-50E7-4707-9119-E2AD3BFC3414}"/>
    <hyperlink ref="E857" r:id="rId2635" display="https://twitter.com/SPIEGELONLINE/status/723111051999354882" xr:uid="{1364003D-F986-4A6F-AE05-0756C0BE3C3A}"/>
    <hyperlink ref="O857" r:id="rId2636" display="https://pbs.twimg.com/profile_images/1719664041/tw_spon_normal.jpg" xr:uid="{48239A7F-1F52-49E4-8EE3-EE6F2110671F}"/>
    <hyperlink ref="B858" r:id="rId2637" display="https://twitter.com/StefkaWiese" xr:uid="{BA7D38F0-5C8A-4C36-BA4D-41527AB0A98B}"/>
    <hyperlink ref="E858" r:id="rId2638" display="https://twitter.com/StefkaWiese/status/723111411677712384" xr:uid="{71ADB1BA-7C06-4E6E-A129-231A61DFB40F}"/>
    <hyperlink ref="O858" r:id="rId2639" display="https://pbs.twimg.com/profile_images/580855319364018176/SQZHsdYj_normal.jpg" xr:uid="{3D906AB4-D0EB-45AA-B011-7A1C053748B3}"/>
    <hyperlink ref="B859" r:id="rId2640" display="https://twitter.com/ADAC" xr:uid="{434B91DD-D8AD-4FBC-A716-157702879C03}"/>
    <hyperlink ref="E859" r:id="rId2641" display="https://twitter.com/ADAC/status/723111722194706432" xr:uid="{3A28A4C8-6AE3-40DD-B362-C1628B532DD2}"/>
    <hyperlink ref="O859" r:id="rId2642" display="https://pbs.twimg.com/profile_images/1064577918/Logo_340_tcm11-225485_normal.jpg" xr:uid="{6FB05E39-A620-4352-B50E-331F00917F4B}"/>
    <hyperlink ref="B860" r:id="rId2643" display="https://twitter.com/Prinze484" xr:uid="{04ABDC07-C8CE-43FF-B96D-03DAAE573E68}"/>
    <hyperlink ref="E860" r:id="rId2644" display="https://twitter.com/Prinze484/status/723111871566348288" xr:uid="{07167EA9-1C48-45EB-BECB-622915A6EF0B}"/>
    <hyperlink ref="O860" r:id="rId2645" display="https://pbs.twimg.com/profile_images/515113940322250752/9fqy5PIg_normal.jpeg" xr:uid="{502BC986-FEE8-413F-9ECB-CE0F5EBA53CE}"/>
    <hyperlink ref="B861" r:id="rId2646" display="https://twitter.com/NetzwerkggS21" xr:uid="{3D156009-0FE6-44BE-965A-C53675F11736}"/>
    <hyperlink ref="E861" r:id="rId2647" display="https://twitter.com/NetzwerkggS21/status/723111884786814977" xr:uid="{36597E71-1D20-4F18-B09B-9C01E026EAFA}"/>
    <hyperlink ref="M861" r:id="rId2648" xr:uid="{4E4E8C27-61A8-45D3-9BB5-9E00C25924DC}"/>
    <hyperlink ref="O861" r:id="rId2649" display="https://pbs.twimg.com/profile_images/378800000528765970/3ab9f2a00010e9cac08d5ca1638926e9_normal.png" xr:uid="{87F694CE-7E95-45DE-BDD8-B2C47B31708C}"/>
    <hyperlink ref="B862" r:id="rId2650" display="https://twitter.com/RituKarjalainen" xr:uid="{B1CCAD41-04A5-49BA-BC7D-2E2143537CCB}"/>
    <hyperlink ref="E862" r:id="rId2651" display="https://twitter.com/RituKarjalainen/status/723111913907957761" xr:uid="{DD5FCD49-B742-44C5-A585-1BF1ECD0D6F0}"/>
    <hyperlink ref="O862" r:id="rId2652" display="https://pbs.twimg.com/profile_images/481810327156191233/aUNwJkiV_normal.jpeg" xr:uid="{11FE5142-1D37-4D70-B4DE-8B4326C61122}"/>
    <hyperlink ref="B863" r:id="rId2653" display="https://twitter.com/Insta_VWT" xr:uid="{4E02DF47-5A67-473C-89B7-306D940BF26D}"/>
    <hyperlink ref="E863" r:id="rId2654" display="https://twitter.com/Insta_VWT/status/723111983734763520" xr:uid="{C871B46E-1A87-4CC8-BA8B-EF10C419EB6B}"/>
    <hyperlink ref="O863" r:id="rId2655" display="https://pbs.twimg.com/profile_images/424893967197433858/iQ86NktX_normal.jpeg" xr:uid="{0A700B59-920C-42C2-B7CC-9E7388A0FED9}"/>
    <hyperlink ref="B864" r:id="rId2656" display="https://twitter.com/yukoh27472" xr:uid="{AE1709FE-8D16-40C6-925F-3A28F0AE3182}"/>
    <hyperlink ref="E864" r:id="rId2657" display="https://twitter.com/yukoh27472/status/723112042974978051" xr:uid="{AA132257-1AD3-4ECE-87C4-01A499B46AAE}"/>
    <hyperlink ref="O864" r:id="rId2658" display="https://pbs.twimg.com/profile_images/513583037305479168/v4d-8gC6_normal.jpeg" xr:uid="{21BBC419-A992-45BB-8AE2-3CBAE4EC9550}"/>
    <hyperlink ref="B865" r:id="rId2659" display="https://twitter.com/AutoConception" xr:uid="{0D9A2DDD-2789-40BA-9BEF-35D0BBF5FDE4}"/>
    <hyperlink ref="C865" r:id="rId2660" xr:uid="{C6EA9BC3-2AFC-495D-B45D-5B0DB02E48D9}"/>
    <hyperlink ref="E865" r:id="rId2661" display="https://twitter.com/AutoConception/status/723112106615181313" xr:uid="{AA70A51F-4D4F-4AB5-BB83-5728A3E1D5AB}"/>
    <hyperlink ref="O865" r:id="rId2662" display="https://pbs.twimg.com/profile_images/1629189820/YouTubeIcon_normal.png" xr:uid="{ACB611A8-E77C-4ABB-9E8C-998BF32D328C}"/>
    <hyperlink ref="B866" r:id="rId2663" display="https://twitter.com/sleepinggiantpa" xr:uid="{3943878E-7561-496D-AD70-83A157805BB4}"/>
    <hyperlink ref="E866" r:id="rId2664" display="https://twitter.com/sleepinggiantpa/status/723112455744970752" xr:uid="{1577931D-E6B5-400F-871F-E28045CADD09}"/>
    <hyperlink ref="O866" r:id="rId2665" display="https://pbs.twimg.com/profile_images/499353630844411904/wvzkvaU5_normal.jpeg" xr:uid="{B2EB1389-693C-4B79-939A-6F6BBBB18352}"/>
    <hyperlink ref="B867" r:id="rId2666" display="https://twitter.com/VeeDubMk1_" xr:uid="{CCBC6609-A38B-428B-9EDE-1A085ABF8D93}"/>
    <hyperlink ref="E867" r:id="rId2667" display="https://twitter.com/VeeDubMk1_/status/723112517682225152" xr:uid="{4B8CD0A0-8049-4FCE-97FE-BFE5041D09E9}"/>
    <hyperlink ref="O867" r:id="rId2668" display="https://pbs.twimg.com/profile_images/672878354127839232/M7OYc-zx_normal.jpg" xr:uid="{F3D27E99-F5F5-40AF-A441-6C0E8D8592E1}"/>
    <hyperlink ref="B868" r:id="rId2669" display="https://twitter.com/tejaschafekar" xr:uid="{B42BDAE7-1D66-4C8E-88C2-FBD8A1AE5B62}"/>
    <hyperlink ref="E868" r:id="rId2670" display="https://twitter.com/tejaschafekar/status/723112538448125952" xr:uid="{AEA93E84-5031-4458-AC0E-DF665E14EFB6}"/>
    <hyperlink ref="O868" r:id="rId2671" display="https://pbs.twimg.com/profile_images/3696725466/16c199ed66ba708d4680c34e9e960d1d_normal.png" xr:uid="{239A7F03-F7E8-4DED-8F4A-170138FCC397}"/>
    <hyperlink ref="B869" r:id="rId2672" display="https://twitter.com/VeeDubMk1_" xr:uid="{724DBAB4-199E-4633-9C38-940A0E77F807}"/>
    <hyperlink ref="E869" r:id="rId2673" display="https://twitter.com/VeeDubMk1_/status/723112550716583936" xr:uid="{B87976FB-DF88-4CFC-A763-327D0014254D}"/>
    <hyperlink ref="O869" r:id="rId2674" display="https://pbs.twimg.com/profile_images/672878354127839232/M7OYc-zx_normal.jpg" xr:uid="{A65F0744-385E-4186-8161-6055A1CF228D}"/>
    <hyperlink ref="B870" r:id="rId2675" display="https://twitter.com/Deejay_1KK" xr:uid="{6C698507-D3ED-497B-9BC2-A8D43F4C131F}"/>
    <hyperlink ref="E870" r:id="rId2676" display="https://twitter.com/Deejay_1KK/status/723112854166102016" xr:uid="{E18753EA-3863-4E16-9437-E667F5CD6AEE}"/>
    <hyperlink ref="O870" r:id="rId2677" display="https://pbs.twimg.com/profile_images/688805610838687744/Stm6eG31_normal.jpg" xr:uid="{78D9C46C-C7D3-42C8-85EF-869E4B7F92E7}"/>
    <hyperlink ref="P870" r:id="rId2678" location="-1.21754389,36.87976127" display="http://ctrlq.org/maps/address/ - -1.21754389,36.87976127" xr:uid="{8E27A146-F785-4076-9F00-0424869D23D9}"/>
    <hyperlink ref="B871" r:id="rId2679" display="https://twitter.com/Tkarera" xr:uid="{6A8D0408-2EB7-496A-A888-53DA5681A30E}"/>
    <hyperlink ref="E871" r:id="rId2680" display="https://twitter.com/Tkarera/status/723112903751028736" xr:uid="{CECDE3FA-C69F-400D-8324-201071444086}"/>
    <hyperlink ref="O871" r:id="rId2681" display="https://pbs.twimg.com/profile_images/2678224876/e0d50fddebcbb0ae56734edce9d553a0_normal.jpeg" xr:uid="{145F6353-A2B4-4646-A753-2FCDF70F3FC3}"/>
    <hyperlink ref="B872" r:id="rId2682" display="https://twitter.com/franka_kuehn" xr:uid="{1298CE94-32EE-4BB9-9C6C-F27023D90D56}"/>
    <hyperlink ref="E872" r:id="rId2683" display="https://twitter.com/franka_kuehn/status/723112962299334656" xr:uid="{15EEB7C0-8340-420F-83A7-FBD4462EA2EA}"/>
    <hyperlink ref="O872" r:id="rId2684" display="https://pbs.twimg.com/profile_images/530281935289851905/gYVTeJZK_normal.jpeg" xr:uid="{A23A9C7E-5E5F-4369-A383-934A3A55450C}"/>
    <hyperlink ref="B873" r:id="rId2685" display="https://twitter.com/RebSamona" xr:uid="{6DADF891-E261-4BA9-BA01-93DC4065FD14}"/>
    <hyperlink ref="E873" r:id="rId2686" display="https://twitter.com/RebSamona/status/723113233922428929" xr:uid="{29731B5B-343A-4719-8C67-A2D69C6AA1BD}"/>
    <hyperlink ref="O873" r:id="rId2687" display="https://pbs.twimg.com/profile_images/678249126216232960/ilIUMSIf_normal.jpg" xr:uid="{02FFA8B3-C155-42D0-A135-33D588136F35}"/>
    <hyperlink ref="B874" r:id="rId2688" display="https://twitter.com/matzke40" xr:uid="{33388778-FA91-4879-8B10-17D511E7F464}"/>
    <hyperlink ref="E874" r:id="rId2689" display="https://twitter.com/matzke40/status/723113605659529216" xr:uid="{940D9D15-CB9F-43E2-97D3-2DF3260E9175}"/>
    <hyperlink ref="O874" r:id="rId2690" display="https://pbs.twimg.com/profile_images/679947479798968320/XbB1jetP_normal.jpg" xr:uid="{843ADD2D-A229-486D-8E78-3A473EBE08C0}"/>
    <hyperlink ref="B875" r:id="rId2691" display="https://twitter.com/StefkaWiese" xr:uid="{5D7393B7-9EC0-4049-B55A-7CAF5971EF15}"/>
    <hyperlink ref="E875" r:id="rId2692" display="https://twitter.com/StefkaWiese/status/723113765013606402" xr:uid="{09D6F1DF-19C4-40BD-BE67-B2DBE5F9549D}"/>
    <hyperlink ref="O875" r:id="rId2693" display="https://pbs.twimg.com/profile_images/580855319364018176/SQZHsdYj_normal.jpg" xr:uid="{BCF04BB0-3082-49DD-81F1-DDD022424A77}"/>
    <hyperlink ref="B876" r:id="rId2694" display="https://twitter.com/therealautoblog" xr:uid="{DF337309-B805-47C8-9C20-AC8A56EE0DFE}"/>
    <hyperlink ref="C876" r:id="rId2695" xr:uid="{21F1A638-9ED6-4BB2-99AB-6B46AA6B268E}"/>
    <hyperlink ref="E876" r:id="rId2696" display="https://twitter.com/therealautoblog/status/723113816813408256" xr:uid="{C58D0333-7413-4D61-BBFD-1DEB95D33FDC}"/>
    <hyperlink ref="O876" r:id="rId2697" display="https://pbs.twimg.com/profile_images/534452284294299648/J4ly-IrA_normal.png" xr:uid="{122D4B76-844E-4405-8EB9-B33F5F671436}"/>
    <hyperlink ref="B877" r:id="rId2698" display="https://twitter.com/5BIEG_PL" xr:uid="{ED6B19B8-F534-4E75-8C7C-016D83881F74}"/>
    <hyperlink ref="C877" r:id="rId2699" xr:uid="{BF56E1D7-003F-4540-B8C2-7C76DA019636}"/>
    <hyperlink ref="E877" r:id="rId2700" display="https://twitter.com/5BIEG_PL/status/723114029904842753" xr:uid="{A90D6FB2-11BF-4814-9D6D-FA4C95DD662A}"/>
    <hyperlink ref="O877" r:id="rId2701" display="https://pbs.twimg.com/profile_images/693146533311684608/uuwVBrx__normal.png" xr:uid="{61EEE12B-0D15-4988-A54B-2831747BEB70}"/>
    <hyperlink ref="B878" r:id="rId2702" display="https://twitter.com/marinasegura23" xr:uid="{EC6D9F6D-3C10-4409-ADDC-781EC8F67E71}"/>
    <hyperlink ref="E878" r:id="rId2703" display="https://twitter.com/marinasegura23/status/723114371350589440" xr:uid="{069EA7C3-9DE4-471A-B625-C01BC8127C20}"/>
    <hyperlink ref="O878" r:id="rId2704" display="https://pbs.twimg.com/profile_images/721790264902356993/ATLbgX15_normal.jpg" xr:uid="{668354DE-1515-49AA-899F-874F29BDA176}"/>
    <hyperlink ref="B879" r:id="rId2705" display="https://twitter.com/PaulMillerAG" xr:uid="{35FBC9F3-FDB5-4A39-A465-2F85EA904F82}"/>
    <hyperlink ref="E879" r:id="rId2706" display="https://twitter.com/PaulMillerAG/status/723114372353134592" xr:uid="{F08C763A-4F22-4B28-967C-1FEE57C95672}"/>
    <hyperlink ref="O879" r:id="rId2707" display="https://pbs.twimg.com/profile_images/441617884725276672/SnZtRMvP_normal.jpeg" xr:uid="{512E2477-0C0F-4E77-9D45-6EDCE3B98846}"/>
    <hyperlink ref="B880" r:id="rId2708" display="https://twitter.com/GTIcrazy" xr:uid="{5E8BD20A-4672-4DB2-826B-C52534BE2DF1}"/>
    <hyperlink ref="E880" r:id="rId2709" display="https://twitter.com/GTIcrazy/status/723114526149869568" xr:uid="{0A391208-EADE-46B1-B0AD-5B10BE3380FC}"/>
    <hyperlink ref="O880" r:id="rId2710" display="https://pbs.twimg.com/profile_images/3049506048/e1f3fdb530b5ad7c7a945508782e6f8f_normal.jpeg" xr:uid="{AD3C5E36-33B0-4869-B350-782B334F40EE}"/>
    <hyperlink ref="B881" r:id="rId2711" display="https://twitter.com/ME262P" xr:uid="{F68A8D55-4759-44DA-810D-6B384100E0DF}"/>
    <hyperlink ref="E881" r:id="rId2712" display="https://twitter.com/ME262P/status/723114572823977985" xr:uid="{05787F91-8BEF-4CDA-B6B8-B3AA5D92BA7A}"/>
    <hyperlink ref="O881" r:id="rId2713" display="https://pbs.twimg.com/profile_images/534347903415091200/7vSjzA4l_normal.jpeg" xr:uid="{D5C7D978-E125-43B4-8870-B9D8C8755A87}"/>
    <hyperlink ref="B882" r:id="rId2714" display="https://twitter.com/Anjake12" xr:uid="{755E0B19-80A9-435C-B22E-B58CC638F25D}"/>
    <hyperlink ref="E882" r:id="rId2715" display="https://twitter.com/Anjake12/status/723114681754365952" xr:uid="{B555BB18-703E-4656-A899-E85013699BF8}"/>
    <hyperlink ref="O882" r:id="rId2716" display="https://pbs.twimg.com/profile_images/720700937740935169/acYmA4IX_normal.jpg" xr:uid="{35ECF96D-CD30-4F8A-A408-B09EE841D4AB}"/>
    <hyperlink ref="B883" r:id="rId2717" display="https://twitter.com/eRevalue" xr:uid="{2D326B3B-CFB8-4074-8E93-9046E456C865}"/>
    <hyperlink ref="E883" r:id="rId2718" display="https://twitter.com/eRevalue/status/723114825404940288" xr:uid="{96F1E34C-BDAB-4735-A74A-B94961529738}"/>
    <hyperlink ref="O883" r:id="rId2719" display="https://pbs.twimg.com/profile_images/555049684830412800/Czd6hV4I_normal.jpeg" xr:uid="{64443C69-B463-4BC1-92F7-1E05588497AD}"/>
    <hyperlink ref="B884" r:id="rId2720" display="https://twitter.com/ReynaldoRodz" xr:uid="{896D48F9-BD5B-4EA1-B181-89FB41D6D916}"/>
    <hyperlink ref="E884" r:id="rId2721" display="https://twitter.com/ReynaldoRodz/status/723114980829204480" xr:uid="{06A82340-6049-4CD0-8818-B9017390C6D7}"/>
    <hyperlink ref="O884" r:id="rId2722" display="https://pbs.twimg.com/profile_images/632301170313285632/51luKl6f_normal.jpg" xr:uid="{67029673-9155-47E3-BC84-775CA8754C32}"/>
    <hyperlink ref="B885" r:id="rId2723" display="https://twitter.com/TonyCantero" xr:uid="{CFF978B6-E75A-4C80-B1EF-6AEC47B397F8}"/>
    <hyperlink ref="E885" r:id="rId2724" display="https://twitter.com/TonyCantero/status/723115183133102080" xr:uid="{2336D248-0DF7-487B-A2CB-70D7DB6369D4}"/>
    <hyperlink ref="O885" r:id="rId2725" display="https://pbs.twimg.com/profile_images/686584469227188224/J9Rr0kEb_normal.jpg" xr:uid="{3554F5CD-15FB-4D6C-9406-4E317A3184F1}"/>
    <hyperlink ref="B886" r:id="rId2726" display="https://twitter.com/Mphilpot1" xr:uid="{4C8D7EA8-E424-4438-BB25-DD3D7F5DC6A9}"/>
    <hyperlink ref="E886" r:id="rId2727" display="https://twitter.com/Mphilpot1/status/723115443607588864" xr:uid="{936BED6C-6313-466B-B185-318DA7C97E4A}"/>
    <hyperlink ref="O886" r:id="rId2728" display="https://pbs.twimg.com/profile_images/422164778639839234/LVnS1q1c_normal.jpeg" xr:uid="{C53C7D4C-ECDE-4AF9-A8FE-C3A40D9C4DA0}"/>
    <hyperlink ref="B887" r:id="rId2729" display="https://twitter.com/FLMedia1" xr:uid="{52E6B7C6-23D0-4304-AED6-A32929E4BB5C}"/>
    <hyperlink ref="E887" r:id="rId2730" display="https://twitter.com/FLMedia1/status/723115992776237057" xr:uid="{4E50E064-D88C-4E5C-8EE0-E81DC1CFE6AA}"/>
    <hyperlink ref="O887" r:id="rId2731" display="https://pbs.twimg.com/profile_images/492533556606816256/w2hi5mtM_normal.jpeg" xr:uid="{AE1C5D70-2167-4A5D-A020-60D069632664}"/>
    <hyperlink ref="B888" r:id="rId2732" display="https://twitter.com/LaurenMolloy7" xr:uid="{F3DE0E8E-05AD-4884-AFEE-BF0E3555BE2A}"/>
    <hyperlink ref="E888" r:id="rId2733" display="https://twitter.com/LaurenMolloy7/status/723116049139290112" xr:uid="{0EA2FEA7-BA93-491F-89A0-5D29734BB6DF}"/>
    <hyperlink ref="O888" r:id="rId2734" display="https://pbs.twimg.com/profile_images/723139895712161793/8ypTS_GM_normal.jpg" xr:uid="{60F3281E-63D4-4CB7-8B75-3E279D0DEAA4}"/>
    <hyperlink ref="B889" r:id="rId2735" display="https://twitter.com/AceNewsServices" xr:uid="{BD36AD21-0973-4AB8-99BB-0F66E668720C}"/>
    <hyperlink ref="E889" r:id="rId2736" display="https://twitter.com/AceNewsServices/status/723116211110694914" xr:uid="{268FA563-BEE1-4D23-9E73-02F646A983E5}"/>
    <hyperlink ref="F889" r:id="rId2737" xr:uid="{17BF0A3B-D6ED-455B-8627-FB1B92896E23}"/>
    <hyperlink ref="O889" r:id="rId2738" display="https://pbs.twimg.com/profile_images/604315907402436609/rgk1l1Kq_normal.jpg" xr:uid="{99C9DC6D-DB0A-4D5E-B911-31B4A756C053}"/>
    <hyperlink ref="B890" r:id="rId2739" display="https://twitter.com/UDelSustainable" xr:uid="{73E8E592-0975-43ED-979C-4842FB5B04B6}"/>
    <hyperlink ref="E890" r:id="rId2740" display="https://twitter.com/UDelSustainable/status/723116453348540417" xr:uid="{E38790EB-A3A6-46B9-A18D-B9D53AF2F6A9}"/>
    <hyperlink ref="O890" r:id="rId2741" display="https://pbs.twimg.com/profile_images/719568169359261696/UghcJUcE_normal.jpg" xr:uid="{81238668-42AD-4F8A-909A-41ABAC12D121}"/>
    <hyperlink ref="B891" r:id="rId2742" display="https://twitter.com/yog2uk" xr:uid="{C1A71467-A917-4740-A52C-F16480F9E410}"/>
    <hyperlink ref="E891" r:id="rId2743" display="https://twitter.com/yog2uk/status/723116923152519172" xr:uid="{BE631376-0A82-49AD-92C8-F92E650AF4CD}"/>
    <hyperlink ref="O891" r:id="rId2744" display="https://pbs.twimg.com/profile_images/702752945155264512/xL5DpDRh_normal.jpg" xr:uid="{8BAC6299-E3E9-4309-A591-E811E92B0F73}"/>
    <hyperlink ref="B892" r:id="rId2745" display="https://twitter.com/VWCamperSales" xr:uid="{736C7696-BC08-4912-B642-C4D896CDAC50}"/>
    <hyperlink ref="E892" r:id="rId2746" display="https://twitter.com/VWCamperSales/status/723116967104651265" xr:uid="{381ABBD1-F048-41E0-8FDD-2171164339E4}"/>
    <hyperlink ref="F892" r:id="rId2747" xr:uid="{7517EC01-ABDA-4E41-AB1D-BFFCB85FC7C5}"/>
    <hyperlink ref="O892" r:id="rId2748" display="https://pbs.twimg.com/profile_images/627949001179037696/skEBkS05_normal.jpg" xr:uid="{A325B7B2-0979-401B-A3D7-8851129213E7}"/>
    <hyperlink ref="B893" r:id="rId2749" display="https://twitter.com/yog2uk" xr:uid="{38E2809A-4154-4012-AB70-FA006D368201}"/>
    <hyperlink ref="E893" r:id="rId2750" display="https://twitter.com/yog2uk/status/723117000277430272" xr:uid="{CBB56C2F-441E-4307-8B7C-04F42032CA09}"/>
    <hyperlink ref="O893" r:id="rId2751" display="https://pbs.twimg.com/profile_images/702752945155264512/xL5DpDRh_normal.jpg" xr:uid="{6710362A-B86E-4821-8ADF-BE50959F469C}"/>
    <hyperlink ref="B894" r:id="rId2752" display="https://twitter.com/phoenix_kom" xr:uid="{B41CEC89-30FA-4B03-9B85-560AC15E5A88}"/>
    <hyperlink ref="E894" r:id="rId2753" display="https://twitter.com/phoenix_kom/status/723117088064212992" xr:uid="{B4893E66-0621-4A96-93D2-5DE779E7C4EA}"/>
    <hyperlink ref="O894" r:id="rId2754" display="https://pbs.twimg.com/profile_images/433240550620147713/gn7IHF5i_normal.jpeg" xr:uid="{254E25FD-63E7-454D-9CD3-1694C6844C76}"/>
    <hyperlink ref="B895" r:id="rId2755" display="https://twitter.com/OtoStil" xr:uid="{3F19656B-B708-4542-8882-8187EFCFC0FA}"/>
    <hyperlink ref="E895" r:id="rId2756" display="https://twitter.com/OtoStil/status/723117502604005377" xr:uid="{11247EE4-711A-40E9-B674-E448CD2C8EDD}"/>
    <hyperlink ref="O895" r:id="rId2757" display="https://pbs.twimg.com/profile_images/719203862402506752/l2tnOgWj_normal.jpg" xr:uid="{16CA185A-6DFF-45D0-B85F-2ACD045BAAD2}"/>
    <hyperlink ref="B896" r:id="rId2758" display="https://twitter.com/AnetteRogers" xr:uid="{5A93264F-698B-46FB-B3DC-050CC1E7EBF5}"/>
    <hyperlink ref="E896" r:id="rId2759" display="https://twitter.com/AnetteRogers/status/723117630253461506" xr:uid="{828E9EA4-F950-4D7E-B03C-612D6FF88566}"/>
    <hyperlink ref="O896" r:id="rId2760" display="https://pbs.twimg.com/profile_images/524307961380749314/55lMOIX2_normal.jpeg" xr:uid="{4FE0E548-76AF-47D5-9A59-618438117E81}"/>
    <hyperlink ref="B897" r:id="rId2761" display="https://twitter.com/VWBeetleSales" xr:uid="{A0C6C575-3B7E-44A6-807B-0C1FB37F52CF}"/>
    <hyperlink ref="E897" r:id="rId2762" display="https://twitter.com/VWBeetleSales/status/723117716110905346" xr:uid="{EEA8D9E0-1358-4CD9-AD4C-0E203D3FFC6F}"/>
    <hyperlink ref="F897" r:id="rId2763" xr:uid="{2026EFF6-898A-482C-8920-4C601D4B2FB9}"/>
    <hyperlink ref="O897" r:id="rId2764" display="https://pbs.twimg.com/profile_images/703294545195307008/qeCvrX86_normal.jpg" xr:uid="{7EB7BA60-D97F-49D6-9402-D5C7397ECB1E}"/>
    <hyperlink ref="B898" r:id="rId2765" display="https://twitter.com/maria26915" xr:uid="{ED1ACAE2-EE0D-4BDB-9F70-ADB31998D1E7}"/>
    <hyperlink ref="E898" r:id="rId2766" display="https://twitter.com/maria26915/status/723117845450731520" xr:uid="{A8FA500E-296E-455F-8FCA-A3DB52BDA333}"/>
    <hyperlink ref="O898" r:id="rId2767" display="https://pbs.twimg.com/profile_images/696261703361761280/aFAtBJW5_normal.jpg" xr:uid="{326C9689-9B0C-4FF4-B833-C98C6B6BAD97}"/>
    <hyperlink ref="B899" r:id="rId2768" display="https://twitter.com/TheCarCentre" xr:uid="{2929A025-34B1-47E5-B188-1220C4A4E2F8}"/>
    <hyperlink ref="E899" r:id="rId2769" display="https://twitter.com/TheCarCentre/status/723117866099331072" xr:uid="{A0B17870-F57D-4C8E-A7D9-8CEFFE206C70}"/>
    <hyperlink ref="O899" r:id="rId2770" display="https://pbs.twimg.com/profile_images/470231671434772480/xlDH2t7D_normal.png" xr:uid="{1E688A41-CDE5-401B-8EE1-597C17DF7682}"/>
    <hyperlink ref="B900" r:id="rId2771" display="https://twitter.com/dw_deutsch" xr:uid="{EFD82822-13C0-40C3-B7A4-65EE0A1AD22C}"/>
    <hyperlink ref="E900" r:id="rId2772" display="https://twitter.com/dw_deutsch/status/723118350402871303" xr:uid="{799ED733-E471-482B-904B-1640FC17D40B}"/>
    <hyperlink ref="O900" r:id="rId2773" display="https://pbs.twimg.com/profile_images/461118397548212226/84PnzODQ_normal.png" xr:uid="{BF416877-1011-4AF1-B0A2-2CC0BAEF87DA}"/>
    <hyperlink ref="B901" r:id="rId2774" display="https://twitter.com/MediaPost" xr:uid="{46A2FDD8-D9A2-4F66-ADB1-E1AD60F6EACF}"/>
    <hyperlink ref="E901" r:id="rId2775" display="https://twitter.com/MediaPost/status/723118354299535360" xr:uid="{4273644B-AF65-498D-B4FC-D9AA0B95C358}"/>
    <hyperlink ref="O901" r:id="rId2776" display="https://pbs.twimg.com/profile_images/710208767569354752/1AWaTjuP_normal.jpg" xr:uid="{D4290AF7-CACF-478E-9B3F-A8535999CE31}"/>
    <hyperlink ref="B902" r:id="rId2777" display="https://twitter.com/zdmak" xr:uid="{63C213F5-3332-4CA5-8542-F707AD9332DA}"/>
    <hyperlink ref="E902" r:id="rId2778" display="https://twitter.com/zdmak/status/723118654649327616" xr:uid="{79F9825F-DE77-407E-BF41-06F9E4FE5F3D}"/>
    <hyperlink ref="O902" r:id="rId2779" display="https://pbs.twimg.com/profile_images/573248726212325376/60EMO_jJ_normal.jpeg" xr:uid="{01808779-B4D7-4A17-B3E0-2E13E6CF04BF}"/>
    <hyperlink ref="B903" r:id="rId2780" display="https://twitter.com/WMGLeasing" xr:uid="{8BE2C5C6-E237-4E78-A044-EC751B8F82DB}"/>
    <hyperlink ref="E903" r:id="rId2781" display="https://twitter.com/WMGLeasing/status/723119136881037312" xr:uid="{7088C8EF-076E-42B7-944A-5CE6D9B49A6D}"/>
    <hyperlink ref="O903" r:id="rId2782" display="https://pbs.twimg.com/profile_images/710494317421400064/KSQWG4Kw_normal.jpg" xr:uid="{DB44834C-3D20-4C8D-8D8D-40769651449B}"/>
    <hyperlink ref="B904" r:id="rId2783" display="https://twitter.com/dermaschinist" xr:uid="{BC57700C-E00F-4E20-8C16-AEA422D36B5A}"/>
    <hyperlink ref="E904" r:id="rId2784" display="https://twitter.com/dermaschinist/status/723119161606574081" xr:uid="{9CBBE954-104F-4DA0-BC4F-19A530443B7C}"/>
    <hyperlink ref="O904" r:id="rId2785" display="https://pbs.twimg.com/profile_images/2990215932/3d67f4dbdf71510d4c8e81b422b73de8_normal.jpeg" xr:uid="{98024E6F-61AB-43C7-86C9-FF6D69E233D3}"/>
    <hyperlink ref="B905" r:id="rId2786" display="https://twitter.com/kngeuro" xr:uid="{E962F468-6635-48E6-834D-BE1F5C02E65B}"/>
    <hyperlink ref="E905" r:id="rId2787" display="https://twitter.com/kngeuro/status/723119254657241088" xr:uid="{C6A5FC4C-EB40-4033-96E1-AD98CE69D4AA}"/>
    <hyperlink ref="O905" r:id="rId2788" display="https://pbs.twimg.com/profile_images/570375988065935360/ooT_Nq7x_normal.jpeg" xr:uid="{106A6FDB-B618-498C-B921-AE7DD388132D}"/>
    <hyperlink ref="B906" r:id="rId2789" display="https://twitter.com/WIAT42" xr:uid="{4874A1B5-7E60-431F-9F32-29CF5C5B9D4A}"/>
    <hyperlink ref="E906" r:id="rId2790" display="https://twitter.com/WIAT42/status/723119262966009856" xr:uid="{D828EDB6-513F-4BA4-A209-5F7B7D54EC13}"/>
    <hyperlink ref="F906" r:id="rId2791" xr:uid="{DDA98D42-BE40-4A39-8A32-60EE37DBDB7E}"/>
    <hyperlink ref="O906" r:id="rId2792" display="https://pbs.twimg.com/profile_images/604398644410777600/M9wZ3s4s_normal.png" xr:uid="{CD03855D-4918-40AD-A17A-14B80F84644D}"/>
    <hyperlink ref="B907" r:id="rId2793" display="https://twitter.com/vagmenhq" xr:uid="{A54F5B43-4B40-4E8A-A13C-26C9CA68137B}"/>
    <hyperlink ref="E907" r:id="rId2794" display="https://twitter.com/vagmenhq/status/723119337557602305" xr:uid="{B3B56AF0-56CF-4861-9E10-E3B20EBE7C69}"/>
    <hyperlink ref="O907" r:id="rId2795" display="https://pbs.twimg.com/profile_images/446781974452371456/rqBZF-KN_normal.jpeg" xr:uid="{16B21838-EB20-4752-9570-2FA62591EB4B}"/>
    <hyperlink ref="B908" r:id="rId2796" display="https://twitter.com/techhippie" xr:uid="{19936E10-B59F-4316-A017-5E83D0E2047F}"/>
    <hyperlink ref="E908" r:id="rId2797" display="https://twitter.com/techhippie/status/723119367341412352" xr:uid="{7A3C93BD-770E-467B-8D2C-FB13875C7DC9}"/>
    <hyperlink ref="O908" r:id="rId2798" display="https://pbs.twimg.com/profile_images/702511217793863680/lty8h9vE_normal.jpg" xr:uid="{10B4E0E5-E583-4E37-A45F-3A7DF8D10617}"/>
    <hyperlink ref="B909" r:id="rId2799" display="https://twitter.com/pphunky" xr:uid="{D6335FC5-E810-478F-8CCD-050D92C6C841}"/>
    <hyperlink ref="E909" r:id="rId2800" display="https://twitter.com/pphunky/status/723119408579792896" xr:uid="{A42C3A50-6EEC-49D1-B10C-14C55AC1DB12}"/>
    <hyperlink ref="O909" r:id="rId2801" display="https://pbs.twimg.com/profile_images/1190749746/image_normal.jpg" xr:uid="{0D035AEA-4C5D-4F01-9E4F-E246C7838FAD}"/>
    <hyperlink ref="B910" r:id="rId2802" display="https://twitter.com/PeterConstant" xr:uid="{C4372542-B86A-4ECC-A863-E01704E9174C}"/>
    <hyperlink ref="E910" r:id="rId2803" display="https://twitter.com/PeterConstant/status/723119840580395009" xr:uid="{DDB6F0F7-D321-4DC5-B18B-77DB932CD675}"/>
    <hyperlink ref="O910" r:id="rId2804" display="https://abs.twimg.com/sticky/default_profile_images/default_profile_5_normal.png" xr:uid="{824229B7-CA4A-4D68-9D93-8E92C510526E}"/>
    <hyperlink ref="B911" r:id="rId2805" display="https://twitter.com/Decafinator" xr:uid="{89357A03-BAC4-4B58-AF7E-FF01ED620E0B}"/>
    <hyperlink ref="E911" r:id="rId2806" display="https://twitter.com/Decafinator/status/723119846167203840" xr:uid="{2C432B92-3120-4F0D-AF9B-FC2A53ADF99D}"/>
    <hyperlink ref="O911" r:id="rId2807" display="https://pbs.twimg.com/profile_images/642837022965522432/8L7ZHdgl_normal.jpg" xr:uid="{7787E58C-B848-4676-9C46-BA514FF751E1}"/>
    <hyperlink ref="B912" r:id="rId2808" display="https://twitter.com/paulrobertsrcz" xr:uid="{3E2CE6F5-9108-4D01-9631-AB8029C90AEC}"/>
    <hyperlink ref="E912" r:id="rId2809" display="https://twitter.com/paulrobertsrcz/status/723120183829733376" xr:uid="{A7CECADB-7FD9-4642-88FC-940D0B7CB9F7}"/>
    <hyperlink ref="O912" r:id="rId2810" display="https://pbs.twimg.com/profile_images/721744365744427008/6HnVLqsd_normal.jpg" xr:uid="{E783DC83-F167-4603-9919-4B73FBBB62B2}"/>
    <hyperlink ref="B913" r:id="rId2811" display="https://twitter.com/ConsumerSOS" xr:uid="{D3A5877E-EF5D-4950-8B36-321A55A9ED77}"/>
    <hyperlink ref="E913" r:id="rId2812" display="https://twitter.com/ConsumerSOS/status/723120339006459904" xr:uid="{9C134611-F2BE-4859-9F32-271DD673DA70}"/>
    <hyperlink ref="O913" r:id="rId2813" display="https://pbs.twimg.com/profile_images/613314855534067712/hWfpdtSO_normal.jpg" xr:uid="{F8C16BB3-6FC3-4EA1-B3FD-3447A66E0BA4}"/>
    <hyperlink ref="B914" r:id="rId2814" display="https://twitter.com/bvdvliet" xr:uid="{4DFFCA93-E4A1-4F0E-B0C0-23A85BA695B9}"/>
    <hyperlink ref="E914" r:id="rId2815" display="https://twitter.com/bvdvliet/status/723120492996079616" xr:uid="{D2263277-3468-40CD-811F-249882D6F0D9}"/>
    <hyperlink ref="O914" r:id="rId2816" display="https://pbs.twimg.com/profile_images/378800000747750946/394d9f0f5e6dde5137683d9c98c5c8a9_normal.jpeg" xr:uid="{30CFB356-9BED-4B8D-AA3F-D030B3872296}"/>
    <hyperlink ref="B915" r:id="rId2817" display="https://twitter.com/RSTOKAR" xr:uid="{31A28F2D-9A41-45E2-AF1D-476E8E5C4EFD}"/>
    <hyperlink ref="E915" r:id="rId2818" display="https://twitter.com/RSTOKAR/status/723120605730471940" xr:uid="{0742C9FE-3FE9-47DA-88C0-E348D3442759}"/>
    <hyperlink ref="O915" r:id="rId2819" display="https://pbs.twimg.com/profile_images/3282181310/09912193e3b2ecc229b9028eb0f19def_normal.jpeg" xr:uid="{E600A0AB-9FCA-41FA-ACAB-426FD8C279A5}"/>
    <hyperlink ref="B916" r:id="rId2820" display="https://twitter.com/MarkoJokela" xr:uid="{E398A899-D160-453F-80BC-EF74FEBBABE3}"/>
    <hyperlink ref="E916" r:id="rId2821" display="https://twitter.com/MarkoJokela/status/723121107709075456" xr:uid="{82DAD360-9A05-4A0C-8E14-0C006BA4049C}"/>
    <hyperlink ref="O916" r:id="rId2822" display="https://pbs.twimg.com/profile_images/432785601452982272/RWDE1b--_normal.jpeg" xr:uid="{21D557E9-5E19-4599-B234-0A59F80D7AF8}"/>
    <hyperlink ref="B917" r:id="rId2823" display="https://twitter.com/aktionaer" xr:uid="{65A9249E-20BE-454D-83D9-F2881FDD87A0}"/>
    <hyperlink ref="E917" r:id="rId2824" display="https://twitter.com/aktionaer/status/723121135575916545" xr:uid="{879FD442-7079-4BA0-BD4D-8F48C91ADF06}"/>
    <hyperlink ref="O917" r:id="rId2825" display="https://pbs.twimg.com/profile_images/679552623641509888/_vPw9IS2_normal.png" xr:uid="{E65919B1-7392-4EA0-A846-A15D3F0EAD29}"/>
    <hyperlink ref="B918" r:id="rId2826" display="https://twitter.com/cmsGOMEX" xr:uid="{CF901F7B-60E2-40AA-B049-BB1FE066A942}"/>
    <hyperlink ref="E918" r:id="rId2827" display="https://twitter.com/cmsGOMEX/status/723121359467909121" xr:uid="{8328B012-7305-4962-8AC5-9C0AE09FD43D}"/>
    <hyperlink ref="O918" r:id="rId2828" display="https://pbs.twimg.com/profile_images/472298206483607552/UogAMiRI_normal.png" xr:uid="{3CD9200E-9614-42C0-AD45-D32C2084C92A}"/>
    <hyperlink ref="B919" r:id="rId2829" display="https://twitter.com/DubLuvTuning" xr:uid="{66D1C44C-3594-42BD-8A6C-AD319AC4DAA5}"/>
    <hyperlink ref="E919" r:id="rId2830" display="https://twitter.com/DubLuvTuning/status/723121565408342020" xr:uid="{ECE22866-5329-4527-A6E5-8DD33611AAE6}"/>
    <hyperlink ref="O919" r:id="rId2831" display="https://pbs.twimg.com/profile_images/378800000572104796/1de43e1cf23efb3f4101c02afad0d3b6_normal.png" xr:uid="{A52DA58B-2209-4D79-8B55-DBEC94FA81ED}"/>
    <hyperlink ref="B920" r:id="rId2832" display="https://twitter.com/DubLuvTuning" xr:uid="{CA2C778B-A515-4C2C-BEA6-172062271B1A}"/>
    <hyperlink ref="E920" r:id="rId2833" display="https://twitter.com/DubLuvTuning/status/723121566129741824" xr:uid="{768D4D5F-C2E2-4083-A090-6E854A9771F2}"/>
    <hyperlink ref="O920" r:id="rId2834" display="https://pbs.twimg.com/profile_images/378800000572104796/1de43e1cf23efb3f4101c02afad0d3b6_normal.png" xr:uid="{26A76560-CA7F-4E1A-A5E6-AC0F232823F7}"/>
    <hyperlink ref="B921" r:id="rId2835" display="https://twitter.com/DubLuvTuning" xr:uid="{3E3B26D8-B677-4734-B558-818F2319F126}"/>
    <hyperlink ref="E921" r:id="rId2836" display="https://twitter.com/DubLuvTuning/status/723121567375437824" xr:uid="{E7BB5D1E-24FF-4239-A843-A361C5C5C327}"/>
    <hyperlink ref="O921" r:id="rId2837" display="https://pbs.twimg.com/profile_images/378800000572104796/1de43e1cf23efb3f4101c02afad0d3b6_normal.png" xr:uid="{AE13EB3C-8F00-4A29-8C43-788B94306027}"/>
    <hyperlink ref="B922" r:id="rId2838" display="https://twitter.com/CordwallisGroup" xr:uid="{76F80019-9498-475D-A9B1-C9B2E422F45F}"/>
    <hyperlink ref="E922" r:id="rId2839" display="https://twitter.com/CordwallisGroup/status/723121607783272449" xr:uid="{706F5B3E-D096-42D7-B23A-836D5A1FEB2E}"/>
    <hyperlink ref="O922" r:id="rId2840" display="https://pbs.twimg.com/profile_images/2342275131/7y3aojour1wv5eptfttj_normal.png" xr:uid="{24DA43B1-3704-4219-803C-18BA894A8601}"/>
    <hyperlink ref="B923" r:id="rId2841" display="https://twitter.com/pochotcom" xr:uid="{BCFDB363-9A34-42E9-9B7D-7C0526656437}"/>
    <hyperlink ref="E923" r:id="rId2842" display="https://twitter.com/pochotcom/status/723121629044301825" xr:uid="{CC2E76F4-9CCF-4265-B1B6-639E529DFFCA}"/>
    <hyperlink ref="O923" r:id="rId2843" display="https://pbs.twimg.com/profile_images/3320583681/4cf05549dc8209dff98e4b9b09a11b44_normal.jpeg" xr:uid="{63AE2E8E-5818-4CD3-A9DB-5DDBC54A87E5}"/>
    <hyperlink ref="B924" r:id="rId2844" display="https://twitter.com/lennbc" xr:uid="{31831324-20D0-48DD-B47B-DE15903ED034}"/>
    <hyperlink ref="E924" r:id="rId2845" display="https://twitter.com/lennbc/status/723121665803210752" xr:uid="{56FA42A3-E169-464F-AE46-BAE82C891BCF}"/>
    <hyperlink ref="O924" r:id="rId2846" display="https://pbs.twimg.com/profile_images/1114950889/image_normal.jpg" xr:uid="{DA113906-A4A3-4974-8C6B-FF06B459B0A3}"/>
    <hyperlink ref="B925" r:id="rId2847" display="https://twitter.com/NorthWestDubs" xr:uid="{CC842376-FA87-4BE6-B781-3AA51263818E}"/>
    <hyperlink ref="E925" r:id="rId2848" display="https://twitter.com/NorthWestDubs/status/723122014874132480" xr:uid="{30B64EAA-0139-4570-9A47-DB3E0D472A6B}"/>
    <hyperlink ref="O925" r:id="rId2849" display="https://pbs.twimg.com/profile_images/3325520037/cf2027069deae5dc44e82172d33a6683_normal.jpeg" xr:uid="{1E18C4AB-648F-43D4-BEDA-A40A80B760CE}"/>
    <hyperlink ref="B926" r:id="rId2850" display="https://twitter.com/PaolettoDoro" xr:uid="{7237DAF8-20C8-48E2-9138-8959CBDBE34D}"/>
    <hyperlink ref="E926" r:id="rId2851" display="https://twitter.com/PaolettoDoro/status/723122115961081857" xr:uid="{0CE9B15E-C009-41FC-8AA4-EDFCA31BF72E}"/>
    <hyperlink ref="O926" r:id="rId2852" display="https://pbs.twimg.com/profile_images/719116119676751873/joqZkyAQ_normal.jpg" xr:uid="{FFB0A8C9-EE3F-431C-8D5C-3C2BA4416901}"/>
    <hyperlink ref="B927" r:id="rId2853" display="https://twitter.com/radiotool" xr:uid="{4F44B44D-8EF4-48FC-A598-78E6CF9A2D6B}"/>
    <hyperlink ref="E927" r:id="rId2854" display="https://twitter.com/radiotool/status/723122164593876993" xr:uid="{9FC8B7EC-4EDD-4B86-BDB1-685FA8382F66}"/>
    <hyperlink ref="O927" r:id="rId2855" display="https://pbs.twimg.com/profile_images/618632809339432960/eMmhsqgG_normal.jpg" xr:uid="{DD30F763-A792-4AC4-BB47-B599733782A5}"/>
    <hyperlink ref="B928" r:id="rId2856" display="https://twitter.com/VWCamperSales" xr:uid="{39A1C920-AE4C-4A93-A8C0-EC1446E6E436}"/>
    <hyperlink ref="E928" r:id="rId2857" display="https://twitter.com/VWCamperSales/status/723122243912372226" xr:uid="{1AB4317D-2880-4C98-A845-64F00FF02BFF}"/>
    <hyperlink ref="F928" r:id="rId2858" xr:uid="{32332649-09AB-4906-AF26-F87D7427CC41}"/>
    <hyperlink ref="O928" r:id="rId2859" display="https://pbs.twimg.com/profile_images/627949001179037696/skEBkS05_normal.jpg" xr:uid="{E552FCC6-44B7-4B39-8978-DBAE051C1967}"/>
    <hyperlink ref="B929" r:id="rId2860" display="https://twitter.com/VWCamperSales" xr:uid="{AFB1BC92-5571-4D00-A022-3CB082079E81}"/>
    <hyperlink ref="E929" r:id="rId2861" display="https://twitter.com/VWCamperSales/status/723122247603384321" xr:uid="{C60C509F-28CD-4B90-BDF4-98BB1C552870}"/>
    <hyperlink ref="F929" r:id="rId2862" xr:uid="{382BA570-7F46-4935-A95C-B0385836CFEF}"/>
    <hyperlink ref="O929" r:id="rId2863" display="https://pbs.twimg.com/profile_images/627949001179037696/skEBkS05_normal.jpg" xr:uid="{87698811-DFBC-4FFA-B650-7EF796F82869}"/>
    <hyperlink ref="B930" r:id="rId2864" display="https://twitter.com/VWCamperSales" xr:uid="{0CA94F94-0EBA-4BE4-ABDA-761EF3A22165}"/>
    <hyperlink ref="E930" r:id="rId2865" display="https://twitter.com/VWCamperSales/status/723122251470503936" xr:uid="{11FA6A25-A601-4C1B-99E4-CC80534C105B}"/>
    <hyperlink ref="F930" r:id="rId2866" xr:uid="{4F2CDC09-8776-4D66-B044-939442761351}"/>
    <hyperlink ref="O930" r:id="rId2867" display="https://pbs.twimg.com/profile_images/627949001179037696/skEBkS05_normal.jpg" xr:uid="{23DABCF0-743E-4975-9668-CDECAF9778B5}"/>
    <hyperlink ref="B931" r:id="rId2868" display="https://twitter.com/rotefahnenews" xr:uid="{01DAE2D6-E481-4AEF-ACA7-3D30E1528252}"/>
    <hyperlink ref="E931" r:id="rId2869" display="https://twitter.com/rotefahnenews/status/723122543553445888" xr:uid="{B55F4D81-2879-4447-A000-12E698E38840}"/>
    <hyperlink ref="O931" r:id="rId2870" display="https://pbs.twimg.com/profile_images/607397136/image_normal.gif" xr:uid="{0E2BEE96-09E1-4C2A-9303-09EDCF270632}"/>
    <hyperlink ref="B932" r:id="rId2871" display="https://twitter.com/ae_cuellar" xr:uid="{17C1F3C3-97C0-4E20-8179-41D7CFEDD476}"/>
    <hyperlink ref="E932" r:id="rId2872" display="https://twitter.com/ae_cuellar/status/723122549295570944" xr:uid="{CB21A3EF-F221-4212-9219-5ED8E05A11E1}"/>
    <hyperlink ref="O932" r:id="rId2873" display="https://pbs.twimg.com/profile_images/1865228787/seat_pp_normal.jpg" xr:uid="{EF950F4E-393E-44D8-B147-84FED9379F88}"/>
    <hyperlink ref="B933" r:id="rId2874" display="https://twitter.com/ae_cuellar" xr:uid="{A70A0314-9747-478A-B096-2EF166793877}"/>
    <hyperlink ref="E933" r:id="rId2875" display="https://twitter.com/ae_cuellar/status/723122568031535104" xr:uid="{FF6A6AD8-AD95-4112-BCA5-748FD8991432}"/>
    <hyperlink ref="O933" r:id="rId2876" display="https://pbs.twimg.com/profile_images/1865228787/seat_pp_normal.jpg" xr:uid="{25FA58E1-3EB0-4953-BFE2-2B98B86A80CC}"/>
    <hyperlink ref="B934" r:id="rId2877" display="https://twitter.com/swanswaygroup" xr:uid="{6A73DAEC-2AA1-4C7F-808A-DEEF9D2168E4}"/>
    <hyperlink ref="E934" r:id="rId2878" display="https://twitter.com/swanswaygroup/status/723122617012514817" xr:uid="{D4B7C3E5-3458-4149-A2A2-66490C88FDE1}"/>
    <hyperlink ref="O934" r:id="rId2879" display="https://pbs.twimg.com/profile_images/552037189328982016/r65JRGTS_normal.jpeg" xr:uid="{C8AEDEFB-89AE-4026-B44C-52A8CD7638C5}"/>
    <hyperlink ref="B935" r:id="rId2880" display="https://twitter.com/crewevw" xr:uid="{9A3839EE-0A85-4C5A-A3D0-6C9A126D6A03}"/>
    <hyperlink ref="E935" r:id="rId2881" display="https://twitter.com/crewevw/status/723122617889095682" xr:uid="{FC47B419-D47E-460B-9FD3-F18C9CCE5540}"/>
    <hyperlink ref="O935" r:id="rId2882" display="https://pbs.twimg.com/profile_images/488678354338324481/_qtBruR6_normal.jpeg" xr:uid="{69249858-81EC-4684-967C-AEF229EA4533}"/>
    <hyperlink ref="B936" r:id="rId2883" display="https://twitter.com/aktionaer" xr:uid="{A963CF8D-607D-4B9F-B52F-424FF3447F75}"/>
    <hyperlink ref="E936" r:id="rId2884" display="https://twitter.com/aktionaer/status/723122692891762692" xr:uid="{7EB6D59D-C2C3-4BE1-9D1B-2CFB07456935}"/>
    <hyperlink ref="O936" r:id="rId2885" display="https://pbs.twimg.com/profile_images/679552623641509888/_vPw9IS2_normal.png" xr:uid="{57B3E1AC-A235-4671-A7A8-CF01D018CB2A}"/>
    <hyperlink ref="B937" r:id="rId2886" display="https://twitter.com/shamereflect" xr:uid="{B04ED192-ECA7-4528-A5BE-D3E64570D8AD}"/>
    <hyperlink ref="E937" r:id="rId2887" display="https://twitter.com/shamereflect/status/723122769332867072" xr:uid="{BAE52596-C1DE-4E92-B904-FE78181F409A}"/>
    <hyperlink ref="O937" r:id="rId2888" display="https://pbs.twimg.com/profile_images/598485163241267200/wFl-W3I2_normal.jpg" xr:uid="{CA32AAB6-4EDB-44EB-93DB-D4A75020A7B1}"/>
    <hyperlink ref="B938" r:id="rId2889" display="https://twitter.com/SloughSwapmeet" xr:uid="{4D7F9325-D660-412B-861D-816B0391BCE4}"/>
    <hyperlink ref="E938" r:id="rId2890" display="https://twitter.com/SloughSwapmeet/status/723123067619147779" xr:uid="{EB9BC9C0-A2BD-4192-ABAC-98C1A9271B43}"/>
    <hyperlink ref="O938" r:id="rId2891" display="https://pbs.twimg.com/profile_images/720336295822823424/zexFaGmZ_normal.jpg" xr:uid="{AEEAF66D-DB3A-4B76-8578-E5B002CC76FB}"/>
    <hyperlink ref="B939" r:id="rId2892" display="https://twitter.com/OerlikonGroup" xr:uid="{86D7A1E6-DBBB-4746-9493-938E9271E0CD}"/>
    <hyperlink ref="E939" r:id="rId2893" display="https://twitter.com/OerlikonGroup/status/723123505655468032" xr:uid="{FEC25BB5-BCC7-48BD-8FE3-BFD297170E1A}"/>
    <hyperlink ref="O939" r:id="rId2894" display="https://pbs.twimg.com/profile_images/378800000190719226/b77e55769d8dad9e6ea8d8c41c7c27bf_normal.png" xr:uid="{3A6C30C5-3B19-4D46-81F9-E0C96E2706C9}"/>
    <hyperlink ref="B940" r:id="rId2895" display="https://twitter.com/VRwatchingU" xr:uid="{CE3C7E24-24A4-4C87-956B-4C6E3FF692B1}"/>
    <hyperlink ref="E940" r:id="rId2896" display="https://twitter.com/VRwatchingU/status/723123514593538048" xr:uid="{0DC88BD3-B0FF-4B2A-BC19-0BC35DC9D95F}"/>
    <hyperlink ref="O940" r:id="rId2897" display="https://pbs.twimg.com/profile_images/1616567344/VRwatch2_normal.jpg" xr:uid="{F88C7CB7-7235-4310-975A-8BEC10D4E9AB}"/>
    <hyperlink ref="B941" r:id="rId2898" display="https://twitter.com/shamereflect" xr:uid="{45894BCA-3654-46E2-97F6-60DD61C76BAC}"/>
    <hyperlink ref="E941" r:id="rId2899" display="https://twitter.com/shamereflect/status/723123564262477824" xr:uid="{D3029DF0-3E65-42AF-90DD-5986761D191B}"/>
    <hyperlink ref="O941" r:id="rId2900" display="https://pbs.twimg.com/profile_images/598485163241267200/wFl-W3I2_normal.jpg" xr:uid="{ACCD1616-30B3-41CF-A983-143DA1ECF4B7}"/>
    <hyperlink ref="B942" r:id="rId2901" display="https://twitter.com/shamereflect" xr:uid="{96EF67B1-6CD4-4283-9D93-34BF8D9D5BA7}"/>
    <hyperlink ref="E942" r:id="rId2902" display="https://twitter.com/shamereflect/status/723123760664965120" xr:uid="{BB39EF52-3E4D-4A29-A26A-59ED26219401}"/>
    <hyperlink ref="O942" r:id="rId2903" display="https://pbs.twimg.com/profile_images/598485163241267200/wFl-W3I2_normal.jpg" xr:uid="{94F0F180-D1D8-448F-BFA1-17B61DEF787B}"/>
    <hyperlink ref="B943" r:id="rId2904" display="https://twitter.com/deutch_az" xr:uid="{B05F7AC0-1EA6-472B-B116-53E4D0B0479F}"/>
    <hyperlink ref="E943" r:id="rId2905" display="https://twitter.com/deutch_az/status/723124039305187328" xr:uid="{89AD6B93-F8F0-4585-B553-896B68D8D6A8}"/>
    <hyperlink ref="O943" r:id="rId2906" display="https://pbs.twimg.com/profile_images/659295730222280705/W1FqHCVo_normal.jpg" xr:uid="{BEB5C529-2EB4-4DEF-BBDF-AEB1FD1BC01F}"/>
    <hyperlink ref="B944" r:id="rId2907" display="https://twitter.com/esdefren_az" xr:uid="{0C115EAA-AFA6-4EF5-9F2A-46774C3AB957}"/>
    <hyperlink ref="E944" r:id="rId2908" display="https://twitter.com/esdefren_az/status/723124082741399558" xr:uid="{3CD45D65-EE79-4F63-B442-52AB91ADD6AC}"/>
    <hyperlink ref="O944" r:id="rId2909" display="https://pbs.twimg.com/profile_images/722036542416556034/a5ulwDIW_normal.jpg" xr:uid="{7D9DD45D-1426-45FC-BF7A-EEF041EAB040}"/>
    <hyperlink ref="B945" r:id="rId2910" display="https://twitter.com/saudi_carz" xr:uid="{B53DE460-EC0A-4F54-9970-2A38B5B16C77}"/>
    <hyperlink ref="E945" r:id="rId2911" display="https://twitter.com/saudi_carz/status/723124455854202880" xr:uid="{166650CA-CC5E-49DA-8AA5-D752F74A1270}"/>
    <hyperlink ref="O945" r:id="rId2912" display="https://pbs.twimg.com/profile_images/669116837360246784/ej1M5xaG_normal.jpg" xr:uid="{A8BDF45B-9BF1-4D6C-9CAE-8401ED312DDF}"/>
    <hyperlink ref="B946" r:id="rId2913" display="https://twitter.com/ae_cuellar" xr:uid="{3E18418B-E6D9-4F8D-838F-D49F1D257C26}"/>
    <hyperlink ref="E946" r:id="rId2914" display="https://twitter.com/ae_cuellar/status/723124625610301440" xr:uid="{1268CEA0-915B-49EA-963C-450710CEFE23}"/>
    <hyperlink ref="O946" r:id="rId2915" display="https://pbs.twimg.com/profile_images/1865228787/seat_pp_normal.jpg" xr:uid="{859F690B-061E-4C28-A562-D2AB1614D9A6}"/>
    <hyperlink ref="B947" r:id="rId2916" display="https://twitter.com/Baum_Reiter" xr:uid="{CEC5E009-6DE9-4F86-BF1F-A1A260001EDA}"/>
    <hyperlink ref="E947" r:id="rId2917" display="https://twitter.com/Baum_Reiter/status/723125106118004737" xr:uid="{4B604BDD-1930-4FC0-B08D-FCF49CA054DA}"/>
    <hyperlink ref="O947" r:id="rId2918" display="https://pbs.twimg.com/profile_images/646694490569318400/VDYV8UdL_normal.jpg" xr:uid="{241F470A-3E45-439C-9C8D-1F1506387D00}"/>
    <hyperlink ref="B948" r:id="rId2919" display="https://twitter.com/hyoutanntugi" xr:uid="{64B67375-4D6B-4330-BBDA-509F4A4C59BA}"/>
    <hyperlink ref="E948" r:id="rId2920" display="https://twitter.com/hyoutanntugi/status/723125669459189761" xr:uid="{CBCF856B-D844-45F3-9D55-24545DF178A4}"/>
    <hyperlink ref="O948" r:id="rId2921" display="https://pbs.twimg.com/profile_images/1341393807/14171822_s_1__normal.jpg" xr:uid="{07FB490B-6CA2-45C0-931F-33BCFED52C6D}"/>
    <hyperlink ref="B949" r:id="rId2922" display="https://twitter.com/noz_de" xr:uid="{6E3677C7-974E-49E9-A8BE-A9D309680BF0}"/>
    <hyperlink ref="E949" r:id="rId2923" display="https://twitter.com/noz_de/status/723126076805931008" xr:uid="{FD24AE97-BE79-4942-9E1E-477C4270E897}"/>
    <hyperlink ref="O949" r:id="rId2924" display="https://pbs.twimg.com/profile_images/632074137289277440/vJykSc8L_normal.png" xr:uid="{1CD5B9EF-F42A-4FB1-A382-A86FF7356489}"/>
    <hyperlink ref="B950" r:id="rId2925" display="https://twitter.com/noz_el" xr:uid="{0C8BF5C1-9F5C-47BA-9EF2-E1E632FE7DC4}"/>
    <hyperlink ref="E950" r:id="rId2926" display="https://twitter.com/noz_el/status/723126164244574208" xr:uid="{435EC2AB-8507-4997-9508-82D9304613A6}"/>
    <hyperlink ref="O950" r:id="rId2927" display="https://pbs.twimg.com/profile_images/632074492798443520/j3zHKAI2_normal.png" xr:uid="{CC8E9B2F-F664-4C2F-9A9D-FDD14DCB7F39}"/>
    <hyperlink ref="B951" r:id="rId2928" display="https://twitter.com/hameles" xr:uid="{F622F29C-F89C-4915-A031-17BC4BE1DA3A}"/>
    <hyperlink ref="E951" r:id="rId2929" display="https://twitter.com/hameles/status/723126367441850368" xr:uid="{590E4C50-2A7C-4734-B11E-09CB889DA9E2}"/>
    <hyperlink ref="O951" r:id="rId2930" display="https://pbs.twimg.com/profile_images/720884007152394240/OWYVobwN_normal.jpg" xr:uid="{DFEA35FE-347D-41E9-AD05-E10A41AF8756}"/>
    <hyperlink ref="B952" r:id="rId2931" display="https://twitter.com/RWFleetServices" xr:uid="{9FC094E5-DEDA-4387-93E5-54EF7E9B40C6}"/>
    <hyperlink ref="E952" r:id="rId2932" display="https://twitter.com/RWFleetServices/status/723126504457154560" xr:uid="{48814CCB-CFEE-4A75-98B6-CE55F1E04C75}"/>
    <hyperlink ref="O952" r:id="rId2933" display="https://pbs.twimg.com/profile_images/710902676310134784/rj4E7WD1_normal.jpg" xr:uid="{C064A314-D2BF-473A-B579-2DA9A1FC48E9}"/>
    <hyperlink ref="B953" r:id="rId2934" display="https://twitter.com/flpmontanheiro" xr:uid="{997CAAD2-C703-421F-B9A3-66FB7CCA32E9}"/>
    <hyperlink ref="E953" r:id="rId2935" display="https://twitter.com/flpmontanheiro/status/723126571268235264" xr:uid="{1EB49F84-6724-4D2C-930B-BE50EFE40D0A}"/>
    <hyperlink ref="O953" r:id="rId2936" display="https://pbs.twimg.com/profile_images/665334663288877056/qFW2jCdT_normal.jpg" xr:uid="{DD607FA4-6460-4213-B7F5-C999BD91E900}"/>
    <hyperlink ref="B954" r:id="rId2937" display="https://twitter.com/FSHDaily" xr:uid="{CA6DA271-5924-4BB2-AB13-51A00C10ED07}"/>
    <hyperlink ref="E954" r:id="rId2938" display="https://twitter.com/FSHDaily/status/723127191001829376" xr:uid="{79BA15E5-77D6-49A7-93B1-245155808261}"/>
    <hyperlink ref="O954" r:id="rId2939" display="https://pbs.twimg.com/profile_images/689419528917258241/vnF9fVgG_normal.png" xr:uid="{F7489701-58E3-421B-8112-47BCF0558DC2}"/>
    <hyperlink ref="B955" r:id="rId2940" display="https://twitter.com/VolkswagenPost" xr:uid="{03D69335-EE61-46D6-82C9-61AD9E83F38D}"/>
    <hyperlink ref="E955" r:id="rId2941" display="https://twitter.com/VolkswagenPost/status/723127393808949248" xr:uid="{6582DB86-1171-46ED-AC9F-89A006EB9883}"/>
    <hyperlink ref="O955" r:id="rId2942" display="https://pbs.twimg.com/profile_images/530071272881803264/a_jcCmPZ_normal.png" xr:uid="{224DCD6F-4191-47D3-B860-9A94032C2E17}"/>
    <hyperlink ref="B956" r:id="rId2943" display="https://twitter.com/VolkswagenPost" xr:uid="{04208347-588A-416E-9D07-F5C0CF5F5FEE}"/>
    <hyperlink ref="E956" r:id="rId2944" display="https://twitter.com/VolkswagenPost/status/723127394626863104" xr:uid="{7C86FC25-70A8-43A3-B29E-D0E4EC8A8787}"/>
    <hyperlink ref="O956" r:id="rId2945" display="https://pbs.twimg.com/profile_images/530071272881803264/a_jcCmPZ_normal.png" xr:uid="{440E88EE-E392-432C-9026-82D8C8A56588}"/>
    <hyperlink ref="B957" r:id="rId2946" display="https://twitter.com/VolkswagenPost" xr:uid="{3AD0C78D-2078-4404-971E-392C646177C8}"/>
    <hyperlink ref="E957" r:id="rId2947" display="https://twitter.com/VolkswagenPost/status/723127395402809344" xr:uid="{EE791B1A-96A2-4E40-A46D-4E33FEA435A2}"/>
    <hyperlink ref="O957" r:id="rId2948" display="https://pbs.twimg.com/profile_images/530071272881803264/a_jcCmPZ_normal.png" xr:uid="{2B0E722F-3B7F-4B14-9579-ECE8D89B9E9F}"/>
    <hyperlink ref="B958" r:id="rId2949" display="https://twitter.com/ProjectCarsUK" xr:uid="{C78035AC-B314-4E11-892B-5B9187A18729}"/>
    <hyperlink ref="E958" r:id="rId2950" display="https://twitter.com/ProjectCarsUK/status/723127560293498880" xr:uid="{987E2690-F2CF-4DEA-BC49-583CBFDE14C3}"/>
    <hyperlink ref="O958" r:id="rId2951" display="https://pbs.twimg.com/profile_images/706833390725681152/IaXMLicB_normal.jpg" xr:uid="{37CE3429-BACC-48F0-8494-63995BC730D7}"/>
    <hyperlink ref="B959" r:id="rId2952" display="https://twitter.com/billingspg" xr:uid="{022BAF26-4371-4B51-8E1D-00A969178794}"/>
    <hyperlink ref="E959" r:id="rId2953" display="https://twitter.com/billingspg/status/723128145004642304" xr:uid="{E5C289F9-9A7F-4EF4-B292-465F120AB8BE}"/>
    <hyperlink ref="O959" r:id="rId2954" display="https://pbs.twimg.com/profile_images/722739206779486208/kLEwa01b_normal.jpg" xr:uid="{1909BEEE-F1B0-42D2-B2A9-28A9892E0DFB}"/>
    <hyperlink ref="B960" r:id="rId2955" display="https://twitter.com/Joccck" xr:uid="{A31AAC4E-C97B-4161-8F55-975283364223}"/>
    <hyperlink ref="E960" r:id="rId2956" display="https://twitter.com/Joccck/status/723128189573173248" xr:uid="{D0EEEABB-4D86-4776-827C-7670C2C4935D}"/>
    <hyperlink ref="O960" r:id="rId2957" display="https://pbs.twimg.com/profile_images/582541186/tw_normal.png" xr:uid="{6E63DF03-C886-473B-8A66-6AC079C8567B}"/>
    <hyperlink ref="B961" r:id="rId2958" display="https://twitter.com/LVIaLondres" xr:uid="{F4D068C7-DC48-4D52-B4B4-2254FDFA1C94}"/>
    <hyperlink ref="E961" r:id="rId2959" display="https://twitter.com/LVIaLondres/status/723128264986910720" xr:uid="{80F29F36-5CF3-4752-B0A7-02E461D25BF9}"/>
    <hyperlink ref="O961" r:id="rId2960" display="https://pbs.twimg.com/profile_images/620156890274766848/QTu02poy_normal.jpg" xr:uid="{346F523C-33BF-4F74-923D-3EFADB768EB5}"/>
    <hyperlink ref="B962" r:id="rId2961" display="https://twitter.com/johnvoelcker" xr:uid="{754C7FF0-CA34-450B-8A31-53FBE1ECFF2D}"/>
    <hyperlink ref="E962" r:id="rId2962" display="https://twitter.com/johnvoelcker/status/723128620953149440" xr:uid="{13070249-1BF1-4D47-A12B-54B7117AE41C}"/>
    <hyperlink ref="O962" r:id="rId2963" display="https://pbs.twimg.com/profile_images/2136613539/JV-headshot_normal.jpg" xr:uid="{62242073-7257-491B-86AB-FC90536D72A2}"/>
    <hyperlink ref="B963" r:id="rId2964" display="https://twitter.com/TrustYourTiming" xr:uid="{A79CFAB9-7B39-407C-A16D-6A00221B3F8F}"/>
    <hyperlink ref="E963" r:id="rId2965" display="https://twitter.com/TrustYourTiming/status/723129030984114176" xr:uid="{0E75325C-D3AC-450E-8939-B9A4D69C6965}"/>
    <hyperlink ref="O963" r:id="rId2966" display="https://pbs.twimg.com/profile_images/686470579168346112/DnV3Y8p7_normal.jpg" xr:uid="{6BDF7013-7F5D-4516-8E1B-179AAE664D6B}"/>
    <hyperlink ref="B964" r:id="rId2967" display="https://twitter.com/Jothipala_Bot" xr:uid="{3F0EB587-A764-4546-A5C3-29187826308A}"/>
    <hyperlink ref="E964" r:id="rId2968" display="https://twitter.com/Jothipala_Bot/status/723129211347673092" xr:uid="{05F6F143-FD32-43E6-B8A7-BD1E27C71F37}"/>
    <hyperlink ref="O964" r:id="rId2969" display="https://pbs.twimg.com/profile_images/541706340779831296/i3McDBwN_normal.png" xr:uid="{18285FF0-73CB-486D-B50C-3A5393693B26}"/>
    <hyperlink ref="B965" r:id="rId2970" display="https://twitter.com/MaxDecker67" xr:uid="{DD1D7FD4-2C94-4F0F-9885-E6ED85C1B78A}"/>
    <hyperlink ref="E965" r:id="rId2971" display="https://twitter.com/MaxDecker67/status/723129226875011072" xr:uid="{F3675517-FACE-4105-B658-5F6602C68D34}"/>
    <hyperlink ref="O965" r:id="rId2972" display="https://pbs.twimg.com/profile_images/452432873757212672/LJOSgKYx_normal.png" xr:uid="{687832B1-B78A-4E0D-B6E1-E9EB0C6B7F92}"/>
    <hyperlink ref="B966" r:id="rId2973" display="https://twitter.com/DS_1962" xr:uid="{45F88F95-52D3-4B67-8107-225B54126F50}"/>
    <hyperlink ref="E966" r:id="rId2974" display="https://twitter.com/DS_1962/status/723129404969218049" xr:uid="{728458F4-4144-497E-9D7D-096A4DF6EB03}"/>
    <hyperlink ref="O966" r:id="rId2975" display="https://pbs.twimg.com/profile_images/722467945360859139/6OG2p13n_normal.jpg" xr:uid="{D1D4FF76-A393-494D-944C-2FB6717459CE}"/>
    <hyperlink ref="B967" r:id="rId2976" display="https://twitter.com/nolenje" xr:uid="{9CBDF153-2B47-4A95-A03C-1044B70E81EC}"/>
    <hyperlink ref="E967" r:id="rId2977" display="https://twitter.com/nolenje/status/723129700390940672" xr:uid="{DD8C02DB-7151-4889-B221-DF1B876EFCB1}"/>
    <hyperlink ref="O967" r:id="rId2978" display="https://pbs.twimg.com/profile_images/716766247204044801/7l0XyxS9_normal.jpg" xr:uid="{31C0C63D-D231-41CD-84D8-2F3485CCBC26}"/>
    <hyperlink ref="B968" r:id="rId2979" display="https://twitter.com/romboke" xr:uid="{694CFBC1-55E2-4DDD-88E1-5E5A4AF7D4D0}"/>
    <hyperlink ref="E968" r:id="rId2980" display="https://twitter.com/romboke/status/723129829252567040" xr:uid="{E6259DDF-17B7-4C8C-B52D-9C694CDB7083}"/>
    <hyperlink ref="O968" r:id="rId2981" display="https://pbs.twimg.com/profile_images/3477322189/129c4efd2a6b9f5acda002db81cea53b_normal.jpeg" xr:uid="{8EEECA8A-75A9-44E1-B11E-4FAE3FB8296F}"/>
    <hyperlink ref="B969" r:id="rId2982" display="https://twitter.com/ebaycampervans" xr:uid="{5B071754-CC36-4ACF-B1AA-80F35A6B12AE}"/>
    <hyperlink ref="E969" r:id="rId2983" display="https://twitter.com/ebaycampervans/status/723130021112508417" xr:uid="{4A4A4B2C-9CF4-4B88-8105-472709A15672}"/>
    <hyperlink ref="O969" r:id="rId2984" display="https://pbs.twimg.com/profile_images/599357023407464449/BL9Bpo6T_normal.jpg" xr:uid="{C3D7C421-47C6-4E45-B2CE-689F76CF90F5}"/>
    <hyperlink ref="B970" r:id="rId2985" display="https://twitter.com/pedpsychdoc" xr:uid="{3381B885-E82A-48CE-8DB0-4D5DA96FC8CB}"/>
    <hyperlink ref="E970" r:id="rId2986" display="https://twitter.com/pedpsychdoc/status/723130294836953088" xr:uid="{C874E075-3FE9-4988-9A9E-4218466E2B84}"/>
    <hyperlink ref="O970" r:id="rId2987" display="https://pbs.twimg.com/profile_images/930095687/childdoc-210-Me_normal.jpg" xr:uid="{E32FD76B-0B90-47F3-B91C-69710E307359}"/>
    <hyperlink ref="B971" r:id="rId2988" display="https://twitter.com/filipepontes" xr:uid="{FF64FFA7-CFFD-4B85-A4A1-E77152C45944}"/>
    <hyperlink ref="E971" r:id="rId2989" display="https://twitter.com/filipepontes/status/723130700342263808" xr:uid="{95B88870-237A-4640-95D0-61362A0954C4}"/>
    <hyperlink ref="O971" r:id="rId2990" display="https://pbs.twimg.com/profile_images/720410079938416640/Kyf-6Ysh_normal.jpg" xr:uid="{37C82F67-13CB-4685-9A70-D6A4AA5A4881}"/>
    <hyperlink ref="B972" r:id="rId2991" display="https://twitter.com/VWCamperSales" xr:uid="{D570ECE2-7906-4596-AA42-00B827979C99}"/>
    <hyperlink ref="E972" r:id="rId2992" display="https://twitter.com/VWCamperSales/status/723130943041466368" xr:uid="{C81DFE2A-610C-4804-8DFA-15A016062E88}"/>
    <hyperlink ref="F972" r:id="rId2993" xr:uid="{5C985217-DFCB-4BBE-BAF2-B01FA3CA12F8}"/>
    <hyperlink ref="O972" r:id="rId2994" display="https://pbs.twimg.com/profile_images/627949001179037696/skEBkS05_normal.jpg" xr:uid="{74B0328F-3754-4CDA-AEA5-9B7B7884238C}"/>
    <hyperlink ref="B973" r:id="rId2995" display="https://twitter.com/motorionline" xr:uid="{064CFEC1-036B-4312-97B7-A60A171F342E}"/>
    <hyperlink ref="C973" r:id="rId2996" xr:uid="{F796AB65-0600-4722-AEEE-9717AD873638}"/>
    <hyperlink ref="E973" r:id="rId2997" display="https://twitter.com/motorionline/status/723131096573992962" xr:uid="{EA813179-BE5B-4007-BE38-249F44E644F7}"/>
    <hyperlink ref="O973" r:id="rId2998" display="https://pbs.twimg.com/profile_images/699554732944203777/mRk8LwQj_normal.jpg" xr:uid="{126F99E7-770E-476B-AC1A-81ACB8475AFF}"/>
    <hyperlink ref="B974" r:id="rId2999" display="https://twitter.com/migladin" xr:uid="{64788CB8-6F6A-4D4A-A4F5-66171EFD56AA}"/>
    <hyperlink ref="E974" r:id="rId3000" display="https://twitter.com/migladin/status/723131199565103104" xr:uid="{16057C2C-094E-4993-B8EA-8992D36B40E3}"/>
    <hyperlink ref="O974" r:id="rId3001" display="https://pbs.twimg.com/profile_images/712297937951395841/ImQevxFP_normal.jpg" xr:uid="{E0C13E81-BC9F-4431-B1F9-74F77A620182}"/>
    <hyperlink ref="B975" r:id="rId3002" display="https://twitter.com/NinjaRemoval" xr:uid="{BB5D64BB-452D-4AC3-8D65-07393AD54459}"/>
    <hyperlink ref="E975" r:id="rId3003" display="https://twitter.com/NinjaRemoval/status/723131558010429440" xr:uid="{28DBC248-7076-4863-84D4-5825089C2AFA}"/>
    <hyperlink ref="O975" r:id="rId3004" display="https://pbs.twimg.com/profile_images/596424269996896256/HlGX8sy-_normal.png" xr:uid="{89F52494-A735-4CFD-9D4A-0B110CC5CDEE}"/>
    <hyperlink ref="B976" r:id="rId3005" display="https://twitter.com/VWBeetleSales" xr:uid="{C57F3B8F-CCD0-4DAC-BF97-2CE43A9D1859}"/>
    <hyperlink ref="E976" r:id="rId3006" display="https://twitter.com/VWBeetleSales/status/723132074983444480" xr:uid="{2AFE6362-0C0E-457F-B5F8-BFA4F4E34902}"/>
    <hyperlink ref="F976" r:id="rId3007" xr:uid="{E2EECCD9-F754-49B9-B439-5DBEB2A81B58}"/>
    <hyperlink ref="O976" r:id="rId3008" display="https://pbs.twimg.com/profile_images/703294545195307008/qeCvrX86_normal.jpg" xr:uid="{1173C064-A9AC-48C9-A93E-6BE42E11CCC1}"/>
    <hyperlink ref="B977" r:id="rId3009" display="https://twitter.com/dan290888" xr:uid="{CB20BE1C-8C69-4704-8439-8573DECF3C69}"/>
    <hyperlink ref="E977" r:id="rId3010" display="https://twitter.com/dan290888/status/723132242495606785" xr:uid="{D1A387E1-C341-4FEB-BD7B-66D55584309A}"/>
    <hyperlink ref="O977" r:id="rId3011" display="https://pbs.twimg.com/profile_images/523068031220854784/Q6ETXmwJ_normal.jpeg" xr:uid="{4B98C345-51BB-45D9-88F9-8F7B2804B7E5}"/>
    <hyperlink ref="B978" r:id="rId3012" display="https://twitter.com/VolkswagenPost" xr:uid="{41DD123D-59D7-4D70-8247-A84C0E317825}"/>
    <hyperlink ref="E978" r:id="rId3013" display="https://twitter.com/VolkswagenPost/status/723132674215317505" xr:uid="{97068714-4AAF-4988-AE80-CF2425BA1CF5}"/>
    <hyperlink ref="O978" r:id="rId3014" display="https://pbs.twimg.com/profile_images/530071272881803264/a_jcCmPZ_normal.png" xr:uid="{3D6C00A3-19EC-4039-B54F-25D3C68407A0}"/>
    <hyperlink ref="B979" r:id="rId3015" display="https://twitter.com/VolkswagenPost" xr:uid="{AA9371F2-B64B-488A-99DB-E76DAA71F4E3}"/>
    <hyperlink ref="E979" r:id="rId3016" display="https://twitter.com/VolkswagenPost/status/723132675477766147" xr:uid="{490E62D4-DAA7-4EAD-A69F-0CCC9126C099}"/>
    <hyperlink ref="O979" r:id="rId3017" display="https://pbs.twimg.com/profile_images/530071272881803264/a_jcCmPZ_normal.png" xr:uid="{583D85F7-751B-41FD-A35C-5C85E77E61DF}"/>
    <hyperlink ref="B980" r:id="rId3018" display="https://twitter.com/OnlineCarReview" xr:uid="{96B99E87-8211-4815-8F2F-E2FCFCF87F4E}"/>
    <hyperlink ref="E980" r:id="rId3019" display="https://twitter.com/OnlineCarReview/status/723132696394788865" xr:uid="{2854613B-C242-450E-A5DB-7DDE1A9B80A1}"/>
    <hyperlink ref="O980" r:id="rId3020" display="https://pbs.twimg.com/profile_images/652871584131092480/QA_B6SBO_normal.jpg" xr:uid="{01C7D148-58C0-4942-93CC-C8DD0C2102D3}"/>
    <hyperlink ref="B981" r:id="rId3021" display="https://twitter.com/OnlineCarReview" xr:uid="{AE578D20-B212-47C4-B1CE-9E8D4825021D}"/>
    <hyperlink ref="E981" r:id="rId3022" display="https://twitter.com/OnlineCarReview/status/723132697313337344" xr:uid="{1C1B7B66-5533-491D-9ADF-8BC6D2362E74}"/>
    <hyperlink ref="O981" r:id="rId3023" display="https://pbs.twimg.com/profile_images/652871584131092480/QA_B6SBO_normal.jpg" xr:uid="{1BCEFDA5-EB19-425E-B7AA-94BB74B5A9A4}"/>
    <hyperlink ref="B982" r:id="rId3024" display="https://twitter.com/Stony_BS" xr:uid="{2B009360-4730-4936-8F14-C35B5E067E93}"/>
    <hyperlink ref="E982" r:id="rId3025" display="https://twitter.com/Stony_BS/status/723132794096885760" xr:uid="{5C65E2B9-9F70-4517-8F38-D16EA7E438AB}"/>
    <hyperlink ref="O982" r:id="rId3026" display="https://pbs.twimg.com/profile_images/668091779313500160/ZepxnJcI_normal.jpg" xr:uid="{80B2EF9E-E949-4E62-B0B3-77525D4845FF}"/>
    <hyperlink ref="B983" r:id="rId3027" display="https://twitter.com/sat1nrw" xr:uid="{DF6E1A5D-3D27-4A86-8DB0-89FF51983A29}"/>
    <hyperlink ref="E983" r:id="rId3028" display="https://twitter.com/sat1nrw/status/723132963978776577" xr:uid="{984164A8-B9CC-458B-8911-5E222211AC16}"/>
    <hyperlink ref="O983" r:id="rId3029" display="https://pbs.twimg.com/profile_images/433531340911149056/UUguipZ9_normal.jpeg" xr:uid="{C7515D32-AE94-4BED-A760-4ECFF8AC8E36}"/>
    <hyperlink ref="B984" r:id="rId3030" display="https://twitter.com/contactTodd" xr:uid="{3D69062C-C97E-4820-B260-5ECA3450AB53}"/>
    <hyperlink ref="E984" r:id="rId3031" display="https://twitter.com/contactTodd/status/723133288940892160" xr:uid="{E7A97C86-B660-4317-9DEA-8A7102769EEB}"/>
    <hyperlink ref="O984" r:id="rId3032" display="https://pbs.twimg.com/profile_images/512530551446589442/4-aW6c2w_normal.jpeg" xr:uid="{1ADB4B0F-CCC2-4B5B-B2E0-FF713D74BC78}"/>
    <hyperlink ref="B985" r:id="rId3033" display="https://twitter.com/beetlebug1938" xr:uid="{EEAF8949-329E-4048-9CCA-B08813DC252B}"/>
    <hyperlink ref="E985" r:id="rId3034" display="https://twitter.com/beetlebug1938/status/723133402787024896" xr:uid="{776C4260-44A9-4521-A8A1-5D60F4319F8F}"/>
    <hyperlink ref="O985" r:id="rId3035" display="https://pbs.twimg.com/profile_images/718820712757215233/LXXndPTS_normal.jpg" xr:uid="{BB5108B9-9D39-4CAF-A5A8-495A26151B72}"/>
    <hyperlink ref="B986" r:id="rId3036" display="https://twitter.com/VWBeetleSales" xr:uid="{3319B32D-E69D-4DF4-9BC8-AA92160C6FFF}"/>
    <hyperlink ref="E986" r:id="rId3037" display="https://twitter.com/VWBeetleSales/status/723133710812368897" xr:uid="{865ED0CD-1B5D-4CD9-8C70-57B3BCF0CDAF}"/>
    <hyperlink ref="F986" r:id="rId3038" xr:uid="{243DF223-5AC9-4C4F-AEC5-5F517568AEAE}"/>
    <hyperlink ref="O986" r:id="rId3039" display="https://pbs.twimg.com/profile_images/703294545195307008/qeCvrX86_normal.jpg" xr:uid="{DF8FD716-DAFA-4478-9734-36FBEF3D14F4}"/>
    <hyperlink ref="B987" r:id="rId3040" display="https://twitter.com/VWOlympia" xr:uid="{F3F218C5-49AD-4AD0-8BA6-FF4BF2655ED9}"/>
    <hyperlink ref="E987" r:id="rId3041" display="https://twitter.com/VWOlympia/status/723134351991541760" xr:uid="{91477B6B-298F-4013-BF3D-0837F493082C}"/>
    <hyperlink ref="O987" r:id="rId3042" display="https://pbs.twimg.com/profile_images/659060605869907968/W4yPKbgf_normal.jpg" xr:uid="{3E2F0ACD-9C08-4E7B-947D-4D17277710D2}"/>
    <hyperlink ref="B988" r:id="rId3043" display="https://twitter.com/BerHerg" xr:uid="{C54910D9-C87F-456E-83F8-8F7CB4AC9377}"/>
    <hyperlink ref="E988" r:id="rId3044" display="https://twitter.com/BerHerg/status/723134379774496768" xr:uid="{AA9854B6-CDD5-482B-9E13-50411CDEFCBF}"/>
    <hyperlink ref="O988" r:id="rId3045" display="https://pbs.twimg.com/profile_images/1648827386/image_normal.jpg" xr:uid="{9E006A8F-2F2A-4FE1-BEF7-C6684AB129A2}"/>
    <hyperlink ref="B989" r:id="rId3046" display="https://twitter.com/Cosmic_Crafts" xr:uid="{A876C245-BF9D-4BF2-803A-318C41F40515}"/>
    <hyperlink ref="E989" r:id="rId3047" display="https://twitter.com/Cosmic_Crafts/status/723134550596038656" xr:uid="{69B579BC-0FE2-4DF3-82AA-29416CF64326}"/>
    <hyperlink ref="O989" r:id="rId3048" display="https://pbs.twimg.com/profile_images/708996674396549120/_NTeAG51_normal.jpg" xr:uid="{83F7548F-EDCE-4C6D-BAA4-AA3F9CE8A9F9}"/>
    <hyperlink ref="B990" r:id="rId3049" display="https://twitter.com/dapper013" xr:uid="{0BB6AA57-D050-4A38-AB9B-21853B7679A1}"/>
    <hyperlink ref="E990" r:id="rId3050" display="https://twitter.com/dapper013/status/723134935482138624" xr:uid="{735EBDA3-31F2-4C1A-98D0-F8181A6AD56B}"/>
    <hyperlink ref="O990" r:id="rId3051" display="https://pbs.twimg.com/profile_images/704424786777280513/YQVkJF57_normal.jpg" xr:uid="{D522A377-175A-4C2A-9966-CFEF9E8E90C9}"/>
    <hyperlink ref="B991" r:id="rId3052" display="https://twitter.com/Scirocco_Tuning" xr:uid="{D2F47ED1-D43F-4028-B490-20B9AFECE0C0}"/>
    <hyperlink ref="E991" r:id="rId3053" display="https://twitter.com/Scirocco_Tuning/status/723135351737454592" xr:uid="{7487F3D0-A51A-4429-AA8D-82660C109CC8}"/>
    <hyperlink ref="O991" r:id="rId3054" display="https://pbs.twimg.com/profile_images/1610421423/Image2_normal.jpg" xr:uid="{C47F69E6-81CE-4FC1-8F6E-F28590CA2309}"/>
    <hyperlink ref="B992" r:id="rId3055" display="https://twitter.com/vwpress_de" xr:uid="{38381EAD-FD64-47EF-89AE-BB6356BB1C67}"/>
    <hyperlink ref="E992" r:id="rId3056" display="https://twitter.com/vwpress_de/status/723135916462747648" xr:uid="{03D9D563-3E7A-470A-9FE1-4655920D67E5}"/>
    <hyperlink ref="O992" r:id="rId3057" display="https://pbs.twimg.com/profile_images/682117656502222848/Ge7YeAF3_normal.png" xr:uid="{8191D16B-DC64-4537-B8BA-FBC12BBE85A2}"/>
    <hyperlink ref="B993" r:id="rId3058" display="https://twitter.com/henrrycarpenter" xr:uid="{C1D1F6A0-02A8-4B11-AB52-B3FDE7279820}"/>
    <hyperlink ref="E993" r:id="rId3059" display="https://twitter.com/henrrycarpenter/status/723137368748752900" xr:uid="{A89DE553-5F8D-4EFD-A964-24F79173834F}"/>
    <hyperlink ref="O993" r:id="rId3060" display="https://pbs.twimg.com/profile_images/416294340630036480/TM6cLoZ3_normal.jpeg" xr:uid="{B24D4AF5-ECDB-4732-B747-A2D08BC478D0}"/>
    <hyperlink ref="B994" r:id="rId3061" display="https://twitter.com/greenback78" xr:uid="{F94FF19A-C053-4127-9909-63F98D1C12CB}"/>
    <hyperlink ref="E994" r:id="rId3062" display="https://twitter.com/greenback78/status/723137518435098624" xr:uid="{CD817F14-7FAD-483D-8BE7-3E63A706BF71}"/>
    <hyperlink ref="O994" r:id="rId3063" display="https://pbs.twimg.com/profile_images/711875123771543552/VBKWbg4u_normal.jpg" xr:uid="{A6851FBF-A3BF-4F4A-B1C5-6E02D70D163C}"/>
    <hyperlink ref="B995" r:id="rId3064" display="https://twitter.com/HPtechnik" xr:uid="{08D585BC-4598-4330-9766-AB2025EDECF1}"/>
    <hyperlink ref="E995" r:id="rId3065" display="https://twitter.com/HPtechnik/status/723137662559899648" xr:uid="{F6BD02A6-8367-42B0-8775-54925340EC30}"/>
    <hyperlink ref="O995" r:id="rId3066" display="https://pbs.twimg.com/profile_images/684689030848581632/5zR21Hk9_normal.jpg" xr:uid="{FB850733-93AD-4B25-A70B-2553512034F0}"/>
    <hyperlink ref="B996" r:id="rId3067" display="https://twitter.com/KraeuterVerbena" xr:uid="{B1ED2454-1426-4C59-BE17-B325BA722B3F}"/>
    <hyperlink ref="E996" r:id="rId3068" display="https://twitter.com/KraeuterVerbena/status/723137773654302721" xr:uid="{E3C1230D-FE67-4170-9656-D22959D03352}"/>
    <hyperlink ref="O996" r:id="rId3069" display="https://pbs.twimg.com/profile_images/378800000109961888/1fe63c1eeb42ea998aeb8b47c703db0c_normal.jpeg" xr:uid="{21B0455B-95BB-42E3-88D4-100036ADD9AD}"/>
    <hyperlink ref="B997" r:id="rId3070" display="https://twitter.com/Russ_und_Klima" xr:uid="{CFF596D1-2D86-414E-8167-C4FE338144AC}"/>
    <hyperlink ref="E997" r:id="rId3071" display="https://twitter.com/Russ_und_Klima/status/723137917900582918" xr:uid="{CAA72FD8-EAFF-4436-9A26-DCFCABAF91D4}"/>
    <hyperlink ref="O997" r:id="rId3072" display="https://pbs.twimg.com/profile_images/306827227/Logo_Russfrei_normal.jpg" xr:uid="{E0D108EF-CC2F-4BEF-BE11-E714F6FB7B14}"/>
    <hyperlink ref="B998" r:id="rId3073" display="https://twitter.com/TheMutti" xr:uid="{10CB923E-DE07-4F62-B5A7-6A2DF12477E2}"/>
    <hyperlink ref="E998" r:id="rId3074" display="https://twitter.com/TheMutti/status/723138499310813186" xr:uid="{51E8E7AF-2068-48EC-BDAA-4F115949176E}"/>
    <hyperlink ref="O998" r:id="rId3075" display="https://pbs.twimg.com/profile_images/687612388103819269/iXaQbnrH_normal.png" xr:uid="{B2C66FD5-FE6D-4862-9A29-59003BA4F7AB}"/>
    <hyperlink ref="B999" r:id="rId3076" display="https://twitter.com/Karlomart" xr:uid="{BDF7F9A9-DEF9-44B1-8B41-B98278FDAF33}"/>
    <hyperlink ref="E999" r:id="rId3077" display="https://twitter.com/Karlomart/status/723138761555496960" xr:uid="{8B793C8F-4511-489B-A2BC-856A6D164191}"/>
    <hyperlink ref="O999" r:id="rId3078" display="https://pbs.twimg.com/profile_images/441017002224660480/wMS_0yBK_normal.jpeg" xr:uid="{B26682E9-268F-49C1-BA63-082FC5C7FA3A}"/>
    <hyperlink ref="B1000" r:id="rId3079" display="https://twitter.com/VWCamperSales" xr:uid="{B753DF52-EC03-4FF2-8F4C-0EEE15284F26}"/>
    <hyperlink ref="E1000" r:id="rId3080" display="https://twitter.com/VWCamperSales/status/723138860415242241" xr:uid="{B80E0137-B6CB-4BB8-9840-9A52727B023A}"/>
    <hyperlink ref="F1000" r:id="rId3081" xr:uid="{7DA552EF-B367-4FBE-B8B0-F08E05A95ADB}"/>
    <hyperlink ref="O1000" r:id="rId3082" display="https://pbs.twimg.com/profile_images/627949001179037696/skEBkS05_normal.jpg" xr:uid="{FF66D2A6-D912-4C1F-BD82-3E2DE35DEBFF}"/>
    <hyperlink ref="B1001" r:id="rId3083" display="https://twitter.com/jenkers_en" xr:uid="{3A078475-C516-4C7D-8D0D-077B7A9B3DFA}"/>
    <hyperlink ref="E1001" r:id="rId3084" display="https://twitter.com/jenkers_en/status/723139182827282432" xr:uid="{EB4F5BCF-7039-4622-9F6D-4FD497A9C798}"/>
    <hyperlink ref="O1001" r:id="rId3085" display="https://pbs.twimg.com/profile_images/588324718677254145/-y5BbeY4_normal.png" xr:uid="{3437E66C-86DF-4D8D-B666-E92A21CDDFE5}"/>
    <hyperlink ref="B1002" r:id="rId3086" display="https://twitter.com/CarNotaFridge" xr:uid="{35E9FEF4-EDE9-43E4-BAFF-F54136478855}"/>
    <hyperlink ref="E1002" r:id="rId3087" display="https://twitter.com/CarNotaFridge/status/723139610914643969" xr:uid="{E5090B7D-CD30-4FB5-B7F9-D3535EBE9123}"/>
    <hyperlink ref="O1002" r:id="rId3088" display="https://pbs.twimg.com/profile_images/1622195010/TEBNYC062011_normal.jpg" xr:uid="{2E09EA35-5AA5-463A-979D-301C1922E997}"/>
    <hyperlink ref="B1003" r:id="rId3089" display="https://twitter.com/VWBeetleSales" xr:uid="{7D5ACC11-83DB-41DA-825A-48245BC52A39}"/>
    <hyperlink ref="E1003" r:id="rId3090" display="https://twitter.com/VWBeetleSales/status/723140376257679362" xr:uid="{4339713C-45E1-44F3-8DCF-6B0D1EE90911}"/>
    <hyperlink ref="F1003" r:id="rId3091" xr:uid="{E57FDA4E-1BE9-4037-9A78-CB60945B41F5}"/>
    <hyperlink ref="O1003" r:id="rId3092" display="https://pbs.twimg.com/profile_images/703294545195307008/qeCvrX86_normal.jpg" xr:uid="{296E7A35-E718-4B6C-A31C-28134FB3BEA7}"/>
    <hyperlink ref="B1004" r:id="rId3093" display="https://twitter.com/svetnovca" xr:uid="{EE123D7E-34F6-4F7A-8E3D-61B4D7871956}"/>
    <hyperlink ref="E1004" r:id="rId3094" display="https://twitter.com/svetnovca/status/723140698220974080" xr:uid="{E0A0C987-4CAE-4500-8A41-D1C7048BCC65}"/>
    <hyperlink ref="F1004" r:id="rId3095" xr:uid="{DA806BE4-9771-462C-B775-C3723CE68D0D}"/>
    <hyperlink ref="O1004" r:id="rId3096" display="https://pbs.twimg.com/profile_images/515116111235272704/3SRLYum5_normal.jpeg" xr:uid="{C5F93D3A-952E-4FF2-98CF-9A2EAC9B3B85}"/>
    <hyperlink ref="B1005" r:id="rId3097" display="https://twitter.com/IAQforMN" xr:uid="{5DA9E6E7-EFFF-456F-A893-4C2227C7F408}"/>
    <hyperlink ref="E1005" r:id="rId3098" display="https://twitter.com/IAQforMN/status/723140758451134464" xr:uid="{87CDF52A-D3BB-4F43-82C3-C4B4BF54D754}"/>
    <hyperlink ref="O1005" r:id="rId3099" display="https://pbs.twimg.com/profile_images/2218224860/small_logo_normal.jpg" xr:uid="{D2914ACE-7143-4D74-95C6-8D5039435D76}"/>
    <hyperlink ref="B1006" r:id="rId3100" display="https://twitter.com/TheLastDonDiva" xr:uid="{35BD12A9-4F2D-40DE-8FD1-53797D6A06F7}"/>
    <hyperlink ref="E1006" r:id="rId3101" display="https://twitter.com/TheLastDonDiva/status/723141682347139073" xr:uid="{3F9B96F2-8430-4A3A-B0A4-2C805EC8D8D9}"/>
    <hyperlink ref="O1006" r:id="rId3102" display="https://pbs.twimg.com/profile_images/378800000553614858/a0b1bede0abb0d25abffa0307f37509b_normal.png" xr:uid="{E4323FB9-1CAB-4FD1-B620-CADE62C2873E}"/>
    <hyperlink ref="B1007" r:id="rId3103" display="https://twitter.com/mrtimochee" xr:uid="{FF21AA77-1951-4796-9AD4-18AEBAC857A5}"/>
    <hyperlink ref="E1007" r:id="rId3104" display="https://twitter.com/mrtimochee/status/723141970386915328" xr:uid="{0E7B779B-FF44-47E0-9FBD-4C895ED28E05}"/>
    <hyperlink ref="O1007" r:id="rId3105" display="https://pbs.twimg.com/profile_images/378800000029735186/0e21db349c499d999a6ad25272a152db_normal.jpeg" xr:uid="{65FC5F12-8D76-4181-AA1C-8017E1A5D300}"/>
    <hyperlink ref="B1008" r:id="rId3106" display="https://twitter.com/VWCamperSales" xr:uid="{FD7FF0E9-D502-4802-8A6F-748AC1791E3C}"/>
    <hyperlink ref="E1008" r:id="rId3107" display="https://twitter.com/VWCamperSales/status/723142546369601540" xr:uid="{2D3B918D-0824-4081-BAE0-23780C2A2142}"/>
    <hyperlink ref="F1008" r:id="rId3108" xr:uid="{BAEEF413-693C-4957-9602-B2817738D2E6}"/>
    <hyperlink ref="O1008" r:id="rId3109" display="https://pbs.twimg.com/profile_images/627949001179037696/skEBkS05_normal.jpg" xr:uid="{7AABD877-9607-4E46-9FB1-032E7EB42B7A}"/>
    <hyperlink ref="B1009" r:id="rId3110" display="https://twitter.com/VWCamperSales" xr:uid="{1EA57135-33A6-4160-8918-B47DE03B6B78}"/>
    <hyperlink ref="E1009" r:id="rId3111" display="https://twitter.com/VWCamperSales/status/723142553009184769" xr:uid="{DC6F423B-3DB4-44AC-BD90-BC2A787FFEAF}"/>
    <hyperlink ref="F1009" r:id="rId3112" xr:uid="{A57DD091-B8AE-48B5-8CBC-461FCDDDD6B9}"/>
    <hyperlink ref="O1009" r:id="rId3113" display="https://pbs.twimg.com/profile_images/627949001179037696/skEBkS05_normal.jpg" xr:uid="{5E99366C-DD7B-422E-83E4-E05B36F76F94}"/>
    <hyperlink ref="B1010" r:id="rId3114" display="https://twitter.com/GNTools_" xr:uid="{1FD824D2-6B25-4679-9902-AAD6D6B787F0}"/>
    <hyperlink ref="E1010" r:id="rId3115" display="https://twitter.com/GNTools_/status/723142715517591552" xr:uid="{AAAE526D-870C-4AC5-86D0-B3503A2AB8DB}"/>
    <hyperlink ref="O1010" r:id="rId3116" display="https://pbs.twimg.com/profile_images/714823479841988610/NhkMmQXO_normal.jpg" xr:uid="{07C42C7E-09C6-48DC-BED3-E86BCAD65459}"/>
    <hyperlink ref="B1011" r:id="rId3117" display="https://twitter.com/Rubyrocket67" xr:uid="{EF2EA1CF-E82F-42D7-A734-E4FDEF2DD3CB}"/>
    <hyperlink ref="E1011" r:id="rId3118" display="https://twitter.com/Rubyrocket67/status/723142906584961024" xr:uid="{C2D3107C-FA20-4832-A5D4-5FE6B2C5960F}"/>
    <hyperlink ref="O1011" r:id="rId3119" display="https://pbs.twimg.com/profile_images/638932143205322753/4WrhW3lA_normal.jpg" xr:uid="{BFF84B2C-E402-4243-A040-4B361B550BAD}"/>
    <hyperlink ref="B1012" r:id="rId3120" display="https://twitter.com/dhenneton" xr:uid="{F095B256-39C4-4070-9745-C68337996FD3}"/>
    <hyperlink ref="E1012" r:id="rId3121" display="https://twitter.com/dhenneton/status/723143119684833280" xr:uid="{0E4C68CD-3EFC-4B25-945E-2A7212DE54B4}"/>
    <hyperlink ref="O1012" r:id="rId3122" display="https://pbs.twimg.com/profile_images/529657323615424512/qo5NPKe2_normal.jpeg" xr:uid="{9317067F-EBE0-4145-A686-177065925727}"/>
    <hyperlink ref="B1013" r:id="rId3123" display="https://twitter.com/dwnews" xr:uid="{B82681AC-AC54-4919-9AA6-816AB86E91BD}"/>
    <hyperlink ref="E1013" r:id="rId3124" display="https://twitter.com/dwnews/status/723143274597216257" xr:uid="{ED5D0BD7-D931-4B97-8C3C-310E3D8DF296}"/>
    <hyperlink ref="O1013" r:id="rId3125" display="https://pbs.twimg.com/profile_images/608213167496417280/QSxgcLn__normal.png" xr:uid="{1FE07537-7D6D-4DC9-BBEF-562DA33526E6}"/>
    <hyperlink ref="B1014" r:id="rId3126" display="https://twitter.com/benkymens" xr:uid="{08A9E948-19E6-4AB8-BC04-95AF4AD5C3A9}"/>
    <hyperlink ref="E1014" r:id="rId3127" display="https://twitter.com/benkymens/status/723143610502258688" xr:uid="{75DE31FF-FFEE-4841-8C3B-3D59C1DCC1C3}"/>
    <hyperlink ref="O1014" r:id="rId3128" display="https://pbs.twimg.com/profile_images/723239346351013888/wzCCXB_d_normal.jpg" xr:uid="{276EAB15-7AF5-42E4-845F-09611B3536B2}"/>
    <hyperlink ref="B1015" r:id="rId3129" display="https://twitter.com/zbunny01" xr:uid="{869C8120-1E09-4112-8AA8-C8FE695F19F1}"/>
    <hyperlink ref="E1015" r:id="rId3130" display="https://twitter.com/zbunny01/status/723143709823537152" xr:uid="{5DF6E2C9-9595-4B81-877B-7EBD22D2027D}"/>
    <hyperlink ref="O1015" r:id="rId3131" display="https://pbs.twimg.com/profile_images/684827448278646784/GTQkjjky_normal.jpg" xr:uid="{7127C466-7B98-4F77-9F7D-E7C7332F72AA}"/>
    <hyperlink ref="B1016" r:id="rId3132" display="https://twitter.com/JSYorkshire" xr:uid="{EEE51329-E270-4591-86E2-F8AA63EDFA12}"/>
    <hyperlink ref="E1016" r:id="rId3133" display="https://twitter.com/JSYorkshire/status/723143771265880064" xr:uid="{C13D00E4-67BA-4DE9-BBB6-E71D845AC128}"/>
    <hyperlink ref="O1016" r:id="rId3134" display="https://pbs.twimg.com/profile_images/694562460947353600/LXwVOUmX_normal.jpg" xr:uid="{4BE17929-1290-4D3A-8265-20BB8E2D2BA9}"/>
    <hyperlink ref="B1017" r:id="rId3135" display="https://twitter.com/faznet" xr:uid="{BFCD232D-174E-439E-BF1B-DA27D2367EBE}"/>
    <hyperlink ref="C1017" r:id="rId3136" xr:uid="{B346A5EE-560F-4C35-801A-01DFD775ADE7}"/>
    <hyperlink ref="E1017" r:id="rId3137" display="https://twitter.com/faznet/status/723144020227059712" xr:uid="{E680236C-ED8F-456C-B1E0-892C5ADA8315}"/>
    <hyperlink ref="O1017" r:id="rId3138" display="https://pbs.twimg.com/profile_images/477438671151304705/8XlAQ509_normal.jpeg" xr:uid="{DFF15786-A23A-45A2-8B08-3116A66BCF18}"/>
    <hyperlink ref="B1018" r:id="rId3139" display="https://twitter.com/VWCamperSales" xr:uid="{6F13FD71-2676-40C5-AA01-EDAF3268690E}"/>
    <hyperlink ref="E1018" r:id="rId3140" display="https://twitter.com/VWCamperSales/status/723144036458991618" xr:uid="{D753F581-E948-47CE-B959-2E5FD2C5268C}"/>
    <hyperlink ref="F1018" r:id="rId3141" xr:uid="{9B9C0497-CEA0-41A5-BD02-5A94BB054876}"/>
    <hyperlink ref="O1018" r:id="rId3142" display="https://pbs.twimg.com/profile_images/627949001179037696/skEBkS05_normal.jpg" xr:uid="{A1715EE3-BB84-4D3E-86BB-D27621E2633E}"/>
    <hyperlink ref="B1019" r:id="rId3143" display="https://twitter.com/oldcar_photo" xr:uid="{7FBB004C-8877-4C6B-852F-B5540B9B8FAB}"/>
    <hyperlink ref="E1019" r:id="rId3144" display="https://twitter.com/oldcar_photo/status/723144090586591233" xr:uid="{43D15324-3AB9-4E4F-A3B4-13764FB88F93}"/>
    <hyperlink ref="O1019" r:id="rId3145" display="https://pbs.twimg.com/profile_images/615493650785660928/XHUh6HOk_normal.jpg" xr:uid="{9619A7C0-DF74-45CF-B1E4-446EC73A68EB}"/>
    <hyperlink ref="B1020" r:id="rId3146" display="https://twitter.com/oldcar_photo" xr:uid="{B9FDBD37-3DE6-4380-9CAB-AB44E16C43A5}"/>
    <hyperlink ref="E1020" r:id="rId3147" display="https://twitter.com/oldcar_photo/status/723144104327127040" xr:uid="{BC332F5A-781A-462C-A2FC-945A425E72C5}"/>
    <hyperlink ref="O1020" r:id="rId3148" display="https://pbs.twimg.com/profile_images/615493650785660928/XHUh6HOk_normal.jpg" xr:uid="{B330345D-23DC-48E2-9197-A3B2E66ABF57}"/>
    <hyperlink ref="B1021" r:id="rId3149" display="https://twitter.com/Insta_VWT" xr:uid="{E853B86F-C1DF-428D-B3DA-4C957A2A7C97}"/>
    <hyperlink ref="E1021" r:id="rId3150" display="https://twitter.com/Insta_VWT/status/723144259264720896" xr:uid="{7E2E924E-CF5D-4DB9-A657-277F0D4D40C4}"/>
    <hyperlink ref="O1021" r:id="rId3151" display="https://pbs.twimg.com/profile_images/424893967197433858/iQ86NktX_normal.jpeg" xr:uid="{D25E14E0-39AA-4E3A-9AB0-1D89957D785F}"/>
    <hyperlink ref="B1022" r:id="rId3152" display="https://twitter.com/Insta_VWT" xr:uid="{EC41F407-363B-44E1-9E6E-DBADA6048F41}"/>
    <hyperlink ref="E1022" r:id="rId3153" display="https://twitter.com/Insta_VWT/status/723144274678812672" xr:uid="{D97D25B8-7F00-4F1D-8DF6-9623CC5927CF}"/>
    <hyperlink ref="O1022" r:id="rId3154" display="https://pbs.twimg.com/profile_images/424893967197433858/iQ86NktX_normal.jpeg" xr:uid="{49C8C5FF-5265-4575-98F1-7BD46F64C548}"/>
    <hyperlink ref="B1023" r:id="rId3155" display="https://twitter.com/Insta_VWT" xr:uid="{59E6DB75-AE4C-49B0-B962-4402B02F84D2}"/>
    <hyperlink ref="E1023" r:id="rId3156" display="https://twitter.com/Insta_VWT/status/723144289203703809" xr:uid="{C41BF3EB-DBD0-4E15-8EFB-7916208F89C8}"/>
    <hyperlink ref="O1023" r:id="rId3157" display="https://pbs.twimg.com/profile_images/424893967197433858/iQ86NktX_normal.jpeg" xr:uid="{B52A9FFD-56AA-47CF-859C-5D22D36C0AE4}"/>
    <hyperlink ref="B1024" r:id="rId3158" display="https://twitter.com/VWofLaurel" xr:uid="{1ED3A7B1-8C41-4F8D-A313-48464511681A}"/>
    <hyperlink ref="E1024" r:id="rId3159" display="https://twitter.com/VWofLaurel/status/723144300003995648" xr:uid="{26A0B7D7-7EC5-4CFE-BC67-38BF547BC97D}"/>
    <hyperlink ref="O1024" r:id="rId3160" display="https://pbs.twimg.com/profile_images/707556127202881537/wxyyuNEr_normal.jpg" xr:uid="{799EE30E-94C2-4BF2-910E-0308488272A1}"/>
    <hyperlink ref="B1025" r:id="rId3161" display="https://twitter.com/Insta_VWT" xr:uid="{7D9CE3AD-09B0-4C73-A15D-03710861841B}"/>
    <hyperlink ref="E1025" r:id="rId3162" display="https://twitter.com/Insta_VWT/status/723144309193760769" xr:uid="{FA87200F-F9A4-4B54-B46F-F4614C35EDAB}"/>
    <hyperlink ref="O1025" r:id="rId3163" display="https://pbs.twimg.com/profile_images/424893967197433858/iQ86NktX_normal.jpeg" xr:uid="{D4A75FB5-6906-4E3C-B99E-D2B65A2C9009}"/>
    <hyperlink ref="B1026" r:id="rId3164" display="https://twitter.com/AnnaVizzari" xr:uid="{F1D255BD-694A-45C2-A990-013787C85482}"/>
    <hyperlink ref="E1026" r:id="rId3165" display="https://twitter.com/AnnaVizzari/status/723144353061965824" xr:uid="{97706922-45DE-477E-AE62-A7CE33AB9C04}"/>
    <hyperlink ref="O1026" r:id="rId3166" display="https://pbs.twimg.com/profile_images/487991398982230016/CCHagZ06_normal.jpeg" xr:uid="{77F52D9C-29EE-45A6-A7FB-B43618349E9E}"/>
    <hyperlink ref="B1027" r:id="rId3167" display="https://twitter.com/VeeDubMk1_" xr:uid="{F1EEDF01-7D76-4221-90E7-0BE2AE303433}"/>
    <hyperlink ref="E1027" r:id="rId3168" display="https://twitter.com/VeeDubMk1_/status/723144422997786624" xr:uid="{29467E1C-0AE0-4D91-B53E-1CDAA0A81748}"/>
    <hyperlink ref="O1027" r:id="rId3169" display="https://pbs.twimg.com/profile_images/672878354127839232/M7OYc-zx_normal.jpg" xr:uid="{5785AC5D-0D10-4DFD-96F2-8BBBCAACF435}"/>
    <hyperlink ref="B1028" r:id="rId3170" display="https://twitter.com/EcoImQuadrat" xr:uid="{24369899-0AAA-4398-A4AE-D5A387DE5116}"/>
    <hyperlink ref="E1028" r:id="rId3171" display="https://twitter.com/EcoImQuadrat/status/723144458510823424" xr:uid="{9A6B0226-5EBB-4709-A5A0-D50DD8613B66}"/>
    <hyperlink ref="O1028" r:id="rId3172" display="https://pbs.twimg.com/profile_images/664405900933877760/msXV_X2e_normal.jpg" xr:uid="{BAC90E87-51B7-49EC-B42A-8377307E1A2D}"/>
    <hyperlink ref="B1029" r:id="rId3173" display="https://twitter.com/Martin_0607" xr:uid="{6E87D59B-9DB2-4291-8F22-18C1CA73DA49}"/>
    <hyperlink ref="E1029" r:id="rId3174" display="https://twitter.com/Martin_0607/status/723144466220064768" xr:uid="{4C44BACF-2BAF-4509-847A-5D83DACE1879}"/>
    <hyperlink ref="O1029" r:id="rId3175" display="https://pbs.twimg.com/profile_images/693135738511216640/ZmX5wPdy_normal.jpg" xr:uid="{A0EBC246-334C-4588-9043-64E3DE8D65D7}"/>
    <hyperlink ref="B1030" r:id="rId3176" display="https://twitter.com/KarlHarenbrock" xr:uid="{866997CF-B9B9-4676-813D-54481F421220}"/>
    <hyperlink ref="E1030" r:id="rId3177" display="https://twitter.com/KarlHarenbrock/status/723144540287295488" xr:uid="{63B4D427-C58E-47BA-AD8C-9A7C0F5CFC1D}"/>
    <hyperlink ref="O1030" r:id="rId3178" display="https://pbs.twimg.com/profile_images/672388164602982402/VUyn5Uy1_normal.jpg" xr:uid="{0F646057-7E42-424A-8AC1-412D5404FA7F}"/>
    <hyperlink ref="B1031" r:id="rId3179" display="https://twitter.com/FAZ_Wirtschaft" xr:uid="{6D51B4B0-4986-41CB-9A7E-E9EEC2CB2B4E}"/>
    <hyperlink ref="E1031" r:id="rId3180" display="https://twitter.com/FAZ_Wirtschaft/status/723144660047134724" xr:uid="{173119BF-0E00-4BA3-BA53-9356A80FB4D1}"/>
    <hyperlink ref="O1031" r:id="rId3181" display="https://pbs.twimg.com/profile_images/477440204932796419/Ubdok5z2_normal.jpeg" xr:uid="{ED6EE714-E8E5-4B20-BB28-75C30760360F}"/>
    <hyperlink ref="B1032" r:id="rId3182" display="https://twitter.com/Ken_Weene" xr:uid="{5C7FBA71-5217-4729-B641-93F61BCAEE44}"/>
    <hyperlink ref="E1032" r:id="rId3183" display="https://twitter.com/Ken_Weene/status/723144752586211328" xr:uid="{EB3EE027-7F2F-4C29-AAF7-6159AB9B0361}"/>
    <hyperlink ref="F1032" r:id="rId3184" xr:uid="{4327BA4E-8491-4A50-AF1B-7D4BEB51CDEF}"/>
    <hyperlink ref="O1032" r:id="rId3185" display="https://pbs.twimg.com/profile_images/462453254639472641/Cza-umzP_normal.png" xr:uid="{2555CA68-B9EB-412C-B375-9C4501103FBD}"/>
    <hyperlink ref="B1033" r:id="rId3186" display="https://twitter.com/ExCEO_" xr:uid="{E48E68DF-DB6B-4D0F-999F-AED3D3997387}"/>
    <hyperlink ref="E1033" r:id="rId3187" display="https://twitter.com/ExCEO_/status/723144753798217730" xr:uid="{83E7500D-FF5A-4B53-95D6-7FC3F7EED499}"/>
    <hyperlink ref="O1033" r:id="rId3188" display="https://pbs.twimg.com/profile_images/3346543471/c7c79480b7b405ee902a5fcb600153a0_normal.jpeg" xr:uid="{AC66A705-30A0-4A4F-94C0-62C2B9C897C4}"/>
    <hyperlink ref="B1034" r:id="rId3189" display="https://twitter.com/Elitet5" xr:uid="{2428764A-003F-4FFF-B484-9FA7796249A9}"/>
    <hyperlink ref="E1034" r:id="rId3190" display="https://twitter.com/Elitet5/status/723144922497470464" xr:uid="{7E46C482-1AFD-44B7-80B0-0B8CC284FCC6}"/>
    <hyperlink ref="O1034" r:id="rId3191" display="https://pbs.twimg.com/profile_images/431166006807904256/QQuD9iZE_normal.jpeg" xr:uid="{A797E60F-3CAD-4286-A967-53D3BD713EBE}"/>
    <hyperlink ref="B1035" r:id="rId3192" display="https://twitter.com/Way_Cool_" xr:uid="{DC7AF366-E46E-4E19-A2E5-A3332CE0C1A1}"/>
    <hyperlink ref="E1035" r:id="rId3193" display="https://twitter.com/Way_Cool_/status/723144952297959424" xr:uid="{C4D86AE2-63EC-4FD7-A216-5C76BFC736D3}"/>
    <hyperlink ref="O1035" r:id="rId3194" display="https://pbs.twimg.com/profile_images/708280127025598464/akwVZYwc_normal.jpg" xr:uid="{44AC69C7-68E6-4588-9CF5-58380896020B}"/>
    <hyperlink ref="B1036" r:id="rId3195" display="https://twitter.com/DubLuvTuning" xr:uid="{C3536849-9718-4C4C-A750-8F13BF601078}"/>
    <hyperlink ref="E1036" r:id="rId3196" display="https://twitter.com/DubLuvTuning/status/723145060783656960" xr:uid="{F405710C-7E04-40D6-A5EC-81D11AA66FF1}"/>
    <hyperlink ref="O1036" r:id="rId3197" display="https://pbs.twimg.com/profile_images/378800000572104796/1de43e1cf23efb3f4101c02afad0d3b6_normal.png" xr:uid="{91639130-6C80-4196-920B-552FCC8F907E}"/>
    <hyperlink ref="B1037" r:id="rId3198" display="https://twitter.com/WesHellyar" xr:uid="{1B131E88-02FD-4915-8011-0A7F5F50F80D}"/>
    <hyperlink ref="E1037" r:id="rId3199" display="https://twitter.com/WesHellyar/status/723145181256523776" xr:uid="{CA3422CE-B500-43CA-8A3F-03E5BEE8330F}"/>
    <hyperlink ref="O1037" r:id="rId3200" display="https://pbs.twimg.com/profile_images/651826175686348800/Ayt2FVOc_normal.jpg" xr:uid="{F9C259E1-8FA2-4978-B39B-931AB480A0EB}"/>
    <hyperlink ref="B1038" r:id="rId3201" display="https://twitter.com/instock_de" xr:uid="{CBBFDFAA-DC8E-4B50-8ECF-2A941C42D9B7}"/>
    <hyperlink ref="C1038" r:id="rId3202" xr:uid="{6FE28F82-03AB-412D-83A5-5307B952D854}"/>
    <hyperlink ref="E1038" r:id="rId3203" display="https://twitter.com/instock_de/status/723145182472871936" xr:uid="{1ECE6F88-A6EE-4CF2-8FC1-19C1FE1C6CCE}"/>
    <hyperlink ref="O1038" r:id="rId3204" display="https://pbs.twimg.com/profile_images/1200648485/instock_normal.jpg" xr:uid="{3A53975D-3EF8-42C9-88AA-8A9777DB7971}"/>
    <hyperlink ref="B1039" r:id="rId3205" display="https://twitter.com/AutosAlPisoARG" xr:uid="{4810FAC7-B998-4123-834B-57D6793233FF}"/>
    <hyperlink ref="E1039" r:id="rId3206" display="https://twitter.com/AutosAlPisoARG/status/723145349104316416" xr:uid="{C6535754-DE47-4012-91B8-C2C767521DAA}"/>
    <hyperlink ref="O1039" r:id="rId3207" display="https://pbs.twimg.com/profile_images/703044094143160320/3TabT6hG_normal.jpg" xr:uid="{7777CDCA-9327-4599-ABFD-FE85B3B74443}"/>
    <hyperlink ref="B1040" r:id="rId3208" display="https://twitter.com/VCT_Tweets" xr:uid="{366D888A-38A4-45AE-93CC-1A0C9416B5CA}"/>
    <hyperlink ref="E1040" r:id="rId3209" display="https://twitter.com/VCT_Tweets/status/723145365894115328" xr:uid="{52C049BC-67CF-4ADB-BD59-D246DFDFC89F}"/>
    <hyperlink ref="O1040" r:id="rId3210" display="https://pbs.twimg.com/profile_images/569800899141177344/nVFLMSdb_normal.png" xr:uid="{D3E17DDF-F1B1-4382-BA76-55FD0FD93771}"/>
    <hyperlink ref="B1041" r:id="rId3211" display="https://twitter.com/alsopi1" xr:uid="{2B2BE1BD-77C7-42A9-A075-AC8027C446DA}"/>
    <hyperlink ref="E1041" r:id="rId3212" display="https://twitter.com/alsopi1/status/723145463852052480" xr:uid="{21BFFE28-A05F-420A-8F6E-104882A023F6}"/>
    <hyperlink ref="O1041" r:id="rId3213" display="https://pbs.twimg.com/profile_images/722939606061158402/0mK_jA0z_normal.jpg" xr:uid="{4698514A-1C49-4CDA-A647-A31FC47F766F}"/>
    <hyperlink ref="B1042" r:id="rId3214" display="https://twitter.com/Luchyokk" xr:uid="{6F6F03C4-4DE9-4B44-B4AD-75FF13711196}"/>
    <hyperlink ref="E1042" r:id="rId3215" display="https://twitter.com/Luchyokk/status/723145486127996928" xr:uid="{592D2413-C2BC-4DFD-8BF5-5634281AEF71}"/>
    <hyperlink ref="O1042" r:id="rId3216" display="https://pbs.twimg.com/profile_images/675866578760634369/Wu-DqRQO_normal.jpg" xr:uid="{6F82CDA6-F237-4236-B22D-AE89CD5245D7}"/>
    <hyperlink ref="B1043" r:id="rId3217" display="https://twitter.com/krynauwx" xr:uid="{AB58B6E7-865C-41FA-ABF3-0F0248DC79DC}"/>
    <hyperlink ref="E1043" r:id="rId3218" display="https://twitter.com/krynauwx/status/723145498111123456" xr:uid="{C4F4B8B7-6BE4-4507-92A8-4456CF268FE3}"/>
    <hyperlink ref="O1043" r:id="rId3219" display="https://pbs.twimg.com/profile_images/547582382313078784/f174KBJh_normal.jpeg" xr:uid="{3C02150D-854B-41CC-9965-91079F1BA91D}"/>
    <hyperlink ref="B1044" r:id="rId3220" display="https://twitter.com/jaaviPR" xr:uid="{F1194EEE-0DE4-4675-8048-5D19699DB415}"/>
    <hyperlink ref="E1044" r:id="rId3221" display="https://twitter.com/jaaviPR/status/723145565828079618" xr:uid="{461FDB6B-433E-44E1-BBFC-080CDD89D298}"/>
    <hyperlink ref="O1044" r:id="rId3222" display="https://pbs.twimg.com/profile_images/701224634591682560/MAVaohWB_normal.jpg" xr:uid="{69124020-CD8F-41AC-BEF7-DCEAB51961A5}"/>
    <hyperlink ref="B1045" r:id="rId3223" display="https://twitter.com/Saantiiiaag" xr:uid="{8DB4E641-BA59-47F3-BEFB-1E2ADB8DE803}"/>
    <hyperlink ref="E1045" r:id="rId3224" display="https://twitter.com/Saantiiiaag/status/723145576099909632" xr:uid="{E936C302-0E1D-49C7-A513-7CDBC1C8FAD3}"/>
    <hyperlink ref="O1045" r:id="rId3225" display="https://pbs.twimg.com/profile_images/717909170180263939/Srf5v8iP_normal.jpg" xr:uid="{DA845EFD-1665-42D8-B5A0-9EE0663E699C}"/>
    <hyperlink ref="B1046" r:id="rId3226" display="https://twitter.com/lucas_medel" xr:uid="{89007D01-C6A3-454F-9728-48CCEBB6A9CF}"/>
    <hyperlink ref="E1046" r:id="rId3227" display="https://twitter.com/lucas_medel/status/723145613400018945" xr:uid="{0019E957-3936-4681-9D4B-3E8004E04C96}"/>
    <hyperlink ref="O1046" r:id="rId3228" display="https://pbs.twimg.com/profile_images/721352520015159296/hos8kuLH_normal.jpg" xr:uid="{0AD16A4F-A739-4A8A-96AB-43AF3E6ACB08}"/>
    <hyperlink ref="B1047" r:id="rId3229" display="https://twitter.com/VWCamperSales" xr:uid="{D39B51DB-FE7D-48BF-8873-305C8A41E7E2}"/>
    <hyperlink ref="E1047" r:id="rId3230" display="https://twitter.com/VWCamperSales/status/723145653652590597" xr:uid="{BB503C04-ACC9-4435-9C47-E524D72A5E9C}"/>
    <hyperlink ref="F1047" r:id="rId3231" xr:uid="{D9AEEBC1-D1B2-4A64-8B0B-66920E73DB08}"/>
    <hyperlink ref="O1047" r:id="rId3232" display="https://pbs.twimg.com/profile_images/627949001179037696/skEBkS05_normal.jpg" xr:uid="{CFE4DD92-A199-44C4-97D8-18FED1966CFF}"/>
    <hyperlink ref="B1048" r:id="rId3233" display="https://twitter.com/SanhuezaGonza99" xr:uid="{15B6EB84-A9D5-45F8-A2BB-46B1B6D3512C}"/>
    <hyperlink ref="E1048" r:id="rId3234" display="https://twitter.com/SanhuezaGonza99/status/723145664410972160" xr:uid="{A29CC2ED-8AA9-48B2-A8D0-FC7CDF918680}"/>
    <hyperlink ref="O1048" r:id="rId3235" display="https://pbs.twimg.com/profile_images/723297570173378560/FidV7al0_normal.jpg" xr:uid="{01F31A3F-61DC-4DA2-ADA8-8C43C1463C8A}"/>
    <hyperlink ref="B1049" r:id="rId3236" display="https://twitter.com/sprinter_bc" xr:uid="{4B4707BE-25EA-413D-9785-F02E50F4B959}"/>
    <hyperlink ref="E1049" r:id="rId3237" display="https://twitter.com/sprinter_bc/status/723145793700417538" xr:uid="{397B9C36-DC24-41F9-8579-DDDC13728A77}"/>
    <hyperlink ref="O1049" r:id="rId3238" display="https://pbs.twimg.com/profile_images/676710547753066496/z2Ws4-C5_normal.jpg" xr:uid="{D56633E0-1788-47E5-A791-CE43916EA750}"/>
    <hyperlink ref="B1050" r:id="rId3239" display="https://twitter.com/Clari_2011R" xr:uid="{BC5BFD23-722D-437A-8D0A-B521C6C1D0F4}"/>
    <hyperlink ref="E1050" r:id="rId3240" display="https://twitter.com/Clari_2011R/status/723145931550543872" xr:uid="{2AADA50D-8FBF-47C0-B1E3-4D188963E83B}"/>
    <hyperlink ref="O1050" r:id="rId3241" display="https://pbs.twimg.com/profile_images/721153651134345217/09aHTCSW_normal.jpg" xr:uid="{72AD82E6-60B6-45D1-B5D2-0B883A589290}"/>
    <hyperlink ref="B1051" r:id="rId3242" display="https://twitter.com/YokohamaRides" xr:uid="{1A84F07C-2B40-48CA-ABEF-2C1C485510E9}"/>
    <hyperlink ref="E1051" r:id="rId3243" display="https://twitter.com/YokohamaRides/status/723146054254743552" xr:uid="{3BDB6974-E8C8-4AE7-A5B8-BDA6405EA976}"/>
    <hyperlink ref="O1051" r:id="rId3244" display="https://pbs.twimg.com/profile_images/686739283462365184/x_Wz7nZw_normal.jpg" xr:uid="{29B45946-80DA-4C76-813F-EB8C9BC838A9}"/>
    <hyperlink ref="B1052" r:id="rId3245" display="https://twitter.com/bikes_vs_cars" xr:uid="{D895E406-D8DB-4CC2-8F76-8DE96DD79AB8}"/>
    <hyperlink ref="E1052" r:id="rId3246" display="https://twitter.com/bikes_vs_cars/status/723146252129431553" xr:uid="{9CBC3B0B-9EF0-4E51-A0E8-29AAA0446D35}"/>
    <hyperlink ref="O1052" r:id="rId3247" display="https://pbs.twimg.com/profile_images/378800000418599621/7e5eb885f760734c14d5b951deacc01b_normal.jpeg" xr:uid="{00B59B7E-5953-4387-8490-13043B091EA7}"/>
    <hyperlink ref="B1053" r:id="rId3248" display="https://twitter.com/alsternerd" xr:uid="{507AB2F6-D400-4B71-AF59-36A78788D376}"/>
    <hyperlink ref="E1053" r:id="rId3249" display="https://twitter.com/alsternerd/status/723146353384280064" xr:uid="{8654C77D-8216-40EF-9EA4-FFA18FF8BDE2}"/>
    <hyperlink ref="O1053" r:id="rId3250" display="https://pbs.twimg.com/profile_images/660409900472868864/CP1M066D_normal.png" xr:uid="{3D5F16A7-903F-44E6-81FE-192B37804A33}"/>
    <hyperlink ref="B1054" r:id="rId3251" display="https://twitter.com/HaugHenseler" xr:uid="{7EBE3CD1-B273-4A36-96AF-60C5824AA417}"/>
    <hyperlink ref="E1054" r:id="rId3252" display="https://twitter.com/HaugHenseler/status/723147256795254785" xr:uid="{2F5AC97E-63EC-4298-898C-825BCFADEACD}"/>
    <hyperlink ref="O1054" r:id="rId3253" display="https://pbs.twimg.com/profile_images/1052064111/Naturheilpraxis_Haug-Henseler_normal.jpg" xr:uid="{6874FF34-A0A2-4CE9-B856-BBFC6750C04B}"/>
    <hyperlink ref="B1055" r:id="rId3254" display="https://twitter.com/Fabrii_Prado" xr:uid="{31B1A053-A2B7-4009-9010-FA8922E12E3E}"/>
    <hyperlink ref="E1055" r:id="rId3255" display="https://twitter.com/Fabrii_Prado/status/723147508910792704" xr:uid="{9967A810-60F3-4670-A703-8E315DC12544}"/>
    <hyperlink ref="O1055" r:id="rId3256" display="https://pbs.twimg.com/profile_images/719522978208358400/47O1X8OI_normal.jpg" xr:uid="{EEB845AD-9C29-406C-AB56-485C89B6687E}"/>
    <hyperlink ref="B1056" r:id="rId3257" display="https://twitter.com/AshFeky" xr:uid="{0C237289-E339-4E6C-8B9B-68EAC8C2121E}"/>
    <hyperlink ref="E1056" r:id="rId3258" display="https://twitter.com/AshFeky/status/723148047803359232" xr:uid="{4565D579-50A3-4B99-BA17-FE3AEDC932BD}"/>
    <hyperlink ref="O1056" r:id="rId3259" display="https://pbs.twimg.com/profile_images/577875328866992128/5rfOkUgb_normal.jpg" xr:uid="{91DA243E-C5AB-413B-9EBB-47782A6A4149}"/>
    <hyperlink ref="B1057" r:id="rId3260" display="https://twitter.com/GastonBrandt" xr:uid="{AABCA8B3-317F-4321-BCC8-8A24AA86C60F}"/>
    <hyperlink ref="E1057" r:id="rId3261" display="https://twitter.com/GastonBrandt/status/723148135674068992" xr:uid="{26979482-A32C-4538-B908-989512F9F631}"/>
    <hyperlink ref="O1057" r:id="rId3262" display="https://pbs.twimg.com/profile_images/690007073774505984/peLfetii_normal.jpg" xr:uid="{2647C0E4-0BCB-4DB5-91BA-E0EA6F95D875}"/>
    <hyperlink ref="B1058" r:id="rId3263" display="https://twitter.com/mairaargaras" xr:uid="{379575FC-124E-484E-8B6A-F4C23C442565}"/>
    <hyperlink ref="E1058" r:id="rId3264" display="https://twitter.com/mairaargaras/status/723148226212315136" xr:uid="{7F775ACD-A088-4A86-BA64-1D9C72312186}"/>
    <hyperlink ref="O1058" r:id="rId3265" display="https://pbs.twimg.com/profile_images/722636584831610880/WUR1le85_normal.jpg" xr:uid="{71CE72BC-408F-42DE-9CC1-20C73DA5E41B}"/>
    <hyperlink ref="B1059" r:id="rId3266" display="https://twitter.com/BtoBolz" xr:uid="{836275E3-DB11-4483-A9C3-4D27799E68E7}"/>
    <hyperlink ref="E1059" r:id="rId3267" display="https://twitter.com/BtoBolz/status/723148337331859456" xr:uid="{0C96A003-B656-4BE1-9F3A-AE57B133741A}"/>
    <hyperlink ref="O1059" r:id="rId3268" display="https://pbs.twimg.com/profile_images/436341664961929216/qLfn4wH6_normal.jpeg" xr:uid="{21EA67C3-274B-4CDA-A9C9-7CA6ED308ACD}"/>
    <hyperlink ref="B1060" r:id="rId3269" display="https://twitter.com/cjwich" xr:uid="{04227E9F-278D-41CA-8FC4-0B9573BDAE98}"/>
    <hyperlink ref="E1060" r:id="rId3270" display="https://twitter.com/cjwich/status/723148482136137728" xr:uid="{8D486B89-89B2-473C-9D81-B2AE8F1851E7}"/>
    <hyperlink ref="O1060" r:id="rId3271" display="https://pbs.twimg.com/profile_images/643840369289990145/RMvcWYkS_normal.jpg" xr:uid="{CE39DE6F-BC23-48CF-989B-6332F47F5A8D}"/>
    <hyperlink ref="B1061" r:id="rId3272" display="https://twitter.com/kentsbike" xr:uid="{E64151E7-9757-44E6-8F37-ACD915E6C925}"/>
    <hyperlink ref="E1061" r:id="rId3273" display="https://twitter.com/kentsbike/status/723148706107654144" xr:uid="{04B66E7F-37ED-4681-B932-6D4928EC8681}"/>
    <hyperlink ref="O1061" r:id="rId3274" display="https://pbs.twimg.com/profile_images/663003309138055169/BpIBwSQM_normal.jpg" xr:uid="{F60ED440-A6B5-4589-BC4A-A3C93B3F1E78}"/>
    <hyperlink ref="B1062" r:id="rId3275" display="https://twitter.com/VolkswagenPost" xr:uid="{948D4B70-FCB9-44EF-A385-982D8D8403A9}"/>
    <hyperlink ref="E1062" r:id="rId3276" display="https://twitter.com/VolkswagenPost/status/723148935808700416" xr:uid="{E43DB6EB-C95A-4338-9DCB-2EB3481AFEF9}"/>
    <hyperlink ref="O1062" r:id="rId3277" display="https://pbs.twimg.com/profile_images/530071272881803264/a_jcCmPZ_normal.png" xr:uid="{19091B17-F805-495A-934D-08148755BE3F}"/>
    <hyperlink ref="B1063" r:id="rId3278" display="https://twitter.com/OnlineCarReview" xr:uid="{9B9842C4-68F8-4D8C-B28B-3B04771511FB}"/>
    <hyperlink ref="E1063" r:id="rId3279" display="https://twitter.com/OnlineCarReview/status/723149011062906881" xr:uid="{CCC6CBAF-8F5B-4A61-8A21-8E895B381E3D}"/>
    <hyperlink ref="O1063" r:id="rId3280" display="https://pbs.twimg.com/profile_images/652871584131092480/QA_B6SBO_normal.jpg" xr:uid="{7851C62B-FFBD-412A-B1B5-B17EBE302727}"/>
    <hyperlink ref="B1064" r:id="rId3281" display="https://twitter.com/kngeuro" xr:uid="{882C8CB7-B731-4E61-A332-66388FA96A13}"/>
    <hyperlink ref="E1064" r:id="rId3282" display="https://twitter.com/kngeuro/status/723149373962473472" xr:uid="{018F4CA9-0E21-4CE7-BB20-8B327A878CC0}"/>
    <hyperlink ref="O1064" r:id="rId3283" display="https://pbs.twimg.com/profile_images/570375988065935360/ooT_Nq7x_normal.jpeg" xr:uid="{0529AAB5-8202-43CD-A728-6BDE3BB60F9F}"/>
    <hyperlink ref="B1065" r:id="rId3284" display="https://twitter.com/lhmvolkswagenaz" xr:uid="{724D1AE3-1B3F-4321-889C-63B1A5F956F4}"/>
    <hyperlink ref="E1065" r:id="rId3285" display="https://twitter.com/lhmvolkswagenaz/status/723149383047335937" xr:uid="{F89DF1FA-C8FD-45FE-90C9-768E8607DA72}"/>
    <hyperlink ref="O1065" r:id="rId3286" display="https://pbs.twimg.com/profile_images/378800000416406708/3b2345851c1a8ba98340affd455888ce_normal.jpeg" xr:uid="{A5E5C085-F405-4CAB-A23F-28CEE4A9F63B}"/>
    <hyperlink ref="B1066" r:id="rId3287" display="https://twitter.com/RJMrim" xr:uid="{EBC08E22-64E6-442F-A8C6-0D6FD572B49E}"/>
    <hyperlink ref="E1066" r:id="rId3288" display="https://twitter.com/RJMrim/status/723149499623981056" xr:uid="{28BED48D-BAC5-437D-BD98-9A5B239EACDA}"/>
    <hyperlink ref="O1066" r:id="rId3289" display="https://pbs.twimg.com/profile_images/1551461505/RJM_normal.jpg" xr:uid="{9DE55110-0196-4B75-9ADD-38A36226E7FC}"/>
    <hyperlink ref="B1067" r:id="rId3290" display="https://twitter.com/VWCamperSales" xr:uid="{87ACFEFA-E3D3-4867-9AFD-7DDE30347FC0}"/>
    <hyperlink ref="E1067" r:id="rId3291" display="https://twitter.com/VWCamperSales/status/723149508972961799" xr:uid="{6288F7B5-783B-4BE5-89F9-58D2F5A1C1EA}"/>
    <hyperlink ref="F1067" r:id="rId3292" xr:uid="{92F9B449-D107-4233-93A2-C947ED111380}"/>
    <hyperlink ref="O1067" r:id="rId3293" display="https://pbs.twimg.com/profile_images/627949001179037696/skEBkS05_normal.jpg" xr:uid="{F8942963-BFE4-4EEE-8D91-729EB8A033CA}"/>
    <hyperlink ref="B1068" r:id="rId3294" display="https://twitter.com/DubLuvTuning" xr:uid="{030E6670-4FA1-462C-A10A-D561729C5EE7}"/>
    <hyperlink ref="E1068" r:id="rId3295" display="https://twitter.com/DubLuvTuning/status/723149676942372864" xr:uid="{BB728A6C-D1ED-4BE3-BC49-A01BA546DB67}"/>
    <hyperlink ref="O1068" r:id="rId3296" display="https://pbs.twimg.com/profile_images/378800000572104796/1de43e1cf23efb3f4101c02afad0d3b6_normal.png" xr:uid="{03F3F26B-4495-40BF-A7BC-F613D032659B}"/>
    <hyperlink ref="B1069" r:id="rId3297" display="https://twitter.com/Tarcil" xr:uid="{6BD3CF70-756F-4BDB-A839-DA2E1991D10B}"/>
    <hyperlink ref="E1069" r:id="rId3298" display="https://twitter.com/Tarcil/status/723150113892233216" xr:uid="{7A632589-2AF4-47A6-91C2-C83725EB6EE1}"/>
    <hyperlink ref="O1069" r:id="rId3299" display="https://pbs.twimg.com/profile_images/556765567663603712/LglvzIPk_normal.jpeg" xr:uid="{E4B49178-08D4-4C66-97CE-1B97E82693B5}"/>
    <hyperlink ref="B1070" r:id="rId3300" display="https://twitter.com/CarjojoCorp" xr:uid="{5C21BB76-E81D-40CC-A884-AE56D36C212C}"/>
    <hyperlink ref="E1070" r:id="rId3301" display="https://twitter.com/CarjojoCorp/status/723150440645427201" xr:uid="{A0ADDC5B-55F7-475C-95D5-ED70B0621869}"/>
    <hyperlink ref="O1070" r:id="rId3302" display="https://pbs.twimg.com/profile_images/708422551605620736/X-RALn8W_normal.jpg" xr:uid="{49416A61-425B-4D9B-B107-BEADB663211E}"/>
    <hyperlink ref="B1071" r:id="rId3303" display="https://twitter.com/CamiGoyecheaOk" xr:uid="{9B119580-D44B-4EA0-A7A1-54531BFE170F}"/>
    <hyperlink ref="E1071" r:id="rId3304" display="https://twitter.com/CamiGoyecheaOk/status/723150604881788928" xr:uid="{2EAE1C24-3564-4B94-97C7-4B7D95B4FCDC}"/>
    <hyperlink ref="O1071" r:id="rId3305" display="https://pbs.twimg.com/profile_images/722609828598792193/dMWp5Tag_normal.jpg" xr:uid="{7617DDC8-7430-42D1-9E7A-FBD27542978B}"/>
    <hyperlink ref="B1072" r:id="rId3306" display="https://twitter.com/CargoBikeJetzt" xr:uid="{821CE159-BAB7-4809-BFB2-355BA48251A4}"/>
    <hyperlink ref="E1072" r:id="rId3307" display="https://twitter.com/CargoBikeJetzt/status/723150610837565440" xr:uid="{D8F8DD30-3743-4856-9909-6A4E9DE3489C}"/>
    <hyperlink ref="O1072" r:id="rId3308" display="https://pbs.twimg.com/profile_images/717457130983395328/qfNQ5HYt_normal.jpg" xr:uid="{51131347-E00D-4CCE-8693-D5E6696E9984}"/>
    <hyperlink ref="B1073" r:id="rId3309" display="https://twitter.com/_danielthomas" xr:uid="{6399DB57-9810-4A08-B4F5-C249F717C217}"/>
    <hyperlink ref="E1073" r:id="rId3310" display="https://twitter.com/_danielthomas/status/723150772234407938" xr:uid="{3A3CB45E-45A0-4974-8D22-BC7AE436546C}"/>
    <hyperlink ref="O1073" r:id="rId3311" display="https://pbs.twimg.com/profile_images/691321706057699328/TfV5p97t_normal.jpg" xr:uid="{1F11FBAF-D0E3-4BD0-A47E-ABB22F683C86}"/>
    <hyperlink ref="P1073" r:id="rId3312" location="53.15,-2.2" display="http://ctrlq.org/maps/address/ - 53.15,-2.2" xr:uid="{4C833F90-5CAB-4221-B1DF-3920B1E0127A}"/>
    <hyperlink ref="B1074" r:id="rId3313" display="https://twitter.com/Antopinero_" xr:uid="{3209707E-631F-47A8-9036-444B89604307}"/>
    <hyperlink ref="E1074" r:id="rId3314" display="https://twitter.com/Antopinero_/status/723150781734621184" xr:uid="{3C39ABF8-4E77-4201-8460-BE0B462002FC}"/>
    <hyperlink ref="O1074" r:id="rId3315" display="https://pbs.twimg.com/profile_images/720394081952743425/XUEIaQ_2_normal.jpg" xr:uid="{6C27D210-7409-4AD3-B005-0CD0C0E996AF}"/>
    <hyperlink ref="B1075" r:id="rId3316" display="https://twitter.com/Immortaliized" xr:uid="{873265AC-E1D6-41D2-A69E-A48B0E70ED20}"/>
    <hyperlink ref="E1075" r:id="rId3317" display="https://twitter.com/Immortaliized/status/723151102523248641" xr:uid="{02CF6456-D821-47CC-AEBC-DDE7E724650F}"/>
    <hyperlink ref="O1075" r:id="rId3318" display="https://pbs.twimg.com/profile_images/705621568781570048/95--t7AT_normal.jpg" xr:uid="{66BA6790-35AB-4D3D-BEEB-519E9824EFA2}"/>
    <hyperlink ref="B1076" r:id="rId3319" display="https://twitter.com/techhippie" xr:uid="{CA795F22-00BA-4DAA-A79B-8EA890831A2B}"/>
    <hyperlink ref="E1076" r:id="rId3320" display="https://twitter.com/techhippie/status/723151746831388672" xr:uid="{E2D14C9B-2C0A-42B8-85E9-79F020DA0184}"/>
    <hyperlink ref="O1076" r:id="rId3321" display="https://pbs.twimg.com/profile_images/702511217793863680/lty8h9vE_normal.jpg" xr:uid="{739C4C44-CDB1-4109-8170-2A2F0ADF9B28}"/>
    <hyperlink ref="B1077" r:id="rId3322" display="https://twitter.com/economia_feed_1" xr:uid="{AFB16875-AFBD-43ED-8BA2-C0A77EFAE7B1}"/>
    <hyperlink ref="E1077" r:id="rId3323" display="https://twitter.com/economia_feed_1/status/723151831233400832" xr:uid="{E0FD04CC-DB01-4443-A02F-61E0D4C63AEF}"/>
    <hyperlink ref="O1077" r:id="rId3324" display="https://abs.twimg.com/sticky/default_profile_images/default_profile_0_normal.png" xr:uid="{6228CA8E-4C4B-4D6C-AE57-E99A2A524C94}"/>
    <hyperlink ref="B1078" r:id="rId3325" display="https://twitter.com/hashtagvanlife" xr:uid="{2BC80606-FBD4-4C58-8C95-184F9BA4E618}"/>
    <hyperlink ref="E1078" r:id="rId3326" display="https://twitter.com/hashtagvanlife/status/723151978147266560" xr:uid="{DF423C54-27B7-4EBD-8EE7-D8B84ADFA35D}"/>
    <hyperlink ref="O1078" r:id="rId3327" display="https://pbs.twimg.com/profile_images/653637535545995264/gHuXQ5Bt_normal.jpg" xr:uid="{0DC9AD1D-9873-43E0-B22B-C048F09DDA0A}"/>
    <hyperlink ref="B1079" r:id="rId3328" display="https://twitter.com/hashtagvanlife" xr:uid="{3EE70F29-3351-445A-B1BA-DC2307B02D7D}"/>
    <hyperlink ref="E1079" r:id="rId3329" display="https://twitter.com/hashtagvanlife/status/723152025756798976" xr:uid="{52F93CCF-27AA-4CA5-B42D-52F2E8B271B9}"/>
    <hyperlink ref="O1079" r:id="rId3330" display="https://pbs.twimg.com/profile_images/653637535545995264/gHuXQ5Bt_normal.jpg" xr:uid="{DBADB234-29E3-4EB7-9B98-2A580EC3F153}"/>
    <hyperlink ref="B1080" r:id="rId3331" display="https://twitter.com/MultivaRv" xr:uid="{F2AAF2FA-5A1D-4FFB-AE0A-39FB83CF7E37}"/>
    <hyperlink ref="E1080" r:id="rId3332" display="https://twitter.com/MultivaRv/status/723152043322400768" xr:uid="{8EBE50AD-7A06-4CAF-A5BF-E51B74FB7DC3}"/>
    <hyperlink ref="O1080" r:id="rId3333" display="https://pbs.twimg.com/profile_images/676628116488392705/ELc0HmSX_normal.jpg" xr:uid="{25331CA9-0D54-4F8E-BF98-37C49268EE19}"/>
    <hyperlink ref="B1081" r:id="rId3334" display="https://twitter.com/rickehansen" xr:uid="{B8E3D3B3-D34F-4606-BDB5-3D7EB408D7D4}"/>
    <hyperlink ref="E1081" r:id="rId3335" display="https://twitter.com/rickehansen/status/723152095084322816" xr:uid="{F4819555-3057-4C0F-BE61-1FF9EA1EDA06}"/>
    <hyperlink ref="O1081" r:id="rId3336" display="https://pbs.twimg.com/profile_images/523268538182557696/FTujGmJu_normal.jpeg" xr:uid="{0C8BF5DF-02E6-49D3-A582-781BA1410835}"/>
    <hyperlink ref="B1082" r:id="rId3337" display="https://twitter.com/hashtagvanlife" xr:uid="{0762D1ED-A23B-407C-93D7-729CCF3418EC}"/>
    <hyperlink ref="E1082" r:id="rId3338" display="https://twitter.com/hashtagvanlife/status/723152235815948288" xr:uid="{F2051396-08F7-443A-B1F0-69CFC6B49A63}"/>
    <hyperlink ref="O1082" r:id="rId3339" display="https://pbs.twimg.com/profile_images/653637535545995264/gHuXQ5Bt_normal.jpg" xr:uid="{14DFF87F-0842-4FD9-9D81-CF8533728C83}"/>
    <hyperlink ref="B1083" r:id="rId3340" display="https://twitter.com/CamilaJuarezG" xr:uid="{B4BA982A-13E0-451C-9395-7895352B1E67}"/>
    <hyperlink ref="E1083" r:id="rId3341" display="https://twitter.com/CamilaJuarezG/status/723152691518705664" xr:uid="{C3728188-85A0-4C54-9BB4-FE35320194EF}"/>
    <hyperlink ref="O1083" r:id="rId3342" display="https://abs.twimg.com/sticky/default_profile_images/default_profile_5_normal.png" xr:uid="{D1E35500-9376-47DA-8693-A61C0003959B}"/>
    <hyperlink ref="B1084" r:id="rId3343" display="https://twitter.com/vwpress_de" xr:uid="{AF2C7899-1417-48DF-BE36-DF66DB3F24D7}"/>
    <hyperlink ref="E1084" r:id="rId3344" display="https://twitter.com/vwpress_de/status/723152716864823297" xr:uid="{6F2EACCC-4809-436F-8788-B9ACA2410DB1}"/>
    <hyperlink ref="O1084" r:id="rId3345" display="https://pbs.twimg.com/profile_images/682117656502222848/Ge7YeAF3_normal.png" xr:uid="{D0F9639D-9014-47F4-B68F-9D6095D503D5}"/>
    <hyperlink ref="B1085" r:id="rId3346" display="https://twitter.com/SaschaSmid" xr:uid="{EFA90004-1569-4CC6-81EC-A81D9BC85C53}"/>
    <hyperlink ref="E1085" r:id="rId3347" display="https://twitter.com/SaschaSmid/status/723152825853693953" xr:uid="{A7C105E8-1058-49E1-BAA6-427F4CFB05F4}"/>
    <hyperlink ref="O1085" r:id="rId3348" display="https://pbs.twimg.com/profile_images/695609466620940288/lvg9H3ch_normal.jpg" xr:uid="{C7EA426A-A440-4884-ADE1-D54F793B6050}"/>
    <hyperlink ref="B1086" r:id="rId3349" display="https://twitter.com/BlancoGoonzalo" xr:uid="{84011ACB-6F0C-406D-BC9F-FE1286A702CF}"/>
    <hyperlink ref="E1086" r:id="rId3350" display="https://twitter.com/BlancoGoonzalo/status/723152918728286208" xr:uid="{3DAAC62C-FBF9-43C0-ADFE-758ED8594CB4}"/>
    <hyperlink ref="O1086" r:id="rId3351" display="https://pbs.twimg.com/profile_images/688188016326623232/CRrQy5_H_normal.jpg" xr:uid="{CF5E3296-1AEF-44FB-A57A-7B80FF00D0F3}"/>
    <hyperlink ref="B1087" r:id="rId3352" display="https://twitter.com/cashlos_Rosales" xr:uid="{7CECFE65-FA91-4460-9682-F8D1F4BC89B6}"/>
    <hyperlink ref="E1087" r:id="rId3353" display="https://twitter.com/cashlos_Rosales/status/723153138518085634" xr:uid="{3EEBA11F-6B12-4AE1-94B4-CE627A94804B}"/>
    <hyperlink ref="O1087" r:id="rId3354" display="https://pbs.twimg.com/profile_images/722975984488747012/FGcD-3rJ_normal.jpg" xr:uid="{98577BC4-4589-4009-B2C0-E39B1CD91378}"/>
    <hyperlink ref="B1088" r:id="rId3355" display="https://twitter.com/VWCamperSales" xr:uid="{037B72A3-128D-4E63-B308-BB3474A81D02}"/>
    <hyperlink ref="E1088" r:id="rId3356" display="https://twitter.com/VWCamperSales/status/723153359620857856" xr:uid="{9CC7CC28-A307-4124-A3A9-AE00703ACE82}"/>
    <hyperlink ref="F1088" r:id="rId3357" xr:uid="{CCD77B25-1F49-44EE-9D01-8B0FC62B4DC2}"/>
    <hyperlink ref="O1088" r:id="rId3358" display="https://pbs.twimg.com/profile_images/627949001179037696/skEBkS05_normal.jpg" xr:uid="{F49107DA-F438-4144-9BE2-BD29B34C05A0}"/>
    <hyperlink ref="B1089" r:id="rId3359" display="https://twitter.com/SJ_LOWTEC" xr:uid="{CB5A7A5C-876B-49C4-9857-E1157D1AE3C0}"/>
    <hyperlink ref="E1089" r:id="rId3360" display="https://twitter.com/SJ_LOWTEC/status/723153706166837248" xr:uid="{CC412502-56C5-4F8F-8FBD-5E79B83628CA}"/>
    <hyperlink ref="O1089" r:id="rId3361" display="https://pbs.twimg.com/profile_images/2598553252/qoojuj09m53kdh24r09y_normal.jpeg" xr:uid="{1280A9B7-B52E-4DBD-9F2E-A07FCBA2666E}"/>
    <hyperlink ref="B1090" r:id="rId3362" display="https://twitter.com/UT_TEXAS_PROMO" xr:uid="{832E1042-F98B-4F85-B3D6-BE856443A7BD}"/>
    <hyperlink ref="E1090" r:id="rId3363" display="https://twitter.com/UT_TEXAS_PROMO/status/723153808092590081" xr:uid="{9933C31A-2885-496C-A4CE-195CB754C9ED}"/>
    <hyperlink ref="O1090" r:id="rId3364" display="https://pbs.twimg.com/profile_images/562056883729473536/M4lVp6Fb_normal.jpeg" xr:uid="{2FDD6C15-1347-4CE1-80D5-7588A4EE67C0}"/>
    <hyperlink ref="B1091" r:id="rId3365" display="https://twitter.com/Enigma424" xr:uid="{F6AC9942-A28A-480A-AC76-C7CE51457AC0}"/>
    <hyperlink ref="E1091" r:id="rId3366" display="https://twitter.com/Enigma424/status/723153941278646272" xr:uid="{F22A0859-C785-4FCC-81B5-7939A9BF631E}"/>
    <hyperlink ref="O1091" r:id="rId3367" display="https://pbs.twimg.com/profile_images/587617946538745856/_S5LOe4F_normal.jpg" xr:uid="{590A75CA-E650-41B0-AD62-C511D635FA2F}"/>
    <hyperlink ref="B1092" r:id="rId3368" display="https://twitter.com/visit_dresden" xr:uid="{1566D243-E31B-4EC2-84E3-56400110998F}"/>
    <hyperlink ref="E1092" r:id="rId3369" display="https://twitter.com/visit_dresden/status/723154038582190080" xr:uid="{B326A0EE-4F51-4F12-8521-43D30AA6B132}"/>
    <hyperlink ref="O1092" r:id="rId3370" display="https://pbs.twimg.com/profile_images/468741202754273280/0A6LRzkF_normal.png" xr:uid="{82318184-243C-4E59-92C7-7E15AF6EEE1A}"/>
    <hyperlink ref="B1093" r:id="rId3371" display="https://twitter.com/seunthorpe" xr:uid="{D7C9F99E-566E-4176-B343-5DF2F041B628}"/>
    <hyperlink ref="E1093" r:id="rId3372" display="https://twitter.com/seunthorpe/status/723154091061436416" xr:uid="{034BE40A-D312-4B94-B85E-2F15D07313F2}"/>
    <hyperlink ref="O1093" r:id="rId3373" display="https://pbs.twimg.com/profile_images/652520472035348480/KB5WAjZ8_normal.jpg" xr:uid="{D6949B5A-EF29-46D3-859A-37DA01B8335D}"/>
    <hyperlink ref="B1094" r:id="rId3374" display="https://twitter.com/campercino_uk" xr:uid="{3BAD3F7A-E2A6-42F1-9170-C5AFB7A8F01A}"/>
    <hyperlink ref="E1094" r:id="rId3375" display="https://twitter.com/campercino_uk/status/723154246598684673" xr:uid="{146F25C9-CE24-4D7B-8B29-57DC3EC96073}"/>
    <hyperlink ref="O1094" r:id="rId3376" display="https://pbs.twimg.com/profile_images/695303050580385793/wXS47Pgy_normal.jpg" xr:uid="{40A03F46-0740-4135-925A-F6081FBCDD4F}"/>
    <hyperlink ref="B1095" r:id="rId3377" display="https://twitter.com/DJMattDavid" xr:uid="{316FB68D-6E65-4B9D-8CA8-DC2B46E29923}"/>
    <hyperlink ref="E1095" r:id="rId3378" display="https://twitter.com/DJMattDavid/status/723154282011320320" xr:uid="{39C5A427-7371-4BBF-8F5D-0901671A7D23}"/>
    <hyperlink ref="O1095" r:id="rId3379" display="https://pbs.twimg.com/profile_images/434295813154816000/Zl69okbD_normal.jpeg" xr:uid="{2E719F55-9A1B-4C50-A829-FFE1858CCC8B}"/>
    <hyperlink ref="B1096" r:id="rId3380" display="https://twitter.com/Enigma424" xr:uid="{6FD7B37E-269B-4FA9-92E3-19A962C8D10A}"/>
    <hyperlink ref="E1096" r:id="rId3381" display="https://twitter.com/Enigma424/status/723154618688147456" xr:uid="{64002D11-231C-40FD-8672-ED539FAE7401}"/>
    <hyperlink ref="O1096" r:id="rId3382" display="https://pbs.twimg.com/profile_images/587617946538745856/_S5LOe4F_normal.jpg" xr:uid="{DF93CF9A-20EB-4B7F-89E3-ADBF7E168CB4}"/>
    <hyperlink ref="B1097" r:id="rId3383" display="https://twitter.com/VolkswagenPost" xr:uid="{5D598368-C989-4CAE-A631-5CE37202E863}"/>
    <hyperlink ref="E1097" r:id="rId3384" display="https://twitter.com/VolkswagenPost/status/723154694919561216" xr:uid="{86FF3D12-62CA-4E07-B902-CC5C01F2933F}"/>
    <hyperlink ref="O1097" r:id="rId3385" display="https://pbs.twimg.com/profile_images/530071272881803264/a_jcCmPZ_normal.png" xr:uid="{B94C9F09-8FFF-4727-A971-BCB068510995}"/>
    <hyperlink ref="B1098" r:id="rId3386" display="https://twitter.com/Dahie" xr:uid="{43B6AF81-7FA2-4FFF-B2BE-5629B9764E4F}"/>
    <hyperlink ref="E1098" r:id="rId3387" display="https://twitter.com/Dahie/status/723155122058993664" xr:uid="{5A074813-E90D-42B4-98AA-DB4F0E768E97}"/>
    <hyperlink ref="O1098" r:id="rId3388" display="https://pbs.twimg.com/profile_images/721708689942519812/vyTKoQU9_normal.jpg" xr:uid="{70D09E7C-DB18-4CD5-B0D1-FFEC0EB83CC6}"/>
    <hyperlink ref="B1099" r:id="rId3389" display="https://twitter.com/Fotobiene" xr:uid="{00CE39AD-69CD-49E4-9D63-E7D485B4CB03}"/>
    <hyperlink ref="E1099" r:id="rId3390" display="https://twitter.com/Fotobiene/status/723155125250981889" xr:uid="{66E2A3E0-8266-4B90-867C-99A2E9593C62}"/>
    <hyperlink ref="O1099" r:id="rId3391" display="https://pbs.twimg.com/profile_images/476894592051056640/bqGCxWkq_normal.jpeg" xr:uid="{30AE337A-0B8A-491A-B725-4A48A80E91FC}"/>
    <hyperlink ref="B1100" r:id="rId3392" display="https://twitter.com/Dahie" xr:uid="{C64FE7F2-75CB-4593-AF63-780F4D092DBF}"/>
    <hyperlink ref="E1100" r:id="rId3393" display="https://twitter.com/Dahie/status/723155200156930054" xr:uid="{2A3FD6AD-FFE0-416C-BA9E-ED14A605896D}"/>
    <hyperlink ref="O1100" r:id="rId3394" display="https://pbs.twimg.com/profile_images/721708689942519812/vyTKoQU9_normal.jpg" xr:uid="{80D7D730-EDF4-47B1-9F4E-FF455DB033AD}"/>
    <hyperlink ref="B1101" r:id="rId3395" display="https://twitter.com/matiascorrea250" xr:uid="{341BED3C-4410-47C0-B40D-D5AFED799720}"/>
    <hyperlink ref="E1101" r:id="rId3396" display="https://twitter.com/matiascorrea250/status/723155236651712516" xr:uid="{93DB157E-233F-493F-9241-E4388F620E4E}"/>
    <hyperlink ref="O1101" r:id="rId3397" display="https://pbs.twimg.com/profile_images/714185931406852096/-RUhTa30_normal.jpg" xr:uid="{55080D3F-6F40-4F3C-A8D6-616809C96430}"/>
    <hyperlink ref="B1102" r:id="rId3398" display="https://twitter.com/vagmenhq" xr:uid="{52B5340B-9574-4328-85B8-FA85989654BC}"/>
    <hyperlink ref="E1102" r:id="rId3399" display="https://twitter.com/vagmenhq/status/723156432938504192" xr:uid="{4EB4801C-9FD4-46F5-AAC2-12BC5AAA2EFB}"/>
    <hyperlink ref="O1102" r:id="rId3400" display="https://pbs.twimg.com/profile_images/446781974452371456/rqBZF-KN_normal.jpeg" xr:uid="{0CFB9420-AF04-434D-84C2-B1B8C6EA6668}"/>
    <hyperlink ref="B1103" r:id="rId3401" display="https://twitter.com/321usw" xr:uid="{3E39EA5C-F36B-4144-9FE8-BB7707F41960}"/>
    <hyperlink ref="E1103" r:id="rId3402" display="https://twitter.com/321usw/status/723156496360583168" xr:uid="{20FE726A-8A4F-4493-AE31-E7499564529B}"/>
    <hyperlink ref="O1103" r:id="rId3403" display="https://pbs.twimg.com/profile_images/713674684613705728/xqZYcsd-_normal.jpg" xr:uid="{31A1247C-55B5-4B22-9E97-4114DF420BAB}"/>
    <hyperlink ref="B1104" r:id="rId3404" display="https://twitter.com/Lucas_esquiivel" xr:uid="{EFE07D9C-36B2-4FA5-863F-3EC8F33CF051}"/>
    <hyperlink ref="E1104" r:id="rId3405" display="https://twitter.com/Lucas_esquiivel/status/723156626476269568" xr:uid="{B33F26C9-BE44-4517-BF35-0E7D19B89727}"/>
    <hyperlink ref="O1104" r:id="rId3406" display="https://pbs.twimg.com/profile_images/693277089785577473/8EuV76Ni_normal.png" xr:uid="{43D82D43-B93B-4D6C-A336-CF3765AD3EB6}"/>
    <hyperlink ref="B1105" r:id="rId3407" display="https://twitter.com/WowbaggerXX7" xr:uid="{E871A5A2-D632-4646-9414-FAC3FD546353}"/>
    <hyperlink ref="E1105" r:id="rId3408" display="https://twitter.com/WowbaggerXX7/status/723156818222964736" xr:uid="{9119A7C0-5C03-43F5-BDEC-2FB6B090071A}"/>
    <hyperlink ref="O1105" r:id="rId3409" display="https://pbs.twimg.com/profile_images/543163066599219200/dUy-AYOX_normal.jpeg" xr:uid="{9B651698-DC8C-44F7-8202-7E9271B57A54}"/>
    <hyperlink ref="B1106" r:id="rId3410" display="https://twitter.com/periodismomotor" xr:uid="{12CE100B-ACEA-46A9-89B0-6C2E18A00729}"/>
    <hyperlink ref="E1106" r:id="rId3411" display="https://twitter.com/periodismomotor/status/723157080807485440" xr:uid="{F0710AD3-F842-4D9C-9B1E-C5AF1515C460}"/>
    <hyperlink ref="O1106" r:id="rId3412" display="https://pbs.twimg.com/profile_images/486242402366021632/9tgjTPqT_normal.jpeg" xr:uid="{683B26B4-C8A6-495C-83C6-7A1DFBA5D42E}"/>
    <hyperlink ref="B1107" r:id="rId3413" display="https://twitter.com/FitmentLife" xr:uid="{4A1BE0BC-2A3C-4F71-AC75-08F2A3CAFC2C}"/>
    <hyperlink ref="E1107" r:id="rId3414" display="https://twitter.com/FitmentLife/status/723157495590461440" xr:uid="{B4C00223-2E5B-4119-8290-962A396F1CA3}"/>
    <hyperlink ref="O1107" r:id="rId3415" display="https://pbs.twimg.com/profile_images/599808886548205568/gfgn377S_normal.jpg" xr:uid="{BCCFEAA8-0DF9-4518-8267-53643821DE54}"/>
    <hyperlink ref="B1108" r:id="rId3416" display="https://twitter.com/nizoo1213" xr:uid="{95623844-4D59-40E5-9234-4DDAF3C64FAB}"/>
    <hyperlink ref="E1108" r:id="rId3417" display="https://twitter.com/nizoo1213/status/723157573130543104" xr:uid="{CE4A84F0-794B-4D97-A730-C8A930C95F65}"/>
    <hyperlink ref="O1108" r:id="rId3418" display="https://pbs.twimg.com/profile_images/690974305321005056/zlb2R_Vb_normal.jpg" xr:uid="{4C824BCC-14F5-49D0-B00A-3ABC39DDB40F}"/>
    <hyperlink ref="B1109" r:id="rId3419" display="https://twitter.com/Alexeinatan" xr:uid="{A3C2A8AB-C06D-4D6F-8700-267BC64FDCD4}"/>
    <hyperlink ref="E1109" r:id="rId3420" display="https://twitter.com/Alexeinatan/status/723157637492281345" xr:uid="{74241153-A2E0-43A0-83DC-20B7F2DD942A}"/>
    <hyperlink ref="O1109" r:id="rId3421" display="https://pbs.twimg.com/profile_images/627228859319091200/o4EHzTTr_normal.jpg" xr:uid="{EBC20BB9-BE52-47FF-8F58-E06386E62884}"/>
    <hyperlink ref="B1110" r:id="rId3422" display="https://twitter.com/Lolaa_Fierrera" xr:uid="{8A2DDD69-CAC8-48B2-A8F0-A074D2A71224}"/>
    <hyperlink ref="E1110" r:id="rId3423" display="https://twitter.com/Lolaa_Fierrera/status/723157831499825152" xr:uid="{72459469-B376-40B7-B3FE-2069F4651F03}"/>
    <hyperlink ref="O1110" r:id="rId3424" display="https://pbs.twimg.com/profile_images/722291661661958144/00EAfHcT_normal.jpg" xr:uid="{A5E1CEC7-3279-48C0-9296-A55B4FE93FF0}"/>
    <hyperlink ref="B1111" r:id="rId3425" display="https://twitter.com/SimziiN" xr:uid="{F3C2861F-B36B-4F46-BB0A-DA0C0F1FEA85}"/>
    <hyperlink ref="E1111" r:id="rId3426" display="https://twitter.com/SimziiN/status/723157873019129856" xr:uid="{5A5E83B6-6E1C-46EA-B380-9577CCB93A65}"/>
    <hyperlink ref="O1111" r:id="rId3427" display="https://pbs.twimg.com/profile_images/635800022383259648/c4Dg1dfx_normal.jpg" xr:uid="{7C4B7053-5453-44D7-9191-60B152F826F1}"/>
    <hyperlink ref="P1111" r:id="rId3428" location="37.01444444,-7.93527778" display="http://ctrlq.org/maps/address/ - 37.01444444,-7.93527778" xr:uid="{60A5A687-5452-43E3-BF42-2B9EE585A566}"/>
    <hyperlink ref="B1112" r:id="rId3429" display="https://twitter.com/Pellicole_Auto" xr:uid="{E03D1116-ADBB-42B5-AEC6-2572AB7E7A3E}"/>
    <hyperlink ref="E1112" r:id="rId3430" display="https://twitter.com/Pellicole_Auto/status/723158196379115520" xr:uid="{3B7935A0-E891-490E-88DB-82A282B5AA03}"/>
    <hyperlink ref="O1112" r:id="rId3431" display="https://pbs.twimg.com/profile_images/651002411952148481/acRSynhx_normal.png" xr:uid="{4F54600E-DC65-413A-8A0B-F7CA3D17933C}"/>
    <hyperlink ref="B1113" r:id="rId3432" display="https://twitter.com/Florcitaa38" xr:uid="{A0B4E494-1459-45A5-B427-A07B9F7A56EF}"/>
    <hyperlink ref="E1113" r:id="rId3433" display="https://twitter.com/Florcitaa38/status/723158411722907649" xr:uid="{25802611-A560-46CD-90D9-0BC934D41580}"/>
    <hyperlink ref="O1113" r:id="rId3434" display="https://pbs.twimg.com/profile_images/709379964542590976/9PSr9HgL_normal.jpg" xr:uid="{22AB03A7-2E04-4F12-BA54-7566A893F003}"/>
    <hyperlink ref="B1114" r:id="rId3435" display="https://twitter.com/9_KISHAN_9" xr:uid="{6FB4AF2C-7D66-4212-8629-FDD79D31D06C}"/>
    <hyperlink ref="E1114" r:id="rId3436" display="https://twitter.com/9_KISHAN_9/status/723158494988382208" xr:uid="{758AEA46-CF57-4CB7-B4B1-F7B6C13FC16E}"/>
    <hyperlink ref="O1114" r:id="rId3437" display="https://pbs.twimg.com/profile_images/706037104950833152/TSCw0eTE_normal.jpg" xr:uid="{B3D900C4-0F64-4B04-A5A3-1FC7C5C84DCE}"/>
    <hyperlink ref="B1115" r:id="rId3438" display="https://twitter.com/Scirocco_Tuning" xr:uid="{81DA7AA8-50D1-4D02-8270-A28B8DB1ECFA}"/>
    <hyperlink ref="E1115" r:id="rId3439" display="https://twitter.com/Scirocco_Tuning/status/723158670570348544" xr:uid="{AE59B42F-ED0D-49A7-AFF2-AA6985D1CDF8}"/>
    <hyperlink ref="O1115" r:id="rId3440" display="https://pbs.twimg.com/profile_images/1610421423/Image2_normal.jpg" xr:uid="{CCEDF5D0-0665-461F-8F12-06382C38E215}"/>
    <hyperlink ref="B1116" r:id="rId3441" display="https://twitter.com/Autokiste" xr:uid="{FA07D29F-15A8-48FF-805C-81E36CE09DD8}"/>
    <hyperlink ref="E1116" r:id="rId3442" display="https://twitter.com/Autokiste/status/723158881086525443" xr:uid="{A69AA080-D78B-4758-BA14-77F1A0307876}"/>
    <hyperlink ref="O1116" r:id="rId3443" display="https://pbs.twimg.com/profile_images/378800000231238477/e933a4aebe026c34c17e298372b17935_normal.png" xr:uid="{BE0A9DCD-3C0F-4DBA-8C48-FB6E80FE59FE}"/>
    <hyperlink ref="B1117" r:id="rId3444" display="https://twitter.com/SexenioCDMX" xr:uid="{C9158C7F-B828-45E7-A1F6-C376388B8DB9}"/>
    <hyperlink ref="E1117" r:id="rId3445" display="https://twitter.com/SexenioCDMX/status/723159126658834434" xr:uid="{3311BD92-4D53-4A7D-880A-F497A0F89203}"/>
    <hyperlink ref="O1117" r:id="rId3446" display="https://pbs.twimg.com/profile_images/693156293842894848/THX8L389_normal.jpg" xr:uid="{B99D84C5-ED90-41AC-A964-2EA1463CCEA3}"/>
    <hyperlink ref="B1118" r:id="rId3447" display="https://twitter.com/SexenioMX" xr:uid="{8B43A8C7-3343-4035-9F8F-63E631ACA065}"/>
    <hyperlink ref="E1118" r:id="rId3448" display="https://twitter.com/SexenioMX/status/723159126658846721" xr:uid="{8BB0A024-6FC5-47D9-9B9E-04872AD8CA18}"/>
    <hyperlink ref="O1118" r:id="rId3449" display="https://pbs.twimg.com/profile_images/700415860230397952/tCGmCj6M_normal.jpg" xr:uid="{6A518510-B4C0-4D8F-B29A-A45A849C1265}"/>
    <hyperlink ref="B1119" r:id="rId3450" display="https://twitter.com/WRC_App" xr:uid="{EE5047D9-F5F7-497A-BC4B-DD502CB602D6}"/>
    <hyperlink ref="E1119" r:id="rId3451" display="https://twitter.com/WRC_App/status/723159165766643716" xr:uid="{F21A6A4E-65EA-4139-8C2E-B515F55057F2}"/>
    <hyperlink ref="O1119" r:id="rId3452" display="https://pbs.twimg.com/profile_images/723087824044580864/Y9hsVAQv_normal.jpg" xr:uid="{D1F80C20-6A85-4C7C-997F-71A22564A5EA}"/>
    <hyperlink ref="B1120" r:id="rId3453" display="https://twitter.com/EasyGasGroup" xr:uid="{CC121620-EE1E-4BC0-BDD2-36F2616BAEA0}"/>
    <hyperlink ref="E1120" r:id="rId3454" display="https://twitter.com/EasyGasGroup/status/723159280480751617" xr:uid="{C669604B-A42C-4A9A-BEBC-234F4D9A08DA}"/>
    <hyperlink ref="O1120" r:id="rId3455" display="https://pbs.twimg.com/profile_images/661893848235384832/10AOdchX_normal.png" xr:uid="{72F568C6-CE23-47E2-8A5C-96E435BFB326}"/>
    <hyperlink ref="B1121" r:id="rId3456" display="https://twitter.com/PortalAlemania" xr:uid="{8B9F5F51-B52A-4BA0-A759-6C37716352BA}"/>
    <hyperlink ref="E1121" r:id="rId3457" display="https://twitter.com/PortalAlemania/status/723159427629506563" xr:uid="{A457D2B1-8EB8-4F66-9FDA-F12740F1B4A4}"/>
    <hyperlink ref="O1121" r:id="rId3458" display="https://pbs.twimg.com/profile_images/667101652479029249/acksmKgE_normal.png" xr:uid="{FF84C04D-9A7A-4BC1-B3EF-753DBA9CDD17}"/>
    <hyperlink ref="B1122" r:id="rId3459" display="https://twitter.com/Pedego101" xr:uid="{BB138545-6395-458E-8B88-E0C2469781B4}"/>
    <hyperlink ref="E1122" r:id="rId3460" display="https://twitter.com/Pedego101/status/723159444012421121" xr:uid="{6A484EA4-F383-4186-AAD0-946479609566}"/>
    <hyperlink ref="O1122" r:id="rId3461" display="https://pbs.twimg.com/profile_images/553213444791357440/cFm-7x2l_normal.jpeg" xr:uid="{B7EDF9F5-DBAF-46CF-BD83-84AB42C8F230}"/>
    <hyperlink ref="B1123" r:id="rId3462" display="https://twitter.com/Danny_GTI04" xr:uid="{750DA3BF-177A-40D3-8EE7-EA1E4BC08C2E}"/>
    <hyperlink ref="E1123" r:id="rId3463" display="https://twitter.com/Danny_GTI04/status/723159527869149184" xr:uid="{77FC844C-8DFD-4407-8D23-B092A868E9A2}"/>
    <hyperlink ref="O1123" r:id="rId3464" display="https://pbs.twimg.com/profile_images/1464170825/sarajean_normal.JPG" xr:uid="{F195F516-23B3-4D0D-90DD-C8CEE88AD58A}"/>
    <hyperlink ref="B1124" r:id="rId3465" display="https://twitter.com/CarNotaFridge" xr:uid="{9075DE6D-C372-4EC2-85B7-90CCDEB65C65}"/>
    <hyperlink ref="E1124" r:id="rId3466" display="https://twitter.com/CarNotaFridge/status/723159774053855234" xr:uid="{95403CFD-D121-4B67-923F-7AB34DCE8193}"/>
    <hyperlink ref="O1124" r:id="rId3467" display="https://pbs.twimg.com/profile_images/1622195010/TEBNYC062011_normal.jpg" xr:uid="{0316B7EF-B58A-47F1-BD81-86BFDBC81115}"/>
    <hyperlink ref="B1125" r:id="rId3468" display="https://twitter.com/StarkLS1" xr:uid="{B8251D94-35F2-4A4F-947D-17EE0812417E}"/>
    <hyperlink ref="E1125" r:id="rId3469" display="https://twitter.com/StarkLS1/status/723159884217229313" xr:uid="{D11BA4C8-CE9E-4DDA-8DEF-4BF2CB2A21B3}"/>
    <hyperlink ref="O1125" r:id="rId3470" display="https://pbs.twimg.com/profile_images/491944341934309377/xnt3hdy-_normal.jpeg" xr:uid="{9656FDEC-A483-415F-ABAD-CB2723BCC84B}"/>
    <hyperlink ref="B1126" r:id="rId3471" display="https://twitter.com/apronline" xr:uid="{48ED4E1A-F53E-4D83-9075-DF305C5C0834}"/>
    <hyperlink ref="E1126" r:id="rId3472" display="https://twitter.com/apronline/status/723160163708854273" xr:uid="{0BA13B15-E1B6-4B02-9749-F417DCB54007}"/>
    <hyperlink ref="O1126" r:id="rId3473" display="https://pbs.twimg.com/profile_images/1249555569/apr_twitter_normal.jpg" xr:uid="{A58C5653-1C75-460A-8267-E688274164DA}"/>
    <hyperlink ref="B1127" r:id="rId3474" display="https://twitter.com/J0ann3" xr:uid="{F0411101-F56C-4271-9A39-6B3FF269A0C2}"/>
    <hyperlink ref="E1127" r:id="rId3475" display="https://twitter.com/J0ann3/status/723160258466603009" xr:uid="{32A2DD8F-7511-4B9D-BE57-A445F4B5866B}"/>
    <hyperlink ref="O1127" r:id="rId3476" display="https://pbs.twimg.com/profile_images/613491176654553088/Bi2iPURR_normal.jpg" xr:uid="{544620B2-8A8F-4ACF-9F49-7194D9A49419}"/>
    <hyperlink ref="B1128" r:id="rId3477" display="https://twitter.com/vwoutaouais" xr:uid="{EDBC718A-B8CF-47C6-8B55-A6D3A646DF28}"/>
    <hyperlink ref="E1128" r:id="rId3478" display="https://twitter.com/vwoutaouais/status/723160290141966336" xr:uid="{CC831AA4-C6C8-4584-AAAB-92B14244ADC5}"/>
    <hyperlink ref="O1128" r:id="rId3479" display="https://pbs.twimg.com/profile_images/692371838601666561/UFu4nf8q_normal.png" xr:uid="{5B377820-926A-47D0-8124-51915BF82473}"/>
    <hyperlink ref="B1129" r:id="rId3480" display="https://twitter.com/luiis_mendoozaa" xr:uid="{0348D22D-5CD2-45CE-A964-50C72075FD89}"/>
    <hyperlink ref="E1129" r:id="rId3481" display="https://twitter.com/luiis_mendoozaa/status/723160296320196611" xr:uid="{D34393DA-E44E-4737-B14A-3DBDBD55DC54}"/>
    <hyperlink ref="O1129" r:id="rId3482" display="https://pbs.twimg.com/profile_images/378800000696181601/c2a849b4a9c8def1647340ff66d1113a_normal.jpeg" xr:uid="{94D0344C-EFD8-4C9F-8380-34B4C304E872}"/>
    <hyperlink ref="B1130" r:id="rId3483" display="https://twitter.com/camiii_zalazar" xr:uid="{CCE6EFFD-4353-40F7-A7EB-869875FCC9D1}"/>
    <hyperlink ref="E1130" r:id="rId3484" display="https://twitter.com/camiii_zalazar/status/723160401089822720" xr:uid="{D16DD135-8A76-4D97-AF9B-AE7DC1A7A5FA}"/>
    <hyperlink ref="O1130" r:id="rId3485" display="https://pbs.twimg.com/profile_images/720834831408443392/brx71tjG_normal.jpg" xr:uid="{C88AE512-D00D-4C6C-B1BE-8CD0E56C1650}"/>
    <hyperlink ref="B1131" r:id="rId3486" display="https://twitter.com/ValeMartin_" xr:uid="{95CE95BB-939E-404D-9395-1BF5E1C5C5BC}"/>
    <hyperlink ref="E1131" r:id="rId3487" display="https://twitter.com/ValeMartin_/status/723160537484410880" xr:uid="{10116E75-9984-4D7B-BDC7-0BA0AF66A348}"/>
    <hyperlink ref="O1131" r:id="rId3488" display="https://pbs.twimg.com/profile_images/704630027053375488/mC7xHedR_normal.jpg" xr:uid="{CA817D6D-2FCA-4636-9242-01CD49E7B7BB}"/>
    <hyperlink ref="B1132" r:id="rId3489" display="https://twitter.com/FilthyFitment" xr:uid="{1D58237F-E600-4C6C-9DE0-2DEDFDED173F}"/>
    <hyperlink ref="E1132" r:id="rId3490" display="https://twitter.com/FilthyFitment/status/723160548611780609" xr:uid="{D40A4991-D384-41A5-BB66-F39CBB088D5F}"/>
    <hyperlink ref="O1132" r:id="rId3491" display="https://pbs.twimg.com/profile_images/717914776274354176/xI6HAzkq_normal.jpg" xr:uid="{252FC9D2-05E2-4417-815C-9B4ED631B349}"/>
    <hyperlink ref="B1133" r:id="rId3492" display="https://twitter.com/HuguinVargas" xr:uid="{70DFBC3F-FBAF-4FE5-A90B-E7533AD0A7AA}"/>
    <hyperlink ref="E1133" r:id="rId3493" display="https://twitter.com/HuguinVargas/status/723160552487424001" xr:uid="{7F29FD00-DD0D-41A6-B9AE-136F1DA854CD}"/>
    <hyperlink ref="O1133" r:id="rId3494" display="https://pbs.twimg.com/profile_images/711363527974522880/4n9QulCl_normal.jpg" xr:uid="{1F5CD971-2CA4-4F61-B1D3-9B02F713E623}"/>
    <hyperlink ref="B1134" r:id="rId3495" display="https://twitter.com/FannyFacsar" xr:uid="{B5BCB37C-CD12-4E8F-A1E5-44D9B98C2AD4}"/>
    <hyperlink ref="E1134" r:id="rId3496" display="https://twitter.com/FannyFacsar/status/723160669852340226" xr:uid="{3D030EE1-4F3C-48A8-9A57-48B36DE1EFBE}"/>
    <hyperlink ref="O1134" r:id="rId3497" display="https://pbs.twimg.com/profile_images/669131956140048384/21kN8qiy_normal.jpg" xr:uid="{AC0BD3DE-68AD-48E7-87F6-E2D0E8A3D8A4}"/>
    <hyperlink ref="B1135" r:id="rId3498" display="https://twitter.com/SCGsoflo" xr:uid="{80F080F4-4FE5-48F3-8149-988ABED51A36}"/>
    <hyperlink ref="E1135" r:id="rId3499" display="https://twitter.com/SCGsoflo/status/723160695546630144" xr:uid="{6CDCAFA4-654F-4B1B-8A5C-DA2CB949E041}"/>
    <hyperlink ref="O1135" r:id="rId3500" display="https://pbs.twimg.com/profile_images/717892743075340288/Xxt7RaLM_normal.jpg" xr:uid="{5D205B8E-F8A7-4BD4-AA3B-6FAE8DA0D7C8}"/>
    <hyperlink ref="B1136" r:id="rId3501" display="https://twitter.com/avaeburjassot" xr:uid="{1EBDF536-CBBA-49B4-B9D8-1C517ABCFB89}"/>
    <hyperlink ref="E1136" r:id="rId3502" display="https://twitter.com/avaeburjassot/status/723160815793258496" xr:uid="{96B53D34-8F62-43E3-BDB5-600D84263F68}"/>
    <hyperlink ref="O1136" r:id="rId3503" display="https://pbs.twimg.com/profile_images/2984667859/2d3be96d9f861d5e4429090bd545ad3e_normal.jpeg" xr:uid="{57F30443-E5EB-4854-BCEA-E1C4711167ED}"/>
    <hyperlink ref="B1137" r:id="rId3504" display="https://twitter.com/juliiimuoz1" xr:uid="{9BF9FEA3-65D2-4C37-B9FD-18E0E7824F5A}"/>
    <hyperlink ref="E1137" r:id="rId3505" display="https://twitter.com/juliiimuoz1/status/723161344665653248" xr:uid="{1AD96B1E-E26F-4EC8-AF65-07758D951A36}"/>
    <hyperlink ref="O1137" r:id="rId3506" display="https://pbs.twimg.com/profile_images/723344673968906241/aJhqxNhP_normal.jpg" xr:uid="{02E32E59-9005-42FF-958C-A48AF9EB913C}"/>
    <hyperlink ref="B1138" r:id="rId3507" display="https://twitter.com/Scirocco_Tuning" xr:uid="{D3BCEF1B-26D8-40B1-86AC-38AFF55EDE92}"/>
    <hyperlink ref="E1138" r:id="rId3508" display="https://twitter.com/Scirocco_Tuning/status/723161348197244929" xr:uid="{E16D7728-CC68-44DA-AF0D-FC7D8629398E}"/>
    <hyperlink ref="O1138" r:id="rId3509" display="https://pbs.twimg.com/profile_images/1610421423/Image2_normal.jpg" xr:uid="{0D072858-B04C-420F-9919-FB5EC293794F}"/>
    <hyperlink ref="B1139" r:id="rId3510" display="https://twitter.com/lemberglaw" xr:uid="{B657B21D-EFDE-4A33-B85B-BDFAB80B9D4C}"/>
    <hyperlink ref="E1139" r:id="rId3511" display="https://twitter.com/lemberglaw/status/723161438672572420" xr:uid="{69B3A178-74A2-4163-A223-D65AE693A6C5}"/>
    <hyperlink ref="O1139" r:id="rId3512" display="https://pbs.twimg.com/profile_images/514874399703322624/pqgpNd2g_normal.jpeg" xr:uid="{84B209AF-D009-41E5-BD1D-0E643585E308}"/>
    <hyperlink ref="B1140" r:id="rId3513" display="https://twitter.com/TurboBlankets" xr:uid="{B970541A-8621-4B2F-BCAC-B79DE996D432}"/>
    <hyperlink ref="E1140" r:id="rId3514" display="https://twitter.com/TurboBlankets/status/723161463355908096" xr:uid="{525408D8-D1CE-4003-AB81-A94894BD121B}"/>
    <hyperlink ref="O1140" r:id="rId3515" display="https://pbs.twimg.com/profile_images/451111072607387648/1yuX8rHy_normal.png" xr:uid="{021383E6-099E-4A43-B36B-AC1C78FFCC3C}"/>
    <hyperlink ref="B1141" r:id="rId3516" display="https://twitter.com/deanomsport" xr:uid="{58D6A093-12DC-45CB-9FDC-98771DC29917}"/>
    <hyperlink ref="E1141" r:id="rId3517" display="https://twitter.com/deanomsport/status/723161498873376768" xr:uid="{D97DA5B8-1487-4F56-9487-ADA15D45C38D}"/>
    <hyperlink ref="O1141" r:id="rId3518" display="https://pbs.twimg.com/profile_images/653310353653297153/bYVyhn8J_normal.jpg" xr:uid="{B3CC058C-B32C-446B-B44F-F4725290AB4A}"/>
    <hyperlink ref="B1142" r:id="rId3519" display="https://twitter.com/GUILLEN2507" xr:uid="{3C5308FB-026C-4622-8A18-A0A5BD6D5499}"/>
    <hyperlink ref="E1142" r:id="rId3520" display="https://twitter.com/GUILLEN2507/status/723161664539910144" xr:uid="{6B46ED5A-EF18-44FF-8A56-C26B9BEE3980}"/>
    <hyperlink ref="O1142" r:id="rId3521" display="https://pbs.twimg.com/profile_images/722619235722072064/saRJAyAw_normal.jpg" xr:uid="{DB854006-5CE6-442C-91E6-5B4F08F38188}"/>
    <hyperlink ref="B1143" r:id="rId3522" display="https://twitter.com/pcbritz" xr:uid="{A78FF4B7-4322-4C60-A854-E8324946FE1E}"/>
    <hyperlink ref="E1143" r:id="rId3523" display="https://twitter.com/pcbritz/status/723161805992919040" xr:uid="{7152B97F-9757-4FDF-B431-F27AB0725178}"/>
    <hyperlink ref="O1143" r:id="rId3524" display="https://pbs.twimg.com/profile_images/722823782017200130/VreCKi-k_normal.jpg" xr:uid="{5AD749DD-4962-42D4-B3F3-321E5AD40D17}"/>
    <hyperlink ref="B1144" r:id="rId3525" display="https://twitter.com/cpaul7547" xr:uid="{5EA4D422-E509-4EF8-BBCC-F124AB492627}"/>
    <hyperlink ref="E1144" r:id="rId3526" display="https://twitter.com/cpaul7547/status/723161929485787136" xr:uid="{DABDE838-2DEC-4F1D-8B27-B1232E8961A2}"/>
    <hyperlink ref="O1144" r:id="rId3527" display="https://pbs.twimg.com/profile_images/3705435656/90d60ece05d7734690b85c0cb40089e0_normal.jpeg" xr:uid="{E47B97B4-F8EF-463A-A74D-8DDB1DA24FEA}"/>
    <hyperlink ref="B1145" r:id="rId3528" display="https://twitter.com/paredes_fina" xr:uid="{A1B87BB7-0790-4D26-98EF-1FDC4F585771}"/>
    <hyperlink ref="E1145" r:id="rId3529" display="https://twitter.com/paredes_fina/status/723162113003425792" xr:uid="{4257AE86-6E59-4C96-9B81-7E870ADF5461}"/>
    <hyperlink ref="O1145" r:id="rId3530" display="https://pbs.twimg.com/profile_images/566615573308915715/HKcVROj0_normal.jpeg" xr:uid="{96365680-E4A1-414F-9CB8-3EABEFEADD43}"/>
    <hyperlink ref="B1146" r:id="rId3531" display="https://twitter.com/franz_rother" xr:uid="{AC7C02C1-DDC3-4EB5-83C4-2D09377034F3}"/>
    <hyperlink ref="E1146" r:id="rId3532" display="https://twitter.com/franz_rother/status/723162425491640320" xr:uid="{C62F0FBC-0DB7-4499-9E11-108BE39DBBA1}"/>
    <hyperlink ref="O1146" r:id="rId3533" display="https://pbs.twimg.com/profile_images/3228351590/aadb36f2b020cc27adac139aac4a5663_normal.jpeg" xr:uid="{4639923B-3585-44FC-B0DA-1FD857D2DD1D}"/>
    <hyperlink ref="B1147" r:id="rId3534" display="https://twitter.com/vwfamilyrd" xr:uid="{E66F9B19-B0B9-4441-8FDE-518079CDC107}"/>
    <hyperlink ref="E1147" r:id="rId3535" display="https://twitter.com/vwfamilyrd/status/723162568785715200" xr:uid="{4630A721-DB92-4B4E-A344-BBDDC5F50D79}"/>
    <hyperlink ref="O1147" r:id="rId3536" display="https://pbs.twimg.com/profile_images/694246082092531713/R0PNmJwq_normal.jpg" xr:uid="{9B89469B-142A-4EAC-972E-B7A09AD90FDC}"/>
    <hyperlink ref="B1148" r:id="rId3537" display="https://twitter.com/JosefaTT1" xr:uid="{82986019-B72A-4E0C-82E0-EDB284E112B5}"/>
    <hyperlink ref="E1148" r:id="rId3538" display="https://twitter.com/JosefaTT1/status/723162907400278016" xr:uid="{797A42BA-5A97-49FE-B566-299D5F23CF81}"/>
    <hyperlink ref="O1148" r:id="rId3539" display="https://abs.twimg.com/sticky/default_profile_images/default_profile_4_normal.png" xr:uid="{B95DEF17-D46C-4286-A9C0-84CFF2BCC0FD}"/>
    <hyperlink ref="B1149" r:id="rId3540" display="https://twitter.com/doern" xr:uid="{117AF793-3CEC-4329-8935-813712AD735B}"/>
    <hyperlink ref="E1149" r:id="rId3541" display="https://twitter.com/doern/status/723163014019596288" xr:uid="{4EE85B3B-AA20-408D-85B1-C2941E047A55}"/>
    <hyperlink ref="O1149" r:id="rId3542" display="https://pbs.twimg.com/profile_images/657853466384191488/J6vAnfZr_normal.jpg" xr:uid="{AAE11150-F857-429F-8FCB-199606ECFDB8}"/>
    <hyperlink ref="B1150" r:id="rId3543" display="https://twitter.com/VWCamperSales" xr:uid="{62CBF626-E2E1-447E-9729-1DB859FF3C0B}"/>
    <hyperlink ref="E1150" r:id="rId3544" display="https://twitter.com/VWCamperSales/status/723163019149111296" xr:uid="{284B2BAB-4C16-4D14-B2D0-AE8C2114C1B6}"/>
    <hyperlink ref="F1150" r:id="rId3545" xr:uid="{DBF0B179-66D7-4695-9F3A-86387D2F220A}"/>
    <hyperlink ref="O1150" r:id="rId3546" display="https://pbs.twimg.com/profile_images/627949001179037696/skEBkS05_normal.jpg" xr:uid="{0EEA5133-901C-411D-B0BC-F2EE7D8B10EB}"/>
    <hyperlink ref="B1151" r:id="rId3547" display="https://twitter.com/bigbobblehats" xr:uid="{DDD341E7-89AB-4593-BF66-6C66DE025CB5}"/>
    <hyperlink ref="E1151" r:id="rId3548" display="https://twitter.com/bigbobblehats/status/723163022424985601" xr:uid="{39EDB76F-E1BA-4690-A6D8-3676AD9928B1}"/>
    <hyperlink ref="O1151" r:id="rId3549" display="https://pbs.twimg.com/profile_images/1147531135/Bus_Card_Logo_normal.jpg" xr:uid="{170368EF-840B-4B99-AC66-97271F2BB202}"/>
    <hyperlink ref="B1152" r:id="rId3550" display="https://twitter.com/luiis_mendoozaa" xr:uid="{127D0A14-B5D8-4D10-BADD-BB7E7B29ED35}"/>
    <hyperlink ref="E1152" r:id="rId3551" display="https://twitter.com/luiis_mendoozaa/status/723163523337986048" xr:uid="{76B98B9B-C0EB-4E8A-BBF9-BFCC4D5D9778}"/>
    <hyperlink ref="O1152" r:id="rId3552" display="https://pbs.twimg.com/profile_images/378800000696181601/c2a849b4a9c8def1647340ff66d1113a_normal.jpeg" xr:uid="{7403525F-79E8-4B21-9801-A958F0B4ED86}"/>
    <hyperlink ref="B1153" r:id="rId3553" display="https://twitter.com/nacchomoreno" xr:uid="{08F45428-77F5-487C-9AE0-C599ADD4BD54}"/>
    <hyperlink ref="E1153" r:id="rId3554" display="https://twitter.com/nacchomoreno/status/723163681941557248" xr:uid="{496A06A9-95F6-4658-82EA-BBC9CD3C2F11}"/>
    <hyperlink ref="O1153" r:id="rId3555" display="https://pbs.twimg.com/profile_images/713980481411350528/O76wUBck_normal.jpg" xr:uid="{344C6A6A-37B5-4BAB-95E9-7A551081C0C0}"/>
    <hyperlink ref="B1154" r:id="rId3556" display="https://twitter.com/ClarkWDerry" xr:uid="{7CE36140-12FA-4989-AFAF-F05419743153}"/>
    <hyperlink ref="E1154" r:id="rId3557" display="https://twitter.com/ClarkWDerry/status/723163741626355712" xr:uid="{2DD7E7A0-CC30-4DF2-A04D-E51CF6AF95AF}"/>
    <hyperlink ref="O1154" r:id="rId3558" display="https://pbs.twimg.com/profile_images/461183491531497472/BvYhImr6_normal.jpeg" xr:uid="{86F97A41-E0CF-48D3-B5E1-BC0E279A3180}"/>
    <hyperlink ref="B1155" r:id="rId3559" display="https://twitter.com/CedricGracia" xr:uid="{95F5CB22-3554-41EC-9695-AFD7FE221A8E}"/>
    <hyperlink ref="E1155" r:id="rId3560" display="https://twitter.com/CedricGracia/status/723163816964558849" xr:uid="{D95CF180-3446-4D8C-9F2A-DD57456587C4}"/>
    <hyperlink ref="O1155" r:id="rId3561" display="https://pbs.twimg.com/profile_images/3217712064/cf244c7a705a5d0a3b9c21c8cb5ee9ee_normal.jpeg" xr:uid="{E676AE07-27BB-48B0-B955-2C3DAF6F1343}"/>
    <hyperlink ref="B1156" r:id="rId3562" display="https://twitter.com/nakulshetty88" xr:uid="{282807A9-F582-49C0-8168-5700915440B4}"/>
    <hyperlink ref="E1156" r:id="rId3563" display="https://twitter.com/nakulshetty88/status/723164139850440704" xr:uid="{D22AFC3E-3625-41B2-9F9E-6D0506A84EAD}"/>
    <hyperlink ref="O1156" r:id="rId3564" display="https://pbs.twimg.com/profile_images/661119826530709506/sRaMAZJk_normal.png" xr:uid="{077BD22E-ABD3-45F8-8E01-8FB614CFBEBE}"/>
    <hyperlink ref="B1157" r:id="rId3565" display="https://twitter.com/phoenix_de" xr:uid="{875509E6-4F2C-401B-B90B-5E02B7FFE157}"/>
    <hyperlink ref="E1157" r:id="rId3566" display="https://twitter.com/phoenix_de/status/723164385485545472" xr:uid="{F2F0E8AE-9894-4DBA-A3B3-D4749CF85CDD}"/>
    <hyperlink ref="O1157" r:id="rId3567" display="https://pbs.twimg.com/profile_images/432828941061988353/mSj7d1eO_normal.png" xr:uid="{208488AE-DE32-4F5D-8717-6D90E6E65F07}"/>
    <hyperlink ref="B1158" r:id="rId3568" display="https://twitter.com/VWBeetleSales" xr:uid="{47C75B17-4BD5-4652-85BD-E41401FF32FE}"/>
    <hyperlink ref="E1158" r:id="rId3569" display="https://twitter.com/VWBeetleSales/status/723164409808351232" xr:uid="{D4608472-EF9A-472E-9DA1-B0DD9A7DB640}"/>
    <hyperlink ref="F1158" r:id="rId3570" xr:uid="{5C7EF82B-7371-4332-9CD5-5C920329C0A6}"/>
    <hyperlink ref="O1158" r:id="rId3571" display="https://pbs.twimg.com/profile_images/703294545195307008/qeCvrX86_normal.jpg" xr:uid="{695F8D8E-0743-4E88-A44D-77E27B2C79B5}"/>
    <hyperlink ref="B1159" r:id="rId3572" display="https://twitter.com/VWBeetleSales" xr:uid="{C2CFF278-0F48-4A01-94BE-B2D24D22C24E}"/>
    <hyperlink ref="E1159" r:id="rId3573" display="https://twitter.com/VWBeetleSales/status/723164421086826498" xr:uid="{6E3C8D26-34F3-4039-8561-86B79602DFB6}"/>
    <hyperlink ref="F1159" r:id="rId3574" xr:uid="{D5FDEFC8-10D1-47A1-93A7-23623328051F}"/>
    <hyperlink ref="O1159" r:id="rId3575" display="https://pbs.twimg.com/profile_images/703294545195307008/qeCvrX86_normal.jpg" xr:uid="{10243D68-B353-4B57-A411-178575EB9BB8}"/>
    <hyperlink ref="B1160" r:id="rId3576" display="https://twitter.com/urotuning" xr:uid="{5207C79F-B924-489C-8963-A8FDC7E5300C}"/>
    <hyperlink ref="E1160" r:id="rId3577" display="https://twitter.com/urotuning/status/723164865335009280" xr:uid="{3FF2E642-0BCB-4A18-B1DB-39313A3D8D87}"/>
    <hyperlink ref="O1160" r:id="rId3578" display="https://pbs.twimg.com/profile_images/652593086124527616/onf0J8iL_normal.png" xr:uid="{2FCBDDA6-EA2F-4AB5-B737-9972561D8050}"/>
    <hyperlink ref="B1161" r:id="rId3579" display="https://twitter.com/jrosevear" xr:uid="{6A32B2B2-DC65-47CE-AE54-4F4065FB521E}"/>
    <hyperlink ref="E1161" r:id="rId3580" display="https://twitter.com/jrosevear/status/723165018775273473" xr:uid="{210F7BD6-BCFA-4FEF-B0B4-B5D67A41A45A}"/>
    <hyperlink ref="O1161" r:id="rId3581" display="https://pbs.twimg.com/profile_images/301633481/fishers_isabella_0709_normal.jpg" xr:uid="{655D8398-821A-44F1-8029-DF362420CC7A}"/>
    <hyperlink ref="B1162" r:id="rId3582" display="https://twitter.com/VolkswagenPost" xr:uid="{751EC951-A704-4DCD-A697-D3574E6067D5}"/>
    <hyperlink ref="E1162" r:id="rId3583" display="https://twitter.com/VolkswagenPost/status/723165108180901888" xr:uid="{6A7614A3-AFA8-499B-84A2-BA01681FFE7D}"/>
    <hyperlink ref="O1162" r:id="rId3584" display="https://pbs.twimg.com/profile_images/530071272881803264/a_jcCmPZ_normal.png" xr:uid="{426A5B5E-7F82-4548-AC57-09EBE11FBF0D}"/>
    <hyperlink ref="B1163" r:id="rId3585" display="https://twitter.com/VolkswagenPost" xr:uid="{976774F7-9EDB-4416-A30A-8306C9BC0179}"/>
    <hyperlink ref="E1163" r:id="rId3586" display="https://twitter.com/VolkswagenPost/status/723165109284020225" xr:uid="{8DBA1491-0855-4A39-AAAF-63FDC4F939F4}"/>
    <hyperlink ref="O1163" r:id="rId3587" display="https://pbs.twimg.com/profile_images/530071272881803264/a_jcCmPZ_normal.png" xr:uid="{E27091FC-C248-47CA-971A-9CD30059FD05}"/>
    <hyperlink ref="B1164" r:id="rId3588" display="https://twitter.com/VolkswagenPost" xr:uid="{F2A451EA-CCE7-431F-94AF-96F4B90E2B64}"/>
    <hyperlink ref="E1164" r:id="rId3589" display="https://twitter.com/VolkswagenPost/status/723165110538137600" xr:uid="{9FCE7092-C801-4B5C-B02A-9F9D39CB5140}"/>
    <hyperlink ref="O1164" r:id="rId3590" display="https://pbs.twimg.com/profile_images/530071272881803264/a_jcCmPZ_normal.png" xr:uid="{02E48416-FACE-4420-9021-BB0EB53ABB48}"/>
    <hyperlink ref="B1165" r:id="rId3591" display="https://twitter.com/franz_rother" xr:uid="{35278B4B-E55F-4DDC-B93B-89729D3D6DB8}"/>
    <hyperlink ref="E1165" r:id="rId3592" display="https://twitter.com/franz_rother/status/723165146550509568" xr:uid="{ACE6EA00-11BC-4A97-89CE-904BEAEB54FD}"/>
    <hyperlink ref="O1165" r:id="rId3593" display="https://pbs.twimg.com/profile_images/3228351590/aadb36f2b020cc27adac139aac4a5663_normal.jpeg" xr:uid="{4538B9B7-9152-456E-ACD4-5F8657103B4F}"/>
    <hyperlink ref="B1166" r:id="rId3594" display="https://twitter.com/jenkers_en" xr:uid="{6011DA89-4CE2-4928-9C6F-4FDBFB9B9ACA}"/>
    <hyperlink ref="E1166" r:id="rId3595" display="https://twitter.com/jenkers_en/status/723165412544942080" xr:uid="{3001F0B5-AAE2-4B0B-AF7A-EAA2B4F513A0}"/>
    <hyperlink ref="O1166" r:id="rId3596" display="https://pbs.twimg.com/profile_images/588324718677254145/-y5BbeY4_normal.png" xr:uid="{EE487FCF-886E-4C35-A96C-FBA77B646017}"/>
    <hyperlink ref="B1167" r:id="rId3597" display="https://twitter.com/Kop_of_Parisii" xr:uid="{DFDA6F34-0C65-4681-BA34-526F9C17304B}"/>
    <hyperlink ref="E1167" r:id="rId3598" display="https://twitter.com/Kop_of_Parisii/status/723165656519196672" xr:uid="{7E16B4EB-CCC4-475B-8B57-25E7A37E60B7}"/>
    <hyperlink ref="O1167" r:id="rId3599" display="https://pbs.twimg.com/profile_images/602072660466659328/noLEC5Ip_normal.jpg" xr:uid="{EDEDFDE4-BCE5-4720-944B-B0A6515AFB18}"/>
    <hyperlink ref="B1168" r:id="rId3600" display="https://twitter.com/Carscoop" xr:uid="{141606A0-8913-4D14-A077-C8F6D6731B65}"/>
    <hyperlink ref="E1168" r:id="rId3601" display="https://twitter.com/Carscoop/status/723165707354042368" xr:uid="{0A1F7ADF-9336-4194-A092-FD730F9E8069}"/>
    <hyperlink ref="F1168" r:id="rId3602" xr:uid="{0D20706B-D821-409F-BAF0-C73C9830B762}"/>
    <hyperlink ref="O1168" r:id="rId3603" display="https://pbs.twimg.com/profile_images/599709666017435648/r0vhT_9C_normal.png" xr:uid="{0380D67A-6551-44C5-8ECC-42824F4D21E0}"/>
    <hyperlink ref="B1169" r:id="rId3604" display="https://twitter.com/XBudhoo" xr:uid="{954B464C-2FF3-4EE1-A625-930D0381EC86}"/>
    <hyperlink ref="E1169" r:id="rId3605" display="https://twitter.com/XBudhoo/status/723165962829221888" xr:uid="{7D9FA9E0-AE77-42C8-9652-C4E49F797DAD}"/>
    <hyperlink ref="O1169" r:id="rId3606" display="https://pbs.twimg.com/profile_images/722951328964677633/w1iChjiw_normal.jpg" xr:uid="{EF3236EF-BCE6-4014-A6E0-C4B90C21A4C5}"/>
    <hyperlink ref="B1170" r:id="rId3607" display="https://twitter.com/MaikeruType1" xr:uid="{BBEAFA5F-620E-448F-B74D-809645C23318}"/>
    <hyperlink ref="E1170" r:id="rId3608" display="https://twitter.com/MaikeruType1/status/723165992914964480" xr:uid="{1C888ECB-7502-4D79-8158-46B880144A4D}"/>
    <hyperlink ref="O1170" r:id="rId3609" display="https://pbs.twimg.com/profile_images/722331798747750400/ojnef0Iw_normal.jpg" xr:uid="{DE1F0832-92C6-4A50-B2D3-81F251AA64AE}"/>
    <hyperlink ref="P1170" r:id="rId3610" location="43.7667,142.367" display="http://ctrlq.org/maps/address/ - 43.7667,142.367" xr:uid="{649E18B7-3C2E-4E00-9F08-498F65098501}"/>
    <hyperlink ref="B1171" r:id="rId3611" display="https://twitter.com/beetlebug1938" xr:uid="{35809285-5ABA-4EC7-A902-02A6F6D307A1}"/>
    <hyperlink ref="E1171" r:id="rId3612" display="https://twitter.com/beetlebug1938/status/723166009293713408" xr:uid="{BD6647B7-F977-423C-9BC1-18389D1A11F5}"/>
    <hyperlink ref="O1171" r:id="rId3613" display="https://pbs.twimg.com/profile_images/718820712757215233/LXXndPTS_normal.jpg" xr:uid="{E0BD9CEC-82B7-4D3A-AA62-CE82890FCE5E}"/>
    <hyperlink ref="B1172" r:id="rId3614" display="https://twitter.com/beetlebug1938" xr:uid="{0C56871A-2647-4ACB-BD1A-9EF9321113A5}"/>
    <hyperlink ref="E1172" r:id="rId3615" display="https://twitter.com/beetlebug1938/status/723166036384731136" xr:uid="{25FD83F1-F824-467E-BDE4-CB8D84B069C6}"/>
    <hyperlink ref="O1172" r:id="rId3616" display="https://pbs.twimg.com/profile_images/718820712757215233/LXXndPTS_normal.jpg" xr:uid="{61D1B187-1F2D-441C-BFBF-A736440E470B}"/>
    <hyperlink ref="B1173" r:id="rId3617" display="https://twitter.com/beetlebug1938" xr:uid="{3C4B77E0-E000-49C5-8E5E-DDB45F4B2676}"/>
    <hyperlink ref="E1173" r:id="rId3618" display="https://twitter.com/beetlebug1938/status/723166050947338240" xr:uid="{518DCD14-376D-4C8D-A262-BE3BC2204FBD}"/>
    <hyperlink ref="O1173" r:id="rId3619" display="https://pbs.twimg.com/profile_images/718820712757215233/LXXndPTS_normal.jpg" xr:uid="{C618987C-D355-4ECA-9CDC-4AEE147CE66C}"/>
    <hyperlink ref="B1174" r:id="rId3620" display="https://twitter.com/beetlebug1938" xr:uid="{D5EF8BE4-07CB-43AD-9EC6-DAD92820F6F8}"/>
    <hyperlink ref="E1174" r:id="rId3621" display="https://twitter.com/beetlebug1938/status/723166064205541376" xr:uid="{3C3C8923-7D52-434F-AA78-86B7E54D7E95}"/>
    <hyperlink ref="O1174" r:id="rId3622" display="https://pbs.twimg.com/profile_images/718820712757215233/LXXndPTS_normal.jpg" xr:uid="{D5AFA2EC-48AA-4DF7-A1E3-F7412D45F560}"/>
    <hyperlink ref="B1175" r:id="rId3623" display="https://twitter.com/beetlebug1938" xr:uid="{37CCD3DF-ADD5-4A25-B7B4-C15DCEACBF2D}"/>
    <hyperlink ref="E1175" r:id="rId3624" display="https://twitter.com/beetlebug1938/status/723166076285100032" xr:uid="{AE81891A-008C-4480-8F98-F5D6AEC7F076}"/>
    <hyperlink ref="O1175" r:id="rId3625" display="https://pbs.twimg.com/profile_images/718820712757215233/LXXndPTS_normal.jpg" xr:uid="{A6E52737-4560-4594-A689-333A4AB6DB91}"/>
    <hyperlink ref="B1176" r:id="rId3626" display="https://twitter.com/beetlebug1938" xr:uid="{8604A7D9-8BD7-46B1-9046-F1919650E33F}"/>
    <hyperlink ref="E1176" r:id="rId3627" display="https://twitter.com/beetlebug1938/status/723166087886561280" xr:uid="{EF0C12E8-2B5E-4F21-B6A4-3AAA959C840F}"/>
    <hyperlink ref="O1176" r:id="rId3628" display="https://pbs.twimg.com/profile_images/718820712757215233/LXXndPTS_normal.jpg" xr:uid="{325C8297-5B68-44BC-8FE3-63E88640D699}"/>
    <hyperlink ref="B1177" r:id="rId3629" display="https://twitter.com/beetlebug1938" xr:uid="{6F9DE843-DBCE-404F-A6D3-2B45FB7E520C}"/>
    <hyperlink ref="E1177" r:id="rId3630" display="https://twitter.com/beetlebug1938/status/723166133004713984" xr:uid="{9F0C7299-0068-4147-88D5-BCBC3ED6C999}"/>
    <hyperlink ref="O1177" r:id="rId3631" display="https://pbs.twimg.com/profile_images/718820712757215233/LXXndPTS_normal.jpg" xr:uid="{02035543-B177-4137-88DC-BCBABE943F4F}"/>
    <hyperlink ref="B1178" r:id="rId3632" display="https://twitter.com/KateGalbraith" xr:uid="{28BC988F-2349-4CF3-95DB-8C05235F6A46}"/>
    <hyperlink ref="E1178" r:id="rId3633" display="https://twitter.com/KateGalbraith/status/723166266765107200" xr:uid="{4C258396-66E9-4BD8-A40D-CAF549ADA443}"/>
    <hyperlink ref="O1178" r:id="rId3634" display="https://pbs.twimg.com/profile_images/742861504/KG_normal.jpg" xr:uid="{0EC40F98-94A4-4029-B1C5-C7CB9C41C93E}"/>
    <hyperlink ref="B1179" r:id="rId3635" display="https://twitter.com/bayl" xr:uid="{1ED881B5-FF61-4F45-A05F-995F0C4A1E56}"/>
    <hyperlink ref="E1179" r:id="rId3636" display="https://twitter.com/bayl/status/723166334226321408" xr:uid="{752FE9EB-2A0A-43DB-90C5-1158E9E0C09B}"/>
    <hyperlink ref="O1179" r:id="rId3637" display="https://pbs.twimg.com/profile_images/438619338942062592/OBEQvg6R_normal.jpeg" xr:uid="{70AD14C7-0EA5-49D5-8379-61DA382F82E8}"/>
    <hyperlink ref="B1180" r:id="rId3638" display="https://twitter.com/oliwkagrochal" xr:uid="{2F51D062-6635-448A-9D47-7ECD0699639B}"/>
    <hyperlink ref="E1180" r:id="rId3639" display="https://twitter.com/oliwkagrochal/status/723166369961922560" xr:uid="{D25CCD40-91C6-4998-981F-6A6A83C20C32}"/>
    <hyperlink ref="O1180" r:id="rId3640" display="https://pbs.twimg.com/profile_images/623412520561283072/MnxFCk29_normal.jpg" xr:uid="{C5FF66DA-891F-4B47-912C-82E84930C354}"/>
    <hyperlink ref="B1181" r:id="rId3641" display="https://twitter.com/doern" xr:uid="{76B301E1-B656-4C97-AEEE-CFDA9A18996C}"/>
    <hyperlink ref="E1181" r:id="rId3642" display="https://twitter.com/doern/status/723166432683548673" xr:uid="{2AAD298B-53FA-4D29-A531-2BDF488DBBF8}"/>
    <hyperlink ref="O1181" r:id="rId3643" display="https://pbs.twimg.com/profile_images/657853466384191488/J6vAnfZr_normal.jpg" xr:uid="{94485FF5-2A9F-4C31-8820-004D3B600FC7}"/>
    <hyperlink ref="B1182" r:id="rId3644" display="https://twitter.com/VWBeetleSales" xr:uid="{D985D3DB-6A8A-4B4C-B750-EFCDD669E922}"/>
    <hyperlink ref="E1182" r:id="rId3645" display="https://twitter.com/VWBeetleSales/status/723166436303106054" xr:uid="{4406C0DE-B821-4508-B27D-B1694C92FD6E}"/>
    <hyperlink ref="F1182" r:id="rId3646" xr:uid="{15750FF5-4B3F-4BD8-86FF-453201065BBA}"/>
    <hyperlink ref="O1182" r:id="rId3647" display="https://pbs.twimg.com/profile_images/703294545195307008/qeCvrX86_normal.jpg" xr:uid="{DDFD8D1A-0140-4889-9D31-C9A4550A2D50}"/>
    <hyperlink ref="B1183" r:id="rId3648" display="https://twitter.com/VolkerVotsmeier" xr:uid="{7510F089-10DD-478D-A6C5-41E62EEA04B2}"/>
    <hyperlink ref="E1183" r:id="rId3649" display="https://twitter.com/VolkerVotsmeier/status/723166485686956032" xr:uid="{EA92B6AA-647C-45FB-BB43-B8C774BA41E8}"/>
    <hyperlink ref="O1183" r:id="rId3650" display="https://pbs.twimg.com/profile_images/507897198911053824/7OqYAonJ_normal.jpeg" xr:uid="{4FBBB4A3-46BC-4E03-A359-95D13163B8DD}"/>
    <hyperlink ref="B1184" r:id="rId3651" display="https://twitter.com/NiicoleBeleen" xr:uid="{E1C10DE0-119E-426A-B39B-6C70F0DA0AD6}"/>
    <hyperlink ref="E1184" r:id="rId3652" display="https://twitter.com/NiicoleBeleen/status/723166742403530752" xr:uid="{1091F7A6-B7BD-4F04-8E4D-DA02700B6823}"/>
    <hyperlink ref="O1184" r:id="rId3653" display="https://pbs.twimg.com/profile_images/707661630289616897/q6J9iGZF_normal.jpg" xr:uid="{3535ADE8-0A95-40B5-BD5F-AE943E6769EE}"/>
    <hyperlink ref="B1185" r:id="rId3654" display="https://twitter.com/marioamontero" xr:uid="{348899BC-8DC0-44C0-B010-2CA955DCF363}"/>
    <hyperlink ref="E1185" r:id="rId3655" display="https://twitter.com/marioamontero/status/723166973736177664" xr:uid="{1F594A5E-3F35-47AC-9F0D-D04145779609}"/>
    <hyperlink ref="O1185" r:id="rId3656" display="https://pbs.twimg.com/profile_images/654737728123240448/2iBYs_8M_normal.jpg" xr:uid="{20A92AC5-67D8-406F-ADEF-359B5A0C0B19}"/>
    <hyperlink ref="B1186" r:id="rId3657" display="https://twitter.com/ZDFheute" xr:uid="{D554013C-F2CC-4C79-A173-7D71B2D0BA9C}"/>
    <hyperlink ref="E1186" r:id="rId3658" display="https://twitter.com/ZDFheute/status/723167041885245440" xr:uid="{C131A991-2D82-46BC-9E94-62EB46054582}"/>
    <hyperlink ref="O1186" r:id="rId3659" display="https://pbs.twimg.com/profile_images/465803701647446016/jAlkirAe_normal.jpeg" xr:uid="{65ACB8DE-35EC-4478-8FD6-DEEFADE40F5E}"/>
    <hyperlink ref="B1187" r:id="rId3660" display="https://twitter.com/ratemycamper" xr:uid="{088A0F6D-F746-4987-8E72-C1C3E1513E65}"/>
    <hyperlink ref="E1187" r:id="rId3661" display="https://twitter.com/ratemycamper/status/723167047547539456" xr:uid="{3439525D-1607-4187-AA12-2FD167C1C649}"/>
    <hyperlink ref="O1187" r:id="rId3662" display="https://pbs.twimg.com/profile_images/710929065939755009/-Rgs_z20_normal.jpg" xr:uid="{425F0095-450A-42B1-82B9-8ED4E92C615C}"/>
    <hyperlink ref="B1188" r:id="rId3663" display="https://twitter.com/MaartinDk" xr:uid="{4909D3CE-69F3-4C3A-9C7F-C6D622B953CC}"/>
    <hyperlink ref="E1188" r:id="rId3664" display="https://twitter.com/MaartinDk/status/723167049837588480" xr:uid="{96EC7014-D170-46A3-AB2B-53F99A4403A9}"/>
    <hyperlink ref="O1188" r:id="rId3665" display="https://pbs.twimg.com/profile_images/720756791525711872/8ZCEEyUb_normal.jpg" xr:uid="{6A592465-5A93-4441-9E48-B165A30A7859}"/>
    <hyperlink ref="B1189" r:id="rId3666" display="https://twitter.com/Cognisant2000" xr:uid="{64EA932C-404F-4E09-B55F-2DA636FB026D}"/>
    <hyperlink ref="E1189" r:id="rId3667" display="https://twitter.com/Cognisant2000/status/723167075921883136" xr:uid="{E795B7E7-AB94-41E3-8FD6-E94295E170DC}"/>
    <hyperlink ref="O1189" r:id="rId3668" display="https://pbs.twimg.com/profile_images/479652486806904832/u9M5aNOk_normal.jpeg" xr:uid="{DE92903E-1F29-4F97-8051-8A6332C501F2}"/>
    <hyperlink ref="B1190" r:id="rId3669" display="https://twitter.com/hb_investigativ" xr:uid="{916F9EA8-ECA0-4041-B8A2-86AE371A96AD}"/>
    <hyperlink ref="E1190" r:id="rId3670" display="https://twitter.com/hb_investigativ/status/723167129185472513" xr:uid="{457E524D-0337-4A84-916E-08C269ECB0CB}"/>
    <hyperlink ref="O1190" r:id="rId3671" display="https://pbs.twimg.com/profile_images/565148280066035712/_9CeN1GE_normal.jpeg" xr:uid="{5E06D04A-F58C-4DC9-B759-69A4CD8D0C81}"/>
    <hyperlink ref="B1191" r:id="rId3672" display="https://twitter.com/hb_investigativ" xr:uid="{FEF219C3-EFFD-45A3-8D7E-90103C2B8C44}"/>
    <hyperlink ref="E1191" r:id="rId3673" display="https://twitter.com/hb_investigativ/status/723167164681850880" xr:uid="{A349887C-875B-42AB-A94B-E3A46D027B92}"/>
    <hyperlink ref="O1191" r:id="rId3674" display="https://pbs.twimg.com/profile_images/565148280066035712/_9CeN1GE_normal.jpeg" xr:uid="{2A197652-D913-4365-A622-E45935FC0712}"/>
    <hyperlink ref="B1192" r:id="rId3675" display="https://twitter.com/hrinfo" xr:uid="{D358FB1C-5EFF-4A3E-9EF4-168D00F5F050}"/>
    <hyperlink ref="E1192" r:id="rId3676" display="https://twitter.com/hrinfo/status/723167247045259265" xr:uid="{3514FBC6-3EDC-4432-B8A1-1FC3AB4F7E3F}"/>
    <hyperlink ref="O1192" r:id="rId3677" display="https://pbs.twimg.com/profile_images/531837173612285952/71rzDAAY_normal.jpeg" xr:uid="{5794A0FA-7E69-488C-A40F-3B645616BBD9}"/>
    <hyperlink ref="B1193" r:id="rId3678" display="https://twitter.com/dpa" xr:uid="{62413B77-10E5-44E5-A7F8-3C8B9C47FDDF}"/>
    <hyperlink ref="E1193" r:id="rId3679" display="https://twitter.com/dpa/status/723167267987533824" xr:uid="{46E2AA88-E181-4C3C-B151-0348457570DF}"/>
    <hyperlink ref="O1193" r:id="rId3680" display="https://pbs.twimg.com/profile_images/231479009/logo_dpa_infoline_normal.jpg" xr:uid="{5D300455-1DB5-4394-9E8C-BA7419B49C09}"/>
    <hyperlink ref="B1194" r:id="rId3681" display="https://twitter.com/handelsblatt" xr:uid="{C240D1A8-08FC-47E6-AD83-22251C3BEE0C}"/>
    <hyperlink ref="E1194" r:id="rId3682" display="https://twitter.com/handelsblatt/status/723167450557235200" xr:uid="{997BF637-56D4-447B-81EF-995C095A6258}"/>
    <hyperlink ref="O1194" r:id="rId3683" display="https://pbs.twimg.com/profile_images/562563461171798017/AkHF4keI_normal.png" xr:uid="{1B70E4FE-FBA8-4DE6-AC81-5C8FD51A4E3E}"/>
    <hyperlink ref="B1195" r:id="rId3684" display="https://twitter.com/aktionaer" xr:uid="{61635A8F-21AD-41AC-BE01-8E7019E689AB}"/>
    <hyperlink ref="E1195" r:id="rId3685" display="https://twitter.com/aktionaer/status/723167481083252738" xr:uid="{C8581A92-C6CE-4508-8817-EC94D28709A0}"/>
    <hyperlink ref="O1195" r:id="rId3686" display="https://pbs.twimg.com/profile_images/679552623641509888/_vPw9IS2_normal.png" xr:uid="{CDC2299A-9D32-4205-94FF-133A8D868374}"/>
    <hyperlink ref="B1196" r:id="rId3687" display="https://twitter.com/franz_rother" xr:uid="{BEB8E5B3-BA99-48D7-B872-CC11D59AD7E7}"/>
    <hyperlink ref="E1196" r:id="rId3688" display="https://twitter.com/franz_rother/status/723167829470658560" xr:uid="{B6394F44-622D-4414-BDB2-D1149FD2AF54}"/>
    <hyperlink ref="O1196" r:id="rId3689" display="https://pbs.twimg.com/profile_images/3228351590/aadb36f2b020cc27adac139aac4a5663_normal.jpeg" xr:uid="{2EE02F87-06A7-48E9-9314-E9198EE12809}"/>
    <hyperlink ref="B1197" r:id="rId3690" display="https://twitter.com/KateGalbraith" xr:uid="{DC2335EC-0F5C-44F9-95F8-E94D3B30AE0F}"/>
    <hyperlink ref="E1197" r:id="rId3691" display="https://twitter.com/KateGalbraith/status/723167850060378112" xr:uid="{D6A1FCCC-1D4B-4CDE-A03D-A00507EFEC46}"/>
    <hyperlink ref="O1197" r:id="rId3692" display="https://pbs.twimg.com/profile_images/742861504/KG_normal.jpg" xr:uid="{F8A1F851-492E-445F-9D38-A9D2FED7BEE8}"/>
    <hyperlink ref="B1198" r:id="rId3693" display="https://twitter.com/Theothebald" xr:uid="{9660F847-AC57-491C-BBE2-535A4E147051}"/>
    <hyperlink ref="E1198" r:id="rId3694" display="https://twitter.com/Theothebald/status/723167953374568448" xr:uid="{04A83562-CB53-497C-9E7E-05F44BBED5E2}"/>
    <hyperlink ref="O1198" r:id="rId3695" display="https://pbs.twimg.com/profile_images/2592181176/udsjv0fy0o3b2krnx52h_normal.jpeg" xr:uid="{7EB87047-3D93-4234-83D9-65CA125161E3}"/>
    <hyperlink ref="B1199" r:id="rId3696" display="https://twitter.com/MarkCSchneider" xr:uid="{4BDCBCD6-19C4-4FA1-B54A-AAE7CA21F28A}"/>
    <hyperlink ref="E1199" r:id="rId3697" display="https://twitter.com/MarkCSchneider/status/723167979719020544" xr:uid="{0D08E777-C1C5-4A17-9C85-07950A3DF930}"/>
    <hyperlink ref="O1199" r:id="rId3698" display="https://pbs.twimg.com/profile_images/706784695795769345/XGXgdjww_normal.jpg" xr:uid="{55631D3E-5783-4B5A-86E3-EFA517BD3B90}"/>
    <hyperlink ref="B1200" r:id="rId3699" display="https://twitter.com/StephChuang" xr:uid="{A35068F5-07D8-4BAC-8B27-F010D382DD12}"/>
    <hyperlink ref="E1200" r:id="rId3700" display="https://twitter.com/StephChuang/status/723167981417570304" xr:uid="{DACE8D98-5AE9-449B-9A54-64B45DE92AF7}"/>
    <hyperlink ref="M1200" r:id="rId3701" xr:uid="{F26CF3C7-5DD7-44EE-8FDC-655874178310}"/>
    <hyperlink ref="O1200" r:id="rId3702" display="https://pbs.twimg.com/profile_images/722768033307975681/Q0TfBDBg_normal.jpg" xr:uid="{5BAD7FEF-38EF-4F17-9DE0-903CBD4DA92C}"/>
    <hyperlink ref="B1201" r:id="rId3703" display="https://twitter.com/nbcbayarea" xr:uid="{41EFB7A8-BD11-40D1-BFB2-9D156321F359}"/>
    <hyperlink ref="E1201" r:id="rId3704" display="https://twitter.com/nbcbayarea/status/723168044973850627" xr:uid="{66E51141-161C-4100-8AED-031A5126DACD}"/>
    <hyperlink ref="O1201" r:id="rId3705" display="https://pbs.twimg.com/profile_images/459486317982674944/U6v1KsKl_normal.jpeg" xr:uid="{37954809-1560-45C4-8473-CEE91FEBAE95}"/>
    <hyperlink ref="B1202" r:id="rId3706" display="https://twitter.com/Fat4y" xr:uid="{6022196F-0FC4-41F3-97E0-72AFC8802CDB}"/>
    <hyperlink ref="E1202" r:id="rId3707" display="https://twitter.com/Fat4y/status/723168066264260612" xr:uid="{E01CC63C-C085-4E7B-908B-810109CEBB8A}"/>
    <hyperlink ref="O1202" r:id="rId3708" display="https://pbs.twimg.com/profile_images/701348099290218496/iXTmp1jH_normal.jpg" xr:uid="{77F57B05-7152-45EB-A4CB-D5277B879FA7}"/>
    <hyperlink ref="B1203" r:id="rId3709" display="https://twitter.com/VWBeetleSales" xr:uid="{3DD439EF-80D6-43A9-92DE-59D9FF04E81B}"/>
    <hyperlink ref="E1203" r:id="rId3710" display="https://twitter.com/VWBeetleSales/status/723168183255883780" xr:uid="{30EA6F90-D365-4688-8464-0B1C5E2E7BD3}"/>
    <hyperlink ref="F1203" r:id="rId3711" xr:uid="{4ED75C2C-A49D-439E-A6A5-EBE3D2612BE9}"/>
    <hyperlink ref="O1203" r:id="rId3712" display="https://pbs.twimg.com/profile_images/703294545195307008/qeCvrX86_normal.jpg" xr:uid="{A0364610-33F2-4A38-BB5A-691C0C63839A}"/>
    <hyperlink ref="B1204" r:id="rId3713" display="https://twitter.com/MarkCSchneider" xr:uid="{AF904B86-ADC7-4487-92E0-A1B1EC6DC954}"/>
    <hyperlink ref="E1204" r:id="rId3714" display="https://twitter.com/MarkCSchneider/status/723168257461653505" xr:uid="{A8C547E3-01E7-484A-9066-CD8462EDAA96}"/>
    <hyperlink ref="O1204" r:id="rId3715" display="https://pbs.twimg.com/profile_images/706784695795769345/XGXgdjww_normal.jpg" xr:uid="{274D81D4-8608-4D41-ACB9-03708CFAADBD}"/>
    <hyperlink ref="B1205" r:id="rId3716" display="https://twitter.com/dfmboy" xr:uid="{6E742A27-ED72-444A-831B-636CA1BF8060}"/>
    <hyperlink ref="E1205" r:id="rId3717" display="https://twitter.com/dfmboy/status/723168302902726656" xr:uid="{CF4056C7-814C-427D-A1A9-E36705D5A201}"/>
    <hyperlink ref="O1205" r:id="rId3718" display="https://pbs.twimg.com/profile_images/713274484128616448/5CURMCDr_normal.jpg" xr:uid="{5221EAD2-B23B-4027-8B89-4CD5F32560BE}"/>
    <hyperlink ref="B1206" r:id="rId3719" display="https://twitter.com/089stadt" xr:uid="{B14FCCA9-A3C4-4026-9272-9B98AF1F4C29}"/>
    <hyperlink ref="E1206" r:id="rId3720" display="https://twitter.com/089stadt/status/723168326353051648" xr:uid="{506083EC-3E2D-4864-8365-D196CF9B8B29}"/>
    <hyperlink ref="O1206" r:id="rId3721" display="https://pbs.twimg.com/profile_images/1785128505/munich_normal.png" xr:uid="{764197BC-6E9A-49E0-BF87-74974EBBC860}"/>
    <hyperlink ref="B1207" r:id="rId3722" display="https://twitter.com/die_socke" xr:uid="{E16289E1-2960-4510-BCBE-69EF38A0F71B}"/>
    <hyperlink ref="E1207" r:id="rId3723" display="https://twitter.com/die_socke/status/723168335286964224" xr:uid="{E4129FF9-1688-4D73-BE40-98D431473503}"/>
    <hyperlink ref="O1207" r:id="rId3724" display="https://pbs.twimg.com/profile_images/720406265957101568/m_NCBs1d_normal.jpg" xr:uid="{E2E381BE-5BBC-4D6B-8E0B-3F70EEEAB42B}"/>
    <hyperlink ref="B1208" r:id="rId3725" display="https://twitter.com/Fernandez_Diego" xr:uid="{4E31F0FA-213E-46D4-A6D4-EC864FA930AB}"/>
    <hyperlink ref="E1208" r:id="rId3726" display="https://twitter.com/Fernandez_Diego/status/723168340064260096" xr:uid="{0F01BABE-6A42-4B27-832C-0042127C8A61}"/>
    <hyperlink ref="O1208" r:id="rId3727" display="https://pbs.twimg.com/profile_images/556255417714503681/B78CvKEX_normal.jpeg" xr:uid="{569C35F1-C7A9-435C-A650-770A81D80959}"/>
    <hyperlink ref="B1209" r:id="rId3728" display="https://twitter.com/AutoExpress" xr:uid="{697AFC64-B523-48E1-98BA-2FFD57942B22}"/>
    <hyperlink ref="E1209" r:id="rId3729" display="https://twitter.com/AutoExpress/status/723168446339407872" xr:uid="{669AEEED-ED86-4BD9-B8B5-7F65F84EB7ED}"/>
    <hyperlink ref="O1209" r:id="rId3730" display="https://pbs.twimg.com/profile_images/378800000673633859/9729e4c280465095c6f835c9f6b36378_normal.jpeg" xr:uid="{6DA34AC7-F859-4D39-8372-B58586A5BE2F}"/>
    <hyperlink ref="B1210" r:id="rId3731" display="https://twitter.com/emshapro" xr:uid="{AC7B49F2-4194-4C4E-9246-F62B5E0B14A6}"/>
    <hyperlink ref="E1210" r:id="rId3732" display="https://twitter.com/emshapro/status/723168497270939648" xr:uid="{C5412D12-BC90-45A5-8A08-B59D026277A8}"/>
    <hyperlink ref="O1210" r:id="rId3733" display="https://pbs.twimg.com/profile_images/655100507963396096/MpbRxsYA_normal.jpg" xr:uid="{690EE559-F100-4BDC-B632-47841EA7DAB3}"/>
    <hyperlink ref="B1211" r:id="rId3734" display="https://twitter.com/ARDText" xr:uid="{34F6F617-940E-41F7-8CB4-403F0E4AD123}"/>
    <hyperlink ref="E1211" r:id="rId3735" display="https://twitter.com/ARDText/status/723168529546133505" xr:uid="{EE8CAE28-6768-4C81-8D34-DCA8686749B6}"/>
    <hyperlink ref="O1211" r:id="rId3736" display="https://pbs.twimg.com/profile_images/378800000379330396/77552c79299d74516d67ff64d69658a6_normal.jpeg" xr:uid="{3AB527A4-82A4-4E2F-B8D4-45FB85CE80D9}"/>
    <hyperlink ref="B1212" r:id="rId3737" display="https://twitter.com/Aethonaia" xr:uid="{37C47C4D-A602-4D47-8FF2-1AD8F0BFC90C}"/>
    <hyperlink ref="E1212" r:id="rId3738" display="https://twitter.com/Aethonaia/status/723168598240321536" xr:uid="{1EB4590B-F949-404D-8201-433AF6159048}"/>
    <hyperlink ref="O1212" r:id="rId3739" display="https://pbs.twimg.com/profile_images/456425310192291840/EItuhA9j_normal.jpeg" xr:uid="{80719AFD-F6C4-499A-858A-D44AAFF4697E}"/>
    <hyperlink ref="B1213" r:id="rId3740" display="https://twitter.com/BungerKCBS" xr:uid="{2709E594-F3F1-4090-A3A1-699F308524C8}"/>
    <hyperlink ref="E1213" r:id="rId3741" display="https://twitter.com/BungerKCBS/status/723168599188217858" xr:uid="{1A95DD7B-C2FB-4176-9961-5CC7DDD93A98}"/>
    <hyperlink ref="O1213" r:id="rId3742" display="https://pbs.twimg.com/profile_images/199472915/stan_twitter_normal.jpg" xr:uid="{C991928E-70BF-4488-A1A3-357078AA1868}"/>
    <hyperlink ref="B1214" r:id="rId3743" display="https://twitter.com/boerseonline" xr:uid="{3D705427-E3A5-4830-890A-E83620A94C63}"/>
    <hyperlink ref="E1214" r:id="rId3744" display="https://twitter.com/boerseonline/status/723168615290150912" xr:uid="{A3FE9C4B-4883-48A5-BA2B-F540E9F327C9}"/>
    <hyperlink ref="O1214" r:id="rId3745" display="https://pbs.twimg.com/profile_images/522305770503696384/J6guKsKV_normal.jpeg" xr:uid="{DD12931F-CA1B-45AB-8F3E-94E7F52DDCBC}"/>
    <hyperlink ref="B1215" r:id="rId3746" display="https://twitter.com/rpo_wirtschaft" xr:uid="{493FDE07-9EE8-498F-8927-F55DCEAA292D}"/>
    <hyperlink ref="E1215" r:id="rId3747" display="https://twitter.com/rpo_wirtschaft/status/723168664866967552" xr:uid="{64597177-E6FD-47B7-83C0-CD8909EF9602}"/>
    <hyperlink ref="O1215" r:id="rId3748" display="https://pbs.twimg.com/profile_images/62751185/logo_rp_normal.gif" xr:uid="{2E34E687-1A58-402C-9046-0A4F8F93C2F4}"/>
    <hyperlink ref="B1216" r:id="rId3749" display="https://twitter.com/CV_OT" xr:uid="{980AC9CA-5CB7-477A-AD50-FE5B709A62FE}"/>
    <hyperlink ref="E1216" r:id="rId3750" display="https://twitter.com/CV_OT/status/723168776473157632" xr:uid="{A4681C7B-7B49-4F2E-BCCE-1F31D3AE665E}"/>
    <hyperlink ref="O1216" r:id="rId3751" display="https://pbs.twimg.com/profile_images/712300319754084352/j0AUDBX6_normal.jpg" xr:uid="{28B0677D-1CC5-4621-AB43-6FB5183ED1C2}"/>
    <hyperlink ref="B1217" r:id="rId3752" display="https://twitter.com/aktuelle_stunde" xr:uid="{D0EA4D4A-88E8-4B56-9D55-96F07945B9C4}"/>
    <hyperlink ref="E1217" r:id="rId3753" display="https://twitter.com/aktuelle_stunde/status/723168791677411328" xr:uid="{6A6EBECB-E3CE-4633-AEDB-3FDA868B4155}"/>
    <hyperlink ref="O1217" r:id="rId3754" display="https://pbs.twimg.com/profile_images/488939589520740353/HVTIWICi_normal.jpeg" xr:uid="{437B0F40-25F4-4949-949A-517825B7C569}"/>
    <hyperlink ref="B1218" r:id="rId3755" display="https://twitter.com/andym1908" xr:uid="{32BE9600-BAE0-4541-9F8A-EB0787F71DA0}"/>
    <hyperlink ref="E1218" r:id="rId3756" display="https://twitter.com/andym1908/status/723168886762409984" xr:uid="{4AEA7F35-2614-4BA9-B9ED-9B40AE7FE961}"/>
    <hyperlink ref="O1218" r:id="rId3757" display="https://pbs.twimg.com/profile_images/499178356295094272/IWQKuDTS_normal.jpeg" xr:uid="{78F8EC0E-939B-43A4-89FC-DD9360665CDB}"/>
    <hyperlink ref="B1219" r:id="rId3758" display="https://twitter.com/emilyrusch" xr:uid="{1F5350DB-52F0-4B0C-858D-9568A5C84FC9}"/>
    <hyperlink ref="E1219" r:id="rId3759" display="https://twitter.com/emilyrusch/status/723168904160272384" xr:uid="{918B66E3-94E3-4119-BFE1-7218552973E8}"/>
    <hyperlink ref="O1219" r:id="rId3760" display="https://pbs.twimg.com/profile_images/649282853226745858/VsTbEl77_normal.jpg" xr:uid="{D3767251-87FC-4FB0-86DE-5830F54B0538}"/>
    <hyperlink ref="B1220" r:id="rId3761" display="https://twitter.com/fr" xr:uid="{A0D44F7B-1DD9-468D-BBD4-375EF0439206}"/>
    <hyperlink ref="E1220" r:id="rId3762" display="https://twitter.com/fr/status/723168909185167360" xr:uid="{6206DFCE-6BFC-49F6-AE6E-0137129CD0B4}"/>
    <hyperlink ref="O1220" r:id="rId3763" display="https://pbs.twimg.com/profile_images/378800000730199993/4cc42b7be5291c568b05b651a903d3d3_normal.jpeg" xr:uid="{E47B7364-C490-498A-A3EF-377ECA70C8A8}"/>
    <hyperlink ref="B1221" r:id="rId3764" display="https://twitter.com/emilyrusch" xr:uid="{4BA2BDE3-CE07-4A27-95FF-61CE73B3D5FD}"/>
    <hyperlink ref="E1221" r:id="rId3765" display="https://twitter.com/emilyrusch/status/723168915983986688" xr:uid="{452824C4-284D-4650-A5F6-5587CDF599EB}"/>
    <hyperlink ref="O1221" r:id="rId3766" display="https://pbs.twimg.com/profile_images/649282853226745858/VsTbEl77_normal.jpg" xr:uid="{5F9DE6D4-FDCE-4298-947B-63A925531301}"/>
    <hyperlink ref="B1222" r:id="rId3767" display="https://twitter.com/aktionaer" xr:uid="{43417743-83F2-4993-8F28-66118C3ECDBF}"/>
    <hyperlink ref="E1222" r:id="rId3768" display="https://twitter.com/aktionaer/status/723168941590241286" xr:uid="{733B97F4-F7D3-48AD-B392-3E3DF60BFDC0}"/>
    <hyperlink ref="O1222" r:id="rId3769" display="https://pbs.twimg.com/profile_images/679552623641509888/_vPw9IS2_normal.png" xr:uid="{F822180C-315B-429F-9C3A-92F6BF77D4F3}"/>
    <hyperlink ref="B1223" r:id="rId3770" display="https://twitter.com/BBCBusiness" xr:uid="{36AA87AF-7FDC-4B0F-9027-A57F7B8416F5}"/>
    <hyperlink ref="E1223" r:id="rId3771" display="https://twitter.com/BBCBusiness/status/723169192678174720" xr:uid="{6186A404-490D-4C9A-B4AD-86C13FA21E07}"/>
    <hyperlink ref="O1223" r:id="rId3772" display="https://pbs.twimg.com/profile_images/631839981611388932/vD22OUWu_normal.png" xr:uid="{EA4A9356-895A-4E16-BB78-4A1D1487B097}"/>
    <hyperlink ref="B1224" r:id="rId3773" display="https://twitter.com/HAZ" xr:uid="{358E2AEE-4F52-4A7D-B36B-7BD69D8DBBEE}"/>
    <hyperlink ref="E1224" r:id="rId3774" display="https://twitter.com/HAZ/status/723169276106936321" xr:uid="{EF3D1E9E-D725-45C2-8972-E6FD879B2515}"/>
    <hyperlink ref="O1224" r:id="rId3775" display="https://pbs.twimg.com/profile_images/603240721072726016/PyXJlsR9_normal.png" xr:uid="{BE14891F-1810-4BED-B96D-39257A1F428D}"/>
    <hyperlink ref="B1225" r:id="rId3776" display="https://twitter.com/bayl" xr:uid="{DEE3DAC9-CBF6-4768-BC66-9825A540481B}"/>
    <hyperlink ref="E1225" r:id="rId3777" display="https://twitter.com/bayl/status/723169328783204354" xr:uid="{6E818DD1-6ACF-4A4B-994D-CBDBB23B330B}"/>
    <hyperlink ref="O1225" r:id="rId3778" display="https://pbs.twimg.com/profile_images/438619338942062592/OBEQvg6R_normal.jpeg" xr:uid="{7D18FF10-36E2-4109-BA1A-4FC7EB64C19D}"/>
    <hyperlink ref="B1226" r:id="rId3779" display="https://twitter.com/KURIERat" xr:uid="{8CB16E17-3D72-4F3E-8CC6-00340CA03C66}"/>
    <hyperlink ref="E1226" r:id="rId3780" display="https://twitter.com/KURIERat/status/723169388443000832" xr:uid="{A2A06016-75A5-470E-8D12-E3BACAA19A48}"/>
    <hyperlink ref="O1226" r:id="rId3781" display="https://pbs.twimg.com/profile_images/646648362381516800/cNhozYEx_normal.png" xr:uid="{38C95A5F-6691-4583-BAD9-31C2C885227C}"/>
    <hyperlink ref="B1227" r:id="rId3782" display="https://twitter.com/ricetex" xr:uid="{2639B5F6-F6F9-4162-9651-EADE440223B2}"/>
    <hyperlink ref="E1227" r:id="rId3783" display="https://twitter.com/ricetex/status/723169462074105856" xr:uid="{0B7B3F54-D26A-4462-B41B-6091A6AC3BD2}"/>
    <hyperlink ref="O1227" r:id="rId3784" display="https://pbs.twimg.com/profile_images/670605597268680704/HHih7NjA_normal.jpg" xr:uid="{F1540A30-5D1A-465A-8F91-82483793740A}"/>
    <hyperlink ref="B1228" r:id="rId3785" display="https://twitter.com/nidabektas" xr:uid="{DF9D549C-6B2F-4E57-8102-0A7D9E8AB8FB}"/>
    <hyperlink ref="E1228" r:id="rId3786" display="https://twitter.com/nidabektas/status/723169578239426562" xr:uid="{4FF05895-C513-4CD1-8375-F43EB0E13F41}"/>
    <hyperlink ref="O1228" r:id="rId3787" display="https://pbs.twimg.com/profile_images/378800000340113147/3ba2d92f1d1724ff10f9c8da3cbb5e56_normal.jpeg" xr:uid="{11DF9BC3-81F5-4422-9C87-63DD5BE6C997}"/>
    <hyperlink ref="B1229" r:id="rId3788" display="https://twitter.com/Ruchser" xr:uid="{C672115D-37BE-4882-A3B5-78F6196C862D}"/>
    <hyperlink ref="E1229" r:id="rId3789" display="https://twitter.com/Ruchser/status/723169595348135936" xr:uid="{C9AECB0D-5658-4647-8FEF-5139BE5F23FF}"/>
    <hyperlink ref="O1229" r:id="rId3790" display="https://pbs.twimg.com/profile_images/532583024743837696/nWwsp4Vd_normal.jpeg" xr:uid="{69C5EAF0-6C7F-4262-BE21-25E8B1E64043}"/>
    <hyperlink ref="B1230" r:id="rId3791" display="https://twitter.com/VCDeV" xr:uid="{A335029C-1175-4D9F-BBC2-F592EE55FCB8}"/>
    <hyperlink ref="E1230" r:id="rId3792" display="https://twitter.com/VCDeV/status/723169724557750274" xr:uid="{934BDBFD-9FEE-4769-A1D0-2E96E6EE7A6E}"/>
    <hyperlink ref="O1230" r:id="rId3793" display="https://pbs.twimg.com/profile_images/448813982271291392/3ey9jQV0_normal.jpeg" xr:uid="{8CC54E6E-CE58-44C5-B693-3825CE9ED90A}"/>
    <hyperlink ref="B1231" r:id="rId3794" display="https://twitter.com/VolkerVotsmeier" xr:uid="{2EBA9798-02B8-44C6-9389-AA97EBD8EC9E}"/>
    <hyperlink ref="E1231" r:id="rId3795" display="https://twitter.com/VolkerVotsmeier/status/723169726982053888" xr:uid="{5E376323-165B-4ADB-98E9-DC9411274815}"/>
    <hyperlink ref="O1231" r:id="rId3796" display="https://pbs.twimg.com/profile_images/507897198911053824/7OqYAonJ_normal.jpeg" xr:uid="{DB9E2471-79C9-4FDE-AB54-55CB0D5A8D3C}"/>
    <hyperlink ref="B1232" r:id="rId3797" display="https://twitter.com/priyank3089" xr:uid="{65D34370-B228-4A82-A48D-D5534A18CF52}"/>
    <hyperlink ref="E1232" r:id="rId3798" display="https://twitter.com/priyank3089/status/723169767746592769" xr:uid="{216E6558-E571-4624-9850-6E298EA6E075}"/>
    <hyperlink ref="O1232" r:id="rId3799" display="https://pbs.twimg.com/profile_images/712272430815952896/G1maMxM5_normal.jpg" xr:uid="{88807B3A-BB43-4ED8-B0AA-19EF47BDEA99}"/>
    <hyperlink ref="B1233" r:id="rId3800" display="https://twitter.com/franz_rother" xr:uid="{1BBFAF2F-CD92-4D49-9B63-F370AECD0DAE}"/>
    <hyperlink ref="E1233" r:id="rId3801" display="https://twitter.com/franz_rother/status/723169770804224000" xr:uid="{7CCFB94D-0089-4D7B-882C-9F9228DD7E3F}"/>
    <hyperlink ref="O1233" r:id="rId3802" display="https://pbs.twimg.com/profile_images/3228351590/aadb36f2b020cc27adac139aac4a5663_normal.jpeg" xr:uid="{6FBC8498-1DB7-4790-8002-B97B0A71231E}"/>
    <hyperlink ref="B1234" r:id="rId3803" display="https://twitter.com/Samusart" xr:uid="{9E2B30A8-C2A8-400E-80E1-14A922A822A7}"/>
    <hyperlink ref="E1234" r:id="rId3804" display="https://twitter.com/Samusart/status/723169894863241216" xr:uid="{C51D4D0D-DAA8-4878-A52F-A1591C5A3AEC}"/>
    <hyperlink ref="O1234" r:id="rId3805" display="https://pbs.twimg.com/profile_images/698350568230653953/1oTyiUmx_normal.jpg" xr:uid="{D075EA66-3D6C-4AAA-B740-C3F8D87815EC}"/>
    <hyperlink ref="B1235" r:id="rId3806" display="https://twitter.com/PeterDanaher" xr:uid="{CE165864-27BC-4710-BC80-4DC5AB9F6587}"/>
    <hyperlink ref="E1235" r:id="rId3807" display="https://twitter.com/PeterDanaher/status/723169981995819008" xr:uid="{86F809A5-5DC8-4915-9BD7-6A2B3A7A282E}"/>
    <hyperlink ref="O1235" r:id="rId3808" display="https://pbs.twimg.com/profile_images/548839137605087232/8CSTk0Bz_normal.jpeg" xr:uid="{0FE2702F-A62E-403A-9334-E3D6EFD748EA}"/>
    <hyperlink ref="B1236" r:id="rId3809" display="https://twitter.com/dk_tuning" xr:uid="{0D15082B-4C6B-4276-96A5-6293CAE1781E}"/>
    <hyperlink ref="E1236" r:id="rId3810" display="https://twitter.com/dk_tuning/status/723170061351968771" xr:uid="{4A540CD2-CF87-4B31-AF26-F76D84E6CF1E}"/>
    <hyperlink ref="O1236" r:id="rId3811" display="https://pbs.twimg.com/profile_images/577892224605663232/LG201Y25_normal.jpeg" xr:uid="{FCFB9183-1B6D-4D4B-AD60-0946171D80E1}"/>
    <hyperlink ref="B1237" r:id="rId3812" display="https://twitter.com/VolkerVotsmeier" xr:uid="{5B80C707-17B6-457A-BDCA-5AB81A10CE73}"/>
    <hyperlink ref="E1237" r:id="rId3813" display="https://twitter.com/VolkerVotsmeier/status/723170061393883136" xr:uid="{7945230D-AAE6-4FD7-95EB-01B1A3124314}"/>
    <hyperlink ref="O1237" r:id="rId3814" display="https://pbs.twimg.com/profile_images/507897198911053824/7OqYAonJ_normal.jpeg" xr:uid="{9D22DEF9-EAAE-4B9A-9369-0A550241A24F}"/>
    <hyperlink ref="B1238" r:id="rId3815" display="https://twitter.com/InesWiese_RHH" xr:uid="{7AFF87A3-98E2-4EEC-9769-7FB068240BB2}"/>
    <hyperlink ref="E1238" r:id="rId3816" display="https://twitter.com/InesWiese_RHH/status/723170070000746496" xr:uid="{647FAAF1-7EF1-4014-B9CA-4FC800D747E0}"/>
    <hyperlink ref="O1238" r:id="rId3817" display="https://pbs.twimg.com/profile_images/720354947305455616/R33mUz9j_normal.jpg" xr:uid="{69A148B0-8FE0-4CF8-BC55-4E30DC21F495}"/>
    <hyperlink ref="B1239" r:id="rId3818" display="https://twitter.com/aktionaer" xr:uid="{3DC766C0-E35B-4CBE-A5BD-E4E51E4245C9}"/>
    <hyperlink ref="E1239" r:id="rId3819" display="https://twitter.com/aktionaer/status/723170103764766720" xr:uid="{7BCD30C8-A027-4A8E-8948-1C9CAA9EBFA8}"/>
    <hyperlink ref="O1239" r:id="rId3820" display="https://pbs.twimg.com/profile_images/679552623641509888/_vPw9IS2_normal.png" xr:uid="{5E124F75-6A3E-477C-92CA-6B48771C1F10}"/>
    <hyperlink ref="B1240" r:id="rId3821" display="https://twitter.com/MarkCSchneider" xr:uid="{2DFE8D06-B7E4-4EF0-9F3A-BFC5C282B7E2}"/>
    <hyperlink ref="E1240" r:id="rId3822" display="https://twitter.com/MarkCSchneider/status/723170126338600960" xr:uid="{E480C45B-FB60-4A6A-ADA7-6A947C0E8E40}"/>
    <hyperlink ref="O1240" r:id="rId3823" display="https://pbs.twimg.com/profile_images/706784695795769345/XGXgdjww_normal.jpg" xr:uid="{451B5D15-1CF2-4F19-9EE6-A0D4EBC5A026}"/>
    <hyperlink ref="B1241" r:id="rId3824" display="https://twitter.com/Radio_Hamburg" xr:uid="{AF6CAB5A-C064-479D-BDDA-1C20D5B7D554}"/>
    <hyperlink ref="E1241" r:id="rId3825" display="https://twitter.com/Radio_Hamburg/status/723170128968470528" xr:uid="{CE1754EB-0816-480D-AC8F-963D1CAD11D9}"/>
    <hyperlink ref="O1241" r:id="rId3826" display="https://pbs.twimg.com/profile_images/2783902857/c37fa6228daf6d6b8bbc7d51d761aac3_normal.jpeg" xr:uid="{408E5F96-15BB-4478-9BFF-5D9A6AEFE80B}"/>
    <hyperlink ref="B1242" r:id="rId3827" display="https://twitter.com/franz_rother" xr:uid="{D1D03D3E-A078-4349-A29D-31745D192A5A}"/>
    <hyperlink ref="E1242" r:id="rId3828" display="https://twitter.com/franz_rother/status/723170243275821057" xr:uid="{80F26D7B-0865-419A-BB0A-6C1B7E6F0953}"/>
    <hyperlink ref="O1242" r:id="rId3829" display="https://pbs.twimg.com/profile_images/3228351590/aadb36f2b020cc27adac139aac4a5663_normal.jpeg" xr:uid="{DD1EA526-CD44-4087-9597-B5C846B538B3}"/>
    <hyperlink ref="B1243" r:id="rId3830" display="https://twitter.com/stekauf" xr:uid="{77CFC985-BC14-4D45-8FAC-6D0D6AC72A43}"/>
    <hyperlink ref="E1243" r:id="rId3831" display="https://twitter.com/stekauf/status/723170269091663872" xr:uid="{DA180502-CFE5-4049-84CA-6FDBA5EFE9E2}"/>
    <hyperlink ref="O1243" r:id="rId3832" display="https://pbs.twimg.com/profile_images/607750884/Kaufmann_neu_normal.jpg" xr:uid="{95F4FFF4-8FDD-463B-BCBD-FE9D82EFE2DA}"/>
    <hyperlink ref="B1244" r:id="rId3833" display="https://twitter.com/gerliman" xr:uid="{2B39A622-C540-47A4-9E38-01F7F888EE1E}"/>
    <hyperlink ref="E1244" r:id="rId3834" display="https://twitter.com/gerliman/status/723170301530480640" xr:uid="{05F5DF97-0058-436C-86F3-6C0AEBD3BC9F}"/>
    <hyperlink ref="O1244" r:id="rId3835" display="https://pbs.twimg.com/profile_images/460353506525057024/0mVmjBcX_normal.jpeg" xr:uid="{AC8DDB9C-B294-4C8D-A3A6-D76D46B8182F}"/>
    <hyperlink ref="B1245" r:id="rId3836" display="https://twitter.com/TammoBeishuizen" xr:uid="{D62EBC2D-6739-4FC7-BDE7-1EA668E4EE3D}"/>
    <hyperlink ref="E1245" r:id="rId3837" display="https://twitter.com/TammoBeishuizen/status/723170445650989056" xr:uid="{3E2028A8-14CF-4D9E-A7FB-45C12D9A88A3}"/>
    <hyperlink ref="O1245" r:id="rId3838" display="https://pbs.twimg.com/profile_images/710572956238389253/CXNSydPb_normal.jpg" xr:uid="{D07E431C-69E1-47CD-BF56-F6B62320F035}"/>
    <hyperlink ref="B1246" r:id="rId3839" display="https://twitter.com/jannikkel6" xr:uid="{4BDD3829-8977-4002-B0B4-C363D0F5D854}"/>
    <hyperlink ref="E1246" r:id="rId3840" display="https://twitter.com/jannikkel6/status/723170543420231680" xr:uid="{B2726FFA-92A6-4E07-9179-0203F9B07891}"/>
    <hyperlink ref="O1246" r:id="rId3841" display="https://pbs.twimg.com/profile_images/588735849979842560/-5qGoCul_normal.png" xr:uid="{889412F0-6777-47F3-B482-120B1E88933F}"/>
    <hyperlink ref="B1247" r:id="rId3842" display="https://twitter.com/DasRechtsportal" xr:uid="{5E2B47B7-5CFD-41FD-9444-C5E384E2F370}"/>
    <hyperlink ref="E1247" r:id="rId3843" display="https://twitter.com/DasRechtsportal/status/723170629759836160" xr:uid="{4FD014F7-BC7E-40B9-A21F-0DC42ADFA781}"/>
    <hyperlink ref="O1247" r:id="rId3844" display="https://pbs.twimg.com/profile_images/3753617229/0494c0929a3cef43be7b2e9f7f2d5114_normal.jpeg" xr:uid="{9DE2B5EB-2C6D-49CC-BCCC-0B3A16E9FF24}"/>
    <hyperlink ref="B1248" r:id="rId3845" display="https://twitter.com/ZDFheute" xr:uid="{8782CC15-D171-4318-AC7D-E7EC67CD693A}"/>
    <hyperlink ref="E1248" r:id="rId3846" display="https://twitter.com/ZDFheute/status/723170686722777088" xr:uid="{31EE44FE-0CF4-4AAC-8B6E-8DFF1EBA2F06}"/>
    <hyperlink ref="O1248" r:id="rId3847" display="https://pbs.twimg.com/profile_images/465803701647446016/jAlkirAe_normal.jpeg" xr:uid="{F436A8D0-4EA5-424F-A269-54741C291A80}"/>
    <hyperlink ref="B1249" r:id="rId3848" display="https://twitter.com/JanoSanjuan" xr:uid="{4689F740-4794-4DFD-9136-60DCC1221544}"/>
    <hyperlink ref="E1249" r:id="rId3849" display="https://twitter.com/JanoSanjuan/status/723170721170526209" xr:uid="{4BBC52EE-3A31-4ED3-A85C-9B69C4BDBEDE}"/>
    <hyperlink ref="O1249" r:id="rId3850" display="https://pbs.twimg.com/profile_images/713091974811807749/yW8T_qBX_normal.jpg" xr:uid="{CD42FEDA-A5AD-4DE8-9F81-3D995E1EF604}"/>
    <hyperlink ref="P1249" r:id="rId3851" location="-39.85142667,-71.94092667" display="http://ctrlq.org/maps/address/ - -39.85142667,-71.94092667" xr:uid="{1DF0E512-F609-4FE9-9F7A-FEE9AE124A4E}"/>
    <hyperlink ref="B1250" r:id="rId3852" display="https://twitter.com/SloggettRyan" xr:uid="{50AFD99F-B2B6-4B39-929E-125F4D238927}"/>
    <hyperlink ref="E1250" r:id="rId3853" display="https://twitter.com/SloggettRyan/status/723170725507543040" xr:uid="{29FC8266-7AE2-426C-872C-96171D2D9694}"/>
    <hyperlink ref="O1250" r:id="rId3854" display="https://pbs.twimg.com/profile_images/716449848669708288/IgQJwanL_normal.jpg" xr:uid="{5D0BE82F-7F93-4E65-98A8-188146CD5A3F}"/>
    <hyperlink ref="B1251" r:id="rId3855" display="https://twitter.com/jrg_o" xr:uid="{9639585A-8029-47BF-9C51-A813C5B993BC}"/>
    <hyperlink ref="E1251" r:id="rId3856" display="https://twitter.com/jrg_o/status/723170767794495488" xr:uid="{79DDE478-A451-44D2-ACC8-4EE9BA3FCDEC}"/>
    <hyperlink ref="O1251" r:id="rId3857" display="https://pbs.twimg.com/profile_images/693744736260210688/UdPi_WWL_normal.jpg" xr:uid="{A6BAFB07-0B3C-4BF6-B9ED-97035FC98900}"/>
    <hyperlink ref="B1252" r:id="rId3858" display="https://twitter.com/Frontal21" xr:uid="{8531F9AD-896C-400F-8DAC-85E707FBAF4C}"/>
    <hyperlink ref="E1252" r:id="rId3859" display="https://twitter.com/Frontal21/status/723170802938474496" xr:uid="{024DA070-71EC-46D4-9EC6-5C66BA8D40D3}"/>
    <hyperlink ref="O1252" r:id="rId3860" display="https://pbs.twimg.com/profile_images/2783814203/4b5dc0bf52ddee4fe7fcfee4cb816dea_normal.jpeg" xr:uid="{AC5093FD-409F-4500-9935-88B09C7483EB}"/>
    <hyperlink ref="B1253" r:id="rId3861" display="https://twitter.com/franz_rother" xr:uid="{97B5A068-F1C2-4827-8076-45863072DAAC}"/>
    <hyperlink ref="E1253" r:id="rId3862" display="https://twitter.com/franz_rother/status/723170847758946304" xr:uid="{00C3E6E2-3DE3-42E0-8930-CFA05A5A00E1}"/>
    <hyperlink ref="O1253" r:id="rId3863" display="https://pbs.twimg.com/profile_images/3228351590/aadb36f2b020cc27adac139aac4a5663_normal.jpeg" xr:uid="{A8E2961A-2104-4BD7-9D6C-68E35C35BFA5}"/>
    <hyperlink ref="B1254" r:id="rId3864" display="https://twitter.com/kevalramraj" xr:uid="{35937FD5-D5AD-479C-8675-FB5EEECBADFB}"/>
    <hyperlink ref="E1254" r:id="rId3865" display="https://twitter.com/kevalramraj/status/723171123354058752" xr:uid="{7804399F-F686-4018-825B-A1CB99F73F09}"/>
    <hyperlink ref="O1254" r:id="rId3866" display="https://pbs.twimg.com/profile_images/703880794528464896/nbUoj4Hv_normal.jpg" xr:uid="{263C848E-BEFF-443D-96BA-F34242358938}"/>
    <hyperlink ref="B1255" r:id="rId3867" display="https://twitter.com/angulosiete" xr:uid="{4CC6E6A6-12F3-43A0-8063-D71660BE6669}"/>
    <hyperlink ref="E1255" r:id="rId3868" display="https://twitter.com/angulosiete/status/723171178253262848" xr:uid="{DCAE7A44-4106-4DDB-B69A-C6A3F819530B}"/>
    <hyperlink ref="O1255" r:id="rId3869" display="https://pbs.twimg.com/profile_images/662021761534332932/p5J2iws__normal.jpg" xr:uid="{63EA1CB1-84AC-4E2B-9EFD-4E7E539DAAAB}"/>
    <hyperlink ref="B1256" r:id="rId3870" display="https://twitter.com/matthiasgott" xr:uid="{64DB0E56-3331-450E-92B0-61E38D8DEFC3}"/>
    <hyperlink ref="E1256" r:id="rId3871" display="https://twitter.com/matthiasgott/status/723171205251997696" xr:uid="{166896C8-B93A-4080-9915-5AD651EB99B1}"/>
    <hyperlink ref="O1256" r:id="rId3872" display="https://pbs.twimg.com/profile_images/705886226382004225/XiB0Gu5e_normal.jpg" xr:uid="{1866F7B2-6852-46C7-9D72-8B849E44134E}"/>
    <hyperlink ref="B1257" r:id="rId3873" display="https://twitter.com/handelsblatt" xr:uid="{37BFE17D-B568-4DEB-BB17-FC7BF46DB485}"/>
    <hyperlink ref="E1257" r:id="rId3874" display="https://twitter.com/handelsblatt/status/723171211107246080" xr:uid="{146F4E80-E4DD-4D77-8348-47D49AFE06E6}"/>
    <hyperlink ref="O1257" r:id="rId3875" display="https://pbs.twimg.com/profile_images/562563461171798017/AkHF4keI_normal.png" xr:uid="{4F7662C4-5264-4618-8F14-14CFB612D49B}"/>
    <hyperlink ref="B1258" r:id="rId3876" display="https://twitter.com/JMLarena" xr:uid="{FD6C1959-1E58-4195-AE0F-6FC37A70C0A6}"/>
    <hyperlink ref="E1258" r:id="rId3877" display="https://twitter.com/JMLarena/status/723171232057798656" xr:uid="{55692125-9A30-44EB-AA47-425486AFF938}"/>
    <hyperlink ref="O1258" r:id="rId3878" display="https://pbs.twimg.com/profile_images/587228919696379904/r63-phGC_normal.jpg" xr:uid="{1758A0A1-C5D2-4B76-B677-D2CCD280E04A}"/>
    <hyperlink ref="B1259" r:id="rId3879" display="https://twitter.com/DLFNachrichten" xr:uid="{79B7BF64-0743-46A7-B13F-FD22D9B57F1D}"/>
    <hyperlink ref="E1259" r:id="rId3880" display="https://twitter.com/DLFNachrichten/status/723171236591853568" xr:uid="{B436D802-B94B-4391-993F-DE3E928BDCDC}"/>
    <hyperlink ref="O1259" r:id="rId3881" display="https://pbs.twimg.com/profile_images/669541061711261696/eOfP0YD8_normal.png" xr:uid="{7AA1B437-5C3B-4A1B-879F-8C8352543159}"/>
    <hyperlink ref="B1260" r:id="rId3882" display="https://twitter.com/KCBSNews" xr:uid="{568E7651-8E86-42DB-B729-5EB6FE9FDBD6}"/>
    <hyperlink ref="E1260" r:id="rId3883" display="https://twitter.com/KCBSNews/status/723171292975783937" xr:uid="{C20480F3-4537-47C9-B5F9-8B9B4C0969D6}"/>
    <hyperlink ref="O1260" r:id="rId3884" display="https://pbs.twimg.com/profile_images/705915659411177472/uwwzgqKD_normal.jpg" xr:uid="{954F3A22-7D26-4345-BFA6-CE4510B6ADA2}"/>
    <hyperlink ref="B1261" r:id="rId3885" display="https://twitter.com/Fotobiene" xr:uid="{01C5245C-B6ED-45ED-B91C-F400CF60CC93}"/>
    <hyperlink ref="E1261" r:id="rId3886" display="https://twitter.com/Fotobiene/status/723171356926423040" xr:uid="{5B8D293E-619D-4EDE-8555-7C59663B41FC}"/>
    <hyperlink ref="O1261" r:id="rId3887" display="https://pbs.twimg.com/profile_images/476894592051056640/bqGCxWkq_normal.jpeg" xr:uid="{81930411-649C-4D05-AEC2-6B8B14669DB6}"/>
    <hyperlink ref="B1262" r:id="rId3888" display="https://twitter.com/andreasgust1966" xr:uid="{0149FB98-E10E-4E7A-A543-0EA96C2F1D70}"/>
    <hyperlink ref="E1262" r:id="rId3889" display="https://twitter.com/andreasgust1966/status/723171392968110080" xr:uid="{1D302776-EEAC-4F28-A903-3D35960B784E}"/>
    <hyperlink ref="O1262" r:id="rId3890" display="https://pbs.twimg.com/profile_images/509789391783337984/0tR1gcFP_normal.jpeg" xr:uid="{220B0B5B-6E0D-42DF-AA07-947D46DE20FF}"/>
    <hyperlink ref="B1263" r:id="rId3891" display="https://twitter.com/tooppermann" xr:uid="{276DDC4D-D0F5-4A36-AFF6-1DC57DA43C82}"/>
    <hyperlink ref="E1263" r:id="rId3892" display="https://twitter.com/tooppermann/status/723171404783431680" xr:uid="{240BA93F-481A-4740-B5D8-B3EF904B6C7D}"/>
    <hyperlink ref="O1263" r:id="rId3893" display="https://pbs.twimg.com/profile_images/569498266786877440/eYP0jdWw_normal.jpeg" xr:uid="{74D916F6-CA58-49C6-87A7-088F4404B0C4}"/>
    <hyperlink ref="B1264" r:id="rId3894" display="https://twitter.com/LDBGruppe" xr:uid="{42C2231E-200C-486E-AD0B-B1FD19B616F4}"/>
    <hyperlink ref="E1264" r:id="rId3895" display="https://twitter.com/LDBGruppe/status/723171419438227456" xr:uid="{8C39C58D-EEBA-4CA9-BF3B-E08E55248160}"/>
    <hyperlink ref="O1264" r:id="rId3896" display="https://pbs.twimg.com/profile_images/412910706640445440/DgCGRrcy_normal.jpeg" xr:uid="{A25F5127-0933-4B66-A3F4-A956177DBD51}"/>
    <hyperlink ref="B1265" r:id="rId3897" display="https://twitter.com/SuncoastVW" xr:uid="{0C068A93-A529-4C67-AB98-4E37A57C4A5F}"/>
    <hyperlink ref="E1265" r:id="rId3898" display="https://twitter.com/SuncoastVW/status/723171563286106112" xr:uid="{D76E6B0F-0183-4156-B07A-E6863FBE71FC}"/>
    <hyperlink ref="O1265" r:id="rId3899" display="https://pbs.twimg.com/profile_images/689488184812535809/4owRuclt_normal.png" xr:uid="{30B333C7-C587-4629-B56E-A6D03F86088F}"/>
    <hyperlink ref="B1266" r:id="rId3900" display="https://twitter.com/franz_rother" xr:uid="{B9E2245B-3112-46B8-8FAD-ACFAE57907DB}"/>
    <hyperlink ref="E1266" r:id="rId3901" display="https://twitter.com/franz_rother/status/723171567547650048" xr:uid="{BB4AA634-1C41-47B7-8B57-045059A30D9E}"/>
    <hyperlink ref="O1266" r:id="rId3902" display="https://pbs.twimg.com/profile_images/3228351590/aadb36f2b020cc27adac139aac4a5663_normal.jpeg" xr:uid="{D4B73485-4383-47B8-95F0-F7770F8FE140}"/>
    <hyperlink ref="B1267" r:id="rId3903" display="https://twitter.com/MarkOkanagan" xr:uid="{4A11A51F-719F-455C-A9C3-08D46C3CE950}"/>
    <hyperlink ref="E1267" r:id="rId3904" display="https://twitter.com/MarkOkanagan/status/723171755146125313" xr:uid="{26371A6B-8215-4ACC-A6B6-D079393EF9F9}"/>
    <hyperlink ref="O1267" r:id="rId3905" display="https://pbs.twimg.com/profile_images/721866175332782080/-RQch6_t_normal.jpg" xr:uid="{E1E820C9-C6CD-41C5-AA20-3E1CB3A243FF}"/>
    <hyperlink ref="B1268" r:id="rId3906" display="https://twitter.com/JosephAzam" xr:uid="{3F3F33F1-4A0D-4DD2-A66B-EA9C8031BF29}"/>
    <hyperlink ref="E1268" r:id="rId3907" display="https://twitter.com/JosephAzam/status/723171845252493312" xr:uid="{80352F03-B25D-495F-91CE-A2920075A745}"/>
    <hyperlink ref="O1268" r:id="rId3908" display="https://pbs.twimg.com/profile_images/614472629311926272/COQFQX5q_normal.jpg" xr:uid="{A211F598-5E80-4FB2-9410-70E18D131E29}"/>
    <hyperlink ref="B1269" r:id="rId3909" display="https://twitter.com/zapher134" xr:uid="{A365522A-D6D8-4D73-B9AB-6C503CB07F28}"/>
    <hyperlink ref="E1269" r:id="rId3910" display="https://twitter.com/zapher134/status/723171877573767168" xr:uid="{B1856ACC-FD90-4CDE-B76A-0C679A7191E7}"/>
    <hyperlink ref="O1269" r:id="rId3911" display="https://pbs.twimg.com/profile_images/722514769450770432/QtLveTR6_normal.jpg" xr:uid="{79ACDB1B-EAC8-4462-81AC-8A9BD29254AB}"/>
    <hyperlink ref="B1270" r:id="rId3912" display="https://twitter.com/LashVW" xr:uid="{980FC1C0-BD11-4EC8-989E-90DC2F3E4F17}"/>
    <hyperlink ref="E1270" r:id="rId3913" display="https://twitter.com/LashVW/status/723171997614772224" xr:uid="{1B4C511E-D108-4AD9-B934-8B43F1E965D6}"/>
    <hyperlink ref="O1270" r:id="rId3914" display="https://pbs.twimg.com/profile_images/378800000082888816/deaf339872b103bd6f769366228f123b_normal.jpeg" xr:uid="{F6241731-2F06-45B8-8198-847A0BB22119}"/>
    <hyperlink ref="B1271" r:id="rId3915" display="https://twitter.com/zdmak" xr:uid="{5911CB1E-1126-4FEE-B24A-AF6D1F0FB863}"/>
    <hyperlink ref="E1271" r:id="rId3916" display="https://twitter.com/zdmak/status/723172023879389184" xr:uid="{83C9415B-3666-4C77-A448-C8CA3D925685}"/>
    <hyperlink ref="O1271" r:id="rId3917" display="https://pbs.twimg.com/profile_images/573248726212325376/60EMO_jJ_normal.jpeg" xr:uid="{5DD9C8C2-6E7E-480A-9197-6B0A35CC4076}"/>
    <hyperlink ref="B1272" r:id="rId3918" display="https://twitter.com/DartsArrow" xr:uid="{F2119823-B7B4-4A0D-B7E4-7C1A94502CA1}"/>
    <hyperlink ref="E1272" r:id="rId3919" display="https://twitter.com/DartsArrow/status/723172042237865984" xr:uid="{62AD1EB2-2044-480F-A18B-0B7B8CB7887F}"/>
    <hyperlink ref="O1272" r:id="rId3920" display="https://pbs.twimg.com/profile_images/3312431638/6817add775260b013c84fad03c72eb8c_normal.jpeg" xr:uid="{BC3C7ED6-6621-4F98-9FA2-BEE8E259DDAD}"/>
    <hyperlink ref="B1273" r:id="rId3921" display="https://twitter.com/Sandy_Tang_Ge" xr:uid="{D87941B4-2443-47F9-BFB7-FC65289F0167}"/>
    <hyperlink ref="E1273" r:id="rId3922" display="https://twitter.com/Sandy_Tang_Ge/status/723172063737995264" xr:uid="{30EAAFD5-035C-4A0F-9DE7-DC27188BE1C2}"/>
    <hyperlink ref="O1273" r:id="rId3923" display="https://pbs.twimg.com/profile_images/710116856074522624/Z39UW3uF_normal.jpg" xr:uid="{6A6B0A82-D3C6-4B9F-966D-CDC556A9352E}"/>
    <hyperlink ref="B1274" r:id="rId3924" display="https://twitter.com/Frontal21" xr:uid="{20DA336A-6965-4E3F-8E76-34D56F387121}"/>
    <hyperlink ref="E1274" r:id="rId3925" display="https://twitter.com/Frontal21/status/723172290247036929" xr:uid="{19B54958-26E6-45B7-BDFB-5402228F021B}"/>
    <hyperlink ref="O1274" r:id="rId3926" display="https://pbs.twimg.com/profile_images/2783814203/4b5dc0bf52ddee4fe7fcfee4cb816dea_normal.jpeg" xr:uid="{09D988CA-A360-46EB-90A1-B7A84FAC4E2B}"/>
    <hyperlink ref="B1275" r:id="rId3927" display="https://twitter.com/tom_tadah" xr:uid="{76DF4FDA-868B-4A2B-BE89-A2274C50CC71}"/>
    <hyperlink ref="E1275" r:id="rId3928" display="https://twitter.com/tom_tadah/status/723172309561810944" xr:uid="{3E9122FB-1F4F-4B20-AB73-DD7534906FF6}"/>
    <hyperlink ref="O1275" r:id="rId3929" display="https://abs.twimg.com/sticky/default_profile_images/default_profile_1_normal.png" xr:uid="{34D1F0AC-9ADF-442E-A08B-C30CD9FDB04E}"/>
    <hyperlink ref="B1276" r:id="rId3930" display="https://twitter.com/mueller_mw" xr:uid="{F5237763-EBA5-4F34-B774-7D82F8EF4379}"/>
    <hyperlink ref="E1276" r:id="rId3931" display="https://twitter.com/mueller_mw/status/723172393074712578" xr:uid="{7551BF1B-4675-473E-9A35-AA0CFCF7864B}"/>
    <hyperlink ref="O1276" r:id="rId3932" display="https://pbs.twimg.com/profile_images/913336993/mmw_twitterLogo_normal.png" xr:uid="{EEF0BEAD-A081-44B1-BC39-281E0E224E85}"/>
    <hyperlink ref="B1277" r:id="rId3933" display="https://twitter.com/kayabendroth" xr:uid="{42B3CE62-A0BA-4BEB-8560-E48F7F4362A3}"/>
    <hyperlink ref="E1277" r:id="rId3934" display="https://twitter.com/kayabendroth/status/723172443603501056" xr:uid="{3AAEB104-1FC4-4571-B3DC-766632D0EF30}"/>
    <hyperlink ref="O1277" r:id="rId3935" display="https://pbs.twimg.com/profile_images/1128952252/me_normal.jpeg" xr:uid="{6D45D6F4-BFA4-4468-AD90-E3F6EFD1C178}"/>
    <hyperlink ref="B1278" r:id="rId3936" display="https://twitter.com/at_trend" xr:uid="{6280A209-4ACA-4B81-BDA7-5BEDF6FE0F49}"/>
    <hyperlink ref="E1278" r:id="rId3937" display="https://twitter.com/at_trend/status/723172529242689536" xr:uid="{54CE683E-5185-4B33-80BD-DFE60BF04BF6}"/>
    <hyperlink ref="O1278" r:id="rId3938" display="https://pbs.twimg.com/profile_images/687907717470646273/LKIt4F-O_normal.jpg" xr:uid="{1341D8FF-2145-4487-AE08-2E63050CB73E}"/>
    <hyperlink ref="B1279" r:id="rId3939" display="https://twitter.com/franz_rother" xr:uid="{19632A1F-0A47-436E-9BE4-E0A15E0B0C07}"/>
    <hyperlink ref="E1279" r:id="rId3940" display="https://twitter.com/franz_rother/status/723172550998646784" xr:uid="{D4DD7B3B-2311-4145-8363-EDF2F6938750}"/>
    <hyperlink ref="O1279" r:id="rId3941" display="https://pbs.twimg.com/profile_images/3228351590/aadb36f2b020cc27adac139aac4a5663_normal.jpeg" xr:uid="{7D2703EF-3362-42D1-80A2-5E2B8459DE16}"/>
    <hyperlink ref="B1280" r:id="rId3942" display="https://twitter.com/terrybryantlaw" xr:uid="{17DC8763-EBC6-4E47-B977-AE0BAEBCF30B}"/>
    <hyperlink ref="E1280" r:id="rId3943" display="https://twitter.com/terrybryantlaw/status/723172609328844801" xr:uid="{CA6DAE6C-9E43-475D-8381-4E92A6033F63}"/>
    <hyperlink ref="O1280" r:id="rId3944" display="https://pbs.twimg.com/profile_images/836239160/icon_normal.jpg" xr:uid="{EA67EC0B-510F-4234-9947-B88A57B2E184}"/>
    <hyperlink ref="B1281" r:id="rId3945" display="https://twitter.com/rodelurmatan" xr:uid="{1CBF6B6E-E407-49A1-A7D5-1338715AE1C9}"/>
    <hyperlink ref="E1281" r:id="rId3946" display="https://twitter.com/rodelurmatan/status/723172643923349504" xr:uid="{15764E39-151A-4DBB-BBB6-3D9D2E6BF9D8}"/>
    <hyperlink ref="O1281" r:id="rId3947" display="https://pbs.twimg.com/profile_images/722293771489021952/0XUEFKIG_normal.jpg" xr:uid="{102DBD43-46E2-4691-B083-8A49BE9DA979}"/>
    <hyperlink ref="B1282" r:id="rId3948" display="https://twitter.com/YorkieAH" xr:uid="{651D8461-A087-4BBA-9D3A-EB907FA40743}"/>
    <hyperlink ref="E1282" r:id="rId3949" display="https://twitter.com/YorkieAH/status/723172680304877568" xr:uid="{D8011FA6-80DE-4375-A792-71A55722CBC5}"/>
    <hyperlink ref="O1282" r:id="rId3950" display="https://pbs.twimg.com/profile_images/637188461481431040/v18IsDwJ_normal.png" xr:uid="{E14851D8-EC6D-4432-871C-9AFDFE922F23}"/>
    <hyperlink ref="B1283" r:id="rId3951" display="https://twitter.com/Lebeaucarnews" xr:uid="{98E384B1-A799-4E71-932A-B4341AADD19A}"/>
    <hyperlink ref="E1283" r:id="rId3952" display="https://twitter.com/Lebeaucarnews/status/723172876392783872" xr:uid="{B6297B3B-18D2-429A-90A1-046C337FB576}"/>
    <hyperlink ref="O1283" r:id="rId3953" display="https://pbs.twimg.com/profile_images/1795205245/DSC04821_normal.jpg" xr:uid="{A4D5D9C3-4CD7-4779-892E-ABFA6241DE64}"/>
    <hyperlink ref="B1284" r:id="rId3954" display="https://twitter.com/Automotive_News" xr:uid="{EC4982C9-BE9A-4C04-B27F-C8C6A8D03912}"/>
    <hyperlink ref="E1284" r:id="rId3955" display="https://twitter.com/Automotive_News/status/723173023264579584" xr:uid="{6BF95189-65F4-4FFB-B418-EB4DFE443F13}"/>
    <hyperlink ref="O1284" r:id="rId3956" display="https://pbs.twimg.com/profile_images/378800000534775382/4bec857571a11a945880576a81c8720e_normal.jpeg" xr:uid="{D243D2AA-77B0-496F-A93B-2821A4D2A47C}"/>
    <hyperlink ref="B1285" r:id="rId3957" display="https://twitter.com/transporter_ne" xr:uid="{9D95D671-1CAC-4722-A8DD-DFA01F7BD218}"/>
    <hyperlink ref="E1285" r:id="rId3958" display="https://twitter.com/transporter_ne/status/723173038871732224" xr:uid="{273A7430-AF04-4411-A116-BECEFD94CBDD}"/>
    <hyperlink ref="O1285" r:id="rId3959" display="https://pbs.twimg.com/profile_images/612380730828570625/ueTZGetC_normal.jpg" xr:uid="{45C87AF1-B171-49C1-B700-8D0C9EB5FCEC}"/>
    <hyperlink ref="B1286" r:id="rId3960" display="https://twitter.com/zdmak" xr:uid="{673E2042-516A-4798-AD2F-7DD1433D3512}"/>
    <hyperlink ref="E1286" r:id="rId3961" display="https://twitter.com/zdmak/status/723173120702447617" xr:uid="{24790BDA-7127-4836-B835-E20C2FCC44BA}"/>
    <hyperlink ref="O1286" r:id="rId3962" display="https://pbs.twimg.com/profile_images/573248726212325376/60EMO_jJ_normal.jpeg" xr:uid="{77BEDE0C-F6D2-4DCD-B158-0DAF6C1B5D48}"/>
    <hyperlink ref="B1287" r:id="rId3963" display="https://twitter.com/MagpieFields" xr:uid="{2F1D7950-6BE5-4C50-82C7-EE3BA2AACDF4}"/>
    <hyperlink ref="E1287" r:id="rId3964" display="https://twitter.com/MagpieFields/status/723173148846338048" xr:uid="{E5EAE89B-40A9-4ECD-9A1E-D68E0ACE33D7}"/>
    <hyperlink ref="O1287" r:id="rId3965" display="https://pbs.twimg.com/profile_images/668867936208031744/3E1Dt1Ld_normal.jpg" xr:uid="{810C5163-8090-4AC2-BA23-CFD46D387C73}"/>
    <hyperlink ref="B1288" r:id="rId3966" display="https://twitter.com/kirstein_sandra" xr:uid="{37B1FD11-E324-4F45-877A-EAE048659938}"/>
    <hyperlink ref="E1288" r:id="rId3967" display="https://twitter.com/kirstein_sandra/status/723173227736997892" xr:uid="{2B73395A-AAFC-4423-8703-BA2407EF47A7}"/>
    <hyperlink ref="O1288" r:id="rId3968" display="https://pbs.twimg.com/profile_images/694584728985452544/3zgs0YER_normal.jpg" xr:uid="{A725BB2D-EC57-4499-8907-B09D8E7D0F3D}"/>
    <hyperlink ref="B1289" r:id="rId3969" display="https://twitter.com/GQBert" xr:uid="{7E55598E-8CDD-4BA1-A244-07FF0603D3B0}"/>
    <hyperlink ref="E1289" r:id="rId3970" display="https://twitter.com/GQBert/status/723173270212714496" xr:uid="{9ABFF218-5891-416C-B549-A411DE619278}"/>
    <hyperlink ref="O1289" r:id="rId3971" display="https://pbs.twimg.com/profile_images/661277053791137792/nznU4QQi_normal.jpg" xr:uid="{C462D635-020B-4556-A178-C11342D9319C}"/>
    <hyperlink ref="B1290" r:id="rId3972" display="https://twitter.com/DiePressecom" xr:uid="{95D5E3D4-6576-44E8-B1D1-A680442175D9}"/>
    <hyperlink ref="C1290" r:id="rId3973" xr:uid="{742B69A4-4F71-4513-89D7-801403CDCAFF}"/>
    <hyperlink ref="E1290" r:id="rId3974" display="https://twitter.com/DiePressecom/status/723173430892195841" xr:uid="{52CBFDE8-7B0D-4024-BD4D-0B71F9650881}"/>
    <hyperlink ref="O1290" r:id="rId3975" display="https://pbs.twimg.com/profile_images/695271772820787200/a3KEfinY_normal.png" xr:uid="{56F842B3-5514-46CF-960E-1D93073E8013}"/>
    <hyperlink ref="B1291" r:id="rId3976" display="https://twitter.com/DPWerks" xr:uid="{6CDD3B35-A5EA-496E-B4C0-169A0E9D3D38}"/>
    <hyperlink ref="E1291" r:id="rId3977" display="https://twitter.com/DPWerks/status/723173453579333632" xr:uid="{92888E72-FAA1-40A8-B715-245F6D141AE4}"/>
    <hyperlink ref="O1291" r:id="rId3978" display="https://pbs.twimg.com/profile_images/716681249511714816/cTserxry_normal.jpg" xr:uid="{7FA04E36-9090-42B3-9508-AA45FE448221}"/>
    <hyperlink ref="B1292" r:id="rId3979" display="https://twitter.com/Stony_BS" xr:uid="{21E238CD-FE2B-49EF-8F09-909A7E91E6A7}"/>
    <hyperlink ref="E1292" r:id="rId3980" display="https://twitter.com/Stony_BS/status/723173456511037440" xr:uid="{17BCD3FB-2306-417E-864D-47EE4EE2F549}"/>
    <hyperlink ref="O1292" r:id="rId3981" display="https://pbs.twimg.com/profile_images/668091779313500160/ZepxnJcI_normal.jpg" xr:uid="{689FC9A8-7B73-490F-B3A6-FCDA591ABF17}"/>
    <hyperlink ref="B1293" r:id="rId3982" display="https://twitter.com/Geoffreytsmith" xr:uid="{CBBEBB21-2469-4B0D-99D2-5D0137D5716F}"/>
    <hyperlink ref="E1293" r:id="rId3983" display="https://twitter.com/Geoffreytsmith/status/723173501251801088" xr:uid="{14DBC9E9-299A-4787-8D3C-52A40D28209D}"/>
    <hyperlink ref="O1293" r:id="rId3984" display="https://pbs.twimg.com/profile_images/428946684312170496/JhiJB2NG_normal.jpeg" xr:uid="{342A9035-9DA2-49EA-A115-A30DFBC0CF79}"/>
    <hyperlink ref="B1294" r:id="rId3985" display="https://twitter.com/danielschwenger" xr:uid="{6E5E5634-3F78-4EB3-A047-AB62BF7886E1}"/>
    <hyperlink ref="E1294" r:id="rId3986" display="https://twitter.com/danielschwenger/status/723173741522505728" xr:uid="{FBC4220A-E85D-4560-BAF5-DD5005DF8DD8}"/>
    <hyperlink ref="O1294" r:id="rId3987" display="https://pbs.twimg.com/profile_images/710190221397258240/-8Y1LilA_normal.jpg" xr:uid="{D822E11A-E31F-410F-8971-C15C4825673F}"/>
    <hyperlink ref="B1295" r:id="rId3988" display="https://twitter.com/kuerzel_td" xr:uid="{5D3B2D1A-06B8-475E-8555-6B525556CDEC}"/>
    <hyperlink ref="E1295" r:id="rId3989" display="https://twitter.com/kuerzel_td/status/723174017251827716" xr:uid="{038FA9A0-CC33-4511-AC7D-A957D1B40C62}"/>
    <hyperlink ref="O1295" r:id="rId3990" display="https://pbs.twimg.com/profile_images/393094957/td_normal.jpg" xr:uid="{DDDFA638-12DB-4FB1-9F66-EA8A732AC27C}"/>
    <hyperlink ref="B1296" r:id="rId3991" display="https://twitter.com/updayDE" xr:uid="{98E5E1C9-5083-428E-9353-50DECB32F238}"/>
    <hyperlink ref="E1296" r:id="rId3992" display="https://twitter.com/updayDE/status/723174046393864193" xr:uid="{C78677F6-C67B-40A3-8D75-AC27A8ABD794}"/>
    <hyperlink ref="O1296" r:id="rId3993" display="https://pbs.twimg.com/profile_images/699880935366488064/uot0hGbb_normal.png" xr:uid="{C56271D6-2576-47AB-9659-81D437FE3C6E}"/>
    <hyperlink ref="B1297" r:id="rId3994" display="https://twitter.com/_Ekow_Andoh" xr:uid="{488A9D1D-577B-4303-B885-C3816D575258}"/>
    <hyperlink ref="E1297" r:id="rId3995" display="https://twitter.com/_Ekow_Andoh/status/723174132020580352" xr:uid="{964E8835-5C8B-4DCE-B84D-6DCD4D24F5C7}"/>
    <hyperlink ref="O1297" r:id="rId3996" display="https://pbs.twimg.com/profile_images/697469194976120832/RSWHvLNo_normal.jpg" xr:uid="{BC33D45A-9DA8-46C0-866B-E7774A0AE24E}"/>
    <hyperlink ref="B1298" r:id="rId3997" display="https://twitter.com/cyberdoc60" xr:uid="{DD81E323-8BB3-45D4-BD63-FB3D662C97AB}"/>
    <hyperlink ref="E1298" r:id="rId3998" display="https://twitter.com/cyberdoc60/status/723174229592686592" xr:uid="{BAF2A959-F214-4D2C-BE6F-209AC6F68369}"/>
    <hyperlink ref="O1298" r:id="rId3999" display="https://pbs.twimg.com/profile_images/720976736691875841/5ITqpDn6_normal.jpg" xr:uid="{220A65A4-0D20-4142-B230-287CD4A525B4}"/>
    <hyperlink ref="B1299" r:id="rId4000" display="https://twitter.com/xicanism" xr:uid="{DF54EB8C-8E99-43C4-ABD4-54939C4547AD}"/>
    <hyperlink ref="E1299" r:id="rId4001" display="https://twitter.com/xicanism/status/723174398383906816" xr:uid="{B7C3F86A-5B20-425F-A9ED-BC97319E7677}"/>
    <hyperlink ref="O1299" r:id="rId4002" display="https://pbs.twimg.com/profile_images/630263245421461504/UKhfOxLe_normal.jpg" xr:uid="{F01A96D6-75FE-425E-8B6B-19F0B3C352DC}"/>
    <hyperlink ref="B1300" r:id="rId4003" display="https://twitter.com/hans_obermeier" xr:uid="{44594FFB-7592-435E-A305-DAA3BAE33676}"/>
    <hyperlink ref="E1300" r:id="rId4004" display="https://twitter.com/hans_obermeier/status/723174423629574144" xr:uid="{7401FEC8-6EE1-4B7F-A090-60E7D9FD0DD1}"/>
    <hyperlink ref="O1300" r:id="rId4005" display="https://pbs.twimg.com/profile_images/700358604315086848/EgnxZmpR_normal.jpg" xr:uid="{75F93A83-5105-43B2-9995-DDEE9121F979}"/>
    <hyperlink ref="B1301" r:id="rId4006" display="https://twitter.com/HotRidesDaily1" xr:uid="{7F0380AD-3D19-41C1-AE25-7ADC5B92342A}"/>
    <hyperlink ref="E1301" r:id="rId4007" display="https://twitter.com/HotRidesDaily1/status/723174482756640768" xr:uid="{92ABDD37-BEF6-49E7-9FFF-791CCAFED02E}"/>
    <hyperlink ref="O1301" r:id="rId4008" display="https://pbs.twimg.com/profile_images/578040776237588480/ExmIRu0n_normal.jpeg" xr:uid="{3CAE3AA0-1534-40C3-A625-D8641D3019DE}"/>
    <hyperlink ref="B1302" r:id="rId4009" display="https://twitter.com/MPrez76" xr:uid="{A57DD86F-C910-49AD-860E-C93C71A87932}"/>
    <hyperlink ref="E1302" r:id="rId4010" display="https://twitter.com/MPrez76/status/723174637732016128" xr:uid="{4BA5A9C3-741C-4067-904D-83E553F3EB3E}"/>
    <hyperlink ref="O1302" r:id="rId4011" display="https://pbs.twimg.com/profile_images/565888770176991232/jBhf_t8__normal.jpeg" xr:uid="{08BD4B3C-8A09-4069-A615-4E6D2C77EF2F}"/>
    <hyperlink ref="B1303" r:id="rId4012" display="https://twitter.com/VWBeetleSales" xr:uid="{5CF10178-4DDD-4A8F-9FCB-D00653D9DF07}"/>
    <hyperlink ref="E1303" r:id="rId4013" display="https://twitter.com/VWBeetleSales/status/723174722037411841" xr:uid="{3C0D87CE-4872-45D5-AE48-D4F1402D051E}"/>
    <hyperlink ref="F1303" r:id="rId4014" xr:uid="{391B8250-4C09-46F8-A7A9-E4B238364F1C}"/>
    <hyperlink ref="O1303" r:id="rId4015" display="https://pbs.twimg.com/profile_images/703294545195307008/qeCvrX86_normal.jpg" xr:uid="{412FEFCA-F3D9-4C40-A95F-6EA16D0E9A25}"/>
    <hyperlink ref="B1304" r:id="rId4016" display="https://twitter.com/VWBeetleSales" xr:uid="{0ADF5B54-8555-448F-870D-59127799657B}"/>
    <hyperlink ref="E1304" r:id="rId4017" display="https://twitter.com/VWBeetleSales/status/723174725602570241" xr:uid="{509E092C-9D67-4BBF-9B1E-B84ECD7B2A26}"/>
    <hyperlink ref="F1304" r:id="rId4018" xr:uid="{805D8238-2EE7-48ED-B91A-AB79E7D39021}"/>
    <hyperlink ref="O1304" r:id="rId4019" display="https://pbs.twimg.com/profile_images/703294545195307008/qeCvrX86_normal.jpg" xr:uid="{A8740C47-B78A-483A-B79B-9AE7FC730EE9}"/>
    <hyperlink ref="B1305" r:id="rId4020" display="https://twitter.com/KWsays" xr:uid="{705919B4-4877-4313-826F-7075881D9A09}"/>
    <hyperlink ref="E1305" r:id="rId4021" display="https://twitter.com/KWsays/status/723174735681441796" xr:uid="{E47A2920-65BE-4A75-ABEA-7053FD47C118}"/>
    <hyperlink ref="O1305" r:id="rId4022" display="https://pbs.twimg.com/profile_images/509041315418341376/An5FK3Av_normal.jpeg" xr:uid="{C6BA4AA6-DCAB-40D5-8A8F-981A87860102}"/>
    <hyperlink ref="B1306" r:id="rId4023" display="https://twitter.com/SocialAutos" xr:uid="{9F7AA722-4DFF-4FC2-8FBA-F9560E030A8C}"/>
    <hyperlink ref="E1306" r:id="rId4024" display="https://twitter.com/SocialAutos/status/723174850177675264" xr:uid="{59A9D248-CDE0-4757-A3AE-E216752AF18D}"/>
    <hyperlink ref="F1306" r:id="rId4025" xr:uid="{A58BD2A9-D68E-46B8-9742-87D6C1DD0CF6}"/>
    <hyperlink ref="O1306" r:id="rId4026" display="https://pbs.twimg.com/profile_images/378800000830360955/5fb295e74c438beb9dd7777a56295953_normal.jpeg" xr:uid="{033F2F54-7CFA-4FD2-A157-56CAE5CC102B}"/>
    <hyperlink ref="B1307" r:id="rId4027" display="https://twitter.com/rgsmith46" xr:uid="{F4A98D0F-ABB9-4E44-A095-56B307018DCE}"/>
    <hyperlink ref="E1307" r:id="rId4028" display="https://twitter.com/rgsmith46/status/723174865180626948" xr:uid="{A2665940-8637-4C9C-BD5C-47ADF34E2A79}"/>
    <hyperlink ref="O1307" r:id="rId4029" display="https://pbs.twimg.com/profile_images/378800000509009557/b8bb8758941de339f73190d8e0bc936e_normal.jpeg" xr:uid="{C2400E75-E082-4A00-AD70-2CB3839AFA65}"/>
    <hyperlink ref="B1308" r:id="rId4030" display="https://twitter.com/emilyrusch" xr:uid="{7798C43A-3868-4F07-81DB-295459CEDDA5}"/>
    <hyperlink ref="E1308" r:id="rId4031" display="https://twitter.com/emilyrusch/status/723174933837176832" xr:uid="{B9C12D9C-F1D1-4D7D-91DD-D2191A4F4B08}"/>
    <hyperlink ref="O1308" r:id="rId4032" display="https://pbs.twimg.com/profile_images/649282853226745858/VsTbEl77_normal.jpg" xr:uid="{4E5844BA-EFD6-49BE-846F-1B4A4615005D}"/>
    <hyperlink ref="B1309" r:id="rId4033" display="https://twitter.com/dw_business" xr:uid="{E4C22187-E796-4A2E-803C-F75116B456CC}"/>
    <hyperlink ref="E1309" r:id="rId4034" display="https://twitter.com/dw_business/status/723174983011180544" xr:uid="{B0A5DDB2-1E46-4338-961C-0456BA953E49}"/>
    <hyperlink ref="O1309" r:id="rId4035" display="https://pbs.twimg.com/profile_images/474178130312044544/-U2TP65D_normal.png" xr:uid="{391F219A-6586-426E-ACC5-9BB446A71409}"/>
    <hyperlink ref="B1310" r:id="rId4036" display="https://twitter.com/DonohooAuto" xr:uid="{06279C9C-EE16-4E51-8562-1075A9B57997}"/>
    <hyperlink ref="E1310" r:id="rId4037" display="https://twitter.com/DonohooAuto/status/723175080574898177" xr:uid="{68F9E0DF-95B0-432A-9BF5-152E365F05E3}"/>
    <hyperlink ref="O1310" r:id="rId4038" display="https://pbs.twimg.com/profile_images/467006648448348161/LeC0f2D8_normal.jpeg" xr:uid="{8343DE05-E309-4002-8490-9EB54BA58D09}"/>
    <hyperlink ref="B1311" r:id="rId4039" display="https://twitter.com/DSArtDon" xr:uid="{0170C6E6-DCAF-49EA-9D09-DE0EEB82F8F7}"/>
    <hyperlink ref="E1311" r:id="rId4040" display="https://twitter.com/DSArtDon/status/723175084924379136" xr:uid="{56B6044F-C4F5-470C-A0D6-BDC128847540}"/>
    <hyperlink ref="O1311" r:id="rId4041" display="https://pbs.twimg.com/profile_images/664507758708989952/8167DJgD_normal.jpg" xr:uid="{E7C16569-98B4-438B-88DC-03F989F4A3E5}"/>
    <hyperlink ref="B1312" r:id="rId4042" display="https://twitter.com/pcbritz" xr:uid="{335FC4F3-AA87-4444-8F01-D46CE21EB4BA}"/>
    <hyperlink ref="E1312" r:id="rId4043" display="https://twitter.com/pcbritz/status/723175103966654464" xr:uid="{EC2F1904-C4FD-498C-BADC-9EDEEAB8B9B4}"/>
    <hyperlink ref="O1312" r:id="rId4044" display="https://pbs.twimg.com/profile_images/722823782017200130/VreCKi-k_normal.jpg" xr:uid="{F36D8962-962C-4590-B515-A1C25D454C3F}"/>
    <hyperlink ref="B1313" r:id="rId4045" display="https://twitter.com/EveeNaveyraa" xr:uid="{3FCA4593-786F-49A3-AB09-3E325C278A7E}"/>
    <hyperlink ref="E1313" r:id="rId4046" display="https://twitter.com/EveeNaveyraa/status/723175193816997888" xr:uid="{3596F7A9-EDFE-47FF-9F3B-4C08EE2D44FB}"/>
    <hyperlink ref="O1313" r:id="rId4047" display="https://pbs.twimg.com/profile_images/717842897396219905/v1FD6_yv_normal.jpg" xr:uid="{57B41472-3616-41AE-844C-9C846A29BCC1}"/>
    <hyperlink ref="B1314" r:id="rId4048" display="https://twitter.com/RoadandTrack" xr:uid="{ADAF9B7E-BAC6-44A8-9A14-4A3F9A417BF1}"/>
    <hyperlink ref="E1314" r:id="rId4049" display="https://twitter.com/RoadandTrack/status/723175322980589568" xr:uid="{61D5170E-2BAD-4DDF-841D-BD07CA458432}"/>
    <hyperlink ref="O1314" r:id="rId4050" display="https://pbs.twimg.com/profile_images/3409982974/bd0f28332cb786fda82370530a545c64_normal.png" xr:uid="{56127DB1-97CA-4A2E-9260-ECDFFA0935C3}"/>
    <hyperlink ref="B1315" r:id="rId4051" display="https://twitter.com/NochexLtd" xr:uid="{21376B2A-C342-474B-9DFB-F8754679F8B6}"/>
    <hyperlink ref="E1315" r:id="rId4052" display="https://twitter.com/NochexLtd/status/723175340214874112" xr:uid="{FA9CF15D-2CE4-4BFA-AEEF-C47962E51DC8}"/>
    <hyperlink ref="O1315" r:id="rId4053" display="https://pbs.twimg.com/profile_images/552038030886723585/cVw-1hQ6_normal.jpeg" xr:uid="{5D084A39-742A-41A6-898A-06AC0D3D29AF}"/>
    <hyperlink ref="B1316" r:id="rId4054" display="https://twitter.com/KPRC2" xr:uid="{154106EF-CD8C-4E09-8A6E-4B3C2F3EBEE1}"/>
    <hyperlink ref="E1316" r:id="rId4055" display="https://twitter.com/KPRC2/status/723175379796549635" xr:uid="{91AABCAA-8800-4171-B515-EAEE30FBDFF8}"/>
    <hyperlink ref="O1316" r:id="rId4056" display="https://pbs.twimg.com/profile_images/711998974417178624/NvNGo4s4_normal.jpg" xr:uid="{71152773-4CF7-41D8-A5A8-CF9AE2FCC651}"/>
    <hyperlink ref="B1317" r:id="rId4057" display="https://twitter.com/OLRAK" xr:uid="{E1FDC57A-EA1E-4E1C-896A-9711D2EBE7E8}"/>
    <hyperlink ref="E1317" r:id="rId4058" display="https://twitter.com/OLRAK/status/723175459295485956" xr:uid="{6D271FE4-AA6C-450A-AEA5-CBADCE4069B8}"/>
    <hyperlink ref="O1317" r:id="rId4059" display="https://pbs.twimg.com/profile_images/669723690934927360/3WA7fMwa_normal.jpg" xr:uid="{0FAB246F-234D-49E5-8BFB-B9F6084737DD}"/>
    <hyperlink ref="B1318" r:id="rId4060" display="https://twitter.com/WienerZeitung" xr:uid="{D9514D66-C3DF-46AD-9BB6-DB61B510164A}"/>
    <hyperlink ref="E1318" r:id="rId4061" display="https://twitter.com/WienerZeitung/status/723175610940411904" xr:uid="{566B2AC9-F96D-4A50-BCE0-9A9E53C6ACD0}"/>
    <hyperlink ref="O1318" r:id="rId4062" display="https://pbs.twimg.com/profile_images/3758029083/652cc2eb54b11c504c059b3495e2c5c0_normal.png" xr:uid="{CC093995-8457-48A3-AEA8-0700F8DE4823}"/>
    <hyperlink ref="B1319" r:id="rId4063" display="https://twitter.com/MiManske" xr:uid="{493FB8A1-3EFE-4EA5-ADE8-29F95365597D}"/>
    <hyperlink ref="E1319" r:id="rId4064" display="https://twitter.com/MiManske/status/723175647552491525" xr:uid="{375F129F-C6DB-45DB-AE57-857CC5FA59DA}"/>
    <hyperlink ref="O1319" r:id="rId4065" display="https://pbs.twimg.com/profile_images/652191269934993408/5bZKOI8y_normal.jpg" xr:uid="{54E43A10-C032-4455-AA69-2AA3747EE16D}"/>
    <hyperlink ref="B1320" r:id="rId4066" display="https://twitter.com/michael1206791" xr:uid="{68226A4B-EBB7-47BB-8319-0BAD7D519A53}"/>
    <hyperlink ref="E1320" r:id="rId4067" display="https://twitter.com/michael1206791/status/723175674605871104" xr:uid="{25E261D6-EF01-4406-97E9-7DF1B0C042AF}"/>
    <hyperlink ref="O1320" r:id="rId4068" display="https://pbs.twimg.com/profile_images/692704337752113152/nlZEoS2p_normal.jpg" xr:uid="{DB87A183-2C03-4982-B3B7-C71E861E20B5}"/>
    <hyperlink ref="B1321" r:id="rId4069" display="https://twitter.com/MarkCSchneider" xr:uid="{A85FE451-B178-4625-ABFE-C7E1FFB93499}"/>
    <hyperlink ref="E1321" r:id="rId4070" display="https://twitter.com/MarkCSchneider/status/723175721510674435" xr:uid="{E29903F7-4AFD-4471-A1E7-FF4C248EACCA}"/>
    <hyperlink ref="O1321" r:id="rId4071" display="https://pbs.twimg.com/profile_images/706784695795769345/XGXgdjww_normal.jpg" xr:uid="{CCFE4EAF-4C56-4D26-89D7-D52F941D7896}"/>
    <hyperlink ref="B1322" r:id="rId4072" display="https://twitter.com/SouthVW" xr:uid="{2030BC0F-DDD3-425B-A630-45A41EB92268}"/>
    <hyperlink ref="E1322" r:id="rId4073" display="https://twitter.com/SouthVW/status/723175793036120066" xr:uid="{6CE70A7F-0A8F-4E1A-B31B-838CCF69738A}"/>
    <hyperlink ref="O1322" r:id="rId4074" display="https://pbs.twimg.com/profile_images/657560747271032833/Q4Z58w0-_normal.jpg" xr:uid="{853E2D26-806F-4136-9F81-9E4BD0F73921}"/>
    <hyperlink ref="B1323" r:id="rId4075" display="https://twitter.com/NikiTurleyBH" xr:uid="{4E744821-FA6E-4054-A021-3E246F30EEB7}"/>
    <hyperlink ref="E1323" r:id="rId4076" display="https://twitter.com/NikiTurleyBH/status/723175798115581952" xr:uid="{F6BC7A0C-7DFF-4FAC-B21C-BAB0DBFFB554}"/>
    <hyperlink ref="O1323" r:id="rId4077" display="https://pbs.twimg.com/profile_images/721848392230576130/FrhD8kGT_normal.jpg" xr:uid="{CCA518F8-F7A3-49B3-968A-6A0821AD92A2}"/>
    <hyperlink ref="B1324" r:id="rId4078" display="https://twitter.com/x3m_f" xr:uid="{281335E3-9C56-43F8-B39E-D641D272F004}"/>
    <hyperlink ref="E1324" r:id="rId4079" display="https://twitter.com/x3m_f/status/723175818931896320" xr:uid="{8842CA89-9661-4E94-879B-E05219548691}"/>
    <hyperlink ref="O1324" r:id="rId4080" display="https://pbs.twimg.com/profile_images/680251329592344576/lnXUGVBa_normal.jpg" xr:uid="{E8ACA943-7096-4219-B426-5227A25063AB}"/>
    <hyperlink ref="B1325" r:id="rId4081" display="https://twitter.com/money_location" xr:uid="{79312E79-440C-43B4-99D4-3398679A679A}"/>
    <hyperlink ref="E1325" r:id="rId4082" display="https://twitter.com/money_location/status/723175833498750977" xr:uid="{CF6BA990-EAB0-4D04-8D20-FFDEF3F48C5B}"/>
    <hyperlink ref="O1325" r:id="rId4083" display="https://pbs.twimg.com/profile_images/616915099790508033/LH4OxL70_normal.jpg" xr:uid="{524AD48D-2793-4A59-B27A-93318A4A81AA}"/>
    <hyperlink ref="B1326" r:id="rId4084" display="https://twitter.com/x3m_f" xr:uid="{C7348901-6229-4B39-BAB6-04E2E1A7753B}"/>
    <hyperlink ref="E1326" r:id="rId4085" display="https://twitter.com/x3m_f/status/723175840243191808" xr:uid="{4C1A285B-AAEE-4A7D-9F29-4860D61136A5}"/>
    <hyperlink ref="O1326" r:id="rId4086" display="https://pbs.twimg.com/profile_images/680251329592344576/lnXUGVBa_normal.jpg" xr:uid="{0341D35E-4A09-4497-ABB2-3F9BF8DC6683}"/>
    <hyperlink ref="B1327" r:id="rId4087" display="https://twitter.com/Geoffreytsmith" xr:uid="{BA46D000-6766-4FB8-8203-CE066FC09806}"/>
    <hyperlink ref="E1327" r:id="rId4088" display="https://twitter.com/Geoffreytsmith/status/723175939874656256" xr:uid="{2A849524-A720-4DA1-9EEB-EAB573F2894E}"/>
    <hyperlink ref="O1327" r:id="rId4089" display="https://pbs.twimg.com/profile_images/428946684312170496/JhiJB2NG_normal.jpeg" xr:uid="{99311FFC-CA92-497E-B5B3-04F3CA44B488}"/>
    <hyperlink ref="B1328" r:id="rId4090" display="https://twitter.com/franz_rother" xr:uid="{5F92FD32-4563-44A0-A881-7A97384551F6}"/>
    <hyperlink ref="E1328" r:id="rId4091" display="https://twitter.com/franz_rother/status/723175955687038977" xr:uid="{6150803B-408F-499F-99AB-9D120A4ECBBC}"/>
    <hyperlink ref="O1328" r:id="rId4092" display="https://pbs.twimg.com/profile_images/3228351590/aadb36f2b020cc27adac139aac4a5663_normal.jpeg" xr:uid="{BC9B3628-AB39-4836-91C8-AC9016008E9B}"/>
    <hyperlink ref="B1329" r:id="rId4093" display="https://twitter.com/KeyoKage" xr:uid="{84F326CA-396C-48D0-95DE-811447D1A95D}"/>
    <hyperlink ref="E1329" r:id="rId4094" display="https://twitter.com/KeyoKage/status/723176069247959040" xr:uid="{197F8504-3E8C-40F0-ACDB-D44E01F42F6C}"/>
    <hyperlink ref="O1329" r:id="rId4095" display="https://pbs.twimg.com/profile_images/695660627096784896/LI-iXxy3_normal.jpg" xr:uid="{0A89CCF2-5A60-4AE9-9F0C-D75C57F63E5C}"/>
    <hyperlink ref="B1330" r:id="rId4096" display="https://twitter.com/Duped" xr:uid="{77E4D2C0-C8E4-4902-B43A-61229842FCFE}"/>
    <hyperlink ref="E1330" r:id="rId4097" display="https://twitter.com/Duped/status/723176266187329536" xr:uid="{09E921F6-08F1-447D-81A7-C00004AA65E0}"/>
    <hyperlink ref="O1330" r:id="rId4098" display="https://pbs.twimg.com/profile_images/2614527612/qjcdvigyia7ykhqunc2f_normal.jpeg" xr:uid="{B11D1720-D613-4AD1-8089-9465B2C7C226}"/>
    <hyperlink ref="B1331" r:id="rId4099" display="https://twitter.com/RayPanneton" xr:uid="{04D99DB3-900E-4231-8696-08D802D9FF99}"/>
    <hyperlink ref="E1331" r:id="rId4100" display="https://twitter.com/RayPanneton/status/723176344570355712" xr:uid="{C7053827-8300-4D0A-BF52-2AF9556EE6F5}"/>
    <hyperlink ref="O1331" r:id="rId4101" display="https://pbs.twimg.com/profile_images/687110730647117825/qke5vlC5_normal.jpg" xr:uid="{14ADCE06-9309-4D28-B3F3-52CFA34E0AE1}"/>
    <hyperlink ref="B1332" r:id="rId4102" display="https://twitter.com/BILD_Reporter" xr:uid="{461F7B63-2BFB-42CC-A9FE-5DBB80C5F99C}"/>
    <hyperlink ref="E1332" r:id="rId4103" display="https://twitter.com/BILD_Reporter/status/723176399180300288" xr:uid="{149E1622-55DE-42CA-836E-1709A61728D1}"/>
    <hyperlink ref="O1332" r:id="rId4104" display="https://pbs.twimg.com/profile_images/578542636140781568/2T_ukEU0_normal.jpeg" xr:uid="{273CC1BF-F498-4BDF-AD31-2753E1F189CE}"/>
    <hyperlink ref="B1333" r:id="rId4105" display="https://twitter.com/mysafetyfirst1" xr:uid="{A84FD357-22B7-408E-BF77-4BF3DC565ED0}"/>
    <hyperlink ref="E1333" r:id="rId4106" display="https://twitter.com/mysafetyfirst1/status/723176438665334784" xr:uid="{63071157-9040-404B-BABD-A6EB77151AFB}"/>
    <hyperlink ref="O1333" r:id="rId4107" display="https://pbs.twimg.com/profile_images/722217523651842048/Ry3gzzZD_normal.jpg" xr:uid="{DD15E7C7-99B4-4FBD-8E4B-E8A06F866416}"/>
    <hyperlink ref="B1334" r:id="rId4108" display="https://twitter.com/970wfla" xr:uid="{B8746A6F-1D77-4E0D-A891-55D551748FAE}"/>
    <hyperlink ref="E1334" r:id="rId4109" display="https://twitter.com/970wfla/status/723176564784005120" xr:uid="{45D3BB12-0F2F-4D7D-86CC-787D4F63C358}"/>
    <hyperlink ref="O1334" r:id="rId4110" display="https://pbs.twimg.com/profile_images/3113972934/ba2ef96158b52ff911e1ffc5e9b9108f_normal.jpeg" xr:uid="{300D5FCF-C07F-40B1-8B22-3424BD5DCB0D}"/>
    <hyperlink ref="B1335" r:id="rId4111" display="https://twitter.com/pphunky" xr:uid="{AD1164AE-91DB-49DA-AB95-08A46E795F30}"/>
    <hyperlink ref="E1335" r:id="rId4112" display="https://twitter.com/pphunky/status/723176617288167426" xr:uid="{7C2DD6FE-88A4-4110-BF59-2A3988C59142}"/>
    <hyperlink ref="O1335" r:id="rId4113" display="https://pbs.twimg.com/profile_images/1190749746/image_normal.jpg" xr:uid="{829AA1E8-E38F-4D83-A539-F6D9323CCBD5}"/>
    <hyperlink ref="B1336" r:id="rId4114" display="https://twitter.com/GavinoGaray" xr:uid="{8F6D9913-507F-4904-9DBE-792D95D1C70C}"/>
    <hyperlink ref="E1336" r:id="rId4115" display="https://twitter.com/GavinoGaray/status/723176749933023232" xr:uid="{98445932-ABDE-48F0-AE5A-33651F7F20DE}"/>
    <hyperlink ref="O1336" r:id="rId4116" display="https://pbs.twimg.com/profile_images/704594081368793088/3Ry122y7_normal.jpg" xr:uid="{5EE78AF4-47CD-4BF9-8D24-98E7CC2A5B2A}"/>
    <hyperlink ref="B1337" r:id="rId4117" display="https://twitter.com/zoekeenzzper" xr:uid="{F684C940-13E7-4829-9893-CE201BFB3530}"/>
    <hyperlink ref="E1337" r:id="rId4118" display="https://twitter.com/zoekeenzzper/status/723176758858637312" xr:uid="{94C44505-D739-4DCD-A75E-C5F1CB11FAEE}"/>
    <hyperlink ref="O1337" r:id="rId4119" display="https://pbs.twimg.com/profile_images/561109601270001667/izPdhpZH_normal.png" xr:uid="{749AD457-6264-4C7A-A74A-5DB9BE092F2C}"/>
    <hyperlink ref="B1338" r:id="rId4120" display="https://twitter.com/project1half" xr:uid="{265064A2-AAB0-4D21-8369-18385FDA0258}"/>
    <hyperlink ref="E1338" r:id="rId4121" display="https://twitter.com/project1half/status/723176905524944896" xr:uid="{DF4E3902-1DB5-4AB7-9DF4-2BD636CFD846}"/>
    <hyperlink ref="O1338" r:id="rId4122" display="https://pbs.twimg.com/profile_images/633451240706281472/Tc016-Gw_normal.jpg" xr:uid="{E7E4B684-3F07-4A73-9F3D-520AF48A8F4D}"/>
    <hyperlink ref="B1339" r:id="rId4123" display="https://twitter.com/MilitaryAutoSrc" xr:uid="{0F8C95F6-DAF2-42E0-BEEB-4F6E97DD2FC9}"/>
    <hyperlink ref="E1339" r:id="rId4124" display="https://twitter.com/MilitaryAutoSrc/status/723177040720048128" xr:uid="{99A02CDD-526F-48A0-A720-B6FEB0B28DEF}"/>
    <hyperlink ref="O1339" r:id="rId4125" display="https://pbs.twimg.com/profile_images/378800000157798316/ea887fcc259d5aa4fc4698ceccfca899_normal.jpeg" xr:uid="{854F7B39-FA11-48B8-B44C-1CB64FDBA32E}"/>
    <hyperlink ref="B1340" r:id="rId4126" display="https://twitter.com/Militarycars" xr:uid="{5116C96D-4E77-46A6-BCDB-10C5D50ABC1C}"/>
    <hyperlink ref="E1340" r:id="rId4127" display="https://twitter.com/Militarycars/status/723177040728477696" xr:uid="{79146D82-734B-4E6E-8972-804549950770}"/>
    <hyperlink ref="O1340" r:id="rId4128" display="https://pbs.twimg.com/profile_images/601753807664521217/Cxu6updO_normal.jpg" xr:uid="{47879F00-6373-4760-9C07-B097F6BE34DA}"/>
    <hyperlink ref="B1341" r:id="rId4129" display="https://twitter.com/FLI75thm" xr:uid="{F83293F2-103F-41B0-9608-AA8580FB9E94}"/>
    <hyperlink ref="E1341" r:id="rId4130" display="https://twitter.com/FLI75thm/status/723177054896816128" xr:uid="{3D2A09BA-4693-40AB-80C0-B664D834F6F3}"/>
    <hyperlink ref="O1341" r:id="rId4131" display="https://pbs.twimg.com/profile_images/1157454131/FL75_normal.png" xr:uid="{F10BCB03-EA90-4667-8099-29CAD6536AAD}"/>
    <hyperlink ref="B1342" r:id="rId4132" display="https://twitter.com/dwnews" xr:uid="{7D96C5C2-1D97-41E6-9895-3C3E03FF1A05}"/>
    <hyperlink ref="E1342" r:id="rId4133" display="https://twitter.com/dwnews/status/723177083606802432" xr:uid="{5493CDD5-3A03-4599-8F6C-84859D07BFF9}"/>
    <hyperlink ref="O1342" r:id="rId4134" display="https://pbs.twimg.com/profile_images/608213167496417280/QSxgcLn__normal.png" xr:uid="{4C3C335B-862C-4762-998F-C6B3816726CF}"/>
    <hyperlink ref="B1343" r:id="rId4135" display="https://twitter.com/tillamookcoast" xr:uid="{CFFD79F3-5D12-47D1-8AC0-EE17E23F9569}"/>
    <hyperlink ref="E1343" r:id="rId4136" display="https://twitter.com/tillamookcoast/status/723177143535017984" xr:uid="{53D2E615-AA22-458B-AB11-DD7A42F79091}"/>
    <hyperlink ref="O1343" r:id="rId4137" display="https://pbs.twimg.com/profile_images/586648861097103360/AfnYO6JR_normal.png" xr:uid="{0445D49C-5C9B-4824-99EA-B0FA162A11BA}"/>
    <hyperlink ref="B1344" r:id="rId4138" display="https://twitter.com/Philippe_Leviez" xr:uid="{28CA9869-317B-4A47-BB8E-1081FD1941AA}"/>
    <hyperlink ref="E1344" r:id="rId4139" display="https://twitter.com/Philippe_Leviez/status/723177183712145409" xr:uid="{5809053D-978C-4491-9FB5-69F7C335F2F3}"/>
    <hyperlink ref="O1344" r:id="rId4140" display="https://pbs.twimg.com/profile_images/378800000838147699/1b1d5a634aedb62ab272ba7fa17a9902_normal.jpeg" xr:uid="{4E38D686-115B-4123-85F9-A79A37762817}"/>
    <hyperlink ref="B1345" r:id="rId4141" display="https://twitter.com/ItoParedes" xr:uid="{154993F2-33F6-4A5B-9CC2-19C57C8C9432}"/>
    <hyperlink ref="E1345" r:id="rId4142" display="https://twitter.com/ItoParedes/status/723177227379179520" xr:uid="{65970F1A-C7E0-4403-9AE6-3091960035EE}"/>
    <hyperlink ref="O1345" r:id="rId4143" display="https://pbs.twimg.com/profile_images/1602774074/IMG_0924_normal.JPG" xr:uid="{35D6A2DA-CCA8-46CF-9D10-EBE63256387B}"/>
    <hyperlink ref="B1346" r:id="rId4144" display="https://twitter.com/CALPIRG" xr:uid="{7E542924-5D85-459B-A006-41B889BD7287}"/>
    <hyperlink ref="E1346" r:id="rId4145" display="https://twitter.com/CALPIRG/status/723177304726233089" xr:uid="{3C443151-D87A-44F9-A28E-1D66879515D5}"/>
    <hyperlink ref="O1346" r:id="rId4146" display="https://pbs.twimg.com/profile_images/652625032246530048/mn0-PwJ4_normal.jpg" xr:uid="{810DDABC-1CDC-4637-B705-F2489E002EC7}"/>
    <hyperlink ref="B1347" r:id="rId4147" display="https://twitter.com/GuzmanDiiego" xr:uid="{A236A6CC-1846-48C7-A116-D54357775D5B}"/>
    <hyperlink ref="E1347" r:id="rId4148" display="https://twitter.com/GuzmanDiiego/status/723177362955866113" xr:uid="{978F4BF7-2FE6-4549-8265-B61180997D23}"/>
    <hyperlink ref="O1347" r:id="rId4149" display="https://pbs.twimg.com/profile_images/603499430898184192/wl3kABJd_normal.jpg" xr:uid="{DB63CE14-1D03-4169-A25F-8E2D347F1DBC}"/>
    <hyperlink ref="B1348" r:id="rId4150" display="https://twitter.com/VWCamperSales" xr:uid="{F75400DF-A6E5-470A-BF91-9495BFFFCE9B}"/>
    <hyperlink ref="E1348" r:id="rId4151" display="https://twitter.com/VWCamperSales/status/723177366114070528" xr:uid="{2D3FE748-9992-468A-AA4A-715B19583C35}"/>
    <hyperlink ref="F1348" r:id="rId4152" xr:uid="{599F4DA6-A349-441C-9752-0FB23956732C}"/>
    <hyperlink ref="O1348" r:id="rId4153" display="https://pbs.twimg.com/profile_images/627949001179037696/skEBkS05_normal.jpg" xr:uid="{B00EE351-3261-4FF4-BF36-9F777F061F6F}"/>
    <hyperlink ref="B1349" r:id="rId4154" display="https://twitter.com/stvharry" xr:uid="{6632EB6F-2E32-46D0-AD42-89A9004EF530}"/>
    <hyperlink ref="E1349" r:id="rId4155" display="https://twitter.com/stvharry/status/723177403024064512" xr:uid="{4A600D20-DC8E-414E-8484-B64B21372940}"/>
    <hyperlink ref="O1349" r:id="rId4156" display="https://pbs.twimg.com/profile_images/817507723/Harry_Smith_cropped_normal.jpg" xr:uid="{A32D779F-B3E6-4EA5-AD55-07590E02C4AE}"/>
    <hyperlink ref="B1350" r:id="rId4157" display="https://twitter.com/MDRaktuell" xr:uid="{20FEF9E5-5E3A-4C01-A52B-F1BB30B8DBA8}"/>
    <hyperlink ref="E1350" r:id="rId4158" display="https://twitter.com/MDRaktuell/status/723177417758498816" xr:uid="{E848DD81-B7FC-4482-8E8F-FD03EDE18148}"/>
    <hyperlink ref="O1350" r:id="rId4159" display="https://pbs.twimg.com/profile_images/459281313409667072/7lylhzVW_normal.png" xr:uid="{29F9D436-5DB7-4FCE-9724-B086357290E7}"/>
    <hyperlink ref="B1351" r:id="rId4160" display="https://twitter.com/BS_Verkehr" xr:uid="{05DC9C21-116D-4A53-9AF8-28E1BB2127E6}"/>
    <hyperlink ref="E1351" r:id="rId4161" display="https://twitter.com/BS_Verkehr/status/723177424725254146" xr:uid="{2B43588F-2995-4DDC-BEAB-B71452225607}"/>
    <hyperlink ref="O1351" r:id="rId4162" display="https://pbs.twimg.com/profile_images/522759312028884992/6n24auYw_normal.png" xr:uid="{E4FD0391-F154-4117-9C27-2EC0383E582E}"/>
    <hyperlink ref="B1352" r:id="rId4163" display="https://twitter.com/mimosa416" xr:uid="{5CB31388-DE29-4745-A896-B3574A1F8EA8}"/>
    <hyperlink ref="E1352" r:id="rId4164" display="https://twitter.com/mimosa416/status/723177444732076032" xr:uid="{9D1560DA-A20B-48DD-BB4A-859D4CF1FAA5}"/>
    <hyperlink ref="O1352" r:id="rId4165" display="https://pbs.twimg.com/profile_images/1613397544/imagesCAR4XFH4_normal.jpg" xr:uid="{A4FABD8B-A494-47F9-911A-4E619EC4FE9E}"/>
    <hyperlink ref="B1353" r:id="rId4166" display="https://twitter.com/MedAgness" xr:uid="{3EA2DAB2-0469-45E6-A136-D855B7458863}"/>
    <hyperlink ref="E1353" r:id="rId4167" display="https://twitter.com/MedAgness/status/723177577779736576" xr:uid="{71CE2249-5A68-4420-9FBB-060F799109F1}"/>
    <hyperlink ref="O1353" r:id="rId4168" display="https://pbs.twimg.com/profile_images/631084316802482176/y_wtMQWR_normal.png" xr:uid="{703D0F5F-0A1D-47A3-B18F-3FB92DFA31A3}"/>
    <hyperlink ref="B1354" r:id="rId4169" display="https://twitter.com/WhiteRockVW" xr:uid="{75E87B77-2897-4D8A-9B6C-067E16BD8120}"/>
    <hyperlink ref="E1354" r:id="rId4170" display="https://twitter.com/WhiteRockVW/status/723177585983803392" xr:uid="{8BA4BB05-3997-4F1B-8B27-D0307BA471C8}"/>
    <hyperlink ref="O1354" r:id="rId4171" display="https://pbs.twimg.com/profile_images/459004924907380736/5rd4PRWK_normal.jpeg" xr:uid="{9017F2EC-FA3E-4E7E-A323-EA50D79A7188}"/>
    <hyperlink ref="B1355" r:id="rId4172" display="https://twitter.com/WashAutoPress" xr:uid="{C17A0F4A-36C0-4D6C-A113-7B80E05EEEEC}"/>
    <hyperlink ref="E1355" r:id="rId4173" display="https://twitter.com/WashAutoPress/status/723177632532062208" xr:uid="{741D1664-5A44-4326-978D-4A017FBAEF97}"/>
    <hyperlink ref="O1355" r:id="rId4174" display="https://pbs.twimg.com/profile_images/565535762720894976/d0L_JvdB_normal.png" xr:uid="{C559734C-D23E-4FF0-B1DD-D64526199738}"/>
    <hyperlink ref="B1356" r:id="rId4175" display="https://twitter.com/MDRINFO" xr:uid="{E25A289C-85AE-4D2C-8A6D-6ADEDDAE092B}"/>
    <hyperlink ref="E1356" r:id="rId4176" display="https://twitter.com/MDRINFO/status/723177633190690816" xr:uid="{93530ED3-173D-435E-8335-1B8D6984B51C}"/>
    <hyperlink ref="O1356" r:id="rId4177" display="https://pbs.twimg.com/profile_images/2289706087/q66ajanznpfm87cybp5p_normal.jpeg" xr:uid="{10CF3CD0-3070-4397-94F1-3D3DFB221A66}"/>
    <hyperlink ref="B1357" r:id="rId4178" display="https://twitter.com/NetzwerkggS21" xr:uid="{8653CE12-21E6-4DA8-83E0-D072CEB90512}"/>
    <hyperlink ref="E1357" r:id="rId4179" display="https://twitter.com/NetzwerkggS21/status/723177705307414528" xr:uid="{0832856D-8489-4A82-A0EE-EE3D3C1363A0}"/>
    <hyperlink ref="M1357" r:id="rId4180" xr:uid="{B4D59020-B26F-4F50-B9AA-07139F179C37}"/>
    <hyperlink ref="O1357" r:id="rId4181" display="https://pbs.twimg.com/profile_images/378800000528765970/3ab9f2a00010e9cac08d5ca1638926e9_normal.png" xr:uid="{60D9FE92-56FA-470B-A2F9-AFB65C9D2DF5}"/>
    <hyperlink ref="B1358" r:id="rId4182" display="https://twitter.com/BungerKCBS" xr:uid="{772797E1-E45A-4BE2-9706-6C177EF8C27B}"/>
    <hyperlink ref="E1358" r:id="rId4183" display="https://twitter.com/BungerKCBS/status/723177717399609347" xr:uid="{851FCEA4-86A3-4717-AD7E-AC3097197FAC}"/>
    <hyperlink ref="O1358" r:id="rId4184" display="https://pbs.twimg.com/profile_images/199472915/stan_twitter_normal.jpg" xr:uid="{0D0BAF10-5859-41DE-BAA9-A1B953FCFFB5}"/>
    <hyperlink ref="B1359" r:id="rId4185" display="https://twitter.com/eiifi" xr:uid="{44F9055F-FFA4-4B3F-8111-416904B2DCF9}"/>
    <hyperlink ref="E1359" r:id="rId4186" display="https://twitter.com/eiifi/status/723177793173876736" xr:uid="{70A23024-EE7C-4C19-AD3E-1D56D885D75D}"/>
    <hyperlink ref="O1359" r:id="rId4187" display="https://pbs.twimg.com/profile_images/1763763708/Ich4_normal.jpg" xr:uid="{FD264D38-4AEA-4C68-8ECD-C50C547B107B}"/>
    <hyperlink ref="B1360" r:id="rId4188" display="https://twitter.com/KCBSNews" xr:uid="{B4B0E816-97F9-4341-95DF-788706841B11}"/>
    <hyperlink ref="E1360" r:id="rId4189" display="https://twitter.com/KCBSNews/status/723177800102871040" xr:uid="{9B6960CA-E0AE-436A-85E3-DE4706246643}"/>
    <hyperlink ref="O1360" r:id="rId4190" display="https://pbs.twimg.com/profile_images/705915659411177472/uwwzgqKD_normal.jpg" xr:uid="{56484A69-8913-4A30-A91E-45D1B37ACAF3}"/>
    <hyperlink ref="B1361" r:id="rId4191" display="https://twitter.com/lgbeutin" xr:uid="{119238B5-9EF4-4D37-B19E-BE51F6323EBD}"/>
    <hyperlink ref="E1361" r:id="rId4192" display="https://twitter.com/lgbeutin/status/723177830587215872" xr:uid="{E161BAA9-5728-47DD-ABA5-394B15FBCC5E}"/>
    <hyperlink ref="O1361" r:id="rId4193" display="https://pbs.twimg.com/profile_images/651395083871256576/COkZuWn6_normal.jpg" xr:uid="{36741C10-AD0A-45BA-96CF-5C53DBEBF170}"/>
    <hyperlink ref="B1362" r:id="rId4194" display="https://twitter.com/oldcar_photo" xr:uid="{6E99E2B8-4BB8-4148-9F4E-D08D34774EBE}"/>
    <hyperlink ref="E1362" r:id="rId4195" display="https://twitter.com/oldcar_photo/status/723177913940643840" xr:uid="{D740B72B-E17E-408F-BEC4-58668F835953}"/>
    <hyperlink ref="O1362" r:id="rId4196" display="https://pbs.twimg.com/profile_images/615493650785660928/XHUh6HOk_normal.jpg" xr:uid="{60CAD3D0-64DA-4FDE-A78F-D0AF763A8A3D}"/>
    <hyperlink ref="B1363" r:id="rId4197" display="https://twitter.com/_snid" xr:uid="{085CAD5A-9607-4951-97F5-26503E9DACE1}"/>
    <hyperlink ref="E1363" r:id="rId4198" display="https://twitter.com/_snid/status/723177974921490432" xr:uid="{1CFCFD66-D2B5-49F5-B586-DB62FE35EF21}"/>
    <hyperlink ref="O1363" r:id="rId4199" display="https://pbs.twimg.com/profile_images/655011782356922368/moVyMdJP_normal.jpg" xr:uid="{01677AFB-92A7-4C13-9920-84B740A68698}"/>
    <hyperlink ref="B1364" r:id="rId4200" display="https://twitter.com/faznet" xr:uid="{95F47F07-B5A0-4029-93B2-6635F0ECBBEF}"/>
    <hyperlink ref="C1364" r:id="rId4201" xr:uid="{1A3C16A7-52D9-4F54-9CEC-4D5F7EC574CE}"/>
    <hyperlink ref="E1364" r:id="rId4202" display="https://twitter.com/faznet/status/723177984740352003" xr:uid="{2596560C-4EAA-43E9-8A15-AD767F854DB7}"/>
    <hyperlink ref="O1364" r:id="rId4203" display="https://pbs.twimg.com/profile_images/477438671151304705/8XlAQ509_normal.jpeg" xr:uid="{46101D1F-8E5F-4463-AD77-976E72BC166D}"/>
    <hyperlink ref="B1365" r:id="rId4204" display="https://twitter.com/reeve_anthony" xr:uid="{82E54238-C15B-4027-A6BE-1B56D295EBBA}"/>
    <hyperlink ref="E1365" r:id="rId4205" display="https://twitter.com/reeve_anthony/status/723178032110788608" xr:uid="{71F03543-F478-422E-84C2-C80176442A84}"/>
    <hyperlink ref="O1365" r:id="rId4206" display="https://pbs.twimg.com/profile_images/663822892933713920/KdDaNdJB_normal.jpg" xr:uid="{63EBC9A6-7F48-497E-9818-C4CA6AA0088A}"/>
    <hyperlink ref="B1366" r:id="rId4207" display="https://twitter.com/malheurwoman" xr:uid="{BE51BD9C-8A5C-490F-9F5A-0342551227ED}"/>
    <hyperlink ref="E1366" r:id="rId4208" display="https://twitter.com/malheurwoman/status/723178054114144256" xr:uid="{AEC883AE-DE50-4E60-91A2-AA7B6319DAD7}"/>
    <hyperlink ref="O1366" r:id="rId4209" display="https://pbs.twimg.com/profile_images/713217056687022080/K-LbhXQJ_normal.jpg" xr:uid="{28963F1A-4E15-41FA-BD87-CFD0756BE944}"/>
    <hyperlink ref="B1367" r:id="rId4210" display="https://twitter.com/Veiffingerz" xr:uid="{D4B8835F-A653-44FE-8682-8B1CAD54283E}"/>
    <hyperlink ref="E1367" r:id="rId4211" display="https://twitter.com/Veiffingerz/status/723178068131614720" xr:uid="{D44708FC-2647-495C-B72B-8EB8853F4590}"/>
    <hyperlink ref="O1367" r:id="rId4212" display="https://pbs.twimg.com/profile_images/690447053588152320/wUHIbKgi_normal.jpg" xr:uid="{811D94BA-BBFF-4DCD-9560-0DC84DA607DE}"/>
    <hyperlink ref="B1368" r:id="rId4213" display="https://twitter.com/tagesschau" xr:uid="{DFE84031-8D1B-4851-8754-9806BCB4A48C}"/>
    <hyperlink ref="E1368" r:id="rId4214" display="https://twitter.com/tagesschau/status/723178077912764416" xr:uid="{EF38C6F4-95FB-405D-94C4-C9797207DE78}"/>
    <hyperlink ref="F1368" r:id="rId4215" xr:uid="{DBE31F20-748F-4384-9BBD-DAD19B48F7F2}"/>
    <hyperlink ref="O1368" r:id="rId4216" display="https://pbs.twimg.com/profile_images/531688614640365568/U84uXoIT_normal.png" xr:uid="{3B361696-C827-48C9-917F-78713E483CEC}"/>
    <hyperlink ref="B1369" r:id="rId4217" display="https://twitter.com/MarcusCJung" xr:uid="{D9A06DD9-3E41-416F-81B1-69499DF8046B}"/>
    <hyperlink ref="E1369" r:id="rId4218" display="https://twitter.com/MarcusCJung/status/723178084564918272" xr:uid="{32AB976F-C3E5-4AFB-90B8-65B4B4CEAE56}"/>
    <hyperlink ref="O1369" r:id="rId4219" display="https://pbs.twimg.com/profile_images/658684970106507264/fAjFcyfX_normal.jpg" xr:uid="{DA3EDBA0-22E0-4890-8A0E-4D454C609483}"/>
    <hyperlink ref="B1370" r:id="rId4220" display="https://twitter.com/Tarela" xr:uid="{CBF8E62B-B091-4E88-85B9-499624E78171}"/>
    <hyperlink ref="E1370" r:id="rId4221" display="https://twitter.com/Tarela/status/723178101014847492" xr:uid="{1A1DE080-8899-4729-B7C9-53B58CBFAB20}"/>
    <hyperlink ref="O1370" r:id="rId4222" display="https://pbs.twimg.com/profile_images/599924836933234690/uCLP2NR5_normal.jpg" xr:uid="{F0549E6C-6356-458E-92AA-CFE39C867B94}"/>
    <hyperlink ref="B1371" r:id="rId4223" display="https://twitter.com/RobertaKPIX" xr:uid="{48E57829-672C-4309-A3A5-3771B32F7B56}"/>
    <hyperlink ref="E1371" r:id="rId4224" display="https://twitter.com/RobertaKPIX/status/723178186209529863" xr:uid="{653D8E5F-41B6-43C3-AF4B-E5BB5E5CD65F}"/>
    <hyperlink ref="O1371" r:id="rId4225" display="https://pbs.twimg.com/profile_images/692168890638536705/WgaWAosA_normal.jpg" xr:uid="{0DC238A4-9F02-446A-BC3F-134B17F1B946}"/>
    <hyperlink ref="B1372" r:id="rId4226" display="https://twitter.com/VeeDubMk1_" xr:uid="{59E4E910-E898-45D6-AA8D-9C2D7605A103}"/>
    <hyperlink ref="E1372" r:id="rId4227" display="https://twitter.com/VeeDubMk1_/status/723178191712604160" xr:uid="{4E5CA9BC-87E8-4FC2-B5AB-12FB877C5971}"/>
    <hyperlink ref="O1372" r:id="rId4228" display="https://pbs.twimg.com/profile_images/672878354127839232/M7OYc-zx_normal.jpg" xr:uid="{2B1A0B81-55A5-4BE0-9D53-C9C1BB2BCA1E}"/>
    <hyperlink ref="B1373" r:id="rId4229" display="https://twitter.com/VeeDubMk1_" xr:uid="{4BDA1337-D2FE-4F30-9394-6D1DD00507B7}"/>
    <hyperlink ref="E1373" r:id="rId4230" display="https://twitter.com/VeeDubMk1_/status/723178205813825536" xr:uid="{8CE4DBCD-9F55-4478-8B8A-69B84A163D99}"/>
    <hyperlink ref="O1373" r:id="rId4231" display="https://pbs.twimg.com/profile_images/672878354127839232/M7OYc-zx_normal.jpg" xr:uid="{05869A98-4576-4C3A-B485-2647E4DE31F7}"/>
    <hyperlink ref="B1374" r:id="rId4232" display="https://twitter.com/VeeDubMk1_" xr:uid="{E1E16E2E-FBBE-4E96-ACD2-3EAA29A6803D}"/>
    <hyperlink ref="E1374" r:id="rId4233" display="https://twitter.com/VeeDubMk1_/status/723178220812664833" xr:uid="{7ADB6316-4102-4D7C-A308-F8B6331378B4}"/>
    <hyperlink ref="O1374" r:id="rId4234" display="https://pbs.twimg.com/profile_images/672878354127839232/M7OYc-zx_normal.jpg" xr:uid="{5EED9535-A77F-4DCB-8786-E51ECC4BC9DB}"/>
    <hyperlink ref="B1375" r:id="rId4235" display="https://twitter.com/VeeDubMk1_" xr:uid="{A5B9F84A-39EB-410B-A1BF-311F4F9D4FD7}"/>
    <hyperlink ref="E1375" r:id="rId4236" display="https://twitter.com/VeeDubMk1_/status/723178228781862912" xr:uid="{B6CA7207-FA67-4AEB-B03E-2962897975A6}"/>
    <hyperlink ref="O1375" r:id="rId4237" display="https://pbs.twimg.com/profile_images/672878354127839232/M7OYc-zx_normal.jpg" xr:uid="{87C671FF-7D33-4131-96F8-8C90926C2299}"/>
    <hyperlink ref="B1376" r:id="rId4238" display="https://twitter.com/Scheinriesig" xr:uid="{BDCCDF37-5960-48EA-9C8C-8A941CF62251}"/>
    <hyperlink ref="E1376" r:id="rId4239" display="https://twitter.com/Scheinriesig/status/723178254543257600" xr:uid="{6F3C5094-65E1-4505-AE63-DB4E449E52C6}"/>
    <hyperlink ref="O1376" r:id="rId4240" display="https://pbs.twimg.com/profile_images/696411580800626692/rxxGIVjg_normal.jpg" xr:uid="{66E83C24-C200-47AC-A5D3-5AB5A1BF2F91}"/>
    <hyperlink ref="B1377" r:id="rId4241" display="https://twitter.com/TheMartecGroup" xr:uid="{49576B0B-F99A-4E85-AEF9-B43D43A9E343}"/>
    <hyperlink ref="E1377" r:id="rId4242" display="https://twitter.com/TheMartecGroup/status/723178300118540288" xr:uid="{F42345D2-6661-4503-91C4-2E793C2F2FD2}"/>
    <hyperlink ref="O1377" r:id="rId4243" display="https://pbs.twimg.com/profile_images/649644968877924356/wEYJCMH1_normal.jpg" xr:uid="{139F022C-E35B-4A85-B84D-EDA2A23BCFDE}"/>
    <hyperlink ref="B1378" r:id="rId4244" display="https://twitter.com/FabledMP" xr:uid="{9F228D48-B666-41AC-978A-C251BB3D7292}"/>
    <hyperlink ref="E1378" r:id="rId4245" display="https://twitter.com/FabledMP/status/723178362206711809" xr:uid="{38E83A01-11F7-40BC-A0FB-504422BCA052}"/>
    <hyperlink ref="O1378" r:id="rId4246" display="https://pbs.twimg.com/profile_images/610657709398999040/UV5cwarn_normal.png" xr:uid="{14E12EB7-1454-4B5E-B233-DE058C6886FC}"/>
    <hyperlink ref="B1379" r:id="rId4247" display="https://twitter.com/bradleebone" xr:uid="{E8309836-4AC9-4E89-BFF3-0BDC161C7D34}"/>
    <hyperlink ref="E1379" r:id="rId4248" display="https://twitter.com/bradleebone/status/723178395958411264" xr:uid="{A21665BB-03B2-456F-B271-94DA392E7149}"/>
    <hyperlink ref="O1379" r:id="rId4249" display="https://pbs.twimg.com/profile_images/657833979471634433/OT9DQrOV_normal.png" xr:uid="{CC6DEC07-72A5-4C66-B6B8-FE96E4D87846}"/>
    <hyperlink ref="B1380" r:id="rId4250" display="https://twitter.com/campercino_uk" xr:uid="{9FDA2786-F219-4D4E-AA50-2C1B7C663DC5}"/>
    <hyperlink ref="E1380" r:id="rId4251" display="https://twitter.com/campercino_uk/status/723178400433745920" xr:uid="{2545A9E4-590F-4420-B7D0-53181F74F843}"/>
    <hyperlink ref="O1380" r:id="rId4252" display="https://pbs.twimg.com/profile_images/695303050580385793/wXS47Pgy_normal.jpg" xr:uid="{4F339DE2-25B0-451C-9A35-3D7A9FD90932}"/>
    <hyperlink ref="B1381" r:id="rId4253" display="https://twitter.com/adr4517" xr:uid="{DED9E35E-762B-412E-A077-B38B5130DBEF}"/>
    <hyperlink ref="E1381" r:id="rId4254" display="https://twitter.com/adr4517/status/723178409182920704" xr:uid="{72BBD031-8B65-40B8-8357-D4E51F7AE05B}"/>
    <hyperlink ref="O1381" r:id="rId4255" display="https://pbs.twimg.com/profile_images/690715851897503744/i2pU0xKw_normal.jpg" xr:uid="{0A770E0C-4608-488F-B402-DB6635A7FF59}"/>
    <hyperlink ref="B1382" r:id="rId4256" display="https://twitter.com/JuergenBauer" xr:uid="{AF9173BA-248F-4D61-BF83-FAC6DB9D43D7}"/>
    <hyperlink ref="E1382" r:id="rId4257" display="https://twitter.com/JuergenBauer/status/723178409933688832" xr:uid="{1E2E56E0-7074-46E9-8CB9-BAEC0898FDE3}"/>
    <hyperlink ref="O1382" r:id="rId4258" display="https://pbs.twimg.com/profile_images/3392383160/b4c1485fac5d26a64e9be33008b05cf1_normal.jpeg" xr:uid="{0AF36D5D-D679-4BB5-B8E0-0E4517A4D36B}"/>
    <hyperlink ref="B1383" r:id="rId4259" display="https://twitter.com/JayleenHeft" xr:uid="{D5D678C2-3F5C-407B-8269-D936F47FA508}"/>
    <hyperlink ref="E1383" r:id="rId4260" display="https://twitter.com/JayleenHeft/status/723178489923264512" xr:uid="{B001BC55-15B7-4DA5-A4C1-7A19B93AC07A}"/>
    <hyperlink ref="O1383" r:id="rId4261" display="https://pbs.twimg.com/profile_images/515673279718105088/xInjQ-S0_normal.jpeg" xr:uid="{C612D28B-4FE8-407C-A66A-285E526F2804}"/>
    <hyperlink ref="B1384" r:id="rId4262" display="https://twitter.com/dw_wirtschaft" xr:uid="{F95A1958-835E-4907-9512-D50448B85B46}"/>
    <hyperlink ref="E1384" r:id="rId4263" display="https://twitter.com/dw_wirtschaft/status/723178508264984576" xr:uid="{09FA9B29-E048-4A47-9261-878DDAE4DBCD}"/>
    <hyperlink ref="O1384" r:id="rId4264" display="https://pbs.twimg.com/profile_images/474185502388518912/sROk9L0u_normal.png" xr:uid="{7A11A495-26E1-4276-9E0F-FDF31213288B}"/>
    <hyperlink ref="B1385" r:id="rId4265" display="https://twitter.com/vicharmonnyc" xr:uid="{D59180E3-11B4-442F-94E6-C4CA20CA0717}"/>
    <hyperlink ref="E1385" r:id="rId4266" display="https://twitter.com/vicharmonnyc/status/723178561541033986" xr:uid="{7286084B-DA81-4857-B4FE-054C3E9A1DE1}"/>
    <hyperlink ref="O1385" r:id="rId4267" display="https://pbs.twimg.com/profile_images/641727245841747968/wzxt2q1V_normal.jpg" xr:uid="{7A55D806-25E2-4049-8C62-7FCBB6271BAF}"/>
    <hyperlink ref="B1386" r:id="rId4268" display="https://twitter.com/doublefelix7" xr:uid="{B4696B37-93DA-4812-977A-D5904722529B}"/>
    <hyperlink ref="E1386" r:id="rId4269" display="https://twitter.com/doublefelix7/status/723178629748805632" xr:uid="{3D1E0F14-05B6-4EA6-9DE0-D1AE160DE580}"/>
    <hyperlink ref="O1386" r:id="rId4270" display="https://pbs.twimg.com/profile_images/378800000755674736/92a02f0ee27f7109ec8a8d88ce898410_normal.jpeg" xr:uid="{DF0E11F8-738B-4C35-BE40-CFC8F7628E0C}"/>
    <hyperlink ref="B1387" r:id="rId4271" display="https://twitter.com/FuscaWorld" xr:uid="{7A6D9FE7-3A79-4CE7-A142-F090C9C5D6A7}"/>
    <hyperlink ref="E1387" r:id="rId4272" display="https://twitter.com/FuscaWorld/status/723178648770105344" xr:uid="{A83C0783-1FEA-4E3D-A33A-C926E6B3AB6A}"/>
    <hyperlink ref="O1387" r:id="rId4273" display="https://pbs.twimg.com/profile_images/705780107844067328/e7O4UBNb_normal.jpg" xr:uid="{1405CE26-59FD-40D4-A5B8-A50ACEE59487}"/>
    <hyperlink ref="B1388" r:id="rId4274" display="https://twitter.com/engelderliebe80" xr:uid="{DE879CB4-F8CF-4B27-9C1B-787990C86B44}"/>
    <hyperlink ref="E1388" r:id="rId4275" display="https://twitter.com/engelderliebe80/status/723178697839226880" xr:uid="{4B5F9652-FB68-43A8-9F4E-CFBEEE44712D}"/>
    <hyperlink ref="O1388" r:id="rId4276" display="https://pbs.twimg.com/profile_images/783167280/gehaekeltesauto_normal.jpg" xr:uid="{E0E945B7-7B62-4BC0-8E5D-F0F9E0680209}"/>
    <hyperlink ref="B1389" r:id="rId4277" display="https://twitter.com/SquawkStreet" xr:uid="{9D0A3474-EF82-4D66-952B-183F3693DDFC}"/>
    <hyperlink ref="E1389" r:id="rId4278" display="https://twitter.com/SquawkStreet/status/723178743787827205" xr:uid="{F9322F1F-5EC7-4C07-8067-3033A74CBB1D}"/>
    <hyperlink ref="O1389" r:id="rId4279" display="https://pbs.twimg.com/profile_images/565605558581878784/6hvy8vZH_normal.jpeg" xr:uid="{FFE7ED84-1023-4ADC-A06F-061A29C75A88}"/>
    <hyperlink ref="B1390" r:id="rId4280" display="https://twitter.com/Cluhch" xr:uid="{6524FB8E-A7A4-4605-ABE4-25C4E1871332}"/>
    <hyperlink ref="E1390" r:id="rId4281" display="https://twitter.com/Cluhch/status/723178783776219137" xr:uid="{59044417-60F2-4041-8E04-7EE10B3DEC3F}"/>
    <hyperlink ref="O1390" r:id="rId4282" display="https://pbs.twimg.com/profile_images/626052646990774272/HTo6x37c_normal.jpg" xr:uid="{65616712-4DEB-4D27-85A3-D822F7AAEC93}"/>
    <hyperlink ref="B1391" r:id="rId4283" display="https://twitter.com/adamsona" xr:uid="{9AF1EA8C-1C40-478F-A3AE-4E7616CD8F8E}"/>
    <hyperlink ref="E1391" r:id="rId4284" display="https://twitter.com/adamsona/status/723178798326386688" xr:uid="{CE36B79C-9BC0-4C98-8C1C-EE12A635AF32}"/>
    <hyperlink ref="O1391" r:id="rId4285" display="https://pbs.twimg.com/profile_images/3401568079/1f8937c689f8267ed02ebe9edc3c2739_normal.jpeg" xr:uid="{27BD166A-E50E-4B6D-87D6-35D14DD767BA}"/>
    <hyperlink ref="B1392" r:id="rId4286" display="https://twitter.com/smoothblinkhost" xr:uid="{F6B2D5FD-E777-4FFB-BF35-4D214F14867C}"/>
    <hyperlink ref="E1392" r:id="rId4287" display="https://twitter.com/smoothblinkhost/status/723178811508977664" xr:uid="{86B0528D-1B59-4E54-9116-7BF9A69BADF5}"/>
    <hyperlink ref="N1392" r:id="rId4288" xr:uid="{50A90F68-E0CF-4551-847A-BF44508D53CF}"/>
    <hyperlink ref="O1392" r:id="rId4289" display="https://pbs.twimg.com/profile_images/624398233352171520/3uTWdNE4_normal.jpg" xr:uid="{28A6B1D3-5FD3-415F-9418-4FFDC70A51B0}"/>
    <hyperlink ref="B1393" r:id="rId4290" display="https://twitter.com/WangsonAdele" xr:uid="{46389740-52DE-4EC8-A1C7-262671553947}"/>
    <hyperlink ref="E1393" r:id="rId4291" display="https://twitter.com/WangsonAdele/status/723178854773350400" xr:uid="{1776BA0D-8657-4056-975D-C089CA447319}"/>
    <hyperlink ref="O1393" r:id="rId4292" display="https://pbs.twimg.com/profile_images/714481274187083776/Eitfvl8a_normal.jpg" xr:uid="{376647A5-1299-4D37-BFA3-237DF7A687D5}"/>
    <hyperlink ref="B1394" r:id="rId4293" display="https://twitter.com/franka_kuehn" xr:uid="{F328959F-462B-48E7-B132-378F863DD7F7}"/>
    <hyperlink ref="E1394" r:id="rId4294" display="https://twitter.com/franka_kuehn/status/723178949728030720" xr:uid="{F94CC015-2CB6-4655-8B3B-D781D6107A66}"/>
    <hyperlink ref="O1394" r:id="rId4295" display="https://pbs.twimg.com/profile_images/530281935289851905/gYVTeJZK_normal.jpeg" xr:uid="{88A002FD-29F7-461F-8894-46D7FD42F09F}"/>
    <hyperlink ref="B1395" r:id="rId4296" display="https://twitter.com/BILD_Reporter" xr:uid="{2C0E951A-197C-4BBF-B5B6-A55DD1F79A5E}"/>
    <hyperlink ref="E1395" r:id="rId4297" display="https://twitter.com/BILD_Reporter/status/723179002140233728" xr:uid="{20F1BE33-1C91-451D-BE68-BBF1684B031E}"/>
    <hyperlink ref="O1395" r:id="rId4298" display="https://pbs.twimg.com/profile_images/578542636140781568/2T_ukEU0_normal.jpeg" xr:uid="{1AF1CA88-3D4E-4F19-9985-B8DF1F14EA7A}"/>
    <hyperlink ref="B1396" r:id="rId4299" display="https://twitter.com/vzbv" xr:uid="{31D60953-7F40-49F8-9E38-FA5727E60D0D}"/>
    <hyperlink ref="E1396" r:id="rId4300" display="https://twitter.com/vzbv/status/723179037946875904" xr:uid="{D5D193A0-3F54-4C22-9A9F-280639476EB9}"/>
    <hyperlink ref="O1396" r:id="rId4301" display="https://pbs.twimg.com/profile_images/617979796744568832/YHw6Izem_normal.jpg" xr:uid="{5CBB037D-8345-49B5-80A6-7C3212EEEC10}"/>
    <hyperlink ref="B1397" r:id="rId4302" display="https://twitter.com/carrieella" xr:uid="{499B4FC1-46EF-422F-8177-9D805F5F52F3}"/>
    <hyperlink ref="E1397" r:id="rId4303" display="https://twitter.com/carrieella/status/723179097824718848" xr:uid="{B6F4E6D1-30A7-421D-AF23-242229AB1AAF}"/>
    <hyperlink ref="O1397" r:id="rId4304" display="https://pbs.twimg.com/profile_images/646754277088739328/Tk9LwWoJ_normal.jpg" xr:uid="{5CF5A04C-900D-4E87-9601-0425AA46E4FE}"/>
    <hyperlink ref="B1398" r:id="rId4305" display="https://twitter.com/DarthSquig" xr:uid="{51E0BCEF-ED09-45B7-8DF1-073AFFAB8751}"/>
    <hyperlink ref="E1398" r:id="rId4306" display="https://twitter.com/DarthSquig/status/723179166456250369" xr:uid="{832BD344-B447-42F4-8950-B04AD99057A6}"/>
    <hyperlink ref="O1398" r:id="rId4307" display="https://pbs.twimg.com/profile_images/1783348997/Hanomag_normal.jpg" xr:uid="{36D38980-F01F-4A64-93FF-C35110950BAA}"/>
    <hyperlink ref="B1399" r:id="rId4308" display="https://twitter.com/VWCamperSales" xr:uid="{207ADAF4-0B96-45E4-9260-CB95DB51C2E7}"/>
    <hyperlink ref="E1399" r:id="rId4309" display="https://twitter.com/VWCamperSales/status/723179191185727489" xr:uid="{4D4317FA-4516-4616-ACBB-E20E3D88FD32}"/>
    <hyperlink ref="F1399" r:id="rId4310" xr:uid="{2D3A3FE3-66A9-4D35-B2F2-E42AE7CE4503}"/>
    <hyperlink ref="O1399" r:id="rId4311" display="https://pbs.twimg.com/profile_images/627949001179037696/skEBkS05_normal.jpg" xr:uid="{7DF1D71B-B9C4-4F01-8688-CF3F0D67EAF5}"/>
    <hyperlink ref="B1400" r:id="rId4312" display="https://twitter.com/DeLausert" xr:uid="{8BAA7087-D42A-497C-BC8D-D882994D5994}"/>
    <hyperlink ref="E1400" r:id="rId4313" display="https://twitter.com/DeLausert/status/723179205857406976" xr:uid="{F9D5D8D7-78A7-4C10-9735-B86E702B5072}"/>
    <hyperlink ref="O1400" r:id="rId4314" display="https://pbs.twimg.com/profile_images/672181739301822465/2EHqX_W1_normal.jpg" xr:uid="{269BF067-EA46-4B1A-8B4C-7B5E33D737F0}"/>
    <hyperlink ref="B1401" r:id="rId4315" display="https://twitter.com/Scirocco_Tuning" xr:uid="{6BF6C368-3356-4F0D-86A9-4301BF21E48D}"/>
    <hyperlink ref="E1401" r:id="rId4316" display="https://twitter.com/Scirocco_Tuning/status/723179230998224897" xr:uid="{1177DE29-2AFC-44DD-9397-BA32C4EBA2CD}"/>
    <hyperlink ref="O1401" r:id="rId4317" display="https://pbs.twimg.com/profile_images/1610421423/Image2_normal.jpg" xr:uid="{83160F7D-B9E4-4B10-B8DD-9E355B92900B}"/>
    <hyperlink ref="B1402" r:id="rId4318" display="https://twitter.com/instock_de" xr:uid="{001EC5D2-F0EF-4449-84EC-7D0F3E7246E7}"/>
    <hyperlink ref="C1402" r:id="rId4319" xr:uid="{811E97C5-6D85-4BA5-B69D-AFB4EB404DCF}"/>
    <hyperlink ref="E1402" r:id="rId4320" display="https://twitter.com/instock_de/status/723179258298802176" xr:uid="{3CCBAEF5-1CF4-4333-B90F-DA4B172E5B99}"/>
    <hyperlink ref="O1402" r:id="rId4321" display="https://pbs.twimg.com/profile_images/1200648485/instock_normal.jpg" xr:uid="{068C74B1-D98D-4CA4-A67F-E7938A5A0DF3}"/>
    <hyperlink ref="B1403" r:id="rId4322" display="https://twitter.com/ksolo56" xr:uid="{41854BFC-B07B-46E9-BE0E-A4F35391848B}"/>
    <hyperlink ref="E1403" r:id="rId4323" display="https://twitter.com/ksolo56/status/723179313365966848" xr:uid="{B0178655-9882-4AC9-B9A0-85EBA6CBC8F7}"/>
    <hyperlink ref="O1403" r:id="rId4324" display="https://pbs.twimg.com/profile_images/2187518786/novitec-rosso-ferrari-458-spider-hr-02_normal.jpg" xr:uid="{0F94D57E-5AEB-4166-A489-EC6FFE34BDB0}"/>
    <hyperlink ref="B1404" r:id="rId4325" display="https://twitter.com/WashAutoPress" xr:uid="{FF830D04-A82B-499B-BDA4-4ED5B1CC9670}"/>
    <hyperlink ref="E1404" r:id="rId4326" display="https://twitter.com/WashAutoPress/status/723179357833969664" xr:uid="{0E1B424C-CA65-444D-9176-B9068626ED4F}"/>
    <hyperlink ref="O1404" r:id="rId4327" display="https://pbs.twimg.com/profile_images/565535762720894976/d0L_JvdB_normal.png" xr:uid="{A63B7B07-3324-4C90-A569-EEBC69EEE58C}"/>
    <hyperlink ref="B1405" r:id="rId4328" display="https://twitter.com/giselaBoezio" xr:uid="{FB3ED1E6-600B-486D-AE16-3BDA6A3AEF00}"/>
    <hyperlink ref="E1405" r:id="rId4329" display="https://twitter.com/giselaBoezio/status/723179388464934912" xr:uid="{6482EB34-9EC4-4E8B-A563-DD692B574015}"/>
    <hyperlink ref="O1405" r:id="rId4330" display="https://pbs.twimg.com/profile_images/430023681977634816/gBNGcukd_normal.jpeg" xr:uid="{4F14C71C-0EBB-4CC9-8B03-F0F727DEDA64}"/>
    <hyperlink ref="B1406" r:id="rId4331" display="https://twitter.com/hamdipinar" xr:uid="{7E7B80B9-4E88-4B92-8D09-47614A7C4ACD}"/>
    <hyperlink ref="E1406" r:id="rId4332" display="https://twitter.com/hamdipinar/status/723179455443787776" xr:uid="{7CE1582C-9A8C-43EA-8D5F-33F2F8E38F32}"/>
    <hyperlink ref="O1406" r:id="rId4333" display="https://pbs.twimg.com/profile_images/588633732694859776/83iKcl2y_normal.jpg" xr:uid="{A770BF60-2575-4509-AF9E-F8CCEE127A79}"/>
    <hyperlink ref="B1407" r:id="rId4334" display="https://twitter.com/srfnews" xr:uid="{A9E9CCDB-7135-483F-B721-F0520902F980}"/>
    <hyperlink ref="E1407" r:id="rId4335" display="https://twitter.com/srfnews/status/723179471344427008" xr:uid="{C04D6B07-5118-40D7-8702-67C52DDA7137}"/>
    <hyperlink ref="O1407" r:id="rId4336" display="https://pbs.twimg.com/profile_images/471294691783098369/x9C02baa_normal.png" xr:uid="{3AFBBAF7-9FE1-49F5-B9D1-705CC649A1BA}"/>
    <hyperlink ref="B1408" r:id="rId4337" display="https://twitter.com/VWBeetleSales" xr:uid="{0D56DF49-B20E-41E2-9ED7-9C48DCC116EB}"/>
    <hyperlink ref="E1408" r:id="rId4338" display="https://twitter.com/VWBeetleSales/status/723179517812965376" xr:uid="{9A38B08A-E823-47B0-9284-6F3B83148C83}"/>
    <hyperlink ref="F1408" r:id="rId4339" xr:uid="{D5600AAF-FB94-46CF-9C5A-B238EE430E57}"/>
    <hyperlink ref="O1408" r:id="rId4340" display="https://pbs.twimg.com/profile_images/703294545195307008/qeCvrX86_normal.jpg" xr:uid="{EA0C885E-7E14-4AF0-8FAF-3B8AFC8176DB}"/>
    <hyperlink ref="B1409" r:id="rId4341" display="https://twitter.com/VWBeetleSales" xr:uid="{6FC89087-536F-47AC-9E3D-0F108E6A05AA}"/>
    <hyperlink ref="E1409" r:id="rId4342" display="https://twitter.com/VWBeetleSales/status/723179521516564480" xr:uid="{FB7AD3F2-1EEB-4A15-A2D9-A03094E82A91}"/>
    <hyperlink ref="F1409" r:id="rId4343" xr:uid="{16A8203E-44D5-4619-A99E-00415EA513DC}"/>
    <hyperlink ref="O1409" r:id="rId4344" display="https://pbs.twimg.com/profile_images/703294545195307008/qeCvrX86_normal.jpg" xr:uid="{A80D4D0F-D859-4514-8C5C-FE8E5046F971}"/>
    <hyperlink ref="B1410" r:id="rId4345" display="https://twitter.com/nordlohner" xr:uid="{4F212C8F-43D6-498D-8193-6A1F2A6AA334}"/>
    <hyperlink ref="E1410" r:id="rId4346" display="https://twitter.com/nordlohner/status/723179524695953409" xr:uid="{6064C290-71D7-4556-9C69-D4C6DEDC99D8}"/>
    <hyperlink ref="O1410" r:id="rId4347" display="https://pbs.twimg.com/profile_images/689490163639123968/KvB_Hdux_normal.jpg" xr:uid="{9DDA65C9-BF56-4FEA-B98C-4697C1EFC9EB}"/>
    <hyperlink ref="B1411" r:id="rId4348" display="https://twitter.com/VWSouthCoast" xr:uid="{4841DA70-ABC2-4870-BE07-72751EC3353D}"/>
    <hyperlink ref="E1411" r:id="rId4349" display="https://twitter.com/VWSouthCoast/status/723179551770046464" xr:uid="{818B59C4-E9E4-470A-B35E-4B6FF15B3DD2}"/>
    <hyperlink ref="O1411" r:id="rId4350" display="https://pbs.twimg.com/profile_images/674737771588685824/QJjqWVJf_normal.jpg" xr:uid="{86A25C8D-2FED-44B9-A261-3F9D47E832CC}"/>
    <hyperlink ref="B1412" r:id="rId4351" display="https://twitter.com/Produktion_de" xr:uid="{44A9813F-B859-49D5-8CF5-920DE046FF5D}"/>
    <hyperlink ref="E1412" r:id="rId4352" display="https://twitter.com/Produktion_de/status/723179559001067521" xr:uid="{E1EF0141-4BBD-4C2B-B8DE-8999A417BA4C}"/>
    <hyperlink ref="O1412" r:id="rId4353" display="https://pbs.twimg.com/profile_images/572855664553115648/RuqOSgao_normal.jpeg" xr:uid="{8C9C2FCF-2052-4072-BB28-3347492AD092}"/>
    <hyperlink ref="B1413" r:id="rId4354" display="https://twitter.com/jallen191" xr:uid="{A7AF7267-EE85-4F1C-8096-BF1C833F8651}"/>
    <hyperlink ref="E1413" r:id="rId4355" display="https://twitter.com/jallen191/status/723179561177894912" xr:uid="{FD702933-1D77-406B-AF2B-584623B8C34C}"/>
    <hyperlink ref="O1413" r:id="rId4356" display="https://pbs.twimg.com/profile_images/720541135949688832/utGATvGP_normal.jpg" xr:uid="{345F789F-D5A0-4227-BDB6-E9FDBBA76456}"/>
    <hyperlink ref="B1414" r:id="rId4357" display="https://twitter.com/napletonvolksu1" xr:uid="{412B5D70-DEA9-4475-970A-565B1039E4D9}"/>
    <hyperlink ref="E1414" r:id="rId4358" display="https://twitter.com/napletonvolksu1/status/723179574931152896" xr:uid="{5F12023D-11D6-4943-8641-A45FA8DD3B89}"/>
    <hyperlink ref="O1414" r:id="rId4359" display="https://pbs.twimg.com/profile_images/661203197172649984/8NlJaRzL_normal.png" xr:uid="{9B0ABEE6-7854-48EC-8A23-041710BC5E3A}"/>
    <hyperlink ref="B1415" r:id="rId4360" display="https://twitter.com/FreshDialogues" xr:uid="{5E5AC6E4-BDAB-4716-B364-3FA94180E2E6}"/>
    <hyperlink ref="E1415" r:id="rId4361" display="https://twitter.com/FreshDialogues/status/723179589376176130" xr:uid="{93FF1762-F127-4BD6-B639-6B258D5807D2}"/>
    <hyperlink ref="O1415" r:id="rId4362" display="https://pbs.twimg.com/profile_images/2532291627/vj4vtc89cwsvidlta5i4_normal.jpeg" xr:uid="{C67A72D1-49C6-4931-89F5-449C7CAA606D}"/>
    <hyperlink ref="B1416" r:id="rId4363" display="https://twitter.com/kngeuro" xr:uid="{A05A2822-DF23-4C57-8B10-9C23EA5007C6}"/>
    <hyperlink ref="E1416" r:id="rId4364" display="https://twitter.com/kngeuro/status/723179591364276224" xr:uid="{472697B4-2DCF-4973-9CA3-6CD666762498}"/>
    <hyperlink ref="O1416" r:id="rId4365" display="https://pbs.twimg.com/profile_images/570375988065935360/ooT_Nq7x_normal.jpeg" xr:uid="{F6F2EA19-C404-4565-B9BB-0DFDA46AA87F}"/>
    <hyperlink ref="B1417" r:id="rId4366" display="https://twitter.com/Stony_BS" xr:uid="{DB0639D6-C805-4B0D-AA7C-E48479A4CD01}"/>
    <hyperlink ref="E1417" r:id="rId4367" display="https://twitter.com/Stony_BS/status/723179635878420484" xr:uid="{4FD8F10A-3102-4AF0-AB00-19716AB38F9C}"/>
    <hyperlink ref="O1417" r:id="rId4368" display="https://pbs.twimg.com/profile_images/668091779313500160/ZepxnJcI_normal.jpg" xr:uid="{2636142B-2162-495E-A424-6D3C083F9953}"/>
    <hyperlink ref="B1418" r:id="rId4369" display="https://twitter.com/Sumsi_" xr:uid="{5CC736A5-B3FE-41F3-8EC9-DAB83477B03F}"/>
    <hyperlink ref="E1418" r:id="rId4370" display="https://twitter.com/Sumsi_/status/723179648180473857" xr:uid="{3A45E89B-53DA-439B-ACEE-AEB8A054C623}"/>
    <hyperlink ref="O1418" r:id="rId4371" display="https://pbs.twimg.com/profile_images/1944127722/image_normal.jpg" xr:uid="{A2BDEFF2-849C-466C-BB11-8EEE99DA7BBE}"/>
    <hyperlink ref="B1419" r:id="rId4372" display="https://twitter.com/brucenilles" xr:uid="{63207C94-0F12-44EA-9CEA-C4B4B8852227}"/>
    <hyperlink ref="E1419" r:id="rId4373" display="https://twitter.com/brucenilles/status/723179666505228290" xr:uid="{811D82A0-5375-4C6D-8F15-D198D5255076}"/>
    <hyperlink ref="O1419" r:id="rId4374" display="https://pbs.twimg.com/profile_images/717214720055443457/QPIdZYtQ_normal.jpg" xr:uid="{E4FFF8BB-4B6D-4318-B05C-F2813E2176A9}"/>
    <hyperlink ref="B1420" r:id="rId4375" display="https://twitter.com/ARD_BaB" xr:uid="{E1F564BA-7CA1-4949-8418-D861E83EB85E}"/>
    <hyperlink ref="E1420" r:id="rId4376" display="https://twitter.com/ARD_BaB/status/723179669919420416" xr:uid="{6AD8C9E4-0C8B-4F39-A9D3-DDDD25E02A68}"/>
    <hyperlink ref="O1420" r:id="rId4377" display="https://pbs.twimg.com/profile_images/474912768143802368/eg4eVSBM_normal.jpeg" xr:uid="{EA03BD3F-0848-4062-9476-EBC6723CEB36}"/>
    <hyperlink ref="B1421" r:id="rId4378" display="https://twitter.com/franka_kuehn" xr:uid="{95F39070-BD81-4178-8B3F-C899931FA806}"/>
    <hyperlink ref="E1421" r:id="rId4379" display="https://twitter.com/franka_kuehn/status/723179731504390145" xr:uid="{64DB2844-6983-4514-AFFF-7AAE33952F6F}"/>
    <hyperlink ref="O1421" r:id="rId4380" display="https://pbs.twimg.com/profile_images/530281935289851905/gYVTeJZK_normal.jpeg" xr:uid="{B02FA492-79DC-41DC-9802-DB09A9B6AF0A}"/>
    <hyperlink ref="B1422" r:id="rId4381" display="https://twitter.com/samiamebarki1" xr:uid="{1FEB8E83-A25B-4AB3-86F4-0BB0B20FCF8D}"/>
    <hyperlink ref="E1422" r:id="rId4382" display="https://twitter.com/samiamebarki1/status/723179818129432576" xr:uid="{9802040C-0C78-4661-B6B0-52811A5F90B6}"/>
    <hyperlink ref="O1422" r:id="rId4383" display="https://pbs.twimg.com/profile_images/2346135175/qykofyyqb1o1mchiek3d_normal.jpeg" xr:uid="{6B2C4F9A-56E4-4826-9A98-558DC7AC2B34}"/>
    <hyperlink ref="B1423" r:id="rId4384" display="https://twitter.com/selmissary" xr:uid="{F5FC7EA6-F63E-486C-86E8-407F1FBB03DE}"/>
    <hyperlink ref="E1423" r:id="rId4385" display="https://twitter.com/selmissary/status/723179837591031808" xr:uid="{6B0EE12E-E5E1-4CD6-93E4-2BE450A47458}"/>
    <hyperlink ref="O1423" r:id="rId4386" display="https://pbs.twimg.com/profile_images/3023094301/7299b75257d79082c0ff884278e113cd_normal.png" xr:uid="{0DC8423E-B59B-43A6-9193-3F2A70D89ED3}"/>
    <hyperlink ref="B1424" r:id="rId4387" display="https://twitter.com/DanBama420" xr:uid="{7FD200AC-E0FD-471A-BA9F-7544B948030A}"/>
    <hyperlink ref="E1424" r:id="rId4388" display="https://twitter.com/DanBama420/status/723179896613253120" xr:uid="{B77915BD-03F1-4905-A55E-2D9EC5335D44}"/>
    <hyperlink ref="O1424" r:id="rId4389" display="https://pbs.twimg.com/profile_images/637891439343484928/orseP7gi_normal.jpg" xr:uid="{ADFA845B-79F0-4F61-BCAF-C3607806F6F8}"/>
    <hyperlink ref="B1425" r:id="rId4390" display="https://twitter.com/zeeshan_shah_dc" xr:uid="{E37B752C-AE92-4EE7-B867-6D1C606695A3}"/>
    <hyperlink ref="E1425" r:id="rId4391" display="https://twitter.com/zeeshan_shah_dc/status/723179923351937024" xr:uid="{A7FF3E92-15E6-41EA-8CE6-AF57802A4521}"/>
    <hyperlink ref="O1425" r:id="rId4392" display="https://pbs.twimg.com/profile_images/702712678146580480/HkTHbbRI_normal.jpg" xr:uid="{CC484B8C-E711-40DE-8837-08A994CBB7D7}"/>
    <hyperlink ref="B1426" r:id="rId4393" display="https://twitter.com/berlin_ny" xr:uid="{9501265C-E795-4CE0-9722-5F3562C79E1B}"/>
    <hyperlink ref="E1426" r:id="rId4394" display="https://twitter.com/berlin_ny/status/723179983674466304" xr:uid="{61165BC6-B07C-4556-A3EA-3E673E52BACD}"/>
    <hyperlink ref="O1426" r:id="rId4395" display="https://pbs.twimg.com/profile_images/651119142670499840/QYoBetcy_normal.jpg" xr:uid="{D218EA46-CBAB-4D99-AFE6-F9B726A93B8F}"/>
    <hyperlink ref="B1427" r:id="rId4396" display="https://twitter.com/mdrde" xr:uid="{F680750B-1D5C-412A-AAE2-1C9FEC1D9ABD}"/>
    <hyperlink ref="E1427" r:id="rId4397" display="https://twitter.com/mdrde/status/723180026087104512" xr:uid="{2836BAFC-4150-4025-965E-D36BE835ABD4}"/>
    <hyperlink ref="O1427" r:id="rId4398" display="https://pbs.twimg.com/profile_images/1815194206/twitter-icon-mdr-180_normal.png" xr:uid="{2A3D124F-D4C9-40AE-8324-B3B012D5F7D2}"/>
    <hyperlink ref="B1428" r:id="rId4399" display="https://twitter.com/MarkCSchneider" xr:uid="{9208BB4E-EA17-41F9-B2A5-A6D725E1AFB6}"/>
    <hyperlink ref="E1428" r:id="rId4400" display="https://twitter.com/MarkCSchneider/status/723180103304400896" xr:uid="{966976A6-07F5-4441-9538-912F50BDEC87}"/>
    <hyperlink ref="O1428" r:id="rId4401" display="https://pbs.twimg.com/profile_images/706784695795769345/XGXgdjww_normal.jpg" xr:uid="{4FF86779-FD27-4250-B99E-450A0B67EFC5}"/>
    <hyperlink ref="B1429" r:id="rId4402" display="https://twitter.com/MarkCSchneider" xr:uid="{F51382DA-61D7-419E-8620-C0D034134DEA}"/>
    <hyperlink ref="E1429" r:id="rId4403" display="https://twitter.com/MarkCSchneider/status/723180217947291648" xr:uid="{00AE1B92-0EE3-4629-A79E-A2CBAFC6D6AA}"/>
    <hyperlink ref="O1429" r:id="rId4404" display="https://pbs.twimg.com/profile_images/706784695795769345/XGXgdjww_normal.jpg" xr:uid="{30D9C30E-F139-40F8-8647-42BDB0622E16}"/>
    <hyperlink ref="B1430" r:id="rId4405" display="https://twitter.com/Autourtiti" xr:uid="{60640AA4-2C5C-4BEE-A1F1-826F748BA6B6}"/>
    <hyperlink ref="E1430" r:id="rId4406" display="https://twitter.com/Autourtiti/status/723180274406834176" xr:uid="{F230FA9B-F795-46B0-9584-F6B7722417C8}"/>
    <hyperlink ref="O1430" r:id="rId4407" display="https://pbs.twimg.com/profile_images/378800000756387886/c547a918bcad5d95a42507361c94d2fa_normal.png" xr:uid="{DA2200D5-3D03-4427-A688-373CEA6B4092}"/>
    <hyperlink ref="B1431" r:id="rId4408" display="https://twitter.com/JuLoewe" xr:uid="{7C6E125E-B82D-4BA7-B8C7-874A5D73032B}"/>
    <hyperlink ref="E1431" r:id="rId4409" display="https://twitter.com/JuLoewe/status/723180318858027008" xr:uid="{1E0343AD-68A5-4C7C-A9B4-55C0D22AE6C8}"/>
    <hyperlink ref="N1431" r:id="rId4410" xr:uid="{EF78C84B-26E0-4F44-9A52-323B5AE1C77B}"/>
    <hyperlink ref="O1431" r:id="rId4411" display="https://pbs.twimg.com/profile_images/609682170458804225/WAAXyFob_normal.jpg" xr:uid="{4C423195-5B1C-4B76-916E-A18674871E94}"/>
    <hyperlink ref="B1432" r:id="rId4412" display="https://twitter.com/dw_wirtschaft" xr:uid="{5E71FE7C-B648-46EF-9897-2B963E1506C0}"/>
    <hyperlink ref="E1432" r:id="rId4413" display="https://twitter.com/dw_wirtschaft/status/723180409886924800" xr:uid="{83F797FF-0BA5-46EB-A9C6-6E0D0175EC01}"/>
    <hyperlink ref="O1432" r:id="rId4414" display="https://pbs.twimg.com/profile_images/474185502388518912/sROk9L0u_normal.png" xr:uid="{60C8CC73-702B-43D3-B302-5EA826DAAD2D}"/>
    <hyperlink ref="B1433" r:id="rId4415" display="https://twitter.com/Lake13Simon" xr:uid="{1A00E3F4-0C81-48A7-A740-4E8DE505B80B}"/>
    <hyperlink ref="E1433" r:id="rId4416" display="https://twitter.com/Lake13Simon/status/723180487343280128" xr:uid="{B50A2FFE-1DF3-4839-8BD7-49492FF09229}"/>
    <hyperlink ref="O1433" r:id="rId4417" display="https://pbs.twimg.com/profile_images/604194481609560064/MJb6qcex_normal.jpg" xr:uid="{1C812F1A-82F0-4E12-A1F6-510899B8A8A9}"/>
    <hyperlink ref="B1434" r:id="rId4418" display="https://twitter.com/rbpr" xr:uid="{1169D9EB-2F39-4B51-9A0C-F8FFD9ADA6C3}"/>
    <hyperlink ref="E1434" r:id="rId4419" display="https://twitter.com/rbpr/status/723180631614615553" xr:uid="{55EFE86A-A81C-4C1D-A41C-5CEF521F46DE}"/>
    <hyperlink ref="O1434" r:id="rId4420" display="https://pbs.twimg.com/profile_images/1875408305/RB2004_bigger_normal.jpg" xr:uid="{E3B555A3-0EB7-479C-BE54-404DA6F7FBC8}"/>
    <hyperlink ref="B1435" r:id="rId4421" display="https://twitter.com/VWSouthtowne" xr:uid="{4AB5EF14-B6F3-4739-B284-568C90B89B38}"/>
    <hyperlink ref="E1435" r:id="rId4422" display="https://twitter.com/VWSouthtowne/status/723180649260015616" xr:uid="{580C95CD-906F-488B-B685-C3C40BA7564C}"/>
    <hyperlink ref="O1435" r:id="rId4423" display="https://pbs.twimg.com/profile_images/478629247192272896/W8LDSRdj_normal.jpeg" xr:uid="{D7619B80-CDD5-479A-97F9-87867A13228E}"/>
    <hyperlink ref="B1436" r:id="rId4424" display="https://twitter.com/SuleymanMezgil" xr:uid="{664EB247-E60D-4F3F-8891-AD9C0FAAE39B}"/>
    <hyperlink ref="E1436" r:id="rId4425" display="https://twitter.com/SuleymanMezgil/status/723180867200385024" xr:uid="{C4A386E6-63E9-47C1-9241-E776D5B6A656}"/>
    <hyperlink ref="O1436" r:id="rId4426" display="https://pbs.twimg.com/profile_images/2595928027/9e5t4gep0bnb2uylzwzb_normal.jpeg" xr:uid="{8E64D7C3-37B0-43BD-BC4C-1607487B51FD}"/>
    <hyperlink ref="B1437" r:id="rId4427" display="https://twitter.com/034Motorsport" xr:uid="{34E4BBF2-D298-4182-8FFC-031D853914FF}"/>
    <hyperlink ref="E1437" r:id="rId4428" display="https://twitter.com/034Motorsport/status/723180943473827840" xr:uid="{BB527617-75D7-4A82-AAE8-13B19C3DA37B}"/>
    <hyperlink ref="O1437" r:id="rId4429" display="https://pbs.twimg.com/profile_images/1762425632/034_ETGP_09_1080p_v4_Small_normal.jpg" xr:uid="{7B1D72F9-5BC3-4811-9E5C-01C463D7DF6F}"/>
    <hyperlink ref="B1438" r:id="rId4430" display="https://twitter.com/ABC_Driver" xr:uid="{102537D9-7483-4327-ACA1-2467BAA33BFA}"/>
    <hyperlink ref="E1438" r:id="rId4431" display="https://twitter.com/ABC_Driver/status/723180975581192192" xr:uid="{66A40E81-16EE-4F04-9BB9-20D34AAEFE62}"/>
    <hyperlink ref="O1438" r:id="rId4432" display="https://pbs.twimg.com/profile_images/416996128757149696/MJkc9QTs_normal.jpeg" xr:uid="{45F9860F-BD45-466A-BD12-A12E41813BDE}"/>
    <hyperlink ref="B1439" r:id="rId4433" display="https://twitter.com/IFeelPossessed" xr:uid="{D99960F4-7F85-408B-8F1A-365140A6A65E}"/>
    <hyperlink ref="E1439" r:id="rId4434" display="https://twitter.com/IFeelPossessed/status/723181086004662273" xr:uid="{DD323B32-B01D-4B15-9288-ACC524684296}"/>
    <hyperlink ref="O1439" r:id="rId4435" display="https://pbs.twimg.com/profile_images/602201660635652097/MOKTWd4d_normal.jpg" xr:uid="{B5D0C787-2EC5-4BF0-AA43-FE652B803EC3}"/>
    <hyperlink ref="B1440" r:id="rId4436" display="https://twitter.com/johnny_cash" xr:uid="{299D3B5A-ED73-4DF0-9559-D826A021EC67}"/>
    <hyperlink ref="E1440" r:id="rId4437" display="https://twitter.com/johnny_cash/status/723181111703166976" xr:uid="{1F070A2F-5214-49B4-9A13-615E6E2AFA87}"/>
    <hyperlink ref="O1440" r:id="rId4438" display="https://pbs.twimg.com/profile_images/2471426330/Twitter_normal.jpg" xr:uid="{9F08EDC1-3074-4EFD-BEA1-23860E4B0609}"/>
    <hyperlink ref="B1441" r:id="rId4439" display="https://twitter.com/VWCamperSales" xr:uid="{BA114378-CA66-4479-A259-22994D0A27F1}"/>
    <hyperlink ref="E1441" r:id="rId4440" display="https://twitter.com/VWCamperSales/status/723181137170862081" xr:uid="{21397888-51E0-4774-B7AB-C6667CFAAECE}"/>
    <hyperlink ref="F1441" r:id="rId4441" xr:uid="{5DE8FE92-B611-4330-8D9C-C8664121C7E3}"/>
    <hyperlink ref="O1441" r:id="rId4442" display="https://pbs.twimg.com/profile_images/627949001179037696/skEBkS05_normal.jpg" xr:uid="{D7F79E8C-20DC-4483-B48A-85A0E0B18F1C}"/>
    <hyperlink ref="B1442" r:id="rId4443" display="https://twitter.com/emilyrusch" xr:uid="{6EA497E0-5EB5-4D3C-9B76-1E0DFE86DF6F}"/>
    <hyperlink ref="E1442" r:id="rId4444" display="https://twitter.com/emilyrusch/status/723181220587143169" xr:uid="{CF75032B-E22B-49CF-95F5-FEE9CCA202E7}"/>
    <hyperlink ref="O1442" r:id="rId4445" display="https://pbs.twimg.com/profile_images/649282853226745858/VsTbEl77_normal.jpg" xr:uid="{8C817CDF-3025-4863-9362-FB50744878EA}"/>
    <hyperlink ref="B1443" r:id="rId4446" display="https://twitter.com/tstephensvw" xr:uid="{EAD846FC-AC73-4954-89C0-364FDCB25072}"/>
    <hyperlink ref="E1443" r:id="rId4447" display="https://twitter.com/tstephensvw/status/723181252140920832" xr:uid="{1577654A-F340-4EDC-89ED-B2D71641FE3C}"/>
    <hyperlink ref="O1443" r:id="rId4448" display="https://pbs.twimg.com/profile_images/3728372457/d25cb856aa9642e9a22278b90fefb04a_normal.jpeg" xr:uid="{9DABEC70-F456-43D3-AF32-373648E6E13D}"/>
    <hyperlink ref="B1444" r:id="rId4449" display="https://twitter.com/OnlineCarReview" xr:uid="{40CA1209-6472-4496-96A4-220122E392CC}"/>
    <hyperlink ref="E1444" r:id="rId4450" display="https://twitter.com/OnlineCarReview/status/723181289667330049" xr:uid="{0BF3FF49-B516-4F77-AE2C-A4A3A238316E}"/>
    <hyperlink ref="O1444" r:id="rId4451" display="https://pbs.twimg.com/profile_images/652871584131092480/QA_B6SBO_normal.jpg" xr:uid="{E4B88DF1-62CF-4841-A4B8-A0527A0E897F}"/>
    <hyperlink ref="B1445" r:id="rId4452" display="https://twitter.com/OnlineCarReview" xr:uid="{E9C3A0F6-CB64-4685-849B-C26AC3DAFFDF}"/>
    <hyperlink ref="E1445" r:id="rId4453" display="https://twitter.com/OnlineCarReview/status/723181290770452480" xr:uid="{BF27953A-7C82-477F-A0F4-8B0A951C6BDD}"/>
    <hyperlink ref="O1445" r:id="rId4454" display="https://pbs.twimg.com/profile_images/652871584131092480/QA_B6SBO_normal.jpg" xr:uid="{3B02B9F6-0475-4EF9-A3BC-C880492277EB}"/>
    <hyperlink ref="B1446" r:id="rId4455" display="https://twitter.com/OnlineCarReview" xr:uid="{88657EAF-9769-4389-949C-69A41C08C9BE}"/>
    <hyperlink ref="E1446" r:id="rId4456" display="https://twitter.com/OnlineCarReview/status/723181292406218754" xr:uid="{B7EB3CD8-76D9-4678-9B5E-2785F7C7B51D}"/>
    <hyperlink ref="O1446" r:id="rId4457" display="https://pbs.twimg.com/profile_images/652871584131092480/QA_B6SBO_normal.jpg" xr:uid="{A66D4E43-7062-46D4-9535-162F1023D7AC}"/>
    <hyperlink ref="B1447" r:id="rId4458" display="https://twitter.com/nichols_ellen" xr:uid="{727E8657-08F7-440E-95B3-53F373918B4A}"/>
    <hyperlink ref="E1447" r:id="rId4459" display="https://twitter.com/nichols_ellen/status/723181345585946624" xr:uid="{0C248195-E994-4A6D-B282-CA789383F391}"/>
    <hyperlink ref="O1447" r:id="rId4460" display="https://pbs.twimg.com/profile_images/2620197512/image_normal.jpg" xr:uid="{E15C72CA-2215-4D69-A2D0-64C8DBAB3343}"/>
    <hyperlink ref="B1448" r:id="rId4461" display="https://twitter.com/rbpr" xr:uid="{33BE0830-24C9-4B63-B733-40CA102A0798}"/>
    <hyperlink ref="E1448" r:id="rId4462" display="https://twitter.com/rbpr/status/723181370411884545" xr:uid="{3458BB50-8195-4B05-90F0-6A76DA8CF23F}"/>
    <hyperlink ref="O1448" r:id="rId4463" display="https://pbs.twimg.com/profile_images/1875408305/RB2004_bigger_normal.jpg" xr:uid="{E7053903-73A0-4DED-88A4-A5191981FE38}"/>
    <hyperlink ref="B1449" r:id="rId4464" display="https://twitter.com/RH_Way" xr:uid="{FDB4722B-38F4-44C8-89C1-6EA5A5BB57CA}"/>
    <hyperlink ref="E1449" r:id="rId4465" display="https://twitter.com/RH_Way/status/723181566260817920" xr:uid="{E294EF03-1CFC-41E5-8D01-1258365BFBDB}"/>
    <hyperlink ref="O1449" r:id="rId4466" display="https://pbs.twimg.com/profile_images/645709342763712512/cv89VSa-_normal.jpg" xr:uid="{44F3353E-B145-40A9-8C2A-3B641E53FA09}"/>
    <hyperlink ref="B1450" r:id="rId4467" display="https://twitter.com/AttorneyLending" xr:uid="{7D709977-D0F8-475D-926B-ACC9CC5CED1B}"/>
    <hyperlink ref="E1450" r:id="rId4468" display="https://twitter.com/AttorneyLending/status/723181605490188288" xr:uid="{DE1DB13E-4DA9-4D46-9FE2-2603DAE59FCF}"/>
    <hyperlink ref="O1450" r:id="rId4469" display="https://pbs.twimg.com/profile_images/489869773597986816/qXB3yWJn_normal.jpeg" xr:uid="{88035DE7-5669-4CED-AD72-95A16C9DBF98}"/>
    <hyperlink ref="B1451" r:id="rId4470" display="https://twitter.com/andrewsduncan1" xr:uid="{3EC47079-D6C7-4ED6-A6EE-6ECBC4081B2A}"/>
    <hyperlink ref="E1451" r:id="rId4471" display="https://twitter.com/andrewsduncan1/status/723181679448305664" xr:uid="{12886828-C6DA-4595-8EAF-01B2B57F0FDC}"/>
    <hyperlink ref="O1451" r:id="rId4472" display="https://pbs.twimg.com/profile_images/663730127906463744/l017r0-__normal.jpg" xr:uid="{0141F630-E91D-4EAE-8455-28A696B67826}"/>
    <hyperlink ref="B1452" r:id="rId4473" display="https://twitter.com/pcbritz" xr:uid="{ABEF54CB-3761-40A2-8433-87C5732813F1}"/>
    <hyperlink ref="E1452" r:id="rId4474" display="https://twitter.com/pcbritz/status/723181715120873472" xr:uid="{8EA2D326-0C7C-4AA0-AFD7-3598AF6816A8}"/>
    <hyperlink ref="O1452" r:id="rId4475" display="https://pbs.twimg.com/profile_images/722823782017200130/VreCKi-k_normal.jpg" xr:uid="{4CCAD092-E8ED-4694-922F-BDF976528087}"/>
    <hyperlink ref="B1453" r:id="rId4476" display="https://twitter.com/SexenioCDMX" xr:uid="{08D5F700-B43F-43D9-B94A-57209FF973BA}"/>
    <hyperlink ref="E1453" r:id="rId4477" display="https://twitter.com/SexenioCDMX/status/723181764806512640" xr:uid="{B5422973-2FB9-4038-98FD-A3D326591A6F}"/>
    <hyperlink ref="O1453" r:id="rId4478" display="https://pbs.twimg.com/profile_images/693156293842894848/THX8L389_normal.jpg" xr:uid="{E5BFB2CB-5925-4FA8-8ACA-13533F85184D}"/>
    <hyperlink ref="B1454" r:id="rId4479" display="https://twitter.com/SexenioMX" xr:uid="{B2F3412F-BFFA-4D3D-B350-F80C744A7E32}"/>
    <hyperlink ref="E1454" r:id="rId4480" display="https://twitter.com/SexenioMX/status/723181770938535936" xr:uid="{DD88FD57-9E76-43DD-9FBE-A8F58C91DAC7}"/>
    <hyperlink ref="O1454" r:id="rId4481" display="https://pbs.twimg.com/profile_images/700415860230397952/tCGmCj6M_normal.jpg" xr:uid="{8A1E0728-21CF-4DB5-A303-045926A47148}"/>
    <hyperlink ref="B1455" r:id="rId4482" display="https://twitter.com/iCaramba" xr:uid="{E86C2343-150B-4EFE-9BCA-24426474B5F8}"/>
    <hyperlink ref="E1455" r:id="rId4483" display="https://twitter.com/iCaramba/status/723181800814600192" xr:uid="{15C35689-AB6C-40EF-85DC-F48198568136}"/>
    <hyperlink ref="O1455" r:id="rId4484" display="https://pbs.twimg.com/profile_images/621306610389020672/EYzptdxf_normal.jpg" xr:uid="{C010E667-4844-4776-91BC-25F93EE703BB}"/>
    <hyperlink ref="B1456" r:id="rId4485" display="https://twitter.com/Spicer_Meg" xr:uid="{800BFC18-C3E6-42AF-8C92-C92FA992DF52}"/>
    <hyperlink ref="E1456" r:id="rId4486" display="https://twitter.com/Spicer_Meg/status/723181804669292544" xr:uid="{88EE444B-EE44-4930-80E1-EC3653F177D4}"/>
    <hyperlink ref="O1456" r:id="rId4487" display="https://pbs.twimg.com/profile_images/709020108849545216/-1alR0dU_normal.jpg" xr:uid="{C9779FF7-1844-4999-99E5-F90321622E28}"/>
    <hyperlink ref="B1457" r:id="rId4488" display="https://twitter.com/CTLawTribune" xr:uid="{2C95BEFD-2CF7-4F84-B4D3-85373765C729}"/>
    <hyperlink ref="E1457" r:id="rId4489" display="https://twitter.com/CTLawTribune/status/723181804727996417" xr:uid="{72A412D9-46BF-4DA9-84CC-4398B0C86275}"/>
    <hyperlink ref="O1457" r:id="rId4490" display="https://pbs.twimg.com/profile_images/1320001153/CLTweb_normal.gif" xr:uid="{325167F5-34C3-4903-8C53-D31E3705B16C}"/>
    <hyperlink ref="B1458" r:id="rId4491" display="https://twitter.com/Einstein_MTMP" xr:uid="{68BBB746-BA95-4B1E-A04C-AF1483B1582E}"/>
    <hyperlink ref="E1458" r:id="rId4492" display="https://twitter.com/Einstein_MTMP/status/723181806909054976" xr:uid="{CB939159-751F-469E-9D8F-4D9E743D56E2}"/>
    <hyperlink ref="O1458" r:id="rId4493" display="https://pbs.twimg.com/profile_images/710571670709243905/MpmsNXj6_normal.jpg" xr:uid="{B189EB50-C413-4615-A8B7-6AF4F3B0B581}"/>
    <hyperlink ref="B1459" r:id="rId4494" display="https://twitter.com/RodriMachado15" xr:uid="{4600B0A4-F0E0-4D4E-9B2B-92F93702C348}"/>
    <hyperlink ref="E1459" r:id="rId4495" display="https://twitter.com/RodriMachado15/status/723181816623042560" xr:uid="{E2B3BB2C-F2C5-4DEF-9769-08EC3CFD83C8}"/>
    <hyperlink ref="O1459" r:id="rId4496" display="https://pbs.twimg.com/profile_images/720808785275723781/lvAei3oI_normal.jpg" xr:uid="{188DFA63-FF18-4BDE-998B-08F0B039CB67}"/>
    <hyperlink ref="B1460" r:id="rId4497" display="https://twitter.com/Tonelli22" xr:uid="{6E17C964-0CC7-4EE6-B7BB-270C0346277C}"/>
    <hyperlink ref="E1460" r:id="rId4498" display="https://twitter.com/Tonelli22/status/723181826538348544" xr:uid="{24FBC825-6311-4690-AEEC-2A7287D7AE36}"/>
    <hyperlink ref="O1460" r:id="rId4499" display="https://pbs.twimg.com/profile_images/722256787009859584/vkuTNBGF_normal.jpg" xr:uid="{5E0914B3-8C0A-465F-A5F7-5B8684AA1882}"/>
    <hyperlink ref="B1461" r:id="rId4500" display="https://twitter.com/EinsteinLaw" xr:uid="{F10B0B02-157D-4E39-B27B-5B7CC50B3638}"/>
    <hyperlink ref="E1461" r:id="rId4501" display="https://twitter.com/EinsteinLaw/status/723181872839168000" xr:uid="{0B778579-6518-4571-8379-9908F3F42A39}"/>
    <hyperlink ref="O1461" r:id="rId4502" display="https://pbs.twimg.com/profile_images/601443139006566400/jVD8Xyb1_normal.png" xr:uid="{BD8A8B07-AEEF-42B6-AADA-0DDD22264011}"/>
    <hyperlink ref="B1462" r:id="rId4503" display="https://twitter.com/jannikkel6" xr:uid="{24616521-AC2D-4B15-B5C8-08BBC9115DDF}"/>
    <hyperlink ref="E1462" r:id="rId4504" display="https://twitter.com/jannikkel6/status/723181910223106051" xr:uid="{534F4758-8AE9-430C-B04C-213AEB3A9C1D}"/>
    <hyperlink ref="O1462" r:id="rId4505" display="https://pbs.twimg.com/profile_images/588735849979842560/-5qGoCul_normal.png" xr:uid="{33688F0E-EA40-41FE-BC45-935C9FDE195A}"/>
    <hyperlink ref="B1463" r:id="rId4506" display="https://twitter.com/Einstein_MTMP" xr:uid="{D569D45E-AD2F-487E-8CD6-A8600362623A}"/>
    <hyperlink ref="E1463" r:id="rId4507" display="https://twitter.com/Einstein_MTMP/status/723182003072307200" xr:uid="{B70E1E75-9A08-47C1-80A0-7454D20A6EF3}"/>
    <hyperlink ref="O1463" r:id="rId4508" display="https://pbs.twimg.com/profile_images/710571670709243905/MpmsNXj6_normal.jpg" xr:uid="{8FFAD182-200B-4E73-A609-03BE09BBF323}"/>
    <hyperlink ref="B1464" r:id="rId4509" display="https://twitter.com/drivingsales" xr:uid="{B867C7E3-D1F0-4371-97FE-6B2998B62D75}"/>
    <hyperlink ref="E1464" r:id="rId4510" display="https://twitter.com/drivingsales/status/723182004464922624" xr:uid="{BD683B02-8F22-4D7B-B300-A6DFF4CAB975}"/>
    <hyperlink ref="O1464" r:id="rId4511" display="https://pbs.twimg.com/profile_images/654794006421856256/WvLcZ_Wx_normal.png" xr:uid="{1B0DDA3C-741F-4918-B411-54538793DDB2}"/>
    <hyperlink ref="B1465" r:id="rId4512" display="https://twitter.com/franka_kuehn" xr:uid="{E3652CB5-3897-4E58-A4B7-309EDE5DA4B2}"/>
    <hyperlink ref="E1465" r:id="rId4513" display="https://twitter.com/franka_kuehn/status/723182078074843136" xr:uid="{02659A2F-B65D-4FCE-9347-704CD0BB1532}"/>
    <hyperlink ref="O1465" r:id="rId4514" display="https://pbs.twimg.com/profile_images/530281935289851905/gYVTeJZK_normal.jpeg" xr:uid="{7C4EFBA5-6CCE-4A2C-ACD4-CE0180AFDC35}"/>
    <hyperlink ref="B1466" r:id="rId4515" display="https://twitter.com/Tonelli22" xr:uid="{26EB6B6F-4FA3-4934-A097-1B9F92B44638}"/>
    <hyperlink ref="E1466" r:id="rId4516" display="https://twitter.com/Tonelli22/status/723182080105037824" xr:uid="{0A09F139-06A9-46C8-9924-5AB426D2B921}"/>
    <hyperlink ref="O1466" r:id="rId4517" display="https://pbs.twimg.com/profile_images/722256787009859584/vkuTNBGF_normal.jpg" xr:uid="{F4F97544-D7F1-41E5-8A10-39E10718B984}"/>
    <hyperlink ref="B1467" r:id="rId4518" display="https://twitter.com/daniel_st_unam" xr:uid="{E8F841DE-4529-42B2-8660-203E103C2B6A}"/>
    <hyperlink ref="E1467" r:id="rId4519" display="https://twitter.com/daniel_st_unam/status/723182083149983745" xr:uid="{FE6B63EE-F2B2-4307-ABB3-3F05AD682B77}"/>
    <hyperlink ref="O1467" r:id="rId4520" display="https://pbs.twimg.com/profile_images/695655565431689216/5HrvLsLP_normal.jpg" xr:uid="{E9A58B64-01BC-49B9-B77F-646D01A00169}"/>
    <hyperlink ref="B1468" r:id="rId4521" display="https://twitter.com/NachoSinatra" xr:uid="{E725408F-55BD-4DA3-8FC8-BDF0C18B60B8}"/>
    <hyperlink ref="E1468" r:id="rId4522" display="https://twitter.com/NachoSinatra/status/723182096202735616" xr:uid="{41CCAE1A-55F4-45CC-A925-9981F0518BF9}"/>
    <hyperlink ref="O1468" r:id="rId4523" display="https://pbs.twimg.com/profile_images/677367923506311168/QwkQcBVL_normal.jpg" xr:uid="{84DD3EDE-B482-46B8-A054-4183610831E4}"/>
    <hyperlink ref="B1469" r:id="rId4524" display="https://twitter.com/Tonelli22" xr:uid="{2CC8DB63-716A-4AED-805E-62358B7FAEB3}"/>
    <hyperlink ref="E1469" r:id="rId4525" display="https://twitter.com/Tonelli22/status/723182101126909952" xr:uid="{84FE192D-EFF6-4C6B-AAB9-AD5557E3E561}"/>
    <hyperlink ref="O1469" r:id="rId4526" display="https://pbs.twimg.com/profile_images/722256787009859584/vkuTNBGF_normal.jpg" xr:uid="{BA589E7B-F13B-4E79-923F-08DE5C7EB721}"/>
    <hyperlink ref="B1470" r:id="rId4527" display="https://twitter.com/Tonelli22" xr:uid="{47C2B0F7-DD1E-43B6-9CB6-C715D3FCDACF}"/>
    <hyperlink ref="E1470" r:id="rId4528" display="https://twitter.com/Tonelli22/status/723182124753408000" xr:uid="{D37C5A94-BEA6-452F-B795-03058985B31A}"/>
    <hyperlink ref="O1470" r:id="rId4529" display="https://pbs.twimg.com/profile_images/722256787009859584/vkuTNBGF_normal.jpg" xr:uid="{24E59452-FBEB-4ACB-8A91-EC18AB4ABC5C}"/>
    <hyperlink ref="B1471" r:id="rId4530" display="https://twitter.com/rbpr" xr:uid="{A3D7B1EE-BEC8-4BF3-9511-6A3A48DA25A6}"/>
    <hyperlink ref="E1471" r:id="rId4531" display="https://twitter.com/rbpr/status/723182188536041475" xr:uid="{607543A8-5410-4818-950D-C06B9D2D5D91}"/>
    <hyperlink ref="O1471" r:id="rId4532" display="https://pbs.twimg.com/profile_images/1875408305/RB2004_bigger_normal.jpg" xr:uid="{DF792815-0F31-4D23-8ACC-CA996D3D1903}"/>
    <hyperlink ref="B1472" r:id="rId4533" display="https://twitter.com/volcombug" xr:uid="{03BCC17C-9DD3-4E1B-8B8D-C94A5621139F}"/>
    <hyperlink ref="E1472" r:id="rId4534" display="https://twitter.com/volcombug/status/723182204050804736" xr:uid="{DD31F205-9835-40FD-9C3A-1E580087C0C3}"/>
    <hyperlink ref="O1472" r:id="rId4535" display="https://pbs.twimg.com/profile_images/683168753639489536/ooTROAP5_normal.jpg" xr:uid="{F6DFA129-43BE-4EBA-91C4-A3580845D821}"/>
    <hyperlink ref="B1473" r:id="rId4536" display="https://twitter.com/EinsteinLaw" xr:uid="{627B6904-85D8-4E7C-80F2-0C85EE24E51A}"/>
    <hyperlink ref="E1473" r:id="rId4537" display="https://twitter.com/EinsteinLaw/status/723182208786128896" xr:uid="{1F6A0BCE-F4D1-4389-83C0-3A385A87D905}"/>
    <hyperlink ref="O1473" r:id="rId4538" display="https://pbs.twimg.com/profile_images/601443139006566400/jVD8Xyb1_normal.png" xr:uid="{26DE6DCF-B380-47FF-8091-B399936D63D8}"/>
    <hyperlink ref="B1474" r:id="rId4539" display="https://twitter.com/AndyGER" xr:uid="{8091D21A-CB45-498F-8379-F7FE4103FE43}"/>
    <hyperlink ref="E1474" r:id="rId4540" display="https://twitter.com/AndyGER/status/723182213454553088" xr:uid="{A811A5AE-6E7C-4749-9287-51DF4AE134C8}"/>
    <hyperlink ref="O1474" r:id="rId4541" display="https://pbs.twimg.com/profile_images/722397159664934912/FokUg6EX_normal.jpg" xr:uid="{27FB537E-8F8C-42F0-89A8-6E5C4700CA0E}"/>
    <hyperlink ref="B1475" r:id="rId4542" display="https://twitter.com/Tonelli22" xr:uid="{BC82064B-0B56-4FD1-9D6D-4905B2DF2CCB}"/>
    <hyperlink ref="E1475" r:id="rId4543" display="https://twitter.com/Tonelli22/status/723182226075213825" xr:uid="{E81AAFB9-CCBB-4A18-AB4C-E26BD0354990}"/>
    <hyperlink ref="O1475" r:id="rId4544" display="https://pbs.twimg.com/profile_images/722256787009859584/vkuTNBGF_normal.jpg" xr:uid="{5E87BC86-540C-4EC0-8B43-ECCADBABA2F0}"/>
    <hyperlink ref="B1476" r:id="rId4545" display="https://twitter.com/Stressless_Teen" xr:uid="{D38739F5-ED27-419F-9B16-B8BC53CEF0F4}"/>
    <hyperlink ref="E1476" r:id="rId4546" display="https://twitter.com/Stressless_Teen/status/723182232085643265" xr:uid="{E4EE64A0-D387-4D96-AF4E-8152678A76AE}"/>
    <hyperlink ref="O1476" r:id="rId4547" display="https://pbs.twimg.com/profile_images/699336490526965760/0Cvd6KG6_normal.png" xr:uid="{D625DEA5-8485-46D2-98E7-53E31C92BC07}"/>
    <hyperlink ref="B1477" r:id="rId4548" display="https://twitter.com/AndyGER" xr:uid="{7D4DD4A9-3CEF-454E-A27D-FC32027220AC}"/>
    <hyperlink ref="E1477" r:id="rId4549" display="https://twitter.com/AndyGER/status/723182241707372547" xr:uid="{50EF8055-1396-479C-8585-01A45551D762}"/>
    <hyperlink ref="O1477" r:id="rId4550" display="https://pbs.twimg.com/profile_images/722397159664934912/FokUg6EX_normal.jpg" xr:uid="{50534972-76E0-4CDD-B80C-0873229D3EE1}"/>
    <hyperlink ref="B1478" r:id="rId4551" display="https://twitter.com/inkalex" xr:uid="{505F28CC-E39A-4B49-AD4A-28DA27AB3657}"/>
    <hyperlink ref="E1478" r:id="rId4552" display="https://twitter.com/inkalex/status/723182380694024192" xr:uid="{D2B612D5-355A-4581-8E9F-F725C47A0F5F}"/>
    <hyperlink ref="O1478" r:id="rId4553" display="https://pbs.twimg.com/profile_images/666011856532840448/YndAzmJg_normal.jpg" xr:uid="{68DDA745-BBA3-4F41-A767-C4A739C30DB3}"/>
    <hyperlink ref="B1479" r:id="rId4554" display="https://twitter.com/SnarkyLemur" xr:uid="{49236D81-2457-414C-BBE2-4A000B26826D}"/>
    <hyperlink ref="E1479" r:id="rId4555" display="https://twitter.com/SnarkyLemur/status/723182436889174017" xr:uid="{6098CB21-2E2F-440A-9E0D-D0F856F0B7FC}"/>
    <hyperlink ref="O1479" r:id="rId4556" display="https://pbs.twimg.com/profile_images/713589878378864640/-CkEq-7W_normal.jpg" xr:uid="{A2916011-EDDC-4BA2-AB48-D893338316C9}"/>
    <hyperlink ref="B1480" r:id="rId4557" display="https://twitter.com/Tonelli22" xr:uid="{D1B0B71C-82D8-402A-B6A6-566CF0C40281}"/>
    <hyperlink ref="E1480" r:id="rId4558" display="https://twitter.com/Tonelli22/status/723182441201020928" xr:uid="{41745FDA-C79B-461E-BBF8-AC06501D0A7C}"/>
    <hyperlink ref="O1480" r:id="rId4559" display="https://pbs.twimg.com/profile_images/722256787009859584/vkuTNBGF_normal.jpg" xr:uid="{18C02CC3-8F76-408C-AD4A-EA6AFF3F8FDF}"/>
    <hyperlink ref="B1481" r:id="rId4560" display="https://twitter.com/xpeten" xr:uid="{8D8D7FCA-B67F-4E67-939B-76A17FF7C49E}"/>
    <hyperlink ref="E1481" r:id="rId4561" display="https://twitter.com/xpeten/status/723182467612565504" xr:uid="{5A72CE16-DCD9-4A87-A1BE-A50E5513D590}"/>
    <hyperlink ref="O1481" r:id="rId4562" display="https://pbs.twimg.com/profile_images/443812586782355456/0KDnCULg_normal.jpeg" xr:uid="{A9755FAA-4AB1-43B4-8910-4C6D7B5A94BD}"/>
    <hyperlink ref="B1482" r:id="rId4563" display="https://twitter.com/Tonelli22" xr:uid="{83B13C04-AA26-4F72-B0BD-0C79FE04A46A}"/>
    <hyperlink ref="E1482" r:id="rId4564" display="https://twitter.com/Tonelli22/status/723182473945993216" xr:uid="{217D3E5A-410D-445B-8274-36FC636F907D}"/>
    <hyperlink ref="O1482" r:id="rId4565" display="https://pbs.twimg.com/profile_images/722256787009859584/vkuTNBGF_normal.jpg" xr:uid="{B70FBC34-F29E-4CA9-A2F3-431437FC615B}"/>
    <hyperlink ref="B1483" r:id="rId4566" display="https://twitter.com/Tonelli22" xr:uid="{8E37DA34-47BA-4012-8AAE-2B0B1AD83F83}"/>
    <hyperlink ref="E1483" r:id="rId4567" display="https://twitter.com/Tonelli22/status/723182620679540736" xr:uid="{E0A03074-AB87-4BA8-AC7D-EEB27B0A0A0B}"/>
    <hyperlink ref="O1483" r:id="rId4568" display="https://pbs.twimg.com/profile_images/722256787009859584/vkuTNBGF_normal.jpg" xr:uid="{2DB029C8-D190-4AE7-9675-3FAEE23C1873}"/>
    <hyperlink ref="B1484" r:id="rId4569" display="https://twitter.com/Its_All_Dave" xr:uid="{F1E7EEB8-2960-4BDF-875E-E117817FF98C}"/>
    <hyperlink ref="E1484" r:id="rId4570" display="https://twitter.com/Its_All_Dave/status/723182653147586561" xr:uid="{F5E7C8B3-86AB-449F-8DDE-5936EA02F2EA}"/>
    <hyperlink ref="O1484" r:id="rId4571" display="https://pbs.twimg.com/profile_images/642145911359995904/NqIYe9Zp_normal.jpg" xr:uid="{83948BB6-C30E-4BF0-A41F-28779A22CD1E}"/>
    <hyperlink ref="B1485" r:id="rId4572" display="https://twitter.com/AndreasAndy3131" xr:uid="{8BFE22BD-601F-447C-8FB9-A459F4038E4B}"/>
    <hyperlink ref="E1485" r:id="rId4573" display="https://twitter.com/AndreasAndy3131/status/723182788384555009" xr:uid="{A637A710-17C8-4C1B-85C5-E03198488DBB}"/>
    <hyperlink ref="O1485" r:id="rId4574" display="https://pbs.twimg.com/profile_images/705409156363063296/L-9HeIjW_normal.jpg" xr:uid="{817DD9F5-8E31-4FF4-8CEF-9F7F7E51A814}"/>
    <hyperlink ref="B1486" r:id="rId4575" display="https://twitter.com/Tonelli22" xr:uid="{D437C196-AF65-4A9A-B868-C3BB7ECBFE8C}"/>
    <hyperlink ref="E1486" r:id="rId4576" display="https://twitter.com/Tonelli22/status/723182866348269568" xr:uid="{AE39545F-A9D2-4A8A-AC07-28B54C77AF49}"/>
    <hyperlink ref="O1486" r:id="rId4577" display="https://pbs.twimg.com/profile_images/722256787009859584/vkuTNBGF_normal.jpg" xr:uid="{CE8F39B5-D2CA-4CA5-AB64-6906CED6C18D}"/>
    <hyperlink ref="B1487" r:id="rId4578" display="https://twitter.com/evka_tweets" xr:uid="{A340ECB9-0651-45EA-A50B-761D8AE820F3}"/>
    <hyperlink ref="E1487" r:id="rId4579" display="https://twitter.com/evka_tweets/status/723182912770691073" xr:uid="{01406E6A-35BD-4AA2-8BBB-7BE11D20600D}"/>
    <hyperlink ref="O1487" r:id="rId4580" display="https://pbs.twimg.com/profile_images/633655869830529024/0gwOAoYF_normal.jpg" xr:uid="{BE77D38C-4EA6-47E7-9B7A-94A509BB2515}"/>
    <hyperlink ref="B1488" r:id="rId4581" display="https://twitter.com/celiacernadas" xr:uid="{0456F249-B2EF-475A-B925-135E904D6754}"/>
    <hyperlink ref="E1488" r:id="rId4582" display="https://twitter.com/celiacernadas/status/723183131931475968" xr:uid="{157D8224-6A81-449A-B7FE-16CE1E9CCD83}"/>
    <hyperlink ref="O1488" r:id="rId4583" display="https://pbs.twimg.com/profile_images/691097936181215232/Ocy36TIb_normal.jpg" xr:uid="{36601522-CB56-4754-918B-45A3CBC6E63A}"/>
    <hyperlink ref="B1489" r:id="rId4584" display="https://twitter.com/Klaus_Mueller" xr:uid="{B82C6519-159A-4E78-93B9-A4F741D6B17B}"/>
    <hyperlink ref="E1489" r:id="rId4585" display="https://twitter.com/Klaus_Mueller/status/723183264119304192" xr:uid="{F7B2B903-DA34-4E10-955E-5B4C2F0549B7}"/>
    <hyperlink ref="O1489" r:id="rId4586" display="https://pbs.twimg.com/profile_images/461785939711258624/FzsPRmqR_normal.jpeg" xr:uid="{A723CE6F-C791-420D-90FC-776B6BABCB51}"/>
    <hyperlink ref="B1490" r:id="rId4587" display="https://twitter.com/VWBeetleSales" xr:uid="{D3CABD34-2650-4565-A125-7061C8B25B5F}"/>
    <hyperlink ref="E1490" r:id="rId4588" display="https://twitter.com/VWBeetleSales/status/723183293479325697" xr:uid="{2719C36B-864B-4A7F-8510-5B99D7233023}"/>
    <hyperlink ref="F1490" r:id="rId4589" xr:uid="{7ACFC592-6093-4264-AB75-FC8989202684}"/>
    <hyperlink ref="O1490" r:id="rId4590" display="https://pbs.twimg.com/profile_images/703294545195307008/qeCvrX86_normal.jpg" xr:uid="{BFAEC7D5-0F4B-4DAA-809D-26BDE5EA9C52}"/>
    <hyperlink ref="B1491" r:id="rId4591" display="https://twitter.com/1JulianMartinez" xr:uid="{CC27B24A-C2C2-4EC2-8669-B3478139830D}"/>
    <hyperlink ref="E1491" r:id="rId4592" display="https://twitter.com/1JulianMartinez/status/723183297577254912" xr:uid="{50328A03-A22B-4BA1-8EAB-094D0DE52C58}"/>
    <hyperlink ref="O1491" r:id="rId4593" display="https://pbs.twimg.com/profile_images/722462618556960768/JE-_sTXq_normal.jpg" xr:uid="{3B2C0E8E-9535-4539-A6AE-17C07EE052B1}"/>
    <hyperlink ref="B1492" r:id="rId4594" display="https://twitter.com/VWBeetleSales" xr:uid="{E230C4D8-AA3D-4265-B20A-9FFE898EE52D}"/>
    <hyperlink ref="E1492" r:id="rId4595" display="https://twitter.com/VWBeetleSales/status/723183297619062789" xr:uid="{90C2FA28-43AA-4A52-BD00-0499D4B68484}"/>
    <hyperlink ref="F1492" r:id="rId4596" xr:uid="{BDE9EB78-FF97-408A-97C5-4F9B45E59C48}"/>
    <hyperlink ref="O1492" r:id="rId4597" display="https://pbs.twimg.com/profile_images/703294545195307008/qeCvrX86_normal.jpg" xr:uid="{339C5F7A-1D5A-4F59-B084-E9CDDF5178FB}"/>
    <hyperlink ref="B1493" r:id="rId4598" display="https://twitter.com/philippvetter" xr:uid="{E4725158-1365-456B-8DF3-DE94B5E71916}"/>
    <hyperlink ref="E1493" r:id="rId4599" display="https://twitter.com/philippvetter/status/723183303860211712" xr:uid="{8009A3D2-64F6-41A8-9786-8F734AA22485}"/>
    <hyperlink ref="O1493" r:id="rId4600" display="https://pbs.twimg.com/profile_images/553276249788129280/CF4iC9q-_normal.jpeg" xr:uid="{DD087940-7657-452C-8BFB-8A9C881A7EC0}"/>
    <hyperlink ref="B1494" r:id="rId4601" display="https://twitter.com/dwnews" xr:uid="{62A24057-D800-489D-B1DB-44ED4506EF49}"/>
    <hyperlink ref="E1494" r:id="rId4602" display="https://twitter.com/dwnews/status/723183521280323588" xr:uid="{5EDDF487-66A2-47CF-B565-CF620DF34B3D}"/>
    <hyperlink ref="O1494" r:id="rId4603" display="https://pbs.twimg.com/profile_images/608213167496417280/QSxgcLn__normal.png" xr:uid="{FF9F6613-5165-41A3-8A58-D6EDA4056368}"/>
    <hyperlink ref="B1495" r:id="rId4604" display="https://twitter.com/JClaesz" xr:uid="{903F0AC3-5837-43B7-8E37-F6F003CB3B81}"/>
    <hyperlink ref="E1495" r:id="rId4605" display="https://twitter.com/JClaesz/status/723183535633235969" xr:uid="{3DF731FA-FB53-4E97-A8F9-931E5678D42D}"/>
    <hyperlink ref="O1495" r:id="rId4606" display="https://pbs.twimg.com/profile_images/695000806655811584/7lC1MdUr_normal.png" xr:uid="{19381F51-1906-4FF1-A838-7814E2351F79}"/>
    <hyperlink ref="B1496" r:id="rId4607" display="https://twitter.com/apronline" xr:uid="{D6DCF22C-C2A6-4C8D-92EC-DCCE5979BF9F}"/>
    <hyperlink ref="E1496" r:id="rId4608" display="https://twitter.com/apronline/status/723183625391329280" xr:uid="{FF606A1F-8563-4AEB-A836-3C7A172A1EF7}"/>
    <hyperlink ref="O1496" r:id="rId4609" display="https://pbs.twimg.com/profile_images/1249555569/apr_twitter_normal.jpg" xr:uid="{9AA02A68-40BF-4C46-A506-CE8237B221B1}"/>
    <hyperlink ref="B1497" r:id="rId4610" display="https://twitter.com/inespohl" xr:uid="{AC65FB11-C409-4BBC-923F-F4CAECF8E6A6}"/>
    <hyperlink ref="E1497" r:id="rId4611" display="https://twitter.com/inespohl/status/723183680764653569" xr:uid="{40F9B229-BF23-498A-897F-0AE9F0BBAB88}"/>
    <hyperlink ref="O1497" r:id="rId4612" display="https://pbs.twimg.com/profile_images/694724038237777920/NkP3MbMV_normal.png" xr:uid="{7C7F83FD-98B1-43D6-BB53-AB57D3A5A80B}"/>
    <hyperlink ref="B1498" r:id="rId4613" display="https://twitter.com/ldavidmarquet" xr:uid="{226E6AC6-55F2-459C-B908-C7EF417D4AB3}"/>
    <hyperlink ref="E1498" r:id="rId4614" display="https://twitter.com/ldavidmarquet/status/723183700746203137" xr:uid="{8B9C45C2-A01F-4A48-B8DA-E9413268E7AF}"/>
    <hyperlink ref="O1498" r:id="rId4615" display="https://pbs.twimg.com/profile_images/525651227585941504/1DFb50tl_normal.jpeg" xr:uid="{C5021ABD-FE63-409C-8F5A-BC4A138F6C8B}"/>
    <hyperlink ref="B1499" r:id="rId4616" display="https://twitter.com/Hans__Larsson" xr:uid="{A27E89F1-BABC-445C-AEE7-B3DF02EA325E}"/>
    <hyperlink ref="E1499" r:id="rId4617" display="https://twitter.com/Hans__Larsson/status/723183737530253312" xr:uid="{9B2A573A-7329-4A7E-9492-54A954A7463B}"/>
    <hyperlink ref="N1499" r:id="rId4618" xr:uid="{717456F3-0A1F-4A0F-BA5F-50C446701C11}"/>
    <hyperlink ref="O1499" r:id="rId4619" display="https://pbs.twimg.com/profile_images/378800000399282318/73eadc01d81c5fc6fc4d4044f4e72ca3_normal.jpeg" xr:uid="{54B619BC-5BDB-42CA-8D7B-211E2D60C5C7}"/>
    <hyperlink ref="B1500" r:id="rId4620" display="https://twitter.com/DubLuvTuning" xr:uid="{BB9658F4-A8A7-4722-A420-68050BE8C29B}"/>
    <hyperlink ref="E1500" r:id="rId4621" display="https://twitter.com/DubLuvTuning/status/723183807956979712" xr:uid="{1F0FFE41-5D98-40E7-B3E1-7A5406405B85}"/>
    <hyperlink ref="O1500" r:id="rId4622" display="https://pbs.twimg.com/profile_images/378800000572104796/1de43e1cf23efb3f4101c02afad0d3b6_normal.png" xr:uid="{B57B2FDE-FC1C-4BED-982E-A3508E78BCF1}"/>
    <hyperlink ref="B1501" r:id="rId4623" display="https://twitter.com/nomkhita12" xr:uid="{81898680-98EF-40B1-A0D5-B77123589B7B}"/>
    <hyperlink ref="E1501" r:id="rId4624" display="https://twitter.com/nomkhita12/status/723183835932954624" xr:uid="{64B47502-F425-41FF-B4E8-070F56F85E68}"/>
    <hyperlink ref="O1501" r:id="rId4625" display="https://pbs.twimg.com/profile_images/378800000341166778/f53681e83985bbd49e5ff4ae1267bf66_normal.jpeg" xr:uid="{F3B58588-672E-4A40-988D-A92C81E8AFAB}"/>
    <hyperlink ref="B1502" r:id="rId4626" display="https://twitter.com/dknightvaleting" xr:uid="{4C55AE30-4942-4964-9DAB-CC0E5A32F1F2}"/>
    <hyperlink ref="E1502" r:id="rId4627" display="https://twitter.com/dknightvaleting/status/723183872066879488" xr:uid="{38F7A1F8-634A-4904-8EA9-138AEEAFEA59}"/>
    <hyperlink ref="O1502" r:id="rId4628" display="https://pbs.twimg.com/profile_images/699913841388449792/Bz17p4to_normal.jpg" xr:uid="{70F5F6A3-3822-45AA-B06D-1B62004EDE23}"/>
    <hyperlink ref="B1503" r:id="rId4629" display="https://twitter.com/dejbanlaw" xr:uid="{02A0AC5D-323A-4C67-BE61-89E375F812BA}"/>
    <hyperlink ref="E1503" r:id="rId4630" display="https://twitter.com/dejbanlaw/status/723183955537600512" xr:uid="{B95BC0A1-4867-419D-A15C-65AD43511EC6}"/>
    <hyperlink ref="O1503" r:id="rId4631" display="https://pbs.twimg.com/profile_images/676465930424082432/zT-RyXf4_normal.jpg" xr:uid="{D1C60853-DD98-46D1-882B-9D3D98BA185A}"/>
    <hyperlink ref="B1504" r:id="rId4632" display="https://twitter.com/1ChicagoCarGuy" xr:uid="{368E171D-A106-4426-BC99-70B922A675EF}"/>
    <hyperlink ref="E1504" r:id="rId4633" display="https://twitter.com/1ChicagoCarGuy/status/723183959761424384" xr:uid="{847E2D0D-658A-43D1-9C30-BC82017B9A26}"/>
    <hyperlink ref="O1504" r:id="rId4634" display="https://pbs.twimg.com/profile_images/562676834957922304/234gJlV6_normal.jpeg" xr:uid="{72AE6D86-83A0-451E-9E4D-6FE4A80E992C}"/>
    <hyperlink ref="B1505" r:id="rId4635" display="https://twitter.com/ebaycampervans" xr:uid="{045BB9AC-BEAB-4E91-B9B7-F0122866B0B9}"/>
    <hyperlink ref="E1505" r:id="rId4636" display="https://twitter.com/ebaycampervans/status/723184003688210433" xr:uid="{6A46CCC9-D275-43A2-A288-B0C8F848E5A0}"/>
    <hyperlink ref="O1505" r:id="rId4637" display="https://pbs.twimg.com/profile_images/599357023407464449/BL9Bpo6T_normal.jpg" xr:uid="{143C468A-AC50-45B4-ACDF-9D7775404757}"/>
    <hyperlink ref="B1506" r:id="rId4638" display="https://twitter.com/twineich" xr:uid="{CC5CE83C-C69A-4F5B-9F53-15FF65DC278F}"/>
    <hyperlink ref="E1506" r:id="rId4639" display="https://twitter.com/twineich/status/723184072403628033" xr:uid="{6C5C1C95-AE19-4892-8713-6900C3F3827E}"/>
    <hyperlink ref="O1506" r:id="rId4640" display="https://pbs.twimg.com/profile_images/722885128339505152/Sc06KH1L_normal.jpg" xr:uid="{8E28E96B-DA9C-4E66-84D5-70BA009F493E}"/>
    <hyperlink ref="P1506" r:id="rId4641" location="4.5493695,-75.6611189" display="http://ctrlq.org/maps/address/ - 4.5493695,-75.6611189" xr:uid="{E19E2A28-1CCD-4A85-9B40-8B3A02898C9C}"/>
    <hyperlink ref="B1507" r:id="rId4642" display="https://twitter.com/Catinformacio" xr:uid="{FD90A102-5CA4-494F-BCAA-8A2D14A59695}"/>
    <hyperlink ref="E1507" r:id="rId4643" display="https://twitter.com/Catinformacio/status/723184155668815872" xr:uid="{5139AFF7-016A-4845-9DA2-9E7D0825B191}"/>
    <hyperlink ref="O1507" r:id="rId4644" display="https://pbs.twimg.com/profile_images/536851001144143874/ZkA1n-PI_normal.png" xr:uid="{EC12D1A7-D8F9-4404-9354-0A86DAEB63ED}"/>
    <hyperlink ref="B1508" r:id="rId4645" display="https://twitter.com/DJMattDavid" xr:uid="{500924D0-29AB-4DEF-A87B-1244B67E1BF6}"/>
    <hyperlink ref="E1508" r:id="rId4646" display="https://twitter.com/DJMattDavid/status/723184161851322369" xr:uid="{A1FB6E64-B1C7-46A0-BF58-BCE2480C0D07}"/>
    <hyperlink ref="O1508" r:id="rId4647" display="https://pbs.twimg.com/profile_images/434295813154816000/Zl69okbD_normal.jpeg" xr:uid="{0A1F6F82-A1CE-4120-A829-67DB905CE5F9}"/>
    <hyperlink ref="B1509" r:id="rId4648" display="https://twitter.com/vwpartsonline" xr:uid="{5B00B864-9DFF-4FBE-9A93-93499512DB39}"/>
    <hyperlink ref="E1509" r:id="rId4649" display="https://twitter.com/vwpartsonline/status/723184192100556800" xr:uid="{F0AEEB8E-BB46-424A-BBD0-FD2BCF88F578}"/>
    <hyperlink ref="O1509" r:id="rId4650" display="https://pbs.twimg.com/profile_images/555774692380782593/9nmpdlPa_normal.jpeg" xr:uid="{3B3657B7-4CAF-40BE-9E1E-C6EBE679500F}"/>
    <hyperlink ref="B1510" r:id="rId4651" display="https://twitter.com/scribblerDE" xr:uid="{251D0722-E0BE-47AC-B7EB-38BC073B3EA0}"/>
    <hyperlink ref="E1510" r:id="rId4652" display="https://twitter.com/scribblerDE/status/723184290075385856" xr:uid="{F42933E6-B493-4852-B8F5-6020B0CBF945}"/>
    <hyperlink ref="O1510" r:id="rId4653" display="https://pbs.twimg.com/profile_images/641984272950251520/57p0i6WY_normal.jpg" xr:uid="{7B52AA15-6A4C-4F5E-8B7B-14AC97C68592}"/>
    <hyperlink ref="B1511" r:id="rId4654" display="https://twitter.com/SantaPodRaceway" xr:uid="{6FBDDE3A-F066-443E-9F1F-0FDE61D0DF6E}"/>
    <hyperlink ref="E1511" r:id="rId4655" display="https://twitter.com/SantaPodRaceway/status/723184366914965509" xr:uid="{807D5D1F-ED93-415F-B4B0-E64E08CBD33D}"/>
    <hyperlink ref="O1511" r:id="rId4656" display="https://pbs.twimg.com/profile_images/378800000801365829/e9f28f8996ff7f098d9b8a1840e76f50_normal.png" xr:uid="{9523AB96-2734-4BAA-B3A1-D9C047653A17}"/>
    <hyperlink ref="B1512" r:id="rId4657" display="https://twitter.com/ExCEO_" xr:uid="{67421F62-C5F5-4E84-8800-1692BF35A9E2}"/>
    <hyperlink ref="E1512" r:id="rId4658" display="https://twitter.com/ExCEO_/status/723184446900334593" xr:uid="{E215C8E8-3A1D-450C-A1E0-5F58B39DE2D7}"/>
    <hyperlink ref="O1512" r:id="rId4659" display="https://pbs.twimg.com/profile_images/3346543471/c7c79480b7b405ee902a5fcb600153a0_normal.jpeg" xr:uid="{53D4BACB-9DD2-4D23-9217-94826E4A65FD}"/>
    <hyperlink ref="B1513" r:id="rId4660" display="https://twitter.com/Elitet5" xr:uid="{B9D6ABF3-6089-4C01-AE99-A512FB55F72E}"/>
    <hyperlink ref="E1513" r:id="rId4661" display="https://twitter.com/Elitet5/status/723184562210267136" xr:uid="{E310D020-FAAC-4B40-BFCB-5B5485D1F9FE}"/>
    <hyperlink ref="O1513" r:id="rId4662" display="https://pbs.twimg.com/profile_images/431166006807904256/QQuD9iZE_normal.jpeg" xr:uid="{BC2A8D96-0823-4FC4-980D-9DCFD3C99B21}"/>
    <hyperlink ref="B1514" r:id="rId4663" display="https://twitter.com/FollowLANews" xr:uid="{BDBC397A-1B69-4425-9625-0AC7125404D0}"/>
    <hyperlink ref="E1514" r:id="rId4664" display="https://twitter.com/FollowLANews/status/723184563413905408" xr:uid="{7FFDA276-8A08-4D2F-985D-87963982A336}"/>
    <hyperlink ref="F1514" r:id="rId4665" xr:uid="{BB98DB7A-9E75-4F20-B1E9-BE79C42F904F}"/>
    <hyperlink ref="O1514" r:id="rId4666" display="https://pbs.twimg.com/profile_images/482151151433834496/OemTzI3a_normal.jpeg" xr:uid="{D0465F6B-C9FE-46EA-B2E5-B7029FCBA8DD}"/>
    <hyperlink ref="B1515" r:id="rId4667" display="https://twitter.com/talk910" xr:uid="{F4065948-B61E-4194-AE99-A676AEF0459A}"/>
    <hyperlink ref="E1515" r:id="rId4668" display="https://twitter.com/talk910/status/723185008844775428" xr:uid="{711605C3-83E7-4BE9-8F3B-4B92767FD593}"/>
    <hyperlink ref="O1515" r:id="rId4669" display="https://pbs.twimg.com/profile_images/3461286994/b5d08f32f3fe123de6674ab786ab8e50_normal.png" xr:uid="{AD16B1BC-A50D-4B8C-8B96-BFD22E3294C8}"/>
    <hyperlink ref="B1516" r:id="rId4670" display="https://twitter.com/EricRitter" xr:uid="{FED0AB1B-D886-44C0-8AA8-4F74CDC0DACC}"/>
    <hyperlink ref="E1516" r:id="rId4671" display="https://twitter.com/EricRitter/status/723185088171749376" xr:uid="{6D1339B7-88A5-40B8-8E9A-61E02D54B436}"/>
    <hyperlink ref="O1516" r:id="rId4672" display="https://pbs.twimg.com/profile_images/674572079707070464/FyMvIgJp_normal.jpg" xr:uid="{19B00433-3E35-4FEF-BF65-527ADED33FC7}"/>
    <hyperlink ref="B1517" r:id="rId4673" display="https://twitter.com/GrahameLucas" xr:uid="{59A717DE-CE92-4797-AD97-D37BCB90FB83}"/>
    <hyperlink ref="E1517" r:id="rId4674" display="https://twitter.com/GrahameLucas/status/723185125933088769" xr:uid="{D84A27B4-2D51-4557-9F0C-5376FFAA4D45}"/>
    <hyperlink ref="F1517" r:id="rId4675" xr:uid="{E8F07084-0882-4202-B0CB-9AB9A1FEB970}"/>
    <hyperlink ref="O1517" r:id="rId4676" display="https://pbs.twimg.com/profile_images/550005315048333314/YipuE0ON_normal.jpeg" xr:uid="{1C6C8FA8-A9E0-44E9-AADF-580044CB139B}"/>
    <hyperlink ref="B1518" r:id="rId4677" display="https://twitter.com/CornwallBzForum" xr:uid="{A85E068E-8C2E-447C-82C3-655197372FE3}"/>
    <hyperlink ref="E1518" r:id="rId4678" display="https://twitter.com/CornwallBzForum/status/723185337955172352" xr:uid="{442A375F-3484-4649-A595-0941D5B3FA06}"/>
    <hyperlink ref="O1518" r:id="rId4679" display="https://pbs.twimg.com/profile_images/3120330421/18166a7606798b1cd07c5596ffc4001f_normal.png" xr:uid="{352707C4-71AC-4BF0-917F-9933DD00B79C}"/>
    <hyperlink ref="B1519" r:id="rId4680" display="https://twitter.com/CAnative89" xr:uid="{01BB7A94-9128-4F7B-8B0F-0C12A908DF4E}"/>
    <hyperlink ref="E1519" r:id="rId4681" display="https://twitter.com/CAnative89/status/723185468225941504" xr:uid="{1BF6A820-545D-4E44-9E72-06C5130B5D05}"/>
    <hyperlink ref="O1519" r:id="rId4682" display="https://pbs.twimg.com/profile_images/713527836900986880/BWxJ03rj_normal.jpg" xr:uid="{D988E4F5-7F0B-4FB0-86E1-09D73C4392E9}"/>
    <hyperlink ref="B1520" r:id="rId4683" display="https://twitter.com/VolkswagenPost" xr:uid="{E4085D92-BB3C-418A-9879-D89B1025495B}"/>
    <hyperlink ref="E1520" r:id="rId4684" display="https://twitter.com/VolkswagenPost/status/723185500069216256" xr:uid="{199607BE-44CB-464E-9E33-A7DE65634F6E}"/>
    <hyperlink ref="O1520" r:id="rId4685" display="https://pbs.twimg.com/profile_images/530071272881803264/a_jcCmPZ_normal.png" xr:uid="{18C56F86-94CE-4EBD-86BE-D8BDD95A891F}"/>
    <hyperlink ref="B1521" r:id="rId4686" display="https://twitter.com/VolkswagenPost" xr:uid="{269D8078-0FE6-4CD5-9A2C-6817320F3079}"/>
    <hyperlink ref="E1521" r:id="rId4687" display="https://twitter.com/VolkswagenPost/status/723185501029699584" xr:uid="{E477F8FE-C8B2-4B27-BD7A-91991DC860DA}"/>
    <hyperlink ref="O1521" r:id="rId4688" display="https://pbs.twimg.com/profile_images/530071272881803264/a_jcCmPZ_normal.png" xr:uid="{8A9A9C0F-A165-4D7B-ABAC-BE4BE4633593}"/>
    <hyperlink ref="B1522" r:id="rId4689" display="https://twitter.com/OntarioCanuck" xr:uid="{F9948E3A-F222-4F42-92CB-E67E1E142959}"/>
    <hyperlink ref="E1522" r:id="rId4690" display="https://twitter.com/OntarioCanuck/status/723185509065846784" xr:uid="{6A0A6947-45DB-4B33-9FE7-5E7CC8A4E831}"/>
    <hyperlink ref="O1522" r:id="rId4691" display="https://pbs.twimg.com/profile_images/521234953393037314/UmHFobq3_normal.jpeg" xr:uid="{B5C1FFB6-4301-4BBF-9709-FC08E62BF2D8}"/>
    <hyperlink ref="B1523" r:id="rId4692" display="https://twitter.com/jot_el" xr:uid="{884C5DF1-1503-486E-B434-A8707F47F7F7}"/>
    <hyperlink ref="E1523" r:id="rId4693" display="https://twitter.com/jot_el/status/723185556721569792" xr:uid="{65F2F0B9-DBF7-4103-9A65-B59DB592DFAB}"/>
    <hyperlink ref="O1523" r:id="rId4694" display="https://pbs.twimg.com/profile_images/658701915895832576/hMUbPXdY_normal.jpg" xr:uid="{67BE9598-563B-4107-837A-054502B39BEC}"/>
    <hyperlink ref="B1524" r:id="rId4695" display="https://twitter.com/thewonkydonkey" xr:uid="{C86F3DCE-7A53-485E-A7F7-13BCFDF3F1A9}"/>
    <hyperlink ref="E1524" r:id="rId4696" display="https://twitter.com/thewonkydonkey/status/723185578062303232" xr:uid="{34B30918-7FF7-47B6-BA40-CE90B0FA0BD9}"/>
    <hyperlink ref="O1524" r:id="rId4697" display="https://pbs.twimg.com/profile_images/673462865/wonky_twitter_normal.jpg" xr:uid="{6CAEF35E-CCED-4728-BE07-43E783F564E0}"/>
    <hyperlink ref="B1525" r:id="rId4698" display="https://twitter.com/autosmartleics" xr:uid="{DC4D47AD-86F2-4773-BC50-0C77FAD1121E}"/>
    <hyperlink ref="E1525" r:id="rId4699" display="https://twitter.com/autosmartleics/status/723185646966308864" xr:uid="{7BB0F415-2E99-4E64-AC59-E4AEB6C4E8DC}"/>
    <hyperlink ref="O1525" r:id="rId4700" display="https://pbs.twimg.com/profile_images/721587695231836160/bgJ8Jcnh_normal.jpg" xr:uid="{B1EC3C01-DB6C-42E2-B4F4-917F62AD8963}"/>
    <hyperlink ref="B1526" r:id="rId4701" display="https://twitter.com/WrexhamVW" xr:uid="{BC1C377E-B833-4A90-8EC5-C3C12B4B09A3}"/>
    <hyperlink ref="E1526" r:id="rId4702" display="https://twitter.com/WrexhamVW/status/723185784077996033" xr:uid="{C4538B28-A67B-449A-9982-5D6E0FD34B89}"/>
    <hyperlink ref="O1526" r:id="rId4703" display="https://pbs.twimg.com/profile_images/488719995401027584/VzWWQNs__normal.jpeg" xr:uid="{E57F6265-65D2-4D85-865B-B024307C8D50}"/>
    <hyperlink ref="B1527" r:id="rId4704" display="https://twitter.com/swanswaygroup" xr:uid="{E4F1BB56-BC48-40B4-9B16-4F19F065CFC2}"/>
    <hyperlink ref="E1527" r:id="rId4705" display="https://twitter.com/swanswaygroup/status/723185784124104708" xr:uid="{4E8E93DC-A63C-49AE-90CE-CEA58A10A560}"/>
    <hyperlink ref="O1527" r:id="rId4706" display="https://pbs.twimg.com/profile_images/552037189328982016/r65JRGTS_normal.jpeg" xr:uid="{8FC5E0B8-C874-400F-8D97-D952C67F6EEE}"/>
    <hyperlink ref="B1528" r:id="rId4707" display="https://twitter.com/CarNotaFridge" xr:uid="{A9B725FE-3B13-4A83-BC3C-334E4608D8AE}"/>
    <hyperlink ref="E1528" r:id="rId4708" display="https://twitter.com/CarNotaFridge/status/723185894253989888" xr:uid="{2024449A-95A8-4216-9C99-24330E140D46}"/>
    <hyperlink ref="O1528" r:id="rId4709" display="https://pbs.twimg.com/profile_images/1622195010/TEBNYC062011_normal.jpg" xr:uid="{D269C84A-5316-4FBA-BCB9-2FC2CABE9038}"/>
    <hyperlink ref="B1529" r:id="rId4710" display="https://twitter.com/ArtistOfKouroo" xr:uid="{959279F3-E32D-43E6-8FF7-561C0ED1AC04}"/>
    <hyperlink ref="E1529" r:id="rId4711" display="https://twitter.com/ArtistOfKouroo/status/723186016899702784" xr:uid="{8E07E0C2-5EAD-477B-B906-03FE49784772}"/>
    <hyperlink ref="O1529" r:id="rId4712" display="https://pbs.twimg.com/profile_images/378800000841317070/600109a82bb41562000ddc52550aa968_normal.jpeg" xr:uid="{61B8EA21-9332-46A4-A0DB-A5F1CF3ED98D}"/>
    <hyperlink ref="B1530" r:id="rId4713" display="https://twitter.com/JordiCerda" xr:uid="{0A12CE44-DAF7-47B4-B70A-07B2ADE57F49}"/>
    <hyperlink ref="E1530" r:id="rId4714" display="https://twitter.com/JordiCerda/status/723186069269827584" xr:uid="{5A889781-6FCA-4C82-B6FC-C4D092F2E5B3}"/>
    <hyperlink ref="O1530" r:id="rId4715" display="https://pbs.twimg.com/profile_images/674596645913366528/Z5afHifu_normal.jpg" xr:uid="{826047DF-7515-4B1A-BC75-DA0251456123}"/>
    <hyperlink ref="B1531" r:id="rId4716" display="https://twitter.com/GreillyPost" xr:uid="{1C9B37E4-3984-4AC1-96F3-755981D50E5C}"/>
    <hyperlink ref="E1531" r:id="rId4717" display="https://twitter.com/GreillyPost/status/723186089175879680" xr:uid="{BB702ABD-7A2E-4008-BEE7-9131981E7BE9}"/>
    <hyperlink ref="O1531" r:id="rId4718" display="https://pbs.twimg.com/profile_images/1662795540/twitter_normal.jpg" xr:uid="{FB9B2EFE-77A8-42AC-97D6-8E9C8518FE7B}"/>
    <hyperlink ref="B1532" r:id="rId4719" display="https://twitter.com/techhippie" xr:uid="{CAD56D31-7690-4385-97BC-CD46AA57F15D}"/>
    <hyperlink ref="E1532" r:id="rId4720" display="https://twitter.com/techhippie/status/723186158025494528" xr:uid="{E3C81E08-1096-4407-8219-AAB91E0CD431}"/>
    <hyperlink ref="O1532" r:id="rId4721" display="https://pbs.twimg.com/profile_images/702511217793863680/lty8h9vE_normal.jpg" xr:uid="{AD5C01E9-2064-4FD4-8804-EB7FB9AFBB05}"/>
    <hyperlink ref="B1533" r:id="rId4722" display="https://twitter.com/chrischeuermann" xr:uid="{1C938DA2-0975-4953-B2E5-7F9A6BE7B30E}"/>
    <hyperlink ref="E1533" r:id="rId4723" display="https://twitter.com/chrischeuermann/status/723186253928124416" xr:uid="{9E4C7524-54B6-4F9C-828E-2EB1C4503C6C}"/>
    <hyperlink ref="O1533" r:id="rId4724" display="https://pbs.twimg.com/profile_images/2766141912/ebd0673f92c3644c0f77722e82cb98cd_normal.jpeg" xr:uid="{B137482B-D4C7-4D0D-B6BA-F016DFC5C5F8}"/>
    <hyperlink ref="B1534" r:id="rId4725" display="https://twitter.com/DubLuvTuning" xr:uid="{6B48F435-B281-4BC0-9111-CDDBBCFF5A2B}"/>
    <hyperlink ref="E1534" r:id="rId4726" display="https://twitter.com/DubLuvTuning/status/723186281434492928" xr:uid="{402CDE69-BC8C-4EC2-A7DB-EBC1A2E886CD}"/>
    <hyperlink ref="O1534" r:id="rId4727" display="https://pbs.twimg.com/profile_images/378800000572104796/1de43e1cf23efb3f4101c02afad0d3b6_normal.png" xr:uid="{136705C0-F566-4883-BF8C-4CFCA1A54F15}"/>
    <hyperlink ref="B1535" r:id="rId4728" display="https://twitter.com/DubLuvTuning" xr:uid="{5E2501CA-A569-49D6-91B2-A99170AA96EF}"/>
    <hyperlink ref="E1535" r:id="rId4729" display="https://twitter.com/DubLuvTuning/status/723186283347103744" xr:uid="{EE4F4968-A70B-4E35-978C-E723073CB838}"/>
    <hyperlink ref="O1535" r:id="rId4730" display="https://pbs.twimg.com/profile_images/378800000572104796/1de43e1cf23efb3f4101c02afad0d3b6_normal.png" xr:uid="{7304973C-FF20-41D4-A8B4-E07944A22192}"/>
    <hyperlink ref="B1536" r:id="rId4731" display="https://twitter.com/balcis" xr:uid="{102FD8AF-4BDD-4203-81EE-78ECF7875D16}"/>
    <hyperlink ref="E1536" r:id="rId4732" display="https://twitter.com/balcis/status/723186293384028166" xr:uid="{B2C9795B-CABB-4E15-9569-8D825515BF3F}"/>
    <hyperlink ref="O1536" r:id="rId4733" display="https://pbs.twimg.com/profile_images/1781026776/z_01bab8f9_normal.jpg" xr:uid="{635ECEAE-0279-42BA-A20D-F53128005035}"/>
    <hyperlink ref="B1537" r:id="rId4734" display="https://twitter.com/PowersOlga" xr:uid="{1024DFB3-2341-46A6-A458-96F90A33EC91}"/>
    <hyperlink ref="E1537" r:id="rId4735" display="https://twitter.com/PowersOlga/status/723186298958274560" xr:uid="{00D33BA9-EC09-406C-9490-F1D08F448504}"/>
    <hyperlink ref="O1537" r:id="rId4736" display="https://pbs.twimg.com/profile_images/712389505358045185/XrTyxa27_normal.jpg" xr:uid="{171BE93D-4092-4198-A4DB-FE4CBC89B1BE}"/>
    <hyperlink ref="B1538" r:id="rId4737" display="https://twitter.com/VWCamperSales" xr:uid="{C8C5B290-C2AF-4246-A142-730A5D985961}"/>
    <hyperlink ref="E1538" r:id="rId4738" display="https://twitter.com/VWCamperSales/status/723186307980128261" xr:uid="{49E18D95-9B49-4121-9FFF-1A3410445373}"/>
    <hyperlink ref="F1538" r:id="rId4739" xr:uid="{0310018B-95F2-4D69-916D-2B2C9CCAC2A1}"/>
    <hyperlink ref="O1538" r:id="rId4740" display="https://pbs.twimg.com/profile_images/627949001179037696/skEBkS05_normal.jpg" xr:uid="{376DCC06-DC3E-4346-B081-96D9E4EBAA58}"/>
    <hyperlink ref="B1539" r:id="rId4741" display="https://twitter.com/UAimports" xr:uid="{B30FC762-1024-4055-AC90-FA5BD4A6BA30}"/>
    <hyperlink ref="E1539" r:id="rId4742" display="https://twitter.com/UAimports/status/723186419875872768" xr:uid="{FA847E16-A0FD-4216-A780-9308F2294FA8}"/>
    <hyperlink ref="O1539" r:id="rId4743" display="https://pbs.twimg.com/profile_images/378800000348226431/5ecdd1e54f9479e0545e239d17942701_normal.jpeg" xr:uid="{5FA1E80B-755D-436F-9356-999FC1C04F50}"/>
    <hyperlink ref="B1540" r:id="rId4744" display="https://twitter.com/MiManske" xr:uid="{DA5157FE-7A67-40FA-BB7A-B74B04091489}"/>
    <hyperlink ref="E1540" r:id="rId4745" display="https://twitter.com/MiManske/status/723186596430942208" xr:uid="{99D6A9BB-9F0C-419E-8204-608AEEF71D36}"/>
    <hyperlink ref="O1540" r:id="rId4746" display="https://pbs.twimg.com/profile_images/652191269934993408/5bZKOI8y_normal.jpg" xr:uid="{F6861408-331A-4259-9E1F-4AB6CCFCEF47}"/>
    <hyperlink ref="B1541" r:id="rId4747" display="https://twitter.com/KeyStone_Search" xr:uid="{1B73D06B-4D0D-45ED-805A-6599A4F92915}"/>
    <hyperlink ref="E1541" r:id="rId4748" display="https://twitter.com/KeyStone_Search/status/723186644908695552" xr:uid="{D5C5436C-2A1E-4D32-A9CF-1CDF21598B19}"/>
    <hyperlink ref="O1541" r:id="rId4749" display="https://pbs.twimg.com/profile_images/494223149756456961/0wvIFrE4_normal.jpeg" xr:uid="{C72163FB-AED9-4B22-BCB9-DBEAF2B2725E}"/>
    <hyperlink ref="B1542" r:id="rId4750" display="https://twitter.com/KristynHyland" xr:uid="{C3C42E35-B977-430A-AC68-230705A9297B}"/>
    <hyperlink ref="E1542" r:id="rId4751" display="https://twitter.com/KristynHyland/status/723186686914531328" xr:uid="{CE76DD71-D0C8-441E-AFD0-462E1781F57E}"/>
    <hyperlink ref="O1542" r:id="rId4752" display="https://pbs.twimg.com/profile_images/525288454620336128/_cz57Vaw_normal.jpeg" xr:uid="{3C0F15C5-AC0B-4792-94E5-B4DD01A1370B}"/>
    <hyperlink ref="B1543" r:id="rId4753" display="https://twitter.com/alloracomm" xr:uid="{95A47CC8-75EB-410A-BA9E-6C09C03A92CD}"/>
    <hyperlink ref="E1543" r:id="rId4754" display="https://twitter.com/alloracomm/status/723186713414111234" xr:uid="{89D90C0D-1A2D-4DF3-8D29-3EE54AB65C59}"/>
    <hyperlink ref="O1543" r:id="rId4755" display="https://pbs.twimg.com/profile_images/583309420223803392/vXE-dk10_normal.png" xr:uid="{AE5305AD-D79F-4C32-AFFC-E4A403119C03}"/>
    <hyperlink ref="B1544" r:id="rId4756" display="https://twitter.com/BILD_Reporter" xr:uid="{57C60486-BD2D-4731-95A5-9F57E5025153}"/>
    <hyperlink ref="E1544" r:id="rId4757" display="https://twitter.com/BILD_Reporter/status/723186837859217408" xr:uid="{E349EDD4-D6B9-4317-8924-8D08D4C438D2}"/>
    <hyperlink ref="O1544" r:id="rId4758" display="https://pbs.twimg.com/profile_images/578542636140781568/2T_ukEU0_normal.jpeg" xr:uid="{BF31EC3B-2535-4A9B-AE41-24403DB80C79}"/>
    <hyperlink ref="B1545" r:id="rId4759" display="https://twitter.com/KeyStone_Search" xr:uid="{71C6FCE6-54F8-40BE-8727-5FB88B833DE1}"/>
    <hyperlink ref="E1545" r:id="rId4760" display="https://twitter.com/KeyStone_Search/status/723186951826722816" xr:uid="{7DF11F82-A8D9-4287-BFD0-38456C380EF9}"/>
    <hyperlink ref="O1545" r:id="rId4761" display="https://pbs.twimg.com/profile_images/494223149756456961/0wvIFrE4_normal.jpeg" xr:uid="{0857D80D-14F2-4DA4-B6E6-D70FCEF2F9FB}"/>
    <hyperlink ref="B1546" r:id="rId4762" display="https://twitter.com/sine_injuria" xr:uid="{3246A2A5-2B91-4734-84DC-8EA7EA5190B5}"/>
    <hyperlink ref="E1546" r:id="rId4763" display="https://twitter.com/sine_injuria/status/723186971032584192" xr:uid="{859D2A7F-04ED-4035-8FB2-B0B4B90EB835}"/>
    <hyperlink ref="O1546" r:id="rId4764" display="https://pbs.twimg.com/profile_images/642021337809076225/YhbHP0MU_normal.jpg" xr:uid="{FF4D2328-63A0-4CC3-B507-0B4759ED5C39}"/>
    <hyperlink ref="B1547" r:id="rId4765" display="https://twitter.com/UAimports" xr:uid="{B2146292-7255-421D-B018-E75D3393BCC3}"/>
    <hyperlink ref="E1547" r:id="rId4766" display="https://twitter.com/UAimports/status/723186992725540864" xr:uid="{3DB5DDD5-3198-4304-AAC6-49B0D3AF3E5D}"/>
    <hyperlink ref="O1547" r:id="rId4767" display="https://pbs.twimg.com/profile_images/378800000348226431/5ecdd1e54f9479e0545e239d17942701_normal.jpeg" xr:uid="{CA308D2F-D8A0-4E88-BB6F-3FC4A7951B85}"/>
    <hyperlink ref="B1548" r:id="rId4768" display="https://twitter.com/chrispillennews" xr:uid="{F044CF76-F7B0-4E73-A723-5C81E8E6C527}"/>
    <hyperlink ref="E1548" r:id="rId4769" display="https://twitter.com/chrispillennews/status/723187314776743936" xr:uid="{8D9B7A71-138F-4E1C-A50F-3C2D65F16FB6}"/>
    <hyperlink ref="O1548" r:id="rId4770" display="https://pbs.twimg.com/profile_images/589041144027357185/LMeiK-X6_normal.jpg" xr:uid="{22C567E2-7B3D-48DC-8BB3-CED347DAB69D}"/>
    <hyperlink ref="B1549" r:id="rId4771" display="https://twitter.com/clydevpg" xr:uid="{1B33A7AD-BC36-4F7B-ADA1-2601B5E7E5B8}"/>
    <hyperlink ref="E1549" r:id="rId4772" display="https://twitter.com/clydevpg/status/723187327414226944" xr:uid="{0D553A56-9666-4297-A447-D42754352786}"/>
    <hyperlink ref="O1549" r:id="rId4773" display="https://pbs.twimg.com/profile_images/722023663483138048/HVDEPQwG_normal.jpg" xr:uid="{558533BE-BF01-45BD-8654-E0D6A421F3EE}"/>
    <hyperlink ref="B1550" r:id="rId4774" display="https://twitter.com/metricausa" xr:uid="{31B8F4AA-11ED-43A1-AF79-BA1148BD9DDF}"/>
    <hyperlink ref="E1550" r:id="rId4775" display="https://twitter.com/metricausa/status/723187371248775168" xr:uid="{1EB6FA75-98AC-47E0-B3DA-3CB5564F1139}"/>
    <hyperlink ref="O1550" r:id="rId4776" display="https://pbs.twimg.com/profile_images/3701280874/727d39d4750c86cc2b21322974b47189_normal.jpeg" xr:uid="{98AA8395-2497-426C-AA6F-3F97DF1B549A}"/>
    <hyperlink ref="B1551" r:id="rId4777" display="https://twitter.com/chapmanphilly" xr:uid="{3E195254-B77F-4361-BC09-251CEF5C18E6}"/>
    <hyperlink ref="E1551" r:id="rId4778" display="https://twitter.com/chapmanphilly/status/723187375862636544" xr:uid="{59184C0A-7468-4098-A004-000ED97440B1}"/>
    <hyperlink ref="O1551" r:id="rId4779" display="https://pbs.twimg.com/profile_images/378800000600543486/069e6d3a14dfc922c29d7cecf5dd463a_normal.jpeg" xr:uid="{48A7E262-8150-40EA-9F5C-F14C72380EFE}"/>
    <hyperlink ref="B1552" r:id="rId4780" display="https://twitter.com/SerraTVC" xr:uid="{1425759A-7B75-4C25-8871-0D87C1A47F42}"/>
    <hyperlink ref="E1552" r:id="rId4781" display="https://twitter.com/SerraTVC/status/723187399619170304" xr:uid="{0F0E6C42-E792-490B-93C7-78D5EFE5B598}"/>
    <hyperlink ref="O1552" r:id="rId4782" display="https://pbs.twimg.com/profile_images/719611202129625088/XNXG8FpF_normal.jpg" xr:uid="{F7357438-A5C3-443A-8A8A-AD2EEC8ABCDF}"/>
    <hyperlink ref="B1553" r:id="rId4783" display="https://twitter.com/ascrh2015" xr:uid="{8583DBD0-C825-4578-8FCA-30BD3AE42E2D}"/>
    <hyperlink ref="E1553" r:id="rId4784" display="https://twitter.com/ascrh2015/status/723187399631593476" xr:uid="{5CE5DCD9-C82C-488A-9953-A0E11B314D0C}"/>
    <hyperlink ref="O1553" r:id="rId4785" display="https://pbs.twimg.com/profile_images/600222158296457216/iI4rlpHZ_normal.jpg" xr:uid="{6F8D029D-9B16-495A-A1C4-E33DF72466CF}"/>
    <hyperlink ref="B1554" r:id="rId4786" display="https://twitter.com/GabrielSaizOk" xr:uid="{78B890BC-272B-4AA5-A61B-7C33D1C03983}"/>
    <hyperlink ref="E1554" r:id="rId4787" display="https://twitter.com/GabrielSaizOk/status/723187791232946176" xr:uid="{53210466-6659-474D-8284-485A3256EAC9}"/>
    <hyperlink ref="O1554" r:id="rId4788" display="https://pbs.twimg.com/profile_images/723264298739490816/9fjnGkGB_normal.jpg" xr:uid="{F886D883-A1A8-4A7B-B134-51E780F98A48}"/>
    <hyperlink ref="B1555" r:id="rId4789" display="https://twitter.com/celiacernadas" xr:uid="{7CC51F76-7EBF-453A-B78F-2856BBC9B5E7}"/>
    <hyperlink ref="E1555" r:id="rId4790" display="https://twitter.com/celiacernadas/status/723187829665198087" xr:uid="{BD209F30-F5DF-40C7-8DC1-73243AD5235B}"/>
    <hyperlink ref="O1555" r:id="rId4791" display="https://pbs.twimg.com/profile_images/691097936181215232/Ocy36TIb_normal.jpg" xr:uid="{3747CC78-5811-4E78-8296-CEE043AECEFB}"/>
    <hyperlink ref="B1556" r:id="rId4792" display="https://twitter.com/Sagenwirmalso" xr:uid="{9FAE3D1B-5593-4D09-A045-5B360ABB3236}"/>
    <hyperlink ref="E1556" r:id="rId4793" display="https://twitter.com/Sagenwirmalso/status/723187927807889408" xr:uid="{5C8C25E2-14ED-4BEF-918D-36275A199A56}"/>
    <hyperlink ref="O1556" r:id="rId4794" display="https://pbs.twimg.com/profile_images/703246054230200320/MCfrTAk6_normal.jpg" xr:uid="{063B4601-8E58-4035-8BD5-3469AF4C5A36}"/>
    <hyperlink ref="B1557" r:id="rId4795" display="https://twitter.com/ramona2382" xr:uid="{87A9BBD6-3542-4FF2-9B64-54C891D40159}"/>
    <hyperlink ref="E1557" r:id="rId4796" display="https://twitter.com/ramona2382/status/723188052554842112" xr:uid="{F2AE6FF7-8243-4EC7-A7A5-AB850134A100}"/>
    <hyperlink ref="O1557" r:id="rId4797" display="https://pbs.twimg.com/profile_images/713342453332488192/Lfwu9l2Z_normal.jpg" xr:uid="{D9378D35-7F93-4C02-B140-AF8916975439}"/>
    <hyperlink ref="B1558" r:id="rId4798" display="https://twitter.com/msnde" xr:uid="{7C890EC9-AAB1-4634-B03A-BE315ED7B096}"/>
    <hyperlink ref="E1558" r:id="rId4799" display="https://twitter.com/msnde/status/723188055977299969" xr:uid="{13961A96-815A-4E73-96C8-31A494D2C690}"/>
    <hyperlink ref="O1558" r:id="rId4800" display="https://pbs.twimg.com/profile_images/689020315003916288/Q3gO6sdj_normal.png" xr:uid="{639ACC13-DB5E-4128-B642-EE772AE59158}"/>
    <hyperlink ref="B1559" r:id="rId4801" display="https://twitter.com/octagon_iv" xr:uid="{CB19503A-8CE2-4A3D-961E-C79A380C132A}"/>
    <hyperlink ref="E1559" r:id="rId4802" display="https://twitter.com/octagon_iv/status/723188112722145284" xr:uid="{2B113E94-4542-438C-A101-6E56A13B1B78}"/>
    <hyperlink ref="O1559" r:id="rId4803" display="https://pbs.twimg.com/profile_images/582888318393782272/e9cKvgOr_normal.jpg" xr:uid="{FC9BF9D3-9A19-4943-A9D5-421487267147}"/>
    <hyperlink ref="B1560" r:id="rId4804" display="https://twitter.com/styllnziall" xr:uid="{D9DB2936-6C38-4F2C-866E-53DC6CF532A9}"/>
    <hyperlink ref="E1560" r:id="rId4805" display="https://twitter.com/styllnziall/status/723188375256227840" xr:uid="{9F935BE7-4CA7-44BA-BFCF-7CFA78767898}"/>
    <hyperlink ref="O1560" r:id="rId4806" display="https://pbs.twimg.com/profile_images/534267857714937856/rENqjzZq_normal.jpeg" xr:uid="{ACEAA42B-1AE2-4ADC-9CE8-043B8CCB7B80}"/>
    <hyperlink ref="B1561" r:id="rId4807" display="https://twitter.com/VolkswagenPost" xr:uid="{8C912967-101F-4B0C-84F1-475B67201E2C}"/>
    <hyperlink ref="E1561" r:id="rId4808" display="https://twitter.com/VolkswagenPost/status/723188380591370240" xr:uid="{69CB81AA-B994-46AA-946F-A6648E3B5EC3}"/>
    <hyperlink ref="O1561" r:id="rId4809" display="https://pbs.twimg.com/profile_images/530071272881803264/a_jcCmPZ_normal.png" xr:uid="{50C41752-4E95-4E20-9090-98C82EE60823}"/>
    <hyperlink ref="B1562" r:id="rId4810" display="https://twitter.com/VolkswagenPost" xr:uid="{13769866-BD48-459C-A080-D68C6B9704B7}"/>
    <hyperlink ref="E1562" r:id="rId4811" display="https://twitter.com/VolkswagenPost/status/723188381883219968" xr:uid="{B82BC8B8-3718-4B8F-8483-A4FDD290C9B8}"/>
    <hyperlink ref="O1562" r:id="rId4812" display="https://pbs.twimg.com/profile_images/530071272881803264/a_jcCmPZ_normal.png" xr:uid="{56B9F3F4-3CEE-4858-A19E-006AECEF01C6}"/>
    <hyperlink ref="B1563" r:id="rId4813" display="https://twitter.com/MhvonS" xr:uid="{991E1A8F-6CE9-46E7-A796-FA2600CB29B1}"/>
    <hyperlink ref="E1563" r:id="rId4814" display="https://twitter.com/MhvonS/status/723188392528338944" xr:uid="{D05E6FDD-18A4-4ACC-BF3B-133000C6B2C2}"/>
    <hyperlink ref="O1563" r:id="rId4815" display="https://abs.twimg.com/sticky/default_profile_images/default_profile_6_normal.png" xr:uid="{1A92F669-8770-4C6D-B46A-EDBBC52EBC26}"/>
    <hyperlink ref="B1564" r:id="rId4816" display="https://twitter.com/zeitonline" xr:uid="{29AD2175-D928-4426-9781-48D3F5308C7C}"/>
    <hyperlink ref="E1564" r:id="rId4817" display="https://twitter.com/zeitonline/status/723188449793216512" xr:uid="{A41B9F96-E89B-4D2D-AD25-1DBAAE1527F8}"/>
    <hyperlink ref="O1564" r:id="rId4818" display="https://pbs.twimg.com/profile_images/702423578608852994/zVbR9TA1_normal.jpg" xr:uid="{89B23A30-006F-40CE-8EFD-1D5F872EF7C3}"/>
    <hyperlink ref="B1565" r:id="rId4819" display="https://twitter.com/zeitonline_wir" xr:uid="{6AB94277-1E52-4272-B6EA-CFEDD7500719}"/>
    <hyperlink ref="E1565" r:id="rId4820" display="https://twitter.com/zeitonline_wir/status/723188451542208512" xr:uid="{EC31575F-B23B-42F5-A1E4-8D9C4B4CB581}"/>
    <hyperlink ref="O1565" r:id="rId4821" display="https://pbs.twimg.com/profile_images/587542294913556480/VN9ydDdE_normal.jpg" xr:uid="{331C7AC4-CF18-4740-9F54-391CB2820A42}"/>
    <hyperlink ref="B1566" r:id="rId4822" display="https://twitter.com/angei_samson" xr:uid="{047D49BB-881A-4414-A441-5EB4F00D47A9}"/>
    <hyperlink ref="E1566" r:id="rId4823" display="https://twitter.com/angei_samson/status/723188487617425408" xr:uid="{346F692A-3AE3-450A-9027-8CDF6538E3CA}"/>
    <hyperlink ref="O1566" r:id="rId4824" display="https://pbs.twimg.com/profile_images/541534187707465729/9Nsiu4TX_normal.jpeg" xr:uid="{41EBE31F-EBC7-4BDD-B0BA-65BB00B0FA43}"/>
    <hyperlink ref="B1567" r:id="rId4825" display="https://twitter.com/lozvaal" xr:uid="{23369D7C-81C5-4482-922D-DC994E8D47EB}"/>
    <hyperlink ref="E1567" r:id="rId4826" display="https://twitter.com/lozvaal/status/723188512162455552" xr:uid="{823D3F0A-691A-431E-A6BA-A0C630F3EF46}"/>
    <hyperlink ref="O1567" r:id="rId4827" display="https://pbs.twimg.com/profile_images/540357012467761152/K8cIiLRk_normal.jpeg" xr:uid="{3B018C15-C21E-4A68-B75D-95A1628602BB}"/>
    <hyperlink ref="B1568" r:id="rId4828" display="https://twitter.com/CaplanComms" xr:uid="{D8F4D490-4B1B-417C-8A91-201AB39B4A16}"/>
    <hyperlink ref="E1568" r:id="rId4829" display="https://twitter.com/CaplanComms/status/723188584094650370" xr:uid="{B618F56C-9A2D-4446-B99C-EDC2D7855A2A}"/>
    <hyperlink ref="O1568" r:id="rId4830" display="https://pbs.twimg.com/profile_images/722527417584123906/lqqlrdfb_normal.jpg" xr:uid="{8B69B86A-0DC4-455C-9DCA-78DAA2C33A29}"/>
    <hyperlink ref="B1569" r:id="rId4831" display="https://twitter.com/franzsch2" xr:uid="{06C284D2-9BAA-4BC6-9188-41A43C3A3786}"/>
    <hyperlink ref="E1569" r:id="rId4832" display="https://twitter.com/franzsch2/status/723188700314636288" xr:uid="{25373C15-503D-4654-AC1B-9E5B1DCFB13C}"/>
    <hyperlink ref="O1569" r:id="rId4833" display="https://pbs.twimg.com/profile_images/532009681158295552/ubGun8Mr_normal.jpeg" xr:uid="{B857DB5B-17CC-4BAE-A13E-305CC8ACB350}"/>
    <hyperlink ref="B1570" r:id="rId4834" display="https://twitter.com/borsakahini" xr:uid="{426EAEBF-8684-4394-AA3F-B44F612126FF}"/>
    <hyperlink ref="E1570" r:id="rId4835" display="https://twitter.com/borsakahini/status/723188769097031680" xr:uid="{761FD083-4E24-4E41-9A4D-383052512FA8}"/>
    <hyperlink ref="O1570" r:id="rId4836" display="https://pbs.twimg.com/profile_images/709353547398303744/t3Y8Osnt_normal.jpg" xr:uid="{9D909F40-A5DF-4432-BD46-4921ED4A22AC}"/>
    <hyperlink ref="B1571" r:id="rId4837" display="https://twitter.com/ErkanCanKalkmaz" xr:uid="{E833BC9C-8CC2-4A87-BFB5-9C0364758705}"/>
    <hyperlink ref="E1571" r:id="rId4838" display="https://twitter.com/ErkanCanKalkmaz/status/723188774881079296" xr:uid="{4BB38FA9-9CF7-448A-A5D1-EF778896D539}"/>
    <hyperlink ref="O1571" r:id="rId4839" display="https://pbs.twimg.com/profile_images/689225545918328832/z6p4SA9L_normal.jpg" xr:uid="{2E279B22-0EA7-44C0-950E-F0504F839CF7}"/>
    <hyperlink ref="B1572" r:id="rId4840" display="https://twitter.com/MuratTebatebai" xr:uid="{11B0C048-544B-4EC0-AD35-122A2D0E024B}"/>
    <hyperlink ref="E1572" r:id="rId4841" display="https://twitter.com/MuratTebatebai/status/723188807584108544" xr:uid="{A31F4F7E-BE59-4C10-9893-EA371FFA102F}"/>
    <hyperlink ref="O1572" r:id="rId4842" display="https://pbs.twimg.com/profile_images/1790433842/IMG_9431q_normal.jpg" xr:uid="{14FA27F2-F4CA-4782-999E-8FDE9926BCF4}"/>
    <hyperlink ref="B1573" r:id="rId4843" display="https://twitter.com/nicolaborri" xr:uid="{029E8241-AE96-42DE-A00C-526738F03ACF}"/>
    <hyperlink ref="E1573" r:id="rId4844" display="https://twitter.com/nicolaborri/status/723188829117665280" xr:uid="{541CCA94-F037-4724-94FC-18A49733811E}"/>
    <hyperlink ref="O1573" r:id="rId4845" display="https://pbs.twimg.com/profile_images/614420938751385600/eHueZzXs_normal.jpg" xr:uid="{DEE09D09-FC94-41FF-991F-B0EE69779E85}"/>
    <hyperlink ref="B1574" r:id="rId4846" display="https://twitter.com/epicurebeauty" xr:uid="{F57952B4-BF51-4677-A5F1-F780B3337796}"/>
    <hyperlink ref="E1574" r:id="rId4847" display="https://twitter.com/epicurebeauty/status/723188949053804544" xr:uid="{54D53395-7F1C-47B9-8F71-2A4FF2F8B53C}"/>
    <hyperlink ref="O1574" r:id="rId4848" display="https://pbs.twimg.com/profile_images/721817644626755585/gv_O7BfX_normal.jpg" xr:uid="{558D3F23-6E5B-4C70-8CE9-DF2B16E854C8}"/>
    <hyperlink ref="B1575" r:id="rId4849" display="https://twitter.com/GlowCreations" xr:uid="{09C0DE36-49F9-49BF-A161-030A72130C91}"/>
    <hyperlink ref="E1575" r:id="rId4850" display="https://twitter.com/GlowCreations/status/723189002216546304" xr:uid="{912AAD90-7B3D-4958-AE16-5C22F47C8938}"/>
    <hyperlink ref="O1575" r:id="rId4851" display="https://pbs.twimg.com/profile_images/696426954468298752/EygI6rG2_normal.jpg" xr:uid="{6C04B1B9-DE0C-4569-9BD4-2293F5236686}"/>
    <hyperlink ref="B1576" r:id="rId4852" display="https://twitter.com/msav999" xr:uid="{8B8AE447-ECB0-474E-9B26-9498399C18A1}"/>
    <hyperlink ref="E1576" r:id="rId4853" display="https://twitter.com/msav999/status/723189169531424769" xr:uid="{434D8A15-9E79-455B-AE03-987B1F85E803}"/>
    <hyperlink ref="O1576" r:id="rId4854" display="https://pbs.twimg.com/profile_images/613550335307612160/IseYDiEM_normal.jpg" xr:uid="{8652BECE-2ECC-4BA4-8CB5-3B0D599D9A1C}"/>
    <hyperlink ref="B1577" r:id="rId4855" display="https://twitter.com/breellveslife" xr:uid="{9D429FFE-148F-4FB8-8577-A4EE149CA420}"/>
    <hyperlink ref="E1577" r:id="rId4856" display="https://twitter.com/breellveslife/status/723189169992900608" xr:uid="{76AAB0C7-5483-4FBE-9E86-85C1CC04F5D5}"/>
    <hyperlink ref="O1577" r:id="rId4857" display="https://pbs.twimg.com/profile_images/540337694245916672/kkUJghTm_normal.jpeg" xr:uid="{5553C3A1-212B-4D56-A222-451BFF6A40CE}"/>
    <hyperlink ref="B1578" r:id="rId4858" display="https://twitter.com/euleminerva" xr:uid="{64BD4A02-AC29-46A0-B4FD-205A82CB8F9B}"/>
    <hyperlink ref="E1578" r:id="rId4859" display="https://twitter.com/euleminerva/status/723189175327940608" xr:uid="{45CF8532-262F-4E2C-A811-3E283008B84F}"/>
    <hyperlink ref="O1578" r:id="rId4860" display="https://pbs.twimg.com/profile_images/669248619132952576/p1q_D68x_normal.jpg" xr:uid="{78B46EFF-CE48-42BA-974E-28CF27A5914D}"/>
    <hyperlink ref="B1579" r:id="rId4861" display="https://twitter.com/TerryHatfield3" xr:uid="{6F9395D8-24A4-4C3B-A118-29E856EE0590}"/>
    <hyperlink ref="E1579" r:id="rId4862" display="https://twitter.com/TerryHatfield3/status/723189227962306561" xr:uid="{07A90BD4-AFD5-47A0-8413-70D98D1BEF18}"/>
    <hyperlink ref="O1579" r:id="rId4863" display="https://pbs.twimg.com/profile_images/2269660943/fffmkk7gq9f90g1ahnyg_normal.jpeg" xr:uid="{DFECE748-E0AC-4A3C-86C8-D0B1A6A3FD64}"/>
    <hyperlink ref="B1580" r:id="rId4864" display="https://twitter.com/EmmettBrown1955" xr:uid="{926175DE-1185-4AB3-8512-15E86EAED658}"/>
    <hyperlink ref="E1580" r:id="rId4865" display="https://twitter.com/EmmettBrown1955/status/723189297549959169" xr:uid="{99FAD22D-907D-480C-8C3C-0DB100B11B2D}"/>
    <hyperlink ref="O1580" r:id="rId4866" display="https://pbs.twimg.com/profile_images/539836380839280641/QejEKdZT_normal.jpeg" xr:uid="{8A087A26-F492-4D84-9474-C98E20B46C3F}"/>
    <hyperlink ref="B1581" r:id="rId4867" display="https://twitter.com/aktuelle_stunde" xr:uid="{9FD80BD8-3820-4AE2-81A4-0ED9AD4D6B69}"/>
    <hyperlink ref="E1581" r:id="rId4868" display="https://twitter.com/aktuelle_stunde/status/723189311324057600" xr:uid="{7C2326EF-2F23-4914-99DA-D4A3C3013D9D}"/>
    <hyperlink ref="O1581" r:id="rId4869" display="https://pbs.twimg.com/profile_images/488939589520740353/HVTIWICi_normal.jpeg" xr:uid="{8C010E61-B453-40B7-8DFE-FDA028AA2816}"/>
    <hyperlink ref="B1582" r:id="rId4870" display="https://twitter.com/VWCamperSales" xr:uid="{7F39C73A-508B-4FBD-9E1B-6337BE4AF371}"/>
    <hyperlink ref="E1582" r:id="rId4871" display="https://twitter.com/VWCamperSales/status/723189329581871104" xr:uid="{C94F3D6F-079F-4E08-B2D4-E7BEF94E4395}"/>
    <hyperlink ref="F1582" r:id="rId4872" xr:uid="{1710C722-519A-4A05-9927-6C03550B14B3}"/>
    <hyperlink ref="O1582" r:id="rId4873" display="https://pbs.twimg.com/profile_images/627949001179037696/skEBkS05_normal.jpg" xr:uid="{D3042957-175A-4B3E-9DE0-D645BC703420}"/>
    <hyperlink ref="B1583" r:id="rId4874" display="https://twitter.com/abeeson20" xr:uid="{4C0697B1-E790-4F16-807E-2D349B31497A}"/>
    <hyperlink ref="E1583" r:id="rId4875" display="https://twitter.com/abeeson20/status/723189342043136001" xr:uid="{8BDF7F6C-B562-4101-8F1F-80EE441E46DC}"/>
    <hyperlink ref="O1583" r:id="rId4876" display="https://pbs.twimg.com/profile_images/466242245532737538/TClE9jOP_normal.jpeg" xr:uid="{2028132A-9880-45B8-8D7E-62BCFDF73FBE}"/>
    <hyperlink ref="B1584" r:id="rId4877" display="https://twitter.com/r_kreisel" xr:uid="{1B30F305-B7F0-4BFD-B343-CDA751404FDE}"/>
    <hyperlink ref="E1584" r:id="rId4878" display="https://twitter.com/r_kreisel/status/723189359726366720" xr:uid="{112C460C-65D2-4649-933D-7B6A8B2F8ED3}"/>
    <hyperlink ref="O1584" r:id="rId4879" display="https://pbs.twimg.com/profile_images/527052537992470529/T_xUcDO1_normal.jpeg" xr:uid="{F851DD1A-692C-40C9-BB1D-DEE57EECE997}"/>
    <hyperlink ref="B1585" r:id="rId4880" display="https://twitter.com/WDR" xr:uid="{7F84540B-F2B2-4D1F-B270-02E736E3B81C}"/>
    <hyperlink ref="E1585" r:id="rId4881" display="https://twitter.com/WDR/status/723189421688811520" xr:uid="{420A2BEB-FA17-4E89-BAAC-5B1B27325150}"/>
    <hyperlink ref="O1585" r:id="rId4882" display="https://pbs.twimg.com/profile_images/695941207625695234/gdP_FW0R_normal.jpg" xr:uid="{425CADA3-32D2-4CFC-83DC-3BAEE8A755D4}"/>
    <hyperlink ref="B1586" r:id="rId4883" display="https://twitter.com/tagesschau" xr:uid="{32918BCC-E0AA-46EC-B0AE-70E7F4AB7063}"/>
    <hyperlink ref="E1586" r:id="rId4884" display="https://twitter.com/tagesschau/status/723189498302087168" xr:uid="{6E309E14-CA34-4151-ADBA-5DFCEE94E39A}"/>
    <hyperlink ref="F1586" r:id="rId4885" xr:uid="{9D94D98F-A597-4AAC-890E-40BAFF32D146}"/>
    <hyperlink ref="O1586" r:id="rId4886" display="https://pbs.twimg.com/profile_images/531688614640365568/U84uXoIT_normal.png" xr:uid="{577B3AB0-95FB-4CDA-BF2F-CC91346FFB5F}"/>
    <hyperlink ref="B1587" r:id="rId4887" display="https://twitter.com/Ziyaggy" xr:uid="{52D07C5E-946A-43FA-BD8B-23B35BF0389D}"/>
    <hyperlink ref="E1587" r:id="rId4888" display="https://twitter.com/Ziyaggy/status/723189550386958336" xr:uid="{A5429F80-A6B5-4AFF-A3E3-2D5BFA2D3E1A}"/>
    <hyperlink ref="O1587" r:id="rId4889" display="https://pbs.twimg.com/profile_images/575930552118812672/abre3ILP_normal.jpeg" xr:uid="{7D17A9A5-5B62-40C7-AEBC-E9056C586011}"/>
    <hyperlink ref="B1588" r:id="rId4890" display="https://twitter.com/Lebeaucarnews" xr:uid="{9E6B73A1-C6F9-4548-BC77-9E46AE9CE748}"/>
    <hyperlink ref="E1588" r:id="rId4891" display="https://twitter.com/Lebeaucarnews/status/723189604233310209" xr:uid="{1F68CCEA-487C-414E-86BE-CA836F8EDFEA}"/>
    <hyperlink ref="O1588" r:id="rId4892" display="https://pbs.twimg.com/profile_images/1795205245/DSC04821_normal.jpg" xr:uid="{C465B303-C749-4374-B85C-2BA160C294CC}"/>
    <hyperlink ref="B1589" r:id="rId4893" display="https://twitter.com/PeterConstant" xr:uid="{818A8841-BA26-46AD-BAA0-BC3B319DC10E}"/>
    <hyperlink ref="E1589" r:id="rId4894" display="https://twitter.com/PeterConstant/status/723189613217505284" xr:uid="{A455B42E-D58F-41F2-8E6F-1AF5EE63591C}"/>
    <hyperlink ref="O1589" r:id="rId4895" display="https://abs.twimg.com/sticky/default_profile_images/default_profile_5_normal.png" xr:uid="{256DE764-571F-420F-A9F2-600B73AE3A62}"/>
    <hyperlink ref="B1590" r:id="rId4896" display="https://twitter.com/Dewickie" xr:uid="{8194BC34-C5BC-472B-881B-4310E3EE6EF6}"/>
    <hyperlink ref="E1590" r:id="rId4897" display="https://twitter.com/Dewickie/status/723189695191105537" xr:uid="{1A34AE68-5393-41BA-ABCC-652FA31EC2B1}"/>
    <hyperlink ref="O1590" r:id="rId4898" display="https://pbs.twimg.com/profile_images/718137079163650053/d5AO9qjF_normal.jpg" xr:uid="{1A6778AE-6C80-4A2F-823B-F68CF70959DA}"/>
    <hyperlink ref="B1591" r:id="rId4899" display="https://twitter.com/Catinformacio" xr:uid="{B18DBC96-723E-4966-A118-FD1D7026695D}"/>
    <hyperlink ref="E1591" r:id="rId4900" display="https://twitter.com/Catinformacio/status/723189700660322304" xr:uid="{A2B66AAD-2A66-4FC2-B78E-A309723B34E4}"/>
    <hyperlink ref="O1591" r:id="rId4901" display="https://pbs.twimg.com/profile_images/536851001144143874/ZkA1n-PI_normal.png" xr:uid="{CD215483-EB42-44C6-8C77-A614459E7688}"/>
    <hyperlink ref="B1592" r:id="rId4902" display="https://twitter.com/kudascheffa" xr:uid="{D284A30D-D10B-4FB5-BF08-D63454A04DF2}"/>
    <hyperlink ref="E1592" r:id="rId4903" display="https://twitter.com/kudascheffa/status/723189858357764096" xr:uid="{14A8EBF0-1FB7-42DE-BFE5-7E51E1FEB1AC}"/>
    <hyperlink ref="O1592" r:id="rId4904" display="https://pbs.twimg.com/profile_images/504228370566381569/llQRuM9S_normal.jpeg" xr:uid="{282D7277-B596-40F8-871B-4A75370CEC0D}"/>
    <hyperlink ref="B1593" r:id="rId4905" display="https://twitter.com/sickgaming1" xr:uid="{F5EDB6F3-C302-4C4B-8CD0-4E72E4348D68}"/>
    <hyperlink ref="E1593" r:id="rId4906" display="https://twitter.com/sickgaming1/status/723190005477167104" xr:uid="{D6E25BAE-7232-40AF-A8CD-D4E2B1933B0E}"/>
    <hyperlink ref="O1593" r:id="rId4907" display="https://abs.twimg.com/sticky/default_profile_images/default_profile_1_normal.png" xr:uid="{3911010F-E010-4244-A7CA-01CE2EE31106}"/>
    <hyperlink ref="B1594" r:id="rId4908" display="https://twitter.com/MiManske" xr:uid="{7DFEECCC-932D-4681-9A2C-B8FC095DC3C1}"/>
    <hyperlink ref="E1594" r:id="rId4909" display="https://twitter.com/MiManske/status/723190119386243072" xr:uid="{E41A0533-91ED-49D8-BB70-A32F2373CF2C}"/>
    <hyperlink ref="O1594" r:id="rId4910" display="https://pbs.twimg.com/profile_images/652191269934993408/5bZKOI8y_normal.jpg" xr:uid="{F715F428-1A51-4699-A829-7A5F09B3589A}"/>
    <hyperlink ref="B1595" r:id="rId4911" display="https://twitter.com/AlexanderPiOne" xr:uid="{592E6D80-863D-4987-B045-22D611EDA30B}"/>
    <hyperlink ref="E1595" r:id="rId4912" display="https://twitter.com/AlexanderPiOne/status/723190196674674688" xr:uid="{22691D12-C98E-4243-89F8-716716370B66}"/>
    <hyperlink ref="O1595" r:id="rId4913" display="https://pbs.twimg.com/profile_images/706421741950738432/AjuMmSTT_normal.jpg" xr:uid="{B4FCD6BB-6FB1-4EF5-80D9-687608CCAF9D}"/>
    <hyperlink ref="B1596" r:id="rId4914" display="https://twitter.com/Ohrgefluester" xr:uid="{7893C16A-D394-41E0-94B9-34A77FB5F1FF}"/>
    <hyperlink ref="E1596" r:id="rId4915" display="https://twitter.com/Ohrgefluester/status/723190363847024640" xr:uid="{A6D9931E-906C-4B4F-AE00-BE3A56A09DE2}"/>
    <hyperlink ref="O1596" r:id="rId4916" display="https://pbs.twimg.com/profile_images/418819311164063745/kMdsvAjG_normal.jpeg" xr:uid="{6384875E-6354-427D-84EF-21190A2398D8}"/>
    <hyperlink ref="B1597" r:id="rId4917" display="https://twitter.com/johnvoelcker" xr:uid="{07D29BE7-881C-4C9C-A57A-A181BA0BED7D}"/>
    <hyperlink ref="E1597" r:id="rId4918" display="https://twitter.com/johnvoelcker/status/723190401331396610" xr:uid="{2E9029BE-D6CB-4504-878D-B73EB7D892DB}"/>
    <hyperlink ref="O1597" r:id="rId4919" display="https://pbs.twimg.com/profile_images/2136613539/JV-headshot_normal.jpg" xr:uid="{86D97F17-2512-42FB-943B-BC8CFD0A7E16}"/>
    <hyperlink ref="B1598" r:id="rId4920" display="https://twitter.com/webaraba" xr:uid="{62209D35-D186-4DEC-A8CC-98B76469EBE3}"/>
    <hyperlink ref="C1598" r:id="rId4921" xr:uid="{EF791367-1D91-4651-8F21-72897178B038}"/>
    <hyperlink ref="E1598" r:id="rId4922" display="https://twitter.com/webaraba/status/723190668382863361" xr:uid="{468EB090-6D14-4E86-865C-A4FA553C4A25}"/>
    <hyperlink ref="F1598" r:id="rId4923" xr:uid="{5DBA850D-4CAF-4F38-A278-F176FC1F7782}"/>
    <hyperlink ref="O1598" r:id="rId4924" display="https://pbs.twimg.com/profile_images/641238966541361152/-oEpQ9XT_normal.png" xr:uid="{DFEB8870-6AEE-4E3E-8615-89D176764C4B}"/>
    <hyperlink ref="B1599" r:id="rId4925" display="https://twitter.com/dennlstesia" xr:uid="{73926115-3106-423E-A998-740F240A9DD7}"/>
    <hyperlink ref="E1599" r:id="rId4926" display="https://twitter.com/dennlstesia/status/723190671356628992" xr:uid="{8853F3DB-2D6D-4E43-A63E-D7DE0A2EA98C}"/>
    <hyperlink ref="O1599" r:id="rId4927" display="https://pbs.twimg.com/profile_images/540384368779595776/XDieMHYm_normal.jpeg" xr:uid="{244ACFC6-0F9F-4BD7-8811-A96A5084E36F}"/>
    <hyperlink ref="B1600" r:id="rId4928" display="https://twitter.com/ClarkWDerry" xr:uid="{3E87F3D3-EE04-4471-86DC-F280C4ACC2DC}"/>
    <hyperlink ref="E1600" r:id="rId4929" display="https://twitter.com/ClarkWDerry/status/723190711986724864" xr:uid="{45BC6002-7599-4EE8-8C70-B48F0579C254}"/>
    <hyperlink ref="O1600" r:id="rId4930" display="https://pbs.twimg.com/profile_images/461183491531497472/BvYhImr6_normal.jpeg" xr:uid="{492BF7D5-A31E-47DE-9AA2-41A90999A88B}"/>
    <hyperlink ref="B1601" r:id="rId4931" display="https://twitter.com/NicoleGeorge951" xr:uid="{2EBC7661-7F28-412D-B9A7-07294DAF35A1}"/>
    <hyperlink ref="E1601" r:id="rId4932" display="https://twitter.com/NicoleGeorge951/status/723190756215799809" xr:uid="{F22D774C-33DC-412E-9895-B9DC87432CA6}"/>
    <hyperlink ref="O1601" r:id="rId4933" display="https://pbs.twimg.com/profile_images/541560508802158592/txuMsYDy_normal.jpeg" xr:uid="{6083A76B-31B8-40DA-88EF-38D3FEDC50E2}"/>
    <hyperlink ref="B1602" r:id="rId4934" display="https://twitter.com/wnurnews" xr:uid="{E45C774B-F7EE-411E-91C1-C0FD7EFD1BA3}"/>
    <hyperlink ref="E1602" r:id="rId4935" display="https://twitter.com/wnurnews/status/723190791871467520" xr:uid="{D190CE4D-D922-4DA5-8AD9-E7C1516C75FE}"/>
    <hyperlink ref="O1602" r:id="rId4936" display="https://pbs.twimg.com/profile_images/654027844952133632/fMu2jQQm_normal.jpg" xr:uid="{271EE82A-662D-44C7-9A88-048EF2CCEF5E}"/>
    <hyperlink ref="B1603" r:id="rId4937" display="https://twitter.com/Cati_Economia" xr:uid="{81C1A900-FEB9-4783-824A-7F1C3BDA2325}"/>
    <hyperlink ref="E1603" r:id="rId4938" display="https://twitter.com/Cati_Economia/status/723190801908568064" xr:uid="{5998BB81-5D65-4760-AFD5-287BDDE29A69}"/>
    <hyperlink ref="O1603" r:id="rId4939" display="https://pbs.twimg.com/profile_images/536852811401555968/jGIByPyp_normal.png" xr:uid="{5CD06BB6-7542-4DA2-9CFD-4DEF26CA865D}"/>
    <hyperlink ref="B1604" r:id="rId4940" display="https://twitter.com/VWofStockton" xr:uid="{75370A99-04B0-47C2-B7C2-3B1A3B818218}"/>
    <hyperlink ref="E1604" r:id="rId4941" display="https://twitter.com/VWofStockton/status/723190817322577920" xr:uid="{9DDE2274-8F21-4912-A4B3-D14B3FA6DE55}"/>
    <hyperlink ref="O1604" r:id="rId4942" display="https://pbs.twimg.com/profile_images/688094284558422016/VHQCApoO_normal.jpg" xr:uid="{5AE089D0-51EA-4AE1-A5A4-D1A6E20B82BF}"/>
    <hyperlink ref="B1605" r:id="rId4943" display="https://twitter.com/Cati_Economia" xr:uid="{614978D6-7D27-4E8D-B7C5-D8E2C2EAF50C}"/>
    <hyperlink ref="E1605" r:id="rId4944" display="https://twitter.com/Cati_Economia/status/723190833269358592" xr:uid="{4D3D50BB-5AF2-4275-A1A4-1E2ECFCF1F77}"/>
    <hyperlink ref="O1605" r:id="rId4945" display="https://pbs.twimg.com/profile_images/536852811401555968/jGIByPyp_normal.png" xr:uid="{856C894C-7D01-4AED-A945-DA9D2DB48D67}"/>
    <hyperlink ref="B1606" r:id="rId4946" display="https://twitter.com/Modhi60" xr:uid="{68A01FAB-4C15-4AE1-B495-4170F6717DFD}"/>
    <hyperlink ref="E1606" r:id="rId4947" display="https://twitter.com/Modhi60/status/723190845579640832" xr:uid="{49DD51BD-159B-4590-8C67-3769A671B914}"/>
    <hyperlink ref="O1606" r:id="rId4948" display="https://pbs.twimg.com/profile_images/539547348016582658/ToAwB3dR_normal.jpeg" xr:uid="{26961776-E7B7-40F5-9E2A-D0AB8F1D4737}"/>
    <hyperlink ref="B1607" r:id="rId4949" display="https://twitter.com/_lLoveTini" xr:uid="{0092E208-D15F-4891-91C0-B038456EBE33}"/>
    <hyperlink ref="E1607" r:id="rId4950" display="https://twitter.com/_lLoveTini/status/723190962697179136" xr:uid="{1228652C-D30C-422D-B0D7-4441DDEDF2D2}"/>
    <hyperlink ref="O1607" r:id="rId4951" display="https://pbs.twimg.com/profile_images/539633066374082560/7LVEoXTT_normal.png" xr:uid="{575E98FC-586B-49F5-9C5E-17464F57484C}"/>
    <hyperlink ref="B1608" r:id="rId4952" display="https://twitter.com/ronixact" xr:uid="{C3989911-326D-45AC-8B86-DE58FCC56643}"/>
    <hyperlink ref="E1608" r:id="rId4953" display="https://twitter.com/ronixact/status/723190986965442560" xr:uid="{91743002-A36D-4FFA-89AC-2BD6ADC18707}"/>
    <hyperlink ref="O1608" r:id="rId4954" display="https://pbs.twimg.com/profile_images/640598784163061761/S-0diasw_normal.jpg" xr:uid="{FCA5CB43-FEF6-4F82-8769-D338BF9110CD}"/>
    <hyperlink ref="B1609" r:id="rId4955" display="https://twitter.com/mjplust" xr:uid="{ADCA8AC0-F8C4-44B5-AFA8-FCB3D64036B0}"/>
    <hyperlink ref="E1609" r:id="rId4956" display="https://twitter.com/mjplust/status/723190987317760000" xr:uid="{B3C01309-5BCB-43E3-8971-E26E21EFEC58}"/>
    <hyperlink ref="O1609" r:id="rId4957" display="https://pbs.twimg.com/profile_images/667004289710100480/PaPiOcsb_normal.jpg" xr:uid="{D7113FB1-9998-43E3-A228-E19B140B5708}"/>
    <hyperlink ref="B1610" r:id="rId4958" display="https://twitter.com/KSWO_7NEWS" xr:uid="{B00D3415-C58E-4C04-BB37-834627686C4E}"/>
    <hyperlink ref="E1610" r:id="rId4959" display="https://twitter.com/KSWO_7NEWS/status/723191035682164737" xr:uid="{86BC7D5F-6675-4490-8497-7E57F5174809}"/>
    <hyperlink ref="O1610" r:id="rId4960" display="https://pbs.twimg.com/profile_images/532260076111679488/n4YfB0VH_normal.jpeg" xr:uid="{634CBB6A-F54B-4330-A42E-7C0B130E791A}"/>
    <hyperlink ref="B1611" r:id="rId4961" display="https://twitter.com/MiManske" xr:uid="{7F323F89-259D-4DFC-9D58-972AB38856B9}"/>
    <hyperlink ref="E1611" r:id="rId4962" display="https://twitter.com/MiManske/status/723191059006803968" xr:uid="{3AD5C874-3A19-4EF8-9AE5-193E67DF4E1E}"/>
    <hyperlink ref="O1611" r:id="rId4963" display="https://pbs.twimg.com/profile_images/652191269934993408/5bZKOI8y_normal.jpg" xr:uid="{111A75B8-D3A3-4F2C-A3E4-70866C9FCFC5}"/>
    <hyperlink ref="B1612" r:id="rId4964" display="https://twitter.com/L3onardP" xr:uid="{37AEA71E-E0F4-4F6B-924E-ECE418D4A30F}"/>
    <hyperlink ref="E1612" r:id="rId4965" display="https://twitter.com/L3onardP/status/723191162589327360" xr:uid="{8F466423-8931-4622-A366-7798E133B240}"/>
    <hyperlink ref="O1612" r:id="rId4966" display="https://pbs.twimg.com/profile_images/682948856124960769/OEeDCE0w_normal.jpg" xr:uid="{5ED22B93-86DD-4FA2-8755-CA75ED6868B2}"/>
    <hyperlink ref="B1613" r:id="rId4967" display="https://twitter.com/rlndwbr" xr:uid="{E0399A7B-CF67-4BA0-940E-144355CAC476}"/>
    <hyperlink ref="E1613" r:id="rId4968" display="https://twitter.com/rlndwbr/status/723191397671682048" xr:uid="{FC12083F-91BC-4D13-AA16-375DDEFE44BE}"/>
    <hyperlink ref="O1613" r:id="rId4969" display="https://pbs.twimg.com/profile_images/663838045880393728/qlhD2tfi_normal.jpg" xr:uid="{08E6D794-8C3D-4C65-9605-3FD96F286330}"/>
    <hyperlink ref="B1614" r:id="rId4970" display="https://twitter.com/lessismoremike" xr:uid="{ADD0D430-96EB-4213-A04C-DAA4E4548300}"/>
    <hyperlink ref="E1614" r:id="rId4971" display="https://twitter.com/lessismoremike/status/723191454781288448" xr:uid="{4E5F5DE1-0396-4936-B43F-FA729722BA33}"/>
    <hyperlink ref="O1614" r:id="rId4972" display="https://pbs.twimg.com/profile_images/1772698594/image_normal.jpg" xr:uid="{09D0029E-AE0A-4313-A80A-C61CF259AD88}"/>
    <hyperlink ref="B1615" r:id="rId4973" display="https://twitter.com/BILD_Reporter" xr:uid="{621263DB-A14A-4189-82B3-E366EECD975A}"/>
    <hyperlink ref="E1615" r:id="rId4974" display="https://twitter.com/BILD_Reporter/status/723191553678802944" xr:uid="{B86282AD-8618-4A6F-BC4A-A5B24D85C0E8}"/>
    <hyperlink ref="O1615" r:id="rId4975" display="https://pbs.twimg.com/profile_images/578542636140781568/2T_ukEU0_normal.jpeg" xr:uid="{970AE213-F204-4F0F-B3BB-D247A7BEDED4}"/>
    <hyperlink ref="B1616" r:id="rId4976" display="https://twitter.com/BILD_Reporter" xr:uid="{EB84D2F1-71C9-4081-8A81-ECFC8A28E5E3}"/>
    <hyperlink ref="E1616" r:id="rId4977" display="https://twitter.com/BILD_Reporter/status/723191565200592897" xr:uid="{40864538-0EF6-4754-AC26-B38223018F1D}"/>
    <hyperlink ref="O1616" r:id="rId4978" display="https://pbs.twimg.com/profile_images/578542636140781568/2T_ukEU0_normal.jpeg" xr:uid="{ED2E0256-C157-422E-A479-126E040432F2}"/>
    <hyperlink ref="B1617" r:id="rId4979" display="https://twitter.com/nealboudette" xr:uid="{A4A12E99-6F42-47B5-82E1-4A6319CE93B1}"/>
    <hyperlink ref="E1617" r:id="rId4980" display="https://twitter.com/nealboudette/status/723191603716718592" xr:uid="{C6B2D239-04A1-487B-A3BD-ED4943BC0BB3}"/>
    <hyperlink ref="O1617" r:id="rId4981" display="https://pbs.twimg.com/profile_images/714548199294418944/5p7GzpJ5_normal.jpg" xr:uid="{C8B5E7F4-28A8-49B5-A0EC-9B313667733E}"/>
    <hyperlink ref="B1618" r:id="rId4982" display="https://twitter.com/aligerb" xr:uid="{B8E763E5-82B2-453F-9403-34C3DA1491B0}"/>
    <hyperlink ref="E1618" r:id="rId4983" display="https://twitter.com/aligerb/status/723191614437515264" xr:uid="{4CC0B07F-3049-465D-83FD-AA0954FF90A3}"/>
    <hyperlink ref="O1618" r:id="rId4984" display="https://pbs.twimg.com/profile_images/717529579779399680/e1OghXlz_normal.jpg" xr:uid="{E8F213BC-31E2-45A3-8CCB-27AD96406642}"/>
    <hyperlink ref="B1619" r:id="rId4985" display="https://twitter.com/BirkiBear" xr:uid="{EE7CA0A0-E128-49FD-8CB8-2E4870BAA514}"/>
    <hyperlink ref="E1619" r:id="rId4986" display="https://twitter.com/BirkiBear/status/723191656317595648" xr:uid="{EDE43271-4D68-47DD-BB24-7A75357E139F}"/>
    <hyperlink ref="O1619" r:id="rId4987" display="https://pbs.twimg.com/profile_images/684113820369993728/mURtM6YZ_normal.jpg" xr:uid="{BF50743E-D51A-4061-8779-C9BBC42F537F}"/>
    <hyperlink ref="B1620" r:id="rId4988" display="https://twitter.com/iconcustoms" xr:uid="{9AD66F56-5F28-45BD-A5EA-C80DE72E198A}"/>
    <hyperlink ref="E1620" r:id="rId4989" display="https://twitter.com/iconcustoms/status/723191729155760129" xr:uid="{337D0898-CC4C-45A5-8C33-646D90BAC3C1}"/>
    <hyperlink ref="O1620" r:id="rId4990" display="https://pbs.twimg.com/profile_images/3340115851/e66ca0844e0bdd79fdeebac3e138ac72_normal.png" xr:uid="{436F4DEF-5467-4360-85FE-A452B6EA8392}"/>
    <hyperlink ref="B1621" r:id="rId4991" display="https://twitter.com/MikeElk" xr:uid="{400AEF37-98D7-45F6-9492-05AD16B8B7C4}"/>
    <hyperlink ref="E1621" r:id="rId4992" display="https://twitter.com/MikeElk/status/723191734881140736" xr:uid="{0003ACAA-50F1-4CDA-B6E4-14C09CB70570}"/>
    <hyperlink ref="O1621" r:id="rId4993" display="https://pbs.twimg.com/profile_images/682287607309549568/eHWN44Jc_normal.jpg" xr:uid="{BB717345-0E4F-491E-B079-5285102B883D}"/>
    <hyperlink ref="B1622" r:id="rId4994" display="https://twitter.com/VaticDJ" xr:uid="{2A48ED0C-8ED1-4DD5-B804-C153D36C7FD8}"/>
    <hyperlink ref="E1622" r:id="rId4995" display="https://twitter.com/VaticDJ/status/723191868654256128" xr:uid="{DCFE3495-111F-46DE-92ED-E12F549984AA}"/>
    <hyperlink ref="O1622" r:id="rId4996" display="https://pbs.twimg.com/profile_images/709854680122261504/6ctg6v1O_normal.jpg" xr:uid="{2A9C9839-35CA-4324-9096-E9DC883D6D82}"/>
    <hyperlink ref="B1623" r:id="rId4997" display="https://twitter.com/mrswaish" xr:uid="{5F36F01E-5BF4-4C16-B9CD-7C48505687CB}"/>
    <hyperlink ref="E1623" r:id="rId4998" display="https://twitter.com/mrswaish/status/723191885095944192" xr:uid="{65DEFC50-AA95-4BD3-BCD7-9D3AA483A3BF}"/>
    <hyperlink ref="O1623" r:id="rId4999" display="https://pbs.twimg.com/profile_images/540346017540214786/VhMA3-JB_normal.jpeg" xr:uid="{9C84E6C3-A0FF-4214-8162-CE402467824E}"/>
    <hyperlink ref="B1624" r:id="rId5000" display="https://twitter.com/Passion_4" xr:uid="{75C41FDD-7C5D-4F9C-94A3-9C5E3FEB2017}"/>
    <hyperlink ref="E1624" r:id="rId5001" display="https://twitter.com/Passion_4/status/723191924597858304" xr:uid="{ECC16194-4770-470D-AB5B-51A91DB3C1BF}"/>
    <hyperlink ref="O1624" r:id="rId5002" display="https://pbs.twimg.com/profile_images/378800000767108962/c0a1ecd5352e4efdab50e246ee42dce4_normal.png" xr:uid="{84837316-43C2-4BD3-A474-651C7DC52739}"/>
    <hyperlink ref="B1625" r:id="rId5003" display="https://twitter.com/Srry_I_ddnt_kno" xr:uid="{DECA6F58-9910-4CDD-9786-F2FC5A6F28DB}"/>
    <hyperlink ref="E1625" r:id="rId5004" display="https://twitter.com/Srry_I_ddnt_kno/status/723191986312744961" xr:uid="{1FA45E4D-552F-4926-9D7A-83DD89F000E1}"/>
    <hyperlink ref="O1625" r:id="rId5005" display="https://pbs.twimg.com/profile_images/654379371449421825/wDuXHoqa_normal.jpg" xr:uid="{38660B11-D111-4951-92F5-924A60D6E9DC}"/>
    <hyperlink ref="B1626" r:id="rId5006" display="https://twitter.com/heutejournal" xr:uid="{158012DF-F2AB-4B06-8228-D57D35A92E44}"/>
    <hyperlink ref="E1626" r:id="rId5007" display="https://twitter.com/heutejournal/status/723191999810134016" xr:uid="{587DC2B8-6187-49FF-8180-6449EB5BD0F5}"/>
    <hyperlink ref="O1626" r:id="rId5008" display="https://pbs.twimg.com/profile_images/477091436634988544/4TdZMAIm_normal.png" xr:uid="{0C72CA67-32E9-4EE1-8306-671814D878AD}"/>
    <hyperlink ref="B1627" r:id="rId5009" display="https://twitter.com/BFSCR" xr:uid="{7E452421-93C5-4FA2-A96B-E858141915C9}"/>
    <hyperlink ref="E1627" r:id="rId5010" display="https://twitter.com/BFSCR/status/723192169050173440" xr:uid="{679BFE7A-F980-4BB7-B077-69E1E8F6A9EF}"/>
    <hyperlink ref="O1627" r:id="rId5011" display="https://pbs.twimg.com/profile_images/580401869371105282/OgAHc7s8_normal.png" xr:uid="{921C3487-34E4-4742-A8FC-2829DC543CBE}"/>
    <hyperlink ref="B1628" r:id="rId5012" display="https://twitter.com/Marina_Ilona" xr:uid="{23DD1948-7FD1-4EEC-A9D7-C0D135644EAB}"/>
    <hyperlink ref="E1628" r:id="rId5013" display="https://twitter.com/Marina_Ilona/status/723192472617279488" xr:uid="{20704CE9-E94C-49A7-AE1C-937E2446CB43}"/>
    <hyperlink ref="O1628" r:id="rId5014" display="https://pbs.twimg.com/profile_images/692310744122179588/mSQOWSau_normal.jpg" xr:uid="{78209E93-DF5C-4FC2-86EA-F40091D5CC74}"/>
    <hyperlink ref="B1629" r:id="rId5015" display="https://twitter.com/urban_aid" xr:uid="{1BAF6CBF-FC14-4BBB-B109-C487F5E902DC}"/>
    <hyperlink ref="E1629" r:id="rId5016" display="https://twitter.com/urban_aid/status/723192559674228736" xr:uid="{0B907212-2503-4CB7-9F06-114DFC27D422}"/>
    <hyperlink ref="O1629" r:id="rId5017" display="https://pbs.twimg.com/profile_images/722324463975600129/qFvYOGhr_normal.jpg" xr:uid="{47D4FEF5-7267-49A8-AD4A-E38EC4348EFE}"/>
    <hyperlink ref="B1630" r:id="rId5018" display="https://twitter.com/heigion" xr:uid="{4018A3E7-9D4B-4472-8B67-55CE9AB5577C}"/>
    <hyperlink ref="E1630" r:id="rId5019" display="https://twitter.com/heigion/status/723192599494987776" xr:uid="{457B84F1-D058-4DAA-92F4-B9B3AD38BFDB}"/>
    <hyperlink ref="O1630" r:id="rId5020" display="https://pbs.twimg.com/profile_images/685398869451108352/4CLmtj_w_normal.jpg" xr:uid="{D7F73F0C-308E-4069-B080-0535A338BBE4}"/>
    <hyperlink ref="B1631" r:id="rId5021" display="https://twitter.com/fyhs3unghyun" xr:uid="{15E5EDA1-2975-4FD5-95E6-9B0E376ED9CA}"/>
    <hyperlink ref="E1631" r:id="rId5022" display="https://twitter.com/fyhs3unghyun/status/723192672421351424" xr:uid="{583FD925-8A85-49A9-B9D6-189E5A84F96B}"/>
    <hyperlink ref="O1631" r:id="rId5023" display="https://pbs.twimg.com/profile_images/534255639426781184/ql2Dh_Jn_normal.jpeg" xr:uid="{ACDD2690-5AFC-434A-A67A-0EC8FBF517F0}"/>
    <hyperlink ref="B1632" r:id="rId5024" display="https://twitter.com/bjdake" xr:uid="{18BAC6D7-9FF3-4329-A937-213C10B82FF2}"/>
    <hyperlink ref="E1632" r:id="rId5025" display="https://twitter.com/bjdake/status/723192685838753793" xr:uid="{7C39ADB9-0D0D-47C5-8C31-1A1C79B4939F}"/>
    <hyperlink ref="O1632" r:id="rId5026" display="https://pbs.twimg.com/profile_images/610082049458864128/MPidD5hk_normal.jpg" xr:uid="{27B6F2F0-F898-4421-B6AD-BC191F8E936D}"/>
    <hyperlink ref="B1633" r:id="rId5027" display="https://twitter.com/VWCamperSales" xr:uid="{257E9983-D627-41CB-A797-8015BECFA9AF}"/>
    <hyperlink ref="E1633" r:id="rId5028" display="https://twitter.com/VWCamperSales/status/723192718776651777" xr:uid="{DB3B99DE-BB9C-4E2D-B12E-56A81923C6F0}"/>
    <hyperlink ref="F1633" r:id="rId5029" xr:uid="{E1184EB4-B65A-4F0B-9514-286A103343E9}"/>
    <hyperlink ref="O1633" r:id="rId5030" display="https://pbs.twimg.com/profile_images/627949001179037696/skEBkS05_normal.jpg" xr:uid="{9DDBFD1B-C57A-4FA1-89B5-9ADDE1219C70}"/>
    <hyperlink ref="B1634" r:id="rId5031" display="https://twitter.com/celiacernadas" xr:uid="{54479987-6AEA-46D6-8066-779867F45FBE}"/>
    <hyperlink ref="E1634" r:id="rId5032" display="https://twitter.com/celiacernadas/status/723192725118447616" xr:uid="{2DCC9EF4-BF59-447D-A98D-11DB92EB8CC7}"/>
    <hyperlink ref="O1634" r:id="rId5033" display="https://pbs.twimg.com/profile_images/691097936181215232/Ocy36TIb_normal.jpg" xr:uid="{6E0FCC3B-09D8-42CC-B820-2005312966EE}"/>
    <hyperlink ref="B1635" r:id="rId5034" display="https://twitter.com/alvaromaxlma" xr:uid="{359FA405-0DA2-4736-AF68-2EE87809CAE8}"/>
    <hyperlink ref="E1635" r:id="rId5035" display="https://twitter.com/alvaromaxlma/status/723192745125371904" xr:uid="{499D81B7-3285-43EC-8B82-5B82ACB70FE1}"/>
    <hyperlink ref="O1635" r:id="rId5036" display="https://pbs.twimg.com/profile_images/540354364641382400/QHa2e-f5_normal.jpeg" xr:uid="{CF36E9D3-EF68-4E01-97DA-B6282907074B}"/>
    <hyperlink ref="B1636" r:id="rId5037" display="https://twitter.com/jpperl" xr:uid="{C73DAB0E-F687-461B-AB07-1465C9C53D93}"/>
    <hyperlink ref="E1636" r:id="rId5038" display="https://twitter.com/jpperl/status/723192758039642112" xr:uid="{99352068-CBB5-49FE-A938-2F1FE7D1776C}"/>
    <hyperlink ref="O1636" r:id="rId5039" display="https://pbs.twimg.com/profile_images/695333347594080256/cfTz2HlD_normal.jpg" xr:uid="{E43D772E-F95C-4C6F-B047-31385D93740C}"/>
    <hyperlink ref="B1637" r:id="rId5040" display="https://twitter.com/balleyreesee" xr:uid="{563B3979-30E9-4741-BF79-4161440E8919}"/>
    <hyperlink ref="E1637" r:id="rId5041" display="https://twitter.com/balleyreesee/status/723192817623945216" xr:uid="{21AF2A4D-F47D-477D-917A-057924358018}"/>
    <hyperlink ref="O1637" r:id="rId5042" display="https://pbs.twimg.com/profile_images/534249310582358016/9Op3LOiJ_normal.jpeg" xr:uid="{BEF1B5CA-3916-4ECC-AE0F-7E59DC8E7460}"/>
    <hyperlink ref="B1638" r:id="rId5043" display="https://twitter.com/zlzal7562" xr:uid="{E75E04D7-AA9C-42DE-B6C2-1663A81F8DA3}"/>
    <hyperlink ref="E1638" r:id="rId5044" display="https://twitter.com/zlzal7562/status/723192865288032257" xr:uid="{CD502705-75C6-4796-AB14-48A1CAE2BB4E}"/>
    <hyperlink ref="O1638" r:id="rId5045" display="https://pbs.twimg.com/profile_images/539562831142981632/aNGOf_sw_normal.jpeg" xr:uid="{6FF458D6-7F6B-43CD-B0C7-F40E28F30B92}"/>
    <hyperlink ref="B1639" r:id="rId5046" display="https://twitter.com/CarNewsBit" xr:uid="{01DBA5F8-8EE2-400E-B06D-ADE9F30D82E2}"/>
    <hyperlink ref="E1639" r:id="rId5047" display="https://twitter.com/CarNewsBit/status/723192981386227712" xr:uid="{22425713-581B-4F89-8B78-80DB4AFAA611}"/>
    <hyperlink ref="O1639" r:id="rId5048" display="https://abs.twimg.com/sticky/default_profile_images/default_profile_5_normal.png" xr:uid="{D233AAF2-099B-4F1C-B4D9-E4B56E432774}"/>
    <hyperlink ref="B1640" r:id="rId5049" display="https://twitter.com/larskllnt" xr:uid="{5EB48928-D1B1-4B72-ABC7-EDCB3E816DC9}"/>
    <hyperlink ref="E1640" r:id="rId5050" display="https://twitter.com/larskllnt/status/723192985177997313" xr:uid="{0A64E8A3-A504-4778-AD82-AFA1B929F7B7}"/>
    <hyperlink ref="O1640" r:id="rId5051" display="https://pbs.twimg.com/profile_images/540347052673490944/OD4X0c6E_normal.jpeg" xr:uid="{2B4B7A24-0495-45B9-89D6-901D3A65564C}"/>
    <hyperlink ref="B1641" r:id="rId5052" display="https://twitter.com/x3m_f" xr:uid="{52B76EB2-E1A1-4317-942E-6B31323F964A}"/>
    <hyperlink ref="E1641" r:id="rId5053" display="https://twitter.com/x3m_f/status/723193024617013248" xr:uid="{61DF1E95-803C-42DB-92ED-AE64A402AF4F}"/>
    <hyperlink ref="O1641" r:id="rId5054" display="https://pbs.twimg.com/profile_images/680251329592344576/lnXUGVBa_normal.jpg" xr:uid="{89B2FDC8-3A14-40DD-B703-5F237EB35C77}"/>
    <hyperlink ref="B1642" r:id="rId5055" display="https://twitter.com/EPTSchubertAnd" xr:uid="{0BA570C5-D451-49F4-830C-02494E633A5E}"/>
    <hyperlink ref="E1642" r:id="rId5056" display="https://twitter.com/EPTSchubertAnd/status/723193143177392128" xr:uid="{529B1FA3-5BD3-4D98-86C9-C46D8CC23F96}"/>
    <hyperlink ref="O1642" r:id="rId5057" display="https://pbs.twimg.com/profile_images/722117972672663552/zJjDQ-lz_normal.png" xr:uid="{7BA02E1D-2460-4282-A51A-9F565C5F0DC0}"/>
    <hyperlink ref="B1643" r:id="rId5058" display="https://twitter.com/Dannl_Beltrami" xr:uid="{AA09E566-0BD2-4EE6-950B-FE3C950177E5}"/>
    <hyperlink ref="E1643" r:id="rId5059" display="https://twitter.com/Dannl_Beltrami/status/723193180594798593" xr:uid="{74B79FAF-3D0D-4C53-946B-D27C77400EA6}"/>
    <hyperlink ref="O1643" r:id="rId5060" display="https://pbs.twimg.com/profile_images/541577633860182016/g87TjN_W_normal.jpeg" xr:uid="{F3838729-44FB-4F4A-A743-2773C2A125B3}"/>
    <hyperlink ref="B1644" r:id="rId5061" display="https://twitter.com/mueller_andi" xr:uid="{47BC7E1E-6B70-455F-BBC6-3E7C7C6E1CBC}"/>
    <hyperlink ref="E1644" r:id="rId5062" display="https://twitter.com/mueller_andi/status/723193298504978434" xr:uid="{C3DE84FD-F72C-4291-8908-4778F5413D5C}"/>
    <hyperlink ref="O1644" r:id="rId5063" display="https://pbs.twimg.com/profile_images/581458224513077249/G_D2tx_4_normal.png" xr:uid="{4FCB0DFA-D494-435E-8799-BFA4A102079A}"/>
    <hyperlink ref="B1645" r:id="rId5064" display="https://twitter.com/sociokomm" xr:uid="{2923CA86-607E-476A-942F-BAAB3361D065}"/>
    <hyperlink ref="E1645" r:id="rId5065" display="https://twitter.com/sociokomm/status/723193562867896320" xr:uid="{AA76B98E-E63F-4173-84CA-4A2F43B2224E}"/>
    <hyperlink ref="O1645" r:id="rId5066" display="https://pbs.twimg.com/profile_images/1230665985/Kerpen_Daniel_normal.png" xr:uid="{ABEF08F3-E908-41AC-9555-A7A78538DEDC}"/>
    <hyperlink ref="B1646" r:id="rId5067" display="https://twitter.com/Catinformacio" xr:uid="{7C51B0E7-3F64-47FE-8217-C28FE66B7CBB}"/>
    <hyperlink ref="E1646" r:id="rId5068" display="https://twitter.com/Catinformacio/status/723193567263363081" xr:uid="{ED63AFD3-5E52-4954-A60C-F295B9B13B65}"/>
    <hyperlink ref="O1646" r:id="rId5069" display="https://pbs.twimg.com/profile_images/536851001144143874/ZkA1n-PI_normal.png" xr:uid="{97DE0435-05DC-4E9D-8468-47751A8F729A}"/>
    <hyperlink ref="B1647" r:id="rId5070" display="https://twitter.com/HansTheGerman" xr:uid="{A56CD672-392A-45D0-BF2E-3F0B0CB92E2F}"/>
    <hyperlink ref="E1647" r:id="rId5071" display="https://twitter.com/HansTheGerman/status/723193587656089602" xr:uid="{5820BB0E-9DF7-4968-947F-CC587D547004}"/>
    <hyperlink ref="O1647" r:id="rId5072" display="https://pbs.twimg.com/profile_images/3012106875/596e712c99a38ec69b925b7f7ab71986_normal.jpeg" xr:uid="{46D7E979-6291-4406-8570-DB255A13D5BE}"/>
    <hyperlink ref="B1648" r:id="rId5073" display="https://twitter.com/PaddySteen" xr:uid="{73EF0401-3EB5-4946-82CA-02FEABE581B9}"/>
    <hyperlink ref="E1648" r:id="rId5074" display="https://twitter.com/PaddySteen/status/723193664659283970" xr:uid="{41E1CEBE-695F-49F4-A9C6-DEFEEBCE7EE9}"/>
    <hyperlink ref="O1648" r:id="rId5075" display="https://pbs.twimg.com/profile_images/708003242857340928/cAaQH8tl_normal.jpg" xr:uid="{825CFDBA-2E57-48C5-92B8-98A57B5A70BA}"/>
    <hyperlink ref="B1649" r:id="rId5076" display="https://twitter.com/ibuscke" xr:uid="{4DF34A96-3EEF-4E15-905C-A125247C2C3B}"/>
    <hyperlink ref="E1649" r:id="rId5077" display="https://twitter.com/ibuscke/status/723193704312393728" xr:uid="{9A5CB81F-05CB-4346-8A71-A90672B76900}"/>
    <hyperlink ref="O1649" r:id="rId5078" display="https://pbs.twimg.com/profile_images/672187059751157760/zcl-YTFR_normal.jpg" xr:uid="{D3963F82-5B06-489F-AF9F-C478D231AC72}"/>
    <hyperlink ref="B1650" r:id="rId5079" display="https://twitter.com/sip_media" xr:uid="{E2D185A1-5F57-4F0B-AC63-8E8642142850}"/>
    <hyperlink ref="E1650" r:id="rId5080" display="https://twitter.com/sip_media/status/723193746926514176" xr:uid="{C459FB2B-38A9-4A9F-BB76-1A01FE3A1165}"/>
    <hyperlink ref="O1650" r:id="rId5081" display="https://pbs.twimg.com/profile_images/1933484874/Portrait_Sissi_Pitzer_2011_normal.jpg" xr:uid="{F00F64C4-4584-4F85-8CB8-2E160FE38ACE}"/>
    <hyperlink ref="B1651" r:id="rId5082" display="https://twitter.com/Titoo_Castro" xr:uid="{8748BAEC-3B4C-4C78-8F72-309BC0E562F0}"/>
    <hyperlink ref="E1651" r:id="rId5083" display="https://twitter.com/Titoo_Castro/status/723193877025443840" xr:uid="{7116EF6C-6D12-4C08-A8D0-CFF983070A6A}"/>
    <hyperlink ref="O1651" r:id="rId5084" display="https://pbs.twimg.com/profile_images/711008838921687040/3msFrTd__normal.jpg" xr:uid="{9991FB93-9583-41A4-B61E-EDC386F9C6D1}"/>
    <hyperlink ref="B1652" r:id="rId5085" display="https://twitter.com/wvrlaw" xr:uid="{E461A85C-FBC5-4B3F-92D1-BCCDD906057B}"/>
    <hyperlink ref="E1652" r:id="rId5086" display="https://twitter.com/wvrlaw/status/723193993819873280" xr:uid="{A4CF2F24-A198-44C5-B177-E9494D23C5A7}"/>
    <hyperlink ref="O1652" r:id="rId5087" display="https://pbs.twimg.com/profile_images/613011463947554816/v7_Hl4O5_normal.png" xr:uid="{D6E40A9E-C23E-4851-B7DD-E26B5F2D8C81}"/>
    <hyperlink ref="B1653" r:id="rId5088" display="https://twitter.com/ErnstvAll" xr:uid="{2C1D2680-D3D0-4255-ADF9-E2A27DF473CA}"/>
    <hyperlink ref="E1653" r:id="rId5089" display="https://twitter.com/ErnstvAll/status/723194048719122433" xr:uid="{2356CC8E-8812-4AD7-859A-F65B459C676C}"/>
    <hyperlink ref="O1653" r:id="rId5090" display="https://pbs.twimg.com/profile_images/722924621301956608/WYrNe6po_normal.jpg" xr:uid="{FC82417D-8B3F-439F-8CAC-274770A05664}"/>
    <hyperlink ref="B1654" r:id="rId5091" display="https://twitter.com/chefreporterNRW" xr:uid="{4D319808-B4A9-4BC6-B62E-D4B7FD5FC8AC}"/>
    <hyperlink ref="E1654" r:id="rId5092" display="https://twitter.com/chefreporterNRW/status/723194065249034240" xr:uid="{EEB611F1-5D58-4FA8-8ABE-AC15F3D330EA}"/>
    <hyperlink ref="O1654" r:id="rId5093" display="https://pbs.twimg.com/profile_images/439735434776940544/23u_i7Km_normal.jpeg" xr:uid="{28C4E41D-DCDD-493C-8BEF-218BB44D41FA}"/>
    <hyperlink ref="B1655" r:id="rId5094" display="https://twitter.com/todeed_com" xr:uid="{B99EC468-9ABA-40E3-87E2-91E4F516B292}"/>
    <hyperlink ref="E1655" r:id="rId5095" display="https://twitter.com/todeed_com/status/723194143397146624" xr:uid="{23B4EBF4-8EDC-438B-ACA1-5DC991AC7687}"/>
    <hyperlink ref="O1655" r:id="rId5096" display="https://pbs.twimg.com/profile_images/531921848032698368/e6JpWMNX_normal.png" xr:uid="{369D0531-DFDE-4668-8E9B-8027330314D1}"/>
    <hyperlink ref="B1656" r:id="rId5097" display="https://twitter.com/derchotv" xr:uid="{4F90ACEF-4EB9-4535-B95F-69FE4C495213}"/>
    <hyperlink ref="E1656" r:id="rId5098" display="https://twitter.com/derchotv/status/723194303577751552" xr:uid="{A7B768B5-0F2B-420B-AFCB-CAA026ACB638}"/>
    <hyperlink ref="O1656" r:id="rId5099" display="https://pbs.twimg.com/profile_images/714538405372231680/V37hm1RX_normal.jpg" xr:uid="{595FD13D-7402-4EB8-AA96-6423885DF27D}"/>
    <hyperlink ref="B1657" r:id="rId5100" display="https://twitter.com/vanessablum" xr:uid="{4FF7EB79-5854-47F6-9B20-36198BCAB2C0}"/>
    <hyperlink ref="E1657" r:id="rId5101" display="https://twitter.com/vanessablum/status/723194340470870016" xr:uid="{87D9D629-B763-4CF5-BCFE-17AF2F91F774}"/>
    <hyperlink ref="O1657" r:id="rId5102" display="https://pbs.twimg.com/profile_images/647228813428944896/jzdL4KmK_normal.jpg" xr:uid="{33B5FC07-53BF-407E-AB36-145077CB89EE}"/>
    <hyperlink ref="B1658" r:id="rId5103" display="https://twitter.com/RecorderTweets" xr:uid="{8DCDB420-6A5C-4AB8-9F5A-1EA8313A5346}"/>
    <hyperlink ref="E1658" r:id="rId5104" display="https://twitter.com/RecorderTweets/status/723194340659613696" xr:uid="{33D44E4F-FAC3-425B-B37F-1DB21F6ED990}"/>
    <hyperlink ref="O1658" r:id="rId5105" display="https://pbs.twimg.com/profile_images/572482317193474048/RjdWJzV5_normal.png" xr:uid="{C1DEDC6C-D7AD-4C8B-9267-67C10A79D747}"/>
    <hyperlink ref="B1659" r:id="rId5106" display="https://twitter.com/EuRumtreiber" xr:uid="{7CB5E68E-F301-4B2B-BF96-B355011FBF5A}"/>
    <hyperlink ref="E1659" r:id="rId5107" display="https://twitter.com/EuRumtreiber/status/723194391867830272" xr:uid="{F409BB6D-5547-4B4F-94B0-D95388DEC72F}"/>
    <hyperlink ref="O1659" r:id="rId5108" display="https://pbs.twimg.com/profile_images/704423419648024578/3xzn3sbK_normal.jpg" xr:uid="{D5F16859-3661-452B-99A9-84FF74D793D4}"/>
    <hyperlink ref="B1660" r:id="rId5109" display="https://twitter.com/benghancock" xr:uid="{ADD6F74C-C840-4801-AF05-377A56D1177D}"/>
    <hyperlink ref="E1660" r:id="rId5110" display="https://twitter.com/benghancock/status/723194454513844226" xr:uid="{3FA5BEFB-670C-45AB-9EF3-B40E95D0E78C}"/>
    <hyperlink ref="O1660" r:id="rId5111" display="https://pbs.twimg.com/profile_images/507567438519877632/csbN7hbm_normal.jpeg" xr:uid="{2BB97256-F128-4F90-8EBF-E3039E592F8E}"/>
    <hyperlink ref="B1661" r:id="rId5112" display="https://twitter.com/autosuperbr" xr:uid="{FFFCF13A-25F3-4D25-86A3-F36E37A45A89}"/>
    <hyperlink ref="E1661" r:id="rId5113" display="https://twitter.com/autosuperbr/status/723194596570763264" xr:uid="{E06ADD44-DA2F-4A74-BD6D-2FDAFED31F75}"/>
    <hyperlink ref="O1661" r:id="rId5114" display="https://pbs.twimg.com/profile_images/717040085380804608/MnbcjTEy_normal.jpg" xr:uid="{86E3F3F2-E602-4B14-8CEE-00EFAB68704B}"/>
    <hyperlink ref="B1662" r:id="rId5115" display="https://twitter.com/uptownvw" xr:uid="{266210AD-00A9-49FF-B010-325872318E17}"/>
    <hyperlink ref="E1662" r:id="rId5116" display="https://twitter.com/uptownvw/status/723194629273862146" xr:uid="{FB9E2E1D-E8F0-4B95-B12A-24589E40CBED}"/>
    <hyperlink ref="O1662" r:id="rId5117" display="https://pbs.twimg.com/profile_images/499568960660992003/KqqMP0le_normal.jpeg" xr:uid="{EB62019F-6F38-46B7-9281-0A04193F31E4}"/>
    <hyperlink ref="B1663" r:id="rId5118" display="https://twitter.com/VWPuyallup" xr:uid="{FB51E9F6-8ACB-4B5C-B9C9-EF4043D07201}"/>
    <hyperlink ref="E1663" r:id="rId5119" display="https://twitter.com/VWPuyallup/status/723194678409986048" xr:uid="{3ECC4DFC-00B2-426E-B94B-9C1C6CC142ED}"/>
    <hyperlink ref="O1663" r:id="rId5120" display="https://pbs.twimg.com/profile_images/435934668228001792/Jra00BM-_normal.jpeg" xr:uid="{944662A3-38AA-40C3-86C0-3037F9E8829F}"/>
    <hyperlink ref="B1664" r:id="rId5121" display="https://twitter.com/kngeuro" xr:uid="{3B8E7826-FDC3-4ED4-A492-9E352B8D2796}"/>
    <hyperlink ref="E1664" r:id="rId5122" display="https://twitter.com/kngeuro/status/723194831749656576" xr:uid="{099C1B3C-B2BA-4426-A25C-DAD333B49B7B}"/>
    <hyperlink ref="O1664" r:id="rId5123" display="https://pbs.twimg.com/profile_images/570375988065935360/ooT_Nq7x_normal.jpeg" xr:uid="{9864DB36-486A-40ED-9B87-D7910106EF02}"/>
    <hyperlink ref="B1665" r:id="rId5124" display="https://twitter.com/cltribunesullo" xr:uid="{1F1F9FE1-514E-4396-92FF-C7991AD8C248}"/>
    <hyperlink ref="E1665" r:id="rId5125" display="https://twitter.com/cltribunesullo/status/723194893590474752" xr:uid="{48C42E55-E6BC-47F9-801B-B00B337AF8B3}"/>
    <hyperlink ref="O1665" r:id="rId5126" display="https://pbs.twimg.com/profile_images/1662537456/MichelleTuccittoSullo_normal.jpg" xr:uid="{0FB2CAE2-058B-492E-9B4D-37400DD19731}"/>
    <hyperlink ref="B1666" r:id="rId5127" display="https://twitter.com/edstaite" xr:uid="{47B17DA7-A29C-461A-8E6D-398FCD1BF249}"/>
    <hyperlink ref="E1666" r:id="rId5128" display="https://twitter.com/edstaite/status/723194931846758400" xr:uid="{255599EA-65EC-46E8-8AEF-7BD0983071A4}"/>
    <hyperlink ref="O1666" r:id="rId5129" display="https://pbs.twimg.com/profile_images/512907008442241024/HPk5J0Ju_normal.jpeg" xr:uid="{027B2A95-82ED-48EE-9A7D-12559707014E}"/>
    <hyperlink ref="B1667" r:id="rId5130" display="https://twitter.com/irmischphoto" xr:uid="{AAD0E8E6-E538-42CC-9E99-BB769204489A}"/>
    <hyperlink ref="E1667" r:id="rId5131" display="https://twitter.com/irmischphoto/status/723195009940467712" xr:uid="{ABF126A3-B4E3-4324-B39D-777F50982997}"/>
    <hyperlink ref="O1667" r:id="rId5132" display="https://pbs.twimg.com/profile_images/577797886399942656/atQBIC_s_normal.jpeg" xr:uid="{182A7FC3-70D3-48FE-B281-9A70A0D3DBA0}"/>
    <hyperlink ref="B1668" r:id="rId5133" display="https://twitter.com/leto769" xr:uid="{4494828A-6C84-421A-9EC2-DC739226E601}"/>
    <hyperlink ref="E1668" r:id="rId5134" display="https://twitter.com/leto769/status/723195020304605185" xr:uid="{BCDFFCC7-8B53-4383-BC2D-F2BB6AEFFDE0}"/>
    <hyperlink ref="O1668" r:id="rId5135" display="https://pbs.twimg.com/profile_images/722192780756414464/-kd2pSKL_normal.jpg" xr:uid="{92D75E8C-1524-434F-8F21-3348F138D7FE}"/>
    <hyperlink ref="B1669" r:id="rId5136" display="https://twitter.com/pepmariavila" xr:uid="{51FCC5A6-4145-44B0-AAFB-08B9BD1073D5}"/>
    <hyperlink ref="E1669" r:id="rId5137" display="https://twitter.com/pepmariavila/status/723195032564543489" xr:uid="{150DDD13-1D1E-49A9-8911-6B914D47382B}"/>
    <hyperlink ref="O1669" r:id="rId5138" display="https://pbs.twimg.com/profile_images/628660521844240384/X6OKBdyU_normal.jpg" xr:uid="{38660988-496B-4EF0-B68C-57BF6B9D83CD}"/>
    <hyperlink ref="B1670" r:id="rId5139" display="https://twitter.com/Snoopy92" xr:uid="{F84CFE5D-5717-4E97-BB51-19724A6D039D}"/>
    <hyperlink ref="E1670" r:id="rId5140" display="https://twitter.com/Snoopy92/status/723195103259594752" xr:uid="{6F782996-1F2B-46CC-8F0A-EE00F46893EA}"/>
    <hyperlink ref="O1670" r:id="rId5141" display="https://pbs.twimg.com/profile_images/552919983752491008/q5ofDizB_normal.jpeg" xr:uid="{61BB7D1E-8648-4D30-B6C7-C979F050CB40}"/>
    <hyperlink ref="B1671" r:id="rId5142" display="https://twitter.com/HansKoberstein" xr:uid="{1D26EE4D-860D-4983-B329-18378FD4A0F7}"/>
    <hyperlink ref="E1671" r:id="rId5143" display="https://twitter.com/HansKoberstein/status/723195184062816256" xr:uid="{25A40463-C689-496B-8656-1E1DE5BABFE1}"/>
    <hyperlink ref="O1671" r:id="rId5144" display="https://pbs.twimg.com/profile_images/3400168778/821966172cb238111f037ba37f957cba_normal.jpeg" xr:uid="{F48FC202-9DCB-4EB7-93F3-34F06CEB2CE7}"/>
    <hyperlink ref="B1672" r:id="rId5145" display="https://twitter.com/UdoMaass" xr:uid="{0DE97879-6857-4CB8-8E48-D4651F2DFAFD}"/>
    <hyperlink ref="E1672" r:id="rId5146" display="https://twitter.com/UdoMaass/status/723195285225267201" xr:uid="{E5E2246D-D2C1-44B6-9A74-D42B2342B166}"/>
    <hyperlink ref="O1672" r:id="rId5147" display="https://pbs.twimg.com/profile_images/708416378647277568/VruvHzM8_normal.jpg" xr:uid="{0C5D6DD6-5288-4526-9547-BA50CE5E6595}"/>
    <hyperlink ref="B1673" r:id="rId5148" display="https://twitter.com/JackieLeonard01" xr:uid="{7001CD9A-05B1-4375-A948-F5B317717888}"/>
    <hyperlink ref="E1673" r:id="rId5149" display="https://twitter.com/JackieLeonard01/status/723195379135606787" xr:uid="{D16D93B8-7A99-4EC2-8CA2-AC63F4BF5D41}"/>
    <hyperlink ref="O1673" r:id="rId5150" display="https://pbs.twimg.com/profile_images/1646660459/cropped_pic_normal.jpg" xr:uid="{C7ACFEE7-AF6E-4298-BA25-9AE91D30878A}"/>
    <hyperlink ref="B1674" r:id="rId5151" display="https://twitter.com/riversidevw" xr:uid="{B14DF313-7B28-4E8B-96F1-79037A68B802}"/>
    <hyperlink ref="E1674" r:id="rId5152" display="https://twitter.com/riversidevw/status/723195436635402242" xr:uid="{1F078120-423D-400C-958D-78475C9B7DD8}"/>
    <hyperlink ref="O1674" r:id="rId5153" display="https://pbs.twimg.com/profile_images/672153171607744512/19k3O2VA_normal.png" xr:uid="{7F5DE882-DB5C-4E24-BD72-37846F0E9DF5}"/>
    <hyperlink ref="B1675" r:id="rId5154" display="https://twitter.com/decay23" xr:uid="{5DA0658F-7D37-4117-943F-31C1E1F907E4}"/>
    <hyperlink ref="E1675" r:id="rId5155" display="https://twitter.com/decay23/status/723195726784794628" xr:uid="{C89121B7-61E7-4CD8-B421-99BE0D486677}"/>
    <hyperlink ref="O1675" r:id="rId5156" display="https://pbs.twimg.com/profile_images/712690287202668544/EKkMc4vr_normal.jpg" xr:uid="{74C8B30D-17A5-4F00-AF15-9C3623F103EC}"/>
    <hyperlink ref="B1676" r:id="rId5157" display="https://twitter.com/itscz_org" xr:uid="{1AB0EFEB-F726-4F4F-ABC6-A01389415AAA}"/>
    <hyperlink ref="E1676" r:id="rId5158" display="https://twitter.com/itscz_org/status/723195728546435072" xr:uid="{63C93C48-A850-4221-97B2-0556888438B2}"/>
    <hyperlink ref="O1676" r:id="rId5159" display="https://pbs.twimg.com/profile_images/475119492251398145/HMtPHV3n_normal.png" xr:uid="{020AA006-74AC-4ABF-BE66-F281710348F6}"/>
    <hyperlink ref="B1677" r:id="rId5160" display="https://twitter.com/DieMone37" xr:uid="{F74D90EC-4752-47A4-9A44-6A4DF9E2C8D4}"/>
    <hyperlink ref="E1677" r:id="rId5161" display="https://twitter.com/DieMone37/status/723195804677099520" xr:uid="{454044F1-B3C1-47EC-890C-810F509686B2}"/>
    <hyperlink ref="O1677" r:id="rId5162" display="https://pbs.twimg.com/profile_images/3612471149/16833a41458c8ffd22d99bc873c949b8_normal.jpeg" xr:uid="{60813599-C5D2-46B9-B243-C4C30D58DEAA}"/>
    <hyperlink ref="B1678" r:id="rId5163" display="https://twitter.com/TokanP" xr:uid="{DCCAF4B3-B534-479D-9818-5903DD144C95}"/>
    <hyperlink ref="E1678" r:id="rId5164" display="https://twitter.com/TokanP/status/723195823387906048" xr:uid="{CB62BAF3-DC50-46FB-AA81-8AECE83BFEC6}"/>
    <hyperlink ref="O1678" r:id="rId5165" display="https://pbs.twimg.com/profile_images/684108288955445250/n4CHc8B8_normal.jpg" xr:uid="{1E2A0D96-CB6B-4ABC-9DB6-8221964E8B60}"/>
    <hyperlink ref="B1679" r:id="rId5166" display="https://twitter.com/Ziegengewitter" xr:uid="{2A3EDED5-B701-4589-AA98-F9C99DAC83B1}"/>
    <hyperlink ref="E1679" r:id="rId5167" display="https://twitter.com/Ziegengewitter/status/723196139260903426" xr:uid="{C32C8FAD-0520-4C70-B4E3-E0A00E6206FB}"/>
    <hyperlink ref="O1679" r:id="rId5168" display="https://pbs.twimg.com/profile_images/3274120603/5ceab6a279edd12004a09e2dcd5ae5d8_normal.png" xr:uid="{94BF7FB9-8851-44ED-B430-8509751EAE7D}"/>
    <hyperlink ref="B1680" r:id="rId5169" display="https://twitter.com/countUP" xr:uid="{458A9B3A-0157-4741-9E79-72ED4D6026FC}"/>
    <hyperlink ref="E1680" r:id="rId5170" display="https://twitter.com/countUP/status/723196158068285440" xr:uid="{99754439-B134-4F01-9EF4-4723BB575707}"/>
    <hyperlink ref="O1680" r:id="rId5171" display="https://pbs.twimg.com/profile_images/366739006/bewerbungsbild_detail_flyer_13_normal.png" xr:uid="{B11FA59F-8FF2-48B2-8766-DBF4DDA140D5}"/>
    <hyperlink ref="B1681" r:id="rId5172" display="https://twitter.com/UniversityVWM" xr:uid="{55B09782-8ECE-4CC2-A275-EAE2F8A799CF}"/>
    <hyperlink ref="E1681" r:id="rId5173" display="https://twitter.com/UniversityVWM/status/723196404643028992" xr:uid="{E345963A-4D72-45B2-BBB3-789597C0CA97}"/>
    <hyperlink ref="O1681" r:id="rId5174" display="https://pbs.twimg.com/profile_images/564191903151702016/OXB2zx4u_normal.jpeg" xr:uid="{187D7383-968F-4460-9BF0-C4E95215E2B1}"/>
    <hyperlink ref="B1682" r:id="rId5175" display="https://twitter.com/RA_Block" xr:uid="{E6E60BEE-2F14-4BDE-82D2-983E5F3A69FE}"/>
    <hyperlink ref="E1682" r:id="rId5176" display="https://twitter.com/RA_Block/status/723196557605126144" xr:uid="{1F455D80-A1D4-4CAA-B80A-18B0CB0F4313}"/>
    <hyperlink ref="O1682" r:id="rId5177" display="https://pbs.twimg.com/profile_images/378800000244245667/a08407ea4b970ea93a806987b5ff1554_normal.jpeg" xr:uid="{157B2173-B3CC-421B-B41C-D00F702EA0C2}"/>
    <hyperlink ref="B1683" r:id="rId5178" display="https://twitter.com/Fumblkrusch" xr:uid="{E5199B0B-AD11-480B-BE65-DACF49889977}"/>
    <hyperlink ref="E1683" r:id="rId5179" display="https://twitter.com/Fumblkrusch/status/723196770298126337" xr:uid="{B604BA52-8251-474D-BBB4-92F52E2EFA67}"/>
    <hyperlink ref="O1683" r:id="rId5180" display="https://pbs.twimg.com/profile_images/581493900763893760/mHgaLoR5_normal.jpg" xr:uid="{2359271F-BEAE-4EDD-9865-D133CC608B68}"/>
    <hyperlink ref="B1684" r:id="rId5181" display="https://twitter.com/UniversityVWM" xr:uid="{1C2FD23D-9F0C-4241-8C0C-855E84F1D263}"/>
    <hyperlink ref="E1684" r:id="rId5182" display="https://twitter.com/UniversityVWM/status/723196864980381696" xr:uid="{7F5183F4-6A02-48B3-BDA6-21F70671A0F0}"/>
    <hyperlink ref="O1684" r:id="rId5183" display="https://pbs.twimg.com/profile_images/564191903151702016/OXB2zx4u_normal.jpeg" xr:uid="{7AF4D088-0CC8-4184-A3D4-A17C93A9DB57}"/>
    <hyperlink ref="B1685" r:id="rId5184" display="https://twitter.com/dapper013" xr:uid="{F9AA8A1E-E321-4FF6-BAF0-E6A54CE0FAAF}"/>
    <hyperlink ref="E1685" r:id="rId5185" display="https://twitter.com/dapper013/status/723196908316037120" xr:uid="{8CB28548-B7E8-44E0-ADB1-02CC10FFED0F}"/>
    <hyperlink ref="O1685" r:id="rId5186" display="https://pbs.twimg.com/profile_images/704424786777280513/YQVkJF57_normal.jpg" xr:uid="{BE0F2EE9-4E41-4EF1-B5B7-4C7A31276DF4}"/>
    <hyperlink ref="B1686" r:id="rId5187" display="https://twitter.com/cmbautomotive" xr:uid="{80380521-E2B2-4C8A-9F4A-DC5F11DFE2F7}"/>
    <hyperlink ref="E1686" r:id="rId5188" display="https://twitter.com/cmbautomotive/status/723196935725809665" xr:uid="{65326610-2527-46A4-A3C1-9E7DD4405363}"/>
    <hyperlink ref="O1686" r:id="rId5189" display="https://pbs.twimg.com/profile_images/611551355707240448/Nv7_c41P_normal.jpg" xr:uid="{7D87E398-C06B-448B-A303-AE96E585B18F}"/>
    <hyperlink ref="B1687" r:id="rId5190" display="https://twitter.com/DubLuvTuning" xr:uid="{CE7138DC-E809-4A2C-BB9A-90BC0463A9B6}"/>
    <hyperlink ref="E1687" r:id="rId5191" display="https://twitter.com/DubLuvTuning/status/723197052809781248" xr:uid="{C4FEE4CF-E222-41DB-803A-EFB612D9EF9D}"/>
    <hyperlink ref="O1687" r:id="rId5192" display="https://pbs.twimg.com/profile_images/378800000572104796/1de43e1cf23efb3f4101c02afad0d3b6_normal.png" xr:uid="{4B56C4CF-1F6E-4A88-BDEA-573F00A725BC}"/>
    <hyperlink ref="B1688" r:id="rId5193" display="https://twitter.com/MennoBroers" xr:uid="{BB09F1AB-AB54-46FF-BE74-F1A3BB4E79ED}"/>
    <hyperlink ref="E1688" r:id="rId5194" display="https://twitter.com/MennoBroers/status/723197185496649728" xr:uid="{1C3001BF-89C1-4F94-A69C-7CFB14568A8C}"/>
    <hyperlink ref="O1688" r:id="rId5195" display="https://pbs.twimg.com/profile_images/1286474667/q95g5y1P_normal" xr:uid="{F0EA70C4-22BF-480C-A6F0-52F748361C0B}"/>
    <hyperlink ref="B1689" r:id="rId5196" display="https://twitter.com/AilenNicolep" xr:uid="{847055CC-3FCB-4B81-9317-72C6F3F316A5}"/>
    <hyperlink ref="E1689" r:id="rId5197" display="https://twitter.com/AilenNicolep/status/723197374399700992" xr:uid="{D1DDD035-95ED-49E9-8F42-379C764C0FE6}"/>
    <hyperlink ref="O1689" r:id="rId5198" display="https://pbs.twimg.com/profile_images/716753631907815424/6pqTIf9D_normal.jpg" xr:uid="{B9F2E3A2-ADEC-4CD9-8046-DD7D66178017}"/>
    <hyperlink ref="B1690" r:id="rId5199" display="https://twitter.com/KarinLampart" xr:uid="{32F5E082-16C2-4297-86E0-27BA2300F7DA}"/>
    <hyperlink ref="E1690" r:id="rId5200" display="https://twitter.com/KarinLampart/status/723197395513671680" xr:uid="{2B027345-0C98-462D-89C2-44F81AD4AB5D}"/>
    <hyperlink ref="O1690" r:id="rId5201" display="https://pbs.twimg.com/profile_images/549208594885779456/Vrpr1vWp_normal.jpeg" xr:uid="{ED746A41-DD5A-4AB3-9DBB-866644B9167D}"/>
    <hyperlink ref="B1691" r:id="rId5202" display="https://twitter.com/Histrius" xr:uid="{BB890E4F-1856-494A-84E3-66A2C272A0F4}"/>
    <hyperlink ref="E1691" r:id="rId5203" display="https://twitter.com/Histrius/status/723197462123548672" xr:uid="{041C8E99-5557-413D-92E3-9EB7C76E0C33}"/>
    <hyperlink ref="O1691" r:id="rId5204" display="https://pbs.twimg.com/profile_images/378800000567040197/ebbaf357a1ef7aec1e1ad1ad0e246683_normal.jpeg" xr:uid="{400F36B2-EFDA-42DC-8C4F-BE5E4F7EA34C}"/>
    <hyperlink ref="B1692" r:id="rId5205" display="https://twitter.com/raulubian" xr:uid="{E748D13B-172A-4E3B-BBC0-D785688229AC}"/>
    <hyperlink ref="E1692" r:id="rId5206" display="https://twitter.com/raulubian/status/723197469044183040" xr:uid="{A27D29A0-BFAE-4C6F-9D30-CC46EFF8A5C1}"/>
    <hyperlink ref="O1692" r:id="rId5207" display="https://pbs.twimg.com/profile_images/1756710768/image_normal.jpg" xr:uid="{D2594069-F121-4883-A709-BBC6C8107AD5}"/>
    <hyperlink ref="B1693" r:id="rId5208" display="https://twitter.com/SeaJaysdetailin" xr:uid="{A76E1149-AA9B-4FDF-9868-1C78B1103579}"/>
    <hyperlink ref="E1693" r:id="rId5209" display="https://twitter.com/SeaJaysdetailin/status/723197505643667456" xr:uid="{39AEAC7F-4308-4AD2-AF1A-B7E70C0A3C98}"/>
    <hyperlink ref="O1693" r:id="rId5210" display="https://pbs.twimg.com/profile_images/649649590703030272/Jxn1Hnno_normal.jpg" xr:uid="{889C4DC1-7C39-4E51-8913-94AA7B4EA25C}"/>
    <hyperlink ref="P1693" r:id="rId5211" location="42.55162212,-71.26549861" display="http://ctrlq.org/maps/address/ - 42.55162212,-71.26549861" xr:uid="{13AE9804-AB2F-4618-AFEC-D8C8A31D911B}"/>
    <hyperlink ref="B1694" r:id="rId5212" display="https://twitter.com/CarsUK" xr:uid="{B9719D65-5DEB-4712-B87D-487E6F15447B}"/>
    <hyperlink ref="E1694" r:id="rId5213" display="https://twitter.com/CarsUK/status/723197556847742976" xr:uid="{052A8CDE-06AE-464C-917C-097C624F2545}"/>
    <hyperlink ref="O1694" r:id="rId5214" display="https://pbs.twimg.com/profile_images/1365763712/Twitter-Profile-Logo-5-11_normal.jpg" xr:uid="{B42079DA-A1EF-4837-888F-D84CE864205D}"/>
    <hyperlink ref="B1695" r:id="rId5215" display="https://twitter.com/CarsUKListings" xr:uid="{9FE80F34-33CD-4282-9A2A-E52252F87DDF}"/>
    <hyperlink ref="E1695" r:id="rId5216" display="https://twitter.com/CarsUKListings/status/723197580830715904" xr:uid="{668015E6-5BDD-47E0-B0BE-2590EF034AD4}"/>
    <hyperlink ref="O1695" r:id="rId5217" display="https://pbs.twimg.com/profile_images/575050086574510081/bzY4-hT8_normal.jpeg" xr:uid="{15A0858A-BB7B-4E05-B37E-5F7CD643E6CB}"/>
    <hyperlink ref="B1696" r:id="rId5218" display="https://twitter.com/jofrov" xr:uid="{FF06ECEB-B34B-49F4-A9DA-EF1B1387EF34}"/>
    <hyperlink ref="E1696" r:id="rId5219" display="https://twitter.com/jofrov/status/723197580839137280" xr:uid="{DA29D6F9-FD66-4DA1-9C04-5C079A4A4F90}"/>
    <hyperlink ref="O1696" r:id="rId5220" display="https://pbs.twimg.com/profile_images/2470945175/opq1cuuek0823iileemf_normal.jpeg" xr:uid="{23F5866F-F314-4A25-A7A2-44F4B41BA564}"/>
    <hyperlink ref="B1697" r:id="rId5221" display="https://twitter.com/DealerCouponsCa" xr:uid="{DC7AAA4A-E5F7-4AA4-B469-C92C07E6932D}"/>
    <hyperlink ref="C1697" r:id="rId5222" xr:uid="{8F130113-498D-4ED1-A366-67AE07FE710A}"/>
    <hyperlink ref="E1697" r:id="rId5223" display="https://twitter.com/DealerCouponsCa/status/723197626674458626" xr:uid="{46FA4EF4-BA32-4BBF-93DB-07AE29C1430D}"/>
    <hyperlink ref="O1697" r:id="rId5224" display="https://pbs.twimg.com/profile_images/1584218147/dealercoupons.ca_square_logo_normal.jpg" xr:uid="{9F793311-9E5A-4E7D-A284-E9EC48CD48B2}"/>
    <hyperlink ref="B1698" r:id="rId5225" display="https://twitter.com/OnlineCarReview" xr:uid="{54F599B3-CE2C-4EA7-9FE1-C355B732C02C}"/>
    <hyperlink ref="E1698" r:id="rId5226" display="https://twitter.com/OnlineCarReview/status/723197997492764672" xr:uid="{974E49B1-4702-44E5-BD02-EE1FB7101CB4}"/>
    <hyperlink ref="O1698" r:id="rId5227" display="https://pbs.twimg.com/profile_images/652871584131092480/QA_B6SBO_normal.jpg" xr:uid="{1AE4EDC9-581C-4DFB-B278-1469930DFFEE}"/>
    <hyperlink ref="B1699" r:id="rId5228" display="https://twitter.com/OnlineCarReview" xr:uid="{FB91CA45-E6B1-4C50-AE07-68383C1C5E10}"/>
    <hyperlink ref="E1699" r:id="rId5229" display="https://twitter.com/OnlineCarReview/status/723197998163841025" xr:uid="{B0927ABC-2A4A-4AE7-89A8-BEB00731319B}"/>
    <hyperlink ref="O1699" r:id="rId5230" display="https://pbs.twimg.com/profile_images/652871584131092480/QA_B6SBO_normal.jpg" xr:uid="{FC279312-A24F-415E-89BC-021608CCECCB}"/>
    <hyperlink ref="B1700" r:id="rId5231" display="https://twitter.com/OnlineCarReview" xr:uid="{80D17E22-65CE-47A1-B791-9786D669D9F1}"/>
    <hyperlink ref="E1700" r:id="rId5232" display="https://twitter.com/OnlineCarReview/status/723197999308894208" xr:uid="{EFEDE0CC-01D5-4426-BE1D-89F735E22433}"/>
    <hyperlink ref="O1700" r:id="rId5233" display="https://pbs.twimg.com/profile_images/652871584131092480/QA_B6SBO_normal.jpg" xr:uid="{E45F62BF-E952-4DB6-B1C4-AB8FE07DADA4}"/>
    <hyperlink ref="B1701" r:id="rId5234" display="https://twitter.com/OrchidBeautySp1" xr:uid="{E36037A1-FA92-4CCE-A9FB-B55887A62EA6}"/>
    <hyperlink ref="E1701" r:id="rId5235" display="https://twitter.com/OrchidBeautySp1/status/723198082133925888" xr:uid="{393F2DD0-72AF-4730-950E-EC0E88C9348F}"/>
    <hyperlink ref="O1701" r:id="rId5236" display="https://pbs.twimg.com/profile_images/618724636432461824/pHKXVND5_normal.jpg" xr:uid="{9C796E02-C14D-41D7-BB2E-AC805952FEE9}"/>
    <hyperlink ref="B1702" r:id="rId5237" display="https://twitter.com/timzim22" xr:uid="{72EB3405-595B-4A6E-A924-34F58C47420B}"/>
    <hyperlink ref="E1702" r:id="rId5238" display="https://twitter.com/timzim22/status/723198193115258880" xr:uid="{3AC9B826-9BA0-4A2E-8DDC-D6DC2988D549}"/>
    <hyperlink ref="O1702" r:id="rId5239" display="https://abs.twimg.com/sticky/default_profile_images/default_profile_4_normal.png" xr:uid="{A8435D6F-0119-4909-86F0-F336398604C5}"/>
    <hyperlink ref="B1703" r:id="rId5240" display="https://twitter.com/NetzwerkggS21" xr:uid="{45EBEA77-F37F-4B16-BE73-7819D0C9DC2B}"/>
    <hyperlink ref="E1703" r:id="rId5241" display="https://twitter.com/NetzwerkggS21/status/723198193740062721" xr:uid="{8CB779C4-C225-45D2-A2AB-DCA973B92552}"/>
    <hyperlink ref="M1703" r:id="rId5242" xr:uid="{591A9BC7-97BC-4D41-A256-7D1D0CCC6BC6}"/>
    <hyperlink ref="O1703" r:id="rId5243" display="https://pbs.twimg.com/profile_images/378800000528765970/3ab9f2a00010e9cac08d5ca1638926e9_normal.png" xr:uid="{0072981D-1E52-4A4A-806A-50A44F8811D5}"/>
    <hyperlink ref="B1704" r:id="rId5244" display="https://twitter.com/eaymanomar" xr:uid="{0D1505A6-BC76-4081-AA12-B2F33FED5F9A}"/>
    <hyperlink ref="E1704" r:id="rId5245" display="https://twitter.com/eaymanomar/status/723198194268573698" xr:uid="{0C279AE3-F24F-4456-B54F-A0BDADEC474F}"/>
    <hyperlink ref="O1704" r:id="rId5246" display="https://pbs.twimg.com/profile_images/713148211439992832/hyBOu4t4_normal.jpg" xr:uid="{B91FF623-3C7B-4546-B5D4-BF0619CD898B}"/>
    <hyperlink ref="B1705" r:id="rId5247" display="https://twitter.com/RyanLores" xr:uid="{6BEE7A23-94CB-46EF-88D6-566101F160C0}"/>
    <hyperlink ref="E1705" r:id="rId5248" display="https://twitter.com/RyanLores/status/723198478931902464" xr:uid="{6B9A7448-675C-4D00-A83E-07053BD500DC}"/>
    <hyperlink ref="O1705" r:id="rId5249" display="https://pbs.twimg.com/profile_images/1245770021/Ria_and_Papi_staring_up_normal.jpg" xr:uid="{378A88E7-E87C-42BD-93FA-62D661B65FE1}"/>
    <hyperlink ref="B1706" r:id="rId5250" display="https://twitter.com/TomsBrinkis" xr:uid="{F5DA78B0-21EB-4929-93F0-12578D7C5D8F}"/>
    <hyperlink ref="E1706" r:id="rId5251" display="https://twitter.com/TomsBrinkis/status/723198574398451712" xr:uid="{ADE7DB44-BF20-44D0-A71E-FD1C17358843}"/>
    <hyperlink ref="O1706" r:id="rId5252" display="https://pbs.twimg.com/profile_images/437604809596608513/LkK-grWR_normal.jpeg" xr:uid="{DB225357-FB26-4EA0-9C02-ABC9F1EC50BB}"/>
    <hyperlink ref="B1707" r:id="rId5253" display="https://twitter.com/BofBB" xr:uid="{43BB8CB5-1330-453F-BA4D-DF3FD6B8FD9E}"/>
    <hyperlink ref="E1707" r:id="rId5254" display="https://twitter.com/BofBB/status/723198714010046465" xr:uid="{E629494C-6819-4E3A-880E-A28CE78CB4CF}"/>
    <hyperlink ref="O1707" r:id="rId5255" display="https://pbs.twimg.com/profile_images/3686614487/04c0554ed5e05dd48a8d924a6d576f5c_normal.jpeg" xr:uid="{EE755B74-4F72-4B75-BAA3-8D75411C626F}"/>
    <hyperlink ref="B1708" r:id="rId5256" display="https://twitter.com/AlexWitzleben" xr:uid="{3B728FF7-B1E6-4FF1-B092-EEBA7FC9A73A}"/>
    <hyperlink ref="E1708" r:id="rId5257" display="https://twitter.com/AlexWitzleben/status/723198843601309696" xr:uid="{4A81976A-A15A-4758-8AA5-C9B4B6A0D025}"/>
    <hyperlink ref="O1708" r:id="rId5258" display="https://pbs.twimg.com/profile_images/1913087124/AvW_website_normal.jpg" xr:uid="{01DEAB6A-85EC-4EC1-8BCD-550EA9EE0DC8}"/>
    <hyperlink ref="B1709" r:id="rId5259" display="https://twitter.com/blubb_undso" xr:uid="{655551C0-92E4-4328-BCE0-672B84C01718}"/>
    <hyperlink ref="E1709" r:id="rId5260" display="https://twitter.com/blubb_undso/status/723198963667476483" xr:uid="{E86BA213-F844-4BD6-9F33-17A887955B0F}"/>
    <hyperlink ref="O1709" r:id="rId5261" display="https://pbs.twimg.com/profile_images/617300156250255360/iyHyBQ-W_normal.jpg" xr:uid="{AE56A1C3-E4EF-49A6-B368-99154C2B2A02}"/>
    <hyperlink ref="B1710" r:id="rId5262" display="https://twitter.com/AlexWitzleben" xr:uid="{BFC08264-69B1-48BF-8BF1-83451C53DBFC}"/>
    <hyperlink ref="E1710" r:id="rId5263" display="https://twitter.com/AlexWitzleben/status/723199058588770305" xr:uid="{67F0B297-BE5D-432C-8353-817E2A20CAB4}"/>
    <hyperlink ref="O1710" r:id="rId5264" display="https://pbs.twimg.com/profile_images/1913087124/AvW_website_normal.jpg" xr:uid="{4D48D049-BC29-48BD-94B1-B0F708AEC20A}"/>
    <hyperlink ref="B1711" r:id="rId5265" display="https://twitter.com/Scirocco_Tuning" xr:uid="{88640569-D145-4ED9-9581-307AD0C9B370}"/>
    <hyperlink ref="E1711" r:id="rId5266" display="https://twitter.com/Scirocco_Tuning/status/723199119569891328" xr:uid="{2E218550-7B56-4F07-8C47-A0DB66B3856A}"/>
    <hyperlink ref="O1711" r:id="rId5267" display="https://pbs.twimg.com/profile_images/1610421423/Image2_normal.jpg" xr:uid="{FF291BED-9139-45F4-A9EC-6596483820B9}"/>
    <hyperlink ref="B1712" r:id="rId5268" display="https://twitter.com/BobCockerham" xr:uid="{037389BC-0DC4-4365-A3F9-8E76DEFF7F24}"/>
    <hyperlink ref="E1712" r:id="rId5269" display="https://twitter.com/BobCockerham/status/723199217108324352" xr:uid="{17BAAD25-8A82-45AB-AF35-73423B9B965D}"/>
    <hyperlink ref="O1712" r:id="rId5270" display="https://pbs.twimg.com/profile_images/658086464819822593/DHjx1zuP_normal.jpg" xr:uid="{32BF1E7E-3063-4320-A4DE-9001D1CADEC0}"/>
    <hyperlink ref="B1713" r:id="rId5271" display="https://twitter.com/BobCockerham" xr:uid="{16F96B84-5AAA-43AC-A64E-B64DC144C9BA}"/>
    <hyperlink ref="E1713" r:id="rId5272" display="https://twitter.com/BobCockerham/status/723199237396135936" xr:uid="{DBF596AB-8395-4893-B015-A85EE6CFC34C}"/>
    <hyperlink ref="O1713" r:id="rId5273" display="https://pbs.twimg.com/profile_images/658086464819822593/DHjx1zuP_normal.jpg" xr:uid="{35756194-FBD1-479B-B847-E5BD6F5FA9DD}"/>
    <hyperlink ref="B1714" r:id="rId5274" display="https://twitter.com/vapinggeekgirl" xr:uid="{98F7D282-F329-49BD-9C1C-724E810289CA}"/>
    <hyperlink ref="E1714" r:id="rId5275" display="https://twitter.com/vapinggeekgirl/status/723199274943574017" xr:uid="{F7656947-D29C-40AC-9956-504B1BCF85C3}"/>
    <hyperlink ref="O1714" r:id="rId5276" display="https://pbs.twimg.com/profile_images/717676080719597568/5TdCDJzb_normal.jpg" xr:uid="{7BC6FDEC-3BA8-48C2-8720-8564B7023BD6}"/>
    <hyperlink ref="B1715" r:id="rId5277" display="https://twitter.com/paolozignone" xr:uid="{EB83946A-1281-4A2B-BF4B-7ACD5383B7FE}"/>
    <hyperlink ref="E1715" r:id="rId5278" display="https://twitter.com/paolozignone/status/723199314609086464" xr:uid="{9C3996E0-5AA8-4782-B597-297CD5F4EF1B}"/>
    <hyperlink ref="O1715" r:id="rId5279" display="https://pbs.twimg.com/profile_images/466910019762397184/I5_k8U5s_normal.jpeg" xr:uid="{9F0C57E6-9BE0-4E7E-9D0C-6656AE936FA8}"/>
    <hyperlink ref="B1716" r:id="rId5280" display="https://twitter.com/DeepLora" xr:uid="{2ECEE9EF-6261-4C4D-90EF-209495D6AA18}"/>
    <hyperlink ref="E1716" r:id="rId5281" display="https://twitter.com/DeepLora/status/723199374436638720" xr:uid="{1D1BCFA7-4FDD-412A-A19A-DD54EE659F48}"/>
    <hyperlink ref="O1716" r:id="rId5282" display="https://pbs.twimg.com/profile_images/1994490288/337398_10150423084273171_599358170_8728970_1428231110_o_normal.jpg" xr:uid="{D78B8D17-FB05-404B-BA94-B3DA7536A18B}"/>
    <hyperlink ref="B1717" r:id="rId5283" display="https://twitter.com/frimuellerfri" xr:uid="{703EC905-C21B-42A2-977A-87E9D3EBD86A}"/>
    <hyperlink ref="E1717" r:id="rId5284" display="https://twitter.com/frimuellerfri/status/723199420741853184" xr:uid="{3822DC35-1B3D-4C1E-8647-3B80D08C4446}"/>
    <hyperlink ref="O1717" r:id="rId5285" display="https://abs.twimg.com/sticky/default_profile_images/default_profile_3_normal.png" xr:uid="{490AB4F7-92EB-4CBE-89F2-9A3396F0ABEE}"/>
    <hyperlink ref="B1718" r:id="rId5286" display="https://twitter.com/mediaadgroup" xr:uid="{CF6541A5-DA11-4604-AAA9-481ED6CC6370}"/>
    <hyperlink ref="E1718" r:id="rId5287" display="https://twitter.com/mediaadgroup/status/723199428803227650" xr:uid="{0E1612BC-F210-4FC2-8A65-7B0250B2A35B}"/>
    <hyperlink ref="O1718" r:id="rId5288" display="https://pbs.twimg.com/profile_images/651204715607273472/WO_LwRkF_normal.png" xr:uid="{10F2456D-FFCF-412C-A3CB-3673062FDEE7}"/>
    <hyperlink ref="B1719" r:id="rId5289" display="https://twitter.com/mediaadgroup" xr:uid="{88D65382-B0D2-4E6C-BB3C-DDC9AD8E6BFB}"/>
    <hyperlink ref="E1719" r:id="rId5290" display="https://twitter.com/mediaadgroup/status/723199446457012224" xr:uid="{ED83798B-5974-4DF2-84E1-7FDA6B0F58EC}"/>
    <hyperlink ref="O1719" r:id="rId5291" display="https://pbs.twimg.com/profile_images/651204715607273472/WO_LwRkF_normal.png" xr:uid="{E8FCE62C-42E1-4A01-BA3C-9C20BB08BE5E}"/>
    <hyperlink ref="B1720" r:id="rId5292" display="https://twitter.com/sparzhick" xr:uid="{AB4F02FC-961C-432E-AD46-87E131654C9D}"/>
    <hyperlink ref="E1720" r:id="rId5293" display="https://twitter.com/sparzhick/status/723199484193165317" xr:uid="{B0F28A9A-486F-4073-9567-FF7290B403C6}"/>
    <hyperlink ref="O1720" r:id="rId5294" display="https://abs.twimg.com/sticky/default_profile_images/default_profile_2_normal.png" xr:uid="{D7642E1D-0EA5-452D-9105-EB4272BD3858}"/>
    <hyperlink ref="B1721" r:id="rId5295" display="https://twitter.com/mediaadgroup" xr:uid="{A574E4C0-0878-4A15-A53A-5C63823DE592}"/>
    <hyperlink ref="E1721" r:id="rId5296" display="https://twitter.com/mediaadgroup/status/723199520914317313" xr:uid="{4618315C-E31C-4D8E-ABF2-8C020B972EFE}"/>
    <hyperlink ref="O1721" r:id="rId5297" display="https://pbs.twimg.com/profile_images/651204715607273472/WO_LwRkF_normal.png" xr:uid="{09A8ED8E-D13B-4966-9517-4D959EE11E21}"/>
    <hyperlink ref="B1722" r:id="rId5298" display="https://twitter.com/keltenblick" xr:uid="{8C8AD1D0-EC36-4D89-8E9B-22DF12C1A000}"/>
    <hyperlink ref="E1722" r:id="rId5299" display="https://twitter.com/keltenblick/status/723199534579474432" xr:uid="{900B6F8A-6D5F-47AE-8988-E5B4B108A7A7}"/>
    <hyperlink ref="O1722" r:id="rId5300" display="https://pbs.twimg.com/profile_images/586434134093864962/91qQombL_normal.jpg" xr:uid="{CE41A66C-23FC-4D03-B285-0EA597B98433}"/>
    <hyperlink ref="B1723" r:id="rId5301" display="https://twitter.com/mediaadgroup" xr:uid="{F2937393-34AF-4E0C-816E-96EA5EC3A316}"/>
    <hyperlink ref="E1723" r:id="rId5302" display="https://twitter.com/mediaadgroup/status/723199538631069696" xr:uid="{8DAF6256-7066-423D-B2D8-782794D6511C}"/>
    <hyperlink ref="O1723" r:id="rId5303" display="https://pbs.twimg.com/profile_images/651204715607273472/WO_LwRkF_normal.png" xr:uid="{9ED89798-AC2C-419F-8649-5776B07CC3C7}"/>
    <hyperlink ref="B1724" r:id="rId5304" display="https://twitter.com/Histrius" xr:uid="{BB9BC25D-4663-4C64-9DAC-0B9389D21708}"/>
    <hyperlink ref="E1724" r:id="rId5305" display="https://twitter.com/Histrius/status/723199642318548992" xr:uid="{B276315E-9AFE-4E19-A6A8-947718C5690A}"/>
    <hyperlink ref="O1724" r:id="rId5306" display="https://pbs.twimg.com/profile_images/378800000567040197/ebbaf357a1ef7aec1e1ad1ad0e246683_normal.jpeg" xr:uid="{1A76A4C2-64EF-47BC-A6C8-90BDCD2F1174}"/>
    <hyperlink ref="B1725" r:id="rId5307" display="https://twitter.com/djuewhan" xr:uid="{F6E223E1-93DE-4A7D-AF3F-5EB6E0982E2C}"/>
    <hyperlink ref="E1725" r:id="rId5308" display="https://twitter.com/djuewhan/status/723199698828431360" xr:uid="{AA3CF544-093A-429A-8173-5AC0008056C1}"/>
    <hyperlink ref="O1725" r:id="rId5309" display="https://pbs.twimg.com/profile_images/473560639651475456/3D0bsrWB_normal.jpeg" xr:uid="{40E56CBF-872D-4B39-B7E2-698F852E147E}"/>
    <hyperlink ref="B1726" r:id="rId5310" display="https://twitter.com/Michael_Vasanth" xr:uid="{AB1FEE34-107D-4662-B937-4071EDF8173E}"/>
    <hyperlink ref="E1726" r:id="rId5311" display="https://twitter.com/Michael_Vasanth/status/723199719963529216" xr:uid="{CEEC41D6-380E-460E-A39B-2D5AC3A0AAD8}"/>
    <hyperlink ref="O1726" r:id="rId5312" display="https://pbs.twimg.com/profile_images/693447250224087040/au64Cdjo_normal.jpg" xr:uid="{C44906CB-7AFA-46BC-8AE9-E43E92E3D2CF}"/>
    <hyperlink ref="B1727" r:id="rId5313" display="https://twitter.com/SocialMAXorg" xr:uid="{C44A50EC-0ADA-490F-8514-CCA731FCE0BA}"/>
    <hyperlink ref="E1727" r:id="rId5314" display="https://twitter.com/SocialMAXorg/status/723199812191952896" xr:uid="{23C38F04-6B74-4EE3-A194-26CC898A0725}"/>
    <hyperlink ref="O1727" r:id="rId5315" display="https://pbs.twimg.com/profile_images/675744269617893376/euzFIoRi_normal.png" xr:uid="{EE291462-5A1B-4FE6-81F4-C3B9A2785B10}"/>
    <hyperlink ref="B1728" r:id="rId5316" display="https://twitter.com/SocialMAXorg" xr:uid="{5FE574CB-33FC-4D5A-8CB2-4D6B3BDB2F27}"/>
    <hyperlink ref="E1728" r:id="rId5317" display="https://twitter.com/SocialMAXorg/status/723199829707382784" xr:uid="{FB38D04D-0A97-4821-B947-0FF370F96690}"/>
    <hyperlink ref="O1728" r:id="rId5318" display="https://pbs.twimg.com/profile_images/675744269617893376/euzFIoRi_normal.png" xr:uid="{693B6084-538F-4B40-8B56-BE002E720572}"/>
    <hyperlink ref="B1729" r:id="rId5319" display="https://twitter.com/YakeLeiva" xr:uid="{E982C1D4-DC04-439B-981C-DF8BF4F814A4}"/>
    <hyperlink ref="E1729" r:id="rId5320" display="https://twitter.com/YakeLeiva/status/723199859042349057" xr:uid="{D49DAFC2-8562-45CC-B6A9-57B01C20EF14}"/>
    <hyperlink ref="O1729" r:id="rId5321" display="https://pbs.twimg.com/profile_images/719991250435371008/Hk0t_LL7_normal.jpg" xr:uid="{CD69DCF0-8683-40BD-8640-476CAEA03C5E}"/>
    <hyperlink ref="B1730" r:id="rId5322" display="https://twitter.com/SocialMAXorg" xr:uid="{A113612C-FA66-4795-A3B4-77E010133C26}"/>
    <hyperlink ref="E1730" r:id="rId5323" display="https://twitter.com/SocialMAXorg/status/723199902927351808" xr:uid="{EEB1B2EF-3984-409A-A79E-BAE358BB090A}"/>
    <hyperlink ref="O1730" r:id="rId5324" display="https://pbs.twimg.com/profile_images/675744269617893376/euzFIoRi_normal.png" xr:uid="{20F09201-D55A-496F-B3EA-6116C88BE774}"/>
    <hyperlink ref="B1731" r:id="rId5325" display="https://twitter.com/AlexWitzleben" xr:uid="{3E931E73-8BD1-4541-8914-8FF6EC6D24C3}"/>
    <hyperlink ref="E1731" r:id="rId5326" display="https://twitter.com/AlexWitzleben/status/723199917087318017" xr:uid="{EA045CDC-82F3-4A7B-84C3-AF2B90FE2323}"/>
    <hyperlink ref="O1731" r:id="rId5327" display="https://pbs.twimg.com/profile_images/1913087124/AvW_website_normal.jpg" xr:uid="{8AAC9E13-3297-431F-A30C-6FA2B41FD2C8}"/>
    <hyperlink ref="B1732" r:id="rId5328" display="https://twitter.com/et_angel" xr:uid="{FF060323-6E1A-49E3-94D5-2656EED8EA67}"/>
    <hyperlink ref="E1732" r:id="rId5329" display="https://twitter.com/et_angel/status/723200040345415680" xr:uid="{C4F820B9-3C2E-4BD5-95DF-DB5000984ACB}"/>
    <hyperlink ref="O1732" r:id="rId5330" display="https://pbs.twimg.com/profile_images/1708557159/Pic_normal.jpg" xr:uid="{C67D903E-20B7-44F5-90AF-A4373AE2D04B}"/>
    <hyperlink ref="B1733" r:id="rId5331" display="https://twitter.com/MelaniePattyn" xr:uid="{59F35A54-2D17-4E34-A645-B1999AAE2C5B}"/>
    <hyperlink ref="E1733" r:id="rId5332" display="https://twitter.com/MelaniePattyn/status/723200080845611008" xr:uid="{6C367342-3FA0-492B-8CF1-E6B71F69DF3D}"/>
    <hyperlink ref="O1733" r:id="rId5333" display="https://pbs.twimg.com/profile_images/710575737091321856/xBR1U0rT_normal.jpg" xr:uid="{64E8C461-784E-40B9-9F55-2F3047D727D8}"/>
    <hyperlink ref="B1734" r:id="rId5334" display="https://twitter.com/JoseIPalomo" xr:uid="{4DA1EA2C-FEF8-457B-81D5-82383CA2D823}"/>
    <hyperlink ref="E1734" r:id="rId5335" display="https://twitter.com/JoseIPalomo/status/723200095538257920" xr:uid="{A7EE8857-17B4-4332-8442-71FAB5765D47}"/>
    <hyperlink ref="O1734" r:id="rId5336" display="https://pbs.twimg.com/profile_images/2336838264/_DSC0861_normal.JPG" xr:uid="{5E83A748-BE5F-474C-80E4-6BCEF305A534}"/>
    <hyperlink ref="B1735" r:id="rId5337" display="https://twitter.com/WowbaggerXX7" xr:uid="{74C52C28-6516-4F49-A8AA-666FC1EA7CEB}"/>
    <hyperlink ref="E1735" r:id="rId5338" display="https://twitter.com/WowbaggerXX7/status/723200162311471104" xr:uid="{21813F67-8957-4A23-A84D-D84DEC3392AE}"/>
    <hyperlink ref="O1735" r:id="rId5339" display="https://pbs.twimg.com/profile_images/543163066599219200/dUy-AYOX_normal.jpeg" xr:uid="{CBFD6BAB-2F77-4AA7-9A75-B56576F258EE}"/>
    <hyperlink ref="B1736" r:id="rId5340" display="https://twitter.com/44cuneyt44" xr:uid="{E0E71EA1-A0BE-426F-BFB9-A7E360DCC8D6}"/>
    <hyperlink ref="E1736" r:id="rId5341" display="https://twitter.com/44cuneyt44/status/723200186047148032" xr:uid="{5AD27D12-F40F-498F-B4D5-A127163BD4E3}"/>
    <hyperlink ref="O1736" r:id="rId5342" display="https://pbs.twimg.com/profile_images/718862192804831232/GtfxmtpL_normal.jpg" xr:uid="{C758356C-17D1-468A-9C4B-84973A8A9640}"/>
    <hyperlink ref="B1737" r:id="rId5343" display="https://twitter.com/MarylandPIRG" xr:uid="{7F835150-C3C8-4792-A839-1924F56F4A7C}"/>
    <hyperlink ref="E1737" r:id="rId5344" display="https://twitter.com/MarylandPIRG/status/723200371896782848" xr:uid="{0A8817E8-6A8C-4C45-AC30-B05EBBE48504}"/>
    <hyperlink ref="O1737" r:id="rId5345" display="https://pbs.twimg.com/profile_images/3699617939/8efaf21ccb2c1c45462210652dea40c3_normal.png" xr:uid="{DCC523C5-694F-4ECB-825E-BA746BF823EF}"/>
    <hyperlink ref="B1738" r:id="rId5346" display="https://twitter.com/DiscountBomb" xr:uid="{5A34C27C-CA3E-4499-A696-3F208884298C}"/>
    <hyperlink ref="C1738" r:id="rId5347" xr:uid="{D44EFF36-4B9A-4984-934F-EA4DC6E410A3}"/>
    <hyperlink ref="E1738" r:id="rId5348" display="https://twitter.com/DiscountBomb/status/723200415530000384" xr:uid="{AE805458-AE1E-4CEB-84CA-9E32A5BE51A7}"/>
    <hyperlink ref="O1738" r:id="rId5349" display="https://pbs.twimg.com/profile_images/2709204996/b880460acdc869254288bfc2187d0176_normal.jpeg" xr:uid="{A877F3C4-7BBD-49F9-8C0F-A162A28DD86D}"/>
    <hyperlink ref="B1739" r:id="rId5350" display="https://twitter.com/DiscountBomb" xr:uid="{4792D95F-9819-46FC-A08D-FCAB2D5E1D7B}"/>
    <hyperlink ref="C1739" r:id="rId5351" xr:uid="{EA669E37-97A8-42C9-B522-AC99268B83FD}"/>
    <hyperlink ref="E1739" r:id="rId5352" display="https://twitter.com/DiscountBomb/status/723200434215624705" xr:uid="{F8EC698E-0028-4931-A24A-5ED0CB963564}"/>
    <hyperlink ref="O1739" r:id="rId5353" display="https://pbs.twimg.com/profile_images/2709204996/b880460acdc869254288bfc2187d0176_normal.jpeg" xr:uid="{BE6C6278-AAAC-4E7B-99B3-E70647684A04}"/>
    <hyperlink ref="B1740" r:id="rId5354" display="https://twitter.com/DiscountBomb" xr:uid="{5258623C-8B36-4773-A82F-EA8F49CC9F21}"/>
    <hyperlink ref="C1740" r:id="rId5355" xr:uid="{F6FD6D4E-EDFC-4ECB-A3D6-5C94CE9084B1}"/>
    <hyperlink ref="E1740" r:id="rId5356" display="https://twitter.com/DiscountBomb/status/723200502209470464" xr:uid="{2A87AED7-1ECC-437C-ADAD-07BDE9DEAED5}"/>
    <hyperlink ref="O1740" r:id="rId5357" display="https://pbs.twimg.com/profile_images/2709204996/b880460acdc869254288bfc2187d0176_normal.jpeg" xr:uid="{BCB81E7D-6A4E-4BDB-8516-9C0E68E2F382}"/>
    <hyperlink ref="B1741" r:id="rId5358" display="https://twitter.com/DiscountBomb" xr:uid="{88F33E33-2EAC-4C93-8300-F4734F2B06A2}"/>
    <hyperlink ref="C1741" r:id="rId5359" xr:uid="{7C803BDA-DD3E-4D9C-A40E-5B1120EF31B1}"/>
    <hyperlink ref="E1741" r:id="rId5360" display="https://twitter.com/DiscountBomb/status/723200518382718976" xr:uid="{985E5539-4FC6-49A6-9113-9865841A36A8}"/>
    <hyperlink ref="O1741" r:id="rId5361" display="https://pbs.twimg.com/profile_images/2709204996/b880460acdc869254288bfc2187d0176_normal.jpeg" xr:uid="{DE30F4BF-C9E6-47CF-BD03-2C94B6FC2239}"/>
    <hyperlink ref="B1742" r:id="rId5362" display="https://twitter.com/AlexWitzleben" xr:uid="{B19B30C1-A853-413A-A495-CDBF6D5996D5}"/>
    <hyperlink ref="E1742" r:id="rId5363" display="https://twitter.com/AlexWitzleben/status/723200612842635264" xr:uid="{87BB1CD0-3061-4241-94C3-4762661C52AF}"/>
    <hyperlink ref="O1742" r:id="rId5364" display="https://pbs.twimg.com/profile_images/1913087124/AvW_website_normal.jpg" xr:uid="{7349FA2A-41CF-4A35-A99D-609F3DE45795}"/>
    <hyperlink ref="B1743" r:id="rId5365" display="https://twitter.com/beetlebug1938" xr:uid="{5699676C-3D91-4E4C-9FC8-E105B8F3350C}"/>
    <hyperlink ref="E1743" r:id="rId5366" display="https://twitter.com/beetlebug1938/status/723200673488220160" xr:uid="{859F7A0B-9452-4537-8A23-709769F8E511}"/>
    <hyperlink ref="O1743" r:id="rId5367" display="https://pbs.twimg.com/profile_images/718820712757215233/LXXndPTS_normal.jpg" xr:uid="{749CBA3E-479F-4BBB-ADBA-277EFD611EA5}"/>
    <hyperlink ref="B1744" r:id="rId5368" display="https://twitter.com/beetlebug1938" xr:uid="{905664E9-245B-49CB-A226-60BE8CAC12A5}"/>
    <hyperlink ref="E1744" r:id="rId5369" display="https://twitter.com/beetlebug1938/status/723200689342652416" xr:uid="{F1479310-6F7A-45EB-8BDE-18EB09FD7F4C}"/>
    <hyperlink ref="O1744" r:id="rId5370" display="https://pbs.twimg.com/profile_images/718820712757215233/LXXndPTS_normal.jpg" xr:uid="{DC3A3B75-5A91-4F59-B773-D9D028B2816A}"/>
    <hyperlink ref="B1745" r:id="rId5371" display="https://twitter.com/roansub" xr:uid="{870D47AB-2B74-425D-9585-BD31A2280595}"/>
    <hyperlink ref="E1745" r:id="rId5372" display="https://twitter.com/roansub/status/723200709253042177" xr:uid="{03ACCA2F-5E9F-45D0-8D1A-822488907846}"/>
    <hyperlink ref="O1745" r:id="rId5373" display="https://pbs.twimg.com/profile_images/638973360169463808/YEbGEWne_normal.jpg" xr:uid="{43A1C133-6F57-4A59-9A10-F2AC1C294FBE}"/>
    <hyperlink ref="B1746" r:id="rId5374" display="https://twitter.com/beetlebug1938" xr:uid="{BB7AD5A8-D1E9-4160-A6EB-70E928A8B550}"/>
    <hyperlink ref="E1746" r:id="rId5375" display="https://twitter.com/beetlebug1938/status/723200764030623744" xr:uid="{385813B0-91F0-48CE-98FB-3334B9A51639}"/>
    <hyperlink ref="O1746" r:id="rId5376" display="https://pbs.twimg.com/profile_images/718820712757215233/LXXndPTS_normal.jpg" xr:uid="{8F2CD1F1-B9A4-4742-A0C3-8926B4AE3DCB}"/>
    <hyperlink ref="B1747" r:id="rId5377" display="https://twitter.com/Holdensmum" xr:uid="{18B22AEA-D070-48E8-94BC-52CDE7791CFE}"/>
    <hyperlink ref="E1747" r:id="rId5378" display="https://twitter.com/Holdensmum/status/723200816274792449" xr:uid="{FD87A4A4-D9D5-4850-BA57-26B2E69C5B3A}"/>
    <hyperlink ref="O1747" r:id="rId5379" display="https://pbs.twimg.com/profile_images/651206534425280518/pG33UzgX_normal.png" xr:uid="{65BD267B-A654-440A-9D51-C916B484CDFC}"/>
    <hyperlink ref="B1748" r:id="rId5380" display="https://twitter.com/roansub" xr:uid="{EA10379E-404A-47D7-96BD-5AE5501D752B}"/>
    <hyperlink ref="E1748" r:id="rId5381" display="https://twitter.com/roansub/status/723201127714557952" xr:uid="{DA42E7DA-5634-45B0-ABAA-5B3395A2C89C}"/>
    <hyperlink ref="O1748" r:id="rId5382" display="https://pbs.twimg.com/profile_images/638973360169463808/YEbGEWne_normal.jpg" xr:uid="{3B7E83A0-A68F-45BE-985E-169D47F9B692}"/>
    <hyperlink ref="B1749" r:id="rId5383" display="https://twitter.com/cbctom" xr:uid="{9C99931C-8453-46C2-8B0D-33FE53C1119B}"/>
    <hyperlink ref="E1749" r:id="rId5384" display="https://twitter.com/cbctom/status/723201364675842048" xr:uid="{01559163-5C80-442B-9F74-BF3F610D38C7}"/>
    <hyperlink ref="O1749" r:id="rId5385" display="https://pbs.twimg.com/profile_images/683703222498922496/YeDVfLUB_normal.jpg" xr:uid="{5A7AE233-A9C1-4A8E-A706-522262342A37}"/>
    <hyperlink ref="B1750" r:id="rId5386" display="https://twitter.com/mocai01" xr:uid="{4F1B3387-2D1E-4DD8-A6B8-08E4EE27D1CF}"/>
    <hyperlink ref="E1750" r:id="rId5387" display="https://twitter.com/mocai01/status/723201422066520066" xr:uid="{93F42F69-4664-4551-8D35-D86B5083D6D4}"/>
    <hyperlink ref="O1750" r:id="rId5388" display="https://pbs.twimg.com/profile_images/3783845470/cb33c7debb71738617c005e666ba5db4_normal.jpeg" xr:uid="{4ED0F396-797C-421B-A367-DBFFD2BFFC4C}"/>
    <hyperlink ref="B1751" r:id="rId5389" display="https://twitter.com/HGrezlakTLI" xr:uid="{1C6761A3-39D0-4C18-9A2A-1BA11F441D7C}"/>
    <hyperlink ref="E1751" r:id="rId5390" display="https://twitter.com/HGrezlakTLI/status/723202223258226688" xr:uid="{849EE580-E0B7-43E0-8952-20C3B6CD5301}"/>
    <hyperlink ref="O1751" r:id="rId5391" display="https://pbs.twimg.com/profile_images/639507393508864000/PGKDu8Bt_normal.jpg" xr:uid="{1475A60F-5E19-4266-A0EB-914DDBEDBBD5}"/>
    <hyperlink ref="B1752" r:id="rId5392" display="https://twitter.com/DialogueFirst" xr:uid="{C92F2A40-6235-4CBC-B441-E9042941A9A5}"/>
    <hyperlink ref="E1752" r:id="rId5393" display="https://twitter.com/DialogueFirst/status/723202424765181954" xr:uid="{B20C4B8D-AE40-4190-900B-ACC438A7FCDB}"/>
    <hyperlink ref="O1752" r:id="rId5394" display="https://pbs.twimg.com/profile_images/2390316345/6km6qzeunm01bvdnlyqk_normal.jpeg" xr:uid="{FBE5E84F-E277-4D95-A0A6-89D0B74DD384}"/>
    <hyperlink ref="B1753" r:id="rId5395" display="https://twitter.com/MarkusIkarus" xr:uid="{7B3CB79D-6121-461E-99FE-61577EC113FA}"/>
    <hyperlink ref="E1753" r:id="rId5396" display="https://twitter.com/MarkusIkarus/status/723202434659700736" xr:uid="{CC590018-D45D-41B9-B696-C15A39D867F5}"/>
    <hyperlink ref="O1753" r:id="rId5397" display="https://pbs.twimg.com/profile_images/2672821936/e7134a417b88d38141056e7babeb46eb_normal.png" xr:uid="{4CC149B7-D5B5-4247-A2A8-2BA5909E5E29}"/>
    <hyperlink ref="B1754" r:id="rId5398" display="https://twitter.com/three50six" xr:uid="{007C6936-C307-4B4C-BDC6-D286540CAF98}"/>
    <hyperlink ref="E1754" r:id="rId5399" display="https://twitter.com/three50six/status/723202525697085440" xr:uid="{3CFD31C0-977B-4D6C-B3C5-A68214C10AE2}"/>
    <hyperlink ref="O1754" r:id="rId5400" display="https://pbs.twimg.com/profile_images/606373311799508992/2yQr5s8G_normal.jpg" xr:uid="{EF916162-0927-456B-8B56-5733D5FF19A0}"/>
    <hyperlink ref="B1755" r:id="rId5401" display="https://twitter.com/VolkswagenPost" xr:uid="{F96E2CBD-7E03-452F-A10B-27ECD42E6CC6}"/>
    <hyperlink ref="E1755" r:id="rId5402" display="https://twitter.com/VolkswagenPost/status/723202595456704512" xr:uid="{87A63868-2BBC-4710-9C8F-D73F9F35735E}"/>
    <hyperlink ref="O1755" r:id="rId5403" display="https://pbs.twimg.com/profile_images/530071272881803264/a_jcCmPZ_normal.png" xr:uid="{7772364D-8B4F-49C7-9424-C29FA3A1F9B5}"/>
    <hyperlink ref="B1756" r:id="rId5404" display="https://twitter.com/VolkswagenPost" xr:uid="{61188841-5747-488D-9138-385E9D4B778F}"/>
    <hyperlink ref="E1756" r:id="rId5405" display="https://twitter.com/VolkswagenPost/status/723202596350074880" xr:uid="{CB730BD3-4FBB-46C4-A588-B07A8174F81E}"/>
    <hyperlink ref="O1756" r:id="rId5406" display="https://pbs.twimg.com/profile_images/530071272881803264/a_jcCmPZ_normal.png" xr:uid="{920D0884-E1EC-4354-A053-D0B1429C5B2E}"/>
    <hyperlink ref="B1757" r:id="rId5407" display="https://twitter.com/glubbdidi" xr:uid="{CEEE7D3D-4FCC-41D7-B990-D3820E11D737}"/>
    <hyperlink ref="E1757" r:id="rId5408" display="https://twitter.com/glubbdidi/status/723202621301882880" xr:uid="{2E07DD2D-FB17-43B7-B9E1-BBF6E1DC16B8}"/>
    <hyperlink ref="O1757" r:id="rId5409" display="https://pbs.twimg.com/profile_images/687948490878660608/zfU_KaT9_normal.jpg" xr:uid="{AF271446-5F62-45B2-ABE5-E2E9A480FE6D}"/>
    <hyperlink ref="B1758" r:id="rId5410" display="https://twitter.com/miniatuurauto" xr:uid="{FB220AFD-29A7-402F-A35C-F7AE254F6FAF}"/>
    <hyperlink ref="C1758" r:id="rId5411" xr:uid="{34949A6B-DB22-46DE-952C-C8D061A684A9}"/>
    <hyperlink ref="E1758" r:id="rId5412" display="https://twitter.com/miniatuurauto/status/723202638993600513" xr:uid="{9AFB7400-8E03-47F9-BEB4-CB32D520578A}"/>
    <hyperlink ref="O1758" r:id="rId5413" display="https://pbs.twimg.com/profile_images/666607167093407744/qM40wt3X_normal.png" xr:uid="{C337DC1B-92C9-4750-AAD8-3372545C122B}"/>
    <hyperlink ref="B1759" r:id="rId5414" display="https://twitter.com/VWCamperSales" xr:uid="{09DBE833-8FA6-4855-8FD1-640BA919A7A8}"/>
    <hyperlink ref="E1759" r:id="rId5415" display="https://twitter.com/VWCamperSales/status/723202662779346944" xr:uid="{5C1A7B2F-918A-457E-9086-6164E2C4E704}"/>
    <hyperlink ref="F1759" r:id="rId5416" xr:uid="{5CB1ECEB-B52F-4A5E-BE3A-82FED1AB08E9}"/>
    <hyperlink ref="O1759" r:id="rId5417" display="https://pbs.twimg.com/profile_images/627949001179037696/skEBkS05_normal.jpg" xr:uid="{BEFD71A5-73D9-4A2B-BC84-B7D9325BBBEA}"/>
    <hyperlink ref="B1760" r:id="rId5418" display="https://twitter.com/VWCamperSales" xr:uid="{7EED156A-AB07-441F-A447-74510BC3841D}"/>
    <hyperlink ref="E1760" r:id="rId5419" display="https://twitter.com/VWCamperSales/status/723202669104394243" xr:uid="{AABB18A3-5D9B-4F39-9CA0-55CA9108166E}"/>
    <hyperlink ref="F1760" r:id="rId5420" xr:uid="{DEE9BE17-B7E8-4ABE-BD3D-9351F8EF2832}"/>
    <hyperlink ref="O1760" r:id="rId5421" display="https://pbs.twimg.com/profile_images/627949001179037696/skEBkS05_normal.jpg" xr:uid="{734E67B3-CCA0-4BAB-A9F6-78AF9916FF61}"/>
    <hyperlink ref="B1761" r:id="rId5422" display="https://twitter.com/LMohorko" xr:uid="{AA8E6370-90D5-4245-B400-120C926505BD}"/>
    <hyperlink ref="E1761" r:id="rId5423" display="https://twitter.com/LMohorko/status/723202796653273088" xr:uid="{8928BDD7-1F35-44B2-BBE8-8554046A62B3}"/>
    <hyperlink ref="O1761" r:id="rId5424" display="https://pbs.twimg.com/profile_images/378800000725391467/b3df75451f29daac5082a6fcc8f44478_normal.jpeg" xr:uid="{5F9E07C1-ED3C-4D7A-A0D0-EEDB2CEF6EA8}"/>
    <hyperlink ref="B1762" r:id="rId5425" display="https://twitter.com/gonzalobrian" xr:uid="{8F2F41C7-7978-4A56-AA29-871B8EF3552F}"/>
    <hyperlink ref="E1762" r:id="rId5426" display="https://twitter.com/gonzalobrian/status/723202819541622786" xr:uid="{151AF2E6-7B4E-42B0-B66A-E1F46F34682E}"/>
    <hyperlink ref="O1762" r:id="rId5427" display="https://pbs.twimg.com/profile_images/682960133966696448/FVI70kSw_normal.png" xr:uid="{DCEFDF65-C7A6-4D1D-9AC1-458EE47F90DD}"/>
    <hyperlink ref="B1763" r:id="rId5428" display="https://twitter.com/ChuckLane1" xr:uid="{FA159672-F08B-49C2-8A0D-A64BFFEBFA8E}"/>
    <hyperlink ref="E1763" r:id="rId5429" display="https://twitter.com/ChuckLane1/status/723202898763517952" xr:uid="{5426FE5A-B234-4B5B-85C4-02CEDEF317EC}"/>
    <hyperlink ref="O1763" r:id="rId5430" display="https://pbs.twimg.com/profile_images/659759648212406273/U0q5I0Qr_normal.jpg" xr:uid="{33C22A7A-9564-4704-B289-B6F1037A9964}"/>
    <hyperlink ref="B1764" r:id="rId5431" display="https://twitter.com/ChuckLane1" xr:uid="{D0B9A759-D18C-4FAB-BBD1-AB1C7E0F88E3}"/>
    <hyperlink ref="E1764" r:id="rId5432" display="https://twitter.com/ChuckLane1/status/723203098441719810" xr:uid="{365C468C-CE77-48AA-AEBA-80B999C3C306}"/>
    <hyperlink ref="O1764" r:id="rId5433" display="https://pbs.twimg.com/profile_images/659759648212406273/U0q5I0Qr_normal.jpg" xr:uid="{E40699CF-6BCC-436B-AE0B-D85729B3EDC8}"/>
    <hyperlink ref="B1765" r:id="rId5434" display="https://twitter.com/KneecapMedia" xr:uid="{19A9D8C8-FA63-4D9A-9EFE-DD030E4BBC26}"/>
    <hyperlink ref="E1765" r:id="rId5435" display="https://twitter.com/KneecapMedia/status/723203150287499264" xr:uid="{9A5EC6EB-DE95-4F82-875C-6A3BCBDB5F94}"/>
    <hyperlink ref="O1765" r:id="rId5436" display="https://pbs.twimg.com/profile_images/723134553339080704/cEQMvOW3_normal.jpg" xr:uid="{3A8108EE-40A7-4F81-AF0C-AEACCD404033}"/>
    <hyperlink ref="B1766" r:id="rId5437" display="https://twitter.com/sasha_s_pachito" xr:uid="{F57FB56C-85DB-47FC-8575-818826FF4E0A}"/>
    <hyperlink ref="E1766" r:id="rId5438" display="https://twitter.com/sasha_s_pachito/status/723203335898042368" xr:uid="{C9F9CF11-0509-4F80-A59B-81241CC007E2}"/>
    <hyperlink ref="O1766" r:id="rId5439" display="https://pbs.twimg.com/profile_images/509140932101672960/ckVyy26L_normal.jpeg" xr:uid="{C91090F7-E5CE-4889-B9A5-4F012D290F95}"/>
    <hyperlink ref="B1767" r:id="rId5440" display="https://twitter.com/dw_business" xr:uid="{D6F72895-534C-49BD-A593-2FEDD2B99980}"/>
    <hyperlink ref="E1767" r:id="rId5441" display="https://twitter.com/dw_business/status/723203367292407808" xr:uid="{3105752A-F97C-45FF-A4D4-414237301CA5}"/>
    <hyperlink ref="O1767" r:id="rId5442" display="https://pbs.twimg.com/profile_images/474178130312044544/-U2TP65D_normal.png" xr:uid="{3CD30806-770F-48EE-8A94-0BEF2CDCF25F}"/>
    <hyperlink ref="B1768" r:id="rId5443" display="https://twitter.com/golfturkiye" xr:uid="{1716AA04-9C8B-4DE2-8A22-E3CFE1637EB6}"/>
    <hyperlink ref="E1768" r:id="rId5444" display="https://twitter.com/golfturkiye/status/723203416764325888" xr:uid="{A9A7473E-66BB-4E03-AFBA-AB092F6C8D8C}"/>
    <hyperlink ref="O1768" r:id="rId5445" display="https://pbs.twimg.com/profile_images/2908590566/828967841f09b515ee36e3dfccea4d28_normal.png" xr:uid="{9E36F7C9-5332-4B4E-A29A-247365C2A158}"/>
    <hyperlink ref="B1769" r:id="rId5446" display="https://twitter.com/DaniDoesLaw" xr:uid="{4E875571-581E-4A9B-8BD5-0D1EDBB17D0D}"/>
    <hyperlink ref="E1769" r:id="rId5447" display="https://twitter.com/DaniDoesLaw/status/723203445533057024" xr:uid="{DB4D6BC1-A8E3-405A-8315-77D5BFBA3AD1}"/>
    <hyperlink ref="O1769" r:id="rId5448" display="https://pbs.twimg.com/profile_images/344513261582006061/50328e850180d572828ba6dae632886e_normal.png" xr:uid="{EBA3F6C8-2B5A-43A6-9BFE-2630AD22448D}"/>
    <hyperlink ref="B1770" r:id="rId5449" display="https://twitter.com/Pianoede" xr:uid="{9BC9CF8D-4EE6-46E9-8A43-B7CE2DCB8289}"/>
    <hyperlink ref="E1770" r:id="rId5450" display="https://twitter.com/Pianoede/status/723203734973616128" xr:uid="{9A2BE217-7DBE-4A0D-80E9-2301DA9A52C2}"/>
    <hyperlink ref="O1770" r:id="rId5451" display="https://pbs.twimg.com/profile_images/722106709100113921/XVJAeYL8_normal.jpg" xr:uid="{66021756-8A18-4973-94BE-25E1863F6F98}"/>
    <hyperlink ref="B1771" r:id="rId5452" display="https://twitter.com/akfullerton" xr:uid="{B50CEF0B-B5EC-4484-B09B-213028801EC7}"/>
    <hyperlink ref="E1771" r:id="rId5453" display="https://twitter.com/akfullerton/status/723203883871277056" xr:uid="{23B8DFE4-7CB2-43E2-B8CE-C0D4E24EB83C}"/>
    <hyperlink ref="O1771" r:id="rId5454" display="https://pbs.twimg.com/profile_images/504258023452205057/HEuGjiig_normal.jpeg" xr:uid="{DD274C26-BCA9-4719-8C49-B4D991757D7D}"/>
    <hyperlink ref="B1772" r:id="rId5455" display="https://twitter.com/phimo_to" xr:uid="{1F27DC0D-5589-4EF0-BC39-A52A1B302DBA}"/>
    <hyperlink ref="E1772" r:id="rId5456" display="https://twitter.com/phimo_to/status/723204033448710149" xr:uid="{0D8CFC97-1F50-4999-A1A0-1FF4F618BB7C}"/>
    <hyperlink ref="O1772" r:id="rId5457" display="https://pbs.twimg.com/profile_images/551382029023981568/n7_0vJqd_normal.jpeg" xr:uid="{C33C6EFD-2D0F-4763-A7CD-F636CF5E4A30}"/>
    <hyperlink ref="B1773" r:id="rId5458" display="https://twitter.com/bouillcoud" xr:uid="{4E553D2C-BC89-4ABB-90B3-E44AD8D0126F}"/>
    <hyperlink ref="E1773" r:id="rId5459" display="https://twitter.com/bouillcoud/status/723204053040287744" xr:uid="{79E043B9-BE3B-4694-8C0F-A064E8E0DCC3}"/>
    <hyperlink ref="O1773" r:id="rId5460" display="https://pbs.twimg.com/profile_images/703972057806184449/iYn2_pnG_normal.jpg" xr:uid="{BB463AEC-E8BE-476D-AAF7-5DE0BCF5E937}"/>
    <hyperlink ref="B1774" r:id="rId5461" display="https://twitter.com/VWCamperSales" xr:uid="{E8AA2A62-5B4A-4BBA-ADC4-22C83ED285AF}"/>
    <hyperlink ref="E1774" r:id="rId5462" display="https://twitter.com/VWCamperSales/status/723204178907041794" xr:uid="{31903AEF-6AD0-4F0F-9B2F-1474EE20BABA}"/>
    <hyperlink ref="F1774" r:id="rId5463" xr:uid="{433214D5-638C-479A-9C32-82521EE3D332}"/>
    <hyperlink ref="O1774" r:id="rId5464" display="https://pbs.twimg.com/profile_images/627949001179037696/skEBkS05_normal.jpg" xr:uid="{AC01AAA4-7F8B-45FF-A213-49C7610E6D08}"/>
    <hyperlink ref="B1775" r:id="rId5465" display="https://twitter.com/VWCamperSales" xr:uid="{DE46BBDD-7ACE-48C1-9945-A611DBA4EFE8}"/>
    <hyperlink ref="E1775" r:id="rId5466" display="https://twitter.com/VWCamperSales/status/723204183487209474" xr:uid="{8AA5F75D-75EB-4CB4-8A9D-CC1E8A0F08F6}"/>
    <hyperlink ref="F1775" r:id="rId5467" xr:uid="{B5BAD092-71B9-4E42-A34F-21DDA51F546F}"/>
    <hyperlink ref="O1775" r:id="rId5468" display="https://pbs.twimg.com/profile_images/627949001179037696/skEBkS05_normal.jpg" xr:uid="{2A9DAD99-DA27-4DE3-A018-C43E1D5EAC1B}"/>
    <hyperlink ref="B1776" r:id="rId5469" display="https://twitter.com/trafficsafety4u" xr:uid="{A8A9F402-9D44-4096-8E44-76EFA8F32F62}"/>
    <hyperlink ref="E1776" r:id="rId5470" display="https://twitter.com/trafficsafety4u/status/723204297719054336" xr:uid="{84E39AAD-484D-450A-AD90-56C1A077330F}"/>
    <hyperlink ref="O1776" r:id="rId5471" display="https://pbs.twimg.com/profile_images/459010554816778240/HRhsHDHQ_normal.jpeg" xr:uid="{6B8AD192-6F51-4595-9E96-19F8764BD2A2}"/>
    <hyperlink ref="B1777" r:id="rId5472" display="https://twitter.com/olaf26" xr:uid="{D3F2842D-CD06-445E-B087-AD0538C6D3A2}"/>
    <hyperlink ref="E1777" r:id="rId5473" display="https://twitter.com/olaf26/status/723204358800859136" xr:uid="{B34596DC-305B-43A9-8E95-603E8EC51430}"/>
    <hyperlink ref="O1777" r:id="rId5474" display="https://pbs.twimg.com/profile_images/2091932580/1_normal.jpg" xr:uid="{8150E7C3-9E18-4B6A-B97A-3F19ADCCE72B}"/>
    <hyperlink ref="B1778" r:id="rId5475" display="https://twitter.com/SexenioMX" xr:uid="{D59336D1-31EB-448E-BC14-88F0940C9CDA}"/>
    <hyperlink ref="E1778" r:id="rId5476" display="https://twitter.com/SexenioMX/status/723204417680363520" xr:uid="{A86BC5A2-049F-471C-B97F-DC7CB8F6C58C}"/>
    <hyperlink ref="O1778" r:id="rId5477" display="https://pbs.twimg.com/profile_images/700415860230397952/tCGmCj6M_normal.jpg" xr:uid="{6288283E-4714-4530-9A26-F80B04E3BA65}"/>
    <hyperlink ref="B1779" r:id="rId5478" display="https://twitter.com/SexenioCDMX" xr:uid="{A33E9D1B-8596-442C-9573-77C019A33146}"/>
    <hyperlink ref="E1779" r:id="rId5479" display="https://twitter.com/SexenioCDMX/status/723204430011596801" xr:uid="{5C5FF666-B83E-4632-BA89-2C1198FAE3BE}"/>
    <hyperlink ref="O1779" r:id="rId5480" display="https://pbs.twimg.com/profile_images/693156293842894848/THX8L389_normal.jpg" xr:uid="{A4A4A61E-A802-41C2-9123-DB62F555E18C}"/>
    <hyperlink ref="B1780" r:id="rId5481" display="https://twitter.com/carcomplaints" xr:uid="{AED38572-A7B2-40DC-AA43-915BDA7F87B6}"/>
    <hyperlink ref="C1780" r:id="rId5482" xr:uid="{2E919E1E-240B-4A12-9851-AB5B581645AD}"/>
    <hyperlink ref="E1780" r:id="rId5483" display="https://twitter.com/carcomplaints/status/723204432322826240" xr:uid="{D0E3A0F1-86C6-49BF-AFEB-BB2D76338C56}"/>
    <hyperlink ref="O1780" r:id="rId5484" display="https://pbs.twimg.com/profile_images/3535266328/abfd0da49fc5d31e6636027a78686e93_normal.png" xr:uid="{E4653FA0-23CE-42B8-91FA-8F2B8A6507BA}"/>
    <hyperlink ref="B1781" r:id="rId5485" display="https://twitter.com/yorkvolkswagen" xr:uid="{012F6521-9E96-488E-A96A-6FBE0350E160}"/>
    <hyperlink ref="E1781" r:id="rId5486" display="https://twitter.com/yorkvolkswagen/status/723204491432988673" xr:uid="{2F615791-AAA6-4A04-9127-E4EC87822FFB}"/>
    <hyperlink ref="O1781" r:id="rId5487" display="https://pbs.twimg.com/profile_images/579004061761957889/oIaJbG2t_normal.png" xr:uid="{F10231F3-D633-44A8-B00E-ADECA55004F7}"/>
    <hyperlink ref="B1782" r:id="rId5488" display="https://twitter.com/TimmonsLB" xr:uid="{7184776E-BE7F-46B4-BE61-88C9D0BCB30F}"/>
    <hyperlink ref="E1782" r:id="rId5489" display="https://twitter.com/TimmonsLB/status/723204491495903232" xr:uid="{CAABA44A-BBF6-42A0-9B3F-F366565B93B5}"/>
    <hyperlink ref="O1782" r:id="rId5490" display="https://pbs.twimg.com/profile_images/675400910659457024/j_ZmyCDW_normal.jpg" xr:uid="{95821E3E-C250-4BA7-920E-16481E3F7B8C}"/>
    <hyperlink ref="B1783" r:id="rId5491" display="https://twitter.com/revelation_book" xr:uid="{44A1A230-3E60-4642-9791-B041B67A59DC}"/>
    <hyperlink ref="E1783" r:id="rId5492" display="https://twitter.com/revelation_book/status/723204636639797248" xr:uid="{C130790A-F214-4E60-86EE-3715CF2A5C6B}"/>
    <hyperlink ref="O1783" r:id="rId5493" display="https://pbs.twimg.com/profile_images/490524598396403712/-Z8VMrA5_normal.jpeg" xr:uid="{59E5AFCF-BC59-4337-AC8E-DCB082DDF92D}"/>
    <hyperlink ref="B1784" r:id="rId5494" display="https://twitter.com/tonygilham34" xr:uid="{29901283-042C-4168-8517-4B16F1CEDD34}"/>
    <hyperlink ref="E1784" r:id="rId5495" display="https://twitter.com/tonygilham34/status/723205075338989569" xr:uid="{5C74B9EA-1196-444B-BFB9-13D72B3A80BD}"/>
    <hyperlink ref="O1784" r:id="rId5496" display="https://pbs.twimg.com/profile_images/529712216208326657/278T6KL8_normal.jpeg" xr:uid="{BEB98BB5-7B47-4B3C-BC52-49A359270453}"/>
    <hyperlink ref="B1785" r:id="rId5497" display="https://twitter.com/VolkswagenPost" xr:uid="{A3282915-8C58-4891-BBAC-5AA874E5C7A8}"/>
    <hyperlink ref="E1785" r:id="rId5498" display="https://twitter.com/VolkswagenPost/status/723205339684962304" xr:uid="{3CCDEB00-98A9-4719-BEF8-BD80AEE7271A}"/>
    <hyperlink ref="O1785" r:id="rId5499" display="https://pbs.twimg.com/profile_images/530071272881803264/a_jcCmPZ_normal.png" xr:uid="{E593DEF9-2664-488B-B1E3-8435C045E605}"/>
    <hyperlink ref="B1786" r:id="rId5500" display="https://twitter.com/quixotequest" xr:uid="{3F0135DC-A469-4CD2-9CE2-058CC30E1D77}"/>
    <hyperlink ref="E1786" r:id="rId5501" display="https://twitter.com/quixotequest/status/723206117698899968" xr:uid="{C386BBE2-CFB0-483C-BAAE-240B92D77B87}"/>
    <hyperlink ref="O1786" r:id="rId5502" display="https://pbs.twimg.com/profile_images/219318876/Bryan_avatarRGB_normal.jpg" xr:uid="{98FC045F-4524-4CEE-965A-9883E9AA85B0}"/>
    <hyperlink ref="B1787" r:id="rId5503" display="https://twitter.com/JosBosboom_" xr:uid="{9EFFF034-B9A0-43D3-9984-EC18F8A43408}"/>
    <hyperlink ref="E1787" r:id="rId5504" display="https://twitter.com/JosBosboom_/status/723206210955055105" xr:uid="{53622A39-C06D-4BCD-A9CA-ECD01DE27C93}"/>
    <hyperlink ref="F1787" r:id="rId5505" xr:uid="{636970EB-9C52-42D6-BCA8-B75C58AB472B}"/>
    <hyperlink ref="O1787" r:id="rId5506" display="https://pbs.twimg.com/profile_images/570893108095639552/IiOlHTmM_normal.jpeg" xr:uid="{0E9C599E-DD61-462F-BD69-5314B19C7265}"/>
    <hyperlink ref="B1788" r:id="rId5507" display="https://twitter.com/startmakkelijk" xr:uid="{5D5E59D4-9725-41CF-9880-FCAE73C6359F}"/>
    <hyperlink ref="E1788" r:id="rId5508" display="https://twitter.com/startmakkelijk/status/723206215421943808" xr:uid="{B1014C23-89CE-40BD-B3B4-6E298C2CA740}"/>
    <hyperlink ref="F1788" r:id="rId5509" xr:uid="{B475F293-2814-4079-8357-CA41F0080D1A}"/>
    <hyperlink ref="O1788" r:id="rId5510" display="https://pbs.twimg.com/profile_images/556562408542445568/pKWad79S_normal.png" xr:uid="{98F9DB0B-F602-46A4-BD5C-5ADB579FF3C4}"/>
    <hyperlink ref="B1789" r:id="rId5511" display="https://twitter.com/1stclasscampers" xr:uid="{AD919974-46F3-448D-A9E6-C29020EB3E54}"/>
    <hyperlink ref="E1789" r:id="rId5512" display="https://twitter.com/1stclasscampers/status/723206311052206081" xr:uid="{D8F947DB-E9FD-4F1C-9F0C-E4BD02CCECAE}"/>
    <hyperlink ref="O1789" r:id="rId5513" display="https://pbs.twimg.com/profile_images/577966282550677505/oTGuudXO_normal.jpeg" xr:uid="{E704E9EA-B6F8-45F8-BAE1-FB39AE329787}"/>
    <hyperlink ref="B1790" r:id="rId5514" display="https://twitter.com/SALYGO" xr:uid="{D6CBDC7E-82B1-4984-B07F-B2D8B0355CCC}"/>
    <hyperlink ref="E1790" r:id="rId5515" display="https://twitter.com/SALYGO/status/723206325736361985" xr:uid="{74D7111A-5F14-4256-A5FC-36520CAA5012}"/>
    <hyperlink ref="O1790" r:id="rId5516" display="https://pbs.twimg.com/profile_images/626432788296642560/5MDMVDWV_normal.jpg" xr:uid="{67AB75D7-F966-4032-9EA3-6579C4BA2D10}"/>
    <hyperlink ref="B1791" r:id="rId5517" display="https://twitter.com/braiiamvillada" xr:uid="{847F20E7-5E24-40BC-9C53-71A7E4884C87}"/>
    <hyperlink ref="E1791" r:id="rId5518" display="https://twitter.com/braiiamvillada/status/723206411057008641" xr:uid="{95550E3D-5ECF-48FB-8163-7ECC4203850D}"/>
    <hyperlink ref="O1791" r:id="rId5519" display="https://pbs.twimg.com/profile_images/716696142139015168/rtYZ9hGF_normal.jpg" xr:uid="{46D9E24F-BDFE-4874-A12C-389DAB96FB9C}"/>
    <hyperlink ref="B1792" r:id="rId5520" display="https://twitter.com/Carscoop" xr:uid="{57E726E1-B8D3-4983-9FC8-42081CBC211D}"/>
    <hyperlink ref="E1792" r:id="rId5521" display="https://twitter.com/Carscoop/status/723206455487164416" xr:uid="{D68CA82A-3847-4C98-A343-C6BFEF3870CF}"/>
    <hyperlink ref="F1792" r:id="rId5522" xr:uid="{6354FE65-1C6E-4EED-9AD2-0EF77CF92DDF}"/>
    <hyperlink ref="O1792" r:id="rId5523" display="https://pbs.twimg.com/profile_images/599709666017435648/r0vhT_9C_normal.png" xr:uid="{469B2937-26A0-4536-96B3-3DFFFCECE722}"/>
    <hyperlink ref="B1793" r:id="rId5524" display="https://twitter.com/dankogaion" xr:uid="{952BFE5F-37FA-458F-83EC-C52DF77983EF}"/>
    <hyperlink ref="E1793" r:id="rId5525" display="https://twitter.com/dankogaion/status/723206473837207554" xr:uid="{39855992-B60B-4065-885C-4ED5D39E0F98}"/>
    <hyperlink ref="O1793" r:id="rId5526" display="https://pbs.twimg.com/profile_images/622944034353352704/lB09dnRc_normal.jpg" xr:uid="{749A018B-C34A-4924-B8C0-1540D899DE2A}"/>
    <hyperlink ref="B1794" r:id="rId5527" display="https://twitter.com/carshionshow" xr:uid="{A289F266-4ED7-4D28-9663-79C4CE451768}"/>
    <hyperlink ref="E1794" r:id="rId5528" display="https://twitter.com/carshionshow/status/723206871792934912" xr:uid="{A8C1D4BA-F3B3-4029-BA60-D762EA2CF3DA}"/>
    <hyperlink ref="O1794" r:id="rId5529" display="https://pbs.twimg.com/profile_images/707706885416361988/CSeBjVbk_normal.jpg" xr:uid="{EA812443-2064-4701-9494-2BA8C05776FB}"/>
    <hyperlink ref="B1795" r:id="rId5530" display="https://twitter.com/carshionshow" xr:uid="{7F443354-56D3-4F4C-95CC-0A8586309EDE}"/>
    <hyperlink ref="E1795" r:id="rId5531" display="https://twitter.com/carshionshow/status/723206932648067072" xr:uid="{08C45A1C-1284-49B9-B963-7A67A72D5BC0}"/>
    <hyperlink ref="O1795" r:id="rId5532" display="https://pbs.twimg.com/profile_images/707706885416361988/CSeBjVbk_normal.jpg" xr:uid="{5087D5C4-F931-45F2-9F41-1F7368E441E8}"/>
    <hyperlink ref="B1796" r:id="rId5533" display="https://twitter.com/wehrs18" xr:uid="{5C1AB233-B8A4-4D24-9F13-84BD35C1E10B}"/>
    <hyperlink ref="E1796" r:id="rId5534" display="https://twitter.com/wehrs18/status/723207094615289856" xr:uid="{479ADCD2-3168-46C3-80BE-9101A12B7644}"/>
    <hyperlink ref="O1796" r:id="rId5535" display="https://pbs.twimg.com/profile_images/687314255507513346/a83L5Opq_normal.jpg" xr:uid="{AA9ED671-B150-47AB-88F9-2CC4ABD3A3D3}"/>
    <hyperlink ref="B1797" r:id="rId5536" display="https://twitter.com/acvwpassion" xr:uid="{B93D2575-CDDE-482A-95AC-F083F47B1187}"/>
    <hyperlink ref="E1797" r:id="rId5537" display="https://twitter.com/acvwpassion/status/723207199045066752" xr:uid="{145F55C3-6093-4520-9CD3-475DD60E8105}"/>
    <hyperlink ref="O1797" r:id="rId5538" display="https://pbs.twimg.com/profile_images/545688359964651520/SF3sJ7lv_normal.jpeg" xr:uid="{2AFAB189-E31D-4ADB-8BDE-FB1CD0CA92D9}"/>
    <hyperlink ref="B1798" r:id="rId5539" display="https://twitter.com/lamontto" xr:uid="{12B3DA5E-EF70-48AD-BBBB-16F405F3E19E}"/>
    <hyperlink ref="E1798" r:id="rId5540" display="https://twitter.com/lamontto/status/723207668312072192" xr:uid="{CE519470-E257-43A7-89F7-0966FD5A2369}"/>
    <hyperlink ref="O1798" r:id="rId5541" display="https://pbs.twimg.com/profile_images/653334158484357120/pjDnQtCN_normal.jpg" xr:uid="{FB4D3F53-B1D2-4152-B52C-D67526F220D2}"/>
    <hyperlink ref="B1799" r:id="rId5542" display="https://twitter.com/pillows_adam" xr:uid="{362AAE93-D991-48DD-937F-FBC198D767F0}"/>
    <hyperlink ref="E1799" r:id="rId5543" display="https://twitter.com/pillows_adam/status/723207709231865856" xr:uid="{F96039DE-C00E-4527-8749-37314D22ACC4}"/>
    <hyperlink ref="O1799" r:id="rId5544" display="https://pbs.twimg.com/profile_images/685566400178556930/I8jEfWdp_normal.jpg" xr:uid="{E8E04181-C84D-4D0D-B375-9EC28DA365BA}"/>
    <hyperlink ref="B1800" r:id="rId5545" display="https://twitter.com/earlybird445" xr:uid="{FD24DD97-270C-488D-9583-78EE5B49DE26}"/>
    <hyperlink ref="E1800" r:id="rId5546" display="https://twitter.com/earlybird445/status/723207882796195841" xr:uid="{528865AE-E984-469B-A40B-20DB146B7C42}"/>
    <hyperlink ref="O1800" r:id="rId5547" display="https://pbs.twimg.com/profile_images/546742188311195649/s46SZ2zw_normal.png" xr:uid="{C12625B0-3CB6-4175-9438-DD25F9308119}"/>
    <hyperlink ref="B1801" r:id="rId5548" display="https://twitter.com/BeCarChic" xr:uid="{9CF4D9E1-EC63-4E89-8270-E16796459EF4}"/>
    <hyperlink ref="E1801" r:id="rId5549" display="https://twitter.com/BeCarChic/status/723207901591011328" xr:uid="{A24D91EE-4868-44CF-8842-AE254EF72EC3}"/>
    <hyperlink ref="O1801" r:id="rId5550" display="https://pbs.twimg.com/profile_images/472019970604285952/Ry1ip6Gn_normal.png" xr:uid="{82A9286E-05AC-4635-80BF-3B3A8C48C20A}"/>
    <hyperlink ref="B1802" r:id="rId5551" display="https://twitter.com/DubLuvTuning" xr:uid="{B2F0C3C4-2B99-4FCE-AB3B-B17604FD1059}"/>
    <hyperlink ref="E1802" r:id="rId5552" display="https://twitter.com/DubLuvTuning/status/723208030955933696" xr:uid="{48F3D063-E830-4E48-BCDF-38F668DB9445}"/>
    <hyperlink ref="O1802" r:id="rId5553" display="https://pbs.twimg.com/profile_images/378800000572104796/1de43e1cf23efb3f4101c02afad0d3b6_normal.png" xr:uid="{392CC9E7-97AE-4907-B97A-0C0E80CA4B90}"/>
    <hyperlink ref="B1803" r:id="rId5554" display="https://twitter.com/pillows_adam" xr:uid="{3DBF98D4-9381-485D-818E-400952D5E72E}"/>
    <hyperlink ref="E1803" r:id="rId5555" display="https://twitter.com/pillows_adam/status/723208110035329024" xr:uid="{1638523D-F3CB-45EA-BD8E-64CFD2CED099}"/>
    <hyperlink ref="O1803" r:id="rId5556" display="https://pbs.twimg.com/profile_images/685566400178556930/I8jEfWdp_normal.jpg" xr:uid="{1ED5EB65-240A-4E03-B174-CEA629CB90F8}"/>
    <hyperlink ref="B1804" r:id="rId5557" display="https://twitter.com/DerbyshireGreen" xr:uid="{337662AF-0618-467A-970F-7345E4931CAF}"/>
    <hyperlink ref="E1804" r:id="rId5558" display="https://twitter.com/DerbyshireGreen/status/723208361529860096" xr:uid="{7D230552-3C61-4829-9AC9-C325E4063EEB}"/>
    <hyperlink ref="O1804" r:id="rId5559" display="https://pbs.twimg.com/profile_images/598819027033661440/3xMM90ca_normal.jpg" xr:uid="{E901B89B-EE69-493F-BD08-96C57F878D42}"/>
    <hyperlink ref="B1805" r:id="rId5560" display="https://twitter.com/Lid1108" xr:uid="{1804ACA4-B1A2-4C19-B652-AEE92D52B404}"/>
    <hyperlink ref="E1805" r:id="rId5561" display="https://twitter.com/Lid1108/status/723208519080517633" xr:uid="{735A7B1C-093D-49AF-9330-0C585441B6A6}"/>
    <hyperlink ref="O1805" r:id="rId5562" display="https://pbs.twimg.com/profile_images/693301323790467072/CXsYnNIp_normal.jpg" xr:uid="{D075B558-0A11-4404-A11D-8966A9DC386F}"/>
    <hyperlink ref="B1806" r:id="rId5563" display="https://twitter.com/SalihiShejzije" xr:uid="{82D13229-573D-4F3C-B908-4F3DDE194314}"/>
    <hyperlink ref="E1806" r:id="rId5564" display="https://twitter.com/SalihiShejzije/status/723208851626037248" xr:uid="{E8E63DBD-6C4F-42B6-99F2-B450DF9BDD1A}"/>
    <hyperlink ref="O1806" r:id="rId5565" display="https://pbs.twimg.com/profile_images/704001047216447488/5a1ozl-l_normal.jpg" xr:uid="{D33C46C6-FAE5-4D74-9223-12E0FDAD897A}"/>
    <hyperlink ref="B1807" r:id="rId5566" display="https://twitter.com/SusaaaanCondon" xr:uid="{7E623754-187D-482E-B4F1-2AA904F64462}"/>
    <hyperlink ref="E1807" r:id="rId5567" display="https://twitter.com/SusaaaanCondon/status/723209121449795584" xr:uid="{02A387E9-5D5B-4076-B0E6-B2BF9B6633B3}"/>
    <hyperlink ref="O1807" r:id="rId5568" display="https://pbs.twimg.com/profile_images/718489665200893953/lUvZosrg_normal.jpg" xr:uid="{6ED269A5-7724-4C89-B8EC-B2777E7D06BA}"/>
    <hyperlink ref="B1808" r:id="rId5569" display="https://twitter.com/cleanairfrank" xr:uid="{5033EC3B-3CE2-491E-A976-8D0F3FAF2864}"/>
    <hyperlink ref="E1808" r:id="rId5570" display="https://twitter.com/cleanairfrank/status/723209206401093636" xr:uid="{340E26D6-4F1C-49EC-93DA-9EA8C1752EEA}"/>
    <hyperlink ref="O1808" r:id="rId5571" display="https://pbs.twimg.com/profile_images/597164225/Frank_O_Donnell_head_shot__3__normal.jpg" xr:uid="{8D70BEA4-8882-4068-ACD5-F8930EC625FA}"/>
    <hyperlink ref="B1809" r:id="rId5572" display="https://twitter.com/WowbaggerXX7" xr:uid="{CF38458F-4FFB-42E9-927F-257D549BA86A}"/>
    <hyperlink ref="E1809" r:id="rId5573" display="https://twitter.com/WowbaggerXX7/status/723209321530585088" xr:uid="{890AC57E-13E4-4884-B5C5-168B4A2992D0}"/>
    <hyperlink ref="O1809" r:id="rId5574" display="https://pbs.twimg.com/profile_images/543163066599219200/dUy-AYOX_normal.jpeg" xr:uid="{AFBCC3F2-98E3-4B9F-9CDD-74656D13CFB1}"/>
    <hyperlink ref="B1810" r:id="rId5575" display="https://twitter.com/runner0305" xr:uid="{6AFB4B39-47F1-4E47-B504-FC4A9CBB421E}"/>
    <hyperlink ref="E1810" r:id="rId5576" display="https://twitter.com/runner0305/status/723209612216819713" xr:uid="{03279010-2E13-48D8-B279-90C5B60607CD}"/>
    <hyperlink ref="O1810" r:id="rId5577" display="https://pbs.twimg.com/profile_images/715474358790041602/SS-JhB1a_normal.jpg" xr:uid="{56C3CA32-E8EF-440B-8295-18213ADD1451}"/>
    <hyperlink ref="B1811" r:id="rId5578" display="https://twitter.com/Auto2day_gr" xr:uid="{F6D39980-555E-43F2-A541-3E9D4CBAB269}"/>
    <hyperlink ref="E1811" r:id="rId5579" display="https://twitter.com/Auto2day_gr/status/723209766651064321" xr:uid="{BF7269E7-2AA8-4AB9-8523-D4901A147AB5}"/>
    <hyperlink ref="O1811" r:id="rId5580" display="https://pbs.twimg.com/profile_images/684439034580570112/xeZrDF8k_normal.jpg" xr:uid="{5D51BBB8-6830-4F35-9340-CAA402274C2C}"/>
    <hyperlink ref="B1812" r:id="rId5581" display="https://twitter.com/MansellMotoSPT" xr:uid="{63C7D3BE-6912-4137-914C-9591CD39C602}"/>
    <hyperlink ref="E1812" r:id="rId5582" display="https://twitter.com/MansellMotoSPT/status/723209996389982208" xr:uid="{FAC23BC6-3776-4DE0-93F3-19A5C1DFBAD6}"/>
    <hyperlink ref="O1812" r:id="rId5583" display="https://pbs.twimg.com/profile_images/683943927808917505/ufIVpnBm_normal.png" xr:uid="{D80F2E15-15D3-4EBB-84CC-D97111D62C6A}"/>
    <hyperlink ref="B1813" r:id="rId5584" display="https://twitter.com/mvdweyer" xr:uid="{DE3B31DD-2161-4329-BBE7-1F28F42862C5}"/>
    <hyperlink ref="E1813" r:id="rId5585" display="https://twitter.com/mvdweyer/status/723210226745376768" xr:uid="{ABB0A38A-94B0-42B9-97D7-306E1B7B98D8}"/>
    <hyperlink ref="O1813" r:id="rId5586" display="https://pbs.twimg.com/profile_images/489747056584445953/3tvslEko_normal.jpeg" xr:uid="{6CFB0C83-D7C9-4E99-9B0B-44042E6E8472}"/>
    <hyperlink ref="B1814" r:id="rId5587" display="https://twitter.com/becomeagoogler" xr:uid="{036B8912-4856-4A20-881A-C3F3A0F14F3C}"/>
    <hyperlink ref="E1814" r:id="rId5588" display="https://twitter.com/becomeagoogler/status/723210319816962048" xr:uid="{E8550527-3666-40AF-A8E6-F510FB29EB77}"/>
    <hyperlink ref="N1814" r:id="rId5589" xr:uid="{80A28796-54F1-4C02-989C-91FC64BDB3FA}"/>
    <hyperlink ref="O1814" r:id="rId5590" display="https://pbs.twimg.com/profile_images/714639959932739586/MRnWA85b_normal.jpg" xr:uid="{FA8D7358-17B2-427B-9760-BDB1E9AB5284}"/>
    <hyperlink ref="B1815" r:id="rId5591" display="https://twitter.com/VWBeetleSales" xr:uid="{CD358DDD-5CFE-46B9-A77B-F130635038DB}"/>
    <hyperlink ref="E1815" r:id="rId5592" display="https://twitter.com/VWBeetleSales/status/723210479292715008" xr:uid="{DE778F11-A4AB-4AA2-B517-DC5949B4F00A}"/>
    <hyperlink ref="F1815" r:id="rId5593" xr:uid="{B4422F21-27CD-4F09-ADF3-74E8687BEC34}"/>
    <hyperlink ref="O1815" r:id="rId5594" display="https://pbs.twimg.com/profile_images/703294545195307008/qeCvrX86_normal.jpg" xr:uid="{DB12864B-F67C-451D-ADEC-9D64C5331B96}"/>
    <hyperlink ref="B1816" r:id="rId5595" display="https://twitter.com/VWBeetleSales" xr:uid="{268EECE7-FD3E-42E3-BF23-7A561286BAFA}"/>
    <hyperlink ref="E1816" r:id="rId5596" display="https://twitter.com/VWBeetleSales/status/723210489447088131" xr:uid="{AF9926FC-A680-4894-9FDD-5A0842463C5D}"/>
    <hyperlink ref="F1816" r:id="rId5597" xr:uid="{54BBBFF4-D166-4FBD-9889-D7376338D6D8}"/>
    <hyperlink ref="O1816" r:id="rId5598" display="https://pbs.twimg.com/profile_images/703294545195307008/qeCvrX86_normal.jpg" xr:uid="{8DA8D72C-EEC5-49E3-B886-2F1A77BA2364}"/>
    <hyperlink ref="B1817" r:id="rId5599" display="https://twitter.com/Marktzyniker" xr:uid="{3A658279-9852-44B1-9D7C-6EAB5557E8D0}"/>
    <hyperlink ref="E1817" r:id="rId5600" display="https://twitter.com/Marktzyniker/status/723210527699148800" xr:uid="{97318808-3C21-466D-8DDF-309EFDE5C463}"/>
    <hyperlink ref="O1817" r:id="rId5601" display="https://pbs.twimg.com/profile_images/1169387207/uhu_normal.jpg" xr:uid="{3CDB5B68-AE7C-44D9-9E2F-CDE4750F07F1}"/>
    <hyperlink ref="B1818" r:id="rId5602" display="https://twitter.com/salam_khubi" xr:uid="{BD997FB1-6F62-4CDF-A8C3-F12304B9A301}"/>
    <hyperlink ref="E1818" r:id="rId5603" display="https://twitter.com/salam_khubi/status/723210561262067712" xr:uid="{DC0F2034-AB0D-40CD-A992-7C090DDBBC5F}"/>
    <hyperlink ref="O1818" r:id="rId5604" display="https://pbs.twimg.com/profile_images/378800000543984879/4a4807dd53c46b6b9bdf26dd8d392373_normal.jpeg" xr:uid="{DF4E29EE-8877-4858-8B2B-0F6C52ADFEC8}"/>
    <hyperlink ref="B1819" r:id="rId5605" display="https://twitter.com/AutoBremer" xr:uid="{18513E42-6769-46F8-9F47-171C14872ABA}"/>
    <hyperlink ref="E1819" r:id="rId5606" display="https://twitter.com/AutoBremer/status/723210845497507840" xr:uid="{75448780-C16E-47C8-B678-FC45226D5895}"/>
    <hyperlink ref="O1819" r:id="rId5607" display="https://pbs.twimg.com/profile_images/508601059866980352/AYlBPmsJ_normal.jpeg" xr:uid="{43F63D62-F937-42F7-B3A7-3557AA7437F9}"/>
    <hyperlink ref="B1820" r:id="rId5608" display="https://twitter.com/Boersenradar" xr:uid="{B1B7D2D9-951C-47E6-BFD3-492076394483}"/>
    <hyperlink ref="E1820" r:id="rId5609" display="https://twitter.com/Boersenradar/status/723210857878970368" xr:uid="{6DE867C8-0807-44B6-ACF7-4CE7662D5B62}"/>
    <hyperlink ref="O1820" r:id="rId5610" display="https://pbs.twimg.com/profile_images/648862182936047616/p6o1BlmC_normal.jpg" xr:uid="{F849DA98-B69B-4D67-9407-0DD902E06487}"/>
    <hyperlink ref="B1821" r:id="rId5611" display="https://twitter.com/stasikasper" xr:uid="{9B2CB067-2676-45A3-9206-5AEA6837AFEA}"/>
    <hyperlink ref="E1821" r:id="rId5612" display="https://twitter.com/stasikasper/status/723210857904267264" xr:uid="{0F04B6B2-D7A4-49D2-B388-D49325D42744}"/>
    <hyperlink ref="O1821" r:id="rId5613" display="https://pbs.twimg.com/profile_images/552903437407371264/35UQ9wsB_normal.jpeg" xr:uid="{651C9B24-39EA-4469-BA5A-5C50929C13C7}"/>
    <hyperlink ref="B1822" r:id="rId5614" display="https://twitter.com/J_A_Goodwin" xr:uid="{48CAA1D8-92BD-466F-82A5-31AC0C9CA081}"/>
    <hyperlink ref="E1822" r:id="rId5615" display="https://twitter.com/J_A_Goodwin/status/723210869702688769" xr:uid="{93BFE9F0-C1A3-4082-8C59-771E9EA5C352}"/>
    <hyperlink ref="O1822" r:id="rId5616" display="https://pbs.twimg.com/profile_images/378800000462396717/40b6ca623644e3ce6addf15947b0c27b_normal.jpeg" xr:uid="{5376BAC0-DB7D-44C7-AFFA-7EF390141777}"/>
    <hyperlink ref="B1823" r:id="rId5617" display="https://twitter.com/sfchronicle" xr:uid="{D116DF71-9ABF-4745-8F80-21C4936B8634}"/>
    <hyperlink ref="E1823" r:id="rId5618" display="https://twitter.com/sfchronicle/status/723210979471822849" xr:uid="{C1D85A88-A5AA-413D-96AC-B2B33FF421C4}"/>
    <hyperlink ref="O1823" r:id="rId5619" display="https://pbs.twimg.com/profile_images/695773573919543296/Q1mS960c_normal.jpg" xr:uid="{64F914F4-DB28-4CBC-8902-14198122C13D}"/>
    <hyperlink ref="B1824" r:id="rId5620" display="https://twitter.com/Decocalcos" xr:uid="{B88EC308-06EC-4F6E-A060-B8844E18E2C8}"/>
    <hyperlink ref="E1824" r:id="rId5621" display="https://twitter.com/Decocalcos/status/723210983435579392" xr:uid="{ABC46DEA-AD7D-469F-B81B-A06232915288}"/>
    <hyperlink ref="O1824" r:id="rId5622" display="https://pbs.twimg.com/profile_images/716028030175600642/XLe3HmvA_normal.jpg" xr:uid="{7BC2CFC3-E194-43A4-AAC0-1FDE4DAAC50F}"/>
    <hyperlink ref="B1825" r:id="rId5623" display="https://twitter.com/JesseKIRO7" xr:uid="{F3547092-B6F4-428A-832D-FF9988B70AF2}"/>
    <hyperlink ref="E1825" r:id="rId5624" display="https://twitter.com/JesseKIRO7/status/723211067346825216" xr:uid="{22266637-D075-438C-AE12-973CC4FD8332}"/>
    <hyperlink ref="O1825" r:id="rId5625" display="https://pbs.twimg.com/profile_images/591529940299845632/uZ1KE1uO_normal.jpg" xr:uid="{837EFD15-A85B-485E-82A0-73123141A171}"/>
    <hyperlink ref="B1826" r:id="rId5626" display="https://twitter.com/VWCamperSales" xr:uid="{B023B621-296F-47CD-8839-6CF776E63713}"/>
    <hyperlink ref="E1826" r:id="rId5627" display="https://twitter.com/VWCamperSales/status/723211243641667584" xr:uid="{036E87BA-FE34-4A92-9F86-408CEEC4038D}"/>
    <hyperlink ref="F1826" r:id="rId5628" xr:uid="{146E5255-EA00-45BC-94FD-D277AF1945A7}"/>
    <hyperlink ref="O1826" r:id="rId5629" display="https://pbs.twimg.com/profile_images/627949001179037696/skEBkS05_normal.jpg" xr:uid="{3D7DACA3-6797-4A1D-A795-F1B5EEF3F203}"/>
    <hyperlink ref="B1827" r:id="rId5630" display="https://twitter.com/Insta_VWT" xr:uid="{4BC5AB50-CE6F-4DFD-A6AE-999124A50ED3}"/>
    <hyperlink ref="E1827" r:id="rId5631" display="https://twitter.com/Insta_VWT/status/723211351104098305" xr:uid="{966C1A69-2F24-4BAA-AA7B-4EAD01032230}"/>
    <hyperlink ref="O1827" r:id="rId5632" display="https://pbs.twimg.com/profile_images/424893967197433858/iQ86NktX_normal.jpeg" xr:uid="{B1750AD1-4201-4B2B-8FDA-C6CC8B210B11}"/>
    <hyperlink ref="B1828" r:id="rId5633" display="https://twitter.com/oldcar_photo" xr:uid="{D171ABB0-651E-4C29-90F9-7A6083B77EA0}"/>
    <hyperlink ref="E1828" r:id="rId5634" display="https://twitter.com/oldcar_photo/status/723211452044185600" xr:uid="{79883534-144B-402A-8953-0D51D72C8750}"/>
    <hyperlink ref="O1828" r:id="rId5635" display="https://pbs.twimg.com/profile_images/615493650785660928/XHUh6HOk_normal.jpg" xr:uid="{5A3AAECF-9FE1-4A5B-A440-1A6CFF462E0F}"/>
    <hyperlink ref="B1829" r:id="rId5636" display="https://twitter.com/Heinzel69" xr:uid="{B07661F8-9159-4C50-9535-126B7307AEA6}"/>
    <hyperlink ref="E1829" r:id="rId5637" display="https://twitter.com/Heinzel69/status/723211522806300672" xr:uid="{D9A54517-3761-4E56-9C0D-EF754FBED34A}"/>
    <hyperlink ref="O1829" r:id="rId5638" display="https://pbs.twimg.com/profile_images/673915351474774016/w2iNQh0s_normal.jpg" xr:uid="{34848ABC-E6C2-4779-890A-F4952A7F5C57}"/>
    <hyperlink ref="B1830" r:id="rId5639" display="https://twitter.com/HansjorgN" xr:uid="{660D1C24-9FFE-4ED0-AE39-9FAC61646064}"/>
    <hyperlink ref="E1830" r:id="rId5640" display="https://twitter.com/HansjorgN/status/723211549213622272" xr:uid="{82DB2233-CB82-4BF5-81CF-5E1E97CC9B78}"/>
    <hyperlink ref="O1830" r:id="rId5641" display="https://pbs.twimg.com/profile_images/537281757238677504/KlchrVbl_normal.jpeg" xr:uid="{C98D075A-231F-4751-BB4C-6163F9482C72}"/>
    <hyperlink ref="B1831" r:id="rId5642" display="https://twitter.com/VeeDubMk1_" xr:uid="{AA5CB5DF-2A7D-4A3D-89E0-589DB65802CF}"/>
    <hyperlink ref="E1831" r:id="rId5643" display="https://twitter.com/VeeDubMk1_/status/723211589025976320" xr:uid="{D460991F-6551-4B4E-BBBD-3C8B9248FF4C}"/>
    <hyperlink ref="O1831" r:id="rId5644" display="https://pbs.twimg.com/profile_images/672878354127839232/M7OYc-zx_normal.jpg" xr:uid="{D23F4CCE-B11B-4539-B23C-4A6260CCE8CF}"/>
    <hyperlink ref="B1832" r:id="rId5645" display="https://twitter.com/WeeklyNevada" xr:uid="{C49C73A8-7740-489D-B4B1-7EB1D9F47150}"/>
    <hyperlink ref="E1832" r:id="rId5646" display="https://twitter.com/WeeklyNevada/status/723211622395854848" xr:uid="{3CE0FC94-8697-461C-AFA2-FB6868B52EA0}"/>
    <hyperlink ref="O1832" r:id="rId5647" display="https://pbs.twimg.com/profile_images/550852181209800705/2SFvgJ30_normal.jpeg" xr:uid="{7F0760C3-9A49-47F8-800C-7C2253C2A0A2}"/>
    <hyperlink ref="B1833" r:id="rId5648" display="https://twitter.com/VeeDubMk1_" xr:uid="{B52309C7-6370-4771-A79E-23177612B6D8}"/>
    <hyperlink ref="E1833" r:id="rId5649" display="https://twitter.com/VeeDubMk1_/status/723211627508674562" xr:uid="{3E274594-778E-484B-8C23-2EC523CA0A46}"/>
    <hyperlink ref="O1833" r:id="rId5650" display="https://pbs.twimg.com/profile_images/672878354127839232/M7OYc-zx_normal.jpg" xr:uid="{A43075FE-D185-471B-AEFC-651B014E0809}"/>
    <hyperlink ref="B1834" r:id="rId5651" display="https://twitter.com/VeeDubMk1_" xr:uid="{73F88BA5-3D95-46CE-921C-A0A2AB3F5C13}"/>
    <hyperlink ref="E1834" r:id="rId5652" display="https://twitter.com/VeeDubMk1_/status/723211637059125249" xr:uid="{5DC8BEE2-6558-4C35-A1A5-6DDD0437EF5D}"/>
    <hyperlink ref="O1834" r:id="rId5653" display="https://pbs.twimg.com/profile_images/672878354127839232/M7OYc-zx_normal.jpg" xr:uid="{FAD49A1E-A7E4-44C5-8460-31CC4CB20D30}"/>
    <hyperlink ref="B1835" r:id="rId5654" display="https://twitter.com/jhoppper23" xr:uid="{729072C4-8ABE-4AB0-9943-8E174A60CA97}"/>
    <hyperlink ref="E1835" r:id="rId5655" display="https://twitter.com/jhoppper23/status/723211806102052864" xr:uid="{39C18CCF-7C7E-406E-81F3-7EA178FF98A2}"/>
    <hyperlink ref="O1835" r:id="rId5656" display="https://pbs.twimg.com/profile_images/708112838640803841/CMqduFiM_normal.jpg" xr:uid="{CB6DCA29-DA33-4C7C-9363-3D2BDBAF9C8D}"/>
    <hyperlink ref="B1836" r:id="rId5657" display="https://twitter.com/SexenioMX" xr:uid="{F9471B1B-4CAE-46D5-BB30-E146676E9A0F}"/>
    <hyperlink ref="E1836" r:id="rId5658" display="https://twitter.com/SexenioMX/status/723211984536117249" xr:uid="{81618059-0EC4-4228-A370-CA958B90DB77}"/>
    <hyperlink ref="O1836" r:id="rId5659" display="https://pbs.twimg.com/profile_images/700415860230397952/tCGmCj6M_normal.jpg" xr:uid="{D94EFA33-9743-4716-B6E3-05B6FBEECD26}"/>
    <hyperlink ref="B1837" r:id="rId5660" display="https://twitter.com/SexenioCDMX" xr:uid="{DD9DF714-B767-41C2-B1BE-0DCEED128E45}"/>
    <hyperlink ref="E1837" r:id="rId5661" display="https://twitter.com/SexenioCDMX/status/723211989909000192" xr:uid="{41098FA3-F903-4AD1-836D-BDB7A44116A7}"/>
    <hyperlink ref="O1837" r:id="rId5662" display="https://pbs.twimg.com/profile_images/693156293842894848/THX8L389_normal.jpg" xr:uid="{E3CEBCFD-CE91-486E-8793-55A535FAD530}"/>
    <hyperlink ref="B1838" r:id="rId5663" display="https://twitter.com/BackyardSafari" xr:uid="{9543AD74-CFB4-49D6-8FC6-425212CE32A0}"/>
    <hyperlink ref="E1838" r:id="rId5664" display="https://twitter.com/BackyardSafari/status/723212096981311489" xr:uid="{52DC81EA-49D6-40BE-8379-80A77FC92B58}"/>
    <hyperlink ref="O1838" r:id="rId5665" display="https://pbs.twimg.com/profile_images/713104533984055297/bKWWx502_normal.jpg" xr:uid="{74B85D17-8532-407F-A8F6-F7D4C84A4E8E}"/>
    <hyperlink ref="B1839" r:id="rId5666" display="https://twitter.com/chronsucks" xr:uid="{93EC76EA-D233-4DF9-9D1D-43871B31CA95}"/>
    <hyperlink ref="E1839" r:id="rId5667" display="https://twitter.com/chronsucks/status/723212146214068224" xr:uid="{F3CF415F-36D2-47A7-89BE-8B1F4E6DED93}"/>
    <hyperlink ref="O1839" r:id="rId5668" display="https://abs.twimg.com/sticky/default_profile_images/default_profile_0_normal.png" xr:uid="{6E1AA0D5-6A6D-47E4-BD20-9B0BE76EE352}"/>
    <hyperlink ref="B1840" r:id="rId5669" display="https://twitter.com/CarterVW" xr:uid="{3FE38ACD-A091-4BB0-9F73-35C0157DD8E3}"/>
    <hyperlink ref="E1840" r:id="rId5670" display="https://twitter.com/CarterVW/status/723212209837379585" xr:uid="{BB8C4C88-D9C6-49FC-B176-8C3865A96075}"/>
    <hyperlink ref="O1840" r:id="rId5671" display="https://pbs.twimg.com/profile_images/693260133237809152/JUVeKYdq_normal.jpg" xr:uid="{70F03B66-4BAF-4651-B8D1-948463FD88E9}"/>
    <hyperlink ref="B1841" r:id="rId5672" display="https://twitter.com/VWBeetleSales" xr:uid="{A6FDF411-3304-4575-BFD7-6A99593D6FA9}"/>
    <hyperlink ref="E1841" r:id="rId5673" display="https://twitter.com/VWBeetleSales/status/723212218083340288" xr:uid="{833CBD0C-BB3A-47F9-9265-A9B04E2D16F7}"/>
    <hyperlink ref="F1841" r:id="rId5674" xr:uid="{EC330B7E-6DC4-4D6E-B6D8-93DDFAA939A8}"/>
    <hyperlink ref="O1841" r:id="rId5675" display="https://pbs.twimg.com/profile_images/703294545195307008/qeCvrX86_normal.jpg" xr:uid="{B8330E8F-9E2C-43B4-BD7C-B016D8426B7B}"/>
    <hyperlink ref="B1842" r:id="rId5676" display="https://twitter.com/VWBeetleSales" xr:uid="{43325CC9-0428-4EA9-B90D-5821DC39A040}"/>
    <hyperlink ref="E1842" r:id="rId5677" display="https://twitter.com/VWBeetleSales/status/723212225188532224" xr:uid="{88BC99DE-FA10-4277-A357-B9068858D95E}"/>
    <hyperlink ref="F1842" r:id="rId5678" xr:uid="{52DB7ABF-8BBB-4CCA-A5AE-5DDCFBF55D60}"/>
    <hyperlink ref="O1842" r:id="rId5679" display="https://pbs.twimg.com/profile_images/703294545195307008/qeCvrX86_normal.jpg" xr:uid="{AF670395-56F3-4280-BE57-55BB57FA1808}"/>
    <hyperlink ref="B1843" r:id="rId5680" display="https://twitter.com/FuscaWorld" xr:uid="{8AE27D25-3108-45E0-B970-CD0F9994F723}"/>
    <hyperlink ref="E1843" r:id="rId5681" display="https://twitter.com/FuscaWorld/status/723212431170875393" xr:uid="{BC7A47C7-8D14-47FB-B28A-51563C8B4BEA}"/>
    <hyperlink ref="O1843" r:id="rId5682" display="https://pbs.twimg.com/profile_images/705780107844067328/e7O4UBNb_normal.jpg" xr:uid="{5B0BB077-9096-4435-887B-765F1EB7823E}"/>
    <hyperlink ref="B1844" r:id="rId5683" display="https://twitter.com/janreuter" xr:uid="{6B6C92FA-9F87-4DD4-9F80-E2DEE551F6C0}"/>
    <hyperlink ref="E1844" r:id="rId5684" display="https://twitter.com/janreuter/status/723212623861391361" xr:uid="{0456F366-CF2F-46CF-A334-B7BB6F3776B6}"/>
    <hyperlink ref="O1844" r:id="rId5685" display="https://pbs.twimg.com/profile_images/651035728739237888/U4Rzpmz2_normal.jpg" xr:uid="{91FF9F71-D561-4D93-9CEF-4B6054F5DFDA}"/>
    <hyperlink ref="B1845" r:id="rId5686" display="https://twitter.com/VWCamperSales" xr:uid="{3756B1D0-B8EC-4BAC-A5E5-75ABF29D6FB4}"/>
    <hyperlink ref="E1845" r:id="rId5687" display="https://twitter.com/VWCamperSales/status/723212743591882752" xr:uid="{6866EA96-6895-4856-A01C-B03412B50282}"/>
    <hyperlink ref="F1845" r:id="rId5688" xr:uid="{C088629A-C495-4058-8C06-67B1914A429D}"/>
    <hyperlink ref="O1845" r:id="rId5689" display="https://pbs.twimg.com/profile_images/627949001179037696/skEBkS05_normal.jpg" xr:uid="{6E85285D-B3D3-4FCC-B4A7-0F8A1AAB4508}"/>
    <hyperlink ref="B1846" r:id="rId5690" display="https://twitter.com/LukeDorbin" xr:uid="{38CBE93A-2620-401B-BD61-8766A3AA13D9}"/>
    <hyperlink ref="E1846" r:id="rId5691" display="https://twitter.com/LukeDorbin/status/723212769932226560" xr:uid="{FC8007C5-86ED-46B8-B8C6-EBFA3EB7426C}"/>
    <hyperlink ref="O1846" r:id="rId5692" display="https://pbs.twimg.com/profile_images/614541065987706880/OCFYP1z8_normal.jpg" xr:uid="{1C776EA9-CE42-4CB0-A748-2DFBB04F5D67}"/>
    <hyperlink ref="B1847" r:id="rId5693" display="https://twitter.com/iMexico_" xr:uid="{74261B2F-8CB9-4964-B7AE-5B4CE96D8C94}"/>
    <hyperlink ref="E1847" r:id="rId5694" display="https://twitter.com/iMexico_/status/723213054071050240" xr:uid="{2E428939-BF8D-422D-94D3-976928FA40C1}"/>
    <hyperlink ref="O1847" r:id="rId5695" display="https://pbs.twimg.com/profile_images/653000489265565697/b89Iw5Yy_normal.jpg" xr:uid="{E089EB50-92CE-47E9-9369-B640575CD081}"/>
    <hyperlink ref="B1848" r:id="rId5696" display="https://twitter.com/GazelleUK" xr:uid="{50E7A0B1-1E99-4E02-B838-3D6861D2F3DC}"/>
    <hyperlink ref="E1848" r:id="rId5697" display="https://twitter.com/GazelleUK/status/723213443902349312" xr:uid="{608492DB-4DD2-426F-8E1B-F5C9DC7FB7CB}"/>
    <hyperlink ref="O1848" r:id="rId5698" display="https://pbs.twimg.com/profile_images/713018924590301185/PbWdKP7K_normal.jpg" xr:uid="{0F55B68C-AD12-414E-809C-182366637F77}"/>
    <hyperlink ref="B1849" r:id="rId5699" display="https://twitter.com/BenFajzullin" xr:uid="{E57B9BFE-0A1B-41FC-AFF7-BEFE65AA8E19}"/>
    <hyperlink ref="E1849" r:id="rId5700" display="https://twitter.com/BenFajzullin/status/723213592485613568" xr:uid="{58E8D637-8A09-4514-B995-48B3A5AB6B96}"/>
    <hyperlink ref="O1849" r:id="rId5701" display="https://pbs.twimg.com/profile_images/712563568638619648/nNwSgK0o_normal.jpg" xr:uid="{873DA4D7-9E5F-49DE-93E5-06E75C5B1358}"/>
    <hyperlink ref="B1850" r:id="rId5702" display="https://twitter.com/WrexhamVW" xr:uid="{F28309E5-EE37-4B6A-8D77-9319F25ED88D}"/>
    <hyperlink ref="E1850" r:id="rId5703" display="https://twitter.com/WrexhamVW/status/723213970115436544" xr:uid="{CDDCC491-112F-4256-A73F-64AA1249DBB6}"/>
    <hyperlink ref="O1850" r:id="rId5704" display="https://pbs.twimg.com/profile_images/488719995401027584/VzWWQNs__normal.jpeg" xr:uid="{4E1DF931-A43E-4B6E-8408-B64F693BCF96}"/>
    <hyperlink ref="B1851" r:id="rId5705" display="https://twitter.com/swanswaygroup" xr:uid="{37728998-023C-4113-AA6D-B80298FA5F48}"/>
    <hyperlink ref="E1851" r:id="rId5706" display="https://twitter.com/swanswaygroup/status/723213970383994881" xr:uid="{F212CF27-9933-463D-8B3B-668D55870DC0}"/>
    <hyperlink ref="O1851" r:id="rId5707" display="https://pbs.twimg.com/profile_images/552037189328982016/r65JRGTS_normal.jpeg" xr:uid="{13E22B36-EAE5-4C64-9190-EBEA096BD273}"/>
    <hyperlink ref="B1852" r:id="rId5708" display="https://twitter.com/Mphilpot1" xr:uid="{FB319C1F-DB65-45EA-A49F-C8CE2175E15C}"/>
    <hyperlink ref="E1852" r:id="rId5709" display="https://twitter.com/Mphilpot1/status/723213980164984833" xr:uid="{DD7FD1EC-0854-40E5-B173-29809E73CCB2}"/>
    <hyperlink ref="O1852" r:id="rId5710" display="https://pbs.twimg.com/profile_images/422164778639839234/LVnS1q1c_normal.jpeg" xr:uid="{F7C44102-6D7F-40C6-89FE-EC91A2070F00}"/>
    <hyperlink ref="B1853" r:id="rId5711" display="https://twitter.com/OnlineCarReview" xr:uid="{EE38E4E5-6DB3-4EB4-9C47-D58E21C3CC76}"/>
    <hyperlink ref="E1853" r:id="rId5712" display="https://twitter.com/OnlineCarReview/status/723214148151074817" xr:uid="{B3BA1E08-E428-4FEF-989C-B897D58CED62}"/>
    <hyperlink ref="O1853" r:id="rId5713" display="https://pbs.twimg.com/profile_images/652871584131092480/QA_B6SBO_normal.jpg" xr:uid="{504A1C34-D6AB-4ED4-96AC-8CDF6DDB0BD7}"/>
    <hyperlink ref="B1854" r:id="rId5714" display="https://twitter.com/VolkswagenPost" xr:uid="{B618FA3B-274B-4A90-8134-A3AF9AF9D72E}"/>
    <hyperlink ref="E1854" r:id="rId5715" display="https://twitter.com/VolkswagenPost/status/723214206418317313" xr:uid="{4113693A-B77F-4142-97A6-F59FD8F3084D}"/>
    <hyperlink ref="O1854" r:id="rId5716" display="https://pbs.twimg.com/profile_images/530071272881803264/a_jcCmPZ_normal.png" xr:uid="{3E367D20-2951-43C8-BDDA-D8E92DF94074}"/>
    <hyperlink ref="B1855" r:id="rId5717" display="https://twitter.com/VolkswagenPost" xr:uid="{067062A0-F769-46D5-A858-74A768ACA68F}"/>
    <hyperlink ref="E1855" r:id="rId5718" display="https://twitter.com/VolkswagenPost/status/723214207315898369" xr:uid="{DF192FED-C205-4C85-A0F9-CD4AF71DFAB7}"/>
    <hyperlink ref="O1855" r:id="rId5719" display="https://pbs.twimg.com/profile_images/530071272881803264/a_jcCmPZ_normal.png" xr:uid="{B1BDDEF3-F756-4675-B5D2-ECF86FBF8820}"/>
    <hyperlink ref="B1856" r:id="rId5720" display="https://twitter.com/VolkswagenPost" xr:uid="{966F596B-5E09-4914-8E11-AB6FAAD6CD72}"/>
    <hyperlink ref="E1856" r:id="rId5721" display="https://twitter.com/VolkswagenPost/status/723214208255434753" xr:uid="{52C7DE02-C565-45DE-AD75-29F3DFCDDC44}"/>
    <hyperlink ref="O1856" r:id="rId5722" display="https://pbs.twimg.com/profile_images/530071272881803264/a_jcCmPZ_normal.png" xr:uid="{3653F5FE-7B7B-44B2-BE69-3632C94116ED}"/>
    <hyperlink ref="B1857" r:id="rId5723" display="https://twitter.com/VolkswagenPost" xr:uid="{5C1FD6AA-5417-4AC4-AB35-5E4348E32666}"/>
    <hyperlink ref="E1857" r:id="rId5724" display="https://twitter.com/VolkswagenPost/status/723214209039749120" xr:uid="{8E5726C7-C892-4E71-AEAB-3DB6C7AC8743}"/>
    <hyperlink ref="O1857" r:id="rId5725" display="https://pbs.twimg.com/profile_images/530071272881803264/a_jcCmPZ_normal.png" xr:uid="{3BC4A54E-B0AD-4919-86D1-4EDA464904DB}"/>
    <hyperlink ref="B1858" r:id="rId5726" display="https://twitter.com/VolkswagenPost" xr:uid="{74F4AE97-8A57-4DC2-B670-FE5360194C3C}"/>
    <hyperlink ref="E1858" r:id="rId5727" display="https://twitter.com/VolkswagenPost/status/723214209903792128" xr:uid="{F4C58138-9510-4B4C-AB51-238012CC02D4}"/>
    <hyperlink ref="O1858" r:id="rId5728" display="https://pbs.twimg.com/profile_images/530071272881803264/a_jcCmPZ_normal.png" xr:uid="{EAF8570D-BC54-40B7-8673-85878BF4CFA4}"/>
    <hyperlink ref="B1859" r:id="rId5729" display="https://twitter.com/bvdvliet" xr:uid="{2067FBCC-9C4A-4E71-8A03-7F650A8F705D}"/>
    <hyperlink ref="E1859" r:id="rId5730" display="https://twitter.com/bvdvliet/status/723214435863683072" xr:uid="{60A143DF-1223-471D-AC6C-0AA4C5BB0C65}"/>
    <hyperlink ref="O1859" r:id="rId5731" display="https://pbs.twimg.com/profile_images/378800000747750946/394d9f0f5e6dde5137683d9c98c5c8a9_normal.jpeg" xr:uid="{239DB948-79EB-4347-B9D7-51F83B29BB3D}"/>
    <hyperlink ref="B1860" r:id="rId5732" display="https://twitter.com/RiveGaucheWestU" xr:uid="{603E4234-A7C0-4EBB-A00C-28A4A5CF4B71}"/>
    <hyperlink ref="E1860" r:id="rId5733" display="https://twitter.com/RiveGaucheWestU/status/723214952291409921" xr:uid="{7115D341-FFF0-4972-B20D-85C561F8D5CB}"/>
    <hyperlink ref="O1860" r:id="rId5734" display="https://pbs.twimg.com/profile_images/710095285314170880/4JEWUk8A_normal.jpg" xr:uid="{98D95A5A-657B-415B-A8CB-042D8262BA68}"/>
    <hyperlink ref="B1861" r:id="rId5735" display="https://twitter.com/kamankoyum" xr:uid="{A289C50E-C785-4532-81FD-549C84EDC633}"/>
    <hyperlink ref="E1861" r:id="rId5736" display="https://twitter.com/kamankoyum/status/723215056532570112" xr:uid="{E1DF184B-CBDF-4C32-8313-52224E79D502}"/>
    <hyperlink ref="O1861" r:id="rId5737" display="https://pbs.twimg.com/profile_images/1898841779/dad__n_n_torunlar__normal.jpg" xr:uid="{C411D7F4-1961-4EE0-AD74-9C9F318BB5BD}"/>
    <hyperlink ref="B1862" r:id="rId5738" display="https://twitter.com/Cati_Economia" xr:uid="{AC12B251-55D3-4168-98AD-27E5D2EBA93A}"/>
    <hyperlink ref="E1862" r:id="rId5739" display="https://twitter.com/Cati_Economia/status/723215079915819009" xr:uid="{5967B188-CAC0-4739-9E39-AB5A38438292}"/>
    <hyperlink ref="O1862" r:id="rId5740" display="https://pbs.twimg.com/profile_images/536852811401555968/jGIByPyp_normal.png" xr:uid="{E75F503B-1DB2-4E97-BF16-003A2064CA92}"/>
    <hyperlink ref="B1863" r:id="rId5741" display="https://twitter.com/bvdvliet" xr:uid="{CA22468B-ED48-40A2-B7D3-2B5E6D8B8DCF}"/>
    <hyperlink ref="E1863" r:id="rId5742" display="https://twitter.com/bvdvliet/status/723215502793969664" xr:uid="{5D475BB2-B5EB-45D9-AF5B-CA38E498C15B}"/>
    <hyperlink ref="O1863" r:id="rId5743" display="https://pbs.twimg.com/profile_images/378800000747750946/394d9f0f5e6dde5137683d9c98c5c8a9_normal.jpeg" xr:uid="{19F6169C-F326-4E1A-BF86-0674EC0CBF1B}"/>
    <hyperlink ref="B1864" r:id="rId5744" display="https://twitter.com/bvdvliet" xr:uid="{B2612663-02B7-47A1-8857-0902A9671AF1}"/>
    <hyperlink ref="E1864" r:id="rId5745" display="https://twitter.com/bvdvliet/status/723215560981536769" xr:uid="{F3ED6B93-CBF3-4848-A1BF-B9F248964DA2}"/>
    <hyperlink ref="O1864" r:id="rId5746" display="https://pbs.twimg.com/profile_images/378800000747750946/394d9f0f5e6dde5137683d9c98c5c8a9_normal.jpeg" xr:uid="{421AA974-0332-4518-88A1-514C9CA8A2B7}"/>
    <hyperlink ref="B1865" r:id="rId5747" display="https://twitter.com/Ricardpiccolojr" xr:uid="{4B5859DD-2D09-4C9F-B4D4-21F173B6296B}"/>
    <hyperlink ref="E1865" r:id="rId5748" display="https://twitter.com/Ricardpiccolojr/status/723215585807577089" xr:uid="{69854A43-6C24-44FB-8490-56D1615CDC4E}"/>
    <hyperlink ref="O1865" r:id="rId5749" display="https://pbs.twimg.com/profile_images/689575023284244480/WoNSC9ka_normal.jpg" xr:uid="{3021245F-4228-4084-8F24-7AC2E6B8B801}"/>
    <hyperlink ref="B1866" r:id="rId5750" display="https://twitter.com/TeamHardRacing" xr:uid="{9408E2F7-7EB8-45F1-8F7D-D67253A51943}"/>
    <hyperlink ref="E1866" r:id="rId5751" display="https://twitter.com/TeamHardRacing/status/723215740598255620" xr:uid="{8E995503-2417-4316-8D91-CA603BED9831}"/>
    <hyperlink ref="O1866" r:id="rId5752" display="https://pbs.twimg.com/profile_images/582877066447753216/5VgRsWF1_normal.jpg" xr:uid="{948CC50F-761F-45C8-8392-2D04E5AE5046}"/>
    <hyperlink ref="B1867" r:id="rId5753" display="https://twitter.com/VipinGtm" xr:uid="{00BFF29A-4FB8-4E41-8470-0FD827A7B123}"/>
    <hyperlink ref="E1867" r:id="rId5754" display="https://twitter.com/VipinGtm/status/723216080559202304" xr:uid="{42820CFC-C169-4F76-B122-00FD4C49A861}"/>
    <hyperlink ref="O1867" r:id="rId5755" display="https://pbs.twimg.com/profile_images/430410129184260096/osEeFqYo_normal.jpeg" xr:uid="{70439E59-3B4D-4D6A-A279-4023970D2987}"/>
    <hyperlink ref="B1868" r:id="rId5756" display="https://twitter.com/VolkswagenPost" xr:uid="{716DB4E1-91FD-4B09-B2F2-A12796E2BF2A}"/>
    <hyperlink ref="E1868" r:id="rId5757" display="https://twitter.com/VolkswagenPost/status/723216460156379136" xr:uid="{FE741FE6-5BCE-4B29-A544-9D9A06D8BCA8}"/>
    <hyperlink ref="O1868" r:id="rId5758" display="https://pbs.twimg.com/profile_images/530071272881803264/a_jcCmPZ_normal.png" xr:uid="{7325EA7C-C301-4351-9ABC-48977F921923}"/>
    <hyperlink ref="B1869" r:id="rId5759" display="https://twitter.com/ruWladimir" xr:uid="{C202D763-83F3-4814-80DF-1DC98C9C7105}"/>
    <hyperlink ref="E1869" r:id="rId5760" display="https://twitter.com/ruWladimir/status/723216460902850560" xr:uid="{66CA3BF6-B6C1-4722-AC8C-629965593BF1}"/>
    <hyperlink ref="O1869" r:id="rId5761" display="https://pbs.twimg.com/profile_images/445121132337713152/P-netA67_normal.jpeg" xr:uid="{FD8E1EFE-EB9F-49D5-96AF-749A0209AFAE}"/>
    <hyperlink ref="B1870" r:id="rId5762" display="https://twitter.com/VolkswagenPost" xr:uid="{B5A3BBFF-1045-48F6-AF92-2E05ACD67FF4}"/>
    <hyperlink ref="E1870" r:id="rId5763" display="https://twitter.com/VolkswagenPost/status/723216460961710081" xr:uid="{926F8DFA-F970-47B1-9C56-13DCD61F2923}"/>
    <hyperlink ref="O1870" r:id="rId5764" display="https://pbs.twimg.com/profile_images/530071272881803264/a_jcCmPZ_normal.png" xr:uid="{D7637669-6E63-4095-BBB7-00770F71B6A8}"/>
    <hyperlink ref="B1871" r:id="rId5765" display="https://twitter.com/ndaktuell" xr:uid="{FD00A6C2-9EF0-40E9-891F-81EB3B70A458}"/>
    <hyperlink ref="E1871" r:id="rId5766" display="https://twitter.com/ndaktuell/status/723216499637362688" xr:uid="{4A71288A-F6FA-4389-BD7F-B72C48BC1B13}"/>
    <hyperlink ref="O1871" r:id="rId5767" display="https://pbs.twimg.com/profile_images/610769623605243904/uVFqXxAx_normal.png" xr:uid="{A9A58CD2-B37D-4866-A6B1-A348A86F7A18}"/>
    <hyperlink ref="B1872" r:id="rId5768" display="https://twitter.com/brosefstalin53" xr:uid="{97739337-08E1-49CB-A521-2B75660D4747}"/>
    <hyperlink ref="E1872" r:id="rId5769" display="https://twitter.com/brosefstalin53/status/723216718798172160" xr:uid="{510AA74F-41F4-4805-A178-8C3F335AFDC3}"/>
    <hyperlink ref="O1872" r:id="rId5770" display="https://pbs.twimg.com/profile_images/714459923313213440/hqlB0K0j_normal.jpg" xr:uid="{DD11E91A-17C0-4F6D-8B92-3D50CB598574}"/>
    <hyperlink ref="B1873" r:id="rId5771" display="https://twitter.com/morvjn" xr:uid="{3AE8A800-3FDF-443E-BBB2-E2F381B73D03}"/>
    <hyperlink ref="E1873" r:id="rId5772" display="https://twitter.com/morvjn/status/723216869549850625" xr:uid="{D5179B78-77AD-4D0F-A18E-B43392E4F008}"/>
    <hyperlink ref="O1873" r:id="rId5773" display="https://pbs.twimg.com/profile_images/785585375/marvin-the-paranoid-android_normal.jpg" xr:uid="{7BDD1C5E-8FE2-4147-8C2C-3A7FF08D53A1}"/>
    <hyperlink ref="B1874" r:id="rId5774" display="https://twitter.com/ben_gt" xr:uid="{65D96D91-6694-4647-9C5D-6459EB0EE479}"/>
    <hyperlink ref="E1874" r:id="rId5775" display="https://twitter.com/ben_gt/status/723216944363495425" xr:uid="{834889ED-BEBA-41AE-B7D8-F122B3800485}"/>
    <hyperlink ref="O1874" r:id="rId5776" display="https://pbs.twimg.com/profile_images/1125394338/P1050583_normal.JPG" xr:uid="{ACEB3FBF-A9B1-49CC-9E25-CBE2D41087B4}"/>
    <hyperlink ref="B1875" r:id="rId5777" display="https://twitter.com/k__hris" xr:uid="{9EEF3FE4-6EE9-4B86-84E6-6F062574F3AD}"/>
    <hyperlink ref="E1875" r:id="rId5778" display="https://twitter.com/k__hris/status/723217081961947137" xr:uid="{09851F31-0036-438D-98DB-B405800DFABD}"/>
    <hyperlink ref="O1875" r:id="rId5779" display="https://pbs.twimg.com/profile_images/720567202877980672/VTXiEXaY_normal.jpg" xr:uid="{F113B619-E3D8-49F9-B885-1629D14448D1}"/>
    <hyperlink ref="B1876" r:id="rId5780" display="https://twitter.com/ArcadiaComunica" xr:uid="{82F414E8-B587-4161-AAB6-DC1E3749C803}"/>
    <hyperlink ref="E1876" r:id="rId5781" display="https://twitter.com/ArcadiaComunica/status/723217370290917377" xr:uid="{0BF79BFF-E8C9-470C-9B6C-BB94A6EEAB91}"/>
    <hyperlink ref="F1876" r:id="rId5782" xr:uid="{EE545660-B935-41AA-BECC-F3814377EC8B}"/>
    <hyperlink ref="O1876" r:id="rId5783" display="https://pbs.twimg.com/profile_images/462350572058718209/eX2lBmw3_normal.png" xr:uid="{F73A4DCF-C146-47BE-8984-346E9984B8D4}"/>
    <hyperlink ref="B1877" r:id="rId5784" display="https://twitter.com/tumalwas" xr:uid="{B424608E-CC91-4721-89B3-340753797339}"/>
    <hyperlink ref="E1877" r:id="rId5785" display="https://twitter.com/tumalwas/status/723217630082011136" xr:uid="{46E1457C-FEAE-46F5-8ABB-347FDE0EE2E2}"/>
    <hyperlink ref="O1877" r:id="rId5786" display="https://pbs.twimg.com/profile_images/639197043538403328/dlL8gtYI_normal.jpg" xr:uid="{40C20927-EE3A-44AD-9937-88DD75F9AAD2}"/>
    <hyperlink ref="B1878" r:id="rId5787" display="https://twitter.com/JoachimPeiper8" xr:uid="{786503F9-B0F7-47B8-9C66-7F97614904AB}"/>
    <hyperlink ref="E1878" r:id="rId5788" display="https://twitter.com/JoachimPeiper8/status/723217694443618304" xr:uid="{4C8D5026-0FAF-45AA-B4C5-87167000AF3F}"/>
    <hyperlink ref="O1878" r:id="rId5789" display="https://pbs.twimg.com/profile_images/692076002940420097/5AH5fGl7_normal.jpg" xr:uid="{C7AF340D-ACDE-456D-9F78-C33A7F5F76F0}"/>
    <hyperlink ref="B1879" r:id="rId5790" display="https://twitter.com/SteveGrant67" xr:uid="{3FDBE701-4C30-4172-9360-DF961B19828D}"/>
    <hyperlink ref="E1879" r:id="rId5791" display="https://twitter.com/SteveGrant67/status/723217730791440384" xr:uid="{9BFFDC0C-8D46-413A-8BFF-43355716856A}"/>
    <hyperlink ref="O1879" r:id="rId5792" display="https://pbs.twimg.com/profile_images/460076285507563521/4Z-e8jo6_normal.jpeg" xr:uid="{AF2040B7-FB1A-4C3F-BD20-3F092C1EB411}"/>
    <hyperlink ref="B1880" r:id="rId5793" display="https://twitter.com/midaytona" xr:uid="{8094D6D5-5D3B-4C0A-AA33-272E4E7FFA0E}"/>
    <hyperlink ref="E1880" r:id="rId5794" display="https://twitter.com/midaytona/status/723217997385461762" xr:uid="{B9C5A204-08BB-43B2-8FEE-A6786568EBCC}"/>
    <hyperlink ref="O1880" r:id="rId5795" display="https://pbs.twimg.com/profile_images/524665042696806400/kZlDvA2y_normal.png" xr:uid="{BB41023E-1628-4AE4-B81A-FF86E4F065C1}"/>
    <hyperlink ref="B1881" r:id="rId5796" display="https://twitter.com/PoweredToysandB" xr:uid="{01C1D7A5-41F0-4E49-BB1B-7EC7763BED87}"/>
    <hyperlink ref="E1881" r:id="rId5797" display="https://twitter.com/PoweredToysandB/status/723218187928670209" xr:uid="{CEF23B85-E940-4281-92B2-1694824C1BF7}"/>
    <hyperlink ref="O1881" r:id="rId5798" display="https://pbs.twimg.com/profile_images/527673330686386176/z1tG_a54_normal.jpeg" xr:uid="{9EF6DFA5-EE98-41E0-BCB0-167B0590B7C0}"/>
    <hyperlink ref="B1882" r:id="rId5799" display="https://twitter.com/EveeNaveyraa" xr:uid="{4D2CCCE8-315A-4320-B22A-29C57F40E060}"/>
    <hyperlink ref="E1882" r:id="rId5800" display="https://twitter.com/EveeNaveyraa/status/723218223701864448" xr:uid="{BB19A5E7-9760-4809-A778-2100CD1C41E7}"/>
    <hyperlink ref="O1882" r:id="rId5801" display="https://pbs.twimg.com/profile_images/717842897396219905/v1FD6_yv_normal.jpg" xr:uid="{BCA2DE4F-46D1-4266-AE8F-83D6384B96BC}"/>
    <hyperlink ref="B1883" r:id="rId5802" display="https://twitter.com/NADAUpdate" xr:uid="{CB68180E-072C-4E01-BCD8-7A120D65BCB3}"/>
    <hyperlink ref="E1883" r:id="rId5803" display="https://twitter.com/NADAUpdate/status/723218371815325696" xr:uid="{EDB9DC64-E5AF-4554-A22F-07F110C95F0F}"/>
    <hyperlink ref="O1883" r:id="rId5804" display="https://pbs.twimg.com/profile_images/684030452013731840/tYCK6LbY_normal.jpg" xr:uid="{35063AD3-2C4F-43E1-BC24-7A85134EC451}"/>
    <hyperlink ref="B1884" r:id="rId5805" display="https://twitter.com/glenmavis" xr:uid="{4BD617BA-C9D7-44BE-AA64-DA2C1EB3EBFB}"/>
    <hyperlink ref="E1884" r:id="rId5806" display="https://twitter.com/glenmavis/status/723218422239236101" xr:uid="{20B21C24-0CE9-4C0C-9E6C-97A8C8362A2A}"/>
    <hyperlink ref="O1884" r:id="rId5807" display="https://pbs.twimg.com/profile_images/595309304510550019/sGlNhfkh_normal.jpg" xr:uid="{2CDCD8EF-B051-42EF-B0F5-8B60B97D7997}"/>
    <hyperlink ref="B1885" r:id="rId5808" display="https://twitter.com/PeacePiper" xr:uid="{1BB59CF1-C68D-49F2-ABA2-185C86638601}"/>
    <hyperlink ref="E1885" r:id="rId5809" display="https://twitter.com/PeacePiper/status/723218503935762433" xr:uid="{932ACCA1-3076-4827-8FC5-7467B605AB1D}"/>
    <hyperlink ref="O1885" r:id="rId5810" display="https://pbs.twimg.com/profile_images/458824806670946304/916DXRC8_normal.jpeg" xr:uid="{BEA260DB-A98E-48D6-BC1F-148C567A9A26}"/>
    <hyperlink ref="B1886" r:id="rId5811" display="https://twitter.com/VintageGermanPt" xr:uid="{F866C393-3E83-4D70-927A-E94EB6F60BB1}"/>
    <hyperlink ref="E1886" r:id="rId5812" display="https://twitter.com/VintageGermanPt/status/723218533048549376" xr:uid="{6F2080BA-E8CE-45B0-84D0-C87D6D7EFEB2}"/>
    <hyperlink ref="O1886" r:id="rId5813" display="https://pbs.twimg.com/profile_images/710240802551635969/4XYQFs8c_normal.jpg" xr:uid="{DB897C0A-65D9-489A-B841-FA7E2AE7DDCA}"/>
    <hyperlink ref="B1887" r:id="rId5814" display="https://twitter.com/_HADES1" xr:uid="{0EBAB5EB-D382-4A5E-9C00-DFDF5AF47F70}"/>
    <hyperlink ref="E1887" r:id="rId5815" display="https://twitter.com/_HADES1/status/723218676514717696" xr:uid="{ABD574D3-3E26-4735-BB10-D23A7E9A7C52}"/>
    <hyperlink ref="O1887" r:id="rId5816" display="https://pbs.twimg.com/profile_images/500952306922553344/e34g4CfG_normal.jpeg" xr:uid="{11C50D9D-4543-4D69-B10C-AE89A6E196DD}"/>
    <hyperlink ref="B1888" r:id="rId5817" display="https://twitter.com/SMWA_SN" xr:uid="{5237B3B1-EAA0-41ED-95F5-781CEB53E990}"/>
    <hyperlink ref="E1888" r:id="rId5818" display="https://twitter.com/SMWA_SN/status/723218784950075392" xr:uid="{4AD5D925-B6E5-48A9-AD91-38BEB2D2223D}"/>
    <hyperlink ref="O1888" r:id="rId5819" display="https://pbs.twimg.com/profile_images/597697532958011392/kZeBXJZV_normal.png" xr:uid="{659AED36-9371-435F-9680-ADD23F00BD5A}"/>
    <hyperlink ref="B1889" r:id="rId5820" display="https://twitter.com/essing_h" xr:uid="{B412E8E8-3754-43CD-94F8-F87DBB1AC808}"/>
    <hyperlink ref="E1889" r:id="rId5821" display="https://twitter.com/essing_h/status/723218913912336385" xr:uid="{7B11DE21-7DA8-42D0-B33B-FE75C3557DAE}"/>
    <hyperlink ref="O1889" r:id="rId5822" display="https://pbs.twimg.com/profile_images/666959113637732352/gcLEjaSy_normal.jpg" xr:uid="{BD9662AD-0765-4770-8A7C-263626C6AB3C}"/>
    <hyperlink ref="B1890" r:id="rId5823" display="https://twitter.com/streetwisedrive" xr:uid="{DD8FE96C-746E-4697-96EF-12DDE1219C44}"/>
    <hyperlink ref="E1890" r:id="rId5824" display="https://twitter.com/streetwisedrive/status/723218927090733056" xr:uid="{6CC32D78-6165-4B67-ADDC-E87898AB377D}"/>
    <hyperlink ref="O1890" r:id="rId5825" display="https://pbs.twimg.com/profile_images/662385542064029696/e6ZBpmc1_normal.png" xr:uid="{0D1CD929-609D-403E-9A34-617C1EEC7390}"/>
    <hyperlink ref="B1891" r:id="rId5826" display="https://twitter.com/VWCamperSales" xr:uid="{50B08A73-1841-49C1-BEC4-5C1DBC04C220}"/>
    <hyperlink ref="E1891" r:id="rId5827" display="https://twitter.com/VWCamperSales/status/723219279051517952" xr:uid="{E8B13CBE-6250-490E-B0D0-8F51660C0CF4}"/>
    <hyperlink ref="F1891" r:id="rId5828" xr:uid="{37107EA8-9608-481E-BC22-D962CC7EB060}"/>
    <hyperlink ref="O1891" r:id="rId5829" display="https://pbs.twimg.com/profile_images/627949001179037696/skEBkS05_normal.jpg" xr:uid="{95EB7A91-DAC2-4E42-A5E9-F018CC2B4052}"/>
    <hyperlink ref="B1892" r:id="rId5830" display="https://twitter.com/AndreasAndy3131" xr:uid="{57883CD3-8AE1-4F59-B20A-15F69CBA5DC0}"/>
    <hyperlink ref="E1892" r:id="rId5831" display="https://twitter.com/AndreasAndy3131/status/723219447343923200" xr:uid="{CAC53044-201A-4B8F-98FA-91F70B5B4D75}"/>
    <hyperlink ref="O1892" r:id="rId5832" display="https://pbs.twimg.com/profile_images/705409156363063296/L-9HeIjW_normal.jpg" xr:uid="{D54648F7-D1AC-401C-B653-0A995F6FC4D0}"/>
    <hyperlink ref="B1893" r:id="rId5833" display="https://twitter.com/schworervw" xr:uid="{7DB6B674-6569-4A2B-A67E-086A5B851BB4}"/>
    <hyperlink ref="E1893" r:id="rId5834" display="https://twitter.com/schworervw/status/723219495028809728" xr:uid="{ABED49FA-0469-43F4-853B-25C3306E79B4}"/>
    <hyperlink ref="O1893" r:id="rId5835" display="https://pbs.twimg.com/profile_images/697509509221261316/IzMgjtS0_normal.jpg" xr:uid="{671BDA1F-74B5-43ED-951A-1B06A51BA41C}"/>
    <hyperlink ref="B1894" r:id="rId5836" display="https://twitter.com/dknightvaleting" xr:uid="{8D32484F-54E7-48C3-A9C1-5CA6E12E138D}"/>
    <hyperlink ref="E1894" r:id="rId5837" display="https://twitter.com/dknightvaleting/status/723219526419111936" xr:uid="{019A1983-1668-4CD0-992D-A355FF7D34CF}"/>
    <hyperlink ref="O1894" r:id="rId5838" display="https://pbs.twimg.com/profile_images/699913841388449792/Bz17p4to_normal.jpg" xr:uid="{74F7802A-B98A-4D79-A9A4-C1129C2E2EA7}"/>
    <hyperlink ref="B1895" r:id="rId5839" display="https://twitter.com/SammiLeopold08" xr:uid="{84270FF0-7339-47F7-B44F-E59BBB454468}"/>
    <hyperlink ref="E1895" r:id="rId5840" display="https://twitter.com/SammiLeopold08/status/723219559545753600" xr:uid="{7E5BFA3A-01B6-4585-AE2B-AAF6094216D7}"/>
    <hyperlink ref="O1895" r:id="rId5841" display="https://pbs.twimg.com/profile_images/704420155196116992/QCcpm5r8_normal.jpg" xr:uid="{7B912824-AAF5-458E-B195-02C28BE93582}"/>
    <hyperlink ref="B1896" r:id="rId5842" display="https://twitter.com/AnthonyWanger" xr:uid="{C236E171-3B25-4289-86B4-F055D0D3FDE1}"/>
    <hyperlink ref="E1896" r:id="rId5843" display="https://twitter.com/AnthonyWanger/status/723219810423697408" xr:uid="{20005766-F0C9-424B-809A-DC9FAA06D1DA}"/>
    <hyperlink ref="O1896" r:id="rId5844" display="https://pbs.twimg.com/profile_images/662841091641573377/4qXuW9LX_normal.jpg" xr:uid="{7932E41D-D369-4A8C-8725-5130F78F01DF}"/>
    <hyperlink ref="B1897" r:id="rId5845" display="https://twitter.com/ahmedhaltas" xr:uid="{3282333A-1BDE-4859-B953-55A45CDA19D8}"/>
    <hyperlink ref="E1897" r:id="rId5846" display="https://twitter.com/ahmedhaltas/status/723219845580464128" xr:uid="{3DAD02BC-97B8-4061-96FC-9F9CFA745F76}"/>
    <hyperlink ref="O1897" r:id="rId5847" display="https://pbs.twimg.com/profile_images/707336599898554368/C8k--jj7_normal.jpg" xr:uid="{7EFFF964-2208-4EE9-8D05-064A04FF108F}"/>
    <hyperlink ref="P1897" r:id="rId5848" location="40.00464662,32.85886" display="http://ctrlq.org/maps/address/ - 40.00464662,32.85886" xr:uid="{35124416-40C2-44DF-AE83-603FD0E50729}"/>
    <hyperlink ref="B1898" r:id="rId5849" display="https://twitter.com/Raven1963Z" xr:uid="{23B26663-C621-4B80-9EBD-97590B836E76}"/>
    <hyperlink ref="E1898" r:id="rId5850" display="https://twitter.com/Raven1963Z/status/723220035343278081" xr:uid="{E86BE821-C074-4588-B643-9D051F16CB99}"/>
    <hyperlink ref="O1898" r:id="rId5851" display="https://pbs.twimg.com/profile_images/1345767411/WAAAAHHHH____klein_2011-04-30_normal.jpg" xr:uid="{D9E3A927-25DD-4DA4-891B-4DCBF4F89AFD}"/>
    <hyperlink ref="B1899" r:id="rId5852" display="https://twitter.com/_vinadvisor" xr:uid="{AC8AC285-9C05-4DF4-AB8C-A257A486CFC9}"/>
    <hyperlink ref="E1899" r:id="rId5853" display="https://twitter.com/_vinadvisor/status/723220354500448256" xr:uid="{7914586B-28EC-4BF8-869B-41A1133DDD8B}"/>
    <hyperlink ref="O1899" r:id="rId5854" display="https://pbs.twimg.com/profile_images/707391785316651008/zI7PqPTQ_normal.jpg" xr:uid="{A87790CA-3ED8-4ED4-908B-18D541C723B5}"/>
    <hyperlink ref="B1900" r:id="rId5855" display="https://twitter.com/Roseville_VW" xr:uid="{FEAA7A59-2114-4B14-B40A-CA92F7CC239C}"/>
    <hyperlink ref="E1900" r:id="rId5856" display="https://twitter.com/Roseville_VW/status/723220361576329216" xr:uid="{E4AF3EAF-B215-4ADD-94B8-195AEF081FD8}"/>
    <hyperlink ref="O1900" r:id="rId5857" display="https://pbs.twimg.com/profile_images/694208085263421440/OK1Wrfdk_normal.jpg" xr:uid="{18BE6DF5-BDEA-485F-9F48-774DA941505C}"/>
    <hyperlink ref="B1901" r:id="rId5858" display="https://twitter.com/VWPartsVortex" xr:uid="{95BC043B-B491-4E33-9C4C-0772A383A44A}"/>
    <hyperlink ref="E1901" r:id="rId5859" display="https://twitter.com/VWPartsVortex/status/723220398590943232" xr:uid="{CDD2B6C9-4AEA-4FC5-935A-1F6C06C40439}"/>
    <hyperlink ref="F1901" r:id="rId5860" xr:uid="{29571B92-8ADE-45B5-A115-C6781429116D}"/>
    <hyperlink ref="O1901" r:id="rId5861" display="https://pbs.twimg.com/profile_images/3467646682/12ab268d21c9059078b140e9157a8b26_normal.jpeg" xr:uid="{D215B1A3-F3C1-4BC2-BC41-C7B023C590BB}"/>
    <hyperlink ref="B1902" r:id="rId5862" display="https://twitter.com/glenmavis" xr:uid="{360147AA-41DB-4321-A4EF-3481BA0CC2EE}"/>
    <hyperlink ref="E1902" r:id="rId5863" display="https://twitter.com/glenmavis/status/723220478417051648" xr:uid="{9FCEDF1A-5F28-48A3-930F-B02CBD2E8CA9}"/>
    <hyperlink ref="O1902" r:id="rId5864" display="https://pbs.twimg.com/profile_images/595309304510550019/sGlNhfkh_normal.jpg" xr:uid="{CD833FD7-57F1-406F-A8BA-5AB717862D3F}"/>
    <hyperlink ref="B1903" r:id="rId5865" display="https://twitter.com/Scirocco_Tuning" xr:uid="{5382869F-CE2D-4D9A-BA28-884D6309CAD4}"/>
    <hyperlink ref="E1903" r:id="rId5866" display="https://twitter.com/Scirocco_Tuning/status/723220624768937984" xr:uid="{1DA4747C-E635-4A5D-9324-BDBF15D0A319}"/>
    <hyperlink ref="O1903" r:id="rId5867" display="https://pbs.twimg.com/profile_images/1610421423/Image2_normal.jpg" xr:uid="{36542DEE-2C92-441D-9364-D2C35C0361FE}"/>
    <hyperlink ref="B1904" r:id="rId5868" display="https://twitter.com/BaxterVW_LV" xr:uid="{211E59B9-9D93-4284-B9B3-51CC4C7FCC9A}"/>
    <hyperlink ref="E1904" r:id="rId5869" display="https://twitter.com/BaxterVW_LV/status/723220652560257024" xr:uid="{393D9567-8BAA-4346-88C8-B6FC4EE05DC2}"/>
    <hyperlink ref="O1904" r:id="rId5870" display="https://pbs.twimg.com/profile_images/718091471211991040/yQ7D0n5u_normal.jpg" xr:uid="{D6355B08-B0E7-4B61-9B8F-DDE4FE7DA96B}"/>
    <hyperlink ref="B1905" r:id="rId5871" display="https://twitter.com/BaxterVW_Omaha" xr:uid="{54DF3616-52CF-4B87-9574-1DFA27340B67}"/>
    <hyperlink ref="E1905" r:id="rId5872" display="https://twitter.com/BaxterVW_Omaha/status/723220652925149184" xr:uid="{F8AD8865-22B8-438A-8DEA-A6D42A1480AC}"/>
    <hyperlink ref="O1905" r:id="rId5873" display="https://pbs.twimg.com/profile_images/718091557602074624/BT0PUpq2_normal.jpg" xr:uid="{5EAB94F1-C954-4970-A35D-F85AA4AA08F7}"/>
    <hyperlink ref="B1906" r:id="rId5874" display="https://twitter.com/DJDevinSA" xr:uid="{3DAC9E47-9C2D-4A60-A635-E93AEB5F468D}"/>
    <hyperlink ref="E1906" r:id="rId5875" display="https://twitter.com/DJDevinSA/status/723220935776542722" xr:uid="{C01007DC-D6B5-4686-BA7E-40709F3679E9}"/>
    <hyperlink ref="O1906" r:id="rId5876" display="https://pbs.twimg.com/profile_images/650807125858500608/TugHCxzX_normal.jpg" xr:uid="{19453AE7-12C5-4D81-B372-A1967D5F875E}"/>
    <hyperlink ref="P1906" r:id="rId5877" location="37.4037,-79.1702" display="http://ctrlq.org/maps/address/ - 37.4037,-79.1702" xr:uid="{938CA336-AC5D-4E41-8C83-7866692436A6}"/>
    <hyperlink ref="B1907" r:id="rId5878" display="https://twitter.com/lazyrevs" xr:uid="{6E51EE04-9BBB-4730-9899-5CA20C184F8A}"/>
    <hyperlink ref="E1907" r:id="rId5879" display="https://twitter.com/lazyrevs/status/723220969406509056" xr:uid="{DD2976FA-BC92-4DB3-9A2F-DC0A2C643497}"/>
    <hyperlink ref="O1907" r:id="rId5880" display="https://pbs.twimg.com/profile_images/666800215496777728/1hkr9_z7_normal.jpg" xr:uid="{57CEE826-17F7-450A-A789-FF59ACECF81A}"/>
    <hyperlink ref="B1908" r:id="rId5881" display="https://twitter.com/MissMotorMouth" xr:uid="{22FA9D65-974A-44C5-9035-EF8497BD4E9D}"/>
    <hyperlink ref="E1908" r:id="rId5882" display="https://twitter.com/MissMotorMouth/status/723221026666999808" xr:uid="{1EA4CAFD-EAFA-47B7-8F5F-00B97BF6764A}"/>
    <hyperlink ref="O1908" r:id="rId5883" display="https://pbs.twimg.com/profile_images/651837891195224064/B8YUfVej_normal.jpg" xr:uid="{1297DFA0-8198-4FE1-A639-F57A7F06D67F}"/>
    <hyperlink ref="B1909" r:id="rId5884" display="https://twitter.com/DaSperb" xr:uid="{E4F90C96-A8E2-4461-9830-124E352F3882}"/>
    <hyperlink ref="E1909" r:id="rId5885" display="https://twitter.com/DaSperb/status/723221362916098048" xr:uid="{8ABBBFE9-A3C5-46A9-95F7-22DD2519E790}"/>
    <hyperlink ref="O1909" r:id="rId5886" display="https://pbs.twimg.com/profile_images/714501299555971072/gLZPQUZw_normal.jpg" xr:uid="{FF9B28DA-A59D-4AC7-BE6E-6D40102BFEE7}"/>
    <hyperlink ref="B1910" r:id="rId5887" display="https://twitter.com/stand__sure" xr:uid="{8EDDBCFA-5D8B-404F-91B0-5D152D3200AC}"/>
    <hyperlink ref="E1910" r:id="rId5888" display="https://twitter.com/stand__sure/status/723221873476141056" xr:uid="{0EB70EA6-FF91-4FC0-9DF5-7B29EE4CC49B}"/>
    <hyperlink ref="M1910" r:id="rId5889" xr:uid="{1C192929-AC5C-4BED-8605-EB40C42954F5}"/>
    <hyperlink ref="O1910" r:id="rId5890" display="https://pbs.twimg.com/profile_images/708415565778395137/CGiWIHQ0_normal.jpg" xr:uid="{4AFA7098-6673-40A9-91BF-15CDF4C0A532}"/>
    <hyperlink ref="B1911" r:id="rId5891" display="https://twitter.com/julioDeLange" xr:uid="{CF3D5462-8B28-4626-9AD8-4F71587BE855}"/>
    <hyperlink ref="E1911" r:id="rId5892" display="https://twitter.com/julioDeLange/status/723222365904244736" xr:uid="{3D9534F8-CFE7-40E0-8384-1D6A188A3C38}"/>
    <hyperlink ref="O1911" r:id="rId5893" display="https://pbs.twimg.com/profile_images/709826765716324353/TlhgogFL_normal.jpg" xr:uid="{5E55C6F3-F0A2-4648-A586-8A89CF5465E2}"/>
    <hyperlink ref="B1912" r:id="rId5894" display="https://twitter.com/VWBeetleSales" xr:uid="{30ADE044-6D84-4282-815A-E2B1A60D7FEC}"/>
    <hyperlink ref="E1912" r:id="rId5895" display="https://twitter.com/VWBeetleSales/status/723222545265102848" xr:uid="{0BD1E3E6-A614-4A1F-8E35-B31D1C133192}"/>
    <hyperlink ref="F1912" r:id="rId5896" xr:uid="{AEE9539F-7123-4D8F-8CE1-DFB8133B2C5C}"/>
    <hyperlink ref="O1912" r:id="rId5897" display="https://pbs.twimg.com/profile_images/703294545195307008/qeCvrX86_normal.jpg" xr:uid="{7CEAEA6A-2338-4594-9669-9E0BB1085992}"/>
    <hyperlink ref="B1913" r:id="rId5898" display="https://twitter.com/merriemarie" xr:uid="{8AF560D5-6EC8-4ED0-9A59-652F50E918E5}"/>
    <hyperlink ref="E1913" r:id="rId5899" display="https://twitter.com/merriemarie/status/723222740333776897" xr:uid="{4024F815-D77E-4D42-B48A-A6267FD17B9F}"/>
    <hyperlink ref="O1913" r:id="rId5900" display="https://pbs.twimg.com/profile_images/1821908673/20110605102147_merriemarie_IKU9HY4PB0NL81SMXJ7WE6A3RDQT5C2FVOZG_normal.jpg" xr:uid="{89312C5D-92E3-4805-8EDC-58BBE39A1DA6}"/>
    <hyperlink ref="B1914" r:id="rId5901" display="https://twitter.com/ramunasrb" xr:uid="{0D4A315D-0078-457C-AE4A-995A93B8CD5E}"/>
    <hyperlink ref="E1914" r:id="rId5902" display="https://twitter.com/ramunasrb/status/723222753705336834" xr:uid="{F644233B-6C96-4761-8182-D37A2D060F30}"/>
    <hyperlink ref="O1914" r:id="rId5903" display="https://pbs.twimg.com/profile_images/597405282382274562/sqgwsUqP_normal.jpg" xr:uid="{BD2082BF-793A-4B7E-8DEE-F712AF55D856}"/>
    <hyperlink ref="P1914" r:id="rId5904" location="54.6833,25.2833" display="http://ctrlq.org/maps/address/ - 54.6833,25.2833" xr:uid="{8F02F1A3-E68C-4B18-85AF-27E8284030AB}"/>
    <hyperlink ref="B1915" r:id="rId5905" display="https://twitter.com/wingston" xr:uid="{76D93AB9-28DA-4C63-94EA-33B8828B04F9}"/>
    <hyperlink ref="E1915" r:id="rId5906" display="https://twitter.com/wingston/status/723222788660559872" xr:uid="{AD3295AF-758A-4D39-944A-65001B613BD2}"/>
    <hyperlink ref="O1915" r:id="rId5907" display="https://pbs.twimg.com/profile_images/3537672406/190f79c88052bd5078e91796fd0fffe1_normal.jpeg" xr:uid="{5A1772DA-5E1B-4BAC-8F3B-9C6506C9B6E6}"/>
    <hyperlink ref="B1916" r:id="rId5908" display="https://twitter.com/dparv" xr:uid="{EC9B395C-4DA2-4BD7-831E-06229E6883FB}"/>
    <hyperlink ref="E1916" r:id="rId5909" display="https://twitter.com/dparv/status/723223231239434241" xr:uid="{8D868FDD-7144-4009-8671-D810260FC806}"/>
    <hyperlink ref="O1916" r:id="rId5910" display="https://pbs.twimg.com/profile_images/3247844045/0ebbe765107bedba0b7b5b740fad0a69_normal.jpeg" xr:uid="{D8ADDD22-6FE9-4312-9760-61DD6E941CAE}"/>
    <hyperlink ref="B1917" r:id="rId5911" display="https://twitter.com/Dr_M_eroglu" xr:uid="{1BAB5083-F4D8-4C1A-A412-5A780CA830D9}"/>
    <hyperlink ref="E1917" r:id="rId5912" display="https://twitter.com/Dr_M_eroglu/status/723223380309229569" xr:uid="{EB10B136-5D3C-41BC-9A6B-D21C75A3552C}"/>
    <hyperlink ref="O1917" r:id="rId5913" display="https://pbs.twimg.com/profile_images/656424958495715328/u8Mv9pfT_normal.jpg" xr:uid="{6F3CD6A9-6390-4A7B-A930-60387A8D5613}"/>
    <hyperlink ref="B1918" r:id="rId5914" display="https://twitter.com/axhagedorn" xr:uid="{55CE2B5E-2620-4280-8C98-DC67F3393BE2}"/>
    <hyperlink ref="E1918" r:id="rId5915" display="https://twitter.com/axhagedorn/status/723223545078276097" xr:uid="{D2990E79-537A-4BAD-BFC2-6D2FF92C6C08}"/>
    <hyperlink ref="O1918" r:id="rId5916" display="https://pbs.twimg.com/profile_images/441845173711273984/IFBsAi5G_normal.jpeg" xr:uid="{5A3CCCBC-E956-48F0-8044-D1DF1A319543}"/>
    <hyperlink ref="B1919" r:id="rId5917" display="https://twitter.com/baynesa" xr:uid="{47F4F609-5790-4565-80AD-35F03DF31EDF}"/>
    <hyperlink ref="E1919" r:id="rId5918" display="https://twitter.com/baynesa/status/723223564858580992" xr:uid="{FCE54047-3840-4617-80FD-AB009E3E5F2E}"/>
    <hyperlink ref="O1919" r:id="rId5919" display="https://pbs.twimg.com/profile_images/1168826684/0ee0a3c1-9b9d-4f5e-88e7-fc9034bb57de_normal.jpg" xr:uid="{F3760855-030A-48E8-B6C0-808E2D3134D5}"/>
    <hyperlink ref="B1920" r:id="rId5920" display="https://twitter.com/OneStepBayond" xr:uid="{E049CE76-C738-4288-8DDE-52E4525D3AB9}"/>
    <hyperlink ref="E1920" r:id="rId5921" display="https://twitter.com/OneStepBayond/status/723223898037358592" xr:uid="{6B66E2B2-50C9-4EEA-A950-4F5CF7E2F370}"/>
    <hyperlink ref="O1920" r:id="rId5922" display="https://pbs.twimg.com/profile_images/685102900184485888/rhqb81-h_normal.jpg" xr:uid="{6C74ADAE-9BF0-4B4F-8939-0EF23EA688A3}"/>
    <hyperlink ref="B1921" r:id="rId5923" display="https://twitter.com/FrenchMaple" xr:uid="{AD17C6BE-318D-47A0-932B-39F69ACAB038}"/>
    <hyperlink ref="E1921" r:id="rId5924" display="https://twitter.com/FrenchMaple/status/723224169870061569" xr:uid="{EB7C2F10-C548-4C16-BE82-26DECB1EB3E6}"/>
    <hyperlink ref="O1921" r:id="rId5925" display="https://pbs.twimg.com/profile_images/717786348711763968/bkgd0J-g_normal.jpg" xr:uid="{160001BD-8756-46BB-AC67-01C5D7935377}"/>
    <hyperlink ref="B1922" r:id="rId5926" display="https://twitter.com/ZonaBinaria" xr:uid="{8C77F6EF-3803-4259-B0A5-DBBFC2B5F060}"/>
    <hyperlink ref="E1922" r:id="rId5927" display="https://twitter.com/ZonaBinaria/status/723224261922578432" xr:uid="{0A411CB8-C472-4815-8D62-522182CF4860}"/>
    <hyperlink ref="O1922" r:id="rId5928" display="https://pbs.twimg.com/profile_images/839303470/326358977_144f1a5235_normal.jpg" xr:uid="{446A4407-BFDA-49C7-A335-CB1638C156CB}"/>
    <hyperlink ref="B1923" r:id="rId5929" display="https://twitter.com/sebastianklink" xr:uid="{9DD7565A-DF54-47D2-A369-1BEAF9A792E0}"/>
    <hyperlink ref="E1923" r:id="rId5930" display="https://twitter.com/sebastianklink/status/723224438444032001" xr:uid="{5A4323A2-DC9E-4EB6-A6C4-16BE9E5A909A}"/>
    <hyperlink ref="O1923" r:id="rId5931" display="https://pbs.twimg.com/profile_images/574157636997902336/vp84JvEq_normal.jpeg" xr:uid="{B433048E-A9FD-428E-938C-127D8F843428}"/>
    <hyperlink ref="B1924" r:id="rId5932" display="https://twitter.com/kngeuro" xr:uid="{4680A95C-65F8-47C7-B225-5F0F864C6D44}"/>
    <hyperlink ref="E1924" r:id="rId5933" display="https://twitter.com/kngeuro/status/723224869157003264" xr:uid="{82EC6C5C-F59A-4BEC-8143-B0FE4DFE48D9}"/>
    <hyperlink ref="O1924" r:id="rId5934" display="https://pbs.twimg.com/profile_images/570375988065935360/ooT_Nq7x_normal.jpeg" xr:uid="{5CCC7984-D7F7-4D86-877F-DCA5517ED34F}"/>
    <hyperlink ref="B1925" r:id="rId5935" display="https://twitter.com/COMEXI" xr:uid="{93C6A584-164B-4927-8F95-CEB68142828B}"/>
    <hyperlink ref="E1925" r:id="rId5936" display="https://twitter.com/COMEXI/status/723224952334217217" xr:uid="{059916F2-5AEE-4EDB-81C9-00B382104405}"/>
    <hyperlink ref="O1925" r:id="rId5937" display="https://pbs.twimg.com/profile_images/648511855149780992/OsSjn9Ix_normal.jpg" xr:uid="{CF61CE90-48B5-4658-8C24-9190D5320FF5}"/>
    <hyperlink ref="B1926" r:id="rId5938" display="https://twitter.com/UpShiftDigital" xr:uid="{67334A58-721C-415F-AE42-836C39D80337}"/>
    <hyperlink ref="E1926" r:id="rId5939" display="https://twitter.com/UpShiftDigital/status/723224963772211201" xr:uid="{D5B44BCB-7674-4DD8-A2D7-46D78AC540CA}"/>
    <hyperlink ref="O1926" r:id="rId5940" display="https://pbs.twimg.com/profile_images/132050727/upshift-avatar_normal.png" xr:uid="{826896A2-0CFB-40A9-B581-52E5470B6056}"/>
    <hyperlink ref="B1927" r:id="rId5941" display="https://twitter.com/stroisila" xr:uid="{A6FDAB35-88EC-4A71-A188-E7CBE990AF93}"/>
    <hyperlink ref="E1927" r:id="rId5942" display="https://twitter.com/stroisila/status/723225030784651264" xr:uid="{2A372951-0F16-4DF4-8EF6-8068BFC761FC}"/>
    <hyperlink ref="O1927" r:id="rId5943" display="https://pbs.twimg.com/profile_images/437173690732515328/lOLCG4Wb_normal.jpeg" xr:uid="{3EDB96C5-F7CE-4805-A14C-6E6ADD75546A}"/>
    <hyperlink ref="B1928" r:id="rId5944" display="https://twitter.com/VolkswagenPost" xr:uid="{FE1A3EAB-8751-45EC-A255-AA36D60F441E}"/>
    <hyperlink ref="E1928" r:id="rId5945" display="https://twitter.com/VolkswagenPost/status/723225040016314372" xr:uid="{5291901F-32AA-4FA8-8F46-3917804B0CE2}"/>
    <hyperlink ref="O1928" r:id="rId5946" display="https://pbs.twimg.com/profile_images/530071272881803264/a_jcCmPZ_normal.png" xr:uid="{5C9B7DAE-5D10-4FCE-8E0C-C83387D284A4}"/>
    <hyperlink ref="B1929" r:id="rId5947" display="https://twitter.com/ineeshadvs" xr:uid="{0E7D766F-AA00-4746-8314-F4814B2667A5}"/>
    <hyperlink ref="E1929" r:id="rId5948" display="https://twitter.com/ineeshadvs/status/723225132337078272" xr:uid="{D8F1CA66-957A-4884-9D26-1A4E70C2F372}"/>
    <hyperlink ref="O1929" r:id="rId5949" display="https://pbs.twimg.com/profile_images/723123207612555264/BzKOZZOy_normal.jpg" xr:uid="{649792FA-45FF-4A96-8AB7-43F6CA85B8FD}"/>
    <hyperlink ref="B1930" r:id="rId5950" display="https://twitter.com/DjKarlittoosXD" xr:uid="{37895F91-811E-4A79-A3CA-76A63B2E4961}"/>
    <hyperlink ref="E1930" r:id="rId5951" display="https://twitter.com/DjKarlittoosXD/status/723225147797323777" xr:uid="{CBF3CD88-9027-4A44-ADA3-F1D24488D797}"/>
    <hyperlink ref="O1930" r:id="rId5952" display="https://pbs.twimg.com/profile_images/580720858861322240/NsC7SmG6_normal.jpg" xr:uid="{01D0FBC3-86C7-4820-80AF-D0D5D6208BCD}"/>
    <hyperlink ref="P1930" r:id="rId5953" location="-34.4993836,-58.7324231" display="http://ctrlq.org/maps/address/ - -34.4993836,-58.7324231" xr:uid="{F1DE7EA8-613D-4B9C-94CC-2F6236135F4D}"/>
    <hyperlink ref="B1931" r:id="rId5954" display="https://twitter.com/Emission_Claims" xr:uid="{34366977-9E31-4765-8F0A-16FF64646A4C}"/>
    <hyperlink ref="E1931" r:id="rId5955" display="https://twitter.com/Emission_Claims/status/723225205804535808" xr:uid="{2A3CA64E-4A14-4A81-9D8E-82449C7BCF3D}"/>
    <hyperlink ref="O1931" r:id="rId5956" display="https://pbs.twimg.com/profile_images/652482665900285952/jeA6rKOi_normal.jpg" xr:uid="{321B3A2D-EF0A-4E6B-A77D-0AD72CAFC730}"/>
    <hyperlink ref="B1932" r:id="rId5957" display="https://twitter.com/coolspringsvw" xr:uid="{E1EED262-96EA-4C0C-90CF-FE8F59A81C8A}"/>
    <hyperlink ref="E1932" r:id="rId5958" display="https://twitter.com/coolspringsvw/status/723225526706552832" xr:uid="{0AD14E44-5C71-4E67-848F-13CA7B9313DA}"/>
    <hyperlink ref="O1932" r:id="rId5959" display="https://pbs.twimg.com/profile_images/710243539695763456/UeBsM3MU_normal.jpg" xr:uid="{F2D5A201-8389-4DA9-8B0B-498144B9890E}"/>
    <hyperlink ref="B1933" r:id="rId5960" display="https://twitter.com/coolspringsvw" xr:uid="{0B0AF0D8-E647-4651-935B-128F16E23A94}"/>
    <hyperlink ref="E1933" r:id="rId5961" display="https://twitter.com/coolspringsvw/status/723225537745965057" xr:uid="{8A3C88BE-6B66-4C94-8F8D-17F6A01C3DE3}"/>
    <hyperlink ref="O1933" r:id="rId5962" display="https://pbs.twimg.com/profile_images/710243539695763456/UeBsM3MU_normal.jpg" xr:uid="{EC6BE99E-30F8-49FC-8152-2595C25576E0}"/>
    <hyperlink ref="B1934" r:id="rId5963" display="https://twitter.com/news5wcyb" xr:uid="{1505AB11-6DE2-42F8-885C-A81047902643}"/>
    <hyperlink ref="E1934" r:id="rId5964" display="https://twitter.com/news5wcyb/status/723225548646957058" xr:uid="{F197E98D-85BC-4AC2-80C7-8A2B4A6A35A6}"/>
    <hyperlink ref="O1934" r:id="rId5965" display="https://pbs.twimg.com/profile_images/2812059071/5160badc2eda0abf8e317c7c95c5e386_normal.jpeg" xr:uid="{8DF5CE9E-5ADE-4E1B-A1EF-CD88039E53B3}"/>
    <hyperlink ref="B1935" r:id="rId5966" display="https://twitter.com/ABC7Suiters" xr:uid="{49CA5C02-96DF-42E2-AB90-16E5469264D3}"/>
    <hyperlink ref="E1935" r:id="rId5967" display="https://twitter.com/ABC7Suiters/status/723225580615950337" xr:uid="{78E9FD6F-61A0-4EAD-A811-BE5F3EEF81F0}"/>
    <hyperlink ref="O1935" r:id="rId5968" display="https://pbs.twimg.com/profile_images/695370758055301120/JW5kr--6_normal.jpg" xr:uid="{AB45A8FE-7559-432F-BFED-89CFAEFC99CB}"/>
    <hyperlink ref="B1936" r:id="rId5969" display="https://twitter.com/timo_silver" xr:uid="{8088294D-2A3C-48FC-8953-DDB6109680DB}"/>
    <hyperlink ref="E1936" r:id="rId5970" display="https://twitter.com/timo_silver/status/723225639147462656" xr:uid="{DDDDC581-A897-43A4-87D9-3110536731FA}"/>
    <hyperlink ref="O1936" r:id="rId5971" display="https://pbs.twimg.com/profile_images/693159275590451200/ckf61OxT_normal.jpg" xr:uid="{C51C7CC9-22FE-4B28-B018-5284AF29F0A0}"/>
    <hyperlink ref="B1937" r:id="rId5972" display="https://twitter.com/miica_laera" xr:uid="{F1193C80-988F-44AD-BBE2-0548543198D9}"/>
    <hyperlink ref="E1937" r:id="rId5973" display="https://twitter.com/miica_laera/status/723225640271511554" xr:uid="{13AF0AF8-D7FF-41BD-8FB1-8B79941866C9}"/>
    <hyperlink ref="O1937" r:id="rId5974" display="https://pbs.twimg.com/profile_images/718283690980323328/0FMfjUn9_normal.jpg" xr:uid="{80E89B5D-F2C1-4F46-AF89-B098031E1B9F}"/>
    <hyperlink ref="B1938" r:id="rId5975" display="https://twitter.com/VWBeetleSales" xr:uid="{411E1FD3-BF5F-408F-9B50-6A06F7637826}"/>
    <hyperlink ref="E1938" r:id="rId5976" display="https://twitter.com/VWBeetleSales/status/723225678619938816" xr:uid="{D644900E-1C48-43D1-B3B9-EB154CB8DE7B}"/>
    <hyperlink ref="F1938" r:id="rId5977" xr:uid="{B775072B-6155-4B0D-936E-B0AE4A2B6CFE}"/>
    <hyperlink ref="O1938" r:id="rId5978" display="https://pbs.twimg.com/profile_images/703294545195307008/qeCvrX86_normal.jpg" xr:uid="{63B36A3E-315D-4811-BFE1-55F7023C0999}"/>
    <hyperlink ref="B1939" r:id="rId5979" display="https://twitter.com/Onelifetogive" xr:uid="{D583C33D-F63A-47E5-BB4F-37D1D2CD46F9}"/>
    <hyperlink ref="E1939" r:id="rId5980" display="https://twitter.com/Onelifetogive/status/723225893255127040" xr:uid="{2EAF0C43-896A-45D4-9A5C-759F9D7B4AB9}"/>
    <hyperlink ref="O1939" r:id="rId5981" display="https://pbs.twimg.com/profile_images/1691617662/American_Animated_Flag__2__normal.gif" xr:uid="{078B67B2-ADE2-4FE4-93EB-5908C0FF9B2D}"/>
    <hyperlink ref="B1940" r:id="rId5982" display="https://twitter.com/19TaTi92" xr:uid="{65C35CDF-7180-4633-869F-581736F1FEB5}"/>
    <hyperlink ref="E1940" r:id="rId5983" display="https://twitter.com/19TaTi92/status/723226107676397568" xr:uid="{9F2E3F4D-8BE6-4EF5-B908-3CB4B7CC561B}"/>
    <hyperlink ref="O1940" r:id="rId5984" display="https://pbs.twimg.com/profile_images/622398818949177344/yubPFjZg_normal.jpg" xr:uid="{66EE5BFC-BC2E-4730-AEC0-E5CE1F80F077}"/>
    <hyperlink ref="B1941" r:id="rId5985" display="https://twitter.com/SAW_AX" xr:uid="{670CC09A-BC1C-4ACF-ABE9-50F064A63989}"/>
    <hyperlink ref="E1941" r:id="rId5986" display="https://twitter.com/SAW_AX/status/723226110947930112" xr:uid="{6805E6B5-3164-4B09-A7D1-BEC258C3B9B8}"/>
    <hyperlink ref="O1941" r:id="rId5987" display="https://pbs.twimg.com/profile_images/679171786823622658/ZhhFinF8_normal.jpg" xr:uid="{0CF5B61E-582A-4B5F-8561-CFEB7191720C}"/>
    <hyperlink ref="B1942" r:id="rId5988" display="https://twitter.com/Julikind66" xr:uid="{C80CB36F-5C7E-4BFA-ABB6-671490EC1620}"/>
    <hyperlink ref="E1942" r:id="rId5989" display="https://twitter.com/Julikind66/status/723226115096064001" xr:uid="{818A66C9-E93D-4AC7-91ED-449E7A05860A}"/>
    <hyperlink ref="O1942" r:id="rId5990" display="https://pbs.twimg.com/profile_images/633346351221342208/RyQCzZwY_normal.jpg" xr:uid="{EFE579C3-F9B9-4E0A-89A6-2B11BF7642BD}"/>
    <hyperlink ref="B1943" r:id="rId5991" display="https://twitter.com/mrsmacscot" xr:uid="{C2D29097-BEF7-4794-9EB7-51B5F3F07AC7}"/>
    <hyperlink ref="E1943" r:id="rId5992" display="https://twitter.com/mrsmacscot/status/723226393056829440" xr:uid="{A0EA170F-D44A-47E1-84B2-0BCFDD5F7725}"/>
    <hyperlink ref="O1943" r:id="rId5993" display="https://pbs.twimg.com/profile_images/625870290308976640/Ym3ufrYO_normal.jpg" xr:uid="{7D873FE3-000F-4C01-83F9-2F312D15A929}"/>
    <hyperlink ref="B1944" r:id="rId5994" display="https://twitter.com/DubLuvTuning" xr:uid="{F6F99146-1600-4E21-9C24-A5AAF29D324B}"/>
    <hyperlink ref="E1944" r:id="rId5995" display="https://twitter.com/DubLuvTuning/status/723226424342138881" xr:uid="{3331DEEE-C856-46DA-9DF3-9CED994D7170}"/>
    <hyperlink ref="O1944" r:id="rId5996" display="https://pbs.twimg.com/profile_images/378800000572104796/1de43e1cf23efb3f4101c02afad0d3b6_normal.png" xr:uid="{1DAEF982-8FFB-43E2-A45C-571FCD7005D3}"/>
    <hyperlink ref="B1945" r:id="rId5997" display="https://twitter.com/GetPatina" xr:uid="{AD9F9F49-C84B-4FD5-BB78-5A347C500326}"/>
    <hyperlink ref="E1945" r:id="rId5998" display="https://twitter.com/GetPatina/status/723226564536745988" xr:uid="{11D7ECC1-250B-4092-8157-CF31966CE6F6}"/>
    <hyperlink ref="O1945" r:id="rId5999" display="https://pbs.twimg.com/profile_images/378800000798213408/aca7f23a66f75c7c5589bdb72e636b1b_normal.png" xr:uid="{9A919642-2A91-4AEC-8361-F228105F323F}"/>
    <hyperlink ref="B1946" r:id="rId6000" display="https://twitter.com/SmartSanta" xr:uid="{4104F12D-4B08-4F26-9360-9B159B246D6C}"/>
    <hyperlink ref="E1946" r:id="rId6001" display="https://twitter.com/SmartSanta/status/723227039105318912" xr:uid="{241590DB-6C92-4EEE-BCAB-777D36109962}"/>
    <hyperlink ref="O1946" r:id="rId6002" display="https://pbs.twimg.com/profile_images/605053791889686528/XT0dbCZN_normal.jpg" xr:uid="{B4BDF958-0E51-49E0-A80F-D63E4B75B59F}"/>
    <hyperlink ref="B1947" r:id="rId6003" display="https://twitter.com/ABC7News" xr:uid="{8570B5BF-2920-407E-A479-4B7A8E8AF373}"/>
    <hyperlink ref="E1947" r:id="rId6004" display="https://twitter.com/ABC7News/status/723227434506706944" xr:uid="{56A3EAF4-79E0-48EC-9BE3-37586D7FAF9E}"/>
    <hyperlink ref="O1947" r:id="rId6005" display="https://pbs.twimg.com/profile_images/560638556482191360/JRsHpE7o_normal.jpeg" xr:uid="{BDCD773F-0286-47BE-BCBB-92D88CF85C3D}"/>
    <hyperlink ref="B1948" r:id="rId6006" display="https://twitter.com/NewsChannel8" xr:uid="{8710B29C-B514-4645-A375-9B6A991110A1}"/>
    <hyperlink ref="E1948" r:id="rId6007" display="https://twitter.com/NewsChannel8/status/723227434749943808" xr:uid="{7FF9F3C0-98E6-4622-8B4C-424561FDFB47}"/>
    <hyperlink ref="O1948" r:id="rId6008" display="https://pbs.twimg.com/profile_images/560638760769974272/gv9puAmO_normal.jpeg" xr:uid="{0B5BEE07-BD56-47A1-A744-D9FE3BF43500}"/>
    <hyperlink ref="B1949" r:id="rId6009" display="https://twitter.com/VWBeetleSales" xr:uid="{F8993D96-C641-4FD0-835B-F3439A7A0B6E}"/>
    <hyperlink ref="E1949" r:id="rId6010" display="https://twitter.com/VWBeetleSales/status/723227444656775169" xr:uid="{B248B283-2B3A-4570-859B-BC7C84B5A9E8}"/>
    <hyperlink ref="F1949" r:id="rId6011" xr:uid="{2B5AFF4C-A1E5-42AE-96B7-E9579A1130CB}"/>
    <hyperlink ref="O1949" r:id="rId6012" display="https://pbs.twimg.com/profile_images/703294545195307008/qeCvrX86_normal.jpg" xr:uid="{53EE5E70-C854-4C67-9311-018525DBC5AB}"/>
    <hyperlink ref="B1950" r:id="rId6013" display="https://twitter.com/VWBeetleSales" xr:uid="{979B087B-7F4A-4069-991D-B08DCF7B5287}"/>
    <hyperlink ref="E1950" r:id="rId6014" display="https://twitter.com/VWBeetleSales/status/723227447018151936" xr:uid="{7DD06BD5-08DE-4E49-B1A6-CDBAA0363521}"/>
    <hyperlink ref="F1950" r:id="rId6015" xr:uid="{63363583-9232-4729-9D65-80E2E3A0059E}"/>
    <hyperlink ref="O1950" r:id="rId6016" display="https://pbs.twimg.com/profile_images/703294545195307008/qeCvrX86_normal.jpg" xr:uid="{7FE1504F-6206-44AD-B207-EEAD269D593B}"/>
    <hyperlink ref="B1951" r:id="rId6017" display="https://twitter.com/VWBeetleSales" xr:uid="{952DB0B9-AB2A-4224-8F71-06AFAB903605}"/>
    <hyperlink ref="E1951" r:id="rId6018" display="https://twitter.com/VWBeetleSales/status/723227449987715073" xr:uid="{19CFAB94-D3F2-478B-8576-5905C341D5A9}"/>
    <hyperlink ref="F1951" r:id="rId6019" xr:uid="{1FF796AB-DE62-4010-8A51-7C23DEBB8BA3}"/>
    <hyperlink ref="O1951" r:id="rId6020" display="https://pbs.twimg.com/profile_images/703294545195307008/qeCvrX86_normal.jpg" xr:uid="{030597F0-A560-45EC-A6ED-E8054337E5B0}"/>
    <hyperlink ref="B1952" r:id="rId6021" display="https://twitter.com/PapiAngel11" xr:uid="{9BB28FB5-F7EF-49C4-81A2-CD57BDF7BC63}"/>
    <hyperlink ref="E1952" r:id="rId6022" display="https://twitter.com/PapiAngel11/status/723227494661410816" xr:uid="{8E6CD1B7-3A8C-4D81-BDB8-A6650E1B0BF0}"/>
    <hyperlink ref="O1952" r:id="rId6023" display="https://pbs.twimg.com/profile_images/1702501747/216873_154851841255610_100001923854145_326056_3090683_n_normal.jpg" xr:uid="{31552C53-3626-4F38-AEAF-4CDB27D6D3B0}"/>
    <hyperlink ref="B1953" r:id="rId6024" display="https://twitter.com/VolkswagenPost" xr:uid="{228489B0-8699-4DC2-8969-E6C095B06417}"/>
    <hyperlink ref="E1953" r:id="rId6025" display="https://twitter.com/VolkswagenPost/status/723227834534223873" xr:uid="{A92B60BB-DE6C-43EB-959B-B83CEF86860B}"/>
    <hyperlink ref="O1953" r:id="rId6026" display="https://pbs.twimg.com/profile_images/530071272881803264/a_jcCmPZ_normal.png" xr:uid="{80E0AD22-B8C6-4DE6-BF98-473634647FAF}"/>
    <hyperlink ref="B1954" r:id="rId6027" display="https://twitter.com/ChristophNoack" xr:uid="{647AAF08-B89B-4D51-A9CD-7FED3106BF55}"/>
    <hyperlink ref="E1954" r:id="rId6028" display="https://twitter.com/ChristophNoack/status/723228038541021186" xr:uid="{E77C7EE3-1916-4BD8-9B92-86643DB85328}"/>
    <hyperlink ref="O1954" r:id="rId6029" display="https://pbs.twimg.com/profile_images/614230691044265984/Wocs5ZQz_normal.jpg" xr:uid="{D7CF1576-53E7-402E-AD6E-94FE7C048E68}"/>
    <hyperlink ref="B1955" r:id="rId6030" display="https://twitter.com/Michael_Kunz" xr:uid="{528E0F11-C3FD-40F1-92EA-738DE2B4D139}"/>
    <hyperlink ref="E1955" r:id="rId6031" display="https://twitter.com/Michael_Kunz/status/723228077493485568" xr:uid="{F943C095-AF4B-4CBB-B039-19D77A8EFA79}"/>
    <hyperlink ref="O1955" r:id="rId6032" display="https://pbs.twimg.com/profile_images/3083361060/e797180e541e638cbdc98472c4ed5376_normal.jpeg" xr:uid="{997C1186-D7EB-457E-AD26-15ADFA41D10A}"/>
    <hyperlink ref="B1956" r:id="rId6033" display="https://twitter.com/rharrisonfries" xr:uid="{C395D682-DA00-47BD-BA8F-FDC7682336C1}"/>
    <hyperlink ref="E1956" r:id="rId6034" display="https://twitter.com/rharrisonfries/status/723228083529105408" xr:uid="{899B00EF-BA63-4E7F-B574-AEEAF0F08BBA}"/>
    <hyperlink ref="O1956" r:id="rId6035" display="https://pbs.twimg.com/profile_images/693887752278937600/WwshKElQ_normal.png" xr:uid="{E2EF90FF-D561-42C8-979F-34362FD2AD2E}"/>
    <hyperlink ref="B1957" r:id="rId6036" display="https://twitter.com/VWCamperSales" xr:uid="{3D473ECD-6774-4607-9CA0-A5E845511CB5}"/>
    <hyperlink ref="E1957" r:id="rId6037" display="https://twitter.com/VWCamperSales/status/723228092626391040" xr:uid="{E53B4A19-E6AC-4778-8A2B-082745494452}"/>
    <hyperlink ref="F1957" r:id="rId6038" xr:uid="{0D8B9360-BBD5-4715-82BB-59016A70B6EF}"/>
    <hyperlink ref="O1957" r:id="rId6039" display="https://pbs.twimg.com/profile_images/627949001179037696/skEBkS05_normal.jpg" xr:uid="{87237A40-1324-4C71-A82F-86A33A3A0755}"/>
    <hyperlink ref="B1958" r:id="rId6040" display="https://twitter.com/VWCamperSales" xr:uid="{6BFD7518-7549-4713-800E-3B4EB261A3F1}"/>
    <hyperlink ref="E1958" r:id="rId6041" display="https://twitter.com/VWCamperSales/status/723228100264259584" xr:uid="{37EDA405-54D0-425E-9ABF-5EB5428B2DCF}"/>
    <hyperlink ref="F1958" r:id="rId6042" xr:uid="{8D696148-6043-4149-9134-17F335F8592A}"/>
    <hyperlink ref="O1958" r:id="rId6043" display="https://pbs.twimg.com/profile_images/627949001179037696/skEBkS05_normal.jpg" xr:uid="{474E552F-9A52-4D42-846B-E56AF4B9E61B}"/>
    <hyperlink ref="B1959" r:id="rId6044" display="https://twitter.com/VWCamperSales" xr:uid="{FF00AD5A-7166-4E18-B62F-C476B4C14CF6}"/>
    <hyperlink ref="E1959" r:id="rId6045" display="https://twitter.com/VWCamperSales/status/723228107285499904" xr:uid="{0064D58A-A09A-4900-8566-F7A63478B23D}"/>
    <hyperlink ref="F1959" r:id="rId6046" xr:uid="{8DE5AB95-7878-4B26-94AE-807D1C940F48}"/>
    <hyperlink ref="O1959" r:id="rId6047" display="https://pbs.twimg.com/profile_images/627949001179037696/skEBkS05_normal.jpg" xr:uid="{560828FF-35E5-4E02-B27D-71B92FD92D8D}"/>
    <hyperlink ref="B1960" r:id="rId6048" display="https://twitter.com/Reality_Chaote" xr:uid="{D95A701A-BEAD-421E-97E2-8AAAE5DFA4CE}"/>
    <hyperlink ref="E1960" r:id="rId6049" display="https://twitter.com/Reality_Chaote/status/723228244678418433" xr:uid="{768DAFB3-87C3-4B94-B6C2-00071C20E438}"/>
    <hyperlink ref="O1960" r:id="rId6050" display="https://pbs.twimg.com/profile_images/709899019116527616/I4YWGzym_normal.jpg" xr:uid="{B080A9AC-BF6E-410F-BBED-5C04CF8AAD95}"/>
    <hyperlink ref="B1961" r:id="rId6051" display="https://twitter.com/svenghali23" xr:uid="{C321C56B-8F13-4280-AB8C-70B7F28D41F6}"/>
    <hyperlink ref="E1961" r:id="rId6052" display="https://twitter.com/svenghali23/status/723228319915773953" xr:uid="{424DCA9A-FF3E-4B0F-B714-72D3CA8D42FF}"/>
    <hyperlink ref="O1961" r:id="rId6053" display="https://pbs.twimg.com/profile_images/463013654271520768/bYzIYP2g_normal.jpeg" xr:uid="{0428058D-5A6F-47C5-9292-E4C10D25EEC6}"/>
    <hyperlink ref="B1962" r:id="rId6054" display="https://twitter.com/Roellchen2011" xr:uid="{EB46C8C4-8111-4E54-9606-559B9192AEDC}"/>
    <hyperlink ref="E1962" r:id="rId6055" display="https://twitter.com/Roellchen2011/status/723228372168531968" xr:uid="{D582C132-65B4-44FF-B8CE-B20848C6ED5C}"/>
    <hyperlink ref="O1962" r:id="rId6056" display="https://pbs.twimg.com/profile_images/1754867757/SuSe_normal.jpg" xr:uid="{C79D121A-7491-41BE-A80D-2E8224BE9B8A}"/>
    <hyperlink ref="B1963" r:id="rId6057" display="https://twitter.com/MParekh" xr:uid="{58C4EA09-3F00-4EE0-AAEA-094F6EC4D039}"/>
    <hyperlink ref="E1963" r:id="rId6058" display="https://twitter.com/MParekh/status/723228747650867200" xr:uid="{8CDF96B7-BE62-467B-A138-E4640B34440F}"/>
    <hyperlink ref="O1963" r:id="rId6059" display="https://pbs.twimg.com/profile_images/3024463426/6fdd324a671ebf8f22d5c13bd5e4fe51_normal.jpeg" xr:uid="{0DFFC901-4E44-4F05-8D51-3D7A8203D0A2}"/>
    <hyperlink ref="B1964" r:id="rId6060" display="https://twitter.com/1976talc" xr:uid="{3193642C-93E5-42B1-BB9D-921F32331770}"/>
    <hyperlink ref="E1964" r:id="rId6061" display="https://twitter.com/1976talc/status/723228878945304576" xr:uid="{F79CFCC8-4780-474E-BA08-C735187ADBA6}"/>
    <hyperlink ref="O1964" r:id="rId6062" display="https://pbs.twimg.com/profile_images/606942872491945984/7sjxuqH4_normal.jpg" xr:uid="{DE71B136-23FF-476F-822F-11648F97EE22}"/>
    <hyperlink ref="B1965" r:id="rId6063" display="https://twitter.com/optimistinse" xr:uid="{3EDAC56F-04BB-4057-B489-C579A01EA95D}"/>
    <hyperlink ref="E1965" r:id="rId6064" display="https://twitter.com/optimistinse/status/723228955495542786" xr:uid="{B538A52D-6FFD-4AFF-9DFD-6AA17E17882E}"/>
    <hyperlink ref="O1965" r:id="rId6065" display="https://pbs.twimg.com/profile_images/623928784752873472/Js619Icf_normal.jpg" xr:uid="{8B4E212F-72D7-4DA8-997A-46841FE56BED}"/>
    <hyperlink ref="B1966" r:id="rId6066" display="https://twitter.com/grescoe" xr:uid="{B760E7E3-7910-4CE8-A577-CB6C1CE923AB}"/>
    <hyperlink ref="E1966" r:id="rId6067" display="https://twitter.com/grescoe/status/723229186077392899" xr:uid="{45825BB2-EAA8-48F8-A3BB-8652DE24AEF4}"/>
    <hyperlink ref="O1966" r:id="rId6068" display="https://pbs.twimg.com/profile_images/378800000515338736/4e02fa12e266219ca317069fedc2251d_normal.jpeg" xr:uid="{987BE061-FC96-4AA0-AF47-45C105AE216E}"/>
    <hyperlink ref="B1967" r:id="rId6069" display="https://twitter.com/VWBeetleSales" xr:uid="{3035574D-81EC-4DD2-BAC0-0EA242AECDE1}"/>
    <hyperlink ref="E1967" r:id="rId6070" display="https://twitter.com/VWBeetleSales/status/723229335579029504" xr:uid="{20AE58E1-A4A3-407A-A976-867C690EBEEF}"/>
    <hyperlink ref="F1967" r:id="rId6071" xr:uid="{DED64520-1255-4B58-8B07-E64F1A781321}"/>
    <hyperlink ref="O1967" r:id="rId6072" display="https://pbs.twimg.com/profile_images/703294545195307008/qeCvrX86_normal.jpg" xr:uid="{1DDC7C06-3FD9-43D5-BA0C-D69A20B40E22}"/>
    <hyperlink ref="B1968" r:id="rId6073" display="https://twitter.com/Mphilpot1" xr:uid="{50E7B08F-453C-4CA5-BE09-A7215CC0E019}"/>
    <hyperlink ref="E1968" r:id="rId6074" display="https://twitter.com/Mphilpot1/status/723229614001123328" xr:uid="{FC108C48-F3E4-4FA5-A2C2-C2E0AB515D31}"/>
    <hyperlink ref="O1968" r:id="rId6075" display="https://pbs.twimg.com/profile_images/422164778639839234/LVnS1q1c_normal.jpeg" xr:uid="{37835278-7308-434B-B846-4D1314B75303}"/>
    <hyperlink ref="B1969" r:id="rId6076" display="https://twitter.com/Mphilpot1" xr:uid="{F5E1FAD0-B104-4D05-A6E2-E90F3B0A397C}"/>
    <hyperlink ref="E1969" r:id="rId6077" display="https://twitter.com/Mphilpot1/status/723229614760284160" xr:uid="{B6DB1496-5F95-4633-9A2E-98E1C18BB7DB}"/>
    <hyperlink ref="O1969" r:id="rId6078" display="https://pbs.twimg.com/profile_images/422164778639839234/LVnS1q1c_normal.jpeg" xr:uid="{F7E8F05B-845D-4848-8503-878C40352441}"/>
    <hyperlink ref="B1970" r:id="rId6079" display="https://twitter.com/Mphilpot1" xr:uid="{752B3D2F-012B-49C8-82DE-AC3E34AB08FC}"/>
    <hyperlink ref="E1970" r:id="rId6080" display="https://twitter.com/Mphilpot1/status/723229616060534784" xr:uid="{BB2EA4EF-D3D9-4C6C-A54C-DFEF531098FE}"/>
    <hyperlink ref="O1970" r:id="rId6081" display="https://pbs.twimg.com/profile_images/422164778639839234/LVnS1q1c_normal.jpeg" xr:uid="{1306FB35-FD6D-498E-B363-8BE0C5608B26}"/>
    <hyperlink ref="B1971" r:id="rId6082" display="https://twitter.com/Mphilpot1" xr:uid="{BF7DD5F0-8454-4A14-89D3-F3B99E85414D}"/>
    <hyperlink ref="E1971" r:id="rId6083" display="https://twitter.com/Mphilpot1/status/723229616790331394" xr:uid="{F1DDE561-51CE-41C7-85C5-3C6A13606B2E}"/>
    <hyperlink ref="O1971" r:id="rId6084" display="https://pbs.twimg.com/profile_images/422164778639839234/LVnS1q1c_normal.jpeg" xr:uid="{684DC87A-094C-41C2-8193-CE45ED987BAF}"/>
    <hyperlink ref="B1972" r:id="rId6085" display="https://twitter.com/VWCamperSales" xr:uid="{F2F8C686-B25D-4188-AB1B-01F616681B6B}"/>
    <hyperlink ref="E1972" r:id="rId6086" display="https://twitter.com/VWCamperSales/status/723229750563463170" xr:uid="{00A30A6C-F512-477F-B57A-13CA4869E7D4}"/>
    <hyperlink ref="F1972" r:id="rId6087" xr:uid="{983E9264-C0B0-4654-A50A-051ADEA91CF9}"/>
    <hyperlink ref="O1972" r:id="rId6088" display="https://pbs.twimg.com/profile_images/627949001179037696/skEBkS05_normal.jpg" xr:uid="{9C015DCD-9483-46A9-878F-6BABE63800EA}"/>
    <hyperlink ref="B1973" r:id="rId6089" display="https://twitter.com/VWCamperSales" xr:uid="{FDF35014-FE5E-47EC-8449-3A1205FE6664}"/>
    <hyperlink ref="E1973" r:id="rId6090" display="https://twitter.com/VWCamperSales/status/723229752929067008" xr:uid="{C431819F-C6FE-4188-A5DD-4E1C829DC68B}"/>
    <hyperlink ref="F1973" r:id="rId6091" xr:uid="{61807950-6015-4080-8845-BA81DE8B2FC3}"/>
    <hyperlink ref="O1973" r:id="rId6092" display="https://pbs.twimg.com/profile_images/627949001179037696/skEBkS05_normal.jpg" xr:uid="{ECC3E9D5-A711-4942-9015-03CAB8B90B26}"/>
    <hyperlink ref="B1974" r:id="rId6093" display="https://twitter.com/OnlineCarReview" xr:uid="{10F85183-39BE-4122-8CC9-4231A27D90AE}"/>
    <hyperlink ref="E1974" r:id="rId6094" display="https://twitter.com/OnlineCarReview/status/723229767361695744" xr:uid="{51BD57F8-17B2-4F50-9059-DDD106B383B5}"/>
    <hyperlink ref="O1974" r:id="rId6095" display="https://pbs.twimg.com/profile_images/652871584131092480/QA_B6SBO_normal.jpg" xr:uid="{8D9BFFF6-4CE8-44D6-841D-C7C4C932232A}"/>
    <hyperlink ref="B1975" r:id="rId6096" display="https://twitter.com/porkpiefrank" xr:uid="{52C5EF8D-6D0D-4FCF-8C5B-D958AD50A125}"/>
    <hyperlink ref="E1975" r:id="rId6097" display="https://twitter.com/porkpiefrank/status/723229785825091584" xr:uid="{4499489C-FBB5-486D-8964-CCC527931548}"/>
    <hyperlink ref="O1975" r:id="rId6098" display="https://pbs.twimg.com/profile_images/721298638002135040/UA8fxiJD_normal.jpg" xr:uid="{6FCEFFBF-D43D-4145-90F0-39FB04441B25}"/>
    <hyperlink ref="B1976" r:id="rId6099" display="https://twitter.com/bjohnson1092" xr:uid="{818E0474-DF30-4C55-97E6-BEF1205219D9}"/>
    <hyperlink ref="E1976" r:id="rId6100" display="https://twitter.com/bjohnson1092/status/723229805089579008" xr:uid="{80A1FC05-75CA-4B37-A341-F05744D322C3}"/>
    <hyperlink ref="O1976" r:id="rId6101" display="https://pbs.twimg.com/profile_images/3275192375/c2b433f27f8cccc276d85949d42fff8e_normal.jpeg" xr:uid="{8192F105-92B5-45FA-875A-2D75B07C13DF}"/>
    <hyperlink ref="B1977" r:id="rId6102" display="https://twitter.com/mvdweyer" xr:uid="{C7731C6B-B33A-4BD2-A901-C56111639706}"/>
    <hyperlink ref="E1977" r:id="rId6103" display="https://twitter.com/mvdweyer/status/723229963659415553" xr:uid="{94327BDD-371D-4AEB-B3E2-FC0EB379BA93}"/>
    <hyperlink ref="O1977" r:id="rId6104" display="https://pbs.twimg.com/profile_images/489747056584445953/3tvslEko_normal.jpeg" xr:uid="{20E4ED95-465A-482A-BD1F-5C45AD7C5A17}"/>
    <hyperlink ref="B1978" r:id="rId6105" display="https://twitter.com/Bewickwren" xr:uid="{FFB81F76-7765-460E-8A91-49AE6779730E}"/>
    <hyperlink ref="E1978" r:id="rId6106" display="https://twitter.com/Bewickwren/status/723230145687871488" xr:uid="{3196CAB4-C5AA-4EA8-8AA4-632D265C89B9}"/>
    <hyperlink ref="O1978" r:id="rId6107" display="https://pbs.twimg.com/profile_images/1277624031/Landscape_2009_Snow_Sept_IMG_4227_normal.jpg" xr:uid="{F98658F8-FE2A-4F5F-92A4-0329D67B8F9D}"/>
    <hyperlink ref="B1979" r:id="rId6108" display="https://twitter.com/suchitgupta60" xr:uid="{11F4833E-05F8-4A3A-BD81-CBD5DB66A812}"/>
    <hyperlink ref="E1979" r:id="rId6109" display="https://twitter.com/suchitgupta60/status/723230189359124480" xr:uid="{ED474693-9627-43C3-B4CB-A29710866543}"/>
    <hyperlink ref="O1979" r:id="rId6110" display="https://pbs.twimg.com/profile_images/1875865930/2396395_366288220049934_100000062774207_1485131_205563110_n_normal.jpg" xr:uid="{F431BE3B-06C0-4B94-9058-1C0632741B3A}"/>
    <hyperlink ref="B1980" r:id="rId6111" display="https://twitter.com/bgewehr" xr:uid="{EE8BB86F-0AD1-40C4-9AB8-B62D24507BE7}"/>
    <hyperlink ref="E1980" r:id="rId6112" display="https://twitter.com/bgewehr/status/723230240894509056" xr:uid="{BDCABC80-8CD3-41AA-92C6-58A0584C8094}"/>
    <hyperlink ref="O1980" r:id="rId6113" display="https://pbs.twimg.com/profile_images/1436591656/Gewehr_normal.jpg" xr:uid="{1DF99A1C-D94D-4348-9E05-885C2FFF47BB}"/>
    <hyperlink ref="B1981" r:id="rId6114" display="https://twitter.com/pgeorgol" xr:uid="{1CA833B1-D0AD-4FE5-855C-0B15E5214FA3}"/>
    <hyperlink ref="E1981" r:id="rId6115" display="https://twitter.com/pgeorgol/status/723231347817480193" xr:uid="{7F91FDF8-299C-49FD-A1CB-46FDA1657D9D}"/>
    <hyperlink ref="O1981" r:id="rId6116" display="https://pbs.twimg.com/profile_images/671891352/pgeorgol_normal.jpg" xr:uid="{C0E0782E-B1E3-49E7-BF04-99257DBE0C31}"/>
    <hyperlink ref="B1982" r:id="rId6117" display="https://twitter.com/MarkosSkellas" xr:uid="{F13ECC66-5EF3-4B1F-A083-F8F661BADF3E}"/>
    <hyperlink ref="E1982" r:id="rId6118" display="https://twitter.com/MarkosSkellas/status/723231361725784065" xr:uid="{4B9C5F01-2C3F-4E53-8E27-B2DA08B9A67F}"/>
    <hyperlink ref="O1982" r:id="rId6119" display="https://pbs.twimg.com/profile_images/661498844748738560/AvQKe6w9_normal.jpg" xr:uid="{BD306C18-5245-4983-BFEE-41A71115A0F4}"/>
    <hyperlink ref="B1983" r:id="rId6120" display="https://twitter.com/VWCamperSales" xr:uid="{02FF984F-D7C9-429F-93DB-E6CA58376B10}"/>
    <hyperlink ref="E1983" r:id="rId6121" display="https://twitter.com/VWCamperSales/status/723231382210646016" xr:uid="{771E4755-575E-4282-B5B3-D710C7C55735}"/>
    <hyperlink ref="F1983" r:id="rId6122" xr:uid="{0CFBDAB7-ADB2-437D-8997-56A348C63974}"/>
    <hyperlink ref="O1983" r:id="rId6123" display="https://pbs.twimg.com/profile_images/627949001179037696/skEBkS05_normal.jpg" xr:uid="{B9D3C01F-4353-47D0-8031-B6AF86EF9723}"/>
    <hyperlink ref="B1984" r:id="rId6124" display="https://twitter.com/KNordlichtW" xr:uid="{B60B783B-EB1C-4B6A-91AF-0D69A7D49549}"/>
    <hyperlink ref="E1984" r:id="rId6125" display="https://twitter.com/KNordlichtW/status/723231511378538498" xr:uid="{A12F89B5-7228-4B95-AA86-FAE1DF36B99D}"/>
    <hyperlink ref="O1984" r:id="rId6126" display="https://pbs.twimg.com/profile_images/712334466585333760/rN4Fnyef_normal.jpg" xr:uid="{8F881A24-9B80-4BC9-9195-AEB7CB85332F}"/>
    <hyperlink ref="B1985" r:id="rId6127" display="https://twitter.com/fonzonor" xr:uid="{FF9B565E-52CC-4142-8DD2-42F90B7371A2}"/>
    <hyperlink ref="E1985" r:id="rId6128" display="https://twitter.com/fonzonor/status/723231571445161984" xr:uid="{93D9CB74-5D82-4FA7-A6D7-9B9FED67AA1B}"/>
    <hyperlink ref="O1985" r:id="rId6129" display="https://pbs.twimg.com/profile_images/699190247830261761/Zz9ZSVyG_normal.jpg" xr:uid="{72D22375-C3F6-4D15-B556-298FE28CAF79}"/>
    <hyperlink ref="B1986" r:id="rId6130" display="https://twitter.com/c_garrels" xr:uid="{3C163E66-C210-4F35-8F52-8DF3C195B91B}"/>
    <hyperlink ref="E1986" r:id="rId6131" display="https://twitter.com/c_garrels/status/723231784088031232" xr:uid="{5F254E59-98BE-47FF-BEA4-EFC69676AC48}"/>
    <hyperlink ref="O1986" r:id="rId6132" display="https://pbs.twimg.com/profile_images/669855217513578496/tHE9dIDO_normal.jpg" xr:uid="{916C825F-C0B4-4DD9-B5F7-2F99D53678FF}"/>
    <hyperlink ref="B1987" r:id="rId6133" display="https://twitter.com/muzaffarkola" xr:uid="{40FBDCEB-05D3-4EF2-9C50-A0DB84E3F8B1}"/>
    <hyperlink ref="E1987" r:id="rId6134" display="https://twitter.com/muzaffarkola/status/723232030427738112" xr:uid="{CF1AA18C-2494-44A5-B93C-C95C184DA088}"/>
    <hyperlink ref="O1987" r:id="rId6135" display="https://pbs.twimg.com/profile_images/693420509824970752/fWzJMBxJ_normal.jpg" xr:uid="{B21CE3A3-45FB-498E-A262-36CD7350263E}"/>
    <hyperlink ref="P1987" r:id="rId6136" location="-26.175065,28.022747" display="http://ctrlq.org/maps/address/ - -26.175065,28.022747" xr:uid="{F1C1E8FD-307A-456A-B3A6-02C871CB19DE}"/>
    <hyperlink ref="B1988" r:id="rId6137" display="https://twitter.com/DUBFELLAS" xr:uid="{EA4DD964-653A-4179-AC89-7040D1BB7303}"/>
    <hyperlink ref="E1988" r:id="rId6138" display="https://twitter.com/DUBFELLAS/status/723232200641122306" xr:uid="{2CC86B0C-677F-41E0-9D61-2831DBD03E7D}"/>
    <hyperlink ref="O1988" r:id="rId6139" display="https://pbs.twimg.com/profile_images/721254513668190208/kmSuQ9oX_normal.jpg" xr:uid="{FAFF0B70-6C19-4920-8A40-37992DD6C718}"/>
    <hyperlink ref="B1989" r:id="rId6140" display="https://twitter.com/BarneysBull" xr:uid="{7D6213AF-7CED-4CB1-8C7D-D57FDF25B541}"/>
    <hyperlink ref="E1989" r:id="rId6141" display="https://twitter.com/BarneysBull/status/723232206412480514" xr:uid="{5FC4BF74-E628-48DA-BD0F-68D48FADCA51}"/>
    <hyperlink ref="O1989" r:id="rId6142" display="https://pbs.twimg.com/profile_images/378800000087091724/246a4ef41533208df0e5360519a477b9_normal.png" xr:uid="{C71294C0-94FF-4D37-8636-ED63200F9B63}"/>
    <hyperlink ref="B1990" r:id="rId6143" display="https://twitter.com/Pinkerton" xr:uid="{9F88B5D4-784A-4398-8157-FB82A5624EF4}"/>
    <hyperlink ref="E1990" r:id="rId6144" display="https://twitter.com/Pinkerton/status/723232419437010944" xr:uid="{2A256E1D-2FA8-4FDD-876A-171D837E72A9}"/>
    <hyperlink ref="O1990" r:id="rId6145" display="https://pbs.twimg.com/profile_images/709795551487856640/cfgh60W4_normal.jpg" xr:uid="{D099239E-BB94-4C93-9B23-EAB357B4990F}"/>
    <hyperlink ref="B1991" r:id="rId6146" display="https://twitter.com/Tom_Perryyy" xr:uid="{464551D2-787E-4214-89A6-951A97341A5B}"/>
    <hyperlink ref="E1991" r:id="rId6147" display="https://twitter.com/Tom_Perryyy/status/723232547111493632" xr:uid="{01495FC3-7198-45B2-9067-91DA8A2A156B}"/>
    <hyperlink ref="O1991" r:id="rId6148" display="https://pbs.twimg.com/profile_images/720810042186858496/Qk4F1Hu__normal.jpg" xr:uid="{72CD8B90-F03D-4A77-8282-AEA15573D27F}"/>
    <hyperlink ref="B1992" r:id="rId6149" display="https://twitter.com/VolkswagenCasey" xr:uid="{CEAF10E2-6F91-42E1-BEC1-B411C9EAFF48}"/>
    <hyperlink ref="E1992" r:id="rId6150" display="https://twitter.com/VolkswagenCasey/status/723232653462384640" xr:uid="{24FA8D4E-B4CE-4CA5-8D93-5C107C1E0146}"/>
    <hyperlink ref="O1992" r:id="rId6151" display="https://pbs.twimg.com/profile_images/451387717742379008/x8L5Ms1G_normal.jpeg" xr:uid="{40E17B48-1E76-4136-A27B-F81BA7CF9DD3}"/>
    <hyperlink ref="B1993" r:id="rId6152" display="https://twitter.com/Logistique01" xr:uid="{2A815D95-3C27-42D2-AE64-3685D24847EB}"/>
    <hyperlink ref="E1993" r:id="rId6153" display="https://twitter.com/Logistique01/status/723232834689753088" xr:uid="{CF67AEFC-6A38-44F1-A049-C947E97CD872}"/>
    <hyperlink ref="O1993" r:id="rId6154" display="https://pbs.twimg.com/profile_images/3497903431/ae95594a00a0817e860e73da8fef6dca_normal.png" xr:uid="{0C55D1B1-EF14-4335-AE74-030227EF0630}"/>
    <hyperlink ref="B1994" r:id="rId6155" display="https://twitter.com/WhistleIRL" xr:uid="{FD2FEBFD-55C3-4559-AF8A-3007C081801B}"/>
    <hyperlink ref="E1994" r:id="rId6156" display="https://twitter.com/WhistleIRL/status/723232851714555906" xr:uid="{DC042509-128F-4B78-B1FD-7C8D47A5B66A}"/>
    <hyperlink ref="O1994" r:id="rId6157" display="https://pbs.twimg.com/profile_images/691870974602510336/o9vGGzM3_normal.jpg" xr:uid="{0F49BC0B-CD8D-433E-9291-A17D8BFE1896}"/>
    <hyperlink ref="B1995" r:id="rId6158" display="https://twitter.com/dimitris_avdis" xr:uid="{99273CA4-1557-4A41-B2DB-227977A69A9A}"/>
    <hyperlink ref="E1995" r:id="rId6159" display="https://twitter.com/dimitris_avdis/status/723233113883574272" xr:uid="{B1EBCDB9-50E2-438D-B9AF-97FF61FD3DB3}"/>
    <hyperlink ref="O1995" r:id="rId6160" display="https://pbs.twimg.com/profile_images/467261662722920449/g-6xLGjJ_normal.jpeg" xr:uid="{B4D0F9D9-7DCC-4323-9597-419B45DB911F}"/>
    <hyperlink ref="B1996" r:id="rId6161" display="https://twitter.com/Bankofisland" xr:uid="{613B20AF-6139-4A2A-95AD-0C8F9E7D42CE}"/>
    <hyperlink ref="E1996" r:id="rId6162" display="https://twitter.com/Bankofisland/status/723233339046547457" xr:uid="{760C671D-4781-41E3-9083-777B1B3A47A7}"/>
    <hyperlink ref="O1996" r:id="rId6163" display="https://pbs.twimg.com/profile_images/674740900967399426/eni1Lze2_normal.jpg" xr:uid="{AACE285A-0AB6-40EB-9CED-E713B74BB186}"/>
    <hyperlink ref="B1997" r:id="rId6164" display="https://twitter.com/VWCamperSales" xr:uid="{9453E9A7-BBD8-4BAA-8641-543929BCA62C}"/>
    <hyperlink ref="E1997" r:id="rId6165" display="https://twitter.com/VWCamperSales/status/723233376182759424" xr:uid="{F74FB6E7-F4D1-4BEE-93C7-338AB50B165E}"/>
    <hyperlink ref="F1997" r:id="rId6166" xr:uid="{685C3846-DCF0-40C2-86AE-97934A1CE638}"/>
    <hyperlink ref="O1997" r:id="rId6167" display="https://pbs.twimg.com/profile_images/627949001179037696/skEBkS05_normal.jpg" xr:uid="{FF7EC06C-0411-458C-9365-54DE9C965C3F}"/>
    <hyperlink ref="B1998" r:id="rId6168" display="https://twitter.com/VWCamperSales" xr:uid="{D8511264-1527-4475-9458-601CCEC0FD68}"/>
    <hyperlink ref="E1998" r:id="rId6169" display="https://twitter.com/VWCamperSales/status/723233383409553410" xr:uid="{39A76137-E3DF-4FEC-9434-6B38172840BD}"/>
    <hyperlink ref="F1998" r:id="rId6170" xr:uid="{C3018672-8113-41D8-822C-B01BC8092EFD}"/>
    <hyperlink ref="O1998" r:id="rId6171" display="https://pbs.twimg.com/profile_images/627949001179037696/skEBkS05_normal.jpg" xr:uid="{A37438F3-88A0-4A89-A15D-E3F19AC3462C}"/>
    <hyperlink ref="B1999" r:id="rId6172" display="https://twitter.com/VWCamperSales" xr:uid="{3050C68E-6BB6-460B-AF1F-90E765C40EBA}"/>
    <hyperlink ref="E1999" r:id="rId6173" display="https://twitter.com/VWCamperSales/status/723233392196653056" xr:uid="{E8669AD6-FFEC-495D-92A6-75AADD0D0D00}"/>
    <hyperlink ref="F1999" r:id="rId6174" xr:uid="{DB7EF897-37DD-4197-8CE8-B2E1AB0ABFD7}"/>
    <hyperlink ref="O1999" r:id="rId6175" display="https://pbs.twimg.com/profile_images/627949001179037696/skEBkS05_normal.jpg" xr:uid="{BA5BDF89-89D7-4C8E-9852-589AD863CE5E}"/>
    <hyperlink ref="B2000" r:id="rId6176" display="https://twitter.com/VWCamperSales" xr:uid="{1EFB87EB-64EF-4D5C-958D-9FF77FF353F7}"/>
    <hyperlink ref="E2000" r:id="rId6177" display="https://twitter.com/VWCamperSales/status/723233398739718145" xr:uid="{FB90543D-BA82-400E-A72E-5769860CDA97}"/>
    <hyperlink ref="F2000" r:id="rId6178" xr:uid="{A8BEEC7B-4599-4C69-9B3E-47715BF0B96F}"/>
    <hyperlink ref="O2000" r:id="rId6179" display="https://pbs.twimg.com/profile_images/627949001179037696/skEBkS05_normal.jpg" xr:uid="{2A4A5FFD-FC9E-4588-B3D4-1AC3EE0C55A7}"/>
    <hyperlink ref="B2001" r:id="rId6180" display="https://twitter.com/GeekClericMike" xr:uid="{49E45B3E-E353-47D4-9D61-6A2B7A1F7EFD}"/>
    <hyperlink ref="E2001" r:id="rId6181" display="https://twitter.com/GeekClericMike/status/723233449776041984" xr:uid="{77CC32C7-F87D-45E8-A1FF-995DB2D61147}"/>
    <hyperlink ref="O2001" r:id="rId6182" display="https://pbs.twimg.com/profile_images/718810417439477760/u4onDM3I_normal.jpg" xr:uid="{69268F96-B5B0-4211-AA55-3F97DEA09040}"/>
    <hyperlink ref="B2002" r:id="rId6183" display="https://twitter.com/Rhythmic_Spirit" xr:uid="{BC35897D-5364-424B-9BB8-ABCC1EEF92C1}"/>
    <hyperlink ref="E2002" r:id="rId6184" display="https://twitter.com/Rhythmic_Spirit/status/723233752055472129" xr:uid="{7E8B1892-A828-490F-8138-3096C409BC23}"/>
    <hyperlink ref="O2002" r:id="rId6185" display="https://pbs.twimg.com/profile_images/661956521799114752/cMi6wEtP_normal.jpg" xr:uid="{E1109049-5767-4F33-9AEA-69D74E9173E1}"/>
    <hyperlink ref="B2003" r:id="rId6186" display="https://twitter.com/VWBeetleSales" xr:uid="{984B6B3E-29B5-4B42-901A-4F12BDAA5B8D}"/>
    <hyperlink ref="E2003" r:id="rId6187" display="https://twitter.com/VWBeetleSales/status/723234378344620033" xr:uid="{7B0F2ED3-78D7-46B8-AA02-ACACF69AD29A}"/>
    <hyperlink ref="F2003" r:id="rId6188" xr:uid="{B95A58AB-C3FE-4C51-ACCD-CF56885BC316}"/>
    <hyperlink ref="O2003" r:id="rId6189" display="https://pbs.twimg.com/profile_images/703294545195307008/qeCvrX86_normal.jpg" xr:uid="{456AB5F9-3AE2-4E09-902E-3DEB28D38535}"/>
    <hyperlink ref="B2004" r:id="rId6190" display="https://twitter.com/ALONSOQUIJANO21" xr:uid="{3624D6AA-3552-463C-ACF3-1923FC4FA174}"/>
    <hyperlink ref="E2004" r:id="rId6191" display="https://twitter.com/ALONSOQUIJANO21/status/723234403128844289" xr:uid="{4B294505-35A9-4D90-A668-B1D02A7BC257}"/>
    <hyperlink ref="O2004" r:id="rId6192" display="https://pbs.twimg.com/profile_images/413720367057104896/NJBjejNz_normal.jpeg" xr:uid="{2A222B98-BFE5-4EA7-895F-4FA915447105}"/>
    <hyperlink ref="B2005" r:id="rId6193" display="https://twitter.com/TheBeetles_co" xr:uid="{3A5E61AC-5B5A-4F9F-AE00-B61A628476C7}"/>
    <hyperlink ref="E2005" r:id="rId6194" display="https://twitter.com/TheBeetles_co/status/723234428076564480" xr:uid="{6EB3176D-EDC2-409D-AD66-011BF74DDA89}"/>
    <hyperlink ref="O2005" r:id="rId6195" display="https://pbs.twimg.com/profile_images/695307390724521984/qdxB45lv_normal.jpg" xr:uid="{AFB3A0C7-BD8E-4973-BFE4-3F3CBCDC29F5}"/>
    <hyperlink ref="B2006" r:id="rId6196" display="https://twitter.com/VWShawty" xr:uid="{CA270DA6-54D3-40D1-A745-C25849A746DA}"/>
    <hyperlink ref="E2006" r:id="rId6197" display="https://twitter.com/VWShawty/status/723234551208636416" xr:uid="{5257CDF3-2C2A-4309-9812-1C42F1905647}"/>
    <hyperlink ref="O2006" r:id="rId6198" display="https://pbs.twimg.com/profile_images/718275890933809156/npH4oxJP_normal.jpg" xr:uid="{9F85C7FA-4000-4014-BC9D-295A196292E1}"/>
    <hyperlink ref="B2007" r:id="rId6199" display="https://twitter.com/GabrielPankow" xr:uid="{08B7A5BD-C749-417A-935D-FCAF00721BFB}"/>
    <hyperlink ref="E2007" r:id="rId6200" display="https://twitter.com/GabrielPankow/status/723234881757691909" xr:uid="{BC446F7D-CA03-45AA-85DE-04A62D8D0356}"/>
    <hyperlink ref="O2007" r:id="rId6201" display="https://pbs.twimg.com/profile_images/701375592055312385/ZDhnPgdy_normal.jpg" xr:uid="{194C1B7F-508F-4ECC-9492-3338681E5A3A}"/>
    <hyperlink ref="B2008" r:id="rId6202" display="https://twitter.com/soenke_iwersen" xr:uid="{8409B460-B437-4F1C-9459-872673D4B70D}"/>
    <hyperlink ref="E2008" r:id="rId6203" display="https://twitter.com/soenke_iwersen/status/723234888342749185" xr:uid="{5DE035A3-6640-4072-BCB6-B38BDCDD1996}"/>
    <hyperlink ref="O2008" r:id="rId6204" display="https://pbs.twimg.com/profile_images/592687726245367808/Q5Lg2WSe_normal.jpg" xr:uid="{39BEF1BC-BB21-46D8-AE48-F10D77867199}"/>
    <hyperlink ref="B2009" r:id="rId6205" display="https://twitter.com/vintagevwdita" xr:uid="{365BCDFD-ADA2-412B-BD9D-9E7133F31524}"/>
    <hyperlink ref="E2009" r:id="rId6206" display="https://twitter.com/vintagevwdita/status/723235017476939776" xr:uid="{88AA726E-E64C-4604-B7C5-595936F7A8B9}"/>
    <hyperlink ref="O2009" r:id="rId6207" display="https://pbs.twimg.com/profile_images/687419637429080064/YhD1MggI_normal.jpg" xr:uid="{368278DA-22F4-4555-BAEA-45317C479B7F}"/>
    <hyperlink ref="B2010" r:id="rId6208" display="https://twitter.com/soenke_iwersen" xr:uid="{F01FD4E2-92E2-4017-AB5F-14175DE21A0F}"/>
    <hyperlink ref="E2010" r:id="rId6209" display="https://twitter.com/soenke_iwersen/status/723235063702368256" xr:uid="{BC08F549-D518-4B85-9550-C12DCB69C1B8}"/>
    <hyperlink ref="O2010" r:id="rId6210" display="https://pbs.twimg.com/profile_images/592687726245367808/Q5Lg2WSe_normal.jpg" xr:uid="{3E63EBC7-3285-4281-B05F-87504FFEF6E7}"/>
    <hyperlink ref="B2011" r:id="rId6211" display="https://twitter.com/VWCamperSales" xr:uid="{4EDACED1-12E5-4A29-9179-115BDEDE1FE6}"/>
    <hyperlink ref="E2011" r:id="rId6212" display="https://twitter.com/VWCamperSales/status/723235122539958272" xr:uid="{423AE2CC-AD5C-49EF-87EB-FC9A43676C5C}"/>
    <hyperlink ref="F2011" r:id="rId6213" xr:uid="{820BA885-040C-4D60-A604-4D4577BD9870}"/>
    <hyperlink ref="O2011" r:id="rId6214" display="https://pbs.twimg.com/profile_images/627949001179037696/skEBkS05_normal.jpg" xr:uid="{92A7463D-045B-4D7F-9F8A-201E8B90EADA}"/>
    <hyperlink ref="B2012" r:id="rId6215" display="https://twitter.com/VWCamperSales" xr:uid="{16562C43-B70D-4532-B82F-1AECB7CDC369}"/>
    <hyperlink ref="E2012" r:id="rId6216" display="https://twitter.com/VWCamperSales/status/723235125421436928" xr:uid="{85E7AF07-FF64-4810-9F09-2F6B5D6C4825}"/>
    <hyperlink ref="F2012" r:id="rId6217" xr:uid="{E669425C-769E-4509-8F0A-2204DC962C76}"/>
    <hyperlink ref="O2012" r:id="rId6218" display="https://pbs.twimg.com/profile_images/627949001179037696/skEBkS05_normal.jpg" xr:uid="{E109EAF1-B7FF-4775-A9F4-92B9192287BF}"/>
    <hyperlink ref="B2013" r:id="rId6219" display="https://twitter.com/SubaruImpreza_" xr:uid="{84BFDA48-1FBC-4D6E-AD61-13C34D3CBD2B}"/>
    <hyperlink ref="E2013" r:id="rId6220" display="https://twitter.com/SubaruImpreza_/status/723235224465842177" xr:uid="{C09B42F0-FF23-4592-9862-B5275A451007}"/>
    <hyperlink ref="O2013" r:id="rId6221" display="https://pbs.twimg.com/profile_images/678160412500733952/aC2rcP7X_normal.png" xr:uid="{24353DE7-BADC-48C4-A20E-72483541B2FF}"/>
    <hyperlink ref="B2014" r:id="rId6222" display="https://twitter.com/VWShawty" xr:uid="{FEAE09B9-3D8C-4F12-AC15-9783F508465E}"/>
    <hyperlink ref="E2014" r:id="rId6223" display="https://twitter.com/VWShawty/status/723235427449085952" xr:uid="{83D28C2A-26E2-452F-BE39-3FDB6351300C}"/>
    <hyperlink ref="O2014" r:id="rId6224" display="https://pbs.twimg.com/profile_images/718275890933809156/npH4oxJP_normal.jpg" xr:uid="{47A3A2D0-F996-4543-924E-7AC17BB7B443}"/>
    <hyperlink ref="B2015" r:id="rId6225" display="https://twitter.com/K2GNetworking" xr:uid="{5C6AE74C-8D96-423E-88B0-060F71D94BB2}"/>
    <hyperlink ref="E2015" r:id="rId6226" display="https://twitter.com/K2GNetworking/status/723235670949507087" xr:uid="{FF785B64-1E18-4221-8B1C-6786DC044B1A}"/>
    <hyperlink ref="O2015" r:id="rId6227" display="https://pbs.twimg.com/profile_images/569820801503731712/wBv8eVs3_normal.jpeg" xr:uid="{5E5382B8-6B5E-4C2F-A8D1-660C1B493898}"/>
    <hyperlink ref="B2016" r:id="rId6228" display="https://twitter.com/VWShawty" xr:uid="{8EF9BA9F-1C60-4729-BF9A-8939E54EA845}"/>
    <hyperlink ref="E2016" r:id="rId6229" display="https://twitter.com/VWShawty/status/723235903750070272" xr:uid="{C725AFCC-09C0-49A6-8834-1F6E7229EF39}"/>
    <hyperlink ref="O2016" r:id="rId6230" display="https://pbs.twimg.com/profile_images/718275890933809156/npH4oxJP_normal.jpg" xr:uid="{5F2EEC03-3F24-45E0-9D43-0D3E18FC8024}"/>
    <hyperlink ref="B2017" r:id="rId6231" display="https://twitter.com/VWShawty" xr:uid="{6425A881-6080-4051-A1B4-547711F5223F}"/>
    <hyperlink ref="E2017" r:id="rId6232" display="https://twitter.com/VWShawty/status/723235925782761472" xr:uid="{9674BBDF-437A-43B5-A344-89CA20EBE28C}"/>
    <hyperlink ref="O2017" r:id="rId6233" display="https://pbs.twimg.com/profile_images/718275890933809156/npH4oxJP_normal.jpg" xr:uid="{037FDC9B-207D-437C-915F-496FF62BEFB6}"/>
    <hyperlink ref="B2018" r:id="rId6234" display="https://twitter.com/notjustjam" xr:uid="{DD84F0DB-B578-47A5-9ACB-A637430D2B5F}"/>
    <hyperlink ref="E2018" r:id="rId6235" display="https://twitter.com/notjustjam/status/723236068506648577" xr:uid="{7041D5BF-91BF-463C-90D7-43F103A7277D}"/>
    <hyperlink ref="O2018" r:id="rId6236" display="https://pbs.twimg.com/profile_images/3351113749/f60b3a084ef074a0096cc6fd119fa483_normal.jpeg" xr:uid="{745F5744-CE80-41DA-88A8-B8B2A0D383E8}"/>
    <hyperlink ref="B2019" r:id="rId6237" display="https://twitter.com/AlvaghCronin" xr:uid="{91152455-1DB8-478C-90E7-F64F196283E5}"/>
    <hyperlink ref="E2019" r:id="rId6238" display="https://twitter.com/AlvaghCronin/status/723236166066163713" xr:uid="{EE7C5DAF-314E-4BCC-91F2-11114728EAE1}"/>
    <hyperlink ref="O2019" r:id="rId6239" display="https://pbs.twimg.com/profile_images/710553759043219462/arY55pu1_normal.jpg" xr:uid="{108B7625-FB2D-442A-8CF4-704DD3011EB2}"/>
    <hyperlink ref="B2020" r:id="rId6240" display="https://twitter.com/JayStarGrp" xr:uid="{2F4E3A07-8F19-4674-B049-399AC81DE94D}"/>
    <hyperlink ref="E2020" r:id="rId6241" display="https://twitter.com/JayStarGrp/status/723236366994313217" xr:uid="{F9D38C14-B128-43B9-BB42-7E4033CA4D49}"/>
    <hyperlink ref="O2020" r:id="rId6242" display="https://pbs.twimg.com/profile_images/489449552672346114/JWuuQgR__normal.jpeg" xr:uid="{DB5A9D62-6763-482C-9622-752F0FDA9464}"/>
    <hyperlink ref="B2021" r:id="rId6243" display="https://twitter.com/AutoNewsTV" xr:uid="{7259B42F-7446-43AC-B71C-FAF173F2432F}"/>
    <hyperlink ref="E2021" r:id="rId6244" display="https://twitter.com/AutoNewsTV/status/723236433742450688" xr:uid="{0A5AA39C-7E58-49BD-8483-7E2FA19D8CB1}"/>
    <hyperlink ref="O2021" r:id="rId6245" display="https://pbs.twimg.com/profile_images/526742022435000320/iBw--_RM_normal.jpeg" xr:uid="{90E40915-C1E5-4077-80B9-EC78C8A80EA0}"/>
    <hyperlink ref="B2022" r:id="rId6246" display="https://twitter.com/VolkswagenPost" xr:uid="{EB9FBC01-3FD8-4244-A920-E163526D627D}"/>
    <hyperlink ref="E2022" r:id="rId6247" display="https://twitter.com/VolkswagenPost/status/723236566953525248" xr:uid="{CC63AD3A-A664-4F23-A959-AF17F310E506}"/>
    <hyperlink ref="O2022" r:id="rId6248" display="https://pbs.twimg.com/profile_images/530071272881803264/a_jcCmPZ_normal.png" xr:uid="{C353DBA7-A211-427E-AA9A-AAFA3C461C99}"/>
    <hyperlink ref="B2023" r:id="rId6249" display="https://twitter.com/sbbenevides" xr:uid="{150129DA-33C4-4FFB-9161-3CF8066A767E}"/>
    <hyperlink ref="E2023" r:id="rId6250" display="https://twitter.com/sbbenevides/status/723236584758370305" xr:uid="{D3630591-23D9-4087-B834-84AF04605111}"/>
    <hyperlink ref="O2023" r:id="rId6251" display="https://pbs.twimg.com/profile_images/561179508087476226/n3ahBsgf_normal.jpeg" xr:uid="{94C14C49-F9F1-4933-A11F-52904B944B47}"/>
    <hyperlink ref="B2024" r:id="rId6252" display="https://twitter.com/Automotive_News" xr:uid="{7FB8E394-5FBB-4A18-9011-28241F902882}"/>
    <hyperlink ref="E2024" r:id="rId6253" display="https://twitter.com/Automotive_News/status/723236599568437248" xr:uid="{3BFE61BE-3158-4671-BAA9-FA56D6BA7C78}"/>
    <hyperlink ref="O2024" r:id="rId6254" display="https://pbs.twimg.com/profile_images/378800000534775382/4bec857571a11a945880576a81c8720e_normal.jpeg" xr:uid="{4C7391AC-3D45-4DF5-982B-C1C3D55D5C78}"/>
    <hyperlink ref="B2025" r:id="rId6255" display="https://twitter.com/AutoExpress" xr:uid="{B71ED3F8-21C2-4A00-87BB-2204809C25AE}"/>
    <hyperlink ref="E2025" r:id="rId6256" display="https://twitter.com/AutoExpress/status/723236644111847426" xr:uid="{1B2A4971-1921-4BD6-B297-6BCC1143203B}"/>
    <hyperlink ref="O2025" r:id="rId6257" display="https://pbs.twimg.com/profile_images/378800000673633859/9729e4c280465095c6f835c9f6b36378_normal.jpeg" xr:uid="{F2D359A8-BEF9-4A05-B949-6CF9FEF5FABA}"/>
    <hyperlink ref="B2026" r:id="rId6258" display="https://twitter.com/Bond_MK4" xr:uid="{2D43C8C8-BCA4-4E56-A230-BBCECA945CE1}"/>
    <hyperlink ref="E2026" r:id="rId6259" display="https://twitter.com/Bond_MK4/status/723236732716625921" xr:uid="{6A9D13D4-9BF1-4D77-89D4-8BCAABCEBC5A}"/>
    <hyperlink ref="O2026" r:id="rId6260" display="https://pbs.twimg.com/profile_images/720593061823299584/uee56JpH_normal.jpg" xr:uid="{927F6553-786F-4EBC-9CFD-7F02ED4DC820}"/>
    <hyperlink ref="B2027" r:id="rId6261" display="https://twitter.com/VWCamperSales" xr:uid="{48249F37-9939-40FB-8978-D2EA64FCA258}"/>
    <hyperlink ref="E2027" r:id="rId6262" display="https://twitter.com/VWCamperSales/status/723236888052523008" xr:uid="{3D348902-E620-496F-B534-64FEE355DD17}"/>
    <hyperlink ref="F2027" r:id="rId6263" xr:uid="{F20E6EAC-4D88-4A6F-8C7A-991F88F0BB02}"/>
    <hyperlink ref="O2027" r:id="rId6264" display="https://pbs.twimg.com/profile_images/627949001179037696/skEBkS05_normal.jpg" xr:uid="{D3116A34-C0F9-464D-B2C1-CFCA289A1610}"/>
    <hyperlink ref="B2028" r:id="rId6265" display="https://twitter.com/VWCamperSales" xr:uid="{40344DE2-D15E-42D0-AD4E-389DBBE769B4}"/>
    <hyperlink ref="E2028" r:id="rId6266" display="https://twitter.com/VWCamperSales/status/723236891999379456" xr:uid="{6CDD3C0B-C93D-4BE2-9523-C22204488E2C}"/>
    <hyperlink ref="F2028" r:id="rId6267" xr:uid="{A44B1899-26C8-4D3B-9813-AED39352B889}"/>
    <hyperlink ref="O2028" r:id="rId6268" display="https://pbs.twimg.com/profile_images/627949001179037696/skEBkS05_normal.jpg" xr:uid="{A05ABD6F-6F0A-4182-9326-15B71877E12F}"/>
    <hyperlink ref="B2029" r:id="rId6269" display="https://twitter.com/cosmorion" xr:uid="{19371F1A-3275-4C01-B676-F76A75B8CE68}"/>
    <hyperlink ref="E2029" r:id="rId6270" display="https://twitter.com/cosmorion/status/723236946512871424" xr:uid="{F684F1F1-AA03-4285-8913-C2BABB296899}"/>
    <hyperlink ref="O2029" r:id="rId6271" display="https://pbs.twimg.com/profile_images/1124344760/voyous_normal.jpg" xr:uid="{6772788A-9036-450C-B4D8-CBBB98AE12DB}"/>
    <hyperlink ref="B2030" r:id="rId6272" display="https://twitter.com/vintagevwdita" xr:uid="{91DC998A-ACA5-4C42-9E85-1ECA64D9877C}"/>
    <hyperlink ref="E2030" r:id="rId6273" display="https://twitter.com/vintagevwdita/status/723237291045621760" xr:uid="{9C973E45-AE9F-478A-B5B9-F4DE4BFA952C}"/>
    <hyperlink ref="O2030" r:id="rId6274" display="https://pbs.twimg.com/profile_images/687419637429080064/YhD1MggI_normal.jpg" xr:uid="{D7D07DA6-A04F-452B-8AA5-555EA0D180F7}"/>
    <hyperlink ref="B2031" r:id="rId6275" display="https://twitter.com/Ren_Kalaj" xr:uid="{9D0EA3F0-CD70-4C81-8496-885BE35B77CA}"/>
    <hyperlink ref="E2031" r:id="rId6276" display="https://twitter.com/Ren_Kalaj/status/723237332896256000" xr:uid="{BA3ADA33-55C3-4BC4-A9AF-9452539B8A05}"/>
    <hyperlink ref="O2031" r:id="rId6277" display="https://pbs.twimg.com/profile_images/714246529108852737/o3XRHwtB_normal.jpg" xr:uid="{0228254D-D35D-44E8-A571-10E9DFD841B2}"/>
    <hyperlink ref="B2032" r:id="rId6278" display="https://twitter.com/ebaycampervans" xr:uid="{A9098C24-67E2-4938-B299-F12F7B570F45}"/>
    <hyperlink ref="E2032" r:id="rId6279" display="https://twitter.com/ebaycampervans/status/723237367901876224" xr:uid="{ED584FCB-B705-4152-A7CB-105BEEE241B9}"/>
    <hyperlink ref="O2032" r:id="rId6280" display="https://pbs.twimg.com/profile_images/599357023407464449/BL9Bpo6T_normal.jpg" xr:uid="{6E6674D9-A2A3-4878-9DEC-4B2956D9A782}"/>
    <hyperlink ref="B2033" r:id="rId6281" display="https://twitter.com/HotRidesDaily1" xr:uid="{5F5C0B1A-9C9A-462F-B089-7348D3D49F33}"/>
    <hyperlink ref="E2033" r:id="rId6282" display="https://twitter.com/HotRidesDaily1/status/723237518141980672" xr:uid="{478F1E0E-4231-4EAB-A550-8CA137B84FDA}"/>
    <hyperlink ref="O2033" r:id="rId6283" display="https://pbs.twimg.com/profile_images/578040776237588480/ExmIRu0n_normal.jpeg" xr:uid="{EDBF6FCC-24EF-4B56-AA51-A9A1F9B7DA61}"/>
    <hyperlink ref="B2034" r:id="rId6284" display="https://twitter.com/charlieebutler" xr:uid="{E5182912-FE60-4622-B113-3815444F2C40}"/>
    <hyperlink ref="E2034" r:id="rId6285" display="https://twitter.com/charlieebutler/status/723237719707652098" xr:uid="{112D62BC-B7CB-4174-96CB-B9ED4AF8D538}"/>
    <hyperlink ref="O2034" r:id="rId6286" display="https://pbs.twimg.com/profile_images/684138129306025988/SYEXhWLA_normal.jpg" xr:uid="{A25F7350-B0F8-4331-A1E8-521C849F776A}"/>
    <hyperlink ref="B2035" r:id="rId6287" display="https://twitter.com/C_Rohde_F21" xr:uid="{A700D484-3D0A-4858-9097-6350B2E1B9F7}"/>
    <hyperlink ref="E2035" r:id="rId6288" display="https://twitter.com/C_Rohde_F21/status/723237878956957699" xr:uid="{6F0F5422-4CBC-4174-A36C-90A375E61ECD}"/>
    <hyperlink ref="O2035" r:id="rId6289" display="https://pbs.twimg.com/profile_images/2856879378/9d0897db09a7b471b4a5ff4b036c9922_normal.png" xr:uid="{C845C3AA-F892-4196-BBEF-D722C9198701}"/>
    <hyperlink ref="B2036" r:id="rId6290" display="https://twitter.com/BelleNews" xr:uid="{EC3756CD-3297-4E95-886B-093CECC2399F}"/>
    <hyperlink ref="E2036" r:id="rId6291" display="https://twitter.com/BelleNews/status/723238146574585856" xr:uid="{8B8B995E-7265-4DBB-95EF-BB368BDAC4B5}"/>
    <hyperlink ref="O2036" r:id="rId6292" display="https://pbs.twimg.com/profile_images/2150289983/logo_facebook_new_normal.jpg" xr:uid="{97E6D3CD-3EDF-4A6E-8AD5-5D578325C543}"/>
    <hyperlink ref="B2037" r:id="rId6293" display="https://twitter.com/kakabimbo" xr:uid="{B3BA5EF9-0AB5-4038-A5A1-9A6658ACA0C8}"/>
    <hyperlink ref="E2037" r:id="rId6294" display="https://twitter.com/kakabimbo/status/723238494689198081" xr:uid="{9D7CCC35-49B0-4477-A16E-AE679241B629}"/>
    <hyperlink ref="O2037" r:id="rId6295" display="https://pbs.twimg.com/profile_images/624231079898152960/enOWT84U_normal.jpg" xr:uid="{9BCB70F8-8B31-4F13-9DAB-A297FF22C515}"/>
    <hyperlink ref="B2038" r:id="rId6296" display="https://twitter.com/Klickvieh" xr:uid="{C20A3C14-56B9-475F-BAB5-97BD1340A782}"/>
    <hyperlink ref="E2038" r:id="rId6297" display="https://twitter.com/Klickvieh/status/723238528663035905" xr:uid="{3C65FF46-0567-42C0-94D0-F0A009447A75}"/>
    <hyperlink ref="O2038" r:id="rId6298" display="https://pbs.twimg.com/profile_images/662585803168591872/XeVEK9Mh_normal.jpg" xr:uid="{1C057352-F8C5-4CDE-96EE-4F7AF6E47C6C}"/>
    <hyperlink ref="B2039" r:id="rId6299" display="https://twitter.com/PC_360" xr:uid="{E64BDC34-A89D-409C-8BFF-15E4FD520DCA}"/>
    <hyperlink ref="E2039" r:id="rId6300" display="https://twitter.com/PC_360/status/723238670258585600" xr:uid="{443AFDFD-13D2-40D1-AA91-DC76A72B461E}"/>
    <hyperlink ref="O2039" r:id="rId6301" display="https://pbs.twimg.com/profile_images/1923843921/PC360-no-tag-left_normal.jpg" xr:uid="{BE3D2FDA-2AE9-4FA1-98E2-AAFC0A9FD722}"/>
    <hyperlink ref="B2040" r:id="rId6302" display="https://twitter.com/UrsulaZerilli" xr:uid="{77349790-D69C-4FC3-ACC9-A400ADF74F31}"/>
    <hyperlink ref="E2040" r:id="rId6303" display="https://twitter.com/UrsulaZerilli/status/723238673752428544" xr:uid="{A7B5ACB8-B8F1-441C-BEE2-BD7B43C83005}"/>
    <hyperlink ref="O2040" r:id="rId6304" display="https://pbs.twimg.com/profile_images/590161064706363392/ZEGlZold_normal.png" xr:uid="{5CAC67D4-F323-40A6-BE1B-8712E36F197F}"/>
    <hyperlink ref="B2041" r:id="rId6305" display="https://twitter.com/JoseSemanen" xr:uid="{5B44EA17-2F39-4319-A712-AB2E2F496229}"/>
    <hyperlink ref="E2041" r:id="rId6306" display="https://twitter.com/JoseSemanen/status/723238743327531009" xr:uid="{2B48C693-FEDA-4AFA-A184-1B5D8877EAD7}"/>
    <hyperlink ref="O2041" r:id="rId6307" display="https://pbs.twimg.com/profile_images/616779077572251652/VA-Mosfx_normal.jpg" xr:uid="{BF5B495F-6982-4E1B-BB43-C10A17836BFC}"/>
    <hyperlink ref="B2042" r:id="rId6308" display="https://twitter.com/Josefs_Beitrag" xr:uid="{D426DF5F-54B6-4FBE-A383-766EDE776FD5}"/>
    <hyperlink ref="E2042" r:id="rId6309" display="https://twitter.com/Josefs_Beitrag/status/723238840811532288" xr:uid="{D561E2AA-614D-47CF-8BD3-F0F67EB6DE66}"/>
    <hyperlink ref="O2042" r:id="rId6310" display="https://pbs.twimg.com/profile_images/490812099908497408/pf-nrnHK_normal.jpeg" xr:uid="{F26DA0AB-3A1D-4EB8-BDBF-F80AEC914F65}"/>
    <hyperlink ref="B2043" r:id="rId6311" display="https://twitter.com/dmstone08" xr:uid="{FA72913B-A190-4C70-9CAC-5C1B75F99935}"/>
    <hyperlink ref="E2043" r:id="rId6312" display="https://twitter.com/dmstone08/status/723238881747820545" xr:uid="{951C2329-840C-4C05-BE4D-52E918B93B9A}"/>
    <hyperlink ref="O2043" r:id="rId6313" display="https://pbs.twimg.com/profile_images/674243575698165760/rpDiwt_o_normal.jpg" xr:uid="{1F8CD282-45D6-4F01-A19E-5DC45E761F5B}"/>
    <hyperlink ref="B2044" r:id="rId6314" display="https://twitter.com/eecrtmn" xr:uid="{D72E4BDF-E4CC-4A34-BF44-909FFD2CF8DC}"/>
    <hyperlink ref="E2044" r:id="rId6315" display="https://twitter.com/eecrtmn/status/723239121351794689" xr:uid="{520E7EC7-6E20-40B0-B3A1-45E0C6101830}"/>
    <hyperlink ref="O2044" r:id="rId6316" display="https://pbs.twimg.com/profile_images/714771824026984449/USx_-_kf_normal.jpg" xr:uid="{9780D25A-7342-452B-A0C4-4DCAC13226D0}"/>
    <hyperlink ref="B2045" r:id="rId6317" display="https://twitter.com/Scirocco_Tuning" xr:uid="{1C16B3B2-0CBA-46D1-886A-27924F74F0D2}"/>
    <hyperlink ref="E2045" r:id="rId6318" display="https://twitter.com/Scirocco_Tuning/status/723239599770861568" xr:uid="{0FF5C230-206B-4999-8625-A93C1D730F1F}"/>
    <hyperlink ref="O2045" r:id="rId6319" display="https://pbs.twimg.com/profile_images/1610421423/Image2_normal.jpg" xr:uid="{1BDCC3C6-6C89-4AF9-92CF-6D80BD8D22B9}"/>
    <hyperlink ref="B2046" r:id="rId6320" display="https://twitter.com/zoreio" xr:uid="{D48C3C56-8C8D-4BEE-B108-2B1E59123476}"/>
    <hyperlink ref="E2046" r:id="rId6321" display="https://twitter.com/zoreio/status/723239897738391552" xr:uid="{E335D167-DF7E-46F8-BF3D-4DE7C8C62E6D}"/>
    <hyperlink ref="O2046" r:id="rId6322" display="https://pbs.twimg.com/profile_images/200987270/procissao_normal.JPG" xr:uid="{2F5C8426-9D39-472C-94C6-5E9658DB4BDF}"/>
    <hyperlink ref="B2047" r:id="rId6323" display="https://twitter.com/Willi1887" xr:uid="{E5F984E5-13EB-4DE5-A11A-D42835D56D32}"/>
    <hyperlink ref="E2047" r:id="rId6324" display="https://twitter.com/Willi1887/status/723239898619219968" xr:uid="{84DA5027-B25B-4B3A-9BF1-3857F4ECC961}"/>
    <hyperlink ref="O2047" r:id="rId6325" display="https://pbs.twimg.com/profile_images/723232954084921345/hBQs_w8x_normal.jpg" xr:uid="{D77FF85C-DD22-4D7B-84E2-ECDED891018A}"/>
    <hyperlink ref="B2048" r:id="rId6326" display="https://twitter.com/thomaslyoung" xr:uid="{E303AAEF-F67E-4963-B7BE-FA4851106D31}"/>
    <hyperlink ref="E2048" r:id="rId6327" display="https://twitter.com/thomaslyoung/status/723239927295709189" xr:uid="{0264CE3C-7853-45A3-BB86-BF14B6475A84}"/>
    <hyperlink ref="O2048" r:id="rId6328" display="https://pbs.twimg.com/profile_images/378800000124732686/07af48b9969d743cf2642901c5f8cccc_normal.jpeg" xr:uid="{BA00707A-8531-48DE-8957-ED9A3ABE2EA6}"/>
    <hyperlink ref="B2049" r:id="rId6329" display="https://twitter.com/amsonline" xr:uid="{E062227D-F822-4ED0-BF7D-DF3F2B6E27F0}"/>
    <hyperlink ref="E2049" r:id="rId6330" display="https://twitter.com/amsonline/status/723239961034526721" xr:uid="{F64B5C50-0D46-419E-AC89-D0E467CB2988}"/>
    <hyperlink ref="O2049" r:id="rId6331" display="https://pbs.twimg.com/profile_images/458901987019333632/7FGKPDVB_normal.png" xr:uid="{18C1C2B6-6FC1-492F-89C9-A5C06236C92D}"/>
    <hyperlink ref="B2050" r:id="rId6332" display="https://twitter.com/VWCamperSales" xr:uid="{E6F0723F-3FBE-4B1E-8E83-211504B6B5C2}"/>
    <hyperlink ref="E2050" r:id="rId6333" display="https://twitter.com/VWCamperSales/status/723240046346657793" xr:uid="{58FDCB29-9EF7-4CE8-BAA9-0E3E10D36101}"/>
    <hyperlink ref="F2050" r:id="rId6334" xr:uid="{F3129D5B-8DEC-4F6C-AD0A-B6E7FAA4CA0C}"/>
    <hyperlink ref="O2050" r:id="rId6335" display="https://pbs.twimg.com/profile_images/627949001179037696/skEBkS05_normal.jpg" xr:uid="{9363E489-A3B9-4230-923A-D920895CDD4F}"/>
    <hyperlink ref="B2051" r:id="rId6336" display="https://twitter.com/VWCamperSales" xr:uid="{2B52B1EC-A062-4EAE-BD0F-B824A8724D55}"/>
    <hyperlink ref="E2051" r:id="rId6337" display="https://twitter.com/VWCamperSales/status/723240056345890817" xr:uid="{9A221020-8D83-41F0-B72C-1B6256E681D4}"/>
    <hyperlink ref="F2051" r:id="rId6338" xr:uid="{BCB345DA-374E-4816-978D-0F05CB93899A}"/>
    <hyperlink ref="O2051" r:id="rId6339" display="https://pbs.twimg.com/profile_images/627949001179037696/skEBkS05_normal.jpg" xr:uid="{8232F588-26DD-4697-91BF-0A7AAA4C1133}"/>
    <hyperlink ref="B2052" r:id="rId6340" display="https://twitter.com/__FMR__" xr:uid="{750B17E4-43E7-4E67-8670-9492D72B0741}"/>
    <hyperlink ref="E2052" r:id="rId6341" display="https://twitter.com/__FMR__/status/723240075111337984" xr:uid="{C70C1159-8A53-48A8-8AB8-436F0FB6FD85}"/>
    <hyperlink ref="O2052" r:id="rId6342" display="https://pbs.twimg.com/profile_images/973957381/libertarian_minilogo_normal.jpg" xr:uid="{21EAB76B-1F1A-4AAB-BF8E-056B2708F1F4}"/>
    <hyperlink ref="B2053" r:id="rId6343" display="https://twitter.com/MCV1811" xr:uid="{25453BBE-5BFB-449B-8625-1762F6C665E6}"/>
    <hyperlink ref="E2053" r:id="rId6344" display="https://twitter.com/MCV1811/status/723240191603945472" xr:uid="{E68398FB-6EDB-4A20-A624-C90D7161580D}"/>
    <hyperlink ref="O2053" r:id="rId6345" display="https://pbs.twimg.com/profile_images/678678754089152514/6LG7MDGC_normal.jpg" xr:uid="{25675A06-6CCB-4943-B35A-C90F959B4F62}"/>
    <hyperlink ref="B2054" r:id="rId6346" display="https://twitter.com/Spottirektor" xr:uid="{C632C2CD-5C58-4535-BD5E-7C4A617B5327}"/>
    <hyperlink ref="E2054" r:id="rId6347" display="https://twitter.com/Spottirektor/status/723240306028732416" xr:uid="{F293325D-66F0-4944-85BC-59F789137570}"/>
    <hyperlink ref="O2054" r:id="rId6348" display="https://pbs.twimg.com/profile_images/721448687625445376/NQOVGjOJ_normal.jpg" xr:uid="{8EBC1746-3653-4932-950E-761A505E0FAB}"/>
    <hyperlink ref="B2055" r:id="rId6349" display="https://twitter.com/HermanCookVW" xr:uid="{1DAB6B1D-147D-451E-BD8B-D6024C1EEFD3}"/>
    <hyperlink ref="E2055" r:id="rId6350" display="https://twitter.com/HermanCookVW/status/723240357522223104" xr:uid="{A4A84CD7-9AAE-4E15-9C02-F68CE2C663D0}"/>
    <hyperlink ref="O2055" r:id="rId6351" display="https://pbs.twimg.com/profile_images/720585614/HC-LOGO._normal.jpg" xr:uid="{8A0050A6-A05F-4F74-8E54-865F7428446C}"/>
    <hyperlink ref="B2056" r:id="rId6352" display="https://twitter.com/__FMR__" xr:uid="{8B39A7F9-447E-4209-B1FF-EC2B0C7B3128}"/>
    <hyperlink ref="E2056" r:id="rId6353" display="https://twitter.com/__FMR__/status/723240372143554560" xr:uid="{52DD2D63-3FB1-40D1-BD00-2D390467E837}"/>
    <hyperlink ref="O2056" r:id="rId6354" display="https://pbs.twimg.com/profile_images/973957381/libertarian_minilogo_normal.jpg" xr:uid="{A10FA936-FA41-48C5-B10C-A64026E4873B}"/>
    <hyperlink ref="B2057" r:id="rId6355" display="https://twitter.com/kenminesinger" xr:uid="{12CC0347-38E2-4368-B130-FB8463BE4F5B}"/>
    <hyperlink ref="E2057" r:id="rId6356" display="https://twitter.com/kenminesinger/status/723240449188601856" xr:uid="{ACE11C61-1138-4C4C-9733-52F2AFD6C6F9}"/>
    <hyperlink ref="O2057" r:id="rId6357" display="https://pbs.twimg.com/profile_images/653964889468243968/EqURjf02_normal.png" xr:uid="{14B2358F-E04C-486A-990A-C6E2954FECA0}"/>
    <hyperlink ref="B2058" r:id="rId6358" display="https://twitter.com/CStichternath" xr:uid="{D235B95D-B6DA-4044-8545-789639DAB760}"/>
    <hyperlink ref="E2058" r:id="rId6359" display="https://twitter.com/CStichternath/status/723240543065636865" xr:uid="{8FC8E7CA-1B1A-4AC2-AF36-339FD89AA542}"/>
    <hyperlink ref="O2058" r:id="rId6360" display="https://pbs.twimg.com/profile_images/476661008811847680/VZBVGPU4_normal.jpeg" xr:uid="{5D92CFBE-1ED4-4FA7-9748-561388D999B7}"/>
    <hyperlink ref="B2059" r:id="rId6361" display="https://twitter.com/copeyphoto" xr:uid="{315BA789-BB9E-40BC-A442-D5E7524D55FC}"/>
    <hyperlink ref="E2059" r:id="rId6362" display="https://twitter.com/copeyphoto/status/723240660556345344" xr:uid="{326F5AD0-FD43-422F-B0CB-C3638526F503}"/>
    <hyperlink ref="O2059" r:id="rId6363" display="https://pbs.twimg.com/profile_images/471360227137163264/w2Gvricp_normal.png" xr:uid="{3626B9FC-B266-4CCC-85A1-0304E7ACEEBA}"/>
    <hyperlink ref="B2060" r:id="rId6364" display="https://twitter.com/SebastianAxel22" xr:uid="{7A0BBAC9-65B3-4090-A6ED-175FB9511B96}"/>
    <hyperlink ref="E2060" r:id="rId6365" display="https://twitter.com/SebastianAxel22/status/723240926823456768" xr:uid="{C0695642-716B-49E7-AB96-A0A0093682D1}"/>
    <hyperlink ref="O2060" r:id="rId6366" display="https://pbs.twimg.com/profile_images/722546011785314304/6t5bGvMX_normal.jpg" xr:uid="{F8172BFC-9310-46BA-99F2-D1793D746672}"/>
    <hyperlink ref="B2061" r:id="rId6367" display="https://twitter.com/Covhour" xr:uid="{2E5FBF0B-9222-4B50-B34C-6EF23A68C8DF}"/>
    <hyperlink ref="E2061" r:id="rId6368" display="https://twitter.com/Covhour/status/723241208429064192" xr:uid="{48D28F32-298D-45DE-A8FA-92C952F17735}"/>
    <hyperlink ref="O2061" r:id="rId6369" display="https://pbs.twimg.com/profile_images/675630394323116032/It1YLK41_normal.jpg" xr:uid="{BA1DDABF-B38F-4872-AB33-933B2820ED2E}"/>
    <hyperlink ref="B2062" r:id="rId6370" display="https://twitter.com/wingolfahrens" xr:uid="{019FF497-B1EA-48BB-A642-FBBCD1665B6D}"/>
    <hyperlink ref="E2062" r:id="rId6371" display="https://twitter.com/wingolfahrens/status/723241390583480321" xr:uid="{6BAB6398-4BD5-418A-992C-05D566A122B5}"/>
    <hyperlink ref="O2062" r:id="rId6372" display="https://pbs.twimg.com/profile_images/567885073085497345/rjPuxr0h_normal.jpeg" xr:uid="{51B8C5C7-1416-4113-B8EC-F1D1AEBB1839}"/>
    <hyperlink ref="B2063" r:id="rId6373" display="https://twitter.com/VWBeetleSales" xr:uid="{1BC79337-EA61-4C19-BE13-E7BE0CA84807}"/>
    <hyperlink ref="E2063" r:id="rId6374" display="https://twitter.com/VWBeetleSales/status/723241424079048705" xr:uid="{63B845D1-5F9B-4030-8ADE-5DD516AC3E1B}"/>
    <hyperlink ref="F2063" r:id="rId6375" xr:uid="{31246F83-6B82-4B8C-89E5-16BD6FB93044}"/>
    <hyperlink ref="O2063" r:id="rId6376" display="https://pbs.twimg.com/profile_images/703294545195307008/qeCvrX86_normal.jpg" xr:uid="{0C6F3DB0-448F-40F2-87F4-C3339F6A69E4}"/>
    <hyperlink ref="B2064" r:id="rId6377" display="https://twitter.com/Jbattey716" xr:uid="{2B66A057-7F21-40F4-BA96-2A425346D67C}"/>
    <hyperlink ref="E2064" r:id="rId6378" display="https://twitter.com/Jbattey716/status/723241426163654656" xr:uid="{3CAB97D8-BA29-4C34-B124-CFA120E05569}"/>
    <hyperlink ref="O2064" r:id="rId6379" display="https://pbs.twimg.com/profile_images/708300383148441600/aQ4jwyAW_normal.jpg" xr:uid="{EB0EF269-8800-482F-8027-6280C0EFA89E}"/>
    <hyperlink ref="B2065" r:id="rId6380" display="https://twitter.com/VWBeetleSales" xr:uid="{1403A0A9-F72F-4BA4-AD89-18543E9F9A86}"/>
    <hyperlink ref="E2065" r:id="rId6381" display="https://twitter.com/VWBeetleSales/status/723241433210068992" xr:uid="{E487362B-F438-4E7E-B1A2-BA00F60182EF}"/>
    <hyperlink ref="F2065" r:id="rId6382" xr:uid="{7D5006A6-3D23-4F98-97BF-F5893488470E}"/>
    <hyperlink ref="O2065" r:id="rId6383" display="https://pbs.twimg.com/profile_images/703294545195307008/qeCvrX86_normal.jpg" xr:uid="{BEA60ED6-906B-4CBD-BE3D-9B18AD8ABBD4}"/>
    <hyperlink ref="B2066" r:id="rId6384" display="https://twitter.com/RETROPOT" xr:uid="{E2B0B607-CDE3-43B3-AE52-9AC98F149292}"/>
    <hyperlink ref="E2066" r:id="rId6385" display="https://twitter.com/RETROPOT/status/723241537921015809" xr:uid="{55437093-3322-4F9E-AF9E-CAAC9C80110F}"/>
    <hyperlink ref="O2066" r:id="rId6386" display="https://pbs.twimg.com/profile_images/664095102885879808/9XJjykPM_normal.png" xr:uid="{2F1727E5-B8C1-45D4-AF7E-FD8472ED4195}"/>
    <hyperlink ref="B2067" r:id="rId6387" display="https://twitter.com/XJR100" xr:uid="{BCA99582-1F1D-4546-A251-2185B1E7459D}"/>
    <hyperlink ref="E2067" r:id="rId6388" display="https://twitter.com/XJR100/status/723241593797386240" xr:uid="{A011D8EF-3F1A-43CB-BCD8-D353B49A52EF}"/>
    <hyperlink ref="O2067" r:id="rId6389" display="https://pbs.twimg.com/profile_images/681029849192988672/gIwaZ0pH_normal.jpg" xr:uid="{EB1D3282-D582-4CA5-AD96-541E37826483}"/>
    <hyperlink ref="B2068" r:id="rId6390" display="https://twitter.com/RugbyHour" xr:uid="{E11023E4-41D2-4840-A01D-D58CDF030713}"/>
    <hyperlink ref="E2068" r:id="rId6391" display="https://twitter.com/RugbyHour/status/723241674080706560" xr:uid="{0F4702F3-7312-4FE4-8EDA-AD71ED10B522}"/>
    <hyperlink ref="O2068" r:id="rId6392" display="https://pbs.twimg.com/profile_images/575692572691070976/MRKUj9hX_normal.png" xr:uid="{505E0771-77A0-4F6A-8202-EF024D1E85EF}"/>
    <hyperlink ref="B2069" r:id="rId6393" display="https://twitter.com/DanaFlavelle" xr:uid="{8646DFC8-6E75-4FAD-B70A-DFB8666C7D6E}"/>
    <hyperlink ref="E2069" r:id="rId6394" display="https://twitter.com/DanaFlavelle/status/723241703067553792" xr:uid="{02B7F437-4257-4DFD-9126-98D3E6AA7F37}"/>
    <hyperlink ref="O2069" r:id="rId6395" display="https://pbs.twimg.com/profile_images/672857547104235520/tNqMYM_h_normal.jpg" xr:uid="{FC5FC6E7-10BD-44AE-B7F4-2F5351298EC4}"/>
    <hyperlink ref="B2070" r:id="rId6396" display="https://twitter.com/PatooBFC" xr:uid="{77465FF5-9A0A-49CF-B866-AF6F0484D79A}"/>
    <hyperlink ref="E2070" r:id="rId6397" display="https://twitter.com/PatooBFC/status/723241842616221696" xr:uid="{748318B2-99DC-45E7-93A4-84D724C30C62}"/>
    <hyperlink ref="O2070" r:id="rId6398" display="https://pbs.twimg.com/profile_images/722421409373384704/I7QGl5WZ_normal.jpg" xr:uid="{22838B02-FFBA-44F2-AEBA-A1B804C59943}"/>
    <hyperlink ref="B2071" r:id="rId6399" display="https://twitter.com/mycomfor" xr:uid="{6C0F3F23-2A8E-49D5-A45A-1E070759187C}"/>
    <hyperlink ref="E2071" r:id="rId6400" display="https://twitter.com/mycomfor/status/723241884374720513" xr:uid="{2D22DA2F-5E78-47D0-AD52-2A4BBB8F52A8}"/>
    <hyperlink ref="O2071" r:id="rId6401" display="https://pbs.twimg.com/profile_images/1254132835/3com_normal.jpg" xr:uid="{D0FEC483-BA4B-4020-A1CD-6EF736596841}"/>
    <hyperlink ref="B2072" r:id="rId6402" display="https://twitter.com/thechronoduo" xr:uid="{2AFD4894-FA1A-484B-B604-A70323C46391}"/>
    <hyperlink ref="E2072" r:id="rId6403" display="https://twitter.com/thechronoduo/status/723242200973336578" xr:uid="{548E4630-37DA-42E5-A500-2B071B06D402}"/>
    <hyperlink ref="O2072" r:id="rId6404" display="https://pbs.twimg.com/profile_images/707295482314358784/nCD4dA4j_normal.jpg" xr:uid="{551DB0BE-758F-4FCF-A86F-6A36FFB65CC7}"/>
    <hyperlink ref="B2073" r:id="rId6405" display="https://twitter.com/Thompson_VW" xr:uid="{4408823F-178E-44F9-86B9-D7447FAF8CEF}"/>
    <hyperlink ref="E2073" r:id="rId6406" display="https://twitter.com/Thompson_VW/status/723242458251927554" xr:uid="{A6655CCC-D585-4E6A-BDF7-4410CD53D6E5}"/>
    <hyperlink ref="O2073" r:id="rId6407" display="https://pbs.twimg.com/profile_images/713406103959248896/_ekHpmrP_normal.jpg" xr:uid="{54D4CE5E-270D-4FB0-ABAE-7371A7CD1969}"/>
    <hyperlink ref="B2074" r:id="rId6408" display="https://twitter.com/ChrisHuxley72" xr:uid="{4ADD616D-9638-478D-9A2C-B51F5D8DBE05}"/>
    <hyperlink ref="E2074" r:id="rId6409" display="https://twitter.com/ChrisHuxley72/status/723242835701579777" xr:uid="{C78146B4-A263-4B57-B999-0D5A5446DF95}"/>
    <hyperlink ref="O2074" r:id="rId6410" display="https://pbs.twimg.com/profile_images/636999179915632640/R31p6Pl2_normal.jpg" xr:uid="{D948093E-AB1B-48D8-855D-77D8AC94AC7E}"/>
    <hyperlink ref="B2075" r:id="rId6411" display="https://twitter.com/Insta_VWT" xr:uid="{BF0D3DC6-0738-44DE-9841-11D186047F1A}"/>
    <hyperlink ref="E2075" r:id="rId6412" display="https://twitter.com/Insta_VWT/status/723242903481516032" xr:uid="{FE8200D2-FAAC-4A34-BB48-6D30D2DE8F87}"/>
    <hyperlink ref="O2075" r:id="rId6413" display="https://pbs.twimg.com/profile_images/424893967197433858/iQ86NktX_normal.jpeg" xr:uid="{7BF126AF-4696-4F91-9564-DC5E9C96BC66}"/>
    <hyperlink ref="B2076" r:id="rId6414" display="https://twitter.com/Troposfera" xr:uid="{183881E1-C5E6-48A8-9292-37E49949533B}"/>
    <hyperlink ref="C2076" r:id="rId6415" xr:uid="{54BEB718-69BD-479C-91C4-CA07826B5F68}"/>
    <hyperlink ref="E2076" r:id="rId6416" display="https://twitter.com/Troposfera/status/723242914743242752" xr:uid="{AB2F3311-A4F5-47C8-9C68-3D328C174FA0}"/>
    <hyperlink ref="O2076" r:id="rId6417" display="https://pbs.twimg.com/profile_images/1827590777/troposfera_normal.jpg" xr:uid="{534C9809-D77B-49E4-BF07-87CA79234041}"/>
    <hyperlink ref="B2077" r:id="rId6418" display="https://twitter.com/Insta_VWT" xr:uid="{8F8E07DD-35A9-4D62-8E8D-E043D03B02A6}"/>
    <hyperlink ref="E2077" r:id="rId6419" display="https://twitter.com/Insta_VWT/status/723242922813079554" xr:uid="{AAEB1F4A-9CA8-46EB-80EE-F9B6E62169FF}"/>
    <hyperlink ref="O2077" r:id="rId6420" display="https://pbs.twimg.com/profile_images/424893967197433858/iQ86NktX_normal.jpeg" xr:uid="{A7E940B0-8C4B-461E-A11C-A52C29CA80EE}"/>
    <hyperlink ref="B2078" r:id="rId6421" display="https://twitter.com/Insta_VWT" xr:uid="{D2366E57-CABA-4C41-9CC8-3204AAC144E5}"/>
    <hyperlink ref="E2078" r:id="rId6422" display="https://twitter.com/Insta_VWT/status/723242928047591424" xr:uid="{40C451F1-0BC9-4A8E-B753-3C250ED8DBAD}"/>
    <hyperlink ref="O2078" r:id="rId6423" display="https://pbs.twimg.com/profile_images/424893967197433858/iQ86NktX_normal.jpeg" xr:uid="{8E2FB48E-1253-443A-8BE5-EFDF9AEFE2A2}"/>
    <hyperlink ref="B2079" r:id="rId6424" display="https://twitter.com/Insta_VWT" xr:uid="{BFF15114-4DBB-40C2-9602-FC3AAD6540EE}"/>
    <hyperlink ref="E2079" r:id="rId6425" display="https://twitter.com/Insta_VWT/status/723242933672140801" xr:uid="{F8F04531-C64D-4D19-BDE2-42B864905907}"/>
    <hyperlink ref="O2079" r:id="rId6426" display="https://pbs.twimg.com/profile_images/424893967197433858/iQ86NktX_normal.jpeg" xr:uid="{1D659C07-8C24-444B-B4AF-507C7F9F300A}"/>
    <hyperlink ref="B2080" r:id="rId6427" display="https://twitter.com/Insta_VWT" xr:uid="{526CA28F-3A19-4F4B-8F61-E2AD08020105}"/>
    <hyperlink ref="E2080" r:id="rId6428" display="https://twitter.com/Insta_VWT/status/723242940756332544" xr:uid="{F1D1A6D1-1411-4A20-8970-C5743659403A}"/>
    <hyperlink ref="O2080" r:id="rId6429" display="https://pbs.twimg.com/profile_images/424893967197433858/iQ86NktX_normal.jpeg" xr:uid="{E6AE1B18-C902-4211-9DBC-0E2EE47DE6E8}"/>
    <hyperlink ref="B2081" r:id="rId6430" display="https://twitter.com/Insta_VWT" xr:uid="{6D187D1E-9481-4BD4-9E4F-78288BA5F741}"/>
    <hyperlink ref="E2081" r:id="rId6431" display="https://twitter.com/Insta_VWT/status/723242946934521856" xr:uid="{32DBB6D7-4E76-4812-86A9-3F86A75BF9FC}"/>
    <hyperlink ref="O2081" r:id="rId6432" display="https://pbs.twimg.com/profile_images/424893967197433858/iQ86NktX_normal.jpeg" xr:uid="{7A010DDA-9A57-442A-BCE6-6F13F568C3E6}"/>
    <hyperlink ref="B2082" r:id="rId6433" display="https://twitter.com/Insta_VWT" xr:uid="{3B1F59C3-695F-4D09-B11E-B95C4C3A1BDC}"/>
    <hyperlink ref="E2082" r:id="rId6434" display="https://twitter.com/Insta_VWT/status/723242961211908096" xr:uid="{1957B36C-055F-473C-B396-0B68D9D85EBC}"/>
    <hyperlink ref="O2082" r:id="rId6435" display="https://pbs.twimg.com/profile_images/424893967197433858/iQ86NktX_normal.jpeg" xr:uid="{668FF0A4-C549-44C8-816E-E0D604FDA7AF}"/>
    <hyperlink ref="B2083" r:id="rId6436" display="https://twitter.com/Insta_VWT" xr:uid="{7D5DC5BD-4616-4807-9AA3-C6F4BEBBA208}"/>
    <hyperlink ref="E2083" r:id="rId6437" display="https://twitter.com/Insta_VWT/status/723242967650172930" xr:uid="{18F021FF-7658-4664-B66B-3A5ECC25B790}"/>
    <hyperlink ref="O2083" r:id="rId6438" display="https://pbs.twimg.com/profile_images/424893967197433858/iQ86NktX_normal.jpeg" xr:uid="{10C7E151-CBAB-42C5-BBB3-BBEE426D0933}"/>
    <hyperlink ref="B2084" r:id="rId6439" display="https://twitter.com/Insta_VWT" xr:uid="{01C0BB76-79BE-4406-9A62-18CFA6A40E6A}"/>
    <hyperlink ref="E2084" r:id="rId6440" display="https://twitter.com/Insta_VWT/status/723242986654601216" xr:uid="{88224361-3EED-4363-9568-65C4F81A761F}"/>
    <hyperlink ref="O2084" r:id="rId6441" display="https://pbs.twimg.com/profile_images/424893967197433858/iQ86NktX_normal.jpeg" xr:uid="{677D14E8-CAA5-45FD-A58B-E2BF095CACBC}"/>
    <hyperlink ref="B2085" r:id="rId6442" display="https://twitter.com/Photography_1st" xr:uid="{25264C6D-EFCA-43D2-A160-8D8E1A9DFED9}"/>
    <hyperlink ref="E2085" r:id="rId6443" display="https://twitter.com/Photography_1st/status/723243070679072768" xr:uid="{B23BCBFA-02B6-4AF4-A696-C6FF8E38A093}"/>
    <hyperlink ref="O2085" r:id="rId6444" display="https://pbs.twimg.com/profile_images/378800000294500452/68c340ccd928a30461006e91a4389bd7_normal.jpeg" xr:uid="{5B0F45B3-B351-4DA5-866A-0FE4D1FC09CD}"/>
    <hyperlink ref="B2086" r:id="rId6445" display="https://twitter.com/VWBeetleSales" xr:uid="{B4325419-D3B3-432E-BD2E-6F1B0FB4E009}"/>
    <hyperlink ref="E2086" r:id="rId6446" display="https://twitter.com/VWBeetleSales/status/723243184822702080" xr:uid="{F8B03CC9-56F2-4F5F-B454-E2056ACC29BF}"/>
    <hyperlink ref="F2086" r:id="rId6447" xr:uid="{47E2A8A6-248C-4179-B665-3C9A106B07E1}"/>
    <hyperlink ref="O2086" r:id="rId6448" display="https://pbs.twimg.com/profile_images/703294545195307008/qeCvrX86_normal.jpg" xr:uid="{4EFCC5A4-3117-476A-9C3B-7EC778239470}"/>
    <hyperlink ref="B2087" r:id="rId6449" display="https://twitter.com/VeeDubMk1_" xr:uid="{145DDB6C-0E5C-4C8D-B56E-6274483FAA25}"/>
    <hyperlink ref="E2087" r:id="rId6450" display="https://twitter.com/VeeDubMk1_/status/723243227772510208" xr:uid="{D4307ABD-0ADD-42FE-8E0D-C3151FCCEDF9}"/>
    <hyperlink ref="O2087" r:id="rId6451" display="https://pbs.twimg.com/profile_images/672878354127839232/M7OYc-zx_normal.jpg" xr:uid="{912C0659-ACEB-4EC5-AF6B-545E01A0E142}"/>
    <hyperlink ref="B2088" r:id="rId6452" display="https://twitter.com/eber_staltari" xr:uid="{C2B0E859-D3A8-40A1-9942-6BDD6CD664B3}"/>
    <hyperlink ref="E2088" r:id="rId6453" display="https://twitter.com/eber_staltari/status/723243510225375232" xr:uid="{AFADF869-BB57-462C-9B85-F723BC255FC5}"/>
    <hyperlink ref="O2088" r:id="rId6454" display="https://pbs.twimg.com/profile_images/718193415020683264/VgFx9S8W_normal.jpg" xr:uid="{F3F46B4E-5145-44E9-9089-9B1B4D95FB22}"/>
    <hyperlink ref="B2089" r:id="rId6455" display="https://twitter.com/aquaero" xr:uid="{53E1B758-C5B2-4733-BFB5-19BD5FA641EC}"/>
    <hyperlink ref="E2089" r:id="rId6456" display="https://twitter.com/aquaero/status/723243684297359361" xr:uid="{07B39D04-3BCD-4E4D-8C7D-7AD4B7495A1F}"/>
    <hyperlink ref="O2089" r:id="rId6457" display="https://pbs.twimg.com/profile_images/1194211154/6aeda2fd57088c3c85aa1d4f7042025a_normal.jpg" xr:uid="{105A7AFE-95E3-44D5-8E0C-33D00880FC9E}"/>
    <hyperlink ref="B2090" r:id="rId6458" display="https://twitter.com/ABWF21" xr:uid="{5E59A5C1-BE86-42D5-B4A6-FC3B6F30AE36}"/>
    <hyperlink ref="E2090" r:id="rId6459" display="https://twitter.com/ABWF21/status/723243833585221633" xr:uid="{DBDE7ED1-65AD-4F5A-9F28-68E416067111}"/>
    <hyperlink ref="O2090" r:id="rId6460" display="https://pbs.twimg.com/profile_images/606416861903908865/02JG96uH_normal.jpg" xr:uid="{29F15A1D-C8DF-45A8-8F11-654E27035B0B}"/>
    <hyperlink ref="B2091" r:id="rId6461" display="https://twitter.com/thomaslyoung" xr:uid="{47D1A505-DDB0-4B24-A7ED-B553F849AE9A}"/>
    <hyperlink ref="E2091" r:id="rId6462" display="https://twitter.com/thomaslyoung/status/723244163282644992" xr:uid="{983F463F-6D40-43D4-9528-1A351E591C8B}"/>
    <hyperlink ref="O2091" r:id="rId6463" display="https://pbs.twimg.com/profile_images/378800000124732686/07af48b9969d743cf2642901c5f8cccc_normal.jpeg" xr:uid="{054FDC79-7B97-4408-8E70-31903B3E103C}"/>
    <hyperlink ref="B2092" r:id="rId6464" display="https://twitter.com/Lazyfist" xr:uid="{D5E8B5DF-E728-4B3D-928E-4BC916C6CBCD}"/>
    <hyperlink ref="E2092" r:id="rId6465" display="https://twitter.com/Lazyfist/status/723244168693321730" xr:uid="{CBC03EFD-86AF-4BE5-A54A-1FCD964CC8F9}"/>
    <hyperlink ref="O2092" r:id="rId6466" display="https://pbs.twimg.com/profile_images/713020344018341889/yHA3iGi9_normal.jpg" xr:uid="{0A52F48E-E77B-4144-A481-2745DD98518B}"/>
    <hyperlink ref="B2093" r:id="rId6467" display="https://twitter.com/TunedByKings" xr:uid="{4A66513A-66B5-450B-A2E0-80494093DDAF}"/>
    <hyperlink ref="E2093" r:id="rId6468" display="https://twitter.com/TunedByKings/status/723244293088010240" xr:uid="{4CF4B028-174F-412A-8863-1E3CB0C7F1C2}"/>
    <hyperlink ref="O2093" r:id="rId6469" display="https://pbs.twimg.com/profile_images/642433746700926976/3Xm8O3Ee_normal.jpg" xr:uid="{CA2E8BDF-863A-4AFB-9583-92B5752B9CB3}"/>
    <hyperlink ref="B2094" r:id="rId6470" display="https://twitter.com/dw_hindi" xr:uid="{111B042C-54D7-4A28-868D-BA20B430E17C}"/>
    <hyperlink ref="E2094" r:id="rId6471" display="https://twitter.com/dw_hindi/status/723244302227410948" xr:uid="{896AC93D-DB58-4857-B961-AA89B30F97B1}"/>
    <hyperlink ref="O2094" r:id="rId6472" display="https://pbs.twimg.com/profile_images/461419941376184320/wGX2pgEE_normal.png" xr:uid="{81163917-F2C8-4FD9-B045-1609F1FB3295}"/>
    <hyperlink ref="B2095" r:id="rId6473" display="https://twitter.com/EnthusiastView" xr:uid="{F2E7AD9A-F637-4528-B550-E0AA2CA95C8B}"/>
    <hyperlink ref="E2095" r:id="rId6474" display="https://twitter.com/EnthusiastView/status/723244305540771840" xr:uid="{615C7D89-342A-4658-B584-9CBA9BD6D76A}"/>
    <hyperlink ref="O2095" r:id="rId6475" display="https://pbs.twimg.com/profile_images/717113433267638272/6igZPcX4_normal.jpg" xr:uid="{AFE59120-D7B3-4C4F-BCD0-B2ACB9BD5937}"/>
    <hyperlink ref="B2096" r:id="rId6476" display="https://twitter.com/breakingb_rad" xr:uid="{461D5667-69D6-4376-8C63-303B5265194C}"/>
    <hyperlink ref="E2096" r:id="rId6477" display="https://twitter.com/breakingb_rad/status/723244314910818306" xr:uid="{ADE6A109-DC3D-4790-B33C-71C1D014EC8F}"/>
    <hyperlink ref="O2096" r:id="rId6478" display="https://pbs.twimg.com/profile_images/493249209563238401/XpQeRM_4_normal.jpeg" xr:uid="{DEFEAF56-CA4C-417D-8A27-D30EBAB7CCE5}"/>
    <hyperlink ref="B2097" r:id="rId6479" display="https://twitter.com/faznet" xr:uid="{45DDBC4A-6A22-473F-ADD7-479E8D9478EF}"/>
    <hyperlink ref="C2097" r:id="rId6480" xr:uid="{026AFA95-F1C4-434B-BBE2-44083570261D}"/>
    <hyperlink ref="E2097" r:id="rId6481" display="https://twitter.com/faznet/status/723244446356111360" xr:uid="{E1787A64-B2E4-4676-BC9A-7E9B16820968}"/>
    <hyperlink ref="O2097" r:id="rId6482" display="https://pbs.twimg.com/profile_images/477438671151304705/8XlAQ509_normal.jpeg" xr:uid="{5DD8DDF2-FAD4-40B7-AE84-52FDAF087A77}"/>
    <hyperlink ref="B2098" r:id="rId6483" display="https://twitter.com/lena_sw_" xr:uid="{E900D5F3-0EE6-446F-AA06-9F77F38A66F5}"/>
    <hyperlink ref="E2098" r:id="rId6484" display="https://twitter.com/lena_sw_/status/723244479130546176" xr:uid="{A06104A6-70D2-4AC9-A0C7-A5E2C1EE5DE6}"/>
    <hyperlink ref="O2098" r:id="rId6485" display="https://pbs.twimg.com/profile_images/721815320437067776/Vik2e42H_normal.jpg" xr:uid="{5D53BB30-C67D-48FA-8246-27B0450D4739}"/>
    <hyperlink ref="B2099" r:id="rId6486" display="https://twitter.com/heutejournal" xr:uid="{F095B2D2-4337-4DCF-8059-B730856B209C}"/>
    <hyperlink ref="E2099" r:id="rId6487" display="https://twitter.com/heutejournal/status/723244527029485569" xr:uid="{4B5D2CB7-E0B5-4C32-AF4F-9E7B4A541A8D}"/>
    <hyperlink ref="O2099" r:id="rId6488" display="https://pbs.twimg.com/profile_images/477091436634988544/4TdZMAIm_normal.png" xr:uid="{7C83EE0F-339B-47CE-9F1B-DD727C150F08}"/>
    <hyperlink ref="B2100" r:id="rId6489" display="https://twitter.com/AutoVerdict" xr:uid="{72C2078C-1774-4624-805F-5ED92E8992EA}"/>
    <hyperlink ref="E2100" r:id="rId6490" display="https://twitter.com/AutoVerdict/status/723244565889703940" xr:uid="{49AD09CE-B987-44E2-8A93-0A103A216819}"/>
    <hyperlink ref="O2100" r:id="rId6491" display="https://pbs.twimg.com/profile_images/599226705513820160/hFySz3DC_normal.jpg" xr:uid="{074ECBA4-1D9F-4AE7-BE50-A2F45197A1D9}"/>
    <hyperlink ref="B2101" r:id="rId6492" display="https://twitter.com/CoventryUpdate" xr:uid="{7F589104-4A80-4B25-9CDE-31B0EE364336}"/>
    <hyperlink ref="E2101" r:id="rId6493" display="https://twitter.com/CoventryUpdate/status/723244611737665540" xr:uid="{F1A88C2A-CEBE-4E9E-9DD8-29AD41E9FBEA}"/>
    <hyperlink ref="O2101" r:id="rId6494" display="https://pbs.twimg.com/profile_images/3269741134/c59bae1ff49ffc8fd25160573c4e98a6_normal.jpeg" xr:uid="{BFB5A10C-011F-4968-B465-38409E92592A}"/>
    <hyperlink ref="B2102" r:id="rId6495" display="https://twitter.com/BASE_1175" xr:uid="{3D93FFF9-B930-4000-A265-95EA160B1519}"/>
    <hyperlink ref="E2102" r:id="rId6496" display="https://twitter.com/BASE_1175/status/723244733263433728" xr:uid="{0F7DEAE2-11CC-47BA-8D2E-0E7738B2EF66}"/>
    <hyperlink ref="O2102" r:id="rId6497" display="https://pbs.twimg.com/profile_images/3329322186/9e6d2c6f651f6cc272a78a5224602202_normal.jpeg" xr:uid="{DFB9D2B4-9DE5-475C-84C0-85C0158CECDF}"/>
    <hyperlink ref="B2103" r:id="rId6498" display="https://twitter.com/TrouwbusTilburg" xr:uid="{E41280AC-C6E3-4250-BFA3-FA5A5507F9F3}"/>
    <hyperlink ref="E2103" r:id="rId6499" display="https://twitter.com/TrouwbusTilburg/status/723244858589233152" xr:uid="{9CDDE46D-B589-4817-AF08-429AF1560F72}"/>
    <hyperlink ref="O2103" r:id="rId6500" display="https://pbs.twimg.com/profile_images/693046614500478976/ViP7t2rj_normal.jpg" xr:uid="{CB22422A-6C3B-47E0-8C9E-C08426B51C90}"/>
    <hyperlink ref="P2103" r:id="rId6501" location="51.55257487,4.94355775" display="http://ctrlq.org/maps/address/ - 51.55257487,4.94355775" xr:uid="{325300A8-75B2-4FEE-B546-98B9D5A89839}"/>
    <hyperlink ref="B2104" r:id="rId6502" display="https://twitter.com/g_jacobsohn" xr:uid="{FDCA7C46-8E7B-4AD7-B60C-5C561B976C69}"/>
    <hyperlink ref="E2104" r:id="rId6503" display="https://twitter.com/g_jacobsohn/status/723244958581415936" xr:uid="{E22222C3-11D0-4194-BCC9-175915A5D906}"/>
    <hyperlink ref="O2104" r:id="rId6504" display="https://pbs.twimg.com/profile_images/640488333743910912/UrjN5YsY_normal.jpg" xr:uid="{8CB4E04E-D838-4C3B-8A62-788650AE4B63}"/>
    <hyperlink ref="B2105" r:id="rId6505" display="https://twitter.com/Todo_VWT3" xr:uid="{B64414E4-3BB7-4A84-A0FC-07EB874557D8}"/>
    <hyperlink ref="C2105" r:id="rId6506" xr:uid="{C930BA04-A258-4D52-AFC1-2ECC9D9B6ED4}"/>
    <hyperlink ref="E2105" r:id="rId6507" display="https://twitter.com/Todo_VWT3/status/723244998225960960" xr:uid="{B3BFA759-DC42-4513-A93A-56D23B865FA4}"/>
    <hyperlink ref="O2105" r:id="rId6508" display="https://pbs.twimg.com/profile_images/583709260737073152/sOVkJINy_normal.jpg" xr:uid="{D1E41378-4A8D-4E40-B971-31F583E5D3B3}"/>
    <hyperlink ref="B2106" r:id="rId6509" display="https://twitter.com/Todo_VWT3" xr:uid="{82DA2CDE-111F-4AA6-A714-982985BF407F}"/>
    <hyperlink ref="C2106" r:id="rId6510" xr:uid="{32B2B626-C34B-43B3-8546-AB8E33947364}"/>
    <hyperlink ref="E2106" r:id="rId6511" display="https://twitter.com/Todo_VWT3/status/723245024423624705" xr:uid="{B34317D5-ACC3-4511-9A5F-527AF7D35442}"/>
    <hyperlink ref="O2106" r:id="rId6512" display="https://pbs.twimg.com/profile_images/583709260737073152/sOVkJINy_normal.jpg" xr:uid="{D3FF7F0A-2E84-4259-B156-69A4281DFE75}"/>
    <hyperlink ref="B2107" r:id="rId6513" display="https://twitter.com/BommaritoVWHzWd" xr:uid="{590EB18F-5A4A-4598-A727-F967E3F87918}"/>
    <hyperlink ref="E2107" r:id="rId6514" display="https://twitter.com/BommaritoVWHzWd/status/723245058393145344" xr:uid="{B3596BA6-FFE5-44F0-8F37-E763335C5287}"/>
    <hyperlink ref="O2107" r:id="rId6515" display="https://pbs.twimg.com/profile_images/461597065873592320/DClwgNc5_normal.jpeg" xr:uid="{473C1053-F9CD-43D0-86E8-5B90B6585220}"/>
    <hyperlink ref="B2108" r:id="rId6516" display="https://twitter.com/Mphilpot1" xr:uid="{7B541F0F-F3D8-4D78-B735-DF989DFCF9C0}"/>
    <hyperlink ref="E2108" r:id="rId6517" display="https://twitter.com/Mphilpot1/status/723245200970108928" xr:uid="{089622C4-DA0B-41BA-BDE5-9AD20873B525}"/>
    <hyperlink ref="O2108" r:id="rId6518" display="https://pbs.twimg.com/profile_images/422164778639839234/LVnS1q1c_normal.jpeg" xr:uid="{4F376359-2012-4A53-B5FD-04795D693EB4}"/>
    <hyperlink ref="B2109" r:id="rId6519" display="https://twitter.com/Mphilpot1" xr:uid="{FDB342B8-E319-49CE-8733-CCA3E3D803CF}"/>
    <hyperlink ref="E2109" r:id="rId6520" display="https://twitter.com/Mphilpot1/status/723245202014531586" xr:uid="{58C72409-4741-4EC0-974B-9E5B782BE4DC}"/>
    <hyperlink ref="O2109" r:id="rId6521" display="https://pbs.twimg.com/profile_images/422164778639839234/LVnS1q1c_normal.jpeg" xr:uid="{1BB6911C-A87C-49C0-9429-46B1197502EA}"/>
    <hyperlink ref="B2110" r:id="rId6522" display="https://twitter.com/KNordlichtW" xr:uid="{B3FF4E37-4982-4745-8375-E09A12303D0E}"/>
    <hyperlink ref="E2110" r:id="rId6523" display="https://twitter.com/KNordlichtW/status/723245224944914432" xr:uid="{E0486A4C-AFD5-4657-95C5-5542373F7956}"/>
    <hyperlink ref="O2110" r:id="rId6524" display="https://pbs.twimg.com/profile_images/712334466585333760/rN4Fnyef_normal.jpg" xr:uid="{F4C9536B-AAF6-4B28-ADC8-B9C15188A1F8}"/>
    <hyperlink ref="B2111" r:id="rId6525" display="https://twitter.com/talk910" xr:uid="{872A54A1-D8D0-4D39-BFC1-93D749E1709C}"/>
    <hyperlink ref="E2111" r:id="rId6526" display="https://twitter.com/talk910/status/723245231211053056" xr:uid="{C3573774-D538-4A31-B16E-8A67AC43FCC5}"/>
    <hyperlink ref="O2111" r:id="rId6527" display="https://pbs.twimg.com/profile_images/3461286994/b5d08f32f3fe123de6674ab786ab8e50_normal.png" xr:uid="{2D9FFA2C-1601-4CF5-9B51-F01A70D79DFF}"/>
    <hyperlink ref="B2112" r:id="rId6528" display="https://twitter.com/fckleft" xr:uid="{BEB9A051-DBAD-4842-8F01-645D21EEEE05}"/>
    <hyperlink ref="E2112" r:id="rId6529" display="https://twitter.com/fckleft/status/723245299171516416" xr:uid="{96E59980-F027-40AC-BA8E-C3CE9C7518D3}"/>
    <hyperlink ref="O2112" r:id="rId6530" display="https://pbs.twimg.com/profile_images/576875200983252992/ewV98mZN_normal.jpeg" xr:uid="{BD89A6F9-C6E1-4AFA-A8FC-58C074A7D2F2}"/>
    <hyperlink ref="B2113" r:id="rId6531" display="https://twitter.com/IamSabrina2" xr:uid="{CA822357-4BC7-4E9E-AD7A-A64ABB36E4D3}"/>
    <hyperlink ref="E2113" r:id="rId6532" display="https://twitter.com/IamSabrina2/status/723245355186425856" xr:uid="{5552E5C9-C126-4343-B9D1-060EC6F08FBD}"/>
    <hyperlink ref="O2113" r:id="rId6533" display="https://pbs.twimg.com/profile_images/719907114962063360/nChfYl1D_normal.jpg" xr:uid="{D3EB65D9-6F76-482F-93C6-317D099929F9}"/>
    <hyperlink ref="B2114" r:id="rId6534" display="https://twitter.com/KNordlichtW" xr:uid="{14FEC063-F652-4C9F-8296-AF7A0B8B8174}"/>
    <hyperlink ref="E2114" r:id="rId6535" display="https://twitter.com/KNordlichtW/status/723245359724670976" xr:uid="{9D34CACD-E9A0-40BB-86B7-91064A26683D}"/>
    <hyperlink ref="O2114" r:id="rId6536" display="https://pbs.twimg.com/profile_images/712334466585333760/rN4Fnyef_normal.jpg" xr:uid="{1287C345-0FCF-490A-A86F-3B1068A043B2}"/>
    <hyperlink ref="B2115" r:id="rId6537" display="https://twitter.com/PowersOlga" xr:uid="{F12C1AF3-CFD8-48CB-8E56-63502B237F9B}"/>
    <hyperlink ref="E2115" r:id="rId6538" display="https://twitter.com/PowersOlga/status/723245366120837120" xr:uid="{E7F35446-DEAF-415D-99D5-68530E44AEF2}"/>
    <hyperlink ref="O2115" r:id="rId6539" display="https://pbs.twimg.com/profile_images/712389505358045185/XrTyxa27_normal.jpg" xr:uid="{2A6CDB14-3AE3-4383-8079-50A36A171D1C}"/>
    <hyperlink ref="B2116" r:id="rId6540" display="https://twitter.com/OnlineCarReview" xr:uid="{1CD62CA9-9E59-42EC-8816-064FB80EF520}"/>
    <hyperlink ref="E2116" r:id="rId6541" display="https://twitter.com/OnlineCarReview/status/723245432818671616" xr:uid="{90D9D9AD-AE22-4C37-B0D1-EA9D5E72054D}"/>
    <hyperlink ref="O2116" r:id="rId6542" display="https://pbs.twimg.com/profile_images/652871584131092480/QA_B6SBO_normal.jpg" xr:uid="{231638E0-D41A-4F7E-AFC5-438225029AF3}"/>
    <hyperlink ref="B2117" r:id="rId6543" display="https://twitter.com/OnlineCarReview" xr:uid="{CA5EA0B6-26C2-4188-8A59-FD90406DEBE3}"/>
    <hyperlink ref="E2117" r:id="rId6544" display="https://twitter.com/OnlineCarReview/status/723245433925980160" xr:uid="{06219961-A600-48E8-BA4F-88779E68E5DD}"/>
    <hyperlink ref="O2117" r:id="rId6545" display="https://pbs.twimg.com/profile_images/652871584131092480/QA_B6SBO_normal.jpg" xr:uid="{AFBCC5F6-0B4C-4FE9-A157-3707E305C165}"/>
    <hyperlink ref="B2118" r:id="rId6546" display="https://twitter.com/VolkswagenPost" xr:uid="{4CB38B24-5C65-4845-B710-FD5234A31915}"/>
    <hyperlink ref="E2118" r:id="rId6547" display="https://twitter.com/VolkswagenPost/status/723245486958764034" xr:uid="{EEB05AF8-3734-420A-A1F7-62D779014EA2}"/>
    <hyperlink ref="O2118" r:id="rId6548" display="https://pbs.twimg.com/profile_images/530071272881803264/a_jcCmPZ_normal.png" xr:uid="{43D629C4-E4BD-4CC1-886A-F99888023EA3}"/>
    <hyperlink ref="B2119" r:id="rId6549" display="https://twitter.com/carsdotcom" xr:uid="{6D4168A4-1BCA-4D03-972C-445457DCC498}"/>
    <hyperlink ref="C2119" r:id="rId6550" xr:uid="{0668D2E6-33B2-4B5D-AE77-E1CF6ED2DEF4}"/>
    <hyperlink ref="E2119" r:id="rId6551" display="https://twitter.com/carsdotcom/status/723245631981142016" xr:uid="{428C8E57-01DB-496E-B067-BA92EDFD3F64}"/>
    <hyperlink ref="O2119" r:id="rId6552" display="https://pbs.twimg.com/profile_images/463796487604805632/lj-6WNq0_normal.png" xr:uid="{8CB08174-EAF1-4B6C-8E34-666EAB42D5E3}"/>
    <hyperlink ref="B2120" r:id="rId6553" display="https://twitter.com/auto_hobby" xr:uid="{711B4474-2955-4EB8-86AA-77EC511688E7}"/>
    <hyperlink ref="C2120" r:id="rId6554" xr:uid="{57F0E0E8-731A-4580-8530-EE666AA88204}"/>
    <hyperlink ref="E2120" r:id="rId6555" display="https://twitter.com/auto_hobby/status/723245642198429696" xr:uid="{7221D1E8-AC71-4D7B-96F6-A38063163FA3}"/>
    <hyperlink ref="O2120" r:id="rId6556" display="https://pbs.twimg.com/profile_images/783174143/sigla_twitter_normal.JPG" xr:uid="{CDB00A4F-43F6-4ED8-AF82-43CA93963D8D}"/>
    <hyperlink ref="B2121" r:id="rId6557" display="https://twitter.com/FraGepWelz" xr:uid="{40C0FFF7-808F-4123-AB09-D69B1E923AD0}"/>
    <hyperlink ref="E2121" r:id="rId6558" display="https://twitter.com/FraGepWelz/status/723245928103161858" xr:uid="{ECD8E267-DC01-4850-9B41-65FEE4210258}"/>
    <hyperlink ref="O2121" r:id="rId6559" display="https://pbs.twimg.com/profile_images/710880311568179200/IIIxDFOj_normal.jpg" xr:uid="{2208319B-F400-4176-A91D-D9F68BFBE147}"/>
    <hyperlink ref="B2122" r:id="rId6560" display="https://twitter.com/KNordlichtW" xr:uid="{23278BE8-A9E5-4B6B-8FE0-96605883B03B}"/>
    <hyperlink ref="E2122" r:id="rId6561" display="https://twitter.com/KNordlichtW/status/723246001683849217" xr:uid="{A9A20577-B64A-4AE7-99B1-F31BB2A7784B}"/>
    <hyperlink ref="O2122" r:id="rId6562" display="https://pbs.twimg.com/profile_images/712334466585333760/rN4Fnyef_normal.jpg" xr:uid="{4E7318A6-7482-440A-99D9-4C509646B2FB}"/>
    <hyperlink ref="B2123" r:id="rId6563" display="https://twitter.com/LuckyRogersXPRS" xr:uid="{B11082AB-B028-4E38-B382-DCB3297B11E6}"/>
    <hyperlink ref="E2123" r:id="rId6564" display="https://twitter.com/LuckyRogersXPRS/status/723246446128951296" xr:uid="{BBAECBEC-76CD-4DC6-8C01-70614FB2ED12}"/>
    <hyperlink ref="O2123" r:id="rId6565" display="https://pbs.twimg.com/profile_images/428653773167153152/vb0SmO8R_normal.png" xr:uid="{00008C59-AA0A-4010-8860-712DAA63B69E}"/>
    <hyperlink ref="B2124" r:id="rId6566" display="https://twitter.com/pablofcogtz" xr:uid="{C7340369-7B18-48CB-AF5A-441FB5471A55}"/>
    <hyperlink ref="E2124" r:id="rId6567" display="https://twitter.com/pablofcogtz/status/723246583886704641" xr:uid="{016ECED7-62C8-4204-8902-92BE5886B68A}"/>
    <hyperlink ref="O2124" r:id="rId6568" display="https://pbs.twimg.com/profile_images/717861806505533440/RNUw53eg_normal.jpg" xr:uid="{9141B146-B5B4-4F17-B43C-E2F0E591354E}"/>
    <hyperlink ref="B2125" r:id="rId6569" display="https://twitter.com/VWSouthCoast" xr:uid="{8F2EE060-C927-41E5-B056-CA2DF6202DED}"/>
    <hyperlink ref="E2125" r:id="rId6570" display="https://twitter.com/VWSouthCoast/status/723246856164134914" xr:uid="{23E5E6D0-31B9-4710-B38E-D724FB907122}"/>
    <hyperlink ref="O2125" r:id="rId6571" display="https://pbs.twimg.com/profile_images/674737771588685824/QJjqWVJf_normal.jpg" xr:uid="{6370146C-3C0E-4080-B69A-37DC2EF4F8D2}"/>
    <hyperlink ref="B2126" r:id="rId6572" display="https://twitter.com/samantha_gilham" xr:uid="{A599BEDB-8F76-4800-9666-99CCDB140B80}"/>
    <hyperlink ref="E2126" r:id="rId6573" display="https://twitter.com/samantha_gilham/status/723246887990616064" xr:uid="{88C8F216-4094-45EB-8DA4-5795BECAE199}"/>
    <hyperlink ref="O2126" r:id="rId6574" display="https://pbs.twimg.com/profile_images/653644308806008832/owqrn47b_normal.jpg" xr:uid="{14E076D2-BDFA-40C7-A007-EF818AE45F91}"/>
    <hyperlink ref="B2127" r:id="rId6575" display="https://twitter.com/BeginTry" xr:uid="{31A5BFDB-3450-4CB9-B67E-B87883118B2A}"/>
    <hyperlink ref="E2127" r:id="rId6576" display="https://twitter.com/BeginTry/status/723246940763394048" xr:uid="{BFBB3309-925A-4145-B801-C66A9752371D}"/>
    <hyperlink ref="O2127" r:id="rId6577" display="https://pbs.twimg.com/profile_images/663770205378736128/N0Ut9uE0_normal.jpg" xr:uid="{05A67E09-CE91-4225-BB00-455032F4865A}"/>
    <hyperlink ref="B2128" r:id="rId6578" display="https://twitter.com/cesaringg" xr:uid="{BBFAB574-BF5F-4516-B47F-561E15BDBEBC}"/>
    <hyperlink ref="E2128" r:id="rId6579" display="https://twitter.com/cesaringg/status/723247028474679296" xr:uid="{1B3B9AE3-6A47-4F22-92DE-E642D877F4F4}"/>
    <hyperlink ref="O2128" r:id="rId6580" display="https://pbs.twimg.com/profile_images/692306280300548098/eOc1XP0j_normal.jpg" xr:uid="{421A64C1-27B1-47B7-8A78-9A12425BB459}"/>
    <hyperlink ref="B2129" r:id="rId6581" display="https://twitter.com/DJSLYPE" xr:uid="{36247BB7-22EF-45A3-B328-498FCD331310}"/>
    <hyperlink ref="E2129" r:id="rId6582" display="https://twitter.com/DJSLYPE/status/723247040592011264" xr:uid="{F35D7418-5FAA-4D0D-988A-EE74EFCF2126}"/>
    <hyperlink ref="O2129" r:id="rId6583" display="https://pbs.twimg.com/profile_images/718497519106400256/Vh6isLWh_normal.jpg" xr:uid="{B760F7F0-1BC3-4937-ADC1-44F17A325A6B}"/>
    <hyperlink ref="B2130" r:id="rId6584" display="https://twitter.com/SexenioCDMX" xr:uid="{BE04BADB-B5AC-4BD2-876A-EF1ED932ECF9}"/>
    <hyperlink ref="E2130" r:id="rId6585" display="https://twitter.com/SexenioCDMX/status/723247191356116994" xr:uid="{F134A322-B5F8-4A69-8F72-5C538A62E263}"/>
    <hyperlink ref="O2130" r:id="rId6586" display="https://pbs.twimg.com/profile_images/693156293842894848/THX8L389_normal.jpg" xr:uid="{CDC5CA0F-82D4-43EB-8827-E703D948A1C8}"/>
    <hyperlink ref="B2131" r:id="rId6587" display="https://twitter.com/VWCamperSales" xr:uid="{91E67882-6FE1-4E2E-A1DD-5D71B8105110}"/>
    <hyperlink ref="E2131" r:id="rId6588" display="https://twitter.com/VWCamperSales/status/723247205763534848" xr:uid="{B98D21A5-4CCE-4AD0-BA45-32AB295930F1}"/>
    <hyperlink ref="F2131" r:id="rId6589" xr:uid="{A5995D96-47E9-4569-B981-07795FBC2184}"/>
    <hyperlink ref="O2131" r:id="rId6590" display="https://pbs.twimg.com/profile_images/627949001179037696/skEBkS05_normal.jpg" xr:uid="{5CF46F0E-C90A-48CB-888F-6F1A43A76B62}"/>
    <hyperlink ref="B2132" r:id="rId6591" display="https://twitter.com/SexenioMX" xr:uid="{CFCD5D48-A281-45BB-A90C-E2814BC59A7E}"/>
    <hyperlink ref="E2132" r:id="rId6592" display="https://twitter.com/SexenioMX/status/723247215133609988" xr:uid="{2AD884B6-8EB7-4979-BA08-240C3C44ABA4}"/>
    <hyperlink ref="O2132" r:id="rId6593" display="https://pbs.twimg.com/profile_images/700415860230397952/tCGmCj6M_normal.jpg" xr:uid="{71036655-CB70-410E-AF65-C86F4EC3BD96}"/>
    <hyperlink ref="B2133" r:id="rId6594" display="https://twitter.com/GiroGisela" xr:uid="{1CE8D44E-578E-4FB4-BA33-7CA4FA717CDD}"/>
    <hyperlink ref="E2133" r:id="rId6595" display="https://twitter.com/GiroGisela/status/723247491152502784" xr:uid="{0FF99BD4-2B3F-4D5B-94C5-228F62A94831}"/>
    <hyperlink ref="O2133" r:id="rId6596" display="https://pbs.twimg.com/profile_images/624312714110746624/Dvn7cB6A_normal.jpg" xr:uid="{248EFB94-D360-4434-BAFF-0EB83F5D7A35}"/>
    <hyperlink ref="B2134" r:id="rId6597" display="https://twitter.com/ElysseMorgan" xr:uid="{816482CB-193A-4B52-819F-A1DD28204428}"/>
    <hyperlink ref="E2134" r:id="rId6598" display="https://twitter.com/ElysseMorgan/status/723247618701193216" xr:uid="{468CDE50-0FEC-45B3-B7D4-1A6D86760BD5}"/>
    <hyperlink ref="O2134" r:id="rId6599" display="https://pbs.twimg.com/profile_images/695388311288819712/-5hAbwJD_normal.jpg" xr:uid="{A91B5EFA-107D-4EA8-B542-E32F5A917E35}"/>
    <hyperlink ref="B2135" r:id="rId6600" display="https://twitter.com/buran63" xr:uid="{409C9FB4-BDF4-4684-9762-DB2E68349F74}"/>
    <hyperlink ref="E2135" r:id="rId6601" display="https://twitter.com/buran63/status/723247712586571777" xr:uid="{196B8CB8-3E49-49E4-A380-81ADD98E947B}"/>
    <hyperlink ref="O2135" r:id="rId6602" display="https://pbs.twimg.com/profile_images/645328399834181632/rWu1bHrC_normal.jpg" xr:uid="{D0347C28-DBBF-465F-96B9-8C22FA16750C}"/>
    <hyperlink ref="B2136" r:id="rId6603" display="https://twitter.com/dashingclaire" xr:uid="{03944391-FC16-4E39-BA79-7E0D74CEB5EE}"/>
    <hyperlink ref="E2136" r:id="rId6604" display="https://twitter.com/dashingclaire/status/723247720413057024" xr:uid="{1F5914BE-6A12-4E39-A0D6-254C96A5B3B0}"/>
    <hyperlink ref="O2136" r:id="rId6605" display="https://pbs.twimg.com/profile_images/453323895135690752/iFYCtw66_normal.png" xr:uid="{0381ADF9-749F-4475-8D31-7DF6693BDED9}"/>
    <hyperlink ref="B2137" r:id="rId6606" display="https://twitter.com/SazzCharles" xr:uid="{0443D4AF-FE54-4B26-894A-8B3A3A9E1863}"/>
    <hyperlink ref="E2137" r:id="rId6607" display="https://twitter.com/SazzCharles/status/723247726574612480" xr:uid="{8210ECE8-7DAF-474B-8AA9-870DFF383792}"/>
    <hyperlink ref="O2137" r:id="rId6608" display="https://pbs.twimg.com/profile_images/579990425966104576/Kah77WJ4_normal.jpg" xr:uid="{FE3DCF6C-3741-4CAD-8117-545F089ABF58}"/>
    <hyperlink ref="B2138" r:id="rId6609" display="https://twitter.com/SYirmi" xr:uid="{BEDEB558-D435-48F1-94CA-255603BA4B34}"/>
    <hyperlink ref="E2138" r:id="rId6610" display="https://twitter.com/SYirmi/status/723247735831441408" xr:uid="{53E6BD3C-98BE-4AF8-B49D-34A54618F1AE}"/>
    <hyperlink ref="O2138" r:id="rId6611" display="https://pbs.twimg.com/profile_images/509071000122982400/X7VfGKLE_normal.jpeg" xr:uid="{8B03B847-A4F9-4F0D-80A0-076BEDE97CCE}"/>
    <hyperlink ref="B2139" r:id="rId6612" display="https://twitter.com/Julliooos" xr:uid="{AFE2658B-BD79-4AC3-AA00-507A8D536B33}"/>
    <hyperlink ref="E2139" r:id="rId6613" display="https://twitter.com/Julliooos/status/723247907416203264" xr:uid="{3E262C5D-C5E8-484C-A053-B4B3510862FA}"/>
    <hyperlink ref="O2139" r:id="rId6614" display="https://pbs.twimg.com/profile_images/649256068443439104/oCfaia9Q_normal.png" xr:uid="{5776E15D-6090-4E32-8A1E-6801E8A5716A}"/>
    <hyperlink ref="B2140" r:id="rId6615" display="https://twitter.com/christianwilp" xr:uid="{2B4E0E03-6E4A-47C3-8146-336797E2582D}"/>
    <hyperlink ref="E2140" r:id="rId6616" display="https://twitter.com/christianwilp/status/723247924302491648" xr:uid="{33DB97A4-80F2-42A3-8CAF-E1F55F388586}"/>
    <hyperlink ref="O2140" r:id="rId6617" display="https://pbs.twimg.com/profile_images/671465231680462848/nzWxxzZJ_normal.jpg" xr:uid="{1CFD1087-B1FC-4758-B02F-F94706EEEAF4}"/>
    <hyperlink ref="B2141" r:id="rId6618" display="https://twitter.com/VWBeetleSales" xr:uid="{32A1E0A6-F6E4-41DD-8057-1335F3C11C9E}"/>
    <hyperlink ref="E2141" r:id="rId6619" display="https://twitter.com/VWBeetleSales/status/723248215735193601" xr:uid="{E75EECB2-BB7D-4430-B5E4-AEAD8A224ACA}"/>
    <hyperlink ref="F2141" r:id="rId6620" xr:uid="{B3BF9219-EFC1-469F-8CEC-F2F1A5DDBDDF}"/>
    <hyperlink ref="O2141" r:id="rId6621" display="https://pbs.twimg.com/profile_images/703294545195307008/qeCvrX86_normal.jpg" xr:uid="{F8E88EA7-5AE6-4642-9FD5-7B0F925B6493}"/>
    <hyperlink ref="B2142" r:id="rId6622" display="https://twitter.com/VWCamperSales" xr:uid="{EAF78AB3-EFB3-43CC-92BC-FAD888ECAECC}"/>
    <hyperlink ref="E2142" r:id="rId6623" display="https://twitter.com/VWCamperSales/status/723248470534938624" xr:uid="{29D84495-9E98-4964-9D70-11AE56A52AD1}"/>
    <hyperlink ref="F2142" r:id="rId6624" xr:uid="{087311CD-EFEB-4478-BF5A-35256E598D89}"/>
    <hyperlink ref="O2142" r:id="rId6625" display="https://pbs.twimg.com/profile_images/627949001179037696/skEBkS05_normal.jpg" xr:uid="{B0DAD4BB-2D22-4FE8-97C1-C672BC818696}"/>
    <hyperlink ref="B2143" r:id="rId6626" display="https://twitter.com/miojob_net" xr:uid="{4B9D9FA8-AD20-4C04-AD0E-24ED4FDED66E}"/>
    <hyperlink ref="E2143" r:id="rId6627" display="https://twitter.com/miojob_net/status/723248623283130368" xr:uid="{75FBBC4A-87F9-4408-A53B-CD6428C1412E}"/>
    <hyperlink ref="O2143" r:id="rId6628" display="https://pbs.twimg.com/profile_images/541591945689055232/9Gu8cStJ_normal.png" xr:uid="{88ECC98D-65E1-4C2A-A5EE-06DC5DDFF390}"/>
    <hyperlink ref="B2144" r:id="rId6629" display="https://twitter.com/acklaw" xr:uid="{7CE599C4-3706-47C5-ABB8-B644B9406E3F}"/>
    <hyperlink ref="E2144" r:id="rId6630" display="https://twitter.com/acklaw/status/723248826170105856" xr:uid="{2D918DA3-D816-41FB-8790-8DD3ED8E37D7}"/>
    <hyperlink ref="O2144" r:id="rId6631" display="https://pbs.twimg.com/profile_images/668932725567393792/sbSqGxTp_normal.jpg" xr:uid="{3590D83B-86CD-478F-80A1-1ECD2523DF77}"/>
    <hyperlink ref="B2145" r:id="rId6632" display="https://twitter.com/yeahjackdaniels" xr:uid="{B309437E-B16C-48BB-8D48-C97C1F17E977}"/>
    <hyperlink ref="E2145" r:id="rId6633" display="https://twitter.com/yeahjackdaniels/status/723248867249164288" xr:uid="{B9BBA924-91A7-409C-A014-E4C07C9912B0}"/>
    <hyperlink ref="O2145" r:id="rId6634" display="https://pbs.twimg.com/profile_images/542264779063455744/71-O8Lbp_normal.jpeg" xr:uid="{61EAD70E-B78A-4387-ADB8-D71BD03015B5}"/>
    <hyperlink ref="B2146" r:id="rId6635" display="https://twitter.com/FuscaWorld" xr:uid="{EA58ACB5-608A-4165-BB95-428686AF4FC4}"/>
    <hyperlink ref="E2146" r:id="rId6636" display="https://twitter.com/FuscaWorld/status/723249196661366784" xr:uid="{EDD700D8-C6EC-4B8B-960F-10D7896E7635}"/>
    <hyperlink ref="O2146" r:id="rId6637" display="https://pbs.twimg.com/profile_images/705780107844067328/e7O4UBNb_normal.jpg" xr:uid="{0555FAEF-AD71-4F06-8F6C-3BBF885EC199}"/>
    <hyperlink ref="B2147" r:id="rId6638" display="https://twitter.com/christianwilp" xr:uid="{EC7384E5-C1BA-4CD5-9988-CA2217C0EFF7}"/>
    <hyperlink ref="E2147" r:id="rId6639" display="https://twitter.com/christianwilp/status/723249419978739712" xr:uid="{B4F1CDC9-73F9-40F8-BC8F-84BF96CE4AF6}"/>
    <hyperlink ref="O2147" r:id="rId6640" display="https://pbs.twimg.com/profile_images/671465231680462848/nzWxxzZJ_normal.jpg" xr:uid="{8EF8C132-034D-424D-8D49-5D1924E824EB}"/>
    <hyperlink ref="B2148" r:id="rId6641" display="https://twitter.com/Juanmaadiez" xr:uid="{AB0AB74A-383C-435A-A6EA-A3D319378B6D}"/>
    <hyperlink ref="E2148" r:id="rId6642" display="https://twitter.com/Juanmaadiez/status/723249598681235456" xr:uid="{4E11496D-EA01-468D-AA73-D177BF833350}"/>
    <hyperlink ref="O2148" r:id="rId6643" display="https://pbs.twimg.com/profile_images/378800000257362768/793d7277f8c4decfaacd9cd94f18f706_normal.jpeg" xr:uid="{6979C071-21A7-4A6D-B3A8-70E1FB903DFD}"/>
    <hyperlink ref="B2149" r:id="rId6644" display="https://twitter.com/rmltpie" xr:uid="{8F38CAB9-1C8F-420C-8F24-2F36CC8EEB0E}"/>
    <hyperlink ref="E2149" r:id="rId6645" display="https://twitter.com/rmltpie/status/723249616242790401" xr:uid="{F3CDA2F2-5405-4E31-A004-202A3D14741C}"/>
    <hyperlink ref="O2149" r:id="rId6646" display="https://pbs.twimg.com/profile_images/707344213738848256/sAMc8HcG_normal.jpg" xr:uid="{8489551C-BC9D-4335-BFFC-AAAE881B8F0E}"/>
    <hyperlink ref="B2150" r:id="rId6647" display="https://twitter.com/r_kreisel" xr:uid="{B95147DA-D1EC-4DFE-88FE-CEE143D808B5}"/>
    <hyperlink ref="E2150" r:id="rId6648" display="https://twitter.com/r_kreisel/status/723250265000955906" xr:uid="{CFC4F75B-919B-494E-A9D5-4DB4596EB39E}"/>
    <hyperlink ref="O2150" r:id="rId6649" display="https://pbs.twimg.com/profile_images/527052537992470529/T_xUcDO1_normal.jpeg" xr:uid="{0E729553-ACBE-4608-92D4-2143DC4E0C02}"/>
    <hyperlink ref="B2151" r:id="rId6650" display="https://twitter.com/SLimLuLi" xr:uid="{6E9FBE2C-BE75-4EFB-82B9-B2291AB5C2E1}"/>
    <hyperlink ref="E2151" r:id="rId6651" display="https://twitter.com/SLimLuLi/status/723250376540086272" xr:uid="{B5624B51-D0F5-4768-9008-E5BD85C5B0FB}"/>
    <hyperlink ref="O2151" r:id="rId6652" display="https://pbs.twimg.com/profile_images/711312097980915712/ozXZdyPp_normal.jpg" xr:uid="{2051D96A-448B-42B7-89C1-441A27132B47}"/>
    <hyperlink ref="B2152" r:id="rId6653" display="https://twitter.com/KarlHarenbrock" xr:uid="{B57F6400-4450-4CED-B92E-F776CDF3E1DD}"/>
    <hyperlink ref="E2152" r:id="rId6654" display="https://twitter.com/KarlHarenbrock/status/723250427379245056" xr:uid="{355CD97A-D0EB-461B-9A9F-0F49C71D1635}"/>
    <hyperlink ref="O2152" r:id="rId6655" display="https://pbs.twimg.com/profile_images/672388164602982402/VUyn5Uy1_normal.jpg" xr:uid="{14483A29-26F5-4AD8-9171-9A5E4BE1FD9B}"/>
    <hyperlink ref="B2153" r:id="rId6656" display="https://twitter.com/SummersandClark" xr:uid="{0E7F9627-D441-436F-9D6C-20A78132611D}"/>
    <hyperlink ref="E2153" r:id="rId6657" display="https://twitter.com/SummersandClark/status/723250498430767105" xr:uid="{88FBE9FE-749E-4FD3-B17A-B214DC492D31}"/>
    <hyperlink ref="O2153" r:id="rId6658" display="https://pbs.twimg.com/profile_images/3283121959/b5c820a7a4b0a9ae6910b041a8979cb9_normal.jpeg" xr:uid="{682AF445-8DEF-4DFB-8DD8-9443E0EF4334}"/>
    <hyperlink ref="B2154" r:id="rId6659" display="https://twitter.com/PeterConstant" xr:uid="{1322CAE2-3128-496A-89DA-5D2A1158129A}"/>
    <hyperlink ref="E2154" r:id="rId6660" display="https://twitter.com/PeterConstant/status/723250606589267969" xr:uid="{BD507CC4-D491-4405-9F65-C694AD84BC5C}"/>
    <hyperlink ref="O2154" r:id="rId6661" display="https://abs.twimg.com/sticky/default_profile_images/default_profile_5_normal.png" xr:uid="{97F020A9-BB90-40FF-8C29-3A1565809704}"/>
    <hyperlink ref="B2155" r:id="rId6662" display="https://twitter.com/mcj66" xr:uid="{DFE59032-FF73-4A33-B481-E33A58470154}"/>
    <hyperlink ref="E2155" r:id="rId6663" display="https://twitter.com/mcj66/status/723251423622893568" xr:uid="{18AAAB3A-ADFB-482E-83F1-8F14A2E625EF}"/>
    <hyperlink ref="O2155" r:id="rId6664" display="https://pbs.twimg.com/profile_images/697799650431074304/WVOJ2bXi_normal.jpg" xr:uid="{909B1F97-A30E-4A71-9486-0FF0FE30624F}"/>
    <hyperlink ref="B2156" r:id="rId6665" display="https://twitter.com/jo32168" xr:uid="{45AEC8C8-5AA5-43E1-8052-1D1961B81290}"/>
    <hyperlink ref="E2156" r:id="rId6666" display="https://twitter.com/jo32168/status/723251449233334273" xr:uid="{F4937E80-1BFA-4AB5-A12F-152BC310612D}"/>
    <hyperlink ref="O2156" r:id="rId6667" display="https://abs.twimg.com/sticky/default_profile_images/default_profile_4_normal.png" xr:uid="{534055E0-665D-41E2-8BDF-E044353F72F3}"/>
    <hyperlink ref="B2157" r:id="rId6668" display="https://twitter.com/HFensterman" xr:uid="{7C7C3C4A-720B-46D7-A379-10BE5C54CDFE}"/>
    <hyperlink ref="E2157" r:id="rId6669" display="https://twitter.com/HFensterman/status/723251749474193408" xr:uid="{EAA25CDB-3E03-46DB-B534-B7C9BBCF0AB4}"/>
    <hyperlink ref="O2157" r:id="rId6670" display="https://pbs.twimg.com/profile_images/1189871654/Howard_Fensterman_normal.jpg" xr:uid="{F1E80663-1AD6-4D9C-82B1-2DE36FE59A80}"/>
    <hyperlink ref="B2158" r:id="rId6671" display="https://twitter.com/GACCColorado" xr:uid="{1DB85A29-A01B-42C8-B78B-158655D6DB85}"/>
    <hyperlink ref="E2158" r:id="rId6672" display="https://twitter.com/GACCColorado/status/723251970191011843" xr:uid="{906CB92D-CD59-43D1-9497-50E80BD9CC85}"/>
    <hyperlink ref="O2158" r:id="rId6673" display="https://pbs.twimg.com/profile_images/434425163216474112/KtOuHIkV_normal.jpeg" xr:uid="{CA8CBBF9-ADFC-4F3D-A6BD-B78672548702}"/>
    <hyperlink ref="B2159" r:id="rId6674" display="https://twitter.com/VWCamperSales" xr:uid="{4B49D0BB-CED8-4E86-859E-3443BEB7FE4E}"/>
    <hyperlink ref="E2159" r:id="rId6675" display="https://twitter.com/VWCamperSales/status/723252110658166784" xr:uid="{45152C63-34F1-4C80-A576-316B9AE356E0}"/>
    <hyperlink ref="F2159" r:id="rId6676" xr:uid="{3BBD6CAF-5DF4-469B-85CF-93D66796EDB2}"/>
    <hyperlink ref="O2159" r:id="rId6677" display="https://pbs.twimg.com/profile_images/627949001179037696/skEBkS05_normal.jpg" xr:uid="{9F594BBB-4F88-4596-B727-CB38C7F73AE6}"/>
    <hyperlink ref="B2160" r:id="rId6678" display="https://twitter.com/VWCamperSales" xr:uid="{4838498A-65E3-4B12-88A4-34EC3FD1406C}"/>
    <hyperlink ref="E2160" r:id="rId6679" display="https://twitter.com/VWCamperSales/status/723252127607353344" xr:uid="{EF2BB464-8F24-4834-B8A6-EF49BB9A5467}"/>
    <hyperlink ref="F2160" r:id="rId6680" xr:uid="{E48E08BD-A23C-4B9E-BA63-9CB2B9F48CBF}"/>
    <hyperlink ref="O2160" r:id="rId6681" display="https://pbs.twimg.com/profile_images/627949001179037696/skEBkS05_normal.jpg" xr:uid="{DE0B4F96-9D4F-4762-AA32-2FE259943B30}"/>
    <hyperlink ref="B2161" r:id="rId6682" display="https://twitter.com/Puretruth678" xr:uid="{8A0A649B-5662-4829-B229-BE4B010B69C7}"/>
    <hyperlink ref="E2161" r:id="rId6683" display="https://twitter.com/Puretruth678/status/723252207722860545" xr:uid="{DA0D23C3-BEBC-41BB-9429-0533D3E23F91}"/>
    <hyperlink ref="O2161" r:id="rId6684" display="https://pbs.twimg.com/profile_images/378800000220532021/0b643081bcc47d3f92ebf1f9531e6280_normal.jpeg" xr:uid="{B2C58C16-6656-43D3-85DC-D14A9EF0E846}"/>
    <hyperlink ref="B2162" r:id="rId6685" display="https://twitter.com/brui_ie" xr:uid="{8AE39DCC-0655-47A6-91EA-1D6274980D33}"/>
    <hyperlink ref="C2162" r:id="rId6686" xr:uid="{98349D09-DC34-4B4F-B156-3BFC4CD5B2B5}"/>
    <hyperlink ref="E2162" r:id="rId6687" display="https://twitter.com/brui_ie/status/723252424987803648" xr:uid="{9182D6F4-EB32-441A-AF8D-C6D246A03D8A}"/>
    <hyperlink ref="O2162" r:id="rId6688" display="https://pbs.twimg.com/profile_images/644499650284752896/UgDFYFyy_normal.jpg" xr:uid="{E666EB73-B44E-4263-B804-B4B5DE56375B}"/>
    <hyperlink ref="B2163" r:id="rId6689" display="https://twitter.com/olb_b" xr:uid="{04112779-831B-429B-9E93-4A5D2715AAE5}"/>
    <hyperlink ref="E2163" r:id="rId6690" display="https://twitter.com/olb_b/status/723252777774923777" xr:uid="{3C5A10CD-70D0-4901-8E22-D042ADF9475E}"/>
    <hyperlink ref="O2163" r:id="rId6691" display="https://pbs.twimg.com/profile_images/682942592208760832/P8c4WXDf_normal.jpg" xr:uid="{08A80F0E-BF9A-49E6-80D8-7C8D51178CE4}"/>
    <hyperlink ref="B2164" r:id="rId6692" display="https://twitter.com/JokoMartinez11" xr:uid="{E97BE90E-24DB-403D-9982-ACD700A36A1E}"/>
    <hyperlink ref="E2164" r:id="rId6693" display="https://twitter.com/JokoMartinez11/status/723253117022773248" xr:uid="{778557CB-0082-4974-941D-C3FCE71F4472}"/>
    <hyperlink ref="O2164" r:id="rId6694" display="https://pbs.twimg.com/profile_images/718717044322148354/2qbm7eME_normal.jpg" xr:uid="{EF78E460-E19F-485E-A17A-53BDD3EF23E9}"/>
    <hyperlink ref="B2165" r:id="rId6695" display="https://twitter.com/IaraaSofia" xr:uid="{18C660C9-B6F5-42B5-B633-AF01B751BA69}"/>
    <hyperlink ref="E2165" r:id="rId6696" display="https://twitter.com/IaraaSofia/status/723253467142344705" xr:uid="{85FA997E-B02E-4501-B8B8-FECDEC357815}"/>
    <hyperlink ref="O2165" r:id="rId6697" display="https://pbs.twimg.com/profile_images/717727020042555392/9TxnW1Dh_normal.jpg" xr:uid="{D0613E34-C37F-4D53-964D-4CF229F6CE0C}"/>
    <hyperlink ref="B2166" r:id="rId6698" display="https://twitter.com/ausrutherford" xr:uid="{337463B9-489E-4A68-A8B0-2F9B2FA4DEA1}"/>
    <hyperlink ref="E2166" r:id="rId6699" display="https://twitter.com/ausrutherford/status/723253585530654720" xr:uid="{322A9C39-60E8-4EB1-8EB3-3C91E476F389}"/>
    <hyperlink ref="O2166" r:id="rId6700" display="https://pbs.twimg.com/profile_images/709058129393291264/47ZDCq7j_normal.jpg" xr:uid="{13FA795A-F45A-49C0-ACEB-78817E999284}"/>
    <hyperlink ref="B2167" r:id="rId6701" display="https://twitter.com/cris_drudi" xr:uid="{9DBF10A9-2C7B-4532-88C1-A041167071EF}"/>
    <hyperlink ref="E2167" r:id="rId6702" display="https://twitter.com/cris_drudi/status/723253683266396160" xr:uid="{319FCE93-F095-4365-9E6C-CE82181A0163}"/>
    <hyperlink ref="O2167" r:id="rId6703" display="https://pbs.twimg.com/profile_images/716500934591913984/lbdjJdrd_normal.jpg" xr:uid="{0D589A53-03CB-4FD3-B60D-E4230C5E26A8}"/>
    <hyperlink ref="B2168" r:id="rId6704" display="https://twitter.com/VWCamperSales" xr:uid="{67C7D6EE-F213-475A-8D7A-48C8B3B2CDA0}"/>
    <hyperlink ref="E2168" r:id="rId6705" display="https://twitter.com/VWCamperSales/status/723253756310102016" xr:uid="{733ABBED-CA89-46C8-847B-11DEA9EC68BE}"/>
    <hyperlink ref="F2168" r:id="rId6706" xr:uid="{1472BD3A-D484-4A59-9D20-364DABDDA50B}"/>
    <hyperlink ref="O2168" r:id="rId6707" display="https://pbs.twimg.com/profile_images/627949001179037696/skEBkS05_normal.jpg" xr:uid="{3A69BFFC-4DD8-4964-AFC2-7CB70430A272}"/>
    <hyperlink ref="B2169" r:id="rId6708" display="https://twitter.com/pbeez17" xr:uid="{424448CB-7C1E-4912-984A-F7FA626F5E40}"/>
    <hyperlink ref="E2169" r:id="rId6709" display="https://twitter.com/pbeez17/status/723254057612115968" xr:uid="{F1BCCB3F-CC6C-427B-B458-A23EC79A5302}"/>
    <hyperlink ref="O2169" r:id="rId6710" display="https://pbs.twimg.com/profile_images/566302017447297026/WU8Aw0sB_normal.jpeg" xr:uid="{BE04D1B1-5F40-4382-875F-ADE42E3AEC4A}"/>
    <hyperlink ref="B2170" r:id="rId6711" display="https://twitter.com/AirdFlavelle" xr:uid="{083CBB88-23EA-4049-85F3-96A79A57229B}"/>
    <hyperlink ref="E2170" r:id="rId6712" display="https://twitter.com/AirdFlavelle/status/723254287548084225" xr:uid="{187F60E8-C4C8-42F8-A4EF-2EB1D87EDAEF}"/>
    <hyperlink ref="O2170" r:id="rId6713" display="https://pbs.twimg.com/profile_images/3642579669/ed031c60d44e627a721408cb192cca3a_normal.png" xr:uid="{7B05E264-B2B2-48BB-8F7D-04D20915EA9B}"/>
    <hyperlink ref="B2171" r:id="rId6714" display="https://twitter.com/hce25" xr:uid="{6B924BA1-8D97-4336-8CDD-629C1D2555B8}"/>
    <hyperlink ref="E2171" r:id="rId6715" display="https://twitter.com/hce25/status/723254697214246912" xr:uid="{A191DB63-CAC5-4611-A494-22D77637AD9C}"/>
    <hyperlink ref="O2171" r:id="rId6716" display="https://pbs.twimg.com/profile_images/493776708323913728/zZI150Dt_normal.png" xr:uid="{06566F00-4671-429B-811C-1A3F67F475F7}"/>
    <hyperlink ref="B2172" r:id="rId6717" display="https://twitter.com/arod3921" xr:uid="{0D97FCA2-F861-4920-A66F-AA8B35A5A847}"/>
    <hyperlink ref="E2172" r:id="rId6718" display="https://twitter.com/arod3921/status/723254919562551296" xr:uid="{3154E3EC-F067-4CE6-B619-88BE9D956B0A}"/>
    <hyperlink ref="O2172" r:id="rId6719" display="https://pbs.twimg.com/profile_images/520242051342811136/eehjHMLz_normal.jpeg" xr:uid="{85EB72A6-67CF-4E65-9F2B-678B469B2D07}"/>
    <hyperlink ref="B2173" r:id="rId6720" display="https://twitter.com/adatherton" xr:uid="{3AD6643D-2C49-4C01-B365-91B69DFC6CCD}"/>
    <hyperlink ref="E2173" r:id="rId6721" display="https://twitter.com/adatherton/status/723254943940009984" xr:uid="{299CC8B2-402B-4DBF-8BC2-D8BCB41EE5EA}"/>
    <hyperlink ref="F2173" r:id="rId6722" xr:uid="{3A8C058C-3ABA-40F5-A6C0-D54A9D28577D}"/>
    <hyperlink ref="O2173" r:id="rId6723" display="https://pbs.twimg.com/profile_images/502770078194991104/Ga_NU42-_normal.png" xr:uid="{02169929-0807-46BF-9962-141137D548A4}"/>
    <hyperlink ref="B2174" r:id="rId6724" display="https://twitter.com/kngeuro" xr:uid="{1DD1F1C4-E2B2-49C5-BD04-8B7FD7615E2D}"/>
    <hyperlink ref="E2174" r:id="rId6725" display="https://twitter.com/kngeuro/status/723255064119238657" xr:uid="{10E28E96-4566-412E-8668-22625E2539CD}"/>
    <hyperlink ref="O2174" r:id="rId6726" display="https://pbs.twimg.com/profile_images/570375988065935360/ooT_Nq7x_normal.jpeg" xr:uid="{4108F8FC-87B7-4B48-94B3-4F166154E069}"/>
    <hyperlink ref="B2175" r:id="rId6727" display="https://twitter.com/DirkEllisVW" xr:uid="{4B1CFFA5-1697-4E0F-818B-6C220232FFFD}"/>
    <hyperlink ref="E2175" r:id="rId6728" display="https://twitter.com/DirkEllisVW/status/723255275008983040" xr:uid="{7716F55D-07A5-4959-9D73-D848798D55E4}"/>
    <hyperlink ref="O2175" r:id="rId6729" display="https://pbs.twimg.com/profile_images/677140771783450624/9_7T_mk7_normal.jpg" xr:uid="{242421DD-C1B7-4EF0-A00F-63ED930D2F55}"/>
    <hyperlink ref="B2176" r:id="rId6730" display="https://twitter.com/woever" xr:uid="{76DFEB86-1EE9-407A-ADAE-E64667884689}"/>
    <hyperlink ref="E2176" r:id="rId6731" display="https://twitter.com/woever/status/723255522833645572" xr:uid="{3D335690-A2A7-4307-BF78-D02CD89524E2}"/>
    <hyperlink ref="O2176" r:id="rId6732" display="https://pbs.twimg.com/profile_images/457491035/55178663_normal.jpg" xr:uid="{05403810-74C9-4F14-AF95-CECC6B6E0555}"/>
    <hyperlink ref="B2177" r:id="rId6733" display="https://twitter.com/Shanepkavanagh" xr:uid="{B2A536D6-120B-4BE1-AD02-7D457933C9C5}"/>
    <hyperlink ref="E2177" r:id="rId6734" display="https://twitter.com/Shanepkavanagh/status/723255567817531393" xr:uid="{F988B11E-7A36-4AC6-9992-B8BEAA8DD901}"/>
    <hyperlink ref="O2177" r:id="rId6735" display="https://pbs.twimg.com/profile_images/617710830730264576/hBgLKJmE_normal.jpg" xr:uid="{69AAFD18-00A5-40DD-961D-4FB145F59DA9}"/>
    <hyperlink ref="B2178" r:id="rId6736" display="https://twitter.com/ObliviousMoron" xr:uid="{9C7834C1-D749-4C6B-B1C5-27C16603CC54}"/>
    <hyperlink ref="E2178" r:id="rId6737" display="https://twitter.com/ObliviousMoron/status/723255720850927616" xr:uid="{CE4F9D6B-A2AA-4EFB-9275-CEBA8C1846D8}"/>
    <hyperlink ref="O2178" r:id="rId6738" display="https://pbs.twimg.com/profile_images/417377998799527937/SgsK9PXP_normal.jpeg" xr:uid="{CD201FA3-7CF6-482A-B8FC-CDCF5AD42584}"/>
    <hyperlink ref="B2179" r:id="rId6739" display="https://twitter.com/ListersVW" xr:uid="{E54936E8-052C-42CB-965E-D1B170B5908B}"/>
    <hyperlink ref="E2179" r:id="rId6740" display="https://twitter.com/ListersVW/status/723256401624195072" xr:uid="{D41BEFE6-DBB9-4D12-BCF6-EFF74CE77F4C}"/>
    <hyperlink ref="O2179" r:id="rId6741" display="https://pbs.twimg.com/profile_images/684044616476278785/3vButJTM_normal.jpg" xr:uid="{DF6F2486-5BB9-4B6D-916F-5D44EDE932C6}"/>
    <hyperlink ref="B2180" r:id="rId6742" display="https://twitter.com/ODORBABY" xr:uid="{95C40B1E-4F5D-4723-A354-FD7DC91CAAE9}"/>
    <hyperlink ref="E2180" r:id="rId6743" display="https://twitter.com/ODORBABY/status/723256625268678656" xr:uid="{45E41C49-40E6-47B9-8121-F4F14B7C06CA}"/>
    <hyperlink ref="O2180" r:id="rId6744" display="https://pbs.twimg.com/profile_images/583404090685796353/SFQb1Pc9_normal.jpg" xr:uid="{7FAC2881-22D1-4EE7-81E4-07DDE306D898}"/>
    <hyperlink ref="B2181" r:id="rId6745" display="https://twitter.com/amantomatimou" xr:uid="{08F3ADB0-04FE-46AC-AA40-5C888BFB661D}"/>
    <hyperlink ref="E2181" r:id="rId6746" display="https://twitter.com/amantomatimou/status/723256866315337729" xr:uid="{1EF823D2-175E-4D76-8A9B-99D511F078FD}"/>
    <hyperlink ref="O2181" r:id="rId6747" display="https://pbs.twimg.com/profile_images/2881757259/7245bbaa6a861ace9700069d38656a72_normal.jpeg" xr:uid="{ABB4DE72-51A9-4FAB-AEC2-48527BFD1247}"/>
    <hyperlink ref="B2182" r:id="rId6748" display="https://twitter.com/vwwhitenoise" xr:uid="{5068960F-054B-49EB-9F46-94D3D98048E1}"/>
    <hyperlink ref="E2182" r:id="rId6749" display="https://twitter.com/vwwhitenoise/status/723256943960305664" xr:uid="{09722216-DECB-4AF4-A853-5FFB2F3D09D2}"/>
    <hyperlink ref="O2182" r:id="rId6750" display="https://pbs.twimg.com/profile_images/683766725440069632/YLcblOdW_normal.jpg" xr:uid="{BB099645-F5BA-4862-8825-38E9AF74819B}"/>
    <hyperlink ref="B2183" r:id="rId6751" display="https://twitter.com/ENGautoevents" xr:uid="{7B9071DA-1056-4707-8C12-6698206536F3}"/>
    <hyperlink ref="E2183" r:id="rId6752" display="https://twitter.com/ENGautoevents/status/723257335938985984" xr:uid="{DB2657A5-3ADA-4D66-A327-7BC0EDEC62D7}"/>
    <hyperlink ref="O2183" r:id="rId6753" display="https://pbs.twimg.com/profile_images/626052902625406976/PwPMTBVt_normal.png" xr:uid="{B6AB04E4-714B-4052-9A41-9E3D3920FB16}"/>
    <hyperlink ref="B2184" r:id="rId6754" display="https://twitter.com/drivingsales" xr:uid="{7B0BB03E-64CC-4BDB-B324-2230A6D3FB80}"/>
    <hyperlink ref="E2184" r:id="rId6755" display="https://twitter.com/drivingsales/status/723257502813528064" xr:uid="{7ABB3FBA-4FF8-45A3-B29E-2F205472CAF2}"/>
    <hyperlink ref="O2184" r:id="rId6756" display="https://pbs.twimg.com/profile_images/654794006421856256/WvLcZ_Wx_normal.png" xr:uid="{E9DECC8C-318C-4C64-B953-1D95B27BF62F}"/>
    <hyperlink ref="B2185" r:id="rId6757" display="https://twitter.com/LDCcreations" xr:uid="{5203F580-B31C-4158-9EC2-0751771C818E}"/>
    <hyperlink ref="E2185" r:id="rId6758" display="https://twitter.com/LDCcreations/status/723258722294874112" xr:uid="{D2CA4281-3F66-47BD-93B2-D7E59B988BBD}"/>
    <hyperlink ref="O2185" r:id="rId6759" display="https://pbs.twimg.com/profile_images/3546807418/358648ceafebcd1bc86c677256332c33_normal.jpeg" xr:uid="{13E2A060-28A6-4082-9FF6-34638E0EEB9B}"/>
    <hyperlink ref="B2186" r:id="rId6760" display="https://twitter.com/goingprorogue" xr:uid="{38DB624F-A471-4740-BD74-481F914E0F1B}"/>
    <hyperlink ref="E2186" r:id="rId6761" display="https://twitter.com/goingprorogue/status/723258726178799617" xr:uid="{657C1CCB-A12F-4FB9-81D6-86416DA73E26}"/>
    <hyperlink ref="O2186" r:id="rId6762" display="https://pbs.twimg.com/profile_images/650048145137758208/cExFfEPT_normal.jpg" xr:uid="{9F2F6E06-A11F-49AC-8D55-36442AFEA4C4}"/>
    <hyperlink ref="B2187" r:id="rId6763" display="https://twitter.com/LeggoMyRillo" xr:uid="{A5A684A3-799C-494F-8F18-149D825B49D1}"/>
    <hyperlink ref="E2187" r:id="rId6764" display="https://twitter.com/LeggoMyRillo/status/723258759104069632" xr:uid="{C187BB9B-311D-4CB2-9261-436893EF7F1A}"/>
    <hyperlink ref="O2187" r:id="rId6765" display="https://pbs.twimg.com/profile_images/694630849686433792/9mRQSCYO_normal.jpg" xr:uid="{3864DFB6-0C70-41A2-91FD-F3A9A521FE25}"/>
    <hyperlink ref="B2188" r:id="rId6766" display="https://twitter.com/JulesBarnell" xr:uid="{DB31968E-A0E4-4377-B848-D8FCC2116BFB}"/>
    <hyperlink ref="E2188" r:id="rId6767" display="https://twitter.com/JulesBarnell/status/723259094157676549" xr:uid="{B7E0329B-7E85-49A2-9E31-FA50609B8ED6}"/>
    <hyperlink ref="O2188" r:id="rId6768" display="https://pbs.twimg.com/profile_images/722524189538840576/VDwLEEEh_normal.jpg" xr:uid="{48B210E0-7065-40D7-93C4-5710871941E9}"/>
    <hyperlink ref="B2189" r:id="rId6769" display="https://twitter.com/ohioantique" xr:uid="{8F391B18-4089-4DE7-AB57-B1CDDE85B0C2}"/>
    <hyperlink ref="E2189" r:id="rId6770" display="https://twitter.com/ohioantique/status/723259861643960322" xr:uid="{29201DA4-4C03-4E22-8522-A29382375D85}"/>
    <hyperlink ref="O2189" r:id="rId6771" display="https://pbs.twimg.com/profile_images/1771451657/il_570xN.291650220_normal.jpg" xr:uid="{CC965E0A-8381-48DD-B008-ED7BCEEAA4A0}"/>
    <hyperlink ref="B2190" r:id="rId6772" display="https://twitter.com/TriCountyTours" xr:uid="{D3C1CAEB-5A92-4156-BADC-8F17F41BBBB6}"/>
    <hyperlink ref="E2190" r:id="rId6773" display="https://twitter.com/TriCountyTours/status/723260174853636096" xr:uid="{A3E50C32-EABD-4B7F-AF61-0F610F8B5FFA}"/>
    <hyperlink ref="O2190" r:id="rId6774" display="https://pbs.twimg.com/profile_images/683348744742551553/FcWf7nXY_normal.jpg" xr:uid="{EA1FF574-9D9D-4D17-9A31-64B7300C4909}"/>
    <hyperlink ref="B2191" r:id="rId6775" display="https://twitter.com/StevenTPires" xr:uid="{54446FE4-B7F4-4AB7-8223-6B5A814596AD}"/>
    <hyperlink ref="E2191" r:id="rId6776" display="https://twitter.com/StevenTPires/status/723260458703032320" xr:uid="{EE05B30A-115D-4D79-83BF-8F98D0381254}"/>
    <hyperlink ref="O2191" r:id="rId6777" display="https://pbs.twimg.com/profile_images/630922619211153408/c5xcGub6_normal.jpg" xr:uid="{F03AE042-10DA-4382-9CE5-5CB3643D9F21}"/>
    <hyperlink ref="B2192" r:id="rId6778" display="https://twitter.com/mar3e11" xr:uid="{BAE0BF7D-B706-4F54-9163-6710BADC9DAD}"/>
    <hyperlink ref="E2192" r:id="rId6779" display="https://twitter.com/mar3e11/status/723260592148996097" xr:uid="{E7E9CEBB-25BE-4A14-9E2D-D7CC615B72A0}"/>
    <hyperlink ref="O2192" r:id="rId6780" display="https://pbs.twimg.com/profile_images/1864477812/image_normal.jpg" xr:uid="{2838B288-AFAA-491A-831A-13607C8BA7D3}"/>
    <hyperlink ref="B2193" r:id="rId6781" display="https://twitter.com/OnlineCarReview" xr:uid="{11172E9F-A215-48AE-89AA-AB1F5CD7FE36}"/>
    <hyperlink ref="E2193" r:id="rId6782" display="https://twitter.com/OnlineCarReview/status/723260618648608768" xr:uid="{C75D011A-F757-4C29-8605-C38209AD2A76}"/>
    <hyperlink ref="O2193" r:id="rId6783" display="https://pbs.twimg.com/profile_images/652871584131092480/QA_B6SBO_normal.jpg" xr:uid="{21566599-582E-481B-BF2D-3290015DC669}"/>
    <hyperlink ref="B2194" r:id="rId6784" display="https://twitter.com/VolkswagenPost" xr:uid="{38AE47AD-D5EC-424A-833F-9A34321EFC99}"/>
    <hyperlink ref="E2194" r:id="rId6785" display="https://twitter.com/VolkswagenPost/status/723260725565612033" xr:uid="{43FD9C3F-B648-4F2F-A2DA-42A42FEF327E}"/>
    <hyperlink ref="O2194" r:id="rId6786" display="https://pbs.twimg.com/profile_images/530071272881803264/a_jcCmPZ_normal.png" xr:uid="{36A26C29-02AD-4F24-8FE7-4CBC6BC71976}"/>
    <hyperlink ref="B2195" r:id="rId6787" display="https://twitter.com/VolkswagenPost" xr:uid="{894820F6-5521-4068-8A7D-2F25E29FFE85}"/>
    <hyperlink ref="E2195" r:id="rId6788" display="https://twitter.com/VolkswagenPost/status/723260726337392640" xr:uid="{15249DA5-DAEA-4C72-972F-6A778610CF7F}"/>
    <hyperlink ref="O2195" r:id="rId6789" display="https://pbs.twimg.com/profile_images/530071272881803264/a_jcCmPZ_normal.png" xr:uid="{86C08DB5-2BD7-492D-B07B-ADE27E4CA745}"/>
    <hyperlink ref="B2196" r:id="rId6790" display="https://twitter.com/VWCamperSales" xr:uid="{4FD94714-30D9-4E9E-9B19-C00E1BC87217}"/>
    <hyperlink ref="E2196" r:id="rId6791" display="https://twitter.com/VWCamperSales/status/723260801205719040" xr:uid="{509AF078-9CF0-4501-A127-C557DF98522F}"/>
    <hyperlink ref="F2196" r:id="rId6792" xr:uid="{E2503AF4-F95E-4A23-8520-8328B36C02E2}"/>
    <hyperlink ref="O2196" r:id="rId6793" display="https://pbs.twimg.com/profile_images/627949001179037696/skEBkS05_normal.jpg" xr:uid="{44EB0905-67A0-4A70-A982-F20F6CE05C18}"/>
    <hyperlink ref="B2197" r:id="rId6794" display="https://twitter.com/VWCamperSales" xr:uid="{D5440256-3251-42B0-904B-4CF2DA9B1D13}"/>
    <hyperlink ref="E2197" r:id="rId6795" display="https://twitter.com/VWCamperSales/status/723260806696042496" xr:uid="{3B4E2FC7-40F8-488C-99DF-7BF7F903DEC2}"/>
    <hyperlink ref="F2197" r:id="rId6796" xr:uid="{2E14FEF1-763A-4EBE-989F-F79A7B1BDC58}"/>
    <hyperlink ref="O2197" r:id="rId6797" display="https://pbs.twimg.com/profile_images/627949001179037696/skEBkS05_normal.jpg" xr:uid="{E2695F5E-BD8F-4BB4-957F-FDE53AE7F4E4}"/>
    <hyperlink ref="B2198" r:id="rId6798" display="https://twitter.com/WettenbergTweet" xr:uid="{2CB5CA20-727D-4BAD-8025-4A7EE59A4472}"/>
    <hyperlink ref="E2198" r:id="rId6799" display="https://twitter.com/WettenbergTweet/status/723261055095455744" xr:uid="{581A1588-9ADA-420A-A0A2-7455FFD24441}"/>
    <hyperlink ref="O2198" r:id="rId6800" display="https://pbs.twimg.com/profile_images/709041112724475905/3DGqE5cJ_normal.jpg" xr:uid="{CE242FFC-D2EB-4D92-AE9C-BF1BCFE278BF}"/>
    <hyperlink ref="B2199" r:id="rId6801" display="https://twitter.com/MyFutureMot" xr:uid="{B0FAE668-779F-4A24-866D-D583450FED0F}"/>
    <hyperlink ref="E2199" r:id="rId6802" display="https://twitter.com/MyFutureMot/status/723261133872869376" xr:uid="{9B414313-5599-4C52-AA36-31D006C4A7D9}"/>
    <hyperlink ref="O2199" r:id="rId6803" display="https://pbs.twimg.com/profile_images/714049211961057280/MfUB7ecL_normal.jpg" xr:uid="{BB26CABB-513A-48EB-94F2-E14328D539A5}"/>
    <hyperlink ref="B2200" r:id="rId6804" display="https://twitter.com/tomschluet" xr:uid="{EE49D105-AC44-44CA-9358-CBC5A32E45A2}"/>
    <hyperlink ref="E2200" r:id="rId6805" display="https://twitter.com/tomschluet/status/723261210129518593" xr:uid="{E0766086-E3B9-4164-9109-BEA972B91062}"/>
    <hyperlink ref="O2200" r:id="rId6806" display="https://pbs.twimg.com/profile_images/696975560199770113/4VFBcMZv_normal.jpg" xr:uid="{6E3201B8-7163-454E-8FB9-2AAFBF27529A}"/>
    <hyperlink ref="B2201" r:id="rId6807" display="https://twitter.com/VRwatchingU" xr:uid="{5F061014-AF81-47CA-9770-7D42F5677AAE}"/>
    <hyperlink ref="E2201" r:id="rId6808" display="https://twitter.com/VRwatchingU/status/723261908867014656" xr:uid="{8EAF14B4-06DF-48C3-B65A-D30F77A15DE7}"/>
    <hyperlink ref="O2201" r:id="rId6809" display="https://pbs.twimg.com/profile_images/1616567344/VRwatch2_normal.jpg" xr:uid="{383736D4-678C-4D81-8039-727F56FEA5A8}"/>
    <hyperlink ref="B2202" r:id="rId6810" display="https://twitter.com/DisparatePost" xr:uid="{D16D2D58-16BD-4235-BEA0-00E49F622A46}"/>
    <hyperlink ref="E2202" r:id="rId6811" display="https://twitter.com/DisparatePost/status/723262440847380480" xr:uid="{43405029-D6CA-4671-9F31-A85C9D7BE73A}"/>
    <hyperlink ref="O2202" r:id="rId6812" display="https://pbs.twimg.com/profile_images/686916450418753537/xOJW9Mcn_normal.png" xr:uid="{D6FB640D-4EB6-42BF-A562-674009DB463D}"/>
    <hyperlink ref="B2203" r:id="rId6813" display="https://twitter.com/DubLuvTuning" xr:uid="{DEE2FBA1-390B-4F93-AC79-36659A27B819}"/>
    <hyperlink ref="E2203" r:id="rId6814" display="https://twitter.com/DubLuvTuning/status/723262463643402240" xr:uid="{4B056B0D-E802-44A9-A3E8-21CE373F80AC}"/>
    <hyperlink ref="O2203" r:id="rId6815" display="https://pbs.twimg.com/profile_images/378800000572104796/1de43e1cf23efb3f4101c02afad0d3b6_normal.png" xr:uid="{A4AA2D8B-4E5C-4722-B8C1-404F4AD788B1}"/>
    <hyperlink ref="B2204" r:id="rId6816" display="https://twitter.com/VWCamperSales" xr:uid="{2AEE1A31-9B84-415B-956C-4BDB65545520}"/>
    <hyperlink ref="E2204" r:id="rId6817" display="https://twitter.com/VWCamperSales/status/723262587685588992" xr:uid="{67A401B9-6B3A-47D4-BD2C-BE8EC1E132C0}"/>
    <hyperlink ref="F2204" r:id="rId6818" xr:uid="{12F952DF-C1C3-45A7-B1E6-E99CDFB0BD3A}"/>
    <hyperlink ref="O2204" r:id="rId6819" display="https://pbs.twimg.com/profile_images/627949001179037696/skEBkS05_normal.jpg" xr:uid="{01D7E3ED-C3AD-4B78-92FA-39B99B30AB84}"/>
    <hyperlink ref="B2205" r:id="rId6820" display="https://twitter.com/rahulwraj" xr:uid="{83BCF2C9-6AD4-4494-B5C5-D6F4B724FC9C}"/>
    <hyperlink ref="E2205" r:id="rId6821" display="https://twitter.com/rahulwraj/status/723262598356078592" xr:uid="{1A446D38-AEE1-42BA-9CA3-42286A4DCBA1}"/>
    <hyperlink ref="O2205" r:id="rId6822" display="https://pbs.twimg.com/profile_images/2019162570/RRAJ_headshot_edit_normal.jpg" xr:uid="{B0F4BB1F-BBA2-4A05-AC78-C6393167AC5B}"/>
    <hyperlink ref="B2206" r:id="rId6823" display="https://twitter.com/VWCamperSales" xr:uid="{3860EA68-2636-4256-B159-B9E6F111793B}"/>
    <hyperlink ref="E2206" r:id="rId6824" display="https://twitter.com/VWCamperSales/status/723262599291248640" xr:uid="{21DEBF79-C181-4BCE-B595-C866FDF7EC08}"/>
    <hyperlink ref="F2206" r:id="rId6825" xr:uid="{9AEB43E6-0355-4E9A-9FDC-F183C64A70CD}"/>
    <hyperlink ref="O2206" r:id="rId6826" display="https://pbs.twimg.com/profile_images/627949001179037696/skEBkS05_normal.jpg" xr:uid="{12907746-5B33-45D2-94F9-34C2CF00ECEF}"/>
    <hyperlink ref="B2207" r:id="rId6827" display="https://twitter.com/greenenrgycharg" xr:uid="{DE8D48E8-2A59-4209-97DF-A18966EA55D3}"/>
    <hyperlink ref="E2207" r:id="rId6828" display="https://twitter.com/greenenrgycharg/status/723262724507983872" xr:uid="{793B9213-A453-4959-9A40-9909C8077780}"/>
    <hyperlink ref="O2207" r:id="rId6829" display="https://pbs.twimg.com/profile_images/669332373578776576/FI_GWRUn_normal.png" xr:uid="{89D30701-4930-4736-9FB8-9E6C4C99CDA9}"/>
    <hyperlink ref="B2208" r:id="rId6830" display="https://twitter.com/CmaxVs" xr:uid="{857924CA-ED2C-4AB3-80B8-AEEC331EF210}"/>
    <hyperlink ref="E2208" r:id="rId6831" display="https://twitter.com/CmaxVs/status/723262838790197248" xr:uid="{59BA4783-3817-4B4A-8095-F0775BD0413E}"/>
    <hyperlink ref="O2208" r:id="rId6832" display="https://pbs.twimg.com/profile_images/378800000758734512/a6899a93597efed308f155bd05c32bbc_normal.jpeg" xr:uid="{192F493A-809D-4888-834A-45244F3D53AF}"/>
    <hyperlink ref="B2209" r:id="rId6833" display="https://twitter.com/PremiersoundsAV" xr:uid="{D2B2E968-5564-48CA-84F2-D3F6F9AD17A1}"/>
    <hyperlink ref="E2209" r:id="rId6834" display="https://twitter.com/PremiersoundsAV/status/723263367637524480" xr:uid="{6F5C0114-A345-445F-BDEF-E51916CC1CB5}"/>
    <hyperlink ref="O2209" r:id="rId6835" display="https://pbs.twimg.com/profile_images/629706221038235648/YOUefHMR_normal.png" xr:uid="{3AB163CA-0F27-4323-BC9E-469F786C73E2}"/>
    <hyperlink ref="B2210" r:id="rId6836" display="https://twitter.com/Burhan_Ashkar" xr:uid="{BB2502D4-D593-4774-BF3D-1F0CD557BAC9}"/>
    <hyperlink ref="E2210" r:id="rId6837" display="https://twitter.com/Burhan_Ashkar/status/723263574404001792" xr:uid="{3ECD5080-BD7E-4FCC-9DE8-3E1626AF1AC7}"/>
    <hyperlink ref="O2210" r:id="rId6838" display="https://pbs.twimg.com/profile_images/559611103865368576/7Zmbvgsg_normal.jpeg" xr:uid="{1025FE9C-99E4-43BD-BBA8-FFDAA608749E}"/>
    <hyperlink ref="B2211" r:id="rId6839" display="https://twitter.com/KellerRohrback" xr:uid="{C9AE8A96-9520-4303-9AA4-BFACFB298E0B}"/>
    <hyperlink ref="E2211" r:id="rId6840" display="https://twitter.com/KellerRohrback/status/723263814834130944" xr:uid="{B29079B3-7EA0-4ED4-84E8-E9DAFD330E60}"/>
    <hyperlink ref="O2211" r:id="rId6841" display="https://pbs.twimg.com/profile_images/667850855555579905/sXEAhPOP_normal.jpg" xr:uid="{17100EDD-B332-42EA-9594-E62B9B0C3BB1}"/>
    <hyperlink ref="B2212" r:id="rId6842" display="https://twitter.com/HassanValji" xr:uid="{071B970E-AD9A-42A1-B6C1-773639282B75}"/>
    <hyperlink ref="E2212" r:id="rId6843" display="https://twitter.com/HassanValji/status/723264039971901440" xr:uid="{ECAFB69D-4808-4BBC-B8DE-2FF1DAA9DDD9}"/>
    <hyperlink ref="O2212" r:id="rId6844" display="https://pbs.twimg.com/profile_images/419154696507387905/W3B8TRMc_normal.jpeg" xr:uid="{73E7C9AE-9556-4DA4-9528-7B1B0B5B17F4}"/>
    <hyperlink ref="B2213" r:id="rId6845" display="https://twitter.com/sk_teo" xr:uid="{20153426-CD2C-4A44-A0F3-21462FF97A88}"/>
    <hyperlink ref="E2213" r:id="rId6846" display="https://twitter.com/sk_teo/status/723264607897440260" xr:uid="{0796F7EB-E291-42D1-9C47-BF646B59A97D}"/>
    <hyperlink ref="O2213" r:id="rId6847" display="https://pbs.twimg.com/profile_images/636940214414516225/ITiB90pM_normal.jpg" xr:uid="{64F87CDD-2D4A-4FC0-AA93-757F3800DBB2}"/>
    <hyperlink ref="B2214" r:id="rId6848" display="https://twitter.com/ralmicro" xr:uid="{F8060163-31B2-4723-9CFC-9CC0A15B1F66}"/>
    <hyperlink ref="E2214" r:id="rId6849" display="https://twitter.com/ralmicro/status/723264731415478273" xr:uid="{FE217547-01E2-4EC5-94EE-0BD1EBB7161B}"/>
    <hyperlink ref="O2214" r:id="rId6850" display="https://pbs.twimg.com/profile_images/3335310525/93b5f9ca89c3b7590d5d27f05177b496_normal.jpeg" xr:uid="{853553A2-B537-4C75-AC4F-EAF322E24DE9}"/>
    <hyperlink ref="B2215" r:id="rId6851" display="https://twitter.com/Gretchenfc1" xr:uid="{8AA6CF19-B9C6-4E46-93AB-811EADCC26AF}"/>
    <hyperlink ref="E2215" r:id="rId6852" display="https://twitter.com/Gretchenfc1/status/723264919722827778" xr:uid="{3F46932E-F074-4859-876E-7DA89EF014E9}"/>
    <hyperlink ref="O2215" r:id="rId6853" display="https://pbs.twimg.com/profile_images/378800000631364822/b6d4b61bb44072471372df42ee3cbc24_normal.jpeg" xr:uid="{AE400900-0E18-45E4-8173-E54FD630EBB7}"/>
    <hyperlink ref="B2216" r:id="rId6854" display="https://twitter.com/beetlebug1938" xr:uid="{B86337BD-B06D-45DE-A9F7-5ED38643BC40}"/>
    <hyperlink ref="E2216" r:id="rId6855" display="https://twitter.com/beetlebug1938/status/723264940405055488" xr:uid="{B56ABAB2-F7FE-48A5-9866-3852A7B82120}"/>
    <hyperlink ref="O2216" r:id="rId6856" display="https://pbs.twimg.com/profile_images/718820712757215233/LXXndPTS_normal.jpg" xr:uid="{659FBAF2-951D-4E59-BDBB-407AEE2B7C8D}"/>
    <hyperlink ref="B2217" r:id="rId6857" display="https://twitter.com/VWBeetleSales" xr:uid="{A0B98CAC-E749-4C34-8C2F-41CAFE118711}"/>
    <hyperlink ref="E2217" r:id="rId6858" display="https://twitter.com/VWBeetleSales/status/723264943600984065" xr:uid="{EB79C348-ADC9-4077-9562-B7415F842133}"/>
    <hyperlink ref="F2217" r:id="rId6859" xr:uid="{55D6BA4F-7199-4616-8A8B-CDE0C0B1B697}"/>
    <hyperlink ref="O2217" r:id="rId6860" display="https://pbs.twimg.com/profile_images/703294545195307008/qeCvrX86_normal.jpg" xr:uid="{7B20E2E6-8EFA-4573-8439-AF4B6C992124}"/>
    <hyperlink ref="B2218" r:id="rId6861" display="https://twitter.com/beetlebug1938" xr:uid="{BC1C8AFB-6080-4897-8E6C-36F715059354}"/>
    <hyperlink ref="E2218" r:id="rId6862" display="https://twitter.com/beetlebug1938/status/723264951188631559" xr:uid="{33364E9D-F18E-41FD-846D-C9458E524D1D}"/>
    <hyperlink ref="O2218" r:id="rId6863" display="https://pbs.twimg.com/profile_images/718820712757215233/LXXndPTS_normal.jpg" xr:uid="{9CD9B4D3-CA25-4019-A8FB-BEC1BA364890}"/>
    <hyperlink ref="B2219" r:id="rId6864" display="https://twitter.com/beetlebug1938" xr:uid="{24878A20-60DD-445D-B073-3DAB35C926A1}"/>
    <hyperlink ref="E2219" r:id="rId6865" display="https://twitter.com/beetlebug1938/status/723264983656751105" xr:uid="{49DED415-C4D3-48DB-B193-2411F2D837B4}"/>
    <hyperlink ref="O2219" r:id="rId6866" display="https://pbs.twimg.com/profile_images/718820712757215233/LXXndPTS_normal.jpg" xr:uid="{EBC1E9F2-A926-4A2A-B47D-8F30090568E0}"/>
    <hyperlink ref="B2220" r:id="rId6867" display="https://twitter.com/beetlebug1938" xr:uid="{33DE5F80-7322-4C96-97E9-C3780A61D30E}"/>
    <hyperlink ref="E2220" r:id="rId6868" display="https://twitter.com/beetlebug1938/status/723265029278208002" xr:uid="{4618CA2B-ED1E-4784-B84E-41F67CB4B97E}"/>
    <hyperlink ref="O2220" r:id="rId6869" display="https://pbs.twimg.com/profile_images/718820712757215233/LXXndPTS_normal.jpg" xr:uid="{520BB6DF-A8A9-41D9-9E39-CCC2CC5D34D6}"/>
    <hyperlink ref="B2221" r:id="rId6870" display="https://twitter.com/mk1GolfForSale" xr:uid="{01750A18-A1ED-4077-87DC-D310A9720F9E}"/>
    <hyperlink ref="E2221" r:id="rId6871" display="https://twitter.com/mk1GolfForSale/status/723265085884366848" xr:uid="{E7EAD17B-369F-4295-94EB-0738116925EB}"/>
    <hyperlink ref="O2221" r:id="rId6872" display="https://pbs.twimg.com/profile_images/3279995885/2c9f035864a3ab529eb3144a61e4dfa9_normal.jpeg" xr:uid="{260939AE-3663-4445-A401-BCC19BD6F3E2}"/>
    <hyperlink ref="B2222" r:id="rId6873" display="https://twitter.com/jallegra" xr:uid="{B3E6BC5C-85B5-456E-8A20-BC573C036D67}"/>
    <hyperlink ref="E2222" r:id="rId6874" display="https://twitter.com/jallegra/status/723265116960071681" xr:uid="{BBF69F1F-2BDF-4F98-B787-B997749031E3}"/>
    <hyperlink ref="O2222" r:id="rId6875" display="https://pbs.twimg.com/profile_images/1161196526/JOEA-hs6691-6x9_normal.jpg" xr:uid="{C7A52D8C-09B4-43C7-A2F4-A8EABD490CA7}"/>
    <hyperlink ref="B2223" r:id="rId6876" display="https://twitter.com/onestoneadvisor" xr:uid="{7344A643-BD73-4745-8F84-3E825BCD9893}"/>
    <hyperlink ref="E2223" r:id="rId6877" display="https://twitter.com/onestoneadvisor/status/723265507403530241" xr:uid="{2E8806EE-72E9-4DE7-957F-EC0DD082473A}"/>
    <hyperlink ref="O2223" r:id="rId6878" display="https://pbs.twimg.com/profile_images/2605386867/o1xb8eeaztw32yg1affb_normal.jpeg" xr:uid="{B744419B-F00A-4BE8-84CD-F3594BF195AF}"/>
    <hyperlink ref="B2224" r:id="rId6879" display="https://twitter.com/VRwatchingU" xr:uid="{975D28E0-F8AE-4807-A8E4-0E2A9D79C40E}"/>
    <hyperlink ref="E2224" r:id="rId6880" display="https://twitter.com/VRwatchingU/status/723265622466039809" xr:uid="{8AE7F70A-95D2-46EB-8A1B-DF87139A2846}"/>
    <hyperlink ref="O2224" r:id="rId6881" display="https://pbs.twimg.com/profile_images/1616567344/VRwatch2_normal.jpg" xr:uid="{32B28820-0D3F-49A1-BCDA-FD12DA53A608}"/>
    <hyperlink ref="B2225" r:id="rId6882" display="https://twitter.com/achtuning" xr:uid="{91F970F1-1E60-49B2-941A-8BBDF01B2355}"/>
    <hyperlink ref="E2225" r:id="rId6883" display="https://twitter.com/achtuning/status/723265865119064064" xr:uid="{1780042B-0DB4-4F9B-891F-C187B50B2AF3}"/>
    <hyperlink ref="O2225" r:id="rId6884" display="https://pbs.twimg.com/profile_images/649999148620517377/KLt9GQZz_normal.png" xr:uid="{C28DEC37-D338-480B-B150-09D9A602C947}"/>
    <hyperlink ref="B2226" r:id="rId6885" display="https://twitter.com/ganleyman" xr:uid="{DC9AF302-C8C6-4CFE-8791-FF801EB9EF93}"/>
    <hyperlink ref="E2226" r:id="rId6886" display="https://twitter.com/ganleyman/status/723266323975942146" xr:uid="{58E90EBB-B058-401E-A4A7-98C84613661C}"/>
    <hyperlink ref="O2226" r:id="rId6887" display="https://pbs.twimg.com/profile_images/648939495966949377/YQqr4JhX_normal.jpg" xr:uid="{12B5C10F-38A0-41D5-8320-DD5FD9A16B18}"/>
    <hyperlink ref="B2227" r:id="rId6888" display="https://twitter.com/FuscaWorld" xr:uid="{937494A4-50D6-450A-B9A7-25A141997F44}"/>
    <hyperlink ref="E2227" r:id="rId6889" display="https://twitter.com/FuscaWorld/status/723266419748679680" xr:uid="{DD1EBBD6-189A-4180-9586-6B3F7D310C14}"/>
    <hyperlink ref="O2227" r:id="rId6890" display="https://pbs.twimg.com/profile_images/705780107844067328/e7O4UBNb_normal.jpg" xr:uid="{3DEFB152-48FB-483F-996A-1D0241B5927D}"/>
    <hyperlink ref="B2228" r:id="rId6891" display="https://twitter.com/FuscaWorld" xr:uid="{82E0C903-0994-4C94-928C-2D30AD2FB2E7}"/>
    <hyperlink ref="E2228" r:id="rId6892" display="https://twitter.com/FuscaWorld/status/723266422428807168" xr:uid="{A9A23ACD-6DBF-411F-B1B7-429390F84DCB}"/>
    <hyperlink ref="O2228" r:id="rId6893" display="https://pbs.twimg.com/profile_images/705780107844067328/e7O4UBNb_normal.jpg" xr:uid="{ED68C0AB-C162-4FF3-BA2F-D2D50D46FAF6}"/>
    <hyperlink ref="B2229" r:id="rId6894" display="https://twitter.com/ohioantique" xr:uid="{61E12C11-363F-4184-9BEA-0A67CB61B0EA}"/>
    <hyperlink ref="E2229" r:id="rId6895" display="https://twitter.com/ohioantique/status/723266427969507328" xr:uid="{7A04F0D2-83DA-450A-8BE9-42F8342AD316}"/>
    <hyperlink ref="O2229" r:id="rId6896" display="https://pbs.twimg.com/profile_images/1771451657/il_570xN.291650220_normal.jpg" xr:uid="{3E17E465-DBD0-43B0-88ED-EDF4C9EC6C42}"/>
    <hyperlink ref="B2230" r:id="rId6897" display="https://twitter.com/Scirocco_Tuning" xr:uid="{F668A0D8-3113-4585-9BD2-195CC3B0ED55}"/>
    <hyperlink ref="E2230" r:id="rId6898" display="https://twitter.com/Scirocco_Tuning/status/723267120486854658" xr:uid="{613A6214-216C-4946-A497-86B3F7C34B8E}"/>
    <hyperlink ref="O2230" r:id="rId6899" display="https://pbs.twimg.com/profile_images/1610421423/Image2_normal.jpg" xr:uid="{C898401C-2DC7-4598-A8C7-BF4699D2B5DE}"/>
    <hyperlink ref="B2231" r:id="rId6900" display="https://twitter.com/acvwpassion" xr:uid="{248FF46C-32F5-4040-9C1C-79D14AB5EBAD}"/>
    <hyperlink ref="E2231" r:id="rId6901" display="https://twitter.com/acvwpassion/status/723267597303713793" xr:uid="{4ECD5C88-4B0A-44A2-A453-CD6FD57C96F7}"/>
    <hyperlink ref="O2231" r:id="rId6902" display="https://pbs.twimg.com/profile_images/545688359964651520/SF3sJ7lv_normal.jpeg" xr:uid="{452CD8A8-D9AA-4570-A3DE-170ED9251635}"/>
    <hyperlink ref="B2232" r:id="rId6903" display="https://twitter.com/jonwellesley" xr:uid="{911B7D34-E997-4A4E-A260-1A89B273B42D}"/>
    <hyperlink ref="E2232" r:id="rId6904" display="https://twitter.com/jonwellesley/status/723267938044772352" xr:uid="{4BD6F416-C2D1-49B2-8F37-941F538C9EA9}"/>
    <hyperlink ref="O2232" r:id="rId6905" display="https://pbs.twimg.com/profile_images/684725487134982144/Q-idopkh_normal.jpg" xr:uid="{B2F8727A-BEC7-48CD-A381-1E2DE42D04D1}"/>
    <hyperlink ref="B2233" r:id="rId6906" display="https://twitter.com/anwaltplus" xr:uid="{FEE10B5F-B8D5-45B3-8E71-90E0772F859D}"/>
    <hyperlink ref="E2233" r:id="rId6907" display="https://twitter.com/anwaltplus/status/723268226256375808" xr:uid="{7413EEBF-F58E-491C-83E9-6F130296F164}"/>
    <hyperlink ref="O2233" r:id="rId6908" display="https://pbs.twimg.com/profile_images/722769379658752001/KR3Ug8LP_normal.jpg" xr:uid="{7EFF0B25-4209-4F7C-90CD-D2E22CE35E4A}"/>
    <hyperlink ref="B2234" r:id="rId6909" display="https://twitter.com/legal_reader" xr:uid="{F2584A38-3CC9-4A00-8D78-768B3A1E12C8}"/>
    <hyperlink ref="E2234" r:id="rId6910" display="https://twitter.com/legal_reader/status/723268869092196352" xr:uid="{A03296D1-EC76-4E79-9209-E32AA572D134}"/>
    <hyperlink ref="O2234" r:id="rId6911" display="https://pbs.twimg.com/profile_images/576461773282238464/yardQFwS_normal.jpeg" xr:uid="{D4F9E228-B184-4928-BC87-9D4696B4EFF1}"/>
    <hyperlink ref="B2235" r:id="rId6912" display="https://twitter.com/MaikBurghardt" xr:uid="{37DD84AD-D9A7-4526-9AEB-2F7B2167E8E0}"/>
    <hyperlink ref="E2235" r:id="rId6913" display="https://twitter.com/MaikBurghardt/status/723269031994777601" xr:uid="{3F88C3CC-704C-4275-A939-C98B952CC5B9}"/>
    <hyperlink ref="O2235" r:id="rId6914" display="https://pbs.twimg.com/profile_images/462892234078031873/FDZEKORM_normal.jpeg" xr:uid="{A822E2B8-CB2B-43F6-9ED6-BCF1F24285D2}"/>
    <hyperlink ref="B2236" r:id="rId6915" display="https://twitter.com/RolandN" xr:uid="{94034CA0-A122-4BDC-9B31-597E30F7F3A1}"/>
    <hyperlink ref="E2236" r:id="rId6916" display="https://twitter.com/RolandN/status/723270082315603968" xr:uid="{5E06B457-C896-4A0C-A7E8-4CB3D23DFBD2}"/>
    <hyperlink ref="O2236" r:id="rId6917" display="https://pbs.twimg.com/profile_images/634307811850256384/NhoATGtf_normal.jpg" xr:uid="{BDAB53E9-0394-435C-9CFF-34F2AAF838AA}"/>
    <hyperlink ref="B2237" r:id="rId6918" display="https://twitter.com/AutoBildspain" xr:uid="{7BE1BC62-1D85-48C1-8BA3-E3DB043FE777}"/>
    <hyperlink ref="E2237" r:id="rId6919" display="https://twitter.com/AutoBildspain/status/723270167799685120" xr:uid="{647257F2-9DC3-4213-8E56-608ECDE982E8}"/>
    <hyperlink ref="O2237" r:id="rId6920" display="https://pbs.twimg.com/profile_images/2779427075/266bf88edcc996d5ddfd8be780964ca9_normal.png" xr:uid="{6A95CA39-8410-4419-AF7F-4A5F2B651106}"/>
    <hyperlink ref="B2238" r:id="rId6921" display="https://twitter.com/FAZ_Finance" xr:uid="{6D356A6B-3729-4EEE-B58C-AF529A92101B}"/>
    <hyperlink ref="C2238" r:id="rId6922" xr:uid="{E54198F8-6411-4B14-833F-9861FA240298}"/>
    <hyperlink ref="E2238" r:id="rId6923" display="https://twitter.com/FAZ_Finance/status/723270259608829952" xr:uid="{D80A8AE8-72E5-432A-8088-CBC91AC8B1ED}"/>
    <hyperlink ref="F2238" r:id="rId6924" xr:uid="{40A9CC67-888B-4A4A-8A64-B421A1220176}"/>
    <hyperlink ref="O2238" r:id="rId6925" display="https://pbs.twimg.com/profile_images/477443424241463296/bKWNQp65_normal.jpeg" xr:uid="{2206EA54-B5ED-410B-B347-39C7872AEA31}"/>
    <hyperlink ref="B2239" r:id="rId6926" display="https://twitter.com/FAZ_Wirtschaft" xr:uid="{CEDD32E8-D735-4D69-A347-EB5B17CB6AC7}"/>
    <hyperlink ref="E2239" r:id="rId6927" display="https://twitter.com/FAZ_Wirtschaft/status/723270261731155968" xr:uid="{587D9D5E-114F-4A68-B4ED-197F70D01616}"/>
    <hyperlink ref="F2239" r:id="rId6928" xr:uid="{E430E359-3D1A-4A2D-A21C-8BA3A616F057}"/>
    <hyperlink ref="O2239" r:id="rId6929" display="https://pbs.twimg.com/profile_images/477440204932796419/Ubdok5z2_normal.jpeg" xr:uid="{9CB3EDF0-A26A-44EF-A617-672451E66FB7}"/>
    <hyperlink ref="B2240" r:id="rId6930" display="https://twitter.com/FAZ_NET" xr:uid="{01BD54E9-C0E1-4CFE-BB7E-E505259C69B7}"/>
    <hyperlink ref="E2240" r:id="rId6931" display="https://twitter.com/FAZ_NET/status/723270263580844036" xr:uid="{F1AF68A6-CE37-438E-B940-0DF19398D80D}"/>
    <hyperlink ref="F2240" r:id="rId6932" xr:uid="{11C85163-AFE6-453C-8094-F0BC47B9CA51}"/>
    <hyperlink ref="O2240" r:id="rId6933" display="https://pbs.twimg.com/profile_images/477439590232358913/xbZaJ1Ms_normal.jpeg" xr:uid="{8854B6F6-5FF4-4C06-8EE0-14534CC676ED}"/>
    <hyperlink ref="B2241" r:id="rId6934" display="https://twitter.com/Fran11player" xr:uid="{BF394EDD-4116-4CA8-8819-C405EFA4898A}"/>
    <hyperlink ref="E2241" r:id="rId6935" display="https://twitter.com/Fran11player/status/723270500114378752" xr:uid="{54563C23-28FF-4763-BF83-1DF6861F4683}"/>
    <hyperlink ref="O2241" r:id="rId6936" display="https://pbs.twimg.com/profile_images/571838766471630849/lS65SDc0_normal.jpeg" xr:uid="{B8A5BA22-5A19-4258-8D07-748558E58ABC}"/>
    <hyperlink ref="B2242" r:id="rId6937" display="https://twitter.com/ttsls" xr:uid="{6812710C-7ECC-4CAD-8DA6-C6EEDF0F034D}"/>
    <hyperlink ref="E2242" r:id="rId6938" display="https://twitter.com/ttsls/status/723270583442661379" xr:uid="{86A5E24E-8892-432B-82D2-25D72353668B}"/>
    <hyperlink ref="O2242" r:id="rId6939" display="https://pbs.twimg.com/profile_images/713756971422392320/1b8SVqWg_normal.jpg" xr:uid="{8B68698D-6A4F-41D0-9226-79DB491BD7A9}"/>
    <hyperlink ref="B2243" r:id="rId6940" display="https://twitter.com/JaguarApp" xr:uid="{36BEF4E7-9124-41C1-9418-C5AC13CFD58A}"/>
    <hyperlink ref="E2243" r:id="rId6941" display="https://twitter.com/JaguarApp/status/723270700656693248" xr:uid="{3F2A0599-BA9B-436C-845C-003D4830E77C}"/>
    <hyperlink ref="O2243" r:id="rId6942" display="https://pbs.twimg.com/profile_images/685533265101492224/RLrGcdgd_normal.png" xr:uid="{AE15A6B8-7973-4C49-A417-21388D41C185}"/>
    <hyperlink ref="B2244" r:id="rId6943" display="https://twitter.com/FernandoLessaRN" xr:uid="{AD07FED7-1795-4DA5-A399-50830B8E4DE4}"/>
    <hyperlink ref="E2244" r:id="rId6944" display="https://twitter.com/FernandoLessaRN/status/723270734970155008" xr:uid="{7E68A12C-1C86-4A57-8321-A28D7DCEBE0F}"/>
    <hyperlink ref="O2244" r:id="rId6945" display="https://pbs.twimg.com/profile_images/659869597953359873/TCD1XHoY_normal.jpg" xr:uid="{D2CB8C10-E8F7-4259-8FCF-AA18F025ADD6}"/>
    <hyperlink ref="B2245" r:id="rId6946" display="https://twitter.com/HenslerHarry" xr:uid="{E69CDD63-0360-46B8-924E-45407074F9C8}"/>
    <hyperlink ref="E2245" r:id="rId6947" display="https://twitter.com/HenslerHarry/status/723271280703733760" xr:uid="{E3C0021E-6BD1-448C-AB6F-09F9B42D178C}"/>
    <hyperlink ref="O2245" r:id="rId6948" display="https://pbs.twimg.com/profile_images/694398236161867778/pJkoqIMO_normal.jpg" xr:uid="{AC10EDDD-2F41-46E1-AB78-1B6FF33011A9}"/>
    <hyperlink ref="B2246" r:id="rId6949" display="https://twitter.com/profmonllor" xr:uid="{A5399FC3-E425-49C4-B70A-B9D710E04055}"/>
    <hyperlink ref="E2246" r:id="rId6950" display="https://twitter.com/profmonllor/status/723271371388772352" xr:uid="{8E678CEA-F25B-4D76-A686-94A35469B213}"/>
    <hyperlink ref="O2246" r:id="rId6951" display="https://pbs.twimg.com/profile_images/411932279997345792/XiYNUHLj_normal.jpeg" xr:uid="{236E11B0-3067-4B19-A880-79A4D780B5E3}"/>
    <hyperlink ref="P2246" r:id="rId6952" location="42.01507579,-87.67733976" display="http://ctrlq.org/maps/address/ - 42.01507579,-87.67733976" xr:uid="{69C4D000-D0E2-4CD7-9263-1DAAE3C21A95}"/>
    <hyperlink ref="B2247" r:id="rId6953" display="https://twitter.com/StohlmanAuto" xr:uid="{7369D691-AB01-4916-89C4-6956ABF15BFB}"/>
    <hyperlink ref="E2247" r:id="rId6954" display="https://twitter.com/StohlmanAuto/status/723271407048753152" xr:uid="{E86772CF-1CEB-42E0-990B-662E6E95FD70}"/>
    <hyperlink ref="O2247" r:id="rId6955" display="https://pbs.twimg.com/profile_images/2301932893/ofy8sgl94m45zgiq2my3_normal.jpeg" xr:uid="{B6326CFF-BCBE-4702-AA7F-0A8ED9BDC362}"/>
    <hyperlink ref="B2248" r:id="rId6956" display="https://twitter.com/IngoSauer" xr:uid="{FABAE11E-6FBE-4610-959B-715E165CA9AC}"/>
    <hyperlink ref="E2248" r:id="rId6957" display="https://twitter.com/IngoSauer/status/723271440196313092" xr:uid="{CA559637-6C82-4B74-93D8-EB92E884D86B}"/>
    <hyperlink ref="O2248" r:id="rId6958" display="https://pbs.twimg.com/profile_images/693159577689395201/VtgopmnY_normal.jpg" xr:uid="{36C3B36E-2020-4838-8AA0-C820531B0B64}"/>
    <hyperlink ref="B2249" r:id="rId6959" display="https://twitter.com/woever" xr:uid="{2EF1AEE1-F921-483B-B2F3-BC03CC4E1602}"/>
    <hyperlink ref="E2249" r:id="rId6960" display="https://twitter.com/woever/status/723271629502054400" xr:uid="{3F8431BD-9290-47D9-8F4C-09B16B846E8A}"/>
    <hyperlink ref="O2249" r:id="rId6961" display="https://pbs.twimg.com/profile_images/457491035/55178663_normal.jpg" xr:uid="{D30EB0C6-22AC-4A89-AA63-68450B8D6E57}"/>
    <hyperlink ref="B2250" r:id="rId6962" display="https://twitter.com/mpitzke" xr:uid="{E2CDFE94-699B-4067-A651-85F97E5CF836}"/>
    <hyperlink ref="E2250" r:id="rId6963" display="https://twitter.com/mpitzke/status/723272156298264577" xr:uid="{56F4A534-650C-4C6A-9FF2-55D35EAF802E}"/>
    <hyperlink ref="O2250" r:id="rId6964" display="https://pbs.twimg.com/profile_images/3057784625/13b5964242f4d542ae1a72c7a4b5e6ed_normal.jpeg" xr:uid="{7B011D6A-09CD-4D05-A3CD-5CF823DC1C9A}"/>
    <hyperlink ref="B2251" r:id="rId6965" display="https://twitter.com/aatheus" xr:uid="{D14F8945-0BED-4D65-8DBE-712E05971D90}"/>
    <hyperlink ref="E2251" r:id="rId6966" display="https://twitter.com/aatheus/status/723272565540577280" xr:uid="{EABE6514-8CD7-4FE4-BE5D-024D1D191F4B}"/>
    <hyperlink ref="O2251" r:id="rId6967" display="https://pbs.twimg.com/profile_images/83066316/1249401_normal.jpeg" xr:uid="{9BE9D69E-8E09-400B-BF8F-807E5BF6424F}"/>
    <hyperlink ref="B2252" r:id="rId6968" display="https://twitter.com/VWCamperSales" xr:uid="{65B1D42A-26C5-4B48-ACA3-34291FFC82FD}"/>
    <hyperlink ref="E2252" r:id="rId6969" display="https://twitter.com/VWCamperSales/status/723272632305471488" xr:uid="{A6C86695-8F5F-4DE0-810A-8154DD06B152}"/>
    <hyperlink ref="F2252" r:id="rId6970" xr:uid="{65340EBB-E8E7-4BCA-BE18-A85C8DBCBA9A}"/>
    <hyperlink ref="O2252" r:id="rId6971" display="https://pbs.twimg.com/profile_images/627949001179037696/skEBkS05_normal.jpg" xr:uid="{CBCCD5F1-98B0-498C-B5F4-C3F20756C173}"/>
    <hyperlink ref="B2253" r:id="rId6972" display="https://twitter.com/eliy_enano" xr:uid="{43FE07FE-4593-45A8-A30E-2E36CBBFEAE3}"/>
    <hyperlink ref="E2253" r:id="rId6973" display="https://twitter.com/eliy_enano/status/723272790158225408" xr:uid="{1FEDA413-22B1-4891-8103-F6EF136C1E39}"/>
    <hyperlink ref="O2253" r:id="rId6974" display="https://pbs.twimg.com/profile_images/698580518359719936/92ngGY1X_normal.jpg" xr:uid="{1B9DE316-B0B8-43F4-9C2B-F571841BB25F}"/>
    <hyperlink ref="B2254" r:id="rId6975" display="https://twitter.com/JackieLeonard01" xr:uid="{7AB98E92-F06C-4790-ACA0-F8C62257C988}"/>
    <hyperlink ref="E2254" r:id="rId6976" display="https://twitter.com/JackieLeonard01/status/723273096845729793" xr:uid="{02F59482-2D7A-47AB-AA44-CD796BA01B37}"/>
    <hyperlink ref="O2254" r:id="rId6977" display="https://pbs.twimg.com/profile_images/1646660459/cropped_pic_normal.jpg" xr:uid="{DEAB3354-6786-4E4A-AA91-2E65385B4D6E}"/>
    <hyperlink ref="B2255" r:id="rId6978" display="https://twitter.com/CossettoNahu" xr:uid="{50333623-FD66-49A4-811F-A94DD8DB8D7E}"/>
    <hyperlink ref="E2255" r:id="rId6979" display="https://twitter.com/CossettoNahu/status/723273350546644992" xr:uid="{BD073CA1-D2B3-4078-BFF7-B734FA02F0BC}"/>
    <hyperlink ref="O2255" r:id="rId6980" display="https://pbs.twimg.com/profile_images/722993583255597056/E_JWLEvM_normal.jpg" xr:uid="{2B915BA6-C477-46F7-B447-89D3E9E1C20A}"/>
    <hyperlink ref="B2256" r:id="rId6981" display="https://twitter.com/SmackSmog" xr:uid="{8E42C4FA-F98B-4C3F-BA5A-4D27D30D11B6}"/>
    <hyperlink ref="E2256" r:id="rId6982" display="https://twitter.com/SmackSmog/status/723273377843187716" xr:uid="{BC235D22-76A5-4119-9DF1-78B1C31EC5E7}"/>
    <hyperlink ref="O2256" r:id="rId6983" display="https://pbs.twimg.com/profile_images/3774183798/c736d0183ed85ff3983ab82ce797920c_normal.png" xr:uid="{F59F79FC-86BF-4ABD-8876-D02FFFA5028C}"/>
    <hyperlink ref="B2257" r:id="rId6984" display="https://twitter.com/SmackSmog" xr:uid="{7FA307E0-3E2D-4D67-8D86-52365D697AA6}"/>
    <hyperlink ref="E2257" r:id="rId6985" display="https://twitter.com/SmackSmog/status/723273389402632193" xr:uid="{2CB24E5C-ACB5-4D34-A78E-1D5833DB200A}"/>
    <hyperlink ref="O2257" r:id="rId6986" display="https://pbs.twimg.com/profile_images/3774183798/c736d0183ed85ff3983ab82ce797920c_normal.png" xr:uid="{78AF4AEA-99B6-43A8-8C8F-7288F2614273}"/>
    <hyperlink ref="B2258" r:id="rId6987" display="https://twitter.com/UniversityVW" xr:uid="{C4E53234-2D99-4B5E-AEB2-CE4E8764845C}"/>
    <hyperlink ref="E2258" r:id="rId6988" display="https://twitter.com/UniversityVW/status/723273919654973442" xr:uid="{C2FFC74A-7FD3-4A0E-BB4B-EA709E7B4BFB}"/>
    <hyperlink ref="O2258" r:id="rId6989" display="https://pbs.twimg.com/profile_images/702601670186790912/ZdaqJSKf_normal.jpg" xr:uid="{A342F467-2B66-4108-9F6D-D3391823E3D2}"/>
    <hyperlink ref="B2259" r:id="rId6990" display="https://twitter.com/VWCamperSales" xr:uid="{CE1D93E2-97AE-486F-AC71-C10078FC3ACA}"/>
    <hyperlink ref="E2259" r:id="rId6991" display="https://twitter.com/VWCamperSales/status/723274001074655232" xr:uid="{C62972C1-DBF0-4F27-9F54-64FA175D9ECD}"/>
    <hyperlink ref="F2259" r:id="rId6992" xr:uid="{6E6D1CC3-CB68-4D1B-8FD2-2F55664492DD}"/>
    <hyperlink ref="O2259" r:id="rId6993" display="https://pbs.twimg.com/profile_images/627949001179037696/skEBkS05_normal.jpg" xr:uid="{376BEC89-783F-41FF-A86D-41A20F7C6144}"/>
    <hyperlink ref="B2260" r:id="rId6994" display="https://twitter.com/shawadli" xr:uid="{51ADD1A2-290F-438A-9576-4B0F82A1A25F}"/>
    <hyperlink ref="E2260" r:id="rId6995" display="https://twitter.com/shawadli/status/723274099561123840" xr:uid="{32764372-67C9-4CAF-B428-81014815EE94}"/>
    <hyperlink ref="O2260" r:id="rId6996" display="https://pbs.twimg.com/profile_images/677562570048299008/DIlp9B9o_normal.jpg" xr:uid="{EE215759-765D-4298-897D-3A7913917275}"/>
    <hyperlink ref="B2261" r:id="rId6997" display="https://twitter.com/littleredblog" xr:uid="{FB404087-E9E7-4F13-A70B-4BEC3CA4CCCF}"/>
    <hyperlink ref="E2261" r:id="rId6998" display="https://twitter.com/littleredblog/status/723274257921355776" xr:uid="{EB64DC15-31D2-4D26-A4C2-FF05A6093964}"/>
    <hyperlink ref="O2261" r:id="rId6999" display="https://pbs.twimg.com/profile_images/709200064921608193/oIFcw-2Q_normal.jpg" xr:uid="{9F9BB2BD-99D7-45E7-9491-5E8AAC201849}"/>
    <hyperlink ref="B2262" r:id="rId7000" display="https://twitter.com/FredChristian10" xr:uid="{60EBCA08-835C-4C9D-9E86-61480126B62E}"/>
    <hyperlink ref="E2262" r:id="rId7001" display="https://twitter.com/FredChristian10/status/723274419154653184" xr:uid="{211CDC22-5D5F-4A39-9B5A-AECE8584B9F6}"/>
    <hyperlink ref="O2262" r:id="rId7002" display="https://pbs.twimg.com/profile_images/527635549872345088/sDHCliSk_normal.png" xr:uid="{255824AC-FC3C-4E34-B4B1-E34B85AF427D}"/>
    <hyperlink ref="B2263" r:id="rId7003" display="https://twitter.com/VolkswagenPost" xr:uid="{B62F3477-CDBD-4EDE-B57E-298F970A253E}"/>
    <hyperlink ref="E2263" r:id="rId7004" display="https://twitter.com/VolkswagenPost/status/723274590865207301" xr:uid="{6AFB9ED9-C83B-49B8-B5F8-ED220287A523}"/>
    <hyperlink ref="O2263" r:id="rId7005" display="https://pbs.twimg.com/profile_images/530071272881803264/a_jcCmPZ_normal.png" xr:uid="{4E63DFBB-8D5D-474C-84C2-7F6F4D226962}"/>
    <hyperlink ref="B2264" r:id="rId7006" display="https://twitter.com/Insta_VWT" xr:uid="{B170D4B5-4170-4594-806B-D9ACE1E0C113}"/>
    <hyperlink ref="E2264" r:id="rId7007" display="https://twitter.com/Insta_VWT/status/723274762135474176" xr:uid="{2EC032E4-EA52-4164-8222-203E10654406}"/>
    <hyperlink ref="O2264" r:id="rId7008" display="https://pbs.twimg.com/profile_images/424893967197433858/iQ86NktX_normal.jpeg" xr:uid="{C91096E9-F73D-4C6B-BAFC-7AEEB220E4F3}"/>
    <hyperlink ref="B2265" r:id="rId7009" display="https://twitter.com/Insta_VWT" xr:uid="{6DEE5173-0956-41A7-9913-2777DA03B40E}"/>
    <hyperlink ref="E2265" r:id="rId7010" display="https://twitter.com/Insta_VWT/status/723274814685888512" xr:uid="{C50A816E-DB00-407F-A182-50FDADF170CA}"/>
    <hyperlink ref="O2265" r:id="rId7011" display="https://pbs.twimg.com/profile_images/424893967197433858/iQ86NktX_normal.jpeg" xr:uid="{FA6F345A-3463-44DC-AA2F-DA0BC6A58029}"/>
    <hyperlink ref="B2266" r:id="rId7012" display="https://twitter.com/thedieselarmy" xr:uid="{73E9E4D0-C781-4CE3-ADE2-F167C77F9A3D}"/>
    <hyperlink ref="E2266" r:id="rId7013" display="https://twitter.com/thedieselarmy/status/723274831400030208" xr:uid="{21A80429-C4AE-41C1-9557-3AA69F76F977}"/>
    <hyperlink ref="O2266" r:id="rId7014" display="https://pbs.twimg.com/profile_images/496706193172078592/-0vTdbYE_normal.jpeg" xr:uid="{5893164F-182F-42B7-B885-D0AF0DAD7840}"/>
    <hyperlink ref="B2267" r:id="rId7015" display="https://twitter.com/oldcar_photo" xr:uid="{9EAEE942-BA70-4849-BAB7-76607FFE81E7}"/>
    <hyperlink ref="E2267" r:id="rId7016" display="https://twitter.com/oldcar_photo/status/723274894012747776" xr:uid="{94D950FB-EB57-4DE6-ACF8-BFD9DAF59F5A}"/>
    <hyperlink ref="O2267" r:id="rId7017" display="https://pbs.twimg.com/profile_images/615493650785660928/XHUh6HOk_normal.jpg" xr:uid="{118AC065-CD80-46D6-930B-162AEFD2D20C}"/>
    <hyperlink ref="B2268" r:id="rId7018" display="https://twitter.com/fastlanedaily" xr:uid="{AC9CD8ED-FEAB-458B-B329-D2520E8AFC01}"/>
    <hyperlink ref="E2268" r:id="rId7019" display="https://twitter.com/fastlanedaily/status/723274976598564864" xr:uid="{7E02D312-4F3F-41C6-AE8B-16F5DFA895F9}"/>
    <hyperlink ref="O2268" r:id="rId7020" display="https://pbs.twimg.com/profile_images/584769693493239808/sNuQe6DN_normal.jpg" xr:uid="{725D62EE-DCD2-4C45-A701-13110607A4CB}"/>
    <hyperlink ref="B2269" r:id="rId7021" display="https://twitter.com/inesfpereira95" xr:uid="{2FBE11AC-B4F9-4D37-987E-4677F6ED2F2F}"/>
    <hyperlink ref="E2269" r:id="rId7022" display="https://twitter.com/inesfpereira95/status/723274983766630400" xr:uid="{4980200E-7BFC-468B-9D0D-D1CFEB1F93D6}"/>
    <hyperlink ref="O2269" r:id="rId7023" display="https://pbs.twimg.com/profile_images/711013597888045056/1Hc5ik2p_normal.jpg" xr:uid="{B8F361C4-8267-4A7F-98C7-C50E755C94B0}"/>
    <hyperlink ref="B2270" r:id="rId7024" display="https://twitter.com/MDBlanchfield" xr:uid="{7A96DBF7-7EA3-44B0-9719-B33B21F68288}"/>
    <hyperlink ref="E2270" r:id="rId7025" display="https://twitter.com/MDBlanchfield/status/723275045049536512" xr:uid="{1CFEFA5A-3217-4BDA-9BA3-2A1C9D17BFEF}"/>
    <hyperlink ref="O2270" r:id="rId7026" display="https://pbs.twimg.com/profile_images/717361645454905344/eSYXksup_normal.jpg" xr:uid="{A35E4BBB-09BA-4A02-A67A-8F03171D3F83}"/>
    <hyperlink ref="B2271" r:id="rId7027" display="https://twitter.com/VeeDubMk1_" xr:uid="{514E44E5-1E9C-462E-84A7-D2A2E5790A98}"/>
    <hyperlink ref="E2271" r:id="rId7028" display="https://twitter.com/VeeDubMk1_/status/723275046496657408" xr:uid="{2BF0C9DC-6573-49FA-A450-54676D6194BA}"/>
    <hyperlink ref="O2271" r:id="rId7029" display="https://pbs.twimg.com/profile_images/672878354127839232/M7OYc-zx_normal.jpg" xr:uid="{2B606A93-1D2F-491D-B3D1-AEFE8CA85187}"/>
    <hyperlink ref="B2272" r:id="rId7030" display="https://twitter.com/VeeDubMk1_" xr:uid="{F106A348-4EAC-4E7C-8244-BCD883E06E42}"/>
    <hyperlink ref="E2272" r:id="rId7031" display="https://twitter.com/VeeDubMk1_/status/723275071905763328" xr:uid="{EE8859E1-8066-4E89-9F13-C21E03E84E29}"/>
    <hyperlink ref="O2272" r:id="rId7032" display="https://pbs.twimg.com/profile_images/672878354127839232/M7OYc-zx_normal.jpg" xr:uid="{7883F711-D3BD-4E10-9975-16A49DC213A7}"/>
    <hyperlink ref="B2273" r:id="rId7033" display="https://twitter.com/noz_de" xr:uid="{8FA95BFD-8898-443C-98A5-7700CE9752B5}"/>
    <hyperlink ref="E2273" r:id="rId7034" display="https://twitter.com/noz_de/status/723275517894512643" xr:uid="{4165604A-3089-473F-B039-1021882B5CFB}"/>
    <hyperlink ref="O2273" r:id="rId7035" display="https://pbs.twimg.com/profile_images/632074137289277440/vJykSc8L_normal.png" xr:uid="{28FA8687-DB9B-4C9C-8B00-69683A6C30FC}"/>
    <hyperlink ref="B2274" r:id="rId7036" display="https://twitter.com/noz_el" xr:uid="{9483AE11-7517-4EDC-91CC-6705808847CA}"/>
    <hyperlink ref="E2274" r:id="rId7037" display="https://twitter.com/noz_el/status/723275544629022725" xr:uid="{4DDE3D38-C2AF-428B-BC7C-D32471315F7B}"/>
    <hyperlink ref="O2274" r:id="rId7038" display="https://pbs.twimg.com/profile_images/632074492798443520/j3zHKAI2_normal.png" xr:uid="{6368177C-7003-450F-A6E6-39B383DD7D7A}"/>
    <hyperlink ref="B2275" r:id="rId7039" display="https://twitter.com/Kreisblatt" xr:uid="{49D0E800-DCFC-45D8-B3D3-F99254F619F0}"/>
    <hyperlink ref="E2275" r:id="rId7040" display="https://twitter.com/Kreisblatt/status/723275544775786496" xr:uid="{B7330C17-CF4E-464D-9EEC-C6A221F54FA1}"/>
    <hyperlink ref="O2275" r:id="rId7041" display="https://pbs.twimg.com/profile_images/686552473713176576/k6pa-F9W_normal.jpg" xr:uid="{8B3016FF-89CF-4237-B8BC-0193F71C81A7}"/>
    <hyperlink ref="B2276" r:id="rId7042" display="https://twitter.com/tatymontespr" xr:uid="{B509417D-CDC3-4CAC-A1EC-D4AA9B7A9114}"/>
    <hyperlink ref="E2276" r:id="rId7043" display="https://twitter.com/tatymontespr/status/723275931029106688" xr:uid="{CF84AC85-8D47-4781-AB75-A3A6C0212920}"/>
    <hyperlink ref="O2276" r:id="rId7044" display="https://pbs.twimg.com/profile_images/1625824638/1dfsf2_normal.jpg" xr:uid="{8555BFA9-14D1-472E-84F4-B7A42EC47514}"/>
    <hyperlink ref="B2277" r:id="rId7045" display="https://twitter.com/VCT_Tweets" xr:uid="{A46774D1-F1F2-4826-BD3B-C27A4B53E70C}"/>
    <hyperlink ref="E2277" r:id="rId7046" display="https://twitter.com/VCT_Tweets/status/723276004538638339" xr:uid="{56C7BFF0-00D5-4E14-B7CC-4F332C06883B}"/>
    <hyperlink ref="O2277" r:id="rId7047" display="https://pbs.twimg.com/profile_images/569800899141177344/nVFLMSdb_normal.png" xr:uid="{8D1F1413-BC8B-48D5-93FF-CD6C3A5D27E5}"/>
    <hyperlink ref="B2278" r:id="rId7048" display="https://twitter.com/tatymontespr" xr:uid="{EA375F27-0D6F-45EA-AD15-AD2AC65868F0}"/>
    <hyperlink ref="E2278" r:id="rId7049" display="https://twitter.com/tatymontespr/status/723276021772886016" xr:uid="{DDF28FC0-7AB1-4390-9090-25DAD466E94F}"/>
    <hyperlink ref="O2278" r:id="rId7050" display="https://pbs.twimg.com/profile_images/1625824638/1dfsf2_normal.jpg" xr:uid="{C305D3B3-ED42-4636-98CC-0878F1EBBEA4}"/>
    <hyperlink ref="B2279" r:id="rId7051" display="https://twitter.com/chris_mccan" xr:uid="{4D7038D2-6B85-486D-A185-42B44169E597}"/>
    <hyperlink ref="E2279" r:id="rId7052" display="https://twitter.com/chris_mccan/status/723276078031228929" xr:uid="{4A1A66A3-E968-4D6F-8BA5-21F1BDED0B00}"/>
    <hyperlink ref="O2279" r:id="rId7053" display="https://pbs.twimg.com/profile_images/631671061084553216/PpgZuN1Y_normal.jpg" xr:uid="{5C72929A-46EE-4026-A440-0D75B2EDAA3C}"/>
    <hyperlink ref="P2279" r:id="rId7054" location="34.70106029,-83.72879957" display="http://ctrlq.org/maps/address/ - 34.70106029,-83.72879957" xr:uid="{BA09C5D4-8E46-4962-973C-9EFC928DA1C0}"/>
    <hyperlink ref="B2280" r:id="rId7055" display="https://twitter.com/margokissy" xr:uid="{2F29129F-D463-4072-8115-187CF1560408}"/>
    <hyperlink ref="E2280" r:id="rId7056" display="https://twitter.com/margokissy/status/723276242091384832" xr:uid="{DAD8E99C-C548-493D-B329-C77AD6B0DEEF}"/>
    <hyperlink ref="O2280" r:id="rId7057" display="https://pbs.twimg.com/profile_images/670723011155218433/qhXqNx8m_normal.jpg" xr:uid="{7D06BCFC-EBD0-4727-8E0A-F11223F2EE8E}"/>
    <hyperlink ref="B2281" r:id="rId7058" display="https://twitter.com/tatymontespr" xr:uid="{73480028-2E90-4BFD-B710-61EC7664F89E}"/>
    <hyperlink ref="E2281" r:id="rId7059" display="https://twitter.com/tatymontespr/status/723276400568852480" xr:uid="{DFC89324-B275-4275-9613-1FD7BDBB91B6}"/>
    <hyperlink ref="O2281" r:id="rId7060" display="https://pbs.twimg.com/profile_images/1625824638/1dfsf2_normal.jpg" xr:uid="{4E5F62F5-6D4A-4A62-8FC5-40BFCBAB8C0F}"/>
    <hyperlink ref="B2282" r:id="rId7061" display="https://twitter.com/OnlineCarReview" xr:uid="{DEF8A8AB-FA00-4D5A-9859-9A9096804D91}"/>
    <hyperlink ref="E2282" r:id="rId7062" display="https://twitter.com/OnlineCarReview/status/723276428276453377" xr:uid="{10EE481C-9EE9-4852-A7C1-73AD1E194E0C}"/>
    <hyperlink ref="O2282" r:id="rId7063" display="https://pbs.twimg.com/profile_images/652871584131092480/QA_B6SBO_normal.jpg" xr:uid="{AE8C6932-7EE1-40F2-925C-CF29CC66C300}"/>
    <hyperlink ref="B2283" r:id="rId7064" display="https://twitter.com/HonoluluVW" xr:uid="{FF006045-C72D-4803-95CC-21C9ED4FC3BF}"/>
    <hyperlink ref="E2283" r:id="rId7065" display="https://twitter.com/HonoluluVW/status/723276437017497600" xr:uid="{9B60A242-7077-4C2A-8DDE-70173C94E576}"/>
    <hyperlink ref="O2283" r:id="rId7066" display="https://pbs.twimg.com/profile_images/688094450761871360/Me8IBJ6G_normal.jpg" xr:uid="{B3E17093-AAA7-4D01-B2C6-5B4074D69055}"/>
    <hyperlink ref="B2284" r:id="rId7067" display="https://twitter.com/kathconnaugh" xr:uid="{0C48EE80-93AC-431D-B3B2-E4D41773EDE3}"/>
    <hyperlink ref="E2284" r:id="rId7068" display="https://twitter.com/kathconnaugh/status/723276808653836288" xr:uid="{28B775E6-9BE0-4565-A4D9-D78110050AAD}"/>
    <hyperlink ref="O2284" r:id="rId7069" display="https://pbs.twimg.com/profile_images/696399255079153664/444bI7j2_normal.jpg" xr:uid="{F60314A8-7D12-43BD-B768-7579BE944F25}"/>
    <hyperlink ref="B2285" r:id="rId7070" display="https://twitter.com/VWBeetleSales" xr:uid="{91658FDA-6F94-4FAE-9D11-043F86C9ED10}"/>
    <hyperlink ref="E2285" r:id="rId7071" display="https://twitter.com/VWBeetleSales/status/723277403657625602" xr:uid="{9B97D2A1-65CF-44B6-B001-8B35EA766E6F}"/>
    <hyperlink ref="F2285" r:id="rId7072" xr:uid="{93C88EFD-7AC9-4479-A2F1-252F35BAE363}"/>
    <hyperlink ref="O2285" r:id="rId7073" display="https://pbs.twimg.com/profile_images/703294545195307008/qeCvrX86_normal.jpg" xr:uid="{4D6578CE-89E4-4124-A4C2-F7D4993F60D8}"/>
    <hyperlink ref="B2286" r:id="rId7074" display="https://twitter.com/itzcel58Dolan" xr:uid="{CF412128-D465-44A7-8DAA-64453EC9E5EC}"/>
    <hyperlink ref="E2286" r:id="rId7075" display="https://twitter.com/itzcel58Dolan/status/723277499560501248" xr:uid="{0D9651DA-2C19-4A24-BF45-B6E04911A242}"/>
    <hyperlink ref="O2286" r:id="rId7076" display="https://pbs.twimg.com/profile_images/717057136212189184/GpQ7mjTO_normal.jpg" xr:uid="{A07583F9-24F3-47CC-B289-A295E75319F9}"/>
    <hyperlink ref="B2287" r:id="rId7077" display="https://twitter.com/philippvetter" xr:uid="{E68A5A1F-2F44-424C-9EED-D1DBC538D566}"/>
    <hyperlink ref="E2287" r:id="rId7078" display="https://twitter.com/philippvetter/status/723277587917770752" xr:uid="{832583BD-7D1A-40A6-940D-6CFC183DAEAA}"/>
    <hyperlink ref="O2287" r:id="rId7079" display="https://pbs.twimg.com/profile_images/553276249788129280/CF4iC9q-_normal.jpeg" xr:uid="{50D0BCAD-805D-41A3-BBCF-DB5335FC9658}"/>
    <hyperlink ref="B2288" r:id="rId7080" display="https://twitter.com/SmartSanta" xr:uid="{9331D664-7F52-491E-963A-822E414FAA8B}"/>
    <hyperlink ref="E2288" r:id="rId7081" display="https://twitter.com/SmartSanta/status/723277623292469248" xr:uid="{96C631DB-5E27-4F8A-8B28-AF7993A71856}"/>
    <hyperlink ref="O2288" r:id="rId7082" display="https://pbs.twimg.com/profile_images/605053791889686528/XT0dbCZN_normal.jpg" xr:uid="{C0117BD4-3809-47F6-9A54-88A353852BB0}"/>
    <hyperlink ref="B2289" r:id="rId7083" display="https://twitter.com/storefixcreate" xr:uid="{44A3A604-4349-4FFB-AE13-986FC26E5174}"/>
    <hyperlink ref="E2289" r:id="rId7084" display="https://twitter.com/storefixcreate/status/723277689495412737" xr:uid="{D4560624-BB63-4881-BD02-403EC8E9916A}"/>
    <hyperlink ref="O2289" r:id="rId7085" display="https://abs.twimg.com/sticky/default_profile_images/default_profile_3_normal.png" xr:uid="{A1A5472D-DED0-47DC-9CFB-88F3AC4ED443}"/>
    <hyperlink ref="B2290" r:id="rId7086" display="https://twitter.com/FuscaWorld" xr:uid="{77DF9529-127F-4DF0-B8CA-867D7D97261B}"/>
    <hyperlink ref="E2290" r:id="rId7087" display="https://twitter.com/FuscaWorld/status/723277708130680833" xr:uid="{ADAA21FB-F062-4FF1-88BD-688793A292AC}"/>
    <hyperlink ref="O2290" r:id="rId7088" display="https://pbs.twimg.com/profile_images/705780107844067328/e7O4UBNb_normal.jpg" xr:uid="{4033AB21-F723-4665-B9F3-B28341EAE517}"/>
    <hyperlink ref="B2291" r:id="rId7089" display="https://twitter.com/deanomsport" xr:uid="{1FC5BC27-37CD-43F5-A53B-CD534C8512EF}"/>
    <hyperlink ref="E2291" r:id="rId7090" display="https://twitter.com/deanomsport/status/723277969226129409" xr:uid="{6DAF80BE-335E-4523-951B-BDE7B6C13C0C}"/>
    <hyperlink ref="O2291" r:id="rId7091" display="https://pbs.twimg.com/profile_images/653310353653297153/bYVyhn8J_normal.jpg" xr:uid="{DEB36231-AD39-422D-B4FF-E4844C970692}"/>
    <hyperlink ref="B2292" r:id="rId7092" display="https://twitter.com/S1mon76" xr:uid="{21E58ED6-608F-4F92-9384-D24258022A3B}"/>
    <hyperlink ref="E2292" r:id="rId7093" display="https://twitter.com/S1mon76/status/723278112004444160" xr:uid="{896684F9-01D7-4C30-98D9-5E3523697E1A}"/>
    <hyperlink ref="O2292" r:id="rId7094" display="https://pbs.twimg.com/profile_images/711505572810657792/T3SEJVQL_normal.jpg" xr:uid="{D03F3BAA-3125-4F24-BB44-A3F8806AE8CF}"/>
    <hyperlink ref="B2293" r:id="rId7095" display="https://twitter.com/pleasecallmemac" xr:uid="{32DCDEBF-82F3-4C7B-9AA9-EEA5531EC7D3}"/>
    <hyperlink ref="E2293" r:id="rId7096" display="https://twitter.com/pleasecallmemac/status/723278226085302272" xr:uid="{318DAF01-FA3A-4ABA-9096-3A430EF3F993}"/>
    <hyperlink ref="O2293" r:id="rId7097" display="https://pbs.twimg.com/profile_images/621428656/IMG_0670_normal.jpg" xr:uid="{CD6AD20A-A870-4258-865D-C474C8F07841}"/>
    <hyperlink ref="B2294" r:id="rId7098" display="https://twitter.com/deliyakiseleva1" xr:uid="{5FA9ED5F-1552-42E1-A5DC-99E633051572}"/>
    <hyperlink ref="E2294" r:id="rId7099" display="https://twitter.com/deliyakiseleva1/status/723278417517514752" xr:uid="{031F48E1-7709-4553-AF43-901AAC0820C4}"/>
    <hyperlink ref="O2294" r:id="rId7100" display="https://pbs.twimg.com/profile_images/707419335300505600/5mTtwnXe_normal.jpg" xr:uid="{A7B56422-B67A-4558-90F8-0A7077930891}"/>
    <hyperlink ref="B2295" r:id="rId7101" display="https://twitter.com/manifestproxy" xr:uid="{FC4653E2-3D3A-4BE7-ABC1-49C0575F1DBD}"/>
    <hyperlink ref="E2295" r:id="rId7102" display="https://twitter.com/manifestproxy/status/723278517107064832" xr:uid="{C1C5E7F8-BFDD-4289-A34A-A8F95E1AC000}"/>
    <hyperlink ref="O2295" r:id="rId7103" display="https://pbs.twimg.com/profile_images/2630847009/c459243cb86e5ab96d3e20610c89fb34_normal.jpeg" xr:uid="{961B24D3-17A1-43AA-9999-A222B704B57C}"/>
    <hyperlink ref="B2296" r:id="rId7104" display="https://twitter.com/Blerrk" xr:uid="{D10EABDB-B93A-4243-948F-330B653F52E0}"/>
    <hyperlink ref="E2296" r:id="rId7105" display="https://twitter.com/Blerrk/status/723278590670974976" xr:uid="{C9A53FF5-C2BA-4F45-902E-21B831815051}"/>
    <hyperlink ref="O2296" r:id="rId7106" display="https://pbs.twimg.com/profile_images/696466709419417601/6yoE0NPV_normal.jpg" xr:uid="{89E37AD0-05FE-4EAE-85FB-20527B8A713E}"/>
    <hyperlink ref="B2297" r:id="rId7107" display="https://twitter.com/rgoverstreet" xr:uid="{09E5AD30-1859-48C4-8EAD-1BFAC092E434}"/>
    <hyperlink ref="E2297" r:id="rId7108" display="https://twitter.com/rgoverstreet/status/723279104452108289" xr:uid="{9F0BD9E3-E782-4165-B002-C2975BB33007}"/>
    <hyperlink ref="O2297" r:id="rId7109" display="https://pbs.twimg.com/profile_images/511300315228811264/sT0G3pjp_normal.jpeg" xr:uid="{D37F0B14-AEB9-4A89-ABA3-1C600FE8B20D}"/>
    <hyperlink ref="B2298" r:id="rId7110" display="https://twitter.com/Nord_DesignLA" xr:uid="{F694B18F-5E45-437A-8D70-4519B89F86A9}"/>
    <hyperlink ref="E2298" r:id="rId7111" display="https://twitter.com/Nord_DesignLA/status/723279627381182465" xr:uid="{20291DBC-5CC5-45D3-A28F-4835F33C723D}"/>
    <hyperlink ref="O2298" r:id="rId7112" display="https://pbs.twimg.com/profile_images/719691258831052800/NgqFK_yC_normal.jpg" xr:uid="{D826D82F-CAB1-4647-8AA9-FAC2E003FACE}"/>
    <hyperlink ref="B2299" r:id="rId7113" display="https://twitter.com/cas_2050000659" xr:uid="{44E782BF-029B-4C6D-ADFA-B7B11481A327}"/>
    <hyperlink ref="E2299" r:id="rId7114" display="https://twitter.com/cas_2050000659/status/723279754250461184" xr:uid="{9E221B7C-10CA-4426-B087-C5438DB1E3D8}"/>
    <hyperlink ref="O2299" r:id="rId7115" display="https://abs.twimg.com/sticky/default_profile_images/default_profile_0_normal.png" xr:uid="{BADD0950-AD33-481F-93C3-2B97D3DA0FE2}"/>
    <hyperlink ref="B2300" r:id="rId7116" display="https://twitter.com/IrlPublicBanks" xr:uid="{EBE3FE04-981E-46AA-9A1E-6E6AAA19DFE2}"/>
    <hyperlink ref="E2300" r:id="rId7117" display="https://twitter.com/IrlPublicBanks/status/723279909544669186" xr:uid="{524225BC-D3A1-45E4-9AEB-242DC0378417}"/>
    <hyperlink ref="O2300" r:id="rId7118" display="https://pbs.twimg.com/profile_images/454373310357192704/gv_pjo1d_normal.jpeg" xr:uid="{F95F517C-69F6-42CF-8576-3FB6CA22F4C2}"/>
    <hyperlink ref="B2301" r:id="rId7119" display="https://twitter.com/simarg31" xr:uid="{C9B9F983-8F7E-4ED2-B9A1-9D255B2C7F6D}"/>
    <hyperlink ref="E2301" r:id="rId7120" display="https://twitter.com/simarg31/status/723280202755776513" xr:uid="{A7F84200-DDB3-4796-A242-B83A430DDA33}"/>
    <hyperlink ref="O2301" r:id="rId7121" display="https://pbs.twimg.com/profile_images/574031975654105088/ydWscSRE_normal.jpeg" xr:uid="{CC081ACD-8B35-4C53-BF2F-7ED0144C778C}"/>
    <hyperlink ref="B2302" r:id="rId7122" display="https://twitter.com/DannyFreshVici" xr:uid="{A2BA80FF-11E4-4F89-B135-81B42B43AF71}"/>
    <hyperlink ref="E2302" r:id="rId7123" display="https://twitter.com/DannyFreshVici/status/723280333307817984" xr:uid="{E997C2FE-6EFA-4BB3-B5FF-920BE85C52C1}"/>
    <hyperlink ref="O2302" r:id="rId7124" display="https://pbs.twimg.com/profile_images/600512237535637504/UjVoSZSR_normal.jpg" xr:uid="{2C3A96D0-63CA-4136-A27A-08B33D312CEB}"/>
    <hyperlink ref="B2303" r:id="rId7125" display="https://twitter.com/44cent" xr:uid="{BF541512-C1DF-42A0-98B0-807DA16DE529}"/>
    <hyperlink ref="E2303" r:id="rId7126" display="https://twitter.com/44cent/status/723280581702881280" xr:uid="{EDDEAFE9-6C1A-4A86-8FC1-B271CE6E923E}"/>
    <hyperlink ref="O2303" r:id="rId7127" display="https://pbs.twimg.com/profile_images/1556214775/IMG00783-20110909-0916_normal.JPG" xr:uid="{7A914D4F-0B93-467A-8D15-3549DE502C8C}"/>
    <hyperlink ref="B2304" r:id="rId7128" display="https://twitter.com/DubLuvTuning" xr:uid="{57E7D7EF-646F-4E8A-B58C-FD28858B4023}"/>
    <hyperlink ref="E2304" r:id="rId7129" display="https://twitter.com/DubLuvTuning/status/723280848942993408" xr:uid="{2B6D8E47-B130-4D03-AC75-7C72500A64D4}"/>
    <hyperlink ref="O2304" r:id="rId7130" display="https://pbs.twimg.com/profile_images/378800000572104796/1de43e1cf23efb3f4101c02afad0d3b6_normal.png" xr:uid="{F86A3934-6D17-43C7-8D05-C6A37348D5FD}"/>
    <hyperlink ref="B2305" r:id="rId7131" display="https://twitter.com/k_bolesta" xr:uid="{D2E25CB6-5B85-4131-BF00-C706E1500ACF}"/>
    <hyperlink ref="E2305" r:id="rId7132" display="https://twitter.com/k_bolesta/status/723280907638059008" xr:uid="{CA50620E-E5CE-4ACA-AD17-87335BAE582A}"/>
    <hyperlink ref="O2305" r:id="rId7133" display="https://pbs.twimg.com/profile_images/692722389856165888/_03T3Gm-_normal.jpg" xr:uid="{6A6B5AB6-BEAA-4FE6-87C9-83F80A276031}"/>
    <hyperlink ref="B2306" r:id="rId7134" display="https://twitter.com/NCMae" xr:uid="{8BEF3E36-736C-4433-9EFF-B2C3761324B5}"/>
    <hyperlink ref="E2306" r:id="rId7135" display="https://twitter.com/NCMae/status/723281003465285633" xr:uid="{08239736-51AE-47E8-B6CB-970F7068DFDD}"/>
    <hyperlink ref="O2306" r:id="rId7136" display="https://pbs.twimg.com/profile_images/684617138611486720/X-XB255b_normal.jpg" xr:uid="{4340707F-C9EB-41CA-B73D-FCF88BE1B3EB}"/>
    <hyperlink ref="B2307" r:id="rId7137" display="https://twitter.com/DannyFreshVici" xr:uid="{4C8EAFFC-F3DA-4759-8E0B-29CAC151CCDF}"/>
    <hyperlink ref="E2307" r:id="rId7138" display="https://twitter.com/DannyFreshVici/status/723281017658839040" xr:uid="{0A4AA234-B0CE-4B73-9EA2-931061833CE1}"/>
    <hyperlink ref="O2307" r:id="rId7139" display="https://pbs.twimg.com/profile_images/600512237535637504/UjVoSZSR_normal.jpg" xr:uid="{67207A86-3E0D-4E31-BB79-351DE939612B}"/>
    <hyperlink ref="B2308" r:id="rId7140" display="https://twitter.com/JoeBert32" xr:uid="{9E3939E6-B832-475B-B837-6FEF7865E55F}"/>
    <hyperlink ref="E2308" r:id="rId7141" display="https://twitter.com/JoeBert32/status/723281089821839364" xr:uid="{0DB66B56-4625-424E-8528-0223968DCE72}"/>
    <hyperlink ref="O2308" r:id="rId7142" display="https://pbs.twimg.com/profile_images/2065747374/tramapoline_trabopoline_normal.gif" xr:uid="{6CBBA532-5636-47CC-AEF1-305DF6274C41}"/>
    <hyperlink ref="B2309" r:id="rId7143" display="https://twitter.com/danemiomar" xr:uid="{C8238C6E-AF4A-4177-A302-006A723C1654}"/>
    <hyperlink ref="E2309" r:id="rId7144" display="https://twitter.com/danemiomar/status/723281167080935424" xr:uid="{1D1E9726-9B24-45BB-A27A-AAAB02F6963C}"/>
    <hyperlink ref="N2309" r:id="rId7145" xr:uid="{E194C28D-3C6E-4D36-9E7C-C8952FA57048}"/>
    <hyperlink ref="O2309" r:id="rId7146" display="https://pbs.twimg.com/profile_images/537299833904971776/HgnIilLZ_normal.jpeg" xr:uid="{450B3FAA-CC15-485C-911E-FBF221B137E7}"/>
    <hyperlink ref="B2310" r:id="rId7147" display="https://twitter.com/m_yury" xr:uid="{74317185-4990-46FA-86CD-4D6674F6737A}"/>
    <hyperlink ref="E2310" r:id="rId7148" display="https://twitter.com/m_yury/status/723281474070433795" xr:uid="{4ACF7EAA-972B-49E0-A8D7-2B9B1673CEFE}"/>
    <hyperlink ref="O2310" r:id="rId7149" display="https://pbs.twimg.com/profile_images/697189475504496642/k85OzCSX_normal.jpg" xr:uid="{377F9766-50E0-4736-9659-12CB9FBCE310}"/>
    <hyperlink ref="B2311" r:id="rId7150" display="https://twitter.com/SexenioCDMX" xr:uid="{BD0F5615-18C9-45F8-BB76-BFB7AE26D69F}"/>
    <hyperlink ref="E2311" r:id="rId7151" display="https://twitter.com/SexenioCDMX/status/723281680518123520" xr:uid="{1BC62E1B-73A4-4902-8698-F2AF4BD90DD6}"/>
    <hyperlink ref="O2311" r:id="rId7152" display="https://pbs.twimg.com/profile_images/693156293842894848/THX8L389_normal.jpg" xr:uid="{8F2BE49F-373A-4011-BBF5-29BE2677DD3E}"/>
    <hyperlink ref="B2312" r:id="rId7153" display="https://twitter.com/SexenioMX" xr:uid="{BBA9CCC1-253A-4D2F-86EA-717A3B69019E}"/>
    <hyperlink ref="E2312" r:id="rId7154" display="https://twitter.com/SexenioMX/status/723281680543272961" xr:uid="{0D7D1419-AAA3-40D0-BDCE-96AFF6BB664B}"/>
    <hyperlink ref="O2312" r:id="rId7155" display="https://pbs.twimg.com/profile_images/700415860230397952/tCGmCj6M_normal.jpg" xr:uid="{BEC675E0-BB0E-4369-A2BB-92C104DA78A8}"/>
    <hyperlink ref="B2313" r:id="rId7156" display="https://twitter.com/techhippie" xr:uid="{4D903E27-7C6E-41D0-85C1-A46B88684316}"/>
    <hyperlink ref="E2313" r:id="rId7157" display="https://twitter.com/techhippie/status/723282106756018176" xr:uid="{4CFC00E3-7827-4784-A235-34E708D5880C}"/>
    <hyperlink ref="O2313" r:id="rId7158" display="https://pbs.twimg.com/profile_images/702511217793863680/lty8h9vE_normal.jpg" xr:uid="{15CDE2C7-F9FD-4C26-A400-1061C6A6599A}"/>
    <hyperlink ref="B2314" r:id="rId7159" display="https://twitter.com/techhippie" xr:uid="{0D1BFF3F-318A-4C59-A44B-FCA85FB571A3}"/>
    <hyperlink ref="E2314" r:id="rId7160" display="https://twitter.com/techhippie/status/723282145234526209" xr:uid="{DEB1EA78-ACEA-4809-BA71-CADD2AC75596}"/>
    <hyperlink ref="O2314" r:id="rId7161" display="https://pbs.twimg.com/profile_images/702511217793863680/lty8h9vE_normal.jpg" xr:uid="{50A23B5A-3826-4252-A07F-F004C71AB7FE}"/>
    <hyperlink ref="B2315" r:id="rId7162" display="https://twitter.com/JoanneMHurley" xr:uid="{7013F199-CA92-4933-A00D-945176E68144}"/>
    <hyperlink ref="E2315" r:id="rId7163" display="https://twitter.com/JoanneMHurley/status/723282288432160768" xr:uid="{92E5F23F-3F5C-4AC0-B187-BD45D96B993C}"/>
    <hyperlink ref="O2315" r:id="rId7164" display="https://pbs.twimg.com/profile_images/658739197503754240/o31MV5mf_normal.jpg" xr:uid="{1D1000D0-122A-4D36-8732-41156047517A}"/>
    <hyperlink ref="P2315" r:id="rId7165" location="53.32668468,-6.22602209" display="http://ctrlq.org/maps/address/ - 53.32668468,-6.22602209" xr:uid="{695D23F7-42DE-4099-ACB2-F85C40EC9E7B}"/>
    <hyperlink ref="B2316" r:id="rId7166" display="https://twitter.com/VolkswagenPost" xr:uid="{4BF97F69-6A3D-4F3C-965D-EF4D39DAB1B1}"/>
    <hyperlink ref="E2316" r:id="rId7167" display="https://twitter.com/VolkswagenPost/status/723282404476116992" xr:uid="{B0740503-FAB3-49F5-9493-B505819A5A2D}"/>
    <hyperlink ref="O2316" r:id="rId7168" display="https://pbs.twimg.com/profile_images/530071272881803264/a_jcCmPZ_normal.png" xr:uid="{D0DBB457-BFE2-4C92-9638-7B371A318290}"/>
    <hyperlink ref="B2317" r:id="rId7169" display="https://twitter.com/VWCamperSales" xr:uid="{0C6F0090-A87A-4DFC-9730-6F745D303A24}"/>
    <hyperlink ref="E2317" r:id="rId7170" display="https://twitter.com/VWCamperSales/status/723282558205620228" xr:uid="{2894220D-BAF1-4036-B87E-A186A9994F1A}"/>
    <hyperlink ref="F2317" r:id="rId7171" xr:uid="{0E521784-A70F-44D6-97D8-8039439F2B6E}"/>
    <hyperlink ref="O2317" r:id="rId7172" display="https://pbs.twimg.com/profile_images/627949001179037696/skEBkS05_normal.jpg" xr:uid="{96421BB3-14B2-4ABB-811A-DF748AC45B33}"/>
    <hyperlink ref="B2318" r:id="rId7173" display="https://twitter.com/VWCamperSales" xr:uid="{6EF16D37-D07A-47A9-B089-76AC80751B9E}"/>
    <hyperlink ref="E2318" r:id="rId7174" display="https://twitter.com/VWCamperSales/status/723282561363898368" xr:uid="{3A303967-C870-4E3C-999C-054CF4A38BF0}"/>
    <hyperlink ref="F2318" r:id="rId7175" xr:uid="{FB844659-332D-49F5-8789-668B1C665FE3}"/>
    <hyperlink ref="O2318" r:id="rId7176" display="https://pbs.twimg.com/profile_images/627949001179037696/skEBkS05_normal.jpg" xr:uid="{78EEBEF5-6A73-4A1E-8EAE-B8483C8290ED}"/>
    <hyperlink ref="B2319" r:id="rId7177" display="https://twitter.com/Hermosuraterr" xr:uid="{4A6B1CAB-4497-45D3-9171-B5A366EB5B4D}"/>
    <hyperlink ref="E2319" r:id="rId7178" display="https://twitter.com/Hermosuraterr/status/723282850162855936" xr:uid="{04A6F7F5-63AC-406A-8E67-D3A4BF60A19A}"/>
    <hyperlink ref="O2319" r:id="rId7179" display="https://pbs.twimg.com/profile_images/695214565102129153/bpGeoCoy_normal.jpg" xr:uid="{4DF2B3F8-83DE-46AA-A661-64E7C6DCDA82}"/>
    <hyperlink ref="B2320" r:id="rId7180" display="https://twitter.com/KnowAhhhh" xr:uid="{6B1915F8-5D4F-42E6-B9AF-E32647349612}"/>
    <hyperlink ref="E2320" r:id="rId7181" display="https://twitter.com/KnowAhhhh/status/723283071173287937" xr:uid="{17F9A372-3A35-43EC-9993-AA3A67AEFF3A}"/>
    <hyperlink ref="O2320" r:id="rId7182" display="https://pbs.twimg.com/profile_images/609726404171821058/p0ZXqqSL_normal.jpg" xr:uid="{064BDB29-660B-4203-9D53-41A33BDCC233}"/>
    <hyperlink ref="B2321" r:id="rId7183" display="https://twitter.com/buybackmytdi" xr:uid="{4D57C65F-90CB-43B2-9B2F-B3FD5B9E25CD}"/>
    <hyperlink ref="E2321" r:id="rId7184" display="https://twitter.com/buybackmytdi/status/723283147333332993" xr:uid="{1DE36674-5DC6-4663-950E-CB65CFACDB80}"/>
    <hyperlink ref="O2321" r:id="rId7185" display="https://pbs.twimg.com/profile_images/646083283629965312/BhFSIWWZ_normal.png" xr:uid="{07FE90A4-0142-4F98-9675-C4074540F119}"/>
    <hyperlink ref="B2322" r:id="rId7186" display="https://twitter.com/ThreeCountyVW" xr:uid="{648BD9DB-2A9C-49C5-A534-1F0BD716F393}"/>
    <hyperlink ref="E2322" r:id="rId7187" display="https://twitter.com/ThreeCountyVW/status/723283932368637952" xr:uid="{6BAE040E-7560-4514-AC9A-F80C0B37F29B}"/>
    <hyperlink ref="O2322" r:id="rId7188" display="https://pbs.twimg.com/profile_images/510134807351672832/NEa_-oCU_normal.jpeg" xr:uid="{F40DCD5D-9BC0-4CF1-8C8E-27BDC1CDA2D2}"/>
    <hyperlink ref="B2323" r:id="rId7189" display="https://twitter.com/Colorful_Jamie" xr:uid="{5B8069EE-FC14-418B-9C3E-4ADC88E59C8C}"/>
    <hyperlink ref="E2323" r:id="rId7190" display="https://twitter.com/Colorful_Jamie/status/723284303388483585" xr:uid="{A84B619A-CC13-43EB-B462-3E9BA3EDBE43}"/>
    <hyperlink ref="O2323" r:id="rId7191" display="https://pbs.twimg.com/profile_images/701333097984360448/l4jaOWgF_normal.jpg" xr:uid="{ACF45EAD-2C71-4602-9A4A-FC92DD1B5E5A}"/>
    <hyperlink ref="B2324" r:id="rId7192" display="https://twitter.com/EscobarVW" xr:uid="{ED464D3E-9AE7-4F2B-90E4-A6028B1C96B6}"/>
    <hyperlink ref="E2324" r:id="rId7193" display="https://twitter.com/EscobarVW/status/723285190764720129" xr:uid="{173C6378-A893-4A79-87E6-A6850592A109}"/>
    <hyperlink ref="O2324" r:id="rId7194" display="https://pbs.twimg.com/profile_images/378800000017673536/e0a08b4394acdb3e39cee11cbec39455_normal.jpeg" xr:uid="{9215EAE8-1343-412B-9A67-1D7201DFBF24}"/>
    <hyperlink ref="B2325" r:id="rId7195" display="https://twitter.com/kngeuro" xr:uid="{5875AB8F-42AE-4FE4-9479-8DE5714DF6CF}"/>
    <hyperlink ref="E2325" r:id="rId7196" display="https://twitter.com/kngeuro/status/723285315473960960" xr:uid="{5691C77B-FA2A-47E9-9D8C-AC5990F9EBA6}"/>
    <hyperlink ref="O2325" r:id="rId7197" display="https://pbs.twimg.com/profile_images/570375988065935360/ooT_Nq7x_normal.jpeg" xr:uid="{5614DD66-7E33-44C9-8B07-5388A5E0659F}"/>
    <hyperlink ref="B2326" r:id="rId7198" display="https://twitter.com/SotirisLalas" xr:uid="{837EB9B0-6E1A-49E8-A1FB-CF572B7C47C0}"/>
    <hyperlink ref="E2326" r:id="rId7199" display="https://twitter.com/SotirisLalas/status/723285370033561600" xr:uid="{A53F3CF2-90D2-43AB-806F-C504EFA2D004}"/>
    <hyperlink ref="O2326" r:id="rId7200" display="https://pbs.twimg.com/profile_images/705432428991619072/OaK50uXS_normal.jpg" xr:uid="{5E333DF3-93CE-4DE7-980B-96BF3B7E4CBF}"/>
    <hyperlink ref="B2327" r:id="rId7201" display="https://twitter.com/DubLuvTuning" xr:uid="{773C4F0D-8D89-4D61-9B98-7855F500ED16}"/>
    <hyperlink ref="E2327" r:id="rId7202" display="https://twitter.com/DubLuvTuning/status/723285409858523137" xr:uid="{AC75A9A2-84D2-40C3-BD5B-AD7FB3C4A2C8}"/>
    <hyperlink ref="O2327" r:id="rId7203" display="https://pbs.twimg.com/profile_images/378800000572104796/1de43e1cf23efb3f4101c02afad0d3b6_normal.png" xr:uid="{B9A1F482-DB2B-48C2-9CF8-54569B4BBB3F}"/>
    <hyperlink ref="B2328" r:id="rId7204" display="https://twitter.com/ballyhea14" xr:uid="{AE2A6AA2-B76A-451A-9F4D-CA4DA7A547B7}"/>
    <hyperlink ref="E2328" r:id="rId7205" display="https://twitter.com/ballyhea14/status/723286073841995776" xr:uid="{D10119BF-1001-4D33-853D-62049111ECA5}"/>
    <hyperlink ref="O2328" r:id="rId7206" display="https://pbs.twimg.com/profile_images/1347982898/cropped_twitter_normal.jpg" xr:uid="{BC5A44B4-CF51-4AC2-9B62-601ECB9D0ACA}"/>
    <hyperlink ref="B2329" r:id="rId7207" display="https://twitter.com/VAGFanArg" xr:uid="{E4E3BDEE-A3DA-4D8F-ACB2-B7449D9FC946}"/>
    <hyperlink ref="E2329" r:id="rId7208" display="https://twitter.com/VAGFanArg/status/723286078283718657" xr:uid="{2812DC72-C46C-4D68-801A-0DA7B590CD42}"/>
    <hyperlink ref="O2329" r:id="rId7209" display="https://pbs.twimg.com/profile_images/667876096088653825/FOW14Ke4_normal.jpg" xr:uid="{65A4FEDF-3BCC-48EA-8EA9-8432E9C20EC3}"/>
    <hyperlink ref="B2330" r:id="rId7210" display="https://twitter.com/lionleon99" xr:uid="{864DEE0D-7855-4F3D-806C-8854AFF057B6}"/>
    <hyperlink ref="E2330" r:id="rId7211" display="https://twitter.com/lionleon99/status/723286479565381633" xr:uid="{BA3818D5-4549-4D88-9A78-A68F8D3E441D}"/>
    <hyperlink ref="O2330" r:id="rId7212" display="https://pbs.twimg.com/profile_images/688817509475184640/RNJBrRle_normal.jpg" xr:uid="{75ED0AC4-EB84-459D-83C6-B7D4CF81D5A4}"/>
    <hyperlink ref="B2331" r:id="rId7213" display="https://twitter.com/IrelandUncut" xr:uid="{A77CCE1A-2332-4C6A-A1B5-193766C5C85F}"/>
    <hyperlink ref="E2331" r:id="rId7214" display="https://twitter.com/IrelandUncut/status/723286549157281793" xr:uid="{8443C5F8-A04D-4351-9B60-97483B727A3A}"/>
    <hyperlink ref="O2331" r:id="rId7215" display="https://pbs.twimg.com/profile_images/718457079418208258/dKesHuLS_normal.jpg" xr:uid="{68EA2D37-ED4F-4AAA-BF94-8C8C37721D67}"/>
    <hyperlink ref="B2332" r:id="rId7216" display="https://twitter.com/VAGFanArg" xr:uid="{6A62D483-B77A-420F-A9FB-3931B98ED32D}"/>
    <hyperlink ref="E2332" r:id="rId7217" display="https://twitter.com/VAGFanArg/status/723286598805274624" xr:uid="{3B777C14-2ADB-4940-8225-E63EAF95B436}"/>
    <hyperlink ref="O2332" r:id="rId7218" display="https://pbs.twimg.com/profile_images/667876096088653825/FOW14Ke4_normal.jpg" xr:uid="{EA021FCA-B2D6-49DF-A7C9-0F78CBEF2868}"/>
    <hyperlink ref="B2333" r:id="rId7219" display="https://twitter.com/VWBeetleSales" xr:uid="{7BB5ADCD-CDCB-4BDB-8934-338FD909999F}"/>
    <hyperlink ref="E2333" r:id="rId7220" display="https://twitter.com/VWBeetleSales/status/723287129023860736" xr:uid="{6D7872F3-3AE9-45B9-A481-0E7FAF8DF76E}"/>
    <hyperlink ref="F2333" r:id="rId7221" xr:uid="{73451910-CE41-43DF-9E23-D11A0E84A9B3}"/>
    <hyperlink ref="O2333" r:id="rId7222" display="https://pbs.twimg.com/profile_images/703294545195307008/qeCvrX86_normal.jpg" xr:uid="{ADE8042E-7A80-4833-9846-DF9E7635569D}"/>
    <hyperlink ref="B2334" r:id="rId7223" display="https://twitter.com/cuezerdo1957" xr:uid="{64CAF1BA-3046-469F-9337-968CD1D72F83}"/>
    <hyperlink ref="E2334" r:id="rId7224" display="https://twitter.com/cuezerdo1957/status/723287486957379584" xr:uid="{59E75D65-68CA-42BB-B9B9-3757FB828DCD}"/>
    <hyperlink ref="O2334" r:id="rId7225" display="https://pbs.twimg.com/profile_images/647826405695221760/RrFcDh1m_normal.jpg" xr:uid="{0E3EDABE-152F-4299-8D36-F730F1639F67}"/>
    <hyperlink ref="B2335" r:id="rId7226" display="https://twitter.com/EnlaceMexicoMX" xr:uid="{3D81DD80-3A60-406F-BFB2-04461B11C495}"/>
    <hyperlink ref="E2335" r:id="rId7227" display="https://twitter.com/EnlaceMexicoMX/status/723288022557421568" xr:uid="{5DE494F3-6698-492D-A197-0C3059DC6D3A}"/>
    <hyperlink ref="O2335" r:id="rId7228" display="https://pbs.twimg.com/profile_images/492428476062777344/PinaonZb_normal.jpeg" xr:uid="{858C30D4-06D3-4E47-8583-2EF5BAB2A08C}"/>
    <hyperlink ref="B2336" r:id="rId7229" display="https://twitter.com/battleforeurope" xr:uid="{DB454024-E629-4339-98B2-A6489885AB57}"/>
    <hyperlink ref="E2336" r:id="rId7230" display="https://twitter.com/battleforeurope/status/723288036956459008" xr:uid="{282D7825-5033-47E5-A08D-43420085D226}"/>
    <hyperlink ref="O2336" r:id="rId7231" display="https://pbs.twimg.com/profile_images/421696344185503744/QuPb6MQO_normal.jpeg" xr:uid="{74399CD3-2231-497F-99C8-B2499E7B37E1}"/>
    <hyperlink ref="B2337" r:id="rId7232" display="https://twitter.com/isazozoaga" xr:uid="{8643F741-20A3-413B-B440-DB6451078E8C}"/>
    <hyperlink ref="E2337" r:id="rId7233" display="https://twitter.com/isazozoaga/status/723288057638584322" xr:uid="{75051AE0-71B2-449B-8DA9-00B44B5232D6}"/>
    <hyperlink ref="O2337" r:id="rId7234" display="https://pbs.twimg.com/profile_images/447441718514700288/peakR1oV_normal.jpeg" xr:uid="{F115FCE2-D315-4EC0-85DF-82B54A9A0020}"/>
    <hyperlink ref="B2338" r:id="rId7235" display="https://twitter.com/bradkellyfilms" xr:uid="{F41825A5-E494-4DE0-A3C6-65DC8BE7561B}"/>
    <hyperlink ref="E2338" r:id="rId7236" display="https://twitter.com/bradkellyfilms/status/723288182167580673" xr:uid="{A2838E27-396C-4C41-AF68-B3EA039894A7}"/>
    <hyperlink ref="O2338" r:id="rId7237" display="https://pbs.twimg.com/profile_images/1232924144/BradKelly_MeteorOverHarvardSq_lcd800_normal.jpg" xr:uid="{DF31C356-32BC-4FD4-BEB6-1BCE237E9C90}"/>
    <hyperlink ref="B2339" r:id="rId7238" display="https://twitter.com/Scirocco_Tuning" xr:uid="{DF905BA6-BF34-47B4-B3FE-4E68BADCBC0D}"/>
    <hyperlink ref="E2339" r:id="rId7239" display="https://twitter.com/Scirocco_Tuning/status/723288287503351809" xr:uid="{638D270A-A724-4C0A-8F38-9E2EA1EF0221}"/>
    <hyperlink ref="O2339" r:id="rId7240" display="https://pbs.twimg.com/profile_images/1610421423/Image2_normal.jpg" xr:uid="{E69EED89-F277-406E-8CA1-195BF9F02CF3}"/>
    <hyperlink ref="B2340" r:id="rId7241" display="https://twitter.com/SteveHancke" xr:uid="{610B9ED4-B785-4B8D-95ED-CC4DB8E373EE}"/>
    <hyperlink ref="E2340" r:id="rId7242" display="https://twitter.com/SteveHancke/status/723289279523381248" xr:uid="{17B16D0E-D33A-4B6F-AB64-649533085BA6}"/>
    <hyperlink ref="O2340" r:id="rId7243" display="https://pbs.twimg.com/profile_images/2770347874/15a72fbead709b772a6a2f4b3e23cced_normal.jpeg" xr:uid="{D07D3D80-975F-4CC3-B399-B124E5C58534}"/>
    <hyperlink ref="B2341" r:id="rId7244" display="https://twitter.com/colwagen" xr:uid="{81FA4034-AE29-481C-B5D3-32E3787A12F9}"/>
    <hyperlink ref="E2341" r:id="rId7245" display="https://twitter.com/colwagen/status/723289709103964165" xr:uid="{7CF5DB19-BA9C-4731-92CE-E7A60BF69CA9}"/>
    <hyperlink ref="O2341" r:id="rId7246" display="https://pbs.twimg.com/profile_images/2432925127/037j7zaybfps0pmn6dp9_normal.gif" xr:uid="{4414FDBD-1F64-40C8-9C2E-CA8DF11B87D7}"/>
    <hyperlink ref="B2342" r:id="rId7247" display="https://twitter.com/sandraelleni" xr:uid="{20392770-8126-410B-8540-894C1F896404}"/>
    <hyperlink ref="E2342" r:id="rId7248" display="https://twitter.com/sandraelleni/status/723289919087628288" xr:uid="{6FBA4770-9AFC-4D2B-BBF1-8BCCE373637E}"/>
    <hyperlink ref="O2342" r:id="rId7249" display="https://pbs.twimg.com/profile_images/457654961531125760/YCdjkxyv_normal.jpeg" xr:uid="{4AD6117E-C86F-4F0B-9C13-ECCD59BD865B}"/>
    <hyperlink ref="B2343" r:id="rId7250" display="https://twitter.com/VWBeetleSales" xr:uid="{028D1D07-8DA1-42C6-87E8-A1DB44BF4018}"/>
    <hyperlink ref="E2343" r:id="rId7251" display="https://twitter.com/VWBeetleSales/status/723290235044401152" xr:uid="{9AD65FD8-B6E9-437F-A7B8-A3D9F65C0846}"/>
    <hyperlink ref="F2343" r:id="rId7252" xr:uid="{2A80EC85-7B25-4E79-B0CD-0C25E0B09EB6}"/>
    <hyperlink ref="O2343" r:id="rId7253" display="https://pbs.twimg.com/profile_images/703294545195307008/qeCvrX86_normal.jpg" xr:uid="{E2BB61EF-1122-4527-9DE1-A0B5AF263C2D}"/>
    <hyperlink ref="B2344" r:id="rId7254" display="https://twitter.com/TheSandboxN" xr:uid="{E974AA4A-ABDD-4DEC-823D-6AAF9DCDC7D0}"/>
    <hyperlink ref="E2344" r:id="rId7255" display="https://twitter.com/TheSandboxN/status/723290291214684162" xr:uid="{EEB5A4F0-481C-4B4A-847A-4A1AB2F34E35}"/>
    <hyperlink ref="O2344" r:id="rId7256" display="https://pbs.twimg.com/profile_images/513238663489388545/MPjFU3cf_normal.jpeg" xr:uid="{4908E093-C91A-4DCA-8207-5BB3B7E91188}"/>
    <hyperlink ref="B2345" r:id="rId7257" display="https://twitter.com/Lindsay_VW" xr:uid="{290ECDBE-AF41-4D01-AA74-42B608693A37}"/>
    <hyperlink ref="E2345" r:id="rId7258" display="https://twitter.com/Lindsay_VW/status/723290477836013569" xr:uid="{E355377E-2FAE-4566-84F0-13CC456C973D}"/>
    <hyperlink ref="O2345" r:id="rId7259" display="https://pbs.twimg.com/profile_images/716020780899807232/fnaRfVpE_normal.jpg" xr:uid="{06F38663-9568-4F13-8448-532D21866EB3}"/>
    <hyperlink ref="B2346" r:id="rId7260" display="https://twitter.com/FlorMusante_" xr:uid="{1D0F9998-A5AF-4AC4-9454-B411400E63F0}"/>
    <hyperlink ref="E2346" r:id="rId7261" display="https://twitter.com/FlorMusante_/status/723290757361180673" xr:uid="{88EE3467-4717-46B0-9F5C-F6DA7C6F6987}"/>
    <hyperlink ref="O2346" r:id="rId7262" display="https://pbs.twimg.com/profile_images/721724710174601216/B0T6CY6B_normal.jpg" xr:uid="{A4D1CDBB-2F27-48B8-8835-0543D5233349}"/>
    <hyperlink ref="B2347" r:id="rId7263" display="https://twitter.com/VintageGermanPt" xr:uid="{E05C0567-DC49-48B6-93F1-1F8B4B4B0FB6}"/>
    <hyperlink ref="E2347" r:id="rId7264" display="https://twitter.com/VintageGermanPt/status/723290828953800705" xr:uid="{4AAD418A-0836-43DE-B537-8357E1A0950A}"/>
    <hyperlink ref="O2347" r:id="rId7265" display="https://pbs.twimg.com/profile_images/710240802551635969/4XYQFs8c_normal.jpg" xr:uid="{3FE6F8C9-49E6-493A-9CB3-A4305FEAF590}"/>
    <hyperlink ref="B2348" r:id="rId7266" display="https://twitter.com/KeithDPatch" xr:uid="{8D44C832-4498-45A0-9046-232587B01CB4}"/>
    <hyperlink ref="E2348" r:id="rId7267" display="https://twitter.com/KeithDPatch/status/723291226489917441" xr:uid="{4F2DDE97-D6A7-4D8F-B19E-CCC9A89F4E0C}"/>
    <hyperlink ref="O2348" r:id="rId7268" display="https://pbs.twimg.com/profile_images/503913874018426881/2pCdkHKf_normal.jpeg" xr:uid="{34F79593-35DE-4B76-B46A-71A74955D60A}"/>
    <hyperlink ref="B2349" r:id="rId7269" display="https://twitter.com/ebaycampervans" xr:uid="{19EC2AB2-0B95-4882-9063-488D28E92E31}"/>
    <hyperlink ref="E2349" r:id="rId7270" display="https://twitter.com/ebaycampervans/status/723291446002905090" xr:uid="{3A808EB8-2B82-464C-B945-795190C5BC47}"/>
    <hyperlink ref="O2349" r:id="rId7271" display="https://pbs.twimg.com/profile_images/599357023407464449/BL9Bpo6T_normal.jpg" xr:uid="{87A5BCE1-BACC-4FE9-BC97-3643799EB645}"/>
    <hyperlink ref="B2350" r:id="rId7272" display="https://twitter.com/RachaelFinch" xr:uid="{8C53EB5E-2598-4445-891C-F24D8992C780}"/>
    <hyperlink ref="E2350" r:id="rId7273" display="https://twitter.com/RachaelFinch/status/723291614593073154" xr:uid="{0DB8CE14-649B-493A-9BF8-77A0A637FB77}"/>
    <hyperlink ref="O2350" r:id="rId7274" display="https://pbs.twimg.com/profile_images/652793782535000065/TEIow6PF_normal.jpg" xr:uid="{F1EDDB06-B216-42F5-AA78-41B21A369A26}"/>
    <hyperlink ref="B2351" r:id="rId7275" display="https://twitter.com/MikeMalloy9" xr:uid="{79DD4684-36B4-4767-9F6D-D24D4DA7FAC6}"/>
    <hyperlink ref="E2351" r:id="rId7276" display="https://twitter.com/MikeMalloy9/status/723291860744036352" xr:uid="{DCC38D2D-C45E-4B5B-8AB6-4676173480EF}"/>
    <hyperlink ref="O2351" r:id="rId7277" display="https://pbs.twimg.com/profile_images/708375664320188417/o-lrGfEy_normal.jpg" xr:uid="{13DBA5C7-17A6-42D1-9EF6-6AC8F33DC919}"/>
    <hyperlink ref="B2352" r:id="rId7278" display="https://twitter.com/alexgarciaSD" xr:uid="{3A5846EE-01FF-4852-A3E8-CC2092166413}"/>
    <hyperlink ref="E2352" r:id="rId7279" display="https://twitter.com/alexgarciaSD/status/723292153846210560" xr:uid="{A3CF33FB-A2F5-4B3E-9BDB-F22F35CC58B1}"/>
    <hyperlink ref="O2352" r:id="rId7280" display="https://pbs.twimg.com/profile_images/574276640261345281/jj9KwVyR_normal.jpeg" xr:uid="{6057C4FC-2531-4F0C-A72F-BBFC5B0F2485}"/>
    <hyperlink ref="B2353" r:id="rId7281" display="https://twitter.com/OnlineCarReview" xr:uid="{317A09F6-1963-4897-AF9B-D7159CEB9EAD}"/>
    <hyperlink ref="E2353" r:id="rId7282" display="https://twitter.com/OnlineCarReview/status/723292343101591552" xr:uid="{D7937635-F880-487A-8838-229D516681F9}"/>
    <hyperlink ref="O2353" r:id="rId7283" display="https://pbs.twimg.com/profile_images/652871584131092480/QA_B6SBO_normal.jpg" xr:uid="{D1756099-14B1-463A-8E7C-A5D9912C81DC}"/>
    <hyperlink ref="B2354" r:id="rId7284" display="https://twitter.com/Karlomart" xr:uid="{6C04DC4A-0D2A-4EE5-A29A-A928AF6B31D1}"/>
    <hyperlink ref="E2354" r:id="rId7285" display="https://twitter.com/Karlomart/status/723292390237310978" xr:uid="{32442832-B240-4DE0-8F28-03196F5D39D8}"/>
    <hyperlink ref="O2354" r:id="rId7286" display="https://pbs.twimg.com/profile_images/441017002224660480/wMS_0yBK_normal.jpeg" xr:uid="{D48FAE4C-8663-423C-A60E-ECF70AD74F14}"/>
    <hyperlink ref="B2355" r:id="rId7287" display="https://twitter.com/opalaSS_78" xr:uid="{B6BAF6D2-532B-49BD-8D7A-328016E5410C}"/>
    <hyperlink ref="E2355" r:id="rId7288" display="https://twitter.com/opalaSS_78/status/723292932187533313" xr:uid="{46FFDDD3-037D-49A8-9F85-A510362C0472}"/>
    <hyperlink ref="O2355" r:id="rId7289" display="https://pbs.twimg.com/profile_images/378800000331644899/f007a72bd5fe7c6b8f3f354d7015cc14_normal.png" xr:uid="{FDBE0400-C388-4F1C-9D0C-8FA4D59BBD03}"/>
    <hyperlink ref="P2355" r:id="rId7290" location="-20.47345436,-55.78642184" display="http://ctrlq.org/maps/address/ - -20.47345436,-55.78642184" xr:uid="{42292CE1-A7AA-48C0-869C-170E83D6007B}"/>
    <hyperlink ref="B2356" r:id="rId7291" display="https://twitter.com/donaukurier" xr:uid="{D9729228-5A44-4493-95F0-36E9784F8FC2}"/>
    <hyperlink ref="C2356" r:id="rId7292" xr:uid="{FE75B0BF-DBF6-4915-921F-C4957EF7514C}"/>
    <hyperlink ref="E2356" r:id="rId7293" display="https://twitter.com/donaukurier/status/723292978287153152" xr:uid="{5412852E-7FDB-4CE5-A45A-B24650218A73}"/>
    <hyperlink ref="O2356" r:id="rId7294" display="https://pbs.twimg.com/profile_images/453883735738310657/v_R7tMWg_normal.jpeg" xr:uid="{212F4E48-E17C-4CAC-B792-D91E970AFD90}"/>
    <hyperlink ref="B2357" r:id="rId7295" display="https://twitter.com/sergiooacuna" xr:uid="{D6358152-D92B-49C2-95F6-EC1C16F72F41}"/>
    <hyperlink ref="E2357" r:id="rId7296" display="https://twitter.com/sergiooacuna/status/723293920952614913" xr:uid="{58690930-7943-4B91-A88D-4CFDEF19FC0B}"/>
    <hyperlink ref="O2357" r:id="rId7297" display="https://pbs.twimg.com/profile_images/712105652244627456/WgQ78yCo_normal.jpg" xr:uid="{D1C3E002-03F0-4F15-BF3A-5BB28AEDFE23}"/>
    <hyperlink ref="B2358" r:id="rId7298" display="https://twitter.com/desfilando_bajo" xr:uid="{40B6CC89-8B0C-4C58-B59B-0A18414F1A45}"/>
    <hyperlink ref="E2358" r:id="rId7299" display="https://twitter.com/desfilando_bajo/status/723293973855502337" xr:uid="{ADC1AE89-32B7-48C1-BC20-4D91AE6115B4}"/>
    <hyperlink ref="O2358" r:id="rId7300" display="https://pbs.twimg.com/profile_images/684562191626989569/oFGZebTz_normal.jpg" xr:uid="{1941C813-0AA8-470B-BCB8-B20E93CA18E3}"/>
    <hyperlink ref="B2359" r:id="rId7301" display="https://twitter.com/AntonellaB22" xr:uid="{DE232516-A498-4BFE-BE34-A9A320EA9575}"/>
    <hyperlink ref="E2359" r:id="rId7302" display="https://twitter.com/AntonellaB22/status/723293986794921984" xr:uid="{8822D00B-482C-46E6-8F18-BB409CA27065}"/>
    <hyperlink ref="O2359" r:id="rId7303" display="https://pbs.twimg.com/profile_images/716770296963981312/PV5UfpW3_normal.jpg" xr:uid="{98E2A540-EA7C-444F-AE17-29EB1A95B0C6}"/>
    <hyperlink ref="B2360" r:id="rId7304" display="https://twitter.com/VWBeetleSales" xr:uid="{A28D9DFF-8347-45B0-8525-5C1255018C31}"/>
    <hyperlink ref="E2360" r:id="rId7305" display="https://twitter.com/VWBeetleSales/status/723294692620664832" xr:uid="{D515B66E-3A7B-4EC5-9E94-BA176E661BB7}"/>
    <hyperlink ref="F2360" r:id="rId7306" xr:uid="{C888ACDA-A72B-463E-B8D7-6AFCC2DDC7BD}"/>
    <hyperlink ref="O2360" r:id="rId7307" display="https://pbs.twimg.com/profile_images/703294545195307008/qeCvrX86_normal.jpg" xr:uid="{53D7F877-E3AC-4F8F-AFE3-5A3D6AE45F8C}"/>
    <hyperlink ref="B2361" r:id="rId7308" display="https://twitter.com/joelfeder" xr:uid="{956772BB-8D81-45E8-B2CF-B0855CE18F89}"/>
    <hyperlink ref="E2361" r:id="rId7309" display="https://twitter.com/joelfeder/status/723294767719702529" xr:uid="{D2D4B18E-40C2-4A41-87AD-8B407F5F4E53}"/>
    <hyperlink ref="O2361" r:id="rId7310" display="https://pbs.twimg.com/profile_images/3163585027/dc98b5fe18e3f082146834b59487ce50_normal.jpeg" xr:uid="{7A4EEAF8-7A4A-433B-9F98-B224D0D23C4A}"/>
    <hyperlink ref="B2362" r:id="rId7311" display="https://twitter.com/CarConnection" xr:uid="{4BC8332C-BE0C-4330-A59A-006C67CD793F}"/>
    <hyperlink ref="E2362" r:id="rId7312" display="https://twitter.com/CarConnection/status/723294767807795201" xr:uid="{FE398092-D698-4255-85D1-CF5227108D43}"/>
    <hyperlink ref="O2362" r:id="rId7313" display="https://pbs.twimg.com/profile_images/378800000007494586/bc21150f81e7498750e162e25845cdd3_normal.jpeg" xr:uid="{6A3798F3-B34F-4F5C-B0B7-8B2B598C609E}"/>
    <hyperlink ref="B2363" r:id="rId7314" display="https://twitter.com/HighGearMedia" xr:uid="{007718EC-FAD5-43FA-9BBD-498E9422FFC0}"/>
    <hyperlink ref="E2363" r:id="rId7315" display="https://twitter.com/HighGearMedia/status/723294767841308672" xr:uid="{E894479C-BE8A-4D30-9560-1AB72B42E457}"/>
    <hyperlink ref="O2363" r:id="rId7316" display="https://pbs.twimg.com/profile_images/1736354060/hgm_twitter_logo_normal.png" xr:uid="{9D8F12C3-02A2-4D0B-AFFD-FDC37A30A24E}"/>
    <hyperlink ref="B2364" r:id="rId7317" display="https://twitter.com/patchris" xr:uid="{DBEEB5AC-7748-49B2-91D4-4EC1403619B7}"/>
    <hyperlink ref="E2364" r:id="rId7318" display="https://twitter.com/patchris/status/723295142715645954" xr:uid="{512DFE4D-3171-411A-8857-DE12DF811D47}"/>
    <hyperlink ref="O2364" r:id="rId7319" display="https://pbs.twimg.com/profile_images/344513261566623547/c484ef0ff4779639016dcdc1f39ffaed_normal.jpeg" xr:uid="{FB8BF675-B9DE-4C22-BD4E-5FEC2563B896}"/>
    <hyperlink ref="B2365" r:id="rId7320" display="https://twitter.com/Benitezzok" xr:uid="{ED327F0E-AA9D-4311-ADB6-C21BE65A948E}"/>
    <hyperlink ref="E2365" r:id="rId7321" display="https://twitter.com/Benitezzok/status/723295151477673984" xr:uid="{4264FE96-8AE1-4C66-9CB4-D83B7CDFD454}"/>
    <hyperlink ref="O2365" r:id="rId7322" display="https://pbs.twimg.com/profile_images/718232196302159875/TGP4_io8_normal.jpg" xr:uid="{371B1495-85A2-4B4A-B963-5A7AC62658E1}"/>
    <hyperlink ref="B2366" r:id="rId7323" display="https://twitter.com/VidalJimena1" xr:uid="{B53BD00B-F7C5-4D49-BF48-3F84D52365DB}"/>
    <hyperlink ref="E2366" r:id="rId7324" display="https://twitter.com/VidalJimena1/status/723295617318047746" xr:uid="{78E40296-F001-43DC-97E8-8F9646D12F74}"/>
    <hyperlink ref="O2366" r:id="rId7325" display="https://pbs.twimg.com/profile_images/718998805060927488/ds5qOEpX_normal.jpg" xr:uid="{E2E5A09A-1B98-403C-A2CF-158BEC587D68}"/>
    <hyperlink ref="B2367" r:id="rId7326" display="https://twitter.com/BrunoHeitz" xr:uid="{644B24BC-1017-443F-BEDF-0150ACCF8E70}"/>
    <hyperlink ref="E2367" r:id="rId7327" display="https://twitter.com/BrunoHeitz/status/723295754249506817" xr:uid="{986EA768-3702-43DB-8040-83E8E4521079}"/>
    <hyperlink ref="O2367" r:id="rId7328" display="https://pbs.twimg.com/profile_images/482420129326981120/h2ImnkwP_normal.jpeg" xr:uid="{A8490150-A550-4521-BA75-F0483BF96DB3}"/>
    <hyperlink ref="B2368" r:id="rId7329" display="https://twitter.com/rhysiepoo" xr:uid="{1F7CD12A-6330-4589-9FB9-1EB5FBCD746B}"/>
    <hyperlink ref="E2368" r:id="rId7330" display="https://twitter.com/rhysiepoo/status/723296332312653824" xr:uid="{593A73A3-4443-4420-9E58-4DDC5E314BE8}"/>
    <hyperlink ref="O2368" r:id="rId7331" display="https://pbs.twimg.com/profile_images/664470199219851264/H7WwsRM6_normal.jpg" xr:uid="{6940E97F-A084-4224-89CF-D5468B993E75}"/>
    <hyperlink ref="B2369" r:id="rId7332" display="https://twitter.com/AgusGomez7" xr:uid="{CB589810-63F6-49DB-AFCF-187EBFCD00AC}"/>
    <hyperlink ref="E2369" r:id="rId7333" display="https://twitter.com/AgusGomez7/status/723296463263010820" xr:uid="{8C01E88C-71B8-40A0-8BA3-AA12FFB79B97}"/>
    <hyperlink ref="O2369" r:id="rId7334" display="https://pbs.twimg.com/profile_images/718368406102241280/po6NXN6N_normal.jpg" xr:uid="{6B23DC6A-4214-43C7-A89C-29694BCC0136}"/>
    <hyperlink ref="B2370" r:id="rId7335" display="https://twitter.com/R1Concepts" xr:uid="{BADD2960-E5ED-4DA3-B3F1-5FFB9BD1ACEB}"/>
    <hyperlink ref="E2370" r:id="rId7336" display="https://twitter.com/R1Concepts/status/723296510339866625" xr:uid="{55BF4207-45BE-4164-8F5C-D3787C55E47D}"/>
    <hyperlink ref="O2370" r:id="rId7337" display="https://pbs.twimg.com/profile_images/459036891749158912/Dgc1GPgR_normal.jpeg" xr:uid="{5D1B296D-6ECC-4F75-A466-75ABCFD461C1}"/>
    <hyperlink ref="B2371" r:id="rId7338" display="https://twitter.com/raochoa1974" xr:uid="{CD7DBAC9-2634-496B-8C1C-5E25186F4346}"/>
    <hyperlink ref="E2371" r:id="rId7339" display="https://twitter.com/raochoa1974/status/723296601989648385" xr:uid="{6AF817B4-46A3-4990-AD2D-304BD56A80D9}"/>
    <hyperlink ref="O2371" r:id="rId7340" display="https://pbs.twimg.com/profile_images/696005498236178432/HP5XLjmu_normal.jpg" xr:uid="{1C04E8C1-AFFE-423B-8A7B-CB2B96537B70}"/>
    <hyperlink ref="B2372" r:id="rId7341" display="https://twitter.com/EscalonaTomi" xr:uid="{F154C34C-AC3A-4E75-B769-2FA4D3B90A4B}"/>
    <hyperlink ref="E2372" r:id="rId7342" display="https://twitter.com/EscalonaTomi/status/723297080366776320" xr:uid="{2B6207EC-7279-4114-A334-394DD3B550E2}"/>
    <hyperlink ref="O2372" r:id="rId7343" display="https://pbs.twimg.com/profile_images/661360973396221952/BsshS8wY_normal.jpg" xr:uid="{B49A5A44-B454-4CB1-9FA6-50053F41F13F}"/>
    <hyperlink ref="B2373" r:id="rId7344" display="https://twitter.com/alexdelprete" xr:uid="{24F706BC-38F4-4283-9A2F-1ED287D6A2E2}"/>
    <hyperlink ref="E2373" r:id="rId7345" display="https://twitter.com/alexdelprete/status/723297345241264129" xr:uid="{96DEC2B6-F6CE-45A7-B58A-BF2D041D143D}"/>
    <hyperlink ref="O2373" r:id="rId7346" display="https://pbs.twimg.com/profile_images/526555213239685121/d4-X-Emv_normal.jpeg" xr:uid="{BF6355C8-8D53-4E5F-BCF5-CE87158ADC76}"/>
    <hyperlink ref="B2374" r:id="rId7347" display="https://twitter.com/Gregory_Brine" xr:uid="{897BBD3F-48AE-4DC6-B6E9-1F0E50150EE3}"/>
    <hyperlink ref="E2374" r:id="rId7348" display="https://twitter.com/Gregory_Brine/status/723297360751648768" xr:uid="{9FAEA4B5-AAE1-49DA-86CB-8763C58601A9}"/>
    <hyperlink ref="O2374" r:id="rId7349" display="https://pbs.twimg.com/profile_images/608795718833176576/Lu6WzWKX_normal.jpg" xr:uid="{2E12C0C4-03A6-4EBC-B868-80B19D05AF80}"/>
    <hyperlink ref="B2375" r:id="rId7350" display="https://twitter.com/bgalmar" xr:uid="{10963A08-DE42-43C1-A3F2-E9776C0A1076}"/>
    <hyperlink ref="E2375" r:id="rId7351" display="https://twitter.com/bgalmar/status/723297499608416257" xr:uid="{C9FE9194-EDA7-4256-A1CC-C5463EAAEA4B}"/>
    <hyperlink ref="O2375" r:id="rId7352" display="https://pbs.twimg.com/profile_images/582945205080354817/pwnImdu0_normal.jpg" xr:uid="{9573E91E-537B-4BA9-97BC-57EA00E9199D}"/>
    <hyperlink ref="B2376" r:id="rId7353" display="https://twitter.com/NicolasTetrault" xr:uid="{CDE2A584-A5C6-41D7-B396-EC1F3C4506EB}"/>
    <hyperlink ref="E2376" r:id="rId7354" display="https://twitter.com/NicolasTetrault/status/723297534433759234" xr:uid="{495F6B11-1F92-406F-A45C-7F6D1AEECE10}"/>
    <hyperlink ref="F2376" r:id="rId7355" xr:uid="{8EDB6CC3-3788-4945-A48D-886D58120A05}"/>
    <hyperlink ref="O2376" r:id="rId7356" display="https://pbs.twimg.com/profile_images/653707832076832768/bC61HZBB_normal.jpg" xr:uid="{B05588C1-D800-4248-941D-5CA70E658AFD}"/>
    <hyperlink ref="B2377" r:id="rId7357" display="https://twitter.com/elmostrador" xr:uid="{26165944-31CD-4494-8A4B-74E1027D5FE0}"/>
    <hyperlink ref="E2377" r:id="rId7358" display="https://twitter.com/elmostrador/status/723297792089841664" xr:uid="{080ED6A4-E45C-423D-AD92-764F4953A8B2}"/>
    <hyperlink ref="O2377" r:id="rId7359" display="https://pbs.twimg.com/profile_images/661913020549976064/626UZ4_N_normal.jpg" xr:uid="{2E87B4C5-FB64-4656-93C8-D828F94D9C64}"/>
    <hyperlink ref="B2378" r:id="rId7360" display="https://twitter.com/VWBeetleSales" xr:uid="{97B78D6F-AFAD-435E-B5DC-A71FFA3C3A13}"/>
    <hyperlink ref="E2378" r:id="rId7361" display="https://twitter.com/VWBeetleSales/status/723298038555398144" xr:uid="{40C2628E-83CA-4766-A707-34F180191DA5}"/>
    <hyperlink ref="F2378" r:id="rId7362" xr:uid="{A4D26C96-1DD2-4A70-8E30-048E8103AD50}"/>
    <hyperlink ref="O2378" r:id="rId7363" display="https://pbs.twimg.com/profile_images/703294545195307008/qeCvrX86_normal.jpg" xr:uid="{A7CF25E3-6585-4178-A81D-2578722D54E0}"/>
    <hyperlink ref="B2379" r:id="rId7364" display="https://twitter.com/DJAdverb" xr:uid="{6500CD6B-4ED5-4D88-A281-8D77163CFF7D}"/>
    <hyperlink ref="E2379" r:id="rId7365" display="https://twitter.com/DJAdverb/status/723298166532136960" xr:uid="{BFD5BA7E-7185-4DE5-8E09-4A81B1AF4AB2}"/>
    <hyperlink ref="O2379" r:id="rId7366" display="https://pbs.twimg.com/profile_images/557623599113437187/0MZolqbR_normal.jpeg" xr:uid="{82BB785F-FF87-4FCE-93E6-6C90F0948BB2}"/>
    <hyperlink ref="B2380" r:id="rId7367" display="https://twitter.com/hustead777" xr:uid="{313F9A5A-6E6B-41BE-B643-C742FD6BF428}"/>
    <hyperlink ref="E2380" r:id="rId7368" display="https://twitter.com/hustead777/status/723298244869001216" xr:uid="{EA9A04B4-8C26-4790-BF14-D957A2D3AA09}"/>
    <hyperlink ref="O2380" r:id="rId7369" display="https://pbs.twimg.com/profile_images/669349487127588864/VW9W5XnT_normal.jpg" xr:uid="{6293EDB2-F1CA-45ED-9A66-144E1CD6F51A}"/>
    <hyperlink ref="B2381" r:id="rId7370" display="https://twitter.com/DLFNachrichten" xr:uid="{EA9EB5CD-FEFE-44E2-A1F4-4A9D20F59E80}"/>
    <hyperlink ref="E2381" r:id="rId7371" display="https://twitter.com/DLFNachrichten/status/723298251651297280" xr:uid="{0DBDB7F3-074F-418E-9E39-68EE79CE634B}"/>
    <hyperlink ref="O2381" r:id="rId7372" display="https://pbs.twimg.com/profile_images/669541061711261696/eOfP0YD8_normal.png" xr:uid="{2DC1F3EF-A18E-44C1-A8D5-E1DD9A785B2E}"/>
    <hyperlink ref="B2382" r:id="rId7373" display="https://twitter.com/DLF" xr:uid="{9C746CF0-9C70-4FDA-AE8F-273046EDF899}"/>
    <hyperlink ref="E2382" r:id="rId7374" display="https://twitter.com/DLF/status/723298291606269952" xr:uid="{8ED2FD71-FA4F-4A41-B5A7-BEA59FD7B3D9}"/>
    <hyperlink ref="O2382" r:id="rId7375" display="https://pbs.twimg.com/profile_images/667101948429123584/pzpPHONX_normal.jpg" xr:uid="{E708566E-3A80-451C-B60F-AA89E82704CB}"/>
    <hyperlink ref="B2383" r:id="rId7376" display="https://twitter.com/annika1061" xr:uid="{D4B13F28-A747-417C-AF81-690C166767AA}"/>
    <hyperlink ref="E2383" r:id="rId7377" display="https://twitter.com/annika1061/status/723298507084324864" xr:uid="{85629879-1466-4475-BF87-A68F0E6CF2A8}"/>
    <hyperlink ref="O2383" r:id="rId7378" display="https://pbs.twimg.com/profile_images/721831427759706113/imZdwjGN_normal.jpg" xr:uid="{54758E69-1770-467D-BE87-73B69CB683C1}"/>
    <hyperlink ref="B2384" r:id="rId7379" display="https://twitter.com/hameles" xr:uid="{9966E88C-8E8B-439A-ACBD-5AB95A1DF690}"/>
    <hyperlink ref="E2384" r:id="rId7380" display="https://twitter.com/hameles/status/723298668816785408" xr:uid="{91E71F7B-7E15-4A75-AB94-8C0FF00068D3}"/>
    <hyperlink ref="O2384" r:id="rId7381" display="https://pbs.twimg.com/profile_images/720884007152394240/OWYVobwN_normal.jpg" xr:uid="{484193E8-144E-413E-A5D8-038819F4A172}"/>
    <hyperlink ref="B2385" r:id="rId7382" display="https://twitter.com/Sanscelerien" xr:uid="{D099230A-C378-49FF-96D2-1F538B2ACE2E}"/>
    <hyperlink ref="E2385" r:id="rId7383" display="https://twitter.com/Sanscelerien/status/723299683116953601" xr:uid="{4922AE84-E272-4DE1-AA0E-39E92DC1BF28}"/>
    <hyperlink ref="O2385" r:id="rId7384" display="https://pbs.twimg.com/profile_images/378800000690779070/70406450c2fdbdc0b23151ed3a2df08e_normal.jpeg" xr:uid="{4E1D1005-751F-4BBF-BE0C-89AC0F9968E7}"/>
    <hyperlink ref="B2386" r:id="rId7385" display="https://twitter.com/FloridaEuroAuto" xr:uid="{B36BA02E-C772-450B-871A-9ED38DB2FB06}"/>
    <hyperlink ref="E2386" r:id="rId7386" display="https://twitter.com/FloridaEuroAuto/status/723300342155337728" xr:uid="{B47743A7-FD84-48BF-83C6-0DB91FB7360F}"/>
    <hyperlink ref="O2386" r:id="rId7387" display="https://abs.twimg.com/sticky/default_profile_images/default_profile_3_normal.png" xr:uid="{78C5C5B1-3CA3-4015-95E4-C766703441BA}"/>
    <hyperlink ref="B2387" r:id="rId7388" display="https://twitter.com/BeemerPros" xr:uid="{FD0151CD-99D9-42B4-AE75-EF634CCEC75A}"/>
    <hyperlink ref="E2387" r:id="rId7389" display="https://twitter.com/BeemerPros/status/723300342251827200" xr:uid="{C0F1D025-BA6F-4989-A6CF-56F82BA1374D}"/>
    <hyperlink ref="O2387" r:id="rId7390" display="https://abs.twimg.com/sticky/default_profile_images/default_profile_6_normal.png" xr:uid="{6BAA52E2-8EE5-462F-B7DD-E43A6B7CADD4}"/>
    <hyperlink ref="B2388" r:id="rId7391" display="https://twitter.com/DellsServiceGB" xr:uid="{3B3F4104-430B-4776-A8BD-104C7FB615D7}"/>
    <hyperlink ref="E2388" r:id="rId7392" display="https://twitter.com/DellsServiceGB/status/723300342725791744" xr:uid="{F657DA7B-F89E-4DB8-80C4-BDF3DAF59BCB}"/>
    <hyperlink ref="O2388" r:id="rId7393" display="https://abs.twimg.com/sticky/default_profile_images/default_profile_2_normal.png" xr:uid="{9ECC1015-8AE5-4E29-BEE7-34F7CFDB2121}"/>
    <hyperlink ref="B2389" r:id="rId7394" display="https://twitter.com/DreamCarsRepair" xr:uid="{5A8CC384-F301-468B-99DB-7B30BCA8EAA7}"/>
    <hyperlink ref="E2389" r:id="rId7395" display="https://twitter.com/DreamCarsRepair/status/723300343971491841" xr:uid="{67110DD0-03E2-45D1-B45C-2E1C2BCD57F9}"/>
    <hyperlink ref="O2389" r:id="rId7396" display="https://pbs.twimg.com/profile_images/605424654006648832/adniidsN_normal.png" xr:uid="{1C118A47-D70E-4D39-90FB-33363532A7BC}"/>
    <hyperlink ref="B2390" r:id="rId7397" display="https://twitter.com/BaldwinsGerman" xr:uid="{43E07D34-CDB0-43B6-8D85-6B2BF07EE07D}"/>
    <hyperlink ref="E2390" r:id="rId7398" display="https://twitter.com/BaldwinsGerman/status/723300345636634625" xr:uid="{87F95D9F-DF40-4CA2-9261-AF1B7EDA0681}"/>
    <hyperlink ref="O2390" r:id="rId7399" display="https://pbs.twimg.com/profile_images/3375442722/bae39da62af2095c6c5af63fbc56d27c_normal.jpeg" xr:uid="{791AB513-98B4-4E40-954A-438245977AE2}"/>
    <hyperlink ref="B2391" r:id="rId7400" display="https://twitter.com/MarinHybrid" xr:uid="{B0771C9B-6415-437F-9BB4-3CA3D05F7212}"/>
    <hyperlink ref="E2391" r:id="rId7401" display="https://twitter.com/MarinHybrid/status/723300346857177088" xr:uid="{3149EE82-ED23-498B-A3AC-A7CEA21B470E}"/>
    <hyperlink ref="O2391" r:id="rId7402" display="https://pbs.twimg.com/profile_images/482602151948980225/wgMAKSQc_normal.jpeg" xr:uid="{1878D7B1-DD85-48AE-92B7-53B45117FF3F}"/>
    <hyperlink ref="B2392" r:id="rId7403" display="https://twitter.com/MalibuMoms" xr:uid="{24B56052-B906-402E-85B4-4176D0AF5681}"/>
    <hyperlink ref="E2392" r:id="rId7404" display="https://twitter.com/MalibuMoms/status/723300627841863681" xr:uid="{97EC034F-DDF1-4AFA-97D2-2248488A6C97}"/>
    <hyperlink ref="O2392" r:id="rId7405" display="https://pbs.twimg.com/profile_images/632371610276622336/i9dfhe5Q_normal.jpg" xr:uid="{FFF08380-AD90-4F57-BE15-CBF6B5D273C5}"/>
    <hyperlink ref="B2393" r:id="rId7406" display="https://twitter.com/vwdepo" xr:uid="{3255C76E-2B67-4AE3-B0C7-013E8AC180C2}"/>
    <hyperlink ref="E2393" r:id="rId7407" display="https://twitter.com/vwdepo/status/723300713275744256" xr:uid="{29020080-3285-44C1-9BBB-4E9CF1B35A75}"/>
    <hyperlink ref="O2393" r:id="rId7408" display="https://pbs.twimg.com/profile_images/3378184537/c20ae9a7a410821b4f189c34a63380f7_normal.png" xr:uid="{F6820496-7C2E-4AC3-B8A3-95EC8B293AC1}"/>
    <hyperlink ref="B2394" r:id="rId7409" display="https://twitter.com/hashtagvanlife" xr:uid="{1D003641-212B-40BB-A52B-8F33179E6102}"/>
    <hyperlink ref="E2394" r:id="rId7410" display="https://twitter.com/hashtagvanlife/status/723300775011692544" xr:uid="{F093DB9A-AACE-42B7-8138-D748FFA270ED}"/>
    <hyperlink ref="O2394" r:id="rId7411" display="https://pbs.twimg.com/profile_images/653637535545995264/gHuXQ5Bt_normal.jpg" xr:uid="{3E9BAC39-EDEC-497B-AF25-5FB88E571060}"/>
    <hyperlink ref="B2395" r:id="rId7412" display="https://twitter.com/Matyyy_98" xr:uid="{687A232F-5B57-47C0-BB00-9227B6E68903}"/>
    <hyperlink ref="E2395" r:id="rId7413" display="https://twitter.com/Matyyy_98/status/723301248368259072" xr:uid="{F63502FB-8D20-4D9A-B10D-701B5974E667}"/>
    <hyperlink ref="O2395" r:id="rId7414" display="https://pbs.twimg.com/profile_images/717536418684407808/tt7-L3s9_normal.jpg" xr:uid="{C844EE33-3463-415C-A88B-E91E9E5ED796}"/>
    <hyperlink ref="B2396" r:id="rId7415" display="https://twitter.com/RitaccoAlessan1" xr:uid="{B4955DDB-66A1-4D7D-A78A-D52689524318}"/>
    <hyperlink ref="E2396" r:id="rId7416" display="https://twitter.com/RitaccoAlessan1/status/723301740150423552" xr:uid="{995052A8-8FAC-4D5B-8F90-DF94FDF19D8F}"/>
    <hyperlink ref="O2396" r:id="rId7417" display="https://pbs.twimg.com/profile_images/455667854793134080/omjA9HWX_normal.jpeg" xr:uid="{01A6066F-1BC6-4032-9753-9E7483B26EE0}"/>
    <hyperlink ref="B2397" r:id="rId7418" display="https://twitter.com/MotorphiliacsTv" xr:uid="{FAFAE13B-1DCE-4EAA-A6C6-BAA599FF18A0}"/>
    <hyperlink ref="E2397" r:id="rId7419" display="https://twitter.com/MotorphiliacsTv/status/723301969339633664" xr:uid="{0F27F547-7981-43EF-A54E-358ABD9CA0EF}"/>
    <hyperlink ref="O2397" r:id="rId7420" display="https://pbs.twimg.com/profile_images/701133680937291776/4TSsJk3y_normal.jpg" xr:uid="{685ED384-3B08-4454-B197-33B810C16F00}"/>
    <hyperlink ref="B2398" r:id="rId7421" display="https://twitter.com/GaitanAle" xr:uid="{E1463301-3ACC-45FA-95D1-AEBDA031A4A5}"/>
    <hyperlink ref="E2398" r:id="rId7422" display="https://twitter.com/GaitanAle/status/723302091226251265" xr:uid="{59487200-0FA8-42BC-9262-802AA25BE9F4}"/>
    <hyperlink ref="O2398" r:id="rId7423" display="https://pbs.twimg.com/profile_images/695686144013389824/1F-oOsoj_normal.jpg" xr:uid="{3C6AECB5-6A6D-43E1-80E4-3B3E33E616F2}"/>
    <hyperlink ref="B2399" r:id="rId7424" display="https://twitter.com/expatfriendly" xr:uid="{32856512-54EE-48F3-9F1C-88864355D15B}"/>
    <hyperlink ref="E2399" r:id="rId7425" display="https://twitter.com/expatfriendly/status/723302144464543745" xr:uid="{5DD25BAD-359F-45F1-B3E4-765AC64B1E93}"/>
    <hyperlink ref="O2399" r:id="rId7426" display="https://pbs.twimg.com/profile_images/667650886903164928/Jl6AR59p_normal.jpg" xr:uid="{7431F7F2-AC07-4AF2-96E9-4CFF7A0575B6}"/>
    <hyperlink ref="B2400" r:id="rId7427" display="https://twitter.com/Lars9596" xr:uid="{D159743A-B91D-4823-A27A-09CA2C9FB8A9}"/>
    <hyperlink ref="E2400" r:id="rId7428" display="https://twitter.com/Lars9596/status/723302238836391937" xr:uid="{C02F5924-79AA-4C43-BE9E-5D0B23E079E4}"/>
    <hyperlink ref="O2400" r:id="rId7429" display="https://pbs.twimg.com/profile_images/670238281297207296/gjW305du_normal.jpg" xr:uid="{D81534C7-A8DC-4108-956E-70F05EDD8B70}"/>
    <hyperlink ref="B2401" r:id="rId7430" display="https://twitter.com/WideAwakeMomma" xr:uid="{C5062532-DC65-476B-9656-07D52A96F88B}"/>
    <hyperlink ref="E2401" r:id="rId7431" display="https://twitter.com/WideAwakeMomma/status/723302271614750720" xr:uid="{D9900B65-1C5D-495E-BF37-9F3C31CBEC69}"/>
    <hyperlink ref="O2401" r:id="rId7432" display="https://pbs.twimg.com/profile_images/713007702721474561/QMRhKzxd_normal.jpg" xr:uid="{BCBD2D03-256D-499D-9B23-38B42B30851A}"/>
    <hyperlink ref="B2402" r:id="rId7433" display="https://twitter.com/Fotobiene" xr:uid="{F859A591-7121-40BA-9774-90E9C81F43FE}"/>
    <hyperlink ref="E2402" r:id="rId7434" display="https://twitter.com/Fotobiene/status/723302304833781760" xr:uid="{C705AA2B-03E4-4444-9D7F-3C7CA1290B3B}"/>
    <hyperlink ref="O2402" r:id="rId7435" display="https://pbs.twimg.com/profile_images/476894592051056640/bqGCxWkq_normal.jpeg" xr:uid="{95B99755-6855-45DC-A9F0-AC82DE3CB007}"/>
    <hyperlink ref="B2403" r:id="rId7436" display="https://twitter.com/ChinaIFC" xr:uid="{AE590184-F799-4632-874E-084C2A95A907}"/>
    <hyperlink ref="E2403" r:id="rId7437" display="https://twitter.com/ChinaIFC/status/723303296535027713" xr:uid="{F206B08C-709E-4FE9-A9F9-659408FEA703}"/>
    <hyperlink ref="O2403" r:id="rId7438" display="https://pbs.twimg.com/profile_images/723335497490272256/ESWxlOuA_normal.jpg" xr:uid="{85F308EF-3AF4-4642-B814-1EFAC0C39587}"/>
    <hyperlink ref="B2404" r:id="rId7439" display="https://twitter.com/oldcar_photo" xr:uid="{9460EE42-EAFF-453A-8B39-7292C651C391}"/>
    <hyperlink ref="E2404" r:id="rId7440" display="https://twitter.com/oldcar_photo/status/723303873360867328" xr:uid="{74F764A4-3E1D-4E96-B31C-4BAEB320F31A}"/>
    <hyperlink ref="O2404" r:id="rId7441" display="https://pbs.twimg.com/profile_images/615493650785660928/XHUh6HOk_normal.jpg" xr:uid="{B3B960A3-3D71-4414-81EB-CE084D2871CB}"/>
    <hyperlink ref="B2405" r:id="rId7442" display="https://twitter.com/dejbanlaw" xr:uid="{FF619278-A2FA-48C5-8934-17922C7C1A58}"/>
    <hyperlink ref="E2405" r:id="rId7443" display="https://twitter.com/dejbanlaw/status/723304201426587648" xr:uid="{C4E60DC6-143E-4E53-801B-6B9E0FCA24A4}"/>
    <hyperlink ref="O2405" r:id="rId7444" display="https://pbs.twimg.com/profile_images/676465930424082432/zT-RyXf4_normal.jpg" xr:uid="{E8B8A45F-92F3-4802-A0ED-D230B2DC1D9F}"/>
    <hyperlink ref="B2406" r:id="rId7445" display="https://twitter.com/wingston" xr:uid="{D02BF374-346E-4E4C-875A-DE46214137DC}"/>
    <hyperlink ref="E2406" r:id="rId7446" display="https://twitter.com/wingston/status/723304328836964352" xr:uid="{3A869584-10B6-4F3E-85A1-50989A5C53C5}"/>
    <hyperlink ref="O2406" r:id="rId7447" display="https://pbs.twimg.com/profile_images/3537672406/190f79c88052bd5078e91796fd0fffe1_normal.jpeg" xr:uid="{B63D8668-0995-4BBB-9FAB-5038303EFF6F}"/>
    <hyperlink ref="B2407" r:id="rId7448" display="https://twitter.com/Cokebear17" xr:uid="{E45BE7C7-6E75-419B-93A4-3CAB24AC6B2C}"/>
    <hyperlink ref="E2407" r:id="rId7449" display="https://twitter.com/Cokebear17/status/723304372155867141" xr:uid="{693CA199-0A75-4EE7-88FC-A3101A9B6D97}"/>
    <hyperlink ref="O2407" r:id="rId7450" display="https://pbs.twimg.com/profile_images/678101273997012992/thY8hRJg_normal.jpg" xr:uid="{38FD8692-E1E4-4D26-A5BD-295316925AF3}"/>
    <hyperlink ref="B2408" r:id="rId7451" display="https://twitter.com/Hoytiboit" xr:uid="{6A114FC4-6B7D-4DCE-A555-3DB32EAAA1DF}"/>
    <hyperlink ref="E2408" r:id="rId7452" display="https://twitter.com/Hoytiboit/status/723304621821812741" xr:uid="{50FF9351-DD18-4842-99B9-F12C874C7019}"/>
    <hyperlink ref="O2408" r:id="rId7453" display="https://pbs.twimg.com/profile_images/716622069761384451/wldRctde_normal.jpg" xr:uid="{49F40C6F-58AA-49E7-85BA-CB487BBDCBB5}"/>
    <hyperlink ref="B2409" r:id="rId7454" display="https://twitter.com/giselaBoezio" xr:uid="{AD30CDA9-C5CB-4553-8F3F-53677A948CBE}"/>
    <hyperlink ref="E2409" r:id="rId7455" display="https://twitter.com/giselaBoezio/status/723304731897151488" xr:uid="{AEA85881-7EBD-473E-8C43-B9E268C49A3F}"/>
    <hyperlink ref="O2409" r:id="rId7456" display="https://pbs.twimg.com/profile_images/430023681977634816/gBNGcukd_normal.jpeg" xr:uid="{79893EF4-F475-45D8-BD69-AEDCE53E944B}"/>
    <hyperlink ref="B2410" r:id="rId7457" display="https://twitter.com/mangogemini" xr:uid="{0101B1DF-4095-4F1E-B39B-467183F43113}"/>
    <hyperlink ref="E2410" r:id="rId7458" display="https://twitter.com/mangogemini/status/723305023870894080" xr:uid="{71DD4DEE-BA89-4FCE-9E43-6F08CAD9E38B}"/>
    <hyperlink ref="O2410" r:id="rId7459" display="https://pbs.twimg.com/profile_images/454052818148536320/hevKbI29_normal.jpeg" xr:uid="{44A6C4F0-7604-4D32-8210-3378ECEA272D}"/>
    <hyperlink ref="B2411" r:id="rId7460" display="https://twitter.com/POLITJAH" xr:uid="{249D5A44-9059-4A3E-9411-30AFF290FE24}"/>
    <hyperlink ref="E2411" r:id="rId7461" display="https://twitter.com/POLITJAH/status/723305091395149824" xr:uid="{EA92CA33-4481-4C18-B339-510192002CCC}"/>
    <hyperlink ref="O2411" r:id="rId7462" display="https://pbs.twimg.com/profile_images/378800000073373561/7822133b784167a02ef829139ae34779_normal.jpeg" xr:uid="{7A6D3F56-5C53-4615-B146-2C5AE34A0254}"/>
    <hyperlink ref="B2412" r:id="rId7463" display="https://twitter.com/Automotormz" xr:uid="{F82F7B15-23CB-4456-8F6D-BC4CD4443FE6}"/>
    <hyperlink ref="E2412" r:id="rId7464" display="https://twitter.com/Automotormz/status/723305192549048320" xr:uid="{013AF1E5-5107-4F15-8B23-0844A9436407}"/>
    <hyperlink ref="O2412" r:id="rId7465" display="https://pbs.twimg.com/profile_images/687355953939791872/B2pvYE73_normal.jpg" xr:uid="{F47B1EFB-E5C2-469C-8279-E797C8395757}"/>
    <hyperlink ref="B2413" r:id="rId7466" display="https://twitter.com/AngelMo96" xr:uid="{42D1C9DE-70A2-4C08-A544-99BC8DDB64C6}"/>
    <hyperlink ref="E2413" r:id="rId7467" display="https://twitter.com/AngelMo96/status/723305200782438402" xr:uid="{13493A98-AFCB-42D5-87FD-8BFDF88DFF9E}"/>
    <hyperlink ref="O2413" r:id="rId7468" display="https://pbs.twimg.com/profile_images/723153526159876097/zXnwCgyx_normal.jpg" xr:uid="{98B8E128-6090-41FC-A55A-ABD71713029D}"/>
    <hyperlink ref="B2414" r:id="rId7469" display="https://twitter.com/RHPolyxo8U" xr:uid="{E2EFB679-6017-40E7-9E91-E7CDFAF48135}"/>
    <hyperlink ref="E2414" r:id="rId7470" display="https://twitter.com/RHPolyxo8U/status/723305245330268161" xr:uid="{C9C2BABB-8178-4262-B037-A1F36E9D7E33}"/>
    <hyperlink ref="O2414" r:id="rId7471" display="https://pbs.twimg.com/profile_images/575844267014279168/9Gr2Zh0N_normal.jpeg" xr:uid="{68E2DF89-FA8E-4DD2-ABAA-30945C94D4BF}"/>
    <hyperlink ref="B2415" r:id="rId7472" display="https://twitter.com/autosdeoro" xr:uid="{33EAEC10-1054-4D59-8EBC-0F0A6A30F286}"/>
    <hyperlink ref="E2415" r:id="rId7473" display="https://twitter.com/autosdeoro/status/723305393661702145" xr:uid="{01BC92F2-A9B8-4FE4-92F2-B3401C21A99D}"/>
    <hyperlink ref="O2415" r:id="rId7474" display="https://pbs.twimg.com/profile_images/1134604562/Logo_Autos_de_Oro_02_normal.jpg" xr:uid="{EDC222A6-63D8-4101-8C83-1EAA9744E4D6}"/>
    <hyperlink ref="B2416" r:id="rId7475" display="https://twitter.com/ArentFoxAuto" xr:uid="{CDF5E590-3843-4B4E-B069-A6182ADA92CC}"/>
    <hyperlink ref="E2416" r:id="rId7476" display="https://twitter.com/ArentFoxAuto/status/723305409549758464" xr:uid="{24C56D72-0E38-4221-BDC2-CCFC0DBADF49}"/>
    <hyperlink ref="O2416" r:id="rId7477" display="https://pbs.twimg.com/profile_images/641324618876342272/YsSIrYuD_normal.jpg" xr:uid="{42A3E002-5C18-4403-AE2A-845230F866AA}"/>
    <hyperlink ref="B2417" r:id="rId7478" display="https://twitter.com/_Izzy_Stewart_" xr:uid="{DB49C191-B46A-45C7-8AAC-5F796E1D4107}"/>
    <hyperlink ref="E2417" r:id="rId7479" display="https://twitter.com/_Izzy_Stewart_/status/723306237534810115" xr:uid="{E5618645-BD89-4A30-AB15-1322E727853C}"/>
    <hyperlink ref="O2417" r:id="rId7480" display="https://pbs.twimg.com/profile_images/714507367031959554/hbITqVuh_normal.jpg" xr:uid="{1122FCC4-F721-4192-95AF-82508DEC5809}"/>
    <hyperlink ref="B2418" r:id="rId7481" display="https://twitter.com/adDieCoVa" xr:uid="{EC56C453-73FC-457C-8BC7-40F16502B3B9}"/>
    <hyperlink ref="E2418" r:id="rId7482" display="https://twitter.com/adDieCoVa/status/723306245206249472" xr:uid="{903A05EB-5C95-407F-9621-93DB67EA4A9B}"/>
    <hyperlink ref="O2418" r:id="rId7483" display="https://pbs.twimg.com/profile_images/1895623225/IMG00477-20120308-1529_normal.jpg" xr:uid="{17C1EB13-1F7C-4CEB-92B2-42B2ED2A028F}"/>
    <hyperlink ref="B2419" r:id="rId7484" display="https://twitter.com/LL2pilesPl" xr:uid="{E295FF9D-DC38-4082-B7A9-83A6B0216C7E}"/>
    <hyperlink ref="E2419" r:id="rId7485" display="https://twitter.com/LL2pilesPl/status/723306320590475265" xr:uid="{566FC46A-FD8A-4773-AAAA-735980771C36}"/>
    <hyperlink ref="O2419" r:id="rId7486" display="https://pbs.twimg.com/profile_images/575834336924053504/MUu7P3Wg_normal.jpeg" xr:uid="{561D4E97-C753-46F9-84C0-225CD0AE682A}"/>
    <hyperlink ref="B2420" r:id="rId7487" display="https://twitter.com/VWCamperSales" xr:uid="{C99B79A5-7223-47AB-9D3D-EC03EB48E40E}"/>
    <hyperlink ref="E2420" r:id="rId7488" display="https://twitter.com/VWCamperSales/status/723306346158788608" xr:uid="{4796F19B-4468-482D-AEC0-01587872EE22}"/>
    <hyperlink ref="F2420" r:id="rId7489" xr:uid="{839E0B6E-8813-4198-B39B-09A1A19BE9EB}"/>
    <hyperlink ref="O2420" r:id="rId7490" display="https://pbs.twimg.com/profile_images/627949001179037696/skEBkS05_normal.jpg" xr:uid="{C682784C-9C96-4CA4-BC02-FE9E1B802BC6}"/>
    <hyperlink ref="B2421" r:id="rId7491" display="https://twitter.com/iGSebbattHJ" xr:uid="{5713E779-30EC-49EE-81A0-BCEC48FC1E42}"/>
    <hyperlink ref="E2421" r:id="rId7492" display="https://twitter.com/iGSebbattHJ/status/723306379214200832" xr:uid="{39C574A2-9967-4EFC-B104-0D5169EDA9CF}"/>
    <hyperlink ref="O2421" r:id="rId7493" display="https://pbs.twimg.com/profile_images/575829688179814400/luBsWnil_normal.jpeg" xr:uid="{98445A90-0EC0-48F3-9214-94D47DE2AA6B}"/>
    <hyperlink ref="B2422" r:id="rId7494" display="https://twitter.com/following_jobs" xr:uid="{057CFB46-380C-4F2F-897B-DF80BCD446AD}"/>
    <hyperlink ref="E2422" r:id="rId7495" display="https://twitter.com/following_jobs/status/723306690964119553" xr:uid="{E9A09C89-023E-45AB-B899-CBA5D928B549}"/>
    <hyperlink ref="O2422" r:id="rId7496" display="https://pbs.twimg.com/profile_images/556834076418527235/Y36uC3QC_normal.png" xr:uid="{718E078C-1C20-45A8-B018-4EBAFD194B16}"/>
    <hyperlink ref="B2423" r:id="rId7497" display="https://twitter.com/0MMarshallTomBt" xr:uid="{190D6323-FB3F-4265-800B-6C0187E7B70A}"/>
    <hyperlink ref="E2423" r:id="rId7498" display="https://twitter.com/0MMarshallTomBt/status/723306771754921984" xr:uid="{DB1F2BC2-5764-469D-87DF-22DD5D5518C4}"/>
    <hyperlink ref="O2423" r:id="rId7499" display="https://pbs.twimg.com/profile_images/575839795810713601/V0Vj8AtR_normal.jpg" xr:uid="{AFC63A9A-C4FF-4D40-8E44-A361706EB973}"/>
    <hyperlink ref="B2424" r:id="rId7500" display="https://twitter.com/LKBryanfistoGo" xr:uid="{93AE9768-A2FF-4C89-B989-599383012483}"/>
    <hyperlink ref="E2424" r:id="rId7501" display="https://twitter.com/LKBryanfistoGo/status/723306938709229568" xr:uid="{435C96D8-67BA-4BAF-918F-7C49E9740AE8}"/>
    <hyperlink ref="O2424" r:id="rId7502" display="https://pbs.twimg.com/profile_images/575837850056290307/wsD1EvQx_normal.jpeg" xr:uid="{E1BB1AE8-7FC7-4B51-82FC-09BE6E26561E}"/>
    <hyperlink ref="B2425" r:id="rId7503" display="https://twitter.com/Gillian825" xr:uid="{C6C3332D-E120-4348-BC2B-565830454AF1}"/>
    <hyperlink ref="E2425" r:id="rId7504" display="https://twitter.com/Gillian825/status/723307044313423872" xr:uid="{554FA9FB-017B-46E9-B21D-880519FDCAB7}"/>
    <hyperlink ref="O2425" r:id="rId7505" display="https://pbs.twimg.com/profile_images/660605232825671680/N9xbaDmG_normal.jpg" xr:uid="{A9528244-9936-4516-846B-A52032591893}"/>
    <hyperlink ref="B2426" r:id="rId7506" display="https://twitter.com/LoDijoTito" xr:uid="{6B2C046A-2F56-4265-B0FF-2953401E7A82}"/>
    <hyperlink ref="E2426" r:id="rId7507" display="https://twitter.com/LoDijoTito/status/723307218121154561" xr:uid="{2E073F26-A29E-43D4-ABEA-984B998EC9EF}"/>
    <hyperlink ref="O2426" r:id="rId7508" display="https://pbs.twimg.com/profile_images/378800000080536808/27d73bf18de691ed686410d5b0d71bac_normal.jpeg" xr:uid="{3F07C65D-D086-43D6-9DA2-3AEA986C7C3D}"/>
    <hyperlink ref="B2427" r:id="rId7509" display="https://twitter.com/zPDreamweinerW6" xr:uid="{20B033D5-6151-4559-8507-86E41FAB9061}"/>
    <hyperlink ref="E2427" r:id="rId7510" display="https://twitter.com/zPDreamweinerW6/status/723307446731726848" xr:uid="{62534A64-D5E3-4D95-87ED-524ED74006B0}"/>
    <hyperlink ref="O2427" r:id="rId7511" display="https://pbs.twimg.com/profile_images/575851834176208896/fD4Qh4E7_normal.jpeg" xr:uid="{E1F0D77A-03CD-4AFE-9F43-8C5C2EC74825}"/>
    <hyperlink ref="B2428" r:id="rId7512" display="https://twitter.com/GuidoSagredo" xr:uid="{BAD1C707-4A5A-486D-BE2A-D4261EF5E559}"/>
    <hyperlink ref="E2428" r:id="rId7513" display="https://twitter.com/GuidoSagredo/status/723307477236895744" xr:uid="{4FE3C1A8-C5FF-4E51-A1C5-B406E5803AF3}"/>
    <hyperlink ref="O2428" r:id="rId7514" display="https://pbs.twimg.com/profile_images/664425631657156608/FPLRsPf7_normal.jpg" xr:uid="{BEC9D4B0-0FDA-44C4-A54A-FAE35562D1FD}"/>
    <hyperlink ref="B2429" r:id="rId7515" display="https://twitter.com/Paddyboy1875" xr:uid="{CF739BD9-61AB-4F04-B46F-E8E7C98BB527}"/>
    <hyperlink ref="E2429" r:id="rId7516" display="https://twitter.com/Paddyboy1875/status/723307621365760000" xr:uid="{FBFDC540-CE5C-4587-A7E8-FC54369D3B87}"/>
    <hyperlink ref="O2429" r:id="rId7517" display="https://pbs.twimg.com/profile_images/721285201259806724/DiYnPgcr_normal.jpg" xr:uid="{F27997F4-7E00-457B-8EEB-7196E8E146EF}"/>
    <hyperlink ref="B2430" r:id="rId7518" display="https://twitter.com/sfErrlyGamerhM" xr:uid="{E954AC8C-0A1D-4FD6-A4BF-8D6EF5646F20}"/>
    <hyperlink ref="E2430" r:id="rId7519" display="https://twitter.com/sfErrlyGamerhM/status/723307850911604736" xr:uid="{69CF4EF8-F421-4D4C-8224-B54EEDAE3C43}"/>
    <hyperlink ref="O2430" r:id="rId7520" display="https://pbs.twimg.com/profile_images/575834891222286337/pmti6_ie_normal.jpeg" xr:uid="{C36DED46-CA6E-43A5-9746-F01B820211B0}"/>
    <hyperlink ref="B2431" r:id="rId7521" display="https://twitter.com/RV_Listings" xr:uid="{CF852AF3-573F-4F04-A392-3A061DE65CE9}"/>
    <hyperlink ref="E2431" r:id="rId7522" display="https://twitter.com/RV_Listings/status/723308056952639490" xr:uid="{A1CB5287-11B1-4BF3-A123-2109C02358C3}"/>
    <hyperlink ref="O2431" r:id="rId7523" display="https://pbs.twimg.com/profile_images/696505748969230336/W2SaMvVz_normal.jpg" xr:uid="{D87D8E25-5039-488D-85A4-B80BA2F6E1C5}"/>
    <hyperlink ref="B2432" r:id="rId7524" display="https://twitter.com/gastongomez6173" xr:uid="{8761D888-2DC0-4F1F-AEF0-09C1E7D4930C}"/>
    <hyperlink ref="E2432" r:id="rId7525" display="https://twitter.com/gastongomez6173/status/723308499493609472" xr:uid="{BD7769E7-7433-4E53-B488-E3503F63876C}"/>
    <hyperlink ref="O2432" r:id="rId7526" display="https://pbs.twimg.com/profile_images/539631377214607361/gqpASBoV_normal.jpeg" xr:uid="{86882AD3-E7B6-44CE-827F-80AB2BF45769}"/>
    <hyperlink ref="B2433" r:id="rId7527" display="https://twitter.com/Jarlanalovatic" xr:uid="{9C1AA9A2-D142-4363-A851-C226D1339205}"/>
    <hyperlink ref="E2433" r:id="rId7528" display="https://twitter.com/Jarlanalovatic/status/723308566690422784" xr:uid="{C5D32FA4-C68F-44C8-944F-7815C4F7A765}"/>
    <hyperlink ref="O2433" r:id="rId7529" display="https://pbs.twimg.com/profile_images/594591729979817984/zJOFgKiU_normal.jpg" xr:uid="{9D6E092D-7D46-4114-B7F7-1D55F1DC0EA1}"/>
    <hyperlink ref="B2434" r:id="rId7530" display="https://twitter.com/11LucasDiaz" xr:uid="{A74A5EB6-E058-4A93-AFF6-F5C8DCCC8500}"/>
    <hyperlink ref="E2434" r:id="rId7531" display="https://twitter.com/11LucasDiaz/status/723309083760177154" xr:uid="{9A3A1D44-A34B-4883-93D3-A9C2E2BE8F0E}"/>
    <hyperlink ref="O2434" r:id="rId7532" display="https://pbs.twimg.com/profile_images/722105874236502017/_UHxBLQ-_normal.jpg" xr:uid="{4DE62074-B882-4886-BF83-B9F1E32B8341}"/>
    <hyperlink ref="B2435" r:id="rId7533" display="https://twitter.com/RepoRide" xr:uid="{1D3357DD-AAC3-4A87-A17A-9B6E44B44106}"/>
    <hyperlink ref="E2435" r:id="rId7534" display="https://twitter.com/RepoRide/status/723309229365444608" xr:uid="{D2A2D1AA-0E14-456E-AD15-3D86A5E263F8}"/>
    <hyperlink ref="O2435" r:id="rId7535" display="https://pbs.twimg.com/profile_images/723245925829849088/y5Wdfve9_normal.jpg" xr:uid="{ECD10785-FBF3-4F77-9FC5-4722A759BFB7}"/>
    <hyperlink ref="B2436" r:id="rId7536" display="https://twitter.com/8kCalculariusuw" xr:uid="{F51B7358-540D-4AEB-92A1-0D5E5CC61BB2}"/>
    <hyperlink ref="E2436" r:id="rId7537" display="https://twitter.com/8kCalculariusuw/status/723309386450399232" xr:uid="{5C52095A-9A97-4B70-A273-A16DD9EA8DB8}"/>
    <hyperlink ref="O2436" r:id="rId7538" display="https://pbs.twimg.com/profile_images/575809621526364161/eajgvz2x_normal.jpeg" xr:uid="{80CCBC26-A23D-4FFE-8A7D-9FAD9D25AF1B}"/>
    <hyperlink ref="B2437" r:id="rId7539" display="https://twitter.com/WideAwakeMomma" xr:uid="{80625D8B-3FB4-47C6-93FC-116776D9B2FB}"/>
    <hyperlink ref="E2437" r:id="rId7540" display="https://twitter.com/WideAwakeMomma/status/723309512921255936" xr:uid="{CFF9416E-04F4-4693-9446-01D07DFB8DB0}"/>
    <hyperlink ref="O2437" r:id="rId7541" display="https://pbs.twimg.com/profile_images/713007702721474561/QMRhKzxd_normal.jpg" xr:uid="{F0EB90BB-8DC0-4751-AC1B-273FB6139581}"/>
    <hyperlink ref="B2438" r:id="rId7542" display="https://twitter.com/Scirocco_Tuning" xr:uid="{AC2093E9-69C4-497F-9825-E2239B0BD80C}"/>
    <hyperlink ref="E2438" r:id="rId7543" display="https://twitter.com/Scirocco_Tuning/status/723309754257383424" xr:uid="{E36B8228-654F-48DE-9EE2-1A8455FD0B6E}"/>
    <hyperlink ref="O2438" r:id="rId7544" display="https://pbs.twimg.com/profile_images/1610421423/Image2_normal.jpg" xr:uid="{91C83D95-326A-4088-9644-0807E719D8FA}"/>
    <hyperlink ref="B2439" r:id="rId7545" display="https://twitter.com/2112greg" xr:uid="{843BCECF-02C3-4728-9EB2-53B1F5D27474}"/>
    <hyperlink ref="E2439" r:id="rId7546" display="https://twitter.com/2112greg/status/723309826453852161" xr:uid="{4A801ED0-0C36-4C16-B7B9-241C6FF3BB6C}"/>
    <hyperlink ref="O2439" r:id="rId7547" display="https://pbs.twimg.com/profile_images/503024530361962496/n-EQlw93_normal.jpeg" xr:uid="{896E4C7E-DAD1-41A6-AAFB-89735DBA68AA}"/>
    <hyperlink ref="B2440" r:id="rId7548" display="https://twitter.com/Orne_Dalfonso" xr:uid="{34E6B753-807E-4A0C-BFB3-1DC2242C0425}"/>
    <hyperlink ref="E2440" r:id="rId7549" display="https://twitter.com/Orne_Dalfonso/status/723310110064300033" xr:uid="{DBBD5D01-DD17-4C00-92C2-0D2BB7FC1706}"/>
    <hyperlink ref="O2440" r:id="rId7550" display="https://pbs.twimg.com/profile_images/716053257962041344/auGRVQke_normal.jpg" xr:uid="{27233215-767B-43B1-8B09-58A570F0F7E8}"/>
    <hyperlink ref="B2441" r:id="rId7551" display="https://twitter.com/Adrlana_Mendes" xr:uid="{7BCE8B98-1372-4AB7-93AF-AB3D84C8BBE3}"/>
    <hyperlink ref="E2441" r:id="rId7552" display="https://twitter.com/Adrlana_Mendes/status/723310357457068032" xr:uid="{0B8E9BB8-D465-4CE3-BD75-52DE4D90CED1}"/>
    <hyperlink ref="O2441" r:id="rId7553" display="https://pbs.twimg.com/profile_images/540346412509437953/ZJ2Ujqmn_normal.jpeg" xr:uid="{AA226534-2B66-460E-A5A9-AE94027E5B77}"/>
    <hyperlink ref="B2442" r:id="rId7554" display="https://twitter.com/emilysinclair84" xr:uid="{2BCC68C3-03BA-4BF6-9B7E-D722841736F4}"/>
    <hyperlink ref="E2442" r:id="rId7555" display="https://twitter.com/emilysinclair84/status/723311187774070785" xr:uid="{3EC79EE5-4E6E-4300-8D6E-887E39F9A545}"/>
    <hyperlink ref="O2442" r:id="rId7556" display="https://pbs.twimg.com/profile_images/540332176014069760/Vgc8EoEh_normal.jpeg" xr:uid="{657A8C00-8EC8-4E8C-98AB-F30A295AB852}"/>
    <hyperlink ref="B2443" r:id="rId7557" display="https://twitter.com/NoSeaEstupldo" xr:uid="{ADAA2A2A-AB91-4DE4-9890-381ABF91FE43}"/>
    <hyperlink ref="E2443" r:id="rId7558" display="https://twitter.com/NoSeaEstupldo/status/723312790111412224" xr:uid="{BBD6DDC8-C2D8-4A09-8F9D-989959B98EB2}"/>
    <hyperlink ref="O2443" r:id="rId7559" display="https://pbs.twimg.com/profile_images/539576246586605568/Ygx-rz5Q_normal.jpeg" xr:uid="{568E8AB3-1288-4989-AE9D-D7640C8A1E76}"/>
    <hyperlink ref="B2444" r:id="rId7560" display="https://twitter.com/dukecave" xr:uid="{DB950298-607F-46BA-9C7A-9A9C91115B12}"/>
    <hyperlink ref="E2444" r:id="rId7561" display="https://twitter.com/dukecave/status/723313113315975169" xr:uid="{B6DB0F20-0D40-4F4E-8DA6-243D12C93C4E}"/>
    <hyperlink ref="O2444" r:id="rId7562" display="https://pbs.twimg.com/profile_images/647389824538640384/A1wxqrcJ_normal.jpg" xr:uid="{4F788E82-C864-44FF-B0F0-2AE04464C94C}"/>
    <hyperlink ref="B2445" r:id="rId7563" display="https://twitter.com/rigogereon" xr:uid="{57D3EF11-8301-4429-BB44-A265D2D82BFF}"/>
    <hyperlink ref="E2445" r:id="rId7564" display="https://twitter.com/rigogereon/status/723313227774476288" xr:uid="{E8EFB451-0856-461F-B802-F4904B9AFB40}"/>
    <hyperlink ref="O2445" r:id="rId7565" display="https://pbs.twimg.com/profile_images/698117294308921346/aePG7L02_normal.jpg" xr:uid="{262D1333-609B-4A2D-8F45-2FBCF5668CA8}"/>
    <hyperlink ref="B2446" r:id="rId7566" display="https://twitter.com/rigogereon" xr:uid="{90721914-2A8C-4C38-874B-E6CC9472EF3D}"/>
    <hyperlink ref="E2446" r:id="rId7567" display="https://twitter.com/rigogereon/status/723313285962055682" xr:uid="{260DE6B2-D108-4AD1-8A9B-A22936EE7207}"/>
    <hyperlink ref="O2446" r:id="rId7568" display="https://pbs.twimg.com/profile_images/698117294308921346/aePG7L02_normal.jpg" xr:uid="{BCDE430F-5039-4BCD-ABBA-C8C65EF24964}"/>
    <hyperlink ref="B2447" r:id="rId7569" display="https://twitter.com/rigogereon" xr:uid="{94F5FBEB-A570-4FF7-B868-7EB2562CEF8C}"/>
    <hyperlink ref="E2447" r:id="rId7570" display="https://twitter.com/rigogereon/status/723313384737873920" xr:uid="{A2A38EA3-4D4E-4D78-B96F-A7F23C929E93}"/>
    <hyperlink ref="O2447" r:id="rId7571" display="https://pbs.twimg.com/profile_images/698117294308921346/aePG7L02_normal.jpg" xr:uid="{635448D8-F097-40F2-9722-2BD4B24702D7}"/>
    <hyperlink ref="B2448" r:id="rId7572" display="https://twitter.com/amsalwajih" xr:uid="{7930926F-E3F6-414A-A17C-45426D47003C}"/>
    <hyperlink ref="E2448" r:id="rId7573" display="https://twitter.com/amsalwajih/status/723314838055845892" xr:uid="{BCF4B41A-89FF-456C-8007-01D238958C65}"/>
    <hyperlink ref="O2448" r:id="rId7574" display="https://pbs.twimg.com/profile_images/576412362711773184/jZSbDGM2_normal.jpeg" xr:uid="{751E92A1-0BF8-4997-B41A-95A14DA306A7}"/>
    <hyperlink ref="P2448" r:id="rId7575" location="38.92354005,-77.23737033" display="http://ctrlq.org/maps/address/ - 38.92354005,-77.23737033" xr:uid="{FE8FB632-B476-493C-B285-2AE970A50C12}"/>
    <hyperlink ref="B2449" r:id="rId7576" display="https://twitter.com/Mlcaela_Soosa" xr:uid="{D17C0D7D-CAC9-4DCA-AAF8-F03685CFCA36}"/>
    <hyperlink ref="E2449" r:id="rId7577" display="https://twitter.com/Mlcaela_Soosa/status/723315248200073216" xr:uid="{B71F7DE0-73C8-4894-958D-A05B08A00B78}"/>
    <hyperlink ref="O2449" r:id="rId7578" display="https://pbs.twimg.com/profile_images/539605582815453184/zIoNro6J_normal.jpeg" xr:uid="{1C8B15A6-1C06-41CF-BE82-E2562F112964}"/>
    <hyperlink ref="B2450" r:id="rId7579" display="https://twitter.com/kngeuro" xr:uid="{676A3B08-8EA6-4CCE-97A9-764709CB98BF}"/>
    <hyperlink ref="E2450" r:id="rId7580" display="https://twitter.com/kngeuro/status/723315401963102208" xr:uid="{92164B11-B233-475E-814E-44789A104307}"/>
    <hyperlink ref="O2450" r:id="rId7581" display="https://pbs.twimg.com/profile_images/570375988065935360/ooT_Nq7x_normal.jpeg" xr:uid="{7F33557A-B6DE-48D3-B24E-9CF5B4944793}"/>
    <hyperlink ref="B2451" r:id="rId7582" display="https://twitter.com/DhakaTribune" xr:uid="{0415717B-63F3-4873-8611-1B009F34A782}"/>
    <hyperlink ref="E2451" r:id="rId7583" display="https://twitter.com/DhakaTribune/status/723315438382272513" xr:uid="{90576556-1699-422A-B3EA-FCD6E5414A90}"/>
    <hyperlink ref="O2451" r:id="rId7584" display="https://pbs.twimg.com/profile_images/3514281595/3692f510c22e1434a52e6dbabeae58ce_normal.png" xr:uid="{FD910142-AB16-4FE4-888F-1A0814F64B41}"/>
    <hyperlink ref="B2452" r:id="rId7585" display="https://twitter.com/amsalwajih" xr:uid="{52B65262-33E5-4FC6-B5CE-8E54ECA0E123}"/>
    <hyperlink ref="E2452" r:id="rId7586" display="https://twitter.com/amsalwajih/status/723315706494877696" xr:uid="{EA85128E-80F8-4D2D-ABDD-C7772CB7F466}"/>
    <hyperlink ref="O2452" r:id="rId7587" display="https://pbs.twimg.com/profile_images/576412362711773184/jZSbDGM2_normal.jpeg" xr:uid="{8E4F7F7E-A0F4-4799-A3B3-658CB82A8D06}"/>
    <hyperlink ref="P2452" r:id="rId7588" location="38.92354005,-77.23737033" display="http://ctrlq.org/maps/address/ - 38.92354005,-77.23737033" xr:uid="{4831BD59-2588-4F8B-966D-3BDCCF65468E}"/>
    <hyperlink ref="B2453" r:id="rId7589" display="https://twitter.com/KMurphyIndep" xr:uid="{C0ADA060-967E-4E62-A188-BC63FA59EF08}"/>
    <hyperlink ref="E2453" r:id="rId7590" display="https://twitter.com/KMurphyIndep/status/723315943431090176" xr:uid="{A2105AE3-A947-4D5D-B21B-208509346891}"/>
    <hyperlink ref="O2453" r:id="rId7591" display="https://pbs.twimg.com/profile_images/696325675398070272/06sWqs3H_normal.jpg" xr:uid="{27F1CC65-0C90-4B89-814D-6EFAD15293D2}"/>
    <hyperlink ref="B2454" r:id="rId7592" display="https://twitter.com/channei_purple" xr:uid="{C6466F92-909D-4B95-BB62-EEA6E1170E71}"/>
    <hyperlink ref="E2454" r:id="rId7593" display="https://twitter.com/channei_purple/status/723316167067197441" xr:uid="{2CB51C4A-5D51-4CE5-A08B-7C36CC20D386}"/>
    <hyperlink ref="O2454" r:id="rId7594" display="https://pbs.twimg.com/profile_images/534298880599277568/lhuM0-7E_normal.jpeg" xr:uid="{A7A8BA4B-9FA0-40CD-92DC-44CC1A5B65F3}"/>
    <hyperlink ref="B2455" r:id="rId7595" display="https://twitter.com/JayPilot87" xr:uid="{38D2B059-E4F1-4A79-9430-93A9E7EFB8A4}"/>
    <hyperlink ref="E2455" r:id="rId7596" display="https://twitter.com/JayPilot87/status/723316399565881344" xr:uid="{ABBF86F6-6806-4534-A6DD-C6737AEA7D14}"/>
    <hyperlink ref="O2455" r:id="rId7597" display="https://pbs.twimg.com/profile_images/492062532773765120/qJtb2Fvz_normal.jpeg" xr:uid="{A252BBD1-E6C4-4356-ACCB-FC5DA59ADB9B}"/>
    <hyperlink ref="B2456" r:id="rId7598" display="https://twitter.com/ENLACEPUEBLA" xr:uid="{BA15CE45-0AAB-499D-988D-4B12FFF081A6}"/>
    <hyperlink ref="E2456" r:id="rId7599" display="https://twitter.com/ENLACEPUEBLA/status/723316649294614532" xr:uid="{70CE8878-D87F-4268-81B5-475CA5F99702}"/>
    <hyperlink ref="O2456" r:id="rId7600" display="https://pbs.twimg.com/profile_images/443258859092578304/uvPzzzTx_normal.png" xr:uid="{70117FCC-BE16-4223-BC5B-B85BE2CBCFA3}"/>
    <hyperlink ref="B2457" r:id="rId7601" display="https://twitter.com/n4yf_n" xr:uid="{9FC052B5-816D-42DA-8BC1-A9A5F2A7AADB}"/>
    <hyperlink ref="E2457" r:id="rId7602" display="https://twitter.com/n4yf_n/status/723316696463867904" xr:uid="{4FB6DCAE-AAE3-4326-9A97-CB50B1006983}"/>
    <hyperlink ref="O2457" r:id="rId7603" display="https://pbs.twimg.com/profile_images/539556636235689984/Pg8_WG76_normal.jpeg" xr:uid="{540A1E61-808C-4B7A-9E1D-92F818AA7A50}"/>
    <hyperlink ref="B2458" r:id="rId7604" display="https://twitter.com/DubLuvTuning" xr:uid="{4E4321FB-C58E-455E-B514-D94DB3C812B7}"/>
    <hyperlink ref="E2458" r:id="rId7605" display="https://twitter.com/DubLuvTuning/status/723316715749314560" xr:uid="{87246D7A-98FB-42B2-A57D-C083F5FB0C31}"/>
    <hyperlink ref="O2458" r:id="rId7606" display="https://pbs.twimg.com/profile_images/378800000572104796/1de43e1cf23efb3f4101c02afad0d3b6_normal.png" xr:uid="{3E61E153-D297-4B08-BF5F-B3A282AF943C}"/>
    <hyperlink ref="B2459" r:id="rId7607" display="https://twitter.com/tube_c0ffee" xr:uid="{25539EE2-C88D-4B11-BB6C-02FDD68528A3}"/>
    <hyperlink ref="E2459" r:id="rId7608" display="https://twitter.com/tube_c0ffee/status/723316719943561216" xr:uid="{5768DEEB-3452-44FA-AD85-23002B7C8244}"/>
    <hyperlink ref="O2459" r:id="rId7609" display="https://pbs.twimg.com/profile_images/540334693695365122/eJf6aMtR_normal.jpeg" xr:uid="{1BECF00C-62EF-4CA0-8D32-0ED2D1830B5A}"/>
    <hyperlink ref="B2460" r:id="rId7610" display="https://twitter.com/dannyL7055" xr:uid="{76464249-EAEB-4F62-B999-481B6B25D1D2}"/>
    <hyperlink ref="E2460" r:id="rId7611" display="https://twitter.com/dannyL7055/status/723316824046211072" xr:uid="{18DC71B4-91AB-4C79-B1E6-48A496038FEE}"/>
    <hyperlink ref="O2460" r:id="rId7612" display="https://pbs.twimg.com/profile_images/540350415838384130/Pj4x26MI_normal.jpeg" xr:uid="{9ACEFEF3-2D34-4773-9DBA-3042CC04A1E9}"/>
    <hyperlink ref="B2461" r:id="rId7613" display="https://twitter.com/SexenioMX" xr:uid="{468BF81A-DC02-48A8-ACCA-E74B0179633C}"/>
    <hyperlink ref="E2461" r:id="rId7614" display="https://twitter.com/SexenioMX/status/723316901674242048" xr:uid="{45484A6B-A4C7-4D6E-9145-B1337D4E5DEF}"/>
    <hyperlink ref="O2461" r:id="rId7615" display="https://pbs.twimg.com/profile_images/700415860230397952/tCGmCj6M_normal.jpg" xr:uid="{5D3B3DED-2FD7-490F-8D7C-84521351780C}"/>
    <hyperlink ref="B2462" r:id="rId7616" display="https://twitter.com/SexenioCDMX" xr:uid="{B0C71F6E-1218-4017-B395-8E718F36CB9A}"/>
    <hyperlink ref="E2462" r:id="rId7617" display="https://twitter.com/SexenioCDMX/status/723316916333334529" xr:uid="{0CC1666D-11CF-48FC-AC70-FFE55ED21177}"/>
    <hyperlink ref="O2462" r:id="rId7618" display="https://pbs.twimg.com/profile_images/693156293842894848/THX8L389_normal.jpg" xr:uid="{A55E7CEB-166C-4127-AAAE-BECE9EA70E92}"/>
    <hyperlink ref="B2463" r:id="rId7619" display="https://twitter.com/ReynaldiLucas" xr:uid="{1E9F3D24-669B-4DDA-9172-CF351643D4AC}"/>
    <hyperlink ref="E2463" r:id="rId7620" display="https://twitter.com/ReynaldiLucas/status/723316958725345280" xr:uid="{4550FDD9-516F-487A-AC4B-4027079602F0}"/>
    <hyperlink ref="O2463" r:id="rId7621" display="https://pbs.twimg.com/profile_images/714657397692841984/QHEc2TJ7_normal.jpg" xr:uid="{0EA777E5-9D2C-4EF4-A0F7-2479BE06B9C4}"/>
    <hyperlink ref="B2464" r:id="rId7622" display="https://twitter.com/gavins" xr:uid="{64629712-A3AA-414E-9A7D-0F46DE66AA44}"/>
    <hyperlink ref="E2464" r:id="rId7623" display="https://twitter.com/gavins/status/723317294974308352" xr:uid="{99616838-18AB-4F7C-8CA1-0AEFCE79D0C5}"/>
    <hyperlink ref="O2464" r:id="rId7624" display="https://pbs.twimg.com/profile_images/568605234327744512/Knwshzgf_normal.jpeg" xr:uid="{7FE02E21-1BF0-41DC-B538-758DED7C5997}"/>
    <hyperlink ref="B2465" r:id="rId7625" display="https://twitter.com/antphographic" xr:uid="{39FD1E2C-32A1-4D20-8F59-4D9330E4A9F8}"/>
    <hyperlink ref="E2465" r:id="rId7626" display="https://twitter.com/antphographic/status/723317433432477697" xr:uid="{6E7FD60E-8FEB-4544-AC8E-8619D11F9DC0}"/>
    <hyperlink ref="O2465" r:id="rId7627" display="https://pbs.twimg.com/profile_images/687375732939460608/7I7vTJsq_normal.jpg" xr:uid="{B6822DCE-0B3C-439F-A35D-9CA6C013F1D1}"/>
    <hyperlink ref="B2466" r:id="rId7628" display="https://twitter.com/enviromedia" xr:uid="{3CD098B0-1423-4502-8AE2-DF3FF5569C1C}"/>
    <hyperlink ref="E2466" r:id="rId7629" display="https://twitter.com/enviromedia/status/723317603188400128" xr:uid="{B2906BF4-618B-4D41-A38B-5549A3FA2272}"/>
    <hyperlink ref="O2466" r:id="rId7630" display="https://pbs.twimg.com/profile_images/699383744277278720/_YVLnGwX_normal.jpg" xr:uid="{26B909D8-1C98-494E-932A-E629E9425882}"/>
    <hyperlink ref="B2467" r:id="rId7631" display="https://twitter.com/motorgiga" xr:uid="{73E09301-6E9D-49B9-AF70-2692C1AD8409}"/>
    <hyperlink ref="C2467" r:id="rId7632" xr:uid="{A451697C-80E9-45F8-A9B6-150764729A06}"/>
    <hyperlink ref="E2467" r:id="rId7633" display="https://twitter.com/motorgiga/status/723317834961420289" xr:uid="{7F10D7F3-A51F-427A-A68F-0A7528504E8E}"/>
    <hyperlink ref="O2467" r:id="rId7634" display="https://pbs.twimg.com/profile_images/512189796068773888/7GP1qCk4_normal.png" xr:uid="{C6D04E89-B37E-4334-98F3-1FA5FD6520C3}"/>
    <hyperlink ref="B2468" r:id="rId7635" display="https://twitter.com/Dulcerengel" xr:uid="{4F3890EC-A31F-4E9B-B05F-1AE1468EE907}"/>
    <hyperlink ref="E2468" r:id="rId7636" display="https://twitter.com/Dulcerengel/status/723318846862594050" xr:uid="{F84A7B16-7968-4007-8DFD-0B0DA5CFBAB8}"/>
    <hyperlink ref="O2468" r:id="rId7637" display="https://pbs.twimg.com/profile_images/722218502476705793/urTvDvSr_normal.jpg" xr:uid="{445FD20B-AB02-494D-B5D8-1798F982DDA2}"/>
    <hyperlink ref="B2469" r:id="rId7638" display="https://twitter.com/arancibia_rob" xr:uid="{8ECAD2B4-68D2-485B-91FF-52C51424E122}"/>
    <hyperlink ref="E2469" r:id="rId7639" display="https://twitter.com/arancibia_rob/status/723319568496754688" xr:uid="{31FC49AC-20FC-4847-A03E-98088C8C27DC}"/>
    <hyperlink ref="O2469" r:id="rId7640" display="https://pbs.twimg.com/profile_images/672911420783271937/infVkeWL_normal.jpg" xr:uid="{6DAD7F62-A9D6-47C2-A2B8-C3AB2F3EE8C0}"/>
    <hyperlink ref="B2470" r:id="rId7641" display="https://twitter.com/LeahEasley" xr:uid="{E0F620BA-4A9F-4183-B379-089DCC65EEAB}"/>
    <hyperlink ref="E2470" r:id="rId7642" display="https://twitter.com/LeahEasley/status/723321057650851840" xr:uid="{57883D91-5903-439B-B83E-CD85C2A124E2}"/>
    <hyperlink ref="O2470" r:id="rId7643" display="https://pbs.twimg.com/profile_images/717438411792056320/qTkBZ1Ew_normal.jpg" xr:uid="{3D9BC090-E65E-44A9-8AE8-A1F55D1D8E88}"/>
    <hyperlink ref="B2471" r:id="rId7644" display="https://twitter.com/MoveRally" xr:uid="{7A4D01B1-55D4-4159-ACF4-B3414BB187E1}"/>
    <hyperlink ref="E2471" r:id="rId7645" display="https://twitter.com/MoveRally/status/723321360538329088" xr:uid="{97DF8C91-1A30-4512-8954-22D7A2BA9B06}"/>
    <hyperlink ref="O2471" r:id="rId7646" display="https://pbs.twimg.com/profile_images/2261219336/portada_normal.jpg" xr:uid="{1215FDF0-CE5F-4759-BBAF-7BE984532A78}"/>
    <hyperlink ref="B2472" r:id="rId7647" display="https://twitter.com/MoveRally" xr:uid="{31FF569E-36DB-4A83-891B-1357DF5F4B77}"/>
    <hyperlink ref="E2472" r:id="rId7648" display="https://twitter.com/MoveRally/status/723321437751267328" xr:uid="{B5D78F17-6ED5-4611-9BF7-B2C041410DD6}"/>
    <hyperlink ref="O2472" r:id="rId7649" display="https://pbs.twimg.com/profile_images/2261219336/portada_normal.jpg" xr:uid="{8A7FD12D-DED1-4388-81A0-F09A144F271D}"/>
    <hyperlink ref="B2473" r:id="rId7650" display="https://twitter.com/MoveRally" xr:uid="{12B13732-7FF4-4791-87ED-F25FCFD4F849}"/>
    <hyperlink ref="E2473" r:id="rId7651" display="https://twitter.com/MoveRally/status/723321661836169216" xr:uid="{5ADB1A22-71AF-44D6-A6AA-819108402336}"/>
    <hyperlink ref="O2473" r:id="rId7652" display="https://pbs.twimg.com/profile_images/2261219336/portada_normal.jpg" xr:uid="{F5C4AF48-7253-4F77-8D4D-6F9C24D789B9}"/>
    <hyperlink ref="B2474" r:id="rId7653" display="https://twitter.com/ModzGarage" xr:uid="{E5E36851-737B-4440-BEE9-7018FC362C54}"/>
    <hyperlink ref="E2474" r:id="rId7654" display="https://twitter.com/ModzGarage/status/723321693515603968" xr:uid="{D1E939DB-7CE0-49A5-9249-93E0C6CCA5A6}"/>
    <hyperlink ref="O2474" r:id="rId7655" display="https://pbs.twimg.com/profile_images/3027475653/ddc80308d1b40a236a9a09ffbf660804_normal.jpeg" xr:uid="{DB1B0A08-8F5A-4B41-8A9F-C1F4C7A83630}"/>
    <hyperlink ref="B2475" r:id="rId7656" display="https://twitter.com/likee_so" xr:uid="{CF8F18B6-5088-4E28-A6A6-E97125B2D442}"/>
    <hyperlink ref="E2475" r:id="rId7657" display="https://twitter.com/likee_so/status/723322090343010307" xr:uid="{C7B13C77-8361-444F-8A4F-C07FE206EA63}"/>
    <hyperlink ref="O2475" r:id="rId7658" display="https://pbs.twimg.com/profile_images/672216168892137473/TMmU-9VW_normal.jpg" xr:uid="{0822B8D4-E97B-471C-BEEF-518B8A3EEBC2}"/>
    <hyperlink ref="B2476" r:id="rId7659" display="https://twitter.com/HERNANSALDANAC" xr:uid="{591962D7-EFB5-4036-AA59-75EB224483C6}"/>
    <hyperlink ref="E2476" r:id="rId7660" display="https://twitter.com/HERNANSALDANAC/status/723322103278243840" xr:uid="{B33BFA28-4AFD-4EF1-AE2D-49EB850F4DFF}"/>
    <hyperlink ref="O2476" r:id="rId7661" display="https://abs.twimg.com/sticky/default_profile_images/default_profile_5_normal.png" xr:uid="{C2CF7B1A-BCA0-4B46-B8BC-E9899A3118A8}"/>
    <hyperlink ref="B2477" r:id="rId7662" display="https://twitter.com/jordan_cowdery" xr:uid="{064D0DA4-FAA3-43CF-A041-DB5CFC857E91}"/>
    <hyperlink ref="E2477" r:id="rId7663" display="https://twitter.com/jordan_cowdery/status/723322723758387200" xr:uid="{51A7D8E0-9410-4D3F-9FA1-AD5D7B6E1490}"/>
    <hyperlink ref="O2477" r:id="rId7664" display="https://pbs.twimg.com/profile_images/687431235946295297/DAzW6uBP_normal.jpg" xr:uid="{181D7896-66AD-4889-807E-0F4BBA46B63B}"/>
    <hyperlink ref="B2478" r:id="rId7665" display="https://twitter.com/VWCamperSales" xr:uid="{714CD4FC-51B6-4614-96E4-64A8EEDADFBF}"/>
    <hyperlink ref="E2478" r:id="rId7666" display="https://twitter.com/VWCamperSales/status/723322969192206336" xr:uid="{C59262E4-B07A-4226-90A9-5009BC24B7B4}"/>
    <hyperlink ref="F2478" r:id="rId7667" xr:uid="{6E0413F9-0674-4969-8C50-7ABA4B0CE129}"/>
    <hyperlink ref="O2478" r:id="rId7668" display="https://pbs.twimg.com/profile_images/627949001179037696/skEBkS05_normal.jpg" xr:uid="{BCD0E572-A717-4575-B61F-EE25863AC6A9}"/>
    <hyperlink ref="B2479" r:id="rId7669" display="https://twitter.com/DLFNachrichten" xr:uid="{AC6CBF82-8A15-46D6-BCF4-020629FBBC17}"/>
    <hyperlink ref="E2479" r:id="rId7670" display="https://twitter.com/DLFNachrichten/status/723322990155436033" xr:uid="{2504A1E6-FBBF-4454-B72D-28A9D11A4867}"/>
    <hyperlink ref="O2479" r:id="rId7671" display="https://pbs.twimg.com/profile_images/669541061711261696/eOfP0YD8_normal.png" xr:uid="{B19420BD-0C48-477A-8DEC-E0E8E0C20C51}"/>
    <hyperlink ref="B2480" r:id="rId7672" display="https://twitter.com/DLF" xr:uid="{F839D44A-910F-4C10-83F9-338F839975B3}"/>
    <hyperlink ref="E2480" r:id="rId7673" display="https://twitter.com/DLF/status/723323011185651712" xr:uid="{1229155E-D10C-41A6-B183-73DB3183B60C}"/>
    <hyperlink ref="O2480" r:id="rId7674" display="https://pbs.twimg.com/profile_images/667101948429123584/pzpPHONX_normal.jpg" xr:uid="{55B409C5-8A2C-4FE5-BF8A-EFE3B3A08EB4}"/>
    <hyperlink ref="B2481" r:id="rId7675" display="https://twitter.com/aaron643" xr:uid="{D14D76D8-8854-4839-BA82-BB1827B86572}"/>
    <hyperlink ref="E2481" r:id="rId7676" display="https://twitter.com/aaron643/status/723323130815483905" xr:uid="{A7197DC7-95B8-482B-890F-FF73D10885C3}"/>
    <hyperlink ref="O2481" r:id="rId7677" display="https://pbs.twimg.com/profile_images/378800000614625899/b17a3de211b0605a5d97d03f66ce6cd4_normal.png" xr:uid="{F37BE101-4807-411A-8964-FEF334AAAACF}"/>
    <hyperlink ref="B2482" r:id="rId7678" display="https://twitter.com/VolkswagenPost" xr:uid="{C48E843E-AAA1-4B9F-B602-1A16743AD067}"/>
    <hyperlink ref="E2482" r:id="rId7679" display="https://twitter.com/VolkswagenPost/status/723323395631419392" xr:uid="{CD965C42-D31C-4A16-A0F7-337EDA5EF307}"/>
    <hyperlink ref="O2482" r:id="rId7680" display="https://pbs.twimg.com/profile_images/530071272881803264/a_jcCmPZ_normal.png" xr:uid="{7F19839C-6B74-4C68-BB01-75855317686E}"/>
    <hyperlink ref="B2483" r:id="rId7681" display="https://twitter.com/RadialTVcom" xr:uid="{1112EBAC-4658-4971-8306-13578DCBB0BD}"/>
    <hyperlink ref="E2483" r:id="rId7682" display="https://twitter.com/RadialTVcom/status/723323645074919424" xr:uid="{5173198C-E498-4EB3-B696-0CF66DC42490}"/>
    <hyperlink ref="O2483" r:id="rId7683" display="https://pbs.twimg.com/profile_images/524247355084636160/OzYcsa1O_normal.jpeg" xr:uid="{5A5428C3-A6E4-4864-BDE4-8E6ED4B2E26C}"/>
    <hyperlink ref="B2484" r:id="rId7684" display="https://twitter.com/OnlineCarReview" xr:uid="{0136B811-2C13-417D-A914-EFF6A0616C7B}"/>
    <hyperlink ref="E2484" r:id="rId7685" display="https://twitter.com/OnlineCarReview/status/723323727811727360" xr:uid="{A866DC67-A068-4EB9-B598-08F26EDA0A98}"/>
    <hyperlink ref="O2484" r:id="rId7686" display="https://pbs.twimg.com/profile_images/652871584131092480/QA_B6SBO_normal.jpg" xr:uid="{70DDE46A-1B0A-4643-B4D8-EF3571143D47}"/>
    <hyperlink ref="B2485" r:id="rId7687" display="https://twitter.com/VWBeetleSales" xr:uid="{E5659EE5-9E26-4D38-B776-638946F7636B}"/>
    <hyperlink ref="E2485" r:id="rId7688" display="https://twitter.com/VWBeetleSales/status/723323969869246465" xr:uid="{88BA2F33-A7EB-4FA8-B2B5-F3C97E31887D}"/>
    <hyperlink ref="F2485" r:id="rId7689" xr:uid="{EDB4AD39-1A0F-464C-810A-26E8D7A0EC42}"/>
    <hyperlink ref="O2485" r:id="rId7690" display="https://pbs.twimg.com/profile_images/703294545195307008/qeCvrX86_normal.jpg" xr:uid="{CAAB93C5-09AD-4ABA-8205-1999D123F2FF}"/>
    <hyperlink ref="B2486" r:id="rId7691" display="https://twitter.com/beetlebug1938" xr:uid="{C898B0AB-1A63-416C-B4FE-D41B6E016438}"/>
    <hyperlink ref="E2486" r:id="rId7692" display="https://twitter.com/beetlebug1938/status/723323984654307328" xr:uid="{24AEEF09-847F-4302-8368-DB47448FFC7C}"/>
    <hyperlink ref="O2486" r:id="rId7693" display="https://pbs.twimg.com/profile_images/718820712757215233/LXXndPTS_normal.jpg" xr:uid="{179F4954-5E46-45B8-A13C-2A4ACFD5928A}"/>
    <hyperlink ref="B2487" r:id="rId7694" display="https://twitter.com/beetlebug1938" xr:uid="{6B802C88-A6CF-4E55-9300-FCAAF3D3FECA}"/>
    <hyperlink ref="E2487" r:id="rId7695" display="https://twitter.com/beetlebug1938/status/723324019026628609" xr:uid="{1737681B-C4FB-48E3-9286-F0EF3B21A818}"/>
    <hyperlink ref="O2487" r:id="rId7696" display="https://pbs.twimg.com/profile_images/718820712757215233/LXXndPTS_normal.jpg" xr:uid="{A9B06CA2-5151-4E4A-8814-A29956B03F9F}"/>
    <hyperlink ref="B2488" r:id="rId7697" display="https://twitter.com/Ivan_Loewen" xr:uid="{64D63EB3-5E34-4139-829A-43DF0A9858C7}"/>
    <hyperlink ref="E2488" r:id="rId7698" display="https://twitter.com/Ivan_Loewen/status/723324050735435778" xr:uid="{1F6F2468-DFDD-4E8F-AF33-CD50019F9E8C}"/>
    <hyperlink ref="O2488" r:id="rId7699" display="https://pbs.twimg.com/profile_images/583352626793742336/4RgQ3C48_normal.jpg" xr:uid="{70BE1EB1-7846-4C1B-A309-1E58C00017E7}"/>
    <hyperlink ref="B2489" r:id="rId7700" display="https://twitter.com/Sandy_Tang_Ge" xr:uid="{F571A843-2C36-445E-B9ED-5C9A475E0C5D}"/>
    <hyperlink ref="E2489" r:id="rId7701" display="https://twitter.com/Sandy_Tang_Ge/status/723324124874047489" xr:uid="{9C656D14-1D79-4A0B-989C-B69F561D5982}"/>
    <hyperlink ref="O2489" r:id="rId7702" display="https://pbs.twimg.com/profile_images/710116856074522624/Z39UW3uF_normal.jpg" xr:uid="{D7BE4A4C-4069-4C7D-9F5D-B942524F931C}"/>
    <hyperlink ref="B2490" r:id="rId7703" display="https://twitter.com/Financial_Orbit" xr:uid="{2BF32A5A-F496-474D-BEC8-AB1F37239523}"/>
    <hyperlink ref="E2490" r:id="rId7704" display="https://twitter.com/Financial_Orbit/status/723324404361506816" xr:uid="{8B649D8E-3F5E-4621-8610-42CE7BACE254}"/>
    <hyperlink ref="O2490" r:id="rId7705" display="https://pbs.twimg.com/profile_images/378800000739982710/6d3d69a95d8636c04033ccecb17d6235_normal.png" xr:uid="{D4AEA129-7D6C-49FE-A150-ADDB5B491355}"/>
    <hyperlink ref="B2491" r:id="rId7706" display="https://twitter.com/beto_rh6" xr:uid="{F7CFB26B-D187-4BE3-BCD6-E8DFD1EA2B98}"/>
    <hyperlink ref="E2491" r:id="rId7707" display="https://twitter.com/beto_rh6/status/723324723283693568" xr:uid="{B4F211BA-974B-45D9-A6AD-1E2DCA63057B}"/>
    <hyperlink ref="O2491" r:id="rId7708" display="https://pbs.twimg.com/profile_images/674995378828152832/MlepJsK4_normal.jpg" xr:uid="{3B594706-E315-4347-8EBC-00B4A7617B85}"/>
    <hyperlink ref="B2492" r:id="rId7709" display="https://twitter.com/Ryan_Rudolph" xr:uid="{69614A86-86B4-422E-AF93-2D584AA3E7E2}"/>
    <hyperlink ref="E2492" r:id="rId7710" display="https://twitter.com/Ryan_Rudolph/status/723325208787083264" xr:uid="{BA37BBD6-8978-45AE-BA33-6629BB313698}"/>
    <hyperlink ref="O2492" r:id="rId7711" display="https://pbs.twimg.com/profile_images/714653379893534720/oeuBc6wd_normal.jpg" xr:uid="{671E3DCF-55F4-4DD3-8ACF-6AF2FD9F7E9F}"/>
    <hyperlink ref="B2493" r:id="rId7712" display="https://twitter.com/AbrilBecerra699" xr:uid="{5D07C8FB-B6D1-4914-9114-67A1C565B479}"/>
    <hyperlink ref="E2493" r:id="rId7713" display="https://twitter.com/AbrilBecerra699/status/723325691840872449" xr:uid="{BA3D31C1-EECB-452F-9037-4CD6AC097309}"/>
    <hyperlink ref="O2493" r:id="rId7714" display="https://pbs.twimg.com/profile_images/711730667755855876/JenSSBR3_normal.jpg" xr:uid="{E6B1268A-36D4-4DA6-8A2F-FDAEAD567988}"/>
    <hyperlink ref="B2494" r:id="rId7715" display="https://twitter.com/NicoCirujaa" xr:uid="{C6291361-6AB7-4AF0-9185-DD5305CAE405}"/>
    <hyperlink ref="E2494" r:id="rId7716" display="https://twitter.com/NicoCirujaa/status/723325812548747264" xr:uid="{F1B5800B-B79E-4B82-BE99-2E9011399FE0}"/>
    <hyperlink ref="O2494" r:id="rId7717" display="https://pbs.twimg.com/profile_images/683507510821699584/Ty4XUEO-_normal.jpg" xr:uid="{A6BB924E-25B0-444A-8343-2A83712E3D91}"/>
    <hyperlink ref="B2495" r:id="rId7718" display="https://twitter.com/KraeuterVerbena" xr:uid="{AE45B5CE-9C21-44A2-AD7B-A81101368273}"/>
    <hyperlink ref="E2495" r:id="rId7719" display="https://twitter.com/KraeuterVerbena/status/723327067501154304" xr:uid="{7B8F797A-1F23-4CEE-B551-7A1E49CB5F47}"/>
    <hyperlink ref="O2495" r:id="rId7720" display="https://pbs.twimg.com/profile_images/378800000109961888/1fe63c1eeb42ea998aeb8b47c703db0c_normal.jpeg" xr:uid="{F7D79117-6D98-4346-AE4E-29861119E493}"/>
    <hyperlink ref="B2496" r:id="rId7721" display="https://twitter.com/hoysoyale" xr:uid="{743E20E0-81F6-43CB-A46B-547875CFDBAD}"/>
    <hyperlink ref="E2496" r:id="rId7722" display="https://twitter.com/hoysoyale/status/723328790672199680" xr:uid="{B8F92902-1067-4254-A052-CC38A9EE35CB}"/>
    <hyperlink ref="O2496" r:id="rId7723" display="https://pbs.twimg.com/profile_images/721510431978729472/DHrfLwEE_normal.jpg" xr:uid="{D1830E15-B248-4D9D-A6D4-2728C02543FB}"/>
    <hyperlink ref="B2497" r:id="rId7724" display="https://twitter.com/W1spin" xr:uid="{D74AB4D3-7AC2-4331-ADDA-CD0FE21A9B9B}"/>
    <hyperlink ref="E2497" r:id="rId7725" display="https://twitter.com/W1spin/status/723329103810551808" xr:uid="{9D0AF62B-E2F1-49DA-BE3A-D1F94D7071CF}"/>
    <hyperlink ref="O2497" r:id="rId7726" display="https://pbs.twimg.com/profile_images/718404659556159488/7QdyylRR_normal.jpg" xr:uid="{FE0168C8-4090-47ED-A4AC-C46B71B3AE58}"/>
    <hyperlink ref="B2498" r:id="rId7727" display="https://twitter.com/Scirocco_Tuning" xr:uid="{6FB44000-AC88-4B17-85C7-2DD4BCE05F79}"/>
    <hyperlink ref="E2498" r:id="rId7728" display="https://twitter.com/Scirocco_Tuning/status/723329232592601089" xr:uid="{E6CD6865-8002-4990-829F-28D60EB140D1}"/>
    <hyperlink ref="O2498" r:id="rId7729" display="https://pbs.twimg.com/profile_images/1610421423/Image2_normal.jpg" xr:uid="{3B655B9E-BAAE-41E1-B523-5089FD0D10DD}"/>
    <hyperlink ref="B2499" r:id="rId7730" display="https://twitter.com/1stInSEO" xr:uid="{F51824DF-4948-4DCF-B159-046196AA8886}"/>
    <hyperlink ref="E2499" r:id="rId7731" display="https://twitter.com/1stInSEO/status/723329387685404672" xr:uid="{86BA3A59-9DDF-41DE-840B-47D94CFDA9FC}"/>
    <hyperlink ref="O2499" r:id="rId7732" display="https://pbs.twimg.com/profile_images/708466589696262144/0z2VO5-J_normal.jpg" xr:uid="{94C8F5CB-0F9A-4A34-8ED1-78B72B2BDECE}"/>
    <hyperlink ref="B2500" r:id="rId7733" display="https://twitter.com/MDBlanchfield" xr:uid="{32CCECC3-C16E-4144-86E6-DEC726BB335C}"/>
    <hyperlink ref="E2500" r:id="rId7734" display="https://twitter.com/MDBlanchfield/status/723329403208536064" xr:uid="{74D47CF5-EE6B-4F6D-8C16-D227963C8B1C}"/>
    <hyperlink ref="O2500" r:id="rId7735" display="https://pbs.twimg.com/profile_images/717361645454905344/eSYXksup_normal.jpg" xr:uid="{7991C71D-B352-4330-B0A4-AC9C432DA99C}"/>
    <hyperlink ref="B2501" r:id="rId7736" display="https://twitter.com/LimandoElPisoPM" xr:uid="{8945924C-07F7-4314-8008-C6D501418F9B}"/>
    <hyperlink ref="E2501" r:id="rId7737" display="https://twitter.com/LimandoElPisoPM/status/723329926011727872" xr:uid="{8E3D388D-F8C3-4A8C-9CBD-2C4094C96C2D}"/>
    <hyperlink ref="O2501" r:id="rId7738" display="https://pbs.twimg.com/profile_images/710591486228766720/8dYGKdNm_normal.jpg" xr:uid="{50AAC5DD-8B0F-4DEF-B30D-1042E0B7C0F2}"/>
    <hyperlink ref="B2502" r:id="rId7739" display="https://twitter.com/oldcjs" xr:uid="{31D182E4-2336-4A86-AC07-932EEF2FFC3D}"/>
    <hyperlink ref="E2502" r:id="rId7740" display="https://twitter.com/oldcjs/status/723329994605379584" xr:uid="{FEAF0C10-FBAE-49AC-912B-4F456B3DD2EE}"/>
    <hyperlink ref="O2502" r:id="rId7741" display="https://pbs.twimg.com/profile_images/719903037066780672/sRAf3MrU_normal.jpg" xr:uid="{D3A50616-63A6-446D-8770-F1257EE57B18}"/>
    <hyperlink ref="B2503" r:id="rId7742" display="https://twitter.com/CinalliNicolas" xr:uid="{BF54ABAD-ECCA-41FB-9486-6F079A97048B}"/>
    <hyperlink ref="E2503" r:id="rId7743" display="https://twitter.com/CinalliNicolas/status/723330006529781760" xr:uid="{03673221-403E-48E8-88F5-7DED7F45110C}"/>
    <hyperlink ref="O2503" r:id="rId7744" display="https://pbs.twimg.com/profile_images/709171803839721472/C87jEAYn_normal.jpg" xr:uid="{5AA24002-D949-4DE7-B2BE-7D05FDF3DC57}"/>
    <hyperlink ref="B2504" r:id="rId7745" display="https://twitter.com/lautaro_olive" xr:uid="{45A3A3EE-2385-4107-9088-0B65C554468B}"/>
    <hyperlink ref="E2504" r:id="rId7746" display="https://twitter.com/lautaro_olive/status/723330017619521536" xr:uid="{BBB524B5-3162-4EEE-B747-B6A8287448C8}"/>
    <hyperlink ref="O2504" r:id="rId7747" display="https://pbs.twimg.com/profile_images/713053834118041600/zWp427YE_normal.jpg" xr:uid="{87EDE59B-95C7-4F86-9E6B-438B2E9C8A2D}"/>
    <hyperlink ref="B2505" r:id="rId7748" display="https://twitter.com/MattyAlvez" xr:uid="{65608007-F4BD-4DBD-8043-606CB699BCCE}"/>
    <hyperlink ref="E2505" r:id="rId7749" display="https://twitter.com/MattyAlvez/status/723330023277600768" xr:uid="{12C6FA06-236E-4F6B-8CFD-ACD509E129BF}"/>
    <hyperlink ref="O2505" r:id="rId7750" display="https://pbs.twimg.com/profile_images/717832026422910976/l1EK50bT_normal.jpg" xr:uid="{ED26F7C0-250E-42FB-9ECA-E03CC7968008}"/>
    <hyperlink ref="B2506" r:id="rId7751" display="https://twitter.com/Juani_Ginter" xr:uid="{FD17980B-D02A-4268-8E16-0161E8EA814B}"/>
    <hyperlink ref="E2506" r:id="rId7752" display="https://twitter.com/Juani_Ginter/status/723330062146232322" xr:uid="{F986119B-E8E5-4640-80A3-D2207F4B4DFC}"/>
    <hyperlink ref="O2506" r:id="rId7753" display="https://pbs.twimg.com/profile_images/699428030427635712/rPoM_6cM_normal.jpg" xr:uid="{993A9A39-B167-4ED8-9750-BD3E0F48D6B7}"/>
    <hyperlink ref="B2507" r:id="rId7754" display="https://twitter.com/Gonzaperalta9" xr:uid="{94465D35-D553-46FB-88A2-FA564480F71E}"/>
    <hyperlink ref="E2507" r:id="rId7755" display="https://twitter.com/Gonzaperalta9/status/723330171118444544" xr:uid="{DC0D7F8A-4F80-4CE3-9FF9-2251EE1EB550}"/>
    <hyperlink ref="O2507" r:id="rId7756" display="https://pbs.twimg.com/profile_images/700168585902223361/wQVm7sxg_normal.jpg" xr:uid="{8BF1551B-1DEB-47ED-BFA6-2B61A628E417}"/>
    <hyperlink ref="B2508" r:id="rId7757" display="https://twitter.com/Maikel_Ser" xr:uid="{DB4DDA59-CB98-44CE-97DD-72AA397F5C8B}"/>
    <hyperlink ref="E2508" r:id="rId7758" display="https://twitter.com/Maikel_Ser/status/723330193306312704" xr:uid="{213E0BED-FB2A-4DAB-A433-C216E96F4890}"/>
    <hyperlink ref="O2508" r:id="rId7759" display="https://pbs.twimg.com/profile_images/704320206710153216/KzmLzfVa_normal.jpg" xr:uid="{4001488A-8228-4323-BEB2-7AC64142311D}"/>
    <hyperlink ref="B2509" r:id="rId7760" display="https://twitter.com/VirginiaNo13" xr:uid="{41872E4F-35BF-42FD-B2EF-26090401B40F}"/>
    <hyperlink ref="E2509" r:id="rId7761" display="https://twitter.com/VirginiaNo13/status/723330200898015232" xr:uid="{36CDC7E4-0B2C-4AD0-B05E-453DA4C5D49C}"/>
    <hyperlink ref="O2509" r:id="rId7762" display="https://pbs.twimg.com/profile_images/719555258997989376/PfjFXbxi_normal.jpg" xr:uid="{5CCF3EA5-B855-4015-B54F-64343E827B3E}"/>
    <hyperlink ref="B2510" r:id="rId7763" display="https://twitter.com/dipurwantto" xr:uid="{A31B8F83-5B25-487B-AD72-AA8FAEDCA2AF}"/>
    <hyperlink ref="E2510" r:id="rId7764" display="https://twitter.com/dipurwantto/status/723330390643998720" xr:uid="{56B59D90-1C31-47A1-9D79-3D04EBBD67A7}"/>
    <hyperlink ref="O2510" r:id="rId7765" display="https://pbs.twimg.com/profile_images/704750929061392384/3AmSErJg_normal.jpg" xr:uid="{D92E1AEE-09F3-4352-876D-7498BF18DABE}"/>
    <hyperlink ref="P2510" r:id="rId7766" location="-7.256538,112.737255" display="http://ctrlq.org/maps/address/ - -7.256538,112.737255" xr:uid="{C8B70DF5-04CF-4D16-A09D-D4B96A4377FE}"/>
    <hyperlink ref="B2511" r:id="rId7767" display="https://twitter.com/octaviojacquet" xr:uid="{DB833177-37AA-45E7-9873-89D210BF7D84}"/>
    <hyperlink ref="E2511" r:id="rId7768" display="https://twitter.com/octaviojacquet/status/723330428644515840" xr:uid="{77F4A5A8-BB4C-437E-895C-1CC5DF2B8306}"/>
    <hyperlink ref="O2511" r:id="rId7769" display="https://pbs.twimg.com/profile_images/713947173835116545/FloZvSXK_normal.jpg" xr:uid="{42D8981F-0713-4CB1-8E46-606F70428D3E}"/>
    <hyperlink ref="B2512" r:id="rId7770" display="https://twitter.com/SCGsoflo" xr:uid="{2D224C6C-251F-41D8-9CB0-EF03F1B12ACD}"/>
    <hyperlink ref="E2512" r:id="rId7771" display="https://twitter.com/SCGsoflo/status/723330511603560448" xr:uid="{29AD3408-1C80-4837-A8A4-A4C8D27028D8}"/>
    <hyperlink ref="O2512" r:id="rId7772" display="https://pbs.twimg.com/profile_images/717892743075340288/Xxt7RaLM_normal.jpg" xr:uid="{3C93AAE7-C956-4D4F-836E-86304023AB32}"/>
    <hyperlink ref="B2513" r:id="rId7773" display="https://twitter.com/NachoSarate" xr:uid="{2CDB9194-5CE0-4683-BC2A-24AFD62C6CA7}"/>
    <hyperlink ref="E2513" r:id="rId7774" display="https://twitter.com/NachoSarate/status/723330713605562368" xr:uid="{EB182E82-4A45-4DFE-A9C9-078BFA5E3CDA}"/>
    <hyperlink ref="O2513" r:id="rId7775" display="https://pbs.twimg.com/profile_images/704750424616730624/am4ft9ck_normal.jpg" xr:uid="{294EC90B-1FB5-4F98-9677-BF3A68E6BFC0}"/>
    <hyperlink ref="B2514" r:id="rId7776" display="https://twitter.com/pato_joaquiin" xr:uid="{E520B328-71E1-4F1A-92F7-7E61FCCC5D2A}"/>
    <hyperlink ref="E2514" r:id="rId7777" display="https://twitter.com/pato_joaquiin/status/723330754747465729" xr:uid="{2F5B0EDF-A435-40F3-8AA8-2D7637758581}"/>
    <hyperlink ref="O2514" r:id="rId7778" display="https://pbs.twimg.com/profile_images/723419146554200067/FWyQNdtP_normal.jpg" xr:uid="{1289D63E-81C2-4C14-B489-6DB917415D23}"/>
    <hyperlink ref="B2515" r:id="rId7779" display="https://twitter.com/RodriPadilla3" xr:uid="{5B18C2A8-9B1B-4511-B0D1-50073A658768}"/>
    <hyperlink ref="E2515" r:id="rId7780" display="https://twitter.com/RodriPadilla3/status/723330863048589313" xr:uid="{0D69D5F7-3D79-4E0F-B515-3111CAAD3463}"/>
    <hyperlink ref="O2515" r:id="rId7781" display="https://pbs.twimg.com/profile_images/717937201821130752/NX-PKyfQ_normal.jpg" xr:uid="{21B3D42C-0B3E-4E62-A512-74B317863B88}"/>
    <hyperlink ref="B2516" r:id="rId7782" display="https://twitter.com/BraianNiseggi" xr:uid="{7F6C80C7-30B1-4B65-97AF-1B47EA35B624}"/>
    <hyperlink ref="E2516" r:id="rId7783" display="https://twitter.com/BraianNiseggi/status/723331009433985024" xr:uid="{6637DACC-153A-440B-B3F0-AE826C4A77CE}"/>
    <hyperlink ref="O2516" r:id="rId7784" display="https://pbs.twimg.com/profile_images/721473803268857856/5ud3R4pB_normal.jpg" xr:uid="{F93F6563-ACE8-4244-AAD9-2DCD34D1E995}"/>
    <hyperlink ref="B2517" r:id="rId7785" display="https://twitter.com/GallicetLari" xr:uid="{C0924DDC-ACD4-427E-8C0F-732D3C090943}"/>
    <hyperlink ref="E2517" r:id="rId7786" display="https://twitter.com/GallicetLari/status/723331027339468800" xr:uid="{948D61EB-8162-4427-89BB-450E332C7E8E}"/>
    <hyperlink ref="O2517" r:id="rId7787" display="https://pbs.twimg.com/profile_images/709097445779709956/3Bq7u6sM_normal.jpg" xr:uid="{53372579-77E8-416D-A060-CD786BB22441}"/>
    <hyperlink ref="B2518" r:id="rId7788" display="https://twitter.com/Ivo_newells" xr:uid="{A443A59A-46EE-4CA4-A95B-7F2CF88801CC}"/>
    <hyperlink ref="E2518" r:id="rId7789" display="https://twitter.com/Ivo_newells/status/723331070578532353" xr:uid="{DB09BDE7-D783-4CDD-B553-117EC6959D99}"/>
    <hyperlink ref="O2518" r:id="rId7790" display="https://pbs.twimg.com/profile_images/721400546226216960/7Ki-DrLK_normal.jpg" xr:uid="{5C188321-4E6D-4D24-86DD-EE876D3880A2}"/>
    <hyperlink ref="B2519" r:id="rId7791" display="https://twitter.com/SantiCarp2001" xr:uid="{53DDA75C-A737-4C17-BEA5-D26182972FF3}"/>
    <hyperlink ref="E2519" r:id="rId7792" display="https://twitter.com/SantiCarp2001/status/723331093043249152" xr:uid="{A785C6F8-860C-4E24-8B31-0A1F2B2C72E0}"/>
    <hyperlink ref="O2519" r:id="rId7793" display="https://pbs.twimg.com/profile_images/721738389297299456/gv7C8Gao_normal.jpg" xr:uid="{8363DF03-B80A-409C-8AFA-57BA3014FB56}"/>
    <hyperlink ref="B2520" r:id="rId7794" display="https://twitter.com/patriciaaleinxx" xr:uid="{6EB592EB-2AFC-4D2D-87FA-2EB341705E7C}"/>
    <hyperlink ref="E2520" r:id="rId7795" display="https://twitter.com/patriciaaleinxx/status/723331131735560192" xr:uid="{F7E9EC9C-0619-4955-8A49-AC6046A5189D}"/>
    <hyperlink ref="O2520" r:id="rId7796" display="https://pbs.twimg.com/profile_images/722096280986497025/tUuoSTL-_normal.jpg" xr:uid="{3F92AFB1-3523-4204-93F0-573D6C0D0962}"/>
    <hyperlink ref="B2521" r:id="rId7797" display="https://twitter.com/ffamilymedicine" xr:uid="{255581F5-3C36-4395-A492-2EB539A42F21}"/>
    <hyperlink ref="E2521" r:id="rId7798" display="https://twitter.com/ffamilymedicine/status/723331260672659456" xr:uid="{FFEC6042-4AD0-4499-8B92-D1D40700E3A6}"/>
    <hyperlink ref="O2521" r:id="rId7799" display="https://pbs.twimg.com/profile_images/583322292995772418/_hSKZ3NN_normal.jpg" xr:uid="{27244BCE-E0B8-4CFD-A757-51719012AF37}"/>
    <hyperlink ref="B2522" r:id="rId7800" display="https://twitter.com/JavierGustavo74" xr:uid="{72B9614B-5C16-49C2-91F6-6EB1FA0C77B7}"/>
    <hyperlink ref="E2522" r:id="rId7801" display="https://twitter.com/JavierGustavo74/status/723331269258534914" xr:uid="{5DAEA6B9-9659-4F78-97A7-BC25212E6973}"/>
    <hyperlink ref="O2522" r:id="rId7802" display="https://pbs.twimg.com/profile_images/710287996298371072/gggJOkGI_normal.jpg" xr:uid="{DE51E2FE-9C9E-43A1-A8C3-3411F4CC27FD}"/>
    <hyperlink ref="B2523" r:id="rId7803" display="https://twitter.com/Luchoosoto1" xr:uid="{58D7E50D-FCA9-41A8-A160-0D809955A2C9}"/>
    <hyperlink ref="E2523" r:id="rId7804" display="https://twitter.com/Luchoosoto1/status/723331539904372737" xr:uid="{1642647C-0AC6-47D2-9C62-A652A90D1523}"/>
    <hyperlink ref="O2523" r:id="rId7805" display="https://pbs.twimg.com/profile_images/704174029339492352/-KjmsJXJ_normal.jpg" xr:uid="{3F5F9B12-7758-4654-B19C-2034687DA30E}"/>
    <hyperlink ref="B2524" r:id="rId7806" display="https://twitter.com/ffamilymedicine" xr:uid="{CB3E4A8D-34E9-4828-AE90-2AC79B5609C2}"/>
    <hyperlink ref="E2524" r:id="rId7807" display="https://twitter.com/ffamilymedicine/status/723331887586930689" xr:uid="{D39F639F-C5EF-49C4-9AC5-09A92267D14D}"/>
    <hyperlink ref="O2524" r:id="rId7808" display="https://pbs.twimg.com/profile_images/583322292995772418/_hSKZ3NN_normal.jpg" xr:uid="{AA70C0CA-38C3-4FF1-89E0-D952F6A1218F}"/>
    <hyperlink ref="B2525" r:id="rId7809" display="https://twitter.com/thunderdan667" xr:uid="{2BDCAB5E-DE1C-44BF-BB3E-B03638BE06E0}"/>
    <hyperlink ref="E2525" r:id="rId7810" display="https://twitter.com/thunderdan667/status/723332111915163648" xr:uid="{BC3ABDAB-A0C8-42EF-87C3-E39F8D06DB37}"/>
    <hyperlink ref="O2525" r:id="rId7811" display="https://pbs.twimg.com/profile_images/722242822301159424/nrziq21L_normal.jpg" xr:uid="{12132DB1-109C-4C8F-AEB3-474D078EFEB6}"/>
    <hyperlink ref="B2526" r:id="rId7812" display="https://twitter.com/ffamilymedicine" xr:uid="{B87BA124-7AE6-4438-AA02-74B4600C2726}"/>
    <hyperlink ref="E2526" r:id="rId7813" display="https://twitter.com/ffamilymedicine/status/723332232258064384" xr:uid="{B2209892-A608-44DA-9596-E5219092555B}"/>
    <hyperlink ref="O2526" r:id="rId7814" display="https://pbs.twimg.com/profile_images/583322292995772418/_hSKZ3NN_normal.jpg" xr:uid="{F5101367-6A3B-4266-B4D6-B95CE3047ED7}"/>
    <hyperlink ref="B2527" r:id="rId7815" display="https://twitter.com/AmazingChevVolt" xr:uid="{07C88D9A-480D-4D1A-A871-F861924FD0E7}"/>
    <hyperlink ref="E2527" r:id="rId7816" display="https://twitter.com/AmazingChevVolt/status/723332569622822913" xr:uid="{82E2B436-7B97-4134-B1B2-B3691DCBD3D3}"/>
    <hyperlink ref="O2527" r:id="rId7817" display="https://pbs.twimg.com/profile_images/1708625808/Motor_City_Volt_normal.jpg" xr:uid="{D8BCD7C3-75FD-472A-A659-75D0A3846470}"/>
    <hyperlink ref="B2528" r:id="rId7818" display="https://twitter.com/VWCamperSales" xr:uid="{BC9F84CD-C4C8-4236-9F4E-D71C76D0FBBE}"/>
    <hyperlink ref="E2528" r:id="rId7819" display="https://twitter.com/VWCamperSales/status/723333027292565504" xr:uid="{0B1BF6A3-21A9-41C5-830B-C6ED9683BD5B}"/>
    <hyperlink ref="F2528" r:id="rId7820" xr:uid="{AB5CA882-6215-4434-A563-12F1268969C0}"/>
    <hyperlink ref="O2528" r:id="rId7821" display="https://pbs.twimg.com/profile_images/627949001179037696/skEBkS05_normal.jpg" xr:uid="{1211F6EA-4D72-4063-81C3-2E1A133D904C}"/>
    <hyperlink ref="B2529" r:id="rId7822" display="https://twitter.com/luucascarranza" xr:uid="{C4BFBE1B-EEA8-40E5-B7DB-25EFE31BF85D}"/>
    <hyperlink ref="E2529" r:id="rId7823" display="https://twitter.com/luucascarranza/status/723333096469311488" xr:uid="{669F4F27-1847-48A4-BB9C-5CCDA5B5309B}"/>
    <hyperlink ref="O2529" r:id="rId7824" display="https://pbs.twimg.com/profile_images/681519409056366593/XQhzKzFU_normal.jpg" xr:uid="{2E44D42D-1AF5-46FF-A33C-76CB68C4AA3B}"/>
    <hyperlink ref="B2530" r:id="rId7825" display="https://twitter.com/MDBlanchfield" xr:uid="{334376B5-78EA-4FC1-ABFD-11865E6552A5}"/>
    <hyperlink ref="E2530" r:id="rId7826" display="https://twitter.com/MDBlanchfield/status/723333517086588928" xr:uid="{6EC3A6C6-9BCB-4839-8222-62F1F7FB44AC}"/>
    <hyperlink ref="O2530" r:id="rId7827" display="https://pbs.twimg.com/profile_images/717361645454905344/eSYXksup_normal.jpg" xr:uid="{1DB50FB0-9FD1-4F22-A78B-6690206A166C}"/>
    <hyperlink ref="B2531" r:id="rId7828" display="https://twitter.com/oldcar_photo" xr:uid="{630EAD34-EBF9-4F14-954E-9FDACDF370E3}"/>
    <hyperlink ref="E2531" r:id="rId7829" display="https://twitter.com/oldcar_photo/status/723333750206128128" xr:uid="{EC75BB32-C033-48B8-877B-DC0EC83D9A11}"/>
    <hyperlink ref="O2531" r:id="rId7830" display="https://pbs.twimg.com/profile_images/615493650785660928/XHUh6HOk_normal.jpg" xr:uid="{A46E2134-E6E1-413D-BACF-5F47CBD584D8}"/>
    <hyperlink ref="B2532" r:id="rId7831" display="https://twitter.com/oldcar_photo" xr:uid="{7F1FB049-71F2-4D3C-8576-70DA212ED1EB}"/>
    <hyperlink ref="E2532" r:id="rId7832" display="https://twitter.com/oldcar_photo/status/723333815708585984" xr:uid="{6F769E51-694C-4FB2-BB6D-C27F88FC9D2A}"/>
    <hyperlink ref="O2532" r:id="rId7833" display="https://pbs.twimg.com/profile_images/615493650785660928/XHUh6HOk_normal.jpg" xr:uid="{04A4B4F3-00E3-46D8-A56E-3F1FF4C9AFBD}"/>
    <hyperlink ref="B2533" r:id="rId7834" display="https://twitter.com/oldcar_photo" xr:uid="{85E956BA-BF4D-48A3-82B5-7F35F5B71B3C}"/>
    <hyperlink ref="E2533" r:id="rId7835" display="https://twitter.com/oldcar_photo/status/723333822746648576" xr:uid="{C8B1E53F-2549-4E0A-8C99-27E2202C0FF0}"/>
    <hyperlink ref="O2533" r:id="rId7836" display="https://pbs.twimg.com/profile_images/615493650785660928/XHUh6HOk_normal.jpg" xr:uid="{5602FDBE-3C52-46C0-8C98-70AEEB5A33C3}"/>
    <hyperlink ref="B2534" r:id="rId7837" display="https://twitter.com/wikatu" xr:uid="{5CBEF76B-CF0C-4E8E-8B64-D53F1CC13E82}"/>
    <hyperlink ref="E2534" r:id="rId7838" display="https://twitter.com/wikatu/status/723333841390170112" xr:uid="{816688CA-D098-467C-9CC6-FAA5DA9E4F20}"/>
    <hyperlink ref="O2534" r:id="rId7839" display="https://pbs.twimg.com/profile_images/1844337440/test_normal.gif" xr:uid="{06E62034-5592-4607-9F76-DDFD642A2506}"/>
    <hyperlink ref="B2535" r:id="rId7840" display="https://twitter.com/Agustina_quinte" xr:uid="{B53D3700-EA98-4AD9-BF8E-87944216B7EF}"/>
    <hyperlink ref="E2535" r:id="rId7841" display="https://twitter.com/Agustina_quinte/status/723333899645009922" xr:uid="{DDDEFBD6-41FC-4932-9016-45A605F96C6C}"/>
    <hyperlink ref="O2535" r:id="rId7842" display="https://pbs.twimg.com/profile_images/713916477133492225/jz6Bu9L6_normal.jpg" xr:uid="{047B4E34-F645-4EA1-AE07-3D81565DDCB2}"/>
    <hyperlink ref="B2536" r:id="rId7843" display="https://twitter.com/CaduCardosoFlw" xr:uid="{1AABE9DF-04E5-483F-AA47-6C5FB300D09A}"/>
    <hyperlink ref="E2536" r:id="rId7844" display="https://twitter.com/CaduCardosoFlw/status/723334022882054144" xr:uid="{779855A7-3DBD-4738-A77F-E3129AF7CEB8}"/>
    <hyperlink ref="O2536" r:id="rId7845" display="https://pbs.twimg.com/profile_images/721116781276999686/vEzYqsti_normal.jpg" xr:uid="{1D284186-FFDE-428E-B26E-8E18E22DFC9F}"/>
    <hyperlink ref="B2537" r:id="rId7846" display="https://twitter.com/clevelandwest" xr:uid="{0D0BC45E-AC6F-455F-BE07-BDDB0A99C1AF}"/>
    <hyperlink ref="E2537" r:id="rId7847" display="https://twitter.com/clevelandwest/status/723334114108125186" xr:uid="{4FA39D76-4636-42D0-806B-AA82355CBF71}"/>
    <hyperlink ref="O2537" r:id="rId7848" display="https://pbs.twimg.com/profile_images/1929834186/SAM_0070_normal.JPG" xr:uid="{B44DFD41-629A-403A-9624-33B8C1F70677}"/>
    <hyperlink ref="B2538" r:id="rId7849" display="https://twitter.com/twizler557" xr:uid="{50496943-9FD3-4C9C-A43C-F6CC81393337}"/>
    <hyperlink ref="E2538" r:id="rId7850" display="https://twitter.com/twizler557/status/723334888980537348" xr:uid="{1C861EAD-3D00-40C8-B353-000FC9E41CF2}"/>
    <hyperlink ref="O2538" r:id="rId7851" display="https://pbs.twimg.com/profile_images/630477470240604160/cWOnCrEZ_normal.jpg" xr:uid="{C09C3F70-2AC1-46C6-B785-1088B52B24B7}"/>
    <hyperlink ref="B2539" r:id="rId7852" display="https://twitter.com/twizler557" xr:uid="{39B22461-D905-4FC9-A1C8-E781FF8A484A}"/>
    <hyperlink ref="E2539" r:id="rId7853" display="https://twitter.com/twizler557/status/723335022367797249" xr:uid="{B1A234EE-20A7-4870-BF2D-ABCEEBBE80D9}"/>
    <hyperlink ref="O2539" r:id="rId7854" display="https://pbs.twimg.com/profile_images/630477470240604160/cWOnCrEZ_normal.jpg" xr:uid="{8FFE318B-37E6-4567-9E35-D14CB581F5EC}"/>
    <hyperlink ref="B2540" r:id="rId7855" display="https://twitter.com/Cyn_Gerffau" xr:uid="{D70E2D0F-69F9-4895-87F8-1741E8F1F1D6}"/>
    <hyperlink ref="E2540" r:id="rId7856" display="https://twitter.com/Cyn_Gerffau/status/723335044748681216" xr:uid="{A2951537-1D7D-4A9F-931C-AE87F0D842AF}"/>
    <hyperlink ref="O2540" r:id="rId7857" display="https://pbs.twimg.com/profile_images/704519803189518337/7n7TPnoc_normal.jpg" xr:uid="{7AE4B244-07F7-460B-85CF-2AAA3B47C79A}"/>
    <hyperlink ref="B2541" r:id="rId7858" display="https://twitter.com/twizler557" xr:uid="{7E460E9B-EEE3-4D05-BAB7-6722A82DE0C7}"/>
    <hyperlink ref="E2541" r:id="rId7859" display="https://twitter.com/twizler557/status/723335306737414145" xr:uid="{882138B6-D30D-49B5-B347-15E5DC5B759A}"/>
    <hyperlink ref="O2541" r:id="rId7860" display="https://pbs.twimg.com/profile_images/630477470240604160/cWOnCrEZ_normal.jpg" xr:uid="{B8ADECFE-DFAF-4EA6-94DD-C208AED767C3}"/>
    <hyperlink ref="B2542" r:id="rId7861" display="https://twitter.com/Belen_Monzonn" xr:uid="{4F695B05-F1C9-4CBF-A819-0FFD4E0DB734}"/>
    <hyperlink ref="E2542" r:id="rId7862" display="https://twitter.com/Belen_Monzonn/status/723335345111203840" xr:uid="{535C3BA5-75BA-4D6F-9499-AC81D1E689D5}"/>
    <hyperlink ref="O2542" r:id="rId7863" display="https://pbs.twimg.com/profile_images/709242043340607489/GTvkQ0v0_normal.jpg" xr:uid="{82A6628C-D840-46D7-8B1A-E426BA6C65DD}"/>
    <hyperlink ref="B2543" r:id="rId7864" display="https://twitter.com/BADtesting" xr:uid="{9558EEEF-4360-4140-8DF5-7EE8C022101E}"/>
    <hyperlink ref="E2543" r:id="rId7865" display="https://twitter.com/BADtesting/status/723335770631733248" xr:uid="{A6D25290-1A1A-45D8-B232-5EC11FB89B24}"/>
    <hyperlink ref="O2543" r:id="rId7866" display="https://pbs.twimg.com/profile_images/3733051054/5c09b339157da5a288c617fb36711130_normal.png" xr:uid="{DD5668B4-5998-492A-8E72-761D8D389B2C}"/>
    <hyperlink ref="B2544" r:id="rId7867" display="https://twitter.com/1stInSEO" xr:uid="{2F7F5094-C842-4D96-B9DD-8CBF91D03C35}"/>
    <hyperlink ref="E2544" r:id="rId7868" display="https://twitter.com/1stInSEO/status/723335992917123072" xr:uid="{889CAE90-4270-4D38-A087-3A98A90B731F}"/>
    <hyperlink ref="O2544" r:id="rId7869" display="https://pbs.twimg.com/profile_images/708466589696262144/0z2VO5-J_normal.jpg" xr:uid="{8F1F083D-408D-42A6-8C3B-7A970C050ED6}"/>
    <hyperlink ref="B2545" r:id="rId7870" display="https://twitter.com/1stInSEO" xr:uid="{B18810E2-304C-4243-AC49-EE81DD03769A}"/>
    <hyperlink ref="E2545" r:id="rId7871" display="https://twitter.com/1stInSEO/status/723336151969353728" xr:uid="{A12D58A8-F6F4-4A86-82D2-0616CF4EDB65}"/>
    <hyperlink ref="O2545" r:id="rId7872" display="https://pbs.twimg.com/profile_images/708466589696262144/0z2VO5-J_normal.jpg" xr:uid="{35D0A350-99C7-42FF-9CBE-33EF26D4D7B7}"/>
    <hyperlink ref="B2546" r:id="rId7873" display="https://twitter.com/FuscaWorld" xr:uid="{B9FCC92F-6CD5-4E3F-9B70-086691C2879A}"/>
    <hyperlink ref="E2546" r:id="rId7874" display="https://twitter.com/FuscaWorld/status/723336159884128257" xr:uid="{D8875733-ECF4-4644-AE89-F51DADBED53C}"/>
    <hyperlink ref="O2546" r:id="rId7875" display="https://pbs.twimg.com/profile_images/705780107844067328/e7O4UBNb_normal.jpg" xr:uid="{B5281C63-63F4-4E56-953F-11EDA4C63E8B}"/>
    <hyperlink ref="B2547" r:id="rId7876" display="https://twitter.com/FuscaWorld" xr:uid="{0CA5A0C4-82DF-457B-AE66-FE1C2CF7CD81}"/>
    <hyperlink ref="E2547" r:id="rId7877" display="https://twitter.com/FuscaWorld/status/723336166423027713" xr:uid="{7727D75C-8326-464D-82C6-1B6828C9C1BE}"/>
    <hyperlink ref="O2547" r:id="rId7878" display="https://pbs.twimg.com/profile_images/705780107844067328/e7O4UBNb_normal.jpg" xr:uid="{294F5D73-0F37-45F8-9015-A7B6F6DA2252}"/>
    <hyperlink ref="B2548" r:id="rId7879" display="https://twitter.com/LucasCote86" xr:uid="{D111D981-7031-4AAB-B20E-F17D78E0DFA1}"/>
    <hyperlink ref="E2548" r:id="rId7880" display="https://twitter.com/LucasCote86/status/723337068307468288" xr:uid="{6D0AF82C-249F-4C90-8C98-E639458943AA}"/>
    <hyperlink ref="O2548" r:id="rId7881" display="https://pbs.twimg.com/profile_images/723338056477081600/7wDgXb-F_normal.jpg" xr:uid="{64AD1114-5EE1-4D20-A1C5-3ECA3702EC69}"/>
    <hyperlink ref="B2549" r:id="rId7882" display="https://twitter.com/b2bmanufactures" xr:uid="{9352801C-7630-4C22-BC96-0B5ADA960417}"/>
    <hyperlink ref="C2549" r:id="rId7883" xr:uid="{E3048908-A773-4B37-9C61-33BB27D6A1E1}"/>
    <hyperlink ref="E2549" r:id="rId7884" display="https://twitter.com/b2bmanufactures/status/723337646097862656" xr:uid="{23DA76C1-49D2-41A8-B6FA-61E74CAD98A4}"/>
    <hyperlink ref="O2549" r:id="rId7885" display="https://pbs.twimg.com/profile_images/430883410/bms200x200_facebook_1_normal.jpg" xr:uid="{D5439A6C-3BDF-42C8-800D-21B5556007BF}"/>
    <hyperlink ref="B2550" r:id="rId7886" display="https://twitter.com/enano_81" xr:uid="{9BC3E31D-92A5-4793-82C6-FD3E2E891F80}"/>
    <hyperlink ref="E2550" r:id="rId7887" display="https://twitter.com/enano_81/status/723337747876847616" xr:uid="{4B1AD7AD-1245-457C-BF09-558721219F08}"/>
    <hyperlink ref="O2550" r:id="rId7888" display="https://pbs.twimg.com/profile_images/689509767400820737/RMJYtaTw_normal.jpg" xr:uid="{D4053694-D2F7-49C9-921D-DF94B0EF1A59}"/>
    <hyperlink ref="B2551" r:id="rId7889" display="https://twitter.com/jancerato" xr:uid="{B03281E8-641C-4445-81CF-9759B7EEE947}"/>
    <hyperlink ref="E2551" r:id="rId7890" display="https://twitter.com/jancerato/status/723338396656107520" xr:uid="{9C67E527-A319-4B47-BC35-0E3354FC49DB}"/>
    <hyperlink ref="O2551" r:id="rId7891" display="https://pbs.twimg.com/profile_images/727062067/JanPartylook1B_W_normal.jpg" xr:uid="{D0E2AB31-D178-4DCA-9B3A-C6BFE84C6587}"/>
    <hyperlink ref="B2552" r:id="rId7892" display="https://twitter.com/NormReevesVW" xr:uid="{671F0BA0-B6FE-4BC2-BE5E-48B4ADAD29E6}"/>
    <hyperlink ref="E2552" r:id="rId7893" display="https://twitter.com/NormReevesVW/status/723338545318907905" xr:uid="{62ADDCFD-DB8B-4C69-909B-2A37B7FC2B1A}"/>
    <hyperlink ref="O2552" r:id="rId7894" display="https://pbs.twimg.com/profile_images/694604675467862022/ibJV65AC_normal.jpg" xr:uid="{B07B2827-F639-4365-B13C-E971A23C0EAF}"/>
    <hyperlink ref="B2553" r:id="rId7895" display="https://twitter.com/skakurega" xr:uid="{E44C44B2-497D-44C6-9AD9-D76760CDD849}"/>
    <hyperlink ref="E2553" r:id="rId7896" display="https://twitter.com/skakurega/status/723338834742636546" xr:uid="{5C96DCF0-18BF-416C-93E1-B9D7487F3C04}"/>
    <hyperlink ref="O2553" r:id="rId7897" display="https://pbs.twimg.com/profile_images/3518634490/a7db4179a4b0e8afcae487f17f254681_normal.jpeg" xr:uid="{12BBC9FF-6076-4990-AC81-29404360E9F6}"/>
    <hyperlink ref="B2554" r:id="rId7898" display="https://twitter.com/caroswg" xr:uid="{A943FF69-3776-4B09-94E1-19BE4990E163}"/>
    <hyperlink ref="E2554" r:id="rId7899" display="https://twitter.com/caroswg/status/723339742457241600" xr:uid="{5F769DBF-82D9-4E96-905F-7B626DCB34AC}"/>
    <hyperlink ref="O2554" r:id="rId7900" display="https://pbs.twimg.com/profile_images/721760696124502016/Dne_Z3x__normal.jpg" xr:uid="{BA479830-CCB5-43AF-BCD6-C296B3D762DF}"/>
    <hyperlink ref="B2555" r:id="rId7901" display="https://twitter.com/VolkswagenPost" xr:uid="{0DA414D1-302D-4BEA-B276-00C8390AFC17}"/>
    <hyperlink ref="E2555" r:id="rId7902" display="https://twitter.com/VolkswagenPost/status/723339812086784000" xr:uid="{586312D5-0D26-41D5-85D3-2894D9E40056}"/>
    <hyperlink ref="O2555" r:id="rId7903" display="https://pbs.twimg.com/profile_images/530071272881803264/a_jcCmPZ_normal.png" xr:uid="{9ADE5198-E50C-4B36-9617-AD92E4C99EA1}"/>
    <hyperlink ref="B2556" r:id="rId7904" display="https://twitter.com/VolkswagenPost" xr:uid="{215A4A4F-E6C0-43F5-A6AE-7BDE82E1961D}"/>
    <hyperlink ref="E2556" r:id="rId7905" display="https://twitter.com/VolkswagenPost/status/723339814599159808" xr:uid="{99C0819F-7019-4FF2-B772-6BE67615BB21}"/>
    <hyperlink ref="O2556" r:id="rId7906" display="https://pbs.twimg.com/profile_images/530071272881803264/a_jcCmPZ_normal.png" xr:uid="{5CB607D7-59D0-472E-9FAE-CFE80501163D}"/>
    <hyperlink ref="B2557" r:id="rId7907" display="https://twitter.com/carlos_prm176" xr:uid="{30F58650-B46A-4A27-B0D5-FD2032276642}"/>
    <hyperlink ref="E2557" r:id="rId7908" display="https://twitter.com/carlos_prm176/status/723340275683344384" xr:uid="{C5F8EB14-44E1-4AD2-9832-717014AA2099}"/>
    <hyperlink ref="O2557" r:id="rId7909" display="https://pbs.twimg.com/profile_images/713838307327799297/1ykah0tW_normal.jpg" xr:uid="{F0B5C2D0-F37E-4BC1-B448-CF1906454AFC}"/>
    <hyperlink ref="B2558" r:id="rId7910" display="https://twitter.com/cas_2050001283" xr:uid="{2662FD8C-D861-4E8A-8CA9-D8501EF6B54A}"/>
    <hyperlink ref="E2558" r:id="rId7911" display="https://twitter.com/cas_2050001283/status/723340425801539584" xr:uid="{52DB0A83-B953-4A9D-BF4F-18F3F7E59593}"/>
    <hyperlink ref="O2558" r:id="rId7912" display="https://abs.twimg.com/sticky/default_profile_images/default_profile_1_normal.png" xr:uid="{1C4353DC-27FC-459C-B0C4-C819F439DA4C}"/>
    <hyperlink ref="B2559" r:id="rId7913" display="https://twitter.com/HartoDeMiMismo" xr:uid="{9047450D-96C9-48CB-B640-49E325795AF9}"/>
    <hyperlink ref="E2559" r:id="rId7914" display="https://twitter.com/HartoDeMiMismo/status/723341404248891392" xr:uid="{41BD6489-64E6-4900-A139-57E3C036EB46}"/>
    <hyperlink ref="O2559" r:id="rId7915" display="https://pbs.twimg.com/profile_images/715295724624224256/bnUPV-CW_normal.jpg" xr:uid="{C145CB14-C8A8-4517-B555-14FA0335EE6F}"/>
    <hyperlink ref="B2560" r:id="rId7916" display="https://twitter.com/candeebussetto" xr:uid="{8183FBB7-20C0-447C-A537-E199E788A7DE}"/>
    <hyperlink ref="E2560" r:id="rId7917" display="https://twitter.com/candeebussetto/status/723341428038995968" xr:uid="{A6D57664-96AC-4480-B20D-1F66C5A6258E}"/>
    <hyperlink ref="O2560" r:id="rId7918" display="https://pbs.twimg.com/profile_images/712814617156853760/o3LMG44n_normal.jpg" xr:uid="{9FC21CFD-03E3-42F3-82A3-0F3366B6C2AD}"/>
    <hyperlink ref="B2561" r:id="rId7919" display="https://twitter.com/puffyka81" xr:uid="{ECD75042-620B-42F8-B9E6-F4427ECAD2C0}"/>
    <hyperlink ref="E2561" r:id="rId7920" display="https://twitter.com/puffyka81/status/723342394133983232" xr:uid="{D3A3FE55-CC21-4C63-B1F1-5B658AE7A46C}"/>
    <hyperlink ref="O2561" r:id="rId7921" display="https://pbs.twimg.com/profile_images/378800000557861038/160062ac2444c5bac103a16edbe7be0d_normal.jpeg" xr:uid="{453743F9-18FA-40E4-B2BA-37943FDAE8B2}"/>
    <hyperlink ref="B2562" r:id="rId7922" display="https://twitter.com/ghcj" xr:uid="{EE1D41E4-F703-4395-860E-8E148A33BBFA}"/>
    <hyperlink ref="E2562" r:id="rId7923" display="https://twitter.com/ghcj/status/723342499834515457" xr:uid="{DD2648A0-D9BA-407D-9141-B30B1912FD10}"/>
    <hyperlink ref="O2562" r:id="rId7924" display="https://pbs.twimg.com/profile_images/318679564/ghcj-logo-lg_normal.png" xr:uid="{9C892C2F-AB7A-4834-B1FF-F4B5008A2287}"/>
    <hyperlink ref="B2563" r:id="rId7925" display="https://twitter.com/Babsi58089" xr:uid="{E4CBB6E0-F959-4355-BC07-6664DC734CF0}"/>
    <hyperlink ref="E2563" r:id="rId7926" display="https://twitter.com/Babsi58089/status/723342625496043520" xr:uid="{BCABD0A7-8266-40C6-94E6-7BA15924F9E4}"/>
    <hyperlink ref="O2563" r:id="rId7927" display="https://pbs.twimg.com/profile_images/718779480249077760/xSywyfcu_normal.jpg" xr:uid="{5D2A487A-D6C9-406B-ABE5-BF1FE7D91907}"/>
    <hyperlink ref="B2564" r:id="rId7928" display="https://twitter.com/autometricaru" xr:uid="{A01C8032-4613-4A1B-BA1E-185AB86DDB70}"/>
    <hyperlink ref="E2564" r:id="rId7929" display="https://twitter.com/autometricaru/status/723342802269147136" xr:uid="{E63CF370-F8B6-4BE6-8D61-F1965E0FCC78}"/>
    <hyperlink ref="O2564" r:id="rId7930" display="https://pbs.twimg.com/profile_images/697457689341906944/T7z--JsC_normal.jpg" xr:uid="{A5CCE0CC-E6DD-4C49-AF39-98B8723FCA3F}"/>
    <hyperlink ref="B2565" r:id="rId7931" display="https://twitter.com/jayyyylew" xr:uid="{F6F67D8E-7984-4978-86F7-EE9EFBC18B09}"/>
    <hyperlink ref="E2565" r:id="rId7932" display="https://twitter.com/jayyyylew/status/723342998239588352" xr:uid="{4DD1678C-A8D6-47D6-9AB0-3C5ABDB760A3}"/>
    <hyperlink ref="O2565" r:id="rId7933" display="https://pbs.twimg.com/profile_images/640035730660569088/IWp003Ep_normal.jpg" xr:uid="{CAE8AEB7-BF3E-430A-A9C8-63E36D5785F8}"/>
    <hyperlink ref="B2566" r:id="rId7934" display="https://twitter.com/sfchronicle" xr:uid="{8ECF1E9E-A6F8-4B22-A741-7F93AFB5B0E3}"/>
    <hyperlink ref="E2566" r:id="rId7935" display="https://twitter.com/sfchronicle/status/723343090921017345" xr:uid="{AB8F5D0A-6E9D-43C1-9831-3625D1827F1F}"/>
    <hyperlink ref="O2566" r:id="rId7936" display="https://pbs.twimg.com/profile_images/695773573919543296/Q1mS960c_normal.jpg" xr:uid="{9E06FDEB-C13F-4486-94D7-B680C49BE1EB}"/>
    <hyperlink ref="B2567" r:id="rId7937" display="https://twitter.com/Neuschwan" xr:uid="{0EFF32FD-C487-43C0-B16E-D2A5936486F8}"/>
    <hyperlink ref="E2567" r:id="rId7938" display="https://twitter.com/Neuschwan/status/723343181354532866" xr:uid="{B449FE41-E48E-43CE-B939-8F217ADB1776}"/>
    <hyperlink ref="O2567" r:id="rId7939" display="https://pbs.twimg.com/profile_images/112954621/DSC006192a_normal.jpg" xr:uid="{F7AA3B18-5D80-4E30-B408-EF08AC967E9F}"/>
    <hyperlink ref="B2568" r:id="rId7940" display="https://twitter.com/wikatu" xr:uid="{AB3A750B-B992-4710-BCEE-0FFD217103D2}"/>
    <hyperlink ref="E2568" r:id="rId7941" display="https://twitter.com/wikatu/status/723343445796900864" xr:uid="{EFBAFC5F-35A2-4CF3-9BBB-49C352AFAFCB}"/>
    <hyperlink ref="O2568" r:id="rId7942" display="https://pbs.twimg.com/profile_images/1844337440/test_normal.gif" xr:uid="{9CBD7074-53F7-4CA9-8727-05B9611F6B23}"/>
    <hyperlink ref="B2569" r:id="rId7943" display="https://twitter.com/ArcticPreserve" xr:uid="{150FFAD4-729D-45E2-94C2-4C6F9C1F2EB2}"/>
    <hyperlink ref="E2569" r:id="rId7944" display="https://twitter.com/ArcticPreserve/status/723343450733727745" xr:uid="{E3B98FDE-3396-4350-B892-254D278DBF34}"/>
    <hyperlink ref="O2569" r:id="rId7945" display="https://pbs.twimg.com/profile_images/3398986760/169ef7953adf953270106ccfa5b90065_normal.jpeg" xr:uid="{97FEE6BF-AA75-4C3B-95EE-3F895E263BBB}"/>
    <hyperlink ref="B2570" r:id="rId7946" display="https://twitter.com/UniversHorse" xr:uid="{0219F996-4698-4DE1-9147-869DF73C14A9}"/>
    <hyperlink ref="E2570" r:id="rId7947" display="https://twitter.com/UniversHorse/status/723343557768187905" xr:uid="{7B559C59-954E-4CAD-89FE-B4725D3B2659}"/>
    <hyperlink ref="O2570" r:id="rId7948" display="https://pbs.twimg.com/profile_images/693249020827799552/YPz35zAd_normal.jpg" xr:uid="{7335CBD7-26E7-4663-914D-4481E79A97F7}"/>
    <hyperlink ref="B2571" r:id="rId7949" display="https://twitter.com/chronsucks" xr:uid="{45366AC4-42A1-4BE4-B27B-EBAFD8D4776A}"/>
    <hyperlink ref="E2571" r:id="rId7950" display="https://twitter.com/chronsucks/status/723343776853438464" xr:uid="{9FF1B126-9D8A-42AE-BD3A-B864ED19C81E}"/>
    <hyperlink ref="O2571" r:id="rId7951" display="https://abs.twimg.com/sticky/default_profile_images/default_profile_0_normal.png" xr:uid="{ABFABDE3-9913-480A-81C1-84916C491F36}"/>
    <hyperlink ref="B2572" r:id="rId7952" display="https://twitter.com/VWBeetleSales" xr:uid="{4D8515CD-990F-4B11-9265-3C08B8375A90}"/>
    <hyperlink ref="E2572" r:id="rId7953" display="https://twitter.com/VWBeetleSales/status/723344102192898049" xr:uid="{EDB99DF2-7C41-43C1-BCAF-3BB871E238B1}"/>
    <hyperlink ref="F2572" r:id="rId7954" xr:uid="{E2DCF87F-4867-4AA5-8AE1-0FA9E9C31817}"/>
    <hyperlink ref="O2572" r:id="rId7955" display="https://pbs.twimg.com/profile_images/703294545195307008/qeCvrX86_normal.jpg" xr:uid="{F9B8E284-91C1-45D4-A57A-6391F870C002}"/>
    <hyperlink ref="B2573" r:id="rId7956" display="https://twitter.com/VWBeetleSales" xr:uid="{16B3E93A-43F0-4F9F-9655-03839B96449E}"/>
    <hyperlink ref="E2573" r:id="rId7957" display="https://twitter.com/VWBeetleSales/status/723344110745051137" xr:uid="{FBA408B1-9308-41E8-9633-84386DFD06C3}"/>
    <hyperlink ref="F2573" r:id="rId7958" xr:uid="{1FFC0026-AAB4-437B-83F8-034BD8A73929}"/>
    <hyperlink ref="O2573" r:id="rId7959" display="https://pbs.twimg.com/profile_images/703294545195307008/qeCvrX86_normal.jpg" xr:uid="{6CD39CCD-9A9C-42E0-810E-97D678980F1D}"/>
    <hyperlink ref="B2574" r:id="rId7960" display="https://twitter.com/N8Sandrs" xr:uid="{B10B33A3-C87C-428F-B212-315F1A6F82FF}"/>
    <hyperlink ref="E2574" r:id="rId7961" display="https://twitter.com/N8Sandrs/status/723345369396973568" xr:uid="{3DD9AFE6-B89A-41A2-82E1-4ADDA31C7AF9}"/>
    <hyperlink ref="O2574" r:id="rId7962" display="https://pbs.twimg.com/profile_images/478930661219135489/FE9zHpwf_normal.jpeg" xr:uid="{DEE051C4-38AB-41C8-BFA3-060F97F20894}"/>
    <hyperlink ref="B2575" r:id="rId7963" display="https://twitter.com/ebaycampervans" xr:uid="{AEA2FE39-7203-43E6-862C-31F529098E93}"/>
    <hyperlink ref="E2575" r:id="rId7964" display="https://twitter.com/ebaycampervans/status/723345460455317504" xr:uid="{E315A32D-BB4E-42FF-BE7E-309CF7363E19}"/>
    <hyperlink ref="O2575" r:id="rId7965" display="https://pbs.twimg.com/profile_images/599357023407464449/BL9Bpo6T_normal.jpg" xr:uid="{85A088F2-7EC3-4C55-9C20-22754BABE47A}"/>
    <hyperlink ref="B2576" r:id="rId7966" display="https://twitter.com/CaaioMonteiro" xr:uid="{B635D9FA-B98D-4A84-8045-E4CBBD620991}"/>
    <hyperlink ref="E2576" r:id="rId7967" display="https://twitter.com/CaaioMonteiro/status/723345523831373824" xr:uid="{489F849D-D95F-449E-9307-45FD7B2AD9B8}"/>
    <hyperlink ref="O2576" r:id="rId7968" display="https://pbs.twimg.com/profile_images/1403349824/tt_normal.jpg" xr:uid="{8D4BFD13-EF85-470B-A91B-2B4AAA12753E}"/>
    <hyperlink ref="B2577" r:id="rId7969" display="https://twitter.com/sfchronicle" xr:uid="{C4FD8FD3-6746-4900-BEE2-839F1DAACB23}"/>
    <hyperlink ref="E2577" r:id="rId7970" display="https://twitter.com/sfchronicle/status/723345697307684864" xr:uid="{25A558D9-3C33-4FA7-A4A7-296A6A40B3A9}"/>
    <hyperlink ref="O2577" r:id="rId7971" display="https://pbs.twimg.com/profile_images/695773573919543296/Q1mS960c_normal.jpg" xr:uid="{46AF31D6-FAF9-4A0C-9A33-BF85E55DD70F}"/>
    <hyperlink ref="B2578" r:id="rId7972" display="https://twitter.com/festus100461" xr:uid="{9D1B2DE8-D207-4F7E-A1E7-613C52ED2EF9}"/>
    <hyperlink ref="E2578" r:id="rId7973" display="https://twitter.com/festus100461/status/723345903864692736" xr:uid="{6C2F0515-ADD9-4EDE-AE28-1C2D18D21765}"/>
    <hyperlink ref="O2578" r:id="rId7974" display="https://pbs.twimg.com/profile_images/605013931736854528/dpTK8kMw_normal.jpg" xr:uid="{D3ACF895-3245-4DF1-A1DB-E96A62A12258}"/>
    <hyperlink ref="B2579" r:id="rId7975" display="https://twitter.com/borusse08" xr:uid="{784F42A6-75A6-4DC0-B3EB-37AE22D0A2AF}"/>
    <hyperlink ref="E2579" r:id="rId7976" display="https://twitter.com/borusse08/status/723346386360651776" xr:uid="{8B419039-674D-4D2C-A053-1285B56611C1}"/>
    <hyperlink ref="O2579" r:id="rId7977" display="https://pbs.twimg.com/profile_images/703661977130942464/zCAp41yU_normal.jpg" xr:uid="{32768E10-834B-4190-A6A3-D3A93F657AC3}"/>
    <hyperlink ref="B2580" r:id="rId7978" display="https://twitter.com/chronsucks" xr:uid="{E2EAF514-069D-4C1F-95A6-ADAB3DA0C805}"/>
    <hyperlink ref="E2580" r:id="rId7979" display="https://twitter.com/chronsucks/status/723346776829378560" xr:uid="{9C94DA1A-58B8-49E1-9086-16153B58D69F}"/>
    <hyperlink ref="O2580" r:id="rId7980" display="https://abs.twimg.com/sticky/default_profile_images/default_profile_0_normal.png" xr:uid="{5F95427D-4B45-4802-A60D-A631AFDD4AF6}"/>
    <hyperlink ref="B2581" r:id="rId7981" display="https://twitter.com/AdgmanA" xr:uid="{D24D9DD8-EA74-4402-BB6D-B43E30CA7D72}"/>
    <hyperlink ref="E2581" r:id="rId7982" display="https://twitter.com/AdgmanA/status/723347562137280512" xr:uid="{7B4E9E5A-CFF4-4015-B472-15BD95FBF4EE}"/>
    <hyperlink ref="O2581" r:id="rId7983" display="https://pbs.twimg.com/profile_images/717472604702052357/yTPUaVAZ_normal.jpg" xr:uid="{23839462-F8D8-4971-82F0-04D5548E3534}"/>
    <hyperlink ref="B2582" r:id="rId7984" display="https://twitter.com/AdgmanA" xr:uid="{606E4FED-4B08-4962-89C6-1E1D6135AD98}"/>
    <hyperlink ref="E2582" r:id="rId7985" display="https://twitter.com/AdgmanA/status/723347570223919104" xr:uid="{56429A2C-DCA9-4A87-9718-1C3130056BEE}"/>
    <hyperlink ref="O2582" r:id="rId7986" display="https://pbs.twimg.com/profile_images/717472604702052357/yTPUaVAZ_normal.jpg" xr:uid="{C3839BC1-2685-4525-B6C0-B06495574A37}"/>
    <hyperlink ref="B2583" r:id="rId7987" display="https://twitter.com/gleamnx" xr:uid="{7D171A0D-3F86-4A5A-B9A1-169B48E63BBD}"/>
    <hyperlink ref="E2583" r:id="rId7988" display="https://twitter.com/gleamnx/status/723347573663215616" xr:uid="{582658FE-FA83-4C47-9599-16FBEEBBA6C8}"/>
    <hyperlink ref="O2583" r:id="rId7989" display="https://pbs.twimg.com/profile_images/2345389543/pzf2fix9mmipequtrhdu_normal.jpeg" xr:uid="{32C0D438-530D-475A-8675-6B00AB6212F4}"/>
    <hyperlink ref="B2584" r:id="rId7990" display="https://twitter.com/AdgmanA" xr:uid="{37841162-10A1-4451-9C8F-52C98A08D16E}"/>
    <hyperlink ref="E2584" r:id="rId7991" display="https://twitter.com/AdgmanA/status/723347584757194752" xr:uid="{46E8E3FF-7232-4D97-B9FE-ABB1AAB72EF3}"/>
    <hyperlink ref="O2584" r:id="rId7992" display="https://pbs.twimg.com/profile_images/717472604702052357/yTPUaVAZ_normal.jpg" xr:uid="{639854B9-5F9C-42ED-B50F-D1E57FFBDC9A}"/>
    <hyperlink ref="B2585" r:id="rId7993" display="https://twitter.com/AdgmanA" xr:uid="{D4637330-4408-4D88-9273-AD1B28C15DC5}"/>
    <hyperlink ref="E2585" r:id="rId7994" display="https://twitter.com/AdgmanA/status/723347593456181249" xr:uid="{CAEB3992-22DC-4D6D-B691-D2180E62268E}"/>
    <hyperlink ref="O2585" r:id="rId7995" display="https://pbs.twimg.com/profile_images/717472604702052357/yTPUaVAZ_normal.jpg" xr:uid="{B37CC6E8-0BB2-4AA0-B5CA-89A13A392AB3}"/>
    <hyperlink ref="B2586" r:id="rId7996" display="https://twitter.com/AdgmanA" xr:uid="{26B8FE2D-5364-43A0-848F-2215B3BCEA68}"/>
    <hyperlink ref="E2586" r:id="rId7997" display="https://twitter.com/AdgmanA/status/723347611634249729" xr:uid="{0D05DA70-9F76-474E-A085-EBA9B7244B3C}"/>
    <hyperlink ref="O2586" r:id="rId7998" display="https://pbs.twimg.com/profile_images/717472604702052357/yTPUaVAZ_normal.jpg" xr:uid="{688B12EC-485C-4526-973D-73F281C16AFA}"/>
    <hyperlink ref="B2587" r:id="rId7999" display="https://twitter.com/AdgmanA" xr:uid="{D3865BFC-8224-4A9D-A8BD-E327EDF245A3}"/>
    <hyperlink ref="E2587" r:id="rId8000" display="https://twitter.com/AdgmanA/status/723347617216925700" xr:uid="{96B01E9F-2F0A-4F1C-B5E8-E048BFBD8382}"/>
    <hyperlink ref="O2587" r:id="rId8001" display="https://pbs.twimg.com/profile_images/717472604702052357/yTPUaVAZ_normal.jpg" xr:uid="{476DD9C0-1D2A-4821-9378-22CFD0976052}"/>
    <hyperlink ref="B2588" r:id="rId8002" display="https://twitter.com/LynnInCA" xr:uid="{22F58D68-565E-4DEA-9FCA-2C654DF0E745}"/>
    <hyperlink ref="E2588" r:id="rId8003" display="https://twitter.com/LynnInCA/status/723349708882632705" xr:uid="{45D30C34-06E3-419D-836B-C09EFC5845B0}"/>
    <hyperlink ref="O2588" r:id="rId8004" display="https://pbs.twimg.com/profile_images/646720231566544896/G7OXCUOB_normal.jpg" xr:uid="{8706538F-D6E2-41B7-BACE-0460B7285C14}"/>
    <hyperlink ref="B2589" r:id="rId8005" display="https://twitter.com/E_roar_ah" xr:uid="{7A72C9FA-50B2-4224-AF72-C7D345BD2EE9}"/>
    <hyperlink ref="E2589" r:id="rId8006" display="https://twitter.com/E_roar_ah/status/723350290133598208" xr:uid="{610C14DF-B322-43A8-BE8B-BE167CD8FB97}"/>
    <hyperlink ref="O2589" r:id="rId8007" display="https://pbs.twimg.com/profile_images/709826799564410880/PaP92lop_normal.jpg" xr:uid="{FF2B8586-4867-4D6F-98DD-3BAF02316EB7}"/>
    <hyperlink ref="B2590" r:id="rId8008" display="https://twitter.com/CaboMace" xr:uid="{B385CA79-2836-42B6-BE91-E022EA222C2F}"/>
    <hyperlink ref="E2590" r:id="rId8009" display="https://twitter.com/CaboMace/status/723350516055437314" xr:uid="{F20EA08F-998E-407B-AC03-E7F133413D3B}"/>
    <hyperlink ref="O2590" r:id="rId8010" display="https://pbs.twimg.com/profile_images/721878890063355905/4KmdUKQ8_normal.jpg" xr:uid="{037EF73B-2DB1-4280-A9C8-0AB78DA13BD4}"/>
    <hyperlink ref="B2591" r:id="rId8011" display="https://twitter.com/financetwitting" xr:uid="{069F55E7-8CE1-403D-B07B-4CBF061C2105}"/>
    <hyperlink ref="E2591" r:id="rId8012" display="https://twitter.com/financetwitting/status/723351099759955970" xr:uid="{C13BEFD1-E1B8-4F83-898D-721A8A66A44B}"/>
    <hyperlink ref="O2591" r:id="rId8013" display="https://pbs.twimg.com/profile_images/1312581562/FinanceTwitter_dotcom_50_50_normal.jpg" xr:uid="{97027A6C-90FD-4024-9A22-366CCCB15FD3}"/>
    <hyperlink ref="B2592" r:id="rId8014" display="https://twitter.com/vagcafe" xr:uid="{62852936-5589-4AEE-B95C-B51CDD01BE9D}"/>
    <hyperlink ref="E2592" r:id="rId8015" display="https://twitter.com/vagcafe/status/723351147667439616" xr:uid="{A5B2C63C-AE9A-400F-A7A4-B14B8375E92E}"/>
    <hyperlink ref="O2592" r:id="rId8016" display="https://pbs.twimg.com/profile_images/424263999111180288/uiuHfUnY_normal.png" xr:uid="{C958F777-2DE6-4E08-9BFF-51409CF58769}"/>
    <hyperlink ref="B2593" r:id="rId8017" display="https://twitter.com/StvnsFrnk" xr:uid="{44C185CD-79C6-44EE-94D0-C5EB947EDFB2}"/>
    <hyperlink ref="E2593" r:id="rId8018" display="https://twitter.com/StvnsFrnk/status/723353115081076736" xr:uid="{6CD01876-3C5D-42D7-B80A-9D8B96A91AB7}"/>
    <hyperlink ref="O2593" r:id="rId8019" display="https://pbs.twimg.com/profile_images/447281889578323968/hqCNxI9e_normal.jpeg" xr:uid="{F4F78DF8-561D-49F9-BE9D-60B1D8C577F1}"/>
    <hyperlink ref="B2594" r:id="rId8020" display="https://twitter.com/MiloTheSaint" xr:uid="{252958A1-8FFA-46EE-B968-D3B2F982EE7D}"/>
    <hyperlink ref="E2594" r:id="rId8021" display="https://twitter.com/MiloTheSaint/status/723353183792291844" xr:uid="{9B59852E-1CE7-449B-BC4C-FDE3907A1D5F}"/>
    <hyperlink ref="O2594" r:id="rId8022" display="https://pbs.twimg.com/profile_images/720059584266821633/NhVXHw2i_normal.jpg" xr:uid="{A71B0A52-1F94-49CB-B175-C17DE378B17F}"/>
    <hyperlink ref="B2595" r:id="rId8023" display="https://twitter.com/APWCares" xr:uid="{39634B62-90C7-4C57-B7FF-5F8FBA9E87DF}"/>
    <hyperlink ref="E2595" r:id="rId8024" display="https://twitter.com/APWCares/status/723353873516257280" xr:uid="{695AAF5B-CD1C-4975-8D4C-6E62923839BA}"/>
    <hyperlink ref="O2595" r:id="rId8025" display="https://pbs.twimg.com/profile_images/715812919020228608/iTOiCon4_normal.jpg" xr:uid="{19E0C13C-E3E4-4A3B-BFDE-C9C1DF782A80}"/>
    <hyperlink ref="B2596" r:id="rId8026" display="https://twitter.com/beetlebug1938" xr:uid="{24842579-21CD-4B7D-A21D-7FFEBF740735}"/>
    <hyperlink ref="E2596" r:id="rId8027" display="https://twitter.com/beetlebug1938/status/723354074373054464" xr:uid="{72C05117-93C3-45FA-BD57-C612CF0BC106}"/>
    <hyperlink ref="O2596" r:id="rId8028" display="https://pbs.twimg.com/profile_images/718820712757215233/LXXndPTS_normal.jpg" xr:uid="{681B3C60-7B3C-46AF-80B1-32EA70E892A7}"/>
    <hyperlink ref="B2597" r:id="rId8029" display="https://twitter.com/beetlebug1938" xr:uid="{8987228E-9B1B-431B-A1D5-4D7CDE2E76B3}"/>
    <hyperlink ref="E2597" r:id="rId8030" display="https://twitter.com/beetlebug1938/status/723354087152963584" xr:uid="{715CC541-5CAB-4594-89E9-D87C0DC61B97}"/>
    <hyperlink ref="O2597" r:id="rId8031" display="https://pbs.twimg.com/profile_images/718820712757215233/LXXndPTS_normal.jpg" xr:uid="{4EA10EE0-C7D4-434B-B61B-873FBEA8ED24}"/>
    <hyperlink ref="B2598" r:id="rId8032" display="https://twitter.com/beetlebug1938" xr:uid="{95C9E3C8-B9D6-42DB-B8A1-B3B1D716BE18}"/>
    <hyperlink ref="E2598" r:id="rId8033" display="https://twitter.com/beetlebug1938/status/723354099509547008" xr:uid="{3F2DE3AD-FC82-4C80-8D89-87D7F0D20DC7}"/>
    <hyperlink ref="O2598" r:id="rId8034" display="https://pbs.twimg.com/profile_images/718820712757215233/LXXndPTS_normal.jpg" xr:uid="{316BD078-9F88-442E-931E-AD6AE15D4A4C}"/>
    <hyperlink ref="B2599" r:id="rId8035" display="https://twitter.com/beetlebug1938" xr:uid="{3391352D-5BB2-489F-9536-22F51D1D3FE6}"/>
    <hyperlink ref="E2599" r:id="rId8036" display="https://twitter.com/beetlebug1938/status/723354110540537856" xr:uid="{6656900F-AC2E-4770-B034-F7ACA3954274}"/>
    <hyperlink ref="O2599" r:id="rId8037" display="https://pbs.twimg.com/profile_images/718820712757215233/LXXndPTS_normal.jpg" xr:uid="{4A78F729-245F-42CD-B179-450799BE4B56}"/>
    <hyperlink ref="B2600" r:id="rId8038" display="https://twitter.com/deejay_1993" xr:uid="{1B5FE23B-3EEF-4035-9779-9120BE4249E4}"/>
    <hyperlink ref="E2600" r:id="rId8039" display="https://twitter.com/deejay_1993/status/723354224222965760" xr:uid="{332911A1-9AAC-4E7A-A143-37FAA524D287}"/>
    <hyperlink ref="O2600" r:id="rId8040" display="https://pbs.twimg.com/profile_images/722229319796449280/Y4NyzDbX_normal.jpg" xr:uid="{68A237FB-87A5-44E6-9B92-918C1ED17A09}"/>
    <hyperlink ref="B2601" r:id="rId8041" display="https://twitter.com/CentrevilleVW" xr:uid="{DD342C16-E455-401C-97DF-7886DA750510}"/>
    <hyperlink ref="E2601" r:id="rId8042" display="https://twitter.com/CentrevilleVW/status/723354379185729536" xr:uid="{BD85DA79-DD5A-468C-92BE-90B9DC73F7C6}"/>
    <hyperlink ref="N2601" r:id="rId8043" xr:uid="{86484916-2040-4E25-B572-CBB9A1CC03BC}"/>
    <hyperlink ref="O2601" r:id="rId8044" display="https://pbs.twimg.com/profile_images/378800000370512972/8e701edb60495fdf1d2feaddfe68e2fe_normal.jpeg" xr:uid="{51863060-1FD5-4BBA-B4C1-ED111530BAB7}"/>
    <hyperlink ref="B2602" r:id="rId8045" display="https://twitter.com/ruloaldave" xr:uid="{11FB10FA-BA35-4D4D-9119-41D0CC13C19C}"/>
    <hyperlink ref="E2602" r:id="rId8046" display="https://twitter.com/ruloaldave/status/723354653149134848" xr:uid="{5DB2736F-BE63-4020-B72B-DA4C8FDE98DE}"/>
    <hyperlink ref="O2602" r:id="rId8047" display="https://pbs.twimg.com/profile_images/686541430689497089/GPansWFu_normal.jpg" xr:uid="{F0858AFF-3FEB-433F-BF89-54DEE114E438}"/>
    <hyperlink ref="B2603" r:id="rId8048" display="https://twitter.com/FuscaWorld" xr:uid="{D8872082-DDBA-44A1-AEAA-D0222C3436AD}"/>
    <hyperlink ref="E2603" r:id="rId8049" display="https://twitter.com/FuscaWorld/status/723355276724695042" xr:uid="{595D8AD1-ED9A-4392-8516-FBA7C00F1921}"/>
    <hyperlink ref="O2603" r:id="rId8050" display="https://pbs.twimg.com/profile_images/705780107844067328/e7O4UBNb_normal.jpg" xr:uid="{A7716627-BA5E-47C9-9462-A7852E3FE02E}"/>
    <hyperlink ref="B2604" r:id="rId8051" display="https://twitter.com/meenaabedi" xr:uid="{C3B6B149-CC5F-43AA-89A3-31E59678F4D6}"/>
    <hyperlink ref="E2604" r:id="rId8052" display="https://twitter.com/meenaabedi/status/723355408174321664" xr:uid="{E051B51A-B796-4F2B-8D2E-4B0C6C00A7F9}"/>
    <hyperlink ref="O2604" r:id="rId8053" display="https://pbs.twimg.com/profile_images/717070396906979328/L2BahIJm_normal.jpg" xr:uid="{35EE534A-4BD0-47ED-98C9-0A0DF9EA8DCB}"/>
    <hyperlink ref="B2605" r:id="rId8054" display="https://twitter.com/Rodrigocana" xr:uid="{E474DEF5-B496-4AEE-8128-8EF55CCD799D}"/>
    <hyperlink ref="E2605" r:id="rId8055" display="https://twitter.com/Rodrigocana/status/723356990156591106" xr:uid="{5FAF816C-63AF-4853-BA53-89E080768ED9}"/>
    <hyperlink ref="O2605" r:id="rId8056" display="https://pbs.twimg.com/profile_images/3747860790/99e931940b0cf7de296cc59871742be6_normal.jpeg" xr:uid="{A1CA0B8E-18E1-4DB7-AF70-842C3136D16E}"/>
    <hyperlink ref="B2606" r:id="rId8057" display="https://twitter.com/Patentingenieur" xr:uid="{4A240DAE-3684-4659-B49C-07115D7A8D30}"/>
    <hyperlink ref="E2606" r:id="rId8058" display="https://twitter.com/Patentingenieur/status/723357777989496832" xr:uid="{D093A021-D1DE-4AA1-8A46-9E41087EE375}"/>
    <hyperlink ref="O2606" r:id="rId8059" display="https://pbs.twimg.com/profile_images/682872326371848192/lky20bTP_normal.jpg" xr:uid="{EACC7EE0-45F3-4A89-99BE-4FEB82E7CFF6}"/>
    <hyperlink ref="B2607" r:id="rId8060" display="https://twitter.com/Scirocco_Tuning" xr:uid="{AD90A65E-9AF7-4D13-8539-F049BC5D36E0}"/>
    <hyperlink ref="E2607" r:id="rId8061" display="https://twitter.com/Scirocco_Tuning/status/723357982830919680" xr:uid="{0EB61A6A-C31B-4192-A137-354ECA67CE42}"/>
    <hyperlink ref="O2607" r:id="rId8062" display="https://pbs.twimg.com/profile_images/1610421423/Image2_normal.jpg" xr:uid="{96AA6DB6-49D8-4E19-B9CC-50ECE5FB35B9}"/>
    <hyperlink ref="B2608" r:id="rId8063" display="https://twitter.com/Rodrigocana" xr:uid="{B9B36D79-321B-4BC6-9185-E69B8B2FC039}"/>
    <hyperlink ref="E2608" r:id="rId8064" display="https://twitter.com/Rodrigocana/status/723358230588481537" xr:uid="{E7E94DAB-0791-4966-B046-982306528A67}"/>
    <hyperlink ref="O2608" r:id="rId8065" display="https://pbs.twimg.com/profile_images/3747860790/99e931940b0cf7de296cc59871742be6_normal.jpeg" xr:uid="{62F265C0-C268-4B3D-8D8C-C24CE1BC3676}"/>
    <hyperlink ref="B2609" r:id="rId8066" display="https://twitter.com/lucianacasal20" xr:uid="{06EBC673-1B85-4D48-9299-CC4740A0F941}"/>
    <hyperlink ref="E2609" r:id="rId8067" display="https://twitter.com/lucianacasal20/status/723362296542547969" xr:uid="{BF329032-6BCE-4EEB-9CCD-DD339BF7E13C}"/>
    <hyperlink ref="O2609" r:id="rId8068" display="https://pbs.twimg.com/profile_images/677305455308222465/JKCO3eJx_normal.jpg" xr:uid="{0877BEE9-53F0-4038-B060-DD4375DAB771}"/>
    <hyperlink ref="B2610" r:id="rId8069" display="https://twitter.com/TotheFlixs" xr:uid="{08F3774E-7C61-4E96-83D1-2EB513F8DBC3}"/>
    <hyperlink ref="E2610" r:id="rId8070" display="https://twitter.com/TotheFlixs/status/723362653893066753" xr:uid="{0CB1F0AE-11E1-4482-8913-1101737BC95C}"/>
    <hyperlink ref="O2610" r:id="rId8071" display="https://pbs.twimg.com/profile_images/679536989100613632/4R0dhO0Y_normal.jpg" xr:uid="{646E8395-FBF5-4246-A68F-6692AE05C70F}"/>
    <hyperlink ref="B2611" r:id="rId8072" display="https://twitter.com/oldcar_photo" xr:uid="{3FB29620-8183-49B7-8F52-D6BD79F8A0A2}"/>
    <hyperlink ref="E2611" r:id="rId8073" display="https://twitter.com/oldcar_photo/status/723363968476024833" xr:uid="{AEB4BDF4-09CF-4165-8925-3C1FE0A9771E}"/>
    <hyperlink ref="O2611" r:id="rId8074" display="https://pbs.twimg.com/profile_images/615493650785660928/XHUh6HOk_normal.jpg" xr:uid="{7F1741D7-92B6-47B0-974A-D010B484C51A}"/>
    <hyperlink ref="B2612" r:id="rId8075" display="https://twitter.com/oldcar_photo" xr:uid="{D5ADB0C1-98B8-4A97-8495-BDF1AABDA818}"/>
    <hyperlink ref="E2612" r:id="rId8076" display="https://twitter.com/oldcar_photo/status/723364038449623044" xr:uid="{666B728E-52CC-464A-B3DA-5B701CDF0639}"/>
    <hyperlink ref="O2612" r:id="rId8077" display="https://pbs.twimg.com/profile_images/615493650785660928/XHUh6HOk_normal.jpg" xr:uid="{525CE678-32DE-4116-839A-3EF201548301}"/>
    <hyperlink ref="B2613" r:id="rId8078" display="https://twitter.com/DubLuvTuning" xr:uid="{0275A511-8ECF-468A-A08E-F4F371AD1CD8}"/>
    <hyperlink ref="E2613" r:id="rId8079" display="https://twitter.com/DubLuvTuning/status/723364378339221505" xr:uid="{8343E501-F267-48FA-936B-53B5F0D58A87}"/>
    <hyperlink ref="O2613" r:id="rId8080" display="https://pbs.twimg.com/profile_images/378800000572104796/1de43e1cf23efb3f4101c02afad0d3b6_normal.png" xr:uid="{C66D3526-99A3-4EEB-9FC5-6EFD60DE98EB}"/>
    <hyperlink ref="B2614" r:id="rId8081" display="https://twitter.com/DubLuvTuning" xr:uid="{4714E406-790C-497F-9C69-E733D65E4CBA}"/>
    <hyperlink ref="E2614" r:id="rId8082" display="https://twitter.com/DubLuvTuning/status/723364379668815872" xr:uid="{8D40A56D-A9ED-477C-8A7C-A1693575F532}"/>
    <hyperlink ref="O2614" r:id="rId8083" display="https://pbs.twimg.com/profile_images/378800000572104796/1de43e1cf23efb3f4101c02afad0d3b6_normal.png" xr:uid="{B36C5EDD-ED46-4631-AFB6-A2D0EC98BC11}"/>
    <hyperlink ref="B2615" r:id="rId8084" display="https://twitter.com/rpo_wirtschaft" xr:uid="{B8164758-4085-4AC1-B9A2-A81F37956756}"/>
    <hyperlink ref="E2615" r:id="rId8085" display="https://twitter.com/rpo_wirtschaft/status/723364538251243521" xr:uid="{314BB1F4-2E62-48B6-A2C9-DCCFEED8F9FE}"/>
    <hyperlink ref="O2615" r:id="rId8086" display="https://pbs.twimg.com/profile_images/62751185/logo_rp_normal.gif" xr:uid="{2F443BCC-D02A-46E7-86ED-09E968935103}"/>
    <hyperlink ref="B2616" r:id="rId8087" display="https://twitter.com/rponline" xr:uid="{1487DE08-DE6E-46B6-9EA2-B20534E1683A}"/>
    <hyperlink ref="E2616" r:id="rId8088" display="https://twitter.com/rponline/status/723364563933007872" xr:uid="{21E445E8-1682-41AB-8656-39F172EA1278}"/>
    <hyperlink ref="O2616" r:id="rId8089" display="https://pbs.twimg.com/profile_images/691967023258210304/J22K4Bad_normal.png" xr:uid="{53D27FE6-1930-4D83-9668-A92F3E34E025}"/>
    <hyperlink ref="B2617" r:id="rId8090" display="https://twitter.com/tbachner" xr:uid="{919736E5-D958-4331-A6BB-F42B4D340477}"/>
    <hyperlink ref="E2617" r:id="rId8091" display="https://twitter.com/tbachner/status/723365339258441736" xr:uid="{BA444350-E4DC-4C7C-8012-FC23038F3FEE}"/>
    <hyperlink ref="O2617" r:id="rId8092" display="https://pbs.twimg.com/profile_images/467901662766452736/D8DLJrFs_normal.jpeg" xr:uid="{F131E12B-2B6D-4BD9-8F6C-27DA959C51AD}"/>
    <hyperlink ref="B2618" r:id="rId8093" display="https://twitter.com/Foertsch" xr:uid="{6E85C0BC-08C2-4BA9-B89C-A272A3F7BF39}"/>
    <hyperlink ref="E2618" r:id="rId8094" display="https://twitter.com/Foertsch/status/723366556311281666" xr:uid="{0EB6AF85-6869-4041-B681-2A5287E571A7}"/>
    <hyperlink ref="O2618" r:id="rId8095" display="https://pbs.twimg.com/profile_images/1749690946/22456_108425865839213_100000153999675_221102_5400174_n_normal.jpg" xr:uid="{C4706700-88F1-479C-BA6B-59C26E010CBD}"/>
    <hyperlink ref="B2619" r:id="rId8096" display="https://twitter.com/rmn102003" xr:uid="{79A21BA2-9D70-448B-A02B-7AC9C715D25F}"/>
    <hyperlink ref="E2619" r:id="rId8097" display="https://twitter.com/rmn102003/status/723367541557469184" xr:uid="{E54B25AB-2261-4CEC-803E-1AA7D1932353}"/>
    <hyperlink ref="O2619" r:id="rId8098" display="https://pbs.twimg.com/profile_images/1754249738/image_normal.jpg" xr:uid="{0F1B1E19-C8C5-4478-A132-B373111B42F0}"/>
    <hyperlink ref="B2620" r:id="rId8099" display="https://twitter.com/autobrokersweb" xr:uid="{8E11D79E-BC45-4399-B6A6-DC97BEAB2091}"/>
    <hyperlink ref="E2620" r:id="rId8100" display="https://twitter.com/autobrokersweb/status/723368769767100418" xr:uid="{4F3581DB-EF3F-455F-864C-DC7BFA3457A3}"/>
    <hyperlink ref="O2620" r:id="rId8101" display="https://pbs.twimg.com/profile_images/702663641217118208/j32ju3np_normal.jpg" xr:uid="{982FF5E3-AFBE-4E6D-ABC0-684A079EE68A}"/>
    <hyperlink ref="B2621" r:id="rId8102" display="https://twitter.com/charlesrssll" xr:uid="{1FA8F7DB-AF80-4EBF-9324-D5750EF2995B}"/>
    <hyperlink ref="E2621" r:id="rId8103" display="https://twitter.com/charlesrssll/status/723368987816382464" xr:uid="{E1428B24-7875-489C-9153-49D2B2E57DE2}"/>
    <hyperlink ref="O2621" r:id="rId8104" display="https://pbs.twimg.com/profile_images/716937249338888192/UP9Ty0a-_normal.jpg" xr:uid="{D08BF368-E591-48AA-9718-ED26E20E58E9}"/>
    <hyperlink ref="B2622" r:id="rId8105" display="https://twitter.com/iaa_attitude" xr:uid="{51CA7DF1-2D2E-4C67-85B1-A27E6AD4FE37}"/>
    <hyperlink ref="E2622" r:id="rId8106" display="https://twitter.com/iaa_attitude/status/723369359922470918" xr:uid="{079A909E-95A2-4A2B-BFD3-CF5C9A496FAD}"/>
    <hyperlink ref="O2622" r:id="rId8107" display="https://pbs.twimg.com/profile_images/466599235622682624/7LMop3cd_normal.jpeg" xr:uid="{D8D01080-091E-467A-BEBB-D78B8E35F1DE}"/>
    <hyperlink ref="B2623" r:id="rId8108" display="https://twitter.com/TinchoP18" xr:uid="{E0D5C45F-6DDE-466C-B631-DFCFE6543AA9}"/>
    <hyperlink ref="E2623" r:id="rId8109" display="https://twitter.com/TinchoP18/status/723370452375076864" xr:uid="{AD42A67A-472A-4202-85A8-A1566A9D06D6}"/>
    <hyperlink ref="O2623" r:id="rId8110" display="https://pbs.twimg.com/profile_images/721897166868975616/QiBq6Fws_normal.jpg" xr:uid="{6D041C57-C0DA-437E-96DF-F6D555C2AD10}"/>
    <hyperlink ref="B2624" r:id="rId8111" display="https://twitter.com/TractatusArtium" xr:uid="{2667A05D-CE9B-4FC4-A79B-7B544EA99338}"/>
    <hyperlink ref="E2624" r:id="rId8112" display="https://twitter.com/TractatusArtium/status/723370501020610560" xr:uid="{0A976B89-420F-4D40-9DC5-BF0AAA4AB9F7}"/>
    <hyperlink ref="O2624" r:id="rId8113" display="https://pbs.twimg.com/profile_images/2133628020/Bild_MH_normal.JPG" xr:uid="{35F441E5-6944-4F10-B34B-4232C6A4C5D0}"/>
    <hyperlink ref="B2625" r:id="rId8114" display="https://twitter.com/following_jobs" xr:uid="{5ADA8963-ACE6-4B71-B01E-FF069351CB83}"/>
    <hyperlink ref="E2625" r:id="rId8115" display="https://twitter.com/following_jobs/status/723370626858160128" xr:uid="{916C782A-65FB-47D9-A83F-0E59C15DF7DC}"/>
    <hyperlink ref="O2625" r:id="rId8116" display="https://pbs.twimg.com/profile_images/556834076418527235/Y36uC3QC_normal.png" xr:uid="{32FCB8C7-0EFE-43C3-ADCB-964C642D65C9}"/>
    <hyperlink ref="B2626" r:id="rId8117" display="https://twitter.com/VWBeetleSales" xr:uid="{3E6B1089-FEC9-4467-A7E5-853EF1D1EFF3}"/>
    <hyperlink ref="E2626" r:id="rId8118" display="https://twitter.com/VWBeetleSales/status/723370759708499968" xr:uid="{B5956047-9419-4B21-9F3B-40A5B7C3A697}"/>
    <hyperlink ref="F2626" r:id="rId8119" xr:uid="{D99FC29D-7D3C-440F-9DBA-1988DD0324AE}"/>
    <hyperlink ref="O2626" r:id="rId8120" display="https://pbs.twimg.com/profile_images/703294545195307008/qeCvrX86_normal.jpg" xr:uid="{0CE35093-0BB9-4D18-8C34-571852DE0923}"/>
    <hyperlink ref="B2627" r:id="rId8121" display="https://twitter.com/VWBeetleSales" xr:uid="{FB73F440-A80E-470C-9586-40AEE64A4A4A}"/>
    <hyperlink ref="E2627" r:id="rId8122" display="https://twitter.com/VWBeetleSales/status/723370762690658305" xr:uid="{45F6E641-7C4C-4FDC-86F9-3A914DCF97A9}"/>
    <hyperlink ref="F2627" r:id="rId8123" xr:uid="{EDFC9B09-16F7-42E0-8857-A2CA150DDD50}"/>
    <hyperlink ref="O2627" r:id="rId8124" display="https://pbs.twimg.com/profile_images/703294545195307008/qeCvrX86_normal.jpg" xr:uid="{BBACFD33-3782-496B-9969-D3DE41AF3EA8}"/>
    <hyperlink ref="B2628" r:id="rId8125" display="https://twitter.com/Ober_Franke" xr:uid="{535B161B-0AAE-4939-A562-863E32DE769C}"/>
    <hyperlink ref="E2628" r:id="rId8126" display="https://twitter.com/Ober_Franke/status/723371147895545858" xr:uid="{4CC04978-94AD-4444-9069-B88EE7EDD19E}"/>
    <hyperlink ref="O2628" r:id="rId8127" display="https://pbs.twimg.com/profile_images/2969328811/b210d69cd72364cd0399bc65061d5815_normal.jpeg" xr:uid="{67344B75-8F9A-48AA-AB11-DC91FD02104C}"/>
    <hyperlink ref="B2629" r:id="rId8128" display="https://twitter.com/techhippie" xr:uid="{88480C3C-424F-4F3A-ADB7-200E2BBF3156}"/>
    <hyperlink ref="E2629" r:id="rId8129" display="https://twitter.com/techhippie/status/723371345354977280" xr:uid="{73208D01-DF04-4A8C-9369-B748E141A20F}"/>
    <hyperlink ref="O2629" r:id="rId8130" display="https://pbs.twimg.com/profile_images/702511217793863680/lty8h9vE_normal.jpg" xr:uid="{0B013C9F-8B7E-447D-BA02-01EEED3C2C7A}"/>
    <hyperlink ref="B2630" r:id="rId8131" display="https://twitter.com/techhippie" xr:uid="{781FC658-93DA-4AF6-953A-514AD4BD38FE}"/>
    <hyperlink ref="E2630" r:id="rId8132" display="https://twitter.com/techhippie/status/723371357333905409" xr:uid="{A70B4AA6-775C-4EBC-8319-D09602643F9D}"/>
    <hyperlink ref="O2630" r:id="rId8133" display="https://pbs.twimg.com/profile_images/702511217793863680/lty8h9vE_normal.jpg" xr:uid="{67F8F10C-00AB-4CC6-9567-2BF96F5A7B68}"/>
    <hyperlink ref="B2631" r:id="rId8134" display="https://twitter.com/bordreporter" xr:uid="{D5ED1864-5966-40B7-9DF8-3FCC857B4508}"/>
    <hyperlink ref="E2631" r:id="rId8135" display="https://twitter.com/bordreporter/status/723371419527073792" xr:uid="{CC21D004-0725-423C-8E86-B850B47DE08E}"/>
    <hyperlink ref="O2631" r:id="rId8136" display="https://pbs.twimg.com/profile_images/717746968248901634/w8iLMTAe_normal.jpg" xr:uid="{A376D373-9FE8-4EFA-811C-6FFDDACAE61E}"/>
    <hyperlink ref="B2632" r:id="rId8137" display="https://twitter.com/bumbesje" xr:uid="{FA9A8A54-B49F-4358-833F-F067EB3A147A}"/>
    <hyperlink ref="E2632" r:id="rId8138" display="https://twitter.com/bumbesje/status/723371655150505984" xr:uid="{9983E163-7B3E-4461-97CF-C81984A0FEE1}"/>
    <hyperlink ref="O2632" r:id="rId8139" display="https://pbs.twimg.com/profile_images/580396468877529088/8I-01rPN_normal.jpg" xr:uid="{7C8EA843-A653-467D-AF54-86D02A0CEF36}"/>
    <hyperlink ref="B2633" r:id="rId8140" display="https://twitter.com/deutch_az" xr:uid="{EC3D6AF7-A00A-442C-AA8A-03B1F31AE016}"/>
    <hyperlink ref="E2633" r:id="rId8141" display="https://twitter.com/deutch_az/status/723371851339026435" xr:uid="{986DB6D6-6311-473B-B5BF-D88E156D1E5D}"/>
    <hyperlink ref="O2633" r:id="rId8142" display="https://pbs.twimg.com/profile_images/659295730222280705/W1FqHCVo_normal.jpg" xr:uid="{1B4EFB0E-078F-41E7-9F3C-CF6E780C84A2}"/>
    <hyperlink ref="B2634" r:id="rId8143" display="https://twitter.com/OnlineCarReview" xr:uid="{D1E50A87-CC4C-4CD0-9265-52378D5302DD}"/>
    <hyperlink ref="E2634" r:id="rId8144" display="https://twitter.com/OnlineCarReview/status/723371889532379137" xr:uid="{72C67FDD-B4A7-4960-AD9A-BA313C72F3A7}"/>
    <hyperlink ref="O2634" r:id="rId8145" display="https://pbs.twimg.com/profile_images/652871584131092480/QA_B6SBO_normal.jpg" xr:uid="{68A3B79E-4F96-4C73-8BB1-70D231322CAF}"/>
    <hyperlink ref="B2635" r:id="rId8146" display="https://twitter.com/OnlineCarReview" xr:uid="{E9DB9558-816E-4141-8C5E-BA41D134878D}"/>
    <hyperlink ref="E2635" r:id="rId8147" display="https://twitter.com/OnlineCarReview/status/723371890455105536" xr:uid="{98835F59-F824-4869-9D4F-87F8F8F55407}"/>
    <hyperlink ref="O2635" r:id="rId8148" display="https://pbs.twimg.com/profile_images/652871584131092480/QA_B6SBO_normal.jpg" xr:uid="{C7AEB1AF-2841-4534-A153-F54E67D68F48}"/>
    <hyperlink ref="B2636" r:id="rId8149" display="https://twitter.com/OnlineCarReview" xr:uid="{07F44129-BBC3-4DE6-8205-B92B979E185D}"/>
    <hyperlink ref="E2636" r:id="rId8150" display="https://twitter.com/OnlineCarReview/status/723371891340115972" xr:uid="{E6F33985-CBB8-42A8-820D-9C4525CE0999}"/>
    <hyperlink ref="O2636" r:id="rId8151" display="https://pbs.twimg.com/profile_images/652871584131092480/QA_B6SBO_normal.jpg" xr:uid="{A7FED40B-C3CC-4821-99BD-A239BD34857B}"/>
    <hyperlink ref="B2637" r:id="rId8152" display="https://twitter.com/VolkswagenPost" xr:uid="{23410ED5-D77F-464E-ADDE-7B5A8AA63FAA}"/>
    <hyperlink ref="E2637" r:id="rId8153" display="https://twitter.com/VolkswagenPost/status/723372069912637440" xr:uid="{DE431143-8C1C-48D2-A4C6-B7F081AEC7F2}"/>
    <hyperlink ref="O2637" r:id="rId8154" display="https://pbs.twimg.com/profile_images/530071272881803264/a_jcCmPZ_normal.png" xr:uid="{AF1BFA0B-120E-41DA-8C3D-D17EBC7A1382}"/>
    <hyperlink ref="B2638" r:id="rId8155" display="https://twitter.com/Siress" xr:uid="{504DC8FE-DF8C-4C25-9902-CA2970F7B59E}"/>
    <hyperlink ref="E2638" r:id="rId8156" display="https://twitter.com/Siress/status/723373165909413888" xr:uid="{2A45FAC4-B8E9-433F-9AEC-A7EEE38B5C09}"/>
    <hyperlink ref="O2638" r:id="rId8157" display="https://pbs.twimg.com/profile_images/2991412895/a889495de8689349b833cc7f5b8bdda2_normal.jpeg" xr:uid="{DB17814F-1332-45ED-A878-84982413BFC2}"/>
    <hyperlink ref="B2639" r:id="rId8158" display="https://twitter.com/MarkusStrenzl" xr:uid="{B4E3D19C-C7BE-46A4-8025-1AA50B470C0D}"/>
    <hyperlink ref="E2639" r:id="rId8159" display="https://twitter.com/MarkusStrenzl/status/723373383220494336" xr:uid="{E2CBFAEF-FFA1-4F0B-889A-E1B9A0BD3F39}"/>
    <hyperlink ref="O2639" r:id="rId8160" display="https://pbs.twimg.com/profile_images/778573929/_MG_2143_normal.jpg" xr:uid="{F2A42A51-41B3-46B1-84E6-A82E8ABAE373}"/>
    <hyperlink ref="B2640" r:id="rId8161" display="https://twitter.com/webaraba" xr:uid="{54F59BE0-B63D-4E0B-A481-566175635970}"/>
    <hyperlink ref="C2640" r:id="rId8162" xr:uid="{9F01A2E8-263B-4CD2-B74C-596314CB4DE0}"/>
    <hyperlink ref="E2640" r:id="rId8163" display="https://twitter.com/webaraba/status/723373498022789122" xr:uid="{A86532B8-901C-44A5-A622-B5ED751BE6F8}"/>
    <hyperlink ref="F2640" r:id="rId8164" xr:uid="{95DE403B-AE3A-49ED-8991-FD797230F882}"/>
    <hyperlink ref="O2640" r:id="rId8165" display="https://pbs.twimg.com/profile_images/641238966541361152/-oEpQ9XT_normal.png" xr:uid="{05035137-4C67-49D5-A166-C669B0DB13EC}"/>
    <hyperlink ref="B2641" r:id="rId8166" display="https://twitter.com/MarkusStrenzl" xr:uid="{91B189BA-3F7D-4C98-BB01-E78E0FC3E138}"/>
    <hyperlink ref="E2641" r:id="rId8167" display="https://twitter.com/MarkusStrenzl/status/723373806820024320" xr:uid="{0F956841-3F75-4384-97A0-DC5CCB3C48E4}"/>
    <hyperlink ref="O2641" r:id="rId8168" display="https://pbs.twimg.com/profile_images/778573929/_MG_2143_normal.jpg" xr:uid="{5F00D6DF-D80C-44FD-9858-E3EE3AEB247F}"/>
    <hyperlink ref="B2642" r:id="rId8169" display="https://twitter.com/hrinfo" xr:uid="{C8761262-E4E5-482A-91B2-EBBF31A528A4}"/>
    <hyperlink ref="E2642" r:id="rId8170" display="https://twitter.com/hrinfo/status/723373882644647936" xr:uid="{4C19F70C-C56D-4469-95D4-600F60255955}"/>
    <hyperlink ref="O2642" r:id="rId8171" display="https://pbs.twimg.com/profile_images/531837173612285952/71rzDAAY_normal.jpeg" xr:uid="{A1A8CE58-9814-4812-8554-D5140B046236}"/>
    <hyperlink ref="B2643" r:id="rId8172" display="https://twitter.com/deutch_az" xr:uid="{BE8F0854-2F1E-45BD-BBAA-0FDE1EC58964}"/>
    <hyperlink ref="E2643" r:id="rId8173" display="https://twitter.com/deutch_az/status/723373995744071680" xr:uid="{2C06736E-4C42-4693-904E-53E6B1308B3C}"/>
    <hyperlink ref="O2643" r:id="rId8174" display="https://pbs.twimg.com/profile_images/659295730222280705/W1FqHCVo_normal.jpg" xr:uid="{D4ABAF7F-A72D-474F-B8AC-46A4B30985BE}"/>
    <hyperlink ref="B2644" r:id="rId8175" display="https://twitter.com/barbosa0622" xr:uid="{A2095830-0CC4-470B-BCE9-91CE7CC595E0}"/>
    <hyperlink ref="E2644" r:id="rId8176" display="https://twitter.com/barbosa0622/status/723374297255809025" xr:uid="{3B4C3287-D505-4144-A048-DE4D2A3F114C}"/>
    <hyperlink ref="O2644" r:id="rId8177" display="https://pbs.twimg.com/profile_images/679749235395440641/h0ufWmoR_normal.jpg" xr:uid="{4BC14002-41D7-4A06-B3EE-DE4F4F2E6A64}"/>
    <hyperlink ref="B2645" r:id="rId8178" display="https://twitter.com/bestofprinceton" xr:uid="{3CB3D91F-1AB1-424A-8E1B-597EE4BC5A47}"/>
    <hyperlink ref="E2645" r:id="rId8179" display="https://twitter.com/bestofprinceton/status/723374684113268736" xr:uid="{BE909988-CD80-4503-902F-403DFB2C48B9}"/>
    <hyperlink ref="O2645" r:id="rId8180" display="https://pbs.twimg.com/profile_images/558265124927307778/DDhPIZmj_normal.jpeg" xr:uid="{EDFBF4AB-45AF-4B28-B2F9-839090F92519}"/>
    <hyperlink ref="B2646" r:id="rId8181" display="https://twitter.com/heikolossie" xr:uid="{449FF96E-A433-4195-8687-99B092D796A4}"/>
    <hyperlink ref="E2646" r:id="rId8182" display="https://twitter.com/heikolossie/status/723374965353893889" xr:uid="{0EAF186F-6DB2-4E7E-A21C-388E3288181B}"/>
    <hyperlink ref="O2646" r:id="rId8183" display="https://pbs.twimg.com/profile_images/2586380116/image_normal.jpg" xr:uid="{B98E9728-1C60-467B-8E9C-7D04F5D049AE}"/>
    <hyperlink ref="B2647" r:id="rId8184" display="https://twitter.com/RFN19" xr:uid="{94A5298A-DF05-4665-9D53-DDD60BC4E018}"/>
    <hyperlink ref="E2647" r:id="rId8185" display="https://twitter.com/RFN19/status/723375057330835456" xr:uid="{113669C4-C24A-4F0B-8182-F4DC3A5A4BF7}"/>
    <hyperlink ref="O2647" r:id="rId8186" display="https://pbs.twimg.com/profile_images/571872729201012736/GOT-p0KX_normal.jpeg" xr:uid="{E5D9BD5E-73C0-494F-9CB8-3CBA76D65903}"/>
    <hyperlink ref="B2648" r:id="rId8187" display="https://twitter.com/SamGodreau" xr:uid="{BC39CD7E-D0A6-4FCE-95BB-A29949A79A31}"/>
    <hyperlink ref="E2648" r:id="rId8188" display="https://twitter.com/SamGodreau/status/723375064503078913" xr:uid="{4517CBAE-BF46-4F55-8B93-1EF65271D420}"/>
    <hyperlink ref="O2648" r:id="rId8189" display="https://pbs.twimg.com/profile_images/1824154931/image_normal.jpg" xr:uid="{3930B53F-0E91-439D-A8E9-91751832284F}"/>
    <hyperlink ref="B2649" r:id="rId8190" display="https://twitter.com/Wolke_4" xr:uid="{7BDF44DB-2C04-4DE7-9D1B-793454FE95A6}"/>
    <hyperlink ref="E2649" r:id="rId8191" display="https://twitter.com/Wolke_4/status/723375357097693184" xr:uid="{2511B69E-5830-46A4-919F-6777F4B23E07}"/>
    <hyperlink ref="O2649" r:id="rId8192" display="https://pbs.twimg.com/profile_images/693091554194526209/_Hz25tig_normal.jpg" xr:uid="{3F93B448-F5A4-4B8D-9A29-8705577B7D41}"/>
    <hyperlink ref="B2650" r:id="rId8193" display="https://twitter.com/nizoo1213" xr:uid="{B5105A2F-522D-49C4-B297-3A747E2FC3B9}"/>
    <hyperlink ref="E2650" r:id="rId8194" display="https://twitter.com/nizoo1213/status/723375546835431426" xr:uid="{3D0834A4-5E5D-48D6-A06A-048EAC9B6A6F}"/>
    <hyperlink ref="O2650" r:id="rId8195" display="https://pbs.twimg.com/profile_images/690974305321005056/zlb2R_Vb_normal.jpg" xr:uid="{2D6D776C-4207-4952-A56E-13A1FA9AF0FC}"/>
    <hyperlink ref="B2651" r:id="rId8196" display="https://twitter.com/rwosbo" xr:uid="{4BDBE229-19A4-4417-934B-F1345DCB5C3C}"/>
    <hyperlink ref="E2651" r:id="rId8197" display="https://twitter.com/rwosbo/status/723376392583319553" xr:uid="{0FAF53B0-36F8-43A2-AAFC-CFFC8D4871EE}"/>
    <hyperlink ref="O2651" r:id="rId8198" display="https://pbs.twimg.com/profile_images/708299192247013377/uanh21I8_normal.jpg" xr:uid="{1B5F7AEE-2F7C-476C-83BB-A7D77FAF896E}"/>
    <hyperlink ref="B2652" r:id="rId8199" display="https://twitter.com/jenkers_en" xr:uid="{59E3A765-2D81-4118-BDFC-EB6C3257E771}"/>
    <hyperlink ref="E2652" r:id="rId8200" display="https://twitter.com/jenkers_en/status/723376820633001984" xr:uid="{54396DA2-0A86-4749-AEC6-CFB711A20927}"/>
    <hyperlink ref="O2652" r:id="rId8201" display="https://pbs.twimg.com/profile_images/588324718677254145/-y5BbeY4_normal.png" xr:uid="{B738281C-A5AD-4EA3-AC2B-E2B2A5058F43}"/>
    <hyperlink ref="B2653" r:id="rId8202" display="https://twitter.com/WobIntosh" xr:uid="{7D556967-3648-43A4-B33A-5A8F8C95A7CA}"/>
    <hyperlink ref="E2653" r:id="rId8203" display="https://twitter.com/WobIntosh/status/723377203807842305" xr:uid="{6C40CCA7-3DA3-4728-BA7B-82796F654E28}"/>
    <hyperlink ref="O2653" r:id="rId8204" display="https://pbs.twimg.com/profile_images/712032573929754625/WbaMFsk__normal.jpg" xr:uid="{68B9825F-725A-49FF-A41C-3B6A7D76DE43}"/>
    <hyperlink ref="P2653" r:id="rId8205" location="52.429056,10.787828" display="http://ctrlq.org/maps/address/ - 52.429056,10.787828" xr:uid="{50E088C4-48DE-449F-B4D2-5E098A3F1D94}"/>
    <hyperlink ref="B2654" r:id="rId8206" display="https://twitter.com/tagesschau" xr:uid="{E1C831C3-EB4E-4980-AAA0-08FA6BCE7B9E}"/>
    <hyperlink ref="E2654" r:id="rId8207" display="https://twitter.com/tagesschau/status/723377273986895873" xr:uid="{1F410C6A-7927-4FC8-8350-7032BDFCC15E}"/>
    <hyperlink ref="F2654" r:id="rId8208" xr:uid="{F57A186A-3EC2-42E4-9590-9F6E68040F9A}"/>
    <hyperlink ref="O2654" r:id="rId8209" display="https://pbs.twimg.com/profile_images/531688614640365568/U84uXoIT_normal.png" xr:uid="{329B85E7-74E4-4C3E-89BE-4C52EDD03BD6}"/>
    <hyperlink ref="B2655" r:id="rId8210" display="https://twitter.com/teleherzog" xr:uid="{355E5CEB-4146-4177-9950-4E8849A1D1B4}"/>
    <hyperlink ref="E2655" r:id="rId8211" display="https://twitter.com/teleherzog/status/723377809591164929" xr:uid="{EAA0A0DE-9D64-4A8E-A3ED-A7581A2772BA}"/>
    <hyperlink ref="M2655" r:id="rId8212" xr:uid="{6B672A49-2CD8-499F-894A-417BA6E430B2}"/>
    <hyperlink ref="O2655" r:id="rId8213" display="https://pbs.twimg.com/profile_images/553062410508972032/Rte2llUr_normal.jpeg" xr:uid="{4CB75AAE-BEB9-47FE-91B4-9B3618C03219}"/>
    <hyperlink ref="B2656" r:id="rId8214" display="https://twitter.com/Fuhrparkverband" xr:uid="{0D88EE0E-8181-426D-B01C-80C8C8E844AB}"/>
    <hyperlink ref="E2656" r:id="rId8215" display="https://twitter.com/Fuhrparkverband/status/723377861965443072" xr:uid="{1714074D-AFFD-4C7E-8857-14C388484752}"/>
    <hyperlink ref="O2656" r:id="rId8216" display="https://pbs.twimg.com/profile_images/459018765699526656/ojrIbsvD_normal.png" xr:uid="{D6E5FEB7-EB82-47F3-A644-1B0363130E6E}"/>
    <hyperlink ref="B2657" r:id="rId8217" display="https://twitter.com/durchblicker_k" xr:uid="{D32A8CA8-906D-4102-815D-36F31BEF7FD9}"/>
    <hyperlink ref="E2657" r:id="rId8218" display="https://twitter.com/durchblicker_k/status/723378140261715968" xr:uid="{B3DDA0E2-3415-4105-98B9-FF8B9CD968E5}"/>
    <hyperlink ref="O2657" r:id="rId8219" display="https://pbs.twimg.com/profile_images/2307593524/dloj6foxbskuo2rma5ds_normal.jpeg" xr:uid="{3A7DF069-8BB3-4591-AB41-B850BC0BB3A7}"/>
    <hyperlink ref="B2658" r:id="rId8220" display="https://twitter.com/roem1212" xr:uid="{1EAB0A6F-23C5-48C3-87D8-4C4BC9BCAE0B}"/>
    <hyperlink ref="E2658" r:id="rId8221" display="https://twitter.com/roem1212/status/723378190094229504" xr:uid="{BF32078C-4539-4F51-9062-A214852B4180}"/>
    <hyperlink ref="O2658" r:id="rId8222" display="https://pbs.twimg.com/profile_images/667792478892924928/mBMNel6e_normal.jpg" xr:uid="{45AAAD36-8AE5-460E-A2D5-0F41E50D214D}"/>
    <hyperlink ref="B2659" r:id="rId8223" display="https://twitter.com/DLFNachrichten" xr:uid="{02196C38-ECCE-48B6-948A-FA75BF1B2D11}"/>
    <hyperlink ref="E2659" r:id="rId8224" display="https://twitter.com/DLFNachrichten/status/723378337523998720" xr:uid="{4293D7BE-C7D6-4E8B-A990-98E1F9CC2781}"/>
    <hyperlink ref="O2659" r:id="rId8225" display="https://pbs.twimg.com/profile_images/669541061711261696/eOfP0YD8_normal.png" xr:uid="{36A684A8-8908-4DDE-A4BD-D4F329A9CFE5}"/>
    <hyperlink ref="B2660" r:id="rId8226" display="https://twitter.com/Kielia88" xr:uid="{1C7BF1D6-A676-4509-96C5-105FF4CA843E}"/>
    <hyperlink ref="E2660" r:id="rId8227" display="https://twitter.com/Kielia88/status/723378341714104320" xr:uid="{1BD4F595-AEE9-4595-B5CB-7A7ED54C0375}"/>
    <hyperlink ref="O2660" r:id="rId8228" display="https://pbs.twimg.com/profile_images/604605659410235392/k92X94I5_normal.jpg" xr:uid="{2E3BAE45-7106-4A1D-A493-FAE7DF56ED35}"/>
    <hyperlink ref="B2661" r:id="rId8229" display="https://twitter.com/DLF" xr:uid="{E26F0538-8ACF-4B65-AC7C-C7B3FDFDA77A}"/>
    <hyperlink ref="E2661" r:id="rId8230" display="https://twitter.com/DLF/status/723378375327272961" xr:uid="{64D62661-0097-4683-83CE-35CFCB7F05A5}"/>
    <hyperlink ref="O2661" r:id="rId8231" display="https://pbs.twimg.com/profile_images/667101948429123584/pzpPHONX_normal.jpg" xr:uid="{8D414166-E44F-4E9E-92DE-8549A1270F6C}"/>
    <hyperlink ref="B2662" r:id="rId8232" display="https://twitter.com/wznewsline" xr:uid="{8E6C79FD-9A14-495A-9894-B8F9F9452EE0}"/>
    <hyperlink ref="E2662" r:id="rId8233" display="https://twitter.com/wznewsline/status/723378459758620673" xr:uid="{6E6F8F3C-B1A6-4135-A9FA-2D7AAA49ECFD}"/>
    <hyperlink ref="O2662" r:id="rId8234" display="https://pbs.twimg.com/profile_images/619495022715645952/KN0iPdsN_normal.jpg" xr:uid="{87069C37-AE60-4166-B129-0AE87EAD14AE}"/>
    <hyperlink ref="B2663" r:id="rId8235" display="https://twitter.com/kazan_life" xr:uid="{6797B1BC-8108-4667-A4FD-D5B111A0DD37}"/>
    <hyperlink ref="E2663" r:id="rId8236" display="https://twitter.com/kazan_life/status/723378465005662208" xr:uid="{23A90121-448F-4034-B79A-5E6C08304564}"/>
    <hyperlink ref="O2663" r:id="rId8237" display="https://pbs.twimg.com/profile_images/570586193205547008/21HlPE6T_normal.jpeg" xr:uid="{B4F490E3-0123-40CE-BC74-EB9D6E9369CC}"/>
    <hyperlink ref="B2664" r:id="rId8238" display="https://twitter.com/ch_heinemann" xr:uid="{67B2A790-D677-4240-ABBC-2CBC4053A3F1}"/>
    <hyperlink ref="E2664" r:id="rId8239" display="https://twitter.com/ch_heinemann/status/723378585055043584" xr:uid="{14F79AEE-B70A-418F-BF64-D6DC5643C392}"/>
    <hyperlink ref="O2664" r:id="rId8240" display="https://pbs.twimg.com/profile_images/557871501559345152/ylj0mtNH_normal.jpeg" xr:uid="{A21C3CD4-0F71-4D5A-8C35-1DE840F05648}"/>
    <hyperlink ref="B2665" r:id="rId8241" display="https://twitter.com/PRESSEKONTOR" xr:uid="{01D07841-C286-41C7-A192-F4D897672E8D}"/>
    <hyperlink ref="E2665" r:id="rId8242" display="https://twitter.com/PRESSEKONTOR/status/723378695050645507" xr:uid="{771D2F58-8753-4E8E-A1C0-A82A6B39E2B7}"/>
    <hyperlink ref="O2665" r:id="rId8243" display="https://pbs.twimg.com/profile_images/584030077870018560/aLXqHYI6_normal.jpg" xr:uid="{3B277C2B-6AE2-4CC1-822F-140C29AE85D3}"/>
    <hyperlink ref="B2666" r:id="rId8244" display="https://twitter.com/habo11" xr:uid="{3D18C583-1384-4A92-BB5D-096A2353CFA3}"/>
    <hyperlink ref="E2666" r:id="rId8245" display="https://twitter.com/habo11/status/723378745113894912" xr:uid="{BCD6EAE3-0009-47DE-8FC8-AE3EA15159C8}"/>
    <hyperlink ref="O2666" r:id="rId8246" display="https://pbs.twimg.com/profile_images/420917107438915584/gJTup5FM_normal.jpeg" xr:uid="{1D6AF1C3-1883-4E29-91C6-130E14781445}"/>
    <hyperlink ref="B2667" r:id="rId8247" display="https://twitter.com/Djexenmon" xr:uid="{F9E6B8B9-9542-43E1-9881-4C4102DEB80D}"/>
    <hyperlink ref="E2667" r:id="rId8248" display="https://twitter.com/Djexenmon/status/723378902379294721" xr:uid="{AD0C3722-A717-486C-8688-8E1546973FD3}"/>
    <hyperlink ref="O2667" r:id="rId8249" display="https://pbs.twimg.com/profile_images/711412528375570433/tQdoceTM_normal.jpg" xr:uid="{10E5AF01-3671-490A-9735-B65C270CBAF0}"/>
    <hyperlink ref="B2668" r:id="rId8250" display="https://twitter.com/Scirocco_Tuning" xr:uid="{A95252C8-24DD-4ACC-875B-63EF91A94A07}"/>
    <hyperlink ref="E2668" r:id="rId8251" display="https://twitter.com/Scirocco_Tuning/status/723379169476767744" xr:uid="{882C1A88-C52B-45A6-B6E3-1672086E5EAA}"/>
    <hyperlink ref="O2668" r:id="rId8252" display="https://pbs.twimg.com/profile_images/1610421423/Image2_normal.jpg" xr:uid="{39761239-E87A-46A1-A5D8-C4868CEC2338}"/>
    <hyperlink ref="B2669" r:id="rId8253" display="https://twitter.com/yasaimeijin0240" xr:uid="{1D5B4885-2972-4BB8-95CC-49720FECDF68}"/>
    <hyperlink ref="E2669" r:id="rId8254" display="https://twitter.com/yasaimeijin0240/status/723379519101370368" xr:uid="{677DAFEF-C8C3-4508-A4C4-3A0CFEC9E15A}"/>
    <hyperlink ref="O2669" r:id="rId8255" display="https://pbs.twimg.com/profile_images/701960953902952448/mGr3TmMc_normal.jpg" xr:uid="{1B4C5F25-9A22-4D6E-8F83-5F283A0E69BC}"/>
    <hyperlink ref="B2670" r:id="rId8256" display="https://twitter.com/agustiina_karen" xr:uid="{BE6AC149-4530-44E9-ACC8-C97E899C030B}"/>
    <hyperlink ref="E2670" r:id="rId8257" display="https://twitter.com/agustiina_karen/status/723379561551945728" xr:uid="{3D53497F-ED38-4338-8F19-68AC4366FD47}"/>
    <hyperlink ref="O2670" r:id="rId8258" display="https://pbs.twimg.com/profile_images/722280371916783617/p13dxIev_normal.jpg" xr:uid="{B24891D3-4D5F-4988-A1FB-52AD4E1CE010}"/>
    <hyperlink ref="B2671" r:id="rId8259" display="https://twitter.com/secret_ledger" xr:uid="{A9877C77-0BCB-4624-B063-7219CDDF70DA}"/>
    <hyperlink ref="E2671" r:id="rId8260" display="https://twitter.com/secret_ledger/status/723379656116736002" xr:uid="{3AB592F6-4807-4503-BC54-7B9230F7AD13}"/>
    <hyperlink ref="O2671" r:id="rId8261" display="https://pbs.twimg.com/profile_images/707309158735994881/yU16NBqd_normal.jpg" xr:uid="{F440C221-7408-4CD0-85B2-8608CCE00B95}"/>
    <hyperlink ref="B2672" r:id="rId8262" display="https://twitter.com/caatimichelle" xr:uid="{6631E51C-5D04-42F3-B283-FD61DF4FEFA5}"/>
    <hyperlink ref="E2672" r:id="rId8263" display="https://twitter.com/caatimichelle/status/723379662215204864" xr:uid="{6668D34A-51BE-4345-85D6-707801F7A2FD}"/>
    <hyperlink ref="O2672" r:id="rId8264" display="https://pbs.twimg.com/profile_images/712503747390357505/ahoLZWEu_normal.jpg" xr:uid="{E1CEE6A7-0DD7-4B1E-9719-1AE42EC63C3E}"/>
    <hyperlink ref="B2673" r:id="rId8265" display="https://twitter.com/MarkusStrenzl" xr:uid="{6110B05E-1298-44A6-B79B-4216B3541D21}"/>
    <hyperlink ref="E2673" r:id="rId8266" display="https://twitter.com/MarkusStrenzl/status/723379671799222272" xr:uid="{717EB468-6C8B-40EB-9404-EC61DB82D5A0}"/>
    <hyperlink ref="O2673" r:id="rId8267" display="https://pbs.twimg.com/profile_images/778573929/_MG_2143_normal.jpg" xr:uid="{05AAB114-B1FF-4A9A-BEA4-5FF2F1DE7AA7}"/>
    <hyperlink ref="B2674" r:id="rId8268" display="https://twitter.com/Ema12_Ok" xr:uid="{53AA303F-E867-421F-99ED-B46E1E936118}"/>
    <hyperlink ref="E2674" r:id="rId8269" display="https://twitter.com/Ema12_Ok/status/723379897989627906" xr:uid="{BC77D4BC-6391-4FA0-8B8C-3EF545D9C282}"/>
    <hyperlink ref="O2674" r:id="rId8270" display="https://pbs.twimg.com/profile_images/638012262159110144/bZElucv6_normal.jpg" xr:uid="{E64846F3-C99E-423C-A30B-1EF2C45C7C81}"/>
    <hyperlink ref="B2675" r:id="rId8271" display="https://twitter.com/clayton_phillip" xr:uid="{6817ED33-F46E-4293-98FC-D609B6046847}"/>
    <hyperlink ref="E2675" r:id="rId8272" display="https://twitter.com/clayton_phillip/status/723379929983787008" xr:uid="{3D40B9DC-904C-4F86-8AC2-BD4BACAE32A5}"/>
    <hyperlink ref="O2675" r:id="rId8273" display="https://pbs.twimg.com/profile_images/684448437102886913/G0zZDkgO_normal.jpg" xr:uid="{ADE10FF4-A570-4817-BAB9-27C28EBCA3B8}"/>
    <hyperlink ref="B2676" r:id="rId8274" display="https://twitter.com/dpa" xr:uid="{A13F1DAE-5237-4004-9DD8-DB3EA1168FF9}"/>
    <hyperlink ref="E2676" r:id="rId8275" display="https://twitter.com/dpa/status/723380543149080578" xr:uid="{E0899C0D-99B6-4EFB-98B2-196114422856}"/>
    <hyperlink ref="O2676" r:id="rId8276" display="https://pbs.twimg.com/profile_images/231479009/logo_dpa_infoline_normal.jpg" xr:uid="{01642811-C994-448C-B0D4-F2A38CF04737}"/>
    <hyperlink ref="B2677" r:id="rId8277" display="https://twitter.com/asyl_news" xr:uid="{8129E7D6-1C89-43E0-A8FC-A65FF89FE7BF}"/>
    <hyperlink ref="E2677" r:id="rId8278" display="https://twitter.com/asyl_news/status/723380845172551681" xr:uid="{857597AB-8AB4-4A1D-90E0-9C9C9102843E}"/>
    <hyperlink ref="O2677" r:id="rId8279" display="https://pbs.twimg.com/profile_images/529311103042351104/-fv4eaTk_normal.jpeg" xr:uid="{AA431D4C-22E0-438A-87CD-87E748DC94E1}"/>
    <hyperlink ref="B2678" r:id="rId8280" display="https://twitter.com/ralphmkk61" xr:uid="{72433DE3-6EBE-4297-8558-3D70E5DE3E92}"/>
    <hyperlink ref="E2678" r:id="rId8281" display="https://twitter.com/ralphmkk61/status/723380999095115777" xr:uid="{E89164AE-EC5F-4420-AD67-DF4243BC01D4}"/>
    <hyperlink ref="O2678" r:id="rId8282" display="https://pbs.twimg.com/profile_images/601781958104973312/7etsHLLM_normal.jpg" xr:uid="{F7BB6060-9E80-47E5-801A-EEDACD50C441}"/>
    <hyperlink ref="B2679" r:id="rId8283" display="https://twitter.com/ivankoznar" xr:uid="{EB259DE2-B536-4389-889C-37299CA6FCCC}"/>
    <hyperlink ref="E2679" r:id="rId8284" display="https://twitter.com/ivankoznar/status/723381206427951104" xr:uid="{DA283CB0-7B84-42CF-8B64-DDFB311A8C1F}"/>
    <hyperlink ref="O2679" r:id="rId8285" display="https://abs.twimg.com/sticky/default_profile_images/default_profile_0_normal.png" xr:uid="{212F646D-5022-44B3-AD9E-E1F9863DCEBB}"/>
    <hyperlink ref="B2680" r:id="rId8286" display="https://twitter.com/pehuen14" xr:uid="{7989FCAC-6F57-4922-A8B3-0E47BB61D891}"/>
    <hyperlink ref="E2680" r:id="rId8287" display="https://twitter.com/pehuen14/status/723381332361908224" xr:uid="{D7E2ECD7-AB2D-4AC9-97F9-C491C5DF4736}"/>
    <hyperlink ref="O2680" r:id="rId8288" display="https://pbs.twimg.com/profile_images/682643085910736896/3tYj3xq1_normal.jpg" xr:uid="{315BA551-9320-48D2-AF52-E745559841BD}"/>
    <hyperlink ref="B2681" r:id="rId8289" display="https://twitter.com/LaCalleDice" xr:uid="{B8A9B842-59A8-4EEA-8277-E992B18A5D39}"/>
    <hyperlink ref="E2681" r:id="rId8290" display="https://twitter.com/LaCalleDice/status/723381425852960768" xr:uid="{F137D9DB-FF58-4790-B5BA-12F1CBDEE1BA}"/>
    <hyperlink ref="O2681" r:id="rId8291" display="https://pbs.twimg.com/profile_images/723272248350650370/uCXnE_hY_normal.jpg" xr:uid="{4089E217-A7A6-4F24-B7E3-9FFCBA4773C5}"/>
    <hyperlink ref="B2682" r:id="rId8292" display="https://twitter.com/AndreasAndy3131" xr:uid="{0753E7C9-2B7D-4E73-B3D9-00F58FD905B7}"/>
    <hyperlink ref="E2682" r:id="rId8293" display="https://twitter.com/AndreasAndy3131/status/723381457406709760" xr:uid="{F762F58E-6F09-4DE3-84D8-7AFC7348669B}"/>
    <hyperlink ref="O2682" r:id="rId8294" display="https://pbs.twimg.com/profile_images/705409156363063296/L-9HeIjW_normal.jpg" xr:uid="{15D310A1-35DE-46B3-B06D-3FCA9655DACD}"/>
    <hyperlink ref="B2683" r:id="rId8295" display="https://twitter.com/Srevilo" xr:uid="{7A934546-3FEB-493F-8DD1-6FCAB88252C0}"/>
    <hyperlink ref="E2683" r:id="rId8296" display="https://twitter.com/Srevilo/status/723381576768180224" xr:uid="{5814AECC-3A4E-4EEF-B1CE-1BFCD871C632}"/>
    <hyperlink ref="O2683" r:id="rId8297" display="https://pbs.twimg.com/profile_images/661572660976054272/AiFRl7gO_normal.jpg" xr:uid="{72EAA4DA-5C7A-448F-82BF-B63717507097}"/>
    <hyperlink ref="B2684" r:id="rId8298" display="https://twitter.com/sjprost" xr:uid="{84E50617-1C1E-4C54-8B52-BD7E8B716A39}"/>
    <hyperlink ref="E2684" r:id="rId8299" display="https://twitter.com/sjprost/status/723381703251619840" xr:uid="{8EA6A7B3-E912-42C6-9E1D-45DDDF4D4E9A}"/>
    <hyperlink ref="O2684" r:id="rId8300" display="https://pbs.twimg.com/profile_images/482612371274223616/YsEANVrf_normal.jpeg" xr:uid="{F5EBA74B-FD22-446D-9A2C-A67919CA1089}"/>
    <hyperlink ref="B2685" r:id="rId8301" display="https://twitter.com/ivankoznar" xr:uid="{2D921527-86AB-40F4-A749-BDDCC849B0B4}"/>
    <hyperlink ref="E2685" r:id="rId8302" display="https://twitter.com/ivankoznar/status/723381801746464768" xr:uid="{54FEF4A6-DBDD-4358-BF43-E3263073BCF5}"/>
    <hyperlink ref="O2685" r:id="rId8303" display="https://abs.twimg.com/sticky/default_profile_images/default_profile_0_normal.png" xr:uid="{C1DC8F2E-2AEC-446C-B2C7-01AF5B880DF0}"/>
    <hyperlink ref="B2686" r:id="rId8304" display="https://twitter.com/ivankoznar" xr:uid="{2853DBC2-9511-4720-949C-89A98FB4AC14}"/>
    <hyperlink ref="E2686" r:id="rId8305" display="https://twitter.com/ivankoznar/status/723381946869407744" xr:uid="{F010FC01-2743-42C6-B68A-C44AFCFB1C7F}"/>
    <hyperlink ref="O2686" r:id="rId8306" display="https://abs.twimg.com/sticky/default_profile_images/default_profile_0_normal.png" xr:uid="{58409D3B-5F4A-478C-A2AA-D02A06775C57}"/>
    <hyperlink ref="B2687" r:id="rId8307" display="https://twitter.com/RB_K_" xr:uid="{2590A05E-B3BF-4FE4-BC1E-36F3F8F776A4}"/>
    <hyperlink ref="E2687" r:id="rId8308" display="https://twitter.com/RB_K_/status/723382215267082240" xr:uid="{1CF1E27A-AAE7-4C20-9E7E-54DF1CED1A90}"/>
    <hyperlink ref="O2687" r:id="rId8309" display="https://pbs.twimg.com/profile_images/723167962220220416/9s3JitJp_normal.jpg" xr:uid="{4B3106A1-A152-4789-ADEF-7D2C24EE3555}"/>
    <hyperlink ref="B2688" r:id="rId8310" display="https://twitter.com/avtogid_kg" xr:uid="{49D69A42-F372-4309-BF8C-DE00EB5018A7}"/>
    <hyperlink ref="E2688" r:id="rId8311" display="https://twitter.com/avtogid_kg/status/723382578816815104" xr:uid="{7023B303-B0F6-40F8-98BC-452AE2596D34}"/>
    <hyperlink ref="O2688" r:id="rId8312" display="https://pbs.twimg.com/profile_images/700238784550604800/AtzvoUk1_normal.png" xr:uid="{BFB31566-45D9-4968-99EA-BB65E180ABBD}"/>
    <hyperlink ref="B2689" r:id="rId8313" display="https://twitter.com/verkehrsclub" xr:uid="{B2F7D485-871B-48D0-AB4E-A0671D5772E4}"/>
    <hyperlink ref="E2689" r:id="rId8314" display="https://twitter.com/verkehrsclub/status/723382987446882306" xr:uid="{2901E877-81AE-43E8-AE1E-77B782777FC9}"/>
    <hyperlink ref="O2689" r:id="rId8315" display="https://pbs.twimg.com/profile_images/540137094400573440/CPKo_7Bf_normal.png" xr:uid="{B10E2983-0E5F-4BA9-A8D1-04D423358D88}"/>
    <hyperlink ref="B2690" r:id="rId8316" display="https://twitter.com/CYDBLS" xr:uid="{9E975FBE-01B3-4171-A2CE-A04E28DFD0EC}"/>
    <hyperlink ref="E2690" r:id="rId8317" display="https://twitter.com/CYDBLS/status/723383046775300097" xr:uid="{84238455-84A1-4725-B07B-0AE281B18DD3}"/>
    <hyperlink ref="O2690" r:id="rId8318" display="https://pbs.twimg.com/profile_images/710612811127238657/FCUJolCM_normal.jpg" xr:uid="{7A0BEB1D-155F-4D6D-8A60-B22C57BADE01}"/>
    <hyperlink ref="B2691" r:id="rId8319" display="https://twitter.com/VWCamperSales" xr:uid="{763F3F28-9AE4-4BDC-B7BB-EDA91FD5A85A}"/>
    <hyperlink ref="E2691" r:id="rId8320" display="https://twitter.com/VWCamperSales/status/723383107663986688" xr:uid="{3ACDA625-86E1-48BB-9E71-E3C5CC516216}"/>
    <hyperlink ref="F2691" r:id="rId8321" xr:uid="{2752F6F6-9F7B-4795-8248-ADB72E140BBE}"/>
    <hyperlink ref="O2691" r:id="rId8322" display="https://pbs.twimg.com/profile_images/627949001179037696/skEBkS05_normal.jpg" xr:uid="{F1FB640C-41D0-4FD9-B470-42067648AC26}"/>
    <hyperlink ref="B2692" r:id="rId8323" display="https://twitter.com/Oedlaender" xr:uid="{0B537615-EC95-4A18-B61F-CDD4AE37E798}"/>
    <hyperlink ref="E2692" r:id="rId8324" display="https://twitter.com/Oedlaender/status/723383198227394560" xr:uid="{5943B12E-F6C9-4BEE-9CB6-638459CDDCC2}"/>
    <hyperlink ref="O2692" r:id="rId8325" display="https://pbs.twimg.com/profile_images/2405638481/IMG00116-20120313-1506_normal.jpg" xr:uid="{D4B2D91D-140D-449F-9C41-C33A90F74890}"/>
    <hyperlink ref="B2693" r:id="rId8326" display="https://twitter.com/ivankoznar" xr:uid="{10A2CE6E-9BA5-4659-A1A3-E43AA822FF6B}"/>
    <hyperlink ref="E2693" r:id="rId8327" display="https://twitter.com/ivankoznar/status/723383204565000192" xr:uid="{37621F29-72D1-43D2-8BCE-3431316CC0F7}"/>
    <hyperlink ref="O2693" r:id="rId8328" display="https://abs.twimg.com/sticky/default_profile_images/default_profile_0_normal.png" xr:uid="{007C4044-2180-4B71-A2C6-9B51B9CE6DDE}"/>
    <hyperlink ref="B2694" r:id="rId8329" display="https://twitter.com/Geschnattere" xr:uid="{614D4FB4-4A3C-41E1-BC00-1E8EFEB85ED1}"/>
    <hyperlink ref="E2694" r:id="rId8330" display="https://twitter.com/Geschnattere/status/723383411352588288" xr:uid="{32D1879B-A2AA-4DE9-89F0-9660D1AAB582}"/>
    <hyperlink ref="O2694" r:id="rId8331" display="https://pbs.twimg.com/profile_images/690957065490161664/Nat2upS4_normal.jpg" xr:uid="{62A15058-2274-4CA4-8F53-6865E215FB7C}"/>
    <hyperlink ref="B2695" r:id="rId8332" display="https://twitter.com/idriveexotic" xr:uid="{A3A8C598-5CB7-4113-8D14-8CC43C1F56A6}"/>
    <hyperlink ref="E2695" r:id="rId8333" display="https://twitter.com/idriveexotic/status/723383464624431108" xr:uid="{6DB04B56-914C-445C-9870-0BA0B9B1BDC2}"/>
    <hyperlink ref="O2695" r:id="rId8334" display="https://pbs.twimg.com/profile_images/3704737815/c83da87d5dbea893be21848f6ac584e0_normal.jpeg" xr:uid="{CD5C7BFC-D228-4CA2-B1AD-F6190F03720B}"/>
    <hyperlink ref="B2696" r:id="rId8335" display="https://twitter.com/Ryan911T" xr:uid="{5BBA2767-9C79-47E2-9868-E5E6D6C73B72}"/>
    <hyperlink ref="E2696" r:id="rId8336" display="https://twitter.com/Ryan911T/status/723383465949843457" xr:uid="{3147563F-33FF-44C5-A074-13CFD72720E6}"/>
    <hyperlink ref="O2696" r:id="rId8337" display="https://pbs.twimg.com/profile_images/684099411543101440/V_Lw58zf_normal.jpg" xr:uid="{46AC2CA2-744D-404F-8880-9DC40A36CF88}"/>
    <hyperlink ref="B2697" r:id="rId8338" display="https://twitter.com/motoexposure" xr:uid="{1AF4AB25-0F16-4B15-91DB-5EFEFCF38089}"/>
    <hyperlink ref="E2697" r:id="rId8339" display="https://twitter.com/motoexposure/status/723383468256710660" xr:uid="{A94E496F-D87D-40B6-AD00-DFBE09AC3881}"/>
    <hyperlink ref="O2697" r:id="rId8340" display="https://pbs.twimg.com/profile_images/506526749669093376/KljjxBrL_normal.jpeg" xr:uid="{D35F69AD-31D3-4A2D-A9D7-6A951CEBA676}"/>
    <hyperlink ref="B2698" r:id="rId8341" display="https://twitter.com/danjohns88" xr:uid="{36A32BA9-774B-4DB4-874F-B4AC8D85A874}"/>
    <hyperlink ref="E2698" r:id="rId8342" display="https://twitter.com/danjohns88/status/723383795374657536" xr:uid="{803C8F64-4BE3-4397-9709-2C6B590C3768}"/>
    <hyperlink ref="O2698" r:id="rId8343" display="https://pbs.twimg.com/profile_images/531408522861629440/CNsN3m8s_normal.jpeg" xr:uid="{C31DB009-B168-4097-8277-0D92B197A668}"/>
    <hyperlink ref="B2699" r:id="rId8344" display="https://twitter.com/habo11" xr:uid="{501DC71F-513B-4280-8AB5-B02A702D76F6}"/>
    <hyperlink ref="E2699" r:id="rId8345" display="https://twitter.com/habo11/status/723383822604111872" xr:uid="{856988C4-7AEF-49D0-A01B-08E044CB6323}"/>
    <hyperlink ref="O2699" r:id="rId8346" display="https://pbs.twimg.com/profile_images/420917107438915584/gJTup5FM_normal.jpeg" xr:uid="{AEC638E3-CA25-4CA6-AC02-31399E949AC4}"/>
    <hyperlink ref="B2700" r:id="rId8347" display="https://twitter.com/beetlebug1938" xr:uid="{4A7D918D-0FED-4BE9-A962-A1EF641B6F9B}"/>
    <hyperlink ref="E2700" r:id="rId8348" display="https://twitter.com/beetlebug1938/status/723384310456152065" xr:uid="{F694EEB8-42B6-4D38-BCE8-87EF532D91CF}"/>
    <hyperlink ref="O2700" r:id="rId8349" display="https://pbs.twimg.com/profile_images/718820712757215233/LXXndPTS_normal.jpg" xr:uid="{33C585DE-5DAD-40A4-8A58-06922A4E4F9F}"/>
    <hyperlink ref="B2701" r:id="rId8350" display="https://twitter.com/beetlebug1938" xr:uid="{9D22C612-757B-4F61-84A9-3F9FBE2B02F6}"/>
    <hyperlink ref="E2701" r:id="rId8351" display="https://twitter.com/beetlebug1938/status/723384328814661638" xr:uid="{9A6BB4D0-66C3-4208-B936-6DEDFE93953B}"/>
    <hyperlink ref="O2701" r:id="rId8352" display="https://pbs.twimg.com/profile_images/718820712757215233/LXXndPTS_normal.jpg" xr:uid="{70F887F9-5067-4C24-B135-6F94C7C594A0}"/>
    <hyperlink ref="B2702" r:id="rId8353" display="https://twitter.com/beetlebug1938" xr:uid="{0D686E6D-6C6A-4ED1-A930-27B55A06D854}"/>
    <hyperlink ref="E2702" r:id="rId8354" display="https://twitter.com/beetlebug1938/status/723384345122103298" xr:uid="{3C6E2AC0-7ABF-4F3D-AA2B-CBBE13200227}"/>
    <hyperlink ref="O2702" r:id="rId8355" display="https://pbs.twimg.com/profile_images/718820712757215233/LXXndPTS_normal.jpg" xr:uid="{D4B8A363-F72B-4FDA-B2AB-ABFCFD022230}"/>
    <hyperlink ref="B2703" r:id="rId8356" display="https://twitter.com/beetlebug1938" xr:uid="{067D3F18-DD45-431F-948E-8FB26D63F748}"/>
    <hyperlink ref="E2703" r:id="rId8357" display="https://twitter.com/beetlebug1938/status/723384380429733888" xr:uid="{5B736C04-C046-49FD-9F23-CDD0D7071C30}"/>
    <hyperlink ref="O2703" r:id="rId8358" display="https://pbs.twimg.com/profile_images/718820712757215233/LXXndPTS_normal.jpg" xr:uid="{42CD1B74-815A-4624-A66C-8DB993B2BE25}"/>
    <hyperlink ref="B2704" r:id="rId8359" display="https://twitter.com/berlinwerbung" xr:uid="{E831419A-4933-4970-BB28-68257A342D38}"/>
    <hyperlink ref="E2704" r:id="rId8360" display="https://twitter.com/berlinwerbung/status/723384394031878144" xr:uid="{D102B215-9875-4274-96EA-9AB3924826B8}"/>
    <hyperlink ref="O2704" r:id="rId8361" display="https://pbs.twimg.com/profile_images/707425852322091011/s0V50WcC_normal.jpg" xr:uid="{E0BF8831-D6D8-4980-ADD8-DB1F18272042}"/>
    <hyperlink ref="B2705" r:id="rId8362" display="https://twitter.com/Boersenhaendler" xr:uid="{0C5F1172-971F-42DA-8796-92B8AA8B1E14}"/>
    <hyperlink ref="E2705" r:id="rId8363" display="https://twitter.com/Boersenhaendler/status/723384851533950977" xr:uid="{23C1458B-3AF2-4A2B-8998-B631DAC560FC}"/>
    <hyperlink ref="O2705" r:id="rId8364" display="https://pbs.twimg.com/profile_images/618052074027282432/DvAPKWTK_normal.jpg" xr:uid="{AD99A258-3861-4EC6-BD5B-624DE55A2BF7}"/>
    <hyperlink ref="B2706" r:id="rId8365" display="https://twitter.com/Stahlhammer" xr:uid="{B66B38E1-384E-4955-AD2D-D323638FDEBC}"/>
    <hyperlink ref="E2706" r:id="rId8366" display="https://twitter.com/Stahlhammer/status/723384931783581698" xr:uid="{3C18E9B4-FC5E-457E-824A-91D4D93F0E82}"/>
    <hyperlink ref="O2706" r:id="rId8367" display="https://pbs.twimg.com/profile_images/603480066887127041/ZqzOY80Q_normal.jpg" xr:uid="{440E3D26-9614-4403-A4E8-F7357438768B}"/>
    <hyperlink ref="B2707" r:id="rId8368" display="https://twitter.com/VWsightings" xr:uid="{D45F230E-97AB-40AF-B638-D7C00330A49B}"/>
    <hyperlink ref="E2707" r:id="rId8369" display="https://twitter.com/VWsightings/status/723385208175648770" xr:uid="{DD827EC5-94CD-4800-81BE-0149279FA355}"/>
    <hyperlink ref="O2707" r:id="rId8370" display="https://pbs.twimg.com/profile_images/378800000854855954/0d555726054b01e3c9d6b5241432dc4a_normal.jpeg" xr:uid="{4E221F91-7C6B-40A6-A1F8-D8974985A740}"/>
    <hyperlink ref="B2708" r:id="rId8371" display="https://twitter.com/StaffsVW" xr:uid="{AF133868-B28A-4CBC-A0AA-A7F3632471F5}"/>
    <hyperlink ref="E2708" r:id="rId8372" display="https://twitter.com/StaffsVW/status/723385313423302656" xr:uid="{948AA463-4F12-417A-8162-B77CBD92708B}"/>
    <hyperlink ref="O2708" r:id="rId8373" display="https://pbs.twimg.com/profile_images/689180646653202432/IDgTGC30_normal.jpg" xr:uid="{4290E6B1-18D1-4BA9-A4FD-D436B97D5465}"/>
    <hyperlink ref="B2709" r:id="rId8374" display="https://twitter.com/VWsightings" xr:uid="{2288FB0B-1BB5-44C6-AA18-8BF1B849DFFF}"/>
    <hyperlink ref="E2709" r:id="rId8375" display="https://twitter.com/VWsightings/status/723385485880487936" xr:uid="{76BA5DDF-1482-4DA9-960B-A2E854D8AF73}"/>
    <hyperlink ref="O2709" r:id="rId8376" display="https://pbs.twimg.com/profile_images/378800000854855954/0d555726054b01e3c9d6b5241432dc4a_normal.jpeg" xr:uid="{1275FA8F-E8D3-4625-BAEB-12BDF5EA75E5}"/>
    <hyperlink ref="B2710" r:id="rId8377" display="https://twitter.com/VWsightings" xr:uid="{50208A85-5D7D-40DC-A878-D817F6BEE219}"/>
    <hyperlink ref="E2710" r:id="rId8378" display="https://twitter.com/VWsightings/status/723385683562254336" xr:uid="{A38A193F-86CE-473C-8FF7-5C4DFF9B7432}"/>
    <hyperlink ref="O2710" r:id="rId8379" display="https://pbs.twimg.com/profile_images/378800000854855954/0d555726054b01e3c9d6b5241432dc4a_normal.jpeg" xr:uid="{12293C30-6691-4BD3-9B14-F32E868C3020}"/>
    <hyperlink ref="B2711" r:id="rId8380" display="https://twitter.com/VWsightings" xr:uid="{84FD7CBB-19DD-464C-AA5A-5E4FD33FF7AC}"/>
    <hyperlink ref="E2711" r:id="rId8381" display="https://twitter.com/VWsightings/status/723385718676971520" xr:uid="{4DA17CBD-2A81-48FE-A3BC-D45938C0C2DB}"/>
    <hyperlink ref="O2711" r:id="rId8382" display="https://pbs.twimg.com/profile_images/378800000854855954/0d555726054b01e3c9d6b5241432dc4a_normal.jpeg" xr:uid="{D45D31FE-BDEA-40B9-A560-95445EB573CD}"/>
    <hyperlink ref="B2712" r:id="rId8383" display="https://twitter.com/Moneycab" xr:uid="{972692BF-9CC2-4A37-8893-FDF837F102FF}"/>
    <hyperlink ref="E2712" r:id="rId8384" display="https://twitter.com/Moneycab/status/723385733659009024" xr:uid="{96BF5300-8395-4A8B-A2B9-B3F5924F65AF}"/>
    <hyperlink ref="O2712" r:id="rId8385" display="https://pbs.twimg.com/profile_images/471359944961175552/OQR9czUo_normal.png" xr:uid="{B35C0F30-2F34-498A-9B5B-05AA2ED860EB}"/>
    <hyperlink ref="B2713" r:id="rId8386" display="https://twitter.com/VWsightings" xr:uid="{B538815A-1005-4650-9D06-A8B300504C48}"/>
    <hyperlink ref="E2713" r:id="rId8387" display="https://twitter.com/VWsightings/status/723385743003906048" xr:uid="{45D9A4F3-B39B-45DD-A5E3-48A6A80ACD18}"/>
    <hyperlink ref="O2713" r:id="rId8388" display="https://pbs.twimg.com/profile_images/378800000854855954/0d555726054b01e3c9d6b5241432dc4a_normal.jpeg" xr:uid="{0FA19C85-367E-4D1D-940B-2DDBDBC0954C}"/>
    <hyperlink ref="B2714" r:id="rId8389" display="https://twitter.com/compliancespain" xr:uid="{50A70705-3D77-4300-BE50-87837B46139C}"/>
    <hyperlink ref="E2714" r:id="rId8390" display="https://twitter.com/compliancespain/status/723385816026771458" xr:uid="{9408FCD2-7326-480F-89DC-2C11E2817080}"/>
    <hyperlink ref="O2714" r:id="rId8391" display="https://pbs.twimg.com/profile_images/710732581768175616/TbmxVh8S_normal.jpg" xr:uid="{3B56A76F-D91A-4882-8F9C-6DD442B94282}"/>
    <hyperlink ref="B2715" r:id="rId8392" display="https://twitter.com/JanRH86" xr:uid="{132F601C-B752-4D7B-A4F5-37A69D51DF88}"/>
    <hyperlink ref="E2715" r:id="rId8393" display="https://twitter.com/JanRH86/status/723386496107999232" xr:uid="{1FB29B2B-20CB-44EA-AD32-E3DABEEDCF87}"/>
    <hyperlink ref="O2715" r:id="rId8394" display="https://pbs.twimg.com/profile_images/3387431882/bc1a365cc44a6c605d8074e81a5df0d8_normal.jpeg" xr:uid="{A8B3C642-0DC6-4A4F-8B92-8EBF847CB6FE}"/>
    <hyperlink ref="B2716" r:id="rId8395" display="https://twitter.com/tooppermann" xr:uid="{667D0BFA-129B-4368-BE16-57C05F750BE1}"/>
    <hyperlink ref="E2716" r:id="rId8396" display="https://twitter.com/tooppermann/status/723386526474739712" xr:uid="{715155A3-5676-4FA8-A1DF-30EA2529FF94}"/>
    <hyperlink ref="O2716" r:id="rId8397" display="https://pbs.twimg.com/profile_images/569498266786877440/eYP0jdWw_normal.jpeg" xr:uid="{B39F24FB-F0AA-4C2B-830C-E933111CFA38}"/>
    <hyperlink ref="B2717" r:id="rId8398" display="https://twitter.com/doern" xr:uid="{32F7BDE2-76B6-4C3F-B554-D492E826244F}"/>
    <hyperlink ref="E2717" r:id="rId8399" display="https://twitter.com/doern/status/723386527535878144" xr:uid="{4C04D527-2CC3-465C-BB06-586A7DC43FEB}"/>
    <hyperlink ref="O2717" r:id="rId8400" display="https://pbs.twimg.com/profile_images/657853466384191488/J6vAnfZr_normal.jpg" xr:uid="{03448A35-D5A5-460C-BD56-BC93A9F03757}"/>
    <hyperlink ref="B2718" r:id="rId8401" display="https://twitter.com/MertensFranki" xr:uid="{876C760F-C7EC-4195-999E-7E83365CEE9C}"/>
    <hyperlink ref="E2718" r:id="rId8402" display="https://twitter.com/MertensFranki/status/723386541079318528" xr:uid="{F1AD8298-822C-47AB-AD1A-F2FEB4743146}"/>
    <hyperlink ref="O2718" r:id="rId8403" display="https://pbs.twimg.com/profile_images/687900318173114368/7j9ynoeV_normal.jpg" xr:uid="{70011A4B-8286-40FB-9C88-F321D43CEDBD}"/>
    <hyperlink ref="B2719" r:id="rId8404" display="https://twitter.com/following_jobs" xr:uid="{E6E189C3-7E35-4326-BEE6-44A931ED7235}"/>
    <hyperlink ref="E2719" r:id="rId8405" display="https://twitter.com/following_jobs/status/723386594305015808" xr:uid="{84BCB2F0-0DB2-43EA-8A1D-275FF8F69896}"/>
    <hyperlink ref="O2719" r:id="rId8406" display="https://pbs.twimg.com/profile_images/556834076418527235/Y36uC3QC_normal.png" xr:uid="{9AAF5381-82D6-45DA-9E99-11125F0A84CC}"/>
    <hyperlink ref="B2720" r:id="rId8407" display="https://twitter.com/VWsightings" xr:uid="{26C0BA61-F941-4AD9-944A-84DCD654F4BA}"/>
    <hyperlink ref="E2720" r:id="rId8408" display="https://twitter.com/VWsightings/status/723386651829882881" xr:uid="{F6E9110D-BEC9-4EBA-89EF-389BE69DC926}"/>
    <hyperlink ref="O2720" r:id="rId8409" display="https://pbs.twimg.com/profile_images/378800000854855954/0d555726054b01e3c9d6b5241432dc4a_normal.jpeg" xr:uid="{D2231D92-64D0-4497-B555-6A4C8D7EEFB5}"/>
    <hyperlink ref="B2721" r:id="rId8410" display="https://twitter.com/VWsightings" xr:uid="{A40B5A39-50F5-46ED-B9A1-DAC13CB3AFD3}"/>
    <hyperlink ref="E2721" r:id="rId8411" display="https://twitter.com/VWsightings/status/723386701238800388" xr:uid="{7C0173CD-8F47-4ACA-91F0-8AD243095189}"/>
    <hyperlink ref="O2721" r:id="rId8412" display="https://pbs.twimg.com/profile_images/378800000854855954/0d555726054b01e3c9d6b5241432dc4a_normal.jpeg" xr:uid="{392F8B55-E01E-4289-8D33-808D033E1FEA}"/>
    <hyperlink ref="B2722" r:id="rId8413" display="https://twitter.com/mvdweyer" xr:uid="{9272211A-F75B-49A6-A7D6-AD0C1A0FE2C7}"/>
    <hyperlink ref="E2722" r:id="rId8414" display="https://twitter.com/mvdweyer/status/723387099139837952" xr:uid="{27B991F7-0B5C-4D08-88F2-5FCFEEFE92F7}"/>
    <hyperlink ref="O2722" r:id="rId8415" display="https://pbs.twimg.com/profile_images/489747056584445953/3tvslEko_normal.jpeg" xr:uid="{1F6F69F9-375E-426A-A6F8-027ED4DB9CDC}"/>
    <hyperlink ref="B2723" r:id="rId8416" display="https://twitter.com/EditeursLEcho" xr:uid="{1D672077-640F-4EF4-912A-C276E6D6725F}"/>
    <hyperlink ref="E2723" r:id="rId8417" display="https://twitter.com/EditeursLEcho/status/723387132211916801" xr:uid="{4244A504-FDDA-424E-B674-E3643A49B5C8}"/>
    <hyperlink ref="O2723" r:id="rId8418" display="https://pbs.twimg.com/profile_images/669968150708924416/n-JyEd3M_normal.png" xr:uid="{D7CD37D0-E1A1-476D-A27B-CA39F836F252}"/>
    <hyperlink ref="B2724" r:id="rId8419" display="https://twitter.com/MerlinaAlmendra" xr:uid="{462EBE30-4B49-49A0-899D-45884C338B3D}"/>
    <hyperlink ref="E2724" r:id="rId8420" display="https://twitter.com/MerlinaAlmendra/status/723387422503886849" xr:uid="{CF9A25B5-4ACA-4299-BA61-E4413F6C9F48}"/>
    <hyperlink ref="O2724" r:id="rId8421" display="https://pbs.twimg.com/profile_images/716386262387527680/iXBQikmn_normal.jpg" xr:uid="{018C5262-53B9-4107-95FC-DF5980EB6806}"/>
    <hyperlink ref="B2725" r:id="rId8422" display="https://twitter.com/lecho" xr:uid="{2EFEA033-B2AD-4AEF-9D9F-BAD0CDBED8AF}"/>
    <hyperlink ref="E2725" r:id="rId8423" display="https://twitter.com/lecho/status/723387577932210177" xr:uid="{5252CE69-71C0-400A-A29C-92A656C6D3BC}"/>
    <hyperlink ref="O2725" r:id="rId8424" display="https://pbs.twimg.com/profile_images/720231879601991680/PQLrJZsH_normal.jpg" xr:uid="{3B0E83A0-0407-43E2-97E5-D865314DEC31}"/>
    <hyperlink ref="B2726" r:id="rId8425" display="https://twitter.com/ErwLo" xr:uid="{7C4CD699-4781-49C1-8514-1750E85ECCEE}"/>
    <hyperlink ref="E2726" r:id="rId8426" display="https://twitter.com/ErwLo/status/723387706064039936" xr:uid="{39848F6E-7E9C-4118-967F-69A8F0DF6F0F}"/>
    <hyperlink ref="O2726" r:id="rId8427" display="https://pbs.twimg.com/profile_images/715638255304196096/F61efM8c_normal.jpg" xr:uid="{635C2D79-8BA7-4594-88B9-DE6FC2D15ED3}"/>
    <hyperlink ref="B2727" r:id="rId8428" display="https://twitter.com/VWsightings" xr:uid="{C9C0B0D3-E7D0-4F4B-AD28-C3F758B3F000}"/>
    <hyperlink ref="E2727" r:id="rId8429" display="https://twitter.com/VWsightings/status/723387739958173696" xr:uid="{4EBCCEC2-D31A-4356-BB3E-6B11FA4D0FDF}"/>
    <hyperlink ref="O2727" r:id="rId8430" display="https://pbs.twimg.com/profile_images/378800000854855954/0d555726054b01e3c9d6b5241432dc4a_normal.jpeg" xr:uid="{EF4EF8E6-336C-4BAA-958B-6120084A5BF9}"/>
    <hyperlink ref="B2728" r:id="rId8431" display="https://twitter.com/E_Benji" xr:uid="{D81963D0-882B-48B6-A1A4-3217E016A421}"/>
    <hyperlink ref="E2728" r:id="rId8432" display="https://twitter.com/E_Benji/status/723388200262062080" xr:uid="{C7465E90-6DC7-4405-8A75-2D0979390312}"/>
    <hyperlink ref="O2728" r:id="rId8433" display="https://pbs.twimg.com/profile_images/2601940355/ftghy3nkuglnslpdg4s5_normal.jpeg" xr:uid="{B022FC5F-4382-4E74-BEF4-9005F8C41A21}"/>
    <hyperlink ref="B2729" r:id="rId8434" display="https://twitter.com/CoopsNeil" xr:uid="{1AEB2543-FD43-4077-878E-BA71B7CBCF20}"/>
    <hyperlink ref="E2729" r:id="rId8435" display="https://twitter.com/CoopsNeil/status/723388365823844352" xr:uid="{CB7348DC-3C3E-4584-A631-9AECCA2D9F24}"/>
    <hyperlink ref="O2729" r:id="rId8436" display="https://pbs.twimg.com/profile_images/621959268766470144/_NDaByff_normal.jpg" xr:uid="{274F6152-E6E8-4110-A325-A0217FB01228}"/>
    <hyperlink ref="B2730" r:id="rId8437" display="https://twitter.com/MerlinaAlmendra" xr:uid="{CD55C582-D216-40A2-9547-39FDC75E91C0}"/>
    <hyperlink ref="E2730" r:id="rId8438" display="https://twitter.com/MerlinaAlmendra/status/723388430453886976" xr:uid="{12341349-BCE5-4ED4-BD1D-00E65C7C0EB2}"/>
    <hyperlink ref="O2730" r:id="rId8439" display="https://pbs.twimg.com/profile_images/716386262387527680/iXBQikmn_normal.jpg" xr:uid="{7D68C6A5-CDE8-4A74-A9B0-3FA0ECCF6C56}"/>
    <hyperlink ref="P2730" r:id="rId8440" location="51.04607744,-114.06891491" display="http://ctrlq.org/maps/address/ - 51.04607744,-114.06891491" xr:uid="{58094C8A-7B64-425F-97D4-20D3615E981B}"/>
    <hyperlink ref="B2731" r:id="rId8441" display="https://twitter.com/doern" xr:uid="{42BBDC9E-1290-494D-9FDA-FA09F41AAE82}"/>
    <hyperlink ref="E2731" r:id="rId8442" display="https://twitter.com/doern/status/723388509604597760" xr:uid="{AD6730EC-1264-4E87-8AD0-8604A6DDAE9D}"/>
    <hyperlink ref="O2731" r:id="rId8443" display="https://pbs.twimg.com/profile_images/657853466384191488/J6vAnfZr_normal.jpg" xr:uid="{9D77F0D8-CA7C-47B5-AF85-F4F9B5A62EB7}"/>
    <hyperlink ref="B2732" r:id="rId8444" display="https://twitter.com/chpmt" xr:uid="{D4D651E5-A79D-4E37-85DF-DF8F81D59F74}"/>
    <hyperlink ref="E2732" r:id="rId8445" display="https://twitter.com/chpmt/status/723388567100088320" xr:uid="{3870058E-4411-493A-9FA7-DCDEFD11A87D}"/>
    <hyperlink ref="O2732" r:id="rId8446" display="https://pbs.twimg.com/profile_images/468143992463695872/lMlyvasw_normal.jpeg" xr:uid="{6D1FE3DE-A559-4D0A-8EEB-3F937500B34D}"/>
    <hyperlink ref="B2733" r:id="rId8447" display="https://twitter.com/vintagevwdita" xr:uid="{2D93DB25-DE51-4956-AF96-EDABE990A730}"/>
    <hyperlink ref="E2733" r:id="rId8448" display="https://twitter.com/vintagevwdita/status/723388880364302336" xr:uid="{920708BA-B989-4DDA-B64E-9119D132A6B4}"/>
    <hyperlink ref="O2733" r:id="rId8449" display="https://pbs.twimg.com/profile_images/687419637429080064/YhD1MggI_normal.jpg" xr:uid="{59660DA5-189F-4D3E-B8CF-893287D83561}"/>
    <hyperlink ref="B2734" r:id="rId8450" display="https://twitter.com/handelsblatt" xr:uid="{D3AED538-D71F-490D-86DF-D84F26E1B53F}"/>
    <hyperlink ref="E2734" r:id="rId8451" display="https://twitter.com/handelsblatt/status/723388987746848769" xr:uid="{B1BFD0E8-88A2-4990-A9B1-7613A78D0A21}"/>
    <hyperlink ref="O2734" r:id="rId8452" display="https://pbs.twimg.com/profile_images/562563461171798017/AkHF4keI_normal.png" xr:uid="{45A44BA8-D0C0-4E84-B59D-C2E9E8877687}"/>
    <hyperlink ref="B2735" r:id="rId8453" display="https://twitter.com/Klickvieh" xr:uid="{DC7748CC-FE10-4D69-AB2C-721D558CE11C}"/>
    <hyperlink ref="E2735" r:id="rId8454" display="https://twitter.com/Klickvieh/status/723389027353645056" xr:uid="{852C4214-6D31-405F-8B74-D75044C26103}"/>
    <hyperlink ref="O2735" r:id="rId8455" display="https://pbs.twimg.com/profile_images/662585803168591872/XeVEK9Mh_normal.jpg" xr:uid="{413B86BA-5AFF-4CDE-B82E-0DB35B1134AD}"/>
    <hyperlink ref="B2736" r:id="rId8456" display="https://twitter.com/brosefstalin53" xr:uid="{9BD7FF47-92AF-46E5-B5A0-FFAAA55330D8}"/>
    <hyperlink ref="E2736" r:id="rId8457" display="https://twitter.com/brosefstalin53/status/723389369524977665" xr:uid="{53498DA7-C20C-4673-AB8A-FFC2EE621746}"/>
    <hyperlink ref="O2736" r:id="rId8458" display="https://pbs.twimg.com/profile_images/714459923313213440/hqlB0K0j_normal.jpg" xr:uid="{8FF26565-C625-4A15-B569-8F7871653312}"/>
    <hyperlink ref="B2737" r:id="rId8459" display="https://twitter.com/franz_rother" xr:uid="{11019B70-B0F6-4246-B282-BC9549EE1C85}"/>
    <hyperlink ref="E2737" r:id="rId8460" display="https://twitter.com/franz_rother/status/723389528417792001" xr:uid="{82C8D4A2-93C1-4EE8-9AAF-977ED6AB5BF4}"/>
    <hyperlink ref="O2737" r:id="rId8461" display="https://pbs.twimg.com/profile_images/3228351590/aadb36f2b020cc27adac139aac4a5663_normal.jpeg" xr:uid="{7D882B9D-DEF5-4174-8C80-35F556B1D4FA}"/>
    <hyperlink ref="B2738" r:id="rId8462" display="https://twitter.com/NZZ" xr:uid="{0CB817F3-E2ED-4555-9BA5-65E74EFB228E}"/>
    <hyperlink ref="E2738" r:id="rId8463" display="https://twitter.com/NZZ/status/723389612018692096" xr:uid="{02D0BFDE-79C3-413E-A7DA-0C62C41B9E28}"/>
    <hyperlink ref="O2738" r:id="rId8464" display="https://pbs.twimg.com/profile_images/723414537479720960/4Szs1UCn_normal.jpg" xr:uid="{5E363F3E-7AED-4C38-9A13-155A7E4FC85A}"/>
    <hyperlink ref="B2739" r:id="rId8465" display="https://twitter.com/ChrisBrey1" xr:uid="{F956F07E-7857-41D4-94AB-DC41D6FFC451}"/>
    <hyperlink ref="E2739" r:id="rId8466" display="https://twitter.com/ChrisBrey1/status/723389777488142336" xr:uid="{E25F91EB-9437-4414-AC3F-981657FFB6C5}"/>
    <hyperlink ref="O2739" r:id="rId8467" display="https://pbs.twimg.com/profile_images/647856990404919296/EXKP0FKA_normal.jpg" xr:uid="{802E3876-B813-4FCF-A0F4-0FE5A1404396}"/>
    <hyperlink ref="B2740" r:id="rId8468" display="https://twitter.com/tmoffattndp" xr:uid="{A91ADDAF-07D0-4A45-BB37-F26CA5207FB9}"/>
    <hyperlink ref="E2740" r:id="rId8469" display="https://twitter.com/tmoffattndp/status/723390044224942081" xr:uid="{4303E66D-DF5D-402E-95D0-FA54422C2D95}"/>
    <hyperlink ref="O2740" r:id="rId8470" display="https://pbs.twimg.com/profile_images/698762778341826560/ZAxIAijd_normal.png" xr:uid="{AF1FE38A-3D07-4A7F-8859-C5B17943DD95}"/>
    <hyperlink ref="B2741" r:id="rId8471" display="https://twitter.com/2112greg" xr:uid="{037640FE-4763-42E4-8E04-99F1F6DE5CAB}"/>
    <hyperlink ref="E2741" r:id="rId8472" display="https://twitter.com/2112greg/status/723390465492455424" xr:uid="{B184B72E-B3B2-4DC3-ABB4-82DADAA23F88}"/>
    <hyperlink ref="O2741" r:id="rId8473" display="https://pbs.twimg.com/profile_images/503024530361962496/n-EQlw93_normal.jpeg" xr:uid="{457EC8E1-8396-4596-A7D1-41B238D0B5A7}"/>
    <hyperlink ref="B2742" r:id="rId8474" display="https://twitter.com/RodionMarx" xr:uid="{32F1C4EF-BE81-4101-83E2-837D50EEECDA}"/>
    <hyperlink ref="E2742" r:id="rId8475" display="https://twitter.com/RodionMarx/status/723390613194833920" xr:uid="{FD1E98A8-C5F1-453B-9662-83BC85C6BD40}"/>
    <hyperlink ref="O2742" r:id="rId8476" display="https://pbs.twimg.com/profile_images/1231132206/27384_1725624887_167_q_normal.jpg" xr:uid="{57D98276-6DA3-4526-8C3F-45695D9B7A41}"/>
    <hyperlink ref="P2742" r:id="rId8477" location="52.4231,10.7872" display="http://ctrlq.org/maps/address/ - 52.4231,10.7872" xr:uid="{76021EEA-8E10-4F18-8F46-9424A917AE2C}"/>
    <hyperlink ref="B2743" r:id="rId8478" display="https://twitter.com/RodionMarx" xr:uid="{5CB2F2B6-4C85-4CEE-AB2E-47AE6759C125}"/>
    <hyperlink ref="E2743" r:id="rId8479" display="https://twitter.com/RodionMarx/status/723390729624510464" xr:uid="{EA305FA2-621E-40E2-AA35-55297257FB98}"/>
    <hyperlink ref="O2743" r:id="rId8480" display="https://pbs.twimg.com/profile_images/1231132206/27384_1725624887_167_q_normal.jpg" xr:uid="{43E59BAC-5DB3-407A-A49F-3910D16F890E}"/>
    <hyperlink ref="B2744" r:id="rId8481" display="https://twitter.com/RSTOKAR" xr:uid="{220808D6-DCBA-4A7F-B994-2F3B52D4781B}"/>
    <hyperlink ref="E2744" r:id="rId8482" display="https://twitter.com/RSTOKAR/status/723390770821001216" xr:uid="{B3935EC5-4B4B-4C19-8B64-45E8A431E68E}"/>
    <hyperlink ref="O2744" r:id="rId8483" display="https://pbs.twimg.com/profile_images/3282181310/09912193e3b2ecc229b9028eb0f19def_normal.jpeg" xr:uid="{C7FCFAA6-8583-46BD-9CAD-D0A2E9E3F7C6}"/>
    <hyperlink ref="B2745" r:id="rId8484" display="https://twitter.com/wolf_Sti" xr:uid="{7AB6A4BE-752C-422D-A309-D453E7147EFF}"/>
    <hyperlink ref="E2745" r:id="rId8485" display="https://twitter.com/wolf_Sti/status/723390771861164033" xr:uid="{053372F7-4E26-4844-BF9A-45A77F94BA7B}"/>
    <hyperlink ref="O2745" r:id="rId8486" display="https://pbs.twimg.com/profile_images/476965678428467200/kpN-jvkF_normal.jpeg" xr:uid="{60C86526-A9A4-41AB-97B7-2C2A2C1CAD07}"/>
    <hyperlink ref="B2746" r:id="rId8487" display="https://twitter.com/GutesAltern" xr:uid="{D1D11492-853C-47B0-A564-852EF2DDFD2D}"/>
    <hyperlink ref="E2746" r:id="rId8488" display="https://twitter.com/GutesAltern/status/723390833173532673" xr:uid="{94150BAA-ECBC-4DB1-A731-CB12890E6856}"/>
    <hyperlink ref="O2746" r:id="rId8489" display="https://pbs.twimg.com/profile_images/685910752184676352/VduIvbN-_normal.jpg" xr:uid="{816FA7F8-5872-4E46-B413-F320DA34F94C}"/>
    <hyperlink ref="B2747" r:id="rId8490" display="https://twitter.com/fabianrothco" xr:uid="{3F1D71A8-0C36-4071-A6C0-100BD2F5BD94}"/>
    <hyperlink ref="E2747" r:id="rId8491" display="https://twitter.com/fabianrothco/status/723390896805277698" xr:uid="{5C41AFC5-DFF5-41F1-BE56-93D4065EB4ED}"/>
    <hyperlink ref="O2747" r:id="rId8492" display="https://pbs.twimg.com/profile_images/702441217288773632/UBnte16d_normal.jpg" xr:uid="{920DE041-D233-41C8-9D01-918D216DEFE7}"/>
    <hyperlink ref="B2748" r:id="rId8493" display="https://twitter.com/chmeell" xr:uid="{984178B5-358A-4509-B852-17810C029912}"/>
    <hyperlink ref="E2748" r:id="rId8494" display="https://twitter.com/chmeell/status/723390979869302785" xr:uid="{9BEDE557-8F5B-4095-9942-2F37C6BC4E11}"/>
    <hyperlink ref="O2748" r:id="rId8495" display="https://pbs.twimg.com/profile_images/696457503098404864/QH0ZaraQ_normal.jpg" xr:uid="{0DBA8B3A-BDF7-4BC5-A603-94345B3945B2}"/>
    <hyperlink ref="B2749" r:id="rId8496" display="https://twitter.com/vwdepo" xr:uid="{66C4F7E8-66C0-4417-B116-CE0F46439C34}"/>
    <hyperlink ref="E2749" r:id="rId8497" display="https://twitter.com/vwdepo/status/723390984990560257" xr:uid="{86FC2357-E4ED-4CA8-8CC5-84A94F2C5F98}"/>
    <hyperlink ref="O2749" r:id="rId8498" display="https://pbs.twimg.com/profile_images/3378184537/c20ae9a7a410821b4f189c34a63380f7_normal.png" xr:uid="{3E3FDDFD-B1D9-4696-8A0C-5AEC3A7E9949}"/>
    <hyperlink ref="B2750" r:id="rId8499" display="https://twitter.com/moinmoinsager" xr:uid="{A864F4FA-2915-4854-A0E6-ED07EEBB43A0}"/>
    <hyperlink ref="E2750" r:id="rId8500" display="https://twitter.com/moinmoinsager/status/723391031568277505" xr:uid="{DDC83492-0AFE-4BB8-A9F2-A3828555F41B}"/>
    <hyperlink ref="O2750" r:id="rId8501" display="https://pbs.twimg.com/profile_images/717944874469863425/i7wKlrn-_normal.jpg" xr:uid="{4661DA89-4D9D-42FF-82E1-A4C93EC35190}"/>
    <hyperlink ref="B2751" r:id="rId8502" display="https://twitter.com/AshleyBest" xr:uid="{F59D60BD-B978-4112-BF7B-9630104939AA}"/>
    <hyperlink ref="E2751" r:id="rId8503" display="https://twitter.com/AshleyBest/status/723391228071440384" xr:uid="{95638912-186D-41C4-8924-036D8DFA20B3}"/>
    <hyperlink ref="O2751" r:id="rId8504" display="https://pbs.twimg.com/profile_images/484785478751645697/vNfNMa-n_normal.jpeg" xr:uid="{43866CFD-6320-4644-AC2C-F236A926B4FE}"/>
    <hyperlink ref="B2752" r:id="rId8505" display="https://twitter.com/RSTOKAR" xr:uid="{D0F69794-C7CA-45B5-8544-52C39855933D}"/>
    <hyperlink ref="E2752" r:id="rId8506" display="https://twitter.com/RSTOKAR/status/723391587737202688" xr:uid="{8FB4CDBD-DD5E-492B-B181-05A716699629}"/>
    <hyperlink ref="O2752" r:id="rId8507" display="https://pbs.twimg.com/profile_images/3282181310/09912193e3b2ecc229b9028eb0f19def_normal.jpeg" xr:uid="{2BB2B879-6113-483A-841C-391A910EC31C}"/>
    <hyperlink ref="B2753" r:id="rId8508" display="https://twitter.com/2112greg" xr:uid="{311F127E-51F2-4B50-AB23-8A6E39027863}"/>
    <hyperlink ref="E2753" r:id="rId8509" display="https://twitter.com/2112greg/status/723392310189248513" xr:uid="{F8F5E233-B037-44A7-919C-62A04F2E50CD}"/>
    <hyperlink ref="O2753" r:id="rId8510" display="https://pbs.twimg.com/profile_images/503024530361962496/n-EQlw93_normal.jpeg" xr:uid="{11160152-D7A0-4538-B0EA-7F46376AA2A2}"/>
    <hyperlink ref="B2754" r:id="rId8511" display="https://twitter.com/Maikfer001" xr:uid="{70CD3B1C-EADA-476F-92BB-1BBDD4CABF87}"/>
    <hyperlink ref="E2754" r:id="rId8512" display="https://twitter.com/Maikfer001/status/723392388736016385" xr:uid="{D7345B64-294C-4627-812A-257CE694E1D8}"/>
    <hyperlink ref="O2754" r:id="rId8513" display="https://abs.twimg.com/sticky/default_profile_images/default_profile_6_normal.png" xr:uid="{00F719C8-958E-4503-9CEC-38F20AB29265}"/>
    <hyperlink ref="B2755" r:id="rId8514" display="https://twitter.com/VWCamperSales" xr:uid="{31764705-CEC8-43FA-9AD0-16F539293595}"/>
    <hyperlink ref="E2755" r:id="rId8515" display="https://twitter.com/VWCamperSales/status/723392529010331648" xr:uid="{EEA48F8F-8316-456F-A390-26E791D01780}"/>
    <hyperlink ref="F2755" r:id="rId8516" xr:uid="{D188815D-5FCF-4EE2-8083-77620DD2D966}"/>
    <hyperlink ref="O2755" r:id="rId8517" display="https://pbs.twimg.com/profile_images/627949001179037696/skEBkS05_normal.jpg" xr:uid="{0F4755F7-1DDF-41A9-937B-BB06FF93F7B6}"/>
    <hyperlink ref="B2756" r:id="rId8518" display="https://twitter.com/boerseARD" xr:uid="{66AEA8E5-A6BB-4398-A834-5167CBC6245D}"/>
    <hyperlink ref="E2756" r:id="rId8519" display="https://twitter.com/boerseARD/status/723392680869294081" xr:uid="{2815AA09-0B56-4666-B874-221C88DA3D52}"/>
    <hyperlink ref="O2756" r:id="rId8520" display="https://pbs.twimg.com/profile_images/666163579700277248/vIv69HhR_normal.jpg" xr:uid="{32A8D605-A411-496E-B312-8680466599B3}"/>
    <hyperlink ref="B2757" r:id="rId8521" display="https://twitter.com/railscanner" xr:uid="{756257CC-E6CA-40A7-BD01-F5779A2A2E43}"/>
    <hyperlink ref="E2757" r:id="rId8522" display="https://twitter.com/railscanner/status/723393065499525122" xr:uid="{A8C5C13F-5E84-4114-8350-56EFC39B97B5}"/>
    <hyperlink ref="O2757" r:id="rId8523" display="https://pbs.twimg.com/profile_images/419834366810783746/GP0PUHsm_normal.jpeg" xr:uid="{5AD53617-39FD-4834-962E-510DC57A261E}"/>
    <hyperlink ref="B2758" r:id="rId8524" display="https://twitter.com/xjanpet" xr:uid="{6BEE283A-BE71-4F21-973D-2CC4A5FCEACD}"/>
    <hyperlink ref="E2758" r:id="rId8525" display="https://twitter.com/xjanpet/status/723393247561703424" xr:uid="{C7A4BCE5-DFDB-4735-BCEB-0A9A51B90D89}"/>
    <hyperlink ref="O2758" r:id="rId8526" display="https://pbs.twimg.com/profile_images/559085707029778432/9TJ6WlEk_normal.jpeg" xr:uid="{282CFFBE-DEA4-44BA-980A-AE55DC0E5F66}"/>
    <hyperlink ref="B2759" r:id="rId8527" display="https://twitter.com/089stadt" xr:uid="{C93C63D8-7D3B-4C01-97EE-9791F44292A5}"/>
    <hyperlink ref="E2759" r:id="rId8528" display="https://twitter.com/089stadt/status/723393266587033600" xr:uid="{DE1A1C6B-0AB4-4C0D-ACD8-21706CEBC32F}"/>
    <hyperlink ref="O2759" r:id="rId8529" display="https://pbs.twimg.com/profile_images/1785128505/munich_normal.png" xr:uid="{1D13AE1A-0384-47D9-9B5D-741B1E24C684}"/>
    <hyperlink ref="B2760" r:id="rId8530" display="https://twitter.com/EU_Pilot" xr:uid="{9AC07764-B245-4123-A706-62A7227530DD}"/>
    <hyperlink ref="E2760" r:id="rId8531" display="https://twitter.com/EU_Pilot/status/723393279937531904" xr:uid="{37952505-D621-48AE-B2C7-1073B048ED1C}"/>
    <hyperlink ref="O2760" r:id="rId8532" display="https://pbs.twimg.com/profile_images/536822156298948608/pH18GNjo_normal.jpeg" xr:uid="{AB113C65-56E9-4100-AA94-68F558648E81}"/>
    <hyperlink ref="B2761" r:id="rId8533" display="https://twitter.com/TradeCFDs" xr:uid="{86F1F3E1-784D-4DBB-9028-FB2621F05082}"/>
    <hyperlink ref="E2761" r:id="rId8534" display="https://twitter.com/TradeCFDs/status/723393365778141184" xr:uid="{ABECC961-86FD-4DF2-BA0F-2E43A3AF467E}"/>
    <hyperlink ref="O2761" r:id="rId8535" display="https://pbs.twimg.com/profile_images/1914014310/Logo_normal.jpg" xr:uid="{450BA268-D6A6-4713-8269-2C220828E048}"/>
    <hyperlink ref="B2762" r:id="rId8536" display="https://twitter.com/ssalerno2" xr:uid="{F9E907FB-AA51-49B9-892D-5DF7D78DA837}"/>
    <hyperlink ref="E2762" r:id="rId8537" display="https://twitter.com/ssalerno2/status/723393502202089476" xr:uid="{5B3F33DC-2958-4A80-8253-03618FF24ADE}"/>
    <hyperlink ref="O2762" r:id="rId8538" display="https://pbs.twimg.com/profile_images/511918427611869184/vNsvctzi_normal.jpeg" xr:uid="{0BDBF757-26DF-4389-B120-A2C5AFE01797}"/>
    <hyperlink ref="B2763" r:id="rId8539" display="https://twitter.com/bodo1962" xr:uid="{7B606D6D-B670-42A4-BE71-E6C118A1A2C6}"/>
    <hyperlink ref="E2763" r:id="rId8540" display="https://twitter.com/bodo1962/status/723393667155693569" xr:uid="{A20E7B81-B796-4241-9BD4-B33C442F9D8F}"/>
    <hyperlink ref="O2763" r:id="rId8541" display="https://pbs.twimg.com/profile_images/439706141728051201/GQgdrA5p_normal.jpeg" xr:uid="{E968AE58-7C3B-4FC0-876F-6EF08B234F83}"/>
    <hyperlink ref="B2764" r:id="rId8542" display="https://twitter.com/timmdoppel_m" xr:uid="{AEEC5763-69FE-4C59-95C2-F0BAAB04A84A}"/>
    <hyperlink ref="E2764" r:id="rId8543" display="https://twitter.com/timmdoppel_m/status/723393745480093696" xr:uid="{A958FDBD-9A10-4ED5-A948-32C462B9A569}"/>
    <hyperlink ref="O2764" r:id="rId8544" display="https://pbs.twimg.com/profile_images/688029802230579202/dcVlYVcm_normal.jpg" xr:uid="{ACDB6AE6-9719-4E37-9BF2-60790316A7B1}"/>
    <hyperlink ref="B2765" r:id="rId8545" display="https://twitter.com/doestrei" xr:uid="{3BFBECBF-1B06-4F01-B12F-BAB9C92742B8}"/>
    <hyperlink ref="E2765" r:id="rId8546" display="https://twitter.com/doestrei/status/723393755638681601" xr:uid="{E2D14EEC-E108-46C1-BD92-597CB5E0A264}"/>
    <hyperlink ref="O2765" r:id="rId8547" display="https://pbs.twimg.com/profile_images/639934873898254336/4VqIHxOP_normal.jpg" xr:uid="{9DFE5091-2941-49C2-9500-70F074D316F0}"/>
    <hyperlink ref="B2766" r:id="rId8548" display="https://twitter.com/theswiss" xr:uid="{FC07544A-52E2-4133-8726-7D92613B2C0D}"/>
    <hyperlink ref="E2766" r:id="rId8549" display="https://twitter.com/theswiss/status/723393817794093056" xr:uid="{7BC67C5D-3D67-4B36-8E5C-B354BF27BEEB}"/>
    <hyperlink ref="O2766" r:id="rId8550" display="https://pbs.twimg.com/profile_images/595356435099328513/7555H9eh_normal.jpg" xr:uid="{55089635-9DE3-476D-9DA9-D9DE78AB1554}"/>
    <hyperlink ref="B2767" r:id="rId8551" display="https://twitter.com/JoachimHeck" xr:uid="{E7151CBC-98D4-4402-AD16-5351DC7032BE}"/>
    <hyperlink ref="E2767" r:id="rId8552" display="https://twitter.com/JoachimHeck/status/723394060908523520" xr:uid="{9FD81679-8678-46F5-B5B8-1C187653C496}"/>
    <hyperlink ref="O2767" r:id="rId8553" display="https://pbs.twimg.com/profile_images/378800000566378572/084cb3103fd97db6ea2fcb90b2ea5dc7_normal.jpeg" xr:uid="{1E569853-890B-419D-ABED-A59C44E98972}"/>
    <hyperlink ref="B2768" r:id="rId8554" display="https://twitter.com/MerlinaAlmendra" xr:uid="{3A2EFF66-C6D1-4F4D-B785-2D69AD50E4E3}"/>
    <hyperlink ref="E2768" r:id="rId8555" display="https://twitter.com/MerlinaAlmendra/status/723394163245346816" xr:uid="{36264A01-831F-4CE0-AA73-99A8475B13F4}"/>
    <hyperlink ref="O2768" r:id="rId8556" display="https://pbs.twimg.com/profile_images/716386262387527680/iXBQikmn_normal.jpg" xr:uid="{96592BDF-60F3-4D85-B945-1B8339A2B729}"/>
    <hyperlink ref="P2768" r:id="rId8557" location="51.07741226,-114.15428435" display="http://ctrlq.org/maps/address/ - 51.07741226,-114.15428435" xr:uid="{50B30EA4-6038-43F7-ABC2-09C3846E3B05}"/>
    <hyperlink ref="B2769" r:id="rId8558" display="https://twitter.com/Beukennon" xr:uid="{1583073C-3587-47E3-976A-AFF372C23DF4}"/>
    <hyperlink ref="E2769" r:id="rId8559" display="https://twitter.com/Beukennon/status/723394214613012480" xr:uid="{13797711-2463-4CA2-903C-91438BEF9BBB}"/>
    <hyperlink ref="O2769" r:id="rId8560" display="https://pbs.twimg.com/profile_images/3359623860/c18ce51d5c09fb6c80a7cfc89e8df5bb_normal.jpeg" xr:uid="{546DE089-788C-4A42-9CAE-AE236E9CF338}"/>
    <hyperlink ref="B2770" r:id="rId8561" display="https://twitter.com/Beukennon" xr:uid="{7E23FE6C-9471-4773-9D3B-F7E4B3B8B0CF}"/>
    <hyperlink ref="E2770" r:id="rId8562" display="https://twitter.com/Beukennon/status/723394286398533632" xr:uid="{5CCC27F1-648B-45A8-9178-303051A23B1A}"/>
    <hyperlink ref="O2770" r:id="rId8563" display="https://pbs.twimg.com/profile_images/3359623860/c18ce51d5c09fb6c80a7cfc89e8df5bb_normal.jpeg" xr:uid="{359E2FCC-BABA-4F49-A5C6-A627215CFA3E}"/>
    <hyperlink ref="B2771" r:id="rId8564" display="https://twitter.com/CarpetsCook" xr:uid="{F36F5F2C-77ED-4F49-B86B-362D453EFFF6}"/>
    <hyperlink ref="E2771" r:id="rId8565" display="https://twitter.com/CarpetsCook/status/723394394846425092" xr:uid="{6429356B-DE8F-4E8D-AE09-81C29B7A6494}"/>
    <hyperlink ref="O2771" r:id="rId8566" display="https://pbs.twimg.com/profile_images/709868725307101186/HmWlkwj__normal.jpg" xr:uid="{15CDD4DF-3283-49F7-8DD2-CE5E88DA49D4}"/>
    <hyperlink ref="B2772" r:id="rId8567" display="https://twitter.com/bindermichi" xr:uid="{5B5FE485-122E-4D80-B79D-5CCAC7086EC0}"/>
    <hyperlink ref="E2772" r:id="rId8568" display="https://twitter.com/bindermichi/status/723395322530000896" xr:uid="{F7DCD97B-1D96-480A-9C4F-FDDB6A4C78FF}"/>
    <hyperlink ref="O2772" r:id="rId8569" display="https://pbs.twimg.com/profile_images/679777790124765184/4xKwz4P0_normal.jpg" xr:uid="{6EEEA3BB-1BDA-4D3B-84A5-E10F417C20E3}"/>
    <hyperlink ref="B2773" r:id="rId8570" display="https://twitter.com/hedilamnna" xr:uid="{996051FB-926C-400C-BDD4-7B884715CC33}"/>
    <hyperlink ref="E2773" r:id="rId8571" display="https://twitter.com/hedilamnna/status/723395351038689280" xr:uid="{5538FEC1-5BD9-4421-A240-92391BBC7310}"/>
    <hyperlink ref="O2773" r:id="rId8572" display="https://pbs.twimg.com/profile_images/524926283717681152/S887P05B_normal.jpeg" xr:uid="{AD0B04A9-7C8B-4AFC-A9C2-57CF54DDFD41}"/>
    <hyperlink ref="B2774" r:id="rId8573" display="https://twitter.com/D0D0_S" xr:uid="{F2E6B036-2889-425B-A1DB-4B0C7FBAC0E9}"/>
    <hyperlink ref="E2774" r:id="rId8574" display="https://twitter.com/D0D0_S/status/723395624339558400" xr:uid="{F4D2B5D1-F6C0-4B1C-9DBE-9D0E98A2E063}"/>
    <hyperlink ref="O2774" r:id="rId8575" display="https://pbs.twimg.com/profile_images/488577856314695681/YM0Dzdzf_normal.png" xr:uid="{F7F3BB11-77E6-4D36-96A5-18CFE58EE7E5}"/>
    <hyperlink ref="B2775" r:id="rId8576" display="https://twitter.com/LegoDustCaps" xr:uid="{CD922761-E548-4287-86C2-43B4138B1829}"/>
    <hyperlink ref="E2775" r:id="rId8577" display="https://twitter.com/LegoDustCaps/status/723395734154829824" xr:uid="{FCCD1828-FC65-47CF-8B7D-2A45327DFB9C}"/>
    <hyperlink ref="O2775" r:id="rId8578" display="https://pbs.twimg.com/profile_images/681545807292690432/Z1DHG5ug_normal.jpg" xr:uid="{E0FAFA89-6A15-41C2-BCCD-550EC207614C}"/>
    <hyperlink ref="B2776" r:id="rId8579" display="https://twitter.com/BettinaMayer626" xr:uid="{A85276DA-9715-40DE-8304-D0045FDCA5BC}"/>
    <hyperlink ref="E2776" r:id="rId8580" display="https://twitter.com/BettinaMayer626/status/723396157402050562" xr:uid="{B2DC18EE-C73D-4FCE-AEE6-B81864C4051E}"/>
    <hyperlink ref="O2776" r:id="rId8581" display="https://pbs.twimg.com/profile_images/3755362794/5f01b194caef9fe1d31d019df44d0c0b_normal.jpeg" xr:uid="{26E7BEAE-904A-44EA-95A6-533A0286DA9C}"/>
    <hyperlink ref="B2777" r:id="rId8582" display="https://twitter.com/f1ngers9" xr:uid="{6AA72918-F7D8-4ED8-A8F2-3B93150BEB68}"/>
    <hyperlink ref="E2777" r:id="rId8583" display="https://twitter.com/f1ngers9/status/723396216596254720" xr:uid="{B8BE351A-0C22-4416-9EBB-7E2F7A619357}"/>
    <hyperlink ref="O2777" r:id="rId8584" display="https://pbs.twimg.com/profile_images/561943529971134465/KNsCPwb6_normal.jpeg" xr:uid="{319BF360-4443-46E3-B7BB-1FDD006FD1BF}"/>
    <hyperlink ref="B2778" r:id="rId8585" display="https://twitter.com/steve101078" xr:uid="{53624B86-230F-4597-AB26-B448C67A0ED0}"/>
    <hyperlink ref="E2778" r:id="rId8586" display="https://twitter.com/steve101078/status/723396226469654528" xr:uid="{41DEFF32-0129-4A4A-91E1-2C5D28D471FB}"/>
    <hyperlink ref="O2778" r:id="rId8587" display="https://pbs.twimg.com/profile_images/3661898161/672be788ab3351c98b1532f27f46ce77_normal.png" xr:uid="{B6CBE1A9-61A4-482F-B650-128844862A63}"/>
    <hyperlink ref="B2779" r:id="rId8588" display="https://twitter.com/rhartgendorn" xr:uid="{6BDA959F-39E7-4B61-AB13-D9C9009EDE97}"/>
    <hyperlink ref="E2779" r:id="rId8589" display="https://twitter.com/rhartgendorn/status/723396604007309312" xr:uid="{9F08BDCC-739A-4576-8D02-87F950810415}"/>
    <hyperlink ref="O2779" r:id="rId8590" display="https://pbs.twimg.com/profile_images/1783038237/tommy1_640_normal.jpg" xr:uid="{9AA10455-8654-4695-AF6F-BE373D9D22DC}"/>
    <hyperlink ref="B2780" r:id="rId8591" display="https://twitter.com/dw_deutsch" xr:uid="{A0F22DEE-B023-4086-88FB-3F01C1AF8E3E}"/>
    <hyperlink ref="E2780" r:id="rId8592" display="https://twitter.com/dw_deutsch/status/723396615231311873" xr:uid="{1507A691-640F-4142-B8F8-A7B3BFA8907A}"/>
    <hyperlink ref="O2780" r:id="rId8593" display="https://pbs.twimg.com/profile_images/461118397548212226/84PnzODQ_normal.png" xr:uid="{348130E5-7E96-4E2F-AE47-8F10AB591090}"/>
    <hyperlink ref="B2781" r:id="rId8594" display="https://twitter.com/NordicInvestor" xr:uid="{A5DAE5DE-0F81-4618-B4DA-7D9170FDBD73}"/>
    <hyperlink ref="E2781" r:id="rId8595" display="https://twitter.com/NordicInvestor/status/723396699289325571" xr:uid="{799E1AA8-1C23-4462-B6BD-A5CC7B77D3AE}"/>
    <hyperlink ref="O2781" r:id="rId8596" display="https://pbs.twimg.com/profile_images/712901564952870912/rE0FMlJH_normal.jpg" xr:uid="{1FD29D84-33B1-4447-880C-0D8C9EF4B964}"/>
    <hyperlink ref="B2782" r:id="rId8597" display="https://twitter.com/DubLuvTuning" xr:uid="{87706ED7-1BCC-4675-BAC1-56461FEC16E7}"/>
    <hyperlink ref="E2782" r:id="rId8598" display="https://twitter.com/DubLuvTuning/status/723396843988611074" xr:uid="{800A015A-096E-419D-A000-C672FDE2E9D9}"/>
    <hyperlink ref="O2782" r:id="rId8599" display="https://pbs.twimg.com/profile_images/378800000572104796/1de43e1cf23efb3f4101c02afad0d3b6_normal.png" xr:uid="{FA2591E5-3683-4AFC-A031-70376F8D6D3C}"/>
    <hyperlink ref="B2783" r:id="rId8600" display="https://twitter.com/mediendaten" xr:uid="{0E6BE95E-6679-4FE1-A86B-DF015758601C}"/>
    <hyperlink ref="E2783" r:id="rId8601" display="https://twitter.com/mediendaten/status/723397321271070720" xr:uid="{14EA0CA1-85F5-4ED2-87BD-21D4204A5793}"/>
    <hyperlink ref="O2783" r:id="rId8602" display="https://pbs.twimg.com/profile_images/582484065674080256/u7_etD74_normal.jpg" xr:uid="{5AC20A34-6517-40A5-BEA1-217183C41B67}"/>
    <hyperlink ref="B2784" r:id="rId8603" display="https://twitter.com/Jayrimbo" xr:uid="{6BA6070E-C465-41FE-A52A-4E8812C89B5B}"/>
    <hyperlink ref="E2784" r:id="rId8604" display="https://twitter.com/Jayrimbo/status/723398155459416066" xr:uid="{CA6CF2DD-525D-4741-BBDF-723137A6B14D}"/>
    <hyperlink ref="O2784" r:id="rId8605" display="https://pbs.twimg.com/profile_images/719276237852643332/JHIB8NHt_normal.jpg" xr:uid="{7B4E46EC-A064-43F8-9712-0277677F9C21}"/>
    <hyperlink ref="B2785" r:id="rId8606" display="https://twitter.com/egghat" xr:uid="{6DC8F903-606D-49D7-B383-11E3BFF51DB5}"/>
    <hyperlink ref="E2785" r:id="rId8607" display="https://twitter.com/egghat/status/723398393930752000" xr:uid="{29F694D6-B72F-41E9-A1C9-AE876608A239}"/>
    <hyperlink ref="O2785" r:id="rId8608" display="https://pbs.twimg.com/profile_images/378800000224968476/c294d065bce1ad2be4f47cd67e6bc13b_normal.jpeg" xr:uid="{CD33197B-383C-44D1-AD1E-58A7F69528F5}"/>
    <hyperlink ref="B2786" r:id="rId8609" display="https://twitter.com/Scirocco_Tuning" xr:uid="{56BB227E-807A-4E59-BE2D-93A696043B15}"/>
    <hyperlink ref="E2786" r:id="rId8610" display="https://twitter.com/Scirocco_Tuning/status/723398443041845249" xr:uid="{A9E193E7-6BF6-4ACD-9F65-73ACAB8C644A}"/>
    <hyperlink ref="O2786" r:id="rId8611" display="https://pbs.twimg.com/profile_images/1610421423/Image2_normal.jpg" xr:uid="{9551A35D-C1C3-4DD1-BA81-C976F722A7B4}"/>
    <hyperlink ref="B2787" r:id="rId8612" display="https://twitter.com/CamperDiemSBD" xr:uid="{84B54049-B287-4492-AC4C-8834DD442E35}"/>
    <hyperlink ref="E2787" r:id="rId8613" display="https://twitter.com/CamperDiemSBD/status/723398540957876224" xr:uid="{F97E845B-ECE7-4016-AF16-4C4E38C04FE9}"/>
    <hyperlink ref="O2787" r:id="rId8614" display="https://pbs.twimg.com/profile_images/689426162498478080/oFvjyyk9_normal.jpg" xr:uid="{B075C995-A660-4AD2-9425-D5EB32C36F2B}"/>
    <hyperlink ref="B2788" r:id="rId8615" display="https://twitter.com/grobilixx1" xr:uid="{CEC73FA0-8BEC-4936-B6C2-13EB116A44DB}"/>
    <hyperlink ref="E2788" r:id="rId8616" display="https://twitter.com/grobilixx1/status/723398546628599809" xr:uid="{C894CE16-C7A2-40DD-9E2F-1F5161DA9177}"/>
    <hyperlink ref="O2788" r:id="rId8617" display="https://pbs.twimg.com/profile_images/706519560221036546/fcl3hDQu_normal.jpg" xr:uid="{ED43C85C-360D-4267-AD47-3DA9598F486C}"/>
    <hyperlink ref="B2789" r:id="rId8618" display="https://twitter.com/fraippolito" xr:uid="{41396FB7-F27E-4174-9405-F3EC81B86FB6}"/>
    <hyperlink ref="E2789" r:id="rId8619" display="https://twitter.com/fraippolito/status/723398703688507393" xr:uid="{21E09874-8B62-4CF2-BE06-29A30FE399B5}"/>
    <hyperlink ref="O2789" r:id="rId8620" display="https://pbs.twimg.com/profile_images/668381091280089088/VH7RN1Om_normal.jpg" xr:uid="{A992CE9C-20AF-444E-B3AF-CCB77D43CDF2}"/>
    <hyperlink ref="B2790" r:id="rId8621" display="https://twitter.com/deanomsport" xr:uid="{4B7CE771-9E97-45A9-8628-18EF38ABDB3D}"/>
    <hyperlink ref="E2790" r:id="rId8622" display="https://twitter.com/deanomsport/status/723398802539847680" xr:uid="{6245FB8B-D2C7-4523-AF9F-78588AE630DF}"/>
    <hyperlink ref="O2790" r:id="rId8623" display="https://pbs.twimg.com/profile_images/653310353653297153/bYVyhn8J_normal.jpg" xr:uid="{8C035E8B-2F3A-4991-84AE-5F78C74D87E3}"/>
    <hyperlink ref="B2791" r:id="rId8624" display="https://twitter.com/Treysse" xr:uid="{53D6CB3E-AE52-434A-BDBB-C455040AE5BB}"/>
    <hyperlink ref="E2791" r:id="rId8625" display="https://twitter.com/Treysse/status/723398873968840708" xr:uid="{7539C97A-18E1-4108-A5DA-3DA87F5FDA0C}"/>
    <hyperlink ref="O2791" r:id="rId8626" display="https://pbs.twimg.com/profile_images/475350384392011776/Ep-1fmnv_normal.jpeg" xr:uid="{151EE333-9BB1-4B06-9BAE-972DBEFF3C94}"/>
    <hyperlink ref="B2792" r:id="rId8627" display="https://twitter.com/gutbranson" xr:uid="{7E3150B3-3BDA-4185-BF4E-CD0699474216}"/>
    <hyperlink ref="E2792" r:id="rId8628" display="https://twitter.com/gutbranson/status/723399391885725696" xr:uid="{3022D3A7-211B-479E-8DD8-D938C5950A7C}"/>
    <hyperlink ref="O2792" r:id="rId8629" display="https://pbs.twimg.com/profile_images/378800000064765573/248fcabf29a8f3dd423048707d883cf6_normal.jpeg" xr:uid="{7C7AEE18-213C-45A8-B763-3EED60823597}"/>
    <hyperlink ref="B2793" r:id="rId8630" display="https://twitter.com/ebaycampervans" xr:uid="{D8D06E83-9EC6-4747-873A-2198AF67803C}"/>
    <hyperlink ref="E2793" r:id="rId8631" display="https://twitter.com/ebaycampervans/status/723399501956808704" xr:uid="{D8BA51D7-FB3A-4976-A796-BB37494718ED}"/>
    <hyperlink ref="O2793" r:id="rId8632" display="https://pbs.twimg.com/profile_images/599357023407464449/BL9Bpo6T_normal.jpg" xr:uid="{7D318DA5-E507-4509-98C5-F8CB454CD192}"/>
    <hyperlink ref="B2794" r:id="rId8633" display="https://twitter.com/derFunk" xr:uid="{087652D1-E2EC-42DC-84B2-ECED09E41881}"/>
    <hyperlink ref="E2794" r:id="rId8634" display="https://twitter.com/derFunk/status/723399538157875201" xr:uid="{7B824985-0342-4D03-9C04-CCD24B77997F}"/>
    <hyperlink ref="O2794" r:id="rId8635" display="https://pbs.twimg.com/profile_images/631104996868792320/QX53Q6UB_normal.jpg" xr:uid="{98BF6500-8392-44DC-9D8F-793746763FE1}"/>
    <hyperlink ref="B2795" r:id="rId8636" display="https://twitter.com/IlseTV" xr:uid="{8D121046-A852-47D8-95B9-68E43224AD80}"/>
    <hyperlink ref="E2795" r:id="rId8637" display="https://twitter.com/IlseTV/status/723399574421790722" xr:uid="{52A504DF-3460-47E0-8A19-F746C4C9D1CC}"/>
    <hyperlink ref="O2795" r:id="rId8638" display="https://pbs.twimg.com/profile_images/637698864691159041/ps7J2zNx_normal.jpg" xr:uid="{03FDE9F1-E875-49BD-ACE6-848D98077AF8}"/>
    <hyperlink ref="B2796" r:id="rId8639" display="https://twitter.com/katycollins" xr:uid="{83C276C7-89CD-47D1-9652-115C16C82F20}"/>
    <hyperlink ref="E2796" r:id="rId8640" display="https://twitter.com/katycollins/status/723399747675942912" xr:uid="{1940DC0D-0021-42C3-89B2-3A8B9BE2D925}"/>
    <hyperlink ref="O2796" r:id="rId8641" display="https://pbs.twimg.com/profile_images/2611891825/076eb352-56d5-466d-b640-e643006f4748_normal.png" xr:uid="{0AEB0D44-FD72-4BD8-AEDF-CA16740C2043}"/>
    <hyperlink ref="B2797" r:id="rId8642" display="https://twitter.com/Cardboard_VR" xr:uid="{E4F0970A-2CE1-4562-9D78-241BBEF8A270}"/>
    <hyperlink ref="E2797" r:id="rId8643" display="https://twitter.com/Cardboard_VR/status/723399790789189634" xr:uid="{CB4DA260-24FB-4F1F-B29D-5AFF5AA5351D}"/>
    <hyperlink ref="O2797" r:id="rId8644" display="https://pbs.twimg.com/profile_images/658098750582222848/5O-0Z2C3_normal.jpg" xr:uid="{AFE011EB-4E9E-4D78-BC45-83B473EC1F2A}"/>
    <hyperlink ref="B2798" r:id="rId8645" display="https://twitter.com/jobless_mike" xr:uid="{E0FABFA4-6E57-4D63-B5AD-579ECC882FAB}"/>
    <hyperlink ref="E2798" r:id="rId8646" display="https://twitter.com/jobless_mike/status/723399838667145216" xr:uid="{425A995B-F804-4D38-96A0-ECB47F4C40EF}"/>
    <hyperlink ref="O2798" r:id="rId8647" display="https://pbs.twimg.com/profile_images/700782877558964225/WliMK81e_normal.jpg" xr:uid="{D023A5E4-920C-455D-991E-36D6EE55EFB5}"/>
    <hyperlink ref="B2799" r:id="rId8648" display="https://twitter.com/ibotrampe" xr:uid="{09507F7F-6862-4657-A5B4-BF4D6BCCFBF9}"/>
    <hyperlink ref="E2799" r:id="rId8649" display="https://twitter.com/ibotrampe/status/723400494719213569" xr:uid="{8E2633F2-A1A6-4020-B7CD-248FD9CFB7D6}"/>
    <hyperlink ref="O2799" r:id="rId8650" display="https://pbs.twimg.com/profile_images/718350313720324097/N0vIwr6s_normal.jpg" xr:uid="{5D1EEF6E-2742-4A18-A91A-9FE6304637D2}"/>
    <hyperlink ref="B2800" r:id="rId8651" display="https://twitter.com/EmirDiz" xr:uid="{D7B9C60A-ED82-4239-A3DF-BA643F2A1C47}"/>
    <hyperlink ref="E2800" r:id="rId8652" display="https://twitter.com/EmirDiz/status/723400581306454017" xr:uid="{0BA37AD9-1C6B-4A3C-AC09-D9BB839B146F}"/>
    <hyperlink ref="O2800" r:id="rId8653" display="https://pbs.twimg.com/profile_images/709468057991847936/MtiJQLfP_normal.jpg" xr:uid="{D6A05DFB-30A8-43C7-B56C-0A9FDA1525FB}"/>
    <hyperlink ref="B2801" r:id="rId8654" display="https://twitter.com/ZetsusHotDog" xr:uid="{D30C80D9-B531-4F13-8C26-AC5E0A3CD90E}"/>
    <hyperlink ref="E2801" r:id="rId8655" display="https://twitter.com/ZetsusHotDog/status/723400606170247168" xr:uid="{529D6C3B-B1AE-4ACD-BB06-1D78F5EDABFC}"/>
    <hyperlink ref="O2801" r:id="rId8656" display="https://pbs.twimg.com/profile_images/674695329724375040/S_GDHQ3B_normal.png" xr:uid="{F36BD256-E78C-45D3-A6F1-5753A30F2327}"/>
    <hyperlink ref="B2802" r:id="rId8657" display="https://twitter.com/elenagergen" xr:uid="{A529F3E5-FC64-4923-B9F3-FDD2BB303736}"/>
    <hyperlink ref="E2802" r:id="rId8658" display="https://twitter.com/elenagergen/status/723400747098869760" xr:uid="{EEFEB226-02C2-4C08-9BAF-9AE74D77E457}"/>
    <hyperlink ref="O2802" r:id="rId8659" display="https://pbs.twimg.com/profile_images/595353521379254272/73N-1R9W_normal.jpg" xr:uid="{C17FB052-D0FD-42B6-AB2E-B9A8C6FBC040}"/>
    <hyperlink ref="B2803" r:id="rId8660" display="https://twitter.com/Thomas_Jakob" xr:uid="{45DF870F-04CB-465B-8C00-39007E718841}"/>
    <hyperlink ref="E2803" r:id="rId8661" display="https://twitter.com/Thomas_Jakob/status/723401022773719040" xr:uid="{D9DD0720-2885-4A47-A705-B85AA29B5DEF}"/>
    <hyperlink ref="O2803" r:id="rId8662" display="https://pbs.twimg.com/profile_images/1951351455/thomas5b_normal.jpg" xr:uid="{3CB64897-EEA9-4AE3-862A-0B4DA58CBB56}"/>
    <hyperlink ref="B2804" r:id="rId8663" display="https://twitter.com/ufomedia" xr:uid="{27A4FC59-F74D-4CD6-937C-9E3C25201467}"/>
    <hyperlink ref="E2804" r:id="rId8664" display="https://twitter.com/ufomedia/status/723401156915912705" xr:uid="{DFEBB825-5923-4B4C-827B-979D61D27D07}"/>
    <hyperlink ref="O2804" r:id="rId8665" display="https://pbs.twimg.com/profile_images/1229956769/Ufomedia-Avatar_normal.jpg" xr:uid="{063D3013-CE00-40D1-9916-22CA85B1FBD6}"/>
    <hyperlink ref="B2805" r:id="rId8666" display="https://twitter.com/techhippie" xr:uid="{166421D2-7BE3-42DB-96EA-06BBE0C001D4}"/>
    <hyperlink ref="E2805" r:id="rId8667" display="https://twitter.com/techhippie/status/723401370418585601" xr:uid="{A019AFD1-9439-4100-A531-F02AF282866B}"/>
    <hyperlink ref="O2805" r:id="rId8668" display="https://pbs.twimg.com/profile_images/702511217793863680/lty8h9vE_normal.jpg" xr:uid="{7882CCC3-667C-44B9-A7B2-3050E37B0E48}"/>
    <hyperlink ref="B2806" r:id="rId8669" display="https://twitter.com/techhippie" xr:uid="{FDDB9897-7EB7-4DAC-8EC4-6C2B06DB326B}"/>
    <hyperlink ref="E2806" r:id="rId8670" display="https://twitter.com/techhippie/status/723401383555158016" xr:uid="{F023D842-629D-4E89-85B2-48CE05D91918}"/>
    <hyperlink ref="O2806" r:id="rId8671" display="https://pbs.twimg.com/profile_images/702511217793863680/lty8h9vE_normal.jpg" xr:uid="{5D31CDFA-CB5E-4639-AE21-D3560B16D9FD}"/>
    <hyperlink ref="B2807" r:id="rId8672" display="https://twitter.com/StaceJake" xr:uid="{4454273B-1A2A-4134-B7B3-6C46F6BD28B1}"/>
    <hyperlink ref="E2807" r:id="rId8673" display="https://twitter.com/StaceJake/status/723401636073197570" xr:uid="{70667B15-D7E2-4D48-841C-AD8FD36FA05E}"/>
    <hyperlink ref="O2807" r:id="rId8674" display="https://pbs.twimg.com/profile_images/666680114047004673/dUHoQqwN_normal.jpg" xr:uid="{D0456A08-E45D-4BB6-806B-A6D08C3ADC55}"/>
    <hyperlink ref="B2808" r:id="rId8675" display="https://twitter.com/MarkCSchneider" xr:uid="{BE18B463-A5DE-4A73-A7E6-73E395D23162}"/>
    <hyperlink ref="E2808" r:id="rId8676" display="https://twitter.com/MarkCSchneider/status/723401740825976832" xr:uid="{61D02651-5999-4CC3-ABDA-78D69E6EE5E4}"/>
    <hyperlink ref="O2808" r:id="rId8677" display="https://pbs.twimg.com/profile_images/706784695795769345/XGXgdjww_normal.jpg" xr:uid="{52FD86EF-BD76-4F7C-A15D-21995177176F}"/>
    <hyperlink ref="B2809" r:id="rId8678" display="https://twitter.com/woltron2" xr:uid="{000532D6-4A64-4177-90E1-4B68B953D8C7}"/>
    <hyperlink ref="E2809" r:id="rId8679" display="https://twitter.com/woltron2/status/723401876050300928" xr:uid="{15ED908B-99D5-4DD1-B2DE-F558CC233EAE}"/>
    <hyperlink ref="O2809" r:id="rId8680" display="https://pbs.twimg.com/profile_images/699886430294831105/PTszJzYs_normal.jpg" xr:uid="{5B5AD481-B292-4C28-BD2C-F87B10CF39EB}"/>
    <hyperlink ref="B2810" r:id="rId8681" display="https://twitter.com/VWBeetleSales" xr:uid="{9842680A-60FA-4D91-A6C7-F75A94001FF5}"/>
    <hyperlink ref="E2810" r:id="rId8682" display="https://twitter.com/VWBeetleSales/status/723401979033063424" xr:uid="{07CB810C-EAA9-40D7-9920-59A19506F2D2}"/>
    <hyperlink ref="F2810" r:id="rId8683" xr:uid="{ADBBFCD9-7DA2-42E5-8B9F-E8B9A97387DD}"/>
    <hyperlink ref="O2810" r:id="rId8684" display="https://pbs.twimg.com/profile_images/703294545195307008/qeCvrX86_normal.jpg" xr:uid="{356BC9B7-C818-4A62-A5F4-F0120AF55370}"/>
    <hyperlink ref="B2811" r:id="rId8685" display="https://twitter.com/Optares_Auto" xr:uid="{DE3D423F-B289-4D7D-B84B-14F5FB629CB6}"/>
    <hyperlink ref="E2811" r:id="rId8686" display="https://twitter.com/Optares_Auto/status/723402166371676163" xr:uid="{FB6F940B-54C8-4D20-9BF8-80065BF0B037}"/>
    <hyperlink ref="O2811" r:id="rId8687" display="https://pbs.twimg.com/profile_images/664751224772624384/5z4kQwIv_normal.jpg" xr:uid="{EF87175E-E0D6-46E5-ABA2-F5C3FEAAB6D8}"/>
    <hyperlink ref="B2812" r:id="rId8688" display="https://twitter.com/VivaRedd" xr:uid="{EF6E833E-2994-4CF8-BE52-7630E79B803B}"/>
    <hyperlink ref="E2812" r:id="rId8689" display="https://twitter.com/VivaRedd/status/723402312543133696" xr:uid="{F60C5C07-2023-4E9F-8F99-A49AE5A7201B}"/>
    <hyperlink ref="O2812" r:id="rId8690" display="https://pbs.twimg.com/profile_images/551428279262257153/nmSvHIJ7_normal.jpeg" xr:uid="{24CAC45E-6D5B-495D-ADA3-C5C6739F39DF}"/>
    <hyperlink ref="B2813" r:id="rId8691" display="https://twitter.com/VivaRedd" xr:uid="{7FC31295-F847-4939-A4EA-6094F4F73908}"/>
    <hyperlink ref="E2813" r:id="rId8692" display="https://twitter.com/VivaRedd/status/723402395774906369" xr:uid="{987489CF-3E67-4C22-8715-E5CA77FA9E86}"/>
    <hyperlink ref="O2813" r:id="rId8693" display="https://pbs.twimg.com/profile_images/551428279262257153/nmSvHIJ7_normal.jpeg" xr:uid="{20AF4E6C-AED3-48AB-93E8-E17A794287F6}"/>
    <hyperlink ref="B2814" r:id="rId8694" display="https://twitter.com/VivaRedd" xr:uid="{9F410FC2-CAE4-4B01-A523-1D03FF384314}"/>
    <hyperlink ref="E2814" r:id="rId8695" display="https://twitter.com/VivaRedd/status/723402434979069952" xr:uid="{93DE0176-D278-4191-916E-6DE61EF2352D}"/>
    <hyperlink ref="O2814" r:id="rId8696" display="https://pbs.twimg.com/profile_images/551428279262257153/nmSvHIJ7_normal.jpeg" xr:uid="{04062A29-6727-47D8-B106-A4C81E800B86}"/>
    <hyperlink ref="B2815" r:id="rId8697" display="https://twitter.com/SPIEGELONLINE" xr:uid="{B28F3B67-2127-4BF9-8818-3BED122BC2C8}"/>
    <hyperlink ref="E2815" r:id="rId8698" display="https://twitter.com/SPIEGELONLINE/status/723402460832780289" xr:uid="{66EE4A90-334A-437A-B636-3A638043EB20}"/>
    <hyperlink ref="O2815" r:id="rId8699" display="https://pbs.twimg.com/profile_images/1719664041/tw_spon_normal.jpg" xr:uid="{383B1889-95D7-4520-8E63-2556656B54DB}"/>
    <hyperlink ref="B2816" r:id="rId8700" display="https://twitter.com/CDespierres" xr:uid="{ABCDE146-5590-47A3-8E91-F875F8A71633}"/>
    <hyperlink ref="E2816" r:id="rId8701" display="https://twitter.com/CDespierres/status/723402576884957184" xr:uid="{0F87F9C1-6F77-4DB6-8C68-51A495BD5F0C}"/>
    <hyperlink ref="O2816" r:id="rId8702" display="https://pbs.twimg.com/profile_images/510061225103724544/CuYLl5Xy_normal.jpeg" xr:uid="{755F78D7-29AF-4777-8619-59B53C414AA4}"/>
    <hyperlink ref="B2817" r:id="rId8703" display="https://twitter.com/FelixLo525" xr:uid="{695CED53-21D8-45BF-9E9A-6F9EA8722C35}"/>
    <hyperlink ref="E2817" r:id="rId8704" display="https://twitter.com/FelixLo525/status/723402855873269760" xr:uid="{5AB131C8-825A-4CD6-9733-27B7E2A43C44}"/>
    <hyperlink ref="O2817" r:id="rId8705" display="https://pbs.twimg.com/profile_images/699878662313746432/BuMJ4YhB_normal.jpg" xr:uid="{7EAB81D1-B203-4408-A595-7803245CAF43}"/>
    <hyperlink ref="B2818" r:id="rId8706" display="https://twitter.com/deutch_az" xr:uid="{A5544F59-D9A0-4BCE-80B0-65EA611B8E41}"/>
    <hyperlink ref="E2818" r:id="rId8707" display="https://twitter.com/deutch_az/status/723402913616293888" xr:uid="{47B00C53-3938-4692-BD70-CEA17D86DCC2}"/>
    <hyperlink ref="O2818" r:id="rId8708" display="https://pbs.twimg.com/profile_images/659295730222280705/W1FqHCVo_normal.jpg" xr:uid="{2D2C9C01-663C-4E39-A23D-10202D7FEE65}"/>
    <hyperlink ref="B2819" r:id="rId8709" display="https://twitter.com/dialz16" xr:uid="{F97445F9-60FE-451B-BF31-8B98BE863B4F}"/>
    <hyperlink ref="E2819" r:id="rId8710" display="https://twitter.com/dialz16/status/723403006486552576" xr:uid="{4DD93846-FB23-4F4A-B7D7-ADDC4E244863}"/>
    <hyperlink ref="O2819" r:id="rId8711" display="https://pbs.twimg.com/profile_images/663751331430141952/pqnM4ICz_normal.jpg" xr:uid="{0A1A6522-82A4-4C25-A74A-4836398AF5D3}"/>
    <hyperlink ref="B2820" r:id="rId8712" display="https://twitter.com/VolkerVotsmeier" xr:uid="{3EC14E8E-7AC5-4B35-9152-7B4E203DFEC2}"/>
    <hyperlink ref="E2820" r:id="rId8713" display="https://twitter.com/VolkerVotsmeier/status/723403051780837376" xr:uid="{AC3631EC-E97F-4C1E-8460-F3B7C87AA6A1}"/>
    <hyperlink ref="O2820" r:id="rId8714" display="https://pbs.twimg.com/profile_images/507897198911053824/7OqYAonJ_normal.jpeg" xr:uid="{5B452B63-A669-434D-8E44-40AB84CF680E}"/>
    <hyperlink ref="B2821" r:id="rId8715" display="https://twitter.com/Kanix007" xr:uid="{E7D31AA0-D603-4CA8-9DB4-E90114DE5D75}"/>
    <hyperlink ref="E2821" r:id="rId8716" display="https://twitter.com/Kanix007/status/723403064518955009" xr:uid="{59EB2F0F-54C2-48BD-96BC-7386F19FCDB5}"/>
    <hyperlink ref="O2821" r:id="rId8717" display="https://pbs.twimg.com/profile_images/692850796598157312/0HMy-Q3Y_normal.jpg" xr:uid="{EC23A0BD-4EE9-4343-A23F-1141275F631A}"/>
    <hyperlink ref="B2822" r:id="rId8718" display="https://twitter.com/DMonigatti" xr:uid="{62B693EE-BE6A-4F6D-A961-A47399A75E13}"/>
    <hyperlink ref="E2822" r:id="rId8719" display="https://twitter.com/DMonigatti/status/723403391536242688" xr:uid="{84FD91AE-D26D-4055-8039-02ACE61F9E39}"/>
    <hyperlink ref="O2822" r:id="rId8720" display="https://pbs.twimg.com/profile_images/2999836477/4d9c72a43686f65998c0622a06942dd8_normal.jpeg" xr:uid="{A3141267-74C5-4EE4-9F73-EABCF8116CA2}"/>
    <hyperlink ref="B2823" r:id="rId8721" display="https://twitter.com/cmsGOMEX" xr:uid="{11259E19-3C4F-4D0F-ADED-3F9404BA082D}"/>
    <hyperlink ref="E2823" r:id="rId8722" display="https://twitter.com/cmsGOMEX/status/723403484284878848" xr:uid="{D8A215B3-0FC7-4A5E-A6CE-8FAE613D5230}"/>
    <hyperlink ref="O2823" r:id="rId8723" display="https://pbs.twimg.com/profile_images/472298206483607552/UogAMiRI_normal.png" xr:uid="{B89E6452-0481-4A76-B729-E9A9E7F25522}"/>
    <hyperlink ref="B2824" r:id="rId8724" display="https://twitter.com/tazgezwitscher" xr:uid="{81AFFB35-5B92-4FA0-94E2-AD3E06B0F7C2}"/>
    <hyperlink ref="E2824" r:id="rId8725" display="https://twitter.com/tazgezwitscher/status/723403735049736192" xr:uid="{A2D34729-53BF-4DD5-93C6-65BA2942008C}"/>
    <hyperlink ref="O2824" r:id="rId8726" display="https://pbs.twimg.com/profile_images/454280998159532032/Pq43tr1F_normal.png" xr:uid="{15B99B99-74A9-47FE-A6B2-CFCB675A6B30}"/>
    <hyperlink ref="B2825" r:id="rId8727" display="https://twitter.com/VWCamperSales" xr:uid="{2FE53923-2823-49AE-9FE7-E39DC52087CE}"/>
    <hyperlink ref="E2825" r:id="rId8728" display="https://twitter.com/VWCamperSales/status/723403983436402689" xr:uid="{0B2AF8A9-F2D8-4D9A-B6E3-73BCC6FAE8B6}"/>
    <hyperlink ref="F2825" r:id="rId8729" xr:uid="{4D750ABD-9D68-450C-B622-843DCD214901}"/>
    <hyperlink ref="O2825" r:id="rId8730" display="https://pbs.twimg.com/profile_images/627949001179037696/skEBkS05_normal.jpg" xr:uid="{1A382817-A98F-46BA-89B1-E0D8361E2507}"/>
    <hyperlink ref="B2826" r:id="rId8731" display="https://twitter.com/VWCamperSales" xr:uid="{62B77A76-94F8-4DD8-A221-105E4041B8FB}"/>
    <hyperlink ref="E2826" r:id="rId8732" display="https://twitter.com/VWCamperSales/status/723403986762485760" xr:uid="{E24CD922-7C88-4CE1-8D17-30AA87E101A5}"/>
    <hyperlink ref="F2826" r:id="rId8733" xr:uid="{ED7EB302-EE11-4C04-B13C-453DEC2F2D68}"/>
    <hyperlink ref="O2826" r:id="rId8734" display="https://pbs.twimg.com/profile_images/627949001179037696/skEBkS05_normal.jpg" xr:uid="{FAA53F38-A387-4E7A-8883-D51FF618B6A7}"/>
    <hyperlink ref="B2827" r:id="rId8735" display="https://twitter.com/handelsblatt" xr:uid="{5E1F6AA9-EBFA-453B-B66B-EE22AA8D2097}"/>
    <hyperlink ref="E2827" r:id="rId8736" display="https://twitter.com/handelsblatt/status/723404017200586753" xr:uid="{3DEB57F0-2E57-445F-A0F9-7E73284D5F3E}"/>
    <hyperlink ref="O2827" r:id="rId8737" display="https://pbs.twimg.com/profile_images/562563461171798017/AkHF4keI_normal.png" xr:uid="{4ACB3C68-7A1F-4276-AC48-0BD31D6BB412}"/>
    <hyperlink ref="B2828" r:id="rId8738" display="https://twitter.com/Insta_Lego" xr:uid="{0893F999-061F-4DAA-8192-9AB6B882B75C}"/>
    <hyperlink ref="E2828" r:id="rId8739" display="https://twitter.com/Insta_Lego/status/723404171056041985" xr:uid="{4537AE2D-62E2-4C56-9866-8973DFBCF848}"/>
    <hyperlink ref="O2828" r:id="rId8740" display="https://pbs.twimg.com/profile_images/428101261989122048/m96h9SFV_normal.jpeg" xr:uid="{1386EAB4-651A-4528-AA72-852EFEB033C4}"/>
    <hyperlink ref="B2829" r:id="rId8741" display="https://twitter.com/MartinTriker" xr:uid="{0CDD5CD1-A6EB-4B04-ACD7-CD070CACE81E}"/>
    <hyperlink ref="E2829" r:id="rId8742" display="https://twitter.com/MartinTriker/status/723404304850161664" xr:uid="{066B1519-28DA-4CB6-A49F-5EFA9F054654}"/>
    <hyperlink ref="O2829" r:id="rId8743" display="https://pbs.twimg.com/profile_images/679601052325416960/dCWFENi-_normal.jpg" xr:uid="{FBC1F26B-9432-453D-92A5-3293C7CB4281}"/>
    <hyperlink ref="B2830" r:id="rId8744" display="https://twitter.com/LGlimm" xr:uid="{35FA70BF-F5EF-4B5A-9142-66F1BB187DE2}"/>
    <hyperlink ref="E2830" r:id="rId8745" display="https://twitter.com/LGlimm/status/723404449813651456" xr:uid="{6347AAC5-C2BB-441E-B66F-F6DF80CD76B5}"/>
    <hyperlink ref="O2830" r:id="rId8746" display="https://pbs.twimg.com/profile_images/378800000695047180/29e744def32e796e78ace7f04ccadc69_normal.jpeg" xr:uid="{776A11E8-2079-410F-9DD5-4F06569383EA}"/>
    <hyperlink ref="B2831" r:id="rId8747" display="https://twitter.com/aktienboersen" xr:uid="{04105101-ECAF-4E63-A4C1-EFBBFB54157A}"/>
    <hyperlink ref="E2831" r:id="rId8748" display="https://twitter.com/aktienboersen/status/723404630957268993" xr:uid="{1E47DEFE-0492-4AF3-82B8-3DC054B94540}"/>
    <hyperlink ref="O2831" r:id="rId8749" display="https://pbs.twimg.com/profile_images/378800000845025515/04b4cc9dbcccb348e257afe7bbbdc348_normal.jpeg" xr:uid="{DEE51DBE-544D-4E18-8D09-CB40D6386D86}"/>
    <hyperlink ref="B2832" r:id="rId8750" display="https://twitter.com/meckergecko" xr:uid="{5BA4B708-B1ED-4D01-98CF-85DB0CBCA3FF}"/>
    <hyperlink ref="E2832" r:id="rId8751" display="https://twitter.com/meckergecko/status/723404694081572864" xr:uid="{0A3A64CB-0FD1-41F0-9FA4-D27BC480F18F}"/>
    <hyperlink ref="O2832" r:id="rId8752" display="https://pbs.twimg.com/profile_images/682309511789588480/evMIH9hg_normal.jpg" xr:uid="{1E116ADB-F184-4239-B40C-2EE0FF951ECC}"/>
    <hyperlink ref="B2833" r:id="rId8753" display="https://twitter.com/pixilla" xr:uid="{D5134985-01A6-4DA6-9E6D-CD1C6E3E5F65}"/>
    <hyperlink ref="E2833" r:id="rId8754" display="https://twitter.com/pixilla/status/723404705146097666" xr:uid="{1DAF65E3-20DD-4C82-A231-3F7D68DC82A4}"/>
    <hyperlink ref="O2833" r:id="rId8755" display="https://pbs.twimg.com/profile_images/488051398383521792/O2sEmC2L_normal.jpeg" xr:uid="{98AAFBB1-B8A4-4927-B5FB-792A275BED94}"/>
    <hyperlink ref="B2834" r:id="rId8756" display="https://twitter.com/doern" xr:uid="{962734C0-8CDC-4B07-9454-533A816ADD55}"/>
    <hyperlink ref="E2834" r:id="rId8757" display="https://twitter.com/doern/status/723404846284427264" xr:uid="{65A66F78-F8B6-4737-AA33-21C214E0923E}"/>
    <hyperlink ref="O2834" r:id="rId8758" display="https://pbs.twimg.com/profile_images/657853466384191488/J6vAnfZr_normal.jpg" xr:uid="{A4030472-2C9A-4422-904D-C65A29B54133}"/>
    <hyperlink ref="B2835" r:id="rId8759" display="https://twitter.com/DLFNachrichten" xr:uid="{C909812F-8EA6-4B6E-BB91-B88EFA6E7925}"/>
    <hyperlink ref="E2835" r:id="rId8760" display="https://twitter.com/DLFNachrichten/status/723405268705402880" xr:uid="{58E60A35-EB58-4288-A6D5-386233F602A3}"/>
    <hyperlink ref="O2835" r:id="rId8761" display="https://pbs.twimg.com/profile_images/669541061711261696/eOfP0YD8_normal.png" xr:uid="{F4AA2EFB-339D-4C6A-8BEE-846F50CA54BB}"/>
    <hyperlink ref="B2836" r:id="rId8762" display="https://twitter.com/DLF" xr:uid="{C585930E-6AA3-4527-9873-69E15A288DA6}"/>
    <hyperlink ref="E2836" r:id="rId8763" display="https://twitter.com/DLF/status/723405310212198400" xr:uid="{3E05BF92-E23F-4FBB-A623-FA1CC490DBB7}"/>
    <hyperlink ref="O2836" r:id="rId8764" display="https://pbs.twimg.com/profile_images/667101948429123584/pzpPHONX_normal.jpg" xr:uid="{42CCA12C-5A82-4697-94FE-053657AECD7F}"/>
    <hyperlink ref="B2837" r:id="rId8765" display="https://twitter.com/absieber" xr:uid="{0C56EDD4-DFF7-4C16-BDC6-DF8006222DE9}"/>
    <hyperlink ref="E2837" r:id="rId8766" display="https://twitter.com/absieber/status/723405495856300033" xr:uid="{78A56706-0EE3-4DFA-9780-5F8B6C3E824E}"/>
    <hyperlink ref="O2837" r:id="rId8767" display="https://pbs.twimg.com/profile_images/666627060715151360/GZ0yxrDk_normal.jpg" xr:uid="{4827BE12-9283-4653-8FAA-AE08C3CF1625}"/>
    <hyperlink ref="B2838" r:id="rId8768" display="https://twitter.com/rschu" xr:uid="{33A12D2B-8BCC-425E-9B1F-F95F23322E1A}"/>
    <hyperlink ref="E2838" r:id="rId8769" display="https://twitter.com/rschu/status/723405548687781888" xr:uid="{01A6C182-23B3-4971-B06C-CAB5CABF1597}"/>
    <hyperlink ref="O2838" r:id="rId8770" display="https://pbs.twimg.com/profile_images/723380553832001536/OPuQOBXS_normal.jpg" xr:uid="{4F70F27F-A9F8-4C6E-8C80-4A7170728E37}"/>
    <hyperlink ref="B2839" r:id="rId8771" display="https://twitter.com/VanstoreUK" xr:uid="{C6AD758E-98BF-416E-BA67-8C1FCB445FDA}"/>
    <hyperlink ref="E2839" r:id="rId8772" display="https://twitter.com/VanstoreUK/status/723405759346659329" xr:uid="{23BDAFF4-9CE7-46B0-8B3C-1D47CA424A94}"/>
    <hyperlink ref="O2839" r:id="rId8773" display="https://pbs.twimg.com/profile_images/628307411879727104/JXWypqw9_normal.jpg" xr:uid="{8F0DBD51-6EEA-432E-A788-85EACE4610F3}"/>
    <hyperlink ref="B2840" r:id="rId8774" display="https://twitter.com/hameles" xr:uid="{E5E6EB3F-CFA2-436F-B293-E20095691FD7}"/>
    <hyperlink ref="E2840" r:id="rId8775" display="https://twitter.com/hameles/status/723405904335376384" xr:uid="{4E884C14-E7E3-4048-8D21-5AB75113CACF}"/>
    <hyperlink ref="O2840" r:id="rId8776" display="https://pbs.twimg.com/profile_images/720884007152394240/OWYVobwN_normal.jpg" xr:uid="{CC0CB3CD-EAA0-4F37-BFB7-EBDA818A5DA2}"/>
    <hyperlink ref="B2841" r:id="rId8777" display="https://twitter.com/amsonline" xr:uid="{BB9EA289-33C8-4F5E-B32B-FEC54649D2CA}"/>
    <hyperlink ref="E2841" r:id="rId8778" display="https://twitter.com/amsonline/status/723406032920141826" xr:uid="{B8A15157-12DC-40AB-B6F7-32509073713D}"/>
    <hyperlink ref="O2841" r:id="rId8779" display="https://pbs.twimg.com/profile_images/458901987019333632/7FGKPDVB_normal.png" xr:uid="{5B7362D3-903D-4F1B-A3F4-1B032CFF5F9A}"/>
    <hyperlink ref="B2842" r:id="rId8780" display="https://twitter.com/wiwo" xr:uid="{A7FDD516-D40F-4646-8D8B-8C5F3F73B077}"/>
    <hyperlink ref="E2842" r:id="rId8781" display="https://twitter.com/wiwo/status/723406327268003840" xr:uid="{47498DAA-9355-40CD-BBA8-48A8B44A8335}"/>
    <hyperlink ref="O2842" r:id="rId8782" display="https://pbs.twimg.com/profile_images/596378323128836096/23C3DVmy_normal.jpg" xr:uid="{93C0A742-F9C0-4545-A36D-FB63E1C0B0AE}"/>
    <hyperlink ref="B2843" r:id="rId8783" display="https://twitter.com/AlexWitzleben" xr:uid="{00304D8B-3C72-49D8-915C-0F0EFE2B912F}"/>
    <hyperlink ref="E2843" r:id="rId8784" display="https://twitter.com/AlexWitzleben/status/723406611889311744" xr:uid="{66ABB7EA-AA03-4000-B3F1-7CE2818EAA96}"/>
    <hyperlink ref="O2843" r:id="rId8785" display="https://pbs.twimg.com/profile_images/1913087124/AvW_website_normal.jpg" xr:uid="{672C5A82-09EB-44EF-B4D1-6FAE836862D6}"/>
    <hyperlink ref="B2844" r:id="rId8786" display="https://twitter.com/JoachimHeck" xr:uid="{BAA167AF-663F-4FDB-893F-771D1DF653CA}"/>
    <hyperlink ref="E2844" r:id="rId8787" display="https://twitter.com/JoachimHeck/status/723406868245155840" xr:uid="{1FBEC99B-FEF3-458B-8E0C-614F89F91299}"/>
    <hyperlink ref="O2844" r:id="rId8788" display="https://pbs.twimg.com/profile_images/378800000566378572/084cb3103fd97db6ea2fcb90b2ea5dc7_normal.jpeg" xr:uid="{BF9D6C51-0A7E-4473-B594-938FCE82EB5C}"/>
    <hyperlink ref="B2845" r:id="rId8789" display="https://twitter.com/TechXB" xr:uid="{11622FFE-4542-4AA1-88E2-E28C43580865}"/>
    <hyperlink ref="E2845" r:id="rId8790" display="https://twitter.com/TechXB/status/723406951791521792" xr:uid="{3E536F8D-D62E-4031-9F5C-592A948E75D6}"/>
    <hyperlink ref="O2845" r:id="rId8791" display="https://pbs.twimg.com/profile_images/2679762722/946e3e1372fd9cf7c92ed14c414d3a4a_normal.png" xr:uid="{FE0D02AC-20F3-4BD7-BB65-2FED64988C2A}"/>
    <hyperlink ref="B2846" r:id="rId8792" display="https://twitter.com/TGotmar" xr:uid="{42B4D845-974A-413F-B57D-335D3454107B}"/>
    <hyperlink ref="E2846" r:id="rId8793" display="https://twitter.com/TGotmar/status/723407064932839424" xr:uid="{9DE2B9B8-B6F0-449E-8407-947A5D592C56}"/>
    <hyperlink ref="O2846" r:id="rId8794" display="https://pbs.twimg.com/profile_images/378800000672586174/96c91a1755d0155d307483d48ec1c301_normal.jpeg" xr:uid="{764C9057-6FA2-4074-860D-2A2DFD8F0C86}"/>
    <hyperlink ref="B2847" r:id="rId8795" display="https://twitter.com/Lennetaler" xr:uid="{952184CA-DC65-4177-916A-4F42F1583846}"/>
    <hyperlink ref="E2847" r:id="rId8796" display="https://twitter.com/Lennetaler/status/723407372039802881" xr:uid="{099D9F0C-4D84-4644-BC47-EDC108FC62C6}"/>
    <hyperlink ref="O2847" r:id="rId8797" display="https://pbs.twimg.com/profile_images/577231841125515264/jZ2QV5wr_normal.jpeg" xr:uid="{DBF7A663-3EFB-4668-B3DE-B174240E8D26}"/>
    <hyperlink ref="B2848" r:id="rId8798" display="https://twitter.com/conkers3" xr:uid="{C25F0B37-BDA6-40B1-B55F-2F89F3E0DB62}"/>
    <hyperlink ref="E2848" r:id="rId8799" display="https://twitter.com/conkers3/status/723407483096563712" xr:uid="{D6BF6AFB-91FF-4B22-9713-5784EB6AC11D}"/>
    <hyperlink ref="O2848" r:id="rId8800" display="https://pbs.twimg.com/profile_images/3601856046/89deb5d36c9951092d953fa6050d5fbc_normal.jpeg" xr:uid="{F321D809-229D-4FCE-A886-3C38208CF7C9}"/>
    <hyperlink ref="B2849" r:id="rId8801" display="https://twitter.com/alphazeichen" xr:uid="{93523A0D-06A2-4FFD-AF35-68EB74CDA700}"/>
    <hyperlink ref="E2849" r:id="rId8802" display="https://twitter.com/alphazeichen/status/723407757190139904" xr:uid="{B0A85948-904E-40D7-9973-E40F03F2DD2D}"/>
    <hyperlink ref="O2849" r:id="rId8803" display="https://pbs.twimg.com/profile_images/1447474623/dfdf_normal.jpg" xr:uid="{51628E50-B873-4C83-845D-A229DF1589EA}"/>
    <hyperlink ref="B2850" r:id="rId8804" display="https://twitter.com/CollectHW" xr:uid="{6390AF8D-FBC4-4562-8B80-3FA1C519933F}"/>
    <hyperlink ref="E2850" r:id="rId8805" display="https://twitter.com/CollectHW/status/723407929420836865" xr:uid="{862D01EE-C1B7-42BA-880C-DC5B874B1716}"/>
    <hyperlink ref="O2850" r:id="rId8806" display="https://pbs.twimg.com/profile_images/522469771573350400/e5WjUwRr_normal.png" xr:uid="{5B63586B-E6D4-4CF9-89B3-635C16F417FE}"/>
    <hyperlink ref="B2851" r:id="rId8807" display="https://twitter.com/sagaron62" xr:uid="{99404288-5947-4C3C-A66B-28CFA8823417}"/>
    <hyperlink ref="E2851" r:id="rId8808" display="https://twitter.com/sagaron62/status/723408081950937092" xr:uid="{D9315405-6831-4142-B1E6-817FAF536681}"/>
    <hyperlink ref="O2851" r:id="rId8809" display="https://pbs.twimg.com/profile_images/722770349134372864/uH_DeX25_normal.jpg" xr:uid="{2E7C5593-E2FE-4FFD-BADF-6C94071CDBC6}"/>
    <hyperlink ref="B2852" r:id="rId8810" display="https://twitter.com/Marlowe_yuyang" xr:uid="{83E92E9C-A078-49AD-8773-A169A0F4E06C}"/>
    <hyperlink ref="E2852" r:id="rId8811" display="https://twitter.com/Marlowe_yuyang/status/723408277262848000" xr:uid="{197E4A69-71FF-491C-A353-97B23FE9259B}"/>
    <hyperlink ref="O2852" r:id="rId8812" display="https://pbs.twimg.com/profile_images/1542372733/icon13004942018967_normal.jpg" xr:uid="{6A5CD660-FAF3-4C95-8955-0CBD71546734}"/>
    <hyperlink ref="B2853" r:id="rId8813" display="https://twitter.com/bvdvliet" xr:uid="{E0FEEE38-7BC1-4EF3-8804-447A69ABFB90}"/>
    <hyperlink ref="E2853" r:id="rId8814" display="https://twitter.com/bvdvliet/status/723408506305421312" xr:uid="{71D5AD47-C09A-45C1-AB23-EA591E468942}"/>
    <hyperlink ref="O2853" r:id="rId8815" display="https://pbs.twimg.com/profile_images/378800000747750946/394d9f0f5e6dde5137683d9c98c5c8a9_normal.jpeg" xr:uid="{BA24B87E-9073-4D39-9B50-0E81C0E20BBC}"/>
    <hyperlink ref="B2854" r:id="rId8816" display="https://twitter.com/1lotscalper_fx" xr:uid="{54B72A96-925E-45B4-8DAE-8A85A26006FA}"/>
    <hyperlink ref="E2854" r:id="rId8817" display="https://twitter.com/1lotscalper_fx/status/723408512961769476" xr:uid="{734B2D06-3871-41DC-BBD2-77059DD687E9}"/>
    <hyperlink ref="O2854" r:id="rId8818" display="https://pbs.twimg.com/profile_images/698793430357557248/N9l-eHCj_normal.jpg" xr:uid="{ACDDF5D6-6F74-4A09-83EB-08B5ACEF7F7C}"/>
    <hyperlink ref="B2855" r:id="rId8819" display="https://twitter.com/carstenhons" xr:uid="{1818415F-F67F-486E-97D8-6AA8F3731552}"/>
    <hyperlink ref="E2855" r:id="rId8820" display="https://twitter.com/carstenhons/status/723408554212745216" xr:uid="{FF7FBE3D-4EAF-42D0-B731-3746B2D33651}"/>
    <hyperlink ref="O2855" r:id="rId8821" display="https://pbs.twimg.com/profile_images/621570608112009216/jKsR35-x_normal.png" xr:uid="{E0219AD8-16E0-4612-AE5C-CB4DD8D1A8E4}"/>
    <hyperlink ref="B2856" r:id="rId8822" display="https://twitter.com/dinsinstudio" xr:uid="{C7D7FED0-F0D6-4FD2-80D5-5B229D63A576}"/>
    <hyperlink ref="E2856" r:id="rId8823" display="https://twitter.com/dinsinstudio/status/723408556226023424" xr:uid="{558542D9-ACA7-4110-81CF-9DCFAE7A6D8E}"/>
    <hyperlink ref="O2856" r:id="rId8824" display="https://pbs.twimg.com/profile_images/622695888826273792/OVfZM4BZ_normal.png" xr:uid="{8AAABA51-9FDF-4F62-9E26-6E14EE7D42CF}"/>
    <hyperlink ref="B2857" r:id="rId8825" display="https://twitter.com/bvdvliet" xr:uid="{F87B5F17-6A77-411D-83AF-F5ACA2FB585E}"/>
    <hyperlink ref="E2857" r:id="rId8826" display="https://twitter.com/bvdvliet/status/723408570788646912" xr:uid="{9C4BA010-63E8-4479-AFFC-D65DBA371FF0}"/>
    <hyperlink ref="O2857" r:id="rId8827" display="https://pbs.twimg.com/profile_images/378800000747750946/394d9f0f5e6dde5137683d9c98c5c8a9_normal.jpeg" xr:uid="{0163C7CC-F7E3-4FD0-B3AD-C5F4A9273EC4}"/>
    <hyperlink ref="B2858" r:id="rId8828" display="https://twitter.com/bayl" xr:uid="{DC5C5EB8-0976-41CF-A973-8353A81969BD}"/>
    <hyperlink ref="E2858" r:id="rId8829" display="https://twitter.com/bayl/status/723408584231387136" xr:uid="{E0EB9CB1-DC7C-4090-B6D7-190C1B65B92E}"/>
    <hyperlink ref="O2858" r:id="rId8830" display="https://pbs.twimg.com/profile_images/438619338942062592/OBEQvg6R_normal.jpeg" xr:uid="{70D6EB6B-C125-40D6-B8E5-50CF8F9D9959}"/>
    <hyperlink ref="B2859" r:id="rId8831" display="https://twitter.com/iViewing" xr:uid="{9AC09FC5-02CE-4FCB-BF22-9E743EC13668}"/>
    <hyperlink ref="E2859" r:id="rId8832" display="https://twitter.com/iViewing/status/723408703395766272" xr:uid="{F1DF0FFA-447A-469F-83D9-82EB3563FFFE}"/>
    <hyperlink ref="O2859" r:id="rId8833" display="https://pbs.twimg.com/profile_images/562896994444660736/WXXcgjVw_normal.png" xr:uid="{F17071AE-87F8-4800-9BCC-1E6B6AABBEFF}"/>
    <hyperlink ref="B2860" r:id="rId8834" display="https://twitter.com/b_riexinger" xr:uid="{AC033DF1-7302-4644-8293-1C00CC769C70}"/>
    <hyperlink ref="E2860" r:id="rId8835" display="https://twitter.com/b_riexinger/status/723408727387176962" xr:uid="{D65F5F3C-CB62-4FA2-B0E7-50EBEEAED07E}"/>
    <hyperlink ref="O2860" r:id="rId8836" display="https://pbs.twimg.com/profile_images/644848820422115329/swEcX4CR_normal.jpg" xr:uid="{A12827A0-E581-448A-8D12-907EEEA43CFE}"/>
    <hyperlink ref="B2861" r:id="rId8837" display="https://twitter.com/weare_van" xr:uid="{FFF4773C-371C-4BCF-8B2E-B8375EFAFB7E}"/>
    <hyperlink ref="E2861" r:id="rId8838" display="https://twitter.com/weare_van/status/723408867351093248" xr:uid="{7A4AF528-5BCF-4842-8AC1-9E2211B26133}"/>
    <hyperlink ref="O2861" r:id="rId8839" display="https://pbs.twimg.com/profile_images/707176643509538817/-s_VKgK4_normal.jpg" xr:uid="{117FE733-7719-49CC-A10E-DA07AA94D784}"/>
    <hyperlink ref="B2862" r:id="rId8840" display="https://twitter.com/GregorKuhn_IG" xr:uid="{FAC3FCE1-6B19-47DC-A8CD-3EDF817C6F6A}"/>
    <hyperlink ref="E2862" r:id="rId8841" display="https://twitter.com/GregorKuhn_IG/status/723408903963189248" xr:uid="{D7BD73FF-DA45-44BB-B14E-251655DA855E}"/>
    <hyperlink ref="O2862" r:id="rId8842" display="https://pbs.twimg.com/profile_images/443800157289590784/WmUhfykz_normal.jpeg" xr:uid="{6513AFF1-C654-4623-8BAE-8F4260CFB814}"/>
    <hyperlink ref="B2863" r:id="rId8843" display="https://twitter.com/MedAgness" xr:uid="{E2C52359-66F3-449F-9568-094D57E30032}"/>
    <hyperlink ref="E2863" r:id="rId8844" display="https://twitter.com/MedAgness/status/723409022330638336" xr:uid="{44608272-4F33-491C-ACD2-4819A92911B4}"/>
    <hyperlink ref="O2863" r:id="rId8845" display="https://pbs.twimg.com/profile_images/631084316802482176/y_wtMQWR_normal.png" xr:uid="{300A3AA6-C60B-4125-A544-D30336778B7E}"/>
    <hyperlink ref="B2864" r:id="rId8846" display="https://twitter.com/drnicnic" xr:uid="{D845497C-822D-4D53-8CF7-A5827F7709D7}"/>
    <hyperlink ref="E2864" r:id="rId8847" display="https://twitter.com/drnicnic/status/723409033281982464" xr:uid="{A18B965E-66F2-49C4-AE11-9FCD8FC51A31}"/>
    <hyperlink ref="O2864" r:id="rId8848" display="https://pbs.twimg.com/profile_images/378800000497561937/9240096a6e2301504ecc798a461ad54b_normal.jpeg" xr:uid="{25030FF9-46FC-4E43-9079-4316EAD4A2F6}"/>
    <hyperlink ref="B2865" r:id="rId8849" display="https://twitter.com/conkers3" xr:uid="{B1732456-5109-4BDC-9A43-24C9B5A8FB92}"/>
    <hyperlink ref="E2865" r:id="rId8850" display="https://twitter.com/conkers3/status/723409272592175104" xr:uid="{35739235-1E56-425E-8B79-529A887F54C7}"/>
    <hyperlink ref="O2865" r:id="rId8851" display="https://pbs.twimg.com/profile_images/3601856046/89deb5d36c9951092d953fa6050d5fbc_normal.jpeg" xr:uid="{20473ED7-750D-4BD3-8FC9-ED794ADC7046}"/>
    <hyperlink ref="B2866" r:id="rId8852" display="https://twitter.com/AndreasAndy3131" xr:uid="{D2CBD2BF-1C45-450B-AA16-E52E56C03EA9}"/>
    <hyperlink ref="E2866" r:id="rId8853" display="https://twitter.com/AndreasAndy3131/status/723409404775661568" xr:uid="{189B52BF-8694-4B2C-9096-9013BE976893}"/>
    <hyperlink ref="O2866" r:id="rId8854" display="https://pbs.twimg.com/profile_images/705409156363063296/L-9HeIjW_normal.jpg" xr:uid="{211D861B-F3D2-45FD-9690-7901AE9229CE}"/>
    <hyperlink ref="B2867" r:id="rId8855" display="https://twitter.com/vwpress_de" xr:uid="{04F53949-FC0B-4B69-93B8-EC923051D82F}"/>
    <hyperlink ref="E2867" r:id="rId8856" display="https://twitter.com/vwpress_de/status/723409435297619968" xr:uid="{C7C62ED2-0A4B-4003-97BE-BD4CDE52857B}"/>
    <hyperlink ref="O2867" r:id="rId8857" display="https://pbs.twimg.com/profile_images/682117656502222848/Ge7YeAF3_normal.png" xr:uid="{3A5CDB17-511D-4BD0-9C7D-5C729A81F4D6}"/>
    <hyperlink ref="B2868" r:id="rId8858" display="https://twitter.com/Autohaasgroep" xr:uid="{97980854-9BD9-4164-86F2-A6C1DE391E9D}"/>
    <hyperlink ref="E2868" r:id="rId8859" display="https://twitter.com/Autohaasgroep/status/723409544823472130" xr:uid="{D6CD9242-ADD2-4BDA-8F1A-C01323753AC7}"/>
    <hyperlink ref="O2868" r:id="rId8860" display="https://pbs.twimg.com/profile_images/595219662083858432/frlAE-zM_normal.jpg" xr:uid="{799E1EC0-3A08-4160-89B9-E0BC845DCACB}"/>
    <hyperlink ref="B2869" r:id="rId8861" display="https://twitter.com/SJudzikowski" xr:uid="{328BD9F7-5972-4578-B266-00FEBD075303}"/>
    <hyperlink ref="E2869" r:id="rId8862" display="https://twitter.com/SJudzikowski/status/723409680983171073" xr:uid="{BD5F424B-1E68-43BD-B6E2-1BFD2DF4CA0A}"/>
    <hyperlink ref="O2869" r:id="rId8863" display="https://pbs.twimg.com/profile_images/2926889758/6c12a00a945f3cc781b09cdea18c5686_normal.jpeg" xr:uid="{C6793E6E-3F84-4BCB-8ECA-9B10FE2DAC07}"/>
    <hyperlink ref="B2870" r:id="rId8864" display="https://twitter.com/Frontal21" xr:uid="{238C4D4C-6499-4918-9CA8-11735233AEE1}"/>
    <hyperlink ref="E2870" r:id="rId8865" display="https://twitter.com/Frontal21/status/723409807999258624" xr:uid="{37F0F628-1077-4890-843B-1309D84F389F}"/>
    <hyperlink ref="O2870" r:id="rId8866" display="https://pbs.twimg.com/profile_images/2783814203/4b5dc0bf52ddee4fe7fcfee4cb816dea_normal.jpeg" xr:uid="{5084C2B9-24C6-4690-A0E0-A0A1EE992F8C}"/>
    <hyperlink ref="B2871" r:id="rId8867" display="https://twitter.com/boersenblogger" xr:uid="{1EB42B08-5979-4DD1-90D0-7110A37709BB}"/>
    <hyperlink ref="E2871" r:id="rId8868" display="https://twitter.com/boersenblogger/status/723409840828084224" xr:uid="{7B276F86-E506-4012-B2D3-22DAEE4F5253}"/>
    <hyperlink ref="O2871" r:id="rId8869" display="https://pbs.twimg.com/profile_images/671764635/Diblo_Twitter_normal.jpg" xr:uid="{C08F7148-1139-424E-8800-5B7F9DE925F9}"/>
    <hyperlink ref="B2872" r:id="rId8870" display="https://twitter.com/panicswitch777" xr:uid="{5DC84516-E49F-49DF-8C51-794894037C6A}"/>
    <hyperlink ref="E2872" r:id="rId8871" display="https://twitter.com/panicswitch777/status/723409844930109440" xr:uid="{1563B793-8A22-4E4E-A2E6-61915E0489D5}"/>
    <hyperlink ref="O2872" r:id="rId8872" display="https://pbs.twimg.com/profile_images/661248829682024449/IlOGOPEg_normal.jpg" xr:uid="{8E1E3EC0-7E8A-4317-AC46-4E5C3E7C68F1}"/>
    <hyperlink ref="B2873" r:id="rId8873" display="https://twitter.com/Theothebald" xr:uid="{DCF67FB4-C71D-4FF9-BA3E-54F6A00BA8D1}"/>
    <hyperlink ref="E2873" r:id="rId8874" display="https://twitter.com/Theothebald/status/723409912823320576" xr:uid="{EA583819-CCA6-4923-AFC3-3CEA63D38CD9}"/>
    <hyperlink ref="O2873" r:id="rId8875" display="https://pbs.twimg.com/profile_images/2592181176/udsjv0fy0o3b2krnx52h_normal.jpeg" xr:uid="{6AE8603D-C7F5-45E1-B3B8-3063D1911B65}"/>
    <hyperlink ref="B2874" r:id="rId8876" display="https://twitter.com/VRwatchingU" xr:uid="{55142A42-E8D0-4D67-82BE-1C26F3121CF4}"/>
    <hyperlink ref="E2874" r:id="rId8877" display="https://twitter.com/VRwatchingU/status/723410052359426048" xr:uid="{70158B99-3B58-4F63-AA95-E08B4C35DEF7}"/>
    <hyperlink ref="O2874" r:id="rId8878" display="https://pbs.twimg.com/profile_images/1616567344/VRwatch2_normal.jpg" xr:uid="{C334AC5A-A851-4802-ABAF-334A3B245B86}"/>
    <hyperlink ref="B2875" r:id="rId8879" display="https://twitter.com/panicswitch777" xr:uid="{D277BA49-0F2A-46BE-B739-ED36443F2BC2}"/>
    <hyperlink ref="E2875" r:id="rId8880" display="https://twitter.com/panicswitch777/status/723410113432686593" xr:uid="{4DCD5504-FEC5-482E-99AD-20808821D851}"/>
    <hyperlink ref="O2875" r:id="rId8881" display="https://pbs.twimg.com/profile_images/661248829682024449/IlOGOPEg_normal.jpg" xr:uid="{5CADCC07-9F17-413E-BD08-C7430D42F3A8}"/>
    <hyperlink ref="B2876" r:id="rId8882" display="https://twitter.com/EsterDiazCortes" xr:uid="{961BFCED-3C9F-4C04-8F6E-FA001F7A544C}"/>
    <hyperlink ref="E2876" r:id="rId8883" display="https://twitter.com/EsterDiazCortes/status/723410260682141696" xr:uid="{C6AC4B07-0636-4FEB-902C-6C9689C5B832}"/>
    <hyperlink ref="O2876" r:id="rId8884" display="https://pbs.twimg.com/profile_images/544873707072917504/jLvcqmB__normal.jpeg" xr:uid="{D4B4D8BE-6476-46BC-8D5B-CD06408159AD}"/>
    <hyperlink ref="B2877" r:id="rId8885" display="https://twitter.com/caro3009" xr:uid="{E6022F48-7EC3-4920-B907-30620E0A5B00}"/>
    <hyperlink ref="E2877" r:id="rId8886" display="https://twitter.com/caro3009/status/723410314369204224" xr:uid="{00854E67-F1DC-4A66-853D-BB5608D59B22}"/>
    <hyperlink ref="O2877" r:id="rId8887" display="https://pbs.twimg.com/profile_images/421932549842436096/nENjZgeQ_normal.jpeg" xr:uid="{49B1F925-F70A-42D3-B4A2-47A20351C0C4}"/>
    <hyperlink ref="B2878" r:id="rId8888" display="https://twitter.com/bvdvliet" xr:uid="{7F13A30B-48A0-4F92-BED5-E76ED2F964AD}"/>
    <hyperlink ref="E2878" r:id="rId8889" display="https://twitter.com/bvdvliet/status/723410347609055232" xr:uid="{9B03A027-D834-49FD-A597-5C05D4C7EBCB}"/>
    <hyperlink ref="O2878" r:id="rId8890" display="https://pbs.twimg.com/profile_images/378800000747750946/394d9f0f5e6dde5137683d9c98c5c8a9_normal.jpeg" xr:uid="{B2001D7F-511F-4D1B-BE04-D8EDC6048227}"/>
    <hyperlink ref="B2879" r:id="rId8891" display="https://twitter.com/coccicab71" xr:uid="{34BBB349-0D1F-4581-AE6F-38AA7E7267D6}"/>
    <hyperlink ref="E2879" r:id="rId8892" display="https://twitter.com/coccicab71/status/723410373223669760" xr:uid="{C80B4017-81B5-4A1F-9C5E-B09E911EB2BC}"/>
    <hyperlink ref="O2879" r:id="rId8893" display="https://pbs.twimg.com/profile_images/3728536184/f8618f162b51e72519303cccedbec92b_normal.jpeg" xr:uid="{D2A325AA-E114-4821-A169-EBE98713222B}"/>
    <hyperlink ref="B2880" r:id="rId8894" display="https://twitter.com/channeldistrib" xr:uid="{1436D152-98C0-495A-A10A-D5E59691F254}"/>
    <hyperlink ref="E2880" r:id="rId8895" display="https://twitter.com/channeldistrib/status/723410471454265345" xr:uid="{D139E644-36C0-4EE6-8E22-78DED4084458}"/>
    <hyperlink ref="O2880" r:id="rId8896" display="https://pbs.twimg.com/profile_images/709312415817662464/Q3B9rxhr_normal.jpg" xr:uid="{C66691F9-3CCD-4080-95CB-8367418B57EE}"/>
    <hyperlink ref="B2881" r:id="rId8897" display="https://twitter.com/bvdvliet" xr:uid="{A28018B6-3700-4DF2-AC34-A99053B4EAB8}"/>
    <hyperlink ref="E2881" r:id="rId8898" display="https://twitter.com/bvdvliet/status/723410582657867776" xr:uid="{244A0B84-CADE-4E4A-A645-F85070A84AE3}"/>
    <hyperlink ref="O2881" r:id="rId8899" display="https://pbs.twimg.com/profile_images/378800000747750946/394d9f0f5e6dde5137683d9c98c5c8a9_normal.jpeg" xr:uid="{73813EE4-203A-4619-BDB0-52E3BECAB420}"/>
    <hyperlink ref="B2882" r:id="rId8900" display="https://twitter.com/Oeli378" xr:uid="{E911CCC0-EB9F-4DD9-88D2-6D57E2F745EF}"/>
    <hyperlink ref="E2882" r:id="rId8901" display="https://twitter.com/Oeli378/status/723410743727521792" xr:uid="{6890154F-CF55-44EA-91A7-5FF7257EDEA9}"/>
    <hyperlink ref="O2882" r:id="rId8902" display="https://pbs.twimg.com/profile_images/445440803906002944/ewbdWuzC_normal.jpeg" xr:uid="{45FAF84A-6B94-402C-B275-B9F755B72CA3}"/>
    <hyperlink ref="B2883" r:id="rId8903" display="https://twitter.com/Beau_AveryxOx" xr:uid="{27538F2F-46CC-4AFD-AFB9-54D8092BB797}"/>
    <hyperlink ref="E2883" r:id="rId8904" display="https://twitter.com/Beau_AveryxOx/status/723410891878764544" xr:uid="{ACA01B98-6C91-4AEF-A388-2CF10680DA56}"/>
    <hyperlink ref="O2883" r:id="rId8905" display="https://pbs.twimg.com/profile_images/719960171628380161/AG1zttUj_normal.jpg" xr:uid="{500DCB74-B635-4519-B1D1-1F582D008B46}"/>
    <hyperlink ref="B2884" r:id="rId8906" display="https://twitter.com/golfturkiye" xr:uid="{CFCDFAF9-89EA-4699-B544-CBB8175C2223}"/>
    <hyperlink ref="E2884" r:id="rId8907" display="https://twitter.com/golfturkiye/status/723410968030539777" xr:uid="{1B046B25-1D6F-4E53-85D7-CA954A82BDB8}"/>
    <hyperlink ref="O2884" r:id="rId8908" display="https://pbs.twimg.com/profile_images/2908590566/828967841f09b515ee36e3dfccea4d28_normal.png" xr:uid="{B4C90F91-0C92-4245-BECB-FA17F0CCFF80}"/>
    <hyperlink ref="B2885" r:id="rId8909" display="https://twitter.com/darksideoftheeg" xr:uid="{12426689-C114-4A28-93FB-A5A723FC6007}"/>
    <hyperlink ref="E2885" r:id="rId8910" display="https://twitter.com/darksideoftheeg/status/723411028608831491" xr:uid="{C670E6D9-BE07-4B35-888E-D6F43ADDA968}"/>
    <hyperlink ref="O2885" r:id="rId8911" display="https://pbs.twimg.com/profile_images/567774105684811776/-3LqVKeU_normal.jpeg" xr:uid="{F413A781-13F3-48E8-88E8-702C301E883F}"/>
    <hyperlink ref="B2886" r:id="rId8912" display="https://twitter.com/nomorequangos" xr:uid="{6F65FCDF-F697-4A3F-BB81-DE26CB78A4A4}"/>
    <hyperlink ref="E2886" r:id="rId8913" display="https://twitter.com/nomorequangos/status/723411204488613889" xr:uid="{508F4CE3-6CFE-41A2-A0CA-08A20E41F210}"/>
    <hyperlink ref="O2886" r:id="rId8914" display="https://pbs.twimg.com/profile_images/515837051506544641/lBNA81-j_normal.jpeg" xr:uid="{A1EFCF55-EE1F-4B22-AB4F-AEF21BFE687F}"/>
    <hyperlink ref="B2887" r:id="rId8915" display="https://twitter.com/starfishstuff" xr:uid="{D67D2E8A-1C84-4334-A195-E2DD8BACE5E5}"/>
    <hyperlink ref="E2887" r:id="rId8916" display="https://twitter.com/starfishstuff/status/723411206363439104" xr:uid="{F766A67D-B141-4CCD-8302-CF3462EFEACE}"/>
    <hyperlink ref="O2887" r:id="rId8917" display="https://pbs.twimg.com/profile_images/697517819697573888/wa-6T68W_normal.jpg" xr:uid="{CC489B3C-B2CD-412C-AC45-24CD59B988A1}"/>
    <hyperlink ref="B2888" r:id="rId8918" display="https://twitter.com/andreasfrey5" xr:uid="{29A423D5-A780-46CE-8B51-9F4FF779341F}"/>
    <hyperlink ref="E2888" r:id="rId8919" display="https://twitter.com/andreasfrey5/status/723411499801169920" xr:uid="{31AB2EA1-9295-4DF4-8335-CD1F99AF618F}"/>
    <hyperlink ref="O2888" r:id="rId8920" display="https://pbs.twimg.com/profile_images/3563929982/6ac34e03a48d926be2a448693ba17dff_normal.jpeg" xr:uid="{E1430D3B-58F7-4A94-B525-3FA4C19BEA06}"/>
    <hyperlink ref="B2889" r:id="rId8921" display="https://twitter.com/RollHardd" xr:uid="{66BCC377-B530-49C2-A849-C5E40050591C}"/>
    <hyperlink ref="E2889" r:id="rId8922" display="https://twitter.com/RollHardd/status/723411746195537921" xr:uid="{37F2EAA9-4464-4864-96CD-7ABA38B1C430}"/>
    <hyperlink ref="O2889" r:id="rId8923" display="https://pbs.twimg.com/profile_images/700351986668072960/jgas1t1D_normal.jpg" xr:uid="{385A400B-A961-45B2-AF1A-87AD7E21E0F0}"/>
    <hyperlink ref="B2890" r:id="rId8924" display="https://twitter.com/Theothebald" xr:uid="{59EE3C16-CF2C-4017-8BB3-8CAE1C3ED355}"/>
    <hyperlink ref="E2890" r:id="rId8925" display="https://twitter.com/Theothebald/status/723411912973635584" xr:uid="{2ECD52CD-D12C-453E-B89D-F313DF8FD4F7}"/>
    <hyperlink ref="O2890" r:id="rId8926" display="https://pbs.twimg.com/profile_images/2592181176/udsjv0fy0o3b2krnx52h_normal.jpeg" xr:uid="{AC0FAE89-DE06-42B7-AD3E-BD6BA65E98CC}"/>
    <hyperlink ref="B2891" r:id="rId8927" display="https://twitter.com/MT_Online" xr:uid="{10490678-5356-439D-BDA7-72CB8E02D96B}"/>
    <hyperlink ref="E2891" r:id="rId8928" display="https://twitter.com/MT_Online/status/723412052237127684" xr:uid="{BA745B02-E7E2-4D43-9098-CE91946E2E63}"/>
    <hyperlink ref="O2891" r:id="rId8929" display="https://pbs.twimg.com/profile_images/1694915873/MT_Icon_normal.jpg" xr:uid="{1A8DD6EB-3829-4306-A038-F0551C76A151}"/>
    <hyperlink ref="B2892" r:id="rId8930" display="https://twitter.com/oekomobil" xr:uid="{0573E187-6FA2-45F6-BD99-99220DCD458C}"/>
    <hyperlink ref="E2892" r:id="rId8931" display="https://twitter.com/oekomobil/status/723412060516687872" xr:uid="{AD31FAED-D0F3-4927-9C2B-44B16F648B80}"/>
    <hyperlink ref="O2892" r:id="rId8932" display="https://pbs.twimg.com/profile_images/703329620259688448/RfdFkFzI_normal.jpg" xr:uid="{C4744F9F-5CCF-4967-A401-B0316BC8D099}"/>
    <hyperlink ref="B2893" r:id="rId8933" display="https://twitter.com/oekomobil" xr:uid="{F44612E0-9F77-4EA5-A463-6E702ABBF560}"/>
    <hyperlink ref="E2893" r:id="rId8934" display="https://twitter.com/oekomobil/status/723412141944934401" xr:uid="{E451C3C4-FCC9-44F9-8AA3-5B7028F3F388}"/>
    <hyperlink ref="O2893" r:id="rId8935" display="https://pbs.twimg.com/profile_images/703329620259688448/RfdFkFzI_normal.jpg" xr:uid="{5ACB603C-3098-47C5-95C8-582AE5AA543F}"/>
    <hyperlink ref="B2894" r:id="rId8936" display="https://twitter.com/EnergieDevlpmt" xr:uid="{E1F58308-0C1E-45D7-9E58-0A9AD5DD89FC}"/>
    <hyperlink ref="E2894" r:id="rId8937" display="https://twitter.com/EnergieDevlpmt/status/723412148026646529" xr:uid="{C170E8A4-B426-4A28-A75E-291AD56A7ABF}"/>
    <hyperlink ref="O2894" r:id="rId8938" display="https://pbs.twimg.com/profile_images/671802073848090624/NQemr0iG_normal.png" xr:uid="{06473A63-9FAB-48D0-924A-7151A539A7AD}"/>
    <hyperlink ref="B2895" r:id="rId8939" display="https://twitter.com/autogazette" xr:uid="{2F96741A-F3C5-4772-8C60-30D8E34A48F9}"/>
    <hyperlink ref="E2895" r:id="rId8940" display="https://twitter.com/autogazette/status/723412169593737216" xr:uid="{15E205D8-7B04-412C-8A5C-04EF8B2C527B}"/>
    <hyperlink ref="O2895" r:id="rId8941" display="https://pbs.twimg.com/profile_images/1170019200/ag_fb_logo_normal.jpg" xr:uid="{2CBD9E1E-420F-48A4-9448-5C9AFAF5A997}"/>
    <hyperlink ref="B2896" r:id="rId8942" display="https://twitter.com/LukeFenek" xr:uid="{F35537CC-0615-4619-88E9-A72FE79B3834}"/>
    <hyperlink ref="E2896" r:id="rId8943" display="https://twitter.com/LukeFenek/status/723412172777218050" xr:uid="{02159DE7-6981-4173-B3D0-D111436F2046}"/>
    <hyperlink ref="O2896" r:id="rId8944" display="https://pbs.twimg.com/profile_images/669858479767576576/TrKosML3_normal.jpg" xr:uid="{71BA61FD-F7FD-4F6D-A577-41B4752B33E8}"/>
    <hyperlink ref="B2897" r:id="rId8945" display="https://twitter.com/wergshy" xr:uid="{8E632AD2-DD2E-4562-821D-9E509487370A}"/>
    <hyperlink ref="E2897" r:id="rId8946" display="https://twitter.com/wergshy/status/723412451107049478" xr:uid="{59F9D993-2871-4299-861F-DF11BF53EEEA}"/>
    <hyperlink ref="O2897" r:id="rId8947" display="https://pbs.twimg.com/profile_images/1687848767/pete_050_normal.JPG" xr:uid="{F219BD92-7695-4FFA-A311-77E2A8431AD2}"/>
    <hyperlink ref="B2898" r:id="rId8948" display="https://twitter.com/LouisPosern" xr:uid="{BA75C3C5-5A1C-4448-A895-D305337E7660}"/>
    <hyperlink ref="E2898" r:id="rId8949" display="https://twitter.com/LouisPosern/status/723412526172532736" xr:uid="{D91B87BE-89CD-4F12-ACEF-80B085B9CCFC}"/>
    <hyperlink ref="O2898" r:id="rId8950" display="https://pbs.twimg.com/profile_images/460768505382457345/L9RQPBW8_normal.jpeg" xr:uid="{4857B41A-14A8-4B17-A42D-35DF5E2EADB6}"/>
    <hyperlink ref="B2899" r:id="rId8951" display="https://twitter.com/Taykra" xr:uid="{F8FA5330-32CA-4158-B42B-0229B5626F78}"/>
    <hyperlink ref="E2899" r:id="rId8952" display="https://twitter.com/Taykra/status/723412546066087937" xr:uid="{A950C537-5097-4ABA-9948-F9BC16AEB256}"/>
    <hyperlink ref="O2899" r:id="rId8953" display="https://pbs.twimg.com/profile_images/678306300988669952/Ur4m2gN8_normal.jpg" xr:uid="{06B407B2-EE1E-45A2-906B-6B3A4751F96A}"/>
    <hyperlink ref="B2900" r:id="rId8954" display="https://twitter.com/LSP_skills" xr:uid="{6200C50F-E82C-4AE1-843A-9D6244E9E781}"/>
    <hyperlink ref="E2900" r:id="rId8955" display="https://twitter.com/LSP_skills/status/723412796587675648" xr:uid="{43D20B3F-90CC-48D0-A13D-7F7E828153D9}"/>
    <hyperlink ref="O2900" r:id="rId8956" display="https://pbs.twimg.com/profile_images/3754568961/ecb09e66d77e82599a123fb12680eed5_normal.png" xr:uid="{F57C5C4A-1467-4461-A23E-145D4FBD9AE7}"/>
    <hyperlink ref="B2901" r:id="rId8957" display="https://twitter.com/MartinTriker" xr:uid="{C4F7F8C7-6053-41FB-B00F-924171B05E5F}"/>
    <hyperlink ref="E2901" r:id="rId8958" display="https://twitter.com/MartinTriker/status/723412933288415237" xr:uid="{97A370DC-C697-42C9-B854-1C91295C3A0C}"/>
    <hyperlink ref="O2901" r:id="rId8959" display="https://pbs.twimg.com/profile_images/679601052325416960/dCWFENi-_normal.jpg" xr:uid="{36DCAD5E-2B57-44D0-8F8F-0CE5CCBB16F2}"/>
    <hyperlink ref="B2902" r:id="rId8960" display="https://twitter.com/GirtsRungainis" xr:uid="{EEEB71F4-C212-457D-91CA-E71050D508A4}"/>
    <hyperlink ref="E2902" r:id="rId8961" display="https://twitter.com/GirtsRungainis/status/723412991262117889" xr:uid="{ED878E3F-05F5-46D1-B42A-DF7ED5BAAE97}"/>
    <hyperlink ref="O2902" r:id="rId8962" display="https://pbs.twimg.com/profile_images/2158844577/prudentia-047-11-200x300_normal.jpg" xr:uid="{C83C09F0-F6EF-4B82-8484-15989E3C5EBB}"/>
    <hyperlink ref="B2903" r:id="rId8963" display="https://twitter.com/MiManske" xr:uid="{CC12B5DD-12F7-414A-90AE-C321A4E866C2}"/>
    <hyperlink ref="E2903" r:id="rId8964" display="https://twitter.com/MiManske/status/723413195877023744" xr:uid="{5028FA84-C40C-4131-8F78-AB93F140C436}"/>
    <hyperlink ref="O2903" r:id="rId8965" display="https://pbs.twimg.com/profile_images/652191269934993408/5bZKOI8y_normal.jpg" xr:uid="{47D565F1-7D22-4F25-9B0F-552BD6E4A75C}"/>
    <hyperlink ref="B2904" r:id="rId8966" display="https://twitter.com/bvdvliet" xr:uid="{E26067FE-0ACC-4CDD-89E8-9AFF4F9167D2}"/>
    <hyperlink ref="E2904" r:id="rId8967" display="https://twitter.com/bvdvliet/status/723413981252067328" xr:uid="{1235ED05-C303-4B69-AB00-5F11B44D0F53}"/>
    <hyperlink ref="O2904" r:id="rId8968" display="https://pbs.twimg.com/profile_images/378800000747750946/394d9f0f5e6dde5137683d9c98c5c8a9_normal.jpeg" xr:uid="{85FAAA61-BD12-4287-928F-C780DF70C80D}"/>
    <hyperlink ref="B2905" r:id="rId8969" display="https://twitter.com/BarryDesignWeb" xr:uid="{8DB0CFDB-4D5B-40D0-85DA-D20004E932AE}"/>
    <hyperlink ref="E2905" r:id="rId8970" display="https://twitter.com/BarryDesignWeb/status/723413992387936256" xr:uid="{3F9017D8-F60E-470C-9F6A-96DA585E0C99}"/>
    <hyperlink ref="O2905" r:id="rId8971" display="https://pbs.twimg.com/profile_images/661514517122256896/8o8UWEmC_normal.jpg" xr:uid="{BAEE206D-1C6B-4FCD-AEE7-73546B413D10}"/>
    <hyperlink ref="B2906" r:id="rId8972" display="https://twitter.com/boerseARD" xr:uid="{E0E504D2-C62D-4425-B935-4971125FFFE5}"/>
    <hyperlink ref="E2906" r:id="rId8973" display="https://twitter.com/boerseARD/status/723414338472562688" xr:uid="{881DACE7-BC75-42B9-B644-7A5C6C5429B6}"/>
    <hyperlink ref="O2906" r:id="rId8974" display="https://pbs.twimg.com/profile_images/666163579700277248/vIv69HhR_normal.jpg" xr:uid="{74E43FC7-B614-4175-AEA8-528DBF9FADE6}"/>
    <hyperlink ref="B2907" r:id="rId8975" display="https://twitter.com/beetlebug1938" xr:uid="{5340A8DC-A586-421C-89F8-A15D0E4F5346}"/>
    <hyperlink ref="E2907" r:id="rId8976" display="https://twitter.com/beetlebug1938/status/723414500355903488" xr:uid="{92083DBE-C273-4B9B-9AF4-D7527EDA8344}"/>
    <hyperlink ref="O2907" r:id="rId8977" display="https://pbs.twimg.com/profile_images/718820712757215233/LXXndPTS_normal.jpg" xr:uid="{4CC39466-E464-44B2-9D44-2CFDA3CB2428}"/>
    <hyperlink ref="B2908" r:id="rId8978" display="https://twitter.com/beetlebug1938" xr:uid="{3789AB44-9258-44EB-847A-294518495FB1}"/>
    <hyperlink ref="E2908" r:id="rId8979" display="https://twitter.com/beetlebug1938/status/723414518706016258" xr:uid="{1378BCB1-F954-4D9E-9DF1-2FAAC320D0F5}"/>
    <hyperlink ref="O2908" r:id="rId8980" display="https://pbs.twimg.com/profile_images/718820712757215233/LXXndPTS_normal.jpg" xr:uid="{57F5064C-74D2-4D25-84D4-4F6E458BC2C7}"/>
    <hyperlink ref="B2909" r:id="rId8981" display="https://twitter.com/beetlebug1938" xr:uid="{F7A90603-50A2-4F70-9377-6866F5D6EC7B}"/>
    <hyperlink ref="E2909" r:id="rId8982" display="https://twitter.com/beetlebug1938/status/723414534363324416" xr:uid="{8A975DB4-81F7-46CB-B400-34CA4F05492B}"/>
    <hyperlink ref="O2909" r:id="rId8983" display="https://pbs.twimg.com/profile_images/718820712757215233/LXXndPTS_normal.jpg" xr:uid="{0FDED5D8-4356-4287-B21D-EED2E0B61B5B}"/>
    <hyperlink ref="B2910" r:id="rId8984" display="https://twitter.com/beetlebug1938" xr:uid="{ED8C8C75-C23A-4195-8F2E-236E0444EE65}"/>
    <hyperlink ref="E2910" r:id="rId8985" display="https://twitter.com/beetlebug1938/status/723414541787242496" xr:uid="{8985039D-A69A-4940-B983-A47A8C03326B}"/>
    <hyperlink ref="O2910" r:id="rId8986" display="https://pbs.twimg.com/profile_images/718820712757215233/LXXndPTS_normal.jpg" xr:uid="{6BF60199-7B31-4876-A813-4CBDF82E11B7}"/>
    <hyperlink ref="B2911" r:id="rId8987" display="https://twitter.com/beetlebug1938" xr:uid="{866F6EBA-87CC-4628-AB40-E9015264BE7D}"/>
    <hyperlink ref="E2911" r:id="rId8988" display="https://twitter.com/beetlebug1938/status/723414554525364224" xr:uid="{CFD80DFC-ECD6-44CD-B944-6FC846A72325}"/>
    <hyperlink ref="O2911" r:id="rId8989" display="https://pbs.twimg.com/profile_images/718820712757215233/LXXndPTS_normal.jpg" xr:uid="{52B35BED-9817-4698-8EE2-161DDC66A6B8}"/>
    <hyperlink ref="B2912" r:id="rId8990" display="https://twitter.com/RolfMecke" xr:uid="{E306321F-1060-4092-BE2B-F22F16AF7D16}"/>
    <hyperlink ref="E2912" r:id="rId8991" display="https://twitter.com/RolfMecke/status/723415082747600897" xr:uid="{6DAAF50B-E717-4E60-8367-E0969D4DEE71}"/>
    <hyperlink ref="O2912" r:id="rId8992" display="https://pbs.twimg.com/profile_images/430616979162951681/ZMqm7I3c_normal.png" xr:uid="{02841952-3BAA-44AB-8499-34894C1C2652}"/>
    <hyperlink ref="B2913" r:id="rId8993" display="https://twitter.com/mia_herr" xr:uid="{EDE387D1-34AE-4C17-8926-931F05A3C508}"/>
    <hyperlink ref="E2913" r:id="rId8994" display="https://twitter.com/mia_herr/status/723415143481110529" xr:uid="{845D9536-EF66-423A-B8B3-3D4983869237}"/>
    <hyperlink ref="O2913" r:id="rId8995" display="https://pbs.twimg.com/profile_images/722869670928392193/jqNoGw6x_normal.jpg" xr:uid="{3A546B12-C229-4A48-8EFC-BBBEC9FFCBE3}"/>
    <hyperlink ref="B2914" r:id="rId8996" display="https://twitter.com/adhddoyle" xr:uid="{B5D6B5DE-637C-4927-A3E7-65752D5555F0}"/>
    <hyperlink ref="E2914" r:id="rId8997" display="https://twitter.com/adhddoyle/status/723415280630681600" xr:uid="{87B65018-1F76-404F-AAB2-2445321DC688}"/>
    <hyperlink ref="O2914" r:id="rId8998" display="https://pbs.twimg.com/profile_images/2549923530/7li4rLCm_normal" xr:uid="{0763EDAF-BF00-499E-8ADD-BEC12C09008E}"/>
    <hyperlink ref="B2915" r:id="rId8999" display="https://twitter.com/NDRnds" xr:uid="{C2CC24D6-BAFD-4D6E-89FD-26201105079F}"/>
    <hyperlink ref="E2915" r:id="rId9000" display="https://twitter.com/NDRnds/status/723415843313315843" xr:uid="{F9EDDFE6-6102-45EA-A324-D9FE8BF7EE3B}"/>
    <hyperlink ref="O2915" r:id="rId9001" display="https://pbs.twimg.com/profile_images/628233882014457856/o87vMXlL_normal.jpg" xr:uid="{0E6C3337-8C8E-4B21-858D-7D9A9ADEBF05}"/>
    <hyperlink ref="B2916" r:id="rId9002" display="https://twitter.com/schoenbornmc" xr:uid="{FAB7EE40-8764-49CD-864B-9B8C12EA658A}"/>
    <hyperlink ref="E2916" r:id="rId9003" display="https://twitter.com/schoenbornmc/status/723415864767221760" xr:uid="{99938C5E-D7E2-4829-AC7C-0B42C94C3474}"/>
    <hyperlink ref="O2916" r:id="rId9004" display="https://pbs.twimg.com/profile_images/705812199885967360/9ddZJ66P_normal.jpg" xr:uid="{31F3A7BE-D4DD-498A-B369-FFC903B4A87A}"/>
    <hyperlink ref="B2917" r:id="rId9005" display="https://twitter.com/SvOstrow" xr:uid="{7B004B18-10C7-4233-9202-45CFC2FF0879}"/>
    <hyperlink ref="E2917" r:id="rId9006" display="https://twitter.com/SvOstrow/status/723416476883914753" xr:uid="{C3903F40-60C0-4AB4-9AD9-23D96F051BB3}"/>
    <hyperlink ref="O2917" r:id="rId9007" display="https://pbs.twimg.com/profile_images/531108045451837442/KHuLHxmU_normal.jpeg" xr:uid="{AACDB4EE-6DCC-40E8-AC2C-68D4F892BB51}"/>
    <hyperlink ref="B2918" r:id="rId9008" display="https://twitter.com/airjibeer" xr:uid="{A121973C-76AA-496F-A851-1FE1A8236334}"/>
    <hyperlink ref="E2918" r:id="rId9009" display="https://twitter.com/airjibeer/status/723416498899800067" xr:uid="{8A85CB57-F65E-4A52-B174-77D723C7ED3A}"/>
    <hyperlink ref="O2918" r:id="rId9010" display="https://pbs.twimg.com/profile_images/548232144980426752/uigzjjCu_normal.jpeg" xr:uid="{B0168588-6710-4AA6-89C8-5FBB4A097D93}"/>
    <hyperlink ref="B2919" r:id="rId9011" display="https://twitter.com/SvOstrow" xr:uid="{E506F44D-CA3E-4229-8E74-C6881A13BBF8}"/>
    <hyperlink ref="E2919" r:id="rId9012" display="https://twitter.com/SvOstrow/status/723416511856037888" xr:uid="{C684C7AD-D894-4E5C-9E9C-1C71009F4A7B}"/>
    <hyperlink ref="O2919" r:id="rId9013" display="https://pbs.twimg.com/profile_images/531108045451837442/KHuLHxmU_normal.jpeg" xr:uid="{6D5732D1-3B85-4293-929B-79320B56627A}"/>
    <hyperlink ref="B2920" r:id="rId9014" display="https://twitter.com/TerraInstitute1" xr:uid="{705C144E-66A1-4359-97E9-785CEE3C5B09}"/>
    <hyperlink ref="E2920" r:id="rId9015" display="https://twitter.com/TerraInstitute1/status/723416656496627712" xr:uid="{A10EE590-2162-43C6-8303-63CC7429ED77}"/>
    <hyperlink ref="O2920" r:id="rId9016" display="https://pbs.twimg.com/profile_images/1777666313/Terra_normal.jpg" xr:uid="{51840053-A86B-4226-8D79-225F9A7BDD53}"/>
    <hyperlink ref="B2921" r:id="rId9017" display="https://twitter.com/Hostyourparty" xr:uid="{3E72D1A9-16BA-4B17-A1B9-FB9DAC40897D}"/>
    <hyperlink ref="E2921" r:id="rId9018" display="https://twitter.com/Hostyourparty/status/723417064321376256" xr:uid="{9038DCF8-C216-483E-9313-99EC413E95D4}"/>
    <hyperlink ref="O2921" r:id="rId9019" display="https://pbs.twimg.com/profile_images/659430911537205248/ofXAfeUV_normal.jpg" xr:uid="{DADF8F62-1C2A-4A82-A6FC-076B363570B8}"/>
    <hyperlink ref="B2922" r:id="rId9020" display="https://twitter.com/MartinHeine1" xr:uid="{A49B4547-35D1-4D8B-B5F4-372C19380886}"/>
    <hyperlink ref="E2922" r:id="rId9021" display="https://twitter.com/MartinHeine1/status/723417677440516096" xr:uid="{4C7F7458-7BBD-40AA-B4CD-E074D41B5AF4}"/>
    <hyperlink ref="O2922" r:id="rId9022" display="https://pbs.twimg.com/profile_images/714105573571166208/8VHOE6pb_normal.jpg" xr:uid="{9EB55A1B-E4BE-46AC-96AD-966EA0906E2A}"/>
    <hyperlink ref="B2923" r:id="rId9023" display="https://twitter.com/MiManske" xr:uid="{E6E0355F-5A87-47D9-B4B6-41BBF1B8B88B}"/>
    <hyperlink ref="E2923" r:id="rId9024" display="https://twitter.com/MiManske/status/723417741185544193" xr:uid="{9B42A4DA-8E01-4463-9455-B164A504099F}"/>
    <hyperlink ref="O2923" r:id="rId9025" display="https://pbs.twimg.com/profile_images/652191269934993408/5bZKOI8y_normal.jpg" xr:uid="{6E28A9F9-2ED2-45AE-8DBB-560A83CDD6FD}"/>
    <hyperlink ref="B2924" r:id="rId9026" display="https://twitter.com/VWBeetleSales" xr:uid="{52181C80-2577-4594-9467-B96890628D1C}"/>
    <hyperlink ref="E2924" r:id="rId9027" display="https://twitter.com/VWBeetleSales/status/723418087224004609" xr:uid="{BAF3A270-63DA-4A66-99C2-C4B57C31CF97}"/>
    <hyperlink ref="F2924" r:id="rId9028" xr:uid="{47610607-D2A5-4878-B859-30DFC5B21D77}"/>
    <hyperlink ref="O2924" r:id="rId9029" display="https://pbs.twimg.com/profile_images/703294545195307008/qeCvrX86_normal.jpg" xr:uid="{8F80EFE5-3BA9-4307-A8AD-0CC2912F74E0}"/>
    <hyperlink ref="B2925" r:id="rId9030" display="https://twitter.com/SkySamantha" xr:uid="{A7F49D36-F871-427C-A48F-6E69DBAA17CA}"/>
    <hyperlink ref="E2925" r:id="rId9031" display="https://twitter.com/SkySamantha/status/723418094933176322" xr:uid="{E97B79C4-A045-4760-963A-0D3D890DA485}"/>
    <hyperlink ref="O2925" r:id="rId9032" display="https://pbs.twimg.com/profile_images/620549642619604992/XHq5uP9P_normal.jpg" xr:uid="{02F24B23-3913-46CB-AE63-9371BD8E3057}"/>
    <hyperlink ref="B2926" r:id="rId9033" display="https://twitter.com/MHubertus" xr:uid="{8C4EB57B-65B6-4D76-8B8E-135E1B965AA6}"/>
    <hyperlink ref="E2926" r:id="rId9034" display="https://twitter.com/MHubertus/status/723418236075663362" xr:uid="{D268B7B4-BA18-403A-8B7B-58B5DA1C3FD5}"/>
    <hyperlink ref="O2926" r:id="rId9035" display="https://pbs.twimg.com/profile_images/2214646082/Bild6_normal.jpg" xr:uid="{6005CC38-E4B1-40D0-AAFF-5E0C13FC2B1F}"/>
    <hyperlink ref="B2927" r:id="rId9036" display="https://twitter.com/Bra49" xr:uid="{6618484E-76DB-4BF1-9D96-510BA69542F1}"/>
    <hyperlink ref="E2927" r:id="rId9037" display="https://twitter.com/Bra49/status/723418565085286400" xr:uid="{0AC1C63B-6B9F-415C-9680-93D38F0BB029}"/>
    <hyperlink ref="O2927" r:id="rId9038" display="https://pbs.twimg.com/profile_images/597478620580417538/f-Jf4hXY_normal.jpg" xr:uid="{00AAE96B-9621-4603-B869-858BAD45E378}"/>
    <hyperlink ref="B2928" r:id="rId9039" display="https://twitter.com/golfturkiye" xr:uid="{60679161-3221-4DB5-AFEF-5C92F493294E}"/>
    <hyperlink ref="E2928" r:id="rId9040" display="https://twitter.com/golfturkiye/status/723418774754320384" xr:uid="{A3C9B272-2F24-41A8-9084-1BCF3D49252E}"/>
    <hyperlink ref="O2928" r:id="rId9041" display="https://pbs.twimg.com/profile_images/2908590566/828967841f09b515ee36e3dfccea4d28_normal.png" xr:uid="{72BC20E7-3D02-4455-BACC-B614C7BFEA18}"/>
    <hyperlink ref="B2929" r:id="rId9042" display="https://twitter.com/RovanZon" xr:uid="{1950A4EF-B506-486E-B6EF-9FFABBEA71D7}"/>
    <hyperlink ref="E2929" r:id="rId9043" display="https://twitter.com/RovanZon/status/723418851812081664" xr:uid="{333B1C99-7DD4-49EF-B03A-86BDFB984CFE}"/>
    <hyperlink ref="O2929" r:id="rId9044" display="https://pbs.twimg.com/profile_images/1864487312/RonvanZon_pasfoto_500K_normal.jpg" xr:uid="{BC3F216B-B354-45DF-A916-BF532783108F}"/>
    <hyperlink ref="B2930" r:id="rId9045" display="https://twitter.com/hugobassey" xr:uid="{F29C50B6-89B3-4D8B-B165-1283EF11DCC8}"/>
    <hyperlink ref="E2930" r:id="rId9046" display="https://twitter.com/hugobassey/status/723419107647877120" xr:uid="{9025D411-A611-45AB-954C-B28BBC643AF0}"/>
    <hyperlink ref="O2930" r:id="rId9047" display="https://pbs.twimg.com/profile_images/700268249225818113/TUSCd9Sx_normal.jpg" xr:uid="{397C0394-F6AE-48E5-8F2F-A85BFF305B2D}"/>
    <hyperlink ref="B2931" r:id="rId9048" display="https://twitter.com/instock_de" xr:uid="{F0E5856D-3F9C-4636-B9F7-B71414C69646}"/>
    <hyperlink ref="C2931" r:id="rId9049" xr:uid="{5360F07A-D633-44C8-9F9C-DA28CEC24D7D}"/>
    <hyperlink ref="E2931" r:id="rId9050" display="https://twitter.com/instock_de/status/723419824404094976" xr:uid="{4BE4FC2D-2696-4DBF-A715-225C0C798FFE}"/>
    <hyperlink ref="O2931" r:id="rId9051" display="https://pbs.twimg.com/profile_images/1200648485/instock_normal.jpg" xr:uid="{8D01597E-C4FB-44AD-926B-C090E5834C0F}"/>
    <hyperlink ref="B2932" r:id="rId9052" display="https://twitter.com/TymukUpdates" xr:uid="{58741E8C-CAF9-4288-B2AA-941260D32C46}"/>
    <hyperlink ref="E2932" r:id="rId9053" display="https://twitter.com/TymukUpdates/status/723420237358501888" xr:uid="{449EFE37-5E06-40A2-9D86-85029441D187}"/>
    <hyperlink ref="O2932" r:id="rId9054" display="https://pbs.twimg.com/profile_images/708004004962418688/kOexCZwK_normal.jpg" xr:uid="{D0EB7E14-5449-4152-88B7-9322C53B1B32}"/>
    <hyperlink ref="B2933" r:id="rId9055" display="https://twitter.com/JulieTestAchats" xr:uid="{A4043FFA-BFEB-47CD-8DCA-B729FA96DF25}"/>
    <hyperlink ref="E2933" r:id="rId9056" display="https://twitter.com/JulieTestAchats/status/723420314114228224" xr:uid="{DD90A923-C9AE-48CF-9373-AACE71B044E5}"/>
    <hyperlink ref="O2933" r:id="rId9057" display="https://pbs.twimg.com/profile_images/674233130828468224/KRUDL_tK_normal.jpg" xr:uid="{0350F667-8BA0-4FCD-AD5F-F78A4C3CC34F}"/>
    <hyperlink ref="B2934" r:id="rId9058" display="https://twitter.com/r_kreisel" xr:uid="{673B67CF-3882-4937-9F1E-7F6C11A85054}"/>
    <hyperlink ref="E2934" r:id="rId9059" display="https://twitter.com/r_kreisel/status/723420453952327681" xr:uid="{0264CC50-EAAC-465C-8CBF-DDA5F436D971}"/>
    <hyperlink ref="O2934" r:id="rId9060" display="https://pbs.twimg.com/profile_images/527052537992470529/T_xUcDO1_normal.jpeg" xr:uid="{D731D382-C7E9-48BD-A88C-04AAAA688035}"/>
    <hyperlink ref="B2935" r:id="rId9061" display="https://twitter.com/halucinatio" xr:uid="{B02F680F-B727-4BF9-8B18-B347988ADFA0}"/>
    <hyperlink ref="E2935" r:id="rId9062" display="https://twitter.com/halucinatio/status/723420650862313472" xr:uid="{C41F8BEF-7C8F-4872-9309-7FA5B4370B24}"/>
    <hyperlink ref="O2935" r:id="rId9063" display="https://pbs.twimg.com/profile_images/2692048785/d562a201529f797971cc79e8c5dc1699_normal.png" xr:uid="{E826BA08-17E8-4554-93E0-8536A2D4319C}"/>
    <hyperlink ref="B2936" r:id="rId9064" display="https://twitter.com/hugobassey" xr:uid="{B0C6A978-081E-4C80-8A95-E5BA3D077B77}"/>
    <hyperlink ref="E2936" r:id="rId9065" display="https://twitter.com/hugobassey/status/723420694801842177" xr:uid="{D4830073-6531-4466-AA75-488868C32078}"/>
    <hyperlink ref="O2936" r:id="rId9066" display="https://pbs.twimg.com/profile_images/700268249225818113/TUSCd9Sx_normal.jpg" xr:uid="{8D934665-79AA-4F9D-9EFF-83B0C73F148D}"/>
    <hyperlink ref="B2937" r:id="rId9067" display="https://twitter.com/roansub" xr:uid="{1FF1A40C-665C-4D2D-A530-71DD7C1FA28C}"/>
    <hyperlink ref="E2937" r:id="rId9068" display="https://twitter.com/roansub/status/723420856395784192" xr:uid="{025DCB22-363C-4A27-9223-B57E0835E59C}"/>
    <hyperlink ref="O2937" r:id="rId9069" display="https://pbs.twimg.com/profile_images/638973360169463808/YEbGEWne_normal.jpg" xr:uid="{AF43F297-460A-498C-A573-743F5AE17911}"/>
    <hyperlink ref="B2938" r:id="rId9070" display="https://twitter.com/Hausfrauen" xr:uid="{C244DFFB-CCC9-4754-912D-C8BE34A26797}"/>
    <hyperlink ref="E2938" r:id="rId9071" display="https://twitter.com/Hausfrauen/status/723420875450523648" xr:uid="{A2544267-8D35-42A2-AAB7-0BC1EE6564B2}"/>
    <hyperlink ref="O2938" r:id="rId9072" display="https://pbs.twimg.com/profile_images/1621959672/Hausfrauen22_normal.jpg" xr:uid="{C68D81AD-C8A5-4A62-B2BB-6023597CAF05}"/>
    <hyperlink ref="B2939" r:id="rId9073" display="https://twitter.com/NeedTechs" xr:uid="{6DC3116C-D74A-4020-89EE-7BE82CE200C4}"/>
    <hyperlink ref="E2939" r:id="rId9074" display="https://twitter.com/NeedTechs/status/723421148361285632" xr:uid="{40DACC0F-E18A-4429-97CB-26FAA92B678A}"/>
    <hyperlink ref="O2939" r:id="rId9075" display="https://pbs.twimg.com/profile_images/588750621353717760/15I04Sdg_normal.png" xr:uid="{FAEC8038-5FD4-461E-85BD-AFD30F02A143}"/>
    <hyperlink ref="B2940" r:id="rId9076" display="https://twitter.com/ruv24_de" xr:uid="{2A498CBA-545C-4BDD-B63C-1A31B1EAE10A}"/>
    <hyperlink ref="E2940" r:id="rId9077" display="https://twitter.com/ruv24_de/status/723421170393997318" xr:uid="{980D02EB-4174-4318-B9E0-0B505A236BE3}"/>
    <hyperlink ref="O2940" r:id="rId9078" display="https://pbs.twimg.com/profile_images/461143330147954688/HZO45eNS_normal.jpeg" xr:uid="{B165F863-DEF8-4B1B-9B61-1B4C803BFF55}"/>
    <hyperlink ref="B2941" r:id="rId9079" display="https://twitter.com/roansub" xr:uid="{D8A8C201-4938-4827-9323-2CBFFF10A81A}"/>
    <hyperlink ref="E2941" r:id="rId9080" display="https://twitter.com/roansub/status/723421236164874240" xr:uid="{09F919D6-5A43-40D2-9747-EBC992666472}"/>
    <hyperlink ref="O2941" r:id="rId9081" display="https://pbs.twimg.com/profile_images/638973360169463808/YEbGEWne_normal.jpg" xr:uid="{3FEAA2D8-A899-4FE8-A291-CEC927371B50}"/>
    <hyperlink ref="B2942" r:id="rId9082" display="https://twitter.com/InstaKirov" xr:uid="{0E1F8E9A-C9F5-4FA0-B312-A3D90A22B206}"/>
    <hyperlink ref="E2942" r:id="rId9083" display="https://twitter.com/InstaKirov/status/723421242338897920" xr:uid="{D6C1457F-A8EB-4B45-843C-6354DD1BC81E}"/>
    <hyperlink ref="O2942" r:id="rId9084" display="https://pbs.twimg.com/profile_images/437889234502819840/B3nuRsI3_normal.png" xr:uid="{DF4E5812-E8E6-4AE1-8247-8E86EDD2C784}"/>
    <hyperlink ref="B2943" r:id="rId9085" display="https://twitter.com/Bellitum" xr:uid="{7DD8A0C4-B746-48A2-BB6F-C458126902D4}"/>
    <hyperlink ref="E2943" r:id="rId9086" display="https://twitter.com/Bellitum/status/723421294591533056" xr:uid="{5B674437-07F4-4097-AEE9-120C4D04CB4D}"/>
    <hyperlink ref="O2943" r:id="rId9087" display="https://pbs.twimg.com/profile_images/699649228235280385/au_ND-6G_normal.jpg" xr:uid="{3AE243AB-6C1E-4850-AAD1-3C200F7AE3E4}"/>
    <hyperlink ref="B2944" r:id="rId9088" display="https://twitter.com/AutobahnSales" xr:uid="{E41BACD6-C1FF-47C6-92F3-FE2A93C20899}"/>
    <hyperlink ref="E2944" r:id="rId9089" display="https://twitter.com/AutobahnSales/status/723421378003640320" xr:uid="{24295964-B38E-433B-9FFB-7F3521B5ECDA}"/>
    <hyperlink ref="O2944" r:id="rId9090" display="https://pbs.twimg.com/profile_images/603104992703152128/ENsieqFD_normal.jpg" xr:uid="{B25F4EAE-58C9-4522-BA71-75CCFCA3DD00}"/>
    <hyperlink ref="B2945" r:id="rId9091" display="https://twitter.com/annalenaboehm" xr:uid="{24DE3D01-4C3A-4CC8-93F1-03EBD2DF8D9C}"/>
    <hyperlink ref="E2945" r:id="rId9092" display="https://twitter.com/annalenaboehm/status/723421395883986944" xr:uid="{BAF8C105-567A-41CA-AD2B-3392E5759257}"/>
    <hyperlink ref="O2945" r:id="rId9093" display="https://pbs.twimg.com/profile_images/721039070735024129/Tv1GGMI0_normal.jpg" xr:uid="{895317FE-27D2-423E-B2EE-1A791B43CC16}"/>
    <hyperlink ref="B2946" r:id="rId9094" display="https://twitter.com/roansub" xr:uid="{99567E4D-12EE-4B3B-9863-7AC683914A3B}"/>
    <hyperlink ref="E2946" r:id="rId9095" display="https://twitter.com/roansub/status/723421541183053824" xr:uid="{CF4B4AFE-BFFA-47DB-956E-3AB9A6095BCF}"/>
    <hyperlink ref="O2946" r:id="rId9096" display="https://pbs.twimg.com/profile_images/638973360169463808/YEbGEWne_normal.jpg" xr:uid="{E190D16E-B7E1-4391-B527-A6320D6BD7A6}"/>
    <hyperlink ref="B2947" r:id="rId9097" display="https://twitter.com/Vital_Hydro" xr:uid="{A7830E72-5117-469C-B841-88BD4D48031C}"/>
    <hyperlink ref="E2947" r:id="rId9098" display="https://twitter.com/Vital_Hydro/status/723421596577206273" xr:uid="{2E27C525-29EE-4FAB-BD5B-64A5CFA8688E}"/>
    <hyperlink ref="O2947" r:id="rId9099" display="https://pbs.twimg.com/profile_images/527543470005964800/j2iA1fA8_normal.jpeg" xr:uid="{EEFDE81D-FC78-4568-815A-5CE73FDC4CC0}"/>
    <hyperlink ref="B2948" r:id="rId9100" display="https://twitter.com/Autourtiti" xr:uid="{93EB72CA-3550-4FD9-ACEF-5ACB317655BC}"/>
    <hyperlink ref="E2948" r:id="rId9101" display="https://twitter.com/Autourtiti/status/723421710398025729" xr:uid="{0CE2918F-B559-48BF-8C35-2B511F1C7522}"/>
    <hyperlink ref="O2948" r:id="rId9102" display="https://pbs.twimg.com/profile_images/378800000756387886/c547a918bcad5d95a42507361c94d2fa_normal.png" xr:uid="{CD07CB31-3F34-47D1-B11C-F7DA44BFA990}"/>
    <hyperlink ref="B2949" r:id="rId9103" display="https://twitter.com/Autourtiti" xr:uid="{FD733767-3F08-44B9-B4E4-29525EAA15FE}"/>
    <hyperlink ref="E2949" r:id="rId9104" display="https://twitter.com/Autourtiti/status/723421713162113024" xr:uid="{AF86C841-E57D-4F9D-8D4D-D5892A2D675E}"/>
    <hyperlink ref="O2949" r:id="rId9105" display="https://pbs.twimg.com/profile_images/378800000756387886/c547a918bcad5d95a42507361c94d2fa_normal.png" xr:uid="{2F00E189-EB17-4991-961A-4E280F1E10EC}"/>
    <hyperlink ref="B2950" r:id="rId9106" display="https://twitter.com/E15news" xr:uid="{A7B6AC93-8F59-4BF5-9293-0FF06DC3FB5B}"/>
    <hyperlink ref="C2950" r:id="rId9107" xr:uid="{F584A69F-2D55-4FA3-A683-DFB4AB0CAE4F}"/>
    <hyperlink ref="E2950" r:id="rId9108" display="https://twitter.com/E15news/status/723421756157923329" xr:uid="{6000E461-EA2C-4191-AC44-F22D6F7108DD}"/>
    <hyperlink ref="O2950" r:id="rId9109" display="https://pbs.twimg.com/profile_images/650920345134731264/18YJd4Uk_normal.png" xr:uid="{6D9D5B15-FD5F-43B6-B4B3-DBEEB1C8E2BC}"/>
    <hyperlink ref="B2951" r:id="rId9110" display="https://twitter.com/_Hupomnemata" xr:uid="{95BE3993-B963-4396-997F-E0EEDCDFF0F5}"/>
    <hyperlink ref="E2951" r:id="rId9111" display="https://twitter.com/_Hupomnemata/status/723421841709142017" xr:uid="{B4DFC0CF-CE93-4DCB-9297-BD553EEBB31F}"/>
    <hyperlink ref="O2951" r:id="rId9112" display="https://pbs.twimg.com/profile_images/697073646754463744/5hjfjCdd_normal.jpg" xr:uid="{6785619E-59B8-4FA0-B036-40D56B680BDB}"/>
    <hyperlink ref="B2952" r:id="rId9113" display="https://twitter.com/NegroAutomobili" xr:uid="{AA1CBD80-3572-4455-9F02-AB5A4BEBCD90}"/>
    <hyperlink ref="E2952" r:id="rId9114" display="https://twitter.com/NegroAutomobili/status/723422105077862401" xr:uid="{07254B24-33A5-4D6E-A10D-138CE559D646}"/>
    <hyperlink ref="O2952" r:id="rId9115" display="https://pbs.twimg.com/profile_images/2373311233/logo_VW_CONCESSIONARIO_normal.jpg" xr:uid="{F3ACDF15-0A19-44F7-AC4F-80E56C3EDA21}"/>
    <hyperlink ref="P2952" r:id="rId9116" location="45.6895397,12.2485197" display="http://ctrlq.org/maps/address/ - 45.6895397,12.2485197" xr:uid="{1B85BAF3-A231-4092-9347-4B373A425FAD}"/>
    <hyperlink ref="B2953" r:id="rId9117" display="https://twitter.com/UsatoAutoSystem" xr:uid="{6903ACDA-A1A1-40A4-98D5-FB727057D14C}"/>
    <hyperlink ref="E2953" r:id="rId9118" display="https://twitter.com/UsatoAutoSystem/status/723422107204358144" xr:uid="{E12DA379-8577-40C0-BBF2-AAF1C2F25609}"/>
    <hyperlink ref="O2953" r:id="rId9119" display="https://pbs.twimg.com/profile_images/614723809590018048/IWZnUTnV_normal.jpg" xr:uid="{DB588806-0185-4288-853A-D18508A59C37}"/>
    <hyperlink ref="B2954" r:id="rId9120" display="https://twitter.com/NegroAutomobili" xr:uid="{D4DF968F-A70B-476E-8D67-5370C1856B31}"/>
    <hyperlink ref="E2954" r:id="rId9121" display="https://twitter.com/NegroAutomobili/status/723422109091811329" xr:uid="{C5209408-87AC-4A9B-AE3F-86FC098A4A95}"/>
    <hyperlink ref="O2954" r:id="rId9122" display="https://pbs.twimg.com/profile_images/2373311233/logo_VW_CONCESSIONARIO_normal.jpg" xr:uid="{4E26A60A-05B1-4AE4-A632-2B66C563734C}"/>
    <hyperlink ref="P2954" r:id="rId9123" location="45.6895397,12.2485197" display="http://ctrlq.org/maps/address/ - 45.6895397,12.2485197" xr:uid="{06B677BA-F686-4E2E-804A-83ADF7BFD972}"/>
    <hyperlink ref="B2955" r:id="rId9124" display="https://twitter.com/NegroAutomobili" xr:uid="{14A35BF5-E62F-43D3-A80D-62D9917747E6}"/>
    <hyperlink ref="E2955" r:id="rId9125" display="https://twitter.com/NegroAutomobili/status/723422112648597504" xr:uid="{8D7110AA-2798-436B-91B6-7C0B4753741B}"/>
    <hyperlink ref="O2955" r:id="rId9126" display="https://pbs.twimg.com/profile_images/2373311233/logo_VW_CONCESSIONARIO_normal.jpg" xr:uid="{C218297C-7668-473C-8ACF-1FDE419080C7}"/>
    <hyperlink ref="P2955" r:id="rId9127" location="45.6895397,12.2485197" display="http://ctrlq.org/maps/address/ - 45.6895397,12.2485197" xr:uid="{A59C30DB-30D3-4EBC-B6BE-935DA0830E68}"/>
    <hyperlink ref="B2956" r:id="rId9128" display="https://twitter.com/UsatoAutoSystem" xr:uid="{7DAC7DE0-6CC2-4DD7-AAF3-31D2C34ED497}"/>
    <hyperlink ref="E2956" r:id="rId9129" display="https://twitter.com/UsatoAutoSystem/status/723422115026767872" xr:uid="{8901A026-51DF-477D-9B62-804F6F96AFCC}"/>
    <hyperlink ref="O2956" r:id="rId9130" display="https://pbs.twimg.com/profile_images/614723809590018048/IWZnUTnV_normal.jpg" xr:uid="{216E3DBA-2F7D-4C8B-8BB9-D6C10C2EE33A}"/>
    <hyperlink ref="B2957" r:id="rId9131" display="https://twitter.com/NegroAutomobili" xr:uid="{8B2A14AD-2EC6-4473-8818-AA4ED3D1ADD8}"/>
    <hyperlink ref="E2957" r:id="rId9132" display="https://twitter.com/NegroAutomobili/status/723422115957891072" xr:uid="{38A151C3-F94C-4092-A680-2069CF148263}"/>
    <hyperlink ref="O2957" r:id="rId9133" display="https://pbs.twimg.com/profile_images/2373311233/logo_VW_CONCESSIONARIO_normal.jpg" xr:uid="{73EB1202-1EBB-4961-AA9B-CDCA19E5C1BB}"/>
    <hyperlink ref="P2957" r:id="rId9134" location="45.6895397,12.2485197" display="http://ctrlq.org/maps/address/ - 45.6895397,12.2485197" xr:uid="{DE373F10-89AE-42F7-A70A-62282EA00627}"/>
    <hyperlink ref="B2958" r:id="rId9135" display="https://twitter.com/UsatoAutoSystem" xr:uid="{BB22F07E-35C3-4EB4-8FDB-74DFAC434473}"/>
    <hyperlink ref="E2958" r:id="rId9136" display="https://twitter.com/UsatoAutoSystem/status/723422121372700672" xr:uid="{F30DDFEE-918B-4252-AD42-62502A4A3F49}"/>
    <hyperlink ref="O2958" r:id="rId9137" display="https://pbs.twimg.com/profile_images/614723809590018048/IWZnUTnV_normal.jpg" xr:uid="{4FBC198D-EB89-45BE-9BFC-B83004ED851A}"/>
    <hyperlink ref="B2959" r:id="rId9138" display="https://twitter.com/UsatoAutoSystem" xr:uid="{797DFACF-B15A-47FA-8EA5-AE9C795BF9A4}"/>
    <hyperlink ref="E2959" r:id="rId9139" display="https://twitter.com/UsatoAutoSystem/status/723422130814111745" xr:uid="{6C5651A0-B4F9-4489-B248-10E6192129A4}"/>
    <hyperlink ref="O2959" r:id="rId9140" display="https://pbs.twimg.com/profile_images/614723809590018048/IWZnUTnV_normal.jpg" xr:uid="{A8C64F05-4940-49B9-AC33-C7E3E56F78D0}"/>
    <hyperlink ref="B2960" r:id="rId9141" display="https://twitter.com/UsatoAutoSystem" xr:uid="{B97766F5-19EF-4AD7-88FB-C7DB8537939D}"/>
    <hyperlink ref="E2960" r:id="rId9142" display="https://twitter.com/UsatoAutoSystem/status/723422137873104897" xr:uid="{01B96A72-4157-46FE-9307-1B5EE4815BFC}"/>
    <hyperlink ref="O2960" r:id="rId9143" display="https://pbs.twimg.com/profile_images/614723809590018048/IWZnUTnV_normal.jpg" xr:uid="{94894665-14BF-48E8-A04D-766BB70EEF6E}"/>
    <hyperlink ref="B2961" r:id="rId9144" display="https://twitter.com/NegroAutomobili" xr:uid="{EFF3E563-F823-4B8C-A266-8E1DEE7C0785}"/>
    <hyperlink ref="E2961" r:id="rId9145" display="https://twitter.com/NegroAutomobili/status/723422141757059073" xr:uid="{46B0E88F-A003-4F1A-AEEA-6CBE33DBA7A4}"/>
    <hyperlink ref="O2961" r:id="rId9146" display="https://pbs.twimg.com/profile_images/2373311233/logo_VW_CONCESSIONARIO_normal.jpg" xr:uid="{FCD9B8C2-F7D7-4630-AC81-9872CAC65A92}"/>
    <hyperlink ref="B2962" r:id="rId9147" display="https://twitter.com/NegroAutomobili" xr:uid="{FE2DFDB0-A8CA-4B17-85AD-8B12BDFB6161}"/>
    <hyperlink ref="E2962" r:id="rId9148" display="https://twitter.com/NegroAutomobili/status/723422149109673984" xr:uid="{149D7CD4-9C8D-43E6-AFBC-2F224B04CB40}"/>
    <hyperlink ref="O2962" r:id="rId9149" display="https://pbs.twimg.com/profile_images/2373311233/logo_VW_CONCESSIONARIO_normal.jpg" xr:uid="{8F123958-8010-46E7-A779-0370EC7CFC5D}"/>
    <hyperlink ref="B2963" r:id="rId9150" display="https://twitter.com/NegroAutomobili" xr:uid="{E83A5943-7C3E-41D3-9434-CED92EFCC479}"/>
    <hyperlink ref="E2963" r:id="rId9151" display="https://twitter.com/NegroAutomobili/status/723422163265458177" xr:uid="{C476CED7-3B03-4F88-B45A-F7A7FA50F7A8}"/>
    <hyperlink ref="O2963" r:id="rId9152" display="https://pbs.twimg.com/profile_images/2373311233/logo_VW_CONCESSIONARIO_normal.jpg" xr:uid="{C45DF245-4DC8-4E9D-85C0-2C255432ED05}"/>
    <hyperlink ref="B2964" r:id="rId9153" display="https://twitter.com/NegroAutomobili" xr:uid="{97488155-108E-4BC2-AB72-9787F7B043B3}"/>
    <hyperlink ref="E2964" r:id="rId9154" display="https://twitter.com/NegroAutomobili/status/723422182857023488" xr:uid="{C2C1F459-D01A-4B4D-A4DC-92372D75D09F}"/>
    <hyperlink ref="O2964" r:id="rId9155" display="https://pbs.twimg.com/profile_images/2373311233/logo_VW_CONCESSIONARIO_normal.jpg" xr:uid="{28104DB1-F542-4612-B66C-6DF3C72BE97F}"/>
    <hyperlink ref="B2965" r:id="rId9156" display="https://twitter.com/johnjoechad" xr:uid="{F9992338-2BE3-4F1A-BC2F-E67F0DC89B74}"/>
    <hyperlink ref="E2965" r:id="rId9157" display="https://twitter.com/johnjoechad/status/723422343456911360" xr:uid="{3C99D8DF-24F4-40F2-9FD9-C42022F8BB25}"/>
    <hyperlink ref="O2965" r:id="rId9158" display="https://pbs.twimg.com/profile_images/1799314685/SfwN58Em_normal" xr:uid="{CBDA3227-5825-432E-B4E0-BC38695AD97C}"/>
    <hyperlink ref="B2966" r:id="rId9159" display="https://twitter.com/PRossberg" xr:uid="{C2A44F68-3C01-4BBF-99AC-1282546DD26C}"/>
    <hyperlink ref="E2966" r:id="rId9160" display="https://twitter.com/PRossberg/status/723422381755109376" xr:uid="{115B819C-55B1-4E7E-820F-62BEB8BB1E7E}"/>
    <hyperlink ref="O2966" r:id="rId9161" display="https://pbs.twimg.com/profile_images/651870316692697093/njx4sk8f_normal.jpg" xr:uid="{A266D324-CF03-410B-9A83-5586B89B3D5C}"/>
    <hyperlink ref="B2967" r:id="rId9162" display="https://twitter.com/cmsGOMEX" xr:uid="{003A836E-3D20-4B42-A384-428E15215CDB}"/>
    <hyperlink ref="E2967" r:id="rId9163" display="https://twitter.com/cmsGOMEX/status/723422545710456832" xr:uid="{FD131C6F-518F-4430-A930-9745B2A36639}"/>
    <hyperlink ref="O2967" r:id="rId9164" display="https://pbs.twimg.com/profile_images/472298206483607552/UogAMiRI_normal.png" xr:uid="{5806B68F-E107-4C0D-B3AE-16186D05C6EA}"/>
    <hyperlink ref="B2968" r:id="rId9165" display="https://twitter.com/aktionaer" xr:uid="{E64B8745-BD01-4FD3-8AC5-467A78946A50}"/>
    <hyperlink ref="E2968" r:id="rId9166" display="https://twitter.com/aktionaer/status/723422659489341440" xr:uid="{49DE86CA-03F2-40BA-9804-30DCBD79F0AE}"/>
    <hyperlink ref="O2968" r:id="rId9167" display="https://pbs.twimg.com/profile_images/679552623641509888/_vPw9IS2_normal.png" xr:uid="{96CDFE2B-2327-4B7E-A19E-C8C76F5A3CA0}"/>
    <hyperlink ref="B2969" r:id="rId9168" display="https://twitter.com/MDRINFO" xr:uid="{71C3E4D7-1901-4BF4-93A1-6B45B8F24FC1}"/>
    <hyperlink ref="E2969" r:id="rId9169" display="https://twitter.com/MDRINFO/status/723423039476502529" xr:uid="{6D41CA4B-9EDB-4503-8390-312207DB5BEC}"/>
    <hyperlink ref="O2969" r:id="rId9170" display="https://pbs.twimg.com/profile_images/2289706087/q66ajanznpfm87cybp5p_normal.jpeg" xr:uid="{73E4BA67-429C-4EB0-B08C-B844273D9C4D}"/>
    <hyperlink ref="B2970" r:id="rId9171" display="https://twitter.com/vzbv" xr:uid="{C47E5473-92A7-4D4B-9906-A0847F6EA8F0}"/>
    <hyperlink ref="E2970" r:id="rId9172" display="https://twitter.com/vzbv/status/723423180199612416" xr:uid="{F760B839-0D69-445F-AB2A-17611373D05E}"/>
    <hyperlink ref="O2970" r:id="rId9173" display="https://pbs.twimg.com/profile_images/617979796744568832/YHw6Izem_normal.jpg" xr:uid="{1A162719-70B5-4669-AA3E-DACCC37D8F06}"/>
    <hyperlink ref="B2971" r:id="rId9174" display="https://twitter.com/rantindave" xr:uid="{F74492C4-A831-48A6-BC09-9983429D83CF}"/>
    <hyperlink ref="E2971" r:id="rId9175" display="https://twitter.com/rantindave/status/723423539215257601" xr:uid="{327C5352-D2B0-4C62-A883-FA96FC975368}"/>
    <hyperlink ref="O2971" r:id="rId9176" display="https://pbs.twimg.com/profile_images/1266733055/4e731a3a-416a-4eaa-b595-6a8453d11eb4_normal.png" xr:uid="{AAF1AF49-867D-4A56-8F5F-F74B669869DD}"/>
    <hyperlink ref="B2972" r:id="rId9177" display="https://twitter.com/doern" xr:uid="{5B762165-733E-4A85-B5C8-0A9377A4D1DF}"/>
    <hyperlink ref="E2972" r:id="rId9178" display="https://twitter.com/doern/status/723424070964928512" xr:uid="{EC19D11B-D6DD-417F-B2A6-2852698C4942}"/>
    <hyperlink ref="O2972" r:id="rId9179" display="https://pbs.twimg.com/profile_images/657853466384191488/J6vAnfZr_normal.jpg" xr:uid="{302B65B2-13ED-4A16-A5A8-28FF482AAB13}"/>
    <hyperlink ref="B2973" r:id="rId9180" display="https://twitter.com/frisch_fish" xr:uid="{E13D4285-CDC0-455A-8F79-65DE99FF5BEA}"/>
    <hyperlink ref="E2973" r:id="rId9181" display="https://twitter.com/frisch_fish/status/723424122353512448" xr:uid="{216492CF-6A54-4E0B-A45B-4F85A642C689}"/>
    <hyperlink ref="O2973" r:id="rId9182" display="https://pbs.twimg.com/profile_images/491217423396134913/ygdCi_0u_normal.jpeg" xr:uid="{34147ACA-BF57-4487-A900-BEC7E9E1F975}"/>
    <hyperlink ref="B2974" r:id="rId9183" display="https://twitter.com/Insta_VWT" xr:uid="{B3BAE07C-93BF-4646-8F80-E965AEF01705}"/>
    <hyperlink ref="E2974" r:id="rId9184" display="https://twitter.com/Insta_VWT/status/723424484829470721" xr:uid="{34B3A2BF-DAA9-4A06-9FE3-5BFC61B42876}"/>
    <hyperlink ref="O2974" r:id="rId9185" display="https://pbs.twimg.com/profile_images/424893967197433858/iQ86NktX_normal.jpeg" xr:uid="{5A1AFBAD-18F5-4CEE-92B5-3B31F597C9AB}"/>
    <hyperlink ref="B2975" r:id="rId9186" display="https://twitter.com/Insta_VWT" xr:uid="{AF55DADC-335E-4D41-9E57-8FC2BF5D52F7}"/>
    <hyperlink ref="E2975" r:id="rId9187" display="https://twitter.com/Insta_VWT/status/723424492156915712" xr:uid="{9D0665F6-ABCE-4AB8-AB18-0257FF240ACC}"/>
    <hyperlink ref="O2975" r:id="rId9188" display="https://pbs.twimg.com/profile_images/424893967197433858/iQ86NktX_normal.jpeg" xr:uid="{89668B8E-EE18-4373-B385-E9C22AEE9FAA}"/>
    <hyperlink ref="B2976" r:id="rId9189" display="https://twitter.com/Insta_VWT" xr:uid="{6799D462-9A6E-49AD-AA52-5CDF41747E2F}"/>
    <hyperlink ref="E2976" r:id="rId9190" display="https://twitter.com/Insta_VWT/status/723424499425648642" xr:uid="{0FE364AB-7947-42D5-A44B-F31078C26957}"/>
    <hyperlink ref="O2976" r:id="rId9191" display="https://pbs.twimg.com/profile_images/424893967197433858/iQ86NktX_normal.jpeg" xr:uid="{3D5578B2-ADE6-49EE-A24E-918ED7CF3BAE}"/>
    <hyperlink ref="B2977" r:id="rId9192" display="https://twitter.com/parksj86" xr:uid="{30C63B07-F792-49C7-B2B8-8E53E7362C7D}"/>
    <hyperlink ref="E2977" r:id="rId9193" display="https://twitter.com/parksj86/status/723424596821561344" xr:uid="{BD3ABF41-B98D-49AC-BF75-1A45BBA3FB67}"/>
    <hyperlink ref="O2977" r:id="rId9194" display="https://pbs.twimg.com/profile_images/447122704626221056/YLBEEZWB_normal.jpeg" xr:uid="{4A71F8BF-AF22-47E9-9AA4-45C8A0426BC3}"/>
    <hyperlink ref="B2978" r:id="rId9195" display="https://twitter.com/VeeDubMk1_" xr:uid="{83D98C79-D753-4C91-9F7D-D5A397FA6D78}"/>
    <hyperlink ref="E2978" r:id="rId9196" display="https://twitter.com/VeeDubMk1_/status/723424782859956225" xr:uid="{4A7D94B0-A99C-4FCE-9014-DAB624860E65}"/>
    <hyperlink ref="O2978" r:id="rId9197" display="https://pbs.twimg.com/profile_images/672878354127839232/M7OYc-zx_normal.jpg" xr:uid="{7515003C-251A-4844-BEA5-4C5D5330E72D}"/>
    <hyperlink ref="B2979" r:id="rId9198" display="https://twitter.com/gerd_lutz" xr:uid="{92E7EA76-0C04-4508-AED2-FBA714DD474B}"/>
    <hyperlink ref="E2979" r:id="rId9199" display="https://twitter.com/gerd_lutz/status/723424794801098752" xr:uid="{3196C942-14FC-400E-91EE-E7F7126439B1}"/>
    <hyperlink ref="O2979" r:id="rId9200" display="https://pbs.twimg.com/profile_images/661502761985556480/-CFhbAVI_normal.png" xr:uid="{A90FA0E9-B1FA-4C73-8D9B-9C65C271D10A}"/>
    <hyperlink ref="B2980" r:id="rId9201" display="https://twitter.com/shinemyrideuk" xr:uid="{9E54626C-9E1F-408D-ABD8-463802D07705}"/>
    <hyperlink ref="E2980" r:id="rId9202" display="https://twitter.com/shinemyrideuk/status/723424947444412416" xr:uid="{CA55BB61-206D-4109-A72D-AD23FC88C71E}"/>
    <hyperlink ref="O2980" r:id="rId9203" display="https://pbs.twimg.com/profile_images/673219952988413952/RwM7EX2v_normal.png" xr:uid="{221A4108-5266-48CA-8B21-A55D819E53C6}"/>
    <hyperlink ref="B2981" r:id="rId9204" display="https://twitter.com/srfnews" xr:uid="{D9CC3024-3070-4014-86AD-0E02039198A2}"/>
    <hyperlink ref="E2981" r:id="rId9205" display="https://twitter.com/srfnews/status/723425265636937728" xr:uid="{B60471DF-00F7-48D7-BDB4-C35FA3CB8903}"/>
    <hyperlink ref="O2981" r:id="rId9206" display="https://pbs.twimg.com/profile_images/471294691783098369/x9C02baa_normal.png" xr:uid="{6EC9BC69-ED8B-4553-9820-E7AC236D5A8E}"/>
    <hyperlink ref="B2982" r:id="rId9207" display="https://twitter.com/ME262P" xr:uid="{7CF24D6C-496C-498F-B34E-336F0369D163}"/>
    <hyperlink ref="E2982" r:id="rId9208" display="https://twitter.com/ME262P/status/723425315955970048" xr:uid="{14D4333C-70BE-46A9-9000-9CB4B1AE1345}"/>
    <hyperlink ref="O2982" r:id="rId9209" display="https://pbs.twimg.com/profile_images/534347903415091200/7vSjzA4l_normal.jpeg" xr:uid="{A1FC8B8B-59B6-4D82-BB9B-696254CE053E}"/>
    <hyperlink ref="B2983" r:id="rId9210" display="https://twitter.com/PorscheOfficApp" xr:uid="{D6EB4206-5653-4710-A1DE-6BD863A3F749}"/>
    <hyperlink ref="E2983" r:id="rId9211" display="https://twitter.com/PorscheOfficApp/status/723425381244493825" xr:uid="{39D3AAFB-20C9-4A77-ABDD-E3340F1FE111}"/>
    <hyperlink ref="O2983" r:id="rId9212" display="https://pbs.twimg.com/profile_images/684716541322072065/eXpLts42_normal.jpg" xr:uid="{BD63A879-752D-4D5D-9D3A-DA0C77D7DC83}"/>
    <hyperlink ref="B2984" r:id="rId9213" display="https://twitter.com/misterwy" xr:uid="{57BB800C-4C94-452A-ACC2-39893B2396DC}"/>
    <hyperlink ref="E2984" r:id="rId9214" display="https://twitter.com/misterwy/status/723425641857576961" xr:uid="{E46F62D5-3484-4559-A70C-5B8E07A15D87}"/>
    <hyperlink ref="O2984" r:id="rId9215" display="https://pbs.twimg.com/profile_images/1845805113/foto_normal.gif" xr:uid="{59AE28A6-5641-42C5-B240-EFFC8BF4EA06}"/>
    <hyperlink ref="B2985" r:id="rId9216" display="https://twitter.com/JimHawkins11" xr:uid="{053008BD-F958-46BB-B854-63B5C296770A}"/>
    <hyperlink ref="E2985" r:id="rId9217" display="https://twitter.com/JimHawkins11/status/723425804856619008" xr:uid="{CE10CF1F-3444-4EC5-A385-4F171461B570}"/>
    <hyperlink ref="O2985" r:id="rId9218" display="https://pbs.twimg.com/profile_images/1575602647/369px-Treasure-Island-map_normal.jpg" xr:uid="{B862D68E-FF9F-4728-8E37-B68B5DFAC7CF}"/>
    <hyperlink ref="B2986" r:id="rId9219" display="https://twitter.com/woutervh1987" xr:uid="{613294E5-4594-41AD-B773-5FE1352AD7CB}"/>
    <hyperlink ref="E2986" r:id="rId9220" display="https://twitter.com/woutervh1987/status/723426619256266752" xr:uid="{8EAE1032-1E55-4B83-B6FB-7AF87015E9E2}"/>
    <hyperlink ref="O2986" r:id="rId9221" display="https://pbs.twimg.com/profile_images/640615823690731520/ygB3pA2g_normal.jpg" xr:uid="{B363C7B7-6C0B-4026-8D8B-715E142C066D}"/>
    <hyperlink ref="B2987" r:id="rId9222" display="https://twitter.com/mz_wirtschaft" xr:uid="{6898D5B2-0012-4691-8CFE-EB8BDBA3A690}"/>
    <hyperlink ref="E2987" r:id="rId9223" display="https://twitter.com/mz_wirtschaft/status/723427260120752130" xr:uid="{FE998E19-5B88-4130-AE02-676D9C4B53F5}"/>
    <hyperlink ref="O2987" r:id="rId9224" display="https://pbs.twimg.com/profile_images/649586851238572032/GK0i6M1k_normal.png" xr:uid="{457D5BE3-EE2C-4B58-B90E-79DC2AFA4A5D}"/>
    <hyperlink ref="B2988" r:id="rId9225" display="https://twitter.com/Test_Achats" xr:uid="{5E096192-15F7-4180-BBDE-93D5E9B1EBCA}"/>
    <hyperlink ref="E2988" r:id="rId9226" display="https://twitter.com/Test_Achats/status/723427316647370752" xr:uid="{3605A2ED-544D-462F-B10A-B0FFF2C8B414}"/>
    <hyperlink ref="O2988" r:id="rId9227" display="https://pbs.twimg.com/profile_images/717651142327607296/1uRZ3jg3_normal.jpg" xr:uid="{3889A52F-0AF1-4783-9C9B-9E2F7E417EF9}"/>
    <hyperlink ref="B2989" r:id="rId9228" display="https://twitter.com/t00lkit" xr:uid="{EEAEB885-7EF1-4D39-8A46-D295A35BFC5B}"/>
    <hyperlink ref="E2989" r:id="rId9229" display="https://twitter.com/t00lkit/status/723427407055581184" xr:uid="{0BF96E58-5188-47F1-8D84-C10087F06423}"/>
    <hyperlink ref="O2989" r:id="rId9230" display="https://pbs.twimg.com/profile_images/690311863733751808/JXUoHCV3_normal.jpg" xr:uid="{63CB4F1D-51D1-436D-AE79-D5FFBC357F78}"/>
    <hyperlink ref="B2990" r:id="rId9231" display="https://twitter.com/Marinella_Maria" xr:uid="{89D397A0-8B4C-48A9-9A60-F9BF3080434D}"/>
    <hyperlink ref="E2990" r:id="rId9232" display="https://twitter.com/Marinella_Maria/status/723427483840708610" xr:uid="{D6A3EA7D-C83F-4C52-8866-F58D0CFC4699}"/>
    <hyperlink ref="O2990" r:id="rId9233" display="https://pbs.twimg.com/profile_images/714499325313880064/pQsiHVWm_normal.jpg" xr:uid="{B34111DE-F49F-42BE-AEAF-3EDCF5B76B97}"/>
    <hyperlink ref="B2991" r:id="rId9234" display="https://twitter.com/NDRinfo" xr:uid="{E0E94315-0A2C-45A2-B081-8210BAE3E9F5}"/>
    <hyperlink ref="E2991" r:id="rId9235" display="https://twitter.com/NDRinfo/status/723427746131517440" xr:uid="{19EDBFC8-F3C5-4C91-B8A4-8FC863207566}"/>
    <hyperlink ref="O2991" r:id="rId9236" display="https://pbs.twimg.com/profile_images/694104559229243392/gP-hYBim_normal.png" xr:uid="{4B6F05CA-8950-404A-B0FA-E954580D63D8}"/>
    <hyperlink ref="B2992" r:id="rId9237" display="https://twitter.com/Rainer42" xr:uid="{8A88E958-58AD-414F-9AB0-11EE2EF8580C}"/>
    <hyperlink ref="E2992" r:id="rId9238" display="https://twitter.com/Rainer42/status/723427982715441153" xr:uid="{D7080024-2B31-4303-8BD3-DA4C7D2AFCB8}"/>
    <hyperlink ref="O2992" r:id="rId9239" display="https://pbs.twimg.com/profile_images/609626752802009088/UsQorUBS_normal.jpg" xr:uid="{17492645-3EF4-4E8C-B032-CC29B9AB8E98}"/>
    <hyperlink ref="B2993" r:id="rId9240" display="https://twitter.com/Scirocco_Tuning" xr:uid="{0329268C-166E-4B05-8E22-88E3C0AD6E12}"/>
    <hyperlink ref="E2993" r:id="rId9241" display="https://twitter.com/Scirocco_Tuning/status/723427988075765760" xr:uid="{0A1B4000-1BAB-489B-89EA-F97566EA36AE}"/>
    <hyperlink ref="O2993" r:id="rId9242" display="https://pbs.twimg.com/profile_images/1610421423/Image2_normal.jpg" xr:uid="{37C46321-1D24-4A6E-AA25-11EE053F94C4}"/>
    <hyperlink ref="B2994" r:id="rId9243" display="https://twitter.com/dapper013" xr:uid="{91474680-59C9-4B9A-94EE-C4EA22529C86}"/>
    <hyperlink ref="E2994" r:id="rId9244" display="https://twitter.com/dapper013/status/723428057525035008" xr:uid="{2C05D3AE-00CD-4321-979D-0C80008C96F8}"/>
    <hyperlink ref="O2994" r:id="rId9245" display="https://pbs.twimg.com/profile_images/704424786777280513/YQVkJF57_normal.jpg" xr:uid="{47A0AC2F-F986-4039-9B66-8811B8AEFDF7}"/>
    <hyperlink ref="B2995" r:id="rId9246" display="https://twitter.com/VWHeritage" xr:uid="{76A12389-4A0F-4557-96F7-55538D404B56}"/>
    <hyperlink ref="E2995" r:id="rId9247" display="https://twitter.com/VWHeritage/status/723428435419238401" xr:uid="{0A77BDA1-2740-409A-A644-EDF4C6E09980}"/>
    <hyperlink ref="O2995" r:id="rId9248" display="https://pbs.twimg.com/profile_images/709359494128599041/-2u0_Nqv_normal.jpg" xr:uid="{01C18C89-2116-44FB-8A97-5F4EE3328F58}"/>
    <hyperlink ref="B2996" r:id="rId9249" display="https://twitter.com/Klimaatcombi" xr:uid="{410AA707-3F91-4FCF-AC6E-F37C3B54253F}"/>
    <hyperlink ref="E2996" r:id="rId9250" display="https://twitter.com/Klimaatcombi/status/723428534144798724" xr:uid="{5907D5F2-E185-424B-B9C3-1939DE658A1B}"/>
    <hyperlink ref="O2996" r:id="rId9251" display="https://pbs.twimg.com/profile_images/525996707830435840/HCZkBfU9_normal.jpeg" xr:uid="{9F17B2FB-9B93-495C-AFD7-E7A168EC8C10}"/>
    <hyperlink ref="B2997" r:id="rId9252" display="https://twitter.com/BWResearch" xr:uid="{649D4DB5-12FD-4C47-8693-02A0B7532AD8}"/>
    <hyperlink ref="E2997" r:id="rId9253" display="https://twitter.com/BWResearch/status/723428534740340736" xr:uid="{E08DAD7F-6B6B-47A8-80EB-BB0939994715}"/>
    <hyperlink ref="O2997" r:id="rId9254" display="https://pbs.twimg.com/profile_images/1454103259/logo_normal.gif" xr:uid="{D3CA1587-A706-4B93-8377-7B5FBF80DE62}"/>
    <hyperlink ref="B2998" r:id="rId9255" display="https://twitter.com/chdauriac" xr:uid="{B7E286CF-C5BD-4907-A4BE-C0B5A895793B}"/>
    <hyperlink ref="E2998" r:id="rId9256" display="https://twitter.com/chdauriac/status/723428674926575616" xr:uid="{149CFD4D-AC8C-49DF-A19C-AEEA803F6C9E}"/>
    <hyperlink ref="O2998" r:id="rId9257" display="https://pbs.twimg.com/profile_images/719437056619978752/TQFA0u7S_normal.jpg" xr:uid="{229A7E80-BAB3-4AD8-9B34-8F2005D1273D}"/>
    <hyperlink ref="B2999" r:id="rId9258" display="https://twitter.com/sciubidu" xr:uid="{3FB74B73-320D-429C-8F56-C2B2B9B4AB30}"/>
    <hyperlink ref="E2999" r:id="rId9259" display="https://twitter.com/sciubidu/status/723429022546325504" xr:uid="{DD46F61C-526E-49A2-9D38-47B55FEE4785}"/>
    <hyperlink ref="O2999" r:id="rId9260" display="https://pbs.twimg.com/profile_images/665590151817596932/NTDY624i_normal.png" xr:uid="{435C5B2E-ADF4-44D6-A395-61B31B1D19BD}"/>
    <hyperlink ref="B3000" r:id="rId9261" display="https://twitter.com/hashtagvanlife" xr:uid="{F314DF6B-7DB4-48B5-827E-DC9BC7852BC1}"/>
    <hyperlink ref="E3000" r:id="rId9262" display="https://twitter.com/hashtagvanlife/status/723429119216635905" xr:uid="{1B7FC1B3-1575-4F9F-9101-11470B2C0996}"/>
    <hyperlink ref="O3000" r:id="rId9263" display="https://pbs.twimg.com/profile_images/653637535545995264/gHuXQ5Bt_normal.jpg" xr:uid="{908774E7-921B-4E07-8DD8-21EDE4C08FEA}"/>
    <hyperlink ref="B3001" r:id="rId9264" display="https://twitter.com/vwpress_de" xr:uid="{52D484B7-8CC0-498F-9E71-7E81607FE6B3}"/>
    <hyperlink ref="E3001" r:id="rId9265" display="https://twitter.com/vwpress_de/status/723429644146331650" xr:uid="{69537422-C852-49B6-A31B-08ED8394AB44}"/>
    <hyperlink ref="O3001" r:id="rId9266" display="https://pbs.twimg.com/profile_images/682117656502222848/Ge7YeAF3_normal.png" xr:uid="{D66CD689-BEFE-47B3-9EFD-B3B1A223177F}"/>
    <hyperlink ref="B3002" r:id="rId9267" display="https://twitter.com/VWBeetleSales" xr:uid="{56F6F235-4632-4921-BF5A-4144AEF6768E}"/>
    <hyperlink ref="E3002" r:id="rId9268" display="https://twitter.com/VWBeetleSales/status/723429658998403072" xr:uid="{D915E4D7-215F-494D-B8AA-4C089ED3075A}"/>
    <hyperlink ref="F3002" r:id="rId9269" xr:uid="{3E27F460-4545-4415-91E1-15A5526E8F99}"/>
    <hyperlink ref="O3002" r:id="rId9270" display="https://pbs.twimg.com/profile_images/703294545195307008/qeCvrX86_normal.jpg" xr:uid="{527F2C0C-2F05-48D4-88D8-B6FBD886458B}"/>
    <hyperlink ref="B3003" r:id="rId9271" display="https://twitter.com/VWBeetleSales" xr:uid="{37EE1946-CBBA-45C3-8977-BE424007EAD2}"/>
    <hyperlink ref="E3003" r:id="rId9272" display="https://twitter.com/VWBeetleSales/status/723429664228659200" xr:uid="{19C0D707-FD86-448C-8341-4E95C259D126}"/>
    <hyperlink ref="F3003" r:id="rId9273" xr:uid="{8F1EA770-5C24-4074-83A5-00D28FCE4085}"/>
    <hyperlink ref="O3003" r:id="rId9274" display="https://pbs.twimg.com/profile_images/703294545195307008/qeCvrX86_normal.jpg" xr:uid="{2D4D8EDA-F04B-4371-B0CF-E842B4BBE0D0}"/>
    <hyperlink ref="B3004" r:id="rId9275" display="https://twitter.com/VWBeetleSales" xr:uid="{DE7365AD-CC4A-45B6-A77C-526686C40F48}"/>
    <hyperlink ref="E3004" r:id="rId9276" display="https://twitter.com/VWBeetleSales/status/723429668041302017" xr:uid="{250C1307-5498-477E-A873-2E2D08048B81}"/>
    <hyperlink ref="F3004" r:id="rId9277" xr:uid="{5910FD4A-4812-475A-993D-3937EFEF5064}"/>
    <hyperlink ref="O3004" r:id="rId9278" display="https://pbs.twimg.com/profile_images/703294545195307008/qeCvrX86_normal.jpg" xr:uid="{136D9345-DDC3-4600-853C-6C1B82FEBC49}"/>
    <hyperlink ref="B3005" r:id="rId9279" display="https://twitter.com/vwpress_en" xr:uid="{EDE6A459-9133-414F-A9C9-D92958B57CD4}"/>
    <hyperlink ref="E3005" r:id="rId9280" display="https://twitter.com/vwpress_en/status/723429704166862848" xr:uid="{530551C1-B5F3-41B9-85FA-DA8E5BB4A141}"/>
    <hyperlink ref="O3005" r:id="rId9281" display="https://pbs.twimg.com/profile_images/682117963349135360/IUfZQy35_normal.png" xr:uid="{9E416E75-2D36-4618-9ECB-80EE2420A78D}"/>
    <hyperlink ref="B3006" r:id="rId9282" display="https://twitter.com/jerryhibbert" xr:uid="{98EECAB7-A505-41FF-9754-AB72B4A72B1B}"/>
    <hyperlink ref="E3006" r:id="rId9283" display="https://twitter.com/jerryhibbert/status/723429747561103361" xr:uid="{3E11D5F2-6F11-442F-9FAD-88A51D3A12F2}"/>
    <hyperlink ref="O3006" r:id="rId9284" display="https://pbs.twimg.com/profile_images/1096071870/Jerry_close_up_normal.jpg" xr:uid="{BD267F00-787C-4F4F-8B80-41094A514CD5}"/>
    <hyperlink ref="B3007" r:id="rId9285" display="https://twitter.com/porsche__dp" xr:uid="{0A00C83D-382F-4EA4-A8C2-5CCD6720D97D}"/>
    <hyperlink ref="E3007" r:id="rId9286" display="https://twitter.com/porsche__dp/status/723429754393624576" xr:uid="{0CB46D6D-49A5-48F7-94F3-E8176B04B211}"/>
    <hyperlink ref="O3007" r:id="rId9287" display="https://pbs.twimg.com/profile_images/475920780161601537/-Ofvmc0k_normal.jpeg" xr:uid="{7E6BF477-D93E-41E6-B343-48AF730C0789}"/>
    <hyperlink ref="B3008" r:id="rId9288" display="https://twitter.com/anura_bandara" xr:uid="{C0772D32-8FE8-44B1-A65B-4861A81EFA56}"/>
    <hyperlink ref="E3008" r:id="rId9289" display="https://twitter.com/anura_bandara/status/723429861595877380" xr:uid="{7E82E753-0DE3-46A0-9B3D-66729D8E4292}"/>
    <hyperlink ref="O3008" r:id="rId9290" display="https://pbs.twimg.com/profile_images/620914141826449408/sUP7INra_normal.jpg" xr:uid="{D3AD7199-0966-4801-8847-506AC7569E85}"/>
    <hyperlink ref="B3009" r:id="rId9291" display="https://twitter.com/virtualmotorpix" xr:uid="{2A343683-4218-42B5-A050-AC40791E3E2D}"/>
    <hyperlink ref="E3009" r:id="rId9292" display="https://twitter.com/virtualmotorpix/status/723429865051947008" xr:uid="{40B2C038-1394-4AAA-BAB0-8612995AE3D4}"/>
    <hyperlink ref="O3009" r:id="rId9293" display="https://pbs.twimg.com/profile_images/3059862224/4077ef61fd1e697b982ff0bb499caaf7_normal.jpeg" xr:uid="{E5EF30D7-640A-4619-80F8-371759E882D5}"/>
    <hyperlink ref="B3010" r:id="rId9294" display="https://twitter.com/theDrivenUKshow" xr:uid="{7E0A3C4C-465C-4FFE-AB06-C6864F139380}"/>
    <hyperlink ref="E3010" r:id="rId9295" display="https://twitter.com/theDrivenUKshow/status/723429894470819840" xr:uid="{6E6F2CBF-745C-496C-B74E-A5E508461DED}"/>
    <hyperlink ref="O3010" r:id="rId9296" display="https://abs.twimg.com/sticky/default_profile_images/default_profile_6_normal.png" xr:uid="{CA602A1D-E544-4FFC-A44A-E69E65B300AE}"/>
    <hyperlink ref="B3011" r:id="rId9297" display="https://twitter.com/Giustozziauto" xr:uid="{197EAEE4-4891-444D-9ED7-6E0C3316D193}"/>
    <hyperlink ref="E3011" r:id="rId9298" display="https://twitter.com/Giustozziauto/status/723429993720619008" xr:uid="{05AE2FF2-4795-4454-AF13-42608B22BC22}"/>
    <hyperlink ref="O3011" r:id="rId9299" display="https://pbs.twimg.com/profile_images/602784795119190016/VyaVwPXK_normal.jpg" xr:uid="{6173CAF3-EC3E-406B-93EC-A09428448939}"/>
    <hyperlink ref="B3012" r:id="rId9300" display="https://twitter.com/TrefyJot" xr:uid="{7310DFBB-0AEB-45E2-9E90-F70961D52A7E}"/>
    <hyperlink ref="E3012" r:id="rId9301" display="https://twitter.com/TrefyJot/status/723430168841199616" xr:uid="{0A77E86A-2D42-4264-AC51-F5AB668F7661}"/>
    <hyperlink ref="O3012" r:id="rId9302" display="https://pbs.twimg.com/profile_images/2268494982/ldbsvau1mxw0ny4vuv51_normal.jpeg" xr:uid="{93BBF51C-379B-45CE-BD33-03418049E493}"/>
    <hyperlink ref="B3013" r:id="rId9303" display="https://twitter.com/merkityksetoen" xr:uid="{602A6F87-A64F-4B37-9282-7AF83CB4345D}"/>
    <hyperlink ref="E3013" r:id="rId9304" display="https://twitter.com/merkityksetoen/status/723430221035102208" xr:uid="{E441647E-E56B-4A60-A133-F0A39E2CFE7C}"/>
    <hyperlink ref="O3013" r:id="rId9305" display="https://pbs.twimg.com/profile_images/664381241035124736/OkfTkL3J_normal.png" xr:uid="{DC048171-73EC-45EF-AF0A-35F64FAE8F3D}"/>
    <hyperlink ref="B3014" r:id="rId9306" display="https://twitter.com/magnetic_cement" xr:uid="{7DF9BC26-83B6-4AB4-A166-A7C42C3D6F33}"/>
    <hyperlink ref="E3014" r:id="rId9307" display="https://twitter.com/magnetic_cement/status/723430259832410112" xr:uid="{371D7794-1591-4377-8488-BFF8A11CA693}"/>
    <hyperlink ref="O3014" r:id="rId9308" display="https://pbs.twimg.com/profile_images/658647201581834240/dxUc3YHk_normal.png" xr:uid="{54CFDFB6-16DC-4BD5-A2F6-BC8989642C29}"/>
    <hyperlink ref="B3015" r:id="rId9309" display="https://twitter.com/techhippie" xr:uid="{240E9DBD-0873-49C0-A14B-DD89FC13DBC6}"/>
    <hyperlink ref="E3015" r:id="rId9310" display="https://twitter.com/techhippie/status/723430304673751042" xr:uid="{565A9965-025E-4531-809D-2C8DA2FFF0C5}"/>
    <hyperlink ref="O3015" r:id="rId9311" display="https://pbs.twimg.com/profile_images/702511217793863680/lty8h9vE_normal.jpg" xr:uid="{83D00297-5CEB-4A60-A70B-B775C3F66BBE}"/>
    <hyperlink ref="B3016" r:id="rId9312" display="https://twitter.com/kasamui" xr:uid="{36B8CEDC-1F9F-45E7-8755-1E23AA9B07F4}"/>
    <hyperlink ref="E3016" r:id="rId9313" display="https://twitter.com/kasamui/status/723430341952737284" xr:uid="{18B9E702-DC45-4EFD-B57B-B5D6FC5D9FB1}"/>
    <hyperlink ref="O3016" r:id="rId9314" display="https://pbs.twimg.com/profile_images/1110615804/kBqfF_normal.jpg" xr:uid="{EE3A1167-E65B-43B5-94DE-7746816B388F}"/>
    <hyperlink ref="B3017" r:id="rId9315" display="https://twitter.com/techhippie" xr:uid="{875E6353-9DE0-4CCE-A403-9F4BA8C26574}"/>
    <hyperlink ref="E3017" r:id="rId9316" display="https://twitter.com/techhippie/status/723430343311691776" xr:uid="{426BE651-4A06-4DB7-87EF-6A6309CA4F4F}"/>
    <hyperlink ref="O3017" r:id="rId9317" display="https://pbs.twimg.com/profile_images/702511217793863680/lty8h9vE_normal.jpg" xr:uid="{E7863D33-10E7-420A-830C-C8E216A20179}"/>
    <hyperlink ref="B3018" r:id="rId9318" display="https://twitter.com/techhippie" xr:uid="{DB97A520-0363-4491-86F1-63D478DBA98B}"/>
    <hyperlink ref="E3018" r:id="rId9319" display="https://twitter.com/techhippie/status/723430351058563072" xr:uid="{FF2AD846-B4EF-4FE0-874A-A6F668072A4A}"/>
    <hyperlink ref="O3018" r:id="rId9320" display="https://pbs.twimg.com/profile_images/702511217793863680/lty8h9vE_normal.jpg" xr:uid="{A5288358-0EB3-42B7-B71C-F9299B852297}"/>
    <hyperlink ref="B3019" r:id="rId9321" display="https://twitter.com/techhippie" xr:uid="{F60CE195-243D-47C6-A3A8-A35F0F2F1A00}"/>
    <hyperlink ref="E3019" r:id="rId9322" display="https://twitter.com/techhippie/status/723430366602612737" xr:uid="{5221FD83-11FE-48BE-8FC1-0751C6E5E359}"/>
    <hyperlink ref="O3019" r:id="rId9323" display="https://pbs.twimg.com/profile_images/702511217793863680/lty8h9vE_normal.jpg" xr:uid="{1F89AC0A-D8CB-4091-B678-7B72EE6D0FA7}"/>
    <hyperlink ref="B3020" r:id="rId9324" display="https://twitter.com/ZoomStocks" xr:uid="{D3FD7B2B-35CE-42D0-9A05-7C683D170856}"/>
    <hyperlink ref="E3020" r:id="rId9325" display="https://twitter.com/ZoomStocks/status/723430384612990976" xr:uid="{9AD1DD76-7585-4214-AA7F-511FD0C734BC}"/>
    <hyperlink ref="O3020" r:id="rId9326" display="https://pbs.twimg.com/profile_images/692688034601443328/Xvlk-vez_normal.png" xr:uid="{337BF2E9-29A4-4705-BF26-CC8236B209F3}"/>
    <hyperlink ref="B3021" r:id="rId9327" display="https://twitter.com/MiManske" xr:uid="{BA150F50-D249-4B44-8881-BA4ADFDDEF0F}"/>
    <hyperlink ref="E3021" r:id="rId9328" display="https://twitter.com/MiManske/status/723430636606775296" xr:uid="{0B91E7A7-6C48-4436-9327-1D465ACDAE12}"/>
    <hyperlink ref="O3021" r:id="rId9329" display="https://pbs.twimg.com/profile_images/652191269934993408/5bZKOI8y_normal.jpg" xr:uid="{151BC64D-2743-4B15-B69D-8A4E3C94CCEB}"/>
    <hyperlink ref="B3022" r:id="rId9330" display="https://twitter.com/BujangJalang_" xr:uid="{E061A21E-97C3-49EA-87D5-CEC4183FD711}"/>
    <hyperlink ref="E3022" r:id="rId9331" display="https://twitter.com/BujangJalang_/status/723430664847028224" xr:uid="{74905458-71F2-4B74-9330-0C85481C2BB3}"/>
    <hyperlink ref="O3022" r:id="rId9332" display="https://pbs.twimg.com/profile_images/723155111011209216/AQ99ZkG0_normal.jpg" xr:uid="{4A15D547-8AE7-4560-B223-6037EFC8234A}"/>
    <hyperlink ref="B3023" r:id="rId9333" display="https://twitter.com/LouisTyson" xr:uid="{4EA2EAA3-856F-4FA1-8E7C-1C6222CFEBFE}"/>
    <hyperlink ref="E3023" r:id="rId9334" display="https://twitter.com/LouisTyson/status/723430768119144449" xr:uid="{F1FA0B68-5779-4FA8-AAFE-BD9EA56A41A1}"/>
    <hyperlink ref="O3023" r:id="rId9335" display="https://pbs.twimg.com/profile_images/3719823744/516909e8f990902c7d918e9c659999a9_normal.jpeg" xr:uid="{6291965E-6714-40BB-892C-A3F9722A3D48}"/>
    <hyperlink ref="B3024" r:id="rId9336" display="https://twitter.com/vwgroup_de" xr:uid="{FA43AFCF-B16F-45FF-BDF5-EA301A769D26}"/>
    <hyperlink ref="E3024" r:id="rId9337" display="https://twitter.com/vwgroup_de/status/723430834456264704" xr:uid="{BA6363E6-25A1-4AC2-BD12-B95B1781A8FB}"/>
    <hyperlink ref="O3024" r:id="rId9338" display="https://pbs.twimg.com/profile_images/666952128108363777/FL78g9n-_normal.png" xr:uid="{8BAE593C-7E27-4905-88B1-CEA45CAC2C34}"/>
    <hyperlink ref="B3025" r:id="rId9339" display="https://twitter.com/vwgroup_en" xr:uid="{538C0D0A-3C50-4496-B989-60FA629EEF8D}"/>
    <hyperlink ref="E3025" r:id="rId9340" display="https://twitter.com/vwgroup_en/status/723430854622470145" xr:uid="{3F284D93-DE7E-4F3D-8E9F-D3343FC70224}"/>
    <hyperlink ref="O3025" r:id="rId9341" display="https://pbs.twimg.com/profile_images/666952430177935362/T46eVne2_normal.png" xr:uid="{E28613C7-A151-46D0-8511-5077278D90BE}"/>
    <hyperlink ref="B3026" r:id="rId9342" display="https://twitter.com/frugalmaniac" xr:uid="{D3F59081-F150-434B-8C10-3CD730684AF2}"/>
    <hyperlink ref="E3026" r:id="rId9343" display="https://twitter.com/frugalmaniac/status/723430932842082304" xr:uid="{E0017E82-FBA0-461F-B2F5-52150B50103D}"/>
    <hyperlink ref="O3026" r:id="rId9344" display="https://pbs.twimg.com/profile_images/459437340893532161/JWfT0I5C_normal.jpeg" xr:uid="{5D38AFB7-5D0B-4C21-A5F9-3113C87C7852}"/>
    <hyperlink ref="B3027" r:id="rId9345" display="https://twitter.com/LionelMaugain" xr:uid="{FB6B8523-8900-400A-A737-F0AC95C36E8A}"/>
    <hyperlink ref="E3027" r:id="rId9346" display="https://twitter.com/LionelMaugain/status/723430950831411201" xr:uid="{07DD91C4-3EA7-4586-8BFD-5CF70C133750}"/>
    <hyperlink ref="O3027" r:id="rId9347" display="https://pbs.twimg.com/profile_images/701317392778051584/QRK70qit_normal.jpg" xr:uid="{E166396B-5F69-4378-A968-5F153F050E44}"/>
    <hyperlink ref="B3028" r:id="rId9348" display="https://twitter.com/Artemka86" xr:uid="{734B9490-CD43-4A2E-A0D5-C4B726D53453}"/>
    <hyperlink ref="E3028" r:id="rId9349" display="https://twitter.com/Artemka86/status/723431015096578048" xr:uid="{DDFE7B0C-6258-4D36-B492-6E2C796FBFFA}"/>
    <hyperlink ref="O3028" r:id="rId9350" display="https://pbs.twimg.com/profile_images/1130086665/berr_normal.JPG" xr:uid="{6880DC6A-C5CB-4134-A5F8-C41F8B346452}"/>
    <hyperlink ref="B3029" r:id="rId9351" display="https://twitter.com/Stahlhammer" xr:uid="{91061F4C-4A85-40E7-8A23-2C804F7D9080}"/>
    <hyperlink ref="E3029" r:id="rId9352" display="https://twitter.com/Stahlhammer/status/723431083203694593" xr:uid="{A42545F8-BA15-41C2-81A4-EAEA79D3A79C}"/>
    <hyperlink ref="O3029" r:id="rId9353" display="https://pbs.twimg.com/profile_images/603480066887127041/ZqzOY80Q_normal.jpg" xr:uid="{E0A22057-332B-4ADB-B91E-A73A96CF2058}"/>
    <hyperlink ref="B3030" r:id="rId9354" display="https://twitter.com/MichaelNdri" xr:uid="{FEC69EB2-E6A9-4E04-BB67-36AB1084C4ED}"/>
    <hyperlink ref="E3030" r:id="rId9355" display="https://twitter.com/MichaelNdri/status/723431330374021120" xr:uid="{CB66EFBE-33A2-47AD-B0EE-4A455B4EC73E}"/>
    <hyperlink ref="O3030" r:id="rId9356" display="https://pbs.twimg.com/profile_images/2275736241/0wxdwpqqkero82c7tj5z_normal.jpeg" xr:uid="{789604CC-8216-4B6B-86EE-D1F26A4DCCC3}"/>
    <hyperlink ref="B3031" r:id="rId9357" display="https://twitter.com/VWBeetleSales" xr:uid="{078C3E48-1209-49E4-8468-2E5D8856F20A}"/>
    <hyperlink ref="E3031" r:id="rId9358" display="https://twitter.com/VWBeetleSales/status/723431675259023360" xr:uid="{370CCB9A-78AB-40B8-8373-7DABC6DACCD3}"/>
    <hyperlink ref="F3031" r:id="rId9359" xr:uid="{62FE2AFB-A732-4E08-BA7C-A11F4E65AE33}"/>
    <hyperlink ref="O3031" r:id="rId9360" display="https://pbs.twimg.com/profile_images/703294545195307008/qeCvrX86_normal.jpg" xr:uid="{3A809E15-F022-4B43-A507-33A55C052CB2}"/>
    <hyperlink ref="B3032" r:id="rId9361" display="https://twitter.com/conkers3" xr:uid="{E2D44A84-5001-429C-BC26-61A73099D2DC}"/>
    <hyperlink ref="E3032" r:id="rId9362" display="https://twitter.com/conkers3/status/723431690803126277" xr:uid="{CB05BCFA-3C04-47DC-BD2A-60C66EAFD6DF}"/>
    <hyperlink ref="O3032" r:id="rId9363" display="https://pbs.twimg.com/profile_images/3601856046/89deb5d36c9951092d953fa6050d5fbc_normal.jpeg" xr:uid="{7003C516-4D7A-4DEB-A998-4DEB983D706B}"/>
    <hyperlink ref="B3033" r:id="rId9364" display="https://twitter.com/Kabam1Petra" xr:uid="{0E1A4C2D-C460-4702-8FA9-00E4BF45C3F5}"/>
    <hyperlink ref="E3033" r:id="rId9365" display="https://twitter.com/Kabam1Petra/status/723432307797856257" xr:uid="{D5AB9E26-C2EA-4BC6-BA60-631FC76BB712}"/>
    <hyperlink ref="O3033" r:id="rId9366" display="https://pbs.twimg.com/profile_images/704021939631886337/eCYRucM2_normal.jpg" xr:uid="{B6A84C93-65B9-4539-AABF-775CD9D81FB1}"/>
    <hyperlink ref="B3034" r:id="rId9367" display="https://twitter.com/schillipaeppa" xr:uid="{767106C6-ABEF-494D-A675-9CE2EB0DD992}"/>
    <hyperlink ref="E3034" r:id="rId9368" display="https://twitter.com/schillipaeppa/status/723432659083362304" xr:uid="{532E2621-9444-44E9-A804-C846A7AAE69F}"/>
    <hyperlink ref="O3034" r:id="rId9369" display="https://pbs.twimg.com/profile_images/540494664193683456/ZMJVMiQE_normal.jpeg" xr:uid="{27D4FE29-8F39-44E1-8F40-744E219775C5}"/>
    <hyperlink ref="B3035" r:id="rId9370" display="https://twitter.com/fireman653706" xr:uid="{750FF13C-EBF5-4A90-8C48-A48F1E240090}"/>
    <hyperlink ref="E3035" r:id="rId9371" display="https://twitter.com/fireman653706/status/723432729631584257" xr:uid="{540EF76C-DACF-4313-87B5-79CF9690550E}"/>
    <hyperlink ref="O3035" r:id="rId9372" display="https://pbs.twimg.com/profile_images/717435966605168641/hHL9WubH_normal.jpg" xr:uid="{6B4AE151-A244-4983-8379-5E08A8613672}"/>
    <hyperlink ref="B3036" r:id="rId9373" display="https://twitter.com/Jaravuy01" xr:uid="{E18A6474-9B66-4EF2-A58B-B6509FCD870C}"/>
    <hyperlink ref="E3036" r:id="rId9374" display="https://twitter.com/Jaravuy01/status/723432739794374657" xr:uid="{F01A43B1-670A-4887-BA2E-28E074A8E55E}"/>
    <hyperlink ref="O3036" r:id="rId9375" display="https://pbs.twimg.com/profile_images/720482237049913344/WxmlpZ_-_normal.jpg" xr:uid="{6ED5036C-21E3-4BF8-92E9-F2460505D8F9}"/>
    <hyperlink ref="B3037" r:id="rId9376" display="https://twitter.com/ayondoTrading" xr:uid="{95F749D3-53ED-4157-B9EA-18DFD23AB377}"/>
    <hyperlink ref="E3037" r:id="rId9377" display="https://twitter.com/ayondoTrading/status/723432823286190080" xr:uid="{42650078-37FB-4B80-AE20-CDF7B88D5307}"/>
    <hyperlink ref="O3037" r:id="rId9378" display="https://pbs.twimg.com/profile_images/484339112711696384/MpNzWd-__normal.png" xr:uid="{8EA91440-4124-4649-BBCF-69AA3A5E1B47}"/>
    <hyperlink ref="B3038" r:id="rId9379" display="https://twitter.com/sagaron62" xr:uid="{BB0BEC14-557F-4F43-906F-1075D279D7CF}"/>
    <hyperlink ref="E3038" r:id="rId9380" display="https://twitter.com/sagaron62/status/723432937903943680" xr:uid="{53D5D55D-B844-4593-BB73-101C8BDB692D}"/>
    <hyperlink ref="O3038" r:id="rId9381" display="https://pbs.twimg.com/profile_images/722770349134372864/uH_DeX25_normal.jpg" xr:uid="{EFDFBD6C-0CB9-43E3-AD52-4A24FF726B9B}"/>
    <hyperlink ref="B3039" r:id="rId9382" display="https://twitter.com/SalihiShejzije" xr:uid="{E971AAC0-CD94-4BE6-B6E2-A2B516061009}"/>
    <hyperlink ref="E3039" r:id="rId9383" display="https://twitter.com/SalihiShejzije/status/723433073207992320" xr:uid="{24061354-732D-41A8-B9EE-39A4849FB16D}"/>
    <hyperlink ref="O3039" r:id="rId9384" display="https://pbs.twimg.com/profile_images/704001047216447488/5a1ozl-l_normal.jpg" xr:uid="{1B44A9DD-7095-4AA5-8AC3-FDD512D42A2B}"/>
    <hyperlink ref="B3040" r:id="rId9385" display="https://twitter.com/SalihiShejzije" xr:uid="{C0EF9853-E813-42D2-B5F3-7874A8AD2846}"/>
    <hyperlink ref="E3040" r:id="rId9386" display="https://twitter.com/SalihiShejzije/status/723433189004304384" xr:uid="{B936D569-B24E-42C2-8A23-44DFECE47C40}"/>
    <hyperlink ref="O3040" r:id="rId9387" display="https://pbs.twimg.com/profile_images/704001047216447488/5a1ozl-l_normal.jpg" xr:uid="{9A9BCDFB-6CBA-4540-A0B2-683F6F4184E8}"/>
    <hyperlink ref="B3041" r:id="rId9388" display="https://twitter.com/joe_rundle" xr:uid="{01E57BC6-8B46-45FD-87A4-87BF49784BF5}"/>
    <hyperlink ref="E3041" r:id="rId9389" display="https://twitter.com/joe_rundle/status/723433211087331328" xr:uid="{A370728B-3CB7-4173-A978-E46B4D897432}"/>
    <hyperlink ref="O3041" r:id="rId9390" display="https://pbs.twimg.com/profile_images/2647587230/d4dc2dcff2317bc6a8f2ff61406f81f1_normal.jpeg" xr:uid="{B114EEF9-A0F1-44E1-9DA3-5953B3F099EC}"/>
    <hyperlink ref="B3042" r:id="rId9391" display="https://twitter.com/RainerKresken" xr:uid="{F550B7A2-213C-4DA4-84BD-E10094AD4EFA}"/>
    <hyperlink ref="E3042" r:id="rId9392" display="https://twitter.com/RainerKresken/status/723433410681704448" xr:uid="{D738EC02-DF5B-4459-B66F-C3A6B2F85B4D}"/>
    <hyperlink ref="O3042" r:id="rId9393" display="https://pbs.twimg.com/profile_images/378800000860241295/VwDIjjjI_normal.png" xr:uid="{02AD9F58-A303-4AF6-86CE-399D11C545E2}"/>
    <hyperlink ref="B3043" r:id="rId9394" display="https://twitter.com/vamp_kris2102" xr:uid="{9539DAC3-AB78-45A0-AA6B-D7FC34021A34}"/>
    <hyperlink ref="E3043" r:id="rId9395" display="https://twitter.com/vamp_kris2102/status/723433452834459648" xr:uid="{3E07272D-F24F-48A3-A05F-9C15F2CCAAE5}"/>
    <hyperlink ref="O3043" r:id="rId9396" display="https://pbs.twimg.com/profile_images/506828098864558080/mVheZCwt_normal.jpeg" xr:uid="{5CBC0C86-3440-4C20-97B2-506805A9C505}"/>
    <hyperlink ref="B3044" r:id="rId9397" display="https://twitter.com/CemilGenc_WDC" xr:uid="{986311A3-5A46-46D2-820D-5596391ED265}"/>
    <hyperlink ref="E3044" r:id="rId9398" display="https://twitter.com/CemilGenc_WDC/status/723433470697951232" xr:uid="{DFB71F7F-8C88-4F96-91CD-DF5E39C11A52}"/>
    <hyperlink ref="O3044" r:id="rId9399" display="https://pbs.twimg.com/profile_images/416938050842034176/mrsQgnd8_normal.jpeg" xr:uid="{9FBC3F72-9018-4FA3-A686-AF85201623DA}"/>
    <hyperlink ref="B3045" r:id="rId9400" display="https://twitter.com/Horst1941" xr:uid="{1AA12F0E-2E7F-4179-BFCA-A73318DF890A}"/>
    <hyperlink ref="E3045" r:id="rId9401" display="https://twitter.com/Horst1941/status/723433577132621824" xr:uid="{89920984-CFFC-4191-A965-FF4C995D18FD}"/>
    <hyperlink ref="O3045" r:id="rId9402" display="https://pbs.twimg.com/profile_images/477014576001589248/U9HDLmZK_normal.jpeg" xr:uid="{7C50DD85-43E3-44B0-AC23-B088621B4F9B}"/>
    <hyperlink ref="B3046" r:id="rId9403" display="https://twitter.com/MxKyouR" xr:uid="{C413B7E3-54DF-47D7-813A-37A6DCC6C407}"/>
    <hyperlink ref="E3046" r:id="rId9404" display="https://twitter.com/MxKyouR/status/723434024341921792" xr:uid="{47B36075-CBBF-4D8F-B4DA-51BD3EA5CB9A}"/>
    <hyperlink ref="O3046" r:id="rId9405" display="https://pbs.twimg.com/profile_images/642101062820843520/uJ96gYO5_normal.jpg" xr:uid="{8E9927AD-5021-4D26-8A5C-DAE38381525F}"/>
    <hyperlink ref="B3047" r:id="rId9406" display="https://twitter.com/BlackCarbonMan" xr:uid="{833F36DD-FCDB-4A1E-A6D0-C596979183C0}"/>
    <hyperlink ref="E3047" r:id="rId9407" display="https://twitter.com/BlackCarbonMan/status/723434051873329152" xr:uid="{5616F324-5156-4EBC-89B0-1BD2A0E717A9}"/>
    <hyperlink ref="O3047" r:id="rId9408" display="https://pbs.twimg.com/profile_images/718068614998409217/O0N1ksar_normal.jpg" xr:uid="{827C98BC-872F-4D1C-A144-F0017879972B}"/>
    <hyperlink ref="B3048" r:id="rId9409" display="https://twitter.com/creator_mack_" xr:uid="{849A2F16-5437-4C32-AEC5-2068AA9A5BBB}"/>
    <hyperlink ref="E3048" r:id="rId9410" display="https://twitter.com/creator_mack_/status/723434091626942464" xr:uid="{51D7427E-B7C0-4768-8848-487CCA942FDE}"/>
    <hyperlink ref="O3048" r:id="rId9411" display="https://pbs.twimg.com/profile_images/673840837118177280/Fb0hOqos_normal.jpg" xr:uid="{E5BDEB2D-1915-45BB-AC5F-4D365B35DAA6}"/>
    <hyperlink ref="B3049" r:id="rId9412" display="https://twitter.com/weare_van" xr:uid="{CC76AA6F-7096-4D18-80A6-BA21E83D8802}"/>
    <hyperlink ref="E3049" r:id="rId9413" display="https://twitter.com/weare_van/status/723434196820103168" xr:uid="{DC419E82-9861-4266-8643-033EFF9E426F}"/>
    <hyperlink ref="O3049" r:id="rId9414" display="https://pbs.twimg.com/profile_images/707176643509538817/-s_VKgK4_normal.jpg" xr:uid="{C33DB008-8C4B-40A5-87A9-631503293325}"/>
    <hyperlink ref="B3050" r:id="rId9415" display="https://twitter.com/weare_van" xr:uid="{C43C532A-406E-4F74-9E27-1BACC6019740}"/>
    <hyperlink ref="E3050" r:id="rId9416" display="https://twitter.com/weare_van/status/723434209730170882" xr:uid="{10F9F3C7-3CC1-49FA-9E25-23B7A9079712}"/>
    <hyperlink ref="O3050" r:id="rId9417" display="https://pbs.twimg.com/profile_images/707176643509538817/-s_VKgK4_normal.jpg" xr:uid="{4994A793-7BA4-44F4-A3DC-1E0158A92DDF}"/>
    <hyperlink ref="B3051" r:id="rId9418" display="https://twitter.com/vintagevwdita" xr:uid="{CD648A17-2889-44B6-B729-1226C9FAE34C}"/>
    <hyperlink ref="E3051" r:id="rId9419" display="https://twitter.com/vintagevwdita/status/723434242592493569" xr:uid="{B71E7CBC-5719-4F38-BFDB-FBDAECD378C9}"/>
    <hyperlink ref="O3051" r:id="rId9420" display="https://pbs.twimg.com/profile_images/687419637429080064/YhD1MggI_normal.jpg" xr:uid="{CB82587F-EE5D-4BFD-9658-5674C382730C}"/>
    <hyperlink ref="B3052" r:id="rId9421" display="https://twitter.com/VWCamperSales" xr:uid="{865F07C1-0996-4C16-B232-CE27362DAD53}"/>
    <hyperlink ref="E3052" r:id="rId9422" display="https://twitter.com/VWCamperSales/status/723434695518638080" xr:uid="{1F76C551-E51C-4F52-9F4E-51EF20D4B868}"/>
    <hyperlink ref="F3052" r:id="rId9423" xr:uid="{2EC1B361-4D9D-422B-A746-36F05617024E}"/>
    <hyperlink ref="O3052" r:id="rId9424" display="https://pbs.twimg.com/profile_images/627949001179037696/skEBkS05_normal.jpg" xr:uid="{F4EB05F4-6E0C-477E-9935-5DCE40982CDA}"/>
    <hyperlink ref="B3053" r:id="rId9425" display="https://twitter.com/KillianMurphy2" xr:uid="{01664BE3-D73F-4338-8401-A0E15A47A70B}"/>
    <hyperlink ref="E3053" r:id="rId9426" display="https://twitter.com/KillianMurphy2/status/723434700518236160" xr:uid="{FC11C447-07BF-463B-AC5C-D7FA823489FE}"/>
    <hyperlink ref="O3053" r:id="rId9427" display="https://pbs.twimg.com/profile_images/570022305553887232/uyEn4tET_normal.jpeg" xr:uid="{0FB5A5D6-6D7D-413C-A023-A239659C47D0}"/>
    <hyperlink ref="B3054" r:id="rId9428" display="https://twitter.com/janduesseldorff" xr:uid="{10AE873F-8212-4767-8839-D593A2839936}"/>
    <hyperlink ref="E3054" r:id="rId9429" display="https://twitter.com/janduesseldorff/status/723434724304117760" xr:uid="{3C28C44A-E64B-4664-91F2-A31A3135D73B}"/>
    <hyperlink ref="O3054" r:id="rId9430" display="https://pbs.twimg.com/profile_images/682116805423435776/QR92Hz72_normal.jpg" xr:uid="{F6080DD0-89FB-44B6-A164-D81303A3B7B8}"/>
    <hyperlink ref="B3055" r:id="rId9431" display="https://twitter.com/Mphilpot1" xr:uid="{663C711A-3824-4A31-8D2B-130759A3282B}"/>
    <hyperlink ref="E3055" r:id="rId9432" display="https://twitter.com/Mphilpot1/status/723434845355941888" xr:uid="{7EB1891B-34A4-4E3F-A6F2-0086F8066990}"/>
    <hyperlink ref="O3055" r:id="rId9433" display="https://pbs.twimg.com/profile_images/422164778639839234/LVnS1q1c_normal.jpeg" xr:uid="{054DA90A-8BD1-4712-A9FF-D9B468B88A30}"/>
    <hyperlink ref="B3056" r:id="rId9434" display="https://twitter.com/gellis18" xr:uid="{1E358300-ED9D-4350-A639-3B4567FA19CE}"/>
    <hyperlink ref="E3056" r:id="rId9435" display="https://twitter.com/gellis18/status/723434873084481536" xr:uid="{40BD0DC7-3AF4-4E04-99AC-3E26270392CD}"/>
    <hyperlink ref="O3056" r:id="rId9436" display="https://pbs.twimg.com/profile_images/705911078744621056/rgqbjoIr_normal.jpg" xr:uid="{11D14BCC-5A85-4746-9266-CB9D1975440F}"/>
    <hyperlink ref="B3057" r:id="rId9437" display="https://twitter.com/VWBeetleSales" xr:uid="{7D587625-451C-4C42-8125-61C22BFBEE45}"/>
    <hyperlink ref="E3057" r:id="rId9438" display="https://twitter.com/VWBeetleSales/status/723435061291278337" xr:uid="{DCF4A21B-1208-443D-B43C-835E726DC9D2}"/>
    <hyperlink ref="F3057" r:id="rId9439" xr:uid="{B16F2F0F-488B-4614-8F45-BD945BEA71D0}"/>
    <hyperlink ref="O3057" r:id="rId9440" display="https://pbs.twimg.com/profile_images/703294545195307008/qeCvrX86_normal.jpg" xr:uid="{8D814C53-735E-45AF-A450-B420AFC215B6}"/>
    <hyperlink ref="B3058" r:id="rId9441" display="https://twitter.com/1815_online" xr:uid="{8FFAF4B7-0A4F-47F6-82C5-7157609C2150}"/>
    <hyperlink ref="C3058" r:id="rId9442" xr:uid="{B047EC2B-AD0F-4AF0-A6A2-3019FD5041B4}"/>
    <hyperlink ref="E3058" r:id="rId9443" display="https://twitter.com/1815_online/status/723435156049039362" xr:uid="{79EBF57F-BFC3-4F12-8D7B-F466E6CC3C7E}"/>
    <hyperlink ref="O3058" r:id="rId9444" display="https://pbs.twimg.com/profile_images/1665847531/twitter_normal.png" xr:uid="{726A0B7E-225F-4BB8-AA2C-B472A06D3E6D}"/>
    <hyperlink ref="B3059" r:id="rId9445" display="https://twitter.com/Woogpirat" xr:uid="{BDFC7112-2A79-45B9-9C6A-23E1EC4CE469}"/>
    <hyperlink ref="E3059" r:id="rId9446" display="https://twitter.com/Woogpirat/status/723435265369333760" xr:uid="{319D4AF8-6A45-4F52-8D6A-74971AC75A6A}"/>
    <hyperlink ref="O3059" r:id="rId9447" display="https://pbs.twimg.com/profile_images/722841554172428288/qqVagYHE_normal.jpg" xr:uid="{1C1B7E51-3B31-4360-80B4-2335F29FF7D0}"/>
    <hyperlink ref="B3060" r:id="rId9448" display="https://twitter.com/VolkswagenPost" xr:uid="{9B0E1B70-E07C-4905-8B78-E1BCF7737616}"/>
    <hyperlink ref="E3060" r:id="rId9449" display="https://twitter.com/VolkswagenPost/status/723435453945257985" xr:uid="{276291F5-21AF-48CF-9378-766D4D76F850}"/>
    <hyperlink ref="O3060" r:id="rId9450" display="https://pbs.twimg.com/profile_images/530071272881803264/a_jcCmPZ_normal.png" xr:uid="{6FD1EB71-A505-4C68-99BF-255CDCDC1C79}"/>
    <hyperlink ref="B3061" r:id="rId9451" display="https://twitter.com/MiManske" xr:uid="{228A6D87-9BF9-4B24-9781-67D745B7966D}"/>
    <hyperlink ref="E3061" r:id="rId9452" display="https://twitter.com/MiManske/status/723435483154391041" xr:uid="{FC5563EC-47CE-403F-9275-0666602ABC4A}"/>
    <hyperlink ref="O3061" r:id="rId9453" display="https://pbs.twimg.com/profile_images/652191269934993408/5bZKOI8y_normal.jpg" xr:uid="{402D20C4-BB68-427D-95BF-D3A1381BB9AD}"/>
    <hyperlink ref="B3062" r:id="rId9454" display="https://twitter.com/5StarChickMeem" xr:uid="{6718D831-D819-4054-9DC0-FCBF6FE2214D}"/>
    <hyperlink ref="E3062" r:id="rId9455" display="https://twitter.com/5StarChickMeem/status/723436071007055872" xr:uid="{1DD7F1FE-D67B-4463-9CDE-C49DBC6D0F56}"/>
    <hyperlink ref="O3062" r:id="rId9456" display="https://pbs.twimg.com/profile_images/542750047444955136/ZZDxu4BV_normal.jpeg" xr:uid="{E55D017A-0B83-42AA-92EB-6BEF19CFE4FC}"/>
    <hyperlink ref="B3063" r:id="rId9457" display="https://twitter.com/WrexhamVW" xr:uid="{48935DE4-E985-4C65-899B-FCC53ABC011A}"/>
    <hyperlink ref="E3063" r:id="rId9458" display="https://twitter.com/WrexhamVW/status/723436184106463232" xr:uid="{CDA0590B-5502-4194-951B-2FB0394B7B84}"/>
    <hyperlink ref="O3063" r:id="rId9459" display="https://pbs.twimg.com/profile_images/488719995401027584/VzWWQNs__normal.jpeg" xr:uid="{0EC0EFD2-FB24-4AAC-94E1-C9309F8E5788}"/>
    <hyperlink ref="B3064" r:id="rId9460" display="https://twitter.com/swanswaygroup" xr:uid="{27EBEF42-9A02-46A8-B2F7-895240B71C79}"/>
    <hyperlink ref="E3064" r:id="rId9461" display="https://twitter.com/swanswaygroup/status/723436184123244544" xr:uid="{536ADDA0-0A31-4F8B-AE88-9DB961E08259}"/>
    <hyperlink ref="O3064" r:id="rId9462" display="https://pbs.twimg.com/profile_images/552037189328982016/r65JRGTS_normal.jpeg" xr:uid="{F044ABDA-59D8-48FD-BDA4-D3B8D57EA2A1}"/>
    <hyperlink ref="B3065" r:id="rId9463" display="https://twitter.com/VWCamperSales" xr:uid="{305A463A-C2D5-42A2-A8F4-4001E27BEACA}"/>
    <hyperlink ref="E3065" r:id="rId9464" display="https://twitter.com/VWCamperSales/status/723436209087770627" xr:uid="{F9F6139B-39D9-4402-B0BF-3557A9FC94C0}"/>
    <hyperlink ref="F3065" r:id="rId9465" xr:uid="{C2F86E90-AC67-4AF6-8443-A0AB6561397B}"/>
    <hyperlink ref="O3065" r:id="rId9466" display="https://pbs.twimg.com/profile_images/627949001179037696/skEBkS05_normal.jpg" xr:uid="{730A697B-1875-47F3-90C4-7E61C01CEE6C}"/>
    <hyperlink ref="B3066" r:id="rId9467" display="https://twitter.com/mightybuyer" xr:uid="{B6B21593-3C86-45F9-BD09-664630F3AC57}"/>
    <hyperlink ref="E3066" r:id="rId9468" display="https://twitter.com/mightybuyer/status/723436516295364608" xr:uid="{5B988BE8-1230-4850-B446-A86134DC9B97}"/>
    <hyperlink ref="O3066" r:id="rId9469" display="https://pbs.twimg.com/profile_images/2755794784/46a2040b4700be620b431b6865fb340d_normal.jpeg" xr:uid="{DFF2136E-2CC4-42B4-A340-35D10779D515}"/>
    <hyperlink ref="B3067" r:id="rId9470" display="https://twitter.com/peredaNacho2" xr:uid="{15EBF440-5A27-47A3-8B9E-4A5C231C82FA}"/>
    <hyperlink ref="E3067" r:id="rId9471" display="https://twitter.com/peredaNacho2/status/723436524465876992" xr:uid="{4EBBB2DE-788C-4EBF-A489-11FFBF762FAA}"/>
    <hyperlink ref="O3067" r:id="rId9472" display="https://pbs.twimg.com/profile_images/669116973075341312/r8-po-CI_normal.jpg" xr:uid="{10053F78-EB38-4F07-B9EC-2E1EAF3565D0}"/>
    <hyperlink ref="B3068" r:id="rId9473" display="https://twitter.com/VWBeetleSales" xr:uid="{90363537-AE22-4991-828B-40CC5A49D2FF}"/>
    <hyperlink ref="E3068" r:id="rId9474" display="https://twitter.com/VWBeetleSales/status/723436580484993024" xr:uid="{670F2CDB-0F57-49BC-9B0D-47E47D953C8B}"/>
    <hyperlink ref="F3068" r:id="rId9475" xr:uid="{E836FEC3-EF12-4492-AE68-F768183622E7}"/>
    <hyperlink ref="O3068" r:id="rId9476" display="https://pbs.twimg.com/profile_images/703294545195307008/qeCvrX86_normal.jpg" xr:uid="{E3FA18FB-9FC2-4A1E-9D01-532310E22BE5}"/>
    <hyperlink ref="B3069" r:id="rId9477" display="https://twitter.com/berendes59" xr:uid="{F48296A7-304D-462F-9101-3380256427E0}"/>
    <hyperlink ref="E3069" r:id="rId9478" display="https://twitter.com/berendes59/status/723436602882584578" xr:uid="{83C37AF5-E54E-435C-A7BA-FD58C56003E1}"/>
    <hyperlink ref="O3069" r:id="rId9479" display="https://pbs.twimg.com/profile_images/712241480937644032/oD5uEdC4_normal.jpg" xr:uid="{2A73F3A1-BAA1-42FB-97C5-A21CFEFB0652}"/>
    <hyperlink ref="B3070" r:id="rId9480" display="https://twitter.com/CarsSouthAfrica" xr:uid="{9C7794F8-EBAC-4908-80F2-F89C38D7E2AF}"/>
    <hyperlink ref="C3070" r:id="rId9481" xr:uid="{955DAC74-CF3D-4D57-893C-9287E7658D78}"/>
    <hyperlink ref="E3070" r:id="rId9482" display="https://twitter.com/CarsSouthAfrica/status/723436690790965248" xr:uid="{360814D3-8CF7-41B1-9A8E-B0332E04DAB4}"/>
    <hyperlink ref="O3070" r:id="rId9483" display="https://pbs.twimg.com/profile_images/2201076564/profile-ro_normal.jpg" xr:uid="{726685A6-0128-411C-84B2-7CE28504A446}"/>
    <hyperlink ref="B3071" r:id="rId9484" display="https://twitter.com/twittonium" xr:uid="{BFBD1BD3-C2B5-4EC1-AEDF-0BE68698091A}"/>
    <hyperlink ref="E3071" r:id="rId9485" display="https://twitter.com/twittonium/status/723436939383173121" xr:uid="{FF68083B-D729-419F-9A9D-658595E1BD9E}"/>
    <hyperlink ref="O3071" r:id="rId9486" display="https://pbs.twimg.com/profile_images/662335141537280001/ZH4b_Zba_normal.png" xr:uid="{6613604C-870F-4C9B-BF72-14D2FDAE74B5}"/>
    <hyperlink ref="B3072" r:id="rId9487" display="https://twitter.com/ratingwissen" xr:uid="{B9ACFE62-2FBF-407F-AEFB-2EE4B8F97E03}"/>
    <hyperlink ref="E3072" r:id="rId9488" display="https://twitter.com/ratingwissen/status/723437011877527552" xr:uid="{22445C66-B58E-4D92-B82B-98DD0704E7A9}"/>
    <hyperlink ref="O3072" r:id="rId9489" display="https://pbs.twimg.com/profile_images/1237269784/braatz_web_normal.jpg" xr:uid="{9E218717-FDDA-4385-A904-A9966D7F7265}"/>
    <hyperlink ref="B3073" r:id="rId9490" display="https://twitter.com/Boersenradar" xr:uid="{33F72004-C435-4590-8FF8-8379271EBC19}"/>
    <hyperlink ref="E3073" r:id="rId9491" display="https://twitter.com/Boersenradar/status/723437210444304385" xr:uid="{F17A1BA4-BC7F-4955-A357-763320171E97}"/>
    <hyperlink ref="O3073" r:id="rId9492" display="https://pbs.twimg.com/profile_images/648862182936047616/p6o1BlmC_normal.jpg" xr:uid="{D56C89CD-EFBD-4039-9C57-C35CB5FF284B}"/>
    <hyperlink ref="B3074" r:id="rId9493" display="https://twitter.com/Roterhai" xr:uid="{01054C3C-42DD-4D39-B4B7-C99D6151A25F}"/>
    <hyperlink ref="E3074" r:id="rId9494" display="https://twitter.com/Roterhai/status/723437352081719297" xr:uid="{5CDBE163-5B26-49EA-B404-EFF016C53268}"/>
    <hyperlink ref="O3074" r:id="rId9495" display="https://pbs.twimg.com/profile_images/524173985303785473/QMd16DWm_normal.jpeg" xr:uid="{6F4A4862-974B-4FC6-819B-7AA34A5789C6}"/>
    <hyperlink ref="B3075" r:id="rId9496" display="https://twitter.com/beetlebug1938" xr:uid="{32288276-E110-4D04-AD61-CF9C6AC294D3}"/>
    <hyperlink ref="E3075" r:id="rId9497" display="https://twitter.com/beetlebug1938/status/723437440229240834" xr:uid="{3C9449EC-A052-4576-A0BD-1F8EA4CD5C2A}"/>
    <hyperlink ref="O3075" r:id="rId9498" display="https://pbs.twimg.com/profile_images/718820712757215233/LXXndPTS_normal.jpg" xr:uid="{B89F4382-28E0-4DCD-AD08-9B63FC19569D}"/>
    <hyperlink ref="B3076" r:id="rId9499" display="https://twitter.com/beetlebug1938" xr:uid="{BD72623B-AD29-41F2-9C03-4598837E3F29}"/>
    <hyperlink ref="E3076" r:id="rId9500" display="https://twitter.com/beetlebug1938/status/723437452107485184" xr:uid="{9F71579E-BB20-4EF0-9D91-7750B0E84FE2}"/>
    <hyperlink ref="O3076" r:id="rId9501" display="https://pbs.twimg.com/profile_images/718820712757215233/LXXndPTS_normal.jpg" xr:uid="{C0E3FAA5-90F4-4B8A-9F8A-67345BBDC26E}"/>
    <hyperlink ref="B3077" r:id="rId9502" display="https://twitter.com/beetlebug1938" xr:uid="{473CACE1-2006-42C9-A1D0-AEE7768DB24C}"/>
    <hyperlink ref="E3077" r:id="rId9503" display="https://twitter.com/beetlebug1938/status/723437467731288065" xr:uid="{558F35F9-41F7-4F1A-813D-E7BCF2A7213E}"/>
    <hyperlink ref="O3077" r:id="rId9504" display="https://pbs.twimg.com/profile_images/718820712757215233/LXXndPTS_normal.jpg" xr:uid="{4BFBBD0D-94B9-4DBF-9949-09F942C8529E}"/>
    <hyperlink ref="B3078" r:id="rId9505" display="https://twitter.com/beetlebug1938" xr:uid="{E6D86E39-395D-44EB-BF68-66ECD93E8A1E}"/>
    <hyperlink ref="E3078" r:id="rId9506" display="https://twitter.com/beetlebug1938/status/723437482314854400" xr:uid="{0C183979-1B4E-4653-A089-FF5334AFDE5E}"/>
    <hyperlink ref="O3078" r:id="rId9507" display="https://pbs.twimg.com/profile_images/718820712757215233/LXXndPTS_normal.jpg" xr:uid="{6E9EEBE8-21E4-4FD1-9A33-80D63D5CD326}"/>
    <hyperlink ref="B3079" r:id="rId9508" display="https://twitter.com/uk_barn_finds" xr:uid="{98F9C296-2A2A-4C09-B665-EE8C2595C294}"/>
    <hyperlink ref="E3079" r:id="rId9509" display="https://twitter.com/uk_barn_finds/status/723437513528905729" xr:uid="{1C5B3001-4CA5-4AC1-9F3C-095E9F379C61}"/>
    <hyperlink ref="O3079" r:id="rId9510" display="https://pbs.twimg.com/profile_images/674735994638348289/svf5Ietj_normal.jpg" xr:uid="{55537F9E-B97E-4629-B044-5E61F40F5CD6}"/>
    <hyperlink ref="B3080" r:id="rId9511" display="https://twitter.com/beetlebug1938" xr:uid="{1E96BD15-6D81-4B36-8AEF-A62739E09DF0}"/>
    <hyperlink ref="E3080" r:id="rId9512" display="https://twitter.com/beetlebug1938/status/723437531140747264" xr:uid="{2B1E02DB-F179-4201-929C-3FC75EC4436D}"/>
    <hyperlink ref="O3080" r:id="rId9513" display="https://pbs.twimg.com/profile_images/718820712757215233/LXXndPTS_normal.jpg" xr:uid="{A0BABDA5-78AD-4EBD-9B5A-69A3E90F5525}"/>
    <hyperlink ref="B3081" r:id="rId9514" display="https://twitter.com/beetlebug1938" xr:uid="{12A37A1F-ED27-4CCE-B698-285DBE6A5A53}"/>
    <hyperlink ref="E3081" r:id="rId9515" display="https://twitter.com/beetlebug1938/status/723437549692162053" xr:uid="{C1001770-92F1-405C-8EB2-873F585AD5D4}"/>
    <hyperlink ref="O3081" r:id="rId9516" display="https://pbs.twimg.com/profile_images/718820712757215233/LXXndPTS_normal.jpg" xr:uid="{8B07B0F1-A45E-4EF3-8C65-03B14E88013C}"/>
    <hyperlink ref="B3082" r:id="rId9517" display="https://twitter.com/beetlebug1938" xr:uid="{1E59F929-93C2-409B-A64B-DC3C00A744EC}"/>
    <hyperlink ref="E3082" r:id="rId9518" display="https://twitter.com/beetlebug1938/status/723437570923720704" xr:uid="{B2D3156F-8560-4D49-B861-017332A47AE2}"/>
    <hyperlink ref="O3082" r:id="rId9519" display="https://pbs.twimg.com/profile_images/718820712757215233/LXXndPTS_normal.jpg" xr:uid="{690A8117-E70A-496F-B2AF-01FA5BFC77FC}"/>
    <hyperlink ref="B3083" r:id="rId9520" display="https://twitter.com/beetlebug1938" xr:uid="{B5A5E79E-BF00-479C-9C07-2F1634BF913C}"/>
    <hyperlink ref="E3083" r:id="rId9521" display="https://twitter.com/beetlebug1938/status/723437589357711360" xr:uid="{387F9505-1491-46D5-9A49-A50CFB5E4C1D}"/>
    <hyperlink ref="O3083" r:id="rId9522" display="https://pbs.twimg.com/profile_images/718820712757215233/LXXndPTS_normal.jpg" xr:uid="{E330C6B6-5F02-40D0-BF1F-CC9F5018419E}"/>
    <hyperlink ref="B3084" r:id="rId9523" display="https://twitter.com/TalaQaraeen" xr:uid="{5A4EEA2E-A354-47E9-B7D8-0FC3A7807346}"/>
    <hyperlink ref="E3084" r:id="rId9524" display="https://twitter.com/TalaQaraeen/status/723437673776476160" xr:uid="{BEC69171-E257-4F05-B8C9-C1CAAABE74EC}"/>
    <hyperlink ref="O3084" r:id="rId9525" display="https://pbs.twimg.com/profile_images/698905236400795648/bYJ_fyQI_normal.jpg" xr:uid="{8F7496E8-074E-4867-82BB-E7A970941315}"/>
    <hyperlink ref="B3085" r:id="rId9526" display="https://twitter.com/RFN19" xr:uid="{D4E8C39A-5BD9-4A22-B907-072D8C449A77}"/>
    <hyperlink ref="E3085" r:id="rId9527" display="https://twitter.com/RFN19/status/723438058918408193" xr:uid="{D8DD892E-B905-432D-BC3A-45FBCCDECF58}"/>
    <hyperlink ref="O3085" r:id="rId9528" display="https://pbs.twimg.com/profile_images/571872729201012736/GOT-p0KX_normal.jpeg" xr:uid="{79D6198D-0F39-4A9E-942A-199A1D3AAD5A}"/>
    <hyperlink ref="B3086" r:id="rId9529" display="https://twitter.com/Mfundo_Jobe" xr:uid="{9ADCED08-EC15-4268-927D-8CBF0C827184}"/>
    <hyperlink ref="E3086" r:id="rId9530" display="https://twitter.com/Mfundo_Jobe/status/723438098676248578" xr:uid="{2946999C-FF62-4D6E-BAC9-71C3DD6D137F}"/>
    <hyperlink ref="O3086" r:id="rId9531" display="https://pbs.twimg.com/profile_images/688782306794950656/FOlrxypw_normal.jpg" xr:uid="{42BB1BA3-8433-40A8-B010-12780F6F5D3D}"/>
    <hyperlink ref="B3087" r:id="rId9532" display="https://twitter.com/FuscaWorld" xr:uid="{23C91756-7C7D-4F04-A4C0-327CA7A08DA2}"/>
    <hyperlink ref="E3087" r:id="rId9533" display="https://twitter.com/FuscaWorld/status/723438223024746497" xr:uid="{73500BF5-8D93-4193-918F-D3505C361171}"/>
    <hyperlink ref="O3087" r:id="rId9534" display="https://pbs.twimg.com/profile_images/705780107844067328/e7O4UBNb_normal.jpg" xr:uid="{E1223CBE-3230-430A-BE1F-C26DBA5554FC}"/>
    <hyperlink ref="B3088" r:id="rId9535" display="https://twitter.com/tuskami" xr:uid="{0CA333EE-CA85-42FB-B349-9A66A9BF59D3}"/>
    <hyperlink ref="E3088" r:id="rId9536" display="https://twitter.com/tuskami/status/723438636922851329" xr:uid="{0FA565C9-5323-4E02-A85C-CBA7FC6F127A}"/>
    <hyperlink ref="O3088" r:id="rId9537" display="https://pbs.twimg.com/profile_images/717008192346189824/pJ8teK6t_normal.jpg" xr:uid="{CDA46727-02D2-4862-84D6-47F0B3562A22}"/>
    <hyperlink ref="B3089" r:id="rId9538" display="https://twitter.com/Racewars_org" xr:uid="{5550B97D-E9CB-4D87-8B14-E6994CFBA526}"/>
    <hyperlink ref="E3089" r:id="rId9539" display="https://twitter.com/Racewars_org/status/723438918410993665" xr:uid="{08B84BDD-E261-4A00-9CE0-FC2F521CE90F}"/>
    <hyperlink ref="O3089" r:id="rId9540" display="https://pbs.twimg.com/profile_images/717760586927501313/mJOhNRKM_normal.jpg" xr:uid="{59672A75-038B-41EA-B762-838EB5E5BEBE}"/>
    <hyperlink ref="B3090" r:id="rId9541" display="https://twitter.com/MiKaTa_de" xr:uid="{A9B65B9C-0780-42EF-B427-9077759E11EB}"/>
    <hyperlink ref="C3090" r:id="rId9542" xr:uid="{E28C7061-7DDC-408F-8F97-1FEB571550C2}"/>
    <hyperlink ref="E3090" r:id="rId9543" display="https://twitter.com/MiKaTa_de/status/723438920596226049" xr:uid="{B3E9016A-40E7-4063-9799-F1C3703D4413}"/>
    <hyperlink ref="O3090" r:id="rId9544" display="https://pbs.twimg.com/profile_images/654711316343488513/-LeBbYMa_normal.jpg" xr:uid="{1C7B1ADA-7C76-4E4A-A2F9-A94431EAA9B2}"/>
    <hyperlink ref="B3091" r:id="rId9545" display="https://twitter.com/hddoger" xr:uid="{EA50F527-FEF7-4DAA-B1F3-67071600C21A}"/>
    <hyperlink ref="E3091" r:id="rId9546" display="https://twitter.com/hddoger/status/723439511611412486" xr:uid="{1D23D059-E84B-463E-8464-6B054EDC92F8}"/>
    <hyperlink ref="O3091" r:id="rId9547" display="https://pbs.twimg.com/profile_images/3296258792/7852b77f95bc153cf32db2ba07fb879c_normal.jpeg" xr:uid="{78871D28-8B2F-4DA7-8967-05A3550F6532}"/>
    <hyperlink ref="B3092" r:id="rId9548" display="https://twitter.com/WCBD" xr:uid="{7F9FAFDE-57BA-4468-B6F7-535B8C850881}"/>
    <hyperlink ref="E3092" r:id="rId9549" display="https://twitter.com/WCBD/status/723439937240981504" xr:uid="{61F219AD-6B99-4252-B21E-B3F00905980A}"/>
    <hyperlink ref="O3092" r:id="rId9550" display="https://pbs.twimg.com/profile_images/653516886228008960/tqf_uZMf_normal.jpg" xr:uid="{71308B11-582C-4D04-806E-3D3819E455D4}"/>
    <hyperlink ref="B3093" r:id="rId9551" display="https://twitter.com/RWEmobility" xr:uid="{43E0CCBA-45F0-466E-BDD6-7DBA7ACBD787}"/>
    <hyperlink ref="E3093" r:id="rId9552" display="https://twitter.com/RWEmobility/status/723440014391025667" xr:uid="{993DAA1E-3A75-4842-A2E8-82F5197D3D8C}"/>
    <hyperlink ref="O3093" r:id="rId9553" display="https://pbs.twimg.com/profile_images/631089331243978752/Gd2N8SDJ_normal.png" xr:uid="{CEE91E89-A7B8-4E2A-96F8-E8EDB3EA5022}"/>
    <hyperlink ref="B3094" r:id="rId9554" display="https://twitter.com/carworld_uk" xr:uid="{7C3A26DF-37E2-437F-96C2-C02FB922207D}"/>
    <hyperlink ref="E3094" r:id="rId9555" display="https://twitter.com/carworld_uk/status/723440098457481218" xr:uid="{55368E86-9830-48D6-BFAC-5FF4D8830D74}"/>
    <hyperlink ref="O3094" r:id="rId9556" display="https://pbs.twimg.com/profile_images/425929548199231488/Xai3vHX2_normal.jpeg" xr:uid="{AECBCA62-4156-4320-A081-AD92F3A32CE7}"/>
    <hyperlink ref="B3095" r:id="rId9557" display="https://twitter.com/Newell_Palmer" xr:uid="{F0A72092-D6E4-44A1-8F92-55CF91CB22A9}"/>
    <hyperlink ref="E3095" r:id="rId9558" display="https://twitter.com/Newell_Palmer/status/723440167525064704" xr:uid="{9C6CF8E4-C4F9-492F-92C8-7FDB4CA3C494}"/>
    <hyperlink ref="O3095" r:id="rId9559" display="https://pbs.twimg.com/profile_images/649889698266152960/zg2lLiEI_normal.jpg" xr:uid="{48543783-2938-40E1-989B-A1E852AFC1BF}"/>
    <hyperlink ref="B3096" r:id="rId9560" display="https://twitter.com/doern" xr:uid="{BCCCAF5A-2802-4873-9923-6F79A65AC931}"/>
    <hyperlink ref="E3096" r:id="rId9561" display="https://twitter.com/doern/status/723440342809214981" xr:uid="{226C4788-DE63-4A96-A9AE-48089576CCE5}"/>
    <hyperlink ref="O3096" r:id="rId9562" display="https://pbs.twimg.com/profile_images/657853466384191488/J6vAnfZr_normal.jpg" xr:uid="{3B8E7F9F-A505-4946-8250-7B03192124FE}"/>
    <hyperlink ref="B3097" r:id="rId9563" display="https://twitter.com/KorruptPolitik" xr:uid="{1C3C83D9-CCF5-4BC9-BDD2-1CA208EF865E}"/>
    <hyperlink ref="E3097" r:id="rId9564" display="https://twitter.com/KorruptPolitik/status/723440509205630976" xr:uid="{22440D7A-972F-4C0C-986E-74278C338A55}"/>
    <hyperlink ref="O3097" r:id="rId9565" display="https://pbs.twimg.com/profile_images/688326480217141248/2BTGhJ-b_normal.jpg" xr:uid="{79FA9012-78C5-4C66-BEB7-6BFC90181743}"/>
    <hyperlink ref="B3098" r:id="rId9566" display="https://twitter.com/VolkswagenPost" xr:uid="{C77DA11F-4E4C-434A-810C-8766A9218CA6}"/>
    <hyperlink ref="E3098" r:id="rId9567" display="https://twitter.com/VolkswagenPost/status/723440562448306176" xr:uid="{E74E9769-EC94-40E0-B022-5089176936F7}"/>
    <hyperlink ref="O3098" r:id="rId9568" display="https://pbs.twimg.com/profile_images/530071272881803264/a_jcCmPZ_normal.png" xr:uid="{9DA42A42-0955-4E04-B350-C71EC235FD1E}"/>
    <hyperlink ref="B3099" r:id="rId9569" display="https://twitter.com/swanswaygroup" xr:uid="{A8A2BEC2-4D8C-46EA-A4EB-F21EB3B16CB4}"/>
    <hyperlink ref="E3099" r:id="rId9570" display="https://twitter.com/swanswaygroup/status/723440711933132801" xr:uid="{FA5BC98E-7D11-4DDD-8AC4-D05464164966}"/>
    <hyperlink ref="O3099" r:id="rId9571" display="https://pbs.twimg.com/profile_images/552037189328982016/r65JRGTS_normal.jpeg" xr:uid="{F6E8E8E1-85E9-4E46-B54A-FEA531093DC9}"/>
    <hyperlink ref="B3100" r:id="rId9572" display="https://twitter.com/crewevw" xr:uid="{44B818FE-5742-4613-B922-CF7598697A15}"/>
    <hyperlink ref="E3100" r:id="rId9573" display="https://twitter.com/crewevw/status/723440711945740289" xr:uid="{594BB3E1-FFEB-41FC-9E5E-2D7D584BDA78}"/>
    <hyperlink ref="O3100" r:id="rId9574" display="https://pbs.twimg.com/profile_images/488678354338324481/_qtBruR6_normal.jpeg" xr:uid="{816799D4-0675-4044-808C-D39F894E7741}"/>
    <hyperlink ref="B3101" r:id="rId9575" display="https://twitter.com/FreeEzidis" xr:uid="{D35D02F3-D23B-4EE0-B443-51487D7F01EC}"/>
    <hyperlink ref="E3101" r:id="rId9576" display="https://twitter.com/FreeEzidis/status/723440776802246656" xr:uid="{AD59BA61-18B5-4337-BCB4-B1B58496C8DB}"/>
    <hyperlink ref="O3101" r:id="rId9577" display="https://pbs.twimg.com/profile_images/700054002537463808/yT5THPmN_normal.jpg" xr:uid="{C232801A-84D0-42BC-967F-C9AE19EEDE0C}"/>
    <hyperlink ref="B3102" r:id="rId9578" display="https://twitter.com/tyres4sale_com" xr:uid="{EF832AB6-CB8A-43CC-91F3-99AF4FA15796}"/>
    <hyperlink ref="E3102" r:id="rId9579" display="https://twitter.com/tyres4sale_com/status/723440881815031808" xr:uid="{8BC90629-CCB6-4E76-A7A6-275F4001BA50}"/>
    <hyperlink ref="O3102" r:id="rId9580" display="https://pbs.twimg.com/profile_images/621239347208192000/wXN4MLBs_normal.jpg" xr:uid="{521DA600-150F-46A6-AC2E-6299B13B577B}"/>
    <hyperlink ref="B3103" r:id="rId9581" display="https://twitter.com/VWCamperSales" xr:uid="{498F0180-3678-438E-8A53-FA454ADA9A52}"/>
    <hyperlink ref="E3103" r:id="rId9582" display="https://twitter.com/VWCamperSales/status/723441129249632256" xr:uid="{1BDE24B8-BB53-4DE8-A4CC-E836054A8287}"/>
    <hyperlink ref="F3103" r:id="rId9583" xr:uid="{F78FD118-5288-446B-AF1C-944A5AED12A3}"/>
    <hyperlink ref="O3103" r:id="rId9584" display="https://pbs.twimg.com/profile_images/627949001179037696/skEBkS05_normal.jpg" xr:uid="{86F8D513-CB18-4117-85F4-E831DBF6EDE0}"/>
    <hyperlink ref="B3104" r:id="rId9585" display="https://twitter.com/mconde_vw" xr:uid="{C33C3BD8-5168-4228-9129-DFB2E06DEE40}"/>
    <hyperlink ref="E3104" r:id="rId9586" display="https://twitter.com/mconde_vw/status/723441594314051584" xr:uid="{64FEADDB-F98E-4947-87FC-0BA5D9DF975C}"/>
    <hyperlink ref="O3104" r:id="rId9587" display="https://pbs.twimg.com/profile_images/2779433989/ea5b9884fc97d178dceb738ac5e50ac2_normal.png" xr:uid="{70DA19AE-2B5D-46B7-87E6-31EFD2A852AA}"/>
    <hyperlink ref="B3105" r:id="rId9588" display="https://twitter.com/Insta_VWT" xr:uid="{09C3D936-30EF-4E36-BF3A-BF8D345E78E1}"/>
    <hyperlink ref="E3105" r:id="rId9589" display="https://twitter.com/Insta_VWT/status/723442110947446784" xr:uid="{866C59B6-6746-4EF9-A603-490699C2CA88}"/>
    <hyperlink ref="O3105" r:id="rId9590" display="https://pbs.twimg.com/profile_images/424893967197433858/iQ86NktX_normal.jpeg" xr:uid="{546F94EE-A542-44CE-BDCB-38A8FEB6C12E}"/>
    <hyperlink ref="B3106" r:id="rId9591" display="https://twitter.com/Insta_VWT" xr:uid="{2621566F-A911-47B1-BF37-5D4818A7B6BE}"/>
    <hyperlink ref="E3106" r:id="rId9592" display="https://twitter.com/Insta_VWT/status/723442116882513920" xr:uid="{1DD3DD1B-E452-4ABB-AAD8-76BC6B017201}"/>
    <hyperlink ref="O3106" r:id="rId9593" display="https://pbs.twimg.com/profile_images/424893967197433858/iQ86NktX_normal.jpeg" xr:uid="{DC96E1C6-2337-4C27-9EE8-396A949CDCFD}"/>
    <hyperlink ref="B3107" r:id="rId9594" display="https://twitter.com/Insta_VWT" xr:uid="{583BB7C4-E74A-431D-80CE-D99AD959A8C6}"/>
    <hyperlink ref="E3107" r:id="rId9595" display="https://twitter.com/Insta_VWT/status/723442123882663936" xr:uid="{1600C717-68D6-4161-901C-8BAC9F638917}"/>
    <hyperlink ref="O3107" r:id="rId9596" display="https://pbs.twimg.com/profile_images/424893967197433858/iQ86NktX_normal.jpeg" xr:uid="{64661E5B-A507-4333-8762-8D24789F7AFE}"/>
    <hyperlink ref="B3108" r:id="rId9597" display="https://twitter.com/Insta_VWT" xr:uid="{304F0255-E9E1-4172-BAF5-B2E81826DFF6}"/>
    <hyperlink ref="E3108" r:id="rId9598" display="https://twitter.com/Insta_VWT/status/723442132594229248" xr:uid="{7AB45E4D-38D1-436A-AFEB-5D1C2B9467C5}"/>
    <hyperlink ref="O3108" r:id="rId9599" display="https://pbs.twimg.com/profile_images/424893967197433858/iQ86NktX_normal.jpeg" xr:uid="{015ED7A5-2577-42C2-A4FA-95C1B81C9F11}"/>
    <hyperlink ref="B3109" r:id="rId9600" display="https://twitter.com/woever" xr:uid="{F407C63B-7644-4B2E-B98E-9ED2A6F9873A}"/>
    <hyperlink ref="E3109" r:id="rId9601" display="https://twitter.com/woever/status/723442206649004032" xr:uid="{2560746C-4D8F-4514-BDA3-E68BC4C3A6E9}"/>
    <hyperlink ref="O3109" r:id="rId9602" display="https://pbs.twimg.com/profile_images/457491035/55178663_normal.jpg" xr:uid="{2DE318A7-6B21-4674-AED3-6DD52B7981A2}"/>
    <hyperlink ref="B3110" r:id="rId9603" display="https://twitter.com/vwpress_en" xr:uid="{2B41E721-D681-43B9-9924-626886BC7839}"/>
    <hyperlink ref="E3110" r:id="rId9604" display="https://twitter.com/vwpress_en/status/723442536941932544" xr:uid="{F67CACF5-2DEC-4892-A662-AEF726A3441F}"/>
    <hyperlink ref="O3110" r:id="rId9605" display="https://pbs.twimg.com/profile_images/682117963349135360/IUfZQy35_normal.png" xr:uid="{759E9984-949E-4F92-8A0C-B6E870B04FB6}"/>
    <hyperlink ref="B3111" r:id="rId9606" display="https://twitter.com/vwpress_de" xr:uid="{02B9E8E3-023F-40F5-B80A-CB52C3DAF0C4}"/>
    <hyperlink ref="E3111" r:id="rId9607" display="https://twitter.com/vwpress_de/status/723442631179669504" xr:uid="{C55BC45A-B7AE-4FD3-A3CD-903FC7FBE387}"/>
    <hyperlink ref="O3111" r:id="rId9608" display="https://pbs.twimg.com/profile_images/682117656502222848/Ge7YeAF3_normal.png" xr:uid="{A0030271-9FC2-40AD-B2CA-A48E761F5DC4}"/>
    <hyperlink ref="B3112" r:id="rId9609" display="https://twitter.com/VolkswagenPost" xr:uid="{900442F7-0577-42B1-968D-8BBD30F64CBF}"/>
    <hyperlink ref="E3112" r:id="rId9610" display="https://twitter.com/VolkswagenPost/status/723442653690531840" xr:uid="{F84E116B-A475-4524-9636-FB7F7FB574DF}"/>
    <hyperlink ref="O3112" r:id="rId9611" display="https://pbs.twimg.com/profile_images/530071272881803264/a_jcCmPZ_normal.png" xr:uid="{8FB5278D-40BE-46F2-98B4-C285B7B3D39F}"/>
    <hyperlink ref="B3113" r:id="rId9612" display="https://twitter.com/VolkswagenPost" xr:uid="{B24F580C-38EE-476A-8855-22E8196BABBE}"/>
    <hyperlink ref="E3113" r:id="rId9613" display="https://twitter.com/VolkswagenPost/status/723442654713802753" xr:uid="{50A67B0E-E358-4339-A45A-47F132ABC9D6}"/>
    <hyperlink ref="O3113" r:id="rId9614" display="https://pbs.twimg.com/profile_images/530071272881803264/a_jcCmPZ_normal.png" xr:uid="{77BCDCE0-B1A6-488D-BF49-6707FF88BF64}"/>
    <hyperlink ref="B3114" r:id="rId9615" display="https://twitter.com/Elektroflitzer" xr:uid="{07997B3D-DCA6-4BE1-8171-66FBB0B7DD99}"/>
    <hyperlink ref="E3114" r:id="rId9616" display="https://twitter.com/Elektroflitzer/status/723442674141777921" xr:uid="{22797E47-A61E-42D5-818E-E2EB2BA5E97A}"/>
    <hyperlink ref="O3114" r:id="rId9617" display="https://pbs.twimg.com/profile_images/718678305709432832/w-KvPE1i_normal.jpg" xr:uid="{E7CBC762-9301-4012-84E3-DCA7B5CEA252}"/>
    <hyperlink ref="B3115" r:id="rId9618" display="https://twitter.com/SpirosMargaris" xr:uid="{E972E809-AABA-44D9-8CEC-4EDE9B972435}"/>
    <hyperlink ref="E3115" r:id="rId9619" display="https://twitter.com/SpirosMargaris/status/723442720568545281" xr:uid="{FAF27170-9DAD-4FBF-9606-2517E074C6B7}"/>
    <hyperlink ref="O3115" r:id="rId9620" display="https://pbs.twimg.com/profile_images/496890872990953473/XPDr3fmF_normal.jpeg" xr:uid="{84C3596C-86CB-4B49-A20F-8A1540C93218}"/>
    <hyperlink ref="B3116" r:id="rId9621" display="https://twitter.com/CharmedJohanna" xr:uid="{48A57C45-9FE0-49CD-9582-ADD61050D692}"/>
    <hyperlink ref="E3116" r:id="rId9622" display="https://twitter.com/CharmedJohanna/status/723442721046720514" xr:uid="{6902750D-FC53-4BA5-AD23-960C6EE9B83D}"/>
    <hyperlink ref="O3116" r:id="rId9623" display="https://pbs.twimg.com/profile_images/716145218383396866/1ULcAgor_normal.jpg" xr:uid="{9B19295D-D2FE-4403-BA5B-DC9C1C325349}"/>
    <hyperlink ref="B3117" r:id="rId9624" display="https://twitter.com/andreafiorello" xr:uid="{C1C8F049-E10E-4CF5-974D-DB4B8C73AC9A}"/>
    <hyperlink ref="E3117" r:id="rId9625" display="https://twitter.com/andreafiorello/status/723442877032861696" xr:uid="{2C8C46DF-1B83-49A2-BC0F-A6E2BBED66A0}"/>
    <hyperlink ref="O3117" r:id="rId9626" display="https://pbs.twimg.com/profile_images/530315974344323072/zJAHiLD5_normal.jpeg" xr:uid="{8C5F3F02-4477-4F73-96FF-07B78F611F2E}"/>
    <hyperlink ref="B3118" r:id="rId9627" display="https://twitter.com/AutoNewsEurope" xr:uid="{96FEF95E-AA9C-4609-B692-7869A024F155}"/>
    <hyperlink ref="E3118" r:id="rId9628" display="https://twitter.com/AutoNewsEurope/status/723442877083213824" xr:uid="{079CE320-82E1-4D3D-82E3-620BDF4DC009}"/>
    <hyperlink ref="O3118" r:id="rId9629" display="https://pbs.twimg.com/profile_images/531881513457971201/xLcgNzit_normal.png" xr:uid="{AE481037-A645-402E-BE3C-CC30E4A41271}"/>
    <hyperlink ref="B3119" r:id="rId9630" display="https://twitter.com/NDRreporter" xr:uid="{92BE1C34-ABC5-4890-A505-489E4BBE2761}"/>
    <hyperlink ref="E3119" r:id="rId9631" display="https://twitter.com/NDRreporter/status/723442909052174336" xr:uid="{34E10945-A999-4B37-8B26-4BA47FB09C0B}"/>
    <hyperlink ref="O3119" r:id="rId9632" display="https://pbs.twimg.com/profile_images/466908605317279744/I5a712BQ_normal.jpeg" xr:uid="{414F0B9B-1526-4967-8BBF-2A69E58A25DB}"/>
    <hyperlink ref="B3120" r:id="rId9633" display="https://twitter.com/Joelsampaul" xr:uid="{55F62667-5283-436C-8EC9-3BEAA3A4EBA0}"/>
    <hyperlink ref="E3120" r:id="rId9634" display="https://twitter.com/Joelsampaul/status/723442956280041473" xr:uid="{18A7ACE2-8E7D-4B4C-8AF0-09FC79FFCC29}"/>
    <hyperlink ref="O3120" r:id="rId9635" display="https://pbs.twimg.com/profile_images/720225287829479424/3EPXdeSh_normal.jpg" xr:uid="{04604E51-CEF2-4651-82FE-435101ED7231}"/>
    <hyperlink ref="B3121" r:id="rId9636" display="https://twitter.com/doern" xr:uid="{A60FA594-7BF8-4269-BE78-365ADB8C9C85}"/>
    <hyperlink ref="E3121" r:id="rId9637" display="https://twitter.com/doern/status/723443670347706369" xr:uid="{370F554E-CC10-43AD-88C9-7BBBCA28133C}"/>
    <hyperlink ref="O3121" r:id="rId9638" display="https://pbs.twimg.com/profile_images/657853466384191488/J6vAnfZr_normal.jpg" xr:uid="{40D1A855-8220-45B8-B6E0-7626F26E417F}"/>
    <hyperlink ref="B3122" r:id="rId9639" display="https://twitter.com/LarissaWalter5" xr:uid="{FBEC4FF7-BFFE-494C-9FBA-A77F7D66BCE3}"/>
    <hyperlink ref="E3122" r:id="rId9640" display="https://twitter.com/LarissaWalter5/status/723443760713977856" xr:uid="{8052B818-0BA5-4B18-A93F-77E2D9EB3E7E}"/>
    <hyperlink ref="O3122" r:id="rId9641" display="https://abs.twimg.com/sticky/default_profile_images/default_profile_4_normal.png" xr:uid="{A531A4CB-2B91-4999-93F6-70AB64894CCD}"/>
    <hyperlink ref="B3123" r:id="rId9642" display="https://twitter.com/bitcoinagile" xr:uid="{68A0626B-6B0F-4EE5-B306-95AE9CCEF83D}"/>
    <hyperlink ref="E3123" r:id="rId9643" display="https://twitter.com/bitcoinagile/status/723443849884917760" xr:uid="{F046907F-F456-4844-839B-FC6608F5B0A0}"/>
    <hyperlink ref="O3123" r:id="rId9644" display="https://pbs.twimg.com/profile_images/463897635380682753/ZLmcIFL2_normal.png" xr:uid="{635831AB-8C85-463B-BF5F-46AA34016786}"/>
    <hyperlink ref="B3124" r:id="rId9645" display="https://twitter.com/Jo_Huyghe" xr:uid="{47AD91F5-4408-4B76-A179-CC409C707020}"/>
    <hyperlink ref="E3124" r:id="rId9646" display="https://twitter.com/Jo_Huyghe/status/723444066785103872" xr:uid="{D378A5AF-D0E9-4952-ACC8-0B5FD6F2DC56}"/>
    <hyperlink ref="O3124" r:id="rId9647" display="https://pbs.twimg.com/profile_images/673593444179320834/KHLFVBKv_normal.jpg" xr:uid="{C277972A-F9F4-4D1E-A6FF-881398E11FEF}"/>
    <hyperlink ref="B3125" r:id="rId9648" display="https://twitter.com/VWBeetleSales" xr:uid="{2A70140A-576A-4E06-9982-1F5E4BF4F881}"/>
    <hyperlink ref="E3125" r:id="rId9649" display="https://twitter.com/VWBeetleSales/status/723444513788719105" xr:uid="{4EEC56B5-1453-40C3-BA66-926E76085C85}"/>
    <hyperlink ref="F3125" r:id="rId9650" xr:uid="{EFA97FD9-F75E-47C0-A1AB-6A675FFEF8BD}"/>
    <hyperlink ref="O3125" r:id="rId9651" display="https://pbs.twimg.com/profile_images/703294545195307008/qeCvrX86_normal.jpg" xr:uid="{80DE84DD-D21E-42E7-9A3B-FCA2AEA7F27A}"/>
    <hyperlink ref="B3126" r:id="rId9652" display="https://twitter.com/VWCamperSales" xr:uid="{2F86E93D-6EBE-49CD-A940-2622432C9994}"/>
    <hyperlink ref="E3126" r:id="rId9653" display="https://twitter.com/VWCamperSales/status/723444529622196225" xr:uid="{F46E8FF0-D85E-4FC1-A22F-6CD082D1E08B}"/>
    <hyperlink ref="F3126" r:id="rId9654" xr:uid="{03B27F76-EFCE-4B3B-A86F-951F7A51BB24}"/>
    <hyperlink ref="O3126" r:id="rId9655" display="https://pbs.twimg.com/profile_images/627949001179037696/skEBkS05_normal.jpg" xr:uid="{4069528F-54F3-4CDA-A94B-16B26784B2A4}"/>
    <hyperlink ref="B3127" r:id="rId9656" display="https://twitter.com/VWCamperSales" xr:uid="{CD9595C7-27D3-48B5-BF48-1BEFAC475300}"/>
    <hyperlink ref="E3127" r:id="rId9657" display="https://twitter.com/VWCamperSales/status/723444537700442112" xr:uid="{217CCC63-2374-4C8D-A37E-D3070B45D123}"/>
    <hyperlink ref="F3127" r:id="rId9658" xr:uid="{090D69E3-1F6D-4E20-88DB-6D09442EB194}"/>
    <hyperlink ref="O3127" r:id="rId9659" display="https://pbs.twimg.com/profile_images/627949001179037696/skEBkS05_normal.jpg" xr:uid="{7D995482-B610-497D-AC26-406524358026}"/>
    <hyperlink ref="B3128" r:id="rId9660" display="https://twitter.com/LittleCountry_M" xr:uid="{8FEB2C28-5B93-4214-8C42-DAC8BA558DB0}"/>
    <hyperlink ref="E3128" r:id="rId9661" display="https://twitter.com/LittleCountry_M/status/723444584978640896" xr:uid="{428719D0-45EE-44D2-A7C1-ECB7033067A8}"/>
    <hyperlink ref="O3128" r:id="rId9662" display="https://pbs.twimg.com/profile_images/708323870512533506/MCmjP2UD_normal.jpg" xr:uid="{70C28C5C-5A03-4B1E-9629-0C5D06E68DA1}"/>
    <hyperlink ref="P3128" r:id="rId9663" location="35.7289658,139.6838808" display="http://ctrlq.org/maps/address/ - 35.7289658,139.6838808" xr:uid="{36D9C00D-C196-4BB9-BD13-4BB997522C76}"/>
    <hyperlink ref="B3129" r:id="rId9664" display="https://twitter.com/LittleCountry_M" xr:uid="{61DE7120-1625-4A61-987F-DC8CAEACA266}"/>
    <hyperlink ref="E3129" r:id="rId9665" display="https://twitter.com/LittleCountry_M/status/723444600128442368" xr:uid="{6C29ADE5-D463-4173-ABC1-C198B6A7CEA3}"/>
    <hyperlink ref="O3129" r:id="rId9666" display="https://pbs.twimg.com/profile_images/708323870512533506/MCmjP2UD_normal.jpg" xr:uid="{35A992E1-96DA-4D74-9B5B-BB23ED88A8E9}"/>
    <hyperlink ref="B3130" r:id="rId9667" display="https://twitter.com/dermaschinist" xr:uid="{6F1BA1B5-F535-4F02-8746-021E7FABB4F7}"/>
    <hyperlink ref="E3130" r:id="rId9668" display="https://twitter.com/dermaschinist/status/723444600631791616" xr:uid="{67349568-8E44-4131-AA5B-CC82FDEE9B9E}"/>
    <hyperlink ref="O3130" r:id="rId9669" display="https://pbs.twimg.com/profile_images/2990215932/3d67f4dbdf71510d4c8e81b422b73de8_normal.jpeg" xr:uid="{1CBFEAFC-2801-4A4D-AE03-153B9C54D2C7}"/>
    <hyperlink ref="B3131" r:id="rId9670" display="https://twitter.com/ExCEO_" xr:uid="{D4283FF8-435A-4012-B209-E73668FF3A09}"/>
    <hyperlink ref="E3131" r:id="rId9671" display="https://twitter.com/ExCEO_/status/723444825819742208" xr:uid="{3E4CBADE-6970-4BF7-A1DE-84D361A6A219}"/>
    <hyperlink ref="O3131" r:id="rId9672" display="https://pbs.twimg.com/profile_images/3346543471/c7c79480b7b405ee902a5fcb600153a0_normal.jpeg" xr:uid="{95213754-9B46-4E30-9887-B3E1576FA2B4}"/>
    <hyperlink ref="B3132" r:id="rId9673" display="https://twitter.com/JuanjoMorodo" xr:uid="{7671F4EF-D756-4C11-964B-E8878A9BB34D}"/>
    <hyperlink ref="E3132" r:id="rId9674" display="https://twitter.com/JuanjoMorodo/status/723444861173518336" xr:uid="{1CC2F9F0-0377-4BB9-AF0A-74FAF2EDB5A4}"/>
    <hyperlink ref="O3132" r:id="rId9675" display="https://pbs.twimg.com/profile_images/1202564418/Juanjo_normal.jpg" xr:uid="{7C23AEE8-FDB9-4BDE-9967-F418132547D2}"/>
    <hyperlink ref="B3133" r:id="rId9676" display="https://twitter.com/nicolettamanzio" xr:uid="{6744E749-1E62-43C1-B72E-0264BCC7C5A1}"/>
    <hyperlink ref="E3133" r:id="rId9677" display="https://twitter.com/nicolettamanzio/status/723444981495517184" xr:uid="{E3D464A2-F657-451E-A802-89A67E74176C}"/>
    <hyperlink ref="O3133" r:id="rId9678" display="https://pbs.twimg.com/profile_images/719138351425658881/kX6nf0Jy_normal.jpg" xr:uid="{C71F3F28-FA56-4E59-AA10-6F2DAC1F9883}"/>
    <hyperlink ref="B3134" r:id="rId9679" display="https://twitter.com/VolkswagenPost" xr:uid="{29C5AD4A-0551-4891-9F3A-FEC26BCD8C2C}"/>
    <hyperlink ref="E3134" r:id="rId9680" display="https://twitter.com/VolkswagenPost/status/723444997337567232" xr:uid="{36414D92-434D-4D57-BBC7-806AFFA2537C}"/>
    <hyperlink ref="O3134" r:id="rId9681" display="https://pbs.twimg.com/profile_images/530071272881803264/a_jcCmPZ_normal.png" xr:uid="{81D8C6BA-C679-448A-B3F5-7647423AF02C}"/>
    <hyperlink ref="B3135" r:id="rId9682" display="https://twitter.com/VolkswagenPost" xr:uid="{1E6B6CA9-B946-449D-B3F4-B77285617B5E}"/>
    <hyperlink ref="E3135" r:id="rId9683" display="https://twitter.com/VolkswagenPost/status/723444998524526592" xr:uid="{E2199AC6-2308-4FF5-BE75-86D9C60FD363}"/>
    <hyperlink ref="O3135" r:id="rId9684" display="https://pbs.twimg.com/profile_images/530071272881803264/a_jcCmPZ_normal.png" xr:uid="{81CA1D45-B4B9-4922-8725-4223CB04F64B}"/>
    <hyperlink ref="B3136" r:id="rId9685" display="https://twitter.com/BGKSR" xr:uid="{D6F59585-9207-45B9-8147-5D15DF4AAF1E}"/>
    <hyperlink ref="E3136" r:id="rId9686" display="https://twitter.com/BGKSR/status/723445209082662913" xr:uid="{BB6BC27B-289D-4F00-B24A-BA973E41BB9B}"/>
    <hyperlink ref="O3136" r:id="rId9687" display="https://pbs.twimg.com/profile_images/721954107779588096/PAgGOjNi_normal.jpg" xr:uid="{CDE698D1-01E1-4AE5-9DEF-15B2B4E1784D}"/>
    <hyperlink ref="B3137" r:id="rId9688" display="https://twitter.com/ACE_Autoclub" xr:uid="{E57E774B-102B-4448-A995-9499E71B9A63}"/>
    <hyperlink ref="E3137" r:id="rId9689" display="https://twitter.com/ACE_Autoclub/status/723445303546810373" xr:uid="{FF678AAA-D3E5-4B78-AD73-5AB27B877C93}"/>
    <hyperlink ref="O3137" r:id="rId9690" display="https://pbs.twimg.com/profile_images/1307816416/Profilbild_normal.jpg" xr:uid="{E7F825D0-849C-4A7F-BD80-53D91D2532FC}"/>
    <hyperlink ref="B3138" r:id="rId9691" display="https://twitter.com/Kottem1" xr:uid="{8C90D5BB-9D0A-4ADB-AA29-909F47E0DAA8}"/>
    <hyperlink ref="E3138" r:id="rId9692" display="https://twitter.com/Kottem1/status/723445360824217604" xr:uid="{25A37439-1922-4CFB-915D-2361D2D42BCB}"/>
    <hyperlink ref="O3138" r:id="rId9693" display="https://pbs.twimg.com/profile_images/720950683390906368/nQPvrHmi_normal.jpg" xr:uid="{990C7C63-6C00-4932-B1E0-058FF1563E41}"/>
    <hyperlink ref="B3139" r:id="rId9694" display="https://twitter.com/networkimages" xr:uid="{8CF99F50-10FE-4056-A451-733C11AFCCFF}"/>
    <hyperlink ref="E3139" r:id="rId9695" display="https://twitter.com/networkimages/status/723445409574719488" xr:uid="{77EC5C68-74CA-4491-A040-05198079096E}"/>
    <hyperlink ref="O3139" r:id="rId9696" display="https://pbs.twimg.com/profile_images/618480038120423424/5KWa6rCE_normal.jpg" xr:uid="{0446FA52-25FA-445B-B6F0-C659304CC7C0}"/>
    <hyperlink ref="P3139" r:id="rId9697" location="52.82912614,-1.38241631" display="http://ctrlq.org/maps/address/ - 52.82912614,-1.38241631" xr:uid="{A2B4AE5D-0EDA-4BD8-9E64-5DB7A79BF5E3}"/>
    <hyperlink ref="B3140" r:id="rId9698" display="https://twitter.com/techhippie" xr:uid="{E8D7A133-D98F-4EA5-9DDA-338E42E23803}"/>
    <hyperlink ref="E3140" r:id="rId9699" display="https://twitter.com/techhippie/status/723445798357372928" xr:uid="{064A3339-770F-4D5E-B656-FFE287F836B3}"/>
    <hyperlink ref="O3140" r:id="rId9700" display="https://pbs.twimg.com/profile_images/702511217793863680/lty8h9vE_normal.jpg" xr:uid="{089927CB-4CE3-4A83-9E96-4043DB3CEAE5}"/>
    <hyperlink ref="B3141" r:id="rId9701" display="https://twitter.com/bkuchti" xr:uid="{F9A4866B-01FC-4DC5-B5F8-22F7074474B4}"/>
    <hyperlink ref="E3141" r:id="rId9702" display="https://twitter.com/bkuchti/status/723446164171812864" xr:uid="{C7EE940F-5B2F-4DB7-BE01-0FF960B71FBA}"/>
    <hyperlink ref="O3141" r:id="rId9703" display="https://pbs.twimg.com/profile_images/609596237097119744/s3XC4t2-_normal.jpg" xr:uid="{17148D2D-085E-47DE-85CD-FBA75A049718}"/>
    <hyperlink ref="B3142" r:id="rId9704" display="https://twitter.com/VolkerVotsmeier" xr:uid="{D4104037-FE3D-4199-83D3-BA20BB13538A}"/>
    <hyperlink ref="E3142" r:id="rId9705" display="https://twitter.com/VolkerVotsmeier/status/723446175978770434" xr:uid="{3FC2B6EC-CD52-490D-AADE-A962838D92A8}"/>
    <hyperlink ref="O3142" r:id="rId9706" display="https://pbs.twimg.com/profile_images/507897198911053824/7OqYAonJ_normal.jpeg" xr:uid="{CC283486-D467-4FBD-B98B-3239358B12B6}"/>
    <hyperlink ref="B3143" r:id="rId9707" display="https://twitter.com/TelanganaPress" xr:uid="{9EABA7E0-E699-4DF6-9C2F-A7CA2CC47C8C}"/>
    <hyperlink ref="E3143" r:id="rId9708" display="https://twitter.com/TelanganaPress/status/723446236121018368" xr:uid="{E952538D-0459-4E85-B1AD-58EA655269B5}"/>
    <hyperlink ref="O3143" r:id="rId9709" display="https://pbs.twimg.com/profile_images/596178888184582144/fgYrc3ld_normal.jpg" xr:uid="{EBD88CD0-0E92-40B9-8D75-A6C92580FFDC}"/>
    <hyperlink ref="B3144" r:id="rId9710" display="https://twitter.com/hubberme" xr:uid="{289EA54E-007F-4DE3-A69E-0E15795999CF}"/>
    <hyperlink ref="C3144" r:id="rId9711" xr:uid="{C1422705-AE66-42CF-8067-346C42A28817}"/>
    <hyperlink ref="E3144" r:id="rId9712" display="https://twitter.com/hubberme/status/723446283092905984" xr:uid="{AF304452-9065-42A0-9A97-4422CEB60336}"/>
    <hyperlink ref="O3144" r:id="rId9713" display="https://pbs.twimg.com/profile_images/658982987573407744/n_n0LSWB_normal.png" xr:uid="{CF942347-6288-4C11-BAF6-C141115D411F}"/>
    <hyperlink ref="B3145" r:id="rId9714" display="https://twitter.com/CityIndex" xr:uid="{9268573D-BE7A-45B1-B1FD-6C7801305BCB}"/>
    <hyperlink ref="E3145" r:id="rId9715" display="https://twitter.com/CityIndex/status/723446290462445568" xr:uid="{3B03DB60-2F61-491D-BDDF-5D02D39DBC8D}"/>
    <hyperlink ref="O3145" r:id="rId9716" display="https://pbs.twimg.com/profile_images/532459673710915584/uhjS6JEV_normal.jpeg" xr:uid="{2DD9B598-51F1-4E1C-BB82-B0B1560B3893}"/>
    <hyperlink ref="B3146" r:id="rId9717" display="https://twitter.com/Ken_CityIndex" xr:uid="{96B93BEA-CD3F-4FA3-9AE9-D2DDBCB52655}"/>
    <hyperlink ref="E3146" r:id="rId9718" display="https://twitter.com/Ken_CityIndex/status/723446290491801601" xr:uid="{F38B5F43-2992-4842-918A-88C86B15CB15}"/>
    <hyperlink ref="O3146" r:id="rId9719" display="https://pbs.twimg.com/profile_images/506770159353081857/X1KYKwcE_normal.jpeg" xr:uid="{86C7245E-53B3-41EE-8917-05EF5C8EA665}"/>
    <hyperlink ref="B3147" r:id="rId9720" display="https://twitter.com/doern" xr:uid="{9C685665-9656-4752-8283-C6DAC9F16737}"/>
    <hyperlink ref="E3147" r:id="rId9721" display="https://twitter.com/doern/status/723446986704359425" xr:uid="{BE7E9D55-AD17-4B35-BCEE-F3D2F0521983}"/>
    <hyperlink ref="O3147" r:id="rId9722" display="https://pbs.twimg.com/profile_images/657853466384191488/J6vAnfZr_normal.jpg" xr:uid="{F02FE07D-9B86-4663-AB01-3FDF6E3AE440}"/>
    <hyperlink ref="B3148" r:id="rId9723" display="https://twitter.com/halt_design" xr:uid="{91B8D352-2ED7-495E-ACE9-07D4260A6069}"/>
    <hyperlink ref="E3148" r:id="rId9724" display="https://twitter.com/halt_design/status/723447176454512640" xr:uid="{38587F03-E524-4678-A912-C1E90C297BCE}"/>
    <hyperlink ref="O3148" r:id="rId9725" display="https://pbs.twimg.com/profile_images/716208660876144645/X7VuzobY_normal.jpg" xr:uid="{C9B9FCC3-C245-4F40-84C5-7213E53CCDFA}"/>
    <hyperlink ref="B3149" r:id="rId9726" display="https://twitter.com/nextmarkets_de" xr:uid="{C2FACACC-D784-41C3-B679-305B8C71D6E1}"/>
    <hyperlink ref="E3149" r:id="rId9727" display="https://twitter.com/nextmarkets_de/status/723447303403511809" xr:uid="{2F3A52FD-9B74-4B9A-867A-9D0889DE05DB}"/>
    <hyperlink ref="O3149" r:id="rId9728" display="https://pbs.twimg.com/profile_images/649507422172749824/x14RxlfE_normal.jpg" xr:uid="{9D1FF360-7932-4E02-A68B-45534976835E}"/>
    <hyperlink ref="B3150" r:id="rId9729" display="https://twitter.com/handelsblatt" xr:uid="{A0E96819-054F-41E5-BE7B-669ACCD66561}"/>
    <hyperlink ref="E3150" r:id="rId9730" display="https://twitter.com/handelsblatt/status/723447371040849920" xr:uid="{00542E8D-D29F-40C4-8C4F-055725A6FF81}"/>
    <hyperlink ref="O3150" r:id="rId9731" display="https://pbs.twimg.com/profile_images/562563461171798017/AkHF4keI_normal.png" xr:uid="{D1B4AA3A-A740-4031-AA28-DBD4E48CC1CE}"/>
    <hyperlink ref="B3151" r:id="rId9732" display="https://twitter.com/handelsblatt" xr:uid="{4CA5438E-0999-48A7-BBE5-8D61635054C5}"/>
    <hyperlink ref="E3151" r:id="rId9733" display="https://twitter.com/handelsblatt/status/723447409959792640" xr:uid="{69B35C06-EBCF-43E9-B8CF-A3C3CA4E7C0B}"/>
    <hyperlink ref="O3151" r:id="rId9734" display="https://pbs.twimg.com/profile_images/562563461171798017/AkHF4keI_normal.png" xr:uid="{31D61F30-F2AC-4AFA-9FB2-E5F409A9CBAD}"/>
    <hyperlink ref="B3152" r:id="rId9735" display="https://twitter.com/MrTARIQSs" xr:uid="{A7564105-D8A8-40FC-A8AB-8C4D842E27B5}"/>
    <hyperlink ref="E3152" r:id="rId9736" display="https://twitter.com/MrTARIQSs/status/723447425768148992" xr:uid="{5073D09F-E839-457B-8BC6-EF0481C69E6C}"/>
    <hyperlink ref="O3152" r:id="rId9737" display="https://pbs.twimg.com/profile_images/712388668753846276/lmSVTnOw_normal.jpg" xr:uid="{79BAEB81-B3C1-4C72-96D9-6D6F37BDCBFC}"/>
    <hyperlink ref="B3153" r:id="rId9738" display="https://twitter.com/CityIndex" xr:uid="{CFAB7CD0-378D-4CA9-8D06-DE84FC8E0CE6}"/>
    <hyperlink ref="E3153" r:id="rId9739" display="https://twitter.com/CityIndex/status/723447527400476672" xr:uid="{C9F20B7C-F6AA-473C-8372-220EBB49807B}"/>
    <hyperlink ref="O3153" r:id="rId9740" display="https://pbs.twimg.com/profile_images/532459673710915584/uhjS6JEV_normal.jpeg" xr:uid="{782F1481-2E99-488E-8B82-02778B6D3CFA}"/>
    <hyperlink ref="B3154" r:id="rId9741" display="https://twitter.com/Ken_CityIndex" xr:uid="{3DF49F1E-0FA4-4D2B-BDF5-8EA8A7B4D9A9}"/>
    <hyperlink ref="E3154" r:id="rId9742" display="https://twitter.com/Ken_CityIndex/status/723447527501119488" xr:uid="{C1A057F2-DE66-4A22-9685-73E3E1FB4E45}"/>
    <hyperlink ref="O3154" r:id="rId9743" display="https://pbs.twimg.com/profile_images/506770159353081857/X1KYKwcE_normal.jpeg" xr:uid="{542192B8-D187-4C30-9AED-C84988BBAAEE}"/>
    <hyperlink ref="B3155" r:id="rId9744" display="https://twitter.com/ksta_news" xr:uid="{D36BAB1A-685B-4EDC-AA5F-8B539C9DA9EB}"/>
    <hyperlink ref="C3155" r:id="rId9745" xr:uid="{5A21B4F7-9F4B-40C9-B84A-8DC611DE8960}"/>
    <hyperlink ref="E3155" r:id="rId9746" display="https://twitter.com/ksta_news/status/723447720573280256" xr:uid="{3C888AA1-5C43-42C4-8469-319C3F95AADA}"/>
    <hyperlink ref="O3155" r:id="rId9747" display="https://pbs.twimg.com/profile_images/2323790201/ctdn7vtih30fwf5dcx8z_normal.jpeg" xr:uid="{22DC7101-81EA-40CA-827C-6540EA0C424C}"/>
    <hyperlink ref="B3156" r:id="rId9748" display="https://twitter.com/handelsblatt" xr:uid="{89AD802E-ED01-45B1-A887-F6E1403CAF4D}"/>
    <hyperlink ref="E3156" r:id="rId9749" display="https://twitter.com/handelsblatt/status/723447726164176897" xr:uid="{A1A6FAD8-5646-43C2-8B38-16122723ECB0}"/>
    <hyperlink ref="O3156" r:id="rId9750" display="https://pbs.twimg.com/profile_images/562563461171798017/AkHF4keI_normal.png" xr:uid="{FF04BA77-DCE5-4411-B5E0-BFB8F9EA45BE}"/>
    <hyperlink ref="B3157" r:id="rId9751" display="https://twitter.com/BGKSR" xr:uid="{F5592EDB-3329-4CA1-B764-E0F93AE88108}"/>
    <hyperlink ref="E3157" r:id="rId9752" display="https://twitter.com/BGKSR/status/723447849397014528" xr:uid="{0A5211D3-8D2A-4B7F-8C04-75673F29C2E4}"/>
    <hyperlink ref="O3157" r:id="rId9753" display="https://pbs.twimg.com/profile_images/721954107779588096/PAgGOjNi_normal.jpg" xr:uid="{6788BD8D-C60E-4BD6-9E90-7829436FBB3A}"/>
    <hyperlink ref="B3158" r:id="rId9754" display="https://twitter.com/ksta_news" xr:uid="{154C952B-0C5C-4DDC-94A2-32022BE20428}"/>
    <hyperlink ref="C3158" r:id="rId9755" xr:uid="{026ED4DA-AB0F-4359-A967-E288FC3F9F3B}"/>
    <hyperlink ref="E3158" r:id="rId9756" display="https://twitter.com/ksta_news/status/723447964119797760" xr:uid="{D18F6FF1-6E8F-456A-9DC1-94C8EF3CC3EA}"/>
    <hyperlink ref="O3158" r:id="rId9757" display="https://pbs.twimg.com/profile_images/2323790201/ctdn7vtih30fwf5dcx8z_normal.jpeg" xr:uid="{34172DEE-27EF-448C-AE74-1D5656534C40}"/>
    <hyperlink ref="B3159" r:id="rId9758" display="https://twitter.com/foerdesparkasse" xr:uid="{8EDFCCF0-CFC7-41D6-A7F6-B34EBD579DF4}"/>
    <hyperlink ref="E3159" r:id="rId9759" display="https://twitter.com/foerdesparkasse/status/723447972663431168" xr:uid="{71E0BEBC-5D6B-4180-8D2A-AF6253F4E214}"/>
    <hyperlink ref="O3159" r:id="rId9760" display="https://pbs.twimg.com/profile_images/458846044034330625/Rvafc_vA_normal.png" xr:uid="{73162A74-EFE5-4BC9-BDEE-DC7527C983B8}"/>
    <hyperlink ref="B3160" r:id="rId9761" display="https://twitter.com/VeeriahSajeevan" xr:uid="{4D4CF139-6BB1-4742-B894-E036B11DCC7A}"/>
    <hyperlink ref="E3160" r:id="rId9762" display="https://twitter.com/VeeriahSajeevan/status/723448050669096960" xr:uid="{8A8C6AF6-B555-4468-9CCA-D093DECBA3EF}"/>
    <hyperlink ref="O3160" r:id="rId9763" display="https://pbs.twimg.com/profile_images/707275776802992128/pkIli-Ub_normal.jpg" xr:uid="{3E4335AE-AA48-43F5-80C7-2D4F8EAC7F35}"/>
    <hyperlink ref="B3161" r:id="rId9764" display="https://twitter.com/specialistveh" xr:uid="{07093978-6CFE-46B2-9561-CA5582B0BCCD}"/>
    <hyperlink ref="E3161" r:id="rId9765" display="https://twitter.com/specialistveh/status/723448084139667458" xr:uid="{EF9E02E2-8446-487E-9F9B-A11098CB1314}"/>
    <hyperlink ref="O3161" r:id="rId9766" display="https://pbs.twimg.com/profile_images/722053762462912512/Eh0JxrRS_normal.jpg" xr:uid="{A886BE2F-6E7A-4AF9-8722-88DE0D11A165}"/>
    <hyperlink ref="B3162" r:id="rId9767" display="https://twitter.com/NDRnds" xr:uid="{BAE0F32B-60F6-4525-910E-5B08970FBE6B}"/>
    <hyperlink ref="E3162" r:id="rId9768" display="https://twitter.com/NDRnds/status/723448196471508994" xr:uid="{0C7CE9B2-B3B0-4EF6-A85A-F636016E6516}"/>
    <hyperlink ref="O3162" r:id="rId9769" display="https://pbs.twimg.com/profile_images/628233882014457856/o87vMXlL_normal.jpg" xr:uid="{B2ED342E-6D76-4D05-8A15-4E85AB992C9E}"/>
    <hyperlink ref="B3163" r:id="rId9770" display="https://twitter.com/Drey_VH" xr:uid="{CBF84D25-B79A-4AC1-827E-BDCA7AA83233}"/>
    <hyperlink ref="E3163" r:id="rId9771" display="https://twitter.com/Drey_VH/status/723448273856389120" xr:uid="{7C78B855-6BAE-4715-B288-BF0100CE3445}"/>
    <hyperlink ref="O3163" r:id="rId9772" display="https://pbs.twimg.com/profile_images/688412401667035136/gvoxnxoc_normal.jpg" xr:uid="{45EA76B3-90F3-4E0A-A833-25B253DDB047}"/>
    <hyperlink ref="B3164" r:id="rId9773" display="https://twitter.com/Edgarruedamotor" xr:uid="{06FB092E-EAF1-4B8B-ABE1-C79D965F9166}"/>
    <hyperlink ref="E3164" r:id="rId9774" display="https://twitter.com/Edgarruedamotor/status/723448540865826816" xr:uid="{04ACCA6A-AAE8-4397-B99D-839AD6667F9E}"/>
    <hyperlink ref="O3164" r:id="rId9775" display="https://pbs.twimg.com/profile_images/723095120959180800/uiP41uvb_normal.jpg" xr:uid="{8A0301D0-E690-40FC-A3BD-C47D2CA3E30D}"/>
    <hyperlink ref="B3165" r:id="rId9776" display="https://twitter.com/FlatOutWR_JP" xr:uid="{FFE3A6B6-5E2A-4321-8AF2-0334869A76FF}"/>
    <hyperlink ref="C3165" r:id="rId9777" xr:uid="{E39E3E18-7207-4721-84C2-99121CF2574B}"/>
    <hyperlink ref="E3165" r:id="rId9778" display="https://twitter.com/FlatOutWR_JP/status/723448802863009792" xr:uid="{4C881A63-079A-46EE-8BAC-635AC53BE7BC}"/>
    <hyperlink ref="O3165" r:id="rId9779" display="https://pbs.twimg.com/profile_images/2519193895/FLATOUTWRJP_HD_normal.JPG" xr:uid="{CAAFDA83-5F94-4853-91E9-6F7438316AF3}"/>
    <hyperlink ref="B3166" r:id="rId9780" display="https://twitter.com/5aliN" xr:uid="{C3D42B7E-C041-4396-8C1C-B23290F0B9F4}"/>
    <hyperlink ref="E3166" r:id="rId9781" display="https://twitter.com/5aliN/status/723448916977528832" xr:uid="{90BB1FE4-C780-4FB5-8C42-E5CED1B6DA69}"/>
    <hyperlink ref="O3166" r:id="rId9782" display="https://pbs.twimg.com/profile_images/1993548720/DSC05277a_normal.jpg" xr:uid="{E9D8A4E1-2FDB-45AD-A1D7-CB75E69CBF8B}"/>
    <hyperlink ref="B3167" r:id="rId9783" display="https://twitter.com/ndr" xr:uid="{578450B0-00AE-4D95-8044-01A0232D7CBE}"/>
    <hyperlink ref="C3167" r:id="rId9784" xr:uid="{180CCB03-7C0D-416A-965A-AD805021E52E}"/>
    <hyperlink ref="E3167" r:id="rId9785" display="https://twitter.com/ndr/status/723449073047478273" xr:uid="{7C65C1F8-B54B-426E-8609-7F9C77918B2C}"/>
    <hyperlink ref="O3167" r:id="rId9786" display="https://pbs.twimg.com/profile_images/529617003351269377/KAwqofTC_normal.jpeg" xr:uid="{A79E6D87-2699-4E56-B1A5-1D5BA952CEDC}"/>
    <hyperlink ref="B3168" r:id="rId9787" display="https://twitter.com/Scirocco_Tuning" xr:uid="{E8A64260-CF14-4706-9D87-141DFB05A240}"/>
    <hyperlink ref="E3168" r:id="rId9788" display="https://twitter.com/Scirocco_Tuning/status/723449380351565826" xr:uid="{0EDAB71F-0E56-4D95-8F13-DE37159DE851}"/>
    <hyperlink ref="O3168" r:id="rId9789" display="https://pbs.twimg.com/profile_images/1610421423/Image2_normal.jpg" xr:uid="{3A5A7543-92C1-4FB6-9EC2-DBBF8AAA9FAB}"/>
    <hyperlink ref="B3169" r:id="rId9790" display="https://twitter.com/TepelmannMentor" xr:uid="{0952762D-5752-429C-8E1F-434AB943E38F}"/>
    <hyperlink ref="E3169" r:id="rId9791" display="https://twitter.com/TepelmannMentor/status/723449524174225409" xr:uid="{5FC590BB-CEFA-49F3-83D2-72FF7B488717}"/>
    <hyperlink ref="O3169" r:id="rId9792" display="https://pbs.twimg.com/profile_images/703995356049252353/5FP6lekY_normal.jpg" xr:uid="{191DBB25-54B7-48A4-9FC8-91F7966DAAFA}"/>
    <hyperlink ref="B3170" r:id="rId9793" display="https://twitter.com/VWBeetleSales" xr:uid="{DC787112-DDFF-4653-9495-994CD1C56C0E}"/>
    <hyperlink ref="E3170" r:id="rId9794" display="https://twitter.com/VWBeetleSales/status/723449783394816000" xr:uid="{EB232BBF-51A9-4FB8-A799-3D0546DA6769}"/>
    <hyperlink ref="F3170" r:id="rId9795" xr:uid="{E60EA8B5-93AA-4CD4-9AF0-093DF02A311A}"/>
    <hyperlink ref="O3170" r:id="rId9796" display="https://pbs.twimg.com/profile_images/703294545195307008/qeCvrX86_normal.jpg" xr:uid="{28F93D6C-0B0F-4719-930D-C1F7E5661944}"/>
    <hyperlink ref="B3171" r:id="rId9797" display="https://twitter.com/VWCamperSales" xr:uid="{B0BDFF66-9226-4E21-83FC-D8F325438EFB}"/>
    <hyperlink ref="E3171" r:id="rId9798" display="https://twitter.com/VWCamperSales/status/723449795788972032" xr:uid="{5169E50C-0F00-4961-9731-4FB27E18D003}"/>
    <hyperlink ref="F3171" r:id="rId9799" xr:uid="{C4627F75-021C-4765-96C6-CD14AAF69598}"/>
    <hyperlink ref="O3171" r:id="rId9800" display="https://pbs.twimg.com/profile_images/627949001179037696/skEBkS05_normal.jpg" xr:uid="{10901D6C-8133-4273-A087-508655D310A3}"/>
    <hyperlink ref="B3172" r:id="rId9801" display="https://twitter.com/brett687" xr:uid="{CC70C5DA-507B-4043-9207-CFD2227E6103}"/>
    <hyperlink ref="E3172" r:id="rId9802" display="https://twitter.com/brett687/status/723449823156797443" xr:uid="{9D18D33B-F2E5-483F-8AB5-DE9C4254180D}"/>
    <hyperlink ref="O3172" r:id="rId9803" display="https://pbs.twimg.com/profile_images/563275727810752514/bwvq74zt_normal.jpeg" xr:uid="{A04BAA50-FE23-41CB-8C57-C3EC96578D54}"/>
    <hyperlink ref="B3173" r:id="rId9804" display="https://twitter.com/Shaznimohamed" xr:uid="{A17CA726-0062-40CA-AA5E-E834A7F39CC6}"/>
    <hyperlink ref="E3173" r:id="rId9805" display="https://twitter.com/Shaznimohamed/status/723449878307737601" xr:uid="{E27A466C-AB64-4369-A303-4ABDDDAE3AF2}"/>
    <hyperlink ref="O3173" r:id="rId9806" display="https://pbs.twimg.com/profile_images/1584371772/islamic_written_13_normal.gif" xr:uid="{DEBFD293-C931-4989-9283-3D8F62759F86}"/>
    <hyperlink ref="B3174" r:id="rId9807" display="https://twitter.com/EIV_Bayreuth" xr:uid="{A967D8CE-B2A9-4186-AF8B-B2AED7FFE8EE}"/>
    <hyperlink ref="E3174" r:id="rId9808" display="https://twitter.com/EIV_Bayreuth/status/723449906510209024" xr:uid="{FFF9A495-77E8-48B3-B9A6-E5C89322E705}"/>
    <hyperlink ref="O3174" r:id="rId9809" display="https://pbs.twimg.com/profile_images/445545482572410880/pVcl7UPf_normal.jpeg" xr:uid="{47810E08-C7AF-4C0A-BFC2-167514F98EC8}"/>
    <hyperlink ref="B3175" r:id="rId9810" display="https://twitter.com/matthewhowe69" xr:uid="{87CA508F-5071-46AB-8228-1310B369363A}"/>
    <hyperlink ref="E3175" r:id="rId9811" display="https://twitter.com/matthewhowe69/status/723450099569827840" xr:uid="{5794368F-9C07-46F1-B20C-1FB083CAF302}"/>
    <hyperlink ref="O3175" r:id="rId9812" display="https://pbs.twimg.com/profile_images/486450295204241409/ADvbh2Wm_normal.jpeg" xr:uid="{D909BD58-4116-46CE-8B0D-DC025631440E}"/>
    <hyperlink ref="B3176" r:id="rId9813" display="https://twitter.com/bestautos_" xr:uid="{6C07F7D3-953E-446B-93C7-74C10594E5AE}"/>
    <hyperlink ref="E3176" r:id="rId9814" display="https://twitter.com/bestautos_/status/723450245133164544" xr:uid="{9BCB811B-C14B-48EB-8659-4637122D90A1}"/>
    <hyperlink ref="O3176" r:id="rId9815" display="https://pbs.twimg.com/profile_images/649739044239372288/0ODkSJLg_normal.png" xr:uid="{E8D4AD94-1DE5-44FE-9B05-D00667FBF4AB}"/>
    <hyperlink ref="B3177" r:id="rId9816" display="https://twitter.com/wehrs18" xr:uid="{F08E81E1-3BE8-4E24-B2F8-4B90A5526ABD}"/>
    <hyperlink ref="E3177" r:id="rId9817" display="https://twitter.com/wehrs18/status/723450436406022144" xr:uid="{97992A01-FD22-4152-88C8-32702AC0FDCE}"/>
    <hyperlink ref="O3177" r:id="rId9818" display="https://pbs.twimg.com/profile_images/687314255507513346/a83L5Opq_normal.jpg" xr:uid="{2DD7DFA7-2CAD-4E1E-8822-225328FCED57}"/>
    <hyperlink ref="B3178" r:id="rId9819" display="https://twitter.com/yhuberty" xr:uid="{448DA4DE-3F8E-4DB4-8560-92FC8B45FDA7}"/>
    <hyperlink ref="E3178" r:id="rId9820" display="https://twitter.com/yhuberty/status/723450496200130560" xr:uid="{3AF9264D-2C5D-4FE9-95C8-53DAAA2D1C08}"/>
    <hyperlink ref="O3178" r:id="rId9821" display="https://pbs.twimg.com/profile_images/3206352755/e7cfc7248c1779fd33ff5c0bdff273f0_normal.jpeg" xr:uid="{8D150FDF-11CA-42DB-AB19-48E89B034C4C}"/>
    <hyperlink ref="B3179" r:id="rId9822" display="https://twitter.com/PatrickGensing" xr:uid="{2ACFB86B-2B04-4974-AD01-44A1D28ED30A}"/>
    <hyperlink ref="E3179" r:id="rId9823" display="https://twitter.com/PatrickGensing/status/723450533357314048" xr:uid="{212178F8-6E4B-4DAC-9F61-E8111BCB5DE9}"/>
    <hyperlink ref="O3179" r:id="rId9824" display="https://pbs.twimg.com/profile_images/511748869990776832/hVFIeeo8_normal.jpeg" xr:uid="{8A0525D4-4530-498B-BB06-C30E787B370D}"/>
    <hyperlink ref="B3180" r:id="rId9825" display="https://twitter.com/EllisT17" xr:uid="{546E859A-A107-4ECB-A748-EF343E6DF6FE}"/>
    <hyperlink ref="E3180" r:id="rId9826" display="https://twitter.com/EllisT17/status/723450597832155136" xr:uid="{65D13A23-607E-4026-A5B9-6F43B1BF9496}"/>
    <hyperlink ref="O3180" r:id="rId9827" display="https://pbs.twimg.com/profile_images/722881693296803840/Q1r0epiK_normal.jpg" xr:uid="{154644D9-3463-4AFC-B5AE-B71FE1F71C05}"/>
    <hyperlink ref="B3181" r:id="rId9828" display="https://twitter.com/NDRreporter" xr:uid="{29CAC84C-4EE3-438B-9072-6E077F233F6C}"/>
    <hyperlink ref="E3181" r:id="rId9829" display="https://twitter.com/NDRreporter/status/723450969648844800" xr:uid="{627459C8-8E53-49B1-8493-E375BAC38E97}"/>
    <hyperlink ref="O3181" r:id="rId9830" display="https://pbs.twimg.com/profile_images/466908605317279744/I5a712BQ_normal.jpeg" xr:uid="{92476362-F9CD-4B49-AC78-9F80D8675C0F}"/>
    <hyperlink ref="B3182" r:id="rId9831" display="https://twitter.com/yVe1705" xr:uid="{A083E68B-0BA5-4F57-BF73-465472896A88}"/>
    <hyperlink ref="E3182" r:id="rId9832" display="https://twitter.com/yVe1705/status/723451053035802625" xr:uid="{F5AB75CB-1900-4388-8CB6-8005A73392DC}"/>
    <hyperlink ref="O3182" r:id="rId9833" display="https://pbs.twimg.com/profile_images/606204089177927681/5EncE4kG_normal.jpg" xr:uid="{26C752AA-0BB8-414A-BCE0-CFEA8A7D2A58}"/>
    <hyperlink ref="B3183" r:id="rId9834" display="https://twitter.com/simonorr32" xr:uid="{9F2BEE8B-BA48-4196-B779-2E70E501FC41}"/>
    <hyperlink ref="E3183" r:id="rId9835" display="https://twitter.com/simonorr32/status/723451120220143616" xr:uid="{80F58D6A-E74D-4DB7-A3BE-776FBF4D1D1A}"/>
    <hyperlink ref="O3183" r:id="rId9836" display="https://pbs.twimg.com/profile_images/676523495229161482/y8f99TxO_normal.jpg" xr:uid="{D5338BA4-E5F1-4242-942E-5AF0B849B033}"/>
    <hyperlink ref="B3184" r:id="rId9837" display="https://twitter.com/zeitonline" xr:uid="{C6D725FA-780C-4CAA-B586-E550EAA7521E}"/>
    <hyperlink ref="E3184" r:id="rId9838" display="https://twitter.com/zeitonline/status/723451120979456001" xr:uid="{7CBE1275-D79D-4008-A1DC-18C20B3C65D4}"/>
    <hyperlink ref="O3184" r:id="rId9839" display="https://pbs.twimg.com/profile_images/702423578608852994/zVbR9TA1_normal.jpg" xr:uid="{1D53A281-73B1-4E51-9C45-A33D790086ED}"/>
    <hyperlink ref="B3185" r:id="rId9840" display="https://twitter.com/581eGliese" xr:uid="{79C4406D-7561-4312-8EC3-A7D1D2AE11EB}"/>
    <hyperlink ref="E3185" r:id="rId9841" display="https://twitter.com/581eGliese/status/723451215087058944" xr:uid="{A171B7C4-B414-4247-A152-7672AA903914}"/>
    <hyperlink ref="O3185" r:id="rId9842" display="https://pbs.twimg.com/profile_images/2316415935/pi_by_strenuus-d39pkb3_normal.jpg" xr:uid="{B8F535CA-D3FF-41E4-8AA7-C1424ED7F411}"/>
    <hyperlink ref="B3186" r:id="rId9843" display="https://twitter.com/Henriquelagarto" xr:uid="{C57C5700-E915-4C4D-AA8E-4C33A474E8FD}"/>
    <hyperlink ref="E3186" r:id="rId9844" display="https://twitter.com/Henriquelagarto/status/723451311933378560" xr:uid="{8E4D58DD-315B-48C9-BDD6-1D11FE8EE021}"/>
    <hyperlink ref="O3186" r:id="rId9845" display="https://pbs.twimg.com/profile_images/712104707410542592/qQcqzmda_normal.jpg" xr:uid="{BE824BC6-A4ED-4303-9D4D-C585E4EE5285}"/>
    <hyperlink ref="B3187" r:id="rId9846" display="https://twitter.com/RSTOKAR" xr:uid="{D6B76513-319B-49E0-82CE-F6324E048E19}"/>
    <hyperlink ref="E3187" r:id="rId9847" display="https://twitter.com/RSTOKAR/status/723451389020610560" xr:uid="{6CDB345D-F3D4-40B9-AE97-C3FF92F8FDA6}"/>
    <hyperlink ref="O3187" r:id="rId9848" display="https://pbs.twimg.com/profile_images/3282181310/09912193e3b2ecc229b9028eb0f19def_normal.jpeg" xr:uid="{E268F98A-E8B0-430E-A036-7555CB03868E}"/>
    <hyperlink ref="B3188" r:id="rId9849" display="https://twitter.com/FM_Elektro" xr:uid="{8B42AE96-EEC9-43A9-9098-FA09C360C3A1}"/>
    <hyperlink ref="E3188" r:id="rId9850" display="https://twitter.com/FM_Elektro/status/723451647788224512" xr:uid="{D16D7931-8D39-4E3A-97A3-58F80B835948}"/>
    <hyperlink ref="O3188" r:id="rId9851" display="https://pbs.twimg.com/profile_images/699912588302426112/2kZQzAuA_normal.jpg" xr:uid="{8A2A3C2A-7C80-4593-A442-23E4A9EF4F26}"/>
    <hyperlink ref="B3189" r:id="rId9852" display="https://twitter.com/CarSniff" xr:uid="{D7C735D4-72D2-434A-95FF-3EEECF15FF28}"/>
    <hyperlink ref="E3189" r:id="rId9853" display="https://twitter.com/CarSniff/status/723451659880271872" xr:uid="{6D182D50-A079-4254-BE41-EEC966128406}"/>
    <hyperlink ref="O3189" r:id="rId9854" display="https://pbs.twimg.com/profile_images/789711681/s2_normal.bmp" xr:uid="{6F1E97B4-641A-4761-BBAA-5D917AC0F5B2}"/>
    <hyperlink ref="B3190" r:id="rId9855" display="https://twitter.com/Stahlhammer" xr:uid="{A398C16D-0E03-4165-BA52-BCA2E121A628}"/>
    <hyperlink ref="E3190" r:id="rId9856" display="https://twitter.com/Stahlhammer/status/723451755720114176" xr:uid="{B4A58B0D-FE08-4139-B568-83E4FE01A633}"/>
    <hyperlink ref="O3190" r:id="rId9857" display="https://pbs.twimg.com/profile_images/603480066887127041/ZqzOY80Q_normal.jpg" xr:uid="{E08B7C0C-3B2B-4842-BA7F-3A174EEB131E}"/>
    <hyperlink ref="B3191" r:id="rId9858" display="https://twitter.com/boersenzeitung" xr:uid="{91A8A9B3-D95D-4BBA-90B7-5919B9FB8F97}"/>
    <hyperlink ref="E3191" r:id="rId9859" display="https://twitter.com/boersenzeitung/status/723452129768173568" xr:uid="{F063ACD1-AEAB-40EF-8190-AF38B8BDE103}"/>
    <hyperlink ref="O3191" r:id="rId9860" display="https://pbs.twimg.com/profile_images/574906201290334209/eDNLUdPe_normal.png" xr:uid="{5ABCB23F-8C04-47F1-90A0-F773F52BC06C}"/>
    <hyperlink ref="B3192" r:id="rId9861" display="https://twitter.com/heinripe" xr:uid="{BD357BA8-6E30-434C-B50F-613FCE14CB64}"/>
    <hyperlink ref="E3192" r:id="rId9862" display="https://twitter.com/heinripe/status/723452214136598528" xr:uid="{8C70BABF-0A28-4272-AA54-261C1F0C17AD}"/>
    <hyperlink ref="O3192" r:id="rId9863" display="https://abs.twimg.com/sticky/default_profile_images/default_profile_6_normal.png" xr:uid="{7F0BD230-4650-4379-90F4-0C1D138AF632}"/>
    <hyperlink ref="B3193" r:id="rId9864" display="https://twitter.com/beetlebug1938" xr:uid="{F3CE8864-581E-42F9-A9F0-6B679293A3DC}"/>
    <hyperlink ref="E3193" r:id="rId9865" display="https://twitter.com/beetlebug1938/status/723452365748211712" xr:uid="{FBC52B3A-2AE5-44F2-891D-4F2EEC13DF75}"/>
    <hyperlink ref="O3193" r:id="rId9866" display="https://pbs.twimg.com/profile_images/718820712757215233/LXXndPTS_normal.jpg" xr:uid="{64EA23B8-8CFC-4FAF-86D7-9CBD068A23E5}"/>
    <hyperlink ref="B3194" r:id="rId9867" display="https://twitter.com/parrish_isiah" xr:uid="{37BE02C3-30AD-44C1-B41A-5FE016E77032}"/>
    <hyperlink ref="E3194" r:id="rId9868" display="https://twitter.com/parrish_isiah/status/723452366045896704" xr:uid="{52EC785A-D80F-475F-92D6-BF88726BA54D}"/>
    <hyperlink ref="O3194" r:id="rId9869" display="https://pbs.twimg.com/profile_images/717767756104409088/FwQrD584_normal.jpg" xr:uid="{FF483E22-003F-4701-BEDF-09EE2D9DC2EE}"/>
    <hyperlink ref="B3195" r:id="rId9870" display="https://twitter.com/x3m_f" xr:uid="{12F4F9DA-271F-443C-BE5F-5E91C66ECBFF}"/>
    <hyperlink ref="E3195" r:id="rId9871" display="https://twitter.com/x3m_f/status/723452422350352384" xr:uid="{76081800-6F8E-44F7-9B9C-694997A4F9D5}"/>
    <hyperlink ref="O3195" r:id="rId9872" display="https://pbs.twimg.com/profile_images/680251329592344576/lnXUGVBa_normal.jpg" xr:uid="{4CECA2F0-139B-466A-B01B-AE3985BE2303}"/>
    <hyperlink ref="B3196" r:id="rId9873" display="https://twitter.com/lars_scho" xr:uid="{3030C6E8-B5BA-400B-B2CB-A2852C8ED4DE}"/>
    <hyperlink ref="E3196" r:id="rId9874" display="https://twitter.com/lars_scho/status/723452641649504256" xr:uid="{BBA7765C-2B82-4CAD-9446-34543758B97B}"/>
    <hyperlink ref="O3196" r:id="rId9875" display="https://pbs.twimg.com/profile_images/721996706657779713/1ngKuolF_normal.jpg" xr:uid="{1D7CE353-6C7A-4623-A4C0-7194D4EEEE65}"/>
    <hyperlink ref="B3197" r:id="rId9876" display="https://twitter.com/VW_OC" xr:uid="{311F9D35-1193-4594-B946-07F6358099C7}"/>
    <hyperlink ref="E3197" r:id="rId9877" display="https://twitter.com/VW_OC/status/723452672783822848" xr:uid="{C69D56B8-6D94-4B43-B496-7B90C1C7AA48}"/>
    <hyperlink ref="O3197" r:id="rId9878" display="https://pbs.twimg.com/profile_images/637390204526030849/x7fTNLV__normal.png" xr:uid="{33485E99-3C3B-4BC5-A3FF-0AA0F537027F}"/>
    <hyperlink ref="B3198" r:id="rId9879" display="https://twitter.com/VW_OC" xr:uid="{6EDBF390-FE93-4598-9013-B21C063B15C9}"/>
    <hyperlink ref="E3198" r:id="rId9880" display="https://twitter.com/VW_OC/status/723452793160368128" xr:uid="{1D81566A-4947-4540-955C-6B4464FD74E3}"/>
    <hyperlink ref="O3198" r:id="rId9881" display="https://pbs.twimg.com/profile_images/637390204526030849/x7fTNLV__normal.png" xr:uid="{5F9F8FC8-392D-4FF8-96EB-6C922F7F396A}"/>
    <hyperlink ref="B3199" r:id="rId9882" display="https://twitter.com/Hallaschka_HH" xr:uid="{F3FEB61A-5593-4644-8C59-81AF5F59CE2D}"/>
    <hyperlink ref="E3199" r:id="rId9883" display="https://twitter.com/Hallaschka_HH/status/723452810411409408" xr:uid="{6B736684-0CD8-4933-A831-ECF4BA31C7DA}"/>
    <hyperlink ref="O3199" r:id="rId9884" display="https://pbs.twimg.com/profile_images/668824909116809220/Wb-7Gely_normal.jpg" xr:uid="{B8631DCA-D390-4214-AA9A-6C5DC2A5BB0F}"/>
    <hyperlink ref="B3200" r:id="rId9885" display="https://twitter.com/EricTheCarGuy" xr:uid="{18B9E266-9EEC-4582-8AC7-403D63F75007}"/>
    <hyperlink ref="E3200" r:id="rId9886" display="https://twitter.com/EricTheCarGuy/status/723452993174155264" xr:uid="{3DFAF673-0C07-48DC-8EBE-CE7B86683732}"/>
    <hyperlink ref="O3200" r:id="rId9887" display="https://pbs.twimg.com/profile_images/687368109/WrenchEYE3Avitar_normal.jpg" xr:uid="{D16CDAF9-8861-4B3E-AC4A-820331B6971C}"/>
    <hyperlink ref="B3201" r:id="rId9888" display="https://twitter.com/TIMECODEX" xr:uid="{85A9316B-91FC-433E-8386-6B11C0EFF7BD}"/>
    <hyperlink ref="E3201" r:id="rId9889" display="https://twitter.com/TIMECODEX/status/723453139098042368" xr:uid="{6F9BEC11-0712-4FD0-B183-340B38DF6C9D}"/>
    <hyperlink ref="O3201" r:id="rId9890" display="https://pbs.twimg.com/profile_images/526830842329321472/6rRX2J0E_normal.jpeg" xr:uid="{D528BAD5-9596-4A3B-9604-38C39DDACDC4}"/>
    <hyperlink ref="B3202" r:id="rId9891" display="https://twitter.com/JulieTestAchats" xr:uid="{050EDB41-5AE4-47D7-B0F5-C817E8CC73FF}"/>
    <hyperlink ref="E3202" r:id="rId9892" display="https://twitter.com/JulieTestAchats/status/723453470380957696" xr:uid="{A936E389-23C1-410D-A470-2E635CF7940D}"/>
    <hyperlink ref="O3202" r:id="rId9893" display="https://pbs.twimg.com/profile_images/674233130828468224/KRUDL_tK_normal.jpg" xr:uid="{107F75E3-0561-4C1E-902F-265E5B1B0225}"/>
    <hyperlink ref="B3203" r:id="rId9894" display="https://twitter.com/Drey_VH" xr:uid="{8BB971E4-92D7-45EA-B21C-55537FFC08F6}"/>
    <hyperlink ref="E3203" r:id="rId9895" display="https://twitter.com/Drey_VH/status/723453585397321728" xr:uid="{6E859221-1ACD-4F16-8384-FB62E1F2A911}"/>
    <hyperlink ref="O3203" r:id="rId9896" display="https://pbs.twimg.com/profile_images/688412401667035136/gvoxnxoc_normal.jpg" xr:uid="{8EEE977D-666A-4A62-A3D3-051B541BA60D}"/>
    <hyperlink ref="B3204" r:id="rId9897" display="https://twitter.com/CincoDiascom" xr:uid="{D2714114-B8CE-421A-9515-23AD2A7A4F12}"/>
    <hyperlink ref="E3204" r:id="rId9898" display="https://twitter.com/CincoDiascom/status/723453673649659904" xr:uid="{7B822F12-C04C-4259-94EB-F3543C33B114}"/>
    <hyperlink ref="O3204" r:id="rId9899" display="https://pbs.twimg.com/profile_images/378800000636198735/b92a40233a8a80eb212a4bdb248b30d6_normal.png" xr:uid="{C5CBEDA3-6B09-4619-9CC8-DBF774ED168F}"/>
    <hyperlink ref="B3205" r:id="rId9900" display="https://twitter.com/norbertruecker" xr:uid="{0898590F-2ADA-498F-A29D-A21E61DDAD50}"/>
    <hyperlink ref="E3205" r:id="rId9901" display="https://twitter.com/norbertruecker/status/723453694981734400" xr:uid="{4F833BDF-861E-42F5-8960-A10AE476C3D2}"/>
    <hyperlink ref="O3205" r:id="rId9902" display="https://pbs.twimg.com/profile_images/378800000234075876/b010cff1cb792e4f4bd8b4c6ea59098b_normal.jpeg" xr:uid="{2135A8B8-3EE0-4EA7-B685-F712C1833853}"/>
    <hyperlink ref="B3206" r:id="rId9903" display="https://twitter.com/JanKassies" xr:uid="{ED8A5AC8-481E-4708-AD36-31172E2E0780}"/>
    <hyperlink ref="E3206" r:id="rId9904" display="https://twitter.com/JanKassies/status/723453715236175872" xr:uid="{EF786EFB-1821-4B27-B801-6760D7CAD4EA}"/>
    <hyperlink ref="O3206" r:id="rId9905" display="https://pbs.twimg.com/profile_images/683738382304948224/-LF06h4p_normal.jpg" xr:uid="{E222AF99-D09C-45E9-AE11-E4CED8891002}"/>
    <hyperlink ref="B3207" r:id="rId9906" display="https://twitter.com/vw8valve" xr:uid="{2104C773-21B5-4602-AF14-254C3EBEFA32}"/>
    <hyperlink ref="E3207" r:id="rId9907" display="https://twitter.com/vw8valve/status/723453747825758208" xr:uid="{039B1654-E17D-4D85-9F25-28EDDD4FB8F4}"/>
    <hyperlink ref="O3207" r:id="rId9908" display="https://pbs.twimg.com/profile_images/614981295773384708/sXMDZxDO_normal.jpg" xr:uid="{B5269F88-4711-4AD3-9BAA-32E0C18E676D}"/>
    <hyperlink ref="B3208" r:id="rId9909" display="https://twitter.com/wdr5" xr:uid="{236ECE6A-7666-40A1-8D3C-D8D623947392}"/>
    <hyperlink ref="E3208" r:id="rId9910" display="https://twitter.com/wdr5/status/723453839676833792" xr:uid="{048B69E2-37BE-4D30-80A4-757EF9DB88FD}"/>
    <hyperlink ref="O3208" r:id="rId9911" display="https://pbs.twimg.com/profile_images/616142735079292928/L2GZ2_qc_normal.jpg" xr:uid="{3D1087E8-E670-4720-AF06-8393F3CF1E9A}"/>
    <hyperlink ref="B3209" r:id="rId9912" display="https://twitter.com/ruv24_de" xr:uid="{FB109170-6CFA-4E7B-B232-E6B970E0E241}"/>
    <hyperlink ref="E3209" r:id="rId9913" display="https://twitter.com/ruv24_de/status/723453844206792705" xr:uid="{C7D5072B-5FBF-4DF9-9223-DFE4D419D626}"/>
    <hyperlink ref="O3209" r:id="rId9914" display="https://pbs.twimg.com/profile_images/461143330147954688/HZO45eNS_normal.jpeg" xr:uid="{17373CCE-D91F-4876-BDDD-A176F25FFECA}"/>
    <hyperlink ref="B3210" r:id="rId9915" display="https://twitter.com/LinDePaTo" xr:uid="{3FEC9AA9-B3A4-4C76-98CD-282E2129732A}"/>
    <hyperlink ref="E3210" r:id="rId9916" display="https://twitter.com/LinDePaTo/status/723453876893044736" xr:uid="{579B3ED1-F786-44A9-B8D0-0D773BE28585}"/>
    <hyperlink ref="O3210" r:id="rId9917" display="https://pbs.twimg.com/profile_images/672477508709785600/wUZ5ijze_normal.jpg" xr:uid="{F3F86A41-7502-41CB-93A5-2B1235D49337}"/>
    <hyperlink ref="B3211" r:id="rId9918" display="https://twitter.com/raschnzz" xr:uid="{D6D9840D-6109-4B72-AA0E-1A2D526C2737}"/>
    <hyperlink ref="E3211" r:id="rId9919" display="https://twitter.com/raschnzz/status/723454112541609984" xr:uid="{0C5FC72C-2C54-466F-8B0B-1AD971EF9DCA}"/>
    <hyperlink ref="O3211" r:id="rId9920" display="https://pbs.twimg.com/profile_images/602942207088136192/fJKoWBlU_normal.jpg" xr:uid="{2E506B79-D8C4-4F41-BBE6-A0A70593B533}"/>
    <hyperlink ref="B3212" r:id="rId9921" display="https://twitter.com/LiveStudyEnjoy" xr:uid="{C5E8835E-2167-4AB9-AB87-B8A34B13F906}"/>
    <hyperlink ref="E3212" r:id="rId9922" display="https://twitter.com/LiveStudyEnjoy/status/723454204652613632" xr:uid="{E3B04F1D-2CD9-4ED4-97B6-B273718EE54B}"/>
    <hyperlink ref="O3212" r:id="rId9923" display="https://pbs.twimg.com/profile_images/691591397321891840/1KKAE0Rf_normal.jpg" xr:uid="{F41C6F3C-687C-4FDE-A3A2-D396B63EDEC6}"/>
    <hyperlink ref="B3213" r:id="rId9924" display="https://twitter.com/klaus_koester" xr:uid="{0C5F1E9D-C98A-4463-9164-963C058092DA}"/>
    <hyperlink ref="E3213" r:id="rId9925" display="https://twitter.com/klaus_koester/status/723454367131688960" xr:uid="{A9720CBF-CB2A-4140-85AD-8283174CE8BC}"/>
    <hyperlink ref="O3213" r:id="rId9926" display="https://pbs.twimg.com/profile_images/695547472677048320/Slt-fosz_normal.jpg" xr:uid="{2DA626B9-4D50-4253-BFA7-A963147CA133}"/>
    <hyperlink ref="B3214" r:id="rId9927" display="https://twitter.com/muhanna00923593" xr:uid="{8443E77E-610A-46D7-8F35-40023E007CC3}"/>
    <hyperlink ref="E3214" r:id="rId9928" display="https://twitter.com/muhanna00923593/status/723454395858313216" xr:uid="{F460341E-A2AC-4926-8F05-B935640DB810}"/>
    <hyperlink ref="O3214" r:id="rId9929" display="https://pbs.twimg.com/profile_images/720297524540620800/-O3K8tzt_normal.jpg" xr:uid="{0689282C-9513-4ACC-8C8E-A13949827638}"/>
    <hyperlink ref="B3215" r:id="rId9930" display="https://twitter.com/VWBeetleSales" xr:uid="{DD5E4A1D-B6FF-424B-A775-40966134D764}"/>
    <hyperlink ref="E3215" r:id="rId9931" display="https://twitter.com/VWBeetleSales/status/723454437054767104" xr:uid="{0DAB16DB-D87A-4047-AD84-56385BD35026}"/>
    <hyperlink ref="F3215" r:id="rId9932" xr:uid="{C933038E-5092-4ABC-A384-556CE7DC884F}"/>
    <hyperlink ref="O3215" r:id="rId9933" display="https://pbs.twimg.com/profile_images/703294545195307008/qeCvrX86_normal.jpg" xr:uid="{24D52734-40D2-43FC-A833-9FE314982E06}"/>
    <hyperlink ref="B3216" r:id="rId9934" display="https://twitter.com/VWBeetleSales" xr:uid="{7BD4945B-3B52-42D0-9898-54ABDEAF70C8}"/>
    <hyperlink ref="E3216" r:id="rId9935" display="https://twitter.com/VWBeetleSales/status/723454439537827840" xr:uid="{B7BC949C-466D-4601-8CE1-6B65A3B694D4}"/>
    <hyperlink ref="F3216" r:id="rId9936" xr:uid="{88B01F86-E15D-46F8-99A6-F407DA07B710}"/>
    <hyperlink ref="O3216" r:id="rId9937" display="https://pbs.twimg.com/profile_images/703294545195307008/qeCvrX86_normal.jpg" xr:uid="{11F22233-B51C-4847-AF9D-EA455C1B3161}"/>
    <hyperlink ref="B3217" r:id="rId9938" display="https://twitter.com/instock_de" xr:uid="{C67D4A3C-B555-4F25-A27F-276D220AD810}"/>
    <hyperlink ref="C3217" r:id="rId9939" xr:uid="{94AE04E8-DD76-48DF-8C15-722529CC078F}"/>
    <hyperlink ref="E3217" r:id="rId9940" display="https://twitter.com/instock_de/status/723454618177556480" xr:uid="{B7EF402A-3069-4AD1-B67C-CE6B92ADE987}"/>
    <hyperlink ref="O3217" r:id="rId9941" display="https://pbs.twimg.com/profile_images/1200648485/instock_normal.jpg" xr:uid="{D6A41C09-AE7B-41A9-90FC-D943733EB478}"/>
    <hyperlink ref="B3218" r:id="rId9942" display="https://twitter.com/MarkCSchneider" xr:uid="{EB674A74-E4F2-4246-B34E-075FAE9AFCA1}"/>
    <hyperlink ref="E3218" r:id="rId9943" display="https://twitter.com/MarkCSchneider/status/723454723160956928" xr:uid="{E5648950-0657-48CC-93B1-F2E07C7F5006}"/>
    <hyperlink ref="O3218" r:id="rId9944" display="https://pbs.twimg.com/profile_images/706784695795769345/XGXgdjww_normal.jpg" xr:uid="{4B1B79DD-97FB-4590-8E1E-77F72DB05FB7}"/>
    <hyperlink ref="B3219" r:id="rId9945" display="https://twitter.com/LinDePaTo" xr:uid="{A4A66ACF-664B-48F4-8290-ADAC9AC06B1D}"/>
    <hyperlink ref="E3219" r:id="rId9946" display="https://twitter.com/LinDePaTo/status/723454765791870976" xr:uid="{7F748746-4E24-4195-872F-333798D90B71}"/>
    <hyperlink ref="O3219" r:id="rId9947" display="https://pbs.twimg.com/profile_images/672477508709785600/wUZ5ijze_normal.jpg" xr:uid="{3C450929-98A0-461F-9624-2A3F3298B078}"/>
    <hyperlink ref="B3220" r:id="rId9948" display="https://twitter.com/DayanLuce" xr:uid="{0DADB85A-3E26-41F1-A6A1-8475EA8367A2}"/>
    <hyperlink ref="E3220" r:id="rId9949" display="https://twitter.com/DayanLuce/status/723454932322390016" xr:uid="{19F2AEA1-3726-4D3A-A84E-7B3817408F38}"/>
    <hyperlink ref="O3220" r:id="rId9950" display="https://pbs.twimg.com/profile_images/690294370784808960/v_JX4JJS_normal.jpg" xr:uid="{4DE8ED46-06B9-4F04-8A12-9226D40012CD}"/>
    <hyperlink ref="B3221" r:id="rId9951" display="https://twitter.com/MotorphiliacsTv" xr:uid="{2D2EA09D-BD34-4444-B824-5CC4AE9985FE}"/>
    <hyperlink ref="E3221" r:id="rId9952" display="https://twitter.com/MotorphiliacsTv/status/723455474864001024" xr:uid="{C9E21ADF-10DD-4C9A-BEC9-EA6204235C83}"/>
    <hyperlink ref="O3221" r:id="rId9953" display="https://pbs.twimg.com/profile_images/701133680937291776/4TSsJk3y_normal.jpg" xr:uid="{4EBCAA9C-92CA-4DCC-9B3D-BD421BBC2BAE}"/>
    <hyperlink ref="B3222" r:id="rId9954" display="https://twitter.com/dw_turkce" xr:uid="{136586D2-8984-477A-A3BF-9FC0B2849C59}"/>
    <hyperlink ref="E3222" r:id="rId9955" display="https://twitter.com/dw_turkce/status/723455846525624320" xr:uid="{283AC129-7B99-45BC-BA42-CA9A961E0BE2}"/>
    <hyperlink ref="O3222" r:id="rId9956" display="https://pbs.twimg.com/profile_images/461426238695821313/4ece1u66_normal.png" xr:uid="{EF7990E2-3CAA-4901-B328-1B7BA184A281}"/>
    <hyperlink ref="B3223" r:id="rId9957" display="https://twitter.com/Scirocco_Tuning" xr:uid="{78E81FD3-FDDC-4BCE-8F72-3AAAC36B6BE7}"/>
    <hyperlink ref="E3223" r:id="rId9958" display="https://twitter.com/Scirocco_Tuning/status/723455876162564096" xr:uid="{33292CE8-A15C-4BA9-9C07-DB5F406811AB}"/>
    <hyperlink ref="O3223" r:id="rId9959" display="https://pbs.twimg.com/profile_images/1610421423/Image2_normal.jpg" xr:uid="{03317F3E-0C47-4913-AF5D-04D82327A5BD}"/>
    <hyperlink ref="B3224" r:id="rId9960" display="https://twitter.com/wolf_Sti" xr:uid="{DE8613AF-7F1B-460D-A6FE-C37609674558}"/>
    <hyperlink ref="E3224" r:id="rId9961" display="https://twitter.com/wolf_Sti/status/723455935616847872" xr:uid="{ACD7C1D0-B921-48CF-A8A4-F1A2700E20A4}"/>
    <hyperlink ref="O3224" r:id="rId9962" display="https://pbs.twimg.com/profile_images/476965678428467200/kpN-jvkF_normal.jpeg" xr:uid="{5081E880-9497-423E-901C-5F9775119682}"/>
    <hyperlink ref="B3225" r:id="rId9963" display="https://twitter.com/vwfestival" xr:uid="{19CC3190-6AA0-44BF-80C7-4B94B8291244}"/>
    <hyperlink ref="E3225" r:id="rId9964" display="https://twitter.com/vwfestival/status/723456018974429184" xr:uid="{FBACA799-2D12-4AE9-AAFC-155B1B816635}"/>
    <hyperlink ref="O3225" r:id="rId9965" display="https://pbs.twimg.com/profile_images/664502890170613761/q2QMKfkm_normal.jpg" xr:uid="{1FF07833-E0B1-4568-AB66-5E2A3E024195}"/>
    <hyperlink ref="B3226" r:id="rId9966" display="https://twitter.com/VWCamperSales" xr:uid="{7CF89BD7-F771-4BDA-9D7A-FBBE631F16BA}"/>
    <hyperlink ref="E3226" r:id="rId9967" display="https://twitter.com/VWCamperSales/status/723456084988448769" xr:uid="{5BB073EB-E316-4363-B261-6E2CDAE7DA70}"/>
    <hyperlink ref="F3226" r:id="rId9968" xr:uid="{0AA71751-48CA-472F-8B1F-4FD2DEB60368}"/>
    <hyperlink ref="O3226" r:id="rId9969" display="https://pbs.twimg.com/profile_images/627949001179037696/skEBkS05_normal.jpg" xr:uid="{EB336D96-83DB-496E-9E5F-5191BDA4D38C}"/>
    <hyperlink ref="B3227" r:id="rId9970" display="https://twitter.com/theto3k" xr:uid="{7EF5E2A8-6778-44E5-BF3E-71DEE87042E0}"/>
    <hyperlink ref="E3227" r:id="rId9971" display="https://twitter.com/theto3k/status/723456277662318592" xr:uid="{CCE64FE6-957E-4ACD-9038-6E113F137C53}"/>
    <hyperlink ref="O3227" r:id="rId9972" display="https://pbs.twimg.com/profile_images/636436857983758336/vRwcQ43Z_normal.jpg" xr:uid="{CACF56CB-6137-4C87-A732-8892FC17AE48}"/>
    <hyperlink ref="B3228" r:id="rId9973" display="https://twitter.com/becky1363" xr:uid="{293A987C-15A8-4398-8E64-D78B7528BF5F}"/>
    <hyperlink ref="E3228" r:id="rId9974" display="https://twitter.com/becky1363/status/723456488375771136" xr:uid="{379B2931-437A-4C18-90DD-7BC3764D66C8}"/>
    <hyperlink ref="O3228" r:id="rId9975" display="https://pbs.twimg.com/profile_images/720645057452355584/gMtuN1tX_normal.jpg" xr:uid="{C9C38185-DCC8-4733-8B3D-A10BC1F8D968}"/>
    <hyperlink ref="B3229" r:id="rId9976" display="https://twitter.com/SophiaOtto" xr:uid="{B7E18E63-A4AF-458F-B770-8DBE698EE9B3}"/>
    <hyperlink ref="E3229" r:id="rId9977" display="https://twitter.com/SophiaOtto/status/723456713349836800" xr:uid="{D6D855DA-011B-4147-9E88-CBDD56F7936E}"/>
    <hyperlink ref="O3229" r:id="rId9978" display="https://pbs.twimg.com/profile_images/2524763067/4lpj759sc02zh4xqmm55_normal.jpeg" xr:uid="{828F588E-4F08-4DCC-8B8F-8490EE3C7442}"/>
    <hyperlink ref="B3230" r:id="rId9979" display="https://twitter.com/Ferrari_Jadore" xr:uid="{7859B99E-EE10-466B-8423-2292FAF81F9D}"/>
    <hyperlink ref="E3230" r:id="rId9980" display="https://twitter.com/Ferrari_Jadore/status/723456808627625984" xr:uid="{DBC62841-B26C-464A-BCD5-53130DD034FA}"/>
    <hyperlink ref="O3230" r:id="rId9981" display="https://pbs.twimg.com/profile_images/719469365452808192/1OFS9oRH_normal.jpg" xr:uid="{31C7A018-0802-41E6-AD53-18D39A99F8FA}"/>
    <hyperlink ref="B3231" r:id="rId9982" display="https://twitter.com/CampervanGift" xr:uid="{AE6CAC7D-E725-4B7F-91F1-BA87FC4FDAA7}"/>
    <hyperlink ref="E3231" r:id="rId9983" display="https://twitter.com/CampervanGift/status/723456982003388416" xr:uid="{66B04618-47D4-4DB7-985E-072551C183A9}"/>
    <hyperlink ref="O3231" r:id="rId9984" display="https://pbs.twimg.com/profile_images/684011521010221056/m0qyKLZH_normal.jpg" xr:uid="{B4599810-945C-42C2-A8FB-857E4F557DF9}"/>
    <hyperlink ref="B3232" r:id="rId9985" display="https://twitter.com/TillSchriller" xr:uid="{2583FB73-FF9F-4E39-B392-7296BA62658E}"/>
    <hyperlink ref="E3232" r:id="rId9986" display="https://twitter.com/TillSchriller/status/723457039125622784" xr:uid="{CEDD0DC4-03CC-40AE-96FD-EFECFD288151}"/>
    <hyperlink ref="O3232" r:id="rId9987" display="https://pbs.twimg.com/profile_images/684064663533973509/j38nNdrP_normal.jpg" xr:uid="{5FB6EB6A-9C3C-40F4-9C8E-294F94182DD8}"/>
    <hyperlink ref="B3233" r:id="rId9988" display="https://twitter.com/GermaniaOne" xr:uid="{979D5CE3-B7A0-4661-A18A-AEB40BF6D455}"/>
    <hyperlink ref="E3233" r:id="rId9989" display="https://twitter.com/GermaniaOne/status/723457062588583937" xr:uid="{7401627E-EEB2-4B5E-BBF8-B01FB4240641}"/>
    <hyperlink ref="O3233" r:id="rId9990" display="https://pbs.twimg.com/profile_images/689107326742192128/_uhCMtae_normal.png" xr:uid="{5515B39C-184E-4857-AD20-12465C72171B}"/>
    <hyperlink ref="B3234" r:id="rId9991" display="https://twitter.com/DCarrionF" xr:uid="{B8A82044-EF5E-4C1B-B761-4401F071020E}"/>
    <hyperlink ref="E3234" r:id="rId9992" display="https://twitter.com/DCarrionF/status/723457140531322880" xr:uid="{2E6064FE-E9A9-42A2-AEFB-1B0F15C44B0E}"/>
    <hyperlink ref="O3234" r:id="rId9993" display="https://pbs.twimg.com/profile_images/707148186822053888/adrr4gqg_normal.jpg" xr:uid="{D3BB5A66-A61B-4123-ACA2-0C8518994F21}"/>
    <hyperlink ref="B3235" r:id="rId9994" display="https://twitter.com/doern" xr:uid="{F5F937B0-7587-401C-B5DE-B19DC3B1A19A}"/>
    <hyperlink ref="E3235" r:id="rId9995" display="https://twitter.com/doern/status/723457275692748801" xr:uid="{A7B26C90-C6F9-4A0C-84F2-25E2FF29C7C2}"/>
    <hyperlink ref="O3235" r:id="rId9996" display="https://pbs.twimg.com/profile_images/657853466384191488/J6vAnfZr_normal.jpg" xr:uid="{7603C00C-F21B-40FE-AC7D-F02DC075E78E}"/>
    <hyperlink ref="B3236" r:id="rId9997" display="https://twitter.com/unlmtdsmarttech" xr:uid="{3D5C1CF6-A700-45D8-A1C0-0D8F1C9F2CA7}"/>
    <hyperlink ref="E3236" r:id="rId9998" display="https://twitter.com/unlmtdsmarttech/status/723457300804042752" xr:uid="{003447C7-9C2B-4DFE-86BA-4AA5D5D0E265}"/>
    <hyperlink ref="O3236" r:id="rId9999" display="https://pbs.twimg.com/profile_images/671525031948652544/gPRky3nV_normal.jpg" xr:uid="{8B5C66F0-8994-43D9-A5D6-C60E251D5995}"/>
    <hyperlink ref="B3237" r:id="rId10000" display="https://twitter.com/VCT_Tweets" xr:uid="{FA5E244D-2FE7-447A-BA18-CB215D18F9BC}"/>
    <hyperlink ref="E3237" r:id="rId10001" display="https://twitter.com/VCT_Tweets/status/723457654765588481" xr:uid="{345F2D16-8888-4623-99BE-9A8127AE666C}"/>
    <hyperlink ref="O3237" r:id="rId10002" display="https://pbs.twimg.com/profile_images/569800899141177344/nVFLMSdb_normal.png" xr:uid="{86F465DC-50D0-4537-B8A5-83164D45C383}"/>
    <hyperlink ref="B3238" r:id="rId10003" display="https://twitter.com/willi_haentjes" xr:uid="{E7A09940-D10F-4F7F-8A03-E48320EBC2C6}"/>
    <hyperlink ref="E3238" r:id="rId10004" display="https://twitter.com/willi_haentjes/status/723457746989920256" xr:uid="{39A93B88-8224-48D8-9544-988BADC39846}"/>
    <hyperlink ref="O3238" r:id="rId10005" display="https://pbs.twimg.com/profile_images/631826061446246400/nn2ngg0v_normal.jpg" xr:uid="{33D7D339-CC88-4DCA-B88E-43BC127EB262}"/>
    <hyperlink ref="B3239" r:id="rId10006" display="https://twitter.com/bayl" xr:uid="{B6552953-5CDF-489C-8DC9-46DA1DCC054A}"/>
    <hyperlink ref="E3239" r:id="rId10007" display="https://twitter.com/bayl/status/723457953932709889" xr:uid="{BE66D3C9-EAC3-4DD6-BAAF-1466AF904F0F}"/>
    <hyperlink ref="O3239" r:id="rId10008" display="https://pbs.twimg.com/profile_images/438619338942062592/OBEQvg6R_normal.jpeg" xr:uid="{7EE35AD9-37AA-4EB8-8DC1-1292A567E18E}"/>
    <hyperlink ref="B3240" r:id="rId10009" display="https://twitter.com/zdmak" xr:uid="{56576CC3-8DB3-4BA7-933A-D929E9585ABC}"/>
    <hyperlink ref="E3240" r:id="rId10010" display="https://twitter.com/zdmak/status/723457987369668608" xr:uid="{3CA7DA96-2272-4808-BEC8-97E03C6FF61A}"/>
    <hyperlink ref="O3240" r:id="rId10011" display="https://pbs.twimg.com/profile_images/573248726212325376/60EMO_jJ_normal.jpeg" xr:uid="{09201C12-6291-425A-8CD5-94D4BAB49BDE}"/>
    <hyperlink ref="B3241" r:id="rId10012" display="https://twitter.com/handelsblatt" xr:uid="{7B44A82E-93E9-4EAE-BA94-3614E91B1AC6}"/>
    <hyperlink ref="E3241" r:id="rId10013" display="https://twitter.com/handelsblatt/status/723458126532493312" xr:uid="{8F492A12-1864-4594-9520-D3EFEAE3D4F9}"/>
    <hyperlink ref="O3241" r:id="rId10014" display="https://pbs.twimg.com/profile_images/562563461171798017/AkHF4keI_normal.png" xr:uid="{D96FA720-EE0E-455A-A84E-FA6C01BD8D2D}"/>
    <hyperlink ref="B3242" r:id="rId10015" display="https://twitter.com/zdmak" xr:uid="{0D2FDAEF-2219-4694-9B88-58593DFDC166}"/>
    <hyperlink ref="E3242" r:id="rId10016" display="https://twitter.com/zdmak/status/723458170505584641" xr:uid="{0A6E284B-AD85-4006-B937-8B1D140B5C23}"/>
    <hyperlink ref="O3242" r:id="rId10017" display="https://pbs.twimg.com/profile_images/573248726212325376/60EMO_jJ_normal.jpeg" xr:uid="{AB0E18E4-6DC6-4B77-A627-2E587001937C}"/>
    <hyperlink ref="B3243" r:id="rId10018" display="https://twitter.com/SNovember_TA" xr:uid="{63C6AD42-8A1E-462F-9A02-90263A7E6299}"/>
    <hyperlink ref="E3243" r:id="rId10019" display="https://twitter.com/SNovember_TA/status/723458234347065344" xr:uid="{B9158EDC-82B5-4E72-800E-B27FDFEBA7E1}"/>
    <hyperlink ref="O3243" r:id="rId10020" display="https://pbs.twimg.com/profile_images/641589533696491520/z_Rxec7o_normal.jpg" xr:uid="{22A0EBD0-08C9-4AB1-8C0C-0F69DAC7F894}"/>
    <hyperlink ref="B3244" r:id="rId10021" display="https://twitter.com/EIV_Bayreuth" xr:uid="{9DE5695A-7507-442B-A008-5F8E6F713ADD}"/>
    <hyperlink ref="E3244" r:id="rId10022" display="https://twitter.com/EIV_Bayreuth/status/723458430233616384" xr:uid="{2352C354-9EB9-4A21-B3D9-898C4621D6CD}"/>
    <hyperlink ref="O3244" r:id="rId10023" display="https://pbs.twimg.com/profile_images/445545482572410880/pVcl7UPf_normal.jpeg" xr:uid="{E31498A3-9667-4711-87C7-E92F29742F94}"/>
    <hyperlink ref="B3245" r:id="rId10024" display="https://twitter.com/Eliott_Law" xr:uid="{2B0114D4-CE8E-4403-ABEE-D63D7BFFC720}"/>
    <hyperlink ref="E3245" r:id="rId10025" display="https://twitter.com/Eliott_Law/status/723458447103131648" xr:uid="{CA5B71ED-C554-47CC-BB3F-08BBA7EA4C01}"/>
    <hyperlink ref="O3245" r:id="rId10026" display="https://pbs.twimg.com/profile_images/689530457378181120/hebb5eT3_normal.jpg" xr:uid="{3331237F-C180-43CB-924C-6D6BF3F06AA0}"/>
    <hyperlink ref="B3246" r:id="rId10027" display="https://twitter.com/EIV_Bayreuth" xr:uid="{7D25D833-B51C-48F5-9E95-5811FBA57EC0}"/>
    <hyperlink ref="E3246" r:id="rId10028" display="https://twitter.com/EIV_Bayreuth/status/723458726267654145" xr:uid="{16865E3B-392C-478B-8890-8C9185C1221B}"/>
    <hyperlink ref="O3246" r:id="rId10029" display="https://pbs.twimg.com/profile_images/445545482572410880/pVcl7UPf_normal.jpeg" xr:uid="{6E9F2467-C175-4B62-9D69-25530EEB6C17}"/>
    <hyperlink ref="B3247" r:id="rId10030" display="https://twitter.com/DeLausert" xr:uid="{C87125F6-2E42-4081-80F1-E398981232E4}"/>
    <hyperlink ref="E3247" r:id="rId10031" display="https://twitter.com/DeLausert/status/723458773495472128" xr:uid="{BD81DAA1-B488-454B-A076-A9EDA9A6E579}"/>
    <hyperlink ref="O3247" r:id="rId10032" display="https://pbs.twimg.com/profile_images/672181739301822465/2EHqX_W1_normal.jpg" xr:uid="{DEE2A857-7A2B-4E22-80F4-22E28633B4BD}"/>
    <hyperlink ref="B3248" r:id="rId10033" display="https://twitter.com/Braulio_Urresti" xr:uid="{CF21A4AA-4127-4A0C-B758-B00577DD444F}"/>
    <hyperlink ref="E3248" r:id="rId10034" display="https://twitter.com/Braulio_Urresti/status/723458950771945473" xr:uid="{261C46B7-8A25-4EF8-84B6-8A757D72F91C}"/>
    <hyperlink ref="O3248" r:id="rId10035" display="https://abs.twimg.com/sticky/default_profile_images/default_profile_5_normal.png" xr:uid="{49F9A74A-F45F-4859-8483-FF59F2EEF0D7}"/>
    <hyperlink ref="B3249" r:id="rId10036" display="https://twitter.com/eMobOnline" xr:uid="{5A7AA5C9-4E9E-49B6-AA3B-340B1A1B67E6}"/>
    <hyperlink ref="E3249" r:id="rId10037" display="https://twitter.com/eMobOnline/status/723459059198877698" xr:uid="{F5A2520F-D206-4E79-B2A9-691CAECBA082}"/>
    <hyperlink ref="O3249" r:id="rId10038" display="https://pbs.twimg.com/profile_images/542767146820829184/FQICfA62_normal.jpeg" xr:uid="{0B9B3D3A-5609-4B76-9F40-F3AE2EBCBC07}"/>
    <hyperlink ref="B3250" r:id="rId10039" display="https://twitter.com/JoHammonia" xr:uid="{D0299838-1CFE-4BF9-89D6-175D25F8D497}"/>
    <hyperlink ref="E3250" r:id="rId10040" display="https://twitter.com/JoHammonia/status/723459324316667904" xr:uid="{916194B2-735D-4EED-ABCA-EBC3C96C2D29}"/>
    <hyperlink ref="O3250" r:id="rId10041" display="https://pbs.twimg.com/profile_images/696813255466029056/c1kb5BWS_normal.jpg" xr:uid="{B0EF1CA4-075E-4C0B-8BD5-E43F7FA5E1CD}"/>
    <hyperlink ref="B3251" r:id="rId10042" display="https://twitter.com/KarSmid" xr:uid="{289CAEA8-0597-44B5-9B45-27DD0A68251B}"/>
    <hyperlink ref="E3251" r:id="rId10043" display="https://twitter.com/KarSmid/status/723459544060432385" xr:uid="{7C8AD3CB-A13D-48ED-8C29-538757D66FF6}"/>
    <hyperlink ref="O3251" r:id="rId10044" display="https://pbs.twimg.com/profile_images/2314052504/Karsten-0047small_normal.jpg" xr:uid="{1ADBBDF8-B3FA-4AEC-8093-63F748335023}"/>
    <hyperlink ref="B3252" r:id="rId10045" display="https://twitter.com/xcomp1" xr:uid="{C19B1B05-01E6-4346-9385-FD87F8B46967}"/>
    <hyperlink ref="E3252" r:id="rId10046" display="https://twitter.com/xcomp1/status/723459631415177216" xr:uid="{204DD2E8-61AA-4E9F-9EF4-1326CFA9F5DE}"/>
    <hyperlink ref="O3252" r:id="rId10047" display="https://pbs.twimg.com/profile_images/3689150960/92d347a9fd891b206f2d6df9f8d9b52e_normal.jpeg" xr:uid="{44DC3791-4181-44C0-AD09-34E68FEC1F80}"/>
    <hyperlink ref="B3253" r:id="rId10048" display="https://twitter.com/de_Tocqueville" xr:uid="{4560AAE0-7C14-487B-AB59-02770296984A}"/>
    <hyperlink ref="E3253" r:id="rId10049" display="https://twitter.com/de_Tocqueville/status/723459785090314240" xr:uid="{EA0ADD52-56E6-428D-80D5-BB887C9DD93E}"/>
    <hyperlink ref="O3253" r:id="rId10050" display="https://pbs.twimg.com/profile_images/610186753719291904/V4q-4KWh_normal.png" xr:uid="{63D04122-5D64-4B9E-BC7A-E0DBEBD5331F}"/>
    <hyperlink ref="B3254" r:id="rId10051" display="https://twitter.com/TeresaMontao" xr:uid="{18C309D0-B6B6-4C42-BF21-6DA28EC4A318}"/>
    <hyperlink ref="E3254" r:id="rId10052" display="https://twitter.com/TeresaMontao/status/723459905521328128" xr:uid="{C73B36B6-AEC0-41BC-A5AD-5FF30A962D27}"/>
    <hyperlink ref="O3254" r:id="rId10053" display="https://pbs.twimg.com/profile_images/637232896336625664/dpO-f4Mn_normal.png" xr:uid="{8399E0E1-D7EB-4CF4-AA5D-BA905D48598F}"/>
    <hyperlink ref="B3255" r:id="rId10054" display="https://twitter.com/MarkCSchneider" xr:uid="{3319492E-0D2D-40E7-BFC6-B419D1AD02C9}"/>
    <hyperlink ref="E3255" r:id="rId10055" display="https://twitter.com/MarkCSchneider/status/723460245108994048" xr:uid="{8F9683F7-2417-4717-9F96-89133BBF9AED}"/>
    <hyperlink ref="O3255" r:id="rId10056" display="https://pbs.twimg.com/profile_images/706784695795769345/XGXgdjww_normal.jpg" xr:uid="{5F6430A6-3C58-44B1-AA89-71CE433B4601}"/>
    <hyperlink ref="B3256" r:id="rId10057" display="https://twitter.com/CafeRacerGear" xr:uid="{F7F6ED65-CD70-4FE5-9E79-0C028647A9DC}"/>
    <hyperlink ref="E3256" r:id="rId10058" display="https://twitter.com/CafeRacerGear/status/723460356782190592" xr:uid="{CECB081C-2E81-43E6-8BE3-6C1368777643}"/>
    <hyperlink ref="O3256" r:id="rId10059" display="https://pbs.twimg.com/profile_images/719095366533181440/DWQU4rs7_normal.jpg" xr:uid="{8457F138-E646-41C8-8A9C-DB35CD1DC55B}"/>
    <hyperlink ref="B3257" r:id="rId10060" display="https://twitter.com/olewin" xr:uid="{7CA07139-326F-45B3-A730-B4444AC6B5C8}"/>
    <hyperlink ref="E3257" r:id="rId10061" display="https://twitter.com/olewin/status/723460533454802944" xr:uid="{4AF663A2-70AB-476F-872D-C2355F1CA4F9}"/>
    <hyperlink ref="O3257" r:id="rId10062" display="https://pbs.twimg.com/profile_images/720198919536386048/g0mf6kQs_normal.jpg" xr:uid="{CC722EE6-9BA3-4550-9B4D-3D46214BFE74}"/>
    <hyperlink ref="B3258" r:id="rId10063" display="https://twitter.com/Logistique01" xr:uid="{164D4062-C307-4931-81AF-A5CEE531ED1C}"/>
    <hyperlink ref="E3258" r:id="rId10064" display="https://twitter.com/Logistique01/status/723460574433038336" xr:uid="{FDA9747F-6391-4FA8-BB7E-507DE88B6229}"/>
    <hyperlink ref="O3258" r:id="rId10065" display="https://pbs.twimg.com/profile_images/3497903431/ae95594a00a0817e860e73da8fef6dca_normal.png" xr:uid="{585837AB-84C9-4143-B64B-E28F04CB9312}"/>
    <hyperlink ref="B3259" r:id="rId10066" display="https://twitter.com/DubLuvTuning" xr:uid="{E7036C41-363C-4643-97CD-F6D78385D3CC}"/>
    <hyperlink ref="E3259" r:id="rId10067" display="https://twitter.com/DubLuvTuning/status/723460653948739584" xr:uid="{49CAE512-C259-4FDF-819C-00C32DC612A2}"/>
    <hyperlink ref="O3259" r:id="rId10068" display="https://pbs.twimg.com/profile_images/378800000572104796/1de43e1cf23efb3f4101c02afad0d3b6_normal.png" xr:uid="{E4D31938-0013-4D9D-AB9E-DDEF03BB35C8}"/>
    <hyperlink ref="B3260" r:id="rId10069" display="https://twitter.com/mjuntorius" xr:uid="{A33A993A-CF2B-4278-8EA0-378EE1F7A62F}"/>
    <hyperlink ref="E3260" r:id="rId10070" display="https://twitter.com/mjuntorius/status/723460794298585088" xr:uid="{3EF99961-BCEC-4600-A3A7-7D312FBCDB93}"/>
    <hyperlink ref="O3260" r:id="rId10071" display="https://pbs.twimg.com/profile_images/555342220551663616/Pm-FgpvF_normal.png" xr:uid="{34AE459A-F17C-4ABD-B225-3DF9EEA6387F}"/>
    <hyperlink ref="B3261" r:id="rId10072" display="https://twitter.com/techhippie" xr:uid="{C87EDC82-EB6B-4EBB-A5AA-52983FA81CB9}"/>
    <hyperlink ref="E3261" r:id="rId10073" display="https://twitter.com/techhippie/status/723460903811821570" xr:uid="{35DF31BC-27B6-498E-AEC4-2BE9EAE6A9D5}"/>
    <hyperlink ref="O3261" r:id="rId10074" display="https://pbs.twimg.com/profile_images/702511217793863680/lty8h9vE_normal.jpg" xr:uid="{9752C61C-84B2-4658-B292-5AD646B78EEE}"/>
    <hyperlink ref="B3262" r:id="rId10075" display="https://twitter.com/w_todts" xr:uid="{8075CE86-E673-4B2A-9B64-12669D39591E}"/>
    <hyperlink ref="E3262" r:id="rId10076" display="https://twitter.com/w_todts/status/723460923625713664" xr:uid="{26AD939E-CF08-4932-92BE-DC98E6851282}"/>
    <hyperlink ref="O3262" r:id="rId10077" display="https://pbs.twimg.com/profile_images/556038240734441472/Y3DFwmUK_normal.jpeg" xr:uid="{8392C68C-3AEC-4245-9552-ACE5265D8BA0}"/>
    <hyperlink ref="B3263" r:id="rId10078" display="https://twitter.com/boerseonline" xr:uid="{B3AA3688-DEA3-43D3-A47F-AC9FCDD6E7AD}"/>
    <hyperlink ref="E3263" r:id="rId10079" display="https://twitter.com/boerseonline/status/723461088164077568" xr:uid="{BD158E62-F24E-4259-A784-451C912A8096}"/>
    <hyperlink ref="O3263" r:id="rId10080" display="https://pbs.twimg.com/profile_images/522305770503696384/J6guKsKV_normal.jpeg" xr:uid="{A80F7A49-42FA-401A-8BEA-B3C3B0EDCDD9}"/>
    <hyperlink ref="B3264" r:id="rId10081" display="https://twitter.com/AFECTADOGRUPOVW" xr:uid="{5B57E963-8B50-4C7A-B790-C8C967118026}"/>
    <hyperlink ref="E3264" r:id="rId10082" display="https://twitter.com/AFECTADOGRUPOVW/status/723461146133585920" xr:uid="{F2A52A43-3643-4600-9381-C8A11A33E9EF}"/>
    <hyperlink ref="O3264" r:id="rId10083" display="https://pbs.twimg.com/profile_images/649519091892531200/gFXmbSPM_normal.jpg" xr:uid="{3C8A7D7A-B8BB-49F7-B62E-58D8F9072724}"/>
    <hyperlink ref="B3265" r:id="rId10084" display="https://twitter.com/AFECTADOGRUPOVW" xr:uid="{71197F1E-1F28-4DD7-9759-5ACB773EEA29}"/>
    <hyperlink ref="E3265" r:id="rId10085" display="https://twitter.com/AFECTADOGRUPOVW/status/723461613521670144" xr:uid="{D4E21F92-025A-4BCD-ABE2-C83E8BEA4CB5}"/>
    <hyperlink ref="O3265" r:id="rId10086" display="https://pbs.twimg.com/profile_images/649519091892531200/gFXmbSPM_normal.jpg" xr:uid="{E4294EBA-F354-4D03-AB26-31AF4A6FABC6}"/>
    <hyperlink ref="B3266" r:id="rId10087" display="https://twitter.com/Ch4r32" xr:uid="{675D15F9-2194-4C09-93FE-E3B3A7635DE6}"/>
    <hyperlink ref="E3266" r:id="rId10088" display="https://twitter.com/Ch4r32/status/723461694089994240" xr:uid="{143688AD-79D7-40DF-834B-E11C8EFC2E89}"/>
    <hyperlink ref="O3266" r:id="rId10089" display="https://pbs.twimg.com/profile_images/661245109216915456/IYc4wvrt_normal.jpg" xr:uid="{E1B09A6A-372B-400F-9132-41DF20A553D3}"/>
    <hyperlink ref="P3266" r:id="rId10090" location="41.59824645,-70.64859385" display="http://ctrlq.org/maps/address/ - 41.59824645,-70.64859385" xr:uid="{DD49EEE5-A61D-4D18-9D53-4C1BDE3ECED8}"/>
    <hyperlink ref="B3267" r:id="rId10091" display="https://twitter.com/Gunna14921" xr:uid="{C7C15DFB-4C96-47C8-85F2-09F9919FC3DD}"/>
    <hyperlink ref="E3267" r:id="rId10092" display="https://twitter.com/Gunna14921/status/723461936126517248" xr:uid="{187727DA-0463-4BF0-8C2E-9262CDF0D350}"/>
    <hyperlink ref="O3267" r:id="rId10093" display="https://pbs.twimg.com/profile_images/688270319157547009/G2GNsNnu_normal.jpg" xr:uid="{D334F3A7-5038-4913-B383-BF079FD972A8}"/>
    <hyperlink ref="B3268" r:id="rId10094" display="https://twitter.com/kalininalenina" xr:uid="{1E700D6C-B581-47CD-9B6D-170882C8A0BE}"/>
    <hyperlink ref="E3268" r:id="rId10095" display="https://twitter.com/kalininalenina/status/723462310778527744" xr:uid="{DF14BA77-9DB7-4487-B7EE-A04C9B795378}"/>
    <hyperlink ref="O3268" r:id="rId10096" display="https://pbs.twimg.com/profile_images/707923436509601792/ptTU4_Xm_normal.jpg" xr:uid="{41650114-8417-4C4E-BA38-D787300CF505}"/>
    <hyperlink ref="B3269" r:id="rId10097" display="https://twitter.com/supreuss" xr:uid="{D6C80F14-F9AE-4036-AAF0-D8DF70F5B37F}"/>
    <hyperlink ref="E3269" r:id="rId10098" display="https://twitter.com/supreuss/status/723462445495365633" xr:uid="{D003DCCC-8106-46EF-A9D7-924FB5B711F1}"/>
    <hyperlink ref="O3269" r:id="rId10099" display="https://pbs.twimg.com/profile_images/378800000811699856/2d9d28a16a6d19d62c1a42ee438b8b41_normal.jpeg" xr:uid="{E5A90D9A-A229-4B63-AC3D-408840D20217}"/>
    <hyperlink ref="B3270" r:id="rId10100" display="https://twitter.com/stekauf" xr:uid="{2049010E-666F-45A2-BB77-F5418303D15B}"/>
    <hyperlink ref="E3270" r:id="rId10101" display="https://twitter.com/stekauf/status/723462657093840896" xr:uid="{ABE5C07D-8532-40E1-9C17-F4AA995BBC63}"/>
    <hyperlink ref="O3270" r:id="rId10102" display="https://pbs.twimg.com/profile_images/607750884/Kaufmann_neu_normal.jpg" xr:uid="{B4D9F324-C3CD-4C32-8D46-D6D552CF9EC3}"/>
    <hyperlink ref="B3271" r:id="rId10103" display="https://twitter.com/SammiLeopold08" xr:uid="{72797061-0B72-470E-BCAB-7280B55A4184}"/>
    <hyperlink ref="E3271" r:id="rId10104" display="https://twitter.com/SammiLeopold08/status/723462887176585216" xr:uid="{611F6684-DFDD-4743-9E88-DB960B52FA6A}"/>
    <hyperlink ref="O3271" r:id="rId10105" display="https://pbs.twimg.com/profile_images/704420155196116992/QCcpm5r8_normal.jpg" xr:uid="{B3C1E4B2-C5CE-478F-B2CA-959E777E6EAC}"/>
    <hyperlink ref="B3272" r:id="rId10106" display="https://twitter.com/VWBeetleSales" xr:uid="{B5C9ECE6-EB3D-458B-8A41-F13C29602735}"/>
    <hyperlink ref="E3272" r:id="rId10107" display="https://twitter.com/VWBeetleSales/status/723463123013758977" xr:uid="{F25E359E-8B73-49BA-BBBF-30F4544B5E53}"/>
    <hyperlink ref="F3272" r:id="rId10108" xr:uid="{C69AF8D1-19E8-4B81-A9C5-FF258A93481C}"/>
    <hyperlink ref="O3272" r:id="rId10109" display="https://pbs.twimg.com/profile_images/703294545195307008/qeCvrX86_normal.jpg" xr:uid="{EABA80F7-7859-44DD-BE70-5BD1EBD7F2C4}"/>
    <hyperlink ref="B3273" r:id="rId10110" display="https://twitter.com/greenandbrown1" xr:uid="{C7D13D5E-7105-48B3-B3D3-50736B8274C8}"/>
    <hyperlink ref="E3273" r:id="rId10111" display="https://twitter.com/greenandbrown1/status/723463153691049985" xr:uid="{33FFACD2-D2E9-4524-BABD-075B0A711888}"/>
    <hyperlink ref="O3273" r:id="rId10112" display="https://pbs.twimg.com/profile_images/378800000483266825/04beb03e7b0362b2274289c3a31f23cb_normal.jpeg" xr:uid="{BE951487-DE33-457D-8A89-D04EE91CCE33}"/>
    <hyperlink ref="B3274" r:id="rId10113" display="https://twitter.com/theautowriter" xr:uid="{46813DCA-4666-40E7-9E15-95DB0DBC1CF4}"/>
    <hyperlink ref="E3274" r:id="rId10114" display="https://twitter.com/theautowriter/status/723463309673017344" xr:uid="{0B07E282-24C2-4853-B2B5-DE6DF95A8D8B}"/>
    <hyperlink ref="O3274" r:id="rId10115" display="https://pbs.twimg.com/profile_images/667151479518666752/TdpI6AEf_normal.jpg" xr:uid="{BA1B323E-C9A0-4239-9715-DA579F1EEF04}"/>
    <hyperlink ref="B3275" r:id="rId10116" display="https://twitter.com/oe1journale" xr:uid="{A58BCF9A-416C-4C1D-81DD-07F958AC3FBB}"/>
    <hyperlink ref="E3275" r:id="rId10117" display="https://twitter.com/oe1journale/status/723463379151671297" xr:uid="{E07D7C16-CA7A-4271-B9B5-AE05D92E3DB7}"/>
    <hyperlink ref="F3275" r:id="rId10118" xr:uid="{B193A02C-64BF-4C3F-8328-F202018AF4E8}"/>
    <hyperlink ref="O3275" r:id="rId10119" display="https://pbs.twimg.com/profile_images/378800000190598515/0ec3ca5a29efb0275fcedc5ecc178493_normal.png" xr:uid="{4BDDA170-0786-4064-A7A1-6640963C1217}"/>
    <hyperlink ref="B3276" r:id="rId10120" display="https://twitter.com/AFECTADOGRUPOVW" xr:uid="{C87954F7-FCBC-40BF-BB51-D9C5A6FA2E7F}"/>
    <hyperlink ref="E3276" r:id="rId10121" display="https://twitter.com/AFECTADOGRUPOVW/status/723463528871518208" xr:uid="{D3C93919-F448-4A61-A771-EEF54CC144BA}"/>
    <hyperlink ref="O3276" r:id="rId10122" display="https://pbs.twimg.com/profile_images/649519091892531200/gFXmbSPM_normal.jpg" xr:uid="{895EAB54-5F9B-485A-95E6-60C9836510AB}"/>
    <hyperlink ref="B3277" r:id="rId10123" display="https://twitter.com/oe1journale" xr:uid="{2F5D8A83-782D-454D-AC4E-EA39D85AF490}"/>
    <hyperlink ref="E3277" r:id="rId10124" display="https://twitter.com/oe1journale/status/723463548639272960" xr:uid="{5C92DEBB-6925-4343-A3B2-B9055BF8BDA8}"/>
    <hyperlink ref="F3277" r:id="rId10125" xr:uid="{32014B33-30B9-40A3-9D1F-063DC877A5A5}"/>
    <hyperlink ref="O3277" r:id="rId10126" display="https://pbs.twimg.com/profile_images/378800000190598515/0ec3ca5a29efb0275fcedc5ecc178493_normal.png" xr:uid="{262E45FE-01CC-4574-8255-ADBA0493D9FA}"/>
    <hyperlink ref="B3278" r:id="rId10127" display="https://twitter.com/oe1journale" xr:uid="{1EC507B6-2992-4C6D-944E-7D95D205CE85}"/>
    <hyperlink ref="E3278" r:id="rId10128" display="https://twitter.com/oe1journale/status/723463690247393280" xr:uid="{24F24665-4EEE-4F52-865D-F3617F5FCF21}"/>
    <hyperlink ref="F3278" r:id="rId10129" xr:uid="{00A09F65-0E02-45DB-BC79-F544A547D89E}"/>
    <hyperlink ref="O3278" r:id="rId10130" display="https://pbs.twimg.com/profile_images/378800000190598515/0ec3ca5a29efb0275fcedc5ecc178493_normal.png" xr:uid="{CDED10AA-725E-40AC-BD0D-C73EABC5EDBF}"/>
    <hyperlink ref="B3279" r:id="rId10131" display="https://twitter.com/handelsblatt" xr:uid="{D007F674-ED6D-4691-B14B-E164D4628793}"/>
    <hyperlink ref="E3279" r:id="rId10132" display="https://twitter.com/handelsblatt/status/723463732546945024" xr:uid="{D9EBFD6E-4582-4E75-8597-8F706C57F28D}"/>
    <hyperlink ref="O3279" r:id="rId10133" display="https://pbs.twimg.com/profile_images/562563461171798017/AkHF4keI_normal.png" xr:uid="{EF413170-D54C-467B-A3F8-C33D66DBE085}"/>
    <hyperlink ref="B3280" r:id="rId10134" display="https://twitter.com/Federalnaba" xr:uid="{615A3449-E66E-44AC-B599-A9F1386D64D1}"/>
    <hyperlink ref="C3280" r:id="rId10135" xr:uid="{AE70B2ED-1BE9-46DC-B0AD-099D614A94C1}"/>
    <hyperlink ref="E3280" r:id="rId10136" display="https://twitter.com/Federalnaba/status/723463821189361664" xr:uid="{BF764FA9-2E6E-4DA0-9B9D-A95F4159FC34}"/>
    <hyperlink ref="O3280" r:id="rId10137" display="https://pbs.twimg.com/profile_images/578163971032674304/5-_WwSf__normal.jpeg" xr:uid="{81C7BFB2-BFD4-4F8C-A1DF-780C9FD22710}"/>
    <hyperlink ref="B3281" r:id="rId10138" display="https://twitter.com/AFECTADOGRUPOVW" xr:uid="{BA2DABF5-EDC3-44B5-AD4B-B5D08D546DC6}"/>
    <hyperlink ref="E3281" r:id="rId10139" display="https://twitter.com/AFECTADOGRUPOVW/status/723463927078748160" xr:uid="{A0B3967C-5EB5-41D2-B162-9156C31D1E8D}"/>
    <hyperlink ref="O3281" r:id="rId10140" display="https://pbs.twimg.com/profile_images/649519091892531200/gFXmbSPM_normal.jpg" xr:uid="{51EB7B31-D4D0-4456-8C98-4629E169BB74}"/>
    <hyperlink ref="B3282" r:id="rId10141" display="https://twitter.com/Matt_Barbera2" xr:uid="{07E3CF74-F8E4-4265-BEF4-6CABC5454678}"/>
    <hyperlink ref="E3282" r:id="rId10142" display="https://twitter.com/Matt_Barbera2/status/723464065713053696" xr:uid="{EEC87E1A-9FE9-4DAD-8B84-FDCC5BAB5BB9}"/>
    <hyperlink ref="O3282" r:id="rId10143" display="https://pbs.twimg.com/profile_images/722247394377777152/68jeiqXN_normal.jpg" xr:uid="{08522D0A-5286-4F0E-81BC-470B57BB20C9}"/>
    <hyperlink ref="B3283" r:id="rId10144" display="https://twitter.com/MaxNLamping" xr:uid="{B7FDEA42-E074-4209-9638-D129AE842AB4}"/>
    <hyperlink ref="E3283" r:id="rId10145" display="https://twitter.com/MaxNLamping/status/723464276736921600" xr:uid="{D2113F76-A218-405A-AE9E-E801A835C311}"/>
    <hyperlink ref="O3283" r:id="rId10146" display="https://pbs.twimg.com/profile_images/723457064022990848/1ciWrfEj_normal.jpg" xr:uid="{F4CEABF1-C965-470A-B895-423262930EC3}"/>
    <hyperlink ref="B3284" r:id="rId10147" display="https://twitter.com/gruenwolfenergy" xr:uid="{2F66B7EC-50B0-4448-9FB6-E6A3BB5F46ED}"/>
    <hyperlink ref="E3284" r:id="rId10148" display="https://twitter.com/gruenwolfenergy/status/723464527057149952" xr:uid="{8AFB7523-12FD-4A3C-A675-007876915E74}"/>
    <hyperlink ref="O3284" r:id="rId10149" display="https://pbs.twimg.com/profile_images/525999389848776704/m3_9gBg9_normal.jpeg" xr:uid="{02B89E1B-C296-46C7-A03E-1B7B7466D776}"/>
    <hyperlink ref="B3285" r:id="rId10150" display="https://twitter.com/FOCUS_MONEY" xr:uid="{7639F399-8143-4970-9F3E-4597430650F8}"/>
    <hyperlink ref="E3285" r:id="rId10151" display="https://twitter.com/FOCUS_MONEY/status/723464762181443584" xr:uid="{B4939CE4-1CAA-4CA2-9202-9B801F43268B}"/>
    <hyperlink ref="O3285" r:id="rId10152" display="https://pbs.twimg.com/profile_images/1221827704/Focus-MONEY-logo_normal.jpg" xr:uid="{73A4553C-CEBB-4705-B8F2-8DBBA0C70F95}"/>
    <hyperlink ref="B3286" r:id="rId10153" display="https://twitter.com/AFECTADOGRUPOVW" xr:uid="{4DA2192C-286E-4E52-A237-77223CFA3751}"/>
    <hyperlink ref="E3286" r:id="rId10154" display="https://twitter.com/AFECTADOGRUPOVW/status/723464765054550016" xr:uid="{144A0357-8A49-4A50-BA73-E0C2ACF4C129}"/>
    <hyperlink ref="O3286" r:id="rId10155" display="https://pbs.twimg.com/profile_images/649519091892531200/gFXmbSPM_normal.jpg" xr:uid="{E8E26BC2-0CB6-4A58-9947-6FEB23A21425}"/>
    <hyperlink ref="B3287" r:id="rId10156" display="https://twitter.com/cldiosanz" xr:uid="{948A196B-B912-4712-88B4-9F5252107346}"/>
    <hyperlink ref="E3287" r:id="rId10157" display="https://twitter.com/cldiosanz/status/723464777037701120" xr:uid="{21D9038B-EB14-4F45-B294-2FF5694A4F13}"/>
    <hyperlink ref="O3287" r:id="rId10158" display="https://pbs.twimg.com/profile_images/702139785926877184/8xU3hRg0_normal.jpg" xr:uid="{924B90ED-532F-422B-AFF6-59917C57CD32}"/>
    <hyperlink ref="B3288" r:id="rId10159" display="https://twitter.com/dubengeldu" xr:uid="{8875FDAA-BF60-4FB4-97B9-2A5BFBF423FF}"/>
    <hyperlink ref="E3288" r:id="rId10160" display="https://twitter.com/dubengeldu/status/723464957296316420" xr:uid="{832BC3FC-F18B-4352-8BDF-E465249E7735}"/>
    <hyperlink ref="O3288" r:id="rId10161" display="https://pbs.twimg.com/profile_images/680375152236982273/xNdXI6IP_normal.jpg" xr:uid="{ADAD8D64-0CE6-495C-B956-20386A483393}"/>
    <hyperlink ref="B3289" r:id="rId10162" display="https://twitter.com/dermysh" xr:uid="{E08B45E6-3E63-404B-834E-BEF2A2AA06F0}"/>
    <hyperlink ref="E3289" r:id="rId10163" display="https://twitter.com/dermysh/status/723464992251621377" xr:uid="{804E8B45-492A-4AAD-80B4-E10CF60FD773}"/>
    <hyperlink ref="O3289" r:id="rId10164" display="https://pbs.twimg.com/profile_images/2502753148/czh41uwtf2ms0632v818_normal.png" xr:uid="{1DC014E2-A832-4B81-8F1B-91570B414604}"/>
    <hyperlink ref="B3290" r:id="rId10165" display="https://twitter.com/xziggurat" xr:uid="{7F40750D-960F-49FE-BBF8-7A2D8FCDA8DB}"/>
    <hyperlink ref="E3290" r:id="rId10166" display="https://twitter.com/xziggurat/status/723465102050099200" xr:uid="{FFE3ED0A-86D0-43A2-AC85-1ED48942A6C0}"/>
    <hyperlink ref="O3290" r:id="rId10167" display="https://pbs.twimg.com/profile_images/722154158170746885/41M4G5UL_normal.jpg" xr:uid="{847C65ED-9F89-4EB1-B885-8BCEA0F67E70}"/>
    <hyperlink ref="B3291" r:id="rId10168" display="https://twitter.com/dw_business" xr:uid="{087BE73D-D034-4D46-886A-D98A54B59B8C}"/>
    <hyperlink ref="E3291" r:id="rId10169" display="https://twitter.com/dw_business/status/723465111709585408" xr:uid="{1E42B821-0C06-451C-B8DE-6371091CAC07}"/>
    <hyperlink ref="O3291" r:id="rId10170" display="https://pbs.twimg.com/profile_images/474178130312044544/-U2TP65D_normal.png" xr:uid="{9618038F-B818-40D5-9C0B-7BC1B89F9F68}"/>
    <hyperlink ref="B3292" r:id="rId10171" display="https://twitter.com/moellus" xr:uid="{E555F013-743A-45D8-9F89-2DA8B2940002}"/>
    <hyperlink ref="E3292" r:id="rId10172" display="https://twitter.com/moellus/status/723465158182326272" xr:uid="{D880F9ED-786F-40D6-809C-2518FEBE4E99}"/>
    <hyperlink ref="O3292" r:id="rId10173" display="https://pbs.twimg.com/profile_images/723202891931115520/8IpDI-Uw_normal.jpg" xr:uid="{19293E13-CD2F-4AF3-A41F-84081634F59C}"/>
    <hyperlink ref="B3293" r:id="rId10174" display="https://twitter.com/aktuelle_stunde" xr:uid="{E04DE413-7E5D-4827-808C-1C355BE269FA}"/>
    <hyperlink ref="E3293" r:id="rId10175" display="https://twitter.com/aktuelle_stunde/status/723465164058664960" xr:uid="{E9A2FDB7-076E-40E0-9A54-0BC17D441A00}"/>
    <hyperlink ref="O3293" r:id="rId10176" display="https://pbs.twimg.com/profile_images/488939589520740353/HVTIWICi_normal.jpeg" xr:uid="{3323813D-A055-4B12-B848-0B806F35D4F7}"/>
    <hyperlink ref="B3294" r:id="rId10177" display="https://twitter.com/sadiqgajimi" xr:uid="{1D3971A3-1A92-4ACB-AEE8-9DE515BE6DEC}"/>
    <hyperlink ref="E3294" r:id="rId10178" display="https://twitter.com/sadiqgajimi/status/723465242865459201" xr:uid="{C4BA32DE-85D8-4FAE-A072-E6E88A96F7D5}"/>
    <hyperlink ref="O3294" r:id="rId10179" display="https://pbs.twimg.com/profile_images/494941834117124096/NS5KR51W_normal.jpeg" xr:uid="{8BE0CD94-4A79-4114-8594-5034147273F8}"/>
    <hyperlink ref="B3295" r:id="rId10180" display="https://twitter.com/katemann_jens" xr:uid="{E6F8B09E-8435-47FA-BF3D-9C96870C0964}"/>
    <hyperlink ref="E3295" r:id="rId10181" display="https://twitter.com/katemann_jens/status/723465245289791488" xr:uid="{FC16668D-87CA-421C-866D-1D3B6305E04A}"/>
    <hyperlink ref="O3295" r:id="rId10182" display="https://pbs.twimg.com/profile_images/528660139772235776/q1zpS8Xz_normal.jpeg" xr:uid="{800648DE-D968-4C33-9366-D6A078822425}"/>
    <hyperlink ref="B3296" r:id="rId10183" display="https://twitter.com/sadiqgajimi" xr:uid="{3AF4D94E-FFB9-4A83-962C-7588ACCDDE0F}"/>
    <hyperlink ref="E3296" r:id="rId10184" display="https://twitter.com/sadiqgajimi/status/723465267393781761" xr:uid="{EE49E9E4-16B2-4AEE-9D55-95A9D91F44AD}"/>
    <hyperlink ref="O3296" r:id="rId10185" display="https://pbs.twimg.com/profile_images/494941834117124096/NS5KR51W_normal.jpeg" xr:uid="{F2A25FB1-3FA3-4B5F-9A05-146765E94DDC}"/>
    <hyperlink ref="B3297" r:id="rId10186" display="https://twitter.com/sadiqgajimi" xr:uid="{533B5DB6-414E-4508-9736-28F6E042CFCE}"/>
    <hyperlink ref="E3297" r:id="rId10187" display="https://twitter.com/sadiqgajimi/status/723465300407140352" xr:uid="{F1C6FFA3-A8CD-4D05-A6C3-0D031DEC2E4E}"/>
    <hyperlink ref="O3297" r:id="rId10188" display="https://pbs.twimg.com/profile_images/494941834117124096/NS5KR51W_normal.jpeg" xr:uid="{EA781109-940D-4651-98A6-BB310294FBB5}"/>
    <hyperlink ref="B3298" r:id="rId10189" display="https://twitter.com/sadiqgajimi" xr:uid="{87EAAEE4-4A79-4912-8238-7CAD474FFE29}"/>
    <hyperlink ref="E3298" r:id="rId10190" display="https://twitter.com/sadiqgajimi/status/723465320200056833" xr:uid="{FAA4C508-9421-4E7F-82C9-C214AAFF8AEB}"/>
    <hyperlink ref="O3298" r:id="rId10191" display="https://pbs.twimg.com/profile_images/494941834117124096/NS5KR51W_normal.jpeg" xr:uid="{8BE4D9D5-53E4-43AD-9F88-8E5E611F7E73}"/>
    <hyperlink ref="B3299" r:id="rId10192" display="https://twitter.com/TuttOSuLinuX" xr:uid="{89722308-9F28-4446-B823-DADA74A89669}"/>
    <hyperlink ref="E3299" r:id="rId10193" display="https://twitter.com/TuttOSuLinuX/status/723465407030505473" xr:uid="{D392ABF3-0872-4417-A6AF-E66A92929256}"/>
    <hyperlink ref="O3299" r:id="rId10194" display="https://pbs.twimg.com/profile_images/547749809780957184/eji9I1F7_normal.jpeg" xr:uid="{4B331160-4583-4832-A181-F25C4AB0A1DC}"/>
    <hyperlink ref="B3300" r:id="rId10195" display="https://twitter.com/herrenloserHund" xr:uid="{339FA7DE-D592-403C-B7D4-2B7283834D7A}"/>
    <hyperlink ref="E3300" r:id="rId10196" display="https://twitter.com/herrenloserHund/status/723465491449274368" xr:uid="{72A6FA47-14DB-4D57-8464-25411C1EFC9D}"/>
    <hyperlink ref="O3300" r:id="rId10197" display="https://pbs.twimg.com/profile_images/626150732908109824/YxBlJd63_normal.jpg" xr:uid="{B057E80D-74B2-4910-AFE4-233CBF08A62D}"/>
    <hyperlink ref="B3301" r:id="rId10198" display="https://twitter.com/Deichgraph_" xr:uid="{29969886-A235-48EC-B79B-3C9EA8B19EDE}"/>
    <hyperlink ref="E3301" r:id="rId10199" display="https://twitter.com/Deichgraph_/status/723465757544337408" xr:uid="{06F20F9E-74DA-46CE-9571-DC1D7D40C126}"/>
    <hyperlink ref="O3301" r:id="rId10200" display="https://pbs.twimg.com/profile_images/571204359779962880/CmmY8h_g_normal.jpeg" xr:uid="{05AB0EDF-1F6F-459D-BA59-548E5A384E05}"/>
    <hyperlink ref="B3302" r:id="rId10201" display="https://twitter.com/boersenzeitung" xr:uid="{9AE0FBF7-48F1-44AF-BA60-4EF8C5EA551B}"/>
    <hyperlink ref="E3302" r:id="rId10202" display="https://twitter.com/boersenzeitung/status/723465833633189888" xr:uid="{7D34753E-3908-40F6-8CD6-A301298C4E60}"/>
    <hyperlink ref="O3302" r:id="rId10203" display="https://pbs.twimg.com/profile_images/574906201290334209/eDNLUdPe_normal.png" xr:uid="{30F0299B-28CF-4BDB-B7C2-A1FDFB3784EA}"/>
    <hyperlink ref="B3303" r:id="rId10204" display="https://twitter.com/pez_dp" xr:uid="{2C67AFE8-FEDE-4D8F-BE4D-6EC3F1B40AC4}"/>
    <hyperlink ref="E3303" r:id="rId10205" display="https://twitter.com/pez_dp/status/723465839161282561" xr:uid="{86F1FC28-1C0D-4266-B892-C3793279295E}"/>
    <hyperlink ref="O3303" r:id="rId10206" display="https://pbs.twimg.com/profile_images/581501350254628864/JkFslCBb_normal.jpg" xr:uid="{DE29DD8C-7645-4081-8434-88CABA2D4E57}"/>
    <hyperlink ref="B3304" r:id="rId10207" display="https://twitter.com/KGFClassicCars" xr:uid="{CBB62DBF-86B1-4252-9E3A-F99325D58D68}"/>
    <hyperlink ref="E3304" r:id="rId10208" display="https://twitter.com/KGFClassicCars/status/723465840306348032" xr:uid="{EEBFC605-23FB-4158-821A-65BEE6A84549}"/>
    <hyperlink ref="O3304" r:id="rId10209" display="https://pbs.twimg.com/profile_images/3006967823/e93d5df72da5ae12f654ea1acb10b46a_normal.jpeg" xr:uid="{C3A159F0-F18D-4841-9210-33C9E23E0D8D}"/>
    <hyperlink ref="B3305" r:id="rId10210" display="https://twitter.com/aktuelle_stunde" xr:uid="{45B2D647-C042-4A04-959D-BEF8B7391693}"/>
    <hyperlink ref="E3305" r:id="rId10211" display="https://twitter.com/aktuelle_stunde/status/723465901203402752" xr:uid="{53C994B5-BCD2-4AE8-8302-AC1BA490AF8C}"/>
    <hyperlink ref="O3305" r:id="rId10212" display="https://pbs.twimg.com/profile_images/488939589520740353/HVTIWICi_normal.jpeg" xr:uid="{BD0A43B2-D832-403A-BDE6-F68B50B808C9}"/>
    <hyperlink ref="B3306" r:id="rId10213" display="https://twitter.com/chri_koe" xr:uid="{8D53F16F-7504-4B3F-9C86-371467647C6C}"/>
    <hyperlink ref="E3306" r:id="rId10214" display="https://twitter.com/chri_koe/status/723466113095442432" xr:uid="{F9A96934-853B-474A-9A13-907A2629F6DF}"/>
    <hyperlink ref="O3306" r:id="rId10215" display="https://pbs.twimg.com/profile_images/1652686091/ck.jpg_normal.jpg" xr:uid="{AED8DAA4-BA89-41A3-8B35-424AC7B02F6F}"/>
    <hyperlink ref="B3307" r:id="rId10216" display="https://twitter.com/irenesconcierge" xr:uid="{01628B08-F2C7-4367-A76F-D0366CA1D775}"/>
    <hyperlink ref="E3307" r:id="rId10217" display="https://twitter.com/irenesconcierge/status/723466155617341441" xr:uid="{1B51047D-8AE4-4A84-AF42-EB231225DB28}"/>
    <hyperlink ref="O3307" r:id="rId10218" display="https://pbs.twimg.com/profile_images/722312123116888064/DwxBRfoE_normal.jpg" xr:uid="{EDD8856B-8400-4A78-862B-2F15969E1A81}"/>
    <hyperlink ref="B3308" r:id="rId10219" display="https://twitter.com/VWCamperSales" xr:uid="{F2B1C23F-2F97-43EB-93F8-B559A5C7D7E5}"/>
    <hyperlink ref="E3308" r:id="rId10220" display="https://twitter.com/VWCamperSales/status/723466155902431232" xr:uid="{038E9FFC-2376-4B8E-A390-7E20D94F72BD}"/>
    <hyperlink ref="F3308" r:id="rId10221" xr:uid="{FC4D079E-2160-4503-B077-5146AD4F0A7F}"/>
    <hyperlink ref="O3308" r:id="rId10222" display="https://pbs.twimg.com/profile_images/627949001179037696/skEBkS05_normal.jpg" xr:uid="{FE5151F9-600E-4422-96D2-082C92E15FEC}"/>
    <hyperlink ref="B3309" r:id="rId10223" display="https://twitter.com/AFECTADOGRUPOVW" xr:uid="{0A17948A-2809-4003-AA26-E864989C9642}"/>
    <hyperlink ref="E3309" r:id="rId10224" display="https://twitter.com/AFECTADOGRUPOVW/status/723466250974826497" xr:uid="{2AB28091-1FED-406E-A3D7-6405A21F7EA6}"/>
    <hyperlink ref="O3309" r:id="rId10225" display="https://pbs.twimg.com/profile_images/649519091892531200/gFXmbSPM_normal.jpg" xr:uid="{674D43AE-35CF-4E96-8B19-320E98817ECC}"/>
    <hyperlink ref="B3310" r:id="rId10226" display="https://twitter.com/WernerLenhard" xr:uid="{2BB2CAA0-656C-4364-A810-1905EB091F01}"/>
    <hyperlink ref="E3310" r:id="rId10227" display="https://twitter.com/WernerLenhard/status/723466298525650944" xr:uid="{4BE58E7F-475B-41D6-9D95-523434C03531}"/>
    <hyperlink ref="O3310" r:id="rId10228" display="https://pbs.twimg.com/profile_images/700048698718425089/bL51SFne_normal.jpg" xr:uid="{ABB46E65-A069-4D08-A5A4-A768E8D80453}"/>
    <hyperlink ref="B3311" r:id="rId10229" display="https://twitter.com/VCD_Nordost" xr:uid="{CCE80003-DC13-4FB3-8A6D-5768730FD5AE}"/>
    <hyperlink ref="E3311" r:id="rId10230" display="https://twitter.com/VCD_Nordost/status/723466332637900800" xr:uid="{8F54E5F4-3F10-44DB-84BC-1ED6FE02CBA6}"/>
    <hyperlink ref="O3311" r:id="rId10231" display="https://pbs.twimg.com/profile_images/1829299134/logo_vcd_nordost_normal.jpg" xr:uid="{B25CE02D-8F42-4D2B-A8EA-DE391233493F}"/>
    <hyperlink ref="B3312" r:id="rId10232" display="https://twitter.com/ZDFhannover" xr:uid="{F5A4207F-981D-48FD-85BD-7832F241C072}"/>
    <hyperlink ref="E3312" r:id="rId10233" display="https://twitter.com/ZDFhannover/status/723466399105060864" xr:uid="{92E91C89-1B60-4172-B31E-B4863E098823}"/>
    <hyperlink ref="O3312" r:id="rId10234" display="https://pbs.twimg.com/profile_images/606071164478308352/Bpbe55iE_normal.png" xr:uid="{ECA0AA17-589B-49C5-ACBE-074BFA0E90B3}"/>
    <hyperlink ref="B3313" r:id="rId10235" display="https://twitter.com/cubasteve57" xr:uid="{6C88BB3B-3B9B-49F5-8CB8-B2EA3124E980}"/>
    <hyperlink ref="E3313" r:id="rId10236" display="https://twitter.com/cubasteve57/status/723466513974439936" xr:uid="{4D29F4B7-58DE-4327-8C6E-7F952B0D93E1}"/>
    <hyperlink ref="O3313" r:id="rId10237" display="https://pbs.twimg.com/profile_images/676702923305431040/GMEgqxrB_normal.jpg" xr:uid="{2C2DF670-903C-4872-BFA2-48378D60C8C2}"/>
    <hyperlink ref="B3314" r:id="rId10238" display="https://twitter.com/serversnake" xr:uid="{1236CD69-96F9-4476-A953-D6293F14FADF}"/>
    <hyperlink ref="E3314" r:id="rId10239" display="https://twitter.com/serversnake/status/723466865914327041" xr:uid="{72FC2D9A-8E63-48BB-8BD6-2CD1F5E30A52}"/>
    <hyperlink ref="O3314" r:id="rId10240" display="https://pbs.twimg.com/profile_images/616373784749191170/eVFL0L13_normal.jpg" xr:uid="{8EB8EE60-0AEC-490C-A5FA-3E797BBA5A25}"/>
    <hyperlink ref="B3315" r:id="rId10241" display="https://twitter.com/Power_Cars" xr:uid="{77859E6E-58C9-4F91-B811-81D3F38D7CF8}"/>
    <hyperlink ref="E3315" r:id="rId10242" display="https://twitter.com/Power_Cars/status/723466916518617088" xr:uid="{7DAC306B-4799-4322-B19E-E2E87E7ED638}"/>
    <hyperlink ref="O3315" r:id="rId10243" display="https://pbs.twimg.com/profile_images/2538190700/POWERCARSlogo_normal.jpg" xr:uid="{A801F2C9-4D2C-451F-9381-E6FBB902FEFC}"/>
    <hyperlink ref="B3316" r:id="rId10244" display="https://twitter.com/AlDavoodi" xr:uid="{ECD3161D-F5B5-4521-B787-967D52A22998}"/>
    <hyperlink ref="E3316" r:id="rId10245" display="https://twitter.com/AlDavoodi/status/723466993224044544" xr:uid="{952B0339-F912-4E1D-82CB-E8AF7276F82D}"/>
    <hyperlink ref="O3316" r:id="rId10246" display="https://pbs.twimg.com/profile_images/604287979302080512/X6Fywnto_normal.jpg" xr:uid="{8E2BC47C-D635-4F4C-ADF8-E0D120C3AD9F}"/>
    <hyperlink ref="B3317" r:id="rId10247" display="https://twitter.com/APA_LEMONAID" xr:uid="{09DF9CD0-22FD-499F-A4BF-AE6A06BA0810}"/>
    <hyperlink ref="E3317" r:id="rId10248" display="https://twitter.com/APA_LEMONAID/status/723467135285100544" xr:uid="{7EAC1688-2BA4-4CA0-A361-095E2BEA006A}"/>
    <hyperlink ref="O3317" r:id="rId10249" display="https://pbs.twimg.com/profile_images/1535844911/Logo_normal.png" xr:uid="{68E9A404-EAEB-4E29-8294-FB41DA73930C}"/>
    <hyperlink ref="B3318" r:id="rId10250" display="https://twitter.com/lamescolanza" xr:uid="{8140DD7F-3475-4641-AD8C-34DBC744C6B4}"/>
    <hyperlink ref="E3318" r:id="rId10251" display="https://twitter.com/lamescolanza/status/723467242059489280" xr:uid="{47AF475B-2F35-4A40-9E09-24626F2C96CD}"/>
    <hyperlink ref="O3318" r:id="rId10252" display="https://pbs.twimg.com/profile_images/2041891215/clessidra_normal.jpg" xr:uid="{114073E1-93EC-4EC3-AEEF-E3560F380EEF}"/>
    <hyperlink ref="B3319" r:id="rId10253" display="https://twitter.com/Spoekenkiekerei" xr:uid="{BC0D4509-D1FD-4DC6-97CA-173FC7817567}"/>
    <hyperlink ref="E3319" r:id="rId10254" display="https://twitter.com/Spoekenkiekerei/status/723467388486860800" xr:uid="{81BADEEC-216E-4742-96E4-5B3AE84E69A3}"/>
    <hyperlink ref="O3319" r:id="rId10255" display="https://pbs.twimg.com/profile_images/717382175071535104/1l_yueaA_normal.jpg" xr:uid="{A1759C87-A043-4C83-B782-759D6153BFE2}"/>
    <hyperlink ref="B3320" r:id="rId10256" display="https://twitter.com/beetlebug1938" xr:uid="{2EC13658-66AD-4F95-A996-F7A9A545B7BA}"/>
    <hyperlink ref="E3320" r:id="rId10257" display="https://twitter.com/beetlebug1938/status/723467446687019008" xr:uid="{AB2265DC-670B-492D-BE0E-9320083A6DDA}"/>
    <hyperlink ref="O3320" r:id="rId10258" display="https://pbs.twimg.com/profile_images/718820712757215233/LXXndPTS_normal.jpg" xr:uid="{98C4CF40-03CF-48AE-A661-CEC654F6BE06}"/>
    <hyperlink ref="B3321" r:id="rId10259" display="https://twitter.com/beetlebug1938" xr:uid="{89F4D0A3-E31C-43B5-9D1F-559CB13B1E80}"/>
    <hyperlink ref="E3321" r:id="rId10260" display="https://twitter.com/beetlebug1938/status/723467451887923200" xr:uid="{3102320C-6A1E-4354-A079-293B7E27645A}"/>
    <hyperlink ref="O3321" r:id="rId10261" display="https://pbs.twimg.com/profile_images/718820712757215233/LXXndPTS_normal.jpg" xr:uid="{4B212228-B616-433E-A175-DED53BE3063B}"/>
    <hyperlink ref="B3322" r:id="rId10262" display="https://twitter.com/beetlebug1938" xr:uid="{04F50D61-98B4-4146-93AC-29F3657788E1}"/>
    <hyperlink ref="E3322" r:id="rId10263" display="https://twitter.com/beetlebug1938/status/723467457936121860" xr:uid="{D1252069-ED90-4701-985A-B28F8068EBDF}"/>
    <hyperlink ref="O3322" r:id="rId10264" display="https://pbs.twimg.com/profile_images/718820712757215233/LXXndPTS_normal.jpg" xr:uid="{FD7851EA-1BA2-4FDF-ACA8-8D88BAA5C6D1}"/>
    <hyperlink ref="B3323" r:id="rId10265" display="https://twitter.com/beetlebug1938" xr:uid="{9446D4F3-087F-4F51-8172-8638212F33A1}"/>
    <hyperlink ref="E3323" r:id="rId10266" display="https://twitter.com/beetlebug1938/status/723467463510335488" xr:uid="{BBCDF400-A22C-4412-9385-FCBA6A233202}"/>
    <hyperlink ref="O3323" r:id="rId10267" display="https://pbs.twimg.com/profile_images/718820712757215233/LXXndPTS_normal.jpg" xr:uid="{4E25A1E1-A4A2-474A-8095-F90803C3FA00}"/>
    <hyperlink ref="B3324" r:id="rId10268" display="https://twitter.com/rbbinforadio" xr:uid="{D1A10A53-5447-4C1C-A6AC-0F3193D7985A}"/>
    <hyperlink ref="E3324" r:id="rId10269" display="https://twitter.com/rbbinforadio/status/723467469223038978" xr:uid="{0FF10E80-7FF9-46C5-B5D6-CAFB44C63458}"/>
    <hyperlink ref="O3324" r:id="rId10270" display="https://pbs.twimg.com/profile_images/666962838930485248/ZYF2LkHu_normal.png" xr:uid="{D18C2356-C4CD-4ADF-8C32-6E3EFB13FA78}"/>
    <hyperlink ref="B3325" r:id="rId10271" display="https://twitter.com/beetlebug1938" xr:uid="{51674EE5-987B-440E-86B0-43364327E979}"/>
    <hyperlink ref="E3325" r:id="rId10272" display="https://twitter.com/beetlebug1938/status/723467483403935744" xr:uid="{8F2A7443-C822-4B30-8606-08276C25511A}"/>
    <hyperlink ref="O3325" r:id="rId10273" display="https://pbs.twimg.com/profile_images/718820712757215233/LXXndPTS_normal.jpg" xr:uid="{29EBED97-96A0-45B6-9860-C7B2ACE02C6D}"/>
    <hyperlink ref="B3326" r:id="rId10274" display="https://twitter.com/serversnake" xr:uid="{62246A49-2A02-4FD9-9EA8-89FC6D91716E}"/>
    <hyperlink ref="E3326" r:id="rId10275" display="https://twitter.com/serversnake/status/723467643097890816" xr:uid="{0930987A-1EFB-46A8-8D5E-FFD2B41A9F05}"/>
    <hyperlink ref="O3326" r:id="rId10276" display="https://pbs.twimg.com/profile_images/616373784749191170/eVFL0L13_normal.jpg" xr:uid="{30427EDA-B960-4144-AA4C-0F5728F9F95C}"/>
    <hyperlink ref="B3327" r:id="rId10277" display="https://twitter.com/JumpNRun84" xr:uid="{5468DE6B-5F72-4A50-A321-277958709473}"/>
    <hyperlink ref="E3327" r:id="rId10278" display="https://twitter.com/JumpNRun84/status/723467833229844480" xr:uid="{DE7570A2-EFEF-4FD5-9712-5152D61C3BBC}"/>
    <hyperlink ref="O3327" r:id="rId10279" display="https://abs.twimg.com/sticky/default_profile_images/default_profile_2_normal.png" xr:uid="{4290B5B5-85B4-48A7-BBAE-9CB3B9EE02DB}"/>
    <hyperlink ref="B3328" r:id="rId10280" display="https://twitter.com/hakandeliduman" xr:uid="{3A1F8057-36DF-4AA9-9792-993AE5B09D16}"/>
    <hyperlink ref="E3328" r:id="rId10281" display="https://twitter.com/hakandeliduman/status/723467987479597057" xr:uid="{1EC384D5-8E69-4E9B-8F75-67C1A64D7D77}"/>
    <hyperlink ref="O3328" r:id="rId10282" display="https://pbs.twimg.com/profile_images/680045211888791552/JyuMRSSW_normal.jpg" xr:uid="{B8047670-AD94-45DB-A35E-5E03192832B4}"/>
    <hyperlink ref="B3329" r:id="rId10283" display="https://twitter.com/bayl" xr:uid="{E5189416-C904-4516-9B5A-E7E6E2567579}"/>
    <hyperlink ref="E3329" r:id="rId10284" display="https://twitter.com/bayl/status/723468317445505024" xr:uid="{DE1C3F43-177E-4C1F-AAA0-50B8A39F7475}"/>
    <hyperlink ref="O3329" r:id="rId10285" display="https://pbs.twimg.com/profile_images/438619338942062592/OBEQvg6R_normal.jpeg" xr:uid="{BA39B439-88FB-4E9C-A792-74DF43022A5D}"/>
    <hyperlink ref="B3330" r:id="rId10286" display="https://twitter.com/updayDE" xr:uid="{19C62296-2142-4532-9894-F69DF1EC1870}"/>
    <hyperlink ref="E3330" r:id="rId10287" display="https://twitter.com/updayDE/status/723468345941594112" xr:uid="{B3391B7F-D5B2-47A2-B033-56CA9CBB2EB0}"/>
    <hyperlink ref="O3330" r:id="rId10288" display="https://pbs.twimg.com/profile_images/699880935366488064/uot0hGbb_normal.png" xr:uid="{3F9F53A0-7FB6-43E9-A0B7-DF94EC437890}"/>
    <hyperlink ref="B3331" r:id="rId10289" display="https://twitter.com/VolkswagenPost" xr:uid="{E8FD6740-C929-4327-8F6C-2F29233E8E72}"/>
    <hyperlink ref="E3331" r:id="rId10290" display="https://twitter.com/VolkswagenPost/status/723468616360816641" xr:uid="{45D4058F-560A-4027-A802-BBA4E111C1A9}"/>
    <hyperlink ref="O3331" r:id="rId10291" display="https://pbs.twimg.com/profile_images/530071272881803264/a_jcCmPZ_normal.png" xr:uid="{05A285FE-4F20-48BE-AD25-99094A5E4E42}"/>
    <hyperlink ref="B3332" r:id="rId10292" display="https://twitter.com/VolkswagenPost" xr:uid="{98503472-3573-46F3-86BF-B1C9A2458AD1}"/>
    <hyperlink ref="E3332" r:id="rId10293" display="https://twitter.com/VolkswagenPost/status/723468617812078593" xr:uid="{611540CB-117E-4EBF-B994-7C521FE9E1B3}"/>
    <hyperlink ref="O3332" r:id="rId10294" display="https://pbs.twimg.com/profile_images/530071272881803264/a_jcCmPZ_normal.png" xr:uid="{7AEF0CE4-34A3-48BE-A933-8B9C592D00F6}"/>
    <hyperlink ref="B3333" r:id="rId10295" display="https://twitter.com/Bateman_Man" xr:uid="{FD027E32-5D66-4391-B2CD-F46966975C43}"/>
    <hyperlink ref="E3333" r:id="rId10296" display="https://twitter.com/Bateman_Man/status/723468622920818688" xr:uid="{ADD36D66-9CF8-4F6E-8988-25D285CAEA1C}"/>
    <hyperlink ref="O3333" r:id="rId10297" display="https://pbs.twimg.com/profile_images/716905526735536128/xbi7mpTE_normal.jpg" xr:uid="{FCFA4126-FA43-451B-9E16-4E5F925C08FF}"/>
    <hyperlink ref="B3334" r:id="rId10298" display="https://twitter.com/Smashy86" xr:uid="{41BDE163-55F7-4AB2-A977-F81D12C00AC7}"/>
    <hyperlink ref="E3334" r:id="rId10299" display="https://twitter.com/Smashy86/status/723468685634088960" xr:uid="{ED7AF69B-BB29-462C-85F7-683434D4E491}"/>
    <hyperlink ref="O3334" r:id="rId10300" display="https://pbs.twimg.com/profile_images/511848912550776832/8Zp5T2mo_normal.jpeg" xr:uid="{2666670B-A305-4B05-ADA3-59FF7CEFDA87}"/>
    <hyperlink ref="B3335" r:id="rId10301" display="https://twitter.com/FuscaWorld" xr:uid="{F4FCA0C9-651D-4DB0-9E9E-DAD6EC664E6A}"/>
    <hyperlink ref="E3335" r:id="rId10302" display="https://twitter.com/FuscaWorld/status/723468784720293888" xr:uid="{5A8C8D54-4F0C-4BA9-A497-8091B130D784}"/>
    <hyperlink ref="O3335" r:id="rId10303" display="https://pbs.twimg.com/profile_images/705780107844067328/e7O4UBNb_normal.jpg" xr:uid="{CD1F921C-F921-4424-ADCA-5189C34EF189}"/>
    <hyperlink ref="B3336" r:id="rId10304" display="https://twitter.com/dwnews" xr:uid="{DD2A6D9E-5D51-4FE6-BFB1-14CEBD09CECB}"/>
    <hyperlink ref="E3336" r:id="rId10305" display="https://twitter.com/dwnews/status/723468793637441538" xr:uid="{BCF00CCA-9005-4E52-A4B9-B34E68D57BA9}"/>
    <hyperlink ref="O3336" r:id="rId10306" display="https://pbs.twimg.com/profile_images/608213167496417280/QSxgcLn__normal.png" xr:uid="{2C1E4027-43A7-4C9F-9708-752580532420}"/>
    <hyperlink ref="B3337" r:id="rId10307" display="https://twitter.com/handelsblatt" xr:uid="{344F161B-38F9-4231-9938-C78F62E5FDB2}"/>
    <hyperlink ref="E3337" r:id="rId10308" display="https://twitter.com/handelsblatt/status/723469003579076608" xr:uid="{36D1CFD1-7E3F-4161-94E4-EAF3DB5875CF}"/>
    <hyperlink ref="O3337" r:id="rId10309" display="https://pbs.twimg.com/profile_images/562563461171798017/AkHF4keI_normal.png" xr:uid="{2D319739-251E-409E-A705-8FEA311CF277}"/>
    <hyperlink ref="B3338" r:id="rId10310" display="https://twitter.com/KelvHathSpoken" xr:uid="{C1050D1A-4C87-43CF-A4D0-794FA71E1189}"/>
    <hyperlink ref="E3338" r:id="rId10311" display="https://twitter.com/KelvHathSpoken/status/723469098336706560" xr:uid="{7428CA35-8683-4A4B-88C6-D686F819860C}"/>
    <hyperlink ref="O3338" r:id="rId10312" display="https://pbs.twimg.com/profile_images/447326412865683458/nv9e-YYU_normal.jpeg" xr:uid="{111DF7BD-46AD-4320-907F-E34067D3FA19}"/>
    <hyperlink ref="B3339" r:id="rId10313" display="https://twitter.com/dneuerer" xr:uid="{67CF268A-3E2A-4808-903F-7042B119686D}"/>
    <hyperlink ref="E3339" r:id="rId10314" display="https://twitter.com/dneuerer/status/723469228838412289" xr:uid="{BA335F0E-E480-422D-8E56-1053694B9FF5}"/>
    <hyperlink ref="O3339" r:id="rId10315" display="https://pbs.twimg.com/profile_images/683583669202731008/gni4rKo-_normal.jpg" xr:uid="{8C6D665B-81BA-49F0-AA41-9C43BDBD5417}"/>
    <hyperlink ref="B3340" r:id="rId10316" display="https://twitter.com/alexvr6" xr:uid="{2B44EBDA-7540-4278-8C93-D5F0F1E15702}"/>
    <hyperlink ref="E3340" r:id="rId10317" display="https://twitter.com/alexvr6/status/723469289114624000" xr:uid="{93029911-F9D4-476F-B2D2-E68249538F53}"/>
    <hyperlink ref="O3340" r:id="rId10318" display="https://pbs.twimg.com/profile_images/2912658072/1f991d7955047f34a717b2c4ba41e0f7_normal.jpeg" xr:uid="{4A2785DC-0370-41F9-9E02-64A754B9F19C}"/>
    <hyperlink ref="B3341" r:id="rId10319" display="https://twitter.com/lars_scho" xr:uid="{47409BF9-1BEF-4945-A9C7-B75F02E13478}"/>
    <hyperlink ref="E3341" r:id="rId10320" display="https://twitter.com/lars_scho/status/723469347495268352" xr:uid="{4F8CFC22-B162-4D7D-9706-8A35D8B4FE4E}"/>
    <hyperlink ref="O3341" r:id="rId10321" display="https://pbs.twimg.com/profile_images/721996706657779713/1ngKuolF_normal.jpg" xr:uid="{2709C9C3-4F19-49AB-89C9-E9261101E7D9}"/>
    <hyperlink ref="B3342" r:id="rId10322" display="https://twitter.com/dneuerer" xr:uid="{3EDE9F97-DF17-4124-8061-DC91E36B1ED4}"/>
    <hyperlink ref="E3342" r:id="rId10323" display="https://twitter.com/dneuerer/status/723469349378465792" xr:uid="{3065ADCA-CEFC-4AED-9599-5B308E2136B0}"/>
    <hyperlink ref="O3342" r:id="rId10324" display="https://pbs.twimg.com/profile_images/683583669202731008/gni4rKo-_normal.jpg" xr:uid="{597165F0-88CC-43F0-8AC8-C5C42D2A034A}"/>
    <hyperlink ref="B3343" r:id="rId10325" display="https://twitter.com/rbbabendschau" xr:uid="{A1F992DE-53A5-4DD1-A880-479AB3815FDB}"/>
    <hyperlink ref="E3343" r:id="rId10326" display="https://twitter.com/rbbabendschau/status/723469352725536769" xr:uid="{C964B454-7CF2-4E8A-9DD4-17FFA4088228}"/>
    <hyperlink ref="O3343" r:id="rId10327" display="https://pbs.twimg.com/profile_images/704354930820292609/qfy0T3DA_normal.jpg" xr:uid="{14970A59-EF6D-4C4C-B54E-6C0E6CE6C8C4}"/>
    <hyperlink ref="B3344" r:id="rId10328" display="https://twitter.com/MoSchaefer66" xr:uid="{E7B8B690-F5EF-4628-B8D5-DC4CE8ED2C58}"/>
    <hyperlink ref="E3344" r:id="rId10329" display="https://twitter.com/MoSchaefer66/status/723469438633304064" xr:uid="{FBED4322-7291-4512-8941-B94890A79C79}"/>
    <hyperlink ref="O3344" r:id="rId10330" display="https://pbs.twimg.com/profile_images/605815181952696320/r0cPYyRx_normal.jpg" xr:uid="{38ADAAA1-7C38-4D29-9044-001FE2EEDA13}"/>
    <hyperlink ref="B3345" r:id="rId10331" display="https://twitter.com/unbequemes" xr:uid="{59022C66-3394-4D80-9E80-609A45699AEA}"/>
    <hyperlink ref="E3345" r:id="rId10332" display="https://twitter.com/unbequemes/status/723469545642532864" xr:uid="{A795CB22-F48B-4D56-90A1-C42096A3DDAA}"/>
    <hyperlink ref="O3345" r:id="rId10333" display="https://pbs.twimg.com/profile_images/537398927629492224/-gaJbNL2_normal.jpeg" xr:uid="{5258363F-6219-448C-93E3-CAD96F2DF995}"/>
    <hyperlink ref="B3346" r:id="rId10334" display="https://twitter.com/AlexanderDuevel" xr:uid="{31D187BC-5FF0-42F5-A8FC-0C7921DF1B1E}"/>
    <hyperlink ref="E3346" r:id="rId10335" display="https://twitter.com/AlexanderDuevel/status/723469650642776064" xr:uid="{07485F47-D4B9-4497-B966-696503C644F7}"/>
    <hyperlink ref="O3346" r:id="rId10336" display="https://pbs.twimg.com/profile_images/420682882730831872/nB7QO20Z_normal.jpeg" xr:uid="{6CBEAD25-AA48-4B53-B88B-92B4F9B90D15}"/>
    <hyperlink ref="B3347" r:id="rId10337" display="https://twitter.com/tagesschau" xr:uid="{416D5EA8-A221-45AA-92CB-9B4F205D7636}"/>
    <hyperlink ref="E3347" r:id="rId10338" display="https://twitter.com/tagesschau/status/723469754032332800" xr:uid="{529409D8-E797-4AF2-9086-3B5552E52DAD}"/>
    <hyperlink ref="F3347" r:id="rId10339" xr:uid="{97095217-88DF-4712-88D2-BF12165C42EA}"/>
    <hyperlink ref="O3347" r:id="rId10340" display="https://pbs.twimg.com/profile_images/531688614640365568/U84uXoIT_normal.png" xr:uid="{AABDAB70-F052-43CD-AAFD-E9E68967AFE8}"/>
    <hyperlink ref="B3348" r:id="rId10341" display="https://twitter.com/ivan_poskok" xr:uid="{54B70F4D-0FEC-4085-B23B-63449BEA346C}"/>
    <hyperlink ref="E3348" r:id="rId10342" display="https://twitter.com/ivan_poskok/status/723469954272604160" xr:uid="{7D404E4A-8820-444B-BAB7-F9B29924DCDB}"/>
    <hyperlink ref="O3348" r:id="rId10343" display="https://pbs.twimg.com/profile_images/3264069413/013cec4a26e4c1dfbba092ea661a16f8_normal.jpeg" xr:uid="{D7B5D700-DB78-496F-8769-9E854BC0CACC}"/>
    <hyperlink ref="B3349" r:id="rId10344" display="https://twitter.com/_Alex_Berlin" xr:uid="{073BE39B-FF12-4BE2-A1E9-763337D5641E}"/>
    <hyperlink ref="E3349" r:id="rId10345" display="https://twitter.com/_Alex_Berlin/status/723470228575887362" xr:uid="{3957B52C-5BD2-4BF0-A151-4D31C8EEFD2C}"/>
    <hyperlink ref="O3349" r:id="rId10346" display="https://pbs.twimg.com/profile_images/1397629173/kaas_elias_3670b_800pxl_web72dpi_normal.jpg" xr:uid="{9CF1CD0C-A178-479C-8813-B4CDFB4E94C2}"/>
    <hyperlink ref="B3350" r:id="rId10347" display="https://twitter.com/akihheikkinen" xr:uid="{C26BC6BB-ED9B-497E-8979-85B9A8368079}"/>
    <hyperlink ref="E3350" r:id="rId10348" display="https://twitter.com/akihheikkinen/status/723470285190651906" xr:uid="{57F93DD4-6B92-4943-99E8-4EE7A59FBAD4}"/>
    <hyperlink ref="O3350" r:id="rId10349" display="https://pbs.twimg.com/profile_images/666350173677887489/DlIQXJXf_normal.jpg" xr:uid="{F991E5CF-B102-4188-BB11-E1B0C695B65A}"/>
    <hyperlink ref="B3351" r:id="rId10350" display="https://twitter.com/katjalosch" xr:uid="{D7A4BEE9-C5D6-40A1-BD29-E560259F8CA8}"/>
    <hyperlink ref="E3351" r:id="rId10351" display="https://twitter.com/katjalosch/status/723470296594939904" xr:uid="{30406698-8A25-4FB2-9C82-839609311DF6}"/>
    <hyperlink ref="O3351" r:id="rId10352" display="https://pbs.twimg.com/profile_images/425236817864974336/C2f777A1_normal.jpeg" xr:uid="{2EEDF3B2-D1A5-483C-8574-BBC9BE87D362}"/>
    <hyperlink ref="B3352" r:id="rId10353" display="https://twitter.com/thevolksmusik" xr:uid="{B1BA98F9-FA94-46D9-9F3B-619F805163DB}"/>
    <hyperlink ref="E3352" r:id="rId10354" display="https://twitter.com/thevolksmusik/status/723470320707973122" xr:uid="{8463FC2A-5192-4E21-AB61-CC519EF2AA56}"/>
    <hyperlink ref="O3352" r:id="rId10355" display="https://pbs.twimg.com/profile_images/547074269721546752/LHmPz6Ng_normal.jpeg" xr:uid="{481ABE1F-427C-4C33-9262-EEA701B8C706}"/>
    <hyperlink ref="B3353" r:id="rId10356" display="https://twitter.com/thevolksmusik" xr:uid="{37E269A0-F290-428A-BDE1-B295CEB2F479}"/>
    <hyperlink ref="E3353" r:id="rId10357" display="https://twitter.com/thevolksmusik/status/723470333316083712" xr:uid="{93DAE10E-A298-4EC0-8188-165FE2D585C9}"/>
    <hyperlink ref="O3353" r:id="rId10358" display="https://pbs.twimg.com/profile_images/547074269721546752/LHmPz6Ng_normal.jpeg" xr:uid="{D324F873-1940-4EF3-9053-345248BF6EF4}"/>
    <hyperlink ref="B3354" r:id="rId10359" display="https://twitter.com/SYirmi" xr:uid="{A30CD300-B1BD-4B8E-82A0-9A87E5C358F7}"/>
    <hyperlink ref="E3354" r:id="rId10360" display="https://twitter.com/SYirmi/status/723470410122203136" xr:uid="{F0CCD523-AE66-48DA-BB98-9600D9338373}"/>
    <hyperlink ref="O3354" r:id="rId10361" display="https://pbs.twimg.com/profile_images/509071000122982400/X7VfGKLE_normal.jpeg" xr:uid="{C9DCD91D-2BBF-4167-9C80-DCEE0C7CABD2}"/>
    <hyperlink ref="B3355" r:id="rId10362" display="https://twitter.com/golfnovels" xr:uid="{48D6639E-6B61-487F-AB7F-F074AF652156}"/>
    <hyperlink ref="E3355" r:id="rId10363" display="https://twitter.com/golfnovels/status/723470426689679360" xr:uid="{00378137-626A-45BD-BAEA-46C5616CBE92}"/>
    <hyperlink ref="O3355" r:id="rId10364" display="https://pbs.twimg.com/profile_images/2723610801/a7323e56a6e9ac643f061847cebb3f2b_normal.png" xr:uid="{70240D73-1682-417D-90CF-FF5BCA587BEB}"/>
    <hyperlink ref="B3356" r:id="rId10365" display="https://twitter.com/PatrickMcGee_" xr:uid="{3E4BC40D-0DE5-456C-A007-CFCC9546109C}"/>
    <hyperlink ref="E3356" r:id="rId10366" display="https://twitter.com/PatrickMcGee_/status/723470434717540352" xr:uid="{3F423372-2E2A-403A-AF8F-E497B1AD354C}"/>
    <hyperlink ref="O3356" r:id="rId10367" display="https://pbs.twimg.com/profile_images/669245387790663680/KLgnSs_3_normal.jpg" xr:uid="{74EC1817-B3D3-477C-819A-25E1C4DF292D}"/>
    <hyperlink ref="B3357" r:id="rId10368" display="https://twitter.com/ina_n72" xr:uid="{DB367B17-5D76-4E6D-B483-74980236BFB3}"/>
    <hyperlink ref="E3357" r:id="rId10369" display="https://twitter.com/ina_n72/status/723470461892452356" xr:uid="{1CDA0664-06C1-4B84-ACD7-0EF32E7035AB}"/>
    <hyperlink ref="O3357" r:id="rId10370" display="https://pbs.twimg.com/profile_images/717784740649181184/OkgUAsi9_normal.jpg" xr:uid="{6CE5566D-7BE2-43AA-A9D9-07BB79B18607}"/>
    <hyperlink ref="B3358" r:id="rId10371" display="https://twitter.com/trendstodayapp" xr:uid="{188C2818-F39B-453D-8BA2-76945F7BF764}"/>
    <hyperlink ref="E3358" r:id="rId10372" display="https://twitter.com/trendstodayapp/status/723470495652433920" xr:uid="{272384C5-2BEA-4D18-A55F-C6424E6C4B33}"/>
    <hyperlink ref="O3358" r:id="rId10373" display="https://pbs.twimg.com/profile_images/603882127734677504/MC4dtQ3b_normal.jpg" xr:uid="{11BB2C34-D36A-431A-B92C-6CB7B2F92FEF}"/>
    <hyperlink ref="B3359" r:id="rId10374" display="https://twitter.com/Mat_Struwe" xr:uid="{50B0FF31-5049-4130-92D3-A4DC43710355}"/>
    <hyperlink ref="E3359" r:id="rId10375" display="https://twitter.com/Mat_Struwe/status/723470668436783113" xr:uid="{E8C09124-1D6D-45D4-9A19-91A4F350DAAC}"/>
    <hyperlink ref="O3359" r:id="rId10376" display="https://pbs.twimg.com/profile_images/524294614946045952/UDyQTUuk_normal.jpeg" xr:uid="{662D4551-867B-4475-B4FE-9318A2B879BB}"/>
    <hyperlink ref="B3360" r:id="rId10377" display="https://twitter.com/CordwallisGroup" xr:uid="{60325697-91A0-48D3-82EF-4A43D942EC1E}"/>
    <hyperlink ref="E3360" r:id="rId10378" display="https://twitter.com/CordwallisGroup/status/723470984473415681" xr:uid="{4B045876-DA5E-44B5-94F5-4CA4EFAF1906}"/>
    <hyperlink ref="O3360" r:id="rId10379" display="https://pbs.twimg.com/profile_images/2342275131/7y3aojour1wv5eptfttj_normal.png" xr:uid="{11CD2D1D-02EB-4C10-BDA9-05BD6FD43386}"/>
    <hyperlink ref="B3361" r:id="rId10380" display="https://twitter.com/dw_business" xr:uid="{55E5BAD6-8F84-483B-9FE9-C1E8890EE0BF}"/>
    <hyperlink ref="E3361" r:id="rId10381" display="https://twitter.com/dw_business/status/723471141965291520" xr:uid="{D33B4D32-5536-43CB-9675-15B9B9496734}"/>
    <hyperlink ref="O3361" r:id="rId10382" display="https://pbs.twimg.com/profile_images/474178130312044544/-U2TP65D_normal.png" xr:uid="{450465C1-2639-4276-8AF8-F8F7605F8A77}"/>
    <hyperlink ref="B3362" r:id="rId10383" display="https://twitter.com/backroomspin" xr:uid="{EAD45BAE-AB03-407A-B4DB-674DB8FEC963}"/>
    <hyperlink ref="E3362" r:id="rId10384" display="https://twitter.com/backroomspin/status/723471386447122432" xr:uid="{B6715185-B2EC-461A-9497-9200D4C3A6CF}"/>
    <hyperlink ref="O3362" r:id="rId10385" display="https://pbs.twimg.com/profile_images/581837489461178368/KiSWrhrG_normal.png" xr:uid="{40FE98B0-AD95-4BFC-96B8-AE9FEEA60FB5}"/>
    <hyperlink ref="B3363" r:id="rId10386" display="https://twitter.com/Mat_Struwe" xr:uid="{38164624-D1D3-40F5-80FC-E74DF6A4A3E1}"/>
    <hyperlink ref="E3363" r:id="rId10387" display="https://twitter.com/Mat_Struwe/status/723471606568374272" xr:uid="{D5BDED13-3876-45D1-84BC-DC877DB3B12D}"/>
    <hyperlink ref="O3363" r:id="rId10388" display="https://pbs.twimg.com/profile_images/524294614946045952/UDyQTUuk_normal.jpeg" xr:uid="{7C81E7A4-0B6D-4F86-8153-859D903852B1}"/>
    <hyperlink ref="B3364" r:id="rId10389" display="https://twitter.com/HKok74" xr:uid="{A265F2F1-78F1-44E1-B3FC-D80226787C68}"/>
    <hyperlink ref="E3364" r:id="rId10390" display="https://twitter.com/HKok74/status/723471635551031297" xr:uid="{50116408-9356-4C34-B1A4-D23D0D1A4B2D}"/>
    <hyperlink ref="O3364" r:id="rId10391" display="https://pbs.twimg.com/profile_images/3717431502/f9ceea1f4efa3e785505485d49257d54_normal.jpeg" xr:uid="{E7918B20-5250-41C3-94E2-BD7777E28D4E}"/>
    <hyperlink ref="B3365" r:id="rId10392" display="https://twitter.com/JTMD121" xr:uid="{2D41CEAA-446A-4C08-AAF0-0E3E7C3E5D78}"/>
    <hyperlink ref="E3365" r:id="rId10393" display="https://twitter.com/JTMD121/status/723471663405383681" xr:uid="{35458907-75ED-4731-B4AF-72725CF605C6}"/>
    <hyperlink ref="O3365" r:id="rId10394" display="https://pbs.twimg.com/profile_images/703695315862474752/uIAlAH9e_normal.jpg" xr:uid="{0C4D6203-F57F-4751-A266-E9B2822C0BA3}"/>
    <hyperlink ref="B3366" r:id="rId10395" display="https://twitter.com/jennu_sahadev" xr:uid="{0D274EAA-CF9B-48E9-AA1F-0A676D6D3433}"/>
    <hyperlink ref="E3366" r:id="rId10396" display="https://twitter.com/jennu_sahadev/status/723471682346733568" xr:uid="{2BDB321D-3BD0-4FBE-A35F-ACC53B240033}"/>
    <hyperlink ref="O3366" r:id="rId10397" display="https://pbs.twimg.com/profile_images/657812627737849856/CDKhyPQA_normal.jpg" xr:uid="{D32512A7-A106-4A3F-B07C-556A276A4399}"/>
    <hyperlink ref="B3367" r:id="rId10398" display="https://twitter.com/serenity22" xr:uid="{E61A818A-BD67-4F63-B44D-5A24A45DC247}"/>
    <hyperlink ref="E3367" r:id="rId10399" display="https://twitter.com/serenity22/status/723471815436181504" xr:uid="{FC32ED19-0C70-458A-80D5-D3D76534B104}"/>
    <hyperlink ref="O3367" r:id="rId10400" display="https://pbs.twimg.com/profile_images/716708028775473152/riWFTS73_normal.jpg" xr:uid="{604497BC-A540-44AB-B3D3-C8A00E24708C}"/>
    <hyperlink ref="B3368" r:id="rId10401" display="https://twitter.com/ZDFheute" xr:uid="{FC723065-E87E-4B9B-9DC3-D59AA868586A}"/>
    <hyperlink ref="E3368" r:id="rId10402" display="https://twitter.com/ZDFheute/status/723471875851038720" xr:uid="{3CC4A0E6-7160-40B5-AD77-A8932EB2041A}"/>
    <hyperlink ref="O3368" r:id="rId10403" display="https://pbs.twimg.com/profile_images/465803701647446016/jAlkirAe_normal.jpeg" xr:uid="{A276DAE6-B6F5-4D70-A809-73CB53F9C651}"/>
    <hyperlink ref="B3369" r:id="rId10404" display="https://twitter.com/martin_krauss" xr:uid="{FA23B4AF-DF76-4C5C-AB25-618DEC0EB425}"/>
    <hyperlink ref="E3369" r:id="rId10405" display="https://twitter.com/martin_krauss/status/723471901557940225" xr:uid="{96F1E106-218D-434B-AA41-158147B521B3}"/>
    <hyperlink ref="O3369" r:id="rId10406" display="https://pbs.twimg.com/profile_images/3170588366/3c75f3bfd718fd64684ee6a8a971769a_normal.jpeg" xr:uid="{19D0A84F-1812-41A3-A8B1-FAABBE420209}"/>
    <hyperlink ref="B3370" r:id="rId10407" display="https://twitter.com/WowbaggerXX7" xr:uid="{CDAE6D9F-70B1-4906-A6A8-8792A871721E}"/>
    <hyperlink ref="E3370" r:id="rId10408" display="https://twitter.com/WowbaggerXX7/status/723471922374295552" xr:uid="{5AC84099-76CD-41DC-963F-25F9947328EF}"/>
    <hyperlink ref="O3370" r:id="rId10409" display="https://pbs.twimg.com/profile_images/543163066599219200/dUy-AYOX_normal.jpeg" xr:uid="{98D2D911-263D-4D99-ABA6-EBA68987C032}"/>
    <hyperlink ref="B3371" r:id="rId10410" display="https://twitter.com/Alte_Quaste" xr:uid="{2524D476-58F1-467B-A2B4-F7A386CFF724}"/>
    <hyperlink ref="E3371" r:id="rId10411" display="https://twitter.com/Alte_Quaste/status/723471989076295682" xr:uid="{52CB12D4-8BA4-4194-93EE-6CF1D49C49E9}"/>
    <hyperlink ref="O3371" r:id="rId10412" display="https://pbs.twimg.com/profile_images/3475164109/e980593a6dbfb66a7c7e0664cdebc34f_normal.jpeg" xr:uid="{E65B53EE-3383-48CB-821D-984339BAEC14}"/>
    <hyperlink ref="B3372" r:id="rId10413" display="https://twitter.com/AZur1969" xr:uid="{1F8F5A59-2E83-4188-B76A-55942599AFD5}"/>
    <hyperlink ref="E3372" r:id="rId10414" display="https://twitter.com/AZur1969/status/723472017681440768" xr:uid="{B4671460-6CF1-428F-A287-36FFA62F3470}"/>
    <hyperlink ref="O3372" r:id="rId10415" display="https://pbs.twimg.com/profile_images/723412406060216323/5GQ8djr9_normal.jpg" xr:uid="{91EB3EF0-9706-4D83-83F4-0C810FD2413E}"/>
    <hyperlink ref="B3373" r:id="rId10416" display="https://twitter.com/insel_design" xr:uid="{FE1C1D9A-E2E5-4B73-A78F-08628DA809AB}"/>
    <hyperlink ref="E3373" r:id="rId10417" display="https://twitter.com/insel_design/status/723472220358623232" xr:uid="{CC3CABD8-5CC4-499F-AAA5-ED07DDDE26F4}"/>
    <hyperlink ref="O3373" r:id="rId10418" display="https://pbs.twimg.com/profile_images/694121054906781697/5T5PuAP3_normal.png" xr:uid="{BE3616CB-F608-4503-A2C3-10B90BD441B6}"/>
    <hyperlink ref="B3374" r:id="rId10419" display="https://twitter.com/MarkCSchneider" xr:uid="{CDC1284F-4A89-4977-8826-F79A08EA5AEE}"/>
    <hyperlink ref="E3374" r:id="rId10420" display="https://twitter.com/MarkCSchneider/status/723472310066417664" xr:uid="{F52DDBF3-BC8B-44F9-A4DE-4B58CFA413A0}"/>
    <hyperlink ref="O3374" r:id="rId10421" display="https://pbs.twimg.com/profile_images/706784695795769345/XGXgdjww_normal.jpg" xr:uid="{C4C94118-7C44-42B5-8C31-D353A4EA2576}"/>
    <hyperlink ref="B3375" r:id="rId10422" display="https://twitter.com/bayl" xr:uid="{7744C197-EF5C-4D68-A82B-4F05757C2E1D}"/>
    <hyperlink ref="E3375" r:id="rId10423" display="https://twitter.com/bayl/status/723472327695020032" xr:uid="{74612409-F997-4430-B223-390B2CF0EF59}"/>
    <hyperlink ref="O3375" r:id="rId10424" display="https://pbs.twimg.com/profile_images/438619338942062592/OBEQvg6R_normal.jpeg" xr:uid="{F80579CB-97FD-4F23-BA1B-014F6DA56E96}"/>
    <hyperlink ref="B3376" r:id="rId10425" display="https://twitter.com/rajauzikhan" xr:uid="{50453AB0-5682-48BA-863D-40CA75CEA2FF}"/>
    <hyperlink ref="E3376" r:id="rId10426" display="https://twitter.com/rajauzikhan/status/723472389330206720" xr:uid="{C7B96D0C-44FC-43E2-A91C-D64971CEA1C9}"/>
    <hyperlink ref="O3376" r:id="rId10427" display="https://pbs.twimg.com/profile_images/3739924155/8794ee3314758538bee296d31035c357_normal.jpeg" xr:uid="{17436CF9-3B31-4C7B-9D2B-2CB23198D625}"/>
    <hyperlink ref="B3377" r:id="rId10428" display="https://twitter.com/essing_h" xr:uid="{F425C1DF-2E22-4A2B-B677-CF7BF9E4542C}"/>
    <hyperlink ref="E3377" r:id="rId10429" display="https://twitter.com/essing_h/status/723472535761903616" xr:uid="{12E223A2-EE66-4549-85B5-A8B7296A007F}"/>
    <hyperlink ref="O3377" r:id="rId10430" display="https://pbs.twimg.com/profile_images/666959113637732352/gcLEjaSy_normal.jpg" xr:uid="{C9B554BF-D7D8-473E-8195-263D73D9A656}"/>
    <hyperlink ref="B3378" r:id="rId10431" display="https://twitter.com/KramerFerdinand" xr:uid="{F59E9D3A-A3AB-4288-B989-BF90ED312435}"/>
    <hyperlink ref="E3378" r:id="rId10432" display="https://twitter.com/KramerFerdinand/status/723472619370991616" xr:uid="{A02A07B7-17D4-4D09-925E-E42E386DDE17}"/>
    <hyperlink ref="O3378" r:id="rId10433" display="https://pbs.twimg.com/profile_images/692263572710252545/oFwlaEUn_normal.jpg" xr:uid="{0EB69ECA-9E2C-429B-8F0C-ABB3347E875A}"/>
    <hyperlink ref="B3379" r:id="rId10434" display="https://twitter.com/VWBeetleSales" xr:uid="{6E2EB552-180F-4213-94DE-756AD1CB56CF}"/>
    <hyperlink ref="E3379" r:id="rId10435" display="https://twitter.com/VWBeetleSales/status/723472693522124800" xr:uid="{3FE7302A-9680-4DB7-AD90-7F4AE23E172A}"/>
    <hyperlink ref="F3379" r:id="rId10436" xr:uid="{FA717F96-BAF8-488E-8865-46A67172FD5A}"/>
    <hyperlink ref="O3379" r:id="rId10437" display="https://pbs.twimg.com/profile_images/703294545195307008/qeCvrX86_normal.jpg" xr:uid="{DBAD11C0-092C-487F-B154-9E3F35E26AB8}"/>
    <hyperlink ref="B3380" r:id="rId10438" display="https://twitter.com/mvdweyer" xr:uid="{62458E1B-973D-428D-9F1D-F7CACB9926E5}"/>
    <hyperlink ref="E3380" r:id="rId10439" display="https://twitter.com/mvdweyer/status/723472872530927616" xr:uid="{6C0833D0-94D2-4929-A1CF-979B453D967E}"/>
    <hyperlink ref="O3380" r:id="rId10440" display="https://pbs.twimg.com/profile_images/489747056584445953/3tvslEko_normal.jpeg" xr:uid="{2FD1F9EE-F27E-4364-9CD0-23B4C3B7EA59}"/>
    <hyperlink ref="B3381" r:id="rId10441" display="https://twitter.com/selmissary" xr:uid="{34DA6560-5E7D-4713-A37E-FF6B3891A359}"/>
    <hyperlink ref="E3381" r:id="rId10442" display="https://twitter.com/selmissary/status/723472883956219905" xr:uid="{64807710-4826-457C-A92C-90DA13AA849D}"/>
    <hyperlink ref="O3381" r:id="rId10443" display="https://pbs.twimg.com/profile_images/3023094301/7299b75257d79082c0ff884278e113cd_normal.png" xr:uid="{858EB617-C58B-4749-9914-A8ADB4E3D218}"/>
    <hyperlink ref="B3382" r:id="rId10444" display="https://twitter.com/snoopy_xxl" xr:uid="{710A110C-FBC9-421B-B65C-6C6B10B54FA7}"/>
    <hyperlink ref="E3382" r:id="rId10445" display="https://twitter.com/snoopy_xxl/status/723472902402744320" xr:uid="{3404D088-7698-49AC-A7D0-923B94DE6306}"/>
    <hyperlink ref="O3382" r:id="rId10446" display="https://pbs.twimg.com/profile_images/676805516358742017/0EDUqhef_normal.jpg" xr:uid="{A8829A88-A92E-45ED-8F51-CB9B102FEBD3}"/>
    <hyperlink ref="B3383" r:id="rId10447" display="https://twitter.com/Ernst1953Do" xr:uid="{00D6B6E3-DA81-4C50-89F8-80995DD14E08}"/>
    <hyperlink ref="E3383" r:id="rId10448" display="https://twitter.com/Ernst1953Do/status/723473456654880768" xr:uid="{1A4B7EE0-AE6F-4914-9321-833AC325FDF7}"/>
    <hyperlink ref="O3383" r:id="rId10449" display="https://pbs.twimg.com/profile_images/422397328868122625/tPN-y7Au_normal.jpeg" xr:uid="{28E02A48-3B7D-4A6B-81B4-99624DFE08B1}"/>
    <hyperlink ref="B3384" r:id="rId10450" display="https://twitter.com/doern" xr:uid="{F6793B48-87BC-4F1D-8387-926687EDABF1}"/>
    <hyperlink ref="E3384" r:id="rId10451" display="https://twitter.com/doern/status/723473489441726464" xr:uid="{05010EA1-210E-4016-A73D-9F713CBC1FE7}"/>
    <hyperlink ref="O3384" r:id="rId10452" display="https://pbs.twimg.com/profile_images/657853466384191488/J6vAnfZr_normal.jpg" xr:uid="{7C330875-AB3E-40C7-8575-4F43C0857547}"/>
    <hyperlink ref="B3385" r:id="rId10453" display="https://twitter.com/rssternberg" xr:uid="{B7216A6E-2B9E-487F-90E5-6F9E692D2FE0}"/>
    <hyperlink ref="E3385" r:id="rId10454" display="https://twitter.com/rssternberg/status/723473561592193024" xr:uid="{3DCB40FB-3F3F-420A-8629-3DC24082B243}"/>
    <hyperlink ref="O3385" r:id="rId10455" display="https://pbs.twimg.com/profile_images/467671095793823744/pZBuDDrt_normal.jpeg" xr:uid="{817C5C8B-7ECF-4FAA-A439-11BD258A98C3}"/>
    <hyperlink ref="B3386" r:id="rId10456" display="https://twitter.com/RA762" xr:uid="{960FE3C0-7225-4D56-9B73-49D831F04581}"/>
    <hyperlink ref="E3386" r:id="rId10457" display="https://twitter.com/RA762/status/723473564569980929" xr:uid="{A67DD06B-8993-4B6E-8D66-09B391213A7E}"/>
    <hyperlink ref="O3386" r:id="rId10458" display="https://pbs.twimg.com/profile_images/573831072540033025/_s73MpGg_normal.jpeg" xr:uid="{1D419DB5-5013-45C9-8268-07A6AD2BF303}"/>
    <hyperlink ref="B3387" r:id="rId10459" display="https://twitter.com/pcbritz" xr:uid="{629647EB-AD00-43E0-B39A-1455C9476BBC}"/>
    <hyperlink ref="E3387" r:id="rId10460" display="https://twitter.com/pcbritz/status/723473684275572736" xr:uid="{159E56F4-4D50-4155-853B-81EC96E33E83}"/>
    <hyperlink ref="O3387" r:id="rId10461" display="https://pbs.twimg.com/profile_images/722823782017200130/VreCKi-k_normal.jpg" xr:uid="{A365EE16-E280-4FA2-B900-2A9CAB3C3FE3}"/>
    <hyperlink ref="B3388" r:id="rId10462" display="https://twitter.com/CasasMoguel" xr:uid="{50947F0C-D9A1-48E2-BAB5-CD7A123928A0}"/>
    <hyperlink ref="E3388" r:id="rId10463" display="https://twitter.com/CasasMoguel/status/723474001247395840" xr:uid="{B530AA63-CFE2-47BF-9344-D631C4F97AA0}"/>
    <hyperlink ref="O3388" r:id="rId10464" display="https://pbs.twimg.com/profile_images/544520899828129792/pnWrBeQK_normal.jpeg" xr:uid="{AB1D22F3-FEDF-4529-8D9D-F7B42FB2BEE0}"/>
    <hyperlink ref="B3389" r:id="rId10465" display="https://twitter.com/SantaPodRaceway" xr:uid="{FFB9298B-7904-4411-9250-7F960989109F}"/>
    <hyperlink ref="E3389" r:id="rId10466" display="https://twitter.com/SantaPodRaceway/status/723474005919969280" xr:uid="{C58104B4-52E4-4560-BF3A-FE8E8E65B9F3}"/>
    <hyperlink ref="O3389" r:id="rId10467" display="https://pbs.twimg.com/profile_images/378800000801365829/e9f28f8996ff7f098d9b8a1840e76f50_normal.png" xr:uid="{05C1D6F8-394C-4E89-943E-A17852AC2636}"/>
    <hyperlink ref="B3390" r:id="rId10468" display="https://twitter.com/carzinegr" xr:uid="{9A93B708-A566-485C-9D73-C196BA91A901}"/>
    <hyperlink ref="C3390" r:id="rId10469" xr:uid="{1C4A73F5-8076-4DA0-ABB5-9667A148A8A7}"/>
    <hyperlink ref="E3390" r:id="rId10470" display="https://twitter.com/carzinegr/status/723474018905513984" xr:uid="{93683EE4-1B1F-4CDC-80A4-8BA16D45CDE8}"/>
    <hyperlink ref="O3390" r:id="rId10471" display="https://pbs.twimg.com/profile_images/378800000450313296/f85f6bc6a24b110d5677a432857ca2ff_normal.jpeg" xr:uid="{DAABDD26-6493-419C-963B-03C4A8489C35}"/>
    <hyperlink ref="B3391" r:id="rId10472" display="https://twitter.com/Mat_Struwe" xr:uid="{0322C75E-D996-4817-B7F9-A1C648E555E6}"/>
    <hyperlink ref="E3391" r:id="rId10473" display="https://twitter.com/Mat_Struwe/status/723474185511657474" xr:uid="{43716CA5-50AF-4B48-BC17-C960E9FD271E}"/>
    <hyperlink ref="O3391" r:id="rId10474" display="https://pbs.twimg.com/profile_images/524294614946045952/UDyQTUuk_normal.jpeg" xr:uid="{5B9AB6DF-16E3-4285-BD63-6D7EEDE8F719}"/>
    <hyperlink ref="B3392" r:id="rId10475" display="https://twitter.com/lnlMartinl" xr:uid="{CE0C61E1-F509-405F-8D65-5DAD08DD9371}"/>
    <hyperlink ref="E3392" r:id="rId10476" display="https://twitter.com/lnlMartinl/status/723474287009665024" xr:uid="{6F878D6F-F341-432D-9CBA-ECCC908459C6}"/>
    <hyperlink ref="O3392" r:id="rId10477" display="https://pbs.twimg.com/profile_images/644405793039757312/rmIR0dNO_normal.jpg" xr:uid="{8D09138B-B19F-475F-A3E5-AE7C4D811D75}"/>
    <hyperlink ref="B3393" r:id="rId10478" display="https://twitter.com/siob_devine" xr:uid="{A58FF529-3BAF-470B-B1A5-4D7D928DD23F}"/>
    <hyperlink ref="E3393" r:id="rId10479" display="https://twitter.com/siob_devine/status/723474353829097472" xr:uid="{4CF0ACA6-B3FB-4436-8226-11B03DD9890C}"/>
    <hyperlink ref="O3393" r:id="rId10480" display="https://pbs.twimg.com/profile_images/722377477809696769/JcYvDDIc_normal.jpg" xr:uid="{846B67C2-5B0D-4E89-AA6B-C79809190957}"/>
    <hyperlink ref="B3394" r:id="rId10481" display="https://twitter.com/StvnsFrnk" xr:uid="{FE30477A-203D-4F83-BB9B-D353362CB9E4}"/>
    <hyperlink ref="E3394" r:id="rId10482" display="https://twitter.com/StvnsFrnk/status/723474556246093824" xr:uid="{CD8D3F41-44CF-4862-AB6E-7519CD6C8CBC}"/>
    <hyperlink ref="O3394" r:id="rId10483" display="https://pbs.twimg.com/profile_images/447281889578323968/hqCNxI9e_normal.jpeg" xr:uid="{84046570-6CD8-4E51-8D4E-0CABB4AF1671}"/>
    <hyperlink ref="B3395" r:id="rId10484" display="https://twitter.com/Elitet5" xr:uid="{D8C5FF11-2D72-4FD2-9D7D-0944EF61FD97}"/>
    <hyperlink ref="E3395" r:id="rId10485" display="https://twitter.com/Elitet5/status/723474558649532416" xr:uid="{4320905B-5BC1-42EE-B1B2-890B5A8D723E}"/>
    <hyperlink ref="O3395" r:id="rId10486" display="https://pbs.twimg.com/profile_images/431166006807904256/QQuD9iZE_normal.jpeg" xr:uid="{C1BE8F3D-3F93-4CA4-9878-66340E01AF72}"/>
    <hyperlink ref="B3396" r:id="rId10487" display="https://twitter.com/michaelweiland" xr:uid="{13513308-4927-4A0B-B43C-C17F62098F37}"/>
    <hyperlink ref="E3396" r:id="rId10488" display="https://twitter.com/michaelweiland/status/723474570796236801" xr:uid="{52F35E38-3903-4512-80DC-72D34A3AA875}"/>
    <hyperlink ref="O3396" r:id="rId10489" display="https://pbs.twimg.com/profile_images/72891323/IMG_7859_DxO_normal.jpg" xr:uid="{B5BE5C12-83AD-432B-B0F0-42D5D322D431}"/>
    <hyperlink ref="B3397" r:id="rId10490" display="https://twitter.com/dirkkreuter" xr:uid="{63262C82-D4AD-4743-A267-40931A4AB287}"/>
    <hyperlink ref="E3397" r:id="rId10491" display="https://twitter.com/dirkkreuter/status/723474616535113728" xr:uid="{E12143A4-A33E-42B4-9C73-7C0D25F0A925}"/>
    <hyperlink ref="O3397" r:id="rId10492" display="https://pbs.twimg.com/profile_images/621273517477265409/8-53PStR_normal.jpg" xr:uid="{0EDEB9E1-4CA9-45E3-969D-B486F20D25C3}"/>
    <hyperlink ref="B3398" r:id="rId10493" display="https://twitter.com/PCIResearch" xr:uid="{FF7EDC92-7FAF-47CD-B588-39CB2C9D72B7}"/>
    <hyperlink ref="E3398" r:id="rId10494" display="https://twitter.com/PCIResearch/status/723474659459497984" xr:uid="{60161ED9-C5D9-4820-BF22-DB35CE430672}"/>
    <hyperlink ref="O3398" r:id="rId10495" display="https://pbs.twimg.com/profile_images/379953371/tree_normal.jpg" xr:uid="{39D221D1-A9D4-4687-9052-3D2EAB1CC494}"/>
    <hyperlink ref="B3399" r:id="rId10496" display="https://twitter.com/VWCamperSales" xr:uid="{A7065929-2824-4670-BD86-3A9D45B5F711}"/>
    <hyperlink ref="E3399" r:id="rId10497" display="https://twitter.com/VWCamperSales/status/723474717223440384" xr:uid="{3DB125B4-A468-476D-B302-51F06249C098}"/>
    <hyperlink ref="F3399" r:id="rId10498" xr:uid="{AE7206F0-5FBE-44BB-A889-6D9A15D67423}"/>
    <hyperlink ref="O3399" r:id="rId10499" display="https://pbs.twimg.com/profile_images/627949001179037696/skEBkS05_normal.jpg" xr:uid="{BE71595B-EA67-424B-B0EB-42AE71FBC43B}"/>
    <hyperlink ref="B3400" r:id="rId10500" display="https://twitter.com/MrMozartOficial" xr:uid="{301AF777-9950-4246-8CC4-C479BF49F858}"/>
    <hyperlink ref="E3400" r:id="rId10501" display="https://twitter.com/MrMozartOficial/status/723474862094733312" xr:uid="{F2C5954E-7CE9-4D6A-B23D-7B757CAD4917}"/>
    <hyperlink ref="O3400" r:id="rId10502" display="https://pbs.twimg.com/profile_images/696519328573816832/XqooVAmy_normal.jpg" xr:uid="{FF665BB5-8AEC-47B9-95F5-F4759522D61B}"/>
    <hyperlink ref="B3401" r:id="rId10503" display="https://twitter.com/ratemycamper" xr:uid="{D0D03D7E-2232-436F-B9A6-CEB52622DE35}"/>
    <hyperlink ref="E3401" r:id="rId10504" display="https://twitter.com/ratemycamper/status/723474951651627008" xr:uid="{B0BB13BE-4117-4589-86CE-025FD37DD5F6}"/>
    <hyperlink ref="O3401" r:id="rId10505" display="https://pbs.twimg.com/profile_images/710929065939755009/-Rgs_z20_normal.jpg" xr:uid="{E8B633CF-7DB9-496B-9747-FC9FDD143DEE}"/>
    <hyperlink ref="B3402" r:id="rId10506" display="https://twitter.com/BOSSSIWELL" xr:uid="{6FDC9E34-DE18-4C09-A565-8B2866152320}"/>
    <hyperlink ref="E3402" r:id="rId10507" display="https://twitter.com/BOSSSIWELL/status/723475092332773376" xr:uid="{C9230438-A9C1-4F51-A56A-8DDEEB61CCAF}"/>
    <hyperlink ref="O3402" r:id="rId10508" display="https://pbs.twimg.com/profile_images/438395067510697984/O1RO1BuY_normal.jpeg" xr:uid="{03B36703-D862-49AD-8E3D-E423CD5FA3A8}"/>
    <hyperlink ref="P3402" r:id="rId10509" location="13.85076803,100.55947065" display="http://ctrlq.org/maps/address/ - 13.85076803,100.55947065" xr:uid="{01B353DE-7B01-427B-87F1-04C40F992D27}"/>
    <hyperlink ref="B3403" r:id="rId10510" display="https://twitter.com/DHZ_Handwerk" xr:uid="{51F9F266-0A59-4531-8654-374A88495627}"/>
    <hyperlink ref="E3403" r:id="rId10511" display="https://twitter.com/DHZ_Handwerk/status/723475174570491904" xr:uid="{3B9C25C5-9FE8-42E0-B009-FFFAB1ECCD76}"/>
    <hyperlink ref="O3403" r:id="rId10512" display="https://pbs.twimg.com/profile_images/463651158213406720/Extqdo-p_normal.png" xr:uid="{0363BCFE-1192-4E50-B777-C08F69F77712}"/>
    <hyperlink ref="B3404" r:id="rId10513" display="https://twitter.com/TristanVeith" xr:uid="{D3D1914C-AA84-45BC-BC70-A886BD6CE4E5}"/>
    <hyperlink ref="E3404" r:id="rId10514" display="https://twitter.com/TristanVeith/status/723475193486659584" xr:uid="{49E58C91-A95C-4882-B58B-3053C81A728C}"/>
    <hyperlink ref="O3404" r:id="rId10515" display="https://pbs.twimg.com/profile_images/378800000819824275/68f3c989b2c2a616cffc62b0078aecca_normal.jpeg" xr:uid="{B3D35E98-6F15-459E-800B-756E01C4EAA3}"/>
    <hyperlink ref="B3405" r:id="rId10516" display="https://twitter.com/AbbeyLeasing" xr:uid="{278DB965-02C9-4C43-A62D-352B6FF1A43B}"/>
    <hyperlink ref="E3405" r:id="rId10517" display="https://twitter.com/AbbeyLeasing/status/723475503601061888" xr:uid="{10ED8822-F345-4281-A42C-5759425C05FD}"/>
    <hyperlink ref="O3405" r:id="rId10518" display="https://pbs.twimg.com/profile_images/647052084446150656/1FTvGXVr_normal.png" xr:uid="{28BDE757-0AE7-4709-BD34-37DAC97768AE}"/>
    <hyperlink ref="B3406" r:id="rId10519" display="https://twitter.com/Joseph_Bennell" xr:uid="{ABBD0D20-9ACC-41E2-9C36-AFEC57EA7386}"/>
    <hyperlink ref="E3406" r:id="rId10520" display="https://twitter.com/Joseph_Bennell/status/723475522785828868" xr:uid="{9E2C137D-B2E9-4685-8ADC-07F549F227F7}"/>
    <hyperlink ref="O3406" r:id="rId10521" display="https://pbs.twimg.com/profile_images/597426402607128578/uzKBr6iQ_normal.jpg" xr:uid="{411B69EC-300C-4D09-BCD1-39F9B7D26790}"/>
    <hyperlink ref="P3406" r:id="rId10522" location="52.25397,-2.2505799" display="http://ctrlq.org/maps/address/ - 52.25397,-2.2505799" xr:uid="{1CC4F3B6-D4FB-47D3-A0FF-7758D231AC6A}"/>
    <hyperlink ref="B3407" r:id="rId10523" display="https://twitter.com/vwpress_de" xr:uid="{C9D8137A-24E7-4CED-9A8F-411B90EE050B}"/>
    <hyperlink ref="E3407" r:id="rId10524" display="https://twitter.com/vwpress_de/status/723475761638825984" xr:uid="{834EA804-0EB9-4024-A06A-BD78A52E0421}"/>
    <hyperlink ref="O3407" r:id="rId10525" display="https://pbs.twimg.com/profile_images/682117656502222848/Ge7YeAF3_normal.png" xr:uid="{7BEF9B3A-2BF8-4820-9FB6-824DB677157E}"/>
    <hyperlink ref="B3408" r:id="rId10526" display="https://twitter.com/bayl" xr:uid="{95E1BA13-F919-40FA-A309-1D0762C238B4}"/>
    <hyperlink ref="E3408" r:id="rId10527" display="https://twitter.com/bayl/status/723475806786322432" xr:uid="{B98B288A-49A1-45C0-A41A-D49D3468D9D7}"/>
    <hyperlink ref="O3408" r:id="rId10528" display="https://pbs.twimg.com/profile_images/438619338942062592/OBEQvg6R_normal.jpeg" xr:uid="{23AF3B73-0B2A-458A-B04D-DD5741D02266}"/>
    <hyperlink ref="B3409" r:id="rId10529" display="https://twitter.com/golfturkiye" xr:uid="{EABA4289-3DDA-4941-A771-21CF26B391D6}"/>
    <hyperlink ref="E3409" r:id="rId10530" display="https://twitter.com/golfturkiye/status/723475846233772034" xr:uid="{CFB18580-9BA3-43CE-B16E-42721DC90461}"/>
    <hyperlink ref="O3409" r:id="rId10531" display="https://pbs.twimg.com/profile_images/2908590566/828967841f09b515ee36e3dfccea4d28_normal.png" xr:uid="{631B0BF0-75C3-4A8F-981C-FF8362F17B8A}"/>
    <hyperlink ref="B3410" r:id="rId10532" display="https://twitter.com/PolakPavel" xr:uid="{6F854DFF-DF8B-4951-8585-77D778C70E82}"/>
    <hyperlink ref="E3410" r:id="rId10533" display="https://twitter.com/PolakPavel/status/723475920242257921" xr:uid="{91663DDB-8B16-465D-9177-01950A24B339}"/>
    <hyperlink ref="O3410" r:id="rId10534" display="https://pbs.twimg.com/profile_images/378800000625654479/283342ca756174ac948f248e4edef6ff_normal.jpeg" xr:uid="{358140D2-DF82-4F19-B983-516701A6345C}"/>
    <hyperlink ref="B3411" r:id="rId10535" display="https://twitter.com/theartdeptstoke" xr:uid="{AB929387-4E41-4755-8968-F7193DAADF7C}"/>
    <hyperlink ref="E3411" r:id="rId10536" display="https://twitter.com/theartdeptstoke/status/723476072696807424" xr:uid="{C0FC1465-DC57-499E-AB69-27249FA902E9}"/>
    <hyperlink ref="O3411" r:id="rId10537" display="https://pbs.twimg.com/profile_images/675417445977444353/_MXUy9sP_normal.jpg" xr:uid="{91553122-9634-460F-A6A1-3CC13F5B32CF}"/>
    <hyperlink ref="B3412" r:id="rId10538" display="https://twitter.com/AniQ0624" xr:uid="{893F6716-E90C-4979-9EE8-5156A9C5356E}"/>
    <hyperlink ref="E3412" r:id="rId10539" display="https://twitter.com/AniQ0624/status/723476112895029248" xr:uid="{D9047FA2-352E-4E9C-A44F-052D50BC14B3}"/>
    <hyperlink ref="O3412" r:id="rId10540" display="https://pbs.twimg.com/profile_images/1565609204/06.24.08__102__normal.jpg" xr:uid="{6AFF8A4A-A5FF-4088-98FA-0AAC235D58B0}"/>
    <hyperlink ref="B3413" r:id="rId10541" display="https://twitter.com/VWCamperSales" xr:uid="{66A59B76-1251-4FE9-992D-F0667A508BDE}"/>
    <hyperlink ref="E3413" r:id="rId10542" display="https://twitter.com/VWCamperSales/status/723476223460962305" xr:uid="{606A9337-E67B-4551-BE6D-370F84EBF2D8}"/>
    <hyperlink ref="F3413" r:id="rId10543" xr:uid="{E6562FBD-6329-4BB9-A10A-4B643ACAEBA0}"/>
    <hyperlink ref="O3413" r:id="rId10544" display="https://pbs.twimg.com/profile_images/627949001179037696/skEBkS05_normal.jpg" xr:uid="{DA1BE6BA-D96C-451B-873F-255C3693F3C8}"/>
    <hyperlink ref="B3414" r:id="rId10545" display="https://twitter.com/nzrosie1" xr:uid="{93274E96-924C-46DB-92F7-4C8F97F3DC07}"/>
    <hyperlink ref="E3414" r:id="rId10546" display="https://twitter.com/nzrosie1/status/723476282327994370" xr:uid="{D0D9C87E-1CA5-4F1A-B4EB-F9B188EE2ACA}"/>
    <hyperlink ref="O3414" r:id="rId10547" display="https://pbs.twimg.com/profile_images/716592983580106752/gTYFLolH_normal.jpg" xr:uid="{B6C11E4A-8CF6-436A-B13A-6FDBFFB636E5}"/>
    <hyperlink ref="B3415" r:id="rId10548" display="https://twitter.com/dneuerer" xr:uid="{687FF196-599A-45A1-B715-9AE6740FF617}"/>
    <hyperlink ref="E3415" r:id="rId10549" display="https://twitter.com/dneuerer/status/723476506513707008" xr:uid="{7112782C-77DF-49EE-A975-8F83494B7860}"/>
    <hyperlink ref="O3415" r:id="rId10550" display="https://pbs.twimg.com/profile_images/683583669202731008/gni4rKo-_normal.jpg" xr:uid="{E25298E3-2B0D-4C73-A341-AAC5F1BEEA48}"/>
    <hyperlink ref="B3416" r:id="rId10551" display="https://twitter.com/jenkers_en" xr:uid="{AE6556FE-074D-4C3C-9CAF-77CE12D1CC7B}"/>
    <hyperlink ref="E3416" r:id="rId10552" display="https://twitter.com/jenkers_en/status/723476628291108864" xr:uid="{C8548D5A-89EB-4A31-BB8D-51B060F3C96B}"/>
    <hyperlink ref="O3416" r:id="rId10553" display="https://pbs.twimg.com/profile_images/588324718677254145/-y5BbeY4_normal.png" xr:uid="{117F4D52-C906-4ADC-A613-F7E2E4FB0520}"/>
    <hyperlink ref="B3417" r:id="rId10554" display="https://twitter.com/mcmlxxii8" xr:uid="{2FBA5504-E34D-45E7-A118-E9F5A87E74F3}"/>
    <hyperlink ref="E3417" r:id="rId10555" display="https://twitter.com/mcmlxxii8/status/723476800832180225" xr:uid="{8797C429-4D01-4506-9B62-B250926028F2}"/>
    <hyperlink ref="O3417" r:id="rId10556" display="https://pbs.twimg.com/profile_images/666384398514855939/OtYSgUiF_normal.jpg" xr:uid="{BCB5B372-1F40-4F29-9366-43331B1ECB2E}"/>
    <hyperlink ref="B3418" r:id="rId10557" display="https://twitter.com/Hilda_VillegasA" xr:uid="{B35DCB05-86C0-43F2-B9A1-85FFC66F7BB9}"/>
    <hyperlink ref="E3418" r:id="rId10558" display="https://twitter.com/Hilda_VillegasA/status/723476818746048512" xr:uid="{F0A6B4A4-5E6C-4E01-85AA-8AB43055A054}"/>
    <hyperlink ref="O3418" r:id="rId10559" display="https://abs.twimg.com/sticky/default_profile_images/default_profile_0_normal.png" xr:uid="{1305CEEF-4703-4046-A61A-66314651885F}"/>
    <hyperlink ref="B3419" r:id="rId10560" display="https://twitter.com/ColourCr" xr:uid="{95AF0D05-C914-4ABC-BDCD-E9C7F6F8B2E2}"/>
    <hyperlink ref="E3419" r:id="rId10561" display="https://twitter.com/ColourCr/status/723476991282937856" xr:uid="{7748B650-D0CB-45D4-8961-545005F9BEF5}"/>
    <hyperlink ref="O3419" r:id="rId10562" display="https://pbs.twimg.com/profile_images/1850139320/Colour_Crew_Logo_normal.png" xr:uid="{E10DC303-BC71-434B-B93A-D64401172D28}"/>
    <hyperlink ref="B3420" r:id="rId10563" display="https://twitter.com/Scirocco_Tuning" xr:uid="{4365A1D8-8498-4586-9985-7D391D5A514F}"/>
    <hyperlink ref="E3420" r:id="rId10564" display="https://twitter.com/Scirocco_Tuning/status/723477086120349696" xr:uid="{B3DF976B-05B5-4C40-8128-481D1722093D}"/>
    <hyperlink ref="O3420" r:id="rId10565" display="https://pbs.twimg.com/profile_images/1610421423/Image2_normal.jpg" xr:uid="{D0C24E1A-DCE2-4D0D-9D69-B1154CA9E9E4}"/>
    <hyperlink ref="B3421" r:id="rId10566" display="https://twitter.com/Volksstimme" xr:uid="{7C32727F-0B01-4AB3-A2E9-9DA0EC073977}"/>
    <hyperlink ref="E3421" r:id="rId10567" display="https://twitter.com/Volksstimme/status/723477149823426560" xr:uid="{ADE851DF-CB20-425D-B611-A6A4B5EB8993}"/>
    <hyperlink ref="O3421" r:id="rId10568" display="https://pbs.twimg.com/profile_images/670250613083611136/YU0_WEii_normal.png" xr:uid="{A9D6B161-45DA-4C08-8007-223A71FB447C}"/>
    <hyperlink ref="B3422" r:id="rId10569" display="https://twitter.com/hydronavitas1" xr:uid="{E7B7726B-9CB4-4D4E-8DBD-6F3D8EE79BA5}"/>
    <hyperlink ref="E3422" r:id="rId10570" display="https://twitter.com/hydronavitas1/status/723477186368397312" xr:uid="{4A27FECE-1546-452B-8F39-A8B73A49B5B6}"/>
    <hyperlink ref="O3422" r:id="rId10571" display="https://pbs.twimg.com/profile_images/482299890509578240/8vKC9fS-_normal.jpeg" xr:uid="{D4A54B83-3179-45D2-BA2F-5533B4F3933D}"/>
    <hyperlink ref="B3423" r:id="rId10572" display="https://twitter.com/JoachimHeck" xr:uid="{ABFFA53D-8DA1-473E-ACB3-716C6D3E8F49}"/>
    <hyperlink ref="E3423" r:id="rId10573" display="https://twitter.com/JoachimHeck/status/723477300159909888" xr:uid="{135C95D8-D91F-4F02-9459-FE86FC34F42A}"/>
    <hyperlink ref="O3423" r:id="rId10574" display="https://pbs.twimg.com/profile_images/378800000566378572/084cb3103fd97db6ea2fcb90b2ea5dc7_normal.jpeg" xr:uid="{18302D9D-AB08-4B9A-80DF-F7A5F61E40CC}"/>
    <hyperlink ref="B3424" r:id="rId10575" display="https://twitter.com/tageblatt_lu" xr:uid="{17E9B18B-4F80-4AC6-8D6F-D6268302E982}"/>
    <hyperlink ref="E3424" r:id="rId10576" display="https://twitter.com/tageblatt_lu/status/723477364731207680" xr:uid="{C73EBA54-E22C-4B2E-8216-26DDA4527CCF}"/>
    <hyperlink ref="O3424" r:id="rId10577" display="https://pbs.twimg.com/profile_images/525196810566905857/IqsZ5IFD_normal.jpeg" xr:uid="{4FBE6807-3121-41ED-AD1E-C817386A74C6}"/>
    <hyperlink ref="B3425" r:id="rId10578" display="https://twitter.com/ThielsChristian" xr:uid="{59BF0361-FC28-47D6-A892-C2C78C1FF4C0}"/>
    <hyperlink ref="E3425" r:id="rId10579" display="https://twitter.com/ThielsChristian/status/723477472273149952" xr:uid="{96D67897-2C1F-43B4-B515-955D9EF8A757}"/>
    <hyperlink ref="O3425" r:id="rId10580" display="https://pbs.twimg.com/profile_images/378800000136827482/59b710cdb7e23283a3520e9867359b74_normal.jpeg" xr:uid="{49C4C5CB-0978-40E7-B70B-F3E584F9BCB4}"/>
    <hyperlink ref="B3426" r:id="rId10581" display="https://twitter.com/AchillePrick" xr:uid="{7BC2B5AA-7128-478F-A3E0-763EA1EA581C}"/>
    <hyperlink ref="E3426" r:id="rId10582" display="https://twitter.com/AchillePrick/status/723477643400605696" xr:uid="{D93FB682-D6E9-4911-9650-9349230D5006}"/>
    <hyperlink ref="O3426" r:id="rId10583" display="https://pbs.twimg.com/profile_images/630378503/AchilleNos_normal.jpg" xr:uid="{CA9065D8-DDAC-498D-8A19-6ACB04BED900}"/>
    <hyperlink ref="B3427" r:id="rId10584" display="https://twitter.com/TaylorSolution1" xr:uid="{65BE25B5-F473-4B5F-A50F-8C9F0991DA82}"/>
    <hyperlink ref="E3427" r:id="rId10585" display="https://twitter.com/TaylorSolution1/status/723477645216890880" xr:uid="{564C13E9-A866-4010-81BD-07EA789D8E55}"/>
    <hyperlink ref="O3427" r:id="rId10586" display="https://pbs.twimg.com/profile_images/651108553697181696/kr0acetE_normal.jpg" xr:uid="{A0090113-07FA-4676-BE59-5A75FF2724F3}"/>
    <hyperlink ref="B3428" r:id="rId10587" display="https://twitter.com/JenniPii" xr:uid="{2421F129-B3D6-4E60-A995-B8BA927A3F98}"/>
    <hyperlink ref="E3428" r:id="rId10588" display="https://twitter.com/JenniPii/status/723477710484439041" xr:uid="{3CFB7F2B-9371-40CB-A68E-FA788C2C1335}"/>
    <hyperlink ref="O3428" r:id="rId10589" display="https://pbs.twimg.com/profile_images/722101790431260672/0vYDkuAk_normal.jpg" xr:uid="{2609F855-37BD-4929-AA64-1AB88F28A10A}"/>
    <hyperlink ref="B3429" r:id="rId10590" display="https://twitter.com/StephanKrull" xr:uid="{7E007046-0D0D-45B7-85FB-065EB1C75FD0}"/>
    <hyperlink ref="E3429" r:id="rId10591" display="https://twitter.com/StephanKrull/status/723477769355689984" xr:uid="{2FFD8943-C4FD-4464-8779-F6027AEE8C4E}"/>
    <hyperlink ref="O3429" r:id="rId10592" display="https://pbs.twimg.com/profile_images/561650835038298112/jX4E_neH_normal.jpeg" xr:uid="{750FE616-DEC2-4309-AD7D-6E7C2B9C72F5}"/>
    <hyperlink ref="B3430" r:id="rId10593" display="https://twitter.com/DubLuvTuning" xr:uid="{42FEC05A-833A-4D42-BA7F-6BF1280FB4A5}"/>
    <hyperlink ref="E3430" r:id="rId10594" display="https://twitter.com/DubLuvTuning/status/723477781502406656" xr:uid="{765F255D-5108-4958-B136-AEE09EDD3BA1}"/>
    <hyperlink ref="O3430" r:id="rId10595" display="https://pbs.twimg.com/profile_images/378800000572104796/1de43e1cf23efb3f4101c02afad0d3b6_normal.png" xr:uid="{9FD2FFA3-E648-458C-B09F-F8297A663451}"/>
    <hyperlink ref="B3431" r:id="rId10596" display="https://twitter.com/581eGliese" xr:uid="{9399A850-7B78-4F9B-9D2C-910E647C3E4A}"/>
    <hyperlink ref="E3431" r:id="rId10597" display="https://twitter.com/581eGliese/status/723477833344012288" xr:uid="{8A9176B3-85AE-4C8A-B020-973AACF57A1E}"/>
    <hyperlink ref="O3431" r:id="rId10598" display="https://pbs.twimg.com/profile_images/2316415935/pi_by_strenuus-d39pkb3_normal.jpg" xr:uid="{69451A1E-0A27-462D-BD3A-15123618F1EC}"/>
    <hyperlink ref="B3432" r:id="rId10599" display="https://twitter.com/follow_eiver" xr:uid="{AF8E362D-7C74-4E2B-A969-31AC4AA8913E}"/>
    <hyperlink ref="E3432" r:id="rId10600" display="https://twitter.com/follow_eiver/status/723477859881377792" xr:uid="{51D34CC7-3281-48BB-A433-A1A309A9272D}"/>
    <hyperlink ref="O3432" r:id="rId10601" display="https://pbs.twimg.com/profile_images/378800000511154163/c20f2fe8ec84a2711f24b92162bbe1ec_normal.png" xr:uid="{E88000EB-33B4-40C3-B058-DB6F44BDF78F}"/>
    <hyperlink ref="B3433" r:id="rId10602" display="https://twitter.com/BeetleJuiceltd" xr:uid="{FD26B4CB-D974-4746-BD31-DFEDF8376E68}"/>
    <hyperlink ref="E3433" r:id="rId10603" display="https://twitter.com/BeetleJuiceltd/status/723477920753291264" xr:uid="{86E308AC-08A7-4E5A-8655-1CB4B8640A47}"/>
    <hyperlink ref="O3433" r:id="rId10604" display="https://pbs.twimg.com/profile_images/702826334402252800/Id134gom_normal.jpg" xr:uid="{851CB838-8F50-4F32-91D0-AB3A21495281}"/>
    <hyperlink ref="B3434" r:id="rId10605" display="https://twitter.com/hermibaby" xr:uid="{4372FC29-9D7E-4181-827E-3981667F97BB}"/>
    <hyperlink ref="E3434" r:id="rId10606" display="https://twitter.com/hermibaby/status/723477939044663297" xr:uid="{8C46292D-2227-4A9A-9C90-EB48687ADDB0}"/>
    <hyperlink ref="O3434" r:id="rId10607" display="https://pbs.twimg.com/profile_images/3618259921/48305a260e78bcbdeb278bd35e5b34f6_normal.jpeg" xr:uid="{82F5DDD3-5051-4978-8B30-1B23C1CCF598}"/>
    <hyperlink ref="B3435" r:id="rId10608" display="https://twitter.com/dw_business" xr:uid="{8FDDC69E-61CC-400C-9796-A1D1BC289D88}"/>
    <hyperlink ref="E3435" r:id="rId10609" display="https://twitter.com/dw_business/status/723478185262895104" xr:uid="{BBD67BA5-D50D-4337-A3E2-369CC378055E}"/>
    <hyperlink ref="O3435" r:id="rId10610" display="https://pbs.twimg.com/profile_images/474178130312044544/-U2TP65D_normal.png" xr:uid="{1C8528CB-0A3D-4DAF-B8AA-A73E7FAF77A9}"/>
    <hyperlink ref="B3436" r:id="rId10611" display="https://twitter.com/MarcelSigner" xr:uid="{E278346B-E206-4B97-99B0-CC3121B10D5B}"/>
    <hyperlink ref="E3436" r:id="rId10612" display="https://twitter.com/MarcelSigner/status/723478372597260288" xr:uid="{CB385284-5C80-46A0-9C08-11B5032812DE}"/>
    <hyperlink ref="O3436" r:id="rId10613" display="https://pbs.twimg.com/profile_images/618543469875740672/9UTnmeyy_normal.png" xr:uid="{8363B253-A162-4300-8AB7-231B5BD9F856}"/>
    <hyperlink ref="B3437" r:id="rId10614" display="https://twitter.com/Marchfelderin" xr:uid="{E12E49A8-CE90-4F68-A09C-DD2966D80F66}"/>
    <hyperlink ref="E3437" r:id="rId10615" display="https://twitter.com/Marchfelderin/status/723478832867643396" xr:uid="{A898EDF9-625E-45E4-87BE-35DE261D7ADD}"/>
    <hyperlink ref="O3437" r:id="rId10616" display="https://pbs.twimg.com/profile_images/613817532944920576/HqzDszeo_normal.jpg" xr:uid="{44EC4534-E903-4702-A350-8917F2B675EC}"/>
    <hyperlink ref="B3438" r:id="rId10617" display="https://twitter.com/Funny1963" xr:uid="{990A33C6-BE7D-42AF-A651-47AECF5A6090}"/>
    <hyperlink ref="E3438" r:id="rId10618" display="https://twitter.com/Funny1963/status/723478924349583360" xr:uid="{6AB6EADA-D5F0-46A8-8E40-86436F408991}"/>
    <hyperlink ref="O3438" r:id="rId10619" display="https://pbs.twimg.com/profile_images/378800000005686243/d22cadfc7d41252b5c97a7350c90153d_normal.jpeg" xr:uid="{0675CDC3-F385-41A7-A5D9-E9ECB6B1460A}"/>
    <hyperlink ref="B3439" r:id="rId10620" display="https://twitter.com/NetzwerkggS21" xr:uid="{95CFFD79-1188-4228-8D7A-920AB4B97906}"/>
    <hyperlink ref="E3439" r:id="rId10621" display="https://twitter.com/NetzwerkggS21/status/723478959913054208" xr:uid="{432D3905-972D-452C-97FE-E7BA306D10D5}"/>
    <hyperlink ref="M3439" r:id="rId10622" xr:uid="{AD9604FC-10CB-4770-A96E-1D1826EAC059}"/>
    <hyperlink ref="O3439" r:id="rId10623" display="https://pbs.twimg.com/profile_images/378800000528765970/3ab9f2a00010e9cac08d5ca1638926e9_normal.png" xr:uid="{EAE472F9-AB84-4E09-9CB3-32C259F33864}"/>
    <hyperlink ref="B3440" r:id="rId10624" display="https://twitter.com/AbbeyLeasing" xr:uid="{7941B515-BF7F-46EF-B63A-ED3A4C8D8195}"/>
    <hyperlink ref="E3440" r:id="rId10625" display="https://twitter.com/AbbeyLeasing/status/723478995891830786" xr:uid="{439E1B71-8A73-4736-BDE1-CC159DD2F7CD}"/>
    <hyperlink ref="O3440" r:id="rId10626" display="https://pbs.twimg.com/profile_images/647052084446150656/1FTvGXVr_normal.png" xr:uid="{7962CB8D-3235-4CAC-9090-0A32DE153823}"/>
    <hyperlink ref="B3441" r:id="rId10627" display="https://twitter.com/TEXTCOM" xr:uid="{F58A2CAA-4DC4-4E84-918C-FC9E86EFC5E8}"/>
    <hyperlink ref="E3441" r:id="rId10628" display="https://twitter.com/TEXTCOM/status/723479316424736768" xr:uid="{09213249-9CD7-44E5-A165-65085C25BDE7}"/>
    <hyperlink ref="O3441" r:id="rId10629" display="https://pbs.twimg.com/profile_images/459302295390273538/5vy-rFJ6_normal.jpeg" xr:uid="{D9A078F4-D19D-468A-A873-DEDCE33438FC}"/>
    <hyperlink ref="B3442" r:id="rId10630" display="https://twitter.com/AbbeyLeasing" xr:uid="{2D2257C1-2535-48BD-AEB1-E10ECFFD284D}"/>
    <hyperlink ref="E3442" r:id="rId10631" display="https://twitter.com/AbbeyLeasing/status/723479335978545152" xr:uid="{8ED4386C-803B-4556-BE87-F07683C50DCD}"/>
    <hyperlink ref="O3442" r:id="rId10632" display="https://pbs.twimg.com/profile_images/647052084446150656/1FTvGXVr_normal.png" xr:uid="{84F80204-5177-4673-962B-4652A6C128C3}"/>
    <hyperlink ref="B3443" r:id="rId10633" display="https://twitter.com/VWCamperSales" xr:uid="{CE0FA8D5-34C4-4091-99C6-B7B5EA41B940}"/>
    <hyperlink ref="E3443" r:id="rId10634" display="https://twitter.com/VWCamperSales/status/723479352730509312" xr:uid="{70690B4A-B8DE-4102-A787-E34876935DB2}"/>
    <hyperlink ref="F3443" r:id="rId10635" xr:uid="{1E8E4A62-A63C-4525-8673-9BCC64868E39}"/>
    <hyperlink ref="O3443" r:id="rId10636" display="https://pbs.twimg.com/profile_images/627949001179037696/skEBkS05_normal.jpg" xr:uid="{901D0189-EEFA-4B22-84FC-012A84F63400}"/>
    <hyperlink ref="B3444" r:id="rId10637" display="https://twitter.com/irenesconcierge" xr:uid="{8AEA09DA-7B5A-4DDD-9A8C-99FF519BF7B7}"/>
    <hyperlink ref="E3444" r:id="rId10638" display="https://twitter.com/irenesconcierge/status/723479537363869697" xr:uid="{F65742B3-E68D-4FF3-9740-2C95CAFF0E34}"/>
    <hyperlink ref="O3444" r:id="rId10639" display="https://pbs.twimg.com/profile_images/722312123116888064/DwxBRfoE_normal.jpg" xr:uid="{D9063395-AAFA-49F8-829E-10463BC5F0F2}"/>
    <hyperlink ref="B3445" r:id="rId10640" display="https://twitter.com/irenesconcierge" xr:uid="{99C81B3C-5674-4667-9066-9510ACD89889}"/>
    <hyperlink ref="E3445" r:id="rId10641" display="https://twitter.com/irenesconcierge/status/723479562806538240" xr:uid="{06801289-12C6-4805-82F5-C61C4A3D3DAB}"/>
    <hyperlink ref="O3445" r:id="rId10642" display="https://pbs.twimg.com/profile_images/722312123116888064/DwxBRfoE_normal.jpg" xr:uid="{4AD6A0E1-99C7-4358-B859-17AE0EDC5E8B}"/>
    <hyperlink ref="B3446" r:id="rId10643" display="https://twitter.com/BasraSatvinder" xr:uid="{FB460A9C-B3FB-428A-AF65-04BEBCF94BC9}"/>
    <hyperlink ref="E3446" r:id="rId10644" display="https://twitter.com/BasraSatvinder/status/723479602778259459" xr:uid="{43380201-94F1-4A2A-9DE4-9B254FFE2EFD}"/>
    <hyperlink ref="O3446" r:id="rId10645" display="https://abs.twimg.com/sticky/default_profile_images/default_profile_1_normal.png" xr:uid="{AE27104C-E861-4A3F-80FF-27D16F032C42}"/>
    <hyperlink ref="B3447" r:id="rId10646" display="https://twitter.com/DjUenal61" xr:uid="{5E4C3106-7CEE-4365-A91A-F5C5665AA06A}"/>
    <hyperlink ref="E3447" r:id="rId10647" display="https://twitter.com/DjUenal61/status/723479799604383745" xr:uid="{0C06D090-36EB-4BA3-8AEC-B3F5F1B3442F}"/>
    <hyperlink ref="O3447" r:id="rId10648" display="https://pbs.twimg.com/profile_images/719990440708173824/OLxVFpIZ_normal.jpg" xr:uid="{106E601E-122B-4F66-AA11-288DF7117E94}"/>
    <hyperlink ref="B3448" r:id="rId10649" display="https://twitter.com/borsakahini" xr:uid="{2C61493C-079F-4941-9D09-2A7584C2A9F3}"/>
    <hyperlink ref="E3448" r:id="rId10650" display="https://twitter.com/borsakahini/status/723479865870049280" xr:uid="{B83354F5-C64D-4646-9C20-8362607E6719}"/>
    <hyperlink ref="O3448" r:id="rId10651" display="https://pbs.twimg.com/profile_images/709353547398303744/t3Y8Osnt_normal.jpg" xr:uid="{0B25D3B4-5CAD-4737-A3FD-7DA0233377C1}"/>
    <hyperlink ref="B3449" r:id="rId10652" display="https://twitter.com/Ruymi" xr:uid="{B719C017-ECC5-4D4E-A0C5-57F693D0B8F8}"/>
    <hyperlink ref="E3449" r:id="rId10653" display="https://twitter.com/Ruymi/status/723479908073254917" xr:uid="{82A42657-4981-470C-8FDE-BA4CF0CD76EE}"/>
    <hyperlink ref="O3449" r:id="rId10654" display="https://pbs.twimg.com/profile_images/1535569331/IMG00632-20100815-1648_normal.jpg" xr:uid="{F2266C0C-FBCA-4608-9E85-67AC0DE7CC0D}"/>
    <hyperlink ref="B3450" r:id="rId10655" display="https://twitter.com/brummopa" xr:uid="{B6923659-7DB7-4C5F-8DCF-04CAA15232E9}"/>
    <hyperlink ref="E3450" r:id="rId10656" display="https://twitter.com/brummopa/status/723479951752724480" xr:uid="{6FEE53E5-FC1A-4AB7-9DEA-DC1E846EA194}"/>
    <hyperlink ref="O3450" r:id="rId10657" display="https://pbs.twimg.com/profile_images/712961439523291136/iwOS41Cs_normal.jpg" xr:uid="{E6001FAF-A0CC-461D-AE31-510082360D20}"/>
    <hyperlink ref="B3451" r:id="rId10658" display="https://twitter.com/KathrinCalabro" xr:uid="{80DE34CC-0FB1-48AD-9FB0-ED5541DB96CA}"/>
    <hyperlink ref="E3451" r:id="rId10659" display="https://twitter.com/KathrinCalabro/status/723479969310097408" xr:uid="{1EEB7AF3-981A-47D7-AE13-94B1B031151A}"/>
    <hyperlink ref="O3451" r:id="rId10660" display="https://pbs.twimg.com/profile_images/715932303642509312/C27itbCf_normal.jpg" xr:uid="{349F44B4-F8E8-4489-B4BC-AD8AE7D49892}"/>
    <hyperlink ref="B3452" r:id="rId10661" display="https://twitter.com/Carolaayn212" xr:uid="{A0C61C3D-84F2-4847-B681-C88CB5C06DD1}"/>
    <hyperlink ref="E3452" r:id="rId10662" display="https://twitter.com/Carolaayn212/status/723480114915368960" xr:uid="{28D17D65-D135-4840-B367-E2AD5D00D729}"/>
    <hyperlink ref="O3452" r:id="rId10663" display="https://pbs.twimg.com/profile_images/714318878332030976/KvGI7HF9_normal.jpg" xr:uid="{F2990535-6877-42C4-B861-3125226178F8}"/>
    <hyperlink ref="B3453" r:id="rId10664" display="https://twitter.com/Houndsandpeople" xr:uid="{E21D6296-A85B-4974-BED6-FFBB1DA0CA80}"/>
    <hyperlink ref="E3453" r:id="rId10665" display="https://twitter.com/Houndsandpeople/status/723480388203470848" xr:uid="{51593640-54EB-4016-958F-5DAA7EEB0E6C}"/>
    <hyperlink ref="O3453" r:id="rId10666" display="https://pbs.twimg.com/profile_images/477119238809743360/lPTKpsdU_normal.jpeg" xr:uid="{027667CF-780F-450E-83F7-D8FB83EDCD24}"/>
    <hyperlink ref="B3454" r:id="rId10667" display="https://twitter.com/heiseautos" xr:uid="{7A03E584-C89C-42E9-B25A-B96D40FE3804}"/>
    <hyperlink ref="E3454" r:id="rId10668" display="https://twitter.com/heiseautos/status/723480508391391233" xr:uid="{F526049F-8210-4CD6-AA20-67FA0E8DC1D9}"/>
    <hyperlink ref="O3454" r:id="rId10669" display="https://pbs.twimg.com/profile_images/3148361918/04646b66061f733189147ae9618719ac_normal.png" xr:uid="{40A32A0F-08B2-4859-8346-9AE31A0D5E31}"/>
    <hyperlink ref="B3455" r:id="rId10670" display="https://twitter.com/ashmatee" xr:uid="{0073000A-1AE6-430A-A2D0-9E0A5EA78B6F}"/>
    <hyperlink ref="E3455" r:id="rId10671" display="https://twitter.com/ashmatee/status/723480539848683525" xr:uid="{4C7B15DB-90D7-4CB9-AB85-BB7770877965}"/>
    <hyperlink ref="O3455" r:id="rId10672" display="https://pbs.twimg.com/profile_images/718199385910296576/AkHlYPQI_normal.jpg" xr:uid="{4B67867A-E713-4950-A541-F204F68E8062}"/>
    <hyperlink ref="B3456" r:id="rId10673" display="https://twitter.com/aktionaer" xr:uid="{98355977-33F7-4A21-91E1-497D18BA4EBF}"/>
    <hyperlink ref="E3456" r:id="rId10674" display="https://twitter.com/aktionaer/status/723480619775340544" xr:uid="{A3342F75-88E4-439E-BA45-8562DF3A79A9}"/>
    <hyperlink ref="O3456" r:id="rId10675" display="https://pbs.twimg.com/profile_images/679552623641509888/_vPw9IS2_normal.png" xr:uid="{55F1A982-73BB-4173-BA81-40E862ED4F2F}"/>
    <hyperlink ref="B3457" r:id="rId10676" display="https://twitter.com/schulze_ute" xr:uid="{9F491903-E46B-47C6-8353-3AE1A7B9BD7A}"/>
    <hyperlink ref="E3457" r:id="rId10677" display="https://twitter.com/schulze_ute/status/723480670174060545" xr:uid="{8CE9414B-D5E7-4685-9704-8C609F5A2046}"/>
    <hyperlink ref="O3457" r:id="rId10678" display="https://pbs.twimg.com/profile_images/680724023488196609/stQw9ugg_normal.jpg" xr:uid="{62005E32-75CA-4854-9907-8937D906DF00}"/>
    <hyperlink ref="B3458" r:id="rId10679" display="https://twitter.com/fxcalmettes" xr:uid="{FDC7278A-D271-4AF9-81E3-2DBDDA3E0651}"/>
    <hyperlink ref="E3458" r:id="rId10680" display="https://twitter.com/fxcalmettes/status/723480720170188800" xr:uid="{532E5660-DDCC-443F-90C5-1E5A718D11BE}"/>
    <hyperlink ref="O3458" r:id="rId10681" display="https://pbs.twimg.com/profile_images/378800000512113269/a3f258ad366041bc344fc73f4d82c86b_normal.jpeg" xr:uid="{F5E12BF4-2661-4172-8DA1-931C7D8AD6CE}"/>
    <hyperlink ref="B3459" r:id="rId10682" display="https://twitter.com/thebugbar" xr:uid="{F998F159-1C81-4875-BEEC-22DFF70D8E99}"/>
    <hyperlink ref="E3459" r:id="rId10683" display="https://twitter.com/thebugbar/status/723480731712929792" xr:uid="{FE156653-E1FA-42BA-B4DB-A3EBB3D59B66}"/>
    <hyperlink ref="O3459" r:id="rId10684" display="https://pbs.twimg.com/profile_images/2811019625/854e59145fe44a1333afd6f8facf095d_normal.jpeg" xr:uid="{4DA08A9F-5169-4A71-8E23-2BA455D9D32A}"/>
    <hyperlink ref="B3460" r:id="rId10685" display="https://twitter.com/amakanista" xr:uid="{D46481BF-B61F-4F21-ABC0-0A9E450FF8C3}"/>
    <hyperlink ref="E3460" r:id="rId10686" display="https://twitter.com/amakanista/status/723480796367970304" xr:uid="{5A8878A1-30CD-4CC1-B66A-D80702A31AD4}"/>
    <hyperlink ref="O3460" r:id="rId10687" display="https://pbs.twimg.com/profile_images/671960238531067904/FQnB-T0j_normal.jpg" xr:uid="{B162FF5D-4E0B-45A7-9DEB-7642E87525E9}"/>
    <hyperlink ref="B3461" r:id="rId10688" display="https://twitter.com/NDRreporter" xr:uid="{AAF5E552-8DEC-42A9-BC1D-7CCD6EEA5A95}"/>
    <hyperlink ref="E3461" r:id="rId10689" display="https://twitter.com/NDRreporter/status/723480892291833856" xr:uid="{CE759DE2-9552-4BC3-B674-6AED0FB863F3}"/>
    <hyperlink ref="O3461" r:id="rId10690" display="https://pbs.twimg.com/profile_images/466908605317279744/I5a712BQ_normal.jpeg" xr:uid="{5D030CB2-6A9E-492B-B8DF-A67844ECC5A7}"/>
    <hyperlink ref="B3462" r:id="rId10691" display="https://twitter.com/Echo_Online" xr:uid="{AE51CE13-316C-420F-A09C-DCBAA7B55050}"/>
    <hyperlink ref="E3462" r:id="rId10692" display="https://twitter.com/Echo_Online/status/723481184911679488" xr:uid="{276C11FD-F68E-4F3B-A4EA-DE40D8F05619}"/>
    <hyperlink ref="O3462" r:id="rId10693" display="https://pbs.twimg.com/profile_images/463708805474160640/5MzYTbEb_normal.png" xr:uid="{BC80C97B-68F1-46E0-8F31-7B78FE940DDA}"/>
    <hyperlink ref="B3463" r:id="rId10694" display="https://twitter.com/GACCColorado" xr:uid="{CE4347E0-1F0F-44B7-B4EF-F4C472625949}"/>
    <hyperlink ref="E3463" r:id="rId10695" display="https://twitter.com/GACCColorado/status/723481252632866816" xr:uid="{30D8D210-44A0-47DE-939A-E5639EF9ABB2}"/>
    <hyperlink ref="O3463" r:id="rId10696" display="https://pbs.twimg.com/profile_images/434425163216474112/KtOuHIkV_normal.jpeg" xr:uid="{A6C46DA7-B200-4107-8D25-1C72FE46275C}"/>
    <hyperlink ref="B3464" r:id="rId10697" display="https://twitter.com/RobertsBlog" xr:uid="{DA21EFE9-DBF2-403D-91AD-79E639088CA2}"/>
    <hyperlink ref="E3464" r:id="rId10698" display="https://twitter.com/RobertsBlog/status/723481346530775044" xr:uid="{686F9627-9E3D-4708-9A35-196B11AF0EE1}"/>
    <hyperlink ref="O3464" r:id="rId10699" display="https://pbs.twimg.com/profile_images/241933023/cropped-lingenems3_normal.jpg" xr:uid="{FC1EE47A-6107-4D76-8E61-2F0FE7555447}"/>
    <hyperlink ref="B3465" r:id="rId10700" display="https://twitter.com/Adriacaravans" xr:uid="{18349786-45E1-404D-9246-EF8AB74A0AA1}"/>
    <hyperlink ref="E3465" r:id="rId10701" display="https://twitter.com/Adriacaravans/status/723481476071874560" xr:uid="{7BFE7FFA-59C5-4E25-AC36-B01E63C75C9B}"/>
    <hyperlink ref="O3465" r:id="rId10702" display="https://pbs.twimg.com/profile_images/418719708670468096/tPzJiLw7_normal.png" xr:uid="{D6A7DDCD-E903-42A9-B4B4-4C8BC015F9BE}"/>
    <hyperlink ref="B3466" r:id="rId10703" display="https://twitter.com/GACCColorado" xr:uid="{A3F72A81-0D3B-438E-81FC-403BE4F6E001}"/>
    <hyperlink ref="E3466" r:id="rId10704" display="https://twitter.com/GACCColorado/status/723481481125965826" xr:uid="{4C8E77F1-66AA-4083-AE70-092BD8F6E9BE}"/>
    <hyperlink ref="O3466" r:id="rId10705" display="https://pbs.twimg.com/profile_images/434425163216474112/KtOuHIkV_normal.jpeg" xr:uid="{6AE46907-3D8B-433D-A607-75CAE35A095B}"/>
    <hyperlink ref="B3467" r:id="rId10706" display="https://twitter.com/doern" xr:uid="{9934F513-F61E-45FE-8FA0-025D5E717334}"/>
    <hyperlink ref="E3467" r:id="rId10707" display="https://twitter.com/doern/status/723481545240137728" xr:uid="{69C660C2-879D-4B78-A4AC-CA6B32FF1C0D}"/>
    <hyperlink ref="O3467" r:id="rId10708" display="https://pbs.twimg.com/profile_images/657853466384191488/J6vAnfZr_normal.jpg" xr:uid="{4B2AD53E-0F80-4096-B846-CA0B299F88D1}"/>
    <hyperlink ref="B3468" r:id="rId10709" display="https://twitter.com/Auto2day_gr" xr:uid="{CF545CDA-5676-4A30-A8E8-143016CAC2F2}"/>
    <hyperlink ref="E3468" r:id="rId10710" display="https://twitter.com/Auto2day_gr/status/723481552777154560" xr:uid="{DBE91AEE-FEA8-4885-8E4D-43A9A52AA3BF}"/>
    <hyperlink ref="O3468" r:id="rId10711" display="https://pbs.twimg.com/profile_images/684439034580570112/xeZrDF8k_normal.jpg" xr:uid="{C7FCB49C-B2AE-44EC-ADD5-87EB21FCE2C2}"/>
    <hyperlink ref="B3469" r:id="rId10712" display="https://twitter.com/sfchronicle" xr:uid="{D8977383-376C-47BF-AC36-83397B286CC6}"/>
    <hyperlink ref="E3469" r:id="rId10713" display="https://twitter.com/sfchronicle/status/723481603058495489" xr:uid="{D410D55D-9579-4B60-BDDC-9ED74584BA52}"/>
    <hyperlink ref="O3469" r:id="rId10714" display="https://pbs.twimg.com/profile_images/695773573919543296/Q1mS960c_normal.jpg" xr:uid="{9C56B835-B79D-4CD7-B0C6-3C6C61097FCA}"/>
    <hyperlink ref="B3470" r:id="rId10715" display="https://twitter.com/rgoverstreet" xr:uid="{2E7469B2-AC2B-4F83-9448-176870B72CE0}"/>
    <hyperlink ref="E3470" r:id="rId10716" display="https://twitter.com/rgoverstreet/status/723481681630400514" xr:uid="{5F9E9D09-B3C4-41C7-80FB-7B99EDB272C4}"/>
    <hyperlink ref="O3470" r:id="rId10717" display="https://pbs.twimg.com/profile_images/511300315228811264/sT0G3pjp_normal.jpeg" xr:uid="{ABF94F9E-FF4F-45E6-AEAE-EAA3FD0382A0}"/>
    <hyperlink ref="B3471" r:id="rId10718" display="https://twitter.com/marktzimopoulos" xr:uid="{F389774B-D4C1-49ED-8FEB-1891E01D1241}"/>
    <hyperlink ref="E3471" r:id="rId10719" display="https://twitter.com/marktzimopoulos/status/723481735544078338" xr:uid="{83528CCD-4ACB-410A-9044-C53E38700570}"/>
    <hyperlink ref="O3471" r:id="rId10720" display="https://pbs.twimg.com/profile_images/519260450966732800/UKt2i1k8_normal.jpeg" xr:uid="{2897D457-1C40-4163-87AA-E8D8D57166EC}"/>
    <hyperlink ref="B3472" r:id="rId10721" display="https://twitter.com/amsonline" xr:uid="{B813BAC6-5F88-43E9-8FD7-9AB4B48052FC}"/>
    <hyperlink ref="E3472" r:id="rId10722" display="https://twitter.com/amsonline/status/723481809531465731" xr:uid="{3A1EC4B7-7305-472B-8241-E7EF0C5ABA4C}"/>
    <hyperlink ref="O3472" r:id="rId10723" display="https://pbs.twimg.com/profile_images/458901987019333632/7FGKPDVB_normal.png" xr:uid="{B1AB463D-7E07-4C6D-8CE4-0431E34B8C43}"/>
    <hyperlink ref="B3473" r:id="rId10724" display="https://twitter.com/AndyGER" xr:uid="{B99411E2-4E13-465F-9455-B8C35DDB061A}"/>
    <hyperlink ref="E3473" r:id="rId10725" display="https://twitter.com/AndyGER/status/723481999936237569" xr:uid="{9FC217FA-976E-47FC-844D-CB7E10C838B4}"/>
    <hyperlink ref="O3473" r:id="rId10726" display="https://pbs.twimg.com/profile_images/722397159664934912/FokUg6EX_normal.jpg" xr:uid="{C025676A-F330-441B-B33C-1A3F600E0C1B}"/>
    <hyperlink ref="B3474" r:id="rId10727" display="https://twitter.com/CornwallBzForum" xr:uid="{635DE20E-99D2-4698-879D-BC47C22209D2}"/>
    <hyperlink ref="E3474" r:id="rId10728" display="https://twitter.com/CornwallBzForum/status/723482360956727296" xr:uid="{3DB9CB54-13B3-4990-9681-32D809654AA5}"/>
    <hyperlink ref="O3474" r:id="rId10729" display="https://pbs.twimg.com/profile_images/3120330421/18166a7606798b1cd07c5596ffc4001f_normal.png" xr:uid="{A8A15721-8ADD-48EA-956B-C8F752D0637C}"/>
    <hyperlink ref="B3475" r:id="rId10730" display="https://twitter.com/ThaboRamzy" xr:uid="{9045DE45-9207-456C-AA9A-C218B10AC1DA}"/>
    <hyperlink ref="E3475" r:id="rId10731" display="https://twitter.com/ThaboRamzy/status/723482371815792640" xr:uid="{D3B126CE-8792-42F4-B2A5-FB37C1039DDD}"/>
    <hyperlink ref="O3475" r:id="rId10732" display="https://pbs.twimg.com/profile_images/684659482425716736/ghsbG3NM_normal.jpg" xr:uid="{BD4DD621-3796-4674-9365-1EE15C2D5209}"/>
    <hyperlink ref="B3476" r:id="rId10733" display="https://twitter.com/RiskContainment" xr:uid="{935CAC69-EE22-4EFA-84FB-EFD6D876DDC5}"/>
    <hyperlink ref="E3476" r:id="rId10734" display="https://twitter.com/RiskContainment/status/723482462056226816" xr:uid="{D7EA8F09-F34B-40CE-9B6F-4BB8DCC1D2F7}"/>
    <hyperlink ref="O3476" r:id="rId10735" display="https://pbs.twimg.com/profile_images/875846983/Twitter_normal.JPG" xr:uid="{16F6795F-FADA-4978-A48F-4C639A7D7240}"/>
    <hyperlink ref="B3477" r:id="rId10736" display="https://twitter.com/chronsucks" xr:uid="{93647C6F-CBEE-456B-A00E-54A628F0CD2E}"/>
    <hyperlink ref="E3477" r:id="rId10737" display="https://twitter.com/chronsucks/status/723482465193627648" xr:uid="{E9D8097B-6065-48A9-8B5F-E6E538EA79AD}"/>
    <hyperlink ref="O3477" r:id="rId10738" display="https://abs.twimg.com/sticky/default_profile_images/default_profile_0_normal.png" xr:uid="{52E04E47-A9F4-47EC-82F1-305E23931A2B}"/>
    <hyperlink ref="B3478" r:id="rId10739" display="https://twitter.com/beetlebug1938" xr:uid="{D9620547-41BD-4D34-8524-B2922BD36A3C}"/>
    <hyperlink ref="E3478" r:id="rId10740" display="https://twitter.com/beetlebug1938/status/723482662955040768" xr:uid="{CFD6A55D-597C-46DF-9C6C-5B50D235FFC7}"/>
    <hyperlink ref="O3478" r:id="rId10741" display="https://pbs.twimg.com/profile_images/718820712757215233/LXXndPTS_normal.jpg" xr:uid="{BAF1CC9A-5618-4780-AE74-BED89507BBDE}"/>
    <hyperlink ref="B3479" r:id="rId10742" display="https://twitter.com/beetlebug1938" xr:uid="{B0F93685-692F-404A-88CA-402CA15D3EC0}"/>
    <hyperlink ref="E3479" r:id="rId10743" display="https://twitter.com/beetlebug1938/status/723482675760246784" xr:uid="{4DE94D44-E018-4F78-87F8-85F61781BEDA}"/>
    <hyperlink ref="O3479" r:id="rId10744" display="https://pbs.twimg.com/profile_images/718820712757215233/LXXndPTS_normal.jpg" xr:uid="{240D7776-1E72-42D9-A553-236F47BE0D2E}"/>
    <hyperlink ref="B3480" r:id="rId10745" display="https://twitter.com/beetlebug1938" xr:uid="{EAE9592B-D9E1-46A1-9AD0-5D15689EA079}"/>
    <hyperlink ref="E3480" r:id="rId10746" display="https://twitter.com/beetlebug1938/status/723482688036999168" xr:uid="{3A3CAFF8-128D-4DD4-AEFD-C79DAAA0B90A}"/>
    <hyperlink ref="O3480" r:id="rId10747" display="https://pbs.twimg.com/profile_images/718820712757215233/LXXndPTS_normal.jpg" xr:uid="{689561B5-8326-479B-920B-F0B476A9ACA8}"/>
    <hyperlink ref="B3481" r:id="rId10748" display="https://twitter.com/beetlebug1938" xr:uid="{B172C6A7-2824-4809-ABB4-2341D86213AE}"/>
    <hyperlink ref="E3481" r:id="rId10749" display="https://twitter.com/beetlebug1938/status/723482738377035776" xr:uid="{8A31D52B-CC61-4B25-AFA0-348FD9753963}"/>
    <hyperlink ref="O3481" r:id="rId10750" display="https://pbs.twimg.com/profile_images/718820712757215233/LXXndPTS_normal.jpg" xr:uid="{498C718D-0FA4-4FA9-A060-EC2D5B6E50E3}"/>
    <hyperlink ref="B3482" r:id="rId10751" display="https://twitter.com/srfnews" xr:uid="{4C308247-0D04-4A48-ABDA-D110685966D2}"/>
    <hyperlink ref="E3482" r:id="rId10752" display="https://twitter.com/srfnews/status/723483078593662977" xr:uid="{CB4BE81D-8FA4-4CFC-A3C1-2777CE8DFCFF}"/>
    <hyperlink ref="O3482" r:id="rId10753" display="https://pbs.twimg.com/profile_images/471294691783098369/x9C02baa_normal.png" xr:uid="{D10E069B-C661-44DB-9F15-0CEB1AED39D8}"/>
    <hyperlink ref="B3483" r:id="rId10754" display="https://twitter.com/JSCarSpares" xr:uid="{E9223F32-5145-4BE9-AE8C-03035532B26F}"/>
    <hyperlink ref="E3483" r:id="rId10755" display="https://twitter.com/JSCarSpares/status/723483298819760129" xr:uid="{B0AB26FE-3AA7-4EE5-AF5C-7DE7575CA0D4}"/>
    <hyperlink ref="O3483" r:id="rId10756" display="https://pbs.twimg.com/profile_images/572145639056625664/wMUT3DKT_normal.jpeg" xr:uid="{99E78F84-206A-42B8-B76E-22ABC2FF7367}"/>
    <hyperlink ref="B3484" r:id="rId10757" display="https://twitter.com/Ikoniclondon" xr:uid="{29A79E36-82DD-485C-9C0F-7724567BF73D}"/>
    <hyperlink ref="E3484" r:id="rId10758" display="https://twitter.com/Ikoniclondon/status/723483577980182528" xr:uid="{310C029A-3FA0-4616-B85C-25C62B8C9FC4}"/>
    <hyperlink ref="O3484" r:id="rId10759" display="https://pbs.twimg.com/profile_images/3003211219/5eb0510a3d8f48f25da10db3e595b7a0_normal.png" xr:uid="{71FEEE8E-59B3-464F-9877-8543F66C9F2F}"/>
    <hyperlink ref="B3485" r:id="rId10760" display="https://twitter.com/firstvehicle" xr:uid="{1776425F-E9DC-4578-ADAF-1BC2D9329611}"/>
    <hyperlink ref="E3485" r:id="rId10761" display="https://twitter.com/firstvehicle/status/723483757815185408" xr:uid="{41A29564-3ADE-4B3D-861E-0131901C68BF}"/>
    <hyperlink ref="O3485" r:id="rId10762" display="https://pbs.twimg.com/profile_images/2605357482/6lz7whsneokrjw5grpxf_normal.jpeg" xr:uid="{A5DE5E33-6929-4057-BDEC-DBA4D5BF2889}"/>
    <hyperlink ref="B3486" r:id="rId10763" display="https://twitter.com/OnlineCarReview" xr:uid="{0B5DD02C-DB0F-48A2-8F36-ED143120ECA3}"/>
    <hyperlink ref="E3486" r:id="rId10764" display="https://twitter.com/OnlineCarReview/status/723483967140175872" xr:uid="{AFF10F5F-1759-4D9E-9669-76B0C49D8876}"/>
    <hyperlink ref="O3486" r:id="rId10765" display="https://pbs.twimg.com/profile_images/652871584131092480/QA_B6SBO_normal.jpg" xr:uid="{51010F42-6D40-4D70-8C77-7F19B8DB079E}"/>
    <hyperlink ref="B3487" r:id="rId10766" display="https://twitter.com/carlesplb" xr:uid="{481AAE19-2E1C-4F07-B44F-C22E07E5888B}"/>
    <hyperlink ref="E3487" r:id="rId10767" display="https://twitter.com/carlesplb/status/723484004960317441" xr:uid="{ADC07CEA-9ADF-4131-ADBF-0D8541AE4C3D}"/>
    <hyperlink ref="O3487" r:id="rId10768" display="https://pbs.twimg.com/profile_images/722136979505332225/yuEXbKI2_normal.jpg" xr:uid="{F3960CCD-64B0-47C9-934E-7DC8730616D4}"/>
    <hyperlink ref="B3488" r:id="rId10769" display="https://twitter.com/CayleThompson" xr:uid="{2C809FE4-6DB4-446F-843F-85888411C5C9}"/>
    <hyperlink ref="E3488" r:id="rId10770" display="https://twitter.com/CayleThompson/status/723484133037481985" xr:uid="{C4309202-F80D-4715-81D5-E9921208FD83}"/>
    <hyperlink ref="O3488" r:id="rId10771" display="https://pbs.twimg.com/profile_images/716995882105712642/kGYcr4G-_normal.jpg" xr:uid="{403195A6-2A22-47CA-84BE-D2B8287ECCB2}"/>
    <hyperlink ref="B3489" r:id="rId10772" display="https://twitter.com/networkimages" xr:uid="{BA713E1A-3FAD-4BB9-95B1-7FC79A46F10E}"/>
    <hyperlink ref="E3489" r:id="rId10773" display="https://twitter.com/networkimages/status/723484226537041920" xr:uid="{5F90C07C-21E6-46F8-8776-331B609AEFCA}"/>
    <hyperlink ref="O3489" r:id="rId10774" display="https://pbs.twimg.com/profile_images/618480038120423424/5KWa6rCE_normal.jpg" xr:uid="{11642838-55D2-4301-BC25-32269F22B8F2}"/>
    <hyperlink ref="B3490" r:id="rId10775" display="https://twitter.com/dennis_goodwin" xr:uid="{0C513633-3DC2-4FF9-A1C2-3EFF56770B8A}"/>
    <hyperlink ref="E3490" r:id="rId10776" display="https://twitter.com/dennis_goodwin/status/723484334490025988" xr:uid="{B4FDB94C-366C-443B-A7DC-515C1F8740A1}"/>
    <hyperlink ref="O3490" r:id="rId10777" display="https://pbs.twimg.com/profile_images/590413270160379905/f7wFIkoK_normal.jpg" xr:uid="{146BFC09-0F98-4F6E-9640-7E3097FBB2D7}"/>
    <hyperlink ref="B3491" r:id="rId10778" display="https://twitter.com/JanruPekozete" xr:uid="{5A9E1683-4624-44C5-8854-57F6A5DEA1AF}"/>
    <hyperlink ref="E3491" r:id="rId10779" display="https://twitter.com/JanruPekozete/status/723484339888132102" xr:uid="{CDA7BC3D-4C0A-41C0-9184-153DC748A88C}"/>
    <hyperlink ref="O3491" r:id="rId10780" display="https://pbs.twimg.com/profile_images/694200752730959872/s5I5Qqus_normal.jpg" xr:uid="{9AAFEB6D-D2E6-47A1-AB5A-1F142386D2CE}"/>
    <hyperlink ref="B3492" r:id="rId10781" display="https://twitter.com/MercedesOffApp" xr:uid="{6484D038-358C-4791-9122-CD16F2D573AE}"/>
    <hyperlink ref="E3492" r:id="rId10782" display="https://twitter.com/MercedesOffApp/status/723484676430536704" xr:uid="{66CFCF23-1138-42DA-916A-9397E78F54CA}"/>
    <hyperlink ref="O3492" r:id="rId10783" display="https://pbs.twimg.com/profile_images/685522044365193221/CKuuQACr_normal.png" xr:uid="{2B476980-6027-4545-83CD-C97C05F1BE3A}"/>
    <hyperlink ref="B3493" r:id="rId10784" display="https://twitter.com/helenachumphrey" xr:uid="{023D366C-971E-4BA0-97D5-287707812FA7}"/>
    <hyperlink ref="E3493" r:id="rId10785" display="https://twitter.com/helenachumphrey/status/723484702145929216" xr:uid="{93F000FE-A169-4C1A-90A5-79DBAD6AB18A}"/>
    <hyperlink ref="O3493" r:id="rId10786" display="https://pbs.twimg.com/profile_images/697210669771419648/O7a-8quV_normal.jpg" xr:uid="{ABBA2397-E820-4E69-9758-754400C14009}"/>
    <hyperlink ref="B3494" r:id="rId10787" display="https://twitter.com/beuc" xr:uid="{D18ED2EA-57B7-4B90-BE91-551568C0E3DE}"/>
    <hyperlink ref="E3494" r:id="rId10788" display="https://twitter.com/beuc/status/723485011433811969" xr:uid="{1AA5E8A9-75A1-404C-8B66-065BFCFA6926}"/>
    <hyperlink ref="O3494" r:id="rId10789" display="https://pbs.twimg.com/profile_images/1749790667/twitter_normal.jpg" xr:uid="{5A9A5F24-19B4-4C82-A715-835B1A9BFE0C}"/>
    <hyperlink ref="B3495" r:id="rId10790" display="https://twitter.com/SwissJacker" xr:uid="{53F468A9-CC32-4416-A43C-DBC8B8C74C52}"/>
    <hyperlink ref="E3495" r:id="rId10791" display="https://twitter.com/SwissJacker/status/723485063304863746" xr:uid="{AD0DFE44-3876-4FED-9394-867E11805C0F}"/>
    <hyperlink ref="O3495" r:id="rId10792" display="https://pbs.twimg.com/profile_images/668530738350964736/VEdSPpil_normal.jpg" xr:uid="{DAE61139-66EC-4D19-B1D1-6DABF38C3459}"/>
    <hyperlink ref="B3496" r:id="rId10793" display="https://twitter.com/gerhard_heilig" xr:uid="{9EE50E69-C3F5-4FF8-AE8B-6DAE401415EC}"/>
    <hyperlink ref="E3496" r:id="rId10794" display="https://twitter.com/gerhard_heilig/status/723485204942344193" xr:uid="{8BD98221-E3EF-4BDE-BCB9-E6E6BBDBF04B}"/>
    <hyperlink ref="O3496" r:id="rId10795" display="https://pbs.twimg.com/profile_images/701671471966502913/eAUhJtts_normal.jpg" xr:uid="{5897B572-A6EE-4BD1-8222-80CEBD1BB191}"/>
    <hyperlink ref="B3497" r:id="rId10796" display="https://twitter.com/updatestrends" xr:uid="{F19AD452-FB2E-48F6-9C7D-3196A74057A2}"/>
    <hyperlink ref="E3497" r:id="rId10797" display="https://twitter.com/updatestrends/status/723485366158647296" xr:uid="{3C873818-5952-4BDB-95DA-D50106CB768F}"/>
    <hyperlink ref="O3497" r:id="rId10798" display="https://pbs.twimg.com/profile_images/538948772424728576/h1kppaOP_normal.jpeg" xr:uid="{DB0E53EB-A361-468D-BC4C-D69AB5238CC4}"/>
    <hyperlink ref="B3498" r:id="rId10799" display="https://twitter.com/le_quotidien_lu" xr:uid="{E5379DFC-7A19-44A7-88C5-5A76D5E7307A}"/>
    <hyperlink ref="E3498" r:id="rId10800" display="https://twitter.com/le_quotidien_lu/status/723485505204158465" xr:uid="{156D9239-86D3-40EF-96E6-131B1FDE7B9A}"/>
    <hyperlink ref="O3498" r:id="rId10801" display="https://pbs.twimg.com/profile_images/671717924802023425/RXgRF9p-_normal.jpg" xr:uid="{B94D5EF1-39B6-4F0E-B96C-FDE764C9F7BC}"/>
    <hyperlink ref="B3499" r:id="rId10802" display="https://twitter.com/apronline" xr:uid="{A79E3BE8-068A-443E-BAED-1470F375C445}"/>
    <hyperlink ref="E3499" r:id="rId10803" display="https://twitter.com/apronline/status/723485550800453634" xr:uid="{4E6B3E4C-340A-4003-B41E-BE33902C709E}"/>
    <hyperlink ref="O3499" r:id="rId10804" display="https://pbs.twimg.com/profile_images/1249555569/apr_twitter_normal.jpg" xr:uid="{D27A0E2C-75BB-4A4B-8D26-5AE3DEB8020A}"/>
    <hyperlink ref="B3500" r:id="rId10805" display="https://twitter.com/MKIVR" xr:uid="{AD90FC0C-58F1-492F-9368-C5F8BE275FA8}"/>
    <hyperlink ref="E3500" r:id="rId10806" display="https://twitter.com/MKIVR/status/723485561877467141" xr:uid="{D3CF804C-F170-4202-A41A-3D97D06BB292}"/>
    <hyperlink ref="O3500" r:id="rId10807" display="https://pbs.twimg.com/profile_images/717932064897675264/kdc4V-6b_normal.jpg" xr:uid="{03F1829E-876A-4B8D-A822-DB297A358D60}"/>
    <hyperlink ref="B3501" r:id="rId10808" display="https://twitter.com/deutch_az" xr:uid="{2C173F67-BBA5-4FCB-AA7E-548A970037D6}"/>
    <hyperlink ref="E3501" r:id="rId10809" display="https://twitter.com/deutch_az/status/723485567116259329" xr:uid="{D3FE004A-1509-42E9-BB59-D1F61EE1485F}"/>
    <hyperlink ref="O3501" r:id="rId10810" display="https://pbs.twimg.com/profile_images/659295730222280705/W1FqHCVo_normal.jpg" xr:uid="{5544A275-C867-4506-93FA-C5A67D0A5F16}"/>
    <hyperlink ref="B3502" r:id="rId10811" display="https://twitter.com/GecoGordon" xr:uid="{A76F211D-A282-432D-899B-B3261410ABD5}"/>
    <hyperlink ref="E3502" r:id="rId10812" display="https://twitter.com/GecoGordon/status/723485649588903941" xr:uid="{3E883F55-EF53-467A-ABEE-ACA819F8C16F}"/>
    <hyperlink ref="O3502" r:id="rId10813" display="https://pbs.twimg.com/profile_images/378800000505768436/b3aa9c71fd8ab9d43b6048fa60eeec23_normal.jpeg" xr:uid="{15CB23C8-5445-42F7-85BA-18FCBC652567}"/>
    <hyperlink ref="B3503" r:id="rId10814" display="https://twitter.com/dermaschinist" xr:uid="{B46FBA77-4FAF-4930-8A2B-BF977547C35F}"/>
    <hyperlink ref="E3503" r:id="rId10815" display="https://twitter.com/dermaschinist/status/723485765490061312" xr:uid="{32B25D6D-A8C2-403B-B394-86359A5DBABF}"/>
    <hyperlink ref="O3503" r:id="rId10816" display="https://pbs.twimg.com/profile_images/2990215932/3d67f4dbdf71510d4c8e81b422b73de8_normal.jpeg" xr:uid="{6CC14B3B-659A-41E3-B130-E9CC0815DD7C}"/>
    <hyperlink ref="B3504" r:id="rId10817" display="https://twitter.com/christophnebgen" xr:uid="{E1C954F1-B555-4284-9BAC-A58C1C76251E}"/>
    <hyperlink ref="E3504" r:id="rId10818" display="https://twitter.com/christophnebgen/status/723486125071982593" xr:uid="{8F880770-B489-46C9-8EE9-106968288A0E}"/>
    <hyperlink ref="O3504" r:id="rId10819" display="https://pbs.twimg.com/profile_images/684732765040979968/9XRwAo0N_normal.jpg" xr:uid="{1161B3CC-C409-45A9-B3D1-E9835E6BEA58}"/>
    <hyperlink ref="B3505" r:id="rId10820" display="https://twitter.com/Mibran_de" xr:uid="{81A47DBE-230E-41DE-B65D-4E5FD2043B40}"/>
    <hyperlink ref="E3505" r:id="rId10821" display="https://twitter.com/Mibran_de/status/723486125545930752" xr:uid="{86EA3AB2-E7FB-4E67-B3D8-2C5C8C07C901}"/>
    <hyperlink ref="O3505" r:id="rId10822" display="https://pbs.twimg.com/profile_images/417981422599544833/ZyqPIdAf_normal.png" xr:uid="{32736023-8BFD-4896-8528-95C8D4B67A93}"/>
    <hyperlink ref="B3506" r:id="rId10823" display="https://twitter.com/FrVision" xr:uid="{6B43AC28-C304-4C5E-8AFA-3D142192451C}"/>
    <hyperlink ref="E3506" r:id="rId10824" display="https://twitter.com/FrVision/status/723486185893580800" xr:uid="{2AD73B39-533F-426B-A9D9-0D45FB20A5A1}"/>
    <hyperlink ref="O3506" r:id="rId10825" display="https://pbs.twimg.com/profile_images/655324200245272576/n6_8jlJ2_normal.jpg" xr:uid="{593D730C-1A9B-4DA1-8D63-95003ADE1CD3}"/>
    <hyperlink ref="B3507" r:id="rId10826" display="https://twitter.com/avariluna" xr:uid="{7ACBF124-F306-4DFA-AA4E-B49D564491DB}"/>
    <hyperlink ref="E3507" r:id="rId10827" display="https://twitter.com/avariluna/status/723486326859939840" xr:uid="{E301AD06-D791-4D67-B64F-A7BA2162087B}"/>
    <hyperlink ref="O3507" r:id="rId10828" display="https://pbs.twimg.com/profile_images/711081571940507648/Ly_okc0__normal.jpg" xr:uid="{D7F6D8FD-7C1C-4BE6-928A-C3CD897E8E6B}"/>
    <hyperlink ref="B3508" r:id="rId10829" display="https://twitter.com/hansjaaggi" xr:uid="{43C7F732-7910-4BA0-A1F6-E417C13398A7}"/>
    <hyperlink ref="E3508" r:id="rId10830" display="https://twitter.com/hansjaaggi/status/723486366156382208" xr:uid="{CB3DE275-F79C-490B-9A91-C5B654DA0053}"/>
    <hyperlink ref="O3508" r:id="rId10831" display="https://pbs.twimg.com/profile_images/452789313554907137/h-Q_0Rw0_normal.jpeg" xr:uid="{D4E791C0-78BB-4E33-A582-0DD151D9F50C}"/>
    <hyperlink ref="B3509" r:id="rId10832" display="https://twitter.com/flottenkenner" xr:uid="{8BC0B1B7-C326-4BAD-B484-E3DB1914F97D}"/>
    <hyperlink ref="E3509" r:id="rId10833" display="https://twitter.com/flottenkenner/status/723486544770793472" xr:uid="{781C177F-94BB-46A5-B7C7-FEA206FA8DC2}"/>
    <hyperlink ref="O3509" r:id="rId10834" display="https://pbs.twimg.com/profile_images/565209973353771008/JyTl73gv_normal.png" xr:uid="{07020848-6B07-4032-B7A3-4809383EFBB6}"/>
    <hyperlink ref="B3510" r:id="rId10835" display="https://twitter.com/angulosiete" xr:uid="{50764770-2886-48A5-9D1D-F831E9D67106}"/>
    <hyperlink ref="E3510" r:id="rId10836" display="https://twitter.com/angulosiete/status/723486595714809856" xr:uid="{E147B35C-FBE3-4E75-9742-DF1DD99C985D}"/>
    <hyperlink ref="O3510" r:id="rId10837" display="https://pbs.twimg.com/profile_images/662021761534332932/p5J2iws__normal.jpg" xr:uid="{A2E1D75E-F5B5-4FAB-B943-5C11052F2C95}"/>
    <hyperlink ref="B3511" r:id="rId10838" display="https://twitter.com/DrummerBrown" xr:uid="{3BEB7F07-631A-400A-80F4-C288971D4C0A}"/>
    <hyperlink ref="E3511" r:id="rId10839" display="https://twitter.com/DrummerBrown/status/723487268971810816" xr:uid="{38313370-33F6-4E2D-905A-2DC012AD424B}"/>
    <hyperlink ref="O3511" r:id="rId10840" display="https://pbs.twimg.com/profile_images/1258200843/image_normal.jpg" xr:uid="{8E5A9559-35B6-45C0-A7AD-6CABBDE48A6C}"/>
    <hyperlink ref="B3512" r:id="rId10841" display="https://twitter.com/VWBeetleSales" xr:uid="{07BEABAE-AE65-471F-BFBF-900525ADD695}"/>
    <hyperlink ref="E3512" r:id="rId10842" display="https://twitter.com/VWBeetleSales/status/723487548899622912" xr:uid="{1BCCF4A2-FB58-4139-9152-7498A8DF4F48}"/>
    <hyperlink ref="F3512" r:id="rId10843" xr:uid="{37246CD4-3420-497D-834F-3F729E0EBA98}"/>
    <hyperlink ref="O3512" r:id="rId10844" display="https://pbs.twimg.com/profile_images/703294545195307008/qeCvrX86_normal.jpg" xr:uid="{1C916F52-1B72-4759-A512-DCED8861F8BC}"/>
    <hyperlink ref="B3513" r:id="rId10845" display="https://twitter.com/mobile_gis" xr:uid="{ACF9040D-8204-4C2D-996D-4A2FF6477E41}"/>
    <hyperlink ref="E3513" r:id="rId10846" display="https://twitter.com/mobile_gis/status/723487554650124288" xr:uid="{00A70862-7428-4BAC-B170-70E4833435C3}"/>
    <hyperlink ref="O3513" r:id="rId10847" display="https://pbs.twimg.com/profile_images/709537836119289856/ToSxXNcU_normal.jpg" xr:uid="{E712AA8C-E5BB-4A52-9199-4B30DD0BE0E4}"/>
    <hyperlink ref="B3514" r:id="rId10848" display="https://twitter.com/thebugbar" xr:uid="{2ADBBEFF-ADF7-4D37-B4C1-97F04B4B661A}"/>
    <hyperlink ref="E3514" r:id="rId10849" display="https://twitter.com/thebugbar/status/723487798829944832" xr:uid="{448B43B1-D738-4167-9EAF-675676675477}"/>
    <hyperlink ref="O3514" r:id="rId10850" display="https://pbs.twimg.com/profile_images/2811019625/854e59145fe44a1333afd6f8facf095d_normal.jpeg" xr:uid="{406ADF80-68E9-41B9-9304-A6E6409349E4}"/>
    <hyperlink ref="B3515" r:id="rId10851" display="https://twitter.com/martin_speer" xr:uid="{CF631ED6-CFDE-4748-825D-659BE93DB234}"/>
    <hyperlink ref="E3515" r:id="rId10852" display="https://twitter.com/martin_speer/status/723487937229414400" xr:uid="{E55F317B-A49A-4D99-8BEA-368E21E8ED36}"/>
    <hyperlink ref="O3515" r:id="rId10853" display="https://pbs.twimg.com/profile_images/499290018368598016/4mR--6E5_normal.jpeg" xr:uid="{B117A7B6-EEC0-443E-B1FC-DE56760A04C9}"/>
    <hyperlink ref="B3516" r:id="rId10854" display="https://twitter.com/richgoodingcom" xr:uid="{92E7BA75-A28F-420E-AA97-5033D3F7BA8C}"/>
    <hyperlink ref="E3516" r:id="rId10855" display="https://twitter.com/richgoodingcom/status/723488039268282371" xr:uid="{CC0CEAF5-2360-4C74-9A77-7F2470FD221B}"/>
    <hyperlink ref="O3516" r:id="rId10856" display="https://pbs.twimg.com/profile_images/626150798590902273/qUbM1D-g_normal.jpg" xr:uid="{4B203D5C-3CD1-4CF0-BAD7-F24970926209}"/>
    <hyperlink ref="B3517" r:id="rId10857" display="https://twitter.com/rosco1407" xr:uid="{038D015E-3F59-44B1-B0E1-300BA0DD2475}"/>
    <hyperlink ref="E3517" r:id="rId10858" display="https://twitter.com/rosco1407/status/723488071535198208" xr:uid="{19A8BF4E-789E-4760-8D05-7ED7100B8C6A}"/>
    <hyperlink ref="O3517" r:id="rId10859" display="https://pbs.twimg.com/profile_images/647389023208636417/IRzMwcS4_normal.jpg" xr:uid="{00713CE5-4A0F-4F1A-BFF6-BD778D1FD116}"/>
    <hyperlink ref="B3518" r:id="rId10860" display="https://twitter.com/edubtrips" xr:uid="{A5BD90D2-B46A-468B-BD78-36A89E30F12D}"/>
    <hyperlink ref="E3518" r:id="rId10861" display="https://twitter.com/edubtrips/status/723488295515246593" xr:uid="{4C1E2D50-7C70-4244-A6A3-C5830949EEA6}"/>
    <hyperlink ref="O3518" r:id="rId10862" display="https://pbs.twimg.com/profile_images/461217174938726400/XO-I-jNV_normal.jpeg" xr:uid="{1C96399F-FCB6-4685-AEC4-6CC79A6CF27B}"/>
    <hyperlink ref="B3519" r:id="rId10863" display="https://twitter.com/saving_grace" xr:uid="{E89D9DBC-0140-4A5B-9715-E9134B8EF6BB}"/>
    <hyperlink ref="E3519" r:id="rId10864" display="https://twitter.com/saving_grace/status/723488414083862528" xr:uid="{71426938-AF7B-48B9-9261-4283A15836A4}"/>
    <hyperlink ref="O3519" r:id="rId10865" display="https://pbs.twimg.com/profile_images/711302265798311936/Qd5jRkL4_normal.jpg" xr:uid="{1EE6FBE4-EB79-4B1B-83E2-A0651C84E79F}"/>
    <hyperlink ref="B3520" r:id="rId10866" display="https://twitter.com/PorscheOfficApp" xr:uid="{27C3AE58-9966-4D78-8BF8-5ABFAABF85D8}"/>
    <hyperlink ref="E3520" r:id="rId10867" display="https://twitter.com/PorscheOfficApp/status/723488548557578242" xr:uid="{0E2D0D6B-2574-4F43-BF36-55726CB90FAB}"/>
    <hyperlink ref="O3520" r:id="rId10868" display="https://pbs.twimg.com/profile_images/684716541322072065/eXpLts42_normal.jpg" xr:uid="{29CDF17A-4F76-472D-A0EE-DA30E4021E30}"/>
    <hyperlink ref="B3521" r:id="rId10869" display="https://twitter.com/erikvindedzis" xr:uid="{B608B40D-7A74-44D8-854A-E137463872DB}"/>
    <hyperlink ref="E3521" r:id="rId10870" display="https://twitter.com/erikvindedzis/status/723488548792344577" xr:uid="{D52BDEF5-D4ED-4746-9975-9A87FB349596}"/>
    <hyperlink ref="O3521" r:id="rId10871" display="https://pbs.twimg.com/profile_images/544893247772839936/xDVB6iNf_normal.jpeg" xr:uid="{50D67220-5A89-4243-B98A-F1522E2A16DC}"/>
    <hyperlink ref="B3522" r:id="rId10872" display="https://twitter.com/thebugbar" xr:uid="{E40E5759-AF23-4F4B-8A71-B60EB5A7816F}"/>
    <hyperlink ref="E3522" r:id="rId10873" display="https://twitter.com/thebugbar/status/723488648113606656" xr:uid="{E7F9FF12-8AA2-4AC6-8459-F7780E687071}"/>
    <hyperlink ref="O3522" r:id="rId10874" display="https://pbs.twimg.com/profile_images/2811019625/854e59145fe44a1333afd6f8facf095d_normal.jpeg" xr:uid="{4A004B65-4EFE-4C6A-910A-7A8681AFC343}"/>
    <hyperlink ref="B3523" r:id="rId10875" display="https://twitter.com/GecoGordon" xr:uid="{284A3B85-4E74-448F-95A2-8BB0E90B109D}"/>
    <hyperlink ref="E3523" r:id="rId10876" display="https://twitter.com/GecoGordon/status/723488709660700673" xr:uid="{ED353681-87A0-4D3D-9391-DFCB0F787CE9}"/>
    <hyperlink ref="O3523" r:id="rId10877" display="https://pbs.twimg.com/profile_images/378800000505768436/b3aa9c71fd8ab9d43b6048fa60eeec23_normal.jpeg" xr:uid="{C7642849-6E7A-4E1E-9B56-5AD8D7304659}"/>
    <hyperlink ref="B3524" r:id="rId10878" display="https://twitter.com/manliomannozzi" xr:uid="{D2677815-46D1-46CF-A090-6BA7B8954A7B}"/>
    <hyperlink ref="E3524" r:id="rId10879" display="https://twitter.com/manliomannozzi/status/723488823661846528" xr:uid="{7660CEE3-AF91-4AFD-AE7D-0DC78521E548}"/>
    <hyperlink ref="O3524" r:id="rId10880" display="https://pbs.twimg.com/profile_images/454561394457735168/cYRjvFIb_normal.png" xr:uid="{E34741CC-DAF5-426C-A97E-E8A628AC737F}"/>
    <hyperlink ref="B3525" r:id="rId10881" display="https://twitter.com/LoCITYUK" xr:uid="{F5CF04C5-1490-4729-9553-39BB60D0B082}"/>
    <hyperlink ref="E3525" r:id="rId10882" display="https://twitter.com/LoCITYUK/status/723489137270095872" xr:uid="{24CFC365-7BE6-40BA-83F1-D96FE92BB2F2}"/>
    <hyperlink ref="O3525" r:id="rId10883" display="https://pbs.twimg.com/profile_images/684696806031278080/tL9uAMHL_normal.jpg" xr:uid="{1AB5A21F-3945-4BB7-8D2D-9B5E70C2EE95}"/>
    <hyperlink ref="B3526" r:id="rId10884" display="https://twitter.com/nzzwirtschaft" xr:uid="{2480B7A0-8D20-42D4-99BE-F84AE3BE08BE}"/>
    <hyperlink ref="E3526" r:id="rId10885" display="https://twitter.com/nzzwirtschaft/status/723489254442164228" xr:uid="{1A9212C0-9C44-46C7-BAC8-2633B07A8FD9}"/>
    <hyperlink ref="O3526" r:id="rId10886" display="https://pbs.twimg.com/profile_images/378800000442162946/ebfcb0ee4c3c48b161f46ed046b9f28a_normal.jpeg" xr:uid="{C7D1C4D6-F883-4497-AB11-F8EF8BC1C5E1}"/>
    <hyperlink ref="B3527" r:id="rId10887" display="https://twitter.com/Jim_Holder" xr:uid="{A9BD5951-E585-4C55-8D2A-61488DC3D44A}"/>
    <hyperlink ref="E3527" r:id="rId10888" display="https://twitter.com/Jim_Holder/status/723489369244483585" xr:uid="{BDA50465-E23A-42B2-A14C-36E7FD6B7894}"/>
    <hyperlink ref="O3527" r:id="rId10889" display="https://pbs.twimg.com/profile_images/524515757250453504/EjT5oPQ8_normal.jpeg" xr:uid="{5A1BAA65-9F41-4356-AFBD-9F42BADFA2DE}"/>
    <hyperlink ref="B3528" r:id="rId10890" display="https://twitter.com/aurorasentinel" xr:uid="{236FAD65-C411-4077-9C46-8EB7673392BD}"/>
    <hyperlink ref="E3528" r:id="rId10891" display="https://twitter.com/aurorasentinel/status/723489384780189696" xr:uid="{B2E690DC-1F45-4057-8B40-B8E83F9CEA66}"/>
    <hyperlink ref="O3528" r:id="rId10892" display="https://pbs.twimg.com/profile_images/632951983209476096/aMWtpptN_normal.jpg" xr:uid="{57EBC805-13ED-4BBC-8BD0-AE73FAD7122F}"/>
    <hyperlink ref="B3529" r:id="rId10893" display="https://twitter.com/EditorDavePerry" xr:uid="{A35D719D-D2BF-4D43-BDE5-45CCE95519CA}"/>
    <hyperlink ref="E3529" r:id="rId10894" display="https://twitter.com/EditorDavePerry/status/723489438316163073" xr:uid="{9D6289E4-FBF6-4A0D-A0CB-36DC5CB05B15}"/>
    <hyperlink ref="O3529" r:id="rId10895" display="https://pbs.twimg.com/profile_images/565191311045570560/dP-uL0q4_normal.jpeg" xr:uid="{780D2EED-B308-4D86-A9E2-CCD677CF8110}"/>
    <hyperlink ref="B3530" r:id="rId10896" display="https://twitter.com/JuveVerlag_RB" xr:uid="{EA9AA4BE-35B5-4FE1-95F7-8809C8D801EE}"/>
    <hyperlink ref="E3530" r:id="rId10897" display="https://twitter.com/JuveVerlag_RB/status/723489514006650884" xr:uid="{414FC31F-80F7-426E-A0D7-899FABE54532}"/>
    <hyperlink ref="O3530" r:id="rId10898" display="https://pbs.twimg.com/profile_images/646704845915865088/Gk_JUftC_normal.jpg" xr:uid="{8178F7BF-45AC-411C-B085-1BDAA420C5C3}"/>
    <hyperlink ref="B3531" r:id="rId10899" display="https://twitter.com/AutoExpress" xr:uid="{391D7EFD-6E20-4FC2-A705-90B30172D1DF}"/>
    <hyperlink ref="E3531" r:id="rId10900" display="https://twitter.com/AutoExpress/status/723489794131533825" xr:uid="{A3B8E599-46F9-4859-8204-1B54CF96945E}"/>
    <hyperlink ref="O3531" r:id="rId10901" display="https://pbs.twimg.com/profile_images/378800000673633859/9729e4c280465095c6f835c9f6b36378_normal.jpeg" xr:uid="{2EE8E617-219E-4CDE-97CE-822CDE8F061A}"/>
    <hyperlink ref="B3532" r:id="rId10902" display="https://twitter.com/DeezaSunglasses" xr:uid="{4CB4E7CA-6C05-4134-9DD1-36897467D6E0}"/>
    <hyperlink ref="E3532" r:id="rId10903" display="https://twitter.com/DeezaSunglasses/status/723489801291350017" xr:uid="{C2FDBAF6-E1D5-485C-8216-FD540CE364B4}"/>
    <hyperlink ref="O3532" r:id="rId10904" display="https://pbs.twimg.com/profile_images/681930519152619524/O4FX8h-k_normal.jpg" xr:uid="{F407F8F6-0871-4B87-ABD4-91A9D05AFC6F}"/>
    <hyperlink ref="B3533" r:id="rId10905" display="https://twitter.com/noz_de" xr:uid="{D25675C5-EE47-42FF-AF70-780F476A32B0}"/>
    <hyperlink ref="E3533" r:id="rId10906" display="https://twitter.com/noz_de/status/723490079965061120" xr:uid="{A906662F-AEAA-4451-9102-06FA1A198C98}"/>
    <hyperlink ref="O3533" r:id="rId10907" display="https://pbs.twimg.com/profile_images/632074137289277440/vJykSc8L_normal.png" xr:uid="{2712B4D7-FEDF-4E7B-B198-3D401C61A878}"/>
    <hyperlink ref="B3534" r:id="rId10908" display="https://twitter.com/noz_el" xr:uid="{F986FCCD-8A2B-4CC0-B9B0-7B9FF9AE6602}"/>
    <hyperlink ref="E3534" r:id="rId10909" display="https://twitter.com/noz_el/status/723490079990243329" xr:uid="{3395D0C8-2B94-465F-A559-392EDE842D31}"/>
    <hyperlink ref="O3534" r:id="rId10910" display="https://pbs.twimg.com/profile_images/632074492798443520/j3zHKAI2_normal.png" xr:uid="{1BF9F06A-20E8-4425-91FF-F0A80A2A9A1A}"/>
    <hyperlink ref="B3535" r:id="rId10911" display="https://twitter.com/ErikDurr" xr:uid="{C28060AD-82AA-4FBE-B929-7B81BB699300}"/>
    <hyperlink ref="E3535" r:id="rId10912" display="https://twitter.com/ErikDurr/status/723490293450985472" xr:uid="{70183C79-646E-4B9B-9C00-27229E7A2710}"/>
    <hyperlink ref="O3535" r:id="rId10913" display="https://pbs.twimg.com/profile_images/624226571474202624/LucRDb7k_normal.jpg" xr:uid="{8D6352F9-8019-434A-83F7-D5DD538AC54A}"/>
    <hyperlink ref="B3536" r:id="rId10914" display="https://twitter.com/believebecca" xr:uid="{2D87FC5D-15B1-496D-9B3F-389750648D2F}"/>
    <hyperlink ref="E3536" r:id="rId10915" display="https://twitter.com/believebecca/status/723490312149151745" xr:uid="{7CA8742E-6052-4843-AF39-7233E0FBC890}"/>
    <hyperlink ref="O3536" r:id="rId10916" display="https://pbs.twimg.com/profile_images/719076366004695040/rp6qAei9_normal.jpg" xr:uid="{10FA3760-72A1-47EB-95FE-71B10F2A7332}"/>
    <hyperlink ref="B3537" r:id="rId10917" display="https://twitter.com/xius2" xr:uid="{21A7864C-621B-4007-9F35-4225AAB036A9}"/>
    <hyperlink ref="E3537" r:id="rId10918" display="https://twitter.com/xius2/status/723490562863706112" xr:uid="{19ED6368-FCBA-46E4-ADE2-9DE04DE97712}"/>
    <hyperlink ref="O3537" r:id="rId10919" display="https://pbs.twimg.com/profile_images/463363891880550400/efGoRCEZ_normal.jpeg" xr:uid="{8991B068-4661-41F6-8F79-679EC0102656}"/>
    <hyperlink ref="B3538" r:id="rId10920" display="https://twitter.com/wolke76k" xr:uid="{6CA74F6D-96F4-43D4-A736-E8F403B50F41}"/>
    <hyperlink ref="E3538" r:id="rId10921" display="https://twitter.com/wolke76k/status/723490675707260928" xr:uid="{91D2C9B4-237F-4325-91FC-DDC09133C68A}"/>
    <hyperlink ref="O3538" r:id="rId10922" display="https://pbs.twimg.com/profile_images/720952664310341632/IAQabY5W_normal.jpg" xr:uid="{711B35E2-FB95-4D4F-95D3-73A0984381FF}"/>
    <hyperlink ref="B3539" r:id="rId10923" display="https://twitter.com/TAOnline" xr:uid="{859DFD61-FDDC-4998-B7D1-24C915E049D2}"/>
    <hyperlink ref="E3539" r:id="rId10924" display="https://twitter.com/TAOnline/status/723490836206497792" xr:uid="{86EAD78D-85C4-4225-BB53-8532E454DA39}"/>
    <hyperlink ref="O3539" r:id="rId10925" display="https://pbs.twimg.com/profile_images/630433913790402560/wb-NkAWj_normal.jpg" xr:uid="{D4559BE5-EDE4-4421-92F9-93599D848EC9}"/>
    <hyperlink ref="B3540" r:id="rId10926" display="https://twitter.com/panicswitch777" xr:uid="{E0147575-CCCD-436D-AF93-8BFEF972453F}"/>
    <hyperlink ref="E3540" r:id="rId10927" display="https://twitter.com/panicswitch777/status/723490956901650437" xr:uid="{F83F8247-B479-4C66-93CF-C7967F8141F5}"/>
    <hyperlink ref="O3540" r:id="rId10928" display="https://pbs.twimg.com/profile_images/661248829682024449/IlOGOPEg_normal.jpg" xr:uid="{AC0D5173-9473-405E-9FB0-3DC45E36A0BD}"/>
    <hyperlink ref="B3541" r:id="rId10929" display="https://twitter.com/vwpress_de" xr:uid="{A5F51D9D-07F9-4B26-BF28-8990D5B0B8E9}"/>
    <hyperlink ref="E3541" r:id="rId10930" display="https://twitter.com/vwpress_de/status/723491057812516867" xr:uid="{96097BAF-85F8-4FBB-A8BC-6F9C1B338497}"/>
    <hyperlink ref="O3541" r:id="rId10931" display="https://pbs.twimg.com/profile_images/682117656502222848/Ge7YeAF3_normal.png" xr:uid="{C909D0FA-ACF2-4527-8224-74F179C84535}"/>
    <hyperlink ref="B3542" r:id="rId10932" display="https://twitter.com/Vagowners" xr:uid="{54421415-862F-46AC-A1C6-DA6F4F807600}"/>
    <hyperlink ref="E3542" r:id="rId10933" display="https://twitter.com/Vagowners/status/723491103224246272" xr:uid="{BDEC8BCE-97EA-4435-B870-EBF821861956}"/>
    <hyperlink ref="O3542" r:id="rId10934" display="https://pbs.twimg.com/profile_images/718839998531903489/eXyeGppJ_normal.jpg" xr:uid="{AB3EF005-947C-4382-9118-57D7ACE9029C}"/>
    <hyperlink ref="B3543" r:id="rId10935" display="https://twitter.com/techhippie" xr:uid="{3E23C59A-FABB-42AD-898C-AA0589EC2567}"/>
    <hyperlink ref="E3543" r:id="rId10936" display="https://twitter.com/techhippie/status/723491114649571328" xr:uid="{A723C47B-186C-4282-9E10-E73B7E0B0FCA}"/>
    <hyperlink ref="O3543" r:id="rId10937" display="https://pbs.twimg.com/profile_images/702511217793863680/lty8h9vE_normal.jpg" xr:uid="{5F8B4C8A-CBB9-4108-B78A-F4B615A13539}"/>
    <hyperlink ref="B3544" r:id="rId10938" display="https://twitter.com/aon_imports" xr:uid="{6EFD1A33-AA4F-41C6-BAF1-D1E0B8092A7F}"/>
    <hyperlink ref="E3544" r:id="rId10939" display="https://twitter.com/aon_imports/status/723491115886850049" xr:uid="{CB0929F7-D3BD-43B4-A5E6-B05B5DE632F6}"/>
    <hyperlink ref="O3544" r:id="rId10940" display="https://pbs.twimg.com/profile_images/694910064419823621/88ki-B3e_normal.jpg" xr:uid="{229AF6C4-C4AE-4818-95BA-BDEA44A4B7DB}"/>
    <hyperlink ref="B3545" r:id="rId10941" display="https://twitter.com/vwpress_en" xr:uid="{B653DA04-45E9-434A-997C-D0484D21AEF1}"/>
    <hyperlink ref="E3545" r:id="rId10942" display="https://twitter.com/vwpress_en/status/723491150707986432" xr:uid="{C3E71D03-3823-4210-BDA7-A751390E565D}"/>
    <hyperlink ref="O3545" r:id="rId10943" display="https://pbs.twimg.com/profile_images/682117963349135360/IUfZQy35_normal.png" xr:uid="{8B45EE29-6CFA-406A-8D13-05005B2C8176}"/>
    <hyperlink ref="B3546" r:id="rId10944" display="https://twitter.com/FelixSchneuwly" xr:uid="{4CC9EF49-56F7-42AC-AAA1-101DB23CB62B}"/>
    <hyperlink ref="E3546" r:id="rId10945" display="https://twitter.com/FelixSchneuwly/status/723491329972559872" xr:uid="{80FE4C5B-F902-43A5-A7F7-584F4472B22C}"/>
    <hyperlink ref="O3546" r:id="rId10946" display="https://pbs.twimg.com/profile_images/610799699436683264/-ylDwi2J_normal.jpg" xr:uid="{2809BB38-4C92-48F0-BF14-AB3789862B36}"/>
    <hyperlink ref="B3547" r:id="rId10947" display="https://twitter.com/hansjaaggi" xr:uid="{3664DAA7-D858-406A-B2CD-6F14099BF832}"/>
    <hyperlink ref="E3547" r:id="rId10948" display="https://twitter.com/hansjaaggi/status/723491383047258113" xr:uid="{31AD947B-254D-446E-BD91-3273E59BF885}"/>
    <hyperlink ref="O3547" r:id="rId10949" display="https://pbs.twimg.com/profile_images/452789313554907137/h-Q_0Rw0_normal.jpeg" xr:uid="{44BD2DD5-7DE6-4B06-AAC0-3B81AFE4C22D}"/>
    <hyperlink ref="B3548" r:id="rId10950" display="https://twitter.com/ophuels" xr:uid="{431B7FDB-1027-4224-B655-FDBB0F131982}"/>
    <hyperlink ref="E3548" r:id="rId10951" display="https://twitter.com/ophuels/status/723491412638097409" xr:uid="{4B250182-0BCE-4DCD-8804-E7BFCC3C0B2E}"/>
    <hyperlink ref="O3548" r:id="rId10952" display="https://pbs.twimg.com/profile_images/545515043761037312/gp4mWkRD_normal.jpeg" xr:uid="{B0104EC4-4081-402C-BB9D-BC665304F68D}"/>
    <hyperlink ref="B3549" r:id="rId10953" display="https://twitter.com/MansellMotoSPT" xr:uid="{97EA97AE-FE1C-4C32-ABD0-668320A8255A}"/>
    <hyperlink ref="E3549" r:id="rId10954" display="https://twitter.com/MansellMotoSPT/status/723491595375513600" xr:uid="{B6222985-A2F9-4514-A816-BF239E43A224}"/>
    <hyperlink ref="O3549" r:id="rId10955" display="https://pbs.twimg.com/profile_images/683943927808917505/ufIVpnBm_normal.png" xr:uid="{A7246DE0-4976-4A66-9A17-DC8DBAEB2176}"/>
    <hyperlink ref="B3550" r:id="rId10956" display="https://twitter.com/chrispillennews" xr:uid="{47B4F478-3CA6-4DDF-99C8-AFFE47B95512}"/>
    <hyperlink ref="E3550" r:id="rId10957" display="https://twitter.com/chrispillennews/status/723491701734682624" xr:uid="{92262A55-5F8D-45BB-99AB-EF4C96C26940}"/>
    <hyperlink ref="O3550" r:id="rId10958" display="https://pbs.twimg.com/profile_images/589041144027357185/LMeiK-X6_normal.jpg" xr:uid="{4F1E2DC3-3312-4877-AA83-33477788761E}"/>
    <hyperlink ref="B3551" r:id="rId10959" display="https://twitter.com/GeyersipOficial" xr:uid="{814E9EF2-E9FC-494C-B5B7-85237A20B7AB}"/>
    <hyperlink ref="E3551" r:id="rId10960" display="https://twitter.com/GeyersipOficial/status/723491713424064512" xr:uid="{04D8F650-1F27-450B-A542-819E1E370A5A}"/>
    <hyperlink ref="O3551" r:id="rId10961" display="https://pbs.twimg.com/profile_images/723218593823891456/LolKqq8k_normal.jpg" xr:uid="{AD4B0386-B6DF-4470-BD69-C49FE26537A6}"/>
    <hyperlink ref="B3552" r:id="rId10962" display="https://twitter.com/Uhrus" xr:uid="{5A9DBB70-60DF-4F98-9007-177F13A525CB}"/>
    <hyperlink ref="E3552" r:id="rId10963" display="https://twitter.com/Uhrus/status/723491731098996736" xr:uid="{BC9D45C9-5325-4ADF-8A37-8D2E20A222B8}"/>
    <hyperlink ref="O3552" r:id="rId10964" display="https://pbs.twimg.com/profile_images/579993878238875648/Z0OO22kj_normal.jpg" xr:uid="{50308302-E04E-47A8-8478-58C23DFF4B15}"/>
    <hyperlink ref="B3553" r:id="rId10965" display="https://twitter.com/ojt_1" xr:uid="{F06F7B3C-10F2-487E-818A-A4E560040C32}"/>
    <hyperlink ref="E3553" r:id="rId10966" display="https://twitter.com/ojt_1/status/723491805191397377" xr:uid="{94DC2B4F-0B71-4C5C-9781-766D8DA384FC}"/>
    <hyperlink ref="O3553" r:id="rId10967" display="https://pbs.twimg.com/profile_images/676102392140689408/Za3TLRHb_normal.jpg" xr:uid="{0FAC57EF-CD22-4C8D-81C8-53D4D8093CA7}"/>
    <hyperlink ref="B3554" r:id="rId10968" display="https://twitter.com/Destiny_Man" xr:uid="{7B3EE345-DDB6-41ED-AF93-97A78C28EAFC}"/>
    <hyperlink ref="E3554" r:id="rId10969" display="https://twitter.com/Destiny_Man/status/723492018849234944" xr:uid="{4573AB41-F7C4-46E1-9553-45409AC83CFE}"/>
    <hyperlink ref="O3554" r:id="rId10970" display="https://pbs.twimg.com/profile_images/721965207157911552/QGevvR1X_normal.jpg" xr:uid="{37A0EF2F-F43A-4833-90E5-F69780033674}"/>
    <hyperlink ref="B3555" r:id="rId10971" display="https://twitter.com/UmaSharandon" xr:uid="{17A12BB3-937B-43E1-8323-77E9E6357536}"/>
    <hyperlink ref="E3555" r:id="rId10972" display="https://twitter.com/UmaSharandon/status/723492151590576128" xr:uid="{B84D140D-0BCE-4AF6-9AB4-ADA018AD2BF1}"/>
    <hyperlink ref="O3555" r:id="rId10973" display="https://pbs.twimg.com/profile_images/953096495/ISchnee_web_normal.jpg" xr:uid="{77984A74-62E5-49D0-B7EE-5F8026EA7CD6}"/>
    <hyperlink ref="B3556" r:id="rId10974" display="https://twitter.com/feralf" xr:uid="{EEA1DD25-58B3-4DE4-8E7E-AE56671678F4}"/>
    <hyperlink ref="E3556" r:id="rId10975" display="https://twitter.com/feralf/status/723492348487958528" xr:uid="{16E1CF17-928B-4550-9E55-3749E05F7AB4}"/>
    <hyperlink ref="O3556" r:id="rId10976" display="https://pbs.twimg.com/profile_images/458731293581144064/-4p5an2D_normal.png" xr:uid="{DCA3C36D-6F04-41F5-B622-63F033D97E02}"/>
    <hyperlink ref="B3557" r:id="rId10977" display="https://twitter.com/PeninsulaQatar" xr:uid="{DCE639B3-89F1-41B2-BA77-C934F6E37793}"/>
    <hyperlink ref="E3557" r:id="rId10978" display="https://twitter.com/PeninsulaQatar/status/723492634942156800" xr:uid="{8500B1AA-C13E-45B9-B17D-EFDDED6F3ECA}"/>
    <hyperlink ref="O3557" r:id="rId10979" display="https://pbs.twimg.com/profile_images/694418345488179200/N_UTQBFl_normal.jpg" xr:uid="{F969254F-0510-4614-898D-012DBB7C7D48}"/>
    <hyperlink ref="B3558" r:id="rId10980" display="https://twitter.com/JosefineJanert" xr:uid="{711800D1-EA5B-4AFD-A2E3-1F045B97C8D9}"/>
    <hyperlink ref="E3558" r:id="rId10981" display="https://twitter.com/JosefineJanert/status/723492835643785217" xr:uid="{900EE043-7511-44C5-8602-1FB98759EBFF}"/>
    <hyperlink ref="O3558" r:id="rId10982" display="https://pbs.twimg.com/profile_images/595486519890210816/oFzeEgOj_normal.jpg" xr:uid="{055093D7-537E-4FF3-B2E8-9D6A4EB56C38}"/>
    <hyperlink ref="B3559" r:id="rId10983" display="https://twitter.com/VWCamperSales" xr:uid="{EB9F6652-AFE9-481A-8AF5-12B6420EF168}"/>
    <hyperlink ref="E3559" r:id="rId10984" display="https://twitter.com/VWCamperSales/status/723492944355823618" xr:uid="{61123C72-EC36-45C5-9CF5-B0B28577FD83}"/>
    <hyperlink ref="F3559" r:id="rId10985" xr:uid="{280557A7-A059-4511-98D7-DA3974D9629E}"/>
    <hyperlink ref="O3559" r:id="rId10986" display="https://pbs.twimg.com/profile_images/627949001179037696/skEBkS05_normal.jpg" xr:uid="{8D0E98D1-F334-4794-8AE1-12569E2A2847}"/>
    <hyperlink ref="B3560" r:id="rId10987" display="https://twitter.com/saintjallen" xr:uid="{24B202A1-4AD1-475B-89FF-F5CB63C75D26}"/>
    <hyperlink ref="E3560" r:id="rId10988" display="https://twitter.com/saintjallen/status/723492988844822533" xr:uid="{39CD2FF1-04FC-4094-946A-FDEC3CE94768}"/>
    <hyperlink ref="O3560" r:id="rId10989" display="https://pbs.twimg.com/profile_images/484672720420884481/dyX9G6tX_normal.jpeg" xr:uid="{EDDD83CD-DF1A-4A2E-9559-C1E1CE808B0F}"/>
    <hyperlink ref="B3561" r:id="rId10990" display="https://twitter.com/driversside" xr:uid="{3409E8F5-701E-4745-9FFD-B2A29A753DFA}"/>
    <hyperlink ref="E3561" r:id="rId10991" display="https://twitter.com/driversside/status/723493605164228608" xr:uid="{1A1E4EC0-C92A-4265-B912-9A157C15F9F3}"/>
    <hyperlink ref="O3561" r:id="rId10992" display="https://pbs.twimg.com/profile_images/378800000265891510/1b4788fb7103035d99da255167d40dbd_normal.jpeg" xr:uid="{27B794BD-8368-4FFE-B4DF-4A8F23BDA2AA}"/>
    <hyperlink ref="B3562" r:id="rId10993" display="https://twitter.com/nomadartdesign" xr:uid="{582E8F8E-9652-49EB-8ADF-BCD9F048DBCA}"/>
    <hyperlink ref="E3562" r:id="rId10994" display="https://twitter.com/nomadartdesign/status/723493860375183361" xr:uid="{CEC4C037-E18B-44B0-B35A-28A25ADE74CB}"/>
    <hyperlink ref="O3562" r:id="rId10995" display="https://pbs.twimg.com/profile_images/471225993034620928/uvrpaB6T_normal.jpeg" xr:uid="{1A3017BD-8FDE-44EF-B427-E6448E82FF31}"/>
    <hyperlink ref="B3563" r:id="rId10996" display="https://twitter.com/HpGregory" xr:uid="{5FF651A9-DE20-4DB7-B772-FC623AA8844B}"/>
    <hyperlink ref="E3563" r:id="rId10997" display="https://twitter.com/HpGregory/status/723494057750716416" xr:uid="{41C1E212-8F74-49BE-9590-6480BB5D522E}"/>
    <hyperlink ref="O3563" r:id="rId10998" display="https://pbs.twimg.com/profile_images/518209016426942465/RCiTPLNX_normal.jpeg" xr:uid="{E0BC1F02-3253-4C79-9F96-F26F502208EA}"/>
    <hyperlink ref="B3564" r:id="rId10999" display="https://twitter.com/LGT_Group" xr:uid="{5A7B3A3C-0417-4183-9A29-76FE7DFBEE96}"/>
    <hyperlink ref="E3564" r:id="rId11000" display="https://twitter.com/LGT_Group/status/723494130438029319" xr:uid="{6E8E4CEA-235C-45B9-9DCF-FFEC229684B9}"/>
    <hyperlink ref="O3564" r:id="rId11001" display="https://pbs.twimg.com/profile_images/456005128927981568/fQxjYrLU_normal.jpeg" xr:uid="{88AF8EC5-913F-427A-81B7-7FDE94C52CC6}"/>
    <hyperlink ref="B3565" r:id="rId11002" display="https://twitter.com/SinclairVW" xr:uid="{5B8A7A5B-43A4-42F9-B65B-427A16708891}"/>
    <hyperlink ref="E3565" r:id="rId11003" display="https://twitter.com/SinclairVW/status/723494316564353024" xr:uid="{F4DA07B4-DDD7-4CD5-A55D-2CD9F344320B}"/>
    <hyperlink ref="O3565" r:id="rId11004" display="https://pbs.twimg.com/profile_images/723165877709987840/4fcdi8IF_normal.jpg" xr:uid="{1A44B651-0D8D-46BA-A0A9-E3923EDAE2BA}"/>
    <hyperlink ref="B3566" r:id="rId11005" display="https://twitter.com/polodrivercom" xr:uid="{1237F683-AC9C-4640-B752-324669A5558E}"/>
    <hyperlink ref="E3566" r:id="rId11006" display="https://twitter.com/polodrivercom/status/723494491085279232" xr:uid="{A81BEB65-40CF-4540-850A-E37FE5299FBC}"/>
    <hyperlink ref="O3566" r:id="rId11007" display="https://pbs.twimg.com/profile_images/462266691305488384/nZV5thLJ_normal.jpeg" xr:uid="{B968A2D6-4CE8-44EB-BFBF-D394D358B1C5}"/>
    <hyperlink ref="B3567" r:id="rId11008" display="https://twitter.com/LenaHR2" xr:uid="{B6A4C22A-0B88-4BE8-915C-EC0D5FF250C6}"/>
    <hyperlink ref="E3567" r:id="rId11009" display="https://twitter.com/LenaHR2/status/723494791342895104" xr:uid="{6B4024B1-922D-471E-A745-CF3913D8348E}"/>
    <hyperlink ref="O3567" r:id="rId11010" display="https://pbs.twimg.com/profile_images/510566795435311104/qsgDiZKO_normal.jpeg" xr:uid="{F0F37B9B-BCED-422A-BE2D-23E96EE33CFD}"/>
    <hyperlink ref="B3568" r:id="rId11011" display="https://twitter.com/LenaHR2" xr:uid="{1840A7CF-FA4B-4476-85A0-73043F6A698A}"/>
    <hyperlink ref="E3568" r:id="rId11012" display="https://twitter.com/LenaHR2/status/723494846078525440" xr:uid="{988E8030-7975-490F-A59D-D6CBA3C76800}"/>
    <hyperlink ref="O3568" r:id="rId11013" display="https://pbs.twimg.com/profile_images/510566795435311104/qsgDiZKO_normal.jpeg" xr:uid="{B2200CE0-7BCE-4A80-B423-7A188084C74C}"/>
    <hyperlink ref="B3569" r:id="rId11014" display="https://twitter.com/DrSalingerReinh" xr:uid="{D4A82A6B-9123-40E9-A330-BA0BFB039E0B}"/>
    <hyperlink ref="E3569" r:id="rId11015" display="https://twitter.com/DrSalingerReinh/status/723494882095013889" xr:uid="{0C3715D7-C17D-4AD9-A920-B892B68E643C}"/>
    <hyperlink ref="O3569" r:id="rId11016" display="https://pbs.twimg.com/profile_images/431404039532589056/MZrgq9HX_normal.jpeg" xr:uid="{110483F9-7678-4B37-810D-AAB21330E75A}"/>
    <hyperlink ref="B3570" r:id="rId11017" display="https://twitter.com/VWCV_Hatfield" xr:uid="{A828FCB8-09C2-40E5-9521-E633058369BF}"/>
    <hyperlink ref="E3570" r:id="rId11018" display="https://twitter.com/VWCV_Hatfield/status/723494926412034048" xr:uid="{26FE572E-056B-459E-AA64-B0D0E83B369A}"/>
    <hyperlink ref="O3570" r:id="rId11019" display="https://pbs.twimg.com/profile_images/1572448713/vw_vans_hatfield_normal.jpg" xr:uid="{F25A81C8-CD6D-4EE0-AA8A-1FC2CC802724}"/>
    <hyperlink ref="B3571" r:id="rId11020" display="https://twitter.com/MSAMBULANCE" xr:uid="{4C71B0CE-A2E3-46E5-A885-A68B0CCAA385}"/>
    <hyperlink ref="E3571" r:id="rId11021" display="https://twitter.com/MSAMBULANCE/status/723494971526025216" xr:uid="{146E037B-0703-48F7-9FF6-A8E2585E0DDE}"/>
    <hyperlink ref="O3571" r:id="rId11022" display="https://pbs.twimg.com/profile_images/702480429513883650/BwllibeH_normal.jpg" xr:uid="{4E253B03-4F8A-48A5-82D9-3BBAE642FB7B}"/>
    <hyperlink ref="B3572" r:id="rId11023" display="https://twitter.com/SalihiShejzije" xr:uid="{1A8CC48F-7CAB-4349-ADDF-03D298FD9644}"/>
    <hyperlink ref="E3572" r:id="rId11024" display="https://twitter.com/SalihiShejzije/status/723494989938962432" xr:uid="{9F07B1F1-63B3-4B04-89FB-29C74E70B9F6}"/>
    <hyperlink ref="O3572" r:id="rId11025" display="https://pbs.twimg.com/profile_images/704001047216447488/5a1ozl-l_normal.jpg" xr:uid="{116A5550-C38C-479C-B967-8F325F81D848}"/>
    <hyperlink ref="B3573" r:id="rId11026" display="https://twitter.com/3dwheelcustoms" xr:uid="{E365661A-1394-4089-80DD-3505020842D9}"/>
    <hyperlink ref="E3573" r:id="rId11027" display="https://twitter.com/3dwheelcustoms/status/723495020347707392" xr:uid="{56F41A7F-AE48-432A-A529-6675A322A4F3}"/>
    <hyperlink ref="O3573" r:id="rId11028" display="https://pbs.twimg.com/profile_images/704475085868965888/geCqCysj_normal.jpg" xr:uid="{78E9BC98-D785-4BA6-BCDF-9C47F9BB8953}"/>
    <hyperlink ref="B3574" r:id="rId11029" display="https://twitter.com/LenaHR2" xr:uid="{DE59B7B6-561A-4001-8751-80C6C9F38754}"/>
    <hyperlink ref="E3574" r:id="rId11030" display="https://twitter.com/LenaHR2/status/723495081571958785" xr:uid="{30FACDE3-0262-4ED0-A046-28E2D8A245C6}"/>
    <hyperlink ref="O3574" r:id="rId11031" display="https://pbs.twimg.com/profile_images/510566795435311104/qsgDiZKO_normal.jpeg" xr:uid="{FA548007-4552-4144-BD35-FE52DF463CE4}"/>
    <hyperlink ref="B3575" r:id="rId11032" display="https://twitter.com/markhowardracer" xr:uid="{CDD98AED-F179-4F03-8558-71B53B2D09A7}"/>
    <hyperlink ref="E3575" r:id="rId11033" display="https://twitter.com/markhowardracer/status/723495093072760832" xr:uid="{71536071-F0AE-4FC4-A9D2-1202D4A7688F}"/>
    <hyperlink ref="O3575" r:id="rId11034" display="https://pbs.twimg.com/profile_images/709108461594869760/Hy6ei1K0_normal.jpg" xr:uid="{EAF00294-AFA5-4F0F-BD7D-4F061E4E9BF5}"/>
    <hyperlink ref="B3576" r:id="rId11035" display="https://twitter.com/LenaHR2" xr:uid="{987A6E6A-AC6A-4E30-B087-AFA2D661F1FF}"/>
    <hyperlink ref="E3576" r:id="rId11036" display="https://twitter.com/LenaHR2/status/723495115600351234" xr:uid="{00392CBE-7B89-4514-9206-1AC75D8DA499}"/>
    <hyperlink ref="O3576" r:id="rId11037" display="https://pbs.twimg.com/profile_images/510566795435311104/qsgDiZKO_normal.jpeg" xr:uid="{95E9D4F2-3B85-418F-9C1A-9C9B44596ED0}"/>
    <hyperlink ref="B3577" r:id="rId11038" display="https://twitter.com/Symbol_FR" xr:uid="{08078C5C-103B-4DE4-8DA8-AB176579316B}"/>
    <hyperlink ref="E3577" r:id="rId11039" display="https://twitter.com/Symbol_FR/status/723495184386891776" xr:uid="{87F1483C-4111-4595-9C72-DFC91F1B11D5}"/>
    <hyperlink ref="O3577" r:id="rId11040" display="https://pbs.twimg.com/profile_images/664042740334903296/QuAZGTTR_normal.jpg" xr:uid="{EA05E53B-6832-4BD7-B2D4-A1B7D612161D}"/>
    <hyperlink ref="B3578" r:id="rId11041" display="https://twitter.com/HelloLouKitty" xr:uid="{A2E75F57-2DD2-4171-B21D-8B3AA6F4EA0D}"/>
    <hyperlink ref="E3578" r:id="rId11042" display="https://twitter.com/HelloLouKitty/status/723495236035465218" xr:uid="{29F7BB9B-7DED-4283-9416-9F9B09EA7B80}"/>
    <hyperlink ref="O3578" r:id="rId11043" display="https://pbs.twimg.com/profile_images/693403089211105280/sACniTJ__normal.jpg" xr:uid="{9F5994AD-9BF2-420F-AC63-70FB5941E6C1}"/>
    <hyperlink ref="B3579" r:id="rId11044" display="https://twitter.com/FrVision" xr:uid="{50165A58-ED6E-413E-A9E5-CC6F110E636B}"/>
    <hyperlink ref="E3579" r:id="rId11045" display="https://twitter.com/FrVision/status/723495240045355008" xr:uid="{DAB80492-6DB8-42BB-960F-6F8257F8413D}"/>
    <hyperlink ref="O3579" r:id="rId11046" display="https://pbs.twimg.com/profile_images/655324200245272576/n6_8jlJ2_normal.jpg" xr:uid="{DF5BAB20-26CD-4492-9B26-A666ABD3F3CC}"/>
    <hyperlink ref="B3580" r:id="rId11047" display="https://twitter.com/ronaldlaessig" xr:uid="{DA2B872A-CB62-4435-9BEB-C8ECDF2A1FAC}"/>
    <hyperlink ref="E3580" r:id="rId11048" display="https://twitter.com/ronaldlaessig/status/723495330470330368" xr:uid="{A31976C7-EB33-47EB-958B-21532977E39A}"/>
    <hyperlink ref="O3580" r:id="rId11049" display="https://pbs.twimg.com/profile_images/344513261572673615/4e9615558727a5010ea350fd068a1bf9_normal.jpeg" xr:uid="{8BC327FD-AEE3-4880-BBAE-DEB7C05E390B}"/>
    <hyperlink ref="B3581" r:id="rId11050" display="https://twitter.com/BundCBerlin" xr:uid="{A3D539FA-1528-43CF-AD96-C68C3F9091A7}"/>
    <hyperlink ref="E3581" r:id="rId11051" display="https://twitter.com/BundCBerlin/status/723495476029476864" xr:uid="{57DB8F02-B4B0-4F3E-ACDC-9965BEA978D3}"/>
    <hyperlink ref="O3581" r:id="rId11052" display="https://pbs.twimg.com/profile_images/3099062565/8d84b865e96ee00b606c7ac2088221bf_normal.jpeg" xr:uid="{0C975A03-03F0-4BD6-A9BF-97CDDD1ADE84}"/>
    <hyperlink ref="B3582" r:id="rId11053" display="https://twitter.com/LindsayLithgow" xr:uid="{552DF02C-2F65-4C89-9DB0-FD5B1EA619FC}"/>
    <hyperlink ref="E3582" r:id="rId11054" display="https://twitter.com/LindsayLithgow/status/723495684251500544" xr:uid="{26F7E7E1-10D5-49D6-B0FE-0F6BCBD8EB1B}"/>
    <hyperlink ref="O3582" r:id="rId11055" display="https://pbs.twimg.com/profile_images/691385268738375680/688s6fg9_normal.jpg" xr:uid="{F0115EB7-1F09-4E76-B65A-87C808CD4778}"/>
    <hyperlink ref="B3583" r:id="rId11056" display="https://twitter.com/N0Namen" xr:uid="{34F42527-A685-4962-A87F-FDD7585030D6}"/>
    <hyperlink ref="E3583" r:id="rId11057" display="https://twitter.com/N0Namen/status/723495961029414912" xr:uid="{1A358F44-D4EA-4B77-9F0C-B022D638BE7C}"/>
    <hyperlink ref="O3583" r:id="rId11058" display="https://pbs.twimg.com/profile_images/1176009351/internetIcon_normal.gif" xr:uid="{DF6EF9F1-A0D5-428F-81F1-F9686097FB1D}"/>
    <hyperlink ref="B3584" r:id="rId11059" display="https://twitter.com/LenaHR2" xr:uid="{FCC61544-D944-446A-978B-348DA39FAA83}"/>
    <hyperlink ref="E3584" r:id="rId11060" display="https://twitter.com/LenaHR2/status/723496050863005696" xr:uid="{D350AAA5-DB95-4952-91F4-D38D71311ACA}"/>
    <hyperlink ref="O3584" r:id="rId11061" display="https://pbs.twimg.com/profile_images/510566795435311104/qsgDiZKO_normal.jpeg" xr:uid="{48242F50-CB0E-49E2-82C9-032D49FFA924}"/>
    <hyperlink ref="B3585" r:id="rId11062" display="https://twitter.com/ohneHintergrund" xr:uid="{CD8EC01C-F312-42B9-B61E-A4FE2215BF35}"/>
    <hyperlink ref="E3585" r:id="rId11063" display="https://twitter.com/ohneHintergrund/status/723496325912907777" xr:uid="{28BD5620-C9AE-435A-A07F-4BF2A8BEED84}"/>
    <hyperlink ref="O3585" r:id="rId11064" display="https://pbs.twimg.com/profile_images/717085410514571265/YBeow5nq_normal.jpg" xr:uid="{49761861-5A9B-4FD3-A1FB-5D004C0F3032}"/>
    <hyperlink ref="B3586" r:id="rId11065" display="https://twitter.com/shamereflect" xr:uid="{87901D43-1572-49FF-A44C-41A1E7ADC861}"/>
    <hyperlink ref="E3586" r:id="rId11066" display="https://twitter.com/shamereflect/status/723496405780836352" xr:uid="{115C0644-C8DF-4565-B503-52DF24883692}"/>
    <hyperlink ref="O3586" r:id="rId11067" display="https://pbs.twimg.com/profile_images/598485163241267200/wFl-W3I2_normal.jpg" xr:uid="{97CF3672-AFA5-4602-AC6F-DFD0C31902A8}"/>
    <hyperlink ref="B3587" r:id="rId11068" display="https://twitter.com/HansTheGerman" xr:uid="{1CB068D8-08B5-494B-B38F-D66260A31CD3}"/>
    <hyperlink ref="E3587" r:id="rId11069" display="https://twitter.com/HansTheGerman/status/723496418527330304" xr:uid="{AA387081-7EE9-4186-A58F-3E32889BEDC8}"/>
    <hyperlink ref="O3587" r:id="rId11070" display="https://pbs.twimg.com/profile_images/3012106875/596e712c99a38ec69b925b7f7ab71986_normal.jpeg" xr:uid="{F98BA065-320B-45CB-9372-F0D8D194EC21}"/>
    <hyperlink ref="B3588" r:id="rId11071" display="https://twitter.com/hdBerretz" xr:uid="{E356F6E0-D7E4-46E6-B866-49F81E7D0A96}"/>
    <hyperlink ref="E3588" r:id="rId11072" display="https://twitter.com/hdBerretz/status/723496475641151494" xr:uid="{C3A30249-054F-4420-B74D-7FB97866471B}"/>
    <hyperlink ref="O3588" r:id="rId11073" display="https://pbs.twimg.com/profile_images/548874200102879234/jOo5AkMZ_normal.png" xr:uid="{C2690D6B-57C8-47EF-9465-6C0E061C968B}"/>
    <hyperlink ref="B3589" r:id="rId11074" display="https://twitter.com/JoeAlvarezUK" xr:uid="{ECC6B704-D54C-4F60-A1FC-D3DB81D9A919}"/>
    <hyperlink ref="E3589" r:id="rId11075" display="https://twitter.com/JoeAlvarezUK/status/723496534352998400" xr:uid="{EA6A8C46-14CE-4164-B704-BDF0C1D92B74}"/>
    <hyperlink ref="O3589" r:id="rId11076" display="https://pbs.twimg.com/profile_images/607156834680635392/lFKtXFch_normal.jpg" xr:uid="{78E3952C-4DAD-4A3E-B724-62033B23A24E}"/>
    <hyperlink ref="B3590" r:id="rId11077" display="https://twitter.com/Scirocco_Tuning" xr:uid="{2B95B471-CD1E-417D-B0A2-BEF01990E4DB}"/>
    <hyperlink ref="E3590" r:id="rId11078" display="https://twitter.com/Scirocco_Tuning/status/723496712086630401" xr:uid="{DEEF326E-B446-4841-BF52-E90B56543808}"/>
    <hyperlink ref="O3590" r:id="rId11079" display="https://pbs.twimg.com/profile_images/1610421423/Image2_normal.jpg" xr:uid="{A22B42C9-4968-45F1-B9C7-2D8017E544B2}"/>
    <hyperlink ref="B3591" r:id="rId11080" display="https://twitter.com/techislet" xr:uid="{B19B6692-FC0A-4339-B609-A7F1909A8BD5}"/>
    <hyperlink ref="E3591" r:id="rId11081" display="https://twitter.com/techislet/status/723496731627888641" xr:uid="{5DA6A9DF-A3C7-47D1-AF6C-1A5CBCA0EA4D}"/>
    <hyperlink ref="O3591" r:id="rId11082" display="https://pbs.twimg.com/profile_images/640893185158352896/TMGmsF0r_normal.png" xr:uid="{92AF7EF7-96C8-4BF7-A286-1C5C0A1D7A52}"/>
    <hyperlink ref="B3592" r:id="rId11083" display="https://twitter.com/buran63" xr:uid="{D4D4FA98-734F-4C38-B1A8-EE2620CB897C}"/>
    <hyperlink ref="E3592" r:id="rId11084" display="https://twitter.com/buran63/status/723496759167692800" xr:uid="{62168B39-83EE-4A94-9A24-CE47CB9443E7}"/>
    <hyperlink ref="O3592" r:id="rId11085" display="https://pbs.twimg.com/profile_images/645328399834181632/rWu1bHrC_normal.jpg" xr:uid="{F0295E57-7654-4467-9EA8-FFCC232ED93E}"/>
    <hyperlink ref="B3593" r:id="rId11086" display="https://twitter.com/urotuning" xr:uid="{93ABE8FC-29B3-469F-8065-598CA6DB4612}"/>
    <hyperlink ref="E3593" r:id="rId11087" display="https://twitter.com/urotuning/status/723496909097316352" xr:uid="{7CDD40D4-ABDB-4B85-85E9-6E50EF735FC8}"/>
    <hyperlink ref="O3593" r:id="rId11088" display="https://pbs.twimg.com/profile_images/652593086124527616/onf0J8iL_normal.png" xr:uid="{7BFA99B9-AF8B-47B3-BABC-2AC1ADC11A36}"/>
    <hyperlink ref="B3594" r:id="rId11089" display="https://twitter.com/de_deutschland" xr:uid="{B05C53E1-2F96-48F8-AD64-5319C6E10AF6}"/>
    <hyperlink ref="C3594" r:id="rId11090" xr:uid="{A1236FF5-A8F1-4BC1-8C2E-FDE043B6C415}"/>
    <hyperlink ref="E3594" r:id="rId11091" display="https://twitter.com/de_deutschland/status/723497043474407424" xr:uid="{19A4B17F-D9EB-4241-B172-44253D3F5E70}"/>
    <hyperlink ref="O3594" r:id="rId11092" display="https://pbs.twimg.com/profile_images/2552706320/omzk9t23vkp4a2mf4vtd_normal.jpeg" xr:uid="{4CC457F7-58CD-4BF1-9B8D-80DA4FEDD61B}"/>
    <hyperlink ref="B3595" r:id="rId11093" display="https://twitter.com/doern" xr:uid="{08A01A21-D3E2-4264-847D-748E1146E76B}"/>
    <hyperlink ref="E3595" r:id="rId11094" display="https://twitter.com/doern/status/723497171241316353" xr:uid="{154E4D97-276A-4BBB-A49D-0D5831A37EAC}"/>
    <hyperlink ref="O3595" r:id="rId11095" display="https://pbs.twimg.com/profile_images/657853466384191488/J6vAnfZr_normal.jpg" xr:uid="{30BB32F2-D950-464C-BF72-4D4A28ECF501}"/>
    <hyperlink ref="B3596" r:id="rId11096" display="https://twitter.com/sven291985" xr:uid="{82F47574-6079-4861-89E1-E0D5C499159C}"/>
    <hyperlink ref="E3596" r:id="rId11097" display="https://twitter.com/sven291985/status/723497283116011520" xr:uid="{CA281667-8F3B-4936-8495-191EA424C8AA}"/>
    <hyperlink ref="O3596" r:id="rId11098" display="https://pbs.twimg.com/profile_images/420023295/mercedes-benz_normal.gif" xr:uid="{6ED6BD43-E49D-40E3-9AA0-81CA9CAADFBD}"/>
    <hyperlink ref="B3597" r:id="rId11099" display="https://twitter.com/Buntomat" xr:uid="{75C5F483-B91D-4F18-9819-5CD99F4D7F21}"/>
    <hyperlink ref="E3597" r:id="rId11100" display="https://twitter.com/Buntomat/status/723497335892905984" xr:uid="{CFB66A53-A7F9-447A-A58D-04EE2F356776}"/>
    <hyperlink ref="O3597" r:id="rId11101" display="https://pbs.twimg.com/profile_images/722789848218734592/taNZkEWH_normal.jpg" xr:uid="{626DA18F-EDC7-4CD1-B0F0-099C75751565}"/>
    <hyperlink ref="B3598" r:id="rId11102" display="https://twitter.com/boersenzeitung" xr:uid="{7BC6D652-0CD4-4D23-81E3-5D598C6DECCB}"/>
    <hyperlink ref="E3598" r:id="rId11103" display="https://twitter.com/boersenzeitung/status/723497446253441025" xr:uid="{EFBF9085-F838-4266-9685-D85D55034A6C}"/>
    <hyperlink ref="O3598" r:id="rId11104" display="https://pbs.twimg.com/profile_images/574906201290334209/eDNLUdPe_normal.png" xr:uid="{ADC0D915-B96B-4550-888B-F9E5CA999D32}"/>
    <hyperlink ref="B3599" r:id="rId11105" display="https://twitter.com/ruv24_de" xr:uid="{C7D96060-2731-4BAC-8892-FEA906DC4F7D}"/>
    <hyperlink ref="E3599" r:id="rId11106" display="https://twitter.com/ruv24_de/status/723497705381736448" xr:uid="{654D515E-D38D-4DC3-8EEF-2FAD8233B350}"/>
    <hyperlink ref="O3599" r:id="rId11107" display="https://pbs.twimg.com/profile_images/461143330147954688/HZO45eNS_normal.jpeg" xr:uid="{06B71553-C2C4-48BB-BA70-3C31450F2AD8}"/>
    <hyperlink ref="B3600" r:id="rId11108" display="https://twitter.com/Madushanpriyas2" xr:uid="{DDD12731-BED2-4940-B5BA-BC43B0D357D1}"/>
    <hyperlink ref="E3600" r:id="rId11109" display="https://twitter.com/Madushanpriyas2/status/723497797845032960" xr:uid="{30B4F147-0997-4ACB-9A23-4286B4A5C68A}"/>
    <hyperlink ref="O3600" r:id="rId11110" display="https://abs.twimg.com/sticky/default_profile_images/default_profile_5_normal.png" xr:uid="{FDD7A6E3-E269-4971-900C-4E580DF1785B}"/>
    <hyperlink ref="B3601" r:id="rId11111" display="https://twitter.com/Fourways_SD" xr:uid="{365720C4-74E6-498A-B23C-FDEE4C0F6B8E}"/>
    <hyperlink ref="E3601" r:id="rId11112" display="https://twitter.com/Fourways_SD/status/723497841004412928" xr:uid="{1B840A63-CCD5-404E-8A5D-E50B31D3D23B}"/>
    <hyperlink ref="O3601" r:id="rId11113" display="https://pbs.twimg.com/profile_images/573096506472808448/daICke8C_normal.png" xr:uid="{D24FB676-BB27-4920-AC3D-0A1BB7DC3509}"/>
    <hyperlink ref="B3602" r:id="rId11114" display="https://twitter.com/buran63" xr:uid="{0BDF1976-2872-4053-996C-DAAB050BB4D4}"/>
    <hyperlink ref="E3602" r:id="rId11115" display="https://twitter.com/buran63/status/723497876450598913" xr:uid="{F1CDE442-BCB1-424B-9BE2-2735659FA8E2}"/>
    <hyperlink ref="O3602" r:id="rId11116" display="https://pbs.twimg.com/profile_images/645328399834181632/rWu1bHrC_normal.jpg" xr:uid="{325B078D-F874-47CB-A1AB-1F4D0F423655}"/>
    <hyperlink ref="B3603" r:id="rId11117" display="https://twitter.com/handelsblatt" xr:uid="{831BBDB6-472D-4F71-924E-B389F568CC4E}"/>
    <hyperlink ref="E3603" r:id="rId11118" display="https://twitter.com/handelsblatt/status/723497878417760257" xr:uid="{3B933D6E-D90C-48F7-86D1-8B9EE38B491D}"/>
    <hyperlink ref="O3603" r:id="rId11119" display="https://pbs.twimg.com/profile_images/562563461171798017/AkHF4keI_normal.png" xr:uid="{1A6CA6ED-BA01-4AEF-AF9D-CBBCD3FED776}"/>
    <hyperlink ref="B3604" r:id="rId11120" display="https://twitter.com/beetlebug1938" xr:uid="{A713E28F-A58A-4999-9A52-531259E96F99}"/>
    <hyperlink ref="E3604" r:id="rId11121" display="https://twitter.com/beetlebug1938/status/723497930850729986" xr:uid="{9F764A0D-0ABE-4186-9FB8-0B31A45F83D7}"/>
    <hyperlink ref="O3604" r:id="rId11122" display="https://pbs.twimg.com/profile_images/718820712757215233/LXXndPTS_normal.jpg" xr:uid="{16636012-B7CC-4654-8D6F-11FD1CE5CDD5}"/>
    <hyperlink ref="B3605" r:id="rId11123" display="https://twitter.com/NDRreporter" xr:uid="{93C8CAA2-BEF5-491A-BAE8-C6A8F315728B}"/>
    <hyperlink ref="E3605" r:id="rId11124" display="https://twitter.com/NDRreporter/status/723497933941825537" xr:uid="{44B1749E-F12E-41EA-850D-DC58EDF11696}"/>
    <hyperlink ref="O3605" r:id="rId11125" display="https://pbs.twimg.com/profile_images/466908605317279744/I5a712BQ_normal.jpeg" xr:uid="{2D31959B-289F-4C04-90E8-DDF1173BE525}"/>
    <hyperlink ref="B3606" r:id="rId11126" display="https://twitter.com/msav999" xr:uid="{2264EFB6-D0D2-41CE-9CA8-6E54713EF131}"/>
    <hyperlink ref="E3606" r:id="rId11127" display="https://twitter.com/msav999/status/723497937007845378" xr:uid="{DB2F6EC7-5546-4F51-9656-7AFD528D7034}"/>
    <hyperlink ref="O3606" r:id="rId11128" display="https://pbs.twimg.com/profile_images/613550335307612160/IseYDiEM_normal.jpg" xr:uid="{A64F0D00-669A-4DDA-871D-5352DDE03F3B}"/>
    <hyperlink ref="B3607" r:id="rId11129" display="https://twitter.com/beetlebug1938" xr:uid="{F50E6449-9C86-45AD-AF81-935B1AED9EB4}"/>
    <hyperlink ref="E3607" r:id="rId11130" display="https://twitter.com/beetlebug1938/status/723497938937323520" xr:uid="{0024F1D8-EE7B-4A98-BC84-49F269507283}"/>
    <hyperlink ref="O3607" r:id="rId11131" display="https://pbs.twimg.com/profile_images/718820712757215233/LXXndPTS_normal.jpg" xr:uid="{D41F8988-31F2-4B6F-9E8C-D2F9FDE10506}"/>
    <hyperlink ref="B3608" r:id="rId11132" display="https://twitter.com/beetlebug1938" xr:uid="{3D5808E2-FE7C-4D6D-96BF-AA2CD89226A4}"/>
    <hyperlink ref="E3608" r:id="rId11133" display="https://twitter.com/beetlebug1938/status/723497944008278017" xr:uid="{286F8FAC-2308-49C5-8EF0-02042F4B5AC7}"/>
    <hyperlink ref="O3608" r:id="rId11134" display="https://pbs.twimg.com/profile_images/718820712757215233/LXXndPTS_normal.jpg" xr:uid="{62BD2C5B-0D9C-4241-BA01-9C8BBDB0D0EA}"/>
    <hyperlink ref="B3609" r:id="rId11135" display="https://twitter.com/beetlebug1938" xr:uid="{9E956BCF-2612-45F8-B24E-5F1F5B06B937}"/>
    <hyperlink ref="E3609" r:id="rId11136" display="https://twitter.com/beetlebug1938/status/723497992746078208" xr:uid="{A0A96CDB-F342-4725-9BBB-CD2972AE54C2}"/>
    <hyperlink ref="O3609" r:id="rId11137" display="https://pbs.twimg.com/profile_images/718820712757215233/LXXndPTS_normal.jpg" xr:uid="{6CA06C21-B23A-474C-807E-323F9BD04F62}"/>
    <hyperlink ref="B3610" r:id="rId11138" display="https://twitter.com/esdefren_az" xr:uid="{83D4396C-1297-45DF-A014-32EC2B31FD24}"/>
    <hyperlink ref="E3610" r:id="rId11139" display="https://twitter.com/esdefren_az/status/723498033225326593" xr:uid="{445752D9-BEFD-49E1-B59B-2AE3DDBB762A}"/>
    <hyperlink ref="O3610" r:id="rId11140" display="https://pbs.twimg.com/profile_images/722036542416556034/a5ulwDIW_normal.jpg" xr:uid="{5329AA04-DE45-42F9-A150-8B48A13BF8EF}"/>
    <hyperlink ref="B3611" r:id="rId11141" display="https://twitter.com/TepelmannMentor" xr:uid="{BB5CE4CB-78E3-4462-ACD9-D6B5EE069291}"/>
    <hyperlink ref="E3611" r:id="rId11142" display="https://twitter.com/TepelmannMentor/status/723498040645017600" xr:uid="{10B77890-54A5-40BA-87C3-39F3E32C303D}"/>
    <hyperlink ref="O3611" r:id="rId11143" display="https://pbs.twimg.com/profile_images/703995356049252353/5FP6lekY_normal.jpg" xr:uid="{AAB127A8-42C0-4ED2-B2C6-7B6CEB23D77A}"/>
    <hyperlink ref="B3612" r:id="rId11144" display="https://twitter.com/TepelmannMentor" xr:uid="{229A91F2-ABC2-4C00-AB84-E08F9F692BEB}"/>
    <hyperlink ref="E3612" r:id="rId11145" display="https://twitter.com/TepelmannMentor/status/723498053408284673" xr:uid="{4D70FEA1-F9B7-497E-B9A0-43EA21AA6828}"/>
    <hyperlink ref="O3612" r:id="rId11146" display="https://pbs.twimg.com/profile_images/703995356049252353/5FP6lekY_normal.jpg" xr:uid="{EAF7A6D6-FDD3-4F12-BB16-22F4EB7FA08E}"/>
    <hyperlink ref="B3613" r:id="rId11147" display="https://twitter.com/doern" xr:uid="{373C64F2-7279-4043-8ACF-DF2F46E35D92}"/>
    <hyperlink ref="E3613" r:id="rId11148" display="https://twitter.com/doern/status/723498283323297792" xr:uid="{9F404747-9B1C-4510-9E54-6D7C80029009}"/>
    <hyperlink ref="O3613" r:id="rId11149" display="https://pbs.twimg.com/profile_images/657853466384191488/J6vAnfZr_normal.jpg" xr:uid="{F8DA9ABB-7B99-49EB-B784-DF35EF80D9D7}"/>
    <hyperlink ref="B3614" r:id="rId11150" display="https://twitter.com/kuerzel_td" xr:uid="{FDF747DA-B23F-4205-9895-C8D259C309C4}"/>
    <hyperlink ref="E3614" r:id="rId11151" display="https://twitter.com/kuerzel_td/status/723498343654154240" xr:uid="{620E2BCC-4C78-48B3-9C18-EB1A0F9494AA}"/>
    <hyperlink ref="O3614" r:id="rId11152" display="https://pbs.twimg.com/profile_images/393094957/td_normal.jpg" xr:uid="{F83355DE-5A1E-47CE-8451-F557241FF918}"/>
    <hyperlink ref="B3615" r:id="rId11153" display="https://twitter.com/franke_media" xr:uid="{3D875354-661C-4FE9-8F40-6964D4397081}"/>
    <hyperlink ref="C3615" r:id="rId11154" xr:uid="{8A5D036F-ED56-4C63-8262-94CE75187173}"/>
    <hyperlink ref="E3615" r:id="rId11155" display="https://twitter.com/franke_media/status/723498346623676416" xr:uid="{B5D8FFF6-522F-423A-B54B-F11D971EC7BA}"/>
    <hyperlink ref="O3615" r:id="rId11156" display="https://pbs.twimg.com/profile_images/431047003091398657/VwNnWrzp_normal.jpeg" xr:uid="{21D03479-FCDA-4B07-8846-AD2EA8243BEE}"/>
    <hyperlink ref="B3616" r:id="rId11157" display="https://twitter.com/franzsch2" xr:uid="{E25784E9-ED3B-4EE7-84E9-BF0E04FCD9E0}"/>
    <hyperlink ref="E3616" r:id="rId11158" display="https://twitter.com/franzsch2/status/723498542199889920" xr:uid="{496888F7-ACD6-4291-A490-C279B3A4DBC0}"/>
    <hyperlink ref="O3616" r:id="rId11159" display="https://pbs.twimg.com/profile_images/532009681158295552/ubGun8Mr_normal.jpeg" xr:uid="{9997073F-D851-46F9-ABD4-07E5B8774F2D}"/>
    <hyperlink ref="B3617" r:id="rId11160" display="https://twitter.com/Scoopic" xr:uid="{8D200DDC-C962-4FF9-BF75-D8803AF5E306}"/>
    <hyperlink ref="E3617" r:id="rId11161" display="https://twitter.com/Scoopic/status/723498543412043780" xr:uid="{1DD9B163-1A76-43C8-80E8-44AE73A73BF0}"/>
    <hyperlink ref="O3617" r:id="rId11162" display="https://pbs.twimg.com/profile_images/705389200435118080/5zVKUS7f_normal.jpg" xr:uid="{3AFBDA07-F87E-44A6-9C52-F55F6B7692E5}"/>
    <hyperlink ref="B3618" r:id="rId11163" display="https://twitter.com/sabinahasanova7" xr:uid="{500C3B2F-DFD3-40DD-AB42-54D625372361}"/>
    <hyperlink ref="E3618" r:id="rId11164" display="https://twitter.com/sabinahasanova7/status/723498586177191936" xr:uid="{A3E86830-9B4B-4FEF-8B86-04E2FB253B63}"/>
    <hyperlink ref="O3618" r:id="rId11165" display="https://pbs.twimg.com/profile_images/3739776725/4bdfde88b7163868c75447afc5bd822e_normal.jpeg" xr:uid="{2ACD86B8-FB79-486D-A960-26C06BEC1E0A}"/>
    <hyperlink ref="B3619" r:id="rId11166" display="https://twitter.com/vwpress_de" xr:uid="{8F9C1A43-771F-4409-AA18-9C25E608A06F}"/>
    <hyperlink ref="E3619" r:id="rId11167" display="https://twitter.com/vwpress_de/status/723498614048305152" xr:uid="{2D8B2D85-E913-4F90-A867-85AC0A0B2C52}"/>
    <hyperlink ref="O3619" r:id="rId11168" display="https://pbs.twimg.com/profile_images/682117656502222848/Ge7YeAF3_normal.png" xr:uid="{6D34AFFE-21D3-4A31-8583-31E67ADDD346}"/>
    <hyperlink ref="B3620" r:id="rId11169" display="https://twitter.com/boerseonline" xr:uid="{16B8FCCC-8C6E-49D2-A7B3-18EA4C752355}"/>
    <hyperlink ref="E3620" r:id="rId11170" display="https://twitter.com/boerseonline/status/723498656226267136" xr:uid="{3CB9EBD2-D8CF-4E38-9A88-573B8795F2F7}"/>
    <hyperlink ref="O3620" r:id="rId11171" display="https://pbs.twimg.com/profile_images/522305770503696384/J6guKsKV_normal.jpeg" xr:uid="{03D2A631-AEDB-419F-9022-0B4F8DC0B3E3}"/>
    <hyperlink ref="B3621" r:id="rId11172" display="https://twitter.com/vwpress_en" xr:uid="{625A05F3-1752-4783-89B5-494EAA6216F5}"/>
    <hyperlink ref="E3621" r:id="rId11173" display="https://twitter.com/vwpress_en/status/723498709359665152" xr:uid="{4DC83EB8-7633-4EC9-8C04-F4A4AFA123EC}"/>
    <hyperlink ref="O3621" r:id="rId11174" display="https://pbs.twimg.com/profile_images/682117963349135360/IUfZQy35_normal.png" xr:uid="{FCD2D5B4-1458-4A8A-AEDF-3C5C221AF59D}"/>
    <hyperlink ref="B3622" r:id="rId11175" display="https://twitter.com/golfturkiye" xr:uid="{4DCA2D44-203C-4F69-9D2A-577F04C16674}"/>
    <hyperlink ref="E3622" r:id="rId11176" display="https://twitter.com/golfturkiye/status/723498856550404096" xr:uid="{06B590C9-49CD-458C-BF5E-063A5FBF0494}"/>
    <hyperlink ref="O3622" r:id="rId11177" display="https://pbs.twimg.com/profile_images/2908590566/828967841f09b515ee36e3dfccea4d28_normal.png" xr:uid="{27CF2CAF-C33B-4CC7-9338-B77CC171D27D}"/>
    <hyperlink ref="B3623" r:id="rId11178" display="https://twitter.com/SJ_LOWTEC" xr:uid="{40C8A82C-A3C0-48F6-B54D-3C8EE7E2737D}"/>
    <hyperlink ref="E3623" r:id="rId11179" display="https://twitter.com/SJ_LOWTEC/status/723498861256413187" xr:uid="{1C0FF377-F2B3-4361-B808-F568E1C474DC}"/>
    <hyperlink ref="O3623" r:id="rId11180" display="https://pbs.twimg.com/profile_images/2598553252/qoojuj09m53kdh24r09y_normal.jpeg" xr:uid="{AACF66C1-7A95-4A93-8409-D868159ECC53}"/>
    <hyperlink ref="B3624" r:id="rId11181" display="https://twitter.com/Banane0711" xr:uid="{08DE9E9A-A475-4A9F-A1EE-BB6B9E49BBA8}"/>
    <hyperlink ref="E3624" r:id="rId11182" display="https://twitter.com/Banane0711/status/723499046518792193" xr:uid="{435E0554-CEC3-4FA0-8801-1548BBCB9DB4}"/>
    <hyperlink ref="O3624" r:id="rId11183" display="https://pbs.twimg.com/profile_images/1488674331/schofer4_normal.jpg" xr:uid="{11F82E39-C7FC-4773-A00E-F712B720C1DF}"/>
    <hyperlink ref="B3625" r:id="rId11184" display="https://twitter.com/FuscaWorld" xr:uid="{94DDBF14-E138-4EEB-A811-FD7D860526E3}"/>
    <hyperlink ref="E3625" r:id="rId11185" display="https://twitter.com/FuscaWorld/status/723499066546634752" xr:uid="{878BA73C-6510-4A17-92D9-752AE22292CE}"/>
    <hyperlink ref="O3625" r:id="rId11186" display="https://pbs.twimg.com/profile_images/705780107844067328/e7O4UBNb_normal.jpg" xr:uid="{97006B15-A59A-416F-B21D-ACF165D87273}"/>
    <hyperlink ref="B3626" r:id="rId11187" display="https://twitter.com/FuscaWorld" xr:uid="{6407D062-2C7F-4454-9F87-77F2E4348687}"/>
    <hyperlink ref="E3626" r:id="rId11188" display="https://twitter.com/FuscaWorld/status/723499069117763585" xr:uid="{FF7D75A5-B96A-48CA-9E6C-1E3318475E93}"/>
    <hyperlink ref="O3626" r:id="rId11189" display="https://pbs.twimg.com/profile_images/705780107844067328/e7O4UBNb_normal.jpg" xr:uid="{C10DEF37-829D-4242-A09A-4690083C3F04}"/>
    <hyperlink ref="B3627" r:id="rId11190" display="https://twitter.com/helmi" xr:uid="{917AA9B7-2D2C-42C2-854F-80DB098B80B6}"/>
    <hyperlink ref="E3627" r:id="rId11191" display="https://twitter.com/helmi/status/723499077296656384" xr:uid="{F165B025-ABD9-4F98-9E4F-799E8D4394E2}"/>
    <hyperlink ref="O3627" r:id="rId11192" display="https://pbs.twimg.com/profile_images/666002335663939584/Z692XL2p_normal.jpg" xr:uid="{C28294E3-6AB5-47D6-A887-16762583E5E4}"/>
    <hyperlink ref="B3628" r:id="rId11193" display="https://twitter.com/JensHilgenberg" xr:uid="{C8E7A87F-88A2-4D76-BBAE-A514986BAB50}"/>
    <hyperlink ref="E3628" r:id="rId11194" display="https://twitter.com/JensHilgenberg/status/723499207861133312" xr:uid="{443AC4C1-8ABF-4397-9159-BFB9458E9819}"/>
    <hyperlink ref="O3628" r:id="rId11195" display="https://pbs.twimg.com/profile_images/618330156940271616/pUMK1tlR_normal.jpg" xr:uid="{619BABD7-A867-46C7-8B2B-A67A84A8BC47}"/>
    <hyperlink ref="B3629" r:id="rId11196" display="https://twitter.com/MichaelNdri" xr:uid="{3DC0A44C-6CB1-4B7F-947E-0F13AF578404}"/>
    <hyperlink ref="E3629" r:id="rId11197" display="https://twitter.com/MichaelNdri/status/723499213066215424" xr:uid="{C646C8EB-2BBF-4CC9-BED6-5F21207AF621}"/>
    <hyperlink ref="O3629" r:id="rId11198" display="https://pbs.twimg.com/profile_images/2275736241/0wxdwpqqkero82c7tj5z_normal.jpeg" xr:uid="{C3A7CDB3-4A11-4AFB-BB8D-8DB4ECE8C221}"/>
    <hyperlink ref="B3630" r:id="rId11199" display="https://twitter.com/VWBeetleSales" xr:uid="{C855E487-FA51-47EA-AD72-DF8DA32258A5}"/>
    <hyperlink ref="E3630" r:id="rId11200" display="https://twitter.com/VWBeetleSales/status/723499240593326082" xr:uid="{09096C8D-0257-465B-AA8D-0A17C37C5A8C}"/>
    <hyperlink ref="F3630" r:id="rId11201" xr:uid="{F629D4B9-1FE8-4AF9-9A3D-1E795E154E7B}"/>
    <hyperlink ref="O3630" r:id="rId11202" display="https://pbs.twimg.com/profile_images/703294545195307008/qeCvrX86_normal.jpg" xr:uid="{5DF15748-9DF6-40E4-AA3F-EFD958DB4241}"/>
    <hyperlink ref="B3631" r:id="rId11203" display="https://twitter.com/AutoFacilBrasil" xr:uid="{A22B7AC5-5046-470D-94D6-35FAE80781A9}"/>
    <hyperlink ref="E3631" r:id="rId11204" display="https://twitter.com/AutoFacilBrasil/status/723499282578415616" xr:uid="{C95B44C5-43D3-4856-9E2D-77E5490AEB84}"/>
    <hyperlink ref="O3631" r:id="rId11205" display="https://pbs.twimg.com/profile_images/712035589445525504/TKzoWYdS_normal.jpg" xr:uid="{18C5C095-62C7-45DA-AC72-2C65DC455E3D}"/>
    <hyperlink ref="B3632" r:id="rId11206" display="https://twitter.com/mamooo17" xr:uid="{AFCA705A-5EBA-44EA-AB29-809A5AB9F46A}"/>
    <hyperlink ref="E3632" r:id="rId11207" display="https://twitter.com/mamooo17/status/723499289134116865" xr:uid="{EF837ED1-1C8B-4CEA-99D2-8F348F687DDF}"/>
    <hyperlink ref="O3632" r:id="rId11208" display="https://pbs.twimg.com/profile_images/378800000338927530/78ff887ca1487d515fde26c1904b6745_normal.jpeg" xr:uid="{1385425D-A62D-4403-8356-81D60006E5B9}"/>
    <hyperlink ref="B3633" r:id="rId11209" display="https://twitter.com/Banane0711" xr:uid="{AB42489C-414D-4009-BF61-B7F2CC35E55D}"/>
    <hyperlink ref="E3633" r:id="rId11210" display="https://twitter.com/Banane0711/status/723499318481694721" xr:uid="{CC30A432-AD22-44EC-A02B-E906F4E4004E}"/>
    <hyperlink ref="O3633" r:id="rId11211" display="https://pbs.twimg.com/profile_images/1488674331/schofer4_normal.jpg" xr:uid="{646F10E6-F63A-4C47-9BE2-792C3D0D318D}"/>
    <hyperlink ref="B3634" r:id="rId11212" display="https://twitter.com/aktionaer" xr:uid="{092E17F6-698D-4BB3-A364-56D02532DFF9}"/>
    <hyperlink ref="E3634" r:id="rId11213" display="https://twitter.com/aktionaer/status/723499339360940032" xr:uid="{0927A380-4DD8-48A9-BE05-2D7D3D6AF47E}"/>
    <hyperlink ref="O3634" r:id="rId11214" display="https://pbs.twimg.com/profile_images/679552623641509888/_vPw9IS2_normal.png" xr:uid="{030E5E17-109C-441F-ADA9-6C9F6B88F8B7}"/>
    <hyperlink ref="B3635" r:id="rId11215" display="https://twitter.com/KeithNaughton" xr:uid="{F4AE941A-D1D1-4C66-AA87-F1CAA1DF8C5D}"/>
    <hyperlink ref="E3635" r:id="rId11216" display="https://twitter.com/KeithNaughton/status/723499437499252737" xr:uid="{2F35F4E0-8118-47FD-8249-251C2872F02E}"/>
    <hyperlink ref="O3635" r:id="rId11217" display="https://pbs.twimg.com/profile_images/2229013879/glenLakePhoto_normal.jpg" xr:uid="{E3CB2C8E-5C6E-4401-8B53-97E9D84F8CE9}"/>
    <hyperlink ref="B3636" r:id="rId11218" display="https://twitter.com/handelsblatt" xr:uid="{7DB27E75-CE5C-4B4C-BAD2-8113B57DC449}"/>
    <hyperlink ref="E3636" r:id="rId11219" display="https://twitter.com/handelsblatt/status/723499447422992384" xr:uid="{84E9743B-7A37-4D35-97C2-756BF1CD7896}"/>
    <hyperlink ref="O3636" r:id="rId11220" display="https://pbs.twimg.com/profile_images/562563461171798017/AkHF4keI_normal.png" xr:uid="{70DFF4C1-598D-4C09-AB47-1712EA0C2FA4}"/>
    <hyperlink ref="B3637" r:id="rId11221" display="https://twitter.com/handelsblatt" xr:uid="{BAE34542-7DE6-4958-8E64-60D6D40E2D6D}"/>
    <hyperlink ref="E3637" r:id="rId11222" display="https://twitter.com/handelsblatt/status/723499448299597825" xr:uid="{E35A033F-8146-43B7-8458-9C2F363B9614}"/>
    <hyperlink ref="O3637" r:id="rId11223" display="https://pbs.twimg.com/profile_images/562563461171798017/AkHF4keI_normal.png" xr:uid="{6A4F5D77-4772-4CBA-A844-766132AE348D}"/>
    <hyperlink ref="B3638" r:id="rId11224" display="https://twitter.com/MotoringPodcast" xr:uid="{8CE01351-5680-458D-834C-0F85F97EB753}"/>
    <hyperlink ref="E3638" r:id="rId11225" display="https://twitter.com/MotoringPodcast/status/723499456243617792" xr:uid="{7557AEE0-406B-42EE-892B-B0AC09D56804}"/>
    <hyperlink ref="O3638" r:id="rId11226" display="https://pbs.twimg.com/profile_images/718471023616770049/pJARbhRj_normal.jpg" xr:uid="{98FD1A9F-DB5A-480F-95DC-5D7BCDA86F0D}"/>
    <hyperlink ref="B3639" r:id="rId11227" display="https://twitter.com/padmakarvikas" xr:uid="{DD69941D-EB98-4BB6-B241-1E09D5CAF4E4}"/>
    <hyperlink ref="E3639" r:id="rId11228" display="https://twitter.com/padmakarvikas/status/723499482667732992" xr:uid="{9DF461EF-C1E3-4F7B-ABE4-70FFA7F0D3FC}"/>
    <hyperlink ref="O3639" r:id="rId11229" display="https://pbs.twimg.com/profile_images/660186918299156480/IumQQzna_normal.jpg" xr:uid="{153B0A71-5AEC-4AAD-8DB3-A552C9D72845}"/>
    <hyperlink ref="B3640" r:id="rId11230" display="https://twitter.com/donaukurier" xr:uid="{F243DAF8-E598-4307-B9CD-58260B0B55B6}"/>
    <hyperlink ref="C3640" r:id="rId11231" xr:uid="{5826A059-04BA-4274-B16F-7A7827753F15}"/>
    <hyperlink ref="E3640" r:id="rId11232" display="https://twitter.com/donaukurier/status/723499533913731073" xr:uid="{FC0C600A-492A-4248-8D86-F47A7F192BCF}"/>
    <hyperlink ref="O3640" r:id="rId11233" display="https://pbs.twimg.com/profile_images/453883735738310657/v_R7tMWg_normal.jpeg" xr:uid="{F497AE9F-937D-4371-8BA3-5F65B9F75A1D}"/>
    <hyperlink ref="B3641" r:id="rId11234" display="https://twitter.com/rbbinforadio" xr:uid="{4BF82BE1-7ED7-497B-9AC8-6969E951A2BE}"/>
    <hyperlink ref="E3641" r:id="rId11235" display="https://twitter.com/rbbinforadio/status/723499537151758337" xr:uid="{B4E3F12B-B268-4FAD-AC1F-3941CFBC47AF}"/>
    <hyperlink ref="O3641" r:id="rId11236" display="https://pbs.twimg.com/profile_images/666962838930485248/ZYF2LkHu_normal.png" xr:uid="{855D6510-8144-45D1-94DB-1C41DBBA55CF}"/>
    <hyperlink ref="B3642" r:id="rId11237" display="https://twitter.com/bvoelkl" xr:uid="{E331AB63-5772-4C14-BF73-E8418B4C63E3}"/>
    <hyperlink ref="E3642" r:id="rId11238" display="https://twitter.com/bvoelkl/status/723499574434910208" xr:uid="{5CBF6067-65D0-40E8-BF3A-9A7E6A71FE66}"/>
    <hyperlink ref="O3642" r:id="rId11239" display="https://pbs.twimg.com/profile_images/656496532380852224/tduNQXiq_normal.jpg" xr:uid="{CFB8D062-A151-4E95-A864-31474BD36D3B}"/>
    <hyperlink ref="B3643" r:id="rId11240" display="https://twitter.com/VanagonNews" xr:uid="{C4B156AD-4A7E-4395-89C2-15A3321F0162}"/>
    <hyperlink ref="E3643" r:id="rId11241" display="https://twitter.com/VanagonNews/status/723499587223212032" xr:uid="{330907C5-EA7E-4AF3-A135-742ECC69B4C2}"/>
    <hyperlink ref="O3643" r:id="rId11242" display="https://pbs.twimg.com/profile_images/439107942877376514/dsUl4fwt_normal.jpeg" xr:uid="{D184197D-45B5-4B52-BF54-05F0160DB2F8}"/>
    <hyperlink ref="B3644" r:id="rId11243" display="https://twitter.com/DirkHaehnel" xr:uid="{7DB379A0-BCDF-4418-ADD0-E449C4416924}"/>
    <hyperlink ref="E3644" r:id="rId11244" display="https://twitter.com/DirkHaehnel/status/723499631842308096" xr:uid="{B73918E5-5440-410C-8DFF-0FBCF6F179CA}"/>
    <hyperlink ref="O3644" r:id="rId11245" display="https://pbs.twimg.com/profile_images/638234913771290624/QK4MVvJS_normal.jpg" xr:uid="{E770CC60-5546-40EC-84AE-13888A5A028E}"/>
    <hyperlink ref="B3645" r:id="rId11246" display="https://twitter.com/Theothebald" xr:uid="{2130DFC4-87C6-4F96-A653-4ECE97A08A56}"/>
    <hyperlink ref="E3645" r:id="rId11247" display="https://twitter.com/Theothebald/status/723499742525816832" xr:uid="{9FD4ABDF-60E9-45E5-9092-D3E948B1B07E}"/>
    <hyperlink ref="O3645" r:id="rId11248" display="https://pbs.twimg.com/profile_images/2592181176/udsjv0fy0o3b2krnx52h_normal.jpeg" xr:uid="{E02C44D2-AD80-4236-B796-689D4E0CAC60}"/>
    <hyperlink ref="B3646" r:id="rId11249" display="https://twitter.com/hrinfo" xr:uid="{862F0B18-DCC1-4A06-9A96-C939769AFB74}"/>
    <hyperlink ref="E3646" r:id="rId11250" display="https://twitter.com/hrinfo/status/723499929239474176" xr:uid="{F8DB7DEE-0BE2-4760-9686-169E9412199E}"/>
    <hyperlink ref="O3646" r:id="rId11251" display="https://pbs.twimg.com/profile_images/531837173612285952/71rzDAAY_normal.jpeg" xr:uid="{43F2EE00-0108-4C59-BC78-96C7F5655C4D}"/>
    <hyperlink ref="B3647" r:id="rId11252" display="https://twitter.com/s_janssen" xr:uid="{8B0451AE-301F-4CFB-9A3A-457C771B31DD}"/>
    <hyperlink ref="E3647" r:id="rId11253" display="https://twitter.com/s_janssen/status/723499979696906240" xr:uid="{252EE38F-2177-4D57-85FE-3D5121CF995B}"/>
    <hyperlink ref="O3647" r:id="rId11254" display="https://pbs.twimg.com/profile_images/495094466777071616/LRAOBOo1_normal.jpeg" xr:uid="{A1ACAEDD-6241-4899-9710-7939707BA667}"/>
    <hyperlink ref="B3648" r:id="rId11255" display="https://twitter.com/MarkCSchneider" xr:uid="{03AC8AFD-21A9-498D-B01D-2C9263D3BE01}"/>
    <hyperlink ref="E3648" r:id="rId11256" display="https://twitter.com/MarkCSchneider/status/723500013310058496" xr:uid="{4918F3E0-7CF0-4B39-AF8B-AD5C9D9FC934}"/>
    <hyperlink ref="O3648" r:id="rId11257" display="https://pbs.twimg.com/profile_images/706784695795769345/XGXgdjww_normal.jpg" xr:uid="{447F4131-A0AA-4188-8B71-CB6E1F219607}"/>
    <hyperlink ref="B3649" r:id="rId11258" display="https://twitter.com/ZDFheute" xr:uid="{6E723025-7E7A-4317-A36C-13E77C4D58C8}"/>
    <hyperlink ref="E3649" r:id="rId11259" display="https://twitter.com/ZDFheute/status/723500033354661889" xr:uid="{7836AB64-47AB-4638-B496-DEC57195F876}"/>
    <hyperlink ref="O3649" r:id="rId11260" display="https://pbs.twimg.com/profile_images/465803701647446016/jAlkirAe_normal.jpeg" xr:uid="{A8684ED1-B413-4E9B-8F88-F5EC5155E52B}"/>
    <hyperlink ref="B3650" r:id="rId11261" display="https://twitter.com/GeyersipOficial" xr:uid="{30F10156-1A37-454B-BB4D-7156F1B5A555}"/>
    <hyperlink ref="E3650" r:id="rId11262" display="https://twitter.com/GeyersipOficial/status/723500074865586177" xr:uid="{7764CD48-3FA2-4D17-878C-89803FD6E20E}"/>
    <hyperlink ref="O3650" r:id="rId11263" display="https://pbs.twimg.com/profile_images/723218593823891456/LolKqq8k_normal.jpg" xr:uid="{8EC5E5A2-6121-41A5-9BF3-82646BB61F76}"/>
    <hyperlink ref="B3651" r:id="rId11264" display="https://twitter.com/Banane0711" xr:uid="{9F1538C2-1971-4DBC-B599-10C2942AE60D}"/>
    <hyperlink ref="E3651" r:id="rId11265" display="https://twitter.com/Banane0711/status/723500086223843328" xr:uid="{6764B784-774C-498A-80BD-65348F805DD3}"/>
    <hyperlink ref="O3651" r:id="rId11266" display="https://pbs.twimg.com/profile_images/1488674331/schofer4_normal.jpg" xr:uid="{A21FC1FD-C275-4F77-88B5-1747537CDAD7}"/>
    <hyperlink ref="B3652" r:id="rId11267" display="https://twitter.com/wehrs18" xr:uid="{1581B918-F31F-40D6-B349-B249AEF38182}"/>
    <hyperlink ref="E3652" r:id="rId11268" display="https://twitter.com/wehrs18/status/723500136689729537" xr:uid="{539E4E19-4909-4D2F-843C-CF40D1F6516C}"/>
    <hyperlink ref="O3652" r:id="rId11269" display="https://pbs.twimg.com/profile_images/687314255507513346/a83L5Opq_normal.jpg" xr:uid="{22BB33EE-33CE-4749-AF05-09798484FF04}"/>
    <hyperlink ref="B3653" r:id="rId11270" display="https://twitter.com/Madushanpriyas2" xr:uid="{D94D38AA-5C32-4EA8-ACC2-CD475E2D645F}"/>
    <hyperlink ref="E3653" r:id="rId11271" display="https://twitter.com/Madushanpriyas2/status/723500168184647681" xr:uid="{5F190B79-B3C2-45DB-83CE-1F59BF816AEE}"/>
    <hyperlink ref="O3653" r:id="rId11272" display="https://abs.twimg.com/sticky/default_profile_images/default_profile_5_normal.png" xr:uid="{3887B05B-7C75-48D4-BB7F-B76EB26E9369}"/>
    <hyperlink ref="B3654" r:id="rId11273" display="https://twitter.com/aktionaer" xr:uid="{00705975-8701-47FD-A5BF-3E4515069135}"/>
    <hyperlink ref="E3654" r:id="rId11274" display="https://twitter.com/aktionaer/status/723500169212362752" xr:uid="{C342687C-661B-4157-AE08-A722D8B5FEAF}"/>
    <hyperlink ref="O3654" r:id="rId11275" display="https://pbs.twimg.com/profile_images/679552623641509888/_vPw9IS2_normal.png" xr:uid="{CB0D401E-2631-4144-8BEB-A58F186E52A8}"/>
    <hyperlink ref="B3655" r:id="rId11276" display="https://twitter.com/Kristina_Hof" xr:uid="{A5643E34-9825-4BA8-89CF-894CA8046360}"/>
    <hyperlink ref="E3655" r:id="rId11277" display="https://twitter.com/Kristina_Hof/status/723500194856316928" xr:uid="{B4B00797-F44B-479D-906A-EA9ED785320C}"/>
    <hyperlink ref="O3655" r:id="rId11278" display="https://pbs.twimg.com/profile_images/704302570739785729/M4HWJt6p_normal.jpg" xr:uid="{E357E7BF-3643-41A1-B355-FDCBF4BAAB2C}"/>
    <hyperlink ref="B3656" r:id="rId11279" display="https://twitter.com/doern" xr:uid="{31A71265-9667-4AF2-9A36-58DCA1920881}"/>
    <hyperlink ref="E3656" r:id="rId11280" display="https://twitter.com/doern/status/723500240083521536" xr:uid="{5AADC620-D34A-49B0-A668-B0FC650BA61D}"/>
    <hyperlink ref="O3656" r:id="rId11281" display="https://pbs.twimg.com/profile_images/657853466384191488/J6vAnfZr_normal.jpg" xr:uid="{0B4E72A1-1E03-4661-BE10-3391F61BE244}"/>
    <hyperlink ref="B3657" r:id="rId11282" display="https://twitter.com/c_garrels" xr:uid="{7D72E678-D481-4D71-BE98-F73058444A5C}"/>
    <hyperlink ref="E3657" r:id="rId11283" display="https://twitter.com/c_garrels/status/723500262804054016" xr:uid="{7C0E4E5A-17D9-4C3F-B04A-38A5460D36F2}"/>
    <hyperlink ref="O3657" r:id="rId11284" display="https://pbs.twimg.com/profile_images/669855217513578496/tHE9dIDO_normal.jpg" xr:uid="{706B5971-EB1D-45AD-B9EB-2DEADAE83920}"/>
    <hyperlink ref="B3658" r:id="rId11285" display="https://twitter.com/kuerzel_td" xr:uid="{ECB824DF-3F2F-4864-97ED-4691CCB15A84}"/>
    <hyperlink ref="E3658" r:id="rId11286" display="https://twitter.com/kuerzel_td/status/723500284366995457" xr:uid="{83E52107-694F-47D8-9E19-995A32E4F598}"/>
    <hyperlink ref="O3658" r:id="rId11287" display="https://pbs.twimg.com/profile_images/393094957/td_normal.jpg" xr:uid="{66B4ECB6-F709-483C-B329-15A3E3175AD0}"/>
    <hyperlink ref="B3659" r:id="rId11288" display="https://twitter.com/Banane0711" xr:uid="{0F1BF912-E58F-4E8C-A4DE-EC75847EFCB2}"/>
    <hyperlink ref="E3659" r:id="rId11289" display="https://twitter.com/Banane0711/status/723500341644398592" xr:uid="{440BEDD0-1307-4B71-B748-6B97BF2B0D96}"/>
    <hyperlink ref="O3659" r:id="rId11290" display="https://pbs.twimg.com/profile_images/1488674331/schofer4_normal.jpg" xr:uid="{928D279E-0306-46D4-8266-C03FD2072E23}"/>
    <hyperlink ref="B3660" r:id="rId11291" display="https://twitter.com/ReiseRobby" xr:uid="{160CA417-739D-4BC9-9220-B8CF51ED9263}"/>
    <hyperlink ref="C3660" r:id="rId11292" xr:uid="{2E2BAB8E-CFE4-4112-A5DD-6E608069E240}"/>
    <hyperlink ref="E3660" r:id="rId11293" display="https://twitter.com/ReiseRobby/status/723500438381858816" xr:uid="{674D1933-7171-4D32-8C8F-8CEEB657BC5F}"/>
    <hyperlink ref="O3660" r:id="rId11294" display="https://pbs.twimg.com/profile_images/693518966317301761/2cHFP3q4_normal.jpg" xr:uid="{7AC3BE63-47DB-473F-A2FD-DF402DD65D2E}"/>
    <hyperlink ref="B3661" r:id="rId11295" display="https://twitter.com/VWofLaurel" xr:uid="{624AE402-026D-40EC-AA16-529A03900DC4}"/>
    <hyperlink ref="E3661" r:id="rId11296" display="https://twitter.com/VWofLaurel/status/723500440206356480" xr:uid="{85B01BE6-166F-4520-8F0C-616F60A5CDDF}"/>
    <hyperlink ref="O3661" r:id="rId11297" display="https://pbs.twimg.com/profile_images/707556127202881537/wxyyuNEr_normal.jpg" xr:uid="{665B2857-13C0-49E2-99F2-BEB94D8FB09D}"/>
    <hyperlink ref="B3662" r:id="rId11298" display="https://twitter.com/sinnsturm" xr:uid="{EDB8100C-CBE1-420C-8CC4-5F8139539724}"/>
    <hyperlink ref="E3662" r:id="rId11299" display="https://twitter.com/sinnsturm/status/723500472120782849" xr:uid="{E8525150-0C9C-446A-9381-BA555A8919B8}"/>
    <hyperlink ref="O3662" r:id="rId11300" display="https://pbs.twimg.com/profile_images/720591880484995072/AvRSABLv_normal.jpg" xr:uid="{8C3AC42A-C1A6-4D53-98AE-BB582DA7E6FA}"/>
    <hyperlink ref="B3663" r:id="rId11301" display="https://twitter.com/c_garrels" xr:uid="{D501FE4E-6965-4E57-B414-DA6E5AFC8AC3}"/>
    <hyperlink ref="E3663" r:id="rId11302" display="https://twitter.com/c_garrels/status/723500477632122880" xr:uid="{8EBB1DD1-D64E-409A-BCB8-A41832A9FACC}"/>
    <hyperlink ref="O3663" r:id="rId11303" display="https://pbs.twimg.com/profile_images/669855217513578496/tHE9dIDO_normal.jpg" xr:uid="{727D6DAD-0F4F-4F46-B595-66C4E9E2E875}"/>
    <hyperlink ref="B3664" r:id="rId11304" display="https://twitter.com/agy_nes" xr:uid="{1FFECC24-BE1A-4621-BC76-3157FB121DED}"/>
    <hyperlink ref="E3664" r:id="rId11305" display="https://twitter.com/agy_nes/status/723500792175534080" xr:uid="{58B8320C-94A4-4F60-BE9A-6FFA08A7DA3A}"/>
    <hyperlink ref="O3664" r:id="rId11306" display="https://pbs.twimg.com/profile_images/721572226600943616/rLXy7VpS_normal.jpg" xr:uid="{109DE164-22B3-4426-9F6D-E0A29D9891C7}"/>
    <hyperlink ref="B3665" r:id="rId11307" display="https://twitter.com/punjabimodern1" xr:uid="{F11B6E5C-0A1A-455C-B756-BFFAA3BAF302}"/>
    <hyperlink ref="E3665" r:id="rId11308" display="https://twitter.com/punjabimodern1/status/723500801424019457" xr:uid="{E4AD49A8-A0E6-45B2-9148-475A7950302C}"/>
    <hyperlink ref="O3665" r:id="rId11309" display="https://pbs.twimg.com/profile_images/622908582086987779/PlpMXHEK_normal.jpg" xr:uid="{2E738EC0-140F-40E3-BAA0-6BDBE7C8891A}"/>
    <hyperlink ref="B3666" r:id="rId11310" display="https://twitter.com/KatSteward_art" xr:uid="{BC94B56F-8ABC-43ED-88DA-1EE5CB7E5644}"/>
    <hyperlink ref="E3666" r:id="rId11311" display="https://twitter.com/KatSteward_art/status/723500855215960064" xr:uid="{0E26132B-ECFA-431E-8512-BFFA69E8B59F}"/>
    <hyperlink ref="O3666" r:id="rId11312" display="https://pbs.twimg.com/profile_images/720722950316507140/klRcd2X9_normal.jpg" xr:uid="{09B62CB5-05FB-424C-ADDB-D3AD4DC18A79}"/>
    <hyperlink ref="B3667" r:id="rId11313" display="https://twitter.com/blauer_loewe" xr:uid="{35F7E2BD-ECD3-454A-A192-EA93BB3E7DB0}"/>
    <hyperlink ref="E3667" r:id="rId11314" display="https://twitter.com/blauer_loewe/status/723500893547712512" xr:uid="{F9DC6000-769E-4D37-A255-96B30298E434}"/>
    <hyperlink ref="O3667" r:id="rId11315" display="https://pbs.twimg.com/profile_images/707292424280928256/v5Ubw9Eg_normal.jpg" xr:uid="{886BAE6F-C4D1-45EA-83D8-FC66D18E60AA}"/>
    <hyperlink ref="B3668" r:id="rId11316" display="https://twitter.com/COURAGE_COMM" xr:uid="{DEF86BE0-58A9-4309-A599-CBDA95689343}"/>
    <hyperlink ref="E3668" r:id="rId11317" display="https://twitter.com/COURAGE_COMM/status/723500907984461824" xr:uid="{87DD12C9-0A73-4972-A2CF-D56E1F68408B}"/>
    <hyperlink ref="O3668" r:id="rId11318" display="https://pbs.twimg.com/profile_images/1404247982/_MG_1344_normal.jpg" xr:uid="{48B35701-1447-46F8-9887-6D32BC6E77EA}"/>
    <hyperlink ref="B3669" r:id="rId11319" display="https://twitter.com/FreeAviator" xr:uid="{0C6536B6-A0FC-4677-BE52-B4917A33C5C9}"/>
    <hyperlink ref="E3669" r:id="rId11320" display="https://twitter.com/FreeAviator/status/723500913600663552" xr:uid="{B23B7786-B3CB-43BB-B8CC-BD8B1BE3B469}"/>
    <hyperlink ref="O3669" r:id="rId11321" display="https://pbs.twimg.com/profile_images/1419994733/4E0E0FFE-C113-45F7-9CDB-8901DE8B7F4F_normal" xr:uid="{E2242D3E-4686-4816-A445-D2AE8C097C75}"/>
    <hyperlink ref="B3670" r:id="rId11322" display="https://twitter.com/VWCamperSales" xr:uid="{8C408B12-D159-41EE-A6D0-36F9182A9A14}"/>
    <hyperlink ref="E3670" r:id="rId11323" display="https://twitter.com/VWCamperSales/status/723500921980768259" xr:uid="{A977F721-6A7F-49BF-B81C-F8DE3A07C567}"/>
    <hyperlink ref="F3670" r:id="rId11324" xr:uid="{E7259AEF-E7F6-4050-B644-883EF16F63A7}"/>
    <hyperlink ref="O3670" r:id="rId11325" display="https://pbs.twimg.com/profile_images/627949001179037696/skEBkS05_normal.jpg" xr:uid="{7245A372-FB87-4374-AB26-480E2B4EC0C6}"/>
    <hyperlink ref="B3671" r:id="rId11326" display="https://twitter.com/Banane0711" xr:uid="{B57FDFB7-4900-4FF7-8BA3-EBB5F924949F}"/>
    <hyperlink ref="E3671" r:id="rId11327" display="https://twitter.com/Banane0711/status/723500936287662081" xr:uid="{9C7ABB85-BB93-40D9-B4D3-9646EA2D6DBE}"/>
    <hyperlink ref="O3671" r:id="rId11328" display="https://pbs.twimg.com/profile_images/1488674331/schofer4_normal.jpg" xr:uid="{30659E03-6DF3-4C56-9777-8B6E091D7A93}"/>
    <hyperlink ref="B3672" r:id="rId11329" display="https://twitter.com/buran63" xr:uid="{0D672022-C585-4A6C-AEDD-A98C6D85EB23}"/>
    <hyperlink ref="E3672" r:id="rId11330" display="https://twitter.com/buran63/status/723500966406963201" xr:uid="{0625F83F-934B-46DB-AD88-1B150C101150}"/>
    <hyperlink ref="O3672" r:id="rId11331" display="https://pbs.twimg.com/profile_images/645328399834181632/rWu1bHrC_normal.jpg" xr:uid="{58C0076A-036A-4A09-9BC1-8111FE64CCC4}"/>
    <hyperlink ref="B3673" r:id="rId11332" display="https://twitter.com/moinmoinsager" xr:uid="{9664D1E8-2E45-4BAB-AE62-01A9A413BA48}"/>
    <hyperlink ref="E3673" r:id="rId11333" display="https://twitter.com/moinmoinsager/status/723500976779452416" xr:uid="{C18FFFDB-FB93-4626-94EB-B854044A76F9}"/>
    <hyperlink ref="O3673" r:id="rId11334" display="https://pbs.twimg.com/profile_images/717944874469863425/i7wKlrn-_normal.jpg" xr:uid="{73A44B23-95BC-4DCC-BBB6-E65DE4AC84E5}"/>
    <hyperlink ref="B3674" r:id="rId11335" display="https://twitter.com/noz_de" xr:uid="{E73CCE1A-F547-4092-B79F-2B6E46E2985B}"/>
    <hyperlink ref="E3674" r:id="rId11336" display="https://twitter.com/noz_de/status/723501018462490624" xr:uid="{A8A8295C-31CC-45D9-BBAE-FD2D9D62DEF2}"/>
    <hyperlink ref="O3674" r:id="rId11337" display="https://pbs.twimg.com/profile_images/632074137289277440/vJykSc8L_normal.png" xr:uid="{6FAA8854-0349-424F-8280-93F3DA04A2CE}"/>
    <hyperlink ref="B3675" r:id="rId11338" display="https://twitter.com/noz_el" xr:uid="{3ACCD17F-0E83-4A5D-A139-6D62F7F83685}"/>
    <hyperlink ref="E3675" r:id="rId11339" display="https://twitter.com/noz_el/status/723501094538719232" xr:uid="{172767B3-A1C8-46FF-B632-A2784ADEC2EE}"/>
    <hyperlink ref="O3675" r:id="rId11340" display="https://pbs.twimg.com/profile_images/632074492798443520/j3zHKAI2_normal.png" xr:uid="{F9E06C5B-3C73-4CCE-B47F-919184C80319}"/>
    <hyperlink ref="B3676" r:id="rId11341" display="https://twitter.com/christiansoeder" xr:uid="{B8507255-DDF2-4B83-9D1C-DD13F31D6E3F}"/>
    <hyperlink ref="E3676" r:id="rId11342" display="https://twitter.com/christiansoeder/status/723501128265158656" xr:uid="{C9E554BC-7877-47D8-8D82-47846E0F1304}"/>
    <hyperlink ref="O3676" r:id="rId11343" display="https://pbs.twimg.com/profile_images/721882898731765760/0lCtDwHY_normal.jpg" xr:uid="{8461B906-25BF-43E8-A837-641E0F625677}"/>
    <hyperlink ref="B3677" r:id="rId11344" display="https://twitter.com/agy_nes" xr:uid="{D9026D1E-D61F-4EAC-B03B-96337EA25EB7}"/>
    <hyperlink ref="E3677" r:id="rId11345" display="https://twitter.com/agy_nes/status/723501133893914625" xr:uid="{1ED16180-82D9-4DF2-A449-3A6AA6C6285E}"/>
    <hyperlink ref="O3677" r:id="rId11346" display="https://pbs.twimg.com/profile_images/721572226600943616/rLXy7VpS_normal.jpg" xr:uid="{9F7D6564-3F23-4F44-85D5-D8E384373D87}"/>
    <hyperlink ref="B3678" r:id="rId11347" display="https://twitter.com/EpicAutokoulu" xr:uid="{62EF6056-036D-44ED-BBEA-F182CEE7D8A1}"/>
    <hyperlink ref="E3678" r:id="rId11348" display="https://twitter.com/EpicAutokoulu/status/723501164315156480" xr:uid="{137AEFE6-C1DE-44CE-B255-5B3640D49A2B}"/>
    <hyperlink ref="O3678" r:id="rId11349" display="https://pbs.twimg.com/profile_images/378800000473607074/5483f3ffc9d1f7f60302565a73c4eed6_normal.jpeg" xr:uid="{C0D26A02-9838-4F6A-971A-B5B2C9210E25}"/>
    <hyperlink ref="B3679" r:id="rId11350" display="https://twitter.com/FPetRarca" xr:uid="{17CAD08D-4B54-4E7E-B370-F1F1DA4AE788}"/>
    <hyperlink ref="E3679" r:id="rId11351" display="https://twitter.com/FPetRarca/status/723501275346796544" xr:uid="{9EEC7B29-ED37-4E3D-BFFF-E903FB635A6C}"/>
    <hyperlink ref="O3679" r:id="rId11352" display="https://pbs.twimg.com/profile_images/679169821771235328/It0FNaon_normal.jpg" xr:uid="{18F0CD77-FB75-4372-9DEF-7A1378E9DC62}"/>
    <hyperlink ref="B3680" r:id="rId11353" display="https://twitter.com/LarsJehne" xr:uid="{126C2299-4905-410E-B97B-EBB89FC4A902}"/>
    <hyperlink ref="E3680" r:id="rId11354" display="https://twitter.com/LarsJehne/status/723501373019533312" xr:uid="{4290BCF6-22E0-443E-ABE9-3B666C14192C}"/>
    <hyperlink ref="O3680" r:id="rId11355" display="https://pbs.twimg.com/profile_images/704704527031730178/Sob6o86X_normal.jpg" xr:uid="{5615414D-6090-427C-90C0-89CFA9CD938B}"/>
    <hyperlink ref="B3681" r:id="rId11356" display="https://twitter.com/Yozila" xr:uid="{7A320BE3-E901-43F6-B95F-CA9AD1386F82}"/>
    <hyperlink ref="E3681" r:id="rId11357" display="https://twitter.com/Yozila/status/723501398680281089" xr:uid="{3AC8F8EC-85B6-4E3C-AD42-6AB17A262C5A}"/>
    <hyperlink ref="O3681" r:id="rId11358" display="https://pbs.twimg.com/profile_images/713362877541978112/dti4Ogrm_normal.jpg" xr:uid="{A9476013-C437-4133-9943-E6E32E40F769}"/>
    <hyperlink ref="B3682" r:id="rId11359" display="https://twitter.com/mendezgaa" xr:uid="{4B78D716-E88B-4278-B138-0C29CB2A1858}"/>
    <hyperlink ref="E3682" r:id="rId11360" display="https://twitter.com/mendezgaa/status/723501466154074112" xr:uid="{A2133DB6-8DB6-465E-BBD2-753F5E7068CB}"/>
    <hyperlink ref="O3682" r:id="rId11361" display="https://pbs.twimg.com/profile_images/717727450768269312/zdf51rvM_normal.jpg" xr:uid="{70BA8927-32DB-496F-80FA-B1820CBA9BC3}"/>
    <hyperlink ref="B3683" r:id="rId11362" display="https://twitter.com/_gnnr" xr:uid="{98E2468F-9536-43CF-924E-DDD5AC5CFF4F}"/>
    <hyperlink ref="E3683" r:id="rId11363" display="https://twitter.com/_gnnr/status/723501496558604288" xr:uid="{0350C7B6-728B-42FD-885C-1FCA37778D1A}"/>
    <hyperlink ref="O3683" r:id="rId11364" display="https://pbs.twimg.com/profile_images/658615068817530880/xw97hu2y_normal.jpg" xr:uid="{5CAF0C52-26AC-4EFA-9631-3C1AF27832C8}"/>
    <hyperlink ref="B3684" r:id="rId11365" display="https://twitter.com/x3m_f" xr:uid="{8E9403AD-CA80-453A-AD94-7813729232C2}"/>
    <hyperlink ref="E3684" r:id="rId11366" display="https://twitter.com/x3m_f/status/723501539264991232" xr:uid="{999EF5D9-4F12-4368-851C-3D56D7F72514}"/>
    <hyperlink ref="O3684" r:id="rId11367" display="https://pbs.twimg.com/profile_images/680251329592344576/lnXUGVBa_normal.jpg" xr:uid="{AEF943C3-27AD-40D5-AF8C-82D3343704CC}"/>
    <hyperlink ref="B3685" r:id="rId11368" display="https://twitter.com/J_Marksteiner" xr:uid="{739AE0BA-EB05-478C-BF81-A780D094CB4C}"/>
    <hyperlink ref="E3685" r:id="rId11369" display="https://twitter.com/J_Marksteiner/status/723501581988184064" xr:uid="{6DD07032-A101-438F-B75D-CD9CAAC4A46B}"/>
    <hyperlink ref="O3685" r:id="rId11370" display="https://pbs.twimg.com/profile_images/512186271926456320/s-MV33B3_normal.jpeg" xr:uid="{DE09797B-DD42-470A-AF74-39396068D8BF}"/>
    <hyperlink ref="B3686" r:id="rId11371" display="https://twitter.com/vwsurat" xr:uid="{7340562B-A1AA-4357-BA0C-CE8F189560E8}"/>
    <hyperlink ref="E3686" r:id="rId11372" display="https://twitter.com/vwsurat/status/723501597603450886" xr:uid="{ECE709B1-07A3-4229-A403-75907974B873}"/>
    <hyperlink ref="O3686" r:id="rId11373" display="https://pbs.twimg.com/profile_images/701785142256250881/I0BGOKBz_normal.png" xr:uid="{687882DB-C4C3-48A8-BC40-3077DBBE7203}"/>
    <hyperlink ref="B3687" r:id="rId11374" display="https://twitter.com/srfnews" xr:uid="{0B34A800-BABD-4A09-8197-AE807F99F1E1}"/>
    <hyperlink ref="E3687" r:id="rId11375" display="https://twitter.com/srfnews/status/723501644168597505" xr:uid="{C3EC3A32-14A7-463D-B69B-AAE6B684C5E8}"/>
    <hyperlink ref="O3687" r:id="rId11376" display="https://pbs.twimg.com/profile_images/471294691783098369/x9C02baa_normal.png" xr:uid="{3EDD283D-AC71-42B2-9469-60D726853C51}"/>
    <hyperlink ref="B3688" r:id="rId11377" display="https://twitter.com/HaufeCompliance" xr:uid="{56569AC5-9841-435F-9805-076E3082F764}"/>
    <hyperlink ref="E3688" r:id="rId11378" display="https://twitter.com/HaufeCompliance/status/723501649017360384" xr:uid="{44006DCC-E5BC-456B-BD1A-A61A7D51E739}"/>
    <hyperlink ref="O3688" r:id="rId11379" display="https://pbs.twimg.com/profile_images/581015958581542912/BJRJFgaZ_normal.jpg" xr:uid="{21667020-4E38-4929-8D89-B8DC5D2F3508}"/>
    <hyperlink ref="B3689" r:id="rId11380" display="https://twitter.com/sevendirector" xr:uid="{986F2AAF-11E5-4C6A-9719-9D7FDB5EB6DD}"/>
    <hyperlink ref="E3689" r:id="rId11381" display="https://twitter.com/sevendirector/status/723501733176066048" xr:uid="{4B32297D-3532-4DF2-A3AC-31FCD257DB07}"/>
    <hyperlink ref="O3689" r:id="rId11382" display="https://pbs.twimg.com/profile_images/718450176856363008/EZ8X-_ZG_normal.jpg" xr:uid="{7658BBB8-E6B5-42FF-B82B-623C8ABD696A}"/>
    <hyperlink ref="B3690" r:id="rId11383" display="https://twitter.com/f_zenklusen" xr:uid="{D5EBE823-3E58-4BCC-8A1E-1CBDAAE9CBB9}"/>
    <hyperlink ref="E3690" r:id="rId11384" display="https://twitter.com/f_zenklusen/status/723501752377593856" xr:uid="{86209063-3BF2-4822-9CA8-4E20BA360984}"/>
    <hyperlink ref="O3690" r:id="rId11385" display="https://pbs.twimg.com/profile_images/700994582859931648/J516c0KE_normal.jpg" xr:uid="{358B1710-E907-465F-B2AC-81332C0C86EB}"/>
    <hyperlink ref="B3691" r:id="rId11386" display="https://twitter.com/w_skowronek" xr:uid="{72042FFE-3D76-45F5-BBEB-F9D5442D2FD7}"/>
    <hyperlink ref="E3691" r:id="rId11387" display="https://twitter.com/w_skowronek/status/723501783478349824" xr:uid="{52FCBE16-E04A-42D3-94BE-6FCBC9F6CB21}"/>
    <hyperlink ref="O3691" r:id="rId11388" display="https://pbs.twimg.com/profile_images/1250773130/sko_normal.JPG" xr:uid="{AE67215E-A9F0-433F-B828-754F98260955}"/>
    <hyperlink ref="B3692" r:id="rId11389" display="https://twitter.com/doberah" xr:uid="{D538CC64-ADE2-4502-8D64-B8DD2E798EC6}"/>
    <hyperlink ref="E3692" r:id="rId11390" display="https://twitter.com/doberah/status/723501788024938496" xr:uid="{97269AEF-09D7-4C6A-9D4C-EDDA11E6911B}"/>
    <hyperlink ref="O3692" r:id="rId11391" display="https://pbs.twimg.com/profile_images/474509889616633857/lbaEbBr8_normal.jpeg" xr:uid="{2065C302-D399-40A4-AB08-E36901EBCCC6}"/>
    <hyperlink ref="B3693" r:id="rId11392" display="https://twitter.com/pgeorgol" xr:uid="{3816B676-1A15-4CF1-8378-085D983A3A9A}"/>
    <hyperlink ref="E3693" r:id="rId11393" display="https://twitter.com/pgeorgol/status/723501799110533121" xr:uid="{F0DC954A-F966-40E5-B096-831D6CE065EB}"/>
    <hyperlink ref="O3693" r:id="rId11394" display="https://pbs.twimg.com/profile_images/671891352/pgeorgol_normal.jpg" xr:uid="{0AA6CF65-1F99-44A6-8C7D-3669A1DCF2EE}"/>
    <hyperlink ref="B3694" r:id="rId11395" display="https://twitter.com/Boersenradar" xr:uid="{5936796C-D8BE-42E2-B6C2-8960190FC681}"/>
    <hyperlink ref="E3694" r:id="rId11396" display="https://twitter.com/Boersenradar/status/723501811483680768" xr:uid="{2864712D-3D7E-4D8E-989E-3C3A4CD07381}"/>
    <hyperlink ref="O3694" r:id="rId11397" display="https://pbs.twimg.com/profile_images/648862182936047616/p6o1BlmC_normal.jpg" xr:uid="{A3AFD9C5-EDC5-470E-A26F-D2A6C3B4FF6A}"/>
    <hyperlink ref="B3695" r:id="rId11398" display="https://twitter.com/katjalosch" xr:uid="{FE0F01F0-1502-401B-8057-92801D19ABA8}"/>
    <hyperlink ref="E3695" r:id="rId11399" display="https://twitter.com/katjalosch/status/723501823261331456" xr:uid="{B3C8647B-E928-4B44-9B71-86902535ABEB}"/>
    <hyperlink ref="O3695" r:id="rId11400" display="https://pbs.twimg.com/profile_images/425236817864974336/C2f777A1_normal.jpeg" xr:uid="{5F51127B-098B-454D-9751-A2576737FFB0}"/>
    <hyperlink ref="B3696" r:id="rId11401" display="https://twitter.com/OXMarkets" xr:uid="{44446A06-C807-4540-910A-909880D4396A}"/>
    <hyperlink ref="E3696" r:id="rId11402" display="https://twitter.com/OXMarkets/status/723501857885159425" xr:uid="{04045941-FF1E-4A51-A213-D1DAD22B837F}"/>
    <hyperlink ref="O3696" r:id="rId11403" display="https://pbs.twimg.com/profile_images/689411033224478720/kbqGJ8wA_normal.jpg" xr:uid="{51A3CEFE-D0D5-469E-A0E4-DB5B64642DBE}"/>
    <hyperlink ref="B3697" r:id="rId11404" display="https://twitter.com/DasIgno" xr:uid="{551A1647-D5AC-4FCC-A284-8B9825A8854D}"/>
    <hyperlink ref="E3697" r:id="rId11405" display="https://twitter.com/DasIgno/status/723501861974757377" xr:uid="{C36FD12A-A6B1-40D1-86B8-EFD8E1B43C45}"/>
    <hyperlink ref="O3697" r:id="rId11406" display="https://pbs.twimg.com/profile_images/391507743/avatar-twitter_normal.jpg" xr:uid="{64986558-183C-4925-A77D-4231536CA69B}"/>
    <hyperlink ref="B3698" r:id="rId11407" display="https://twitter.com/RippedFlower" xr:uid="{FCC62403-5276-4D4A-8DA6-68D6D78B1B97}"/>
    <hyperlink ref="E3698" r:id="rId11408" display="https://twitter.com/RippedFlower/status/723501884863045632" xr:uid="{5F4696F0-7EA1-410B-B8DA-63E6E4284AF1}"/>
    <hyperlink ref="O3698" r:id="rId11409" display="https://pbs.twimg.com/profile_images/505852375911780352/2-ZN7ue2_normal.jpeg" xr:uid="{8FF6DE2F-0724-4E29-87E0-B5A4D5351311}"/>
    <hyperlink ref="B3699" r:id="rId11410" display="https://twitter.com/HansTheGerman" xr:uid="{388E5042-76D5-4EAD-B41B-CDED95F0124E}"/>
    <hyperlink ref="E3699" r:id="rId11411" display="https://twitter.com/HansTheGerman/status/723501936830492672" xr:uid="{2431F85C-9D4F-48EA-A267-C2F2A3278222}"/>
    <hyperlink ref="O3699" r:id="rId11412" display="https://pbs.twimg.com/profile_images/3012106875/596e712c99a38ec69b925b7f7ab71986_normal.jpeg" xr:uid="{D6FEA23B-A33A-41F8-8807-F73596DC8745}"/>
    <hyperlink ref="B3700" r:id="rId11413" display="https://twitter.com/GoldenAgerDe" xr:uid="{A9DD5EB8-978B-4FAC-A17A-027C49224795}"/>
    <hyperlink ref="E3700" r:id="rId11414" display="https://twitter.com/GoldenAgerDe/status/723501946829713408" xr:uid="{D7500EFC-5AAB-48B4-A044-020FE7661EF7}"/>
    <hyperlink ref="O3700" r:id="rId11415" display="https://pbs.twimg.com/profile_images/719999071474335747/GgbjQsJA_normal.jpg" xr:uid="{73C57B3E-104C-4045-BA61-E316AE34BE2A}"/>
    <hyperlink ref="B3701" r:id="rId11416" display="https://twitter.com/PeteArmstrong" xr:uid="{ACAC2A1A-56A2-4B26-AF56-7A4339AFA0DB}"/>
    <hyperlink ref="E3701" r:id="rId11417" display="https://twitter.com/PeteArmstrong/status/723501963665502210" xr:uid="{C6E9525C-7DC4-477C-9A74-CF8B23D1BA81}"/>
    <hyperlink ref="O3701" r:id="rId11418" display="https://pbs.twimg.com/profile_images/660843741750530049/ycQdQy-N_normal.jpg" xr:uid="{128A88A0-E50A-4BB0-A2F8-DB6BF6A7651B}"/>
    <hyperlink ref="B3702" r:id="rId11419" display="https://twitter.com/doern" xr:uid="{BCC1E17E-672F-402F-8838-C72686F18C23}"/>
    <hyperlink ref="E3702" r:id="rId11420" display="https://twitter.com/doern/status/723501966542909440" xr:uid="{44D2B19A-F7DC-40EF-A9B8-9BFE08F5A04D}"/>
    <hyperlink ref="O3702" r:id="rId11421" display="https://pbs.twimg.com/profile_images/657853466384191488/J6vAnfZr_normal.jpg" xr:uid="{16040DAC-9B76-4F31-A08B-4503AA37765A}"/>
    <hyperlink ref="B3703" r:id="rId11422" display="https://twitter.com/KziaSabino" xr:uid="{FA40F482-A372-48E0-BAB0-0D441816781E}"/>
    <hyperlink ref="E3703" r:id="rId11423" display="https://twitter.com/KziaSabino/status/723502024780816384" xr:uid="{C2394EAB-4EED-4D13-B2B1-F62C7D8C014E}"/>
    <hyperlink ref="O3703" r:id="rId11424" display="https://pbs.twimg.com/profile_images/723116935605542912/YpMAUGCv_normal.jpg" xr:uid="{6377B84C-25B3-4382-8CE4-0727977B5154}"/>
    <hyperlink ref="B3704" r:id="rId11425" display="https://twitter.com/LupusLotarius" xr:uid="{ABBB5312-C822-4825-80A4-5151D0C34B34}"/>
    <hyperlink ref="E3704" r:id="rId11426" display="https://twitter.com/LupusLotarius/status/723502034746380288" xr:uid="{927F72C9-CACC-4EA0-871B-62E2AC9E403C}"/>
    <hyperlink ref="F3704" r:id="rId11427" xr:uid="{C710C49A-58A3-4FB8-9BD4-799E3F38B822}"/>
    <hyperlink ref="O3704" r:id="rId11428" display="https://pbs.twimg.com/profile_images/713093865125888000/4e7LoTjO_normal.jpg" xr:uid="{4C059BB2-94DA-4818-9C17-C04214D05AC3}"/>
    <hyperlink ref="B3705" r:id="rId11429" display="https://twitter.com/BoersenDE" xr:uid="{6EC1CDD4-D9A1-41F6-B42B-E86FCCB92444}"/>
    <hyperlink ref="E3705" r:id="rId11430" display="https://twitter.com/BoersenDE/status/723502034842841090" xr:uid="{5E5980E8-1A67-4E3C-B20F-2524E5533010}"/>
    <hyperlink ref="F3705" r:id="rId11431" xr:uid="{7375EE73-E5B3-4DC6-946D-B92CBDDAE20D}"/>
    <hyperlink ref="O3705" r:id="rId11432" display="https://pbs.twimg.com/profile_images/2666244260/d6d9049abbaccec91bf56e27e933d7ba_normal.png" xr:uid="{0C494662-6358-40B4-9532-742DC6C94A19}"/>
    <hyperlink ref="B3706" r:id="rId11433" display="https://twitter.com/ArmVonSchuften" xr:uid="{E01A17BB-365C-4C9B-8ACE-93FEEC7AD1EE}"/>
    <hyperlink ref="E3706" r:id="rId11434" display="https://twitter.com/ArmVonSchuften/status/723502049619529728" xr:uid="{1E517586-775A-42A3-A056-245BD220F9C1}"/>
    <hyperlink ref="O3706" r:id="rId11435" display="https://pbs.twimg.com/profile_images/712234572554113025/nx7k624i_normal.jpg" xr:uid="{88FCEF21-D6C3-43B8-9379-EACA7F8CF77F}"/>
    <hyperlink ref="B3707" r:id="rId11436" display="https://twitter.com/PParzival" xr:uid="{05135BF4-E7A1-43CB-A4E7-059B8DAF3821}"/>
    <hyperlink ref="E3707" r:id="rId11437" display="https://twitter.com/PParzival/status/723502069689290753" xr:uid="{6CD12FBF-1EEC-4CCA-B9F1-FF4B46C26ED8}"/>
    <hyperlink ref="O3707" r:id="rId11438" display="https://pbs.twimg.com/profile_images/714175065244434432/wbro3GNX_normal.jpg" xr:uid="{D9C97167-5534-4004-968E-3A6E6DAA7C78}"/>
    <hyperlink ref="B3708" r:id="rId11439" display="https://twitter.com/BestAgerDe" xr:uid="{4110DCBB-C7C0-44B0-A98E-674DE605F46A}"/>
    <hyperlink ref="E3708" r:id="rId11440" display="https://twitter.com/BestAgerDe/status/723502115948249088" xr:uid="{C32643C6-D7D8-49CA-8284-3C3BEFA761FC}"/>
    <hyperlink ref="O3708" r:id="rId11441" display="https://pbs.twimg.com/profile_images/699951405545684992/q09s7GrZ_normal.png" xr:uid="{76C2FEC1-0F65-466C-B958-A02A99912C26}"/>
    <hyperlink ref="B3709" r:id="rId11442" display="https://twitter.com/WirtschaftDE" xr:uid="{5C274431-5091-4CA1-BC83-7B2829A2BE89}"/>
    <hyperlink ref="E3709" r:id="rId11443" display="https://twitter.com/WirtschaftDE/status/723502154808315905" xr:uid="{9EC4D635-E993-4484-AEE8-100ED116DE69}"/>
    <hyperlink ref="F3709" r:id="rId11444" xr:uid="{9464B7A9-23F7-4FDD-98E0-B15390A9874F}"/>
    <hyperlink ref="O3709" r:id="rId11445" display="https://pbs.twimg.com/profile_images/2666156173/1dc1dfd9105a77b870914368c039ba9e_normal.png" xr:uid="{6AA5106E-3A67-498E-9E8B-35B9B30AF995}"/>
    <hyperlink ref="B3710" r:id="rId11446" display="https://twitter.com/SuncoastVW" xr:uid="{230ECF37-F668-4C22-85B7-7712B8F8B4B9}"/>
    <hyperlink ref="E3710" r:id="rId11447" display="https://twitter.com/SuncoastVW/status/723502162743939072" xr:uid="{4A41D178-7246-4667-A0B2-A46A37AEC631}"/>
    <hyperlink ref="O3710" r:id="rId11448" display="https://pbs.twimg.com/profile_images/689488184812535809/4owRuclt_normal.png" xr:uid="{891ABCF5-C3BB-4FA5-8025-97BC4005835E}"/>
    <hyperlink ref="B3711" r:id="rId11449" display="https://twitter.com/connection92" xr:uid="{E4BE6D50-6E05-42BD-B100-85EAF2159DD8}"/>
    <hyperlink ref="E3711" r:id="rId11450" display="https://twitter.com/connection92/status/723502289386876928" xr:uid="{E5A2B9C8-B30E-4EB9-A46D-0C3B1D96D4CD}"/>
    <hyperlink ref="O3711" r:id="rId11451" display="https://pbs.twimg.com/profile_images/711627159694151680/htVYxq5L_normal.jpg" xr:uid="{698090C2-D624-409D-8F93-15CBF94F09B0}"/>
    <hyperlink ref="B3712" r:id="rId11452" display="https://twitter.com/StocksTycoon" xr:uid="{8EA21F5E-BFA3-4ED6-837C-9000E110E65B}"/>
    <hyperlink ref="E3712" r:id="rId11453" display="https://twitter.com/StocksTycoon/status/723502319787233281" xr:uid="{1A643BD9-533D-4C76-9E71-FB4CAAB9699C}"/>
    <hyperlink ref="O3712" r:id="rId11454" display="https://pbs.twimg.com/profile_images/717261818410962945/f-fudmqm_normal.jpg" xr:uid="{C0C07DEE-C665-4A8A-B086-77DEC3ED3646}"/>
    <hyperlink ref="B3713" r:id="rId11455" display="https://twitter.com/johannesh__" xr:uid="{FD147C30-5AF2-4216-B5B2-D37EF8A52B35}"/>
    <hyperlink ref="E3713" r:id="rId11456" display="https://twitter.com/johannesh__/status/723502503690678272" xr:uid="{803683D8-1D18-4A1C-92DA-4D61E7A68EBE}"/>
    <hyperlink ref="O3713" r:id="rId11457" display="https://pbs.twimg.com/profile_images/689810639099924481/K07B5XYd_normal.jpg" xr:uid="{6FA707B6-E79F-4BB3-9BDE-B656EF9BD0DB}"/>
    <hyperlink ref="B3714" r:id="rId11458" display="https://twitter.com/BBCBusiness" xr:uid="{0CE8B516-B04A-47CD-89E8-B647F7682F7E}"/>
    <hyperlink ref="E3714" r:id="rId11459" display="https://twitter.com/BBCBusiness/status/723502561895034880" xr:uid="{02339C4C-D5AA-4616-9E20-F4BF211C0EE8}"/>
    <hyperlink ref="O3714" r:id="rId11460" display="https://pbs.twimg.com/profile_images/631839981611388932/vD22OUWu_normal.png" xr:uid="{243BA461-EA46-4C2B-898A-73CACBC27667}"/>
    <hyperlink ref="B3715" r:id="rId11461" display="https://twitter.com/PeteArmstrong" xr:uid="{2C38509D-7280-4EC8-8348-D4CA25E7F076}"/>
    <hyperlink ref="E3715" r:id="rId11462" display="https://twitter.com/PeteArmstrong/status/723502628672442368" xr:uid="{E1C69820-A523-4D8F-B893-D4397D839BFD}"/>
    <hyperlink ref="O3715" r:id="rId11463" display="https://pbs.twimg.com/profile_images/660843741750530049/ycQdQy-N_normal.jpg" xr:uid="{BB016DBA-50D5-442C-ADA0-2465DE0EAE2A}"/>
    <hyperlink ref="B3716" r:id="rId11464" display="https://twitter.com/Minister_Remmel" xr:uid="{86741308-B263-48A2-AA2F-89BF5013AA21}"/>
    <hyperlink ref="E3716" r:id="rId11465" display="https://twitter.com/Minister_Remmel/status/723502663661436928" xr:uid="{7FD5C3F1-9C27-4058-BF12-CA62CF34EE64}"/>
    <hyperlink ref="O3716" r:id="rId11466" display="https://pbs.twimg.com/profile_images/684159552300933120/g_PX7ed9_normal.jpg" xr:uid="{66392F45-8E3C-4DC2-AAEE-8417BE2AC280}"/>
    <hyperlink ref="B3717" r:id="rId11467" display="https://twitter.com/andrew_kane05" xr:uid="{CFE2C5BA-9C32-4484-BF97-C8FBA72E5CB7}"/>
    <hyperlink ref="E3717" r:id="rId11468" display="https://twitter.com/andrew_kane05/status/723502679587229700" xr:uid="{825DC271-2E4A-4637-9522-22EC04B354F8}"/>
    <hyperlink ref="O3717" r:id="rId11469" display="https://pbs.twimg.com/profile_images/710115354215890948/Ax7sTo8-_normal.jpg" xr:uid="{99792BC2-3220-4E82-8E57-E31EBCA84B6A}"/>
    <hyperlink ref="B3718" r:id="rId11470" display="https://twitter.com/Dr_JAH" xr:uid="{191C777A-739D-418D-AD4B-9B3418B2764E}"/>
    <hyperlink ref="E3718" r:id="rId11471" display="https://twitter.com/Dr_JAH/status/723502752354164738" xr:uid="{1ABB19D9-85EC-4D4A-B1ED-AEB54A6024DC}"/>
    <hyperlink ref="O3718" r:id="rId11472" display="https://pbs.twimg.com/profile_images/723427380052684801/kyiUrlPW_normal.jpg" xr:uid="{77E76C1B-9EAB-43A2-8623-24A05015A598}"/>
    <hyperlink ref="B3719" r:id="rId11473" display="https://twitter.com/robinskaplan" xr:uid="{924481E4-02BC-4511-A9CF-E68EEF6F625E}"/>
    <hyperlink ref="E3719" r:id="rId11474" display="https://twitter.com/robinskaplan/status/723502764668510208" xr:uid="{C14759B4-7F9B-4946-849A-414EBCACA956}"/>
    <hyperlink ref="O3719" r:id="rId11475" display="https://pbs.twimg.com/profile_images/647516492741742592/3rWnLbC6_normal.png" xr:uid="{CFFD3638-76BE-4C4D-BB0C-35CBA10518A0}"/>
    <hyperlink ref="B3720" r:id="rId11476" display="https://twitter.com/frankmottek" xr:uid="{D31A77F4-758E-41A3-A58C-E31DE5F16042}"/>
    <hyperlink ref="E3720" r:id="rId11477" display="https://twitter.com/frankmottek/status/723502787737186309" xr:uid="{AFB3AAA6-6FFE-47FC-8340-62B790403EDA}"/>
    <hyperlink ref="O3720" r:id="rId11478" display="https://pbs.twimg.com/profile_images/3405799394/86d435069a7a58cd7dd0751b0a8c98a5_normal.jpeg" xr:uid="{DE30D383-84D8-4C17-8A64-8F8154000C76}"/>
    <hyperlink ref="B3721" r:id="rId11479" display="https://twitter.com/TumerLider" xr:uid="{E01254CC-E4D7-4F04-9CB3-1A720A4CFE09}"/>
    <hyperlink ref="E3721" r:id="rId11480" display="https://twitter.com/TumerLider/status/723502799158431749" xr:uid="{C67F1F3E-F4D6-4C23-9E42-DA6884A26505}"/>
    <hyperlink ref="O3721" r:id="rId11481" display="https://pbs.twimg.com/profile_images/720919629430960128/sDApoxwf_normal.jpg" xr:uid="{C8F24CE2-AF13-48EF-864A-29BF6EAF78D8}"/>
    <hyperlink ref="B3722" r:id="rId11482" display="https://twitter.com/jaackgreen" xr:uid="{DAB7AFC5-BB77-480E-AB0E-DEBD99D3282A}"/>
    <hyperlink ref="E3722" r:id="rId11483" display="https://twitter.com/jaackgreen/status/723502843647254529" xr:uid="{661B090E-1314-4FA2-985F-D9073DD525E0}"/>
    <hyperlink ref="O3722" r:id="rId11484" display="https://pbs.twimg.com/profile_images/701883953226113024/thj5ZUwN_normal.jpg" xr:uid="{92627FDE-5E0C-4E5C-85E1-306C0509D6FB}"/>
    <hyperlink ref="B3723" r:id="rId11485" display="https://twitter.com/VolkerVotsmeier" xr:uid="{1EB1522D-4744-4326-9103-A66A65AC5B86}"/>
    <hyperlink ref="E3723" r:id="rId11486" display="https://twitter.com/VolkerVotsmeier/status/723502918721232897" xr:uid="{A229F928-41FB-4F2D-A45E-F024EEC11DD4}"/>
    <hyperlink ref="O3723" r:id="rId11487" display="https://pbs.twimg.com/profile_images/507897198911053824/7OqYAonJ_normal.jpeg" xr:uid="{7088FA9C-EEB4-4C6E-B3DD-1BEC9F43963A}"/>
    <hyperlink ref="B3724" r:id="rId11488" display="https://twitter.com/reifmd" xr:uid="{8C0A6320-6343-4285-B9C7-F7BF3AAD103E}"/>
    <hyperlink ref="E3724" r:id="rId11489" display="https://twitter.com/reifmd/status/723502976279699456" xr:uid="{3D5CC7D1-5E51-4D76-8F37-4F43296DD62C}"/>
    <hyperlink ref="O3724" r:id="rId11490" display="https://pbs.twimg.com/profile_images/687997987293913088/ZR_CC_n5_normal.jpg" xr:uid="{2CE109CF-D97F-4348-AF1D-BAFDFE86D1A7}"/>
    <hyperlink ref="B3725" r:id="rId11491" display="https://twitter.com/KNXfrank" xr:uid="{AAE86190-BF43-4B70-92C8-BDB157E430ED}"/>
    <hyperlink ref="E3725" r:id="rId11492" display="https://twitter.com/KNXfrank/status/723502996840013824" xr:uid="{6B98948C-BF79-4ADD-B0B5-B3E495D4561D}"/>
    <hyperlink ref="O3725" r:id="rId11493" display="https://pbs.twimg.com/profile_images/613903727175467008/xiBI18z2_normal.jpg" xr:uid="{FDFB1CC5-3C28-4DB3-BE39-48848F40DC3E}"/>
    <hyperlink ref="B3726" r:id="rId11494" display="https://twitter.com/maryv85" xr:uid="{26821AE2-F773-47C6-BD86-4076C65E832E}"/>
    <hyperlink ref="E3726" r:id="rId11495" display="https://twitter.com/maryv85/status/723503009649577985" xr:uid="{62091EDA-CAC3-4C0E-AADB-A4EB1BFA933B}"/>
    <hyperlink ref="O3726" r:id="rId11496" display="https://pbs.twimg.com/profile_images/684202795281481729/WRS25SOm_normal.jpg" xr:uid="{506CD4BF-AFC7-4486-97F8-0D8AC33DB360}"/>
    <hyperlink ref="B3727" r:id="rId11497" display="https://twitter.com/Colchester1891" xr:uid="{51BFC7E6-E41B-4C13-9DA1-C2DA5C4CC1A9}"/>
    <hyperlink ref="E3727" r:id="rId11498" display="https://twitter.com/Colchester1891/status/723503054469894145" xr:uid="{3AB1076E-588F-4594-9578-C4F6005E6B09}"/>
    <hyperlink ref="O3727" r:id="rId11499" display="https://pbs.twimg.com/profile_images/723486693861560320/2kqIppsP_normal.jpg" xr:uid="{416D35A4-C169-4057-853A-BC2B143C2B12}"/>
    <hyperlink ref="B3728" r:id="rId11500" display="https://twitter.com/marco2080" xr:uid="{4404C521-C1F2-4B05-9033-1600D8EF4FEB}"/>
    <hyperlink ref="E3728" r:id="rId11501" display="https://twitter.com/marco2080/status/723503061465993216" xr:uid="{54F5F361-E8E8-4C34-9E56-3F8E475508FB}"/>
    <hyperlink ref="O3728" r:id="rId11502" display="https://pbs.twimg.com/profile_images/1045170209/DSCN0018ccc_normal.jpg" xr:uid="{BB003168-E4E1-425B-BFAB-399B77FE49F4}"/>
    <hyperlink ref="B3729" r:id="rId11503" display="https://twitter.com/RoamingTimes" xr:uid="{EDCFB6A1-E1CE-49F0-9480-B1D5D4DB1B18}"/>
    <hyperlink ref="E3729" r:id="rId11504" display="https://twitter.com/RoamingTimes/status/723503077135773696" xr:uid="{AE7B8593-903C-4B2C-B3E5-861DA4FDCB1D}"/>
    <hyperlink ref="O3729" r:id="rId11505" display="https://pbs.twimg.com/profile_images/655485812293787648/MTaRdpRj_normal.png" xr:uid="{C6BCF29C-5535-4F6D-B5C0-08B0DF3A6689}"/>
    <hyperlink ref="B3730" r:id="rId11506" display="https://twitter.com/RVingTimes" xr:uid="{919ABF21-5286-47DD-ACBE-0C607CEB5A01}"/>
    <hyperlink ref="E3730" r:id="rId11507" display="https://twitter.com/RVingTimes/status/723503100519010304" xr:uid="{9306C418-2CFD-49A3-AC3E-554664308849}"/>
    <hyperlink ref="O3730" r:id="rId11508" display="https://pbs.twimg.com/profile_images/271556884/RVingTimes-0906_normal.gif" xr:uid="{2263BDB6-253D-43C6-AF6D-62B99B7336C3}"/>
    <hyperlink ref="B3731" r:id="rId11509" display="https://twitter.com/RVingTweets" xr:uid="{849F6233-1DD1-4465-A2CC-8C88FE9B29EB}"/>
    <hyperlink ref="E3731" r:id="rId11510" display="https://twitter.com/RVingTweets/status/723503113756274688" xr:uid="{561766A2-4504-4FD9-8CAD-2CDD2313B5EF}"/>
    <hyperlink ref="O3731" r:id="rId11511" display="https://pbs.twimg.com/profile_images/1261918199/twitter-rvingtweets-3_normal.gif" xr:uid="{62E3955F-6E00-413B-B352-942F77EA9518}"/>
    <hyperlink ref="B3732" r:id="rId11512" display="https://twitter.com/whyrvalone" xr:uid="{278EE318-724D-419A-B823-03ADD5A3F1A7}"/>
    <hyperlink ref="E3732" r:id="rId11513" display="https://twitter.com/whyrvalone/status/723503137852518401" xr:uid="{0E46B053-9512-42F0-902D-3A9174FF38BF}"/>
    <hyperlink ref="O3732" r:id="rId11514" display="https://pbs.twimg.com/profile_images/271601887/whyrvalone0906_normal.gif" xr:uid="{92A74608-54EF-4E6E-ABE5-235CD07D7702}"/>
    <hyperlink ref="B3733" r:id="rId11515" display="https://twitter.com/BREAKING_EIL" xr:uid="{251CA2D9-3B6C-43F2-A7FB-2D518D6BD86E}"/>
    <hyperlink ref="E3733" r:id="rId11516" display="https://twitter.com/BREAKING_EIL/status/723503142701260801" xr:uid="{35140BB5-06A9-46AE-A544-1828A6A02013}"/>
    <hyperlink ref="O3733" r:id="rId11517" display="https://pbs.twimg.com/profile_images/694544968380211200/WqH7tnjz_normal.png" xr:uid="{7D2E251B-8B00-4A29-A837-290EAC156239}"/>
    <hyperlink ref="B3734" r:id="rId11518" display="https://twitter.com/BREAKING_EIL" xr:uid="{B77B6F6D-FD04-48B2-AA73-67061D1359D5}"/>
    <hyperlink ref="E3734" r:id="rId11519" display="https://twitter.com/BREAKING_EIL/status/723503144416751616" xr:uid="{66C2DCC0-8A40-4339-A4CA-DB4B11E29E83}"/>
    <hyperlink ref="O3734" r:id="rId11520" display="https://pbs.twimg.com/profile_images/694544968380211200/WqH7tnjz_normal.png" xr:uid="{80DF9CBA-CACE-4473-AFD2-5B6C49816472}"/>
    <hyperlink ref="B3735" r:id="rId11521" display="https://twitter.com/FocusEconomia" xr:uid="{21FE3242-D722-4CFF-A6B0-4D673650B651}"/>
    <hyperlink ref="E3735" r:id="rId11522" display="https://twitter.com/FocusEconomia/status/723503166705274880" xr:uid="{E31A72F7-7A3E-4022-830F-6E364F2A4467}"/>
    <hyperlink ref="O3735" r:id="rId11523" display="https://pbs.twimg.com/profile_images/588735564154806272/d8_8cgTC_normal.jpg" xr:uid="{9CD86536-028F-494F-9ECD-0FB1448788DC}"/>
    <hyperlink ref="B3736" r:id="rId11524" display="https://twitter.com/ozaed" xr:uid="{E63BBABB-1548-4BBD-BCFA-8311412E0CEF}"/>
    <hyperlink ref="E3736" r:id="rId11525" display="https://twitter.com/ozaed/status/723503203082473472" xr:uid="{DB585EB2-FE12-4874-9EC9-E676A0487F9A}"/>
    <hyperlink ref="O3736" r:id="rId11526" display="https://pbs.twimg.com/profile_images/1453053624/me_normal.jpg" xr:uid="{2E643482-7E19-45F0-9638-E42363C88F6A}"/>
    <hyperlink ref="B3737" r:id="rId11527" display="https://twitter.com/Kvwbabel" xr:uid="{43401809-E7BC-46B0-A561-803D943531BF}"/>
    <hyperlink ref="E3737" r:id="rId11528" display="https://twitter.com/Kvwbabel/status/723503211533848580" xr:uid="{D4038C89-D4EF-4FA8-B903-860CA9969DEA}"/>
    <hyperlink ref="O3737" r:id="rId11529" display="https://pbs.twimg.com/profile_images/709405049550573568/FEBPnD1Q_normal.jpg" xr:uid="{46D056E6-D512-463B-8BC1-67138818F281}"/>
    <hyperlink ref="B3738" r:id="rId11530" display="https://twitter.com/VCT_Tweets" xr:uid="{A4DED5B7-7A34-4459-99F8-A7D02084CFCE}"/>
    <hyperlink ref="E3738" r:id="rId11531" display="https://twitter.com/VCT_Tweets/status/723503229456277504" xr:uid="{CE8C2BEE-9D9A-4794-99C1-5C5757263110}"/>
    <hyperlink ref="O3738" r:id="rId11532" display="https://pbs.twimg.com/profile_images/569800899141177344/nVFLMSdb_normal.png" xr:uid="{74B96E32-D894-4B28-A5CE-F8661DA274DC}"/>
    <hyperlink ref="B3739" r:id="rId11533" display="https://twitter.com/zeitonline_wir" xr:uid="{044D5C4F-5376-4288-9554-8D518EF71B34}"/>
    <hyperlink ref="E3739" r:id="rId11534" display="https://twitter.com/zeitonline_wir/status/723503232652316672" xr:uid="{E983A38E-4E43-476E-97D1-CD2923C0B16A}"/>
    <hyperlink ref="O3739" r:id="rId11535" display="https://pbs.twimg.com/profile_images/587542294913556480/VN9ydDdE_normal.jpg" xr:uid="{85C064EB-F60C-44CE-89A7-0DCCC2DBE26B}"/>
    <hyperlink ref="B3740" r:id="rId11536" display="https://twitter.com/C_Heinrich_83" xr:uid="{77223479-0E87-4E33-9E39-5DC6E848146C}"/>
    <hyperlink ref="E3740" r:id="rId11537" display="https://twitter.com/C_Heinrich_83/status/723503234787225600" xr:uid="{76FDFBCF-2B7D-43CF-88F9-7E3B0418BE19}"/>
    <hyperlink ref="O3740" r:id="rId11538" display="https://pbs.twimg.com/profile_images/683592930918019072/SnHKNKAI_normal.jpg" xr:uid="{C6903186-CAC8-459A-ABF8-A63AAF46742A}"/>
    <hyperlink ref="B3741" r:id="rId11539" display="https://twitter.com/doern" xr:uid="{6DD5FC34-556E-4753-B68B-AA73FC4AD343}"/>
    <hyperlink ref="E3741" r:id="rId11540" display="https://twitter.com/doern/status/723503248787812352" xr:uid="{4F42C344-0152-48AF-A192-414BFD325B9F}"/>
    <hyperlink ref="O3741" r:id="rId11541" display="https://pbs.twimg.com/profile_images/657853466384191488/J6vAnfZr_normal.jpg" xr:uid="{6C957B4F-8601-40D3-8D24-6F05766D1828}"/>
    <hyperlink ref="B3742" r:id="rId11542" display="https://twitter.com/ZDFinfo" xr:uid="{A70EDFF8-6FE7-481B-911A-3C6C271A5155}"/>
    <hyperlink ref="E3742" r:id="rId11543" display="https://twitter.com/ZDFinfo/status/723503270401048576" xr:uid="{C49FAE0B-81D9-4AB6-AEAC-B8612AED9D80}"/>
    <hyperlink ref="O3742" r:id="rId11544" display="https://pbs.twimg.com/profile_images/603477029095366657/LuJjvT8-_normal.png" xr:uid="{9882AC62-349E-45D1-8835-D585F4F2502A}"/>
    <hyperlink ref="B3743" r:id="rId11545" display="https://twitter.com/mvdweyer" xr:uid="{D8963191-D6C1-457F-A2B0-D0EFFDA0C1D9}"/>
    <hyperlink ref="E3743" r:id="rId11546" display="https://twitter.com/mvdweyer/status/723503328005640192" xr:uid="{987523CA-FABB-41DE-9EA2-63630F8AE3BE}"/>
    <hyperlink ref="O3743" r:id="rId11547" display="https://pbs.twimg.com/profile_images/489747056584445953/3tvslEko_normal.jpeg" xr:uid="{01D273DF-0121-402A-92C7-97A0348AA5DB}"/>
    <hyperlink ref="B3744" r:id="rId11548" display="https://twitter.com/IngoHiller" xr:uid="{43308A04-B7EA-44F9-BD6A-F93BEB0A1883}"/>
    <hyperlink ref="E3744" r:id="rId11549" display="https://twitter.com/IngoHiller/status/723503390593015809" xr:uid="{AD28011D-5DD8-4B6C-B40B-83BD3FB72F50}"/>
    <hyperlink ref="O3744" r:id="rId11550" display="https://pbs.twimg.com/profile_images/667438658325204992/5x5_xu7z_normal.jpg" xr:uid="{B95E4A72-219C-4525-B5A3-612871BAF8C1}"/>
    <hyperlink ref="B3745" r:id="rId11551" display="https://twitter.com/har155" xr:uid="{90473209-8ED3-4365-A854-E16ACF0106F1}"/>
    <hyperlink ref="E3745" r:id="rId11552" display="https://twitter.com/har155/status/723503428803112960" xr:uid="{BB773FDC-A68C-4744-B1EA-C53BEB2B5998}"/>
    <hyperlink ref="O3745" r:id="rId11553" display="https://pbs.twimg.com/profile_images/598204778066223104/T3e5yqH5_normal.png" xr:uid="{8E6A1EFA-3D3A-4DE7-A156-C6547A1BA411}"/>
    <hyperlink ref="B3746" r:id="rId11554" display="https://twitter.com/Symbol_FR" xr:uid="{5459E6B6-9082-44F1-AE07-1C9DB9DB52F7}"/>
    <hyperlink ref="E3746" r:id="rId11555" display="https://twitter.com/Symbol_FR/status/723503433437859841" xr:uid="{4F3298FB-B47F-488D-A6FE-D74F407192CE}"/>
    <hyperlink ref="O3746" r:id="rId11556" display="https://pbs.twimg.com/profile_images/664042740334903296/QuAZGTTR_normal.jpg" xr:uid="{2BA2EF6A-FFEB-418F-A2FE-10CAAEF9B010}"/>
    <hyperlink ref="B3747" r:id="rId11557" display="https://twitter.com/Adventure_Ost" xr:uid="{0639703C-C640-4685-AA6F-85AEE22121FA}"/>
    <hyperlink ref="E3747" r:id="rId11558" display="https://twitter.com/Adventure_Ost/status/723503489658294272" xr:uid="{0C1A6E84-0481-469B-9FDD-82AD2D1FB41C}"/>
    <hyperlink ref="O3747" r:id="rId11559" display="https://pbs.twimg.com/profile_images/532998370718019584/w0EXTdQ2_normal.jpeg" xr:uid="{A1141AD6-B7C7-4E63-B497-D947F4609711}"/>
    <hyperlink ref="B3748" r:id="rId11560" display="https://twitter.com/FrankBauHa" xr:uid="{C6F6D633-DD6E-4914-BCDB-6D3D474C4120}"/>
    <hyperlink ref="E3748" r:id="rId11561" display="https://twitter.com/FrankBauHa/status/723503500429283328" xr:uid="{6AE8C6AD-677D-4343-8308-841281CBDBA6}"/>
    <hyperlink ref="O3748" r:id="rId11562" display="https://pbs.twimg.com/profile_images/573395717953224705/aSHONgO9_normal.jpeg" xr:uid="{759C6393-8E82-4257-AD25-D35159DC9CFC}"/>
    <hyperlink ref="B3749" r:id="rId11563" display="https://twitter.com/Hopliten" xr:uid="{4D7FD97A-55F2-47AD-B866-475D7DF8A4CF}"/>
    <hyperlink ref="E3749" r:id="rId11564" display="https://twitter.com/Hopliten/status/723503629819224068" xr:uid="{97A5D8B8-C4C5-4F14-8503-C62819268C37}"/>
    <hyperlink ref="O3749" r:id="rId11565" display="https://pbs.twimg.com/profile_images/674334047712100352/gCp94avW_normal.png" xr:uid="{F1D618FC-C23A-4A28-9D45-8CD63663327F}"/>
    <hyperlink ref="B3750" r:id="rId11566" display="https://twitter.com/Test_Achats" xr:uid="{9AF3157A-F74A-4D91-A3C0-CFD2AC5A558C}"/>
    <hyperlink ref="E3750" r:id="rId11567" display="https://twitter.com/Test_Achats/status/723503683443548160" xr:uid="{4FCA7142-7D19-4894-974A-F1A99E0F5061}"/>
    <hyperlink ref="O3750" r:id="rId11568" display="https://pbs.twimg.com/profile_images/717651142327607296/1uRZ3jg3_normal.jpg" xr:uid="{3D3FEC8D-906D-4603-8E93-0112E4C7E3D7}"/>
    <hyperlink ref="B3751" r:id="rId11569" display="https://twitter.com/Paco_Coyotl" xr:uid="{7E636A41-2DF7-4839-94A7-077CD232BC9D}"/>
    <hyperlink ref="E3751" r:id="rId11570" display="https://twitter.com/Paco_Coyotl/status/723503767803420672" xr:uid="{15E492EC-B2CA-45A0-B035-BD9AE577C5FB}"/>
    <hyperlink ref="O3751" r:id="rId11571" display="https://pbs.twimg.com/profile_images/711242536082231297/Znog1p3s_normal.jpg" xr:uid="{6811B673-B004-4A63-8BC9-CB7585B815EF}"/>
    <hyperlink ref="B3752" r:id="rId11572" display="https://twitter.com/Dr_JAH" xr:uid="{0111E232-2D88-4E4D-BB50-08D6221F14B4}"/>
    <hyperlink ref="E3752" r:id="rId11573" display="https://twitter.com/Dr_JAH/status/723503785159606272" xr:uid="{348DB2D5-3504-45CD-AF1D-FEAC4B92629B}"/>
    <hyperlink ref="O3752" r:id="rId11574" display="https://pbs.twimg.com/profile_images/723427380052684801/kyiUrlPW_normal.jpg" xr:uid="{8CEBFC93-7973-486A-A5FE-8DBA069C64D1}"/>
    <hyperlink ref="B3753" r:id="rId11575" display="https://twitter.com/dw_business" xr:uid="{4DD54C28-AF22-43A4-B717-5068707393A8}"/>
    <hyperlink ref="E3753" r:id="rId11576" display="https://twitter.com/dw_business/status/723503835096993793" xr:uid="{97DDD881-E886-47AA-80BC-214861423332}"/>
    <hyperlink ref="O3753" r:id="rId11577" display="https://pbs.twimg.com/profile_images/474178130312044544/-U2TP65D_normal.png" xr:uid="{A81738B4-FA88-4EE6-B5C5-D10619EAC42A}"/>
    <hyperlink ref="B3754" r:id="rId11578" display="https://twitter.com/JonathanEley" xr:uid="{78E7BB16-45EA-4CBA-921E-7A0B3EC5F2C0}"/>
    <hyperlink ref="E3754" r:id="rId11579" display="https://twitter.com/JonathanEley/status/723503884942118912" xr:uid="{46FA1710-B992-4B01-96FA-E32599986D40}"/>
    <hyperlink ref="O3754" r:id="rId11580" display="https://pbs.twimg.com/profile_images/529226389971427328/R4qUNsga_normal.jpeg" xr:uid="{F455FE1A-209A-4F87-B853-F5FDD94BF49E}"/>
    <hyperlink ref="B3755" r:id="rId11581" display="https://twitter.com/Dreisessel_AM" xr:uid="{20A5CF43-992E-44A4-AA6D-DE7F5872F4C6}"/>
    <hyperlink ref="E3755" r:id="rId11582" display="https://twitter.com/Dreisessel_AM/status/723503889698447360" xr:uid="{81B0383E-0BEF-453D-9B8E-6029CA08E76A}"/>
    <hyperlink ref="O3755" r:id="rId11583" display="https://pbs.twimg.com/profile_images/686276072120414208/nhKLB-ej_normal.jpg" xr:uid="{C7832F74-F236-43CC-A2EE-75747318DD21}"/>
    <hyperlink ref="B3756" r:id="rId11584" display="https://twitter.com/Team_BKR_" xr:uid="{C79A5675-DDFB-4B87-BE2A-99941C2A05BC}"/>
    <hyperlink ref="E3756" r:id="rId11585" display="https://twitter.com/Team_BKR_/status/723503952977862656" xr:uid="{DD69B787-EAB1-4E13-9491-643D25577065}"/>
    <hyperlink ref="O3756" r:id="rId11586" display="https://pbs.twimg.com/profile_images/585726953682051072/vHQ7FYsb_normal.jpg" xr:uid="{1BFE8AC5-9DB5-4AEC-8CB1-01F2D433D1D7}"/>
    <hyperlink ref="B3757" r:id="rId11587" display="https://twitter.com/BenFajzullin" xr:uid="{77D07620-01E9-46DE-A77B-58C75D19991E}"/>
    <hyperlink ref="E3757" r:id="rId11588" display="https://twitter.com/BenFajzullin/status/723503966743629824" xr:uid="{DA8CE993-C4CC-4A9A-94E7-7C0C38D41082}"/>
    <hyperlink ref="O3757" r:id="rId11589" display="https://pbs.twimg.com/profile_images/712563568638619648/nNwSgK0o_normal.jpg" xr:uid="{6D750592-268C-4EA3-83CD-8C3EA81741E9}"/>
    <hyperlink ref="B3758" r:id="rId11590" display="https://twitter.com/JonathanEley" xr:uid="{3020BD53-1FC9-498C-B889-BA3FEE616B39}"/>
    <hyperlink ref="E3758" r:id="rId11591" display="https://twitter.com/JonathanEley/status/723504040915640320" xr:uid="{9CC931C3-1C25-4821-9CD9-4419B9644D20}"/>
    <hyperlink ref="O3758" r:id="rId11592" display="https://pbs.twimg.com/profile_images/529226389971427328/R4qUNsga_normal.jpeg" xr:uid="{82430B59-1127-4692-9A7C-641F4F700BE8}"/>
    <hyperlink ref="B3759" r:id="rId11593" display="https://twitter.com/Maciel_Ariel" xr:uid="{D84E38B6-C2B9-434D-B860-BF635FFB59CE}"/>
    <hyperlink ref="E3759" r:id="rId11594" display="https://twitter.com/Maciel_Ariel/status/723504184583032835" xr:uid="{717B7F88-A739-4E7D-8B97-085CB5C4473F}"/>
    <hyperlink ref="O3759" r:id="rId11595" display="https://pbs.twimg.com/profile_images/700006076192788482/wBhtvnfL_normal.jpg" xr:uid="{6D502D29-8763-4FC3-957F-3F6F7A802516}"/>
    <hyperlink ref="P3759" r:id="rId11596" location="-26.673375,-57.137879" display="http://ctrlq.org/maps/address/ - -26.673375,-57.137879" xr:uid="{0C6AE546-076E-40B5-A2FE-1B7CAB85FA48}"/>
    <hyperlink ref="B3760" r:id="rId11597" display="https://twitter.com/APA_LEMONAID" xr:uid="{25C997D1-7EE2-43E2-A367-852992B954AD}"/>
    <hyperlink ref="E3760" r:id="rId11598" display="https://twitter.com/APA_LEMONAID/status/723504233446805504" xr:uid="{781AFE04-FC83-4866-9341-057CE80D3E8E}"/>
    <hyperlink ref="O3760" r:id="rId11599" display="https://pbs.twimg.com/profile_images/1535844911/Logo_normal.png" xr:uid="{50CE56AF-AE8F-4F68-988B-FD226CF436B3}"/>
    <hyperlink ref="B3761" r:id="rId11600" display="https://twitter.com/dw_business" xr:uid="{BBC2C5DD-937B-437C-AB5F-A92357624E6B}"/>
    <hyperlink ref="E3761" r:id="rId11601" display="https://twitter.com/dw_business/status/723504242762387457" xr:uid="{E5593104-3E63-4757-BEA3-42F3A0F79938}"/>
    <hyperlink ref="O3761" r:id="rId11602" display="https://pbs.twimg.com/profile_images/474178130312044544/-U2TP65D_normal.png" xr:uid="{44187392-66FA-4E30-80D4-7654E5CE8AE9}"/>
    <hyperlink ref="B3762" r:id="rId11603" display="https://twitter.com/heldini" xr:uid="{6A23F31A-FC0F-4892-B31E-54CEB4169FB1}"/>
    <hyperlink ref="E3762" r:id="rId11604" display="https://twitter.com/heldini/status/723504242980470784" xr:uid="{A1FDCA16-02D5-4638-BE11-B9C83F7AA8DA}"/>
    <hyperlink ref="O3762" r:id="rId11605" display="https://pbs.twimg.com/profile_images/614525396231524352/r7m8MMXA_normal.jpg" xr:uid="{FC24781C-99AB-42D4-89F1-061C1A129262}"/>
    <hyperlink ref="B3763" r:id="rId11606" display="https://twitter.com/cikuwa1" xr:uid="{5F2BA139-26DC-4CBC-B4D2-DACF9F323A04}"/>
    <hyperlink ref="E3763" r:id="rId11607" display="https://twitter.com/cikuwa1/status/723504252073562112" xr:uid="{C36FD324-1506-433A-A21B-ACC214D86E3D}"/>
    <hyperlink ref="O3763" r:id="rId11608" display="https://pbs.twimg.com/profile_images/719482832477794305/ANIK9yYM_normal.jpg" xr:uid="{9EC4512C-7C4B-4D34-B367-6B4D0455B408}"/>
    <hyperlink ref="B3764" r:id="rId11609" display="https://twitter.com/Gorm_Bawssz" xr:uid="{E38FE498-4BAF-4332-981C-81B745B5C495}"/>
    <hyperlink ref="E3764" r:id="rId11610" display="https://twitter.com/Gorm_Bawssz/status/723504276325150722" xr:uid="{81D4746D-F69F-4CA5-BD14-F2CE3FE50149}"/>
    <hyperlink ref="O3764" r:id="rId11611" display="https://pbs.twimg.com/profile_images/515258272925097986/JP22YdtR_normal.jpeg" xr:uid="{65FC633E-FF5F-42AA-8407-E6E85F7B79C3}"/>
    <hyperlink ref="B3765" r:id="rId11612" display="https://twitter.com/cotillo1" xr:uid="{FB0109BB-1CFB-47B7-941A-C917D7DD75B6}"/>
    <hyperlink ref="E3765" r:id="rId11613" display="https://twitter.com/cotillo1/status/723504312773693440" xr:uid="{C1AAC8AC-52BE-47BC-8C71-F0DB8F2E2F24}"/>
    <hyperlink ref="O3765" r:id="rId11614" display="https://pbs.twimg.com/profile_images/471156603769466880/81WpPgNR_normal.jpeg" xr:uid="{97792D12-8D82-442A-B2CD-934CA816E05A}"/>
    <hyperlink ref="B3766" r:id="rId11615" display="https://twitter.com/HollyBlomberg" xr:uid="{27A79446-8D76-456B-8CB5-66F0BC054FBB}"/>
    <hyperlink ref="E3766" r:id="rId11616" display="https://twitter.com/HollyBlomberg/status/723504329605292032" xr:uid="{2BE16E18-7771-43FB-99DE-901D3AEFA83C}"/>
    <hyperlink ref="O3766" r:id="rId11617" display="https://pbs.twimg.com/profile_images/722961163114283008/ASqOyy45_normal.jpg" xr:uid="{03DD29A9-62B5-4C44-A405-3A1DBBAAFA73}"/>
    <hyperlink ref="B3767" r:id="rId11618" display="https://twitter.com/cducsubt" xr:uid="{4D5082E0-4C46-49C4-971E-5DEB0D80D653}"/>
    <hyperlink ref="E3767" r:id="rId11619" display="https://twitter.com/cducsubt/status/723504336182075393" xr:uid="{AD8A546B-131F-4F27-BBBB-774A5BC5AFA3}"/>
    <hyperlink ref="O3767" r:id="rId11620" display="https://pbs.twimg.com/profile_images/2527256269/ursvsnoadffhlpb3yaek_normal.png" xr:uid="{9247B6F2-81CA-4A3C-AFA2-72F5D8E9C48E}"/>
    <hyperlink ref="B3768" r:id="rId11621" display="https://twitter.com/ILCtsxv" xr:uid="{2ABA279E-3E20-4A88-8043-1B669F09A9B8}"/>
    <hyperlink ref="E3768" r:id="rId11622" display="https://twitter.com/ILCtsxv/status/723504355031285760" xr:uid="{A800205F-B8AD-4DA2-AF99-3961F3C61F26}"/>
    <hyperlink ref="O3768" r:id="rId11623" display="https://pbs.twimg.com/profile_images/1738815421/li_normal.JPG" xr:uid="{407C72E7-80FC-4456-84BC-CB1DD0EA315E}"/>
    <hyperlink ref="B3769" r:id="rId11624" display="https://twitter.com/weserkurier" xr:uid="{F53F7F9E-0E02-4ED4-9EF9-699EB1C1833A}"/>
    <hyperlink ref="E3769" r:id="rId11625" display="https://twitter.com/weserkurier/status/723504413051092992" xr:uid="{D1334124-835E-4BF5-8F2A-155F6DC5E106}"/>
    <hyperlink ref="O3769" r:id="rId11626" display="https://pbs.twimg.com/profile_images/701759474198036480/d3ldpfv0_normal.png" xr:uid="{567120DA-D55D-4480-BE90-5249BCCDB1B7}"/>
    <hyperlink ref="B3770" r:id="rId11627" display="https://twitter.com/martincschmalz" xr:uid="{A0C1EDC6-9051-44CA-AC27-582F6C5A5310}"/>
    <hyperlink ref="E3770" r:id="rId11628" display="https://twitter.com/martincschmalz/status/723504430306357249" xr:uid="{93146339-52BA-487E-855F-8FAD521C7840}"/>
    <hyperlink ref="O3770" r:id="rId11629" display="https://pbs.twimg.com/profile_images/691291874057854977/IdKcGWtk_normal.jpg" xr:uid="{0F6E8436-9EA9-41B9-868E-880A3CC1DA4A}"/>
    <hyperlink ref="B3771" r:id="rId11630" display="https://twitter.com/BBoason" xr:uid="{F5D750FB-25C6-4CFE-A6EC-61353CE26A2C}"/>
    <hyperlink ref="E3771" r:id="rId11631" display="https://twitter.com/BBoason/status/723504437801680896" xr:uid="{66633A97-A747-46ED-8970-D1BC59923AD9}"/>
    <hyperlink ref="O3771" r:id="rId11632" display="https://pbs.twimg.com/profile_images/690093754351489024/RHFZ8vSn_normal.jpg" xr:uid="{C895A2C9-CB69-432B-9508-BD361BBF0430}"/>
    <hyperlink ref="B3772" r:id="rId11633" display="https://twitter.com/Protonikon" xr:uid="{C9E6B79E-BA49-4562-BDCD-76831F8542E5}"/>
    <hyperlink ref="E3772" r:id="rId11634" display="https://twitter.com/Protonikon/status/723504691594813440" xr:uid="{C9272106-97D1-4676-B4CC-D2139BF41C58}"/>
    <hyperlink ref="O3772" r:id="rId11635" display="https://abs.twimg.com/sticky/default_profile_images/default_profile_2_normal.png" xr:uid="{B870042F-48B5-4C78-A826-A241B09D85CB}"/>
    <hyperlink ref="B3773" r:id="rId11636" display="https://twitter.com/har155" xr:uid="{ABC96814-221B-443C-8832-DFE78E0B89CD}"/>
    <hyperlink ref="E3773" r:id="rId11637" display="https://twitter.com/har155/status/723504763330015233" xr:uid="{C4403F6F-A2B0-4D24-B615-4F819EE4BE6D}"/>
    <hyperlink ref="O3773" r:id="rId11638" display="https://pbs.twimg.com/profile_images/598204778066223104/T3e5yqH5_normal.png" xr:uid="{C7644A37-FA42-4FC0-87AF-8437EC8CA6A3}"/>
    <hyperlink ref="B3774" r:id="rId11639" display="https://twitter.com/JAdeJong12" xr:uid="{6BF685CC-8204-4B05-A8D7-84564D1E8A7E}"/>
    <hyperlink ref="E3774" r:id="rId11640" display="https://twitter.com/JAdeJong12/status/723504791444422656" xr:uid="{ACF76911-63F0-42C0-9AE5-347E0FA6D6AB}"/>
    <hyperlink ref="O3774" r:id="rId11641" display="https://pbs.twimg.com/profile_images/670123014529392640/49d_OxDO_normal.jpg" xr:uid="{DC1FD890-C6C6-4C09-BB7B-21B0F73AA8AF}"/>
    <hyperlink ref="B3775" r:id="rId11642" display="https://twitter.com/C_Heinrich_83" xr:uid="{D4232B55-4B22-42AB-8F6B-27723AD84696}"/>
    <hyperlink ref="E3775" r:id="rId11643" display="https://twitter.com/C_Heinrich_83/status/723504804786495489" xr:uid="{8A6DEC2A-FBE4-48F0-8411-052E9D7F6EA1}"/>
    <hyperlink ref="O3775" r:id="rId11644" display="https://pbs.twimg.com/profile_images/683592930918019072/SnHKNKAI_normal.jpg" xr:uid="{8476995B-E11B-4869-9D4B-A93E3C37AAF2}"/>
    <hyperlink ref="B3776" r:id="rId11645" display="https://twitter.com/updayDE" xr:uid="{D1A4CFA6-F889-4CC5-A787-7F2575E6967C}"/>
    <hyperlink ref="E3776" r:id="rId11646" display="https://twitter.com/updayDE/status/723504925620232192" xr:uid="{D50E7F7C-43EE-4A51-8EF2-A07B78F9719C}"/>
    <hyperlink ref="O3776" r:id="rId11647" display="https://pbs.twimg.com/profile_images/699880935366488064/uot0hGbb_normal.png" xr:uid="{E774F455-4D1C-4DAF-B9D7-F70504D99560}"/>
    <hyperlink ref="B3777" r:id="rId11648" display="https://twitter.com/instock_de" xr:uid="{64BA674D-5827-439E-BEB7-D6F44B2043D1}"/>
    <hyperlink ref="C3777" r:id="rId11649" xr:uid="{23F07F3A-C5F4-4D0A-BF08-5BEE42F793AD}"/>
    <hyperlink ref="E3777" r:id="rId11650" display="https://twitter.com/instock_de/status/723504972931960833" xr:uid="{A1AA29E3-A1EB-43DB-A37F-0D80FEFA5F20}"/>
    <hyperlink ref="O3777" r:id="rId11651" display="https://pbs.twimg.com/profile_images/1200648485/instock_normal.jpg" xr:uid="{6BEFA773-F55F-4B8F-A494-EFA60AA24C49}"/>
    <hyperlink ref="B3778" r:id="rId11652" display="https://twitter.com/MDRINFO" xr:uid="{8A7635B1-D599-4566-9811-4439589154C5}"/>
    <hyperlink ref="E3778" r:id="rId11653" display="https://twitter.com/MDRINFO/status/723505076065677312" xr:uid="{788D53B5-12E0-4A27-8CC7-E16B997CC386}"/>
    <hyperlink ref="O3778" r:id="rId11654" display="https://pbs.twimg.com/profile_images/2289706087/q66ajanznpfm87cybp5p_normal.jpeg" xr:uid="{10D32A49-008A-423D-A2DD-D2E31809323F}"/>
    <hyperlink ref="B3779" r:id="rId11655" display="https://twitter.com/JAdeJong12" xr:uid="{C88D22CD-0520-4D6C-8A19-7256BCA9F2F0}"/>
    <hyperlink ref="E3779" r:id="rId11656" display="https://twitter.com/JAdeJong12/status/723505123897544705" xr:uid="{CDAA0011-53DE-4A3F-B0BE-85F4C329EA9C}"/>
    <hyperlink ref="O3779" r:id="rId11657" display="https://pbs.twimg.com/profile_images/670123014529392640/49d_OxDO_normal.jpg" xr:uid="{FB648EEE-31ED-4366-9AA1-E6406AD17D6C}"/>
    <hyperlink ref="B3780" r:id="rId11658" display="https://twitter.com/larrieregarde" xr:uid="{2DFD2B9A-88CD-4721-B136-7DFC061A3A5E}"/>
    <hyperlink ref="E3780" r:id="rId11659" display="https://twitter.com/larrieregarde/status/723505136954388480" xr:uid="{7DFA1E59-7F60-4923-822B-FEC6EE29AEBD}"/>
    <hyperlink ref="O3780" r:id="rId11660" display="https://pbs.twimg.com/profile_images/722908346794135552/idQMQBmr_normal.jpg" xr:uid="{12A5E19F-94C5-4534-B5C9-32100442ED3C}"/>
    <hyperlink ref="B3781" r:id="rId11661" display="https://twitter.com/Geoffreytsmith" xr:uid="{76F8B675-6C99-4748-8A65-7E934A52C425}"/>
    <hyperlink ref="E3781" r:id="rId11662" display="https://twitter.com/Geoffreytsmith/status/723505171989446656" xr:uid="{7A9FA4F9-A54D-4E13-B723-114F436170A8}"/>
    <hyperlink ref="O3781" r:id="rId11663" display="https://pbs.twimg.com/profile_images/428946684312170496/JhiJB2NG_normal.jpeg" xr:uid="{2D15754C-3ED2-4E51-817B-3B09D450754E}"/>
    <hyperlink ref="B3782" r:id="rId11664" display="https://twitter.com/kirstein_sandra" xr:uid="{AA5EB96D-1C6B-443A-AA39-36D2178572CD}"/>
    <hyperlink ref="E3782" r:id="rId11665" display="https://twitter.com/kirstein_sandra/status/723505196106715136" xr:uid="{0590A52E-519A-48DC-9DB9-D982CB0EC352}"/>
    <hyperlink ref="O3782" r:id="rId11666" display="https://pbs.twimg.com/profile_images/694584728985452544/3zgs0YER_normal.jpg" xr:uid="{1312D291-5134-4AD1-BF68-4C034BED26BA}"/>
    <hyperlink ref="B3783" r:id="rId11667" display="https://twitter.com/MorSvinka_83" xr:uid="{CDDB72FC-620C-4D93-83B6-75D7446FD466}"/>
    <hyperlink ref="E3783" r:id="rId11668" display="https://twitter.com/MorSvinka_83/status/723505253598003201" xr:uid="{2ECD623A-7707-4B84-8EFE-2D3364F2D975}"/>
    <hyperlink ref="O3783" r:id="rId11669" display="https://pbs.twimg.com/profile_images/2208847688/Untitled-2_normal.jpg" xr:uid="{BFC66942-9319-4038-90ED-BCD810B58976}"/>
    <hyperlink ref="B3784" r:id="rId11670" display="https://twitter.com/NetzwerkggS21" xr:uid="{B095CDFC-6CED-40B0-90F6-1FC2618E4C02}"/>
    <hyperlink ref="E3784" r:id="rId11671" display="https://twitter.com/NetzwerkggS21/status/723505254747242497" xr:uid="{5EB32DD0-8099-4DA9-BF88-EB6AF8795C3A}"/>
    <hyperlink ref="M3784" r:id="rId11672" xr:uid="{1A2ACD0F-C66A-4BB9-9219-12DA65CEA850}"/>
    <hyperlink ref="O3784" r:id="rId11673" display="https://pbs.twimg.com/profile_images/378800000528765970/3ab9f2a00010e9cac08d5ca1638926e9_normal.png" xr:uid="{C8B95DCD-2DA5-499A-BD4E-335FA3EC08D3}"/>
    <hyperlink ref="B3785" r:id="rId11674" display="https://twitter.com/OnVista_News" xr:uid="{9AD0BEBD-7887-46E0-A8EF-4BA235BAC881}"/>
    <hyperlink ref="E3785" r:id="rId11675" display="https://twitter.com/OnVista_News/status/723505300691685376" xr:uid="{C7077433-0CD7-4729-BAB7-5F15E99A2E7A}"/>
    <hyperlink ref="O3785" r:id="rId11676" display="https://pbs.twimg.com/profile_images/575251924716421120/7Mh95sYJ_normal.png" xr:uid="{FA691F5B-924D-468B-8A0B-ACF5BC90863E}"/>
    <hyperlink ref="B3786" r:id="rId11677" display="https://twitter.com/MatthewBray16" xr:uid="{CE958893-9A68-43F8-BEE0-327EDEE1E90D}"/>
    <hyperlink ref="E3786" r:id="rId11678" display="https://twitter.com/MatthewBray16/status/723505308048318464" xr:uid="{AA5D4397-B32C-42F2-A0C8-111E7D819DF7}"/>
    <hyperlink ref="O3786" r:id="rId11679" display="https://pbs.twimg.com/profile_images/646539064456286208/I7XBjV63_normal.jpg" xr:uid="{5813C8F8-BA97-4D1F-B010-C9DFE4E0DE46}"/>
    <hyperlink ref="B3787" r:id="rId11680" display="https://twitter.com/doern" xr:uid="{CC275491-803A-46D1-B09A-7F7F4FBAACE2}"/>
    <hyperlink ref="E3787" r:id="rId11681" display="https://twitter.com/doern/status/723505366651265026" xr:uid="{F5B7D68C-964B-4DF9-B4DA-EC88714CFC83}"/>
    <hyperlink ref="O3787" r:id="rId11682" display="https://pbs.twimg.com/profile_images/657853466384191488/J6vAnfZr_normal.jpg" xr:uid="{3EBE2073-ACDD-4D56-8A99-CD6F1E985B5E}"/>
    <hyperlink ref="B3788" r:id="rId11683" display="https://twitter.com/ruv24_de" xr:uid="{97C1E257-DC1F-44DE-A893-5333D90927FE}"/>
    <hyperlink ref="E3788" r:id="rId11684" display="https://twitter.com/ruv24_de/status/723505410787938304" xr:uid="{2301AFE8-5D45-471E-B32F-F3F897C060AF}"/>
    <hyperlink ref="O3788" r:id="rId11685" display="https://pbs.twimg.com/profile_images/461143330147954688/HZO45eNS_normal.jpeg" xr:uid="{69233F11-5E46-459F-B870-4DE1AD343C09}"/>
    <hyperlink ref="B3789" r:id="rId11686" display="https://twitter.com/OCherokee" xr:uid="{D3FC3C2A-D675-4B25-BB19-80287998D683}"/>
    <hyperlink ref="E3789" r:id="rId11687" display="https://twitter.com/OCherokee/status/723505467658399744" xr:uid="{B37FD996-34CC-4E3D-86E8-D36F929C06A1}"/>
    <hyperlink ref="O3789" r:id="rId11688" display="https://pbs.twimg.com/profile_images/704506168157188097/RiQczRHn_normal.jpg" xr:uid="{B3FB3C0B-1C4D-4FE5-841A-2764E27FECD3}"/>
    <hyperlink ref="B3790" r:id="rId11689" display="https://twitter.com/DarmaAru" xr:uid="{CD63E612-8DDA-4975-B13D-D012463BEFF2}"/>
    <hyperlink ref="E3790" r:id="rId11690" display="https://twitter.com/DarmaAru/status/723505504341790720" xr:uid="{CEE6A8AD-2CD0-45AD-A635-DD2A082DF880}"/>
    <hyperlink ref="O3790" r:id="rId11691" display="https://pbs.twimg.com/profile_images/506310329505034241/m0PcSD87_normal.jpeg" xr:uid="{E5460F4D-B499-49C5-AB52-81F07BB951CC}"/>
    <hyperlink ref="B3791" r:id="rId11692" display="https://twitter.com/pcbritz" xr:uid="{434AD426-1EB5-4CEA-A757-C2B88AD6E728}"/>
    <hyperlink ref="E3791" r:id="rId11693" display="https://twitter.com/pcbritz/status/723505505516302336" xr:uid="{F3CCE18E-D82E-4562-A34C-528AED215786}"/>
    <hyperlink ref="O3791" r:id="rId11694" display="https://pbs.twimg.com/profile_images/722823782017200130/VreCKi-k_normal.jpg" xr:uid="{BBCE4FA0-9195-4AE1-B9F7-09BC255F21D6}"/>
    <hyperlink ref="B3792" r:id="rId11695" display="https://twitter.com/cdu_tweets" xr:uid="{1A0BF682-4105-4C2D-9EFC-01B470654A60}"/>
    <hyperlink ref="E3792" r:id="rId11696" display="https://twitter.com/cdu_tweets/status/723505619441991680" xr:uid="{F46A7085-7C7D-4966-892A-B520BC3CEF40}"/>
    <hyperlink ref="O3792" r:id="rId11697" display="https://pbs.twimg.com/profile_images/3282192073/90016f14272ad33eeaf3a7ec12844cc2_normal.jpeg" xr:uid="{8339BFBD-2C96-43DC-9DE9-DB21C16B7422}"/>
    <hyperlink ref="B3793" r:id="rId11698" display="https://twitter.com/GbemiEreku" xr:uid="{9B8D5E3A-497E-4138-B97D-380DB45EDD04}"/>
    <hyperlink ref="E3793" r:id="rId11699" display="https://twitter.com/GbemiEreku/status/723505621962764289" xr:uid="{A0006BCB-B8BC-459C-819B-19108B793A72}"/>
    <hyperlink ref="O3793" r:id="rId11700" display="https://pbs.twimg.com/profile_images/715830673622319104/NMQLAoID_normal.jpg" xr:uid="{B2797482-0B4A-453A-98E4-5B4BF2712BC3}"/>
    <hyperlink ref="B3794" r:id="rId11701" display="https://twitter.com/dw_wirtschaft" xr:uid="{5E5BA0BE-4AD7-4498-9412-1DC3935D0E3F}"/>
    <hyperlink ref="E3794" r:id="rId11702" display="https://twitter.com/dw_wirtschaft/status/723505752825057280" xr:uid="{0EF9FFA1-F94A-4625-A102-97396CFA5B00}"/>
    <hyperlink ref="O3794" r:id="rId11703" display="https://pbs.twimg.com/profile_images/474185502388518912/sROk9L0u_normal.png" xr:uid="{7FC6357E-B83D-4042-BC54-36B8A53A67FB}"/>
    <hyperlink ref="B3795" r:id="rId11704" display="https://twitter.com/DoMarMac" xr:uid="{73D35322-2155-4742-8A59-4D483BACCF4A}"/>
    <hyperlink ref="E3795" r:id="rId11705" display="https://twitter.com/DoMarMac/status/723505757342339072" xr:uid="{0F4D378E-DE70-41A6-81E0-C72A816EB5E0}"/>
    <hyperlink ref="O3795" r:id="rId11706" display="https://pbs.twimg.com/profile_images/1833245422/twitter_yo_normal.jpg" xr:uid="{96DA7495-8FD9-429C-9D4B-8F0F0BD4CA1D}"/>
    <hyperlink ref="B3796" r:id="rId11707" display="https://twitter.com/DoMarMac" xr:uid="{E42EB176-0038-4087-8DB7-EAACEAFEC918}"/>
    <hyperlink ref="E3796" r:id="rId11708" display="https://twitter.com/DoMarMac/status/723505798429704192" xr:uid="{47974C0C-225D-45B8-9826-9E2D2CF6BC63}"/>
    <hyperlink ref="O3796" r:id="rId11709" display="https://pbs.twimg.com/profile_images/1833245422/twitter_yo_normal.jpg" xr:uid="{F55BDC59-AFEE-4D5B-BD13-71562851C530}"/>
    <hyperlink ref="B3797" r:id="rId11710" display="https://twitter.com/ophuels" xr:uid="{077A87E9-F01A-4ECA-83C1-2830DD6DB95C}"/>
    <hyperlink ref="E3797" r:id="rId11711" display="https://twitter.com/ophuels/status/723505802271678469" xr:uid="{9EFF3DF7-FECE-4CA1-A92B-9FFC368DD82E}"/>
    <hyperlink ref="O3797" r:id="rId11712" display="https://pbs.twimg.com/profile_images/545515043761037312/gp4mWkRD_normal.jpeg" xr:uid="{630CC62B-134B-48ED-B64B-51FD1941B9E6}"/>
    <hyperlink ref="B3798" r:id="rId11713" display="https://twitter.com/DoMarMac" xr:uid="{B138168B-13EA-4768-9A35-F61C7CAC2EB1}"/>
    <hyperlink ref="E3798" r:id="rId11714" display="https://twitter.com/DoMarMac/status/723505833150164992" xr:uid="{6A8CA2EB-A579-4803-8E04-FFD15C279558}"/>
    <hyperlink ref="O3798" r:id="rId11715" display="https://pbs.twimg.com/profile_images/1833245422/twitter_yo_normal.jpg" xr:uid="{2B1F86D8-7C42-4481-9E90-1F838E5E81AD}"/>
    <hyperlink ref="B3799" r:id="rId11716" display="https://twitter.com/George_Rey4" xr:uid="{62E4B387-7DCB-4E43-BD80-71DB8CD2E18D}"/>
    <hyperlink ref="E3799" r:id="rId11717" display="https://twitter.com/George_Rey4/status/723505853240741889" xr:uid="{FAE306CE-A244-4FE7-A34D-EBD8C2BF31AC}"/>
    <hyperlink ref="O3799" r:id="rId11718" display="https://pbs.twimg.com/profile_images/716495110725246976/aZNUJl0F_normal.jpg" xr:uid="{A5772909-0248-4B62-BD6A-EB1BF7574742}"/>
    <hyperlink ref="B3800" r:id="rId11719" display="https://twitter.com/conkers3" xr:uid="{427AAE8F-9BE8-45DE-B778-12A3DD3E9CE4}"/>
    <hyperlink ref="E3800" r:id="rId11720" display="https://twitter.com/conkers3/status/723505888179421184" xr:uid="{B9624466-C211-4F92-B4E0-498307D6DE8E}"/>
    <hyperlink ref="O3800" r:id="rId11721" display="https://pbs.twimg.com/profile_images/3601856046/89deb5d36c9951092d953fa6050d5fbc_normal.jpeg" xr:uid="{4EAD5A04-C325-4E0E-95D5-1D5937A1533A}"/>
    <hyperlink ref="B3801" r:id="rId11722" display="https://twitter.com/NetzwerkggS21" xr:uid="{BDD20C34-D3F6-4464-8E5B-55E254BF0D3E}"/>
    <hyperlink ref="E3801" r:id="rId11723" display="https://twitter.com/NetzwerkggS21/status/723505977098678272" xr:uid="{B604076D-479B-430F-8971-FF9A8A569CEB}"/>
    <hyperlink ref="M3801" r:id="rId11724" xr:uid="{01833934-DB5D-4040-B085-5F9174C25EFD}"/>
    <hyperlink ref="O3801" r:id="rId11725" display="https://pbs.twimg.com/profile_images/378800000528765970/3ab9f2a00010e9cac08d5ca1638926e9_normal.png" xr:uid="{66F61195-BF42-47BF-A235-E90B0EFBB48D}"/>
    <hyperlink ref="B3802" r:id="rId11726" display="https://twitter.com/KURIERat" xr:uid="{27699AEC-A1C5-42EF-9DF5-7EA1CBCC69AC}"/>
    <hyperlink ref="E3802" r:id="rId11727" display="https://twitter.com/KURIERat/status/723506044912164864" xr:uid="{FEEE15B4-DA79-4A1B-8093-E53C3BE86408}"/>
    <hyperlink ref="O3802" r:id="rId11728" display="https://pbs.twimg.com/profile_images/646648362381516800/cNhozYEx_normal.png" xr:uid="{CA295A8D-07A8-43E1-A3EC-AA7C3AECE8CE}"/>
    <hyperlink ref="B3803" r:id="rId11729" display="https://twitter.com/ProjectCarsUK" xr:uid="{68D4411D-9EE1-4FB5-9745-53B596A02916}"/>
    <hyperlink ref="E3803" r:id="rId11730" display="https://twitter.com/ProjectCarsUK/status/723506297400922112" xr:uid="{8BB85F77-8D18-4914-B3A0-E768738E6DC9}"/>
    <hyperlink ref="O3803" r:id="rId11731" display="https://pbs.twimg.com/profile_images/706833390725681152/IaXMLicB_normal.jpg" xr:uid="{8EA20A7A-1073-4EDE-83FB-06EA628A878D}"/>
    <hyperlink ref="B3804" r:id="rId11732" display="https://twitter.com/MedAgness" xr:uid="{F86DFAA7-60C4-45DC-B6C8-04DD58C82755}"/>
    <hyperlink ref="E3804" r:id="rId11733" display="https://twitter.com/MedAgness/status/723506302236938240" xr:uid="{29A079CD-33A0-403C-A894-7FC33C3621AA}"/>
    <hyperlink ref="O3804" r:id="rId11734" display="https://pbs.twimg.com/profile_images/631084316802482176/y_wtMQWR_normal.png" xr:uid="{4F524666-541C-4836-BB54-8AF4728E8DE4}"/>
    <hyperlink ref="B3805" r:id="rId11735" display="https://twitter.com/ihoelt" xr:uid="{2B817F5E-F0F2-4CE4-978B-23335A72594B}"/>
    <hyperlink ref="E3805" r:id="rId11736" display="https://twitter.com/ihoelt/status/723506468733988866" xr:uid="{7CAD7625-B455-4764-9DBC-0D0AD0B7BBBF}"/>
    <hyperlink ref="O3805" r:id="rId11737" display="https://pbs.twimg.com/profile_images/718763389472911360/SuBCVaEu_normal.jpg" xr:uid="{1FC908E1-2A81-40E7-8012-76183239B15C}"/>
    <hyperlink ref="B3806" r:id="rId11738" display="https://twitter.com/Boersenradar" xr:uid="{85B0AFAC-59B9-4527-A4FB-25F1F9B74E54}"/>
    <hyperlink ref="E3806" r:id="rId11739" display="https://twitter.com/Boersenradar/status/723506608471445506" xr:uid="{C022FD7E-D7E8-4C6D-B475-E02B9D51276B}"/>
    <hyperlink ref="O3806" r:id="rId11740" display="https://pbs.twimg.com/profile_images/648862182936047616/p6o1BlmC_normal.jpg" xr:uid="{06158AA3-6C67-40B4-831C-1C52EB39BA67}"/>
    <hyperlink ref="B3807" r:id="rId11741" display="https://twitter.com/imifos" xr:uid="{CFB3E1BE-C39F-45C8-B9E1-2774AB79D402}"/>
    <hyperlink ref="E3807" r:id="rId11742" display="https://twitter.com/imifos/status/723506700037304322" xr:uid="{843527F1-CE28-4749-B161-2A75BF144A22}"/>
    <hyperlink ref="O3807" r:id="rId11743" display="https://pbs.twimg.com/profile_images/695584457940738048/P2hQLrLL_normal.jpg" xr:uid="{4E07A93C-5C9B-469D-8C23-7E2B5BCDC3F7}"/>
    <hyperlink ref="B3808" r:id="rId11744" display="https://twitter.com/CBSLA" xr:uid="{1E623F93-8B65-43E5-B208-A7532D73A039}"/>
    <hyperlink ref="E3808" r:id="rId11745" display="https://twitter.com/CBSLA/status/723506861094277122" xr:uid="{7648C148-EA49-4A54-B1B9-B521194A60A5}"/>
    <hyperlink ref="O3808" r:id="rId11746" display="https://pbs.twimg.com/profile_images/625722540892143616/9RoFJo3Y_normal.jpg" xr:uid="{1A01793A-E72E-4F49-A987-9F228A66C53D}"/>
    <hyperlink ref="B3809" r:id="rId11747" display="https://twitter.com/wenportuguese" xr:uid="{BD18F3A4-F3DA-4283-9A2F-F29C58085B2D}"/>
    <hyperlink ref="E3809" r:id="rId11748" display="https://twitter.com/wenportuguese/status/723506873308205057" xr:uid="{8A37CD35-4B49-4385-B0BE-F6AD259DAF48}"/>
    <hyperlink ref="O3809" r:id="rId11749" display="https://pbs.twimg.com/profile_images/715864177643024384/UA4KJQai_normal.jpg" xr:uid="{6BF9641B-B24E-48DE-9595-977BDE9DDFBF}"/>
    <hyperlink ref="B3810" r:id="rId11750" display="https://twitter.com/bodo1962" xr:uid="{E7ED7C3C-F98C-4AD5-BF62-1DFACCE2918D}"/>
    <hyperlink ref="E3810" r:id="rId11751" display="https://twitter.com/bodo1962/status/723506942493233153" xr:uid="{7957B22C-E48D-411B-AF96-8866B2422660}"/>
    <hyperlink ref="O3810" r:id="rId11752" display="https://pbs.twimg.com/profile_images/439706141728051201/GQgdrA5p_normal.jpeg" xr:uid="{705B8DE6-6099-43E8-8D05-77274EC48FCC}"/>
    <hyperlink ref="B3811" r:id="rId11753" display="https://twitter.com/aktionaer" xr:uid="{CC8C1675-F188-4676-A100-3FDD863BA5BC}"/>
    <hyperlink ref="E3811" r:id="rId11754" display="https://twitter.com/aktionaer/status/723506981064052736" xr:uid="{AD2CF44C-4807-4947-A947-954277611968}"/>
    <hyperlink ref="O3811" r:id="rId11755" display="https://pbs.twimg.com/profile_images/679552623641509888/_vPw9IS2_normal.png" xr:uid="{D49FC628-EAA8-4C25-AC3C-DD283EC5BD38}"/>
    <hyperlink ref="B3812" r:id="rId11756" display="https://twitter.com/STEEL5757" xr:uid="{75522504-A199-4068-B3F1-4137EE4F73CA}"/>
    <hyperlink ref="E3812" r:id="rId11757" display="https://twitter.com/STEEL5757/status/723507020532473860" xr:uid="{FECDDEE0-896B-47C3-A8ED-D53DE7EE1D9D}"/>
    <hyperlink ref="O3812" r:id="rId11758" display="https://pbs.twimg.com/profile_images/536778472937373696/4a_Txa8m_normal.jpeg" xr:uid="{CFC877A6-85EB-428F-B3EA-028CA888A938}"/>
    <hyperlink ref="B3813" r:id="rId11759" display="https://twitter.com/MattFux" xr:uid="{929A5325-D268-4C12-9087-E1CD1FF4A1FB}"/>
    <hyperlink ref="E3813" r:id="rId11760" display="https://twitter.com/MattFux/status/723507069362556930" xr:uid="{055B05E8-0284-4C28-9BE2-C9DAF88E68AF}"/>
    <hyperlink ref="O3813" r:id="rId11761" display="https://pbs.twimg.com/profile_images/601508662855753728/ZJCskb0O_normal.jpg" xr:uid="{39ABD452-49CD-442B-A6A3-C5770A983986}"/>
    <hyperlink ref="B3814" r:id="rId11762" display="https://twitter.com/johnvoelcker" xr:uid="{A3F119C0-F0DB-4A7C-93F8-7E3327EAAE04}"/>
    <hyperlink ref="E3814" r:id="rId11763" display="https://twitter.com/johnvoelcker/status/723507108273098752" xr:uid="{669F5F99-1EE6-4D69-AC9B-29856E35A697}"/>
    <hyperlink ref="O3814" r:id="rId11764" display="https://pbs.twimg.com/profile_images/2136613539/JV-headshot_normal.jpg" xr:uid="{30A1616C-0571-4DEE-93A2-9607DAAD26A4}"/>
    <hyperlink ref="B3815" r:id="rId11765" display="https://twitter.com/FocusEconomia" xr:uid="{52850496-EF59-4418-831E-48F96BF2AF2D}"/>
    <hyperlink ref="E3815" r:id="rId11766" display="https://twitter.com/FocusEconomia/status/723507121216733184" xr:uid="{4AB1906D-EFE1-442A-BC90-A44FD27A4382}"/>
    <hyperlink ref="O3815" r:id="rId11767" display="https://pbs.twimg.com/profile_images/588735564154806272/d8_8cgTC_normal.jpg" xr:uid="{31405F53-7942-46E6-8D17-546B48DD1946}"/>
    <hyperlink ref="B3816" r:id="rId11768" display="https://twitter.com/tom_hille" xr:uid="{732ED283-E347-4FE3-A305-DA5EEE2736BC}"/>
    <hyperlink ref="E3816" r:id="rId11769" display="https://twitter.com/tom_hille/status/723507163994427392" xr:uid="{478012A7-94F3-4224-BF52-A06B35C756B6}"/>
    <hyperlink ref="O3816" r:id="rId11770" display="https://abs.twimg.com/sticky/default_profile_images/default_profile_6_normal.png" xr:uid="{C57A2E19-E588-4BA4-9767-AD71C1A81594}"/>
    <hyperlink ref="B3817" r:id="rId11771" display="https://twitter.com/ihoelt" xr:uid="{5E0BEFEB-5DFC-4882-835C-D843A0125603}"/>
    <hyperlink ref="E3817" r:id="rId11772" display="https://twitter.com/ihoelt/status/723507187054710785" xr:uid="{F39F3241-4D2F-4091-872C-EA1C21418934}"/>
    <hyperlink ref="O3817" r:id="rId11773" display="https://pbs.twimg.com/profile_images/718763389472911360/SuBCVaEu_normal.jpg" xr:uid="{9EBA7FAC-C143-4367-8210-3098DF8C491E}"/>
    <hyperlink ref="B3818" r:id="rId11774" display="https://twitter.com/ZDFhannover" xr:uid="{BCD3C137-C443-4AA1-87CE-940F1C1960B0}"/>
    <hyperlink ref="E3818" r:id="rId11775" display="https://twitter.com/ZDFhannover/status/723507298912579585" xr:uid="{16EDEC19-1646-42D7-B8A8-E2FD3BF3CA98}"/>
    <hyperlink ref="O3818" r:id="rId11776" display="https://pbs.twimg.com/profile_images/606071164478308352/Bpbe55iE_normal.png" xr:uid="{1EF25DE5-E2D7-4EA6-ADB7-CB747B65D524}"/>
    <hyperlink ref="B3819" r:id="rId11777" display="https://twitter.com/ibikus31" xr:uid="{4C982DD7-D970-4386-9C50-4C74D6089BD8}"/>
    <hyperlink ref="E3819" r:id="rId11778" display="https://twitter.com/ibikus31/status/723507383675289600" xr:uid="{9C9AB558-0401-4E70-AEBA-32066FD30542}"/>
    <hyperlink ref="O3819" r:id="rId11779" display="https://pbs.twimg.com/profile_images/702866301568618496/VRpr5_N__normal.jpg" xr:uid="{FC631FD7-493A-4617-B9F2-5AC3C274BCD8}"/>
    <hyperlink ref="B3820" r:id="rId11780" display="https://twitter.com/hcschumacher" xr:uid="{350BB0E9-3EC1-4F33-9156-C0F429309B61}"/>
    <hyperlink ref="E3820" r:id="rId11781" display="https://twitter.com/hcschumacher/status/723507393527730176" xr:uid="{58FBFB49-6D05-4EC3-B708-5A3CD1B4268F}"/>
    <hyperlink ref="O3820" r:id="rId11782" display="https://pbs.twimg.com/profile_images/666427553817694209/iqL2bp-M_normal.jpg" xr:uid="{FCAA1B52-A489-4756-A630-EF869257D1D6}"/>
    <hyperlink ref="B3821" r:id="rId11783" display="https://twitter.com/MarkCSchneider" xr:uid="{07250FF6-389E-46EA-8870-5CA4608F7DCB}"/>
    <hyperlink ref="E3821" r:id="rId11784" display="https://twitter.com/MarkCSchneider/status/723507506291597312" xr:uid="{BED4C907-97C2-4BC8-A02F-5EA9B4CF962A}"/>
    <hyperlink ref="O3821" r:id="rId11785" display="https://pbs.twimg.com/profile_images/706784695795769345/XGXgdjww_normal.jpg" xr:uid="{BBEF62FD-6319-4E60-AAF8-E326D87D998C}"/>
    <hyperlink ref="B3822" r:id="rId11786" display="https://twitter.com/holger_sd" xr:uid="{3490BF10-8D44-4130-AF70-166F5EB4C43F}"/>
    <hyperlink ref="E3822" r:id="rId11787" display="https://twitter.com/holger_sd/status/723507581482852353" xr:uid="{625C36EE-9DDE-4C3A-A177-A749C1146783}"/>
    <hyperlink ref="O3822" r:id="rId11788" display="https://pbs.twimg.com/profile_images/428941374243995648/se9Zh9ed_normal.jpeg" xr:uid="{88B55B26-1D75-4E74-ADBA-5969FF2B7361}"/>
    <hyperlink ref="B3823" r:id="rId11789" display="https://twitter.com/ophuels" xr:uid="{E29189D3-AB63-4E14-BE25-546D64A6CE17}"/>
    <hyperlink ref="E3823" r:id="rId11790" display="https://twitter.com/ophuels/status/723507653033467904" xr:uid="{1326156E-12F2-48A5-9C0F-48060964C926}"/>
    <hyperlink ref="O3823" r:id="rId11791" display="https://pbs.twimg.com/profile_images/545515043761037312/gp4mWkRD_normal.jpeg" xr:uid="{8C774193-F1F3-43A6-8F08-39BC1B251907}"/>
    <hyperlink ref="B3824" r:id="rId11792" display="https://twitter.com/VWBeetleSales" xr:uid="{D3D03305-2905-4EDF-8121-86D3BDFB3798}"/>
    <hyperlink ref="E3824" r:id="rId11793" display="https://twitter.com/VWBeetleSales/status/723507680405397504" xr:uid="{77A1C336-6333-4D37-8F43-539B1472F30F}"/>
    <hyperlink ref="F3824" r:id="rId11794" xr:uid="{9873F770-F098-43CF-B5FC-5E1751B6AB15}"/>
    <hyperlink ref="O3824" r:id="rId11795" display="https://pbs.twimg.com/profile_images/703294545195307008/qeCvrX86_normal.jpg" xr:uid="{B27B1939-B110-4225-9C4D-5E5B47D8E347}"/>
    <hyperlink ref="B3825" r:id="rId11796" display="https://twitter.com/MangeKrull" xr:uid="{4DAF856A-F7B8-4E22-960B-99D62F0D4379}"/>
    <hyperlink ref="E3825" r:id="rId11797" display="https://twitter.com/MangeKrull/status/723507706762551296" xr:uid="{1A7A1AC6-E982-4162-B9D0-D98890851B25}"/>
    <hyperlink ref="O3825" r:id="rId11798" display="https://pbs.twimg.com/profile_images/687267836016852992/3ngK-2o7_normal.jpg" xr:uid="{36D824E9-59C1-456F-A81F-8D17E28BE984}"/>
    <hyperlink ref="B3826" r:id="rId11799" display="https://twitter.com/Elisa1Beth2" xr:uid="{8DCF7CA8-8237-489B-8490-C3C7BE3ED4A0}"/>
    <hyperlink ref="E3826" r:id="rId11800" display="https://twitter.com/Elisa1Beth2/status/723507738790211585" xr:uid="{9EC06E14-25FE-4DAF-890D-B052BDECD3A5}"/>
    <hyperlink ref="O3826" r:id="rId11801" display="https://pbs.twimg.com/profile_images/612158537448472576/bQPPZ83Y_normal.jpg" xr:uid="{16E09BA5-033F-46EB-90F5-A0D9A1191AB2}"/>
    <hyperlink ref="B3827" r:id="rId11802" display="https://twitter.com/dean_gonsowski" xr:uid="{66AE47F4-E7F2-4409-A54F-F3190AC56D0A}"/>
    <hyperlink ref="E3827" r:id="rId11803" display="https://twitter.com/dean_gonsowski/status/723507832297910272" xr:uid="{B2E0F243-D59D-4791-B42F-7121D53DB042}"/>
    <hyperlink ref="O3827" r:id="rId11804" display="https://pbs.twimg.com/profile_images/702941751409905664/qKzBhTa8_normal.jpg" xr:uid="{A329B030-0B98-4493-921D-E8654FEECB3F}"/>
    <hyperlink ref="B3828" r:id="rId11805" display="https://twitter.com/TobyEmanuel" xr:uid="{9D4151FA-CEB8-41ED-B730-F2CEE61D500C}"/>
    <hyperlink ref="E3828" r:id="rId11806" display="https://twitter.com/TobyEmanuel/status/723507863537246208" xr:uid="{B5377C86-5895-4289-873C-81E306F2867D}"/>
    <hyperlink ref="O3828" r:id="rId11807" display="https://pbs.twimg.com/profile_images/619581922545639424/P8_L8opU_normal.jpg" xr:uid="{E102C934-0401-4CE3-B07E-2FE58F58F320}"/>
    <hyperlink ref="B3829" r:id="rId11808" display="https://twitter.com/VWCamperSales" xr:uid="{88457B6D-FCF6-4011-A275-D40DE4760185}"/>
    <hyperlink ref="E3829" r:id="rId11809" display="https://twitter.com/VWCamperSales/status/723507933267431426" xr:uid="{F7CCB01E-89E5-4F81-B4B9-1727CA3719A9}"/>
    <hyperlink ref="F3829" r:id="rId11810" xr:uid="{B48FDC76-4226-4513-8824-C0D3E94F1185}"/>
    <hyperlink ref="O3829" r:id="rId11811" display="https://pbs.twimg.com/profile_images/627949001179037696/skEBkS05_normal.jpg" xr:uid="{741D6E4E-DC32-4E65-87EA-A5F558B3F061}"/>
    <hyperlink ref="B3830" r:id="rId11812" display="https://twitter.com/Minister_Remmel" xr:uid="{349A65C3-23C6-4D8A-9F2B-2C0183BC9702}"/>
    <hyperlink ref="E3830" r:id="rId11813" display="https://twitter.com/Minister_Remmel/status/723507963281977344" xr:uid="{28D7DDD0-1AA5-421D-9B1A-857E0E947AAE}"/>
    <hyperlink ref="O3830" r:id="rId11814" display="https://pbs.twimg.com/profile_images/684159552300933120/g_PX7ed9_normal.jpg" xr:uid="{04759B97-11D3-4DFC-BDCC-E5634829FEE3}"/>
    <hyperlink ref="B3831" r:id="rId11815" display="https://twitter.com/Fotobiene" xr:uid="{2853AB61-0D17-4918-B1FE-D362B61E63C8}"/>
    <hyperlink ref="E3831" r:id="rId11816" display="https://twitter.com/Fotobiene/status/723508053891518464" xr:uid="{18A2CA93-5BD3-481F-B9AE-74C71B37DC1B}"/>
    <hyperlink ref="O3831" r:id="rId11817" display="https://pbs.twimg.com/profile_images/476894592051056640/bqGCxWkq_normal.jpeg" xr:uid="{9516833D-0EDD-4D33-B74F-0985346CC7D6}"/>
    <hyperlink ref="B3832" r:id="rId11818" display="https://twitter.com/MotoringMedia" xr:uid="{7CDC9D69-16D2-458A-B251-CA89CD4D85AD}"/>
    <hyperlink ref="E3832" r:id="rId11819" display="https://twitter.com/MotoringMedia/status/723508075382988800" xr:uid="{46780266-6162-4059-895E-D7776B51C406}"/>
    <hyperlink ref="O3832" r:id="rId11820" display="https://pbs.twimg.com/profile_images/1110574851/petra-editor_normal.jpg" xr:uid="{4A973463-7EF4-4470-BF28-0223FCFA7C3B}"/>
    <hyperlink ref="B3833" r:id="rId11821" display="https://twitter.com/dwnews" xr:uid="{3163BC63-2483-4046-A31A-F162FCEFC3AC}"/>
    <hyperlink ref="E3833" r:id="rId11822" display="https://twitter.com/dwnews/status/723508405743325184" xr:uid="{22F29D2E-3ECE-41B3-93D7-CF716FCA34D4}"/>
    <hyperlink ref="O3833" r:id="rId11823" display="https://pbs.twimg.com/profile_images/608213167496417280/QSxgcLn__normal.png" xr:uid="{271BA95B-33D1-4469-BA76-F384BAF1C730}"/>
    <hyperlink ref="B3834" r:id="rId11824" display="https://twitter.com/WaqasBukhari15" xr:uid="{1116DAB3-B7BD-4253-B8DF-8851B3CB9520}"/>
    <hyperlink ref="E3834" r:id="rId11825" display="https://twitter.com/WaqasBukhari15/status/723508451167600641" xr:uid="{0CFF0FFB-6F37-43E9-AD1C-6F47C60C8FCA}"/>
    <hyperlink ref="O3834" r:id="rId11826" display="https://pbs.twimg.com/profile_images/722739492587773952/m_qJ8Fmv_normal.jpg" xr:uid="{0E28E1CF-259A-4FC6-90CB-929D135B77D0}"/>
    <hyperlink ref="B3835" r:id="rId11827" display="https://twitter.com/bvdvliet" xr:uid="{E95B9A4D-1713-43B0-A76B-3B665E19EA7B}"/>
    <hyperlink ref="E3835" r:id="rId11828" display="https://twitter.com/bvdvliet/status/723508567618248704" xr:uid="{219B86FA-715A-47DF-A9AD-56B7850AED58}"/>
    <hyperlink ref="O3835" r:id="rId11829" display="https://pbs.twimg.com/profile_images/378800000747750946/394d9f0f5e6dde5137683d9c98c5c8a9_normal.jpeg" xr:uid="{FE3F3690-A75C-43C4-AFF2-F7F211D76CEB}"/>
    <hyperlink ref="B3836" r:id="rId11830" display="https://twitter.com/ALuizCosta" xr:uid="{4DEBA008-E3B1-471E-A66C-9A5C82E3F4B8}"/>
    <hyperlink ref="E3836" r:id="rId11831" display="https://twitter.com/ALuizCosta/status/723508616540618752" xr:uid="{5E21488E-B59F-46EC-A961-B7B684259B8A}"/>
    <hyperlink ref="O3836" r:id="rId11832" display="https://pbs.twimg.com/profile_images/2271606272/xu4wfzxq45452xnceq08_normal.jpeg" xr:uid="{883A6351-3386-4086-9303-589109E63B50}"/>
    <hyperlink ref="B3837" r:id="rId11833" display="https://twitter.com/repub9989" xr:uid="{F528C9C9-2C18-40D3-94B2-814F35443D10}"/>
    <hyperlink ref="E3837" r:id="rId11834" display="https://twitter.com/repub9989/status/723508691870310400" xr:uid="{F42D8812-8590-4BED-9674-273416C68188}"/>
    <hyperlink ref="O3837" r:id="rId11835" display="https://pbs.twimg.com/profile_images/720671504011259904/f2m-klyu_normal.jpg" xr:uid="{1795B166-75BE-4D8C-A4A9-0C5825199768}"/>
    <hyperlink ref="B3838" r:id="rId11836" display="https://twitter.com/bvdvliet" xr:uid="{656F3FBB-5AEA-4BCB-A09F-E6FF8AE69EE8}"/>
    <hyperlink ref="E3838" r:id="rId11837" display="https://twitter.com/bvdvliet/status/723508697763295232" xr:uid="{7AB580BA-9E35-4D1A-B286-982D10E7B780}"/>
    <hyperlink ref="O3838" r:id="rId11838" display="https://pbs.twimg.com/profile_images/378800000747750946/394d9f0f5e6dde5137683d9c98c5c8a9_normal.jpeg" xr:uid="{F9368699-C3CC-4249-B40A-688B54170B3F}"/>
    <hyperlink ref="B3839" r:id="rId11839" display="https://twitter.com/bvdvliet" xr:uid="{5436EDDB-A629-49CD-9632-F172A8F729AF}"/>
    <hyperlink ref="E3839" r:id="rId11840" display="https://twitter.com/bvdvliet/status/723508708911767552" xr:uid="{32A461B6-0795-4AD4-BADF-C8B7AF06636D}"/>
    <hyperlink ref="O3839" r:id="rId11841" display="https://pbs.twimg.com/profile_images/378800000747750946/394d9f0f5e6dde5137683d9c98c5c8a9_normal.jpeg" xr:uid="{61A6794E-E5E6-4E33-90A3-3E52A8271EDC}"/>
    <hyperlink ref="B3840" r:id="rId11842" display="https://twitter.com/KeHaber" xr:uid="{5625B6ED-6050-4AFC-986E-4B4F6857D177}"/>
    <hyperlink ref="E3840" r:id="rId11843" display="https://twitter.com/KeHaber/status/723508732156588034" xr:uid="{014FA603-06C5-47FE-8537-EFD14953DC6B}"/>
    <hyperlink ref="O3840" r:id="rId11844" display="https://pbs.twimg.com/profile_images/459689326192754688/oud17SKn_normal.png" xr:uid="{75A0679C-70CF-4E28-84A4-4EE476BD5508}"/>
    <hyperlink ref="B3841" r:id="rId11845" display="https://twitter.com/repub9989" xr:uid="{65A4114A-10C9-468A-B3EA-9FF7827A1C8C}"/>
    <hyperlink ref="E3841" r:id="rId11846" display="https://twitter.com/repub9989/status/723508791455698944" xr:uid="{7994E717-2041-4DE0-853E-33A71D8DDF13}"/>
    <hyperlink ref="O3841" r:id="rId11847" display="https://pbs.twimg.com/profile_images/720671504011259904/f2m-klyu_normal.jpg" xr:uid="{1C74721B-3B25-477F-9785-17AB5665E3DD}"/>
    <hyperlink ref="B3842" r:id="rId11848" display="https://twitter.com/TCSCOOPERSBURG" xr:uid="{1FCF413A-77B6-40FE-ABB5-A2CA90FF98F8}"/>
    <hyperlink ref="E3842" r:id="rId11849" display="https://twitter.com/TCSCOOPERSBURG/status/723508890650972161" xr:uid="{1F3AF9F8-DFA4-4D14-AB74-2E81C7D01D7F}"/>
    <hyperlink ref="O3842" r:id="rId11850" display="https://pbs.twimg.com/profile_images/502775891609808896/XwLYz7gX_normal.jpeg" xr:uid="{CE68CB15-80B9-4C55-89BB-4186673437CA}"/>
    <hyperlink ref="P3842" r:id="rId11851" location="40.5071907,-75.3858719" display="http://ctrlq.org/maps/address/ - 40.5071907,-75.3858719" xr:uid="{EE09075A-E7BD-4E5E-AA55-1FCBB44A3C53}"/>
    <hyperlink ref="B3843" r:id="rId11852" display="https://twitter.com/Lebeaucarnews" xr:uid="{4EDA3DB0-2B45-4994-906C-F47904AF0779}"/>
    <hyperlink ref="E3843" r:id="rId11853" display="https://twitter.com/Lebeaucarnews/status/723508918496952320" xr:uid="{920E7377-E17B-4316-834A-A4BC691421F6}"/>
    <hyperlink ref="O3843" r:id="rId11854" display="https://pbs.twimg.com/profile_images/1795205245/DSC04821_normal.jpg" xr:uid="{050B77C2-14A6-430F-B56E-67AB0E7176C3}"/>
    <hyperlink ref="B3844" r:id="rId11855" display="https://twitter.com/therealbiostate" xr:uid="{D91AE0C2-B22B-4C81-A4ED-DA39FE6F8ED4}"/>
    <hyperlink ref="E3844" r:id="rId11856" display="https://twitter.com/therealbiostate/status/723508980966809600" xr:uid="{7CD4C551-1173-48EB-BEC9-EECBD828ECAF}"/>
    <hyperlink ref="O3844" r:id="rId11857" display="https://pbs.twimg.com/profile_images/856920508/freshshoots_deadtree_normal.jpg" xr:uid="{E6554C98-F8D3-497D-8E0C-729028D90278}"/>
    <hyperlink ref="B3845" r:id="rId11858" display="https://twitter.com/Karlomart" xr:uid="{6BEE00BE-B242-4879-BA1D-47A166DD2A9C}"/>
    <hyperlink ref="E3845" r:id="rId11859" display="https://twitter.com/Karlomart/status/723508999476359168" xr:uid="{15D129FF-2453-4B5F-9F3D-E155243579B6}"/>
    <hyperlink ref="O3845" r:id="rId11860" display="https://pbs.twimg.com/profile_images/441017002224660480/wMS_0yBK_normal.jpeg" xr:uid="{D39CD6D8-9166-4BFE-B3A4-DEF0C60FED78}"/>
    <hyperlink ref="B3846" r:id="rId11861" display="https://twitter.com/Sufiy" xr:uid="{F5BB4F33-7C17-4138-B813-05C90A977F99}"/>
    <hyperlink ref="E3846" r:id="rId11862" display="https://twitter.com/Sufiy/status/723509016987611137" xr:uid="{8051D240-AA0B-46AC-98B4-5020356480BC}"/>
    <hyperlink ref="O3846" r:id="rId11863" display="https://pbs.twimg.com/profile_images/292857657/GreenGrowth_normal.jpg" xr:uid="{B752549A-2FE1-4241-947B-4FD1EB71C5FB}"/>
    <hyperlink ref="B3847" r:id="rId11864" display="https://twitter.com/bravinhos" xr:uid="{C77FF201-34EC-40E0-9AF8-8EBF7243585B}"/>
    <hyperlink ref="E3847" r:id="rId11865" display="https://twitter.com/bravinhos/status/723509025631920128" xr:uid="{0127B89D-65A2-4E76-9E05-4E978FEC3026}"/>
    <hyperlink ref="O3847" r:id="rId11866" display="https://pbs.twimg.com/profile_images/669112672001069056/l7S_rpT9_normal.jpg" xr:uid="{70A69EC1-ED9C-499E-9C1A-4DC9B96CFBE0}"/>
    <hyperlink ref="B3848" r:id="rId11867" display="https://twitter.com/CoolFlo_UK" xr:uid="{40F21D02-E59A-4458-8B1C-9543E527F550}"/>
    <hyperlink ref="E3848" r:id="rId11868" display="https://twitter.com/CoolFlo_UK/status/723509216833601536" xr:uid="{19B52D9D-C180-499E-9EF4-433D4F8F2059}"/>
    <hyperlink ref="O3848" r:id="rId11869" display="https://pbs.twimg.com/profile_images/626638227903021056/37i0c7lq_normal.png" xr:uid="{2215A6CB-66BA-4134-B785-F0F9D67446E7}"/>
    <hyperlink ref="B3849" r:id="rId11870" display="https://twitter.com/MarkCSchneider" xr:uid="{85A53A5E-BD40-4AB3-8F76-85EC5033BD83}"/>
    <hyperlink ref="E3849" r:id="rId11871" display="https://twitter.com/MarkCSchneider/status/723509309385113600" xr:uid="{5D1D15DD-3ACD-43C3-AF79-549EF912BBED}"/>
    <hyperlink ref="O3849" r:id="rId11872" display="https://pbs.twimg.com/profile_images/706784695795769345/XGXgdjww_normal.jpg" xr:uid="{C8AF79AD-8CE1-4959-B636-BD1ECF1AC325}"/>
    <hyperlink ref="B3850" r:id="rId11873" display="https://twitter.com/Beukennon" xr:uid="{A3E12A69-C96A-41F6-AA99-2537B187CFF8}"/>
    <hyperlink ref="E3850" r:id="rId11874" display="https://twitter.com/Beukennon/status/723509310391767043" xr:uid="{F75799ED-9FA1-4965-9B9F-2CDD5BDC24F0}"/>
    <hyperlink ref="O3850" r:id="rId11875" display="https://pbs.twimg.com/profile_images/3359623860/c18ce51d5c09fb6c80a7cfc89e8df5bb_normal.jpeg" xr:uid="{C8BC8E0E-914A-47CF-A930-4D4DDE4B413C}"/>
    <hyperlink ref="B3851" r:id="rId11876" display="https://twitter.com/MikeThePhotog" xr:uid="{65F05502-CA1B-41DA-BB60-BDF6E952E42C}"/>
    <hyperlink ref="E3851" r:id="rId11877" display="https://twitter.com/MikeThePhotog/status/723509438343200768" xr:uid="{898FCB57-6D7F-46A4-8F0F-5D9B7679CC27}"/>
    <hyperlink ref="O3851" r:id="rId11878" display="https://pbs.twimg.com/profile_images/666595220910383104/PJlZl0mh_normal.jpg" xr:uid="{C05E2ABE-7FDC-45B2-ABDF-81D7B7830100}"/>
    <hyperlink ref="B3852" r:id="rId11879" display="https://twitter.com/Lebeaucarnews" xr:uid="{DC1D29FC-0C52-45DC-B540-8845A93315F4}"/>
    <hyperlink ref="E3852" r:id="rId11880" display="https://twitter.com/Lebeaucarnews/status/723509441274982402" xr:uid="{92509246-10C0-404C-9BEC-00A80782E48F}"/>
    <hyperlink ref="O3852" r:id="rId11881" display="https://pbs.twimg.com/profile_images/1795205245/DSC04821_normal.jpg" xr:uid="{5D703181-457E-4D78-9E20-CE853896B5AB}"/>
    <hyperlink ref="B3853" r:id="rId11882" display="https://twitter.com/VWBeetleSales" xr:uid="{1F10AE67-4419-4EE6-9155-EE74D0C32AD1}"/>
    <hyperlink ref="E3853" r:id="rId11883" display="https://twitter.com/VWBeetleSales/status/723509452037455872" xr:uid="{B5F6C76C-D660-4A85-A51C-1649F3A4FF1C}"/>
    <hyperlink ref="F3853" r:id="rId11884" xr:uid="{6F323209-A2E7-4EAA-BA87-BCF331DD5CDA}"/>
    <hyperlink ref="O3853" r:id="rId11885" display="https://pbs.twimg.com/profile_images/703294545195307008/qeCvrX86_normal.jpg" xr:uid="{C34FB178-ECDE-4E74-9959-F320C8FB1666}"/>
    <hyperlink ref="B3854" r:id="rId11886" display="https://twitter.com/ChuckDalldorf" xr:uid="{4D684523-2EF5-44B6-BC91-BFA15B4C4B8F}"/>
    <hyperlink ref="E3854" r:id="rId11887" display="https://twitter.com/ChuckDalldorf/status/723509468340719620" xr:uid="{570849F9-1179-453C-896F-8446B810116C}"/>
    <hyperlink ref="O3854" r:id="rId11888" display="https://pbs.twimg.com/profile_images/515676694116835329/YVm9HRpJ_normal.jpeg" xr:uid="{830761CF-8C83-46C3-A00D-E7F3B89E8874}"/>
    <hyperlink ref="B3855" r:id="rId11889" display="https://twitter.com/RickStrickler" xr:uid="{E8338996-B578-47E1-B491-A8EA97ECB66F}"/>
    <hyperlink ref="E3855" r:id="rId11890" display="https://twitter.com/RickStrickler/status/723509540113793024" xr:uid="{55E19ED5-2577-45B6-9565-2AE9E1FB506F}"/>
    <hyperlink ref="O3855" r:id="rId11891" display="https://pbs.twimg.com/profile_images/324761478/internet_headshot_normal.jpg" xr:uid="{17652DE3-BE4D-4428-87EB-4280CB310F13}"/>
    <hyperlink ref="B3856" r:id="rId11892" display="https://twitter.com/startmakkelijk" xr:uid="{714FFF8A-F362-4DD2-ADE2-1708B208427E}"/>
    <hyperlink ref="E3856" r:id="rId11893" display="https://twitter.com/startmakkelijk/status/723509555980685313" xr:uid="{3A53556A-E409-4526-B0E3-D638CF66F9BE}"/>
    <hyperlink ref="F3856" r:id="rId11894" xr:uid="{7F30697C-4A72-47E5-BA65-3596DC07F437}"/>
    <hyperlink ref="O3856" r:id="rId11895" display="https://pbs.twimg.com/profile_images/556562408542445568/pKWad79S_normal.png" xr:uid="{0982FF2E-6599-4A89-A1BE-E12FC3F1DF10}"/>
    <hyperlink ref="B3857" r:id="rId11896" display="https://twitter.com/JosBosboom_" xr:uid="{17417514-E01A-4D27-B4C9-4ECCD49ADCF9}"/>
    <hyperlink ref="E3857" r:id="rId11897" display="https://twitter.com/JosBosboom_/status/723509559860436992" xr:uid="{C4782A3E-E848-47C0-A4AE-F70EC7623E78}"/>
    <hyperlink ref="F3857" r:id="rId11898" xr:uid="{1C5B432E-6165-4928-957A-CA8C4DEDC085}"/>
    <hyperlink ref="O3857" r:id="rId11899" display="https://pbs.twimg.com/profile_images/570893108095639552/IiOlHTmM_normal.jpeg" xr:uid="{EC111E66-B4EF-4A41-99DF-76987A13B6F4}"/>
    <hyperlink ref="B3858" r:id="rId11900" display="https://twitter.com/youngin_uk" xr:uid="{0BA9FEE5-EEEB-44E0-8F07-F0183D639B70}"/>
    <hyperlink ref="E3858" r:id="rId11901" display="https://twitter.com/youngin_uk/status/723509624704516096" xr:uid="{7F5AF83F-2E18-490F-AC1B-20F714B9539E}"/>
    <hyperlink ref="O3858" r:id="rId11902" display="https://pbs.twimg.com/profile_images/720969504659021824/AczABi1M_normal.jpg" xr:uid="{1D2CD827-C4D0-4A98-AB73-588C0C9B0D8D}"/>
    <hyperlink ref="B3859" r:id="rId11903" display="https://twitter.com/JockBuster" xr:uid="{BFDB31AC-1BE6-419A-B567-C15E6CEAB7FA}"/>
    <hyperlink ref="E3859" r:id="rId11904" display="https://twitter.com/JockBuster/status/723509760738238464" xr:uid="{A0549016-D315-4AAC-9725-881C52FD79F2}"/>
    <hyperlink ref="O3859" r:id="rId11905" display="https://pbs.twimg.com/profile_images/679523390277877760/pnya6NaZ_normal.png" xr:uid="{72CFD480-3832-4F13-AE4D-974666B5515D}"/>
    <hyperlink ref="B3860" r:id="rId11906" display="https://twitter.com/NewsStream24" xr:uid="{0F4A4651-CA85-467A-A785-D176891AD336}"/>
    <hyperlink ref="E3860" r:id="rId11907" display="https://twitter.com/NewsStream24/status/723509773749129217" xr:uid="{496F238E-5443-474B-B197-C758DEE7CBFA}"/>
    <hyperlink ref="O3860" r:id="rId11908" display="https://pbs.twimg.com/profile_images/718117927438983169/etNP-8cD_normal.jpg" xr:uid="{C711C869-4669-4E88-88C0-40BF8D6D78D1}"/>
    <hyperlink ref="B3861" r:id="rId11909" display="https://twitter.com/lupus12_bb" xr:uid="{C03D593E-1F59-4912-BEDB-B548ED7406F5}"/>
    <hyperlink ref="E3861" r:id="rId11910" display="https://twitter.com/lupus12_bb/status/723509790996045824" xr:uid="{B3972498-B140-4367-BC7F-BB24A668E087}"/>
    <hyperlink ref="O3861" r:id="rId11911" display="https://pbs.twimg.com/profile_images/720285529049141248/5BpRUnP3_normal.jpg" xr:uid="{E0F4F2E2-A511-4E22-9C41-0610A2534AD8}"/>
    <hyperlink ref="B3862" r:id="rId11912" display="https://twitter.com/zeitonline" xr:uid="{332FFC70-2C01-4229-AD18-066BB5DA1C35}"/>
    <hyperlink ref="E3862" r:id="rId11913" display="https://twitter.com/zeitonline/status/723509900593270784" xr:uid="{86D530F9-5DC3-47DA-A106-240D9D1010E5}"/>
    <hyperlink ref="O3862" r:id="rId11914" display="https://pbs.twimg.com/profile_images/702423578608852994/zVbR9TA1_normal.jpg" xr:uid="{F6EBE54E-7511-481C-BA10-F4C6379572AD}"/>
    <hyperlink ref="B3863" r:id="rId11915" display="https://twitter.com/thomasHuskamp" xr:uid="{CCE891A2-35D6-419B-B642-94670A994CB0}"/>
    <hyperlink ref="E3863" r:id="rId11916" display="https://twitter.com/thomasHuskamp/status/723510006046461952" xr:uid="{C75EEDA4-6CE7-4C15-AD31-0F5D1C079303}"/>
    <hyperlink ref="O3863" r:id="rId11917" display="https://pbs.twimg.com/profile_images/563269725921099776/t6eqAhPT_normal.jpeg" xr:uid="{C9B0682E-F8E9-4E0C-9E59-AE342EC61709}"/>
    <hyperlink ref="B3864" r:id="rId11918" display="https://twitter.com/joaopbicho" xr:uid="{15107177-3AB2-4E6B-A4CD-79CFB15F92EF}"/>
    <hyperlink ref="E3864" r:id="rId11919" display="https://twitter.com/joaopbicho/status/723510060576583680" xr:uid="{F8B5217F-6ADA-4637-A2DE-C863C5A88651}"/>
    <hyperlink ref="O3864" r:id="rId11920" display="https://pbs.twimg.com/profile_images/378800000670973939/056dc4c5e94ab826a6e2030e2dae3626_normal.jpeg" xr:uid="{373FFB87-8DEB-453F-B291-CE89FA3E84A2}"/>
    <hyperlink ref="B3865" r:id="rId11921" display="https://twitter.com/VolkerVotsmeier" xr:uid="{2495B841-C9C7-4055-98A7-E6B8127325B0}"/>
    <hyperlink ref="E3865" r:id="rId11922" display="https://twitter.com/VolkerVotsmeier/status/723510103727562752" xr:uid="{722BDCD8-58F6-4E7C-B8D9-5AF00E9BECE0}"/>
    <hyperlink ref="O3865" r:id="rId11923" display="https://pbs.twimg.com/profile_images/507897198911053824/7OqYAonJ_normal.jpeg" xr:uid="{96E72A61-1D89-4B8A-8CBF-35DA527C67F5}"/>
    <hyperlink ref="B3866" r:id="rId11924" display="https://twitter.com/RickStrickler" xr:uid="{F81D6CB5-9FAE-4191-8E16-EFC704A42CEF}"/>
    <hyperlink ref="E3866" r:id="rId11925" display="https://twitter.com/RickStrickler/status/723510120194428928" xr:uid="{3927F5DE-3A58-403F-B8F0-BE39427EF969}"/>
    <hyperlink ref="O3866" r:id="rId11926" display="https://pbs.twimg.com/profile_images/324761478/internet_headshot_normal.jpg" xr:uid="{E8C685CD-F8C3-4E00-A3D1-C6510945D326}"/>
    <hyperlink ref="B3867" r:id="rId11927" display="https://twitter.com/elianapeletay1" xr:uid="{F8A946E8-BFA2-409C-B0AF-B671DEF1F0C4}"/>
    <hyperlink ref="E3867" r:id="rId11928" display="https://twitter.com/elianapeletay1/status/723510387874865152" xr:uid="{46B87017-8045-4E29-83F5-3B05E68258DA}"/>
    <hyperlink ref="O3867" r:id="rId11929" display="https://abs.twimg.com/sticky/default_profile_images/default_profile_2_normal.png" xr:uid="{15DE27C8-6583-4CAF-A771-D11EA2B5B8CB}"/>
    <hyperlink ref="B3868" r:id="rId11930" display="https://twitter.com/NewsThisSecond" xr:uid="{F7F58435-34FD-4592-9BA1-2761E9DDA1EE}"/>
    <hyperlink ref="E3868" r:id="rId11931" display="https://twitter.com/NewsThisSecond/status/723510461824688129" xr:uid="{3D404AD6-B9F1-4CE9-90FB-301CBF3F5E49}"/>
    <hyperlink ref="O3868" r:id="rId11932" display="https://pbs.twimg.com/profile_images/681312369147023361/lTcrXeou_normal.jpg" xr:uid="{9794C665-ECBD-415B-A4D5-2359916116AF}"/>
    <hyperlink ref="B3869" r:id="rId11933" display="https://twitter.com/Fotobiene" xr:uid="{3FE2F1C7-E068-4D8C-9A25-ADDF6206077C}"/>
    <hyperlink ref="E3869" r:id="rId11934" display="https://twitter.com/Fotobiene/status/723510483546976256" xr:uid="{067F54AD-39C2-4D20-BA0E-484A7F4F5F86}"/>
    <hyperlink ref="O3869" r:id="rId11935" display="https://pbs.twimg.com/profile_images/476894592051056640/bqGCxWkq_normal.jpeg" xr:uid="{4485D935-3894-4583-9202-D66F7EE1B5A7}"/>
    <hyperlink ref="B3870" r:id="rId11936" display="https://twitter.com/lisapaus" xr:uid="{5CF92EE5-AB47-4059-86A7-60B3789AB14D}"/>
    <hyperlink ref="E3870" r:id="rId11937" display="https://twitter.com/lisapaus/status/723510598114394113" xr:uid="{FCA7C69D-48EA-4F34-B714-A014BADE768D}"/>
    <hyperlink ref="O3870" r:id="rId11938" display="https://pbs.twimg.com/profile_images/378800000594512194/c49b2632fe8ba4894d086f45d81b7bce_normal.jpeg" xr:uid="{C894DAF1-6273-4EB4-B7EC-37A5E38AB618}"/>
    <hyperlink ref="B3871" r:id="rId11939" display="https://twitter.com/MV_AM" xr:uid="{B7892BF0-695E-4033-89C0-60F54D80E71E}"/>
    <hyperlink ref="E3871" r:id="rId11940" display="https://twitter.com/MV_AM/status/723510633711411200" xr:uid="{B6015D7B-5EB7-4F4C-AA07-708DD40CC836}"/>
    <hyperlink ref="O3871" r:id="rId11941" display="https://pbs.twimg.com/profile_images/719544280218542080/UFuvXgPa_normal.jpg" xr:uid="{D5ABBF43-593D-4EC8-9A52-AD87F9A2A15E}"/>
    <hyperlink ref="B3872" r:id="rId11942" display="https://twitter.com/Karlomart" xr:uid="{31E8F513-13C8-4442-8CCC-98476EF525F2}"/>
    <hyperlink ref="E3872" r:id="rId11943" display="https://twitter.com/Karlomart/status/723510735003881472" xr:uid="{299F05F0-7EF8-4025-8F0A-51B182F4469D}"/>
    <hyperlink ref="O3872" r:id="rId11944" display="https://pbs.twimg.com/profile_images/441017002224660480/wMS_0yBK_normal.jpeg" xr:uid="{FFB65324-EA6D-41D1-BD20-892D04ACF65E}"/>
    <hyperlink ref="B3873" r:id="rId11945" display="https://twitter.com/nicolasosfantom" xr:uid="{73A08608-7C63-4F98-8AFF-CFE89F31D3A7}"/>
    <hyperlink ref="E3873" r:id="rId11946" display="https://twitter.com/nicolasosfantom/status/723510808639070208" xr:uid="{37A32815-C5A8-4696-9C3F-0420181B1EF4}"/>
    <hyperlink ref="O3873" r:id="rId11947" display="https://pbs.twimg.com/profile_images/715156636235599872/dwm4EPy5_normal.jpg" xr:uid="{A8A32ACF-2602-4B57-A984-7C3D4F3C77DD}"/>
    <hyperlink ref="B3874" r:id="rId11948" display="https://twitter.com/TLZnews" xr:uid="{DBF731B3-D0EC-403D-930A-EC8CE1D7229D}"/>
    <hyperlink ref="E3874" r:id="rId11949" display="https://twitter.com/TLZnews/status/723510920064950272" xr:uid="{B28A70D7-260A-42F6-8D83-DFB14B6D8308}"/>
    <hyperlink ref="O3874" r:id="rId11950" display="https://pbs.twimg.com/profile_images/562239128348000256/ROjHz0Gd_normal.jpeg" xr:uid="{1E6987BF-945E-412F-AB70-CB398EA556AA}"/>
    <hyperlink ref="B3875" r:id="rId11951" display="https://twitter.com/VWCamperSales" xr:uid="{982531BA-9E13-4ED0-9C57-AE14E202438A}"/>
    <hyperlink ref="E3875" r:id="rId11952" display="https://twitter.com/VWCamperSales/status/723510949378809857" xr:uid="{DCB50C0E-F0D2-42F0-9E38-47B2A0DD1E25}"/>
    <hyperlink ref="F3875" r:id="rId11953" xr:uid="{2021201B-E102-4E1D-BA47-CD21EB970A2B}"/>
    <hyperlink ref="O3875" r:id="rId11954" display="https://pbs.twimg.com/profile_images/627949001179037696/skEBkS05_normal.jpg" xr:uid="{FB023130-8B64-461C-9F4A-F4F62A4DCB27}"/>
    <hyperlink ref="B3876" r:id="rId11955" display="https://twitter.com/LarsGehrke" xr:uid="{8066F3D3-2751-44ED-986D-6834738AC64C}"/>
    <hyperlink ref="E3876" r:id="rId11956" display="https://twitter.com/LarsGehrke/status/723511057277399040" xr:uid="{E5CA8724-2D26-480A-8D15-404A4E2504E2}"/>
    <hyperlink ref="O3876" r:id="rId11957" display="https://pbs.twimg.com/profile_images/709072734949609474/Nqxw85i4_normal.jpg" xr:uid="{A8100029-8A14-4400-99AD-C8100A845225}"/>
    <hyperlink ref="B3877" r:id="rId11958" display="https://twitter.com/dw_wirtschaft" xr:uid="{3CDD2AC6-D4EF-45B1-9A44-8C1B0F81B975}"/>
    <hyperlink ref="E3877" r:id="rId11959" display="https://twitter.com/dw_wirtschaft/status/723511092698316804" xr:uid="{2313CE7C-C4BE-4451-B2B5-E9B08A87D784}"/>
    <hyperlink ref="O3877" r:id="rId11960" display="https://pbs.twimg.com/profile_images/474185502388518912/sROk9L0u_normal.png" xr:uid="{3DC9FF12-50C0-4D06-BC29-0D6C0B265068}"/>
    <hyperlink ref="B3878" r:id="rId11961" display="https://twitter.com/tagesspiegel" xr:uid="{5DCFA57D-47E2-42A5-BE6E-D46DB7ADA995}"/>
    <hyperlink ref="E3878" r:id="rId11962" display="https://twitter.com/tagesspiegel/status/723511178727665664" xr:uid="{49FE8104-D378-4E15-B4B6-972C6AA939CE}"/>
    <hyperlink ref="O3878" r:id="rId11963" display="https://pbs.twimg.com/profile_images/455980930293702658/V0W08c8o_normal.png" xr:uid="{D6BC78BB-576A-4BA2-BCAE-67B4292DF1DD}"/>
    <hyperlink ref="B3879" r:id="rId11964" display="https://twitter.com/lamontto" xr:uid="{FAC4DF26-3BAE-4E06-AFD6-D525914936FD}"/>
    <hyperlink ref="E3879" r:id="rId11965" display="https://twitter.com/lamontto/status/723511230388920320" xr:uid="{10535E3F-C1E0-4D66-8EF2-9FFA960C5731}"/>
    <hyperlink ref="O3879" r:id="rId11966" display="https://pbs.twimg.com/profile_images/653334158484357120/pjDnQtCN_normal.jpg" xr:uid="{DD8DC83D-DE6B-4FA8-9E05-E9EC0F6F3C17}"/>
    <hyperlink ref="B3880" r:id="rId11967" display="https://twitter.com/finanzmarktwelt" xr:uid="{F14AA7C3-660E-4B0E-91E6-C94833095EEE}"/>
    <hyperlink ref="C3880" r:id="rId11968" xr:uid="{7AFE6095-8BC9-476D-BC71-BDC3B05DFF64}"/>
    <hyperlink ref="E3880" r:id="rId11969" display="https://twitter.com/finanzmarktwelt/status/723511286684876800" xr:uid="{6FE339B8-E264-4CE7-B435-0969B63AFACE}"/>
    <hyperlink ref="O3880" r:id="rId11970" display="https://pbs.twimg.com/profile_images/641193251567980545/W_qa0-uu_normal.png" xr:uid="{6F7425C5-5C6D-4C50-A35F-FCC965438B15}"/>
    <hyperlink ref="B3881" r:id="rId11971" display="https://twitter.com/MarkCSchneider" xr:uid="{32C6B623-C907-4505-BEE4-0C8B0D3E97BB}"/>
    <hyperlink ref="E3881" r:id="rId11972" display="https://twitter.com/MarkCSchneider/status/723511304791711745" xr:uid="{E1048B92-47FF-4C96-8CA1-FDF57047923D}"/>
    <hyperlink ref="O3881" r:id="rId11973" display="https://pbs.twimg.com/profile_images/706784695795769345/XGXgdjww_normal.jpg" xr:uid="{033C7600-78A2-43EA-BC8D-08AAF0C97BB4}"/>
    <hyperlink ref="B3882" r:id="rId11974" display="https://twitter.com/bayl" xr:uid="{C53DBD89-335C-4C55-8539-E5BBCE4D9DE2}"/>
    <hyperlink ref="E3882" r:id="rId11975" display="https://twitter.com/bayl/status/723511307106959361" xr:uid="{7B725C82-7DE0-44C4-A696-CBE9C4450AA8}"/>
    <hyperlink ref="O3882" r:id="rId11976" display="https://pbs.twimg.com/profile_images/438619338942062592/OBEQvg6R_normal.jpeg" xr:uid="{BB45353B-AAF3-4433-BA4F-8A49702C09EA}"/>
    <hyperlink ref="B3883" r:id="rId11977" display="https://twitter.com/ohne_Se" xr:uid="{A2947518-8B39-4836-85E4-E8A1CC1A396A}"/>
    <hyperlink ref="E3883" r:id="rId11978" display="https://twitter.com/ohne_Se/status/723511335703724032" xr:uid="{4DFF32A5-76B4-4537-BED9-173EC62F67BF}"/>
    <hyperlink ref="O3883" r:id="rId11979" display="https://pbs.twimg.com/profile_images/671607384817721344/nY4ofASc_normal.jpg" xr:uid="{CB20F43D-558F-4762-9BBC-FBD80C7057F7}"/>
    <hyperlink ref="B3884" r:id="rId11980" display="https://twitter.com/jamesbmeigs" xr:uid="{7E9AAC16-771B-4ECC-9993-B234B439B1E0}"/>
    <hyperlink ref="E3884" r:id="rId11981" display="https://twitter.com/jamesbmeigs/status/723511408567181312" xr:uid="{8A010761-7DF6-4F99-A664-793209FCD59C}"/>
    <hyperlink ref="O3884" r:id="rId11982" display="https://pbs.twimg.com/profile_images/461317320447500289/1fliRWXl_normal.jpeg" xr:uid="{E736F3B0-88D3-451D-9233-C2D380457248}"/>
    <hyperlink ref="B3885" r:id="rId11983" display="https://twitter.com/AgnewVolkswagen" xr:uid="{7B575999-92E9-4C64-BCB9-C86F4F8E2F14}"/>
    <hyperlink ref="E3885" r:id="rId11984" display="https://twitter.com/AgnewVolkswagen/status/723511440779317248" xr:uid="{6ACD1F53-0B13-4F52-B465-C99FA80BE5DF}"/>
    <hyperlink ref="O3885" r:id="rId11985" display="https://pbs.twimg.com/profile_images/679619253075611648/u3su4Yxp_normal.jpg" xr:uid="{DB52E3FA-0E18-4895-B08F-813630FE32BA}"/>
    <hyperlink ref="B3886" r:id="rId11986" display="https://twitter.com/euro_thread" xr:uid="{AB3AC840-BED5-4AA8-AA61-8B6B207D377C}"/>
    <hyperlink ref="E3886" r:id="rId11987" display="https://twitter.com/euro_thread/status/723511493929500675" xr:uid="{3393B5E3-9726-49B8-9A40-F14A72258A18}"/>
    <hyperlink ref="O3886" r:id="rId11988" display="https://pbs.twimg.com/profile_images/509218513601691648/X6HttFpy_normal.jpeg" xr:uid="{E491822F-EF38-4058-BDD0-6AA4231233A8}"/>
    <hyperlink ref="B3887" r:id="rId11989" display="https://twitter.com/WowbaggerXX7" xr:uid="{6A525117-C96E-41B6-91C7-BA18483D9046}"/>
    <hyperlink ref="E3887" r:id="rId11990" display="https://twitter.com/WowbaggerXX7/status/723511516453081089" xr:uid="{77F297A7-DD4A-47A5-A842-F71AAD2F4597}"/>
    <hyperlink ref="O3887" r:id="rId11991" display="https://pbs.twimg.com/profile_images/543163066599219200/dUy-AYOX_normal.jpeg" xr:uid="{25D06E36-6230-4654-A3AE-2160FD089008}"/>
    <hyperlink ref="B3888" r:id="rId11992" display="https://twitter.com/lisduarte" xr:uid="{AE53B7D3-73F8-4BA6-80AE-A60010C237B6}"/>
    <hyperlink ref="E3888" r:id="rId11993" display="https://twitter.com/lisduarte/status/723511668685344768" xr:uid="{83447892-B727-4F98-BD68-646936C1761F}"/>
    <hyperlink ref="O3888" r:id="rId11994" display="https://pbs.twimg.com/profile_images/1713182174/P_GIF2_normal.jpg" xr:uid="{2BE163AB-093C-4412-8321-BF35BB3E7322}"/>
    <hyperlink ref="B3889" r:id="rId11995" display="https://twitter.com/dw_deutsch" xr:uid="{A24E289F-5837-4D08-A752-2594F0418981}"/>
    <hyperlink ref="E3889" r:id="rId11996" display="https://twitter.com/dw_deutsch/status/723511677120073728" xr:uid="{9C19218C-0DE4-47B3-8297-3F8DCAE7538E}"/>
    <hyperlink ref="O3889" r:id="rId11997" display="https://pbs.twimg.com/profile_images/461118397548212226/84PnzODQ_normal.png" xr:uid="{A8E40244-FA95-4ECA-8FC8-BE4182ECCD86}"/>
    <hyperlink ref="B3890" r:id="rId11998" display="https://twitter.com/theblessedhuman" xr:uid="{1A479F1C-18FA-4C35-A78B-A7871B1285C4}"/>
    <hyperlink ref="E3890" r:id="rId11999" display="https://twitter.com/theblessedhuman/status/723511783059660800" xr:uid="{83BC45C1-6217-47D5-9011-1A4CBAD37DF7}"/>
    <hyperlink ref="O3890" r:id="rId12000" display="https://pbs.twimg.com/profile_images/708865673510805504/tGbglBw2_normal.jpg" xr:uid="{0A299191-75E7-41AB-B729-F7C0C211A4E4}"/>
    <hyperlink ref="B3891" r:id="rId12001" display="https://twitter.com/kultur360" xr:uid="{09438B40-0C95-4B39-8305-F84CA97D583E}"/>
    <hyperlink ref="E3891" r:id="rId12002" display="https://twitter.com/kultur360/status/723511852647505920" xr:uid="{11D129FA-B45A-4736-9FEF-3F76FAD7C76C}"/>
    <hyperlink ref="O3891" r:id="rId12003" display="https://pbs.twimg.com/profile_images/662742453741424640/mBCMTG51_normal.png" xr:uid="{64C67B0C-B041-4525-A26D-7B8EF5B2A6CB}"/>
    <hyperlink ref="B3892" r:id="rId12004" display="https://twitter.com/DestinyConnect" xr:uid="{0D51F118-91FE-4C9F-94CF-4CF2C603BC51}"/>
    <hyperlink ref="E3892" r:id="rId12005" display="https://twitter.com/DestinyConnect/status/723511885325193216" xr:uid="{1584F982-FE96-4B7A-A65F-E78A19B1CE7C}"/>
    <hyperlink ref="O3892" r:id="rId12006" display="https://pbs.twimg.com/profile_images/721964084569235456/OppvBv8m_normal.jpg" xr:uid="{2FD9BF03-1145-461B-9C01-2A9D7FA1392C}"/>
    <hyperlink ref="B3893" r:id="rId12007" display="https://twitter.com/LISCHIMAN" xr:uid="{0AFEFF7D-9605-4742-976C-683C6C2FBFCD}"/>
    <hyperlink ref="E3893" r:id="rId12008" display="https://twitter.com/LISCHIMAN/status/723511905869021186" xr:uid="{DB405A7B-B2A6-49CC-BDCB-89330BEA60DC}"/>
    <hyperlink ref="O3893" r:id="rId12009" display="https://pbs.twimg.com/profile_images/672464523354353664/Uv8Ev2EK_normal.jpg" xr:uid="{C4B0D723-A695-40B9-8DA3-5A08CCFFF32C}"/>
    <hyperlink ref="B3894" r:id="rId12010" display="https://twitter.com/DallaCbo" xr:uid="{5CE98C2D-D378-4D78-9637-95DB4004B4F8}"/>
    <hyperlink ref="E3894" r:id="rId12011" display="https://twitter.com/DallaCbo/status/723511983799193601" xr:uid="{C11DE495-0D6B-4030-A419-DC833EB0974C}"/>
    <hyperlink ref="O3894" r:id="rId12012" display="https://pbs.twimg.com/profile_images/720500526656438272/Vawanuuu_normal.jpg" xr:uid="{5E7D1624-7E55-4FB0-B338-F01F505B1AAE}"/>
    <hyperlink ref="B3895" r:id="rId12013" display="https://twitter.com/MDRINFO" xr:uid="{399EE4E6-E51D-4AE9-BFAA-5DAED22F94DA}"/>
    <hyperlink ref="E3895" r:id="rId12014" display="https://twitter.com/MDRINFO/status/723512017886306305" xr:uid="{79BA7E7E-618E-498F-A321-53CA9474DEED}"/>
    <hyperlink ref="O3895" r:id="rId12015" display="https://pbs.twimg.com/profile_images/2289706087/q66ajanznpfm87cybp5p_normal.jpeg" xr:uid="{36C97451-BD4D-45FF-B951-AD76356AFD7F}"/>
    <hyperlink ref="B3896" r:id="rId12016" display="https://twitter.com/WowbaggerXX7" xr:uid="{AD149D57-31F1-4C57-994C-763580764A1D}"/>
    <hyperlink ref="E3896" r:id="rId12017" display="https://twitter.com/WowbaggerXX7/status/723512114128797697" xr:uid="{CA6A4F67-3691-4176-AAAE-AD14BA2D809E}"/>
    <hyperlink ref="O3896" r:id="rId12018" display="https://pbs.twimg.com/profile_images/543163066599219200/dUy-AYOX_normal.jpeg" xr:uid="{84011D52-FEE9-4E44-9C2D-6F1F2E499D70}"/>
    <hyperlink ref="B3897" r:id="rId12019" display="https://twitter.com/BrigPeachL4L" xr:uid="{1D55528A-3792-48B2-8F96-C5FE06136D3C}"/>
    <hyperlink ref="E3897" r:id="rId12020" display="https://twitter.com/BrigPeachL4L/status/723512195343065092" xr:uid="{0F42CB00-ABBB-4D7B-866A-46B33AA54ACA}"/>
    <hyperlink ref="O3897" r:id="rId12021" display="https://pbs.twimg.com/profile_images/2695152833/5a0d2a68ba8025a6beaa160d6dba27cb_normal.jpeg" xr:uid="{F588AF0E-5ADD-4C9D-8910-C99FFDF8B313}"/>
    <hyperlink ref="B3898" r:id="rId12022" display="https://twitter.com/gmlj40" xr:uid="{F90913C9-88C2-4B23-A00C-BC223F106694}"/>
    <hyperlink ref="E3898" r:id="rId12023" display="https://twitter.com/gmlj40/status/723512248451383296" xr:uid="{95994B7A-E98D-4D17-8EAE-B239B9B532FE}"/>
    <hyperlink ref="O3898" r:id="rId12024" display="https://pbs.twimg.com/profile_images/1895339818/image_normal.jpg" xr:uid="{7F52449B-06D1-4252-91C3-421ADD9AD699}"/>
    <hyperlink ref="B3899" r:id="rId12025" display="https://twitter.com/kuehn_barbara" xr:uid="{2DF8F3E8-E7EF-4B69-BA25-CD1D29AB2919}"/>
    <hyperlink ref="E3899" r:id="rId12026" display="https://twitter.com/kuehn_barbara/status/723512325744013314" xr:uid="{3D7FB17E-F839-4F05-BF73-6367294008D7}"/>
    <hyperlink ref="O3899" r:id="rId12027" display="https://pbs.twimg.com/profile_images/716724458631872518/P_d-m7o0_normal.jpg" xr:uid="{34EA312F-7886-4605-A854-EE8343EBC84A}"/>
    <hyperlink ref="B3900" r:id="rId12028" display="https://twitter.com/bvdvliet" xr:uid="{F9D40DD9-C8A0-466C-BE56-26F3C8EE9557}"/>
    <hyperlink ref="E3900" r:id="rId12029" display="https://twitter.com/bvdvliet/status/723512364134469632" xr:uid="{EF52BC04-F327-4B45-91DB-827659C45B1F}"/>
    <hyperlink ref="O3900" r:id="rId12030" display="https://pbs.twimg.com/profile_images/378800000747750946/394d9f0f5e6dde5137683d9c98c5c8a9_normal.jpeg" xr:uid="{12B0B8FF-BCE3-4AD2-9620-5E0F864F0B2E}"/>
    <hyperlink ref="B3901" r:id="rId12031" display="https://twitter.com/TNR_Gold" xr:uid="{18B17B04-EE67-4F66-80B2-E9B0D1869B8B}"/>
    <hyperlink ref="E3901" r:id="rId12032" display="https://twitter.com/TNR_Gold/status/723512395054854145" xr:uid="{71947BAD-8942-410D-9880-EF6EFC77B672}"/>
    <hyperlink ref="O3901" r:id="rId12033" display="https://pbs.twimg.com/profile_images/378800000540233318/80e8ae4c675ea770cfdcfc4bdee19598_normal.jpeg" xr:uid="{3CE3FE3B-B0FC-49BF-9088-A60CAFDD6B5A}"/>
    <hyperlink ref="B3902" r:id="rId12034" display="https://twitter.com/Rumsucher" xr:uid="{FF52903E-CFD6-4B6B-BBE7-D2ABE1358D76}"/>
    <hyperlink ref="E3902" r:id="rId12035" display="https://twitter.com/Rumsucher/status/723512433583775744" xr:uid="{2FCFB3DF-6F04-47E0-B7DD-9FB2C19A4CC2}"/>
    <hyperlink ref="O3902" r:id="rId12036" display="https://pbs.twimg.com/profile_images/2213177780/Stollberg_bearbeitet-1_normal.jpg" xr:uid="{15137685-B66C-416D-836A-868D9862C4F2}"/>
    <hyperlink ref="B3903" r:id="rId12037" display="https://twitter.com/Svenastheimer" xr:uid="{0C8E4FCD-11E7-4B96-8E01-47AB83225FB9}"/>
    <hyperlink ref="E3903" r:id="rId12038" display="https://twitter.com/Svenastheimer/status/723512507378356224" xr:uid="{400E7486-FE90-4BD6-A4D3-79EB7F34BC7C}"/>
    <hyperlink ref="O3903" r:id="rId12039" display="https://pbs.twimg.com/profile_images/378800000739119738/7c3e727f748488617099bdd8a2191320_normal.jpeg" xr:uid="{46E9B16A-8C52-41D5-8C7D-CED6C91B9A97}"/>
    <hyperlink ref="B3904" r:id="rId12040" display="https://twitter.com/FAZ_Eil" xr:uid="{4C90FD3F-0512-4C80-BC22-BA0C751B089C}"/>
    <hyperlink ref="E3904" r:id="rId12041" display="https://twitter.com/FAZ_Eil/status/723512528563769344" xr:uid="{F5DDFBC0-D04A-4919-8DC1-5FC4C5E45394}"/>
    <hyperlink ref="F3904" r:id="rId12042" xr:uid="{2D79262F-0648-4A12-8F82-5F6613848204}"/>
    <hyperlink ref="O3904" r:id="rId12043" display="https://pbs.twimg.com/profile_images/477439092402053121/H3fD2SIg_normal.jpeg" xr:uid="{F7BD4AD8-4604-4DD4-8308-A1FB270C2718}"/>
    <hyperlink ref="B3905" r:id="rId12044" display="https://twitter.com/FAZ_Finance" xr:uid="{60D03610-3C78-46C2-B9C3-F00B64E8B2CC}"/>
    <hyperlink ref="C3905" r:id="rId12045" xr:uid="{14C7594B-5B2F-45FB-9C5E-89B89115C997}"/>
    <hyperlink ref="E3905" r:id="rId12046" display="https://twitter.com/FAZ_Finance/status/723512529989832704" xr:uid="{410B27E8-D805-4E64-8089-6CB804206B40}"/>
    <hyperlink ref="F3905" r:id="rId12047" xr:uid="{5371C9BC-EDE3-432E-997D-CC47493D2563}"/>
    <hyperlink ref="O3905" r:id="rId12048" display="https://pbs.twimg.com/profile_images/477443424241463296/bKWNQp65_normal.jpeg" xr:uid="{5436DD13-5A63-49DF-87A7-0B8CFB2F3AEF}"/>
    <hyperlink ref="B3906" r:id="rId12049" display="https://twitter.com/FAZ_Top" xr:uid="{B37AB89D-8354-402F-96C5-FE3154F4FACB}"/>
    <hyperlink ref="E3906" r:id="rId12050" display="https://twitter.com/FAZ_Top/status/723512530904186880" xr:uid="{1AFB0C50-AB1F-4AAD-81C3-D3F58A97F66B}"/>
    <hyperlink ref="F3906" r:id="rId12051" xr:uid="{07845465-6C3D-4AA6-A56B-90B2E301241C}"/>
    <hyperlink ref="O3906" r:id="rId12052" display="https://pbs.twimg.com/profile_images/552112194075107328/gS44bo7h_normal.jpeg" xr:uid="{ABC9F26C-2921-4F37-8D15-8A622DD1AE2D}"/>
    <hyperlink ref="B3907" r:id="rId12053" display="https://twitter.com/FAZ_Wirtschaft" xr:uid="{ECDBE509-74F9-46CA-AED4-85257F5839D4}"/>
    <hyperlink ref="E3907" r:id="rId12054" display="https://twitter.com/FAZ_Wirtschaft/status/723512531671736320" xr:uid="{2C56F4F0-E28D-482E-B765-EBF194057FF1}"/>
    <hyperlink ref="F3907" r:id="rId12055" xr:uid="{26D943EA-F02C-496B-B810-11FB43401A8C}"/>
    <hyperlink ref="O3907" r:id="rId12056" display="https://pbs.twimg.com/profile_images/477440204932796419/Ubdok5z2_normal.jpeg" xr:uid="{A3148538-E8FF-40B9-91C7-881604EC7C4B}"/>
    <hyperlink ref="B3908" r:id="rId12057" display="https://twitter.com/FAZ_NET" xr:uid="{10097720-B4B8-44AC-9774-7FDC27C44EAE}"/>
    <hyperlink ref="E3908" r:id="rId12058" display="https://twitter.com/FAZ_NET/status/723512532602884096" xr:uid="{711D5224-9F6D-4F1A-BE3B-23C06BA859B0}"/>
    <hyperlink ref="F3908" r:id="rId12059" xr:uid="{F0ADDCFC-12F9-4D10-BE1C-6ACA86AB0756}"/>
    <hyperlink ref="O3908" r:id="rId12060" display="https://pbs.twimg.com/profile_images/477439590232358913/xbZaJ1Ms_normal.jpeg" xr:uid="{7607D1F7-2CD4-460B-9EC8-EA3D2D4A32A1}"/>
    <hyperlink ref="B3909" r:id="rId12061" display="https://twitter.com/sinnsturm" xr:uid="{A7E11D0C-9A84-426D-9F6A-E27477EFA2D3}"/>
    <hyperlink ref="E3909" r:id="rId12062" display="https://twitter.com/sinnsturm/status/723512553511497728" xr:uid="{44B2D38C-83ED-4578-99D9-7F54F1A427F5}"/>
    <hyperlink ref="O3909" r:id="rId12063" display="https://pbs.twimg.com/profile_images/720591880484995072/AvRSABLv_normal.jpg" xr:uid="{24CD94F6-548A-4539-8E45-BD8C6DDA8098}"/>
    <hyperlink ref="B3910" r:id="rId12064" display="https://twitter.com/markuspieperMEP" xr:uid="{45FEC756-2235-4C53-83D6-E82FBB92A6E3}"/>
    <hyperlink ref="E3910" r:id="rId12065" display="https://twitter.com/markuspieperMEP/status/723512650940985344" xr:uid="{D29A7789-A8BB-4F1E-8B98-44A17C5EFB96}"/>
    <hyperlink ref="O3910" r:id="rId12066" display="https://pbs.twimg.com/profile_images/557479172256194561/6F1rsS4X_normal.jpeg" xr:uid="{2E74959F-8887-4B55-8A90-963E6478451A}"/>
    <hyperlink ref="B3911" r:id="rId12067" display="https://twitter.com/rbbinforadio" xr:uid="{6D6AAC55-6904-4616-A0E5-64C106B82658}"/>
    <hyperlink ref="E3911" r:id="rId12068" display="https://twitter.com/rbbinforadio/status/723512690988208130" xr:uid="{8CBB4DBA-4D7A-4A29-8B8C-64CC2440AC20}"/>
    <hyperlink ref="O3911" r:id="rId12069" display="https://pbs.twimg.com/profile_images/666962838930485248/ZYF2LkHu_normal.png" xr:uid="{5DC29341-7BB6-49F7-96E3-C253BA327323}"/>
    <hyperlink ref="B3912" r:id="rId12070" display="https://twitter.com/slackner81" xr:uid="{25170E67-B260-4B20-8FEA-CAA55A044681}"/>
    <hyperlink ref="E3912" r:id="rId12071" display="https://twitter.com/slackner81/status/723512704078614528" xr:uid="{70625444-5322-4BC9-8EED-C8AE0348F811}"/>
    <hyperlink ref="O3912" r:id="rId12072" display="https://pbs.twimg.com/profile_images/713725682384310274/AzH78DuW_normal.jpg" xr:uid="{9B82444C-EABE-4175-A16F-32376FABF42B}"/>
    <hyperlink ref="B3913" r:id="rId12073" display="https://twitter.com/LupusLotarius" xr:uid="{F0A6D1AF-2228-4B35-821A-2ADE5364B3E1}"/>
    <hyperlink ref="E3913" r:id="rId12074" display="https://twitter.com/LupusLotarius/status/723512719727415297" xr:uid="{D3325055-51AB-4969-8DAD-65F8D8FA5B14}"/>
    <hyperlink ref="F3913" r:id="rId12075" xr:uid="{3E4DC210-11FE-4119-9114-61FC28271CB5}"/>
    <hyperlink ref="O3913" r:id="rId12076" display="https://pbs.twimg.com/profile_images/713093865125888000/4e7LoTjO_normal.jpg" xr:uid="{AD98315D-B332-4CDC-9413-C01E6CD6F90D}"/>
    <hyperlink ref="B3914" r:id="rId12077" display="https://twitter.com/BoersenDE" xr:uid="{186C025F-5DFB-4E8E-A137-F93222121198}"/>
    <hyperlink ref="E3914" r:id="rId12078" display="https://twitter.com/BoersenDE/status/723512721107382273" xr:uid="{AD56D85E-2FEF-4D9C-A47F-43D6E4F97317}"/>
    <hyperlink ref="F3914" r:id="rId12079" xr:uid="{C8DA60AD-FF97-464D-A2A3-DFE1793AA7CF}"/>
    <hyperlink ref="O3914" r:id="rId12080" display="https://pbs.twimg.com/profile_images/2666244260/d6d9049abbaccec91bf56e27e933d7ba_normal.png" xr:uid="{674F7EBE-7E38-4AE0-A758-F28A40CF8C14}"/>
    <hyperlink ref="B3915" r:id="rId12081" display="https://twitter.com/WirtschaftDE" xr:uid="{90552496-1148-46A6-B9DF-A7EDFF4FB083}"/>
    <hyperlink ref="E3915" r:id="rId12082" display="https://twitter.com/WirtschaftDE/status/723512722860572674" xr:uid="{24B03CD5-3B8C-48FB-88AD-53B7E9AE093C}"/>
    <hyperlink ref="F3915" r:id="rId12083" xr:uid="{65718F99-9BAB-4B75-9A92-BD9796CC38BC}"/>
    <hyperlink ref="O3915" r:id="rId12084" display="https://pbs.twimg.com/profile_images/2666156173/1dc1dfd9105a77b870914368c039ba9e_normal.png" xr:uid="{C0625643-BE6A-4AF9-A7AB-AF58DE1C0B68}"/>
    <hyperlink ref="B3916" r:id="rId12085" display="https://twitter.com/DasIgno" xr:uid="{1073CD6D-D544-46CD-8AB7-CFEEAD26D263}"/>
    <hyperlink ref="E3916" r:id="rId12086" display="https://twitter.com/DasIgno/status/723512736932630529" xr:uid="{82A0C679-98A1-4104-9794-19A4F8377A6E}"/>
    <hyperlink ref="O3916" r:id="rId12087" display="https://pbs.twimg.com/profile_images/391507743/avatar-twitter_normal.jpg" xr:uid="{E32B1C0F-9A5C-40F9-BE26-E35290EB4756}"/>
    <hyperlink ref="B3917" r:id="rId12088" display="https://twitter.com/beetlebug1938" xr:uid="{0C9489FB-C164-4D02-B725-54B9F827F9F9}"/>
    <hyperlink ref="E3917" r:id="rId12089" display="https://twitter.com/beetlebug1938/status/723512748940898306" xr:uid="{58E37409-3DC0-429B-B763-38857AA01480}"/>
    <hyperlink ref="O3917" r:id="rId12090" display="https://pbs.twimg.com/profile_images/718820712757215233/LXXndPTS_normal.jpg" xr:uid="{BE452642-B7C5-482A-86C4-18A88593EBEB}"/>
    <hyperlink ref="B3918" r:id="rId12091" display="https://twitter.com/beetlebug1938" xr:uid="{20A5B982-CF4A-451C-BE0C-1641F5955320}"/>
    <hyperlink ref="E3918" r:id="rId12092" display="https://twitter.com/beetlebug1938/status/723512764455591938" xr:uid="{BC7DBE6B-CF38-4A96-8D4D-6F99F1BF0351}"/>
    <hyperlink ref="O3918" r:id="rId12093" display="https://pbs.twimg.com/profile_images/718820712757215233/LXXndPTS_normal.jpg" xr:uid="{5176E79F-F789-4846-AC3E-E9A8CB8B0AE1}"/>
    <hyperlink ref="B3919" r:id="rId12094" display="https://twitter.com/Jeckyll_Havok" xr:uid="{79FE3F93-7DA0-4950-BC99-C5D47EEF6EBD}"/>
    <hyperlink ref="E3919" r:id="rId12095" display="https://twitter.com/Jeckyll_Havok/status/723512805773705216" xr:uid="{BFCADDD0-1186-4290-A674-67441D5E89A7}"/>
    <hyperlink ref="O3919" r:id="rId12096" display="https://pbs.twimg.com/profile_images/378800000710740517/1000cb6389261c0c59042a37668a6ccf_normal.jpeg" xr:uid="{95E01F95-2C42-426C-BCEF-D59D5C1336E2}"/>
    <hyperlink ref="B3920" r:id="rId12097" display="https://twitter.com/azystone" xr:uid="{7DC6BB2D-2189-4E54-8163-256C90BB92E1}"/>
    <hyperlink ref="E3920" r:id="rId12098" display="https://twitter.com/azystone/status/723512935910240256" xr:uid="{1BE8EC4B-2530-4A9A-BFC6-5F0296ABF1F3}"/>
    <hyperlink ref="O3920" r:id="rId12099" display="https://pbs.twimg.com/profile_images/719429808501891072/KxQat7so_normal.jpg" xr:uid="{3CE4D0BF-1791-47AA-AFF8-4B77701337F7}"/>
    <hyperlink ref="B3921" r:id="rId12100" display="https://twitter.com/franke_media" xr:uid="{8B922B18-F959-499B-AD19-7B7BC16281E8}"/>
    <hyperlink ref="C3921" r:id="rId12101" xr:uid="{1CDDFD45-B523-42B8-BE40-DF7028D43FB8}"/>
    <hyperlink ref="E3921" r:id="rId12102" display="https://twitter.com/franke_media/status/723513095390375936" xr:uid="{0AB2596B-6AC0-4795-B6BC-15C455988D4C}"/>
    <hyperlink ref="O3921" r:id="rId12103" display="https://pbs.twimg.com/profile_images/431047003091398657/VwNnWrzp_normal.jpeg" xr:uid="{B0A4EF47-656A-4645-B63E-61B4CD034E98}"/>
    <hyperlink ref="B3922" r:id="rId12104" display="https://twitter.com/likedeeler3" xr:uid="{C1634E4F-8B88-4C03-B339-FA3946538A32}"/>
    <hyperlink ref="E3922" r:id="rId12105" display="https://twitter.com/likedeeler3/status/723513190383005697" xr:uid="{136301D8-8112-47AF-A63B-61C0A7CD126D}"/>
    <hyperlink ref="O3922" r:id="rId12106" display="https://pbs.twimg.com/profile_images/554364381845135360/7BZNC16b_normal.jpeg" xr:uid="{DA127081-D24A-4044-A779-AAB3D9EC7653}"/>
    <hyperlink ref="B3923" r:id="rId12107" display="https://twitter.com/PaulMIllerVW" xr:uid="{75A0FE7C-1D03-41B2-8F6F-C514C6E849F1}"/>
    <hyperlink ref="E3923" r:id="rId12108" display="https://twitter.com/PaulMIllerVW/status/723513190647107584" xr:uid="{CC6AEE51-8275-465F-A47F-0505C398E01E}"/>
    <hyperlink ref="O3923" r:id="rId12109" display="https://pbs.twimg.com/profile_images/606538524934807552/brKPBufq_normal.jpg" xr:uid="{4E1A6019-F669-4680-B635-6295ADECE1C9}"/>
    <hyperlink ref="B3924" r:id="rId12110" display="https://twitter.com/ChristophNoack" xr:uid="{7F02F708-7DDE-4DD4-803F-B0847CE24ACB}"/>
    <hyperlink ref="E3924" r:id="rId12111" display="https://twitter.com/ChristophNoack/status/723513271542796289" xr:uid="{309F1BCC-5A1C-4930-9254-3FB42B446762}"/>
    <hyperlink ref="O3924" r:id="rId12112" display="https://pbs.twimg.com/profile_images/614230691044265984/Wocs5ZQz_normal.jpg" xr:uid="{41E9178F-23D0-42A2-A288-FE89DDC0A629}"/>
    <hyperlink ref="B3925" r:id="rId12113" display="https://twitter.com/Sk4tz" xr:uid="{B711BDC1-9691-4A0C-BDB4-4C3A15CE284D}"/>
    <hyperlink ref="E3925" r:id="rId12114" display="https://twitter.com/Sk4tz/status/723513396642078720" xr:uid="{7732D5D0-B722-469C-A63A-F2A71D2D159F}"/>
    <hyperlink ref="O3925" r:id="rId12115" display="https://pbs.twimg.com/profile_images/685389507626156032/BXeh3TNv_normal.png" xr:uid="{D5D2A3C6-EF69-4A12-8DCB-FCB30DA0E286}"/>
    <hyperlink ref="B3926" r:id="rId12116" display="https://twitter.com/TaronPuri" xr:uid="{2238B13A-70E2-41D9-9281-D69AA996AE19}"/>
    <hyperlink ref="E3926" r:id="rId12117" display="https://twitter.com/TaronPuri/status/723513443454738432" xr:uid="{5AB90632-D610-492F-8BDA-296D6424E892}"/>
    <hyperlink ref="O3926" r:id="rId12118" display="https://pbs.twimg.com/profile_images/412695382473183232/8AYqYk5z_normal.jpeg" xr:uid="{08BC7B98-D9BA-4AD2-9FAD-E4C5BB0CECD5}"/>
    <hyperlink ref="B3927" r:id="rId12119" display="https://twitter.com/gauer99" xr:uid="{65713994-3167-445E-88B5-A54A275199BF}"/>
    <hyperlink ref="E3927" r:id="rId12120" display="https://twitter.com/gauer99/status/723513451977564167" xr:uid="{5262D60D-E06A-40A7-B79B-38428F693496}"/>
    <hyperlink ref="O3927" r:id="rId12121" display="https://pbs.twimg.com/profile_images/684312563727908865/TLV-o3V0_normal.jpg" xr:uid="{E12F0B4F-AAC8-4336-8618-14B031DE492D}"/>
    <hyperlink ref="B3928" r:id="rId12122" display="https://twitter.com/instock_de" xr:uid="{D8B4A435-BA51-4F57-A333-14CDF2E180C4}"/>
    <hyperlink ref="C3928" r:id="rId12123" xr:uid="{5D04CAF2-9A5B-488E-9C24-6DD2451DCC3D}"/>
    <hyperlink ref="E3928" r:id="rId12124" display="https://twitter.com/instock_de/status/723513469543264256" xr:uid="{E207EE6F-8F9A-4653-9C81-1CE6B81F1CFD}"/>
    <hyperlink ref="O3928" r:id="rId12125" display="https://pbs.twimg.com/profile_images/1200648485/instock_normal.jpg" xr:uid="{7BFF4AAE-7831-46BB-A85A-819A2568D5EB}"/>
    <hyperlink ref="B3929" r:id="rId12126" display="https://twitter.com/MarkCSchneider" xr:uid="{896B61DB-061C-4E6F-AABD-250D3F33201C}"/>
    <hyperlink ref="E3929" r:id="rId12127" display="https://twitter.com/MarkCSchneider/status/723513481308344320" xr:uid="{A317537E-389F-47E7-BEAF-41DB5947BD00}"/>
    <hyperlink ref="O3929" r:id="rId12128" display="https://pbs.twimg.com/profile_images/706784695795769345/XGXgdjww_normal.jpg" xr:uid="{617DC047-CEB9-4267-B493-2D011DEB2724}"/>
    <hyperlink ref="B3930" r:id="rId12129" display="https://twitter.com/NDRreporter" xr:uid="{1EC2EC93-152D-4D7D-8B7C-5B511422171D}"/>
    <hyperlink ref="E3930" r:id="rId12130" display="https://twitter.com/NDRreporter/status/723513548874362880" xr:uid="{758A6456-4783-44BF-A60A-A683FDD5F567}"/>
    <hyperlink ref="O3930" r:id="rId12131" display="https://pbs.twimg.com/profile_images/466908605317279744/I5a712BQ_normal.jpeg" xr:uid="{124A9C7B-2E3E-41AD-AB8A-B27C79F67DA2}"/>
    <hyperlink ref="B3931" r:id="rId12132" display="https://twitter.com/BostonGlobe" xr:uid="{8177D81D-B66F-452A-9A32-D39F771FE81B}"/>
    <hyperlink ref="E3931" r:id="rId12133" display="https://twitter.com/BostonGlobe/status/723513568948281344" xr:uid="{E64AC752-60F0-4FE0-8A7F-CAF202CAF62B}"/>
    <hyperlink ref="O3931" r:id="rId12134" display="https://pbs.twimg.com/profile_images/586570157734019072/Qxz1LIIM_normal.png" xr:uid="{2BACDC91-58D2-4EB6-9E7A-DF38CA308F84}"/>
    <hyperlink ref="B3932" r:id="rId12135" display="https://twitter.com/BR24" xr:uid="{1968F17D-8AA0-4320-A966-FF301E4FA20F}"/>
    <hyperlink ref="E3932" r:id="rId12136" display="https://twitter.com/BR24/status/723513660166017024" xr:uid="{F0EE6FE4-CB8A-4025-A53B-6B82F1EFE26F}"/>
    <hyperlink ref="O3932" r:id="rId12137" display="https://pbs.twimg.com/profile_images/719417054240108544/teV1mM6A_normal.jpg" xr:uid="{F55C51EF-3CA3-41A9-972C-B441737EDC81}"/>
    <hyperlink ref="B3933" r:id="rId12138" display="https://twitter.com/aktuelle_stunde" xr:uid="{543D1765-667F-4A67-A1F2-9DBCCF674973}"/>
    <hyperlink ref="E3933" r:id="rId12139" display="https://twitter.com/aktuelle_stunde/status/723513680709750784" xr:uid="{CAA8DFF2-4A0D-4237-B554-BC3F3A53FFD2}"/>
    <hyperlink ref="O3933" r:id="rId12140" display="https://pbs.twimg.com/profile_images/488939589520740353/HVTIWICi_normal.jpeg" xr:uid="{AE513034-C70D-4258-9986-466EC37E7A06}"/>
    <hyperlink ref="B3934" r:id="rId12141" display="https://twitter.com/Michel63500" xr:uid="{2B0120E6-3192-44E5-9667-1A5B93DEAFC9}"/>
    <hyperlink ref="E3934" r:id="rId12142" display="https://twitter.com/Michel63500/status/723513686082621441" xr:uid="{93564E09-C39E-4403-BAB3-511B6E06E3AE}"/>
    <hyperlink ref="O3934" r:id="rId12143" display="https://pbs.twimg.com/profile_images/1633360456/image_normal.jpg" xr:uid="{C3683E61-DEE7-402F-8BD5-DA0DA9CFD400}"/>
    <hyperlink ref="B3935" r:id="rId12144" display="https://twitter.com/RGtzl" xr:uid="{3D69FC04-79C5-411E-A9D2-0A32ACF1AF81}"/>
    <hyperlink ref="E3935" r:id="rId12145" display="https://twitter.com/RGtzl/status/723513691522641920" xr:uid="{86ABD659-DBFE-4A9F-98BB-DADD3F7435CD}"/>
    <hyperlink ref="O3935" r:id="rId12146" display="https://pbs.twimg.com/profile_images/2610471396/image_normal.jpg" xr:uid="{D1D7C30D-079A-4C93-94ED-CEB9214393C3}"/>
    <hyperlink ref="B3936" r:id="rId12147" display="https://twitter.com/SteffenSoeffner" xr:uid="{891ECA6B-B0A8-453E-8FAE-27161492E3A7}"/>
    <hyperlink ref="E3936" r:id="rId12148" display="https://twitter.com/SteffenSoeffner/status/723513835706048513" xr:uid="{52AECD00-6925-4EA5-AB4C-94E5F3F408F7}"/>
    <hyperlink ref="O3936" r:id="rId12149" display="https://pbs.twimg.com/profile_images/477551916743143424/ahOuxldj_normal.jpeg" xr:uid="{57FD4BB0-217F-4283-82C8-DC31ED471151}"/>
    <hyperlink ref="B3937" r:id="rId12150" display="https://twitter.com/Der_Oberhauser" xr:uid="{DAA3FB65-44F9-49E5-BE18-53917FC31AFA}"/>
    <hyperlink ref="E3937" r:id="rId12151" display="https://twitter.com/Der_Oberhauser/status/723513838016974849" xr:uid="{2442F876-8636-44A8-858E-C980F3BE4B9E}"/>
    <hyperlink ref="O3937" r:id="rId12152" display="https://pbs.twimg.com/profile_images/718484155055652864/AuUDmGKZ_normal.jpg" xr:uid="{67F5A0FC-A98C-46C2-A7C6-65429162C370}"/>
    <hyperlink ref="B3938" r:id="rId12153" display="https://twitter.com/studdershock" xr:uid="{427DFDC6-E619-4501-B29B-97848A963564}"/>
    <hyperlink ref="E3938" r:id="rId12154" display="https://twitter.com/studdershock/status/723513911165767684" xr:uid="{0609B0FA-09A8-4D70-A28D-E959D92D7B36}"/>
    <hyperlink ref="O3938" r:id="rId12155" display="https://pbs.twimg.com/profile_images/713679288302759936/v9XpL7o8_normal.jpg" xr:uid="{16E62C99-E568-4BA3-918F-F7322CC392E6}"/>
    <hyperlink ref="B3939" r:id="rId12156" display="https://twitter.com/VWBeetleSales" xr:uid="{0E6202C0-65BA-43CC-BE6B-C796C19AF0FF}"/>
    <hyperlink ref="E3939" r:id="rId12157" display="https://twitter.com/VWBeetleSales/status/723513964492034048" xr:uid="{FBF9A91A-47D1-4237-82E5-56BBAB67434C}"/>
    <hyperlink ref="F3939" r:id="rId12158" xr:uid="{C90C99A6-97F9-4A25-AAF6-A4F5F872E70D}"/>
    <hyperlink ref="O3939" r:id="rId12159" display="https://pbs.twimg.com/profile_images/703294545195307008/qeCvrX86_normal.jpg" xr:uid="{8393352E-69EB-46EE-B06D-0BD28B5141E2}"/>
    <hyperlink ref="B3940" r:id="rId12160" display="https://twitter.com/Marmeladenheinz" xr:uid="{F1D703D8-C5C4-434F-85A6-2D0AECDD1594}"/>
    <hyperlink ref="E3940" r:id="rId12161" display="https://twitter.com/Marmeladenheinz/status/723514077167890432" xr:uid="{5EAC102B-F42F-4FFD-AB7B-5C8F6C89DCFC}"/>
    <hyperlink ref="O3940" r:id="rId12162" display="https://pbs.twimg.com/profile_images/688077323258753024/f8eMIOHU_normal.jpg" xr:uid="{220079C3-0EB1-4F6B-9C57-5B1D729EEE55}"/>
    <hyperlink ref="B3941" r:id="rId12163" display="https://twitter.com/OhSooSocial" xr:uid="{BB0123A9-F374-412E-BF63-6F5CF4799017}"/>
    <hyperlink ref="E3941" r:id="rId12164" display="https://twitter.com/OhSooSocial/status/723514198844706817" xr:uid="{30C1010D-DBC7-4B9C-91DD-1CC7DEAA3BA6}"/>
    <hyperlink ref="O3941" r:id="rId12165" display="https://pbs.twimg.com/profile_images/660779745710227456/hexBAmFh_normal.jpg" xr:uid="{EFEAAB19-6F25-4CB2-A7FE-128D11AE06DF}"/>
    <hyperlink ref="B3942" r:id="rId12166" display="https://twitter.com/SteffenSoeffner" xr:uid="{881E2494-F08E-444E-AF08-629FD355A754}"/>
    <hyperlink ref="E3942" r:id="rId12167" display="https://twitter.com/SteffenSoeffner/status/723514256788983808" xr:uid="{5B88DC4B-03EE-471B-882A-2541C4C5558B}"/>
    <hyperlink ref="O3942" r:id="rId12168" display="https://pbs.twimg.com/profile_images/477551916743143424/ahOuxldj_normal.jpeg" xr:uid="{0435D6B5-9069-41E2-ABCB-8A5A64140E59}"/>
    <hyperlink ref="B3943" r:id="rId12169" display="https://twitter.com/iMarcuso" xr:uid="{23B13254-41FF-4DD1-9FD2-BCE4C587F3AC}"/>
    <hyperlink ref="E3943" r:id="rId12170" display="https://twitter.com/iMarcuso/status/723514428067581952" xr:uid="{2DAC4E2D-34FA-4094-806C-05FF880ADB5E}"/>
    <hyperlink ref="O3943" r:id="rId12171" display="https://pbs.twimg.com/profile_images/721042128042868737/dxCIslwj_normal.jpg" xr:uid="{2428BD19-E097-41C9-81EF-873925B9CFE1}"/>
    <hyperlink ref="B3944" r:id="rId12172" display="https://twitter.com/Lebeaucarnews" xr:uid="{F7E62E59-6CCD-4602-8569-46F85B810B88}"/>
    <hyperlink ref="E3944" r:id="rId12173" display="https://twitter.com/Lebeaucarnews/status/723514474355916800" xr:uid="{E4889E90-ADA5-421F-A1C1-0966FC963DFC}"/>
    <hyperlink ref="O3944" r:id="rId12174" display="https://pbs.twimg.com/profile_images/1795205245/DSC04821_normal.jpg" xr:uid="{0C36546B-3259-42F2-A3BD-362B42CAF4A7}"/>
    <hyperlink ref="B3945" r:id="rId12175" display="https://twitter.com/frau_junge" xr:uid="{8CE638A1-DB5D-4D9E-A16F-775A33F04111}"/>
    <hyperlink ref="E3945" r:id="rId12176" display="https://twitter.com/frau_junge/status/723514488754974720" xr:uid="{9CF3A255-104C-4CF4-B69F-461FB02064F8}"/>
    <hyperlink ref="O3945" r:id="rId12177" display="https://pbs.twimg.com/profile_images/686473748044754944/NshgOzit_normal.jpg" xr:uid="{8A188E67-2187-4141-A903-EB227109E67D}"/>
    <hyperlink ref="B3946" r:id="rId12178" display="https://twitter.com/_motte_" xr:uid="{7279C950-D723-4478-AD47-BDEB2F261987}"/>
    <hyperlink ref="E3946" r:id="rId12179" display="https://twitter.com/_motte_/status/723514544031686656" xr:uid="{858F84A2-B6E9-4391-AB97-57028673806F}"/>
    <hyperlink ref="O3946" r:id="rId12180" display="https://pbs.twimg.com/profile_images/697857463048105985/cKsPEyN7_normal.jpg" xr:uid="{B1FE1D9F-120D-44C2-9DF0-4271BD29BAD7}"/>
    <hyperlink ref="B3947" r:id="rId12181" display="https://twitter.com/notvwcnada" xr:uid="{2377B779-2B20-44DD-8D99-0A43EEC473A5}"/>
    <hyperlink ref="E3947" r:id="rId12182" display="https://twitter.com/notvwcnada/status/723514577623752704" xr:uid="{C788323C-4A95-4E37-B645-3D4119E7934F}"/>
    <hyperlink ref="O3947" r:id="rId12183" display="https://pbs.twimg.com/profile_images/674571656635879424/H_n51PWF_normal.jpg" xr:uid="{88BD42CF-126E-4062-8EDC-4246ABE71CB0}"/>
    <hyperlink ref="B3948" r:id="rId12184" display="https://twitter.com/Duped" xr:uid="{55C327A8-FC26-4864-8203-7D9246838D29}"/>
    <hyperlink ref="E3948" r:id="rId12185" display="https://twitter.com/Duped/status/723514644393000960" xr:uid="{D414E4A6-0C5A-4023-A44F-9E0952E66C50}"/>
    <hyperlink ref="O3948" r:id="rId12186" display="https://pbs.twimg.com/profile_images/2614527612/qjcdvigyia7ykhqunc2f_normal.jpeg" xr:uid="{63F06159-61D3-45C0-A178-B711021A7BCA}"/>
    <hyperlink ref="B3949" r:id="rId12187" display="https://twitter.com/MaurySline" xr:uid="{9ACE2DBE-E7CB-4C42-A92A-824EC78A99E3}"/>
    <hyperlink ref="E3949" r:id="rId12188" display="https://twitter.com/MaurySline/status/723514709215838209" xr:uid="{5B615A15-5294-437E-8091-D21D3A36BC41}"/>
    <hyperlink ref="O3949" r:id="rId12189" display="https://pbs.twimg.com/profile_images/620122497208467456/UfwpHFes_normal.jpg" xr:uid="{72C34927-07E8-4D18-B87D-D872E617F9BA}"/>
    <hyperlink ref="B3950" r:id="rId12190" display="https://twitter.com/BaerbelHoehn" xr:uid="{92F43C53-DA3D-4577-B090-2D38CFDCD1DB}"/>
    <hyperlink ref="E3950" r:id="rId12191" display="https://twitter.com/BaerbelHoehn/status/723514743399563264" xr:uid="{4508B4A6-9FBE-496D-AE5C-2C6F73FEDB00}"/>
    <hyperlink ref="O3950" r:id="rId12192" display="https://pbs.twimg.com/profile_images/2582093676/ycxtld6qgn0wo14pu94z_normal.png" xr:uid="{D6CC0655-06D7-4CAA-99BE-179EDEB8CD11}"/>
    <hyperlink ref="B3951" r:id="rId12193" display="https://twitter.com/ndr2" xr:uid="{A9DE242B-C241-4B0C-B12B-1510641D8BF7}"/>
    <hyperlink ref="E3951" r:id="rId12194" display="https://twitter.com/ndr2/status/723514770603823104" xr:uid="{1DA6AF41-2CFB-441F-B0C1-061D90DD3267}"/>
    <hyperlink ref="O3951" r:id="rId12195" display="https://pbs.twimg.com/profile_images/588550162932436992/xhIjB0sA_normal.jpg" xr:uid="{291584C5-23BA-4B4B-B985-6BA2796637F3}"/>
    <hyperlink ref="B3952" r:id="rId12196" display="https://twitter.com/bodo1962" xr:uid="{FCE32D60-84E4-4126-AFB2-014CA52AE525}"/>
    <hyperlink ref="E3952" r:id="rId12197" display="https://twitter.com/bodo1962/status/723514774475120641" xr:uid="{AAAFB37C-9BE7-4432-9116-FC074326B754}"/>
    <hyperlink ref="O3952" r:id="rId12198" display="https://pbs.twimg.com/profile_images/439706141728051201/GQgdrA5p_normal.jpeg" xr:uid="{04B90870-751C-4F5F-B783-567EDA3C6124}"/>
    <hyperlink ref="B3953" r:id="rId12199" display="https://twitter.com/unioner23" xr:uid="{DC00F96C-4E1B-470D-87C6-67C905894D6F}"/>
    <hyperlink ref="E3953" r:id="rId12200" display="https://twitter.com/unioner23/status/723514866233913344" xr:uid="{5FBCBE3D-1E8C-4A5F-AFC4-5594985D086E}"/>
    <hyperlink ref="O3953" r:id="rId12201" display="https://pbs.twimg.com/profile_images/615547498736787456/mTnCWWyP_normal.jpg" xr:uid="{DDF061B3-C8CD-4F01-B98F-DBE557E945C6}"/>
    <hyperlink ref="B3954" r:id="rId12202" display="https://twitter.com/unioner23" xr:uid="{B915730A-0A18-473E-8DB8-29D3AE9FF683}"/>
    <hyperlink ref="E3954" r:id="rId12203" display="https://twitter.com/unioner23/status/723514881681555457" xr:uid="{7806FAF0-01C6-44F8-B181-1F707BA35349}"/>
    <hyperlink ref="O3954" r:id="rId12204" display="https://pbs.twimg.com/profile_images/615547498736787456/mTnCWWyP_normal.jpg" xr:uid="{818D73EF-ABD9-47F9-A607-F3C67AF089FC}"/>
    <hyperlink ref="B3955" r:id="rId12205" display="https://twitter.com/woistcoco" xr:uid="{2128B8D6-E40E-4655-8815-002EB32368A6}"/>
    <hyperlink ref="E3955" r:id="rId12206" display="https://twitter.com/woistcoco/status/723515025353224194" xr:uid="{107D4D3D-96A6-4104-86DE-8A4051A8BD21}"/>
    <hyperlink ref="O3955" r:id="rId12207" display="https://pbs.twimg.com/profile_images/632627323481796608/t6bZcdi6_normal.jpg" xr:uid="{834B0F8D-765F-4528-8786-16C5B13D4630}"/>
    <hyperlink ref="B3956" r:id="rId12208" display="https://twitter.com/Kons1982" xr:uid="{8F1DF1E1-A230-4B6F-8418-49D420BD1278}"/>
    <hyperlink ref="E3956" r:id="rId12209" display="https://twitter.com/Kons1982/status/723515029551755265" xr:uid="{78B54911-D54F-45DA-A21E-AFEDB86B7205}"/>
    <hyperlink ref="O3956" r:id="rId12210" display="https://pbs.twimg.com/profile_images/494605507291013120/00aXw2t8_normal.jpeg" xr:uid="{0BEBCEC1-5354-4D62-9796-E49BC4EC6C63}"/>
    <hyperlink ref="B3957" r:id="rId12211" display="https://twitter.com/Boersenradar" xr:uid="{20104793-7AB3-483E-96E6-119389728534}"/>
    <hyperlink ref="E3957" r:id="rId12212" display="https://twitter.com/Boersenradar/status/723515074896367616" xr:uid="{2A60BAA3-7932-46C4-BF5D-759A9E2A687F}"/>
    <hyperlink ref="O3957" r:id="rId12213" display="https://pbs.twimg.com/profile_images/648862182936047616/p6o1BlmC_normal.jpg" xr:uid="{260A386B-8167-40AD-BF61-F548E95AD855}"/>
    <hyperlink ref="B3958" r:id="rId12214" display="https://twitter.com/WFeulner" xr:uid="{0F57F93D-6CA3-44B5-9D29-EC29259ABEB3}"/>
    <hyperlink ref="E3958" r:id="rId12215" display="https://twitter.com/WFeulner/status/723515088704028672" xr:uid="{3F308F61-FBD5-45EA-B130-19246C28AC56}"/>
    <hyperlink ref="O3958" r:id="rId12216" display="https://pbs.twimg.com/profile_images/697482063885291520/3hWmRXkL_normal.jpg" xr:uid="{4F7EB6BC-CF7A-42E7-BF5D-30D7F2EC3742}"/>
    <hyperlink ref="B3959" r:id="rId12217" display="https://twitter.com/TimoEssner" xr:uid="{B6505856-ED70-4340-9BB9-50C383D5B11A}"/>
    <hyperlink ref="E3959" r:id="rId12218" display="https://twitter.com/TimoEssner/status/723515113433608192" xr:uid="{DA74F99F-B75B-4FEC-A5F4-9E1F271EFDA4}"/>
    <hyperlink ref="O3959" r:id="rId12219" display="https://pbs.twimg.com/profile_images/624335607645478912/gUYgViLB_normal.jpg" xr:uid="{FE515B51-CF21-493F-BF59-E3739E854C98}"/>
    <hyperlink ref="B3960" r:id="rId12220" display="https://twitter.com/E_I_M_I" xr:uid="{CFE24915-5C3B-4AB8-BDDA-2486B7077BCA}"/>
    <hyperlink ref="E3960" r:id="rId12221" display="https://twitter.com/E_I_M_I/status/723515315418718213" xr:uid="{EC2F63DC-060A-437A-8524-355644F3F16A}"/>
    <hyperlink ref="O3960" r:id="rId12222" display="https://pbs.twimg.com/profile_images/378800000062766177/d7e0a152f4d290bcf505d552894fa3ad_normal.jpeg" xr:uid="{7BD4C39F-1F18-4169-B9A4-B70E881FCA68}"/>
    <hyperlink ref="B3961" r:id="rId12223" display="https://twitter.com/arndissler" xr:uid="{5E536E56-AF8B-44B0-8917-68C6D7D431FE}"/>
    <hyperlink ref="E3961" r:id="rId12224" display="https://twitter.com/arndissler/status/723515454308900865" xr:uid="{5F4CD5C1-52C4-4388-A98F-D5BF063CBF14}"/>
    <hyperlink ref="O3961" r:id="rId12225" display="https://pbs.twimg.com/profile_images/557489425559482369/aKukb5lm_normal.png" xr:uid="{D69CF225-5AF5-435B-9964-85C48B521005}"/>
    <hyperlink ref="B3962" r:id="rId12226" display="https://twitter.com/MorSvinka_83" xr:uid="{DA9F0327-2069-4362-8A7B-7797D02080C1}"/>
    <hyperlink ref="E3962" r:id="rId12227" display="https://twitter.com/MorSvinka_83/status/723515468259176448" xr:uid="{DF52547A-833B-4226-A54C-92B32228857E}"/>
    <hyperlink ref="O3962" r:id="rId12228" display="https://pbs.twimg.com/profile_images/2208847688/Untitled-2_normal.jpg" xr:uid="{14DA4F28-6202-426E-9E95-5FED22C5BA77}"/>
    <hyperlink ref="B3963" r:id="rId12229" display="https://twitter.com/yogafitter" xr:uid="{DB9DA266-0AA1-4171-B11C-87B8F21D597E}"/>
    <hyperlink ref="E3963" r:id="rId12230" display="https://twitter.com/yogafitter/status/723515545602007042" xr:uid="{AA794DFD-8573-446E-BA97-69DAC05B23A5}"/>
    <hyperlink ref="O3963" r:id="rId12231" display="https://pbs.twimg.com/profile_images/722835603255992321/BBAQvavV_normal.jpg" xr:uid="{D339E8E5-16F7-4F8F-B7D4-41C31484EB9D}"/>
    <hyperlink ref="P3963" r:id="rId12232" location="32.0727882,-81.0981369" display="http://ctrlq.org/maps/address/ - 32.0727882,-81.0981369" xr:uid="{736E6D9E-CF9D-4989-9892-361592EFF3AA}"/>
    <hyperlink ref="B3964" r:id="rId12233" display="https://twitter.com/SteveJobs2016" xr:uid="{9863C60A-0651-4A70-AA73-45E07BD2B2A0}"/>
    <hyperlink ref="E3964" r:id="rId12234" display="https://twitter.com/SteveJobs2016/status/723515558033924096" xr:uid="{291B13A2-1A1A-497D-9863-509907975F5E}"/>
    <hyperlink ref="O3964" r:id="rId12235" display="https://pbs.twimg.com/profile_images/696356157330423808/0jS4qfjA_normal.jpg" xr:uid="{2BD99E42-CACA-4BE7-8A8C-2EC9133821E9}"/>
    <hyperlink ref="B3965" r:id="rId12236" display="https://twitter.com/Deacon__Blues" xr:uid="{22401AD7-B791-4B77-B245-F4955774FFAE}"/>
    <hyperlink ref="E3965" r:id="rId12237" display="https://twitter.com/Deacon__Blues/status/723515563348267008" xr:uid="{7CDA9E43-3E35-46E0-A086-B3DBCBA10E3E}"/>
    <hyperlink ref="O3965" r:id="rId12238" display="https://pbs.twimg.com/profile_images/699630686404214785/Yv79eCNk_normal.jpg" xr:uid="{BBFEA57C-14D3-472F-A1D0-952BB5EFE5E3}"/>
    <hyperlink ref="B3966" r:id="rId12239" display="https://twitter.com/weserkurier" xr:uid="{706A6FD4-DADD-4F18-9F86-85484ECF1965}"/>
    <hyperlink ref="E3966" r:id="rId12240" display="https://twitter.com/weserkurier/status/723515592754532352" xr:uid="{B00DADFF-434E-4566-9444-9AE17BBD2A58}"/>
    <hyperlink ref="O3966" r:id="rId12241" display="https://pbs.twimg.com/profile_images/701759474198036480/d3ldpfv0_normal.png" xr:uid="{97E31AA4-7847-42B0-8A47-80643FE6EE41}"/>
    <hyperlink ref="B3967" r:id="rId12242" display="https://twitter.com/badluk07" xr:uid="{BEDB0E71-9635-4E88-A176-1A9CB39C6A9A}"/>
    <hyperlink ref="E3967" r:id="rId12243" display="https://twitter.com/badluk07/status/723515925799002112" xr:uid="{0C66C0EB-B3EA-4002-B5B8-CF5DDC39AA8B}"/>
    <hyperlink ref="O3967" r:id="rId12244" display="https://pbs.twimg.com/profile_images/721456564700389376/YYyoQCjn_normal.jpg" xr:uid="{0B880E95-D509-429D-A5C9-EF540C384F07}"/>
    <hyperlink ref="B3968" r:id="rId12245" display="https://twitter.com/NetzwerkggS21" xr:uid="{AAD460DE-8AD7-4416-823C-6BB5FFAC1F72}"/>
    <hyperlink ref="E3968" r:id="rId12246" display="https://twitter.com/NetzwerkggS21/status/723515957667323905" xr:uid="{0ADA4B1A-C595-4889-9387-8E72D07ED45C}"/>
    <hyperlink ref="M3968" r:id="rId12247" xr:uid="{321DFAC8-0A74-4984-B8FC-7911577CDEF0}"/>
    <hyperlink ref="O3968" r:id="rId12248" display="https://pbs.twimg.com/profile_images/378800000528765970/3ab9f2a00010e9cac08d5ca1638926e9_normal.png" xr:uid="{B3CA63ED-F6D6-4E17-8C89-97244E62D86E}"/>
    <hyperlink ref="B3969" r:id="rId12249" display="https://twitter.com/IrreRepublik" xr:uid="{E00E11DE-6606-4042-89B6-87D9BBC7D394}"/>
    <hyperlink ref="E3969" r:id="rId12250" display="https://twitter.com/IrreRepublik/status/723516090295443457" xr:uid="{0E9444B9-D48D-4C8B-AB12-24340C0A7EEB}"/>
    <hyperlink ref="O3969" r:id="rId12251" display="https://abs.twimg.com/sticky/default_profile_images/default_profile_4_normal.png" xr:uid="{9235B827-27AA-4F94-A484-82C2FE001F10}"/>
    <hyperlink ref="B3970" r:id="rId12252" display="https://twitter.com/1LIVE" xr:uid="{D47E8993-E1B9-4F91-9C7D-7E88CD7A5CEB}"/>
    <hyperlink ref="E3970" r:id="rId12253" display="https://twitter.com/1LIVE/status/723516139171647488" xr:uid="{A364E4B6-850B-4895-8860-D52F0FD277A9}"/>
    <hyperlink ref="O3970" r:id="rId12254" display="https://pbs.twimg.com/profile_images/672544452158844929/3FIfxzIE_normal.jpg" xr:uid="{9C2495FE-1D6D-4F23-9FC3-ADDEA5B1F72A}"/>
    <hyperlink ref="B3971" r:id="rId12255" display="https://twitter.com/WowbaggerXX7" xr:uid="{CB9588BD-B927-4FF1-91F0-D5CBE7FB1419}"/>
    <hyperlink ref="E3971" r:id="rId12256" display="https://twitter.com/WowbaggerXX7/status/723516199980642306" xr:uid="{8010680C-990C-4587-993C-39F4BF0266F5}"/>
    <hyperlink ref="O3971" r:id="rId12257" display="https://pbs.twimg.com/profile_images/543163066599219200/dUy-AYOX_normal.jpeg" xr:uid="{FB1B49AF-F337-4E1B-8C49-A8B8EB98CD83}"/>
    <hyperlink ref="B3972" r:id="rId12258" display="https://twitter.com/NetzwerkggS21" xr:uid="{36CA441D-08AF-47CD-AC6B-82E9722CF150}"/>
    <hyperlink ref="E3972" r:id="rId12259" display="https://twitter.com/NetzwerkggS21/status/723516287142469632" xr:uid="{BA76CCC9-27DC-4C43-A247-91EB13C85219}"/>
    <hyperlink ref="M3972" r:id="rId12260" xr:uid="{F148D4FD-7D77-4B7E-B63D-810438F12F4C}"/>
    <hyperlink ref="O3972" r:id="rId12261" display="https://pbs.twimg.com/profile_images/378800000528765970/3ab9f2a00010e9cac08d5ca1638926e9_normal.png" xr:uid="{FF70BF88-45E7-431A-9632-C04399D45603}"/>
    <hyperlink ref="B3973" r:id="rId12262" display="https://twitter.com/WowbaggerXX7" xr:uid="{A9328A61-DB5C-4112-9F83-1B22F9AB9F46}"/>
    <hyperlink ref="E3973" r:id="rId12263" display="https://twitter.com/WowbaggerXX7/status/723516371125067776" xr:uid="{E00D537A-CFBA-44D3-9F34-19676587937D}"/>
    <hyperlink ref="O3973" r:id="rId12264" display="https://pbs.twimg.com/profile_images/543163066599219200/dUy-AYOX_normal.jpeg" xr:uid="{E4F97204-B062-40E9-86C2-C408E76D7010}"/>
    <hyperlink ref="B3974" r:id="rId12265" display="https://twitter.com/Sternenkind" xr:uid="{EBB95322-5F39-4F13-83FB-73F129870606}"/>
    <hyperlink ref="E3974" r:id="rId12266" display="https://twitter.com/Sternenkind/status/723516374224670720" xr:uid="{938813A2-BCF7-42F8-91A9-4FE11623E723}"/>
    <hyperlink ref="O3974" r:id="rId12267" display="https://pbs.twimg.com/profile_images/718947317412442112/GdF_9l4b_normal.jpg" xr:uid="{E28E2A1F-085A-4733-8216-ECC3BBA4E2A1}"/>
    <hyperlink ref="B3975" r:id="rId12268" display="https://twitter.com/Teresa2561Terry" xr:uid="{B9B4711F-B169-4647-B752-948F855A3515}"/>
    <hyperlink ref="E3975" r:id="rId12269" display="https://twitter.com/Teresa2561Terry/status/723516414041137152" xr:uid="{6833B24A-EACC-43CD-939B-29DB0002F4A0}"/>
    <hyperlink ref="O3975" r:id="rId12270" display="https://abs.twimg.com/sticky/default_profile_images/default_profile_1_normal.png" xr:uid="{76745E66-2982-4EB1-9BBB-8D3ED04092A6}"/>
    <hyperlink ref="B3976" r:id="rId12271" display="https://twitter.com/patburd" xr:uid="{6107BFBF-307D-4D35-BB57-64976A8C7B96}"/>
    <hyperlink ref="E3976" r:id="rId12272" display="https://twitter.com/patburd/status/723516507007766528" xr:uid="{DE7C8A8E-45FF-4451-AC4B-11A0C0EF9805}"/>
    <hyperlink ref="O3976" r:id="rId12273" display="https://pbs.twimg.com/profile_images/705043067687063553/6b7Abz4A_normal.jpg" xr:uid="{E26FCD16-164B-48F4-A35C-2E1B68A4FFFC}"/>
    <hyperlink ref="B3977" r:id="rId12274" display="https://twitter.com/Taipanos" xr:uid="{4D929CF0-7B8D-4F39-9373-EB1C21350CBA}"/>
    <hyperlink ref="E3977" r:id="rId12275" display="https://twitter.com/Taipanos/status/723516537865420801" xr:uid="{58AD2AF8-3704-4E20-93ED-8D0414193877}"/>
    <hyperlink ref="O3977" r:id="rId12276" display="https://pbs.twimg.com/profile_images/697492201492910080/uR3QlSaO_normal.jpg" xr:uid="{B1E8A6CD-0848-4B7E-94EE-52B878425930}"/>
    <hyperlink ref="B3978" r:id="rId12277" display="https://twitter.com/Banane0711" xr:uid="{39A2A9A8-A70D-4604-8E59-EC928BAF594D}"/>
    <hyperlink ref="E3978" r:id="rId12278" display="https://twitter.com/Banane0711/status/723516583960780804" xr:uid="{CFDA15E5-69D6-4422-90F1-8A39E43DD24F}"/>
    <hyperlink ref="O3978" r:id="rId12279" display="https://pbs.twimg.com/profile_images/1488674331/schofer4_normal.jpg" xr:uid="{CD965256-629E-4F0D-9B40-1CE392E6ABA9}"/>
    <hyperlink ref="B3979" r:id="rId12280" display="https://twitter.com/DUBusSchool" xr:uid="{5A44891B-2876-46B6-813F-81D2A585D361}"/>
    <hyperlink ref="E3979" r:id="rId12281" display="https://twitter.com/DUBusSchool/status/723516614038196224" xr:uid="{A8BF65C5-4437-4CD3-AABB-64CAC3D76105}"/>
    <hyperlink ref="O3979" r:id="rId12282" display="https://pbs.twimg.com/profile_images/684402258092621824/ctTUwOXj_normal.jpg" xr:uid="{79C5BDA4-1D44-43EA-8EEF-27B868269D04}"/>
    <hyperlink ref="B3980" r:id="rId12283" display="https://twitter.com/kirillklip" xr:uid="{12E21BD8-6283-4F0A-AD42-638601016E7A}"/>
    <hyperlink ref="E3980" r:id="rId12284" display="https://twitter.com/kirillklip/status/723516635101990913" xr:uid="{1CA2FA72-7453-420F-8940-8712A2F8BC0C}"/>
    <hyperlink ref="O3980" r:id="rId12285" display="https://pbs.twimg.com/profile_images/716972542871908352/YA5lUDGS_normal.jpg" xr:uid="{2EC333DA-19D5-4AB6-8E54-BB5339398C31}"/>
    <hyperlink ref="B3981" r:id="rId12286" display="https://twitter.com/markuspieperMEP" xr:uid="{4AC72688-6A19-48A5-A0F8-91D3A4C09E0D}"/>
    <hyperlink ref="E3981" r:id="rId12287" display="https://twitter.com/markuspieperMEP/status/723516684598927360" xr:uid="{30F044F2-80CF-4C21-A151-B9E5A104C830}"/>
    <hyperlink ref="O3981" r:id="rId12288" display="https://pbs.twimg.com/profile_images/557479172256194561/6F1rsS4X_normal.jpeg" xr:uid="{9135432D-9196-4F41-8E47-A60779EE51E5}"/>
    <hyperlink ref="B3982" r:id="rId12289" display="https://twitter.com/BR24" xr:uid="{6D8C76B5-EB43-4351-B8A6-9E4B3E8F001D}"/>
    <hyperlink ref="E3982" r:id="rId12290" display="https://twitter.com/BR24/status/723516704408653824" xr:uid="{B9A5A8C4-CAB9-4B4C-ACE4-0CA9F7BECAE1}"/>
    <hyperlink ref="O3982" r:id="rId12291" display="https://pbs.twimg.com/profile_images/719417054240108544/teV1mM6A_normal.jpg" xr:uid="{C1A6A165-BDC7-41B1-9898-B4F8ADB1D43C}"/>
    <hyperlink ref="B3983" r:id="rId12292" display="https://twitter.com/Koelsch_blood" xr:uid="{F78EC58E-F766-4C46-9339-1652FD710401}"/>
    <hyperlink ref="E3983" r:id="rId12293" display="https://twitter.com/Koelsch_blood/status/723516758666022916" xr:uid="{265DCC11-A6F3-4956-9AD3-CE6E0AE401EE}"/>
    <hyperlink ref="O3983" r:id="rId12294" display="https://pbs.twimg.com/profile_images/696272203411755008/EoixNlfD_normal.jpg" xr:uid="{6155DFDE-F557-4978-BF55-FBC9E5715C28}"/>
    <hyperlink ref="B3984" r:id="rId12295" display="https://twitter.com/doern" xr:uid="{FDD7DDA1-E20B-48AB-AEBA-6D3DB0CE8BD2}"/>
    <hyperlink ref="E3984" r:id="rId12296" display="https://twitter.com/doern/status/723516781097263106" xr:uid="{B83251FE-C22E-42FC-BAEA-634506797E91}"/>
    <hyperlink ref="O3984" r:id="rId12297" display="https://pbs.twimg.com/profile_images/657853466384191488/J6vAnfZr_normal.jpg" xr:uid="{856AA4B8-344A-4717-B6D9-3268473BD2B4}"/>
    <hyperlink ref="B3985" r:id="rId12298" display="https://twitter.com/gehmichwech" xr:uid="{5C16B048-9471-45E8-80D5-69906BFE4D5E}"/>
    <hyperlink ref="E3985" r:id="rId12299" display="https://twitter.com/gehmichwech/status/723516798126186496" xr:uid="{D74DA72B-4FCB-4236-827D-33C81FFE625F}"/>
    <hyperlink ref="O3985" r:id="rId12300" display="https://pbs.twimg.com/profile_images/481527330616393728/r0kwCuLo_normal.jpeg" xr:uid="{D4988631-F851-424C-9F20-0DF90E14E30F}"/>
    <hyperlink ref="B3986" r:id="rId12301" display="https://twitter.com/Patrick_Voss_" xr:uid="{E930A998-E23C-4AB4-AC77-616EF98245C9}"/>
    <hyperlink ref="E3986" r:id="rId12302" display="https://twitter.com/Patrick_Voss_/status/723516874642841600" xr:uid="{156E2D59-F783-4B5E-B009-98DEED61BE6F}"/>
    <hyperlink ref="O3986" r:id="rId12303" display="https://pbs.twimg.com/profile_images/658222913217277952/EQZeSiK5_normal.jpg" xr:uid="{147DFB6F-1051-48E8-9250-B985C8971DAA}"/>
    <hyperlink ref="B3987" r:id="rId12304" display="https://twitter.com/turronzitoo" xr:uid="{00017C58-1870-42F0-942B-161C284977F0}"/>
    <hyperlink ref="E3987" r:id="rId12305" display="https://twitter.com/turronzitoo/status/723516891764023296" xr:uid="{E796A6DE-F930-4A06-9C9B-E65733511B49}"/>
    <hyperlink ref="O3987" r:id="rId12306" display="https://pbs.twimg.com/profile_images/3744919436/47afb1651fe52de7e73cae0d3feb67d1_normal.png" xr:uid="{B71108BD-123D-4EF6-8329-A0755D0DCE9D}"/>
    <hyperlink ref="B3988" r:id="rId12307" display="https://twitter.com/GrahameLucas" xr:uid="{4CD54937-3028-4B72-AA09-F5818005490A}"/>
    <hyperlink ref="E3988" r:id="rId12308" display="https://twitter.com/GrahameLucas/status/723516906968363008" xr:uid="{3BE14FE0-6AF5-41F6-B61B-638008740B90}"/>
    <hyperlink ref="F3988" r:id="rId12309" xr:uid="{2943BB9D-128B-445B-8549-ED57F47BD9F9}"/>
    <hyperlink ref="O3988" r:id="rId12310" display="https://pbs.twimg.com/profile_images/550005315048333314/YipuE0ON_normal.jpeg" xr:uid="{07094CB6-4A61-4CE2-ADDF-71A3396A68FC}"/>
    <hyperlink ref="B3989" r:id="rId12311" display="https://twitter.com/fzerfass" xr:uid="{B9CB184C-3289-4112-819E-8A9849836417}"/>
    <hyperlink ref="E3989" r:id="rId12312" display="https://twitter.com/fzerfass/status/723516941206446080" xr:uid="{C0379B83-4339-40E6-AFB9-08817204E98F}"/>
    <hyperlink ref="O3989" r:id="rId12313" display="https://pbs.twimg.com/profile_images/3121139630/cf49c4a28b490fc2d785123b06e6ae84_normal.jpeg" xr:uid="{7FFD693A-7D46-4780-BE2B-F8CF91364604}"/>
    <hyperlink ref="B3990" r:id="rId12314" display="https://twitter.com/TeeKayWorld" xr:uid="{7BAA8E38-0496-4B55-9310-734DF48DE8F7}"/>
    <hyperlink ref="E3990" r:id="rId12315" display="https://twitter.com/TeeKayWorld/status/723517034039021568" xr:uid="{081840F5-D499-40E0-8DDC-539686DE1F1F}"/>
    <hyperlink ref="O3990" r:id="rId12316" display="https://pbs.twimg.com/profile_images/712717116500221952/ciEvVo2v_normal.jpg" xr:uid="{6B188867-662A-4911-B76E-0C7AE195184C}"/>
    <hyperlink ref="B3991" r:id="rId12317" display="https://twitter.com/Banane0711" xr:uid="{3004F737-634C-4432-95DB-7EC1718F497B}"/>
    <hyperlink ref="E3991" r:id="rId12318" display="https://twitter.com/Banane0711/status/723517147264245760" xr:uid="{AF6E27B9-BC7E-49D9-9D2A-0ABDF0641195}"/>
    <hyperlink ref="O3991" r:id="rId12319" display="https://pbs.twimg.com/profile_images/1488674331/schofer4_normal.jpg" xr:uid="{6176D791-FF7C-46A6-906D-D1E3674E7E41}"/>
    <hyperlink ref="B3992" r:id="rId12320" display="https://twitter.com/hannah_mowat" xr:uid="{89FF634D-9E4E-4491-A4BA-F155A107722E}"/>
    <hyperlink ref="E3992" r:id="rId12321" display="https://twitter.com/hannah_mowat/status/723517160283353088" xr:uid="{827C872F-0ACC-46AA-8B7C-082EA1C51157}"/>
    <hyperlink ref="O3992" r:id="rId12322" display="https://pbs.twimg.com/profile_images/562598669795344384/2grdOcB7_normal.jpeg" xr:uid="{BE004E72-30E7-48FD-A32C-26DA1D3C8355}"/>
    <hyperlink ref="B3993" r:id="rId12323" display="https://twitter.com/mikereportero" xr:uid="{6C4C7CFF-78AE-4538-B157-337FE5D87BD1}"/>
    <hyperlink ref="E3993" r:id="rId12324" display="https://twitter.com/mikereportero/status/723517202045923328" xr:uid="{5924DA13-47D2-413A-A25B-550A77142E15}"/>
    <hyperlink ref="O3993" r:id="rId12325" display="https://pbs.twimg.com/profile_images/649200319507755008/yWJYyubW_normal.jpg" xr:uid="{D4E3AFF0-7DC7-4283-A67E-9A6A012B5C90}"/>
    <hyperlink ref="B3994" r:id="rId12326" display="https://twitter.com/JungeInnenstadt" xr:uid="{391A69A3-FE3C-4562-942A-DCDF1D44A7A2}"/>
    <hyperlink ref="E3994" r:id="rId12327" display="https://twitter.com/JungeInnenstadt/status/723517329330573312" xr:uid="{4405F156-726E-4132-8AE7-50035D77C9E7}"/>
    <hyperlink ref="O3994" r:id="rId12328" display="https://pbs.twimg.com/profile_images/648058308/461223_1234460921503l_normal.jpg" xr:uid="{2636606E-FC47-4B25-82AE-F8D55CA2C4B3}"/>
    <hyperlink ref="B3995" r:id="rId12329" display="https://twitter.com/suissepat" xr:uid="{23CAB331-BC64-4AAF-A7D4-B0567343F40B}"/>
    <hyperlink ref="E3995" r:id="rId12330" display="https://twitter.com/suissepat/status/723517480455557120" xr:uid="{BD8AFA73-8509-4A60-BD00-5443FD181AC9}"/>
    <hyperlink ref="O3995" r:id="rId12331" display="https://pbs.twimg.com/profile_images/649322876340994048/-P2inwQT_normal.jpg" xr:uid="{E62A2D37-8B81-4F06-AEAE-B5AC16820B84}"/>
    <hyperlink ref="B3996" r:id="rId12332" display="https://twitter.com/Insta_VWT" xr:uid="{29C4A197-4D09-47F4-909E-5390DA338C67}"/>
    <hyperlink ref="E3996" r:id="rId12333" display="https://twitter.com/Insta_VWT/status/723517568636608517" xr:uid="{B6D7A512-FD35-4D7D-84F6-CA018F56CD51}"/>
    <hyperlink ref="O3996" r:id="rId12334" display="https://pbs.twimg.com/profile_images/424893967197433858/iQ86NktX_normal.jpeg" xr:uid="{3703227F-6830-47BF-9E85-C4DC8AB1D431}"/>
    <hyperlink ref="B3997" r:id="rId12335" display="https://twitter.com/wehrs18" xr:uid="{88883E5A-A952-45BA-9DC9-989239AAB9E5}"/>
    <hyperlink ref="E3997" r:id="rId12336" display="https://twitter.com/wehrs18/status/723517580997201920" xr:uid="{4029AED7-3D24-4639-A590-E7A1D3440EBE}"/>
    <hyperlink ref="O3997" r:id="rId12337" display="https://pbs.twimg.com/profile_images/687314255507513346/a83L5Opq_normal.jpg" xr:uid="{F21A98A1-0129-4E3B-A8A6-1E858DFF9169}"/>
    <hyperlink ref="B3998" r:id="rId12338" display="https://twitter.com/INCDOTPRINT" xr:uid="{343863AE-A2C8-4922-ABCB-0BAA28F9E68A}"/>
    <hyperlink ref="E3998" r:id="rId12339" display="https://twitter.com/INCDOTPRINT/status/723517672466604032" xr:uid="{37A12E8A-DCA2-4850-9CC9-0A65C14A5C21}"/>
    <hyperlink ref="O3998" r:id="rId12340" display="https://pbs.twimg.com/profile_images/639402958384406528/YUebc_U3_normal.jpg" xr:uid="{B30D5C7F-96C5-495F-A7F9-B1BFDD2F82B7}"/>
    <hyperlink ref="B3999" r:id="rId12341" display="https://twitter.com/mucahitkara85" xr:uid="{773A10DD-20CB-4016-8019-0673D39725F8}"/>
    <hyperlink ref="E3999" r:id="rId12342" display="https://twitter.com/mucahitkara85/status/723517682692308992" xr:uid="{7B6A0E6B-2BEE-4921-AB14-BAF90531BE05}"/>
    <hyperlink ref="O3999" r:id="rId12343" display="https://pbs.twimg.com/profile_images/581483594796933120/2NMk7cPY_normal.jpg" xr:uid="{4F7A1502-F172-4EC5-9DEA-9E9534C012A2}"/>
    <hyperlink ref="B4000" r:id="rId12344" display="https://twitter.com/DubLuvTuning" xr:uid="{3290B8E1-2502-490E-856E-C213592F2157}"/>
    <hyperlink ref="E4000" r:id="rId12345" display="https://twitter.com/DubLuvTuning/status/723517695849799682" xr:uid="{7DFAD887-9E7A-4C8C-B092-213C0CFF119A}"/>
    <hyperlink ref="O4000" r:id="rId12346" display="https://pbs.twimg.com/profile_images/378800000572104796/1de43e1cf23efb3f4101c02afad0d3b6_normal.png" xr:uid="{CACF4FA2-5225-484A-BAAB-8DD9E504006D}"/>
    <hyperlink ref="B4001" r:id="rId12347" display="https://twitter.com/louisa_faux" xr:uid="{7CCD04AF-4B61-42C6-8017-8B5FCF2712A1}"/>
    <hyperlink ref="E4001" r:id="rId12348" display="https://twitter.com/louisa_faux/status/723517745682214912" xr:uid="{C0A2E4DD-25F0-4B0C-BCE7-C012CF27E19E}"/>
    <hyperlink ref="O4001" r:id="rId12349" display="https://pbs.twimg.com/profile_images/719243773163622401/mD9s6Uh-_normal.jpg" xr:uid="{7CB4F5B4-A953-48AA-9D7C-2BE1BE418CC2}"/>
    <hyperlink ref="B4002" r:id="rId12350" display="https://twitter.com/doern" xr:uid="{197FF256-3F75-4EB3-832B-57CC6539F495}"/>
    <hyperlink ref="E4002" r:id="rId12351" display="https://twitter.com/doern/status/723517915308429313" xr:uid="{B073E505-B5EF-4622-8C62-B12E855F2FC0}"/>
    <hyperlink ref="O4002" r:id="rId12352" display="https://pbs.twimg.com/profile_images/657853466384191488/J6vAnfZr_normal.jpg" xr:uid="{10928ABA-0046-4769-BC5A-26EDC173623E}"/>
    <hyperlink ref="B4003" r:id="rId12353" display="https://twitter.com/Cougs2001" xr:uid="{92B2740A-75BE-4C68-8227-6B1BF3D5E792}"/>
    <hyperlink ref="E4003" r:id="rId12354" display="https://twitter.com/Cougs2001/status/723517953472401409" xr:uid="{486E1B4D-EF04-41D2-8A79-BB177AFA718B}"/>
    <hyperlink ref="O4003" r:id="rId12355" display="https://abs.twimg.com/sticky/default_profile_images/default_profile_2_normal.png" xr:uid="{68C7C3A8-F994-4F02-A961-2402351FC769}"/>
    <hyperlink ref="B4004" r:id="rId12356" display="https://twitter.com/MarkCSchneider" xr:uid="{8B26E763-EFFC-407C-AD01-B6A70E38DE9A}"/>
    <hyperlink ref="E4004" r:id="rId12357" display="https://twitter.com/MarkCSchneider/status/723518099220238336" xr:uid="{D9EAB9B8-758B-4CB3-A102-2F3A69D6A5A6}"/>
    <hyperlink ref="O4004" r:id="rId12358" display="https://pbs.twimg.com/profile_images/706784695795769345/XGXgdjww_normal.jpg" xr:uid="{5F5FAE76-2E3C-4E50-B29D-23288FA46218}"/>
    <hyperlink ref="B4005" r:id="rId12359" display="https://twitter.com/BREAKING_EIL" xr:uid="{679480E1-FBC0-40F5-B483-09D1B0268A37}"/>
    <hyperlink ref="E4005" r:id="rId12360" display="https://twitter.com/BREAKING_EIL/status/723518241868517376" xr:uid="{6DA9CDDD-996F-4577-9375-78EC57BCE51C}"/>
    <hyperlink ref="O4005" r:id="rId12361" display="https://pbs.twimg.com/profile_images/694544968380211200/WqH7tnjz_normal.png" xr:uid="{33FAC25B-24AF-4614-A6B8-F754B541FC9B}"/>
    <hyperlink ref="B4006" r:id="rId12362" display="https://twitter.com/_Alex_Berlin" xr:uid="{E5A466B5-7298-43D6-80CB-146395C0A836}"/>
    <hyperlink ref="E4006" r:id="rId12363" display="https://twitter.com/_Alex_Berlin/status/723518272738570241" xr:uid="{1A357B2F-8FB4-40B1-8C14-95CE89FBF1E2}"/>
    <hyperlink ref="O4006" r:id="rId12364" display="https://pbs.twimg.com/profile_images/1397629173/kaas_elias_3670b_800pxl_web72dpi_normal.jpg" xr:uid="{6FFA09AE-BB55-4017-8CDC-A1A15052A7B0}"/>
    <hyperlink ref="B4007" r:id="rId12365" display="https://twitter.com/handelsblatt" xr:uid="{88445E55-37C2-469E-83A1-3A68BBACF589}"/>
    <hyperlink ref="E4007" r:id="rId12366" display="https://twitter.com/handelsblatt/status/723518279155896320" xr:uid="{7B635584-1303-45A9-8DE1-79EE3F7F54FC}"/>
    <hyperlink ref="O4007" r:id="rId12367" display="https://pbs.twimg.com/profile_images/562563461171798017/AkHF4keI_normal.png" xr:uid="{734FD8B3-B45B-4926-AB67-7B1B0FE7A571}"/>
    <hyperlink ref="B4008" r:id="rId12368" display="https://twitter.com/agy_nes" xr:uid="{E05BADAE-CA95-4C45-BF8E-2708D9255BE3}"/>
    <hyperlink ref="E4008" r:id="rId12369" display="https://twitter.com/agy_nes/status/723518303000518656" xr:uid="{731C3FEA-80D8-4FA5-AF9D-CDFBFAD85F50}"/>
    <hyperlink ref="O4008" r:id="rId12370" display="https://pbs.twimg.com/profile_images/721572226600943616/rLXy7VpS_normal.jpg" xr:uid="{96ADBA77-03BB-4D38-A5C9-113C9CED2ED8}"/>
    <hyperlink ref="B4009" r:id="rId12371" display="https://twitter.com/aNyWaytwit" xr:uid="{41AEA734-BF80-49AB-8E5F-42FAC1FAB0E9}"/>
    <hyperlink ref="E4009" r:id="rId12372" display="https://twitter.com/aNyWaytwit/status/723518360386940928" xr:uid="{7147E457-0F5A-4ED6-B10B-628CEBC682C9}"/>
    <hyperlink ref="O4009" r:id="rId12373" display="https://pbs.twimg.com/profile_images/661205328676155393/kBCgriiB_normal.jpg" xr:uid="{0E885DE3-46B1-4B6A-8EDA-4E9EC483B369}"/>
    <hyperlink ref="B4010" r:id="rId12374" display="https://twitter.com/NetzwerkggS21" xr:uid="{FD92B647-5C26-43B0-88C8-185B511B321B}"/>
    <hyperlink ref="E4010" r:id="rId12375" display="https://twitter.com/NetzwerkggS21/status/723518361594937344" xr:uid="{3AB7CDC5-A4F3-406D-98C0-64C0F212C4B0}"/>
    <hyperlink ref="M4010" r:id="rId12376" xr:uid="{037BA772-BDD3-48BF-9592-12A0C6FFC0DB}"/>
    <hyperlink ref="O4010" r:id="rId12377" display="https://pbs.twimg.com/profile_images/378800000528765970/3ab9f2a00010e9cac08d5ca1638926e9_normal.png" xr:uid="{622E533B-39BC-4578-A321-950FE730CBA8}"/>
    <hyperlink ref="B4011" r:id="rId12378" display="https://twitter.com/MKreutzfeldt" xr:uid="{A49BD677-F9EA-453A-94CE-9134C45B0B66}"/>
    <hyperlink ref="E4011" r:id="rId12379" display="https://twitter.com/MKreutzfeldt/status/723518393219948544" xr:uid="{7A2E77C3-FD31-40C6-A97B-C11692AEEA7F}"/>
    <hyperlink ref="O4011" r:id="rId12380" display="https://pbs.twimg.com/profile_images/2223831714/Malte_Kreutzfeldt1_normal.JPG" xr:uid="{23E0F014-06C4-481A-9616-6F5C5FCC01F9}"/>
    <hyperlink ref="B4012" r:id="rId12381" display="https://twitter.com/Banxcartoons" xr:uid="{F5EF6AC8-D608-4186-BFCF-EE83DBEC0253}"/>
    <hyperlink ref="E4012" r:id="rId12382" display="https://twitter.com/Banxcartoons/status/723518561503875073" xr:uid="{F4AA309B-EA9E-451A-8F02-DCB5B61C0740}"/>
    <hyperlink ref="O4012" r:id="rId12383" display="https://pbs.twimg.com/profile_images/3109038181/915f6081a62df61f489500d2548bd918_normal.jpeg" xr:uid="{88C671EA-8867-4184-8F0C-52E62A31980C}"/>
    <hyperlink ref="B4013" r:id="rId12384" display="https://twitter.com/Emil_Blume" xr:uid="{945805D1-4189-4C3A-ABD5-D8B7020CA67A}"/>
    <hyperlink ref="E4013" r:id="rId12385" display="https://twitter.com/Emil_Blume/status/723518655322034177" xr:uid="{B296EE08-98B7-40E5-A4EA-AF5AC0931D84}"/>
    <hyperlink ref="O4013" r:id="rId12386" display="https://pbs.twimg.com/profile_images/512821568980803584/Q94LVvjN_normal.jpeg" xr:uid="{D03FA15B-8469-443E-90C2-1FBC0B30EF2D}"/>
    <hyperlink ref="B4014" r:id="rId12387" display="https://twitter.com/089stadt" xr:uid="{5064F880-473D-4413-A75F-A33CB4C601D6}"/>
    <hyperlink ref="E4014" r:id="rId12388" display="https://twitter.com/089stadt/status/723518663651930113" xr:uid="{445A8AAC-6D57-4B7C-8228-B68B27F3D3AE}"/>
    <hyperlink ref="O4014" r:id="rId12389" display="https://pbs.twimg.com/profile_images/1785128505/munich_normal.png" xr:uid="{3B8C50FD-8F85-4122-B4FB-F62AB7998660}"/>
    <hyperlink ref="B4015" r:id="rId12390" display="https://twitter.com/MarkCSchneider" xr:uid="{85ABFA45-9587-44A0-AEB4-0A55B12C1E26}"/>
    <hyperlink ref="E4015" r:id="rId12391" display="https://twitter.com/MarkCSchneider/status/723518726172205056" xr:uid="{58B46C71-916D-45FA-BCE2-C4D485E855C6}"/>
    <hyperlink ref="O4015" r:id="rId12392" display="https://pbs.twimg.com/profile_images/706784695795769345/XGXgdjww_normal.jpg" xr:uid="{C889CF92-4969-46E3-83B3-211A68F8148A}"/>
    <hyperlink ref="B4016" r:id="rId12393" display="https://twitter.com/Mike_LaJoice" xr:uid="{241E98FF-69CD-451D-BEE9-B9261E14E329}"/>
    <hyperlink ref="E4016" r:id="rId12394" display="https://twitter.com/Mike_LaJoice/status/723518848457052161" xr:uid="{FC2C09B3-D90A-4998-9AC5-6841FC448B01}"/>
    <hyperlink ref="O4016" r:id="rId12395" display="https://pbs.twimg.com/profile_images/633276567108489216/1e2exrfA_normal.jpg" xr:uid="{DA7E5884-C4FE-4640-8EDC-7401BF43CDDA}"/>
    <hyperlink ref="B4017" r:id="rId12396" display="https://twitter.com/VWBeetleSales" xr:uid="{31541BAF-921A-4CB5-B8F3-09B5B45F5908}"/>
    <hyperlink ref="E4017" r:id="rId12397" display="https://twitter.com/VWBeetleSales/status/723518998642450432" xr:uid="{A8A59349-0019-42ED-8937-1F41986B107C}"/>
    <hyperlink ref="F4017" r:id="rId12398" xr:uid="{57F99670-690F-4427-A6F5-1FE31890212F}"/>
    <hyperlink ref="O4017" r:id="rId12399" display="https://pbs.twimg.com/profile_images/703294545195307008/qeCvrX86_normal.jpg" xr:uid="{03EDDF3F-D02F-445F-B232-05C459472864}"/>
    <hyperlink ref="B4018" r:id="rId12400" display="https://twitter.com/MarkCSchneider" xr:uid="{1F6F7507-50FA-42FA-AC6B-DA4C2DD5837B}"/>
    <hyperlink ref="E4018" r:id="rId12401" display="https://twitter.com/MarkCSchneider/status/723519045723643904" xr:uid="{0D3B8CA5-D512-4936-A96F-48F59057E17B}"/>
    <hyperlink ref="O4018" r:id="rId12402" display="https://pbs.twimg.com/profile_images/706784695795769345/XGXgdjww_normal.jpg" xr:uid="{9E6A2262-36EF-4E52-AA28-9A96215C5109}"/>
    <hyperlink ref="B4019" r:id="rId12403" display="https://twitter.com/mu_giwara" xr:uid="{C1F43E65-E94A-463B-937D-3DA7F90A2735}"/>
    <hyperlink ref="E4019" r:id="rId12404" display="https://twitter.com/mu_giwara/status/723519088023105537" xr:uid="{5126DC98-8510-45E7-A4D3-EFB04C2DAA82}"/>
    <hyperlink ref="O4019" r:id="rId12405" display="https://pbs.twimg.com/profile_images/715422219283763200/IW3j7Y1J_normal.jpg" xr:uid="{2F72D831-CC39-4967-BB8A-B470D8400908}"/>
    <hyperlink ref="B4020" r:id="rId12406" display="https://twitter.com/Desert_Eagle_HG" xr:uid="{6D31F7DF-DEA4-4859-AEE4-748EA3691F54}"/>
    <hyperlink ref="E4020" r:id="rId12407" display="https://twitter.com/Desert_Eagle_HG/status/723519194126532608" xr:uid="{98EC0783-8AE5-4F53-8104-3F22AA3F232E}"/>
    <hyperlink ref="O4020" r:id="rId12408" display="https://pbs.twimg.com/profile_images/656603059733319680/7--uR5Pv_normal.jpg" xr:uid="{1AF8DBCA-0468-46E9-A88C-F424CA3ECA80}"/>
    <hyperlink ref="B4021" r:id="rId12409" display="https://twitter.com/fr" xr:uid="{D3D01FCB-BA2F-4DD9-B311-71048896AF1E}"/>
    <hyperlink ref="E4021" r:id="rId12410" display="https://twitter.com/fr/status/723519334077833216" xr:uid="{66054DF2-A256-462E-BF29-B69F971E8C30}"/>
    <hyperlink ref="O4021" r:id="rId12411" display="https://pbs.twimg.com/profile_images/378800000730199993/4cc42b7be5291c568b05b651a903d3d3_normal.jpeg" xr:uid="{5200DCFC-2D48-4B28-9E97-15F3C558D1DE}"/>
    <hyperlink ref="B4022" r:id="rId12412" display="https://twitter.com/MarkCSchneider" xr:uid="{F9F89E4A-E55D-4043-8B19-3EA3CFE1F4A7}"/>
    <hyperlink ref="E4022" r:id="rId12413" display="https://twitter.com/MarkCSchneider/status/723519364541100032" xr:uid="{9021802B-386F-41F4-B4F3-87077F6CB2F5}"/>
    <hyperlink ref="O4022" r:id="rId12414" display="https://pbs.twimg.com/profile_images/706784695795769345/XGXgdjww_normal.jpg" xr:uid="{71E7390A-3973-4690-BD81-F042D6471D52}"/>
    <hyperlink ref="B4023" r:id="rId12415" display="https://twitter.com/dgauche" xr:uid="{EE3836DD-16A3-4076-9E31-86D14EB9F147}"/>
    <hyperlink ref="E4023" r:id="rId12416" display="https://twitter.com/dgauche/status/723519370077605889" xr:uid="{75BBA03F-4C77-48BE-9BB8-8B2B1C4972E8}"/>
    <hyperlink ref="O4023" r:id="rId12417" display="https://pbs.twimg.com/profile_images/53014642/t543458272_7574_1__normal.jpg" xr:uid="{3439A24A-1EB4-4F7E-A15C-EA5D1EC2C0E5}"/>
    <hyperlink ref="B4024" r:id="rId12418" display="https://twitter.com/Automobilwoche" xr:uid="{9BC88B86-1896-4C98-A610-540FE3F3897A}"/>
    <hyperlink ref="E4024" r:id="rId12419" display="https://twitter.com/Automobilwoche/status/723519390390599681" xr:uid="{16D9B890-3834-40CE-941A-0EF86D5F34A4}"/>
    <hyperlink ref="O4024" r:id="rId12420" display="https://pbs.twimg.com/profile_images/507806117125038081/vOVRGVfm_normal.png" xr:uid="{2551DD17-40AF-4138-8CA9-DC7BC5555397}"/>
    <hyperlink ref="B4025" r:id="rId12421" display="https://twitter.com/New_Media_TN" xr:uid="{59809E55-2D32-4607-85A1-6226694B6F1F}"/>
    <hyperlink ref="E4025" r:id="rId12422" display="https://twitter.com/New_Media_TN/status/723519412981116928" xr:uid="{8A2D0A16-5C2D-4BE4-9B36-AB95F2156857}"/>
    <hyperlink ref="O4025" r:id="rId12423" display="https://pbs.twimg.com/profile_images/2861532780/f29ae99069f14ff439b16922da9337a2_normal.jpeg" xr:uid="{A8460F0E-9B70-422D-B0FB-00D861C7714A}"/>
    <hyperlink ref="B4026" r:id="rId12424" display="https://twitter.com/RippedFlower" xr:uid="{2E94C9C7-2AC9-43F6-835F-7D96D1BC8E62}"/>
    <hyperlink ref="E4026" r:id="rId12425" display="https://twitter.com/RippedFlower/status/723519429552668672" xr:uid="{A0CAA671-F3A0-4441-8CDA-F200F678D026}"/>
    <hyperlink ref="O4026" r:id="rId12426" display="https://pbs.twimg.com/profile_images/505852375911780352/2-ZN7ue2_normal.jpeg" xr:uid="{7175D9C7-970B-443C-8D3B-710C7783E8AE}"/>
    <hyperlink ref="B4027" r:id="rId12427" display="https://twitter.com/ozaed" xr:uid="{84B7E91F-CCD7-4447-BEA3-2BC87C649C3F}"/>
    <hyperlink ref="E4027" r:id="rId12428" display="https://twitter.com/ozaed/status/723519461815377920" xr:uid="{9C82628F-93A3-41BF-9C09-183910C98EDF}"/>
    <hyperlink ref="O4027" r:id="rId12429" display="https://pbs.twimg.com/profile_images/1453053624/me_normal.jpg" xr:uid="{C7AC9203-4A4E-4E40-AFE6-AB1766EA8F5C}"/>
    <hyperlink ref="B4028" r:id="rId12430" display="https://twitter.com/ElderSpook" xr:uid="{E589DD10-6E44-408F-BD4B-F6F02D246A0D}"/>
    <hyperlink ref="E4028" r:id="rId12431" display="https://twitter.com/ElderSpook/status/723519508888064002" xr:uid="{049C3CEC-BA67-40C4-968D-F559874DAE87}"/>
    <hyperlink ref="O4028" r:id="rId12432" display="https://pbs.twimg.com/profile_images/2634940473/7d8ea12c1c843f4e963e4553fbf7d1d8_normal.jpeg" xr:uid="{DC5A0B7D-0B41-4CA3-8EC9-87C8C8DDC141}"/>
    <hyperlink ref="B4029" r:id="rId12433" display="https://twitter.com/selmissary" xr:uid="{A8B9BEEA-419D-441D-BADC-DF58A2500CBA}"/>
    <hyperlink ref="E4029" r:id="rId12434" display="https://twitter.com/selmissary/status/723519547828015106" xr:uid="{E2BB6713-C7EB-4E47-B99B-658F5CF1B5B5}"/>
    <hyperlink ref="O4029" r:id="rId12435" display="https://pbs.twimg.com/profile_images/3023094301/7299b75257d79082c0ff884278e113cd_normal.png" xr:uid="{538ECF4B-4CF0-4473-9DF3-EE2806538AA7}"/>
    <hyperlink ref="B4030" r:id="rId12436" display="https://twitter.com/mokomokai" xr:uid="{B1C5C4A4-1631-4C5F-8128-B8788CE0A95B}"/>
    <hyperlink ref="E4030" r:id="rId12437" display="https://twitter.com/mokomokai/status/723519652924530688" xr:uid="{126921E4-2660-495A-B432-BFF66043F95C}"/>
    <hyperlink ref="O4030" r:id="rId12438" display="https://pbs.twimg.com/profile_images/1289359150/Xenon07.2_normal.jpg" xr:uid="{15FA38ED-62B3-4423-906A-606F5DA3ECEC}"/>
    <hyperlink ref="B4031" r:id="rId12439" display="https://twitter.com/Stony_BS" xr:uid="{E63EC91C-4D8A-4555-829C-CBEE50692C84}"/>
    <hyperlink ref="E4031" r:id="rId12440" display="https://twitter.com/Stony_BS/status/723519682557427712" xr:uid="{F8B8E096-35DF-4177-973F-0939330C917D}"/>
    <hyperlink ref="O4031" r:id="rId12441" display="https://pbs.twimg.com/profile_images/668091779313500160/ZepxnJcI_normal.jpg" xr:uid="{52B0BCE7-159D-4764-A0E3-82B526A39136}"/>
    <hyperlink ref="B4032" r:id="rId12442" display="https://twitter.com/mokomokai" xr:uid="{A60D8D3D-1A22-41E3-B852-6D6C7ABD43A9}"/>
    <hyperlink ref="E4032" r:id="rId12443" display="https://twitter.com/mokomokai/status/723519687330402306" xr:uid="{69630F4F-AA97-4B42-9F6F-0C0761660D0E}"/>
    <hyperlink ref="O4032" r:id="rId12444" display="https://pbs.twimg.com/profile_images/1289359150/Xenon07.2_normal.jpg" xr:uid="{1DAAC91B-0F7D-492F-9DDA-8BB541D61009}"/>
    <hyperlink ref="B4033" r:id="rId12445" display="https://twitter.com/Murgpirat" xr:uid="{0ED108A3-BED4-4A8C-8DB0-1F04EDA96546}"/>
    <hyperlink ref="E4033" r:id="rId12446" display="https://twitter.com/Murgpirat/status/723519710034321408" xr:uid="{2383BDCE-5F12-4F1F-B51D-69344127A091}"/>
    <hyperlink ref="O4033" r:id="rId12447" display="https://pbs.twimg.com/profile_images/633404179340464128/r2aQ_hAU_normal.jpg" xr:uid="{45F88170-A57A-4818-941C-0C020B26E4E5}"/>
    <hyperlink ref="B4034" r:id="rId12448" display="https://twitter.com/mokomokai" xr:uid="{FD1C77A6-8C44-4468-A531-2A9B6285D248}"/>
    <hyperlink ref="E4034" r:id="rId12449" display="https://twitter.com/mokomokai/status/723519751717154816" xr:uid="{945ABCC5-783F-4718-95C0-240C03CEB5FC}"/>
    <hyperlink ref="O4034" r:id="rId12450" display="https://pbs.twimg.com/profile_images/1289359150/Xenon07.2_normal.jpg" xr:uid="{EF65A602-0160-40CD-9E86-97FF7BAFEC66}"/>
    <hyperlink ref="B4035" r:id="rId12451" display="https://twitter.com/mokomokai" xr:uid="{AE779A90-2401-4E93-9112-E932B4417145}"/>
    <hyperlink ref="E4035" r:id="rId12452" display="https://twitter.com/mokomokai/status/723519785900761089" xr:uid="{9F7CB88A-3743-4636-A22C-FB21A8981281}"/>
    <hyperlink ref="O4035" r:id="rId12453" display="https://pbs.twimg.com/profile_images/1289359150/Xenon07.2_normal.jpg" xr:uid="{7CC25E29-3C68-4789-9640-BEDC9BB436EA}"/>
    <hyperlink ref="B4036" r:id="rId12454" display="https://twitter.com/mokomokai" xr:uid="{36ECE06E-6CD2-471E-BD6A-A380D3B57A5B}"/>
    <hyperlink ref="E4036" r:id="rId12455" display="https://twitter.com/mokomokai/status/723519820436627457" xr:uid="{05250670-5E9F-4DD9-87A8-36392AE0C6F8}"/>
    <hyperlink ref="O4036" r:id="rId12456" display="https://pbs.twimg.com/profile_images/1289359150/Xenon07.2_normal.jpg" xr:uid="{5C8AA787-AECB-480F-9D0C-BFB528ADBC78}"/>
    <hyperlink ref="B4037" r:id="rId12457" display="https://twitter.com/mokomokai" xr:uid="{7350E537-BAB5-42CF-ABB6-456C266F9F2D}"/>
    <hyperlink ref="E4037" r:id="rId12458" display="https://twitter.com/mokomokai/status/723519873381339138" xr:uid="{5DD758C2-C0B6-4071-BC3A-65BD7F708B76}"/>
    <hyperlink ref="O4037" r:id="rId12459" display="https://pbs.twimg.com/profile_images/1289359150/Xenon07.2_normal.jpg" xr:uid="{596ECBE0-49A5-4E26-82DB-CFB4E611911C}"/>
    <hyperlink ref="B4038" r:id="rId12460" display="https://twitter.com/Petercampbell1" xr:uid="{13412128-025D-46A5-9BC1-840E873C59AD}"/>
    <hyperlink ref="E4038" r:id="rId12461" display="https://twitter.com/Petercampbell1/status/723519877890367488" xr:uid="{532A1BAF-32C7-40D0-B0A8-E8474EBDB1E2}"/>
    <hyperlink ref="O4038" r:id="rId12462" display="https://pbs.twimg.com/profile_images/704718766937149441/7ol1plMg_normal.jpg" xr:uid="{9B8CE337-CD31-4E5B-AA31-D58601BC742F}"/>
    <hyperlink ref="B4039" r:id="rId12463" display="https://twitter.com/RippedFlower" xr:uid="{1227642B-174C-4BF7-823C-EA4CE541151B}"/>
    <hyperlink ref="E4039" r:id="rId12464" display="https://twitter.com/RippedFlower/status/723519903332884480" xr:uid="{2B2ADF0D-5C94-48C8-8290-F72293CA0B76}"/>
    <hyperlink ref="O4039" r:id="rId12465" display="https://pbs.twimg.com/profile_images/505852375911780352/2-ZN7ue2_normal.jpeg" xr:uid="{E6A1AC70-5CE2-4336-A714-C4970112D59C}"/>
    <hyperlink ref="B4040" r:id="rId12466" display="https://twitter.com/mokomokai" xr:uid="{9ABD176B-1EF2-40D1-905B-3A3EC2F4BB9D}"/>
    <hyperlink ref="E4040" r:id="rId12467" display="https://twitter.com/mokomokai/status/723519912975552512" xr:uid="{45E15F6E-AFD1-4480-AA40-7C39207D850F}"/>
    <hyperlink ref="O4040" r:id="rId12468" display="https://pbs.twimg.com/profile_images/1289359150/Xenon07.2_normal.jpg" xr:uid="{46987586-97CA-4304-80FC-5749541E684C}"/>
    <hyperlink ref="B4041" r:id="rId12469" display="https://twitter.com/vdub_mike" xr:uid="{80993382-70AF-4C37-A8DC-AE3657FF07DC}"/>
    <hyperlink ref="E4041" r:id="rId12470" display="https://twitter.com/vdub_mike/status/723519921909538818" xr:uid="{9B3F96F3-9BE9-4B83-AF9D-384FBC0F8562}"/>
    <hyperlink ref="O4041" r:id="rId12471" display="https://pbs.twimg.com/profile_images/523830605642235904/liOKs1KD_normal.jpeg" xr:uid="{0BE0CBF6-E6A7-4426-A61D-A63EDD0FC64B}"/>
    <hyperlink ref="B4042" r:id="rId12472" display="https://twitter.com/TwittingThom" xr:uid="{48D64A9F-6545-446D-900B-57CD3FBCC211}"/>
    <hyperlink ref="E4042" r:id="rId12473" display="https://twitter.com/TwittingThom/status/723519935289405440" xr:uid="{ECDA409A-F219-4345-BDA6-DC0CBBF93065}"/>
    <hyperlink ref="O4042" r:id="rId12474" display="https://pbs.twimg.com/profile_images/378800000609525841/bf683b759226dba86e05743861714a83_normal.jpeg" xr:uid="{50297F6D-C84A-471E-B1F5-EB45A176A759}"/>
    <hyperlink ref="B4043" r:id="rId12475" display="https://twitter.com/mokomokai" xr:uid="{E60841F7-2FA9-4036-ADF0-3FDF5D5901C7}"/>
    <hyperlink ref="E4043" r:id="rId12476" display="https://twitter.com/mokomokai/status/723519967501512704" xr:uid="{22933B91-750D-4E9A-9DEB-9BBDA3D979FD}"/>
    <hyperlink ref="O4043" r:id="rId12477" display="https://pbs.twimg.com/profile_images/1289359150/Xenon07.2_normal.jpg" xr:uid="{77F8D963-E4A9-475F-B2EB-9F9523C01E36}"/>
    <hyperlink ref="B4044" r:id="rId12478" display="https://twitter.com/wehrs18" xr:uid="{D91F86C9-4CDC-49C6-9560-80A1C32B685D}"/>
    <hyperlink ref="E4044" r:id="rId12479" display="https://twitter.com/wehrs18/status/723520230476124161" xr:uid="{2999338E-6E4F-46A5-A147-43B2303D93D7}"/>
    <hyperlink ref="O4044" r:id="rId12480" display="https://pbs.twimg.com/profile_images/687314255507513346/a83L5Opq_normal.jpg" xr:uid="{EE78B433-3465-490B-9C75-ADD75791675F}"/>
    <hyperlink ref="B4045" r:id="rId12481" display="https://twitter.com/xox0291" xr:uid="{E352E593-1772-46C9-9F59-6536E760D76F}"/>
    <hyperlink ref="E4045" r:id="rId12482" display="https://twitter.com/xox0291/status/723520524190507009" xr:uid="{0A55FA74-96A1-47F5-8C9D-E82E8499C166}"/>
    <hyperlink ref="O4045" r:id="rId12483" display="https://pbs.twimg.com/profile_images/714020995170967556/qughNF6c_normal.jpg" xr:uid="{0A122C72-811B-4744-87B3-1476F85F0A46}"/>
    <hyperlink ref="B4046" r:id="rId12484" display="https://twitter.com/juliocnunez11" xr:uid="{8ED31B9C-1D56-40D6-A38E-659E49D27D56}"/>
    <hyperlink ref="E4046" r:id="rId12485" display="https://twitter.com/juliocnunez11/status/723520558995001344" xr:uid="{7CCFE06F-A4BD-4DBE-BB53-6A347262317B}"/>
    <hyperlink ref="O4046" r:id="rId12486" display="https://pbs.twimg.com/profile_images/721550249739681792/eXb08SZE_normal.jpg" xr:uid="{CC7D9197-BD49-4A96-939B-73F2FA31D214}"/>
    <hyperlink ref="B4047" r:id="rId12487" display="https://twitter.com/Stony_BS" xr:uid="{C0917E6E-D82F-4627-A822-66B9485ED593}"/>
    <hyperlink ref="E4047" r:id="rId12488" display="https://twitter.com/Stony_BS/status/723520585532362753" xr:uid="{94A75522-8399-432C-8362-097F8E3EA7BD}"/>
    <hyperlink ref="O4047" r:id="rId12489" display="https://pbs.twimg.com/profile_images/668091779313500160/ZepxnJcI_normal.jpg" xr:uid="{E762A9A1-3A08-460B-A655-581BCF196275}"/>
    <hyperlink ref="B4048" r:id="rId12490" display="https://twitter.com/Lindsay_VW" xr:uid="{5E1354F2-D959-4CBE-9BA4-938E28260157}"/>
    <hyperlink ref="E4048" r:id="rId12491" display="https://twitter.com/Lindsay_VW/status/723520681351237634" xr:uid="{C4DD7BF9-FF95-4CF6-9131-9B2FDAF8FC5F}"/>
    <hyperlink ref="O4048" r:id="rId12492" display="https://pbs.twimg.com/profile_images/716020780899807232/fnaRfVpE_normal.jpg" xr:uid="{4910DD31-6EEF-46F5-86A5-EB18103FA4D1}"/>
    <hyperlink ref="B4049" r:id="rId12493" display="https://twitter.com/wehrs18" xr:uid="{1F2709DE-6537-4923-9DA2-71BBBE8729AD}"/>
    <hyperlink ref="E4049" r:id="rId12494" display="https://twitter.com/wehrs18/status/723520757150715904" xr:uid="{27101F90-A7D1-40F7-A7EB-A677F6255AF4}"/>
    <hyperlink ref="O4049" r:id="rId12495" display="https://pbs.twimg.com/profile_images/687314255507513346/a83L5Opq_normal.jpg" xr:uid="{27F8A77B-1786-455A-8BF8-6B355482FFFF}"/>
    <hyperlink ref="B4050" r:id="rId12496" display="https://twitter.com/ant2014ant" xr:uid="{BA294F13-EEE9-4872-AEFD-E443021C3A77}"/>
    <hyperlink ref="E4050" r:id="rId12497" display="https://twitter.com/ant2014ant/status/723520789388120064" xr:uid="{7E6E8A7E-B7AF-4FF6-A0BF-DAC1C29D5894}"/>
    <hyperlink ref="O4050" r:id="rId12498" display="https://pbs.twimg.com/profile_images/590874983687188481/yxUz-_MP_normal.jpg" xr:uid="{9D75FF34-00CF-4F94-B428-696131410F6C}"/>
    <hyperlink ref="B4051" r:id="rId12499" display="https://twitter.com/Kurtzer90" xr:uid="{5BC5B785-F5F4-47B2-8E60-4C1C8A2DBC00}"/>
    <hyperlink ref="E4051" r:id="rId12500" display="https://twitter.com/Kurtzer90/status/723520870455599105" xr:uid="{283C7A69-5E7D-450B-A8F0-B2B8524F2E34}"/>
    <hyperlink ref="O4051" r:id="rId12501" display="https://pbs.twimg.com/profile_images/463700870073286657/N6mCbx-y_normal.png" xr:uid="{3E68139E-360B-4B36-B7D8-B97820CDC329}"/>
    <hyperlink ref="B4052" r:id="rId12502" display="https://twitter.com/dapper013" xr:uid="{57B71A2E-877E-440E-B605-5C24035BB508}"/>
    <hyperlink ref="E4052" r:id="rId12503" display="https://twitter.com/dapper013/status/723521087812841473" xr:uid="{FEC9F198-D40A-42C0-B276-24B2671FC083}"/>
    <hyperlink ref="O4052" r:id="rId12504" display="https://pbs.twimg.com/profile_images/704424786777280513/YQVkJF57_normal.jpg" xr:uid="{87660309-D9F3-44C0-9E99-2A0534340573}"/>
    <hyperlink ref="B4053" r:id="rId12505" display="https://twitter.com/Frauimspiegel" xr:uid="{6385481D-4ADE-460B-8545-87FCC18CD436}"/>
    <hyperlink ref="E4053" r:id="rId12506" display="https://twitter.com/Frauimspiegel/status/723521161515139072" xr:uid="{BBA0EA7D-3707-4429-ABFB-33615E340F1C}"/>
    <hyperlink ref="O4053" r:id="rId12507" display="https://pbs.twimg.com/profile_images/430452839006367744/g4pz6WaE_normal.jpeg" xr:uid="{072A958E-AC98-4FE6-9C42-2A4EA2228433}"/>
    <hyperlink ref="B4054" r:id="rId12508" display="https://twitter.com/Frauimspiegel" xr:uid="{09E52307-5350-4559-A8D6-DB65D44554A1}"/>
    <hyperlink ref="E4054" r:id="rId12509" display="https://twitter.com/Frauimspiegel/status/723521286002098176" xr:uid="{F61CD4C0-D58D-42D4-8DD5-DFEBB3C151EB}"/>
    <hyperlink ref="O4054" r:id="rId12510" display="https://pbs.twimg.com/profile_images/430452839006367744/g4pz6WaE_normal.jpeg" xr:uid="{66727E04-4A57-4398-A685-318FE2AFB149}"/>
    <hyperlink ref="B4055" r:id="rId12511" display="https://twitter.com/Umwelthilfe" xr:uid="{D6E20DAB-A24E-4393-BE14-5930C5312AED}"/>
    <hyperlink ref="E4055" r:id="rId12512" display="https://twitter.com/Umwelthilfe/status/723521573597138944" xr:uid="{83065F17-E5CC-4AB7-A943-D454025A3310}"/>
    <hyperlink ref="O4055" r:id="rId12513" display="https://pbs.twimg.com/profile_images/77910862/DUHLOG_nurKugel_3_normal.png" xr:uid="{7CD03BC4-6BA8-4599-8ED3-D65790A82885}"/>
    <hyperlink ref="B4056" r:id="rId12514" display="https://twitter.com/doern" xr:uid="{4C8FF706-C488-4244-99BC-C2BA9F8E1F1D}"/>
    <hyperlink ref="E4056" r:id="rId12515" display="https://twitter.com/doern/status/723521632892030976" xr:uid="{006327C0-EA86-4A6A-BC96-09353363D3F7}"/>
    <hyperlink ref="O4056" r:id="rId12516" display="https://pbs.twimg.com/profile_images/657853466384191488/J6vAnfZr_normal.jpg" xr:uid="{A243E9D6-3676-45A4-A1C8-5FA6FE41007F}"/>
    <hyperlink ref="B4057" r:id="rId12517" display="https://twitter.com/mdrde" xr:uid="{93AC9601-A5E9-4CE1-82AE-274E4588A31F}"/>
    <hyperlink ref="E4057" r:id="rId12518" display="https://twitter.com/mdrde/status/723521652315828224" xr:uid="{14111ED4-FD96-4A9E-8CE9-A4DDE4B9FD9A}"/>
    <hyperlink ref="O4057" r:id="rId12519" display="https://pbs.twimg.com/profile_images/1815194206/twitter-icon-mdr-180_normal.png" xr:uid="{947DE3FE-C803-4CF7-AEBE-48E0F911B671}"/>
    <hyperlink ref="B4058" r:id="rId12520" display="https://twitter.com/RacingPuma" xr:uid="{691213BA-CE82-4A41-B953-CA7BF9543911}"/>
    <hyperlink ref="E4058" r:id="rId12521" display="https://twitter.com/RacingPuma/status/723521664252796928" xr:uid="{B6521AA6-F49D-43FE-9714-4F5EF05D7EFB}"/>
    <hyperlink ref="O4058" r:id="rId12522" display="https://pbs.twimg.com/profile_images/378800000418575802/4990a46bd29dcada9f2cccf9e58c242d_normal.jpeg" xr:uid="{2F16388E-508A-49EC-9940-E544C5C4E4A9}"/>
    <hyperlink ref="B4059" r:id="rId12523" display="https://twitter.com/Renesource" xr:uid="{D3EB99C1-BD7D-4EDA-A07A-DDB98AF2B401}"/>
    <hyperlink ref="E4059" r:id="rId12524" display="https://twitter.com/Renesource/status/723521686864289796" xr:uid="{0BB0FE1A-3DF6-47BE-A464-1449F9C3E8F8}"/>
    <hyperlink ref="O4059" r:id="rId12525" display="https://pbs.twimg.com/profile_images/438637572571402240/qxEeY-G4_normal.png" xr:uid="{8BC5F04F-D04C-4F10-AC04-37326B4C6CC4}"/>
    <hyperlink ref="B4060" r:id="rId12526" display="https://twitter.com/hameles" xr:uid="{E35500B1-0F1D-4336-A070-7211ABA74F7D}"/>
    <hyperlink ref="E4060" r:id="rId12527" display="https://twitter.com/hameles/status/723521825939034112" xr:uid="{9337A8EA-AC78-47A8-BBA9-EE47C59B3820}"/>
    <hyperlink ref="O4060" r:id="rId12528" display="https://pbs.twimg.com/profile_images/720884007152394240/OWYVobwN_normal.jpg" xr:uid="{26EB55E6-0F8F-48A9-B774-E044005303E2}"/>
    <hyperlink ref="B4061" r:id="rId12529" display="https://twitter.com/patriarchator" xr:uid="{9F878B10-9D30-444D-BDCD-2B64AE895D62}"/>
    <hyperlink ref="E4061" r:id="rId12530" display="https://twitter.com/patriarchator/status/723521885313572864" xr:uid="{33B42F7A-124D-46D1-B59F-431FF3C57CBF}"/>
    <hyperlink ref="O4061" r:id="rId12531" display="https://pbs.twimg.com/profile_images/702919440787230720/9VN-nh33_normal.jpg" xr:uid="{137FFF42-3211-4142-9CF1-2F2FF3E32D57}"/>
    <hyperlink ref="B4062" r:id="rId12532" display="https://twitter.com/VWBeetleSales" xr:uid="{BD050BFD-6031-4718-A403-0F94A5691011}"/>
    <hyperlink ref="E4062" r:id="rId12533" display="https://twitter.com/VWBeetleSales/status/723522021963927555" xr:uid="{F1EE1DDB-C258-4A62-8C80-73A1C70CFD83}"/>
    <hyperlink ref="F4062" r:id="rId12534" xr:uid="{F610D4D4-B8F0-4A5A-85CD-C42811B4FADC}"/>
    <hyperlink ref="O4062" r:id="rId12535" display="https://pbs.twimg.com/profile_images/703294545195307008/qeCvrX86_normal.jpg" xr:uid="{3AEC3CAE-BCCA-42FF-A880-601383D92A35}"/>
    <hyperlink ref="B4063" r:id="rId12536" display="https://twitter.com/ollitsch09" xr:uid="{F1275EB9-88C3-4E39-A49D-D7E491E70DE1}"/>
    <hyperlink ref="E4063" r:id="rId12537" display="https://twitter.com/ollitsch09/status/723522231163297792" xr:uid="{BDC28F93-8B11-4FC0-90C7-F05D7590EE01}"/>
    <hyperlink ref="O4063" r:id="rId12538" display="https://pbs.twimg.com/profile_images/655026824540528642/89ysiAGi_normal.jpg" xr:uid="{AFD6DFB1-5410-4888-AA68-09360C296E49}"/>
    <hyperlink ref="B4064" r:id="rId12539" display="https://twitter.com/handelsblatt" xr:uid="{421A6B5C-0E5F-42FC-8F3E-4B8489959F4F}"/>
    <hyperlink ref="E4064" r:id="rId12540" display="https://twitter.com/handelsblatt/status/723522241527427072" xr:uid="{E883898C-4FCA-4344-A822-E224F2A92BBC}"/>
    <hyperlink ref="O4064" r:id="rId12541" display="https://pbs.twimg.com/profile_images/562563461171798017/AkHF4keI_normal.png" xr:uid="{413FCF6E-BA57-4921-A6AF-1FD286BE51CD}"/>
    <hyperlink ref="B4065" r:id="rId12542" display="https://twitter.com/margotoge" xr:uid="{046FCF5C-EA46-40D4-8F3A-755CE7AB97D9}"/>
    <hyperlink ref="E4065" r:id="rId12543" display="https://twitter.com/margotoge/status/723522305826131968" xr:uid="{81D89C00-6E63-4302-AABF-BD0FD7601D8D}"/>
    <hyperlink ref="O4065" r:id="rId12544" display="https://pbs.twimg.com/profile_images/629348818593705986/WKGmcgtV_normal.jpg" xr:uid="{1E08966E-43AC-42F0-9C2F-E2A88DD7C4BC}"/>
    <hyperlink ref="B4066" r:id="rId12545" display="https://twitter.com/ManuelaKC" xr:uid="{AF33365A-E547-4735-83A7-6CC5563F10AA}"/>
    <hyperlink ref="E4066" r:id="rId12546" display="https://twitter.com/ManuelaKC/status/723522330908102656" xr:uid="{07127DF4-688D-4438-BCE0-8F28ADBAC44D}"/>
    <hyperlink ref="O4066" r:id="rId12547" display="https://pbs.twimg.com/profile_images/3272805912/cc8e643d4da4f63d27bc817e690d7d74_normal.jpeg" xr:uid="{3B33C602-1649-47FC-8ABF-6893FAB4F104}"/>
    <hyperlink ref="B4067" r:id="rId12548" display="https://twitter.com/HansTheGerman" xr:uid="{9CB66F3B-9C80-4185-80FE-488043FA3F0B}"/>
    <hyperlink ref="E4067" r:id="rId12549" display="https://twitter.com/HansTheGerman/status/723522408133566464" xr:uid="{B00F26CE-21F9-4490-A576-D6F78EF3D7AC}"/>
    <hyperlink ref="O4067" r:id="rId12550" display="https://pbs.twimg.com/profile_images/3012106875/596e712c99a38ec69b925b7f7ab71986_normal.jpeg" xr:uid="{DACE2252-37BF-4D47-8F7D-F5D846EEC7BE}"/>
    <hyperlink ref="B4068" r:id="rId12551" display="https://twitter.com/BayrleU" xr:uid="{18794C9A-75AE-4D91-B445-7A6CCA41676E}"/>
    <hyperlink ref="E4068" r:id="rId12552" display="https://twitter.com/BayrleU/status/723522452563890177" xr:uid="{910CF0E3-FE06-4CF3-87C9-A2686E683406}"/>
    <hyperlink ref="O4068" r:id="rId12553" display="https://pbs.twimg.com/profile_images/563085898670411776/v47_gzDm_normal.jpeg" xr:uid="{5A6F7E70-58AC-4119-92F9-D0324DF77120}"/>
    <hyperlink ref="B4069" r:id="rId12554" display="https://twitter.com/actuauto" xr:uid="{491149FA-7E7C-4CDA-AE37-AFD966C09AA9}"/>
    <hyperlink ref="E4069" r:id="rId12555" display="https://twitter.com/actuauto/status/723522499514892288" xr:uid="{384EF155-6492-4A7D-9956-1A50164B3682}"/>
    <hyperlink ref="O4069" r:id="rId12556" display="https://pbs.twimg.com/profile_images/691178485/ActuautoS_normal.jpg" xr:uid="{CA6EB5E0-6096-47D4-A26A-EC366FABD671}"/>
    <hyperlink ref="B4070" r:id="rId12557" display="https://twitter.com/1590KLIV" xr:uid="{3555F3B0-36A2-40DF-B7FA-D14534825E3B}"/>
    <hyperlink ref="E4070" r:id="rId12558" display="https://twitter.com/1590KLIV/status/723522524856889344" xr:uid="{1FA8F7DB-1B10-4155-8423-89DC630A934B}"/>
    <hyperlink ref="O4070" r:id="rId12559" display="https://pbs.twimg.com/profile_images/719591616244101121/Qa95u8rF_normal.jpg" xr:uid="{FB300EB6-97B5-4959-87F8-9CAD571E34CD}"/>
    <hyperlink ref="B4071" r:id="rId12560" display="https://twitter.com/dw_wirtschaft" xr:uid="{9609AF82-6AC7-4279-B657-2AF50548323B}"/>
    <hyperlink ref="E4071" r:id="rId12561" display="https://twitter.com/dw_wirtschaft/status/723522558864330752" xr:uid="{27930C91-4E68-497B-A75C-05B5D8D61F6D}"/>
    <hyperlink ref="O4071" r:id="rId12562" display="https://pbs.twimg.com/profile_images/474185502388518912/sROk9L0u_normal.png" xr:uid="{86C6BB7B-97C5-4E81-AD4E-CA92D03F678F}"/>
    <hyperlink ref="B4072" r:id="rId12563" display="https://twitter.com/HuebschenH" xr:uid="{CAA6B079-F401-4B42-897A-1528FDF1E09D}"/>
    <hyperlink ref="E4072" r:id="rId12564" display="https://twitter.com/HuebschenH/status/723522594914349056" xr:uid="{BF93E25D-93C5-4C83-B5BF-060A7EF09236}"/>
    <hyperlink ref="O4072" r:id="rId12565" display="https://pbs.twimg.com/profile_images/691969719759405057/pgVDkYmL_normal.jpg" xr:uid="{B479A398-753A-435E-B445-90D0BD41BF8B}"/>
    <hyperlink ref="B4073" r:id="rId12566" display="https://twitter.com/ErnstvAll" xr:uid="{7B6749DE-0A6A-48C2-8541-C428E3BF878E}"/>
    <hyperlink ref="E4073" r:id="rId12567" display="https://twitter.com/ErnstvAll/status/723522667253518336" xr:uid="{23EAFD51-C293-4AE5-90AC-2E25576E0B5A}"/>
    <hyperlink ref="O4073" r:id="rId12568" display="https://pbs.twimg.com/profile_images/722924621301956608/WYrNe6po_normal.jpg" xr:uid="{6E6675EC-E54B-4122-9AAB-F23085B01A0A}"/>
    <hyperlink ref="B4074" r:id="rId12569" display="https://twitter.com/VWCamperSales" xr:uid="{4FFB4392-1069-4E13-932F-29BC5E6E65FC}"/>
    <hyperlink ref="E4074" r:id="rId12570" display="https://twitter.com/VWCamperSales/status/723522677512663041" xr:uid="{C34FB3AF-D013-4CB1-8347-A2B87DD7048E}"/>
    <hyperlink ref="F4074" r:id="rId12571" xr:uid="{2DD736BD-DB86-40A8-AE45-46099D562977}"/>
    <hyperlink ref="O4074" r:id="rId12572" display="https://pbs.twimg.com/profile_images/627949001179037696/skEBkS05_normal.jpg" xr:uid="{A11DB779-760E-4485-9773-9FBAFFFF5E21}"/>
    <hyperlink ref="B4075" r:id="rId12573" display="https://twitter.com/AIADA_News" xr:uid="{E41E670C-E749-483B-AA3D-C4A18A8B76C9}"/>
    <hyperlink ref="E4075" r:id="rId12574" display="https://twitter.com/AIADA_News/status/723522734689423360" xr:uid="{796DEC2C-464F-4B0E-8F77-4A9A09A01B36}"/>
    <hyperlink ref="O4075" r:id="rId12575" display="https://pbs.twimg.com/profile_images/742950248/iStock_000010348636Medium_normal.jpg" xr:uid="{51119FE3-3D8E-49ED-B0A9-E9C47FDF10FB}"/>
    <hyperlink ref="B4076" r:id="rId12576" display="https://twitter.com/Scirocco_Tuning" xr:uid="{F0636CBD-E220-4FD1-82D5-6A9F849CFBA4}"/>
    <hyperlink ref="E4076" r:id="rId12577" display="https://twitter.com/Scirocco_Tuning/status/723522789521666048" xr:uid="{EDA54DAC-C47C-4110-BF08-C26320E02C8C}"/>
    <hyperlink ref="O4076" r:id="rId12578" display="https://pbs.twimg.com/profile_images/1610421423/Image2_normal.jpg" xr:uid="{FF50BE36-823E-4068-966F-34DB0B7ABF13}"/>
    <hyperlink ref="B4077" r:id="rId12579" display="https://twitter.com/CryptoMinerUK" xr:uid="{519362CB-1798-4B41-A8E5-C5F5AD5A5CD7}"/>
    <hyperlink ref="E4077" r:id="rId12580" display="https://twitter.com/CryptoMinerUK/status/723522811814391808" xr:uid="{DFF82168-7C92-40D6-9975-8DE956E97B40}"/>
    <hyperlink ref="O4077" r:id="rId12581" display="https://pbs.twimg.com/profile_images/446800255221116929/9hC1kwn1_normal.jpeg" xr:uid="{DEF17A88-9C3E-4AC9-8F24-623929A5C412}"/>
    <hyperlink ref="B4078" r:id="rId12582" display="https://twitter.com/nhenz" xr:uid="{8B1D5A0C-A167-403F-9243-A8B89A64804E}"/>
    <hyperlink ref="E4078" r:id="rId12583" display="https://twitter.com/nhenz/status/723522991032774656" xr:uid="{2EBD5133-D901-49FB-8A10-B2878E1B0D9B}"/>
    <hyperlink ref="O4078" r:id="rId12584" display="https://pbs.twimg.com/profile_images/2248440235/IMAG0006_normal.jpg" xr:uid="{27DB2641-9D56-4834-8608-327C98134F88}"/>
    <hyperlink ref="B4079" r:id="rId12585" display="https://twitter.com/MargaretFranci" xr:uid="{7B89F8E1-BED7-4E75-B871-2769BDE90327}"/>
    <hyperlink ref="E4079" r:id="rId12586" display="https://twitter.com/MargaretFranci/status/723523024520015872" xr:uid="{CC1E117C-30F2-4BD4-BC99-9817611568F2}"/>
    <hyperlink ref="F4079" r:id="rId12587" xr:uid="{BC858A1F-D551-4AF7-9F3C-A9DF365B30FE}"/>
    <hyperlink ref="O4079" r:id="rId12588" display="https://pbs.twimg.com/profile_images/859575922/12023668553935076_normal.jpg" xr:uid="{76F83F64-4BBB-4477-8059-45D4EFFA48B5}"/>
    <hyperlink ref="B4080" r:id="rId12589" display="https://twitter.com/cartalk" xr:uid="{B27C0E0C-35C5-426D-AA75-4923602DEFC0}"/>
    <hyperlink ref="E4080" r:id="rId12590" display="https://twitter.com/cartalk/status/723523036079513600" xr:uid="{7340633F-D5E7-433F-8E6D-24F27033FE33}"/>
    <hyperlink ref="O4080" r:id="rId12591" display="https://pbs.twimg.com/profile_images/494221201976225792/yigdTLC1_normal.jpeg" xr:uid="{391B4CDB-E1A2-4004-9184-63B595714D1B}"/>
    <hyperlink ref="B4081" r:id="rId12592" display="https://twitter.com/jpeMEDIA" xr:uid="{2D965F54-1419-40C2-943A-AE7C28D3BC4C}"/>
    <hyperlink ref="E4081" r:id="rId12593" display="https://twitter.com/jpeMEDIA/status/723523040202477569" xr:uid="{856F9037-25EF-487F-A4CC-A02131204A63}"/>
    <hyperlink ref="F4081" r:id="rId12594" xr:uid="{FA9F584D-AB17-498A-AA37-6CDE6E527BC3}"/>
    <hyperlink ref="O4081" r:id="rId12595" display="https://pbs.twimg.com/profile_images/2370342850/wv88i2wso7ef6mvj1ym5_normal.jpeg" xr:uid="{D2310FC3-96F5-445A-A529-42D564C669E1}"/>
    <hyperlink ref="B4082" r:id="rId12596" display="https://twitter.com/NDRreporter" xr:uid="{E4070A4B-6308-4EB6-90E5-9CFD7C9D22DD}"/>
    <hyperlink ref="E4082" r:id="rId12597" display="https://twitter.com/NDRreporter/status/723523047228096512" xr:uid="{AFFB469F-DFC7-44B5-810A-65A749011D65}"/>
    <hyperlink ref="O4082" r:id="rId12598" display="https://pbs.twimg.com/profile_images/466908605317279744/I5a712BQ_normal.jpeg" xr:uid="{79B99E6E-1374-4749-AF15-76B2286EF57D}"/>
    <hyperlink ref="B4083" r:id="rId12599" display="https://twitter.com/frank_volk" xr:uid="{3D5417B7-3A15-4B83-852A-51471A79BE1A}"/>
    <hyperlink ref="E4083" r:id="rId12600" display="https://twitter.com/frank_volk/status/723523109018570753" xr:uid="{0DA2A2B4-5E9C-4582-BB15-5866E8E8D179}"/>
    <hyperlink ref="O4083" r:id="rId12601" display="https://pbs.twimg.com/profile_images/667782416749240324/YPeXdS-L_normal.jpg" xr:uid="{01516FE7-FB51-482C-A8BA-21498D95986C}"/>
    <hyperlink ref="B4084" r:id="rId12602" display="https://twitter.com/w_todts" xr:uid="{0EB30A05-D971-4CCF-AEFA-E43F35850816}"/>
    <hyperlink ref="E4084" r:id="rId12603" display="https://twitter.com/w_todts/status/723523432189706240" xr:uid="{B8C2DBFF-8519-4804-A54F-79EC249E8616}"/>
    <hyperlink ref="O4084" r:id="rId12604" display="https://pbs.twimg.com/profile_images/556038240734441472/Y3DFwmUK_normal.jpeg" xr:uid="{32E0D3A4-712C-4956-AD48-0F8776F37EB0}"/>
    <hyperlink ref="B4085" r:id="rId12605" display="https://twitter.com/HansTheGerman" xr:uid="{6E9119A9-0C8D-43BF-975C-F4447EF0878D}"/>
    <hyperlink ref="E4085" r:id="rId12606" display="https://twitter.com/HansTheGerman/status/723523465463103488" xr:uid="{4E131F39-5110-42DC-B490-AC1D5092F976}"/>
    <hyperlink ref="O4085" r:id="rId12607" display="https://pbs.twimg.com/profile_images/3012106875/596e712c99a38ec69b925b7f7ab71986_normal.jpeg" xr:uid="{B0854554-2078-419E-8D7C-7E9DDEBC20E1}"/>
    <hyperlink ref="B4086" r:id="rId12608" display="https://twitter.com/DaveTrowel" xr:uid="{B5849F41-2158-40B0-A802-B77E7E5FAE21}"/>
    <hyperlink ref="E4086" r:id="rId12609" display="https://twitter.com/DaveTrowel/status/723523588473626624" xr:uid="{BEC3A999-A3B3-492A-95E4-197820E74D1D}"/>
    <hyperlink ref="O4086" r:id="rId12610" display="https://pbs.twimg.com/profile_images/639676736498745344/4aW2pDT8_normal.jpg" xr:uid="{7B542677-877C-424A-8D9C-8DE9CF507FFB}"/>
    <hyperlink ref="B4087" r:id="rId12611" display="https://twitter.com/TeroHakola" xr:uid="{13CDA166-F1A7-4114-A1FD-60FD3639AF0F}"/>
    <hyperlink ref="E4087" r:id="rId12612" display="https://twitter.com/TeroHakola/status/723523856208535553" xr:uid="{E230D8D4-2EBA-4D15-89E4-B9EACE218ADB}"/>
    <hyperlink ref="O4087" r:id="rId12613" display="https://pbs.twimg.com/profile_images/2907571831/3e7faf922d5d13b5b2aeb2b46b7b83d0_normal.jpeg" xr:uid="{64F5C6FC-FCB4-4B07-9C51-364CF59F4A93}"/>
    <hyperlink ref="B4088" r:id="rId12614" display="https://twitter.com/mjhirschland" xr:uid="{98437023-B18D-4B15-A89B-C99F7ADC83EB}"/>
    <hyperlink ref="E4088" r:id="rId12615" display="https://twitter.com/mjhirschland/status/723523934054801409" xr:uid="{EA3B3BD5-F0F9-4977-94BA-A2B50CEB64BF}"/>
    <hyperlink ref="O4088" r:id="rId12616" display="https://pbs.twimg.com/profile_images/378800000763070214/a2567f72f328f657d35cb24c52138e11_normal.jpeg" xr:uid="{781041C0-D03D-4895-9B8E-71BE9078338B}"/>
    <hyperlink ref="B4089" r:id="rId12617" display="https://twitter.com/kreisnagel" xr:uid="{A2D67233-7C09-49C8-BC42-32E210F07B3D}"/>
    <hyperlink ref="E4089" r:id="rId12618" display="https://twitter.com/kreisnagel/status/723523975188459524" xr:uid="{7744BC4C-17D4-40E3-A065-0D9858BA50E6}"/>
    <hyperlink ref="O4089" r:id="rId12619" display="https://pbs.twimg.com/profile_images/555790567519432704/kJr7YaAm_normal.jpeg" xr:uid="{9FCB030B-F6AB-41CB-937D-53ED2521FF59}"/>
    <hyperlink ref="B4090" r:id="rId12620" display="https://twitter.com/mondedelauto" xr:uid="{F0A59C76-05A5-4C32-B92E-DB8807862A37}"/>
    <hyperlink ref="E4090" r:id="rId12621" display="https://twitter.com/mondedelauto/status/723523994704568320" xr:uid="{118672BA-D90F-4F9C-A224-59D2EC74C264}"/>
    <hyperlink ref="O4090" r:id="rId12622" display="https://pbs.twimg.com/profile_images/695355061635932160/5oTfZ6Ac_normal.jpg" xr:uid="{D33D1DD8-F7E5-4209-8277-5F06AC81E053}"/>
    <hyperlink ref="B4091" r:id="rId12623" display="https://twitter.com/RecorderTweets" xr:uid="{FFE52944-F895-4D10-80E5-2F4A886B2286}"/>
    <hyperlink ref="E4091" r:id="rId12624" display="https://twitter.com/RecorderTweets/status/723524020721881088" xr:uid="{D885ED92-EBD3-4691-B6F7-4823599438C1}"/>
    <hyperlink ref="O4091" r:id="rId12625" display="https://pbs.twimg.com/profile_images/572482317193474048/RjdWJzV5_normal.png" xr:uid="{636BAA99-1D4A-4FD6-81DB-4E13245DCED2}"/>
    <hyperlink ref="B4092" r:id="rId12626" display="https://twitter.com/tagesschau" xr:uid="{6B27A011-6B6B-41A6-B727-43865C77EAE5}"/>
    <hyperlink ref="E4092" r:id="rId12627" display="https://twitter.com/tagesschau/status/723524075474300928" xr:uid="{1FD63D22-6DC9-4857-933B-B63653A4C574}"/>
    <hyperlink ref="O4092" r:id="rId12628" display="https://pbs.twimg.com/profile_images/531688614640365568/U84uXoIT_normal.png" xr:uid="{33810DE4-5510-46C5-A6F2-DF6CB4C37892}"/>
    <hyperlink ref="B4093" r:id="rId12629" display="https://twitter.com/hotchkis" xr:uid="{AA09C853-DD9A-4A7F-9A2E-BAED3F2BB9B7}"/>
    <hyperlink ref="E4093" r:id="rId12630" display="https://twitter.com/hotchkis/status/723524117174050817" xr:uid="{DBF0EDFC-B64A-44CD-A1D7-17F83283A23B}"/>
    <hyperlink ref="O4093" r:id="rId12631" display="https://pbs.twimg.com/profile_images/74132592/Hotch-Square_normal.jpg" xr:uid="{D3E81C71-116D-433C-A67E-2EE87A69A0D9}"/>
    <hyperlink ref="B4094" r:id="rId12632" display="https://twitter.com/SieverdingHans" xr:uid="{202E642C-760E-4653-8574-44192FCDE967}"/>
    <hyperlink ref="E4094" r:id="rId12633" display="https://twitter.com/SieverdingHans/status/723524166788501504" xr:uid="{A0EA3C11-163B-4AF2-9D22-962FA2C7D797}"/>
    <hyperlink ref="O4094" r:id="rId12634" display="https://pbs.twimg.com/profile_images/3758867067/49a4437fcabe0ae7ffe37145ac7aa56f_normal.jpeg" xr:uid="{2F9109FC-0F37-4001-922C-4F2879D9E2EF}"/>
    <hyperlink ref="B4095" r:id="rId12635" display="https://twitter.com/GDhring" xr:uid="{D05B81DF-F63E-43D2-AF33-3C18347CD6F5}"/>
    <hyperlink ref="E4095" r:id="rId12636" display="https://twitter.com/GDhring/status/723524212237979650" xr:uid="{F05FB35C-8523-45E2-9967-92D12CFE8682}"/>
    <hyperlink ref="O4095" r:id="rId12637" display="https://pbs.twimg.com/profile_images/378800000531647842/65cc463b8f48e5e61eaaf225aaaf706c_normal.jpeg" xr:uid="{0D983A29-1C88-432F-BB10-AEC793AFF6FC}"/>
    <hyperlink ref="B4096" r:id="rId12638" display="https://twitter.com/monasterium" xr:uid="{C5410FA3-E28A-4E4D-B76E-7516BA2097A5}"/>
    <hyperlink ref="E4096" r:id="rId12639" display="https://twitter.com/monasterium/status/723524221717098496" xr:uid="{F2FA5FCD-2C7D-49F4-9FB2-EE62572BAC19}"/>
    <hyperlink ref="O4096" r:id="rId12640" display="https://pbs.twimg.com/profile_images/723256543500750848/z3umc0Bz_normal.jpg" xr:uid="{21E69110-36D5-4269-80BC-FC0F18AD1C0D}"/>
    <hyperlink ref="B4097" r:id="rId12641" display="https://twitter.com/AchillePrick" xr:uid="{81572113-2BB8-4B62-98DC-5CC160FEFFDF}"/>
    <hyperlink ref="E4097" r:id="rId12642" display="https://twitter.com/AchillePrick/status/723524263118954497" xr:uid="{E21D800C-01BC-4F4C-8E6C-816834D443DA}"/>
    <hyperlink ref="O4097" r:id="rId12643" display="https://pbs.twimg.com/profile_images/630378503/AchilleNos_normal.jpg" xr:uid="{45F28F90-B627-4832-B2C0-0107CC43D79F}"/>
    <hyperlink ref="B4098" r:id="rId12644" display="https://twitter.com/habo11" xr:uid="{971CB9F9-CF4A-4419-AA9A-B07D03277207}"/>
    <hyperlink ref="E4098" r:id="rId12645" display="https://twitter.com/habo11/status/723524295402655744" xr:uid="{5271EB9A-DAAE-467D-936F-6419B50AAEEC}"/>
    <hyperlink ref="O4098" r:id="rId12646" display="https://pbs.twimg.com/profile_images/420917107438915584/gJTup5FM_normal.jpeg" xr:uid="{3040543C-0E00-47B3-B8D3-B8ADD7617735}"/>
    <hyperlink ref="B4099" r:id="rId12647" display="https://twitter.com/Rob_Vela" xr:uid="{172C55EC-7204-42F3-AED0-A3D78F7DF033}"/>
    <hyperlink ref="E4099" r:id="rId12648" display="https://twitter.com/Rob_Vela/status/723524326725697536" xr:uid="{82B22799-CBBB-4673-BBD6-D17CFCE15990}"/>
    <hyperlink ref="O4099" r:id="rId12649" display="https://pbs.twimg.com/profile_images/715610629428625408/kmrVb60G_normal.jpg" xr:uid="{D8AB0C7E-969F-4B96-9092-FDE7EFB57546}"/>
    <hyperlink ref="B4100" r:id="rId12650" display="https://twitter.com/fontain_eric" xr:uid="{ADAB73C1-7EA5-4ACE-9748-7A954E467BF8}"/>
    <hyperlink ref="E4100" r:id="rId12651" display="https://twitter.com/fontain_eric/status/723524518938025984" xr:uid="{C29912D4-16A9-44D0-8ED9-E2076045A6D2}"/>
    <hyperlink ref="O4100" r:id="rId12652" display="https://abs.twimg.com/sticky/default_profile_images/default_profile_4_normal.png" xr:uid="{95024881-3B05-4471-BCAA-6D15C2AC250D}"/>
    <hyperlink ref="B4101" r:id="rId12653" display="https://twitter.com/phoenix_kom" xr:uid="{1D56B0E2-B07F-4A82-81AA-4A5FADF1B8B9}"/>
    <hyperlink ref="E4101" r:id="rId12654" display="https://twitter.com/phoenix_kom/status/723524523849469952" xr:uid="{00798E8B-79A0-4614-83F4-2EE4A60A57E5}"/>
    <hyperlink ref="O4101" r:id="rId12655" display="https://pbs.twimg.com/profile_images/433240550620147713/gn7IHF5i_normal.jpeg" xr:uid="{493AA742-62F3-41F9-8143-39DC3FBEE46A}"/>
    <hyperlink ref="B4102" r:id="rId12656" display="https://twitter.com/juergen_p" xr:uid="{0E6CB3E5-B350-4D71-8370-5841A4286AF1}"/>
    <hyperlink ref="E4102" r:id="rId12657" display="https://twitter.com/juergen_p/status/723524735640997889" xr:uid="{CDB525A7-0E08-4BB2-A7DE-F02426D07ABB}"/>
    <hyperlink ref="O4102" r:id="rId12658" display="https://pbs.twimg.com/profile_images/617071435937353728/o2OhSPML_normal.jpg" xr:uid="{C16ECCF6-F0F6-4858-A552-DFD5C5D3BC84}"/>
    <hyperlink ref="B4103" r:id="rId12659" display="https://twitter.com/shortymatic" xr:uid="{C9DD3F17-1035-489D-977C-0B7B0B071BB4}"/>
    <hyperlink ref="E4103" r:id="rId12660" display="https://twitter.com/shortymatic/status/723524748186116096" xr:uid="{F263FFA3-8EB0-43A2-985A-B72F89E1E37B}"/>
    <hyperlink ref="O4103" r:id="rId12661" display="https://pbs.twimg.com/profile_images/648638699165642756/OSCQkuR4_normal.jpg" xr:uid="{6FE3A867-9425-4AB8-8CD1-B095E66FB157}"/>
    <hyperlink ref="B4104" r:id="rId12662" display="https://twitter.com/dewunmigabriel" xr:uid="{330E1699-019B-4C7E-AA93-5C50639FB4F8}"/>
    <hyperlink ref="E4104" r:id="rId12663" display="https://twitter.com/dewunmigabriel/status/723524827324227584" xr:uid="{F65A4CD4-0A4C-4A1E-8825-2F2B41913138}"/>
    <hyperlink ref="O4104" r:id="rId12664" display="https://pbs.twimg.com/profile_images/698608824723316738/_2TJheMu_normal.jpg" xr:uid="{B54096D2-C899-4306-8026-E4F687F96F8B}"/>
    <hyperlink ref="B4105" r:id="rId12665" display="https://twitter.com/bonzoboy" xr:uid="{3B600BA9-5A12-416A-ABCC-AA6EBFB62E7A}"/>
    <hyperlink ref="E4105" r:id="rId12666" display="https://twitter.com/bonzoboy/status/723524833380851716" xr:uid="{D87D868E-5A61-441D-9B71-001AD0423169}"/>
    <hyperlink ref="O4105" r:id="rId12667" display="https://pbs.twimg.com/profile_images/376745218/100-0061_Rising_normal.jpg" xr:uid="{331110F6-F86C-45A6-ADEF-65BA88802F1A}"/>
    <hyperlink ref="B4106" r:id="rId12668" display="https://twitter.com/ClicksandTips" xr:uid="{9352503E-3A40-4E66-B91D-6D82C946C97F}"/>
    <hyperlink ref="E4106" r:id="rId12669" display="https://twitter.com/ClicksandTips/status/723524848572588032" xr:uid="{71B4DACE-50E9-47F2-AE97-8214D2686D3C}"/>
    <hyperlink ref="O4106" r:id="rId12670" display="https://pbs.twimg.com/profile_images/533025138682236928/VN3qzJr8_normal.png" xr:uid="{0433C612-EC68-47D2-B333-571E3948E0CB}"/>
    <hyperlink ref="B4107" r:id="rId12671" display="https://twitter.com/auxua" xr:uid="{18E97908-F93A-4E07-AFD4-F2AA5A01F413}"/>
    <hyperlink ref="E4107" r:id="rId12672" display="https://twitter.com/auxua/status/723524865735688192" xr:uid="{8DDA1F23-EAD0-4B6A-9EC7-26C776432E7E}"/>
    <hyperlink ref="O4107" r:id="rId12673" display="https://pbs.twimg.com/profile_images/378800000774936351/14379b24a7c1998879eb9cc017fdf15c_normal.png" xr:uid="{CC06DEEE-DC9F-4407-B352-7F533182078C}"/>
    <hyperlink ref="B4108" r:id="rId12674" display="https://twitter.com/vzbv" xr:uid="{338D02EA-BBEC-45F6-8A1A-101F055ED1C0}"/>
    <hyperlink ref="E4108" r:id="rId12675" display="https://twitter.com/vzbv/status/723524866721366017" xr:uid="{D3B352E2-2717-40B3-90CD-998EE4528796}"/>
    <hyperlink ref="O4108" r:id="rId12676" display="https://pbs.twimg.com/profile_images/617979796744568832/YHw6Izem_normal.jpg" xr:uid="{8947549F-4E5C-4899-AE29-33C6BF9B9A17}"/>
    <hyperlink ref="B4109" r:id="rId12677" display="https://twitter.com/NDRreporter" xr:uid="{CCB0EFF5-E7A5-446C-BE3B-9B52E7C7CCDD}"/>
    <hyperlink ref="E4109" r:id="rId12678" display="https://twitter.com/NDRreporter/status/723524881695014912" xr:uid="{DC0C1B8C-4864-4457-8DE6-E93F4A862598}"/>
    <hyperlink ref="O4109" r:id="rId12679" display="https://pbs.twimg.com/profile_images/466908605317279744/I5a712BQ_normal.jpeg" xr:uid="{A0905506-82C2-4E3F-938C-02C1CBD79395}"/>
    <hyperlink ref="B4110" r:id="rId12680" display="https://twitter.com/peter_hagen" xr:uid="{67719CA8-3F68-4134-B52E-2EC5D4AE7C3A}"/>
    <hyperlink ref="E4110" r:id="rId12681" display="https://twitter.com/peter_hagen/status/723525067477536768" xr:uid="{FF06DBE4-1950-4806-86D6-560F66D1CC45}"/>
    <hyperlink ref="O4110" r:id="rId12682" display="https://pbs.twimg.com/profile_images/720230297288196096/PZ-rMJyA_normal.jpg" xr:uid="{1710060A-7A7B-4647-9BAA-3DFD20938D4A}"/>
    <hyperlink ref="B4111" r:id="rId12683" display="https://twitter.com/ponquegala" xr:uid="{76BCE7E7-5E8B-4A0F-9895-A572EC66C1EA}"/>
    <hyperlink ref="E4111" r:id="rId12684" display="https://twitter.com/ponquegala/status/723525079578058754" xr:uid="{0D8A6F86-8EAA-4E65-876F-0099147EF16D}"/>
    <hyperlink ref="O4111" r:id="rId12685" display="https://pbs.twimg.com/profile_images/378800000335923270/28b93167d820ba328841ae78f0a9c5d4_normal.jpeg" xr:uid="{A75CA8B4-5DE8-4C63-B029-393D0C8773F2}"/>
    <hyperlink ref="B4112" r:id="rId12686" display="https://twitter.com/JenniPii" xr:uid="{E99E327A-2B08-4BAA-B3E7-601B6E5B9835}"/>
    <hyperlink ref="E4112" r:id="rId12687" display="https://twitter.com/JenniPii/status/723525158821060608" xr:uid="{A86D28FE-A7E4-4FFF-925A-28FF9B147964}"/>
    <hyperlink ref="O4112" r:id="rId12688" display="https://pbs.twimg.com/profile_images/722101790431260672/0vYDkuAk_normal.jpg" xr:uid="{5E124382-3F28-46AB-A09D-11C96731C919}"/>
    <hyperlink ref="B4113" r:id="rId12689" display="https://twitter.com/Pisepampell" xr:uid="{C96F70B6-0507-4242-92F8-27331B044B2C}"/>
    <hyperlink ref="E4113" r:id="rId12690" display="https://twitter.com/Pisepampell/status/723525286801887232" xr:uid="{0326232E-AB23-4A05-A842-E45553965DD0}"/>
    <hyperlink ref="O4113" r:id="rId12691" display="https://pbs.twimg.com/profile_images/711308346037501952/zocf3Fba_normal.jpg" xr:uid="{56ADAB67-64F9-4152-A4D0-81E0205F6369}"/>
    <hyperlink ref="B4114" r:id="rId12692" display="https://twitter.com/carstech42160" xr:uid="{AAEF6C19-C45E-45CF-BA57-4E6C61896BA5}"/>
    <hyperlink ref="E4114" r:id="rId12693" display="https://twitter.com/carstech42160/status/723525330649100288" xr:uid="{70BD34BC-F82B-406E-A66C-56C1CCED4798}"/>
    <hyperlink ref="O4114" r:id="rId12694" display="https://pbs.twimg.com/profile_images/709727688462831616/KG2oHK_4_normal.jpg" xr:uid="{3DB7D1E1-17A3-4892-8288-E4DC34D7FE3B}"/>
    <hyperlink ref="B4115" r:id="rId12695" display="https://twitter.com/C_Heinrich_83" xr:uid="{1C6EE99C-0E5B-493F-8121-11979FB4759B}"/>
    <hyperlink ref="E4115" r:id="rId12696" display="https://twitter.com/C_Heinrich_83/status/723525386571788289" xr:uid="{7B78DE1A-056C-43EB-9FB1-F40643577337}"/>
    <hyperlink ref="O4115" r:id="rId12697" display="https://pbs.twimg.com/profile_images/683592930918019072/SnHKNKAI_normal.jpg" xr:uid="{EF5CF9F3-4D31-4F45-80D7-1F4C6D78E90C}"/>
    <hyperlink ref="B4116" r:id="rId12698" display="https://twitter.com/tiffany1961" xr:uid="{FD9C6C01-F662-4E24-9C4C-90B4A5FF206D}"/>
    <hyperlink ref="E4116" r:id="rId12699" display="https://twitter.com/tiffany1961/status/723525388731822081" xr:uid="{FB7F18BC-E5BB-44C3-8E5F-88FCC7BFB912}"/>
    <hyperlink ref="O4116" r:id="rId12700" display="https://pbs.twimg.com/profile_images/707857213466013697/OKsPnLlb_normal.jpg" xr:uid="{CB147CFE-8345-4FF5-A676-B2528BFCE315}"/>
    <hyperlink ref="B4117" r:id="rId12701" display="https://twitter.com/Klimaatcombi" xr:uid="{7FFBE195-3C1E-4DAD-B323-DA6AF4C53315}"/>
    <hyperlink ref="E4117" r:id="rId12702" display="https://twitter.com/Klimaatcombi/status/723525565471424512" xr:uid="{7EA38B7F-8F77-4C59-8F03-D5B38E14CB3E}"/>
    <hyperlink ref="O4117" r:id="rId12703" display="https://pbs.twimg.com/profile_images/525996707830435840/HCZkBfU9_normal.jpeg" xr:uid="{29553C44-FD39-481C-B115-42166A7FB8CA}"/>
    <hyperlink ref="B4118" r:id="rId12704" display="https://twitter.com/RaulRadon" xr:uid="{1F0AD65A-E391-422B-8D01-F65230664AC8}"/>
    <hyperlink ref="E4118" r:id="rId12705" display="https://twitter.com/RaulRadon/status/723525601756340224" xr:uid="{DAAF1E9F-AF13-47FD-A796-C837FE214071}"/>
    <hyperlink ref="O4118" r:id="rId12706" display="https://pbs.twimg.com/profile_images/662140929361518592/fOJv2d0Z_normal.jpg" xr:uid="{F4EA6E51-AADB-45BF-AB0C-0EAA6F4D9B5C}"/>
    <hyperlink ref="B4119" r:id="rId12707" display="https://twitter.com/VroomInfos" xr:uid="{5110FD4D-2136-4AE8-9A78-8C6C4DDDFED5}"/>
    <hyperlink ref="E4119" r:id="rId12708" display="https://twitter.com/VroomInfos/status/723525675261501440" xr:uid="{D8C8F8A2-92DD-43D7-A1E5-9A8006C27ADD}"/>
    <hyperlink ref="O4119" r:id="rId12709" display="https://pbs.twimg.com/profile_images/549624289767354370/mc4p-Y4q_normal.jpeg" xr:uid="{524C4528-8C37-4EF6-8052-BF71F35A9FEF}"/>
    <hyperlink ref="B4120" r:id="rId12710" display="https://twitter.com/auxua" xr:uid="{59EBC30B-C4C1-40F6-A4F8-C3AC0BA9C3A3}"/>
    <hyperlink ref="E4120" r:id="rId12711" display="https://twitter.com/auxua/status/723525686955261954" xr:uid="{C60EF297-05F9-4B65-BB40-8E8F412DC086}"/>
    <hyperlink ref="O4120" r:id="rId12712" display="https://pbs.twimg.com/profile_images/378800000774936351/14379b24a7c1998879eb9cc017fdf15c_normal.png" xr:uid="{0EF309E1-E21B-4F0F-A0A7-2A7AFF0125BE}"/>
    <hyperlink ref="B4121" r:id="rId12713" display="https://twitter.com/VWCamperSales" xr:uid="{831DF863-B7F1-4291-870B-2239ECE6EA5F}"/>
    <hyperlink ref="E4121" r:id="rId12714" display="https://twitter.com/VWCamperSales/status/723525689555587072" xr:uid="{28462237-1589-45EF-A3AE-F970E9FF9D4E}"/>
    <hyperlink ref="F4121" r:id="rId12715" xr:uid="{25997067-2591-4778-8005-C5DB198F527A}"/>
    <hyperlink ref="O4121" r:id="rId12716" display="https://pbs.twimg.com/profile_images/627949001179037696/skEBkS05_normal.jpg" xr:uid="{572365F9-4258-462F-BEEE-329C8361CB78}"/>
    <hyperlink ref="B4122" r:id="rId12717" display="https://twitter.com/LucasCote86" xr:uid="{5F9F7A4D-B65D-456C-91F5-2ED566EF27CB}"/>
    <hyperlink ref="E4122" r:id="rId12718" display="https://twitter.com/LucasCote86/status/723525747831386114" xr:uid="{479AD452-BE2C-4237-A83A-EA22ECE09CA6}"/>
    <hyperlink ref="O4122" r:id="rId12719" display="https://pbs.twimg.com/profile_images/723338056477081600/7wDgXb-F_normal.jpg" xr:uid="{8F15D877-DE7F-45F9-86BD-A563A0111833}"/>
    <hyperlink ref="B4123" r:id="rId12720" display="https://twitter.com/OpenMarketingTV" xr:uid="{D0416A73-8E1B-4C19-AA1E-6D3268D002D5}"/>
    <hyperlink ref="E4123" r:id="rId12721" display="https://twitter.com/OpenMarketingTV/status/723525767704002560" xr:uid="{91D36DB6-7CF7-466C-B171-2628B77435EB}"/>
    <hyperlink ref="O4123" r:id="rId12722" display="https://pbs.twimg.com/profile_images/2416217270/6vmtlo7m644v6jwaux83_normal.jpeg" xr:uid="{08492994-8F73-4834-B804-65BE8466D3F8}"/>
    <hyperlink ref="B4124" r:id="rId12723" display="https://twitter.com/vwbusman72" xr:uid="{3B0713EF-51A8-46C9-8C31-6899822DE53C}"/>
    <hyperlink ref="E4124" r:id="rId12724" display="https://twitter.com/vwbusman72/status/723525937480998913" xr:uid="{6E0D7C69-1B7E-4D2A-8FEE-C70080EC2B32}"/>
    <hyperlink ref="O4124" r:id="rId12725" display="https://pbs.twimg.com/profile_images/535972937346863104/azd9tVvN_normal.jpeg" xr:uid="{6F3224B8-D215-416E-BE55-3FA4A860949A}"/>
    <hyperlink ref="B4125" r:id="rId12726" display="https://twitter.com/AllanTschirret" xr:uid="{67F38DBC-A8D7-4ED2-8227-0DD0157F46E2}"/>
    <hyperlink ref="E4125" r:id="rId12727" display="https://twitter.com/AllanTschirret/status/723526111553007618" xr:uid="{06C0E1CF-800F-4EA1-9E4D-7C69885141CB}"/>
    <hyperlink ref="O4125" r:id="rId12728" display="https://pbs.twimg.com/profile_images/663000824222785536/5NaF4ZUY_normal.jpg" xr:uid="{2B775837-ECB8-4905-BFCB-A9F18767C0D7}"/>
    <hyperlink ref="B4126" r:id="rId12729" display="https://twitter.com/rogerwilc00" xr:uid="{F55689D4-136D-4841-BB2F-7A3038ABD64C}"/>
    <hyperlink ref="E4126" r:id="rId12730" display="https://twitter.com/rogerwilc00/status/723526448108179456" xr:uid="{00DA042F-B86D-49B3-9533-34EE369205F1}"/>
    <hyperlink ref="O4126" r:id="rId12731" display="https://pbs.twimg.com/profile_images/721449536795840512/vY3zlT7W_normal.jpg" xr:uid="{C894CCFF-3D1E-4F48-A2EE-AC57E9F7DB64}"/>
    <hyperlink ref="B4127" r:id="rId12732" display="https://twitter.com/TEbhardt" xr:uid="{B00199BF-4172-4C6A-AFF4-2BB7C9EDC768}"/>
    <hyperlink ref="E4127" r:id="rId12733" display="https://twitter.com/TEbhardt/status/723526523077185538" xr:uid="{CC13BE00-5299-4D2D-8C81-CACA07E6764A}"/>
    <hyperlink ref="O4127" r:id="rId12734" display="https://pbs.twimg.com/profile_images/441939495328284672/Xue_FDuw_normal.jpeg" xr:uid="{C6451631-9F74-4C5A-8770-A66C8227E19E}"/>
    <hyperlink ref="B4128" r:id="rId12735" display="https://twitter.com/DavidDjward" xr:uid="{EA2E1FEC-828C-4F42-9287-C8AC97723DC6}"/>
    <hyperlink ref="E4128" r:id="rId12736" display="https://twitter.com/DavidDjward/status/723526758864195584" xr:uid="{60DE491F-B504-4478-8789-B1D5372707D7}"/>
    <hyperlink ref="O4128" r:id="rId12737" display="https://pbs.twimg.com/profile_images/414827767683764225/QFi6r81n_normal.jpeg" xr:uid="{F8BBA62A-95CD-43A1-9C71-7CE597BA7E45}"/>
    <hyperlink ref="B4129" r:id="rId12738" display="https://twitter.com/BerHerg" xr:uid="{DD17DEBD-BAA7-4E96-9E40-D5A806B2F040}"/>
    <hyperlink ref="E4129" r:id="rId12739" display="https://twitter.com/BerHerg/status/723526813486555137" xr:uid="{E576F0B5-0678-4963-A26E-1BFE4ADF90E3}"/>
    <hyperlink ref="O4129" r:id="rId12740" display="https://pbs.twimg.com/profile_images/1648827386/image_normal.jpg" xr:uid="{CBE835D7-1319-4379-90EF-457BCB8A9FF2}"/>
    <hyperlink ref="B4130" r:id="rId12741" display="https://twitter.com/stephankuehn" xr:uid="{95B2E05C-559C-4139-9010-5587CD47B69C}"/>
    <hyperlink ref="E4130" r:id="rId12742" display="https://twitter.com/stephankuehn/status/723526834911100928" xr:uid="{1A85AF37-6A59-4DD9-97F6-8C3DAC9E4ECD}"/>
    <hyperlink ref="O4130" r:id="rId12743" display="https://pbs.twimg.com/profile_images/644157980531904512/8ABcGAXt_normal.jpg" xr:uid="{A5ADE891-AE4C-445D-9365-C1BF1AABFED3}"/>
    <hyperlink ref="B4131" r:id="rId12744" display="https://twitter.com/BerHerg" xr:uid="{249FF80B-6AC3-43E7-8088-D30A7C357A31}"/>
    <hyperlink ref="E4131" r:id="rId12745" display="https://twitter.com/BerHerg/status/723526934735536128" xr:uid="{C62F8BC9-5B43-4956-833E-BC8F24400D33}"/>
    <hyperlink ref="O4131" r:id="rId12746" display="https://pbs.twimg.com/profile_images/1648827386/image_normal.jpg" xr:uid="{82387934-A88B-4996-B7DB-B57964C032DB}"/>
    <hyperlink ref="B4132" r:id="rId12747" display="https://twitter.com/RainerLoveiam" xr:uid="{9E378BD0-8E48-48A2-B755-017DADFAD537}"/>
    <hyperlink ref="E4132" r:id="rId12748" display="https://twitter.com/RainerLoveiam/status/723527002481930241" xr:uid="{0BBD3CF5-7C8E-473D-BA37-45904571953F}"/>
    <hyperlink ref="O4132" r:id="rId12749" display="https://pbs.twimg.com/profile_images/663496534898667520/iU7N9Oso_normal.jpg" xr:uid="{E603B9EB-6DD7-4060-B407-DAD247E7E254}"/>
    <hyperlink ref="B4133" r:id="rId12750" display="https://twitter.com/VWBeetleSales" xr:uid="{3229FF91-A279-4C13-9E76-89A6F1D356F4}"/>
    <hyperlink ref="E4133" r:id="rId12751" display="https://twitter.com/VWBeetleSales/status/723527041174233088" xr:uid="{46E49349-C9E2-497D-90FF-8C0D324DE7D5}"/>
    <hyperlink ref="F4133" r:id="rId12752" xr:uid="{97F3FB5C-3E98-49BF-8EAE-5C7D58C4A18B}"/>
    <hyperlink ref="O4133" r:id="rId12753" display="https://pbs.twimg.com/profile_images/703294545195307008/qeCvrX86_normal.jpg" xr:uid="{38239165-A56E-4450-96AF-C915F1229E0C}"/>
    <hyperlink ref="B4134" r:id="rId12754" display="https://twitter.com/Alchemy_weeH" xr:uid="{D94D2072-EDD0-4A99-8442-3B0C2E987066}"/>
    <hyperlink ref="E4134" r:id="rId12755" display="https://twitter.com/Alchemy_weeH/status/723527338894336000" xr:uid="{0E7AEE66-9624-479C-B640-6AAE9D012995}"/>
    <hyperlink ref="O4134" r:id="rId12756" display="https://pbs.twimg.com/profile_images/626062417886183424/m4YZf29c_normal.jpg" xr:uid="{5355118F-972B-4B5B-B66F-9E09BDF1A844}"/>
    <hyperlink ref="B4135" r:id="rId12757" display="https://twitter.com/VolkswagenPost" xr:uid="{63E33D6D-6887-4BD5-A433-C0BB516B4591}"/>
    <hyperlink ref="E4135" r:id="rId12758" display="https://twitter.com/VolkswagenPost/status/723527496646451200" xr:uid="{28F642B9-0D4F-4E18-9EE5-548CDB8A078B}"/>
    <hyperlink ref="O4135" r:id="rId12759" display="https://pbs.twimg.com/profile_images/530071272881803264/a_jcCmPZ_normal.png" xr:uid="{F7403165-C107-4BEA-A447-8542CE538FC3}"/>
    <hyperlink ref="B4136" r:id="rId12760" display="https://twitter.com/RauchenderColt" xr:uid="{7795D21D-0566-4E17-9FE9-9CC5B50B686B}"/>
    <hyperlink ref="E4136" r:id="rId12761" display="https://twitter.com/RauchenderColt/status/723527574824095744" xr:uid="{30B47472-864B-4786-B8AA-B149B03BACE6}"/>
    <hyperlink ref="O4136" r:id="rId12762" display="https://pbs.twimg.com/profile_images/662757783494926336/g_HgfE7j_normal.jpg" xr:uid="{596C4D5B-7D57-4278-8AD1-83D39674C35D}"/>
    <hyperlink ref="B4137" r:id="rId12763" display="https://twitter.com/myCarbe" xr:uid="{C011B021-51F6-4151-9E0E-E159385EFEDA}"/>
    <hyperlink ref="C4137" r:id="rId12764" xr:uid="{BE389C60-A228-4F46-9CF3-1EFB0C14576D}"/>
    <hyperlink ref="E4137" r:id="rId12765" display="https://twitter.com/myCarbe/status/723527589491560449" xr:uid="{65556C37-C258-4F10-A1E6-C5F4CD9F27C5}"/>
    <hyperlink ref="O4137" r:id="rId12766" display="https://pbs.twimg.com/profile_images/2754194923/5cb21cec531f4267a70e38e4d675cb79_normal.png" xr:uid="{8441021A-7503-411C-B2AD-89C068A59DF8}"/>
    <hyperlink ref="P4137" r:id="rId12767" location="51.1905989,3.2113301" display="http://ctrlq.org/maps/address/ - 51.1905989,3.2113301" xr:uid="{B22FBFBF-5DAC-4840-9A99-68DE41A913DB}"/>
    <hyperlink ref="B4138" r:id="rId12768" display="https://twitter.com/myCarbe" xr:uid="{811185FD-699F-4CE7-B8AC-4C8E40D2C5FE}"/>
    <hyperlink ref="C4138" r:id="rId12769" xr:uid="{BF836E9F-2035-4566-93AD-64932612CBCC}"/>
    <hyperlink ref="E4138" r:id="rId12770" display="https://twitter.com/myCarbe/status/723527592066854912" xr:uid="{9788591D-F459-47F6-B5FC-21370D348FE8}"/>
    <hyperlink ref="O4138" r:id="rId12771" display="https://pbs.twimg.com/profile_images/2754194923/5cb21cec531f4267a70e38e4d675cb79_normal.png" xr:uid="{B940E7BB-8B93-4364-9CC9-3701903D2EC7}"/>
    <hyperlink ref="P4138" r:id="rId12772" location="51.1905989,3.2113301" display="http://ctrlq.org/maps/address/ - 51.1905989,3.2113301" xr:uid="{B2D14257-4036-4DCC-9FF6-564A1F815A90}"/>
    <hyperlink ref="B4139" r:id="rId12773" display="https://twitter.com/myCarbe" xr:uid="{737E01F0-BD04-46C0-BA03-1416846CD867}"/>
    <hyperlink ref="C4139" r:id="rId12774" xr:uid="{897A4ED0-D855-4CD0-A0C6-595711817B50}"/>
    <hyperlink ref="E4139" r:id="rId12775" display="https://twitter.com/myCarbe/status/723527596449865729" xr:uid="{359364EC-2383-466E-A14D-B6B50E6B1CB7}"/>
    <hyperlink ref="O4139" r:id="rId12776" display="https://pbs.twimg.com/profile_images/2754194923/5cb21cec531f4267a70e38e4d675cb79_normal.png" xr:uid="{7AFCADFF-3B30-44A8-B35D-88E624E7F96F}"/>
    <hyperlink ref="P4139" r:id="rId12777" location="51.1905989,3.2113301" display="http://ctrlq.org/maps/address/ - 51.1905989,3.2113301" xr:uid="{EBEACEF2-A02B-47EF-9696-516B6973CE5A}"/>
    <hyperlink ref="B4140" r:id="rId12778" display="https://twitter.com/myCarbe" xr:uid="{4645C553-D1A2-4932-B253-CEDDBEF64F2F}"/>
    <hyperlink ref="C4140" r:id="rId12779" xr:uid="{03E2AFDD-D8D7-4EAC-A823-5AC09CDAAD44}"/>
    <hyperlink ref="E4140" r:id="rId12780" display="https://twitter.com/myCarbe/status/723527598639353856" xr:uid="{755A59A4-44DC-4766-8EFB-EEEE45AB2F8E}"/>
    <hyperlink ref="O4140" r:id="rId12781" display="https://pbs.twimg.com/profile_images/2754194923/5cb21cec531f4267a70e38e4d675cb79_normal.png" xr:uid="{22A911D1-50B3-4598-8459-45140676BBF1}"/>
    <hyperlink ref="P4140" r:id="rId12782" location="51.1905989,3.2113301" display="http://ctrlq.org/maps/address/ - 51.1905989,3.2113301" xr:uid="{8FA18F98-3781-4582-BE3F-67AD678948CA}"/>
    <hyperlink ref="B4141" r:id="rId12783" display="https://twitter.com/NetzwerkggS21" xr:uid="{2177D45D-7106-4F52-9CDF-4BE5DE697C78}"/>
    <hyperlink ref="E4141" r:id="rId12784" display="https://twitter.com/NetzwerkggS21/status/723527613348732928" xr:uid="{85CF6F97-B390-4B04-B326-BF1EDE44141D}"/>
    <hyperlink ref="M4141" r:id="rId12785" xr:uid="{5074737F-102E-489A-BC16-1D56AFF8552B}"/>
    <hyperlink ref="O4141" r:id="rId12786" display="https://pbs.twimg.com/profile_images/378800000528765970/3ab9f2a00010e9cac08d5ca1638926e9_normal.png" xr:uid="{F1D5E803-8EAF-4057-8C75-ECA74D6ED170}"/>
    <hyperlink ref="B4142" r:id="rId12787" display="https://twitter.com/Snoopy92" xr:uid="{34BE1106-6AEB-42D8-98FB-142D96E0DDBC}"/>
    <hyperlink ref="E4142" r:id="rId12788" display="https://twitter.com/Snoopy92/status/723527646810914818" xr:uid="{57E93FA4-D55F-4ABE-BC1B-0F80C3516C91}"/>
    <hyperlink ref="O4142" r:id="rId12789" display="https://pbs.twimg.com/profile_images/552919983752491008/q5ofDizB_normal.jpeg" xr:uid="{6771F2A8-4DAC-4B6D-BA37-AB68847F9FF9}"/>
    <hyperlink ref="B4143" r:id="rId12790" display="https://twitter.com/parthaabosu" xr:uid="{6678EA7E-AA48-401C-9150-4DF5511BA7AD}"/>
    <hyperlink ref="E4143" r:id="rId12791" display="https://twitter.com/parthaabosu/status/723527796966842370" xr:uid="{918671EB-8804-4C62-BE04-8208DDF23C33}"/>
    <hyperlink ref="O4143" r:id="rId12792" display="https://pbs.twimg.com/profile_images/692619790171504640/Xewtzk06_normal.jpg" xr:uid="{202940B9-D526-4E4F-BD73-B81E070A04CB}"/>
    <hyperlink ref="B4144" r:id="rId12793" display="https://twitter.com/beetlebug1938" xr:uid="{00294CBB-909C-421C-A19A-87ABB40943E0}"/>
    <hyperlink ref="E4144" r:id="rId12794" display="https://twitter.com/beetlebug1938/status/723527949815783424" xr:uid="{7C946812-37D6-4955-955B-094D1160A867}"/>
    <hyperlink ref="O4144" r:id="rId12795" display="https://pbs.twimg.com/profile_images/718820712757215233/LXXndPTS_normal.jpg" xr:uid="{1244973F-48CF-416F-B920-10C50AAACF8E}"/>
    <hyperlink ref="B4145" r:id="rId12796" display="https://twitter.com/sidpatankar" xr:uid="{B462570A-0465-4039-A59B-A16F2563C0CE}"/>
    <hyperlink ref="E4145" r:id="rId12797" display="https://twitter.com/sidpatankar/status/723527956719521792" xr:uid="{C3855B79-1CA9-45EC-A694-D33CBE6B7980}"/>
    <hyperlink ref="O4145" r:id="rId12798" display="https://pbs.twimg.com/profile_images/548011411176046593/gmgzzVtU_normal.jpeg" xr:uid="{976EDD7B-E0F9-42D7-A505-64A6DFACCD78}"/>
    <hyperlink ref="B4146" r:id="rId12799" display="https://twitter.com/beetlebug1938" xr:uid="{67F1C8F5-DC90-416A-B6E4-00E27D75AA33}"/>
    <hyperlink ref="E4146" r:id="rId12800" display="https://twitter.com/beetlebug1938/status/723527959009714176" xr:uid="{B44E5AA0-1269-4477-9F04-355DA60E7121}"/>
    <hyperlink ref="O4146" r:id="rId12801" display="https://pbs.twimg.com/profile_images/718820712757215233/LXXndPTS_normal.jpg" xr:uid="{C999D845-EAB3-440B-928D-7C4AD9B9988A}"/>
    <hyperlink ref="B4147" r:id="rId12802" display="https://twitter.com/beetlebug1938" xr:uid="{F6124FF8-5162-455E-BE5B-F11C718AFD38}"/>
    <hyperlink ref="E4147" r:id="rId12803" display="https://twitter.com/beetlebug1938/status/723528012902313985" xr:uid="{F0FA3953-12C2-44AA-A678-4606F0D511BC}"/>
    <hyperlink ref="O4147" r:id="rId12804" display="https://pbs.twimg.com/profile_images/718820712757215233/LXXndPTS_normal.jpg" xr:uid="{D47F5DF6-7F6C-42A7-9114-33C1FDE1BABF}"/>
    <hyperlink ref="B4148" r:id="rId12805" display="https://twitter.com/beetlebug1938" xr:uid="{05F87406-7023-419C-AA9E-BD13498FBA1F}"/>
    <hyperlink ref="E4148" r:id="rId12806" display="https://twitter.com/beetlebug1938/status/723528029834760192" xr:uid="{B466DDF9-91B7-429B-A376-48E20B6CCC2D}"/>
    <hyperlink ref="O4148" r:id="rId12807" display="https://pbs.twimg.com/profile_images/718820712757215233/LXXndPTS_normal.jpg" xr:uid="{3FFD2DEA-DEFA-4457-A620-9A74A1D2D75A}"/>
    <hyperlink ref="B4149" r:id="rId12808" display="https://twitter.com/beetlebug1938" xr:uid="{F7A15EDB-410F-44CE-8EB5-DAE71485006E}"/>
    <hyperlink ref="E4149" r:id="rId12809" display="https://twitter.com/beetlebug1938/status/723528043264921601" xr:uid="{B91426AB-5FA7-484B-AC99-55C1C5A2F2F3}"/>
    <hyperlink ref="O4149" r:id="rId12810" display="https://pbs.twimg.com/profile_images/718820712757215233/LXXndPTS_normal.jpg" xr:uid="{D1638126-98DD-477F-9C45-EAFA58A7AA39}"/>
    <hyperlink ref="B4150" r:id="rId12811" display="https://twitter.com/beetlebug1938" xr:uid="{9C58D848-1016-427E-AE93-77DDEA94F260}"/>
    <hyperlink ref="E4150" r:id="rId12812" display="https://twitter.com/beetlebug1938/status/723528058800603138" xr:uid="{F9FF60B7-932D-4D74-82B7-F397B3A692EC}"/>
    <hyperlink ref="O4150" r:id="rId12813" display="https://pbs.twimg.com/profile_images/718820712757215233/LXXndPTS_normal.jpg" xr:uid="{A0E79FCF-BD35-4177-B4AC-C4853F22B7F7}"/>
    <hyperlink ref="B4151" r:id="rId12814" display="https://twitter.com/vnawrath" xr:uid="{0AF7C73C-2FC6-4822-B1E8-EC55CD28E47C}"/>
    <hyperlink ref="E4151" r:id="rId12815" display="https://twitter.com/vnawrath/status/723528244125949952" xr:uid="{33FCA9FA-7177-4190-8233-655AB96C5DC5}"/>
    <hyperlink ref="O4151" r:id="rId12816" display="https://pbs.twimg.com/profile_images/547093512940826624/H_Lo8fkm_normal.png" xr:uid="{09218440-00F8-49EA-B574-0516BB1DE2AB}"/>
    <hyperlink ref="B4152" r:id="rId12817" display="https://twitter.com/_graciosa" xr:uid="{EA21DEEA-1D03-44C7-9DD2-6F60A858B38E}"/>
    <hyperlink ref="E4152" r:id="rId12818" display="https://twitter.com/_graciosa/status/723528287033675776" xr:uid="{9D200CAE-3A4E-45BE-A573-60793508E04B}"/>
    <hyperlink ref="O4152" r:id="rId12819" display="https://pbs.twimg.com/profile_images/668417481875300352/ijULvjIQ_normal.jpg" xr:uid="{9E3728EB-4461-443A-8C6C-ADFBFA4A1592}"/>
    <hyperlink ref="B4153" r:id="rId12820" display="https://twitter.com/JoshineMeyer" xr:uid="{6F68A7FD-14FB-4823-8165-778D1C71FB0A}"/>
    <hyperlink ref="E4153" r:id="rId12821" display="https://twitter.com/JoshineMeyer/status/723528627757977606" xr:uid="{F58A4AE6-D7CB-4785-9E21-AAD5F4A73BAD}"/>
    <hyperlink ref="O4153" r:id="rId12822" display="https://pbs.twimg.com/profile_images/717029111118635010/PLPuZFM4_normal.jpg" xr:uid="{D2C65C6A-0CA5-4315-8322-C291A363DF18}"/>
    <hyperlink ref="B4154" r:id="rId12823" display="https://twitter.com/ErnstvAll" xr:uid="{BA203B48-7699-4D22-9987-7F11EDB11193}"/>
    <hyperlink ref="E4154" r:id="rId12824" display="https://twitter.com/ErnstvAll/status/723528633663524864" xr:uid="{61E3DCB5-6597-47C8-B3D0-1CC14357774F}"/>
    <hyperlink ref="O4154" r:id="rId12825" display="https://pbs.twimg.com/profile_images/722924621301956608/WYrNe6po_normal.jpg" xr:uid="{CE08E827-5E2F-49AE-A2F2-32A4DE9C4488}"/>
    <hyperlink ref="B4155" r:id="rId12826" display="https://twitter.com/Stony_BS" xr:uid="{8208F432-F693-468C-B5BA-65CD14D6F134}"/>
    <hyperlink ref="E4155" r:id="rId12827" display="https://twitter.com/Stony_BS/status/723528644509990912" xr:uid="{3DB88C02-E4D2-4C36-8581-440D31EB09B5}"/>
    <hyperlink ref="O4155" r:id="rId12828" display="https://pbs.twimg.com/profile_images/668091779313500160/ZepxnJcI_normal.jpg" xr:uid="{499C62EB-A4EA-4A21-A1C1-10A619136349}"/>
    <hyperlink ref="B4156" r:id="rId12829" display="https://twitter.com/chasNchargeAUS" xr:uid="{B5759C66-8692-48E3-90BA-E70083F22DF3}"/>
    <hyperlink ref="E4156" r:id="rId12830" display="https://twitter.com/chasNchargeAUS/status/723528827742392320" xr:uid="{5E866D2D-7D0B-4A50-84CB-2EBF1B066D41}"/>
    <hyperlink ref="O4156" r:id="rId12831" display="https://pbs.twimg.com/profile_images/443134498884960256/kUuAk8it_normal.jpeg" xr:uid="{D72455D5-ADD5-4560-904C-35DA21230366}"/>
    <hyperlink ref="P4156" r:id="rId12832" location="30.25514876,-97.76848986" display="http://ctrlq.org/maps/address/ - 30.25514876,-97.76848986" xr:uid="{13D7A59B-754E-404C-A56E-077E6EB26B4A}"/>
    <hyperlink ref="B4157" r:id="rId12833" display="https://twitter.com/GayosoIvann" xr:uid="{A71EF402-F829-4CC0-B270-FABC26828B01}"/>
    <hyperlink ref="E4157" r:id="rId12834" display="https://twitter.com/GayosoIvann/status/723529016133689344" xr:uid="{9CBD0D1F-FB45-4C21-B582-DF1622B6EAE2}"/>
    <hyperlink ref="O4157" r:id="rId12835" display="https://pbs.twimg.com/profile_images/709425905895149568/a5mHZrMz_normal.jpg" xr:uid="{AFB4FC6B-0D5E-46D1-877F-7E184E448A57}"/>
    <hyperlink ref="B4158" r:id="rId12836" display="https://twitter.com/elitaw" xr:uid="{46F322D9-81C0-4B20-9AB3-2B351904AF42}"/>
    <hyperlink ref="E4158" r:id="rId12837" display="https://twitter.com/elitaw/status/723529026518827009" xr:uid="{AEB46798-840A-4AE2-A336-7F0BF992C361}"/>
    <hyperlink ref="O4158" r:id="rId12838" display="https://pbs.twimg.com/profile_images/486974224913801216/Jo4bZX4l_normal.jpeg" xr:uid="{E450214C-3365-4AA9-B3E2-876756323D1D}"/>
    <hyperlink ref="B4159" r:id="rId12839" display="https://twitter.com/Klaus_Mueller" xr:uid="{AB0389ED-21A6-4126-A2AC-0304521B2CE6}"/>
    <hyperlink ref="E4159" r:id="rId12840" display="https://twitter.com/Klaus_Mueller/status/723529170534453248" xr:uid="{80C3B941-7CA1-4432-A78A-4632C3BE91B7}"/>
    <hyperlink ref="O4159" r:id="rId12841" display="https://pbs.twimg.com/profile_images/461785939711258624/FzsPRmqR_normal.jpeg" xr:uid="{8E3CBB9B-E23D-453B-A343-041F4D72F352}"/>
    <hyperlink ref="B4160" r:id="rId12842" display="https://twitter.com/1zonk1" xr:uid="{D955355D-3B61-4FF5-B963-F11DAC1ED1BF}"/>
    <hyperlink ref="E4160" r:id="rId12843" display="https://twitter.com/1zonk1/status/723529187781427201" xr:uid="{32AF3EC7-C1E1-4C63-B722-B0059CF894D1}"/>
    <hyperlink ref="O4160" r:id="rId12844" display="https://pbs.twimg.com/profile_images/684687725883207681/BVIdi6X1_normal.jpg" xr:uid="{67D18863-FB0E-4A85-8231-DE645176D1E7}"/>
    <hyperlink ref="B4161" r:id="rId12845" display="https://twitter.com/ChrisJBCarroll" xr:uid="{BA50A3B1-F360-4E37-882D-F6CAABA5FBF2}"/>
    <hyperlink ref="E4161" r:id="rId12846" display="https://twitter.com/ChrisJBCarroll/status/723529292928442368" xr:uid="{65BB500F-C14D-40E2-B3D1-5F6B88126ACC}"/>
    <hyperlink ref="O4161" r:id="rId12847" display="https://pbs.twimg.com/profile_images/378800000461582138/dea3b11d48a7b41fa52ff65a08ce5a0c_normal.jpeg" xr:uid="{6E4E37C6-3741-4654-AB38-CE37C3F0D02D}"/>
    <hyperlink ref="B4162" r:id="rId12848" display="https://twitter.com/sseewolf" xr:uid="{4A40A819-0E8F-498D-8C8B-9210A1F50F34}"/>
    <hyperlink ref="E4162" r:id="rId12849" display="https://twitter.com/sseewolf/status/723529336222023681" xr:uid="{1035B70B-096E-4727-8048-23CA4F00DDDB}"/>
    <hyperlink ref="O4162" r:id="rId12850" display="https://pbs.twimg.com/profile_images/1660488645/icon_seewolf_normal.gif" xr:uid="{2C245975-C14E-4D65-BE48-B898563A5809}"/>
    <hyperlink ref="B4163" r:id="rId12851" display="https://twitter.com/LarryRoeschVW" xr:uid="{87128FCD-D5C8-4DCF-AAE7-175359328877}"/>
    <hyperlink ref="E4163" r:id="rId12852" display="https://twitter.com/LarryRoeschVW/status/723529437170536449" xr:uid="{AB3DE9E4-7B15-4475-BC4E-495C5375D147}"/>
    <hyperlink ref="O4163" r:id="rId12853" display="https://pbs.twimg.com/profile_images/3130668484/8256e38de6a2fd23e31d002a5338ce8c_normal.png" xr:uid="{03B33D28-1558-4AEB-8845-954C8ABBEEB6}"/>
    <hyperlink ref="B4164" r:id="rId12854" display="https://twitter.com/Mrmacmax92" xr:uid="{18C990A0-8619-4932-B8FF-0C6A3BEC0282}"/>
    <hyperlink ref="E4164" r:id="rId12855" display="https://twitter.com/Mrmacmax92/status/723529517487296512" xr:uid="{414FCE54-9C2E-4F1F-8488-E33F3B16274C}"/>
    <hyperlink ref="O4164" r:id="rId12856" display="https://pbs.twimg.com/profile_images/491952742551015426/Jwy076--_normal.jpeg" xr:uid="{D3183A2B-6F7A-49E5-8784-F1FCF8546018}"/>
    <hyperlink ref="B4165" r:id="rId12857" display="https://twitter.com/ginger_bishquit" xr:uid="{CEB1CA70-C2B0-4130-BAF2-AA5FCEE44E5A}"/>
    <hyperlink ref="E4165" r:id="rId12858" display="https://twitter.com/ginger_bishquit/status/723529519311650816" xr:uid="{4C31F332-7D1B-4098-BFDB-B33B387E2FF2}"/>
    <hyperlink ref="O4165" r:id="rId12859" display="https://pbs.twimg.com/profile_images/674618866924969984/c2u5Ih96_normal.jpg" xr:uid="{30883B21-012C-4026-96CD-6B8F7F8DB540}"/>
    <hyperlink ref="B4166" r:id="rId12860" display="https://twitter.com/OZlive" xr:uid="{298BDB5C-A2D6-4E8C-8CCC-EAD435531796}"/>
    <hyperlink ref="E4166" r:id="rId12861" display="https://twitter.com/OZlive/status/723529570280976384" xr:uid="{2AD49FD9-6DC8-4608-AFB5-CC7B758F4BB5}"/>
    <hyperlink ref="O4166" r:id="rId12862" display="https://pbs.twimg.com/profile_images/3653770649/2466e51deddf806fd8fa4222234eb3c0_normal.jpeg" xr:uid="{7A8EEEFA-A473-45E9-A024-A515A38905B8}"/>
    <hyperlink ref="B4167" r:id="rId12863" display="https://twitter.com/SammiLeopold08" xr:uid="{198276FB-44D4-447C-A192-7EC392D0C127}"/>
    <hyperlink ref="E4167" r:id="rId12864" display="https://twitter.com/SammiLeopold08/status/723529705492762625" xr:uid="{B864A416-BD5F-474B-AF19-0F0066F29098}"/>
    <hyperlink ref="O4167" r:id="rId12865" display="https://pbs.twimg.com/profile_images/704420155196116992/QCcpm5r8_normal.jpg" xr:uid="{30B4244D-49B9-42A5-ABEC-71B2BFA4698E}"/>
    <hyperlink ref="B4168" r:id="rId12866" display="https://twitter.com/goennen" xr:uid="{647B17FD-434A-4B1B-86E5-5EA6BBAE982F}"/>
    <hyperlink ref="E4168" r:id="rId12867" display="https://twitter.com/goennen/status/723529860409339904" xr:uid="{8A8D2E1A-9B27-4E52-B0D6-A9869EA64E18}"/>
    <hyperlink ref="O4168" r:id="rId12868" display="https://pbs.twimg.com/profile_images/706199243351060480/efABpL4I_normal.jpg" xr:uid="{10714598-E46B-4FB0-BF20-318F35C7F062}"/>
    <hyperlink ref="B4169" r:id="rId12869" display="https://twitter.com/FatihGologluu" xr:uid="{09EA8CA3-F23E-4876-B45D-982093414523}"/>
    <hyperlink ref="E4169" r:id="rId12870" display="https://twitter.com/FatihGologluu/status/723529860858011648" xr:uid="{4113A40A-A557-43E5-9CC7-88A4330585FF}"/>
    <hyperlink ref="O4169" r:id="rId12871" display="https://pbs.twimg.com/profile_images/720133292008345600/WOJj9ypM_normal.jpg" xr:uid="{3C51AA88-4F30-4415-8E55-528D490F40DF}"/>
    <hyperlink ref="P4169" r:id="rId12872" location="39.97708264,32.7235187" display="http://ctrlq.org/maps/address/ - 39.97708264,32.7235187" xr:uid="{810E2376-14D3-4741-A68F-68BC814CF1C5}"/>
    <hyperlink ref="B4170" r:id="rId12873" display="https://twitter.com/SalihiShejzije" xr:uid="{E81E69A5-F3BF-4B0F-AC2B-089B60782080}"/>
    <hyperlink ref="E4170" r:id="rId12874" display="https://twitter.com/SalihiShejzije/status/723530016932433920" xr:uid="{EF830E29-0480-4829-965B-068776CFE145}"/>
    <hyperlink ref="O4170" r:id="rId12875" display="https://pbs.twimg.com/profile_images/704001047216447488/5a1ozl-l_normal.jpg" xr:uid="{89DD3FAF-03E2-48B4-9D64-A4E68778F428}"/>
    <hyperlink ref="B4171" r:id="rId12876" display="https://twitter.com/Fotobiene" xr:uid="{8965FF05-08BD-40F6-AB7C-6AF6C599EA91}"/>
    <hyperlink ref="E4171" r:id="rId12877" display="https://twitter.com/Fotobiene/status/723530166849417216" xr:uid="{C18F57E3-1764-4A0E-9144-1553B3DA4B63}"/>
    <hyperlink ref="O4171" r:id="rId12878" display="https://pbs.twimg.com/profile_images/476894592051056640/bqGCxWkq_normal.jpeg" xr:uid="{37AF9053-8E55-4A33-82ED-1E98A67720F3}"/>
    <hyperlink ref="B4172" r:id="rId12879" display="https://twitter.com/InsigniaGroup" xr:uid="{75EC6086-4045-4BD2-9551-61553F9D3EB7}"/>
    <hyperlink ref="E4172" r:id="rId12880" display="https://twitter.com/InsigniaGroup/status/723530319077343234" xr:uid="{2FF4B047-3F5B-4162-95EC-B8D3C4917B2D}"/>
    <hyperlink ref="O4172" r:id="rId12881" display="https://pbs.twimg.com/profile_images/581095813046255617/fJpRy9Rx_normal.jpg" xr:uid="{279C4F1F-13F1-4D06-90B0-7512572281A7}"/>
    <hyperlink ref="B4173" r:id="rId12882" display="https://twitter.com/VWBeetleSales" xr:uid="{9B853732-0734-4D49-9116-077E55882BEA}"/>
    <hyperlink ref="E4173" r:id="rId12883" display="https://twitter.com/VWBeetleSales/status/723530579522674688" xr:uid="{F243DE37-14B6-4419-8EA2-0BAB7DE8BCDE}"/>
    <hyperlink ref="F4173" r:id="rId12884" xr:uid="{6D125B35-EE98-47CE-A361-6C94F40D57F1}"/>
    <hyperlink ref="O4173" r:id="rId12885" display="https://pbs.twimg.com/profile_images/703294545195307008/qeCvrX86_normal.jpg" xr:uid="{7295C7CC-BC5F-4A06-80FF-6D68BE6D15AF}"/>
    <hyperlink ref="B4174" r:id="rId12886" display="https://twitter.com/VWBeetleSales" xr:uid="{0F55884D-DFA0-4CFC-8066-BFCB80951057}"/>
    <hyperlink ref="E4174" r:id="rId12887" display="https://twitter.com/VWBeetleSales/status/723530588750123009" xr:uid="{8BA90916-122B-43A4-8913-D902073F1550}"/>
    <hyperlink ref="F4174" r:id="rId12888" xr:uid="{E7F8A11F-1D5C-4259-BD40-5C6132507D3C}"/>
    <hyperlink ref="O4174" r:id="rId12889" display="https://pbs.twimg.com/profile_images/703294545195307008/qeCvrX86_normal.jpg" xr:uid="{00F07FCD-1C15-45FB-B758-8D63B7281B00}"/>
    <hyperlink ref="B4175" r:id="rId12890" display="https://twitter.com/FoinB" xr:uid="{3653BCB5-804D-48DD-82B6-2F9640645CF0}"/>
    <hyperlink ref="E4175" r:id="rId12891" display="https://twitter.com/FoinB/status/723530608727740416" xr:uid="{8DDEF93B-2698-452C-A911-EAFA99D2FD6A}"/>
    <hyperlink ref="O4175" r:id="rId12892" display="https://pbs.twimg.com/profile_images/710217573212618752/KutLThQ9_normal.jpg" xr:uid="{6B27A51F-491E-46E0-BCB0-B78B5C7CCBA9}"/>
    <hyperlink ref="B4176" r:id="rId12893" display="https://twitter.com/DL1EEC" xr:uid="{BB1BD944-FA9A-4221-B1B9-A429C8726DD6}"/>
    <hyperlink ref="E4176" r:id="rId12894" display="https://twitter.com/DL1EEC/status/723530810410840064" xr:uid="{9C285EC4-62E8-49D9-9074-4AC65404CDB6}"/>
    <hyperlink ref="O4176" r:id="rId12895" display="https://pbs.twimg.com/profile_images/3003801226/4d9ec35024d9767aea0cb92a8609ca75_normal.jpeg" xr:uid="{8AD996A1-CE11-4FAD-92D3-DC2EA9C2B3FE}"/>
    <hyperlink ref="B4177" r:id="rId12896" display="https://twitter.com/ReadingVW" xr:uid="{341521BF-E7AE-42B9-B743-34ADC846521B}"/>
    <hyperlink ref="E4177" r:id="rId12897" display="https://twitter.com/ReadingVW/status/723530946260160512" xr:uid="{64DA676A-AF2A-40D7-97DB-C3115DC1A2A8}"/>
    <hyperlink ref="O4177" r:id="rId12898" display="https://pbs.twimg.com/profile_images/689577747375616000/WOgspudL_normal.png" xr:uid="{FE5AF091-8DC5-443B-BB59-07370DFA0C60}"/>
    <hyperlink ref="B4178" r:id="rId12899" display="https://twitter.com/nettechnews" xr:uid="{329D7B7F-46BB-417A-B847-B05CEE7D3CDA}"/>
    <hyperlink ref="E4178" r:id="rId12900" display="https://twitter.com/nettechnews/status/723531055110606848" xr:uid="{52246478-F5B4-49EB-A226-3D2710439A8C}"/>
    <hyperlink ref="F4178" r:id="rId12901" xr:uid="{2C9A680A-7CBE-4EFF-8E2E-1A4AE5B77372}"/>
    <hyperlink ref="O4178" r:id="rId12902" display="https://pbs.twimg.com/profile_images/1121140623/nettechnews_logo_normal.png" xr:uid="{3566EF55-E8A4-4D9D-A9FC-25B0936D7F80}"/>
    <hyperlink ref="B4179" r:id="rId12903" display="https://twitter.com/Fat4y" xr:uid="{5C431446-5436-481C-BF2F-BAA7ABCDB2EA}"/>
    <hyperlink ref="E4179" r:id="rId12904" display="https://twitter.com/Fat4y/status/723531064724062208" xr:uid="{AA2C4B9A-E391-4115-A026-46B4C343C55F}"/>
    <hyperlink ref="O4179" r:id="rId12905" display="https://pbs.twimg.com/profile_images/701348099290218496/iXTmp1jH_normal.jpg" xr:uid="{98146F96-CC40-4FD3-9447-894CC63238A2}"/>
    <hyperlink ref="B4180" r:id="rId12906" display="https://twitter.com/johnmonkuk" xr:uid="{158F5597-6673-4C71-8BDF-0F2247999650}"/>
    <hyperlink ref="E4180" r:id="rId12907" display="https://twitter.com/johnmonkuk/status/723531110739750913" xr:uid="{B357C89C-C896-47C3-A6A6-09D62D6C25B1}"/>
    <hyperlink ref="O4180" r:id="rId12908" display="https://pbs.twimg.com/profile_images/723247339616518144/JSPwIycM_normal.jpg" xr:uid="{44AE2D4B-44D3-443B-8431-05E56F3AA767}"/>
    <hyperlink ref="B4181" r:id="rId12909" display="https://twitter.com/2016XL" xr:uid="{21E95531-3BB7-4294-9600-65D630D79547}"/>
    <hyperlink ref="E4181" r:id="rId12910" display="https://twitter.com/2016XL/status/723531268126810113" xr:uid="{59A78668-761F-43AF-9EBA-D7B4C836F552}"/>
    <hyperlink ref="O4181" r:id="rId12911" display="https://pbs.twimg.com/profile_images/1834065816/2013Fblackline_normal.jpg" xr:uid="{143CFC90-5513-4B53-B2FB-B4FD295B52A1}"/>
    <hyperlink ref="B4182" r:id="rId12912" display="https://twitter.com/SelwynENT" xr:uid="{3C129DC4-FF16-4363-B84A-189898D27D5D}"/>
    <hyperlink ref="E4182" r:id="rId12913" display="https://twitter.com/SelwynENT/status/723531297805602816" xr:uid="{D995DC2E-01AD-4BC9-80BA-52DB7E62E465}"/>
    <hyperlink ref="O4182" r:id="rId12914" display="https://pbs.twimg.com/profile_images/2394044965/16gzbk08pknwhxh8sakl_normal.jpeg" xr:uid="{4723D761-F81D-4414-BD47-43087FFC657B}"/>
    <hyperlink ref="B4183" r:id="rId12915" display="https://twitter.com/Theothebald" xr:uid="{D4CE2A09-079A-44AF-8D40-5A94E59C7EF6}"/>
    <hyperlink ref="E4183" r:id="rId12916" display="https://twitter.com/Theothebald/status/723531411853053952" xr:uid="{9F6F5339-3F3F-4512-8A6A-8FF2E46D8B9A}"/>
    <hyperlink ref="O4183" r:id="rId12917" display="https://pbs.twimg.com/profile_images/2592181176/udsjv0fy0o3b2krnx52h_normal.jpeg" xr:uid="{BEE80E94-3432-411F-8596-65A646B02C6D}"/>
    <hyperlink ref="B4184" r:id="rId12918" display="https://twitter.com/ameriporean" xr:uid="{9DD83A35-39CE-4630-AC52-4ADBF8BA84D4}"/>
    <hyperlink ref="E4184" r:id="rId12919" display="https://twitter.com/ameriporean/status/723531430807101440" xr:uid="{E77B07E6-843F-4995-8BBD-4B0902215919}"/>
    <hyperlink ref="O4184" r:id="rId12920" display="https://pbs.twimg.com/profile_images/705587805116833794/e8ULE3CK_normal.jpg" xr:uid="{5BB61646-B41A-4DE8-BEC2-D45453828D3E}"/>
    <hyperlink ref="B4185" r:id="rId12921" display="https://twitter.com/TractatusArtium" xr:uid="{58CA626D-678D-455D-B98F-A3F529A3DA43}"/>
    <hyperlink ref="E4185" r:id="rId12922" display="https://twitter.com/TractatusArtium/status/723531445214535681" xr:uid="{DE41D12F-CE5B-42CA-BF47-0429CC8F90B3}"/>
    <hyperlink ref="O4185" r:id="rId12923" display="https://pbs.twimg.com/profile_images/2133628020/Bild_MH_normal.JPG" xr:uid="{48CC73FF-B99D-405B-8989-EC3FF53BB7E9}"/>
    <hyperlink ref="B4186" r:id="rId12924" display="https://twitter.com/whosaidwhat_bot" xr:uid="{4011BF7C-FED0-4720-91D5-104710D220DD}"/>
    <hyperlink ref="E4186" r:id="rId12925" display="https://twitter.com/whosaidwhat_bot/status/723531824434188289" xr:uid="{E3C53D24-21C8-42FC-B77B-9C7BE575FAD3}"/>
    <hyperlink ref="O4186" r:id="rId12926" display="https://pbs.twimg.com/profile_images/533605838867279872/HTQljkIF_normal.png" xr:uid="{31AAABD7-BE0B-4AE7-9CAE-9734E9B7F474}"/>
    <hyperlink ref="B4187" r:id="rId12927" display="https://twitter.com/acvwpassion" xr:uid="{49E32660-7C1F-4903-98BA-E50B7BE63A4B}"/>
    <hyperlink ref="E4187" r:id="rId12928" display="https://twitter.com/acvwpassion/status/723531900573351936" xr:uid="{148C0138-B917-4055-9F15-F128E87F1BDF}"/>
    <hyperlink ref="O4187" r:id="rId12929" display="https://pbs.twimg.com/profile_images/545688359964651520/SF3sJ7lv_normal.jpeg" xr:uid="{21D35A25-69F5-4E3A-9445-3E6426AD823F}"/>
    <hyperlink ref="B4188" r:id="rId12930" display="https://twitter.com/DirkOHeckmann" xr:uid="{129904BA-2170-4DBD-B9C7-6201589376F4}"/>
    <hyperlink ref="E4188" r:id="rId12931" display="https://twitter.com/DirkOHeckmann/status/723531907015806976" xr:uid="{8173CE6F-A9FE-4CCD-8B59-59A4A092CA67}"/>
    <hyperlink ref="O4188" r:id="rId12932" display="https://pbs.twimg.com/profile_images/705451161550245889/70Usq_cg_normal.jpg" xr:uid="{5AE3019C-7E61-4BC4-82D9-B26EA502FEE0}"/>
    <hyperlink ref="B4189" r:id="rId12933" display="https://twitter.com/angulosiete" xr:uid="{3BF925D3-A352-4A1E-884F-215F392122DF}"/>
    <hyperlink ref="E4189" r:id="rId12934" display="https://twitter.com/angulosiete/status/723531929224642560" xr:uid="{C8D68414-B20E-48AB-97DC-B8B7BC4A650F}"/>
    <hyperlink ref="O4189" r:id="rId12935" display="https://pbs.twimg.com/profile_images/662021761534332932/p5J2iws__normal.jpg" xr:uid="{B05F4275-EB30-48F4-9CDA-C77E2A82D57A}"/>
    <hyperlink ref="B4190" r:id="rId12936" display="https://twitter.com/annabel_oelmann" xr:uid="{F1B544D7-5ED9-4CAD-AE9C-870D4FF10342}"/>
    <hyperlink ref="E4190" r:id="rId12937" display="https://twitter.com/annabel_oelmann/status/723531961910829057" xr:uid="{9650D30F-7AFC-4104-B62E-20449F83CD61}"/>
    <hyperlink ref="O4190" r:id="rId12938" display="https://pbs.twimg.com/profile_images/703662889006194690/MKt1CtHx_normal.jpg" xr:uid="{D2EDC0FC-EC62-458C-8D9A-B467EAA4737B}"/>
    <hyperlink ref="B4191" r:id="rId12939" display="https://twitter.com/DLFNachrichten" xr:uid="{22E82441-DAFE-4EAE-9CB7-42ACD77B5703}"/>
    <hyperlink ref="E4191" r:id="rId12940" display="https://twitter.com/DLFNachrichten/status/723531989127704576" xr:uid="{DE07A900-063B-4C33-9290-5BC6F153B8C2}"/>
    <hyperlink ref="O4191" r:id="rId12941" display="https://pbs.twimg.com/profile_images/669541061711261696/eOfP0YD8_normal.png" xr:uid="{A0B6CCBC-346E-43D4-845F-69BF46D72709}"/>
    <hyperlink ref="B4192" r:id="rId12942" display="https://twitter.com/DLF" xr:uid="{C962760D-A8D7-41C7-848E-61B189F61FCA}"/>
    <hyperlink ref="E4192" r:id="rId12943" display="https://twitter.com/DLF/status/723532010728394752" xr:uid="{E7216A52-2BA2-49CC-886D-67398E4CCED5}"/>
    <hyperlink ref="O4192" r:id="rId12944" display="https://pbs.twimg.com/profile_images/667101948429123584/pzpPHONX_normal.jpg" xr:uid="{11EEBCF0-26A7-4404-A4DE-849F391DA34F}"/>
    <hyperlink ref="B4193" r:id="rId12945" display="https://twitter.com/derfederkiel" xr:uid="{4924E8F6-776E-4E36-B04C-6E9BB10CF852}"/>
    <hyperlink ref="E4193" r:id="rId12946" display="https://twitter.com/derfederkiel/status/723532119230820352" xr:uid="{A0A95401-02DF-42EE-86F3-E7F50DDC99FE}"/>
    <hyperlink ref="O4193" r:id="rId12947" display="https://pbs.twimg.com/profile_images/720897563575062532/rXsESyqi_normal.jpg" xr:uid="{9B7927F2-8FF8-485E-BCD4-45C975BBBC3A}"/>
    <hyperlink ref="B4194" r:id="rId12948" display="https://twitter.com/MorSvinka_83" xr:uid="{200E9915-7472-4E64-800A-3C180597A526}"/>
    <hyperlink ref="E4194" r:id="rId12949" display="https://twitter.com/MorSvinka_83/status/723532168530649088" xr:uid="{C215F060-3BD2-4FE7-A096-F21B53C9F1D7}"/>
    <hyperlink ref="O4194" r:id="rId12950" display="https://pbs.twimg.com/profile_images/2208847688/Untitled-2_normal.jpg" xr:uid="{E27A49CE-9ADF-429A-94EA-05B42AD3F1BE}"/>
    <hyperlink ref="B4195" r:id="rId12951" display="https://twitter.com/Awesome_eu_com" xr:uid="{CC546AF1-03F1-4C2C-8326-720D3598028E}"/>
    <hyperlink ref="E4195" r:id="rId12952" display="https://twitter.com/Awesome_eu_com/status/723532216777760768" xr:uid="{0E2C2132-B735-4BAD-9938-50B47CC5BAB3}"/>
    <hyperlink ref="O4195" r:id="rId12953" display="https://pbs.twimg.com/profile_images/682567064658259968/q3TCimOc_normal.jpg" xr:uid="{6A24FC08-4859-4B8F-857F-A105E60699DC}"/>
    <hyperlink ref="B4196" r:id="rId12954" display="https://twitter.com/OnlineCarReview" xr:uid="{0359F8C2-2D2A-49A9-8B50-24D7B0566AFD}"/>
    <hyperlink ref="E4196" r:id="rId12955" display="https://twitter.com/OnlineCarReview/status/723532263565103105" xr:uid="{445C3EE7-DF29-43E8-9442-90C6C167D783}"/>
    <hyperlink ref="O4196" r:id="rId12956" display="https://pbs.twimg.com/profile_images/652871584131092480/QA_B6SBO_normal.jpg" xr:uid="{0CD5B72F-0111-4351-ABA0-23601F93212D}"/>
    <hyperlink ref="B4197" r:id="rId12957" display="https://twitter.com/OnlineCarReview" xr:uid="{D3EC9E0F-B701-4CC9-B625-175C503700BA}"/>
    <hyperlink ref="E4197" r:id="rId12958" display="https://twitter.com/OnlineCarReview/status/723532264357797888" xr:uid="{9791DC9E-5FEC-4DD6-AF8C-231E15FEB883}"/>
    <hyperlink ref="O4197" r:id="rId12959" display="https://pbs.twimg.com/profile_images/652871584131092480/QA_B6SBO_normal.jpg" xr:uid="{BBE3D5F4-CDAD-4569-A4B5-CD0C91EA8F1D}"/>
    <hyperlink ref="B4198" r:id="rId12960" display="https://twitter.com/OnlineCarReview" xr:uid="{81A66407-D87D-4DAE-88DF-39FB2CA3C82B}"/>
    <hyperlink ref="E4198" r:id="rId12961" display="https://twitter.com/OnlineCarReview/status/723532265897127936" xr:uid="{24A8344E-1FE0-4B34-AD73-562869941CBD}"/>
    <hyperlink ref="O4198" r:id="rId12962" display="https://pbs.twimg.com/profile_images/652871584131092480/QA_B6SBO_normal.jpg" xr:uid="{D5DDCE35-495F-431E-82FE-1185F4601E18}"/>
    <hyperlink ref="B4199" r:id="rId12963" display="https://twitter.com/AchillePrick" xr:uid="{23299B1E-8B7E-4437-922D-7B20421E31F6}"/>
    <hyperlink ref="E4199" r:id="rId12964" display="https://twitter.com/AchillePrick/status/723532291146809344" xr:uid="{44070CAB-F9F2-42A4-8E3A-56CE6BE7FAF3}"/>
    <hyperlink ref="O4199" r:id="rId12965" display="https://pbs.twimg.com/profile_images/630378503/AchilleNos_normal.jpg" xr:uid="{16EFF7C7-6217-4167-A80F-A6B2452D7F3D}"/>
    <hyperlink ref="B4200" r:id="rId12966" display="https://twitter.com/pueempresarial" xr:uid="{35A41EF1-CD19-4228-93F1-D4CC1873FAE8}"/>
    <hyperlink ref="E4200" r:id="rId12967" display="https://twitter.com/pueempresarial/status/723532475222228995" xr:uid="{B68FFC9E-26BB-4C6A-A66B-CD64AB96023E}"/>
    <hyperlink ref="O4200" r:id="rId12968" display="https://pbs.twimg.com/profile_images/682244072648519681/to9TAOYz_normal.png" xr:uid="{8031D559-6AC4-40E0-9BDC-9E5B374F1F5B}"/>
    <hyperlink ref="B4201" r:id="rId12969" display="https://twitter.com/doern" xr:uid="{BD3FD2DE-2737-471D-953A-8B0369EA9EA0}"/>
    <hyperlink ref="E4201" r:id="rId12970" display="https://twitter.com/doern/status/723532543736332289" xr:uid="{124A08A7-F003-4AFC-B14F-4E15F75A20F0}"/>
    <hyperlink ref="O4201" r:id="rId12971" display="https://pbs.twimg.com/profile_images/657853466384191488/J6vAnfZr_normal.jpg" xr:uid="{D3166379-5488-42B0-9857-802FD3C80AEF}"/>
    <hyperlink ref="B4202" r:id="rId12972" display="https://twitter.com/Marco_Cerdio" xr:uid="{94BB6F57-B297-4ADD-87BB-2D442AA8D279}"/>
    <hyperlink ref="E4202" r:id="rId12973" display="https://twitter.com/Marco_Cerdio/status/723532578624401410" xr:uid="{3D69E04A-7BE6-4C65-9B23-549FAA1DE286}"/>
    <hyperlink ref="O4202" r:id="rId12974" display="https://pbs.twimg.com/profile_images/608480950586974208/EDoKsKQD_normal.jpg" xr:uid="{5CD2270E-0566-4C0F-9B8E-10B6649E1273}"/>
    <hyperlink ref="B4203" r:id="rId12975" display="https://twitter.com/Zelig880" xr:uid="{A366D10E-7880-4077-B5CF-FEAC5F3A582B}"/>
    <hyperlink ref="E4203" r:id="rId12976" display="https://twitter.com/Zelig880/status/723532584723058688" xr:uid="{F9F38560-0F06-4834-9992-466AB9B6150C}"/>
    <hyperlink ref="O4203" r:id="rId12977" display="https://pbs.twimg.com/profile_images/626523209362505732/2WvtemRs_normal.jpg" xr:uid="{6CB84C2A-A80F-4DE5-9152-6259B3833384}"/>
    <hyperlink ref="B4204" r:id="rId12978" display="https://twitter.com/Fotobiene" xr:uid="{932D1D00-6E94-431D-96EC-9F5A4E0A0AF7}"/>
    <hyperlink ref="E4204" r:id="rId12979" display="https://twitter.com/Fotobiene/status/723532626888409089" xr:uid="{5997522B-EEC0-4EBC-89FF-447A7B85AED2}"/>
    <hyperlink ref="O4204" r:id="rId12980" display="https://pbs.twimg.com/profile_images/476894592051056640/bqGCxWkq_normal.jpeg" xr:uid="{2A20DA72-419C-4A42-A2A2-A17C916893BA}"/>
    <hyperlink ref="B4205" r:id="rId12981" display="https://twitter.com/amsonline" xr:uid="{DB047CD9-A6AC-420E-9703-15406152FD82}"/>
    <hyperlink ref="E4205" r:id="rId12982" display="https://twitter.com/amsonline/status/723532630617104385" xr:uid="{0D33C8E5-3D0E-4E95-94CA-83CECA030302}"/>
    <hyperlink ref="O4205" r:id="rId12983" display="https://pbs.twimg.com/profile_images/458901987019333632/7FGKPDVB_normal.png" xr:uid="{6F675D06-24AB-4A7E-8DE1-668AB5495463}"/>
    <hyperlink ref="B4206" r:id="rId12984" display="https://twitter.com/TwittingThom" xr:uid="{6403DB85-0A81-43FA-877B-583AADAC0171}"/>
    <hyperlink ref="E4206" r:id="rId12985" display="https://twitter.com/TwittingThom/status/723532665417293825" xr:uid="{BEDCDF4F-F410-4B7F-9984-C09E64D57A19}"/>
    <hyperlink ref="O4206" r:id="rId12986" display="https://pbs.twimg.com/profile_images/378800000609525841/bf683b759226dba86e05743861714a83_normal.jpeg" xr:uid="{4FEBB876-A491-4DCD-A3EA-340DDE570230}"/>
    <hyperlink ref="B4207" r:id="rId12987" display="https://twitter.com/Patentingenieur" xr:uid="{E9072E5D-30D1-4CDA-B1CE-6A6C1362E3E4}"/>
    <hyperlink ref="E4207" r:id="rId12988" display="https://twitter.com/Patentingenieur/status/723532705460289537" xr:uid="{5C6CD7B4-9708-443D-A91E-A51882E6AEF3}"/>
    <hyperlink ref="O4207" r:id="rId12989" display="https://pbs.twimg.com/profile_images/682872326371848192/lky20bTP_normal.jpg" xr:uid="{364BB57D-E8D3-4C7A-836B-3622A57CE8E2}"/>
    <hyperlink ref="B4208" r:id="rId12990" display="https://twitter.com/VeeDubMk1_" xr:uid="{6CC5CDCF-F3FB-4235-8AA9-0A6FFE993CFD}"/>
    <hyperlink ref="E4208" r:id="rId12991" display="https://twitter.com/VeeDubMk1_/status/723532766445445120" xr:uid="{2BD36CD1-91AA-4B06-8D06-A102131B855D}"/>
    <hyperlink ref="O4208" r:id="rId12992" display="https://pbs.twimg.com/profile_images/672878354127839232/M7OYc-zx_normal.jpg" xr:uid="{FEE3DB86-1512-4118-B7E1-4CA52AC90C6C}"/>
    <hyperlink ref="B4209" r:id="rId12993" display="https://twitter.com/VWCamperSales" xr:uid="{B88FCC1E-56FC-41D9-A6E1-21C84D0820D3}"/>
    <hyperlink ref="E4209" r:id="rId12994" display="https://twitter.com/VWCamperSales/status/723532850759229440" xr:uid="{770D5F24-5E0D-426B-BB09-43A3C9AFF0D7}"/>
    <hyperlink ref="F4209" r:id="rId12995" xr:uid="{E074E8F1-1B40-41BC-BECA-55B342A2919C}"/>
    <hyperlink ref="O4209" r:id="rId12996" display="https://pbs.twimg.com/profile_images/627949001179037696/skEBkS05_normal.jpg" xr:uid="{952B217D-AD6D-48DB-8169-80C65B541DC3}"/>
    <hyperlink ref="B4210" r:id="rId12997" display="https://twitter.com/PEREVERE" xr:uid="{BC58593A-63A3-4E4D-AAE5-EF7D5AA3AE7C}"/>
    <hyperlink ref="E4210" r:id="rId12998" display="https://twitter.com/PEREVERE/status/723532980015255554" xr:uid="{C388F54E-674C-4989-B04D-AD3094BCEA38}"/>
    <hyperlink ref="O4210" r:id="rId12999" display="https://pbs.twimg.com/profile_images/643587696468824064/xYzX8GUg_normal.jpg" xr:uid="{95C0A474-7BA5-4F29-94DC-FB63040C2AD3}"/>
    <hyperlink ref="P4210" r:id="rId13000" location="41.40272662,2.02740669" display="http://ctrlq.org/maps/address/ - 41.40272662,2.02740669" xr:uid="{CFF5EDD8-FB56-4705-85D6-E1B0CA836A68}"/>
    <hyperlink ref="B4211" r:id="rId13001" display="https://twitter.com/ChristophNoack" xr:uid="{E85D7875-30FE-4EDE-B05C-3949DE04C1A9}"/>
    <hyperlink ref="E4211" r:id="rId13002" display="https://twitter.com/ChristophNoack/status/723533013649334273" xr:uid="{90FC70A7-A0C8-4EC9-940A-79F3BE33253F}"/>
    <hyperlink ref="O4211" r:id="rId13003" display="https://pbs.twimg.com/profile_images/614230691044265984/Wocs5ZQz_normal.jpg" xr:uid="{63E2F8DF-B7B8-4B5F-84A5-B71B95B83C63}"/>
    <hyperlink ref="B4212" r:id="rId13004" display="https://twitter.com/_graciosa" xr:uid="{41A2489C-139A-4070-B23C-A751A9E8EE16}"/>
    <hyperlink ref="E4212" r:id="rId13005" display="https://twitter.com/_graciosa/status/723533073367859201" xr:uid="{21EA7ED0-1C9C-461D-98D3-94FE32A69759}"/>
    <hyperlink ref="O4212" r:id="rId13006" display="https://pbs.twimg.com/profile_images/668417481875300352/ijULvjIQ_normal.jpg" xr:uid="{A06B1173-6B0A-44BB-9248-EA145EBD5528}"/>
    <hyperlink ref="B4213" r:id="rId13007" display="https://twitter.com/Deprifrei" xr:uid="{651AD418-91C5-41E1-A2F4-02B2F55EA6C1}"/>
    <hyperlink ref="E4213" r:id="rId13008" display="https://twitter.com/Deprifrei/status/723533123057795078" xr:uid="{C6D0B658-052C-4925-9FAA-A1F3F1BF2341}"/>
    <hyperlink ref="O4213" r:id="rId13009" display="https://pbs.twimg.com/profile_images/712357077897842688/UTf-Ylce_normal.jpg" xr:uid="{5A320AC8-5EC6-4500-9048-C93E2841304B}"/>
    <hyperlink ref="B4214" r:id="rId13010" display="https://twitter.com/helder13pach" xr:uid="{B4EB6D75-D2C1-4601-9F43-35D15DA20A19}"/>
    <hyperlink ref="E4214" r:id="rId13011" display="https://twitter.com/helder13pach/status/723533198651756546" xr:uid="{8182A219-0580-4913-86B1-7A4BFB78DC65}"/>
    <hyperlink ref="O4214" r:id="rId13012" display="https://pbs.twimg.com/profile_images/694670422856564737/F95Ol6fY_normal.jpg" xr:uid="{7C3654C7-9F5E-4540-A8DA-3CC38C002818}"/>
    <hyperlink ref="B4215" r:id="rId13013" display="https://twitter.com/Marek_Miller" xr:uid="{9ED9F561-A83A-4912-8D64-4B859063BA61}"/>
    <hyperlink ref="E4215" r:id="rId13014" display="https://twitter.com/Marek_Miller/status/723533283120812033" xr:uid="{B625A072-0430-4E35-A38E-0D9B3F479CDC}"/>
    <hyperlink ref="O4215" r:id="rId13015" display="https://pbs.twimg.com/profile_images/693789742807142400/hHn6G0vl_normal.jpg" xr:uid="{35A13545-A0F7-44E9-A726-0321E6FEFADA}"/>
    <hyperlink ref="B4216" r:id="rId13016" display="https://twitter.com/u98" xr:uid="{7811B42F-69C1-43B4-B048-BFAA8586FA19}"/>
    <hyperlink ref="E4216" r:id="rId13017" display="https://twitter.com/u98/status/723533318243934208" xr:uid="{93419525-4346-40D2-BE58-47531FD83A3D}"/>
    <hyperlink ref="O4216" r:id="rId13018" display="https://pbs.twimg.com/profile_images/718346062797369344/yMfeKd4-_normal.jpg" xr:uid="{AAC6C7CC-F8BA-4A26-9116-2A482301F970}"/>
    <hyperlink ref="B4217" r:id="rId13019" display="https://twitter.com/angulosiete" xr:uid="{5CC97600-B302-422C-A70D-6F7355D484C1}"/>
    <hyperlink ref="E4217" r:id="rId13020" display="https://twitter.com/angulosiete/status/723533505087430656" xr:uid="{7A3302D6-4253-4471-B719-21F46A996BD3}"/>
    <hyperlink ref="O4217" r:id="rId13021" display="https://pbs.twimg.com/profile_images/662021761534332932/p5J2iws__normal.jpg" xr:uid="{9E60B17B-43DD-4BC0-BC01-53650228E9D1}"/>
    <hyperlink ref="B4218" r:id="rId13022" display="https://twitter.com/RickStrickler" xr:uid="{AEFA5410-DC8D-40A9-B96A-7659BBCC7CC9}"/>
    <hyperlink ref="E4218" r:id="rId13023" display="https://twitter.com/RickStrickler/status/723533597081260034" xr:uid="{54F8F8DD-081D-4DF1-A80E-BBCDA9F1D1A0}"/>
    <hyperlink ref="O4218" r:id="rId13024" display="https://pbs.twimg.com/profile_images/324761478/internet_headshot_normal.jpg" xr:uid="{97DB61F4-AEA7-4191-B175-D21982BD73B5}"/>
    <hyperlink ref="B4219" r:id="rId13025" display="https://twitter.com/ajkaestner" xr:uid="{6CF2658E-FB74-4462-A59D-3F8FEB8E27FC}"/>
    <hyperlink ref="E4219" r:id="rId13026" display="https://twitter.com/ajkaestner/status/723533820616683520" xr:uid="{8DBA0A0F-F808-41A4-865F-0E7AE0ADBD75}"/>
    <hyperlink ref="O4219" r:id="rId13027" display="https://pbs.twimg.com/profile_images/666032959875518465/txxlY-N2_normal.png" xr:uid="{E0F7E260-DD5E-4C1A-8467-15D9C099F5D3}"/>
    <hyperlink ref="P4219" r:id="rId13028" location="50.9432107,6.8774149" display="http://ctrlq.org/maps/address/ - 50.9432107,6.8774149" xr:uid="{EB01C1D0-3D3C-4D8E-B57C-6BF6B1941437}"/>
    <hyperlink ref="B4220" r:id="rId13029" display="https://twitter.com/Nieuwvliet" xr:uid="{0F9D369C-E271-47C3-A9C6-868531B040D5}"/>
    <hyperlink ref="E4220" r:id="rId13030" display="https://twitter.com/Nieuwvliet/status/723533838077534208" xr:uid="{45063C76-DD7A-4406-B82D-95E318759190}"/>
    <hyperlink ref="O4220" r:id="rId13031" display="https://pbs.twimg.com/profile_images/1161863027/041110_normal.jpg" xr:uid="{90AB634A-0B34-47C2-8383-EDD7EE8182F0}"/>
    <hyperlink ref="B4221" r:id="rId13032" display="https://twitter.com/VWBeetleSales" xr:uid="{A581226C-086A-432D-9F96-EB0CEF836CEB}"/>
    <hyperlink ref="E4221" r:id="rId13033" display="https://twitter.com/VWBeetleSales/status/723533861385195520" xr:uid="{23075BFC-582F-43C6-B219-7CA475DDC2FB}"/>
    <hyperlink ref="F4221" r:id="rId13034" xr:uid="{6A959035-357A-4C58-A26C-6408A95ACF67}"/>
    <hyperlink ref="O4221" r:id="rId13035" display="https://pbs.twimg.com/profile_images/703294545195307008/qeCvrX86_normal.jpg" xr:uid="{52D808B7-7BDB-4C82-AA7E-97072AB364CF}"/>
    <hyperlink ref="B4222" r:id="rId13036" display="https://twitter.com/Stony_BS" xr:uid="{655F52D4-E0EA-4E12-9F3D-798EF180A35A}"/>
    <hyperlink ref="E4222" r:id="rId13037" display="https://twitter.com/Stony_BS/status/723534053941608449" xr:uid="{BEC2D622-4DF8-4083-BEB4-1ED737377A3F}"/>
    <hyperlink ref="O4222" r:id="rId13038" display="https://pbs.twimg.com/profile_images/668091779313500160/ZepxnJcI_normal.jpg" xr:uid="{D84903E7-BB5B-435F-A835-006DE4817EF8}"/>
    <hyperlink ref="B4223" r:id="rId13039" display="https://twitter.com/interest1959" xr:uid="{257ECCB3-ADA0-4C77-A21A-A34D266E8DC0}"/>
    <hyperlink ref="E4223" r:id="rId13040" display="https://twitter.com/interest1959/status/723534183490969601" xr:uid="{19A9F43A-8F99-41EA-A17D-580D86949959}"/>
    <hyperlink ref="O4223" r:id="rId13041" display="https://pbs.twimg.com/profile_images/546429883010654208/WQlb3cOj_normal.png" xr:uid="{662C523F-4AD3-45F2-B668-6D345F92AFD7}"/>
    <hyperlink ref="B4224" r:id="rId13042" display="https://twitter.com/neuegrenzen" xr:uid="{4E2CBEEF-48F1-45B9-BD39-2C7CD7AA8D34}"/>
    <hyperlink ref="E4224" r:id="rId13043" display="https://twitter.com/neuegrenzen/status/723534210510819329" xr:uid="{ED517A1D-686F-40C5-B6EF-FB51D1A9507D}"/>
    <hyperlink ref="O4224" r:id="rId13044" display="https://pbs.twimg.com/profile_images/693770459733757952/5dw4PK2Q_normal.jpg" xr:uid="{682F109B-9F04-4F36-81F1-964475601FD6}"/>
    <hyperlink ref="B4225" r:id="rId13045" display="https://twitter.com/fraschloenj" xr:uid="{E931F0C2-F3B6-4ADD-9D19-2AC90E3A49B2}"/>
    <hyperlink ref="E4225" r:id="rId13046" display="https://twitter.com/fraschloenj/status/723534355923107840" xr:uid="{56CE2923-44A3-4356-8B93-46A1E187BC57}"/>
    <hyperlink ref="O4225" r:id="rId13047" display="https://pbs.twimg.com/profile_images/1787524653/hart3_normal.JPG" xr:uid="{66B044D9-633C-4456-836B-CA315E20B7B9}"/>
    <hyperlink ref="B4226" r:id="rId13048" display="https://twitter.com/WesHellyar" xr:uid="{01FCEF6E-2A60-4969-96C3-150FC41C3D3D}"/>
    <hyperlink ref="E4226" r:id="rId13049" display="https://twitter.com/WesHellyar/status/723534404027478016" xr:uid="{E0D9F149-08ED-4E44-B22D-749E63762BFA}"/>
    <hyperlink ref="O4226" r:id="rId13050" display="https://pbs.twimg.com/profile_images/651826175686348800/Ayt2FVOc_normal.jpg" xr:uid="{4F3F9098-8D19-4185-8CE3-234688C39786}"/>
    <hyperlink ref="B4227" r:id="rId13051" display="https://twitter.com/DucatiSalesGuy" xr:uid="{8ECC81AD-81E5-4064-8350-57EC14223437}"/>
    <hyperlink ref="E4227" r:id="rId13052" display="https://twitter.com/DucatiSalesGuy/status/723534408527925248" xr:uid="{46E94919-EFD0-4CE6-98A2-F94AFEF83EE1}"/>
    <hyperlink ref="O4227" r:id="rId13053" display="https://pbs.twimg.com/profile_images/522496119750676480/vvFPQyfo_normal.jpeg" xr:uid="{C1B0C291-C804-4C39-A706-11F8C7983AAC}"/>
    <hyperlink ref="B4228" r:id="rId13054" display="https://twitter.com/DeMotores" xr:uid="{82420AF8-AA23-4F04-9E66-059FF858F27E}"/>
    <hyperlink ref="E4228" r:id="rId13055" display="https://twitter.com/DeMotores/status/723534411690594305" xr:uid="{AC93418D-1976-44E6-899D-C03FBCDA818B}"/>
    <hyperlink ref="O4228" r:id="rId13056" display="https://pbs.twimg.com/profile_images/641948806075019264/VfeL3ht-_normal.png" xr:uid="{38285E1C-BEE7-424B-8178-183D3E086765}"/>
    <hyperlink ref="B4229" r:id="rId13057" display="https://twitter.com/xpeten" xr:uid="{440CF9A3-6024-4748-97C4-82A8E360A630}"/>
    <hyperlink ref="E4229" r:id="rId13058" display="https://twitter.com/xpeten/status/723534424881651712" xr:uid="{870BA6C2-0238-457C-83E8-657060B4C254}"/>
    <hyperlink ref="O4229" r:id="rId13059" display="https://pbs.twimg.com/profile_images/443812586782355456/0KDnCULg_normal.jpeg" xr:uid="{5FEC1866-E4FC-4A36-8E68-35A27106BF0B}"/>
    <hyperlink ref="B4230" r:id="rId13060" display="https://twitter.com/stefanjoens" xr:uid="{04AC8AD4-74BE-46AE-AC7C-5B32517FFC65}"/>
    <hyperlink ref="E4230" r:id="rId13061" display="https://twitter.com/stefanjoens/status/723534467206385665" xr:uid="{C94CC769-A0D0-4AC8-817E-D2F18B3A9426}"/>
    <hyperlink ref="O4230" r:id="rId13062" display="https://pbs.twimg.com/profile_images/2942776182/a7fc38ab76da1facf9569455f0e5cb85_normal.jpeg" xr:uid="{DB132F04-272C-484D-A78C-847F1055EC17}"/>
    <hyperlink ref="B4231" r:id="rId13063" display="https://twitter.com/TdtMedia" xr:uid="{EC4BF289-49CD-4AD7-B4B2-4865ECCD99B5}"/>
    <hyperlink ref="E4231" r:id="rId13064" display="https://twitter.com/TdtMedia/status/723534593589125122" xr:uid="{71454454-2620-4443-86A4-F34049DC6963}"/>
    <hyperlink ref="O4231" r:id="rId13065" display="https://pbs.twimg.com/profile_images/591878165796093953/R5Zib4o4_normal.png" xr:uid="{DBE8F8B0-F969-49A9-A9BA-428EC3459193}"/>
    <hyperlink ref="B4232" r:id="rId13066" display="https://twitter.com/VWCamperSales" xr:uid="{4813190C-CC58-4A61-82C7-B423718B88CA}"/>
    <hyperlink ref="E4232" r:id="rId13067" display="https://twitter.com/VWCamperSales/status/723534597447802880" xr:uid="{FA16CDC7-D981-4BB3-9DA7-8D4E62A9A440}"/>
    <hyperlink ref="F4232" r:id="rId13068" xr:uid="{92083EDF-9B2B-4E65-BCEE-8FBDDEF45EA1}"/>
    <hyperlink ref="O4232" r:id="rId13069" display="https://pbs.twimg.com/profile_images/627949001179037696/skEBkS05_normal.jpg" xr:uid="{1BBA3C9E-BB8D-4C2A-83C0-5720AFDBD1C6}"/>
    <hyperlink ref="B4233" r:id="rId13070" display="https://twitter.com/Stony_BS" xr:uid="{B00F5733-E7AA-4EFA-8AE6-51A4E04B4ADB}"/>
    <hyperlink ref="E4233" r:id="rId13071" display="https://twitter.com/Stony_BS/status/723534636903751685" xr:uid="{03E022A2-652C-46FE-9A0B-C9BFD3838AC9}"/>
    <hyperlink ref="O4233" r:id="rId13072" display="https://pbs.twimg.com/profile_images/668091779313500160/ZepxnJcI_normal.jpg" xr:uid="{E6883B4C-1B7F-4900-A0E2-D11573FEAC86}"/>
    <hyperlink ref="B4234" r:id="rId13073" display="https://twitter.com/dokape" xr:uid="{3EDBDF44-3C50-4226-BFF2-253F41A3473E}"/>
    <hyperlink ref="E4234" r:id="rId13074" display="https://twitter.com/dokape/status/723534706965381122" xr:uid="{6F11B395-4B27-48F4-9726-FDA2A7A908E4}"/>
    <hyperlink ref="O4234" r:id="rId13075" display="https://pbs.twimg.com/profile_images/378800000057531753/89afe9c8c642c4e21a93bf71fa621667_normal.jpeg" xr:uid="{8A9C088F-3352-4B94-884B-6254C4BCFDE8}"/>
    <hyperlink ref="B4235" r:id="rId13076" display="https://twitter.com/gfiwg" xr:uid="{8DD8DB35-47EF-44ED-8550-BFBE1AD28251}"/>
    <hyperlink ref="E4235" r:id="rId13077" display="https://twitter.com/gfiwg/status/723534772811636736" xr:uid="{36C8D7B9-18FC-4C0F-90A8-8E609D0ED0C1}"/>
    <hyperlink ref="O4235" r:id="rId13078" display="https://pbs.twimg.com/profile_images/631762766697623553/3FrSg6t7_normal.jpg" xr:uid="{52EA9423-C7F6-4D94-A7F0-E026F2ABEA5E}"/>
    <hyperlink ref="B4236" r:id="rId13079" display="https://twitter.com/hesselmann" xr:uid="{7787D981-85E1-48BE-A859-A4DF8B5BA634}"/>
    <hyperlink ref="E4236" r:id="rId13080" display="https://twitter.com/hesselmann/status/723534972854910978" xr:uid="{F468E742-CDC5-4377-B594-2062F6EC4D72}"/>
    <hyperlink ref="O4236" r:id="rId13081" display="https://pbs.twimg.com/profile_images/655459836432392192/Vf-KTnJZ_normal.jpg" xr:uid="{EF429FA2-879D-4BB1-BEB0-AE1267562BD2}"/>
    <hyperlink ref="B4237" r:id="rId13082" display="https://twitter.com/traumspruch" xr:uid="{79856B19-4B61-4370-93BF-4EECA8225CA1}"/>
    <hyperlink ref="E4237" r:id="rId13083" display="https://twitter.com/traumspruch/status/723534980081692672" xr:uid="{E7CDD3D0-104B-47AE-BD55-C4BD422F612B}"/>
    <hyperlink ref="O4237" r:id="rId13084" display="https://pbs.twimg.com/profile_images/1550395425/aya_normal.jpg" xr:uid="{ADA691FD-481F-4179-B504-64AF4960843E}"/>
    <hyperlink ref="B4238" r:id="rId13085" display="https://twitter.com/PatrickNordhoff" xr:uid="{999A8C55-FD7E-48D3-96D5-4F0266970375}"/>
    <hyperlink ref="E4238" r:id="rId13086" display="https://twitter.com/PatrickNordhoff/status/723535179705401345" xr:uid="{5F2A813B-E57D-4873-92A2-56D968B7181B}"/>
    <hyperlink ref="O4238" r:id="rId13087" display="https://pbs.twimg.com/profile_images/702994065034452993/NLSWGLL1_normal.jpg" xr:uid="{51304A28-790F-49D3-BB42-53A9DFB0127D}"/>
    <hyperlink ref="B4239" r:id="rId13088" display="https://twitter.com/swaroopkaimal" xr:uid="{A64F279B-4D3C-4F02-9DED-93B6B07AB15D}"/>
    <hyperlink ref="E4239" r:id="rId13089" display="https://twitter.com/swaroopkaimal/status/723535335850807296" xr:uid="{31ECB321-B8E6-44DD-B944-DE37E9A081D4}"/>
    <hyperlink ref="O4239" r:id="rId13090" display="https://pbs.twimg.com/profile_images/704564877705158656/0-DY_ktt_normal.jpg" xr:uid="{949B396E-52A0-4A33-9996-964F88EEFDC4}"/>
    <hyperlink ref="B4240" r:id="rId13091" display="https://twitter.com/BBCBusiness" xr:uid="{368A78A8-98F2-4BAB-ACA1-C3AB35C23FA8}"/>
    <hyperlink ref="E4240" r:id="rId13092" display="https://twitter.com/BBCBusiness/status/723535356566601728" xr:uid="{E643E21A-0CF3-4B3F-8E9E-60FDCD6F9052}"/>
    <hyperlink ref="O4240" r:id="rId13093" display="https://pbs.twimg.com/profile_images/631839981611388932/vD22OUWu_normal.png" xr:uid="{216F7D90-295D-4931-B18B-FE645BFC17A0}"/>
    <hyperlink ref="B4241" r:id="rId13094" display="https://twitter.com/WSJRisk" xr:uid="{DE5E7FC5-3FA6-4DD1-AC17-A24B6882CD87}"/>
    <hyperlink ref="E4241" r:id="rId13095" display="https://twitter.com/WSJRisk/status/723535376627847168" xr:uid="{41A8A6C3-D0A9-491E-BB96-A43FFE73DA8B}"/>
    <hyperlink ref="O4241" r:id="rId13096" display="https://pbs.twimg.com/profile_images/3439396427/c85352a16618715c3fb7f2941ae9308e_normal.png" xr:uid="{FC8073CB-F846-44CE-8ABB-F134FA13E24F}"/>
    <hyperlink ref="B4242" r:id="rId13097" display="https://twitter.com/DaveMichiganTEC" xr:uid="{4D4FD2E7-89AA-4656-B597-A8891F590343}"/>
    <hyperlink ref="E4242" r:id="rId13098" display="https://twitter.com/DaveMichiganTEC/status/723535464079220736" xr:uid="{08F52693-48B1-445E-8645-D95E429EB025}"/>
    <hyperlink ref="F4242" r:id="rId13099" xr:uid="{8CF991D2-D8B6-451B-885D-54BE60C3A6D4}"/>
    <hyperlink ref="O4242" r:id="rId13100" display="https://pbs.twimg.com/profile_images/677036395882553344/hTxwna3u_normal.jpg" xr:uid="{B1640FE0-EBB1-437C-B10D-2011ED50A3CE}"/>
    <hyperlink ref="B4243" r:id="rId13101" display="https://twitter.com/Upholsteronline" xr:uid="{3F9F5DBB-E5F9-4B63-BD53-37DA552DDE68}"/>
    <hyperlink ref="E4243" r:id="rId13102" display="https://twitter.com/Upholsteronline/status/723535465115209728" xr:uid="{08FC3165-2789-4A3C-A791-3D5514161108}"/>
    <hyperlink ref="O4243" r:id="rId13103" display="https://pbs.twimg.com/profile_images/663719521467899904/CkMfp6T-_normal.jpg" xr:uid="{6886149D-5007-4997-BD33-9741D9065475}"/>
    <hyperlink ref="B4244" r:id="rId13104" display="https://twitter.com/NetzwerkggS21" xr:uid="{997EBA93-F899-42C6-9A29-721C8E5791EE}"/>
    <hyperlink ref="E4244" r:id="rId13105" display="https://twitter.com/NetzwerkggS21/status/723535487890235393" xr:uid="{7CC054D4-8CFE-4A10-989A-DB1AA7A38A16}"/>
    <hyperlink ref="M4244" r:id="rId13106" xr:uid="{9F3AA386-9219-4186-AC5B-D1267FD5BF9C}"/>
    <hyperlink ref="O4244" r:id="rId13107" display="https://pbs.twimg.com/profile_images/378800000528765970/3ab9f2a00010e9cac08d5ca1638926e9_normal.png" xr:uid="{A949FA39-C015-4BDF-AC2E-D46D3D7294EE}"/>
    <hyperlink ref="B4245" r:id="rId13108" display="https://twitter.com/ElizaRules" xr:uid="{0BC6105B-41B1-4BBB-8C31-C76ED3C4BF8E}"/>
    <hyperlink ref="E4245" r:id="rId13109" display="https://twitter.com/ElizaRules/status/723535504818487296" xr:uid="{D2E71D07-2A63-4EA0-9F25-7D2A44A93705}"/>
    <hyperlink ref="O4245" r:id="rId13110" display="https://pbs.twimg.com/profile_images/3511486706/b87fc84fbd6d82049853bb85559ed70e_normal.jpeg" xr:uid="{0BB09EF2-0938-4CD7-AEF8-844D4C610D17}"/>
    <hyperlink ref="B4246" r:id="rId13111" display="https://twitter.com/M_Wussler" xr:uid="{44A2BD14-5143-48B8-AD5F-AABDAFAE26B4}"/>
    <hyperlink ref="E4246" r:id="rId13112" display="https://twitter.com/M_Wussler/status/723535536007294977" xr:uid="{8EE12E6C-E4F8-4602-A82B-10E1363523A6}"/>
    <hyperlink ref="O4246" r:id="rId13113" display="https://pbs.twimg.com/profile_images/635896416510935040/bxvGjxIP_normal.jpg" xr:uid="{E98970D3-6052-4FAB-95DB-475E942905D9}"/>
    <hyperlink ref="B4247" r:id="rId13114" display="https://twitter.com/TaniaDamian" xr:uid="{62107266-189E-41A7-93BA-B026A76F4E1F}"/>
    <hyperlink ref="E4247" r:id="rId13115" display="https://twitter.com/TaniaDamian/status/723535587651657729" xr:uid="{C64FEA02-F1A7-4EA3-AA1A-F727477906CB}"/>
    <hyperlink ref="O4247" r:id="rId13116" display="https://pbs.twimg.com/profile_images/3651426922/f79a231eb643e1aaedcb85cb07749185_normal.jpeg" xr:uid="{B047293A-100A-4884-AF24-30A495868120}"/>
    <hyperlink ref="B4248" r:id="rId13117" display="https://twitter.com/franka_kuehn" xr:uid="{C89B5062-B6B8-45B4-9256-C207B5940D67}"/>
    <hyperlink ref="E4248" r:id="rId13118" display="https://twitter.com/franka_kuehn/status/723535659785437184" xr:uid="{FC8ECD20-C754-48B6-8A63-0C3F7138AB22}"/>
    <hyperlink ref="O4248" r:id="rId13119" display="https://pbs.twimg.com/profile_images/530281935289851905/gYVTeJZK_normal.jpeg" xr:uid="{7D956509-F090-489A-A73A-26430361346E}"/>
    <hyperlink ref="B4249" r:id="rId13120" display="https://twitter.com/Sole_bany" xr:uid="{67C0DA6F-B497-4125-A41A-8F797BDD0697}"/>
    <hyperlink ref="E4249" r:id="rId13121" display="https://twitter.com/Sole_bany/status/723535766475948033" xr:uid="{CF91A43C-5214-4CF4-84A6-3ADFE3E2BCBA}"/>
    <hyperlink ref="O4249" r:id="rId13122" display="https://pbs.twimg.com/profile_images/721089358372200450/OVkiPdxQ_normal.jpg" xr:uid="{DB0381BF-4CF8-4C5A-B548-A68BFA992AA3}"/>
    <hyperlink ref="B4250" r:id="rId13123" display="https://twitter.com/BonBruteTruand" xr:uid="{0A601848-3F9A-489C-BCE5-CA74B422B082}"/>
    <hyperlink ref="E4250" r:id="rId13124" display="https://twitter.com/BonBruteTruand/status/723535768677953537" xr:uid="{767E9119-944C-47A7-A4B8-7E4597158827}"/>
    <hyperlink ref="O4250" r:id="rId13125" display="https://pbs.twimg.com/profile_images/708329750637449216/uR4EbyqZ_normal.jpg" xr:uid="{6E35F911-4500-4CF0-8B18-92D2966A7790}"/>
    <hyperlink ref="B4251" r:id="rId13126" display="https://twitter.com/VWBeetleSales" xr:uid="{1A3B7CD1-5147-4410-AA34-916953E06FB3}"/>
    <hyperlink ref="E4251" r:id="rId13127" display="https://twitter.com/VWBeetleSales/status/723535866237329408" xr:uid="{B7379658-1A45-4264-8DF5-CE3B24796A18}"/>
    <hyperlink ref="F4251" r:id="rId13128" xr:uid="{D75F7CF6-AEB9-4897-B723-EBBD6C71CEFE}"/>
    <hyperlink ref="O4251" r:id="rId13129" display="https://pbs.twimg.com/profile_images/703294545195307008/qeCvrX86_normal.jpg" xr:uid="{6909D999-95ED-4980-972F-3090FFA73F60}"/>
    <hyperlink ref="B4252" r:id="rId13130" display="https://twitter.com/FridayNomad" xr:uid="{25406147-1552-4A73-928C-5060F2B8B49F}"/>
    <hyperlink ref="E4252" r:id="rId13131" display="https://twitter.com/FridayNomad/status/723535887259295749" xr:uid="{4B19BD9D-60ED-4053-B587-419A6097A771}"/>
    <hyperlink ref="O4252" r:id="rId13132" display="https://pbs.twimg.com/profile_images/721290611211575296/-bGGmXpE_normal.jpg" xr:uid="{97E17837-86D3-4918-8CA6-51293C638B8A}"/>
    <hyperlink ref="B4253" r:id="rId13133" display="https://twitter.com/eckldorna" xr:uid="{AD3F9C82-64A1-40B6-9C2C-E53D42B4B207}"/>
    <hyperlink ref="E4253" r:id="rId13134" display="https://twitter.com/eckldorna/status/723535914786545665" xr:uid="{7DD49676-EC19-4933-89FC-C37154856BA9}"/>
    <hyperlink ref="O4253" r:id="rId13135" display="https://pbs.twimg.com/profile_images/378800000756898826/c34d2c219e5c4be1cda0491348523b1a_normal.jpeg" xr:uid="{0A8CA0BA-261A-4BC2-900E-45E14EBF696D}"/>
    <hyperlink ref="B4254" r:id="rId13136" display="https://twitter.com/mycomfor" xr:uid="{5FC94AC1-4344-4ABC-B859-B9C2F82F786E}"/>
    <hyperlink ref="E4254" r:id="rId13137" display="https://twitter.com/mycomfor/status/723535937922293761" xr:uid="{8F988441-D770-4E26-9F18-58F4F1A1F734}"/>
    <hyperlink ref="O4254" r:id="rId13138" display="https://pbs.twimg.com/profile_images/1254132835/3com_normal.jpg" xr:uid="{B207B637-CD1C-40A1-8817-AC8EF1F4A8FE}"/>
    <hyperlink ref="B4255" r:id="rId13139" display="https://twitter.com/DaveMichiganTEC" xr:uid="{19BE998A-CC00-44D1-A9BD-056F95C53628}"/>
    <hyperlink ref="E4255" r:id="rId13140" display="https://twitter.com/DaveMichiganTEC/status/723536037746737153" xr:uid="{ABB2FC9E-5731-40E4-8B6F-9FFF94ECE9D3}"/>
    <hyperlink ref="F4255" r:id="rId13141" xr:uid="{5373C78C-9892-41E0-BED1-45D0A76EBE63}"/>
    <hyperlink ref="O4255" r:id="rId13142" display="https://pbs.twimg.com/profile_images/677036395882553344/hTxwna3u_normal.jpg" xr:uid="{2EAAC26E-8D9D-4529-8F3F-B608E62A50D6}"/>
    <hyperlink ref="B4256" r:id="rId13143" display="https://twitter.com/generatoren_irr" xr:uid="{2F90666F-BC35-4049-8016-E24ECDE4C386}"/>
    <hyperlink ref="E4256" r:id="rId13144" display="https://twitter.com/generatoren_irr/status/723536064560922629" xr:uid="{C652569F-A10E-4627-A964-38E1B8611FAF}"/>
    <hyperlink ref="O4256" r:id="rId13145" display="https://pbs.twimg.com/profile_images/3104943850/385acbbfedd6091738459c73132b7193_normal.jpeg" xr:uid="{6B112A19-0BC6-4B8D-89AC-979BE4B41EA7}"/>
    <hyperlink ref="B4257" r:id="rId13146" display="https://twitter.com/VolkswagenPost" xr:uid="{997DB6C6-507A-45B6-B68D-9E140ECF8354}"/>
    <hyperlink ref="E4257" r:id="rId13147" display="https://twitter.com/VolkswagenPost/status/723536319037607936" xr:uid="{C25BF020-6BE5-4476-BA7E-83473B681D07}"/>
    <hyperlink ref="O4257" r:id="rId13148" display="https://pbs.twimg.com/profile_images/530071272881803264/a_jcCmPZ_normal.png" xr:uid="{77E1EB58-54D8-4427-B6A7-DC13281910B8}"/>
    <hyperlink ref="B4258" r:id="rId13149" display="https://twitter.com/vwbusman72" xr:uid="{BC3E9423-2473-46EB-93C1-068AB0E374FE}"/>
    <hyperlink ref="E4258" r:id="rId13150" display="https://twitter.com/vwbusman72/status/723536340231557120" xr:uid="{684718B4-2B44-48EB-AB5C-09C7082A9124}"/>
    <hyperlink ref="O4258" r:id="rId13151" display="https://pbs.twimg.com/profile_images/535972937346863104/azd9tVvN_normal.jpeg" xr:uid="{E271C3B2-6712-436D-BA9E-E8B8E1ACB576}"/>
    <hyperlink ref="B4259" r:id="rId13152" display="https://twitter.com/techhippie" xr:uid="{9D287AF7-38F9-490F-B40E-30FE6D5C4B6F}"/>
    <hyperlink ref="E4259" r:id="rId13153" display="https://twitter.com/techhippie/status/723536434934759424" xr:uid="{CEF3A16D-D59C-4A4D-B215-76AFD95AAB36}"/>
    <hyperlink ref="O4259" r:id="rId13154" display="https://pbs.twimg.com/profile_images/702511217793863680/lty8h9vE_normal.jpg" xr:uid="{4053E0D0-489B-4E9A-9994-037E297107C1}"/>
    <hyperlink ref="B4260" r:id="rId13155" display="https://twitter.com/techhippie" xr:uid="{3A6CAFBC-654E-4569-82D6-6EC5A3B903F6}"/>
    <hyperlink ref="E4260" r:id="rId13156" display="https://twitter.com/techhippie/status/723536460209643521" xr:uid="{8B293F3E-5A08-41FA-95E1-D9607EE6BDB1}"/>
    <hyperlink ref="O4260" r:id="rId13157" display="https://pbs.twimg.com/profile_images/702511217793863680/lty8h9vE_normal.jpg" xr:uid="{F7DADA50-EC26-4F8F-8218-7E2498F8213B}"/>
    <hyperlink ref="B4261" r:id="rId13158" display="https://twitter.com/techhippie" xr:uid="{6749CFCB-9DE1-4E0A-92C6-AFE6B0520B81}"/>
    <hyperlink ref="E4261" r:id="rId13159" display="https://twitter.com/techhippie/status/723536468182970369" xr:uid="{EF8E2856-AF0B-44D4-9475-D7C480F82004}"/>
    <hyperlink ref="O4261" r:id="rId13160" display="https://pbs.twimg.com/profile_images/702511217793863680/lty8h9vE_normal.jpg" xr:uid="{40D8CA54-E0FF-44DD-8D14-CC93BF140A86}"/>
    <hyperlink ref="B4262" r:id="rId13161" display="https://twitter.com/SocialAutos" xr:uid="{0A3B5E4F-4DE9-4E0D-8A4A-55A6B2F7DD39}"/>
    <hyperlink ref="E4262" r:id="rId13162" display="https://twitter.com/SocialAutos/status/723537227343646720" xr:uid="{984427EC-4B6F-4125-BC08-BEE6E3DBE2B9}"/>
    <hyperlink ref="F4262" r:id="rId13163" xr:uid="{16C31A1D-FBBD-4631-921C-2C9CE33EC534}"/>
    <hyperlink ref="O4262" r:id="rId13164" display="https://pbs.twimg.com/profile_images/378800000830360955/5fb295e74c438beb9dd7777a56295953_normal.jpeg" xr:uid="{E0314545-1556-4A17-B9CD-329D5626DA74}"/>
    <hyperlink ref="B4263" r:id="rId13165" display="https://twitter.com/davideghilotti" xr:uid="{B4DA0A75-4C2A-4616-99C9-764C74A9BBB9}"/>
    <hyperlink ref="E4263" r:id="rId13166" display="https://twitter.com/davideghilotti/status/723537274894430209" xr:uid="{C4008BDF-4E07-462C-90DC-A4D062679978}"/>
    <hyperlink ref="O4263" r:id="rId13167" display="https://pbs.twimg.com/profile_images/1752056407/100_5197_resized_normal.jpg" xr:uid="{9869F1F0-E8C4-4DD1-BDAC-95549CB2EA57}"/>
    <hyperlink ref="B4264" r:id="rId13168" display="https://twitter.com/theprospect" xr:uid="{96D5CB0D-D3BD-44DD-B0F3-3F2A66D2AD6F}"/>
    <hyperlink ref="E4264" r:id="rId13169" display="https://twitter.com/theprospect/status/723537385829588992" xr:uid="{67BCCA82-D38A-4463-A196-8F734F22B551}"/>
    <hyperlink ref="O4264" r:id="rId13170" display="https://pbs.twimg.com/profile_images/581130479954452480/Bn544jnu_normal.jpg" xr:uid="{9DA859AF-AC3B-494D-9194-67B4096CBF1B}"/>
    <hyperlink ref="B4265" r:id="rId13171" display="https://twitter.com/lormayna" xr:uid="{43AF8996-558B-4001-AA0B-8EC5DDD9E819}"/>
    <hyperlink ref="E4265" r:id="rId13172" display="https://twitter.com/lormayna/status/723537496223715328" xr:uid="{CB89501E-0499-4ABE-83A6-0313E3B48282}"/>
    <hyperlink ref="O4265" r:id="rId13173" display="https://pbs.twimg.com/profile_images/620385716/io_cappello_normal.jpg" xr:uid="{28C24193-7743-4635-AEE6-0CCF1F951548}"/>
    <hyperlink ref="P4265" r:id="rId13174" location="43.81382239,11.01986151" display="http://ctrlq.org/maps/address/ - 43.81382239,11.01986151" xr:uid="{E6777923-A90C-4C4B-9A65-FBBAA31A3260}"/>
    <hyperlink ref="B4266" r:id="rId13175" display="https://twitter.com/HansTheGerman" xr:uid="{AA7A918F-C2A4-4290-8D52-407CF4DD8900}"/>
    <hyperlink ref="E4266" r:id="rId13176" display="https://twitter.com/HansTheGerman/status/723537551584301056" xr:uid="{532A3E5D-3D2E-49B1-B89F-3462A465F609}"/>
    <hyperlink ref="O4266" r:id="rId13177" display="https://pbs.twimg.com/profile_images/3012106875/596e712c99a38ec69b925b7f7ab71986_normal.jpeg" xr:uid="{56B37B7F-46E1-4AE5-9200-B6F4E3F4F66B}"/>
    <hyperlink ref="B4267" r:id="rId13178" display="https://twitter.com/VWBeetleSales" xr:uid="{4A58959F-7A55-4BF1-95EB-933562F9FD8C}"/>
    <hyperlink ref="E4267" r:id="rId13179" display="https://twitter.com/VWBeetleSales/status/723537868187004928" xr:uid="{8ED5AEF2-E4D6-4F7B-A988-046631743BA9}"/>
    <hyperlink ref="F4267" r:id="rId13180" xr:uid="{30EBF5A5-57C6-45FA-B4B8-D7F6EF08871D}"/>
    <hyperlink ref="O4267" r:id="rId13181" display="https://pbs.twimg.com/profile_images/703294545195307008/qeCvrX86_normal.jpg" xr:uid="{ACA53200-A201-4AEE-A3E7-63920BDA1F4B}"/>
    <hyperlink ref="B4268" r:id="rId13182" display="https://twitter.com/michalakperrine" xr:uid="{408FFBF4-2292-4071-8972-4A889B2B2566}"/>
    <hyperlink ref="E4268" r:id="rId13183" display="https://twitter.com/michalakperrine/status/723537888525312000" xr:uid="{12453571-1534-4515-8C8E-B0358D7CC68B}"/>
    <hyperlink ref="O4268" r:id="rId13184" display="https://pbs.twimg.com/profile_images/721054443802902528/fcHw2mPY_normal.jpg" xr:uid="{BFAD79FA-D7CC-4F7A-B3E0-F1E458CBC5C4}"/>
    <hyperlink ref="B4269" r:id="rId13185" display="https://twitter.com/HansTheGerman" xr:uid="{CC8D6D39-ACE5-4B6A-8509-0A159A1A27DF}"/>
    <hyperlink ref="E4269" r:id="rId13186" display="https://twitter.com/HansTheGerman/status/723538368966086660" xr:uid="{78D80E3D-58FD-49F0-A578-AA03C3E0AB2E}"/>
    <hyperlink ref="O4269" r:id="rId13187" display="https://pbs.twimg.com/profile_images/3012106875/596e712c99a38ec69b925b7f7ab71986_normal.jpeg" xr:uid="{84BDDC19-1009-490D-9C7F-0C1E84B319BA}"/>
    <hyperlink ref="B4270" r:id="rId13188" display="https://twitter.com/CyM00n" xr:uid="{FF23F18D-13C4-46F4-B99C-0176587615BA}"/>
    <hyperlink ref="E4270" r:id="rId13189" display="https://twitter.com/CyM00n/status/723538376507449344" xr:uid="{69EBE545-9C15-4549-9402-653DFC7C4E44}"/>
    <hyperlink ref="O4270" r:id="rId13190" display="https://abs.twimg.com/sticky/default_profile_images/default_profile_1_normal.png" xr:uid="{FD0CD39B-0347-4FE0-A829-9C4C204FEAC7}"/>
    <hyperlink ref="B4271" r:id="rId13191" display="https://twitter.com/RichardRead" xr:uid="{F16945F4-9A50-486C-BDC4-CB662F8508E9}"/>
    <hyperlink ref="E4271" r:id="rId13192" display="https://twitter.com/RichardRead/status/723538398003130368" xr:uid="{37CD7C2B-C088-4EAE-B68F-D6FADCA8D977}"/>
    <hyperlink ref="O4271" r:id="rId13193" display="https://pbs.twimg.com/profile_images/685214407291351040/WdPIMNTV_normal.jpg" xr:uid="{E025455F-E420-47B2-AA31-E4CD4D53628D}"/>
    <hyperlink ref="B4272" r:id="rId13194" display="https://twitter.com/matthiaspetrat" xr:uid="{910F71CC-1B97-4EA8-92FE-40EF8D6591E6}"/>
    <hyperlink ref="E4272" r:id="rId13195" display="https://twitter.com/matthiaspetrat/status/723538431809327105" xr:uid="{C9F86034-40E6-4121-9C4B-CDF671857717}"/>
    <hyperlink ref="O4272" r:id="rId13196" display="https://pbs.twimg.com/profile_images/606944065859555328/-6WW5RVJ_normal.jpg" xr:uid="{BA85124E-7BAB-4D94-A628-5985437D6ECC}"/>
    <hyperlink ref="B4273" r:id="rId13197" display="https://twitter.com/Schwartz_Daniel" xr:uid="{020DFD07-DA36-443F-AC4E-3E52615E523E}"/>
    <hyperlink ref="E4273" r:id="rId13198" display="https://twitter.com/Schwartz_Daniel/status/723538711439388677" xr:uid="{03CF1DFB-79F2-464F-88C5-BD953325A992}"/>
    <hyperlink ref="O4273" r:id="rId13199" display="https://pbs.twimg.com/profile_images/594905123916091392/wrn-hZFg_normal.jpg" xr:uid="{72F52A0F-EFD5-4B48-957C-57D6C8FB2D96}"/>
    <hyperlink ref="B4274" r:id="rId13200" display="https://twitter.com/NollyPrott" xr:uid="{43C1D114-8724-43F2-8DA8-4CC2C6A30560}"/>
    <hyperlink ref="E4274" r:id="rId13201" display="https://twitter.com/NollyPrott/status/723538934089834497" xr:uid="{3B0BC110-656C-4678-82A8-FB367C57BEE5}"/>
    <hyperlink ref="O4274" r:id="rId13202" display="https://pbs.twimg.com/profile_images/425599818853912576/kKRiBOc1_normal.jpeg" xr:uid="{62124DE5-2FFD-4C6E-8560-AC0CD9CC1462}"/>
    <hyperlink ref="B4275" r:id="rId13203" display="https://twitter.com/andrejfnovak" xr:uid="{41141DE0-80AF-49A3-A0CE-39F838526D33}"/>
    <hyperlink ref="E4275" r:id="rId13204" display="https://twitter.com/andrejfnovak/status/723539001701982208" xr:uid="{406F4992-28D2-4DE0-BA71-48F28539C5A9}"/>
    <hyperlink ref="O4275" r:id="rId13205" display="https://pbs.twimg.com/profile_images/1756903499/2011_small_normal.jpg" xr:uid="{9342E9D2-DA2A-49CE-91E7-2F6E13227DCE}"/>
    <hyperlink ref="B4276" r:id="rId13206" display="https://twitter.com/Monogasse" xr:uid="{A2F70C85-29E9-45A0-8813-767CFE0E08B0}"/>
    <hyperlink ref="E4276" r:id="rId13207" display="https://twitter.com/Monogasse/status/723539015631310849" xr:uid="{A730B983-0FF5-4A2C-98E2-E20A0DFEEF72}"/>
    <hyperlink ref="O4276" r:id="rId13208" display="https://pbs.twimg.com/profile_images/672942753295294464/GspCtXty_normal.jpg" xr:uid="{AA708C03-F54D-4615-8183-04620CE3EDF5}"/>
    <hyperlink ref="B4277" r:id="rId13209" display="https://twitter.com/ukoepke" xr:uid="{A932F481-00AB-4DC3-A950-356C884F8D80}"/>
    <hyperlink ref="E4277" r:id="rId13210" display="https://twitter.com/ukoepke/status/723539210230194177" xr:uid="{3C6E64C2-6D9A-4D4E-A9F2-8F28C3215A6D}"/>
    <hyperlink ref="O4277" r:id="rId13211" display="https://pbs.twimg.com/profile_images/617758971861037056/Nj6rNKM3_normal.jpg" xr:uid="{2EBD335D-CBD9-4073-99B8-4AB42FF0A344}"/>
    <hyperlink ref="B4278" r:id="rId13212" display="https://twitter.com/FreeAverageJoe" xr:uid="{230F1480-972B-4828-A4EB-CB04A864381D}"/>
    <hyperlink ref="E4278" r:id="rId13213" display="https://twitter.com/FreeAverageJoe/status/723539368481296384" xr:uid="{90C966DD-F1D6-44B6-88FD-A338A1B665F0}"/>
    <hyperlink ref="O4278" r:id="rId13214" display="https://pbs.twimg.com/profile_images/454996800881975296/Mjmz9Uju_normal.jpeg" xr:uid="{2DCC3612-8B5B-4148-BCC4-FF6E46F34E26}"/>
    <hyperlink ref="B4279" r:id="rId13215" display="https://twitter.com/DarioRickensdor" xr:uid="{D51CFA7D-C312-4025-AFBA-B6D8FECFA022}"/>
    <hyperlink ref="E4279" r:id="rId13216" display="https://twitter.com/DarioRickensdor/status/723539439209857024" xr:uid="{AAF69C05-75D7-421A-A8B5-C5D0144E90F2}"/>
    <hyperlink ref="O4279" r:id="rId13217" display="https://pbs.twimg.com/profile_images/712400455792521216/vRZrkD5K_normal.jpg" xr:uid="{77E50E86-C176-4F8A-896E-F315C18732DB}"/>
    <hyperlink ref="B4280" r:id="rId13218" display="https://twitter.com/zupalive" xr:uid="{8C34FFA8-90F1-4D11-81D5-549E62B405C8}"/>
    <hyperlink ref="E4280" r:id="rId13219" display="https://twitter.com/zupalive/status/723539561943433216" xr:uid="{594B6FD7-67D3-4E04-9E7B-19B6D3654060}"/>
    <hyperlink ref="O4280" r:id="rId13220" display="https://pbs.twimg.com/profile_images/704935236069670912/sAr0lhJJ_normal.jpg" xr:uid="{4DBFC98F-5097-4CF1-9630-BC1F75F6466A}"/>
    <hyperlink ref="B4281" r:id="rId13221" display="https://twitter.com/MaryVahey" xr:uid="{2ADD8B8E-BD3E-484F-9A64-A2BF9092F363}"/>
    <hyperlink ref="E4281" r:id="rId13222" display="https://twitter.com/MaryVahey/status/723539593853808644" xr:uid="{EC37C17A-56BB-4306-A932-BC5F1D75BAFC}"/>
    <hyperlink ref="O4281" r:id="rId13223" display="https://pbs.twimg.com/profile_images/534482302332858368/gCK4G7au_normal.jpeg" xr:uid="{EC057EE7-DF92-4858-9462-42DD999F9333}"/>
    <hyperlink ref="B4282" r:id="rId13224" display="https://twitter.com/fxdx" xr:uid="{81871444-0B8F-47DA-89B2-066A746C897B}"/>
    <hyperlink ref="E4282" r:id="rId13225" display="https://twitter.com/fxdx/status/723539797290131458" xr:uid="{A1292411-7265-42F9-AD91-55B8676B7E99}"/>
    <hyperlink ref="O4282" r:id="rId13226" display="https://pbs.twimg.com/profile_images/1242530988/Avatar_fxdx_bird_pp3_normal.jpeg" xr:uid="{19AC0568-6B20-4C6B-8946-AB06A7DD169C}"/>
    <hyperlink ref="B4283" r:id="rId13227" display="https://twitter.com/zdmak" xr:uid="{E67B145E-5F77-4555-B55E-C2619CD22115}"/>
    <hyperlink ref="E4283" r:id="rId13228" display="https://twitter.com/zdmak/status/723540070599397376" xr:uid="{C427E74A-A200-4CA3-9DDC-82263808F030}"/>
    <hyperlink ref="O4283" r:id="rId13229" display="https://pbs.twimg.com/profile_images/573248726212325376/60EMO_jJ_normal.jpeg" xr:uid="{D86B5884-9F6E-4B49-8E83-2ABF713E1BC8}"/>
    <hyperlink ref="B4284" r:id="rId13230" display="https://twitter.com/Spoekenkiekerei" xr:uid="{D1E7B87C-B0EB-4502-B539-EDBFACFAF777}"/>
    <hyperlink ref="E4284" r:id="rId13231" display="https://twitter.com/Spoekenkiekerei/status/723540132889038848" xr:uid="{4A7D0F38-4E7F-421B-B0DC-79684A1CA4CD}"/>
    <hyperlink ref="O4284" r:id="rId13232" display="https://pbs.twimg.com/profile_images/717382175071535104/1l_yueaA_normal.jpg" xr:uid="{CE23B213-350A-4F91-99B7-CF9B4BE23CEC}"/>
    <hyperlink ref="B4285" r:id="rId13233" display="https://twitter.com/nordlohner" xr:uid="{1DD2E489-33F3-469B-9A91-47BC4C0E3BD7}"/>
    <hyperlink ref="E4285" r:id="rId13234" display="https://twitter.com/nordlohner/status/723540157048197121" xr:uid="{48C9F8E0-C535-4370-BD0A-043B2A9E179B}"/>
    <hyperlink ref="O4285" r:id="rId13235" display="https://pbs.twimg.com/profile_images/689490163639123968/KvB_Hdux_normal.jpg" xr:uid="{90E6E403-BA44-4864-9C24-CCB56A8E1A84}"/>
    <hyperlink ref="B4286" r:id="rId13236" display="https://twitter.com/imfree81" xr:uid="{FC0F1C82-31DD-48E2-930E-DAC35BA737D8}"/>
    <hyperlink ref="E4286" r:id="rId13237" display="https://twitter.com/imfree81/status/723540179970068481" xr:uid="{09B7F19B-64F1-4CBA-B181-0AA9A00C7FFD}"/>
    <hyperlink ref="O4286" r:id="rId13238" display="https://pbs.twimg.com/profile_images/1859860496/image_normal.jpg" xr:uid="{5427EF31-745B-4DEF-84A9-F458C0554647}"/>
    <hyperlink ref="B4287" r:id="rId13239" display="https://twitter.com/zdmak" xr:uid="{C4D1D07D-3559-49AB-8584-FBB85F68AB48}"/>
    <hyperlink ref="E4287" r:id="rId13240" display="https://twitter.com/zdmak/status/723540252045004800" xr:uid="{6ABD0794-C613-422E-9017-331339317430}"/>
    <hyperlink ref="O4287" r:id="rId13241" display="https://pbs.twimg.com/profile_images/573248726212325376/60EMO_jJ_normal.jpeg" xr:uid="{1A85AC7E-CFE8-4929-862C-5C26E76ED208}"/>
    <hyperlink ref="B4288" r:id="rId13242" display="https://twitter.com/NetzwerkggS21" xr:uid="{01344114-3393-49DA-9F9E-4D200517A1FE}"/>
    <hyperlink ref="E4288" r:id="rId13243" display="https://twitter.com/NetzwerkggS21/status/723540284055891969" xr:uid="{3CD7DAEC-7597-43E6-A572-C830B5A82438}"/>
    <hyperlink ref="M4288" r:id="rId13244" xr:uid="{A8347949-F352-4D0A-95CB-C1374F30520C}"/>
    <hyperlink ref="O4288" r:id="rId13245" display="https://pbs.twimg.com/profile_images/378800000528765970/3ab9f2a00010e9cac08d5ca1638926e9_normal.png" xr:uid="{534E08ED-8D18-48D1-AB20-33453C7BA1B6}"/>
    <hyperlink ref="B4289" r:id="rId13246" display="https://twitter.com/UlrikeLuehe" xr:uid="{2BF2E4F9-C37C-4DA8-8049-4D0E81E15204}"/>
    <hyperlink ref="E4289" r:id="rId13247" display="https://twitter.com/UlrikeLuehe/status/723540445268185090" xr:uid="{46BE6C6C-F6FB-4FD3-A756-BF1B5C28DDCC}"/>
    <hyperlink ref="O4289" r:id="rId13248" display="https://abs.twimg.com/sticky/default_profile_images/default_profile_4_normal.png" xr:uid="{5003AB25-DC6C-4BC1-AD4E-662621667902}"/>
    <hyperlink ref="B4290" r:id="rId13249" display="https://twitter.com/LukasBouwman" xr:uid="{B4A57002-C9F7-4330-8466-1D7458BA561A}"/>
    <hyperlink ref="E4290" r:id="rId13250" display="https://twitter.com/LukasBouwman/status/723540994722004992" xr:uid="{7BC0052F-6800-4D91-A6AC-994AAC6E1A65}"/>
    <hyperlink ref="O4290" r:id="rId13251" display="https://pbs.twimg.com/profile_images/1694897534/LukasBouwman_normal.jpg" xr:uid="{6F374128-46E3-4F8F-9B6B-EDE1033CEA79}"/>
    <hyperlink ref="B4291" r:id="rId13252" display="https://twitter.com/karicio" xr:uid="{0669E541-BE19-42EB-B5A5-E020FAD37093}"/>
    <hyperlink ref="E4291" r:id="rId13253" display="https://twitter.com/karicio/status/723541127475937280" xr:uid="{2B391277-50A9-4E73-BE5E-C70DE5A5EE50}"/>
    <hyperlink ref="O4291" r:id="rId13254" display="https://pbs.twimg.com/profile_images/685173983575207936/F1JJO_rx_normal.jpg" xr:uid="{F8A8B66B-E578-412C-AF50-56191E188441}"/>
    <hyperlink ref="B4292" r:id="rId13255" display="https://twitter.com/TommyMontoya" xr:uid="{7D9CBBBA-903C-4C34-946A-D79323BFB453}"/>
    <hyperlink ref="E4292" r:id="rId13256" display="https://twitter.com/TommyMontoya/status/723541166830952449" xr:uid="{0A3A802E-CD51-4814-B3FB-4F4B3B6F0918}"/>
    <hyperlink ref="O4292" r:id="rId13257" display="https://pbs.twimg.com/profile_images/1398995265/IMG-20110616-00680_normal.jpg" xr:uid="{E7C83D15-E99F-4309-B8E8-8EA3ACDC77BE}"/>
    <hyperlink ref="B4293" r:id="rId13258" display="https://twitter.com/VWwaterloo" xr:uid="{13F5028B-2A8F-4444-9010-7E0188AD8B1A}"/>
    <hyperlink ref="E4293" r:id="rId13259" display="https://twitter.com/VWwaterloo/status/723541282761617408" xr:uid="{9BEE8762-E72F-40D1-9AFB-5ECCD2E02CE1}"/>
    <hyperlink ref="O4293" r:id="rId13260" display="https://pbs.twimg.com/profile_images/378800000304359644/b4a7ca4814d7f1bf6ad3b81ad5c37f5c_normal.jpeg" xr:uid="{85FC45C2-62FE-4383-A6B9-A3863FF51153}"/>
    <hyperlink ref="B4294" r:id="rId13261" display="https://twitter.com/kking67" xr:uid="{EF11EBF3-9358-415A-B909-9497370E99C3}"/>
    <hyperlink ref="E4294" r:id="rId13262" display="https://twitter.com/kking67/status/723541496708911105" xr:uid="{A676BD9F-E945-4DF7-8F4A-BC1D62E62925}"/>
    <hyperlink ref="O4294" r:id="rId13263" display="https://pbs.twimg.com/profile_images/703826596663136256/QIIRK33q_normal.jpg" xr:uid="{8DA890E6-0A3F-4D2A-928F-A4EEA6A8658B}"/>
    <hyperlink ref="B4295" r:id="rId13264" display="https://twitter.com/RodriContrera01" xr:uid="{A67AD90E-92F0-4F77-A594-247D36FE36A5}"/>
    <hyperlink ref="E4295" r:id="rId13265" display="https://twitter.com/RodriContrera01/status/723542021869182976" xr:uid="{2854D594-2C89-4DE4-82AC-497708EB6BD7}"/>
    <hyperlink ref="O4295" r:id="rId13266" display="https://pbs.twimg.com/profile_images/701000443535749121/En8izo6p_normal.jpg" xr:uid="{98E3CAA9-7F61-4E52-9BD6-022CE8617F1D}"/>
    <hyperlink ref="B4296" r:id="rId13267" display="https://twitter.com/kngeuro" xr:uid="{3D848FC2-00B4-449D-805A-E23041059F73}"/>
    <hyperlink ref="E4296" r:id="rId13268" display="https://twitter.com/kngeuro/status/723542051124445184" xr:uid="{50E05F3D-0432-45D7-834C-B67BFD8B17CF}"/>
    <hyperlink ref="O4296" r:id="rId13269" display="https://pbs.twimg.com/profile_images/570375988065935360/ooT_Nq7x_normal.jpeg" xr:uid="{ACBB437A-C2FB-4CAB-9C35-C3CBA2C30A6F}"/>
    <hyperlink ref="B4297" r:id="rId13270" display="https://twitter.com/CeciDiBernardo" xr:uid="{38DAF0AE-7EE6-48F6-9B1A-BB693E53EBA1}"/>
    <hyperlink ref="E4297" r:id="rId13271" display="https://twitter.com/CeciDiBernardo/status/723542220851138560" xr:uid="{739DAB02-BBCB-4594-A53E-8F2439D24FD6}"/>
    <hyperlink ref="O4297" r:id="rId13272" display="https://pbs.twimg.com/profile_images/721039232865812484/sR4TERJf_normal.jpg" xr:uid="{AD5A420C-9FDB-4CF6-872D-33D5E0BA6910}"/>
    <hyperlink ref="B4298" r:id="rId13273" display="https://twitter.com/Fotobiene" xr:uid="{1C2F3B1E-4694-47B1-80AD-50D4A4C95D77}"/>
    <hyperlink ref="E4298" r:id="rId13274" display="https://twitter.com/Fotobiene/status/723542267122843648" xr:uid="{19C7DFB5-5911-457B-9026-848082A0008C}"/>
    <hyperlink ref="O4298" r:id="rId13275" display="https://pbs.twimg.com/profile_images/476894592051056640/bqGCxWkq_normal.jpeg" xr:uid="{69A46A3E-4A38-4DA0-BF0D-FA835DDF6CE4}"/>
    <hyperlink ref="B4299" r:id="rId13276" display="https://twitter.com/dermaschinist" xr:uid="{C65CF58D-54F6-4268-A85A-B34FC7261101}"/>
    <hyperlink ref="E4299" r:id="rId13277" display="https://twitter.com/dermaschinist/status/723542331815788544" xr:uid="{63DE287F-3E58-400F-99BC-5F63EA298509}"/>
    <hyperlink ref="O4299" r:id="rId13278" display="https://pbs.twimg.com/profile_images/2990215932/3d67f4dbdf71510d4c8e81b422b73de8_normal.jpeg" xr:uid="{F1F4FC9E-5D13-4D60-B32E-F492779460C3}"/>
    <hyperlink ref="B4300" r:id="rId13279" display="https://twitter.com/instock_de" xr:uid="{1A063A9F-584D-44AC-8E06-001834BC55D8}"/>
    <hyperlink ref="C4300" r:id="rId13280" xr:uid="{84D3170F-B81D-4F47-9A1A-71E2D0FC6870}"/>
    <hyperlink ref="E4300" r:id="rId13281" display="https://twitter.com/instock_de/status/723542412535173121" xr:uid="{CE92526F-5C12-4DF6-BC56-2E18B4FC24E0}"/>
    <hyperlink ref="O4300" r:id="rId13282" display="https://pbs.twimg.com/profile_images/1200648485/instock_normal.jpg" xr:uid="{642B5912-2DC7-4369-B683-6DFE7B7A81C8}"/>
    <hyperlink ref="B4301" r:id="rId13283" display="https://twitter.com/089stadt" xr:uid="{234DF022-4A21-4960-A229-232FA8BD4CE3}"/>
    <hyperlink ref="E4301" r:id="rId13284" display="https://twitter.com/089stadt/status/723542581750075392" xr:uid="{9A90FB63-1A3F-4AFC-BC7A-426BF910F0AD}"/>
    <hyperlink ref="O4301" r:id="rId13285" display="https://pbs.twimg.com/profile_images/1785128505/munich_normal.png" xr:uid="{0F72291D-7476-4C37-AE03-FDEB7662125E}"/>
    <hyperlink ref="B4302" r:id="rId13286" display="https://twitter.com/chapmanphilly" xr:uid="{D7EFB60C-EEAA-4E7F-9422-0D594929EA96}"/>
    <hyperlink ref="E4302" r:id="rId13287" display="https://twitter.com/chapmanphilly/status/723542655137886209" xr:uid="{6C93C041-0417-4264-8A87-D514B60C1AE8}"/>
    <hyperlink ref="O4302" r:id="rId13288" display="https://pbs.twimg.com/profile_images/378800000600543486/069e6d3a14dfc922c29d7cecf5dd463a_normal.jpeg" xr:uid="{1706B680-B7F9-476A-8750-D728C73423FD}"/>
    <hyperlink ref="B4303" r:id="rId13289" display="https://twitter.com/olandero" xr:uid="{762F94FC-CEE0-4F65-8FE1-674E95280250}"/>
    <hyperlink ref="E4303" r:id="rId13290" display="https://twitter.com/olandero/status/723542853905948672" xr:uid="{AFD01827-A08C-42E3-B044-7B3CCD216BD1}"/>
    <hyperlink ref="O4303" r:id="rId13291" display="https://pbs.twimg.com/profile_images/3369387691/8dd48ed42f95dd55b227e4add94d0632_normal.jpeg" xr:uid="{A7C7A933-11E2-4C99-86D6-775145C3994B}"/>
    <hyperlink ref="B4304" r:id="rId13292" display="https://twitter.com/rogerwilc00" xr:uid="{708073E4-815C-4589-A22C-301DB4191A43}"/>
    <hyperlink ref="E4304" r:id="rId13293" display="https://twitter.com/rogerwilc00/status/723542884293685248" xr:uid="{F64C6E39-7FAA-482A-8344-4BA95A3F7673}"/>
    <hyperlink ref="O4304" r:id="rId13294" display="https://pbs.twimg.com/profile_images/721449536795840512/vY3zlT7W_normal.jpg" xr:uid="{702C5BBA-D4EB-4B79-BA2F-08509FBBDBC5}"/>
    <hyperlink ref="B4305" r:id="rId13295" display="https://twitter.com/zervaspepper" xr:uid="{17407266-4C42-43D9-94A1-CC76FEA40DE1}"/>
    <hyperlink ref="E4305" r:id="rId13296" display="https://twitter.com/zervaspepper/status/723542968045465601" xr:uid="{52005BE8-A037-443D-809E-1CD15DBADC6E}"/>
    <hyperlink ref="O4305" r:id="rId13297" display="https://pbs.twimg.com/profile_images/666772755593973763/g8cNvIw4_normal.jpg" xr:uid="{195D8B91-286E-44D0-B29E-3242923DCC3A}"/>
    <hyperlink ref="B4306" r:id="rId13298" display="https://twitter.com/beetlebug1938" xr:uid="{171C7499-5A8A-43B2-B297-0AA310181122}"/>
    <hyperlink ref="E4306" r:id="rId13299" display="https://twitter.com/beetlebug1938/status/723543086597582849" xr:uid="{92A77E79-30E2-4654-8063-608B0431DC82}"/>
    <hyperlink ref="O4306" r:id="rId13300" display="https://pbs.twimg.com/profile_images/718820712757215233/LXXndPTS_normal.jpg" xr:uid="{A8C2E885-92F4-41FC-AAA0-0855A1EE4462}"/>
    <hyperlink ref="B4307" r:id="rId13301" display="https://twitter.com/StaffsVW" xr:uid="{5BA3ABB4-D34A-4608-B694-FC2655FA45A4}"/>
    <hyperlink ref="E4307" r:id="rId13302" display="https://twitter.com/StaffsVW/status/723543100329594880" xr:uid="{08514034-8C40-484C-BC51-04136BBAA452}"/>
    <hyperlink ref="O4307" r:id="rId13303" display="https://pbs.twimg.com/profile_images/689180646653202432/IDgTGC30_normal.jpg" xr:uid="{3B527494-02CE-448F-BF14-F1C03430DD66}"/>
    <hyperlink ref="B4308" r:id="rId13304" display="https://twitter.com/beetlebug1938" xr:uid="{A7766F0B-D9C3-4049-BBEE-FA62A1C364EF}"/>
    <hyperlink ref="E4308" r:id="rId13305" display="https://twitter.com/beetlebug1938/status/723543117421547520" xr:uid="{20613B48-D941-4DFD-84A0-4F1A8D42359C}"/>
    <hyperlink ref="O4308" r:id="rId13306" display="https://pbs.twimg.com/profile_images/718820712757215233/LXXndPTS_normal.jpg" xr:uid="{41849F88-9256-4FB4-9000-D7E6E600D49E}"/>
    <hyperlink ref="B4309" r:id="rId13307" display="https://twitter.com/beetlebug1938" xr:uid="{956A6A06-CAB7-4252-AE0F-BFA10567D0B3}"/>
    <hyperlink ref="E4309" r:id="rId13308" display="https://twitter.com/beetlebug1938/status/723543130579034112" xr:uid="{D4AE6A06-1238-4EEB-890A-BF43C012BC98}"/>
    <hyperlink ref="O4309" r:id="rId13309" display="https://pbs.twimg.com/profile_images/718820712757215233/LXXndPTS_normal.jpg" xr:uid="{DA345EA4-B371-4977-AEBD-0FB09B153779}"/>
    <hyperlink ref="B4310" r:id="rId13310" display="https://twitter.com/beetlebug1938" xr:uid="{EAEEB065-DF39-4EC3-BF42-977ADEC2094D}"/>
    <hyperlink ref="E4310" r:id="rId13311" display="https://twitter.com/beetlebug1938/status/723543141631008768" xr:uid="{E03449AA-02FF-4C78-8738-42ED0F0DA9AB}"/>
    <hyperlink ref="O4310" r:id="rId13312" display="https://pbs.twimg.com/profile_images/718820712757215233/LXXndPTS_normal.jpg" xr:uid="{DF9BD286-28D6-4260-B45F-3671735684E8}"/>
    <hyperlink ref="B4311" r:id="rId13313" display="https://twitter.com/beetlebug1938" xr:uid="{D70DD339-8148-42FA-9A38-FC873C9A11BF}"/>
    <hyperlink ref="E4311" r:id="rId13314" display="https://twitter.com/beetlebug1938/status/723543156772495361" xr:uid="{442074C4-8124-44DE-9857-21497C30C9B7}"/>
    <hyperlink ref="O4311" r:id="rId13315" display="https://pbs.twimg.com/profile_images/718820712757215233/LXXndPTS_normal.jpg" xr:uid="{44B44878-28F3-4C60-950D-8CD2A525D441}"/>
    <hyperlink ref="B4312" r:id="rId13316" display="https://twitter.com/campercino_uk" xr:uid="{625B0484-C191-43F6-8BEF-2B0B064F4BA8}"/>
    <hyperlink ref="E4312" r:id="rId13317" display="https://twitter.com/campercino_uk/status/723543265811652608" xr:uid="{9453D672-D7B4-4F57-8EE7-44DDF4EE59AF}"/>
    <hyperlink ref="O4312" r:id="rId13318" display="https://pbs.twimg.com/profile_images/695303050580385793/wXS47Pgy_normal.jpg" xr:uid="{6F483302-4A6E-4B80-A682-951F0AB6FFF1}"/>
    <hyperlink ref="B4313" r:id="rId13319" display="https://twitter.com/soyoffroad" xr:uid="{77BA6DDF-011C-4659-97B7-441C7A9CA48A}"/>
    <hyperlink ref="E4313" r:id="rId13320" display="https://twitter.com/soyoffroad/status/723543316160110596" xr:uid="{C8D9DFF7-A84E-4EBE-82A1-708CEC2809A9}"/>
    <hyperlink ref="O4313" r:id="rId13321" display="https://pbs.twimg.com/profile_images/669927925823631360/jja0tgDW_normal.jpg" xr:uid="{02FAE292-676B-4D5E-AF27-2133A0E8B789}"/>
    <hyperlink ref="B4314" r:id="rId13322" display="https://twitter.com/DJMattDavid" xr:uid="{614F179C-1DE9-419A-94AB-8B25C0CA9EEF}"/>
    <hyperlink ref="E4314" r:id="rId13323" display="https://twitter.com/DJMattDavid/status/723543317695356928" xr:uid="{42A1BE75-8F84-494F-8FA6-D34E4C7D5860}"/>
    <hyperlink ref="O4314" r:id="rId13324" display="https://pbs.twimg.com/profile_images/434295813154816000/Zl69okbD_normal.jpeg" xr:uid="{C21F7985-4074-41C6-88B2-E75EB764AE0D}"/>
    <hyperlink ref="B4315" r:id="rId13325" display="https://twitter.com/Stefan_Schwark" xr:uid="{27834EB6-0016-41AE-8FF3-845615B80972}"/>
    <hyperlink ref="E4315" r:id="rId13326" display="https://twitter.com/Stefan_Schwark/status/723543325035364352" xr:uid="{1B4622A1-0C95-4937-8EFB-189CBD8C88CB}"/>
    <hyperlink ref="O4315" r:id="rId13327" display="https://pbs.twimg.com/profile_images/697958231046541312/4NchKa9u_normal.jpg" xr:uid="{A7118AD5-9C98-42AD-A2EB-8512B8BFFEDA}"/>
    <hyperlink ref="B4316" r:id="rId13328" display="https://twitter.com/OpenMarketingTV" xr:uid="{0DBBBD4A-A9EC-411E-9E7E-31D73E043E5A}"/>
    <hyperlink ref="E4316" r:id="rId13329" display="https://twitter.com/OpenMarketingTV/status/723543364541390849" xr:uid="{755CC3BA-FCB5-4A4F-AD7E-F1A297E3CC07}"/>
    <hyperlink ref="O4316" r:id="rId13330" display="https://pbs.twimg.com/profile_images/2416217270/6vmtlo7m644v6jwaux83_normal.jpeg" xr:uid="{4D9F6F9C-1F48-4BE6-B9DA-A4F7E545EE82}"/>
    <hyperlink ref="B4317" r:id="rId13331" display="https://twitter.com/automotora" xr:uid="{3CC3F6F8-3A5B-462C-A68F-29BFCC2DAF62}"/>
    <hyperlink ref="E4317" r:id="rId13332" display="https://twitter.com/automotora/status/723543473350184960" xr:uid="{788DF65E-51FC-487B-A60F-46CA6B76E5B5}"/>
    <hyperlink ref="O4317" r:id="rId13333" display="https://pbs.twimg.com/profile_images/659027805200621569/pCHRuMxh_normal.jpg" xr:uid="{14E52265-909B-462E-BBA9-70B9205BB171}"/>
    <hyperlink ref="B4318" r:id="rId13334" display="https://twitter.com/helichristine" xr:uid="{9A4F039B-41F9-4040-873D-59C4A290408B}"/>
    <hyperlink ref="E4318" r:id="rId13335" display="https://twitter.com/helichristine/status/723543690803875840" xr:uid="{396E090A-AE93-40EF-8407-34056DAE81C9}"/>
    <hyperlink ref="O4318" r:id="rId13336" display="https://pbs.twimg.com/profile_images/721447255404900352/DyH74sOm_normal.jpg" xr:uid="{CAD5394D-E8F3-489C-B26B-EBA87DC1DFE4}"/>
    <hyperlink ref="B4319" r:id="rId13337" display="https://twitter.com/doin384" xr:uid="{ED3ACF03-2EE4-44D1-BB96-03F8FDE55A47}"/>
    <hyperlink ref="E4319" r:id="rId13338" display="https://twitter.com/doin384/status/723543819866791940" xr:uid="{52FE8729-4012-401F-A1F9-E2BBA21A14FD}"/>
    <hyperlink ref="O4319" r:id="rId13339" display="https://pbs.twimg.com/profile_images/722248646604013569/kvvRmbIE_normal.jpg" xr:uid="{52EBBE03-678D-41F5-A47D-FB5FD67F5DD9}"/>
    <hyperlink ref="B4320" r:id="rId13340" display="https://twitter.com/TheRealBrauni" xr:uid="{E390D32F-62AE-4CE0-B9F4-6030DC4266D1}"/>
    <hyperlink ref="E4320" r:id="rId13341" display="https://twitter.com/TheRealBrauni/status/723543912829186049" xr:uid="{6B8FE9CD-C94F-48FE-91E3-50F1E17E5F28}"/>
    <hyperlink ref="O4320" r:id="rId13342" display="https://pbs.twimg.com/profile_images/683994900644401153/XiE_zUVV_normal.jpg" xr:uid="{58689FDA-BB39-408E-B801-305E012F91C3}"/>
    <hyperlink ref="B4321" r:id="rId13343" display="https://twitter.com/kking67" xr:uid="{8B510FD4-9EE3-4C75-9C94-21D079A877A7}"/>
    <hyperlink ref="E4321" r:id="rId13344" display="https://twitter.com/kking67/status/723544237971783680" xr:uid="{34A783BF-6346-43DC-A251-DF394DB94551}"/>
    <hyperlink ref="O4321" r:id="rId13345" display="https://pbs.twimg.com/profile_images/703826596663136256/QIIRK33q_normal.jpg" xr:uid="{5809CF4B-5321-4B21-B3BE-D24AF7958FBB}"/>
    <hyperlink ref="B4322" r:id="rId13346" display="https://twitter.com/oscar_elchara1" xr:uid="{C21956DF-AC8E-44FE-9095-CFE3B4D81815}"/>
    <hyperlink ref="E4322" r:id="rId13347" display="https://twitter.com/oscar_elchara1/status/723544428854398976" xr:uid="{C4E7BD27-8F34-468E-A550-FCB899657367}"/>
    <hyperlink ref="O4322" r:id="rId13348" display="https://pbs.twimg.com/profile_images/580763987173732353/vlbyJFgG_normal.jpg" xr:uid="{01F1F7D6-1DD3-4DB1-8D16-82C5F228C4FC}"/>
    <hyperlink ref="B4323" r:id="rId13349" display="https://twitter.com/aktuelle_stunde" xr:uid="{8DDE761E-5A5E-41CF-8800-02E6655E7BA4}"/>
    <hyperlink ref="E4323" r:id="rId13350" display="https://twitter.com/aktuelle_stunde/status/723544464392916992" xr:uid="{09E06484-F0FC-45CA-8110-58457578B00B}"/>
    <hyperlink ref="O4323" r:id="rId13351" display="https://pbs.twimg.com/profile_images/488939589520740353/HVTIWICi_normal.jpeg" xr:uid="{F4B67468-909B-40F5-B81C-CE22038B9466}"/>
    <hyperlink ref="B4324" r:id="rId13352" display="https://twitter.com/Stuartyoung001" xr:uid="{2285EC89-1549-467F-BF3F-63E0A37A14CF}"/>
    <hyperlink ref="E4324" r:id="rId13353" display="https://twitter.com/Stuartyoung001/status/723544572278792193" xr:uid="{1F53F20B-986D-4E15-A2ED-015187031988}"/>
    <hyperlink ref="O4324" r:id="rId13354" display="https://pbs.twimg.com/profile_images/703962252156739584/fYGq4kTv_normal.jpg" xr:uid="{8CC64BE7-777C-450A-9958-937A672F8F4F}"/>
    <hyperlink ref="B4325" r:id="rId13355" display="https://twitter.com/luistervink54" xr:uid="{1425725C-ED11-4E66-A4C3-0185CFDA0827}"/>
    <hyperlink ref="E4325" r:id="rId13356" display="https://twitter.com/luistervink54/status/723544634362847237" xr:uid="{75662B42-53FC-4DAB-9B3E-7B439391D814}"/>
    <hyperlink ref="O4325" r:id="rId13357" display="https://abs.twimg.com/sticky/default_profile_images/default_profile_4_normal.png" xr:uid="{7D2F1EBE-ACB6-417B-AF0B-CAD2A1E0FDD4}"/>
    <hyperlink ref="B4326" r:id="rId13358" display="https://twitter.com/wildernesse" xr:uid="{59872DDF-1544-47F0-A074-83075EB2719B}"/>
    <hyperlink ref="E4326" r:id="rId13359" display="https://twitter.com/wildernesse/status/723544775161323520" xr:uid="{6700BFFC-BC7E-4908-8ECA-C9E3678F92B0}"/>
    <hyperlink ref="O4326" r:id="rId13360" display="https://pbs.twimg.com/profile_images/623879955429068800/JdyD0xQE_normal.jpg" xr:uid="{94D91142-3E38-4CBB-8517-770C5A4D45B5}"/>
    <hyperlink ref="B4327" r:id="rId13361" display="https://twitter.com/dubtoberfest" xr:uid="{C7E793F8-E34C-4862-A164-A6B570539F6F}"/>
    <hyperlink ref="E4327" r:id="rId13362" display="https://twitter.com/dubtoberfest/status/723544808963321858" xr:uid="{4377A7E9-B768-4834-A5A2-120C128FCE2C}"/>
    <hyperlink ref="O4327" r:id="rId13363" display="https://pbs.twimg.com/profile_images/582903436158586880/9BOOA3zQ_normal.jpg" xr:uid="{01F08D15-DEA3-49D2-9C81-7B2FCE584699}"/>
    <hyperlink ref="B4328" r:id="rId13364" display="https://twitter.com/Verinesvelo" xr:uid="{2C90FCCC-AA0B-4757-BF8B-47C625105EDB}"/>
    <hyperlink ref="E4328" r:id="rId13365" display="https://twitter.com/Verinesvelo/status/723544835353939968" xr:uid="{8CB5EAEE-703A-4CF9-86CE-1C07E5C4A351}"/>
    <hyperlink ref="O4328" r:id="rId13366" display="https://pbs.twimg.com/profile_images/378800000138621583/02e8100f0462d64417fc57fde00e505a_normal.jpeg" xr:uid="{D090F2F5-DEEA-4D1A-96A8-ED0E37F12989}"/>
    <hyperlink ref="B4329" r:id="rId13367" display="https://twitter.com/Gatocca" xr:uid="{F883B0D0-3A31-4399-AA88-89F5C338803A}"/>
    <hyperlink ref="E4329" r:id="rId13368" display="https://twitter.com/Gatocca/status/723544837761449984" xr:uid="{97576812-1EFE-4821-A576-5449FD353895}"/>
    <hyperlink ref="O4329" r:id="rId13369" display="https://pbs.twimg.com/profile_images/711615928530771969/STOTxXYA_normal.jpg" xr:uid="{D2020AC5-53DA-4C6A-9E5A-0619A1F46325}"/>
    <hyperlink ref="B4330" r:id="rId13370" display="https://twitter.com/ELNORTENEGOCIOS" xr:uid="{9D0F279C-84D2-4157-AD1E-48A85F773217}"/>
    <hyperlink ref="E4330" r:id="rId13371" display="https://twitter.com/ELNORTENEGOCIOS/status/723544849186582528" xr:uid="{60E54F6F-9AE5-4E18-829E-3F473CBD49DC}"/>
    <hyperlink ref="O4330" r:id="rId13372" display="https://pbs.twimg.com/profile_images/679786351831601152/5bHfWIgx_normal.png" xr:uid="{C01FEFF3-4A64-492B-A4BD-AD52B06A5455}"/>
    <hyperlink ref="B4331" r:id="rId13373" display="https://twitter.com/swanswaygroup" xr:uid="{44CFB2B3-FE7A-45D6-A75B-A628291EB8A3}"/>
    <hyperlink ref="E4331" r:id="rId13374" display="https://twitter.com/swanswaygroup/status/723544901351137280" xr:uid="{2EE10F79-EFD4-4F61-A9C2-6385D8756785}"/>
    <hyperlink ref="O4331" r:id="rId13375" display="https://pbs.twimg.com/profile_images/552037189328982016/r65JRGTS_normal.jpeg" xr:uid="{F0B10D28-E19D-4F56-8DD8-102B3F134871}"/>
    <hyperlink ref="B4332" r:id="rId13376" display="https://twitter.com/crewevw" xr:uid="{B8DB58DB-17CB-4E99-8B3A-73A61FC40E36}"/>
    <hyperlink ref="E4332" r:id="rId13377" display="https://twitter.com/crewevw/status/723544902055809024" xr:uid="{B35B845F-88F6-4940-87AA-A976D1B2DE33}"/>
    <hyperlink ref="O4332" r:id="rId13378" display="https://pbs.twimg.com/profile_images/488678354338324481/_qtBruR6_normal.jpeg" xr:uid="{47BE1411-5DC3-4240-BACB-D4451A9D1899}"/>
    <hyperlink ref="B4333" r:id="rId13379" display="https://twitter.com/milleraef" xr:uid="{925A8C5B-5A6C-42D9-991D-1298D9B42A5C}"/>
    <hyperlink ref="E4333" r:id="rId13380" display="https://twitter.com/milleraef/status/723544963145969664" xr:uid="{A9984242-35A5-420F-94B3-B24E70E55304}"/>
    <hyperlink ref="O4333" r:id="rId13381" display="https://pbs.twimg.com/profile_images/652551275108769794/9UYDcLxp_normal.jpg" xr:uid="{77167BAF-A017-4B78-8B0E-8060EBE9CA59}"/>
    <hyperlink ref="B4334" r:id="rId13382" display="https://twitter.com/jond4130" xr:uid="{FB88A8CC-A710-4F7A-B3B8-8B3B8A134892}"/>
    <hyperlink ref="E4334" r:id="rId13383" display="https://twitter.com/jond4130/status/723545078527057920" xr:uid="{0272D339-C9D1-491C-9E69-33731E8C43AE}"/>
    <hyperlink ref="O4334" r:id="rId13384" display="https://pbs.twimg.com/profile_images/703057562162372610/0wPuYNU9_normal.jpg" xr:uid="{3A899B6A-A111-438B-9B74-E77C6671231C}"/>
    <hyperlink ref="B4335" r:id="rId13385" display="https://twitter.com/sebschaal" xr:uid="{E2EBF003-32BA-4FCA-B2E3-6DBF54B6A904}"/>
    <hyperlink ref="E4335" r:id="rId13386" display="https://twitter.com/sebschaal/status/723545177466540034" xr:uid="{160F3FC2-605B-462C-9945-11C50BAB8367}"/>
    <hyperlink ref="O4335" r:id="rId13387" display="https://pbs.twimg.com/profile_images/610791118146531328/It8RZAaT_normal.jpg" xr:uid="{0815CDF2-8BA3-4BBA-B74E-7C683FD61617}"/>
    <hyperlink ref="B4336" r:id="rId13388" display="https://twitter.com/iamdoo" xr:uid="{4FC730EE-E09F-4E74-9012-4939B0491EB3}"/>
    <hyperlink ref="E4336" r:id="rId13389" display="https://twitter.com/iamdoo/status/723545529263624192" xr:uid="{16AD87E6-C8FA-4418-808A-87A178A8834F}"/>
    <hyperlink ref="O4336" r:id="rId13390" display="https://pbs.twimg.com/profile_images/686568020286648320/u_Il9e0m_normal.jpg" xr:uid="{FB78F054-9067-4373-AD0F-7C9D26014E8F}"/>
    <hyperlink ref="B4337" r:id="rId13391" display="https://twitter.com/dejbanlaw" xr:uid="{2254F908-1DD3-4453-9C34-1919E4E3D82B}"/>
    <hyperlink ref="E4337" r:id="rId13392" display="https://twitter.com/dejbanlaw/status/723545621878034432" xr:uid="{E97570A2-7D42-4A14-BCF0-BB5BE5CC8240}"/>
    <hyperlink ref="O4337" r:id="rId13393" display="https://pbs.twimg.com/profile_images/676465930424082432/zT-RyXf4_normal.jpg" xr:uid="{F069B723-D321-4590-92BE-7A174C875906}"/>
    <hyperlink ref="B4338" r:id="rId13394" display="https://twitter.com/DubLuvTuning" xr:uid="{DFA52237-875E-42DA-BA71-781D78EC68C3}"/>
    <hyperlink ref="E4338" r:id="rId13395" display="https://twitter.com/DubLuvTuning/status/723545651309613056" xr:uid="{BF09C727-CAF3-43F9-8C02-1E3C55AEB87F}"/>
    <hyperlink ref="O4338" r:id="rId13396" display="https://pbs.twimg.com/profile_images/378800000572104796/1de43e1cf23efb3f4101c02afad0d3b6_normal.png" xr:uid="{6B8EAECE-67CE-4973-B4AC-0C1C21B7B819}"/>
    <hyperlink ref="B4339" r:id="rId13397" display="https://twitter.com/iamdoo" xr:uid="{7AF2912F-917F-405D-952D-C8D855758569}"/>
    <hyperlink ref="E4339" r:id="rId13398" display="https://twitter.com/iamdoo/status/723545664408289280" xr:uid="{D2793AE1-864A-4CE9-A8A1-59EE43F81EE0}"/>
    <hyperlink ref="O4339" r:id="rId13399" display="https://pbs.twimg.com/profile_images/686568020286648320/u_Il9e0m_normal.jpg" xr:uid="{C17E77DB-89EF-489A-88E5-29CF4168CEB7}"/>
    <hyperlink ref="B4340" r:id="rId13400" display="https://twitter.com/VWBeetleSales" xr:uid="{D3EE483B-9484-43B7-A6F1-3F3B6529FA94}"/>
    <hyperlink ref="E4340" r:id="rId13401" display="https://twitter.com/VWBeetleSales/status/723545791248261123" xr:uid="{D2BFAFF7-57AD-4977-86B1-99F593A38111}"/>
    <hyperlink ref="F4340" r:id="rId13402" xr:uid="{49A2A019-6548-4742-9BA5-32FDFD4ED05B}"/>
    <hyperlink ref="O4340" r:id="rId13403" display="https://pbs.twimg.com/profile_images/703294545195307008/qeCvrX86_normal.jpg" xr:uid="{19E695D1-7552-4CFD-8A56-8A5372A6A848}"/>
    <hyperlink ref="B4341" r:id="rId13404" display="https://twitter.com/anadin325" xr:uid="{DF911A68-502A-4114-B822-3DD267CEF85A}"/>
    <hyperlink ref="E4341" r:id="rId13405" display="https://twitter.com/anadin325/status/723545834541993984" xr:uid="{5BF6BAB4-E61E-4998-B534-799CA19EEC21}"/>
    <hyperlink ref="O4341" r:id="rId13406" display="https://pbs.twimg.com/profile_images/710629331001851904/b3UNgZb6_normal.jpg" xr:uid="{D6E91573-BF20-4798-BD4D-4960BE66AAA3}"/>
    <hyperlink ref="B4342" r:id="rId13407" display="https://twitter.com/supervwfestival" xr:uid="{3568C2CB-3CE8-43FA-A904-102471830092}"/>
    <hyperlink ref="E4342" r:id="rId13408" display="https://twitter.com/supervwfestival/status/723546113328992262" xr:uid="{F702FC89-54F6-48E1-BE68-6F7E6F0865BD}"/>
    <hyperlink ref="O4342" r:id="rId13409" display="https://pbs.twimg.com/profile_images/673849432094437376/Q6_8GkHW_normal.jpg" xr:uid="{953F43C6-958E-49BD-A103-533B057215CE}"/>
    <hyperlink ref="B4343" r:id="rId13410" display="https://twitter.com/illycaro" xr:uid="{C5423CE6-D068-4049-86F8-2266BC7ED73D}"/>
    <hyperlink ref="E4343" r:id="rId13411" display="https://twitter.com/illycaro/status/723546113773547520" xr:uid="{1FF86BC7-BB53-4C35-A742-050A1D52AA58}"/>
    <hyperlink ref="O4343" r:id="rId13412" display="https://pbs.twimg.com/profile_images/711643745175769088/1Lqijnw5_normal.jpg" xr:uid="{1609E2A9-FA46-408D-B3A9-C38850123EF6}"/>
    <hyperlink ref="B4344" r:id="rId13413" display="https://twitter.com/VWnews" xr:uid="{14806549-8B1A-47B7-BFEE-526EF8C85364}"/>
    <hyperlink ref="E4344" r:id="rId13414" display="https://twitter.com/VWnews/status/723546142642941952" xr:uid="{A4EC97B3-FD05-481F-B472-97A1C341C3BF}"/>
    <hyperlink ref="O4344" r:id="rId13415" display="https://pbs.twimg.com/profile_images/684785119979241472/s8TbnQiQ_normal.jpg" xr:uid="{B3A0A078-5CA2-485B-ABF1-2ADE5BD1D20C}"/>
    <hyperlink ref="B4345" r:id="rId13416" display="https://twitter.com/CKPapaBoojumzw" xr:uid="{27AF9970-26BF-4C5D-BC36-BCF79C8ADAC3}"/>
    <hyperlink ref="E4345" r:id="rId13417" display="https://twitter.com/CKPapaBoojumzw/status/723546164004544512" xr:uid="{1583F111-C71E-4263-A8D7-3558A56FC454}"/>
    <hyperlink ref="O4345" r:id="rId13418" display="https://pbs.twimg.com/profile_images/575807672219361280/Ch-RGehm_normal.jpeg" xr:uid="{2D77EBEE-103B-4773-BBEF-D6A8124A3CD6}"/>
    <hyperlink ref="B4346" r:id="rId13419" display="https://twitter.com/Stony_BS" xr:uid="{8525B3E5-8022-4371-A6CF-B1DB71E5E40A}"/>
    <hyperlink ref="E4346" r:id="rId13420" display="https://twitter.com/Stony_BS/status/723546220355043329" xr:uid="{B6ED9F9B-FEE9-4E72-9095-454EA4A39062}"/>
    <hyperlink ref="O4346" r:id="rId13421" display="https://pbs.twimg.com/profile_images/668091779313500160/ZepxnJcI_normal.jpg" xr:uid="{93856689-AE83-4FD3-96E1-11D88BC9FCB7}"/>
    <hyperlink ref="B4347" r:id="rId13422" display="https://twitter.com/charlibarca10" xr:uid="{5C542910-C970-4EC6-A09F-4D93974680E7}"/>
    <hyperlink ref="E4347" r:id="rId13423" display="https://twitter.com/charlibarca10/status/723546239380406272" xr:uid="{0E695D89-ABA9-4752-9CCF-68C44A94A550}"/>
    <hyperlink ref="O4347" r:id="rId13424" display="https://pbs.twimg.com/profile_images/704361995181535233/IKpbXnyi_normal.jpg" xr:uid="{A4B630C8-95BB-4C48-9C03-CD64342D8599}"/>
    <hyperlink ref="B4348" r:id="rId13425" display="https://twitter.com/IngmarStreese" xr:uid="{81577C71-BFF1-4046-9F8E-E3C0EC967786}"/>
    <hyperlink ref="E4348" r:id="rId13426" display="https://twitter.com/IngmarStreese/status/723546905356177409" xr:uid="{2F4359DA-71EF-4A58-921E-1C5906F9052A}"/>
    <hyperlink ref="O4348" r:id="rId13427" display="https://pbs.twimg.com/profile_images/631367343768076288/4X1Foa_B_normal.jpg" xr:uid="{F9A4C995-E7DC-4F65-898C-410E583B92C4}"/>
    <hyperlink ref="B4349" r:id="rId13428" display="https://twitter.com/piepser" xr:uid="{FE866ED0-FA8F-458B-9011-A583702212DE}"/>
    <hyperlink ref="E4349" r:id="rId13429" display="https://twitter.com/piepser/status/723547036788875264" xr:uid="{35DD0B8E-9BFD-41F9-A01C-E4B721CC2E61}"/>
    <hyperlink ref="O4349" r:id="rId13430" display="https://pbs.twimg.com/profile_images/712576497370972160/XgXe6vFi_normal.jpg" xr:uid="{13B8F0C8-D5C8-4A2A-8937-0634DD537358}"/>
    <hyperlink ref="B4350" r:id="rId13431" display="https://twitter.com/meise_o" xr:uid="{BB3B3E2F-0E87-4967-8304-49CFEBD17D26}"/>
    <hyperlink ref="E4350" r:id="rId13432" display="https://twitter.com/meise_o/status/723547255614128129" xr:uid="{E44A8236-71D7-4E22-BE0E-24AE4B07F603}"/>
    <hyperlink ref="O4350" r:id="rId13433" display="https://pbs.twimg.com/profile_images/698829609387888640/gbQhqoCx_normal.jpg" xr:uid="{1335DB19-9AB0-490D-BFB6-B0D17F5E741D}"/>
    <hyperlink ref="P4350" r:id="rId13434" location="52.27749313,8.04171269" display="http://ctrlq.org/maps/address/ - 52.27749313,8.04171269" xr:uid="{65E18974-61B6-4C49-A37B-FA3A033828C6}"/>
    <hyperlink ref="B4351" r:id="rId13435" display="https://twitter.com/UdoSiev" xr:uid="{E00C2D0E-1572-43E2-9A9D-9248EAD1D4C2}"/>
    <hyperlink ref="E4351" r:id="rId13436" display="https://twitter.com/UdoSiev/status/723547506810970112" xr:uid="{8281FE6B-3FED-4102-874B-95F6B6E33A5F}"/>
    <hyperlink ref="O4351" r:id="rId13437" display="https://pbs.twimg.com/profile_images/2807357036/4f9efa6b869ec08e89b70ba39d2c8e18_normal.jpeg" xr:uid="{FE92A5D7-8660-4F47-A444-B3744BB13BA5}"/>
    <hyperlink ref="B4352" r:id="rId13438" display="https://twitter.com/Only9built" xr:uid="{6E8858B9-91C9-4797-BAEC-B89A6907A901}"/>
    <hyperlink ref="E4352" r:id="rId13439" display="https://twitter.com/Only9built/status/723547627682430978" xr:uid="{96AC4F34-BDC0-42EB-9E23-AB6E0A9DE829}"/>
    <hyperlink ref="O4352" r:id="rId13440" display="https://pbs.twimg.com/profile_images/706825223539200001/ArpDRZL1_normal.jpg" xr:uid="{0D103F16-1B40-49DC-A3E9-84B4D47A2F50}"/>
    <hyperlink ref="B4353" r:id="rId13441" display="https://twitter.com/oldcar_photo" xr:uid="{2A0C7C5C-70E5-43B5-A451-DDC35EDC6979}"/>
    <hyperlink ref="E4353" r:id="rId13442" display="https://twitter.com/oldcar_photo/status/723547885778964484" xr:uid="{6A06F3C2-C8E7-4A59-BCEA-9BC2012C0556}"/>
    <hyperlink ref="O4353" r:id="rId13443" display="https://pbs.twimg.com/profile_images/615493650785660928/XHUh6HOk_normal.jpg" xr:uid="{3A6F11B2-201C-4062-9493-A7C3185D1358}"/>
    <hyperlink ref="B4354" r:id="rId13444" display="https://twitter.com/Insta_VWT" xr:uid="{49253DC2-6A37-47CF-AD43-3754EEA24824}"/>
    <hyperlink ref="E4354" r:id="rId13445" display="https://twitter.com/Insta_VWT/status/723547919480164352" xr:uid="{AA843077-3864-46E9-9A8D-E122E8668B20}"/>
    <hyperlink ref="O4354" r:id="rId13446" display="https://pbs.twimg.com/profile_images/424893967197433858/iQ86NktX_normal.jpeg" xr:uid="{6C5503E0-3B58-48B5-B609-EEFFA7243CDF}"/>
    <hyperlink ref="B4355" r:id="rId13447" display="https://twitter.com/VeeDubMk1_" xr:uid="{397D1E1B-BFC1-4653-BE35-95947E3A6212}"/>
    <hyperlink ref="E4355" r:id="rId13448" display="https://twitter.com/VeeDubMk1_/status/723547969488838656" xr:uid="{CD22AE2C-1795-4EDA-84C9-39566015F7BD}"/>
    <hyperlink ref="O4355" r:id="rId13449" display="https://pbs.twimg.com/profile_images/672878354127839232/M7OYc-zx_normal.jpg" xr:uid="{E5A4A83E-7692-4F7E-8D9D-B6E8F2B39929}"/>
    <hyperlink ref="B4356" r:id="rId13450" display="https://twitter.com/VeeDubMk1_" xr:uid="{448EE648-A06B-45B6-971A-29DD783361CB}"/>
    <hyperlink ref="E4356" r:id="rId13451" display="https://twitter.com/VeeDubMk1_/status/723547975952281602" xr:uid="{F04DB0F7-9724-4FC4-A977-07EC9C49D2D7}"/>
    <hyperlink ref="O4356" r:id="rId13452" display="https://pbs.twimg.com/profile_images/672878354127839232/M7OYc-zx_normal.jpg" xr:uid="{9B6C6256-DC10-44F4-87A0-3E3C5225D40E}"/>
    <hyperlink ref="B4357" r:id="rId13453" display="https://twitter.com/VeeDubMk1_" xr:uid="{32467D74-A32A-4CE0-B74E-646F39D5F701}"/>
    <hyperlink ref="E4357" r:id="rId13454" display="https://twitter.com/VeeDubMk1_/status/723547983221035008" xr:uid="{4BF81EF7-945C-47F5-A35B-2A2DF99AE3B7}"/>
    <hyperlink ref="O4357" r:id="rId13455" display="https://pbs.twimg.com/profile_images/672878354127839232/M7OYc-zx_normal.jpg" xr:uid="{2AA42DF6-BED7-4E09-9E76-EDE163727B24}"/>
    <hyperlink ref="B4358" r:id="rId13456" display="https://twitter.com/PalleHorn" xr:uid="{28D99E65-1534-4598-81D9-8FA63326B6FD}"/>
    <hyperlink ref="E4358" r:id="rId13457" display="https://twitter.com/PalleHorn/status/723548027848409088" xr:uid="{02C2F39C-B1F2-4497-AA39-75E1AE007191}"/>
    <hyperlink ref="O4358" r:id="rId13458" display="https://abs.twimg.com/sticky/default_profile_images/default_profile_5_normal.png" xr:uid="{DE85FDC9-6E8D-422B-8F77-E00BE44D5321}"/>
    <hyperlink ref="B4359" r:id="rId13459" display="https://twitter.com/OnlineCarReview" xr:uid="{C4B21E28-68F6-4339-A3D6-0136B6F02D96}"/>
    <hyperlink ref="E4359" r:id="rId13460" display="https://twitter.com/OnlineCarReview/status/723548384775147524" xr:uid="{B35E6042-183A-4595-93A8-982C809A0A7D}"/>
    <hyperlink ref="O4359" r:id="rId13461" display="https://pbs.twimg.com/profile_images/652871584131092480/QA_B6SBO_normal.jpg" xr:uid="{666B9A88-C6B4-4D2A-A423-65A5A25B7E04}"/>
    <hyperlink ref="B4360" r:id="rId13462" display="https://twitter.com/OnlineCarReview" xr:uid="{5B5608E4-FEBE-41BA-83F2-1E0FB600FB69}"/>
    <hyperlink ref="E4360" r:id="rId13463" display="https://twitter.com/OnlineCarReview/status/723548385806946305" xr:uid="{709DB17A-6A13-42EB-A8F3-D28A215CC43B}"/>
    <hyperlink ref="O4360" r:id="rId13464" display="https://pbs.twimg.com/profile_images/652871584131092480/QA_B6SBO_normal.jpg" xr:uid="{E51A985F-9195-49DB-869D-998DC95A1757}"/>
    <hyperlink ref="B4361" r:id="rId13465" display="https://twitter.com/VWCamperSales" xr:uid="{D8C878DF-82B9-417A-9B80-3CCCDBAB8EB1}"/>
    <hyperlink ref="E4361" r:id="rId13466" display="https://twitter.com/VWCamperSales/status/723548442962751488" xr:uid="{7928CB35-C938-4638-839D-C8127DF697C3}"/>
    <hyperlink ref="F4361" r:id="rId13467" xr:uid="{18292955-FB26-4B1E-AABB-6727E5343DDB}"/>
    <hyperlink ref="O4361" r:id="rId13468" display="https://pbs.twimg.com/profile_images/627949001179037696/skEBkS05_normal.jpg" xr:uid="{820F42DE-8384-4DC4-AB2A-16E32545B981}"/>
    <hyperlink ref="B4362" r:id="rId13469" display="https://twitter.com/Sumsi_" xr:uid="{F81AC428-8DAD-41ED-8984-E5EE53C0721E}"/>
    <hyperlink ref="E4362" r:id="rId13470" display="https://twitter.com/Sumsi_/status/723548445206827008" xr:uid="{C91D4A3A-AB56-48A3-91CC-9A1ADFC88320}"/>
    <hyperlink ref="O4362" r:id="rId13471" display="https://pbs.twimg.com/profile_images/1944127722/image_normal.jpg" xr:uid="{5F213BA5-19EF-4D2E-B844-3FF1CBC9CD87}"/>
    <hyperlink ref="B4363" r:id="rId13472" display="https://twitter.com/VolkswagenPost" xr:uid="{0A714075-B5B2-447E-A2A7-45AFD82A5B53}"/>
    <hyperlink ref="E4363" r:id="rId13473" display="https://twitter.com/VolkswagenPost/status/723548486130528256" xr:uid="{E86C3807-2970-4ED6-A90A-05F9C18DBC68}"/>
    <hyperlink ref="O4363" r:id="rId13474" display="https://pbs.twimg.com/profile_images/530071272881803264/a_jcCmPZ_normal.png" xr:uid="{5536D7D9-B525-4E93-8F1B-DC5B60209831}"/>
    <hyperlink ref="B4364" r:id="rId13475" display="https://twitter.com/Snowx2k5" xr:uid="{8940177B-42A0-4DEE-BFDD-C4DD8B9F2C85}"/>
    <hyperlink ref="E4364" r:id="rId13476" display="https://twitter.com/Snowx2k5/status/723548490006188034" xr:uid="{AD8C9583-FA44-43AC-A67D-02BE89633A25}"/>
    <hyperlink ref="O4364" r:id="rId13477" display="https://pbs.twimg.com/profile_images/447431696804098048/cMkH9nly_normal.jpeg" xr:uid="{32DE67DC-ED28-48D5-AE00-CE952813D753}"/>
    <hyperlink ref="B4365" r:id="rId13478" display="https://twitter.com/VolkerVotsmeier" xr:uid="{CE460CC1-EAAC-4141-8171-D3749F84D305}"/>
    <hyperlink ref="E4365" r:id="rId13479" display="https://twitter.com/VolkerVotsmeier/status/723548593806802946" xr:uid="{4907FFF5-563C-4EFF-8547-063ADEEE5DDB}"/>
    <hyperlink ref="O4365" r:id="rId13480" display="https://pbs.twimg.com/profile_images/507897198911053824/7OqYAonJ_normal.jpeg" xr:uid="{31960211-B704-4576-96AA-77BBA740D2E5}"/>
    <hyperlink ref="B4366" r:id="rId13481" display="https://twitter.com/AnhaengerCDU" xr:uid="{0C6A3249-4A4A-482D-93B7-64C66F24E125}"/>
    <hyperlink ref="E4366" r:id="rId13482" display="https://twitter.com/AnhaengerCDU/status/723548610252705792" xr:uid="{F92CFB25-C995-449D-9415-7A619310BDEE}"/>
    <hyperlink ref="O4366" r:id="rId13483" display="https://pbs.twimg.com/profile_images/555076843791843328/yr8ES_nx_normal.png" xr:uid="{D1ADEF21-D64A-47C6-B366-2F56A6F9F80F}"/>
    <hyperlink ref="B4367" r:id="rId13484" display="https://twitter.com/erin412" xr:uid="{2DD8C8A0-A231-4637-9C07-2C6BD57D64DF}"/>
    <hyperlink ref="E4367" r:id="rId13485" display="https://twitter.com/erin412/status/723548645187006466" xr:uid="{2E133CAD-E8AE-4F49-A7F1-8B0F6013DCFB}"/>
    <hyperlink ref="O4367" r:id="rId13486" display="https://pbs.twimg.com/profile_images/638156152006688769/EdWB5H3Z_normal.jpg" xr:uid="{B0338695-B4BA-454F-9FD0-FC936895D742}"/>
    <hyperlink ref="B4368" r:id="rId13487" display="https://twitter.com/SayitMatt" xr:uid="{C7FC040F-6DF2-4806-92DC-E4019193DAA0}"/>
    <hyperlink ref="E4368" r:id="rId13488" display="https://twitter.com/SayitMatt/status/723548740661989377" xr:uid="{0EE34125-CCAB-404E-9DFA-6EF3037BD015}"/>
    <hyperlink ref="O4368" r:id="rId13489" display="https://pbs.twimg.com/profile_images/721344097773076480/S5lRbqXI_normal.jpg" xr:uid="{4E263C27-8749-4004-ADEA-DD68F82E7E93}"/>
    <hyperlink ref="B4369" r:id="rId13490" display="https://twitter.com/MorSvinka_83" xr:uid="{4ED85FB4-94D3-4941-B18A-F193BEF79E1C}"/>
    <hyperlink ref="E4369" r:id="rId13491" display="https://twitter.com/MorSvinka_83/status/723548791719108608" xr:uid="{AFA6C08F-CE49-4523-B0C1-72930277DD32}"/>
    <hyperlink ref="O4369" r:id="rId13492" display="https://pbs.twimg.com/profile_images/2208847688/Untitled-2_normal.jpg" xr:uid="{2367C4FC-53A1-466F-89D1-69A703F7F508}"/>
    <hyperlink ref="B4370" r:id="rId13493" display="https://twitter.com/DrevenSeal" xr:uid="{CF44402D-78E5-4A42-9D54-BFF4F20B4B97}"/>
    <hyperlink ref="E4370" r:id="rId13494" display="https://twitter.com/DrevenSeal/status/723548836019474432" xr:uid="{58031A7D-1540-4683-A144-B184FBEB3E40}"/>
    <hyperlink ref="O4370" r:id="rId13495" display="https://pbs.twimg.com/profile_images/378800000054545648/93408d3300a292cb429205c81cb9206a_normal.png" xr:uid="{DBF3DA61-CE2D-4FDD-B560-E949DD1113C0}"/>
    <hyperlink ref="B4371" r:id="rId13496" display="https://twitter.com/ILCtsxv" xr:uid="{4A27BF5B-0145-404D-A416-EB1BBA415E19}"/>
    <hyperlink ref="E4371" r:id="rId13497" display="https://twitter.com/ILCtsxv/status/723548915530866688" xr:uid="{19262A18-ACAB-4489-82E2-9416C51DB0C8}"/>
    <hyperlink ref="O4371" r:id="rId13498" display="https://pbs.twimg.com/profile_images/1738815421/li_normal.JPG" xr:uid="{EC8AB297-5938-4D4E-BBB2-998246A241CF}"/>
    <hyperlink ref="B4372" r:id="rId13499" display="https://twitter.com/joergbode" xr:uid="{088FB18D-FC0A-4AAB-BC16-38EF572832A5}"/>
    <hyperlink ref="E4372" r:id="rId13500" display="https://twitter.com/joergbode/status/723548939283226625" xr:uid="{0B4DE7D2-19FD-4467-8B63-3C3ACC6D527D}"/>
    <hyperlink ref="O4372" r:id="rId13501" display="https://pbs.twimg.com/profile_images/687825654/Portrait_J_rg_Bode_weniger_Pixel_2_normal.jpg" xr:uid="{EB56304D-B9C5-4F7C-B999-BF5292243FE6}"/>
    <hyperlink ref="B4373" r:id="rId13502" display="https://twitter.com/economia_feed_0" xr:uid="{FD5CEADA-1FE3-4893-AABE-68673AC4FFF2}"/>
    <hyperlink ref="E4373" r:id="rId13503" display="https://twitter.com/economia_feed_0/status/723548944073166848" xr:uid="{843820B1-04DF-49AD-8DC4-1DDBC69F1E3F}"/>
    <hyperlink ref="O4373" r:id="rId13504" display="https://abs.twimg.com/sticky/default_profile_images/default_profile_3_normal.png" xr:uid="{5931B9C9-52F2-4EF0-B27D-E7EFD687C767}"/>
    <hyperlink ref="B4374" r:id="rId13505" display="https://twitter.com/officialsthill" xr:uid="{FDB08673-C7DF-491A-8C50-5EDBCB030046}"/>
    <hyperlink ref="E4374" r:id="rId13506" display="https://twitter.com/officialsthill/status/723548945222393856" xr:uid="{666DA4C4-7C71-47BD-AC0B-5F04B59F2E74}"/>
    <hyperlink ref="O4374" r:id="rId13507" display="https://pbs.twimg.com/profile_images/710902013379403776/pwT_GfMg_normal.jpg" xr:uid="{852C5EEE-8961-4201-87A4-429305847DC8}"/>
    <hyperlink ref="B4375" r:id="rId13508" display="https://twitter.com/JuveVerlag_uba" xr:uid="{D3CA6366-A533-4B05-B06F-1DE7A9F94B74}"/>
    <hyperlink ref="E4375" r:id="rId13509" display="https://twitter.com/JuveVerlag_uba/status/723548993184215041" xr:uid="{4703EF37-CD31-4B74-9C02-930203BF325F}"/>
    <hyperlink ref="O4375" r:id="rId13510" display="https://pbs.twimg.com/profile_images/667072958024843264/7NnQtwt9_normal.jpg" xr:uid="{813E4656-65EF-4CF5-AEA0-D43AFE03A6F6}"/>
    <hyperlink ref="B4376" r:id="rId13511" display="https://twitter.com/DrevenSeal" xr:uid="{8767F59C-76C3-4D9C-BA66-4914F40A32D7}"/>
    <hyperlink ref="E4376" r:id="rId13512" display="https://twitter.com/DrevenSeal/status/723549161828700161" xr:uid="{4A8FB896-44FE-4143-A5FD-2300D0F6E43A}"/>
    <hyperlink ref="O4376" r:id="rId13513" display="https://pbs.twimg.com/profile_images/378800000054545648/93408d3300a292cb429205c81cb9206a_normal.png" xr:uid="{A822EBEB-8C9E-4B3B-A61E-AC5AFD11F9B5}"/>
    <hyperlink ref="B4377" r:id="rId13514" display="https://twitter.com/BS_Verkehr" xr:uid="{F76EEDFE-296F-41C8-8746-18DC5B52F26D}"/>
    <hyperlink ref="E4377" r:id="rId13515" display="https://twitter.com/BS_Verkehr/status/723549334277599232" xr:uid="{9B5E7DE7-71C0-409C-BBFF-A673A3F6B50F}"/>
    <hyperlink ref="O4377" r:id="rId13516" display="https://pbs.twimg.com/profile_images/522759312028884992/6n24auYw_normal.png" xr:uid="{456C530E-A487-4151-A92C-C6736AE22AB9}"/>
    <hyperlink ref="B4378" r:id="rId13517" display="https://twitter.com/Scirocco_Tuning" xr:uid="{9187E3EA-E08D-459F-8757-A80B1A00AAB5}"/>
    <hyperlink ref="E4378" r:id="rId13518" display="https://twitter.com/Scirocco_Tuning/status/723549388036038656" xr:uid="{A943638F-0579-4BC7-A199-21BB6C7EBB52}"/>
    <hyperlink ref="O4378" r:id="rId13519" display="https://pbs.twimg.com/profile_images/1610421423/Image2_normal.jpg" xr:uid="{6A4B3E6D-255B-4DC4-9AE6-21E748109378}"/>
    <hyperlink ref="B4379" r:id="rId13520" display="https://twitter.com/1Feedom" xr:uid="{8DE0161C-3FA1-4839-84ED-CFCA948F9D49}"/>
    <hyperlink ref="C4379" r:id="rId13521" xr:uid="{594848BF-B1C9-4E0D-8FA1-4B39F91EB6D7}"/>
    <hyperlink ref="E4379" r:id="rId13522" display="https://twitter.com/1Feedom/status/723549440246734850" xr:uid="{3969CFC9-6DB4-4751-A677-C54147CD8881}"/>
    <hyperlink ref="O4379" r:id="rId13523" display="https://pbs.twimg.com/profile_images/603357236874850304/6etULKc2_normal.jpg" xr:uid="{85E890E6-7A6B-40A4-8481-761CFE4BBD95}"/>
    <hyperlink ref="B4380" r:id="rId13524" display="https://twitter.com/FuscaWorld" xr:uid="{C56E251A-FE74-4E58-90CC-AC7792988709}"/>
    <hyperlink ref="E4380" r:id="rId13525" display="https://twitter.com/FuscaWorld/status/723549493170429952" xr:uid="{19D79491-1BB5-441B-85AB-E2EFFB948588}"/>
    <hyperlink ref="O4380" r:id="rId13526" display="https://pbs.twimg.com/profile_images/705780107844067328/e7O4UBNb_normal.jpg" xr:uid="{BD987FF8-4DEF-4779-9E59-5C1364D432B8}"/>
    <hyperlink ref="B4381" r:id="rId13527" display="https://twitter.com/tazgezwitscher" xr:uid="{7C42D69A-1A5F-4010-9571-2A928707FA6B}"/>
    <hyperlink ref="E4381" r:id="rId13528" display="https://twitter.com/tazgezwitscher/status/723549512652955649" xr:uid="{4E983E72-0A33-4424-A801-6253B78212C4}"/>
    <hyperlink ref="O4381" r:id="rId13529" display="https://pbs.twimg.com/profile_images/454280998159532032/Pq43tr1F_normal.png" xr:uid="{24457646-AD7F-4A1C-B736-8DC883D498DA}"/>
    <hyperlink ref="B4382" r:id="rId13530" display="https://twitter.com/hierkommthans" xr:uid="{08544B5C-74A5-430B-91A9-0A05921E5EE4}"/>
    <hyperlink ref="E4382" r:id="rId13531" display="https://twitter.com/hierkommthans/status/723549790114578434" xr:uid="{502E325F-7ED2-4CBD-AABC-F6E4F46224AE}"/>
    <hyperlink ref="O4382" r:id="rId13532" display="https://pbs.twimg.com/profile_images/706940785627951104/ly_FmsdB_normal.jpg" xr:uid="{4E29D8AC-B47A-4C76-9BF0-B21DCD3C1717}"/>
    <hyperlink ref="B4383" r:id="rId13533" display="https://twitter.com/BS_Verkehr" xr:uid="{E57BEC92-363F-444D-B01B-4D2AA0EF847D}"/>
    <hyperlink ref="E4383" r:id="rId13534" display="https://twitter.com/BS_Verkehr/status/723549792752807936" xr:uid="{2C89A563-ADAF-400F-942A-F5D1392B21D2}"/>
    <hyperlink ref="O4383" r:id="rId13535" display="https://pbs.twimg.com/profile_images/522759312028884992/6n24auYw_normal.png" xr:uid="{5838120C-9E58-47F6-87AD-FB5A318D76F6}"/>
    <hyperlink ref="B4384" r:id="rId13536" display="https://twitter.com/studyonllneaust" xr:uid="{5FCC4923-B91C-4C56-875D-ACF455971E3D}"/>
    <hyperlink ref="E4384" r:id="rId13537" display="https://twitter.com/studyonllneaust/status/723549910688239617" xr:uid="{8DAF9C47-12FA-44E2-BDF6-3F862BB7D080}"/>
    <hyperlink ref="O4384" r:id="rId13538" display="https://pbs.twimg.com/profile_images/540350730625114113/cqwCmom8_normal.jpeg" xr:uid="{9BF93D4D-C63E-43FF-8BFE-F2CB6B9BA9BF}"/>
    <hyperlink ref="B4385" r:id="rId13539" display="https://twitter.com/Fifth_Ave_VW" xr:uid="{2A6B3DA6-B368-4F63-A013-94D95A3B0892}"/>
    <hyperlink ref="E4385" r:id="rId13540" display="https://twitter.com/Fifth_Ave_VW/status/723549933626748928" xr:uid="{ED8DD7D4-DC6C-4B2C-8053-E3CAF8CC72A4}"/>
    <hyperlink ref="O4385" r:id="rId13541" display="https://pbs.twimg.com/profile_images/2036860818/Logo_idea_normal.png" xr:uid="{96F011C0-819A-4FC8-B515-AC6714621610}"/>
    <hyperlink ref="B4386" r:id="rId13542" display="https://twitter.com/alexserrano720" xr:uid="{E1F09C75-45AD-4181-8BA4-4BB324E60C9F}"/>
    <hyperlink ref="E4386" r:id="rId13543" display="https://twitter.com/alexserrano720/status/723550054435414016" xr:uid="{425A65E9-7D20-42A6-9EE1-46554131188A}"/>
    <hyperlink ref="O4386" r:id="rId13544" display="https://pbs.twimg.com/profile_images/723195413587722240/6cW_kMZR_normal.jpg" xr:uid="{79B6788D-FEDA-44AD-AE4E-290871F358B7}"/>
    <hyperlink ref="B4387" r:id="rId13545" display="https://twitter.com/countryairport" xr:uid="{60CE973B-3A8B-4214-9DAD-703EA216912A}"/>
    <hyperlink ref="E4387" r:id="rId13546" display="https://twitter.com/countryairport/status/723550209914093571" xr:uid="{56A9E1F0-F177-4490-AEDE-030A0CA5652B}"/>
    <hyperlink ref="O4387" r:id="rId13547" display="https://pbs.twimg.com/profile_images/3166499469/49b62af120e92e5d55632f35f47c8480_normal.jpeg" xr:uid="{D8C75CF8-D284-4F1D-AD0F-25312E615EA7}"/>
    <hyperlink ref="B4388" r:id="rId13548" display="https://twitter.com/LStahlecker" xr:uid="{15E8E3EB-E088-4BA8-AFE7-5AA4C0ED8810}"/>
    <hyperlink ref="E4388" r:id="rId13549" display="https://twitter.com/LStahlecker/status/723550218671640576" xr:uid="{5F64F3A6-3F23-4904-B5D7-3513EF15F513}"/>
    <hyperlink ref="O4388" r:id="rId13550" display="https://pbs.twimg.com/profile_images/510170113257914368/O9xXZ4lT_normal.jpeg" xr:uid="{7F4AA7F0-E217-444E-8BD5-7938135EFCF4}"/>
    <hyperlink ref="B4389" r:id="rId13551" display="https://twitter.com/gutbranson" xr:uid="{680F37F9-8FB6-4F12-92B0-F78871C6309C}"/>
    <hyperlink ref="E4389" r:id="rId13552" display="https://twitter.com/gutbranson/status/723550260895866881" xr:uid="{8F5F419A-A02B-4168-84F2-EB6F72324CA3}"/>
    <hyperlink ref="O4389" r:id="rId13553" display="https://pbs.twimg.com/profile_images/378800000064765573/248fcabf29a8f3dd423048707d883cf6_normal.jpeg" xr:uid="{A1C78F8C-D258-45F5-9649-E299E51D245A}"/>
    <hyperlink ref="B4390" r:id="rId13554" display="https://twitter.com/POLITROSO" xr:uid="{F3B6C143-DBB0-4F8B-A74B-3168053C580B}"/>
    <hyperlink ref="E4390" r:id="rId13555" display="https://twitter.com/POLITROSO/status/723550342177284097" xr:uid="{A3E55495-DF7E-4AE5-B6F3-B1CC34E29409}"/>
    <hyperlink ref="O4390" r:id="rId13556" display="https://pbs.twimg.com/profile_images/709094810204938241/urgAFsxo_normal.jpg" xr:uid="{261B22D0-2E17-4E9F-9E8A-5ECAE00A7269}"/>
    <hyperlink ref="B4391" r:id="rId13557" display="https://twitter.com/NathanHillp1" xr:uid="{F9A5E0FF-D460-4ACE-9716-69EE4C5EECA3}"/>
    <hyperlink ref="E4391" r:id="rId13558" display="https://twitter.com/NathanHillp1/status/723550387073105922" xr:uid="{DFE672FE-7559-4310-A26A-9B51068F884F}"/>
    <hyperlink ref="O4391" r:id="rId13559" display="https://pbs.twimg.com/profile_images/671639134956482560/gDLXHWaw_normal.jpg" xr:uid="{02175AC5-EF53-403F-8336-DC743929AC72}"/>
    <hyperlink ref="B4392" r:id="rId13560" display="https://twitter.com/estrout" xr:uid="{E933A021-4B88-491F-AB75-DB0A87CC3884}"/>
    <hyperlink ref="E4392" r:id="rId13561" display="https://twitter.com/estrout/status/723550571853012993" xr:uid="{7E56452F-F553-448D-962D-F2EA26389302}"/>
    <hyperlink ref="O4392" r:id="rId13562" display="https://pbs.twimg.com/profile_images/378800000638483737/f6e910d6eca0645d47bf50075d240b20_normal.jpeg" xr:uid="{B5B9B28C-9F29-41C8-B85B-29C8E78C31D8}"/>
    <hyperlink ref="B4393" r:id="rId13563" display="https://twitter.com/cyberdoc60" xr:uid="{0F9DD158-B600-4EF0-897F-44E024690EEC}"/>
    <hyperlink ref="E4393" r:id="rId13564" display="https://twitter.com/cyberdoc60/status/723550572666863616" xr:uid="{0A291677-22B5-4BFA-A084-DD468D34F823}"/>
    <hyperlink ref="O4393" r:id="rId13565" display="https://pbs.twimg.com/profile_images/720976736691875841/5ITqpDn6_normal.jpg" xr:uid="{27A68D17-02E9-4CFF-8BA9-A0C4D6E2E13F}"/>
    <hyperlink ref="B4394" r:id="rId13566" display="https://twitter.com/BWResearch" xr:uid="{15E3840A-6110-4D7B-966F-9FF984B03FD6}"/>
    <hyperlink ref="E4394" r:id="rId13567" display="https://twitter.com/BWResearch/status/723550689415315456" xr:uid="{1AD8B5C0-0D9C-4A18-805F-77A0CA1C395C}"/>
    <hyperlink ref="O4394" r:id="rId13568" display="https://pbs.twimg.com/profile_images/1454103259/logo_normal.gif" xr:uid="{03F00923-5C2D-4309-B5C1-BC0603C02C63}"/>
    <hyperlink ref="B4395" r:id="rId13569" display="https://twitter.com/trevorbolton15" xr:uid="{F31D70C9-2063-4063-B277-85F6C3270BEB}"/>
    <hyperlink ref="E4395" r:id="rId13570" display="https://twitter.com/trevorbolton15/status/723550732608253952" xr:uid="{6BED395B-CEAF-4C36-A076-7FD291EC2503}"/>
    <hyperlink ref="O4395" r:id="rId13571" display="https://pbs.twimg.com/profile_images/660089641232678912/UzobHOeY_normal.jpg" xr:uid="{20D7B779-5133-4272-825D-AB7B1B367D15}"/>
    <hyperlink ref="B4396" r:id="rId13572" display="https://twitter.com/VolkswagenPost" xr:uid="{71C6DCCA-5811-40E9-B84A-8E5430A77CF2}"/>
    <hyperlink ref="E4396" r:id="rId13573" display="https://twitter.com/VolkswagenPost/status/723550796147769344" xr:uid="{D6CA3589-C8AE-4647-9F1D-DC475B4F5A2D}"/>
    <hyperlink ref="O4396" r:id="rId13574" display="https://pbs.twimg.com/profile_images/530071272881803264/a_jcCmPZ_normal.png" xr:uid="{0BD37A8E-BFC8-430A-8D02-55CCF9EDE246}"/>
    <hyperlink ref="B4397" r:id="rId13575" display="https://twitter.com/VolkswagenPost" xr:uid="{1F86E200-0418-48B8-BC1C-3605C1E303DC}"/>
    <hyperlink ref="E4397" r:id="rId13576" display="https://twitter.com/VolkswagenPost/status/723550796944670720" xr:uid="{A204A3F6-F009-4AF4-9CC7-6E8F07F4A29B}"/>
    <hyperlink ref="O4397" r:id="rId13577" display="https://pbs.twimg.com/profile_images/530071272881803264/a_jcCmPZ_normal.png" xr:uid="{48B167A0-7D57-434D-9594-976CD2B41000}"/>
    <hyperlink ref="B4398" r:id="rId13578" display="https://twitter.com/JungbluthMarion" xr:uid="{DC474F46-18E3-400C-AB69-3D12C83E8351}"/>
    <hyperlink ref="E4398" r:id="rId13579" display="https://twitter.com/JungbluthMarion/status/723550800023314432" xr:uid="{F9AD2D38-5A4C-4E18-86E3-B8B4C0F373B7}"/>
    <hyperlink ref="O4398" r:id="rId13580" display="https://pbs.twimg.com/profile_images/473415820228304896/eTUQb8dm_normal.jpeg" xr:uid="{96CEE9FC-F100-46ED-B6E9-7A54220E20AB}"/>
    <hyperlink ref="B4399" r:id="rId13581" display="https://twitter.com/SWieschendorf" xr:uid="{F346891D-A5CF-408E-82DA-2304A66C6A4D}"/>
    <hyperlink ref="E4399" r:id="rId13582" display="https://twitter.com/SWieschendorf/status/723550946341576704" xr:uid="{572385CF-D067-4508-B12C-BC5B5AA7B1F7}"/>
    <hyperlink ref="O4399" r:id="rId13583" display="https://pbs.twimg.com/profile_images/716549773822726144/9Kt0EgoH_normal.jpg" xr:uid="{77E24795-648C-4BA2-8574-173CB2F6CC41}"/>
    <hyperlink ref="B4400" r:id="rId13584" display="https://twitter.com/Klaus_Mueller" xr:uid="{B446C983-BC25-4977-950C-4FC75CE10ABB}"/>
    <hyperlink ref="E4400" r:id="rId13585" display="https://twitter.com/Klaus_Mueller/status/723551214642839552" xr:uid="{C301A32A-09B3-47DC-A8F4-622E0AA13D6A}"/>
    <hyperlink ref="O4400" r:id="rId13586" display="https://pbs.twimg.com/profile_images/461785939711258624/FzsPRmqR_normal.jpeg" xr:uid="{FB7D537A-CE8F-4582-8284-5A64F728ADC9}"/>
    <hyperlink ref="B4401" r:id="rId13587" display="https://twitter.com/erlnwhoaaa" xr:uid="{F578200F-2288-4B24-899A-48B6819B6D99}"/>
    <hyperlink ref="E4401" r:id="rId13588" display="https://twitter.com/erlnwhoaaa/status/723551419463249922" xr:uid="{15374121-D9F4-42D5-862D-8320DC02F047}"/>
    <hyperlink ref="O4401" r:id="rId13589" display="https://pbs.twimg.com/profile_images/541519290160386049/ymS0Xkl7_normal.jpeg" xr:uid="{5F70209B-EAA0-4A0C-B23D-4117345A06A9}"/>
    <hyperlink ref="B4402" r:id="rId13590" display="https://twitter.com/andreascseh" xr:uid="{2F3333F8-A48D-4CB5-9865-75BE2D221324}"/>
    <hyperlink ref="E4402" r:id="rId13591" display="https://twitter.com/andreascseh/status/723551565101957123" xr:uid="{3901F2C9-6E3A-440E-AA6C-155287E558DE}"/>
    <hyperlink ref="O4402" r:id="rId13592" display="https://pbs.twimg.com/profile_images/378800000774067942/b9d3d12e3eaf41d9ded5745b4f419902_normal.jpeg" xr:uid="{AD453524-0337-44C9-8764-59880B9F899E}"/>
    <hyperlink ref="B4403" r:id="rId13593" display="https://twitter.com/techhippie" xr:uid="{71151D70-0AE7-4DBD-836F-050047E64F30}"/>
    <hyperlink ref="E4403" r:id="rId13594" display="https://twitter.com/techhippie/status/723551569023766528" xr:uid="{774F6ECD-DCB4-4B73-9FA9-FE4DAE1FB262}"/>
    <hyperlink ref="O4403" r:id="rId13595" display="https://pbs.twimg.com/profile_images/702511217793863680/lty8h9vE_normal.jpg" xr:uid="{B7D6E487-6517-40EE-8A19-AC05BDC8A34E}"/>
    <hyperlink ref="B4404" r:id="rId13596" display="https://twitter.com/techhippie" xr:uid="{9EA3D1DE-3D1B-4D0C-AF58-737357E71D7A}"/>
    <hyperlink ref="E4404" r:id="rId13597" display="https://twitter.com/techhippie/status/723551590158884866" xr:uid="{6CB826C7-A51B-46F6-90B6-6CEA4F2F1D1E}"/>
    <hyperlink ref="O4404" r:id="rId13598" display="https://pbs.twimg.com/profile_images/702511217793863680/lty8h9vE_normal.jpg" xr:uid="{7001C060-427E-432E-93A8-3F02BCE4C25E}"/>
    <hyperlink ref="B4405" r:id="rId13599" display="https://twitter.com/techhippie" xr:uid="{4475C0EA-31FA-4E0D-9887-C59652E4BFB7}"/>
    <hyperlink ref="E4405" r:id="rId13600" display="https://twitter.com/techhippie/status/723551597264003074" xr:uid="{4B4188B7-4147-4DAF-8168-10C73909110D}"/>
    <hyperlink ref="O4405" r:id="rId13601" display="https://pbs.twimg.com/profile_images/702511217793863680/lty8h9vE_normal.jpg" xr:uid="{C1B52E67-2471-481A-88A1-5A9ADE1C7968}"/>
    <hyperlink ref="B4406" r:id="rId13602" display="https://twitter.com/techhippie" xr:uid="{DA6FC149-87AB-4033-8662-387C9E5B33D8}"/>
    <hyperlink ref="E4406" r:id="rId13603" display="https://twitter.com/techhippie/status/723551603136061440" xr:uid="{B01A1693-CCDA-4C93-85C5-8E58B318A9D4}"/>
    <hyperlink ref="O4406" r:id="rId13604" display="https://pbs.twimg.com/profile_images/702511217793863680/lty8h9vE_normal.jpg" xr:uid="{10483FC0-5CD0-4D8A-91E7-9DDC3D39AAF9}"/>
    <hyperlink ref="B4407" r:id="rId13605" display="https://twitter.com/techhippie" xr:uid="{4BB956F0-56EC-4BA4-87B0-F0D64BA14C7B}"/>
    <hyperlink ref="E4407" r:id="rId13606" display="https://twitter.com/techhippie/status/723551630067642369" xr:uid="{A69074B8-923C-4A59-98FD-9D8CB8E32612}"/>
    <hyperlink ref="O4407" r:id="rId13607" display="https://pbs.twimg.com/profile_images/702511217793863680/lty8h9vE_normal.jpg" xr:uid="{934C7FE8-B95C-4033-BDF3-D9114CFF02B5}"/>
    <hyperlink ref="B4408" r:id="rId13608" display="https://twitter.com/pukki01" xr:uid="{DEBED663-C26E-4A23-9961-D107CDC2C274}"/>
    <hyperlink ref="E4408" r:id="rId13609" display="https://twitter.com/pukki01/status/723551687407996928" xr:uid="{BB0EEF8A-CFA7-4501-82B8-9764808389A6}"/>
    <hyperlink ref="O4408" r:id="rId13610" display="https://pbs.twimg.com/profile_images/459701984342200322/w1eWV8Sz_normal.jpeg" xr:uid="{BF160CA0-5EBE-46EB-9720-2041E0C9471C}"/>
    <hyperlink ref="B4409" r:id="rId13611" display="https://twitter.com/BS_Verkehr" xr:uid="{D4E109D1-BFDF-4ECA-B1C0-59A6B1E12AEA}"/>
    <hyperlink ref="E4409" r:id="rId13612" display="https://twitter.com/BS_Verkehr/status/723551687697403904" xr:uid="{36C78393-E23C-4AC4-9E50-B048F8D38844}"/>
    <hyperlink ref="O4409" r:id="rId13613" display="https://pbs.twimg.com/profile_images/522759312028884992/6n24auYw_normal.png" xr:uid="{30ED7F51-2BCF-460C-931B-E05A8180F223}"/>
    <hyperlink ref="B4410" r:id="rId13614" display="https://twitter.com/BWResearch" xr:uid="{1363DEF3-C523-491E-889F-625316F9D6AA}"/>
    <hyperlink ref="E4410" r:id="rId13615" display="https://twitter.com/BWResearch/status/723551695804993536" xr:uid="{0393A5A0-1E79-4D6C-8093-B8668ECDB524}"/>
    <hyperlink ref="O4410" r:id="rId13616" display="https://pbs.twimg.com/profile_images/1454103259/logo_normal.gif" xr:uid="{3B536818-BDA0-49CF-B549-70E3BB042188}"/>
    <hyperlink ref="B4411" r:id="rId13617" display="https://twitter.com/VWCamperSales" xr:uid="{2DC37A2E-1338-44AD-AB23-F20E67BB71A1}"/>
    <hyperlink ref="E4411" r:id="rId13618" display="https://twitter.com/VWCamperSales/status/723551718361825281" xr:uid="{2EF40A69-9C7B-418A-9BB6-13EFF9F5D34B}"/>
    <hyperlink ref="F4411" r:id="rId13619" xr:uid="{079F23B9-5424-46EE-A538-77CEB920DDB7}"/>
    <hyperlink ref="O4411" r:id="rId13620" display="https://pbs.twimg.com/profile_images/627949001179037696/skEBkS05_normal.jpg" xr:uid="{8EEF3438-8BAB-4F39-B061-A16801AD935E}"/>
    <hyperlink ref="B4412" r:id="rId13621" display="https://twitter.com/ChristophNoack" xr:uid="{84EAE298-3B18-4C56-AA64-FD85B37286AB}"/>
    <hyperlink ref="E4412" r:id="rId13622" display="https://twitter.com/ChristophNoack/status/723551799236562944" xr:uid="{54B4A61F-2F3A-4276-BDDE-0DB795D83233}"/>
    <hyperlink ref="O4412" r:id="rId13623" display="https://pbs.twimg.com/profile_images/614230691044265984/Wocs5ZQz_normal.jpg" xr:uid="{8DD2D18F-04B8-47D1-A898-991FBBF0A9B1}"/>
    <hyperlink ref="B4413" r:id="rId13624" display="https://twitter.com/DwAilton" xr:uid="{6818CF95-2E86-4296-B56A-324F0A4BC133}"/>
    <hyperlink ref="E4413" r:id="rId13625" display="https://twitter.com/DwAilton/status/723551886754893825" xr:uid="{E6D6832D-8616-4067-A6D6-703D17CB57BE}"/>
    <hyperlink ref="O4413" r:id="rId13626" display="https://pbs.twimg.com/profile_images/657843319926628352/IdG0HPQm_normal.jpg" xr:uid="{21CF7A00-B6E7-40B8-8D45-438033927789}"/>
    <hyperlink ref="B4414" r:id="rId13627" display="https://twitter.com/Tahsinemres" xr:uid="{74F5228A-4A3E-41B8-BB9A-3757ECA3FC9E}"/>
    <hyperlink ref="E4414" r:id="rId13628" display="https://twitter.com/Tahsinemres/status/723551909546610688" xr:uid="{2E29FC08-7920-484D-8BDA-CC972AEB7C8F}"/>
    <hyperlink ref="O4414" r:id="rId13629" display="https://pbs.twimg.com/profile_images/712639850218962946/ix5EU-Ne_normal.jpg" xr:uid="{814169A8-CCE6-4750-8765-624D339FA939}"/>
    <hyperlink ref="B4415" r:id="rId13630" display="https://twitter.com/3LTalonjay_59" xr:uid="{E1CD34F8-72F2-4761-981D-68C32C0A6BAD}"/>
    <hyperlink ref="E4415" r:id="rId13631" display="https://twitter.com/3LTalonjay_59/status/723552009308262400" xr:uid="{FF6EA9AF-42D5-46E3-A5CD-14B3C1F80D39}"/>
    <hyperlink ref="O4415" r:id="rId13632" display="https://pbs.twimg.com/profile_images/575842925646479361/G7GThf7W_normal.jpeg" xr:uid="{AF3A80F3-9F03-44EC-B726-90B0A840F91A}"/>
    <hyperlink ref="B4416" r:id="rId13633" display="https://twitter.com/RobPeel82" xr:uid="{AB57FE4E-568A-4DCF-B935-A7A6E2CAE83C}"/>
    <hyperlink ref="E4416" r:id="rId13634" display="https://twitter.com/RobPeel82/status/723552037456195588" xr:uid="{1EACE9C7-E866-4F9A-B879-2B67428F31B3}"/>
    <hyperlink ref="O4416" r:id="rId13635" display="https://pbs.twimg.com/profile_images/540337328674578432/qYyufV8k_normal.jpeg" xr:uid="{1655F0A8-0EBD-4B5D-A555-92E2704696CD}"/>
    <hyperlink ref="B4417" r:id="rId13636" display="https://twitter.com/Neurasthenio" xr:uid="{A37CA27A-6A87-4C92-832D-B8B2AEABD0F5}"/>
    <hyperlink ref="E4417" r:id="rId13637" display="https://twitter.com/Neurasthenio/status/723552042262880256" xr:uid="{3FF3D18B-D17C-4378-9229-20A55D5FF481}"/>
    <hyperlink ref="O4417" r:id="rId13638" display="https://pbs.twimg.com/profile_images/1243402782/Dracul2_normal.jpg" xr:uid="{6DA212F3-404C-4CE2-8065-E80B6F94D456}"/>
    <hyperlink ref="B4418" r:id="rId13639" display="https://twitter.com/Oppa_mit_Hut" xr:uid="{4311E485-93BC-43B3-83EE-7EDC9194752D}"/>
    <hyperlink ref="E4418" r:id="rId13640" display="https://twitter.com/Oppa_mit_Hut/status/723552140132814848" xr:uid="{F515438F-AFC2-4F0D-BC00-59AF41A4ADF8}"/>
    <hyperlink ref="O4418" r:id="rId13641" display="https://pbs.twimg.com/profile_images/720273340812914688/kgV10zga_normal.jpg" xr:uid="{BBBA8403-D2BF-4574-BA02-D82F2F1DACED}"/>
    <hyperlink ref="B4419" r:id="rId13642" display="https://twitter.com/BILD_Stuttgart" xr:uid="{FE1F9133-5A67-4A7C-B93D-48DC351E2B71}"/>
    <hyperlink ref="E4419" r:id="rId13643" display="https://twitter.com/BILD_Stuttgart/status/723552250111614976" xr:uid="{34D5C0E5-99B5-4D0B-BADC-FFB39BCC8DD6}"/>
    <hyperlink ref="O4419" r:id="rId13644" display="https://pbs.twimg.com/profile_images/641845648430628864/aixuf0mp_normal.jpg" xr:uid="{987AE120-3103-4E79-A334-9ABE6D2EF19E}"/>
    <hyperlink ref="B4420" r:id="rId13645" display="https://twitter.com/BILD_Muenchen" xr:uid="{9FDB6E67-5B07-4FFB-82B5-3F959137126E}"/>
    <hyperlink ref="E4420" r:id="rId13646" display="https://twitter.com/BILD_Muenchen/status/723552250128392193" xr:uid="{5771D076-D010-4266-B780-25C041E81DE4}"/>
    <hyperlink ref="O4420" r:id="rId13647" display="https://pbs.twimg.com/profile_images/641845459527536640/LiA4956L_normal.jpg" xr:uid="{719A279D-6973-406A-BCC1-2B476A585A54}"/>
    <hyperlink ref="B4421" r:id="rId13648" display="https://twitter.com/BILD_Nuernberg" xr:uid="{847F51F3-51A8-4B70-A807-80F245A3AE33}"/>
    <hyperlink ref="E4421" r:id="rId13649" display="https://twitter.com/BILD_Nuernberg/status/723552250224881665" xr:uid="{8766F8A9-C624-49B5-8FB8-80AFD447630A}"/>
    <hyperlink ref="O4421" r:id="rId13650" display="https://pbs.twimg.com/profile_images/641845901737226240/kz3Tkfbs_normal.jpg" xr:uid="{6E909444-018F-4299-93D7-A48485EE1243}"/>
    <hyperlink ref="B4422" r:id="rId13651" display="https://twitter.com/RainerRogge" xr:uid="{226844A9-7E55-47CD-B8BA-71631023CFD2}"/>
    <hyperlink ref="E4422" r:id="rId13652" display="https://twitter.com/RainerRogge/status/723552383612104704" xr:uid="{0AAC32A3-27DF-4A44-83A7-609B1D82B8A9}"/>
    <hyperlink ref="O4422" r:id="rId13653" display="https://pbs.twimg.com/profile_images/592417094983102464/xowRMPEE_normal.jpg" xr:uid="{04BE714B-1FFD-4C54-B4FE-09CC32CBCAB4}"/>
    <hyperlink ref="B4423" r:id="rId13654" display="https://twitter.com/alsopi1" xr:uid="{8678704C-6A3E-41CA-AC43-DF2ACC298F84}"/>
    <hyperlink ref="E4423" r:id="rId13655" display="https://twitter.com/alsopi1/status/723552387693195265" xr:uid="{47172B01-3E21-48A0-90F0-D0B6B5054ACE}"/>
    <hyperlink ref="O4423" r:id="rId13656" display="https://pbs.twimg.com/profile_images/722939606061158402/0mK_jA0z_normal.jpg" xr:uid="{EEB332DB-4992-4A64-8A07-326D54D3947B}"/>
    <hyperlink ref="B4424" r:id="rId13657" display="https://twitter.com/ENMosaik" xr:uid="{578BD39E-34AD-4944-A3B2-FB9C208F286B}"/>
    <hyperlink ref="E4424" r:id="rId13658" display="https://twitter.com/ENMosaik/status/723552402868174849" xr:uid="{5A016F46-9992-41B5-BA2F-6AB1DD2A1A2A}"/>
    <hyperlink ref="O4424" r:id="rId13659" display="https://pbs.twimg.com/profile_images/378800000692356031/09d518072c75b8f4936bb46dc18dc8ef_normal.jpeg" xr:uid="{B8C0235F-2689-4851-8F24-FB52E062EC3E}"/>
    <hyperlink ref="B4425" r:id="rId13660" display="https://twitter.com/HansTheGerman" xr:uid="{6EC23A7C-5998-4FD4-B084-536602AD8DB3}"/>
    <hyperlink ref="E4425" r:id="rId13661" display="https://twitter.com/HansTheGerman/status/723552460401434625" xr:uid="{CF046258-2DA1-46CC-8690-D03E77C9424E}"/>
    <hyperlink ref="O4425" r:id="rId13662" display="https://pbs.twimg.com/profile_images/3012106875/596e712c99a38ec69b925b7f7ab71986_normal.jpeg" xr:uid="{ACDE396D-C52F-45DA-A692-99DF738BDCA9}"/>
    <hyperlink ref="B4426" r:id="rId13663" display="https://twitter.com/HansTheGerman" xr:uid="{3ADADA63-3A40-46EE-9D2A-17DCA61404B4}"/>
    <hyperlink ref="E4426" r:id="rId13664" display="https://twitter.com/HansTheGerman/status/723552486968184832" xr:uid="{ED27FE9B-AAAD-40FC-9060-2388E33D0D9F}"/>
    <hyperlink ref="O4426" r:id="rId13665" display="https://pbs.twimg.com/profile_images/3012106875/596e712c99a38ec69b925b7f7ab71986_normal.jpeg" xr:uid="{1C5FCA9E-F731-44AD-BF15-45AC33399CD9}"/>
    <hyperlink ref="B4427" r:id="rId13666" display="https://twitter.com/gengh60" xr:uid="{FE20FF4F-ECEB-495C-8792-4A8F9164FB47}"/>
    <hyperlink ref="E4427" r:id="rId13667" display="https://twitter.com/gengh60/status/723552610314260481" xr:uid="{CA5F495A-6C4E-4C89-8AC5-0F82841D5C24}"/>
    <hyperlink ref="O4427" r:id="rId13668" display="https://pbs.twimg.com/profile_images/482674748619362305/g-7jPc3m_normal.jpeg" xr:uid="{DB342C71-7FEE-4C84-AEB3-E14DC208E8EC}"/>
    <hyperlink ref="B4428" r:id="rId13669" display="https://twitter.com/panicswitch777" xr:uid="{21BF3DE8-A78F-492E-826D-A1403BA95ADE}"/>
    <hyperlink ref="E4428" r:id="rId13670" display="https://twitter.com/panicswitch777/status/723552942117113856" xr:uid="{A07194CE-E35E-4702-A3B3-93BBD7280B78}"/>
    <hyperlink ref="O4428" r:id="rId13671" display="https://pbs.twimg.com/profile_images/661248829682024449/IlOGOPEg_normal.jpg" xr:uid="{92780CF1-7875-4DA7-A096-22D5F47D5935}"/>
    <hyperlink ref="B4429" r:id="rId13672" display="https://twitter.com/VWBeetleSales" xr:uid="{A8E5EFB1-FC84-4D64-8149-EB1412B5317D}"/>
    <hyperlink ref="E4429" r:id="rId13673" display="https://twitter.com/VWBeetleSales/status/723552979840716801" xr:uid="{6799BC7C-4904-490F-A32E-1C23628475D3}"/>
    <hyperlink ref="F4429" r:id="rId13674" xr:uid="{E9F0400E-B0B3-48D2-AEB2-613236C154E3}"/>
    <hyperlink ref="O4429" r:id="rId13675" display="https://pbs.twimg.com/profile_images/703294545195307008/qeCvrX86_normal.jpg" xr:uid="{302A615C-D0BE-4F60-A605-60DE211DC0AD}"/>
    <hyperlink ref="B4430" r:id="rId13676" display="https://twitter.com/LeftonMain" xr:uid="{2C63EC96-D56E-42DF-8A0C-D099B0ED3ADF}"/>
    <hyperlink ref="E4430" r:id="rId13677" display="https://twitter.com/LeftonMain/status/723553053102596096" xr:uid="{F11AB3A1-03CC-4EE1-A19C-DCC1D254799B}"/>
    <hyperlink ref="O4430" r:id="rId13678" display="https://pbs.twimg.com/profile_images/1880990972/religion-and-politics-no-right-turn_normal.jpg" xr:uid="{E08A7E86-2E4C-414C-B648-1E11D8902EA3}"/>
    <hyperlink ref="B4431" r:id="rId13679" display="https://twitter.com/seemann34" xr:uid="{41DCA629-0651-4D30-BC9F-D20CE2AF5EE5}"/>
    <hyperlink ref="E4431" r:id="rId13680" display="https://twitter.com/seemann34/status/723553145801039873" xr:uid="{D66048A1-74A1-452F-9991-375345EDF526}"/>
    <hyperlink ref="O4431" r:id="rId13681" display="https://pbs.twimg.com/profile_images/483366819907244032/GJ12JiEa_normal.jpeg" xr:uid="{47EDF05E-6AC2-476C-A728-B9CB93D7B3B4}"/>
    <hyperlink ref="B4432" r:id="rId13682" display="https://twitter.com/VWCamperSales" xr:uid="{FCA09F94-E469-45F0-8B95-20C0275E82AC}"/>
    <hyperlink ref="E4432" r:id="rId13683" display="https://twitter.com/VWCamperSales/status/723553228185456640" xr:uid="{F5BDBE22-43D1-4645-90EB-7C43914D0434}"/>
    <hyperlink ref="F4432" r:id="rId13684" xr:uid="{30F1D599-2C93-4C4A-AE9C-DD92380BE5A9}"/>
    <hyperlink ref="O4432" r:id="rId13685" display="https://pbs.twimg.com/profile_images/627949001179037696/skEBkS05_normal.jpg" xr:uid="{73F016E8-284F-44CD-933E-87E1A47BCB09}"/>
    <hyperlink ref="B4433" r:id="rId13686" display="https://twitter.com/VWCamperSales" xr:uid="{CE564424-9998-4CB6-BD85-70B01503A23F}"/>
    <hyperlink ref="E4433" r:id="rId13687" display="https://twitter.com/VWCamperSales/status/723553234825027584" xr:uid="{271F50DA-84DA-4683-9DBD-A43449313343}"/>
    <hyperlink ref="F4433" r:id="rId13688" xr:uid="{958D3BCB-D8C2-432D-B6DF-558F1CF9AD6E}"/>
    <hyperlink ref="O4433" r:id="rId13689" display="https://pbs.twimg.com/profile_images/627949001179037696/skEBkS05_normal.jpg" xr:uid="{D7D9C4BD-778A-456D-A324-E8AAA6A6E771}"/>
    <hyperlink ref="B4434" r:id="rId13690" display="https://twitter.com/katharina2401" xr:uid="{6E08B899-41BD-4489-9615-4A396F69745D}"/>
    <hyperlink ref="E4434" r:id="rId13691" display="https://twitter.com/katharina2401/status/723553294866649088" xr:uid="{1DC8CAF4-87AF-49CE-8018-D530ABC496E9}"/>
    <hyperlink ref="O4434" r:id="rId13692" display="https://pbs.twimg.com/profile_images/1170124452/ich_tra-1_normal.jpg" xr:uid="{DDD56165-E8B1-41F7-92B6-71D4A5380166}"/>
    <hyperlink ref="B4435" r:id="rId13693" display="https://twitter.com/Harremanz" xr:uid="{C9FED9CB-67F5-458B-B620-3E94EDE4ADCC}"/>
    <hyperlink ref="E4435" r:id="rId13694" display="https://twitter.com/Harremanz/status/723553324600033280" xr:uid="{A2F63E1F-74CB-490A-8806-8FADE5CA835E}"/>
    <hyperlink ref="O4435" r:id="rId13695" display="https://pbs.twimg.com/profile_images/591703632497790976/NSuH5_02_normal.jpg" xr:uid="{B9634C48-CD59-46C8-95D1-A312B3558CAD}"/>
    <hyperlink ref="B4436" r:id="rId13696" display="https://twitter.com/vagmenhq" xr:uid="{116F1FE7-FE39-4A58-9C80-85B9A4004062}"/>
    <hyperlink ref="E4436" r:id="rId13697" display="https://twitter.com/vagmenhq/status/723553392061243392" xr:uid="{EF6CE89E-7F5A-4E98-85D6-D739DC40CE8B}"/>
    <hyperlink ref="O4436" r:id="rId13698" display="https://pbs.twimg.com/profile_images/446781974452371456/rqBZF-KN_normal.jpeg" xr:uid="{CCC80022-A956-4CAC-B265-000822AE6523}"/>
    <hyperlink ref="B4437" r:id="rId13699" display="https://twitter.com/kirillklip" xr:uid="{4EB58FBE-642E-4C24-A490-839D4E579A4D}"/>
    <hyperlink ref="E4437" r:id="rId13700" display="https://twitter.com/kirillklip/status/723553485682282498" xr:uid="{1842706D-6550-4C25-850D-C0D2B241E37C}"/>
    <hyperlink ref="O4437" r:id="rId13701" display="https://pbs.twimg.com/profile_images/716972542871908352/YA5lUDGS_normal.jpg" xr:uid="{253AA1DD-9EB4-4169-A491-5A53E54FF0C5}"/>
    <hyperlink ref="B4438" r:id="rId13702" display="https://twitter.com/Michael_Vasanth" xr:uid="{C1B9A065-D48E-4F3D-9F0D-AE78C86020C9}"/>
    <hyperlink ref="E4438" r:id="rId13703" display="https://twitter.com/Michael_Vasanth/status/723553628984872963" xr:uid="{B617C01E-D738-4064-9E51-3EA72DFA4E60}"/>
    <hyperlink ref="O4438" r:id="rId13704" display="https://pbs.twimg.com/profile_images/693447250224087040/au64Cdjo_normal.jpg" xr:uid="{41DEFCEC-3ACB-4B7F-9A3D-E2EC608C8C7F}"/>
    <hyperlink ref="B4439" r:id="rId13705" display="https://twitter.com/iamsalimali" xr:uid="{007A13C8-AB7F-4E97-BA05-F1B21B034ED0}"/>
    <hyperlink ref="E4439" r:id="rId13706" display="https://twitter.com/iamsalimali/status/723553704662695942" xr:uid="{C81E67DB-BD12-4F40-BBD7-2923D814F337}"/>
    <hyperlink ref="O4439" r:id="rId13707" display="https://pbs.twimg.com/profile_images/649956232673947649/sXDhUyad_normal.jpg" xr:uid="{2376C5C0-60F1-42BC-BB00-1C952DE79A22}"/>
    <hyperlink ref="B4440" r:id="rId13708" display="https://twitter.com/__Mllz" xr:uid="{B6E91ACE-E6BA-4482-8F1F-4E06BA0B2237}"/>
    <hyperlink ref="E4440" r:id="rId13709" display="https://twitter.com/__Mllz/status/723553964151726081" xr:uid="{9D2ACD54-B2B1-4961-90C3-DA55E05D53B6}"/>
    <hyperlink ref="O4440" r:id="rId13710" display="https://pbs.twimg.com/profile_images/541560183722618880/9el1XwNl_normal.jpeg" xr:uid="{57E307E5-B7D3-4236-A897-407020E9F316}"/>
    <hyperlink ref="B4441" r:id="rId13711" display="https://twitter.com/FierroosAlPiso" xr:uid="{7856EA2D-EFDA-4639-B9A2-E160B970B811}"/>
    <hyperlink ref="E4441" r:id="rId13712" display="https://twitter.com/FierroosAlPiso/status/723554002345050112" xr:uid="{A1AFC194-5333-45C9-948A-C3E780A239AF}"/>
    <hyperlink ref="O4441" r:id="rId13713" display="https://pbs.twimg.com/profile_images/710841392726147072/qbniEB4w_normal.jpg" xr:uid="{2A81DC19-9E2B-4507-9076-6AEF74A448FC}"/>
    <hyperlink ref="B4442" r:id="rId13714" display="https://twitter.com/KanalNuernberg" xr:uid="{CF30CBDF-B1CA-426B-80A2-435200AB5C30}"/>
    <hyperlink ref="E4442" r:id="rId13715" display="https://twitter.com/KanalNuernberg/status/723554089410387968" xr:uid="{4CCCA484-21CE-43D5-B665-8200BE5979D5}"/>
    <hyperlink ref="O4442" r:id="rId13716" display="https://pbs.twimg.com/profile_images/625625084015865856/wmMWsXDL_normal.png" xr:uid="{35441A6B-4F50-47D6-83C6-5AFBC6BBDFA1}"/>
    <hyperlink ref="B4443" r:id="rId13717" display="https://twitter.com/VolkswagenPost" xr:uid="{75F439E1-EAE2-4586-B370-660AE6479C24}"/>
    <hyperlink ref="E4443" r:id="rId13718" display="https://twitter.com/VolkswagenPost/status/723554094535839748" xr:uid="{1348E802-4FE2-4DA0-9E4C-A9D24EEC4E3C}"/>
    <hyperlink ref="O4443" r:id="rId13719" display="https://pbs.twimg.com/profile_images/530071272881803264/a_jcCmPZ_normal.png" xr:uid="{795EBAEF-EDD0-45D8-B05C-111705703FED}"/>
    <hyperlink ref="B4444" r:id="rId13720" display="https://twitter.com/Carmeniouzan" xr:uid="{F919A17B-EBEE-45C0-B219-6D3A30CB25DE}"/>
    <hyperlink ref="E4444" r:id="rId13721" display="https://twitter.com/Carmeniouzan/status/723554149921619968" xr:uid="{9057D73C-5267-421F-8CBD-EB72C66FBE84}"/>
    <hyperlink ref="O4444" r:id="rId13722" display="https://pbs.twimg.com/profile_images/539591992578424832/x7X5mptJ_normal.jpeg" xr:uid="{B02932F1-C972-4B10-A299-9BA362FD10CC}"/>
    <hyperlink ref="B4445" r:id="rId13723" display="https://twitter.com/lautaro_olive" xr:uid="{D9763101-B39C-442B-93DD-8A6AC7514D4C}"/>
    <hyperlink ref="E4445" r:id="rId13724" display="https://twitter.com/lautaro_olive/status/723554192082788352" xr:uid="{996EF12C-C006-444F-AFA5-6E275CA0B73E}"/>
    <hyperlink ref="O4445" r:id="rId13725" display="https://pbs.twimg.com/profile_images/713053834118041600/zWp427YE_normal.jpg" xr:uid="{2686947E-331E-42FC-B5E1-5068DEEE577F}"/>
    <hyperlink ref="B4446" r:id="rId13726" display="https://twitter.com/Mica_Turchi" xr:uid="{CCFA8EE5-CD54-4FE7-9A46-34973860AA5D}"/>
    <hyperlink ref="E4446" r:id="rId13727" display="https://twitter.com/Mica_Turchi/status/723554245589499905" xr:uid="{A6152F19-7B31-41EF-92FC-18F7C7266F36}"/>
    <hyperlink ref="O4446" r:id="rId13728" display="https://pbs.twimg.com/profile_images/721915123863052288/NwGajXYr_normal.jpg" xr:uid="{8E0B003F-F187-4E1C-A52D-490B50F9AA0F}"/>
    <hyperlink ref="B4447" r:id="rId13729" display="https://twitter.com/LucasSampieri" xr:uid="{E769ECAE-F9AF-4BD4-9FFE-BF531261FFE8}"/>
    <hyperlink ref="E4447" r:id="rId13730" display="https://twitter.com/LucasSampieri/status/723554254389186564" xr:uid="{3128A1D1-3CD7-417C-A656-16DBB6E0910E}"/>
    <hyperlink ref="O4447" r:id="rId13731" display="https://pbs.twimg.com/profile_images/709141383588749312/LDsavna9_normal.jpg" xr:uid="{1C55781D-C1F2-48DB-B710-71C7F068F63D}"/>
    <hyperlink ref="B4448" r:id="rId13732" display="https://twitter.com/19Dolphin39" xr:uid="{9B6EB816-13DE-47E3-A406-A7DF5D86C1D6}"/>
    <hyperlink ref="E4448" r:id="rId13733" display="https://twitter.com/19Dolphin39/status/723554273867390977" xr:uid="{8E0D1B3A-6B80-42A7-9345-04AE3876D840}"/>
    <hyperlink ref="O4448" r:id="rId13734" display="https://pbs.twimg.com/profile_images/564126176168259584/3fOeBaq-_normal.jpeg" xr:uid="{202DB4E9-2D89-4834-A6E7-A86DD14FB7F1}"/>
    <hyperlink ref="B4449" r:id="rId13735" display="https://twitter.com/beluluna61" xr:uid="{C325DE4A-BF44-4736-BBCE-A23CFCA9B7DF}"/>
    <hyperlink ref="E4449" r:id="rId13736" display="https://twitter.com/beluluna61/status/723554356986019840" xr:uid="{2784656E-5C46-4461-BBAE-1502D4C418B7}"/>
    <hyperlink ref="O4449" r:id="rId13737" display="https://pbs.twimg.com/profile_images/603925200019845120/Li9wf9hL_normal.jpg" xr:uid="{8A5B34BB-7B7D-48A7-9830-C3A5005E9861}"/>
    <hyperlink ref="B4450" r:id="rId13738" display="https://twitter.com/margotoge" xr:uid="{E2550E5F-ABD9-43FA-8FA8-76152FD6E8CB}"/>
    <hyperlink ref="E4450" r:id="rId13739" display="https://twitter.com/margotoge/status/723554377198391297" xr:uid="{6DF2742A-37EA-49F0-83BD-0B1332E10DB7}"/>
    <hyperlink ref="O4450" r:id="rId13740" display="https://pbs.twimg.com/profile_images/629348818593705986/WKGmcgtV_normal.jpg" xr:uid="{2B8B488E-CCAA-4759-BCBD-A4773364167E}"/>
    <hyperlink ref="B4451" r:id="rId13741" display="https://twitter.com/bertyberserker" xr:uid="{EAF60D41-9857-48DC-8379-0927534B17E1}"/>
    <hyperlink ref="E4451" r:id="rId13742" display="https://twitter.com/bertyberserker/status/723554412153561092" xr:uid="{DE826BE5-4E0F-4859-8407-EC1D81C21C3F}"/>
    <hyperlink ref="O4451" r:id="rId13743" display="https://pbs.twimg.com/profile_images/695289503687188481/_RuLRC_P_normal.jpg" xr:uid="{DB09D281-7CB8-4FE2-87EA-7E110BC396C0}"/>
    <hyperlink ref="B4452" r:id="rId13744" display="https://twitter.com/kevinjamaica111" xr:uid="{59654C00-9D96-4951-B561-F9206A07A736}"/>
    <hyperlink ref="E4452" r:id="rId13745" display="https://twitter.com/kevinjamaica111/status/723554419997028355" xr:uid="{BB2F3CA9-8ABB-4580-9881-5C7640282014}"/>
    <hyperlink ref="O4452" r:id="rId13746" display="https://pbs.twimg.com/profile_images/692954438294700032/btbx0_sR_normal.jpg" xr:uid="{F7424061-2CA6-4E27-91BF-11247EB57671}"/>
    <hyperlink ref="B4453" r:id="rId13747" display="https://twitter.com/MicaiasUriel" xr:uid="{D25C9ABD-2270-4F9D-9033-9CF1F70520AD}"/>
    <hyperlink ref="E4453" r:id="rId13748" display="https://twitter.com/MicaiasUriel/status/723554463605264386" xr:uid="{5B1A2BC5-AA3B-4310-AFDC-546BC61B83C1}"/>
    <hyperlink ref="O4453" r:id="rId13749" display="https://pbs.twimg.com/profile_images/716896035671580672/EmIuVgoK_normal.jpg" xr:uid="{D7DFEF34-6713-42A4-A166-941107FD255C}"/>
    <hyperlink ref="B4454" r:id="rId13750" display="https://twitter.com/gimodefaveri" xr:uid="{978BDFD7-A6A9-4B87-AF96-198C1371F769}"/>
    <hyperlink ref="E4454" r:id="rId13751" display="https://twitter.com/gimodefaveri/status/723554492692619265" xr:uid="{E3F9905B-5211-4FEA-B11C-2735974752E4}"/>
    <hyperlink ref="O4454" r:id="rId13752" display="https://pbs.twimg.com/profile_images/1324767277/pict0174bna_normal.jpg" xr:uid="{FAB1F82C-01F4-4986-BC98-3F075BB2E3EF}"/>
    <hyperlink ref="B4455" r:id="rId13753" display="https://twitter.com/har155" xr:uid="{227438A5-306A-40A7-8948-7570737FD18C}"/>
    <hyperlink ref="E4455" r:id="rId13754" display="https://twitter.com/har155/status/723554535592067072" xr:uid="{591DFA36-5EC1-4FD1-91D8-E84D5F08AE23}"/>
    <hyperlink ref="O4455" r:id="rId13755" display="https://pbs.twimg.com/profile_images/598204778066223104/T3e5yqH5_normal.png" xr:uid="{87F0D56F-7DF7-41C6-BE77-2E2B62ED4867}"/>
    <hyperlink ref="B4456" r:id="rId13756" display="https://twitter.com/Stony_BS" xr:uid="{D526469C-DCF3-4039-9340-A11E2BD85AB5}"/>
    <hyperlink ref="E4456" r:id="rId13757" display="https://twitter.com/Stony_BS/status/723554856594771968" xr:uid="{541D626A-7E3A-4CB6-B1F2-96EAF9D64A7E}"/>
    <hyperlink ref="O4456" r:id="rId13758" display="https://pbs.twimg.com/profile_images/668091779313500160/ZepxnJcI_normal.jpg" xr:uid="{77A14995-2E61-4914-B789-97BCD83B84B7}"/>
    <hyperlink ref="B4457" r:id="rId13759" display="https://twitter.com/UniversityVWM" xr:uid="{CDDDE261-23E4-4163-802C-C98DF3B3A496}"/>
    <hyperlink ref="E4457" r:id="rId13760" display="https://twitter.com/UniversityVWM/status/723554933048483841" xr:uid="{1D51B74D-CE0F-43A8-99C1-18F7E909FCF3}"/>
    <hyperlink ref="O4457" r:id="rId13761" display="https://pbs.twimg.com/profile_images/564191903151702016/OXB2zx4u_normal.jpeg" xr:uid="{8A5B13C8-5544-48AB-B25A-A2748C650B0C}"/>
    <hyperlink ref="B4458" r:id="rId13762" display="https://twitter.com/Ziegengewitter" xr:uid="{84A3D9A4-B101-430C-A4C3-2773981EDD76}"/>
    <hyperlink ref="E4458" r:id="rId13763" display="https://twitter.com/Ziegengewitter/status/723555501481562114" xr:uid="{791BBFD8-06D4-45E6-BC90-30EC7A8369CC}"/>
    <hyperlink ref="O4458" r:id="rId13764" display="https://pbs.twimg.com/profile_images/3274120603/5ceab6a279edd12004a09e2dcd5ae5d8_normal.png" xr:uid="{E0D9309A-0184-4E59-A199-15C7F6A884FB}"/>
    <hyperlink ref="B4459" r:id="rId13765" display="https://twitter.com/henhman" xr:uid="{A54E5700-6AF0-4239-9711-9E0142BDDCB1}"/>
    <hyperlink ref="E4459" r:id="rId13766" display="https://twitter.com/henhman/status/723555637637054464" xr:uid="{789586E0-BF2D-46AA-A24E-7A809720A701}"/>
    <hyperlink ref="O4459" r:id="rId13767" display="https://pbs.twimg.com/profile_images/627943951555776512/6QzftyKz_normal.jpg" xr:uid="{D9D66F4D-230C-4B91-B0F5-934E07F51670}"/>
    <hyperlink ref="B4460" r:id="rId13768" display="https://twitter.com/miguel_jaimes14" xr:uid="{33ECF3A3-FBDB-44B8-92D0-9E651D860901}"/>
    <hyperlink ref="E4460" r:id="rId13769" display="https://twitter.com/miguel_jaimes14/status/723555680393789441" xr:uid="{43228BDB-6D59-4A10-A94F-489352DA90DB}"/>
    <hyperlink ref="O4460" r:id="rId13770" display="https://pbs.twimg.com/profile_images/694320510541402114/HW0AIl49_normal.jpg" xr:uid="{B52DF7E0-F251-4DE7-9E8B-874E27736322}"/>
    <hyperlink ref="B4461" r:id="rId13771" display="https://twitter.com/BghBghxxl" xr:uid="{A968CCF7-C924-4957-9EB2-FC7AB9C97F52}"/>
    <hyperlink ref="E4461" r:id="rId13772" display="https://twitter.com/BghBghxxl/status/723555810626920449" xr:uid="{05206147-AA3D-4869-90D4-EC2EE65D3CC3}"/>
    <hyperlink ref="O4461" r:id="rId13773" display="https://pbs.twimg.com/profile_images/2880957535/f900e317c899162afd6750c7073e5058_normal.png" xr:uid="{E02060E6-4C11-483B-B4F2-03BADBEF61F9}"/>
    <hyperlink ref="B4462" r:id="rId13774" display="https://twitter.com/BaerenGazette" xr:uid="{383FDDE2-3C60-40E2-8C09-58860E2C32F3}"/>
    <hyperlink ref="E4462" r:id="rId13775" display="https://twitter.com/BaerenGazette/status/723555822282915840" xr:uid="{4489A7AC-45B5-4033-AD3D-C9CA45E66041}"/>
    <hyperlink ref="O4462" r:id="rId13776" display="https://pbs.twimg.com/profile_images/378800000862202585/_gB50a0y_normal.jpeg" xr:uid="{D0735AD8-AA08-4F79-A75D-98EA2EC1CC47}"/>
    <hyperlink ref="B4463" r:id="rId13777" display="https://twitter.com/mateo_silva8" xr:uid="{EC86CADA-1765-4F8C-808A-4FEB0699A3FC}"/>
    <hyperlink ref="E4463" r:id="rId13778" display="https://twitter.com/mateo_silva8/status/723555876481720320" xr:uid="{18ADADF4-FFC6-4FE5-A05A-B6E27876E21A}"/>
    <hyperlink ref="O4463" r:id="rId13779" display="https://pbs.twimg.com/profile_images/720641151963951104/_4AUpUQP_normal.jpg" xr:uid="{2A6F27CB-107B-4D9D-B89F-444F821AFFA8}"/>
    <hyperlink ref="B4464" r:id="rId13780" display="https://twitter.com/morgenlab" xr:uid="{ADA0D327-BBE4-4DAC-B8E8-90A8580BA841}"/>
    <hyperlink ref="E4464" r:id="rId13781" display="https://twitter.com/morgenlab/status/723556005871771648" xr:uid="{5047001E-5C38-40B7-BD24-61679DE331E6}"/>
    <hyperlink ref="O4464" r:id="rId13782" display="https://pbs.twimg.com/profile_images/661960916595040256/ttNTdvq1_normal.png" xr:uid="{4C1AFA94-EA75-425B-8C43-9D0D5B215D8E}"/>
    <hyperlink ref="B4465" r:id="rId13783" display="https://twitter.com/danielcuervo" xr:uid="{CF0E4016-50C3-4902-8003-6D882CF403E0}"/>
    <hyperlink ref="E4465" r:id="rId13784" display="https://twitter.com/danielcuervo/status/723556077028163585" xr:uid="{E110EAD6-BECA-4BDF-B378-5EA94EB539C5}"/>
    <hyperlink ref="O4465" r:id="rId13785" display="https://pbs.twimg.com/profile_images/577579759665704961/3wgncK_f_normal.jpeg" xr:uid="{6CD48A50-2C72-4235-8926-AB55CB9D22E2}"/>
    <hyperlink ref="B4466" r:id="rId13786" display="https://twitter.com/Stefan_Birkner" xr:uid="{A650951F-09DF-4578-9300-073919E56CB4}"/>
    <hyperlink ref="E4466" r:id="rId13787" display="https://twitter.com/Stefan_Birkner/status/723556274709905413" xr:uid="{6AE978B2-5D8E-4D57-9589-C4E52FE2DFC2}"/>
    <hyperlink ref="O4466" r:id="rId13788" display="https://pbs.twimg.com/profile_images/2220729503/Birkner200-300_normal.jpg" xr:uid="{7B2A1EF5-1243-45D5-8AA9-20E82E10BCE7}"/>
    <hyperlink ref="B4467" r:id="rId13789" display="https://twitter.com/VWCamperSales" xr:uid="{B71B8B5B-456E-4F6D-902F-6EEF2261B4E8}"/>
    <hyperlink ref="E4467" r:id="rId13790" display="https://twitter.com/VWCamperSales/status/723556362051964928" xr:uid="{F0CA07D6-B360-46AE-BAA4-F3867CC26C2D}"/>
    <hyperlink ref="F4467" r:id="rId13791" xr:uid="{0B7EBD51-76FE-4434-AA6E-5BC463EAC9C2}"/>
    <hyperlink ref="O4467" r:id="rId13792" display="https://pbs.twimg.com/profile_images/627949001179037696/skEBkS05_normal.jpg" xr:uid="{32C738F1-A34F-4867-85E3-59480E85B396}"/>
    <hyperlink ref="B4468" r:id="rId13793" display="https://twitter.com/VWCamperSales" xr:uid="{14A2769B-966E-4567-BCAC-1F98803CBE74}"/>
    <hyperlink ref="E4468" r:id="rId13794" display="https://twitter.com/VWCamperSales/status/723556367651344384" xr:uid="{88D253F0-1319-4197-B6E1-6A7FC573C589}"/>
    <hyperlink ref="F4468" r:id="rId13795" xr:uid="{CCC6BD95-B050-4648-9B48-C73A9176D89D}"/>
    <hyperlink ref="O4468" r:id="rId13796" display="https://pbs.twimg.com/profile_images/627949001179037696/skEBkS05_normal.jpg" xr:uid="{F67641C0-5C10-4F8E-AFBC-8DEA25FC2643}"/>
    <hyperlink ref="B4469" r:id="rId13797" display="https://twitter.com/frank_wrc" xr:uid="{4336762B-ADDF-41C3-B7BC-14B2E8BECD31}"/>
    <hyperlink ref="E4469" r:id="rId13798" display="https://twitter.com/frank_wrc/status/723556457548009472" xr:uid="{98356E33-35DD-4069-8DFC-1E40463585BE}"/>
    <hyperlink ref="O4469" r:id="rId13799" display="https://pbs.twimg.com/profile_images/556669044300853248/dIL6Pm-3_normal.jpeg" xr:uid="{259AAB71-BF5E-4498-B370-CF8EE305D68A}"/>
    <hyperlink ref="B4470" r:id="rId13800" display="https://twitter.com/christianduerr" xr:uid="{6F6B02FF-FB2B-4A13-849F-266FB92A4194}"/>
    <hyperlink ref="E4470" r:id="rId13801" display="https://twitter.com/christianduerr/status/723556461431918593" xr:uid="{6316729F-2BB7-4EF0-ABB6-9AC7B53EB35C}"/>
    <hyperlink ref="O4470" r:id="rId13802" display="https://pbs.twimg.com/profile_images/332725210/n40288936898_1999889_3841923_normal.jpg" xr:uid="{CF014510-4BB7-460D-BBA7-A5915468F01B}"/>
    <hyperlink ref="B4471" r:id="rId13803" display="https://twitter.com/Fefe_crc" xr:uid="{07AFD519-4A01-4A38-849A-E21A718CC528}"/>
    <hyperlink ref="E4471" r:id="rId13804" display="https://twitter.com/Fefe_crc/status/723556474274893824" xr:uid="{0DFDE0A8-B032-4269-A837-BCBE1C5F82C9}"/>
    <hyperlink ref="O4471" r:id="rId13805" display="https://pbs.twimg.com/profile_images/708317385292451840/hvGxvzeX_normal.jpg" xr:uid="{B2C56B60-1CF5-44B6-B13D-6F0FFCA19F8B}"/>
    <hyperlink ref="B4472" r:id="rId13806" display="https://twitter.com/dw_business" xr:uid="{1C9E5DA6-87A7-4556-9E06-D53923233FD4}"/>
    <hyperlink ref="E4472" r:id="rId13807" display="https://twitter.com/dw_business/status/723556549919166465" xr:uid="{CC26968E-C977-4689-BFE7-20E166329B92}"/>
    <hyperlink ref="O4472" r:id="rId13808" display="https://pbs.twimg.com/profile_images/474178130312044544/-U2TP65D_normal.png" xr:uid="{1C45D2AB-A5D0-41BC-A666-6C75603FAA0D}"/>
    <hyperlink ref="B4473" r:id="rId13809" display="https://twitter.com/dorschelvw" xr:uid="{5BFD91DD-35EB-4EA1-9542-60493139CCD4}"/>
    <hyperlink ref="E4473" r:id="rId13810" display="https://twitter.com/dorschelvw/status/723556621830524928" xr:uid="{57E71E81-1155-4823-AAE6-275662D0A6DB}"/>
    <hyperlink ref="O4473" r:id="rId13811" display="https://pbs.twimg.com/profile_images/634364105550262272/0s1YujUX_normal.jpg" xr:uid="{18E59C0B-3102-4C0C-ADD5-12A105BD9793}"/>
    <hyperlink ref="B4474" r:id="rId13812" display="https://twitter.com/MKarpstein" xr:uid="{A3D4765A-6C9A-43E8-8D8D-AD7734CE00EF}"/>
    <hyperlink ref="E4474" r:id="rId13813" display="https://twitter.com/MKarpstein/status/723556795323695104" xr:uid="{30226C86-1F31-41CD-B208-C2BEAE720B6C}"/>
    <hyperlink ref="O4474" r:id="rId13814" display="https://pbs.twimg.com/profile_images/684707767962177536/jT-s_avc_normal.jpg" xr:uid="{0BC4ECF0-7403-46DB-B491-FC1E9FD58A26}"/>
    <hyperlink ref="B4475" r:id="rId13815" display="https://twitter.com/VolkswagenPost" xr:uid="{3312D2D1-34CD-404B-83D3-80CCA024A761}"/>
    <hyperlink ref="E4475" r:id="rId13816" display="https://twitter.com/VolkswagenPost/status/723556819680038912" xr:uid="{18692662-8758-4884-8CDD-1456486A9D25}"/>
    <hyperlink ref="O4475" r:id="rId13817" display="https://pbs.twimg.com/profile_images/530071272881803264/a_jcCmPZ_normal.png" xr:uid="{ACB56A5C-0000-4A78-8700-EEED5B716AA6}"/>
    <hyperlink ref="B4476" r:id="rId13818" display="https://twitter.com/ListersVWVans" xr:uid="{B9FE7ECC-2835-4DD3-B729-E862E0BC0CE4}"/>
    <hyperlink ref="E4476" r:id="rId13819" display="https://twitter.com/ListersVWVans/status/723556882221293568" xr:uid="{C06CBAE6-71F0-4231-8649-2961B2BF1A81}"/>
    <hyperlink ref="O4476" r:id="rId13820" display="https://pbs.twimg.com/profile_images/3116586215/f622565f955bd627859a80f9c8b39cae_normal.jpeg" xr:uid="{0210623A-3305-4F33-9FA3-6800228EEE00}"/>
    <hyperlink ref="B4477" r:id="rId13821" display="https://twitter.com/alsopi1" xr:uid="{C7C4EAEF-62A4-4348-B7B8-E3FADF38F196}"/>
    <hyperlink ref="E4477" r:id="rId13822" display="https://twitter.com/alsopi1/status/723556914492223488" xr:uid="{AF29C56D-6E92-46F5-9CB1-5702736EADD3}"/>
    <hyperlink ref="O4477" r:id="rId13823" display="https://pbs.twimg.com/profile_images/722939606061158402/0mK_jA0z_normal.jpg" xr:uid="{D3C57349-F489-4A11-9353-52C9E3C54194}"/>
    <hyperlink ref="B4478" r:id="rId13824" display="https://twitter.com/BillJacobsVW" xr:uid="{87B9810B-4CDD-4E9B-8500-094FC2DAFFB3}"/>
    <hyperlink ref="E4478" r:id="rId13825" display="https://twitter.com/BillJacobsVW/status/723556998311206912" xr:uid="{9199557F-5C49-4DDD-B6C3-4C29FB91471E}"/>
    <hyperlink ref="O4478" r:id="rId13826" display="https://pbs.twimg.com/profile_images/709477803851325440/SYpI9NJ7_normal.jpg" xr:uid="{CC4D9AE6-A473-4747-8409-BD41D18C81A4}"/>
    <hyperlink ref="B4479" r:id="rId13827" display="https://twitter.com/lucaas_pzk" xr:uid="{77548124-494A-48E1-83C8-151A5FFA55FA}"/>
    <hyperlink ref="E4479" r:id="rId13828" display="https://twitter.com/lucaas_pzk/status/723557030989049858" xr:uid="{F98EC47D-383A-468B-AA95-7D02681C18DC}"/>
    <hyperlink ref="O4479" r:id="rId13829" display="https://pbs.twimg.com/profile_images/721122651436134400/xrnUvBmT_normal.jpg" xr:uid="{F6D8EEE0-43CC-4E87-83AC-4A5995C1CD7A}"/>
    <hyperlink ref="B4480" r:id="rId13830" display="https://twitter.com/MBTwebsite" xr:uid="{4EADE11C-397A-4087-8477-20466BF10F05}"/>
    <hyperlink ref="E4480" r:id="rId13831" display="https://twitter.com/MBTwebsite/status/723557144273018881" xr:uid="{7E64447A-B1F4-4577-95DD-C3AB04C92522}"/>
    <hyperlink ref="O4480" r:id="rId13832" display="https://pbs.twimg.com/profile_images/555079143658754048/kkWBVbbF_normal.jpeg" xr:uid="{5319316F-C454-4363-A846-2B6D7BAA686A}"/>
    <hyperlink ref="B4481" r:id="rId13833" display="https://twitter.com/kngeuro" xr:uid="{40BD0453-894E-4556-876B-4B61003A1E46}"/>
    <hyperlink ref="E4481" r:id="rId13834" display="https://twitter.com/kngeuro/status/723557193312694272" xr:uid="{2F9D6AAC-AB53-43F8-A29C-EE76DC2D55F9}"/>
    <hyperlink ref="O4481" r:id="rId13835" display="https://pbs.twimg.com/profile_images/570375988065935360/ooT_Nq7x_normal.jpeg" xr:uid="{3C04AA41-EE8A-4673-9BBA-8243C124C2DC}"/>
    <hyperlink ref="B4482" r:id="rId13836" display="https://twitter.com/HansTheGerman" xr:uid="{5D350E06-BDDF-4E2C-93E9-F0DD21724B5E}"/>
    <hyperlink ref="E4482" r:id="rId13837" display="https://twitter.com/HansTheGerman/status/723557253232648193" xr:uid="{F4380823-D11C-4628-AF29-B3FC43EECAE5}"/>
    <hyperlink ref="O4482" r:id="rId13838" display="https://pbs.twimg.com/profile_images/3012106875/596e712c99a38ec69b925b7f7ab71986_normal.jpeg" xr:uid="{7FC2AE6F-2409-4E36-8130-21AEE5C703DA}"/>
    <hyperlink ref="B4483" r:id="rId13839" display="https://twitter.com/panicswitch777" xr:uid="{D77CCFAE-37E9-4F17-8BE0-E32E9FAC0C9F}"/>
    <hyperlink ref="E4483" r:id="rId13840" display="https://twitter.com/panicswitch777/status/723557262199943168" xr:uid="{49C40441-C38C-4A84-89AF-285E4208FF34}"/>
    <hyperlink ref="O4483" r:id="rId13841" display="https://pbs.twimg.com/profile_images/661248829682024449/IlOGOPEg_normal.jpg" xr:uid="{620EADBE-7681-4C75-A125-3E8FF0E3448E}"/>
    <hyperlink ref="B4484" r:id="rId13842" display="https://twitter.com/digitalAngst" xr:uid="{E23B7396-A45A-4422-9425-880B8B473070}"/>
    <hyperlink ref="E4484" r:id="rId13843" display="https://twitter.com/digitalAngst/status/723557361709944833" xr:uid="{BB9A603B-BA94-4F09-84F4-177F5DA89080}"/>
    <hyperlink ref="O4484" r:id="rId13844" display="https://pbs.twimg.com/profile_images/1575203828/Kaminekobitingcat_normal.PNG" xr:uid="{68B36F71-F247-432D-ADC4-D7621528C3C2}"/>
    <hyperlink ref="B4485" r:id="rId13845" display="https://twitter.com/panicswitch777" xr:uid="{8C7E48EA-650F-4290-A94A-B76A8653CB8E}"/>
    <hyperlink ref="E4485" r:id="rId13846" display="https://twitter.com/panicswitch777/status/723557479213195264" xr:uid="{C59F6F07-1E2F-42E4-9B70-1DC4B57E514D}"/>
    <hyperlink ref="O4485" r:id="rId13847" display="https://pbs.twimg.com/profile_images/661248829682024449/IlOGOPEg_normal.jpg" xr:uid="{EE833AB7-F6CF-47B6-9175-FF60C704A39A}"/>
    <hyperlink ref="B4486" r:id="rId13848" display="https://twitter.com/DePieriSrl" xr:uid="{6EC1E0FC-0A80-4144-938E-68345B822209}"/>
    <hyperlink ref="E4486" r:id="rId13849" display="https://twitter.com/DePieriSrl/status/723557503594823680" xr:uid="{02FE4526-73FB-415C-9232-2DE2BE4BB504}"/>
    <hyperlink ref="O4486" r:id="rId13850" display="https://pbs.twimg.com/profile_images/685114290660093952/jpPe-8BQ_normal.jpg" xr:uid="{DDB3A3AC-8353-4EA4-AAA5-2875F2A2099C}"/>
    <hyperlink ref="P4486" r:id="rId13851" location="45.6695068,11.936238" display="http://ctrlq.org/maps/address/ - 45.6695068,11.936238" xr:uid="{3A2536D7-4D86-43F8-9C57-FE1A68FC09DC}"/>
    <hyperlink ref="B4487" r:id="rId13852" display="https://twitter.com/DePieriSrl" xr:uid="{4611CE7D-FE9A-4A12-B576-482E3D1228B5}"/>
    <hyperlink ref="E4487" r:id="rId13853" display="https://twitter.com/DePieriSrl/status/723557507071877120" xr:uid="{8CCBFAA1-D82B-4F60-8EA7-353E1A2366BF}"/>
    <hyperlink ref="O4487" r:id="rId13854" display="https://pbs.twimg.com/profile_images/685114290660093952/jpPe-8BQ_normal.jpg" xr:uid="{F066F4D5-7737-49F7-9086-8F97B0B1B3F4}"/>
    <hyperlink ref="P4487" r:id="rId13855" location="45.6695068,11.936238" display="http://ctrlq.org/maps/address/ - 45.6695068,11.936238" xr:uid="{8379BE06-1277-4484-8FFC-131CE404B316}"/>
    <hyperlink ref="B4488" r:id="rId13856" display="https://twitter.com/reds33385" xr:uid="{3EFBF874-2496-4D31-AB97-F93C79CD395E}"/>
    <hyperlink ref="E4488" r:id="rId13857" display="https://twitter.com/reds33385/status/723557508044980224" xr:uid="{420D32AD-E5DD-4673-984B-5FD86BDD3B30}"/>
    <hyperlink ref="O4488" r:id="rId13858" display="https://pbs.twimg.com/profile_images/666708094274174976/lKR_DgZw_normal.jpg" xr:uid="{060EAA21-BAF0-41C4-9587-FCF7E127D80D}"/>
    <hyperlink ref="B4489" r:id="rId13859" display="https://twitter.com/SFrischmuth" xr:uid="{D098B690-72F0-4107-BFA4-26BEFA9D577F}"/>
    <hyperlink ref="E4489" r:id="rId13860" display="https://twitter.com/SFrischmuth/status/723557536075489281" xr:uid="{B6E90E82-1021-47ED-9BAC-BEB98A937A7B}"/>
    <hyperlink ref="O4489" r:id="rId13861" display="https://pbs.twimg.com/profile_images/562352509469982720/SCVczZJm_normal.jpeg" xr:uid="{AE06DE29-0AEF-4F5C-8BEF-9EC1CE89682F}"/>
    <hyperlink ref="B4490" r:id="rId13862" display="https://twitter.com/zarina_baiba" xr:uid="{03CA33A0-BFDC-425A-A57C-2634213FE36A}"/>
    <hyperlink ref="E4490" r:id="rId13863" display="https://twitter.com/zarina_baiba/status/723557713532301312" xr:uid="{CC6BA05B-7F91-46CF-8340-B8F51A969C3E}"/>
    <hyperlink ref="O4490" r:id="rId13864" display="https://pbs.twimg.com/profile_images/716659837736775681/K6_4A_3q_normal.jpg" xr:uid="{9CC7144C-7922-48E7-9FAF-CCFC4B327A96}"/>
    <hyperlink ref="B4491" r:id="rId13865" display="https://twitter.com/kev_g1" xr:uid="{CE3DE60E-E4F6-4D94-8F10-F354082E2A5A}"/>
    <hyperlink ref="E4491" r:id="rId13866" display="https://twitter.com/kev_g1/status/723557745572630528" xr:uid="{40328CD7-EF64-49C8-B958-C48A3B26E0C5}"/>
    <hyperlink ref="O4491" r:id="rId13867" display="https://pbs.twimg.com/profile_images/669065153179164674/xvN4oZmg_normal.jpg" xr:uid="{B71C8166-A440-4FBA-A2AD-C0C63D0958E2}"/>
    <hyperlink ref="B4492" r:id="rId13868" display="https://twitter.com/DavividAuto" xr:uid="{A9BEB245-E2E2-4AAB-9887-C56159F91332}"/>
    <hyperlink ref="E4492" r:id="rId13869" display="https://twitter.com/DavividAuto/status/723557746323427329" xr:uid="{2C997D27-849C-416E-8A8A-790189216D94}"/>
    <hyperlink ref="O4492" r:id="rId13870" display="https://pbs.twimg.com/profile_images/3327758026/27857cfcaea6b0da08253f667355784c_normal.jpeg" xr:uid="{C2221336-3ACA-443D-9B8A-401730931739}"/>
    <hyperlink ref="B4493" r:id="rId13871" display="https://twitter.com/VWBeetleSales" xr:uid="{70600F5D-AD0C-4BF7-800B-B1D7C2A9FFA1}"/>
    <hyperlink ref="E4493" r:id="rId13872" display="https://twitter.com/VWBeetleSales/status/723557750731481088" xr:uid="{5E97E0EC-83EA-48D5-8DAC-648D929A4A57}"/>
    <hyperlink ref="F4493" r:id="rId13873" xr:uid="{8542A093-A526-4B12-84DD-0A2B0B2B1A0B}"/>
    <hyperlink ref="O4493" r:id="rId13874" display="https://pbs.twimg.com/profile_images/703294545195307008/qeCvrX86_normal.jpg" xr:uid="{D0045BD1-8E42-491C-9D9E-DCBE84F08303}"/>
    <hyperlink ref="B4494" r:id="rId13875" display="https://twitter.com/seelig85" xr:uid="{288A98AB-15B5-4971-BD9D-C21BBD9FD401}"/>
    <hyperlink ref="E4494" r:id="rId13876" display="https://twitter.com/seelig85/status/723557804359950336" xr:uid="{86BC3806-6F9C-4D8D-AF61-440D82CBEE0D}"/>
    <hyperlink ref="O4494" r:id="rId13877" display="https://pbs.twimg.com/profile_images/2740336586/4a1556e715d404a87866125fbfd1d016_normal.jpeg" xr:uid="{9A12913F-89AF-4C25-AD8E-2AC5E1455BC0}"/>
    <hyperlink ref="B4495" r:id="rId13878" display="https://twitter.com/doern" xr:uid="{71064698-442C-4C74-BAEF-244ECD4B0B26}"/>
    <hyperlink ref="E4495" r:id="rId13879" display="https://twitter.com/doern/status/723557929648046080" xr:uid="{F47BD51D-7F19-4DC7-A047-8AE5C09CA60D}"/>
    <hyperlink ref="O4495" r:id="rId13880" display="https://pbs.twimg.com/profile_images/657853466384191488/J6vAnfZr_normal.jpg" xr:uid="{CC4E2C9E-EA64-40FF-A21C-7CA35CD9D3A4}"/>
    <hyperlink ref="B4496" r:id="rId13881" display="https://twitter.com/AxeelCabj10" xr:uid="{620AB131-2B2F-473E-AD54-3D6CF23525FA}"/>
    <hyperlink ref="E4496" r:id="rId13882" display="https://twitter.com/AxeelCabj10/status/723557949575192580" xr:uid="{098DD467-9D72-49E4-B893-21055A522D69}"/>
    <hyperlink ref="O4496" r:id="rId13883" display="https://pbs.twimg.com/profile_images/723342722367655936/IEfSLbQG_normal.jpg" xr:uid="{FCBD78B9-4649-4B58-89D0-7BFC2AA5DDA8}"/>
    <hyperlink ref="B4497" r:id="rId13884" display="https://twitter.com/wg12307" xr:uid="{51DB664E-EBAC-4879-86F1-8D8066DAFDB9}"/>
    <hyperlink ref="E4497" r:id="rId13885" display="https://twitter.com/wg12307/status/723558006420570112" xr:uid="{DF7B1D03-641E-4DA4-BD80-B8E9DECBDCC1}"/>
    <hyperlink ref="O4497" r:id="rId13886" display="https://pbs.twimg.com/profile_images/378800000210197475/0dc436cb9044eecbb42d45b90630a327_normal.jpeg" xr:uid="{41528F85-98CD-4CC6-8284-ED1B9C8CF3CC}"/>
    <hyperlink ref="B4498" r:id="rId13887" display="https://twitter.com/riversidevw" xr:uid="{AB077537-2C8F-46C1-A508-C5383CA71D82}"/>
    <hyperlink ref="E4498" r:id="rId13888" display="https://twitter.com/riversidevw/status/723558026494488576" xr:uid="{50DB5CD3-4979-4FF0-A5D6-478DFC59817A}"/>
    <hyperlink ref="O4498" r:id="rId13889" display="https://pbs.twimg.com/profile_images/672153171607744512/19k3O2VA_normal.png" xr:uid="{B96645C1-DC30-4055-843B-AD53815DEE2F}"/>
    <hyperlink ref="B4499" r:id="rId13890" display="https://twitter.com/29DavidDs" xr:uid="{FB87684C-7E2F-482B-A2CB-70785700525B}"/>
    <hyperlink ref="E4499" r:id="rId13891" display="https://twitter.com/29DavidDs/status/723558116885946368" xr:uid="{1E1A318E-EC4D-4B7D-9307-CF3892215C79}"/>
    <hyperlink ref="O4499" r:id="rId13892" display="https://pbs.twimg.com/profile_images/539606735418564610/Q8rRGlM-_normal.jpeg" xr:uid="{77899785-C375-4E27-BC91-437FF031D417}"/>
    <hyperlink ref="B4500" r:id="rId13893" display="https://twitter.com/beetlebug1938" xr:uid="{74457F00-82BB-4E5A-B9DB-4C949DC98693}"/>
    <hyperlink ref="E4500" r:id="rId13894" display="https://twitter.com/beetlebug1938/status/723558235605753856" xr:uid="{248D72E5-52B0-4068-BD8A-6C87DB9346DF}"/>
    <hyperlink ref="O4500" r:id="rId13895" display="https://pbs.twimg.com/profile_images/718820712757215233/LXXndPTS_normal.jpg" xr:uid="{2E1722A9-074C-4CB3-BB0A-B30110E0EAA3}"/>
    <hyperlink ref="B4501" r:id="rId13896" display="https://twitter.com/beetlebug1938" xr:uid="{759185FF-7DAC-40C8-A1EF-522E4F40C37E}"/>
    <hyperlink ref="E4501" r:id="rId13897" display="https://twitter.com/beetlebug1938/status/723558258129141760" xr:uid="{B4B093AC-118B-4E18-8DC2-CD889C897C50}"/>
    <hyperlink ref="O4501" r:id="rId13898" display="https://pbs.twimg.com/profile_images/718820712757215233/LXXndPTS_normal.jpg" xr:uid="{E4D4DA61-D478-410B-81A0-4BFD431416A0}"/>
    <hyperlink ref="B4502" r:id="rId13899" display="https://twitter.com/beetlebug1938" xr:uid="{8B82FBBC-AE19-4623-8D54-F5F29EBEC987}"/>
    <hyperlink ref="E4502" r:id="rId13900" display="https://twitter.com/beetlebug1938/status/723558330178912258" xr:uid="{4777AEEF-DB48-418F-B9FA-C4CAE4C06BB9}"/>
    <hyperlink ref="O4502" r:id="rId13901" display="https://pbs.twimg.com/profile_images/718820712757215233/LXXndPTS_normal.jpg" xr:uid="{8749DCB4-43C8-4E00-80C0-E5AC8D845F60}"/>
    <hyperlink ref="B4503" r:id="rId13902" display="https://twitter.com/Lapse_of_Reason" xr:uid="{1E61764E-9B9E-4942-BAB7-0D796B0731AD}"/>
    <hyperlink ref="E4503" r:id="rId13903" display="https://twitter.com/Lapse_of_Reason/status/723558403398750208" xr:uid="{FA0ED7B4-8BF5-401B-87BA-AD2811DF5D26}"/>
    <hyperlink ref="O4503" r:id="rId13904" display="https://pbs.twimg.com/profile_images/473868164984365056/f4BwccpT_normal.jpeg" xr:uid="{908A0048-3F7B-4084-965E-2060001D54F8}"/>
    <hyperlink ref="B4504" r:id="rId13905" display="https://twitter.com/HansTheGerman" xr:uid="{8E993C22-F8B4-4753-B9DD-CDD30775E4CB}"/>
    <hyperlink ref="E4504" r:id="rId13906" display="https://twitter.com/HansTheGerman/status/723558433182629888" xr:uid="{7F75BF5B-54FA-4634-84FA-D1AC82AC98D5}"/>
    <hyperlink ref="O4504" r:id="rId13907" display="https://pbs.twimg.com/profile_images/3012106875/596e712c99a38ec69b925b7f7ab71986_normal.jpeg" xr:uid="{51005B90-6CF9-428D-937A-487F055F1B35}"/>
    <hyperlink ref="B4505" r:id="rId13908" display="https://twitter.com/DuisburgAndreas" xr:uid="{5453661A-FC89-4C5B-ACDF-BF672E1FA6C1}"/>
    <hyperlink ref="E4505" r:id="rId13909" display="https://twitter.com/DuisburgAndreas/status/723558436840050688" xr:uid="{51E15B35-39AA-4BDD-A0C7-5460BF2C7320}"/>
    <hyperlink ref="O4505" r:id="rId13910" display="https://pbs.twimg.com/profile_images/712642815306702849/PCFg2XhV_normal.jpg" xr:uid="{0DCFAC2C-A31A-4B2C-84D3-AA38380C3253}"/>
    <hyperlink ref="B4506" r:id="rId13911" display="https://twitter.com/MorrisseyEnda" xr:uid="{D60428D9-A650-4B83-B7D7-F290180A0B56}"/>
    <hyperlink ref="E4506" r:id="rId13912" display="https://twitter.com/MorrisseyEnda/status/723558693372067840" xr:uid="{89ACC7A4-9E54-48BA-B33D-8AAD693B91AD}"/>
    <hyperlink ref="O4506" r:id="rId13913" display="https://pbs.twimg.com/profile_images/716866813393563648/zbkYA6aS_normal.jpg" xr:uid="{F679BF00-0413-4D6E-B981-CD97660AFB72}"/>
    <hyperlink ref="B4507" r:id="rId13914" display="https://twitter.com/ParkwayVW" xr:uid="{B6AB675A-87ED-4679-9018-1175191D7F90}"/>
    <hyperlink ref="E4507" r:id="rId13915" display="https://twitter.com/ParkwayVW/status/723558702742003713" xr:uid="{F2A84F2D-79AF-4C70-B2DE-14C0D5105A76}"/>
    <hyperlink ref="O4507" r:id="rId13916" display="https://pbs.twimg.com/profile_images/2635317758/7c2c4ad3f1a9ec07740a743a22591d59_normal.png" xr:uid="{E3F489CD-1BBA-4E08-9FC9-CBD944713851}"/>
    <hyperlink ref="B4508" r:id="rId13917" display="https://twitter.com/handelsblatt" xr:uid="{D76E1B5F-E3B9-4641-8980-B014FD2E946F}"/>
    <hyperlink ref="E4508" r:id="rId13918" display="https://twitter.com/handelsblatt/status/723558768538165248" xr:uid="{4841D394-35EA-490A-A668-CA6C374B4DDD}"/>
    <hyperlink ref="O4508" r:id="rId13919" display="https://pbs.twimg.com/profile_images/562563461171798017/AkHF4keI_normal.png" xr:uid="{AF34EE3C-9D5B-48BB-BA90-6D5A30B91751}"/>
    <hyperlink ref="B4509" r:id="rId13920" display="https://twitter.com/uschaefer" xr:uid="{0E7F067F-093C-494F-89BC-208028155FF8}"/>
    <hyperlink ref="E4509" r:id="rId13921" display="https://twitter.com/uschaefer/status/723558787622285312" xr:uid="{E96B2349-98CE-45A3-83E2-65D321E30FEF}"/>
    <hyperlink ref="O4509" r:id="rId13922" display="https://pbs.twimg.com/profile_images/899191891/2009-verwischt-1_normal.jpg" xr:uid="{BBBDCA6C-F7A2-44C6-8E81-3D56295011EF}"/>
    <hyperlink ref="B4510" r:id="rId13923" display="https://twitter.com/KrahMax" xr:uid="{D913613F-E2FE-4F00-8507-89517CF135D2}"/>
    <hyperlink ref="E4510" r:id="rId13924" display="https://twitter.com/KrahMax/status/723558838960545792" xr:uid="{6AF79B87-3826-46C9-A500-E99981D1E225}"/>
    <hyperlink ref="O4510" r:id="rId13925" display="https://pbs.twimg.com/profile_images/3612453508/dcbac1b4aa4a09a930c8e6626941b5ec_normal.jpeg" xr:uid="{D1683F2B-966A-4BB4-A3DC-2E2D8A2A2498}"/>
    <hyperlink ref="B4511" r:id="rId13926" display="https://twitter.com/MonteZuba" xr:uid="{1F2F3066-3055-4FFD-B2AB-0592C3212D55}"/>
    <hyperlink ref="E4511" r:id="rId13927" display="https://twitter.com/MonteZuba/status/723559020984950784" xr:uid="{E54929CF-A08C-41B1-9A8E-ED0344890415}"/>
    <hyperlink ref="O4511" r:id="rId13928" display="https://pbs.twimg.com/profile_images/713253883363987456/CD5cDmfc_normal.jpg" xr:uid="{286DDDE7-F64F-4B59-9F9F-6096953F6D54}"/>
    <hyperlink ref="B4512" r:id="rId13929" display="https://twitter.com/beluluna61" xr:uid="{37463932-53FE-4189-AE3E-AAFBA6CBC966}"/>
    <hyperlink ref="E4512" r:id="rId13930" display="https://twitter.com/beluluna61/status/723559077268324352" xr:uid="{1656B47F-F2DC-49F6-B811-DB917F8D8C2A}"/>
    <hyperlink ref="O4512" r:id="rId13931" display="https://pbs.twimg.com/profile_images/603925200019845120/Li9wf9hL_normal.jpg" xr:uid="{65A8A39A-C6E3-4034-98D0-68C5DD5FE433}"/>
    <hyperlink ref="B4513" r:id="rId13932" display="https://twitter.com/Sufiy" xr:uid="{4A15A8DE-2707-4E18-8D73-BD8A9EA12E9C}"/>
    <hyperlink ref="E4513" r:id="rId13933" display="https://twitter.com/Sufiy/status/723559128715632640" xr:uid="{51B5F742-4FAC-4C5C-8B22-B207FA409051}"/>
    <hyperlink ref="O4513" r:id="rId13934" display="https://pbs.twimg.com/profile_images/292857657/GreenGrowth_normal.jpg" xr:uid="{54ABCC60-CE5E-4856-8FF1-E39409674FC2}"/>
    <hyperlink ref="B4514" r:id="rId13935" display="https://twitter.com/schoenbornmc" xr:uid="{35C55303-DF8D-471A-9040-9A069CFBDBDE}"/>
    <hyperlink ref="E4514" r:id="rId13936" display="https://twitter.com/schoenbornmc/status/723559268889272320" xr:uid="{6EDF7C6A-D730-467A-8460-F2E1F28157F4}"/>
    <hyperlink ref="O4514" r:id="rId13937" display="https://pbs.twimg.com/profile_images/705812199885967360/9ddZJ66P_normal.jpg" xr:uid="{89A30A16-2B5F-46D5-9222-4B1EE4BB4870}"/>
    <hyperlink ref="B4515" r:id="rId13938" display="https://twitter.com/VolkswagenPost" xr:uid="{5B6CFD8E-A21C-40E6-B721-E6B99AD7E4A3}"/>
    <hyperlink ref="E4515" r:id="rId13939" display="https://twitter.com/VolkswagenPost/status/723559319355187200" xr:uid="{4CE08B6D-8FE1-4D53-828F-089E2C5299B0}"/>
    <hyperlink ref="O4515" r:id="rId13940" display="https://pbs.twimg.com/profile_images/530071272881803264/a_jcCmPZ_normal.png" xr:uid="{8E888581-E1C8-4E14-93C4-0F62265B3AB8}"/>
    <hyperlink ref="B4516" r:id="rId13941" display="https://twitter.com/RainerRogge" xr:uid="{AE45613E-344D-4CF5-BAED-A05D8045D2DA}"/>
    <hyperlink ref="E4516" r:id="rId13942" display="https://twitter.com/RainerRogge/status/723559438246940672" xr:uid="{C8CE2C99-F825-4209-BB51-8E85BE01696E}"/>
    <hyperlink ref="O4516" r:id="rId13943" display="https://pbs.twimg.com/profile_images/592417094983102464/xowRMPEE_normal.jpg" xr:uid="{657AA2E7-4AC8-41CC-9B98-20335C5D4D73}"/>
    <hyperlink ref="B4517" r:id="rId13944" display="https://twitter.com/zuputu" xr:uid="{F341342F-7E0B-4B89-8DE4-A79F4BB4850F}"/>
    <hyperlink ref="E4517" r:id="rId13945" display="https://twitter.com/zuputu/status/723559440461533184" xr:uid="{356FEF25-34E1-4F6F-A9EB-154A4ECBD139}"/>
    <hyperlink ref="O4517" r:id="rId13946" display="https://pbs.twimg.com/profile_images/648833734649741312/2dpzinZ3_normal.png" xr:uid="{E0DDD852-F215-4E19-99C7-D48077B3A9E5}"/>
    <hyperlink ref="B4518" r:id="rId13947" display="https://twitter.com/FlexibleFlier" xr:uid="{57A2F7CD-0E9E-49E2-A920-E6E0D465ABF3}"/>
    <hyperlink ref="E4518" r:id="rId13948" display="https://twitter.com/FlexibleFlier/status/723559613363306496" xr:uid="{06F4D2EB-908A-436B-B558-B994EB2A7E06}"/>
    <hyperlink ref="O4518" r:id="rId13949" display="https://pbs.twimg.com/profile_images/723228202114650112/t-hIu_b7_normal.jpg" xr:uid="{5D43EE57-E0E9-48FB-8DD3-03625BA33252}"/>
    <hyperlink ref="B4519" r:id="rId13950" display="https://twitter.com/AJBalkans" xr:uid="{87B66B8B-50DE-4AC4-8B03-769BCEA24CEC}"/>
    <hyperlink ref="E4519" r:id="rId13951" display="https://twitter.com/AJBalkans/status/723559757458640896" xr:uid="{7AA2EF36-65C4-496E-ABD4-75E0B738FE98}"/>
    <hyperlink ref="O4519" r:id="rId13952" display="https://pbs.twimg.com/profile_images/3667160779/b989f7160a0a02a82c53acdaefcb707a_normal.png" xr:uid="{4576559A-48D5-4224-B8C4-478B5BA13FA4}"/>
    <hyperlink ref="B4520" r:id="rId13953" display="https://twitter.com/buran63" xr:uid="{02493DDD-F858-4BC6-8FAB-863885A5FCCD}"/>
    <hyperlink ref="E4520" r:id="rId13954" display="https://twitter.com/buran63/status/723559797384204288" xr:uid="{D6DDEAB7-35CD-4592-90D8-467F46C224D4}"/>
    <hyperlink ref="O4520" r:id="rId13955" display="https://pbs.twimg.com/profile_images/645328399834181632/rWu1bHrC_normal.jpg" xr:uid="{65681082-7621-4AAF-8688-5CC319BE5C8A}"/>
    <hyperlink ref="B4521" r:id="rId13956" display="https://twitter.com/beluluna61" xr:uid="{1D9E375B-73B0-4138-A8D9-453DB563F695}"/>
    <hyperlink ref="E4521" r:id="rId13957" display="https://twitter.com/beluluna61/status/723559809384112128" xr:uid="{1BF2E7B2-257F-4A21-B49F-F6221F84CB18}"/>
    <hyperlink ref="O4521" r:id="rId13958" display="https://pbs.twimg.com/profile_images/603925200019845120/Li9wf9hL_normal.jpg" xr:uid="{F15796CA-6DAB-4BFC-A57D-D7B6FCFD3215}"/>
    <hyperlink ref="B4522" r:id="rId13959" display="https://twitter.com/Automobilwoche" xr:uid="{8696D68A-FE1C-4681-ADE1-DD3877D1E0D2}"/>
    <hyperlink ref="E4522" r:id="rId13960" display="https://twitter.com/Automobilwoche/status/723559853558513664" xr:uid="{C6F1240B-5290-4931-BDD8-02E31F61551C}"/>
    <hyperlink ref="O4522" r:id="rId13961" display="https://pbs.twimg.com/profile_images/507806117125038081/vOVRGVfm_normal.png" xr:uid="{78B2A8FB-8C3D-47CB-B917-02BDE2C8656E}"/>
    <hyperlink ref="B4523" r:id="rId13962" display="https://twitter.com/Sufiy" xr:uid="{C982155F-A4A5-426B-AA8C-4A4BFCBDA96B}"/>
    <hyperlink ref="E4523" r:id="rId13963" display="https://twitter.com/Sufiy/status/723559907451133952" xr:uid="{B6568D35-DB91-4681-8786-40B6EDDE2266}"/>
    <hyperlink ref="O4523" r:id="rId13964" display="https://pbs.twimg.com/profile_images/292857657/GreenGrowth_normal.jpg" xr:uid="{228FC040-C448-4823-AAC2-F26C3C9AEA12}"/>
    <hyperlink ref="B4524" r:id="rId13965" display="https://twitter.com/agy_nes" xr:uid="{762C2F80-E73F-409E-9DEA-337A0E27F21D}"/>
    <hyperlink ref="E4524" r:id="rId13966" display="https://twitter.com/agy_nes/status/723560009699872768" xr:uid="{141577B3-7CAC-485C-9EF3-C2B93661CFB6}"/>
    <hyperlink ref="O4524" r:id="rId13967" display="https://pbs.twimg.com/profile_images/721572226600943616/rLXy7VpS_normal.jpg" xr:uid="{4A036DF4-8397-486E-B84F-F62E30D930CA}"/>
    <hyperlink ref="B4525" r:id="rId13968" display="https://twitter.com/MELODyINTL" xr:uid="{8FABDFA6-C4D3-4E83-B071-3B66F50078D5}"/>
    <hyperlink ref="C4525" r:id="rId13969" xr:uid="{A13EF465-4EE8-4930-A873-E3FD3316FFDF}"/>
    <hyperlink ref="E4525" r:id="rId13970" display="https://twitter.com/MELODyINTL/status/723560010781958144" xr:uid="{A056C9D5-0377-4CCE-B116-26015B7EAA98}"/>
    <hyperlink ref="F4525" r:id="rId13971" xr:uid="{D0063442-6030-43C5-B253-B113F0D94364}"/>
    <hyperlink ref="O4525" r:id="rId13972" display="https://pbs.twimg.com/profile_images/414433635630972930/Az3NgOcg_normal.jpeg" xr:uid="{B8E95556-BA1A-4997-BAB6-A1AC5094FB5D}"/>
    <hyperlink ref="B4526" r:id="rId13973" display="https://twitter.com/benny__flow" xr:uid="{8FC6C6B6-4EE6-47F0-AD43-AE2304E95A17}"/>
    <hyperlink ref="E4526" r:id="rId13974" display="https://twitter.com/benny__flow/status/723560289489281024" xr:uid="{F5CDFDD6-FE49-458A-9E73-9150B3F8C342}"/>
    <hyperlink ref="O4526" r:id="rId13975" display="https://pbs.twimg.com/profile_images/615834327209897984/8GKZrpQd_normal.jpg" xr:uid="{A39D96A2-7BD1-4AFC-BBE2-22811871671B}"/>
    <hyperlink ref="B4527" r:id="rId13976" display="https://twitter.com/JuergenGust" xr:uid="{C36277BE-65F1-4D97-8743-987DC2E74C38}"/>
    <hyperlink ref="E4527" r:id="rId13977" display="https://twitter.com/JuergenGust/status/723560356988235776" xr:uid="{E052BCCC-A0AC-4D6A-A5F0-6374A204B2E2}"/>
    <hyperlink ref="O4527" r:id="rId13978" display="https://pbs.twimg.com/profile_images/378800000398979228/64c134c6a4248309be34587d7728c08e_normal.jpeg" xr:uid="{092D7A38-B16B-4BF1-80B6-3B5E863CD71C}"/>
    <hyperlink ref="B4528" r:id="rId13979" display="https://twitter.com/golfturkiye" xr:uid="{6F14C8B2-3DAF-4F8B-892A-1298983D73A2}"/>
    <hyperlink ref="E4528" r:id="rId13980" display="https://twitter.com/golfturkiye/status/723560555399794688" xr:uid="{5F1F17DE-5270-409C-BC14-32938043D685}"/>
    <hyperlink ref="O4528" r:id="rId13981" display="https://pbs.twimg.com/profile_images/2908590566/828967841f09b515ee36e3dfccea4d28_normal.png" xr:uid="{BF23B0A4-0023-4E58-A9AA-A9FC368F569D}"/>
    <hyperlink ref="B4529" r:id="rId13982" display="https://twitter.com/mmmsex3014" xr:uid="{B60B4F0D-92D1-4EC9-B29F-428349672F4D}"/>
    <hyperlink ref="E4529" r:id="rId13983" display="https://twitter.com/mmmsex3014/status/723560605383270401" xr:uid="{F41DDCB0-C092-4281-BD28-2FC48EDFA98B}"/>
    <hyperlink ref="O4529" r:id="rId13984" display="https://pbs.twimg.com/profile_images/539529863221506048/QpFCnWb0_normal.jpeg" xr:uid="{DFC089CE-183C-4BF4-A473-59463031D70F}"/>
    <hyperlink ref="B4530" r:id="rId13985" display="https://twitter.com/LeKWiNK" xr:uid="{8890A6C7-4130-4F55-BDCE-4A9C2F3F77AA}"/>
    <hyperlink ref="E4530" r:id="rId13986" display="https://twitter.com/LeKWiNK/status/723560672533958657" xr:uid="{CA0704EC-71E7-4F26-B104-FD2DC0190047}"/>
    <hyperlink ref="O4530" r:id="rId13987" display="https://pbs.twimg.com/profile_images/477065465605287936/rI61cGTI_normal.jpeg" xr:uid="{32D2E82C-537F-4D3E-A1C8-6C6D479F6618}"/>
    <hyperlink ref="B4531" r:id="rId13988" display="https://twitter.com/FuscaWorld" xr:uid="{2C7FCB54-9918-4790-B8FC-D6D9224162DA}"/>
    <hyperlink ref="E4531" r:id="rId13989" display="https://twitter.com/FuscaWorld/status/723560763269480448" xr:uid="{0B8E1F17-276D-4919-9191-C9C7BEA3CD74}"/>
    <hyperlink ref="O4531" r:id="rId13990" display="https://pbs.twimg.com/profile_images/705780107844067328/e7O4UBNb_normal.jpg" xr:uid="{CE588F33-1CFC-4F80-89B4-8CFC6011A02F}"/>
    <hyperlink ref="B4532" r:id="rId13991" display="https://twitter.com/ltsMnorita" xr:uid="{E7C5F3AD-13C4-4C59-A484-2B50B47E6C34}"/>
    <hyperlink ref="E4532" r:id="rId13992" display="https://twitter.com/ltsMnorita/status/723560790322741248" xr:uid="{7ED53950-95B8-4912-BCAB-274D30DEE009}"/>
    <hyperlink ref="O4532" r:id="rId13993" display="https://pbs.twimg.com/profile_images/539533854718300160/y57f289p_normal.jpeg" xr:uid="{31185A15-919D-4C57-A382-EE0E558C1061}"/>
    <hyperlink ref="B4533" r:id="rId13994" display="https://twitter.com/acvwpassion" xr:uid="{F726E420-86E3-452D-BE74-864D4BCE6303}"/>
    <hyperlink ref="E4533" r:id="rId13995" display="https://twitter.com/acvwpassion/status/723560796391899136" xr:uid="{1BB1ADCE-F8BC-41B4-8770-931FA84B7C4C}"/>
    <hyperlink ref="O4533" r:id="rId13996" display="https://pbs.twimg.com/profile_images/545688359964651520/SF3sJ7lv_normal.jpeg" xr:uid="{67A5908F-34F2-4046-B91F-FDABF80453F0}"/>
    <hyperlink ref="B4534" r:id="rId13997" display="https://twitter.com/claudiolegui4" xr:uid="{1A782A14-CD0D-4035-AB9E-604F37650672}"/>
    <hyperlink ref="E4534" r:id="rId13998" display="https://twitter.com/claudiolegui4/status/723560961819422720" xr:uid="{18A8C2D1-7F6B-4199-8E04-1D89A4708B30}"/>
    <hyperlink ref="O4534" r:id="rId13999" display="https://pbs.twimg.com/profile_images/693141107933343744/SNTL-n-D_normal.jpg" xr:uid="{904878C8-5D3C-4BBE-B33D-A15BB505FC84}"/>
    <hyperlink ref="B4535" r:id="rId14000" display="https://twitter.com/AnikoMerten" xr:uid="{18550560-AF54-4507-AD82-021D4E662F4C}"/>
    <hyperlink ref="E4535" r:id="rId14001" display="https://twitter.com/AnikoMerten/status/723560991821312001" xr:uid="{691F447F-0250-4D77-9A18-28DF3C657074}"/>
    <hyperlink ref="O4535" r:id="rId14002" display="https://pbs.twimg.com/profile_images/717427363286532096/HFZckPZQ_normal.jpg" xr:uid="{AAFBA577-44EE-46D4-9EC4-226A484A1F01}"/>
    <hyperlink ref="B4536" r:id="rId14003" display="https://twitter.com/ASAPAutoSales23" xr:uid="{843A84B2-1A1A-4FBE-A5C9-AD9ECC4F40F1}"/>
    <hyperlink ref="E4536" r:id="rId14004" display="https://twitter.com/ASAPAutoSales23/status/723561051074207744" xr:uid="{BC90590A-2865-4757-9841-C7B43EBFEE41}"/>
    <hyperlink ref="O4536" r:id="rId14005" display="https://pbs.twimg.com/profile_images/652241792293691392/pNutIKYH_normal.png" xr:uid="{05D4F404-D59C-426A-98DF-B6A4E90C3535}"/>
    <hyperlink ref="B4537" r:id="rId14006" display="https://twitter.com/AK75_Andi" xr:uid="{8D357C6A-8F20-40AE-AD67-46DABDC2CB43}"/>
    <hyperlink ref="E4537" r:id="rId14007" display="https://twitter.com/AK75_Andi/status/723561247959031808" xr:uid="{2279AB00-DCB1-48CC-A8E5-3AB1F761B7D5}"/>
    <hyperlink ref="O4537" r:id="rId14008" display="https://pbs.twimg.com/profile_images/639226902847336449/weajyr2s_normal.jpg" xr:uid="{86E3B7FB-57A3-4149-AF16-3A4E894D9757}"/>
    <hyperlink ref="B4538" r:id="rId14009" display="https://twitter.com/dwnews" xr:uid="{0D374DDF-E9B9-4671-A8F2-6A99A7EBD99E}"/>
    <hyperlink ref="E4538" r:id="rId14010" display="https://twitter.com/dwnews/status/723561448966893568" xr:uid="{BD05EE88-DAC1-4BC8-99B3-DDDBABB17594}"/>
    <hyperlink ref="O4538" r:id="rId14011" display="https://pbs.twimg.com/profile_images/608213167496417280/QSxgcLn__normal.png" xr:uid="{9D2D5ED8-E76E-4777-AAC6-E9804224DAF1}"/>
    <hyperlink ref="B4539" r:id="rId14012" display="https://twitter.com/vwdepo" xr:uid="{2E1C3927-627C-45EB-BD05-9132A59345C8}"/>
    <hyperlink ref="E4539" r:id="rId14013" display="https://twitter.com/vwdepo/status/723561607037485056" xr:uid="{ACB32731-FB54-423D-AA8E-5D7F38FCB4F9}"/>
    <hyperlink ref="O4539" r:id="rId14014" display="https://pbs.twimg.com/profile_images/3378184537/c20ae9a7a410821b4f189c34a63380f7_normal.png" xr:uid="{2E4CC1C8-0A81-4374-B5E8-61932B5D4BB7}"/>
    <hyperlink ref="B4540" r:id="rId14015" display="https://twitter.com/Eepi9" xr:uid="{8AF295BF-90AD-4EB8-98A2-2D4420983629}"/>
    <hyperlink ref="E4540" r:id="rId14016" display="https://twitter.com/Eepi9/status/723561637848985601" xr:uid="{CCCA76E1-9D6B-4BF2-8680-B146B78017F5}"/>
    <hyperlink ref="O4540" r:id="rId14017" display="https://pbs.twimg.com/profile_images/448931484188295169/hYLs47Ot_normal.jpeg" xr:uid="{8A17FAFA-2A40-49D1-93FE-F8E3260BB36E}"/>
    <hyperlink ref="B4541" r:id="rId14018" display="https://twitter.com/Motochen" xr:uid="{BB56ABE1-80DC-46AC-9EF1-1148B1195245}"/>
    <hyperlink ref="E4541" r:id="rId14019" display="https://twitter.com/Motochen/status/723561712763428865" xr:uid="{2D2DE296-7127-4315-8BD5-BA62FEFF153B}"/>
    <hyperlink ref="O4541" r:id="rId14020" display="https://pbs.twimg.com/profile_images/535814697090437121/TPDCbTEw_normal.jpeg" xr:uid="{7C018CA7-5893-46BA-8C80-168300ABBF5F}"/>
    <hyperlink ref="B4542" r:id="rId14021" display="https://twitter.com/Steckelton" xr:uid="{DC2C87BF-85BA-44F1-85FE-2EDFB5B9293B}"/>
    <hyperlink ref="E4542" r:id="rId14022" display="https://twitter.com/Steckelton/status/723561858934906881" xr:uid="{E76136A8-F407-4334-9B3F-D4E857F80D84}"/>
    <hyperlink ref="O4542" r:id="rId14023" display="https://pbs.twimg.com/profile_images/717476207235895296/eWZQTtWr_normal.jpg" xr:uid="{FB752816-80E3-44C5-9F60-48750A277EDC}"/>
    <hyperlink ref="B4543" r:id="rId14024" display="https://twitter.com/dianapop" xr:uid="{983B0F63-3A0A-461C-BE38-6F5031216D67}"/>
    <hyperlink ref="E4543" r:id="rId14025" display="https://twitter.com/dianapop/status/723561930561085441" xr:uid="{8D87C37D-D305-45A6-9A35-4CBE88FEBB26}"/>
    <hyperlink ref="O4543" r:id="rId14026" display="https://pbs.twimg.com/profile_images/669246336181628932/MFHJRGCF_normal.jpg" xr:uid="{45D10FDF-649F-4734-9263-859E52D9B8C9}"/>
    <hyperlink ref="B4544" r:id="rId14027" display="https://twitter.com/SonokHakan" xr:uid="{FA56E66E-6BC4-436D-9216-84291AEA830A}"/>
    <hyperlink ref="E4544" r:id="rId14028" display="https://twitter.com/SonokHakan/status/723561945417261056" xr:uid="{C22907DF-9E22-455B-BDF2-EFEC9CF11B01}"/>
    <hyperlink ref="O4544" r:id="rId14029" display="https://pbs.twimg.com/profile_images/627546348963758080/CiC4BmAl_normal.jpg" xr:uid="{362B9F08-3CAC-4C6D-BA2A-B0E1116837CA}"/>
    <hyperlink ref="B4545" r:id="rId14030" display="https://twitter.com/ebaycampervans" xr:uid="{20701B82-F651-413E-9710-ED536757F00D}"/>
    <hyperlink ref="E4545" r:id="rId14031" display="https://twitter.com/ebaycampervans/status/723562043765182464" xr:uid="{C93C2997-FC84-4108-93FC-13D5CBD05C3E}"/>
    <hyperlink ref="O4545" r:id="rId14032" display="https://pbs.twimg.com/profile_images/599357023407464449/BL9Bpo6T_normal.jpg" xr:uid="{7BF4EAE4-CC9F-4CAB-B93E-4FE97FD26CC9}"/>
    <hyperlink ref="B4546" r:id="rId14033" display="https://twitter.com/topnews_ru_ru" xr:uid="{526DE79D-1A7C-413C-8445-B4A6D7C7244D}"/>
    <hyperlink ref="E4546" r:id="rId14034" display="https://twitter.com/topnews_ru_ru/status/723562112908419072" xr:uid="{A33C5994-1C4E-45D8-9B92-A2CCE15FDBD6}"/>
    <hyperlink ref="O4546" r:id="rId14035" display="https://pbs.twimg.com/profile_images/484005043100590081/MagYv21D_normal.jpeg" xr:uid="{DE882A04-5B4E-4CC1-98A0-E4660C958706}"/>
    <hyperlink ref="B4547" r:id="rId14036" display="https://twitter.com/Soniicgirl" xr:uid="{D581290D-3634-48C9-A6BB-BD156AD33D83}"/>
    <hyperlink ref="E4547" r:id="rId14037" display="https://twitter.com/Soniicgirl/status/723562184995946497" xr:uid="{2E5C50C6-3B5D-4FCA-9E55-146C7A1F3805}"/>
    <hyperlink ref="O4547" r:id="rId14038" display="https://pbs.twimg.com/profile_images/722201299857575937/dvvu2o89_normal.jpg" xr:uid="{8538FD42-5858-4CF9-BC4A-5A51C7947E4E}"/>
    <hyperlink ref="B4548" r:id="rId14039" display="https://twitter.com/sszonke" xr:uid="{9D0F7B7C-F777-4A4A-8DE5-581BCF772B65}"/>
    <hyperlink ref="E4548" r:id="rId14040" display="https://twitter.com/sszonke/status/723562321734426624" xr:uid="{0B6D468A-DC07-4553-8507-84BC534C067B}"/>
    <hyperlink ref="O4548" r:id="rId14041" display="https://pbs.twimg.com/profile_images/611618781086003200/lKgEEwjj_normal.jpg" xr:uid="{5CDD1DCA-AB52-49A8-8459-E746F989BAB0}"/>
    <hyperlink ref="B4549" r:id="rId14042" display="https://twitter.com/ConurbaCho" xr:uid="{D960A06F-9FA3-4829-8007-F74BE81AEB68}"/>
    <hyperlink ref="E4549" r:id="rId14043" display="https://twitter.com/ConurbaCho/status/723562332022923264" xr:uid="{66AAF711-2B9A-4285-B33E-55D07CA54CEA}"/>
    <hyperlink ref="O4549" r:id="rId14044" display="https://pbs.twimg.com/profile_images/689518828913582081/8Kc-T5oE_normal.jpg" xr:uid="{425AC9C8-756A-4C88-951A-5187B022FF9E}"/>
    <hyperlink ref="P4549" r:id="rId14045" location="-34.7,-58.31666667" display="http://ctrlq.org/maps/address/ - -34.7,-58.31666667" xr:uid="{87884A1F-7F19-4203-BA2E-8D68D5884C48}"/>
    <hyperlink ref="B4550" r:id="rId14046" display="https://twitter.com/jakefenn42" xr:uid="{EA82F87E-93A0-4CCA-8009-61B603456A32}"/>
    <hyperlink ref="E4550" r:id="rId14047" display="https://twitter.com/jakefenn42/status/723562419155554307" xr:uid="{BA378351-5107-4D45-A061-6E2AE552FD5B}"/>
    <hyperlink ref="O4550" r:id="rId14048" display="https://pbs.twimg.com/profile_images/534269647982723072/r_RQChtZ_normal.jpeg" xr:uid="{7616E305-E5F2-42BE-8943-B5CD8E01A222}"/>
    <hyperlink ref="B4551" r:id="rId14049" display="https://twitter.com/buran63" xr:uid="{2811E76B-234B-4A19-957F-A10459BAA4CF}"/>
    <hyperlink ref="E4551" r:id="rId14050" display="https://twitter.com/buran63/status/723562437824360448" xr:uid="{D28F4D97-BD3A-4EC8-9534-12A098299204}"/>
    <hyperlink ref="O4551" r:id="rId14051" display="https://pbs.twimg.com/profile_images/645328399834181632/rWu1bHrC_normal.jpg" xr:uid="{8B325CAA-3529-4E32-B6FD-CACE3E64796E}"/>
    <hyperlink ref="B4552" r:id="rId14052" display="https://twitter.com/jamesumpherson" xr:uid="{E3E688F5-FB66-4A9B-83F3-997836799620}"/>
    <hyperlink ref="E4552" r:id="rId14053" display="https://twitter.com/jamesumpherson/status/723562700878401536" xr:uid="{F30118CB-D8AF-43EC-B2FB-F5AFEA68182E}"/>
    <hyperlink ref="O4552" r:id="rId14054" display="https://pbs.twimg.com/profile_images/722160035036471296/3FpYIDgG_normal.jpg" xr:uid="{1EF4DF7B-9059-4FE1-BBB8-B20ABE4D2EE5}"/>
    <hyperlink ref="B4553" r:id="rId14055" display="https://twitter.com/paulvkessel" xr:uid="{11656FD0-CE49-440E-8084-05154DDEE595}"/>
    <hyperlink ref="E4553" r:id="rId14056" display="https://twitter.com/paulvkessel/status/723562780381614080" xr:uid="{77D8282F-147C-4DD2-B95B-7FE4BDC27574}"/>
    <hyperlink ref="O4553" r:id="rId14057" display="https://pbs.twimg.com/profile_images/689778615995752449/44JQE9s-_normal.jpg" xr:uid="{2AF4EE16-438F-4984-9665-54C6DD188510}"/>
    <hyperlink ref="B4554" r:id="rId14058" display="https://twitter.com/kurtlnd" xr:uid="{F14C0819-6A66-40EB-A538-ED5116697A00}"/>
    <hyperlink ref="E4554" r:id="rId14059" display="https://twitter.com/kurtlnd/status/723562802200203264" xr:uid="{762A46DE-5C24-4A9D-B2F5-B7F387711EFA}"/>
    <hyperlink ref="O4554" r:id="rId14060" display="https://pbs.twimg.com/profile_images/645310556014940160/LzWngd8-_normal.jpg" xr:uid="{C07173B6-0C5D-44F3-8973-5451D353D472}"/>
    <hyperlink ref="B4555" r:id="rId14061" display="https://twitter.com/VeeDubMk1_" xr:uid="{4C4B37E4-E503-489A-8917-4E09E3EF290F}"/>
    <hyperlink ref="E4555" r:id="rId14062" display="https://twitter.com/VeeDubMk1_/status/723563076251951104" xr:uid="{012EB8A2-0344-4E22-8ED7-D6AB30D71BFA}"/>
    <hyperlink ref="O4555" r:id="rId14063" display="https://pbs.twimg.com/profile_images/672878354127839232/M7OYc-zx_normal.jpg" xr:uid="{C6C85D72-9070-4298-B1D2-2A664451EF81}"/>
    <hyperlink ref="B4556" r:id="rId14064" display="https://twitter.com/VeeDubMk1_" xr:uid="{B784FF66-827D-4421-ABA7-5A6A5907A2E3}"/>
    <hyperlink ref="E4556" r:id="rId14065" display="https://twitter.com/VeeDubMk1_/status/723563094102949888" xr:uid="{03237B8B-349C-452B-9D3C-DA68734274E5}"/>
    <hyperlink ref="O4556" r:id="rId14066" display="https://pbs.twimg.com/profile_images/672878354127839232/M7OYc-zx_normal.jpg" xr:uid="{9D0C7F2E-EA4A-4DBC-B0BA-A04290B8B9DE}"/>
    <hyperlink ref="B4557" r:id="rId14067" display="https://twitter.com/VWofStreetsboro" xr:uid="{C788FF87-59FD-46DA-98F0-CFB50C5D9AAB}"/>
    <hyperlink ref="E4557" r:id="rId14068" display="https://twitter.com/VWofStreetsboro/status/723563210079649792" xr:uid="{936C4A7D-E9E0-4CB0-9FDB-02B06B463ED8}"/>
    <hyperlink ref="O4557" r:id="rId14069" display="https://pbs.twimg.com/profile_images/621389519066038272/p38sZqs8_normal.jpg" xr:uid="{7ED3E1D9-138D-45F6-A114-CDE19C1639B3}"/>
    <hyperlink ref="B4558" r:id="rId14070" display="https://twitter.com/JoHammonia" xr:uid="{57B6AA57-69DC-4F43-B96A-B1DBB2AE38F3}"/>
    <hyperlink ref="E4558" r:id="rId14071" display="https://twitter.com/JoHammonia/status/723563242598064128" xr:uid="{0DA36A60-A191-4AB6-B963-325004876FFE}"/>
    <hyperlink ref="O4558" r:id="rId14072" display="https://pbs.twimg.com/profile_images/696813255466029056/c1kb5BWS_normal.jpg" xr:uid="{79C66139-AD18-483C-950B-603DB886ECBB}"/>
    <hyperlink ref="B4559" r:id="rId14073" display="https://twitter.com/StohlmanAuto" xr:uid="{8D0AD71E-2488-4C30-9FCE-2147A7DDA067}"/>
    <hyperlink ref="E4559" r:id="rId14074" display="https://twitter.com/StohlmanAuto/status/723563311804080128" xr:uid="{6C398698-CB8D-47A2-89D4-88DDD34EF919}"/>
    <hyperlink ref="O4559" r:id="rId14075" display="https://pbs.twimg.com/profile_images/2301932893/ofy8sgl94m45zgiq2my3_normal.jpeg" xr:uid="{77CCADFF-6B61-48DC-809E-BFFE5FCA36F2}"/>
    <hyperlink ref="B4560" r:id="rId14076" display="https://twitter.com/CherchAuto" xr:uid="{8850F3E4-C1B0-420D-B365-E15DDEBB2005}"/>
    <hyperlink ref="E4560" r:id="rId14077" display="https://twitter.com/CherchAuto/status/723563348575588352" xr:uid="{B8C269B8-9DA6-443E-B568-A55963AEC07A}"/>
    <hyperlink ref="O4560" r:id="rId14078" display="https://pbs.twimg.com/profile_images/718068920339587073/tkLJaVuy_normal.jpg" xr:uid="{B03FC860-4AB9-479D-B80C-3CE4B6CB30A1}"/>
    <hyperlink ref="B4561" r:id="rId14079" display="https://twitter.com/Sevenbey" xr:uid="{5282E777-297A-4B21-AE5C-955601D7CBC8}"/>
    <hyperlink ref="E4561" r:id="rId14080" display="https://twitter.com/Sevenbey/status/723563403520909312" xr:uid="{00EEAF28-E7DA-41BA-8B8D-7A906331F25D}"/>
    <hyperlink ref="O4561" r:id="rId14081" display="https://pbs.twimg.com/profile_images/555368772446351360/eo5CBua5_normal.jpeg" xr:uid="{261088DA-0117-4287-A203-FCFC00C9E086}"/>
    <hyperlink ref="B4562" r:id="rId14082" display="https://twitter.com/twogulneapigs" xr:uid="{FFBA3304-F2FD-48E6-8AB1-0B6C8B93C99F}"/>
    <hyperlink ref="E4562" r:id="rId14083" display="https://twitter.com/twogulneapigs/status/723563418419077121" xr:uid="{6B6F8EF5-071F-488D-B718-8A75EB3B7369}"/>
    <hyperlink ref="O4562" r:id="rId14084" display="https://pbs.twimg.com/profile_images/540383861117845505/-0MuqryM_normal.jpeg" xr:uid="{417BEE2A-63D8-45CE-AA2C-7FBBA327FB2B}"/>
    <hyperlink ref="B4563" r:id="rId14085" display="https://twitter.com/HillerGabriele" xr:uid="{82EF9AF8-0F4A-46C1-9ACB-01F4DC32F598}"/>
    <hyperlink ref="E4563" r:id="rId14086" display="https://twitter.com/HillerGabriele/status/723563511977238529" xr:uid="{B2DE9A47-271C-4299-B7EF-238AF7F75CED}"/>
    <hyperlink ref="O4563" r:id="rId14087" display="https://pbs.twimg.com/profile_images/476736464894849024/nkKCplko_normal.jpeg" xr:uid="{2C18C022-761B-4FE6-8C2A-1B898790835E}"/>
    <hyperlink ref="B4564" r:id="rId14088" display="https://twitter.com/coralisalondra3" xr:uid="{240750C1-3F65-44F3-B326-25AB63D22147}"/>
    <hyperlink ref="E4564" r:id="rId14089" display="https://twitter.com/coralisalondra3/status/723563549935562752" xr:uid="{A2341A8F-553B-4C21-A83B-91348A79D028}"/>
    <hyperlink ref="O4564" r:id="rId14090" display="https://pbs.twimg.com/profile_images/717421889623166976/fWQMwXaW_normal.jpg" xr:uid="{7D17627D-3D96-4D21-BAD9-9B29F9962F29}"/>
    <hyperlink ref="B4565" r:id="rId14091" display="https://twitter.com/techislet" xr:uid="{DE616548-E2B6-4B23-94C7-433D75E9FBEB}"/>
    <hyperlink ref="E4565" r:id="rId14092" display="https://twitter.com/techislet/status/723563751664963586" xr:uid="{1885EE3D-6499-4909-B43D-212B1D561CED}"/>
    <hyperlink ref="O4565" r:id="rId14093" display="https://pbs.twimg.com/profile_images/640893185158352896/TMGmsF0r_normal.png" xr:uid="{0A2FD193-19BB-49ED-AD9E-7C77DC8B146C}"/>
    <hyperlink ref="B4566" r:id="rId14094" display="https://twitter.com/Sevenbey" xr:uid="{C56C190A-BF9C-4911-BA8B-9ECC3AFE6AFF}"/>
    <hyperlink ref="E4566" r:id="rId14095" display="https://twitter.com/Sevenbey/status/723563878194515969" xr:uid="{B79EE0D5-0D53-45F9-BD59-7CCD75F9B896}"/>
    <hyperlink ref="O4566" r:id="rId14096" display="https://pbs.twimg.com/profile_images/555368772446351360/eo5CBua5_normal.jpeg" xr:uid="{1A7D756E-A4CE-41F2-B124-6B449CE360DF}"/>
    <hyperlink ref="B4567" r:id="rId14097" display="https://twitter.com/rgruhn" xr:uid="{2250A124-582A-47EE-9631-E4B3BBE8194C}"/>
    <hyperlink ref="E4567" r:id="rId14098" display="https://twitter.com/rgruhn/status/723564169539276800" xr:uid="{7529967C-BA4D-4062-BD87-26A9149873FA}"/>
    <hyperlink ref="O4567" r:id="rId14099" display="https://pbs.twimg.com/profile_images/478423735326609408/4rP7zQSO_normal.jpeg" xr:uid="{54DBEDF7-E6C5-4E4D-B787-916549D33593}"/>
    <hyperlink ref="B4568" r:id="rId14100" display="https://twitter.com/RTLRally" xr:uid="{A81410FC-A7D7-414D-AAA7-09401E4EFCE6}"/>
    <hyperlink ref="E4568" r:id="rId14101" display="https://twitter.com/RTLRally/status/723564227718483968" xr:uid="{8EB1C1BA-A553-423C-AE43-99FB5ACAD303}"/>
    <hyperlink ref="O4568" r:id="rId14102" display="https://pbs.twimg.com/profile_images/711506516294041600/1fr0IryT_normal.jpg" xr:uid="{DFB78031-6A31-47E2-B61E-3413B6F43FDE}"/>
    <hyperlink ref="B4569" r:id="rId14103" display="https://twitter.com/RainerRogge" xr:uid="{A8F21149-8429-4116-95C6-F80F8CFBBA95}"/>
    <hyperlink ref="E4569" r:id="rId14104" display="https://twitter.com/RainerRogge/status/723564263877541888" xr:uid="{FB6EAC6D-7817-48A9-9BAF-CDC1466884BD}"/>
    <hyperlink ref="O4569" r:id="rId14105" display="https://pbs.twimg.com/profile_images/592417094983102464/xowRMPEE_normal.jpg" xr:uid="{FB91D303-3D81-45F1-BD70-06E834C2239F}"/>
    <hyperlink ref="B4570" r:id="rId14106" display="https://twitter.com/OnlineCarReview" xr:uid="{9BC64479-C434-4556-BB87-0288053A942E}"/>
    <hyperlink ref="E4570" r:id="rId14107" display="https://twitter.com/OnlineCarReview/status/723564356529590273" xr:uid="{98DAD12B-97EB-41E9-98F4-A0FD7EBCDFB4}"/>
    <hyperlink ref="O4570" r:id="rId14108" display="https://pbs.twimg.com/profile_images/652871584131092480/QA_B6SBO_normal.jpg" xr:uid="{E0DFAC9A-A5C3-4891-BE40-D173AA3A422C}"/>
    <hyperlink ref="B4571" r:id="rId14109" display="https://twitter.com/OnlineCarReview" xr:uid="{300F10DD-31F7-4D31-ADE4-CCE79438025E}"/>
    <hyperlink ref="E4571" r:id="rId14110" display="https://twitter.com/OnlineCarReview/status/723564357540450305" xr:uid="{F2BCC296-FD33-415E-8B7D-D25F27E52A05}"/>
    <hyperlink ref="O4571" r:id="rId14111" display="https://pbs.twimg.com/profile_images/652871584131092480/QA_B6SBO_normal.jpg" xr:uid="{52D36277-1432-45C0-8F4D-286D6578EB82}"/>
    <hyperlink ref="B4572" r:id="rId14112" display="https://twitter.com/OnlineCarReview" xr:uid="{5818B4D2-3094-4E90-BDC9-0430C23583F3}"/>
    <hyperlink ref="E4572" r:id="rId14113" display="https://twitter.com/OnlineCarReview/status/723564358303780864" xr:uid="{5F350AF9-EFC5-4BE7-A37B-D19763EBC254}"/>
    <hyperlink ref="O4572" r:id="rId14114" display="https://pbs.twimg.com/profile_images/652871584131092480/QA_B6SBO_normal.jpg" xr:uid="{0A30553A-61F9-48D8-B10C-2D992D46A498}"/>
    <hyperlink ref="B4573" r:id="rId14115" display="https://twitter.com/Fussfall" xr:uid="{CF13D49A-E38F-4D7D-958A-F20A79A518DD}"/>
    <hyperlink ref="E4573" r:id="rId14116" display="https://twitter.com/Fussfall/status/723564376427487232" xr:uid="{7585E683-9361-4170-8261-1A227023A6E8}"/>
    <hyperlink ref="O4573" r:id="rId14117" display="https://pbs.twimg.com/profile_images/489840212432797696/8B7nUF7a_normal.jpeg" xr:uid="{1E531F12-E1B1-4654-A177-A306CDC309A6}"/>
    <hyperlink ref="B4574" r:id="rId14118" display="https://twitter.com/VolkswagenPost" xr:uid="{875B480A-10ED-4B2A-BA0B-E245B9537045}"/>
    <hyperlink ref="E4574" r:id="rId14119" display="https://twitter.com/VolkswagenPost/status/723564512159236096" xr:uid="{721CF371-84D1-40FE-9CB9-6069F7E3FC9B}"/>
    <hyperlink ref="O4574" r:id="rId14120" display="https://pbs.twimg.com/profile_images/530071272881803264/a_jcCmPZ_normal.png" xr:uid="{5D0A6761-6353-4FAA-8C02-3BF00FCE396D}"/>
    <hyperlink ref="B4575" r:id="rId14121" display="https://twitter.com/VolkswagenPost" xr:uid="{9B0C6AB4-0CC2-4718-8D60-A4430DF15EFB}"/>
    <hyperlink ref="E4575" r:id="rId14122" display="https://twitter.com/VolkswagenPost/status/723564513086214146" xr:uid="{FAD242DF-7172-4C5F-85B2-A8EDC13ED47E}"/>
    <hyperlink ref="O4575" r:id="rId14123" display="https://pbs.twimg.com/profile_images/530071272881803264/a_jcCmPZ_normal.png" xr:uid="{F43FC3B4-6207-4466-BD1B-637580BB9A97}"/>
    <hyperlink ref="B4576" r:id="rId14124" display="https://twitter.com/DubLuvTuning" xr:uid="{F6B9109A-2EF6-4317-85D1-0A16CBEBD281}"/>
    <hyperlink ref="E4576" r:id="rId14125" display="https://twitter.com/DubLuvTuning/status/723564536108847104" xr:uid="{77BA0A78-1EB7-49E1-9CC7-69FB4E71AC60}"/>
    <hyperlink ref="O4576" r:id="rId14126" display="https://pbs.twimg.com/profile_images/378800000572104796/1de43e1cf23efb3f4101c02afad0d3b6_normal.png" xr:uid="{B2C10B76-1796-4176-AD83-87BD08B200A9}"/>
    <hyperlink ref="B4577" r:id="rId14127" display="https://twitter.com/WinfriedFelser" xr:uid="{E47F7377-DAF1-449B-B89D-2E7ED550964D}"/>
    <hyperlink ref="E4577" r:id="rId14128" display="https://twitter.com/WinfriedFelser/status/723564594480951296" xr:uid="{2118F7D0-6315-45B3-AD58-24062671346C}"/>
    <hyperlink ref="F4577" r:id="rId14129" xr:uid="{2D1B7C72-B119-4A43-B13A-5EAC47B1AB02}"/>
    <hyperlink ref="O4577" r:id="rId14130" display="https://pbs.twimg.com/profile_images/562193841587896321/nfd18Y4g_normal.jpeg" xr:uid="{066A3FAE-5375-4AE4-8460-EE9A2C53EC87}"/>
    <hyperlink ref="B4578" r:id="rId14131" display="https://twitter.com/queeniashton_" xr:uid="{C667869E-5676-413F-8191-5314075E872F}"/>
    <hyperlink ref="E4578" r:id="rId14132" display="https://twitter.com/queeniashton_/status/723564802174509058" xr:uid="{D65138B0-1D4B-484C-9D37-D0D847F50CE7}"/>
    <hyperlink ref="O4578" r:id="rId14133" display="https://pbs.twimg.com/profile_images/540381573712187392/LtiYdh1Z_normal.jpeg" xr:uid="{18BD20C5-4F1F-4DD9-8CC6-F1C0863C946B}"/>
    <hyperlink ref="B4579" r:id="rId14134" display="https://twitter.com/EnduroForLife17" xr:uid="{16D4605C-0633-4F11-827B-0C8E89359B1B}"/>
    <hyperlink ref="E4579" r:id="rId14135" display="https://twitter.com/EnduroForLife17/status/723564904016424960" xr:uid="{5DD63140-3FB7-43FA-A69F-8BADD0DFE860}"/>
    <hyperlink ref="O4579" r:id="rId14136" display="https://pbs.twimg.com/profile_images/716842555372146688/WSYrZx4f_normal.jpg" xr:uid="{D4365699-4948-4214-A733-69AE5374FA5B}"/>
    <hyperlink ref="B4580" r:id="rId14137" display="https://twitter.com/DuisburgAndreas" xr:uid="{352AE92D-F2AA-4776-8781-75A7EE1D67F0}"/>
    <hyperlink ref="E4580" r:id="rId14138" display="https://twitter.com/DuisburgAndreas/status/723564996576313344" xr:uid="{BBC3F615-0093-4516-8A10-99567A6A1163}"/>
    <hyperlink ref="O4580" r:id="rId14139" display="https://pbs.twimg.com/profile_images/712642815306702849/PCFg2XhV_normal.jpg" xr:uid="{32DE817E-970D-4F59-81EA-D9FF64DB272C}"/>
    <hyperlink ref="B4581" r:id="rId14140" display="https://twitter.com/VWCamperSales" xr:uid="{330BD436-415D-4E5D-A4C6-4A5392558197}"/>
    <hyperlink ref="E4581" r:id="rId14141" display="https://twitter.com/VWCamperSales/status/723565315255197696" xr:uid="{83519667-C533-4774-9B06-3AB607D7178E}"/>
    <hyperlink ref="F4581" r:id="rId14142" xr:uid="{EE0E203D-DA13-4639-8BDB-33D1842D2606}"/>
    <hyperlink ref="O4581" r:id="rId14143" display="https://pbs.twimg.com/profile_images/627949001179037696/skEBkS05_normal.jpg" xr:uid="{CC7D4B2F-4617-4F79-9AB8-54B11F3956C6}"/>
    <hyperlink ref="B4582" r:id="rId14144" display="https://twitter.com/DailyOli" xr:uid="{2774E4F9-641D-4E1B-A88E-372A68722D25}"/>
    <hyperlink ref="E4582" r:id="rId14145" display="https://twitter.com/DailyOli/status/723565349061443584" xr:uid="{C02A8BFF-BC76-45F2-8B39-CED244FE123D}"/>
    <hyperlink ref="O4582" r:id="rId14146" display="https://pbs.twimg.com/profile_images/714113254826631168/ZH-Q0eEM_normal.jpg" xr:uid="{877E2578-1BD9-4C9C-9C01-60A9CD545A68}"/>
    <hyperlink ref="B4583" r:id="rId14147" display="https://twitter.com/WinfriedFelser" xr:uid="{8751F3A8-44E6-4752-9241-4BD15CA7D869}"/>
    <hyperlink ref="E4583" r:id="rId14148" display="https://twitter.com/WinfriedFelser/status/723565534239969284" xr:uid="{5CF611C4-2758-4017-8B8A-A02432E937B7}"/>
    <hyperlink ref="F4583" r:id="rId14149" xr:uid="{944B7F94-8D06-41BF-B12B-959E10B98140}"/>
    <hyperlink ref="O4583" r:id="rId14150" display="https://pbs.twimg.com/profile_images/562193841587896321/nfd18Y4g_normal.jpeg" xr:uid="{DE86FF95-3FB1-48B6-9004-AC203D5270F8}"/>
    <hyperlink ref="B4584" r:id="rId14151" display="https://twitter.com/HansTheGerman" xr:uid="{742A55AB-7809-402C-B208-589EF5B04344}"/>
    <hyperlink ref="E4584" r:id="rId14152" display="https://twitter.com/HansTheGerman/status/723565624291672064" xr:uid="{8DCB09E8-67FF-44EE-AA1F-5D29A685A92D}"/>
    <hyperlink ref="O4584" r:id="rId14153" display="https://pbs.twimg.com/profile_images/3012106875/596e712c99a38ec69b925b7f7ab71986_normal.jpeg" xr:uid="{0DB45AEE-C4D6-4564-8E57-18BEB1746A35}"/>
    <hyperlink ref="B4585" r:id="rId14154" display="https://twitter.com/J1Lord" xr:uid="{4397FD2D-DBFB-49BB-A9AA-340C69B0F30D}"/>
    <hyperlink ref="E4585" r:id="rId14155" display="https://twitter.com/J1Lord/status/723565636622913538" xr:uid="{9EE54D16-0787-4739-9650-234890FFA99E}"/>
    <hyperlink ref="O4585" r:id="rId14156" display="https://pbs.twimg.com/profile_images/723207945782210560/jAvZjEwh_normal.jpg" xr:uid="{877A5DF8-2CD4-42DD-B0B7-5A35CFBF2304}"/>
    <hyperlink ref="B4586" r:id="rId14157" display="https://twitter.com/MarleHavelin" xr:uid="{A20CFF9A-703B-4804-965C-1CAF651246FA}"/>
    <hyperlink ref="E4586" r:id="rId14158" display="https://twitter.com/MarleHavelin/status/723566102555426816" xr:uid="{1092B89E-D83F-4D03-9084-DAB9F87DA042}"/>
    <hyperlink ref="O4586" r:id="rId14159" display="https://pbs.twimg.com/profile_images/541564836874682368/zHw_HUdl_normal.jpeg" xr:uid="{7B809B17-59A8-4C3B-AEBB-F3DAC1C2B2F1}"/>
    <hyperlink ref="B4587" r:id="rId14160" display="https://twitter.com/abronstadnlj" xr:uid="{1B823FA6-4FCF-4040-9CAB-ACAD9F5BE7C2}"/>
    <hyperlink ref="E4587" r:id="rId14161" display="https://twitter.com/abronstadnlj/status/723566301613031426" xr:uid="{7918F5EE-2529-4C61-9238-A6DB1BF9BDE0}"/>
    <hyperlink ref="O4587" r:id="rId14162" display="https://pbs.twimg.com/profile_images/1442028160/IMG00053-20101022-1549_normal.jpg" xr:uid="{30D44CDF-929E-4D96-BF30-627CBD60AFA3}"/>
    <hyperlink ref="B4588" r:id="rId14163" display="https://twitter.com/CPitas" xr:uid="{F874CA23-23C5-4317-A371-8758F47637C0}"/>
    <hyperlink ref="E4588" r:id="rId14164" display="https://twitter.com/CPitas/status/723566334450216960" xr:uid="{8A57679A-B50A-4934-A45F-69AE18E7468B}"/>
    <hyperlink ref="O4588" r:id="rId14165" display="https://pbs.twimg.com/profile_images/2777304953/0bfc9df91366f3f20a8f77c7f43505a4_normal.jpeg" xr:uid="{8AC90CF3-A615-451C-872F-FDD36CCB5D11}"/>
    <hyperlink ref="B4589" r:id="rId14166" display="https://twitter.com/StephanKrull" xr:uid="{7415DCA7-3765-4124-9E50-8A7A6177A759}"/>
    <hyperlink ref="E4589" r:id="rId14167" display="https://twitter.com/StephanKrull/status/723566903562801152" xr:uid="{97A3E6BE-906B-4917-BB29-832AF75EE97E}"/>
    <hyperlink ref="O4589" r:id="rId14168" display="https://pbs.twimg.com/profile_images/561650835038298112/jX4E_neH_normal.jpeg" xr:uid="{76415E52-C138-4F42-8536-71F5978A32AC}"/>
    <hyperlink ref="B4590" r:id="rId14169" display="https://twitter.com/Scirocco_Tuning" xr:uid="{A7193EB5-6D15-40A3-93E8-87020321A44F}"/>
    <hyperlink ref="E4590" r:id="rId14170" display="https://twitter.com/Scirocco_Tuning/status/723566987759239168" xr:uid="{8983F792-9389-42F3-A844-33BC66FFD1CA}"/>
    <hyperlink ref="O4590" r:id="rId14171" display="https://pbs.twimg.com/profile_images/1610421423/Image2_normal.jpg" xr:uid="{F047A4F5-666C-47CD-A592-8E92FAB1079D}"/>
    <hyperlink ref="B4591" r:id="rId14172" display="https://twitter.com/MotojunkyInfo" xr:uid="{47D2AD55-7944-43E5-B2A7-7D33974BEAEA}"/>
    <hyperlink ref="E4591" r:id="rId14173" display="https://twitter.com/MotojunkyInfo/status/723567401774788610" xr:uid="{B99714BE-DABF-4A6C-9766-8F4B112D1DF2}"/>
    <hyperlink ref="O4591" r:id="rId14174" display="https://pbs.twimg.com/profile_images/672152270717480960/JZ89oB5C_normal.jpg" xr:uid="{75872E3E-B7D2-477E-8BC2-F05A937F2724}"/>
    <hyperlink ref="P4591" r:id="rId14175" location="-33.97221183,18.51581346" display="http://ctrlq.org/maps/address/ - -33.97221183,18.51581346" xr:uid="{DAFDADA1-8AAC-4243-BB2C-0B398363CA9A}"/>
    <hyperlink ref="B4592" r:id="rId14176" display="https://twitter.com/maimaman_n" xr:uid="{354C9A3A-901F-42A5-B023-7FF12945A391}"/>
    <hyperlink ref="E4592" r:id="rId14177" display="https://twitter.com/maimaman_n/status/723567512034656260" xr:uid="{0A4AA9C1-BDEA-46C9-8CE7-2F7F73548D8F}"/>
    <hyperlink ref="O4592" r:id="rId14178" display="https://pbs.twimg.com/profile_images/720944147549548545/MzH9ePDo_normal.jpg" xr:uid="{D4AEB241-FD8E-4B7E-BCC3-18334127391F}"/>
    <hyperlink ref="B4593" r:id="rId14179" display="https://twitter.com/AaronMadar" xr:uid="{75754BED-37B6-43E8-A32E-161647739DD5}"/>
    <hyperlink ref="E4593" r:id="rId14180" display="https://twitter.com/AaronMadar/status/723567671996874752" xr:uid="{4E28F669-163E-49CE-AB82-CA7ED435F478}"/>
    <hyperlink ref="O4593" r:id="rId14181" display="https://pbs.twimg.com/profile_images/515589621959254017/0u4uISfM_normal.jpeg" xr:uid="{5F7A8940-D15D-411F-A79F-362EBE945AF6}"/>
    <hyperlink ref="B4594" r:id="rId14182" display="https://twitter.com/PrlmaDonnaProds" xr:uid="{D19F5E87-CF25-4CFD-B01A-8C7B4CC67CED}"/>
    <hyperlink ref="E4594" r:id="rId14183" display="https://twitter.com/PrlmaDonnaProds/status/723567678804385792" xr:uid="{75F1E339-0AF7-4255-B187-0D78855D7C41}"/>
    <hyperlink ref="O4594" r:id="rId14184" display="https://pbs.twimg.com/profile_images/594567172908830720/PMQghqWb_normal.jpg" xr:uid="{323A3ACD-5C6E-4305-92EB-45A93F32A16C}"/>
    <hyperlink ref="B4595" r:id="rId14185" display="https://twitter.com/JavierGustavo74" xr:uid="{2E86CAD6-A1AE-4760-9B27-C9CF0BE1D8C1}"/>
    <hyperlink ref="E4595" r:id="rId14186" display="https://twitter.com/JavierGustavo74/status/723567765991350273" xr:uid="{B0E186F4-13D2-4B53-B3ED-DD8EC0757384}"/>
    <hyperlink ref="O4595" r:id="rId14187" display="https://pbs.twimg.com/profile_images/710287996298371072/gggJOkGI_normal.jpg" xr:uid="{3EB770AF-D702-450F-A8D3-264305CF3A7E}"/>
    <hyperlink ref="B4596" r:id="rId14188" display="https://twitter.com/Sesionesdjvip" xr:uid="{B97B5580-5CC0-4A45-AF36-4228CAE8E226}"/>
    <hyperlink ref="C4596" r:id="rId14189" xr:uid="{1F5BBA73-1FD7-4BA8-9C0C-3FB95738C2D4}"/>
    <hyperlink ref="E4596" r:id="rId14190" display="https://twitter.com/Sesionesdjvip/status/723567834501095424" xr:uid="{FB2A686F-EC15-470E-A37D-4DA5A66C6576}"/>
    <hyperlink ref="O4596" r:id="rId14191" display="https://pbs.twimg.com/profile_images/585736425750007808/71ffEwlw_normal.png" xr:uid="{191A691D-2C95-474F-AD32-E8F03515027E}"/>
    <hyperlink ref="B4597" r:id="rId14192" display="https://twitter.com/TheI_Investors" xr:uid="{C5B3FC28-D131-4197-AA1C-D0E14E9AE386}"/>
    <hyperlink ref="E4597" r:id="rId14193" display="https://twitter.com/TheI_Investors/status/723568038415572993" xr:uid="{C57FE0EC-6D6B-4062-B9AB-D805709EC2FC}"/>
    <hyperlink ref="O4597" r:id="rId14194" display="https://pbs.twimg.com/profile_images/683682913934807040/ZSOWIYBt_normal.jpg" xr:uid="{BDCE6ED8-E5FD-4ADC-870D-E47009102C8F}"/>
    <hyperlink ref="B4598" r:id="rId14195" display="https://twitter.com/theautowriter" xr:uid="{BC0626F3-1A07-4700-8904-01FE3CEA883E}"/>
    <hyperlink ref="E4598" r:id="rId14196" display="https://twitter.com/theautowriter/status/723568131709480960" xr:uid="{854E2F18-6D45-4652-B624-0579CB12C370}"/>
    <hyperlink ref="O4598" r:id="rId14197" display="https://pbs.twimg.com/profile_images/667151479518666752/TdpI6AEf_normal.jpg" xr:uid="{F10661F8-5EF2-4D75-9B98-A32BCA705FD7}"/>
    <hyperlink ref="B4599" r:id="rId14198" display="https://twitter.com/mtorrescoria" xr:uid="{7D1E109F-6EFC-4963-A16C-F90922C43B74}"/>
    <hyperlink ref="E4599" r:id="rId14199" display="https://twitter.com/mtorrescoria/status/723568410190176256" xr:uid="{7FF7CACB-DCC2-44ED-9B55-36EF662EF106}"/>
    <hyperlink ref="O4599" r:id="rId14200" display="https://pbs.twimg.com/profile_images/715323139794685952/4mFMcWMR_normal.jpg" xr:uid="{E4032FDE-205E-4181-A565-196476A3E2A1}"/>
    <hyperlink ref="B4600" r:id="rId14201" display="https://twitter.com/paullivellano" xr:uid="{BC5D03C2-808A-4284-8693-510476872FAD}"/>
    <hyperlink ref="E4600" r:id="rId14202" display="https://twitter.com/paullivellano/status/723568707520331777" xr:uid="{A5D3B7F0-E8CE-4640-8FB9-EAB97D889748}"/>
    <hyperlink ref="O4600" r:id="rId14203" display="https://pbs.twimg.com/profile_images/539631603660898305/4yJ_9V-u_normal.jpeg" xr:uid="{FFB8BFB9-1F7B-490D-B805-BFB672D3DFA3}"/>
    <hyperlink ref="B4601" r:id="rId14204" display="https://twitter.com/JNiroJacobs" xr:uid="{DBBB9430-B8AA-43C5-8E86-714CDA47414D}"/>
    <hyperlink ref="E4601" r:id="rId14205" display="https://twitter.com/JNiroJacobs/status/723569116364324870" xr:uid="{877F79AA-8C9F-4E6A-A572-260604C6F79C}"/>
    <hyperlink ref="O4601" r:id="rId14206" display="https://pbs.twimg.com/profile_images/704043585453350913/gNxRyi-9_normal.jpg" xr:uid="{A1869DA9-27B0-46B3-8E9B-8C0A38A2D34F}"/>
    <hyperlink ref="B4602" r:id="rId14207" display="https://twitter.com/TipsParaNinos" xr:uid="{DDD0676F-8C70-4351-ACC4-1A7A86A29496}"/>
    <hyperlink ref="E4602" r:id="rId14208" display="https://twitter.com/TipsParaNinos/status/723569176472739840" xr:uid="{58C25727-DD30-47E6-A28A-3AB97993FEEB}"/>
    <hyperlink ref="O4602" r:id="rId14209" display="https://pbs.twimg.com/profile_images/626906935716024320/ONSQFvUj_normal.png" xr:uid="{1F2A16FD-3E98-4F5B-9643-272A00A3CA85}"/>
    <hyperlink ref="B4603" r:id="rId14210" display="https://twitter.com/I_InvestorJack" xr:uid="{3DAB66CB-9232-4DDD-89E6-544ABAC01FDC}"/>
    <hyperlink ref="E4603" r:id="rId14211" display="https://twitter.com/I_InvestorJack/status/723569322858295297" xr:uid="{FE9B55C6-CBBA-4F15-8944-82ED100854C2}"/>
    <hyperlink ref="O4603" r:id="rId14212" display="https://pbs.twimg.com/profile_images/711678681090039808/1BAsJz83_normal.jpg" xr:uid="{5863D2CB-9E09-4B57-9CAF-D620BD7B1ED2}"/>
    <hyperlink ref="B4604" r:id="rId14213" display="https://twitter.com/GeorgAlbrecht1" xr:uid="{AA3791C0-CA75-46EC-BE2F-0E3FB1F6E7AC}"/>
    <hyperlink ref="E4604" r:id="rId14214" display="https://twitter.com/GeorgAlbrecht1/status/723569324305334272" xr:uid="{6710E71C-7D7A-4DB8-952B-4D8A00BCAE74}"/>
    <hyperlink ref="O4604" r:id="rId14215" display="https://pbs.twimg.com/profile_images/624857513989701632/nGTBvzYR_normal.jpg" xr:uid="{9192F9BE-6F41-4CEF-8550-A8DBB70DF823}"/>
    <hyperlink ref="B4605" r:id="rId14216" display="https://twitter.com/CounterCorp" xr:uid="{34903F61-181A-47AD-89BD-0D297ADB224A}"/>
    <hyperlink ref="E4605" r:id="rId14217" display="https://twitter.com/CounterCorp/status/723569393372786692" xr:uid="{E4718BA2-0A8D-4F40-8BEE-F2855CF29A1A}"/>
    <hyperlink ref="O4605" r:id="rId14218" display="https://pbs.twimg.com/profile_images/3682887849/74962b41d1f818323ea8ef74bf1e834e_normal.png" xr:uid="{4A76BAE4-41F9-4100-853C-07946B8BE010}"/>
    <hyperlink ref="B4606" r:id="rId14219" display="https://twitter.com/sarahmaho49" xr:uid="{64AF0623-1196-4760-9E75-D8D43CC01410}"/>
    <hyperlink ref="E4606" r:id="rId14220" display="https://twitter.com/sarahmaho49/status/723569955736838146" xr:uid="{B675F9AA-7AC7-4A5C-ABDC-310DA84C1C8D}"/>
    <hyperlink ref="O4606" r:id="rId14221" display="https://pbs.twimg.com/profile_images/534280066231205888/JBDUShsd_normal.png" xr:uid="{59A0EEA6-CF11-40F2-9D94-FD40324CD3F4}"/>
    <hyperlink ref="B4607" r:id="rId14222" display="https://twitter.com/CarenLay" xr:uid="{4D92E336-43ED-455D-8030-C181A526E7EA}"/>
    <hyperlink ref="E4607" r:id="rId14223" display="https://twitter.com/CarenLay/status/723569972103004160" xr:uid="{0531DF7D-9FA4-4406-BE67-6EA1735B82C3}"/>
    <hyperlink ref="O4607" r:id="rId14224" display="https://pbs.twimg.com/profile_images/707557136646217729/FI2cHfks_normal.jpg" xr:uid="{DF380B05-83D4-48B5-BA05-680C8BAA223F}"/>
    <hyperlink ref="B4608" r:id="rId14225" display="https://twitter.com/VWBeetleSales" xr:uid="{BE1952A9-F680-4BB3-819E-BF86303568FC}"/>
    <hyperlink ref="E4608" r:id="rId14226" display="https://twitter.com/VWBeetleSales/status/723570088008241153" xr:uid="{2A7FDF88-98C0-4BA5-9802-059424932837}"/>
    <hyperlink ref="F4608" r:id="rId14227" xr:uid="{76346F6B-1AAE-444E-9AA3-D56806B41273}"/>
    <hyperlink ref="O4608" r:id="rId14228" display="https://pbs.twimg.com/profile_images/703294545195307008/qeCvrX86_normal.jpg" xr:uid="{BEE7BE21-F347-444F-ACCC-DC63B70EB821}"/>
    <hyperlink ref="B4609" r:id="rId14229" display="https://twitter.com/VWCamperSales" xr:uid="{615E70AA-490E-4608-B227-F593FBFA5E79}"/>
    <hyperlink ref="E4609" r:id="rId14230" display="https://twitter.com/VWCamperSales/status/723570222301515776" xr:uid="{D853F65E-15BE-4607-8F00-F99A3C2C1FFE}"/>
    <hyperlink ref="F4609" r:id="rId14231" xr:uid="{2017EFC5-14D9-4BE0-96CE-581263A9FD8E}"/>
    <hyperlink ref="O4609" r:id="rId14232" display="https://pbs.twimg.com/profile_images/627949001179037696/skEBkS05_normal.jpg" xr:uid="{DF8041EF-6C4E-44A6-9A68-B2DDC4A82833}"/>
    <hyperlink ref="B4610" r:id="rId14233" display="https://twitter.com/CarterVW" xr:uid="{67C5F77C-7842-4948-A6A9-EC828B00F897}"/>
    <hyperlink ref="E4610" r:id="rId14234" display="https://twitter.com/CarterVW/status/723570571867361281" xr:uid="{24D97B35-F0A8-464E-BF2F-B45E3C30710C}"/>
    <hyperlink ref="O4610" r:id="rId14235" display="https://pbs.twimg.com/profile_images/693260133237809152/JUVeKYdq_normal.jpg" xr:uid="{4920EE59-DA59-41F4-BC28-2FFA53407F27}"/>
    <hyperlink ref="B4611" r:id="rId14236" display="https://twitter.com/FierroosAlPiso" xr:uid="{2FCE86AD-A009-4170-9664-AD4C029DB0C8}"/>
    <hyperlink ref="E4611" r:id="rId14237" display="https://twitter.com/FierroosAlPiso/status/723570658026917888" xr:uid="{B711EF31-BFB6-4828-9CB8-04B2E48800CD}"/>
    <hyperlink ref="O4611" r:id="rId14238" display="https://pbs.twimg.com/profile_images/710841392726147072/qbniEB4w_normal.jpg" xr:uid="{0BC89890-2158-4719-9AF7-35506AD0B9ED}"/>
    <hyperlink ref="B4612" r:id="rId14239" display="https://twitter.com/LuliSilva0" xr:uid="{44F36289-E604-4992-BBBC-FAEFE864EF34}"/>
    <hyperlink ref="E4612" r:id="rId14240" display="https://twitter.com/LuliSilva0/status/723570717288194048" xr:uid="{AC323C5B-B07A-4EC5-8DDB-8D929D67277E}"/>
    <hyperlink ref="O4612" r:id="rId14241" display="https://pbs.twimg.com/profile_images/722690189647290369/RX421T-r_normal.jpg" xr:uid="{2C787463-EEDD-4CF3-8EE7-7503D4D31E02}"/>
    <hyperlink ref="B4613" r:id="rId14242" display="https://twitter.com/CoopsNeil" xr:uid="{45F6DBFD-1E0E-4427-8F05-439D475DDB7F}"/>
    <hyperlink ref="E4613" r:id="rId14243" display="https://twitter.com/CoopsNeil/status/723570784669716480" xr:uid="{E1E40D74-65BF-4818-AE7F-92DBA3A55C2E}"/>
    <hyperlink ref="O4613" r:id="rId14244" display="https://pbs.twimg.com/profile_images/621959268766470144/_NDaByff_normal.jpg" xr:uid="{4F008703-C071-4157-8165-5A4D6C35007F}"/>
    <hyperlink ref="B4614" r:id="rId14245" display="https://twitter.com/kevinjamaica111" xr:uid="{3697565B-A71F-4174-8B20-E54DD86997D6}"/>
    <hyperlink ref="E4614" r:id="rId14246" display="https://twitter.com/kevinjamaica111/status/723570842555322369" xr:uid="{2F63EB51-EF8E-41CA-8822-5A7932BC731F}"/>
    <hyperlink ref="O4614" r:id="rId14247" display="https://pbs.twimg.com/profile_images/692954438294700032/btbx0_sR_normal.jpg" xr:uid="{84D8BAAA-CF35-4646-B626-643274245F65}"/>
    <hyperlink ref="B4615" r:id="rId14248" display="https://twitter.com/LuuuuuuuuVega" xr:uid="{74BDDA55-3570-41A0-B330-1D3DD6BD2960}"/>
    <hyperlink ref="E4615" r:id="rId14249" display="https://twitter.com/LuuuuuuuuVega/status/723570900512198656" xr:uid="{6830CDC1-6F6F-4ABA-8F7A-F2045621882B}"/>
    <hyperlink ref="O4615" r:id="rId14250" display="https://pbs.twimg.com/profile_images/722251999287357441/OII4XCi9_normal.jpg" xr:uid="{1619CEE8-06D6-4C02-984B-0770B7E54470}"/>
    <hyperlink ref="B4616" r:id="rId14251" display="https://twitter.com/JuanMolin4" xr:uid="{C5AD59C0-AAAE-4B51-AF0E-EC3D60D37479}"/>
    <hyperlink ref="E4616" r:id="rId14252" display="https://twitter.com/JuanMolin4/status/723570912507908096" xr:uid="{E125C7D3-1CB2-4270-9B84-463A36008306}"/>
    <hyperlink ref="O4616" r:id="rId14253" display="https://pbs.twimg.com/profile_images/692136445646114821/4LGECgZK_normal.jpg" xr:uid="{6C8716A1-4545-49E5-AA8A-7F58F0C1C43A}"/>
    <hyperlink ref="B4617" r:id="rId14254" display="https://twitter.com/ChochiiGuzman" xr:uid="{98CCCDDB-FAAA-4040-8525-709D8545EBB3}"/>
    <hyperlink ref="E4617" r:id="rId14255" display="https://twitter.com/ChochiiGuzman/status/723570961258262528" xr:uid="{8B7F54BA-5437-4653-9883-29FD7D5F23AA}"/>
    <hyperlink ref="O4617" r:id="rId14256" display="https://pbs.twimg.com/profile_images/711265333731061760/gOpH6ixc_normal.jpg" xr:uid="{FAA9A84B-6529-425A-B1E9-A2E9623D6923}"/>
    <hyperlink ref="B4618" r:id="rId14257" display="https://twitter.com/DaniiUriarte" xr:uid="{314DE4D6-57C9-4113-BB19-29385FFF346A}"/>
    <hyperlink ref="E4618" r:id="rId14258" display="https://twitter.com/DaniiUriarte/status/723571036277608449" xr:uid="{0EEE9B0A-3EBB-45A2-B795-41639AF284B8}"/>
    <hyperlink ref="O4618" r:id="rId14259" display="https://pbs.twimg.com/profile_images/700422463398813699/45Mt73Ga_normal.jpg" xr:uid="{01F3D587-4B5F-4321-BBF8-6890A665E221}"/>
    <hyperlink ref="B4619" r:id="rId14260" display="https://twitter.com/rosalesfranco01" xr:uid="{BA213DAA-3C15-4DCD-9B44-7F4F0B05F654}"/>
    <hyperlink ref="E4619" r:id="rId14261" display="https://twitter.com/rosalesfranco01/status/723571048130723840" xr:uid="{1A2D429E-967B-424B-88DB-530B8CDCAB45}"/>
    <hyperlink ref="O4619" r:id="rId14262" display="https://pbs.twimg.com/profile_images/722886566184620032/svO5v1Q3_normal.jpg" xr:uid="{8EC81594-C9D3-4191-920D-3CDF90845795}"/>
    <hyperlink ref="B4620" r:id="rId14263" display="https://twitter.com/emanuelakerman1" xr:uid="{55D96CC2-2B16-4100-8955-A3F175773E7B}"/>
    <hyperlink ref="E4620" r:id="rId14264" display="https://twitter.com/emanuelakerman1/status/723571103155785729" xr:uid="{67E52CB6-FA8B-482A-99DA-9115F82DE493}"/>
    <hyperlink ref="O4620" r:id="rId14265" display="https://pbs.twimg.com/profile_images/719930527059484672/UgWs2JMj_normal.jpg" xr:uid="{6AD3C580-49B2-430D-9F94-BCF0B3E629B5}"/>
    <hyperlink ref="B4621" r:id="rId14266" display="https://twitter.com/tomwookieford" xr:uid="{83547319-79ED-4663-8AB0-27AAE35C7DEE}"/>
    <hyperlink ref="E4621" r:id="rId14267" display="https://twitter.com/tomwookieford/status/723571135565025281" xr:uid="{4BF7199C-84BD-4C92-ABD1-86FA9E6246C4}"/>
    <hyperlink ref="O4621" r:id="rId14268" display="https://pbs.twimg.com/profile_images/717405433221222401/qDdd387Z_normal.jpg" xr:uid="{6073741F-D829-40C7-ABCF-C8E7B8D657C4}"/>
    <hyperlink ref="B4622" r:id="rId14269" display="https://twitter.com/PaaaaaaulaS2" xr:uid="{E508AF39-C223-4B60-8AF6-57C6BC764388}"/>
    <hyperlink ref="E4622" r:id="rId14270" display="https://twitter.com/PaaaaaaulaS2/status/723571217182154752" xr:uid="{A96CFAE2-2F95-4A26-B975-59D11752AADB}"/>
    <hyperlink ref="O4622" r:id="rId14271" display="https://pbs.twimg.com/profile_images/722481395508056065/7UH5duxY_normal.jpg" xr:uid="{25E1F323-A7CD-46D7-8CDA-56A6F25A0A75}"/>
    <hyperlink ref="B4623" r:id="rId14272" display="https://twitter.com/aktionaer" xr:uid="{D2D762EE-A049-43F3-B4AF-3CD3BDAF9BFA}"/>
    <hyperlink ref="E4623" r:id="rId14273" display="https://twitter.com/aktionaer/status/723571263235608577" xr:uid="{BD0268F9-83FC-429F-BF95-019BFBE99005}"/>
    <hyperlink ref="O4623" r:id="rId14274" display="https://pbs.twimg.com/profile_images/679552623641509888/_vPw9IS2_normal.png" xr:uid="{CC8BE713-074B-4485-82A8-0B308AC79A00}"/>
    <hyperlink ref="B4624" r:id="rId14275" display="https://twitter.com/LucasSampieri" xr:uid="{3438E6B9-BA96-43E4-B3E1-3E7E15803A85}"/>
    <hyperlink ref="E4624" r:id="rId14276" display="https://twitter.com/LucasSampieri/status/723571292021133312" xr:uid="{2C8DDCEA-F689-4F68-AFEE-8AD89A444612}"/>
    <hyperlink ref="O4624" r:id="rId14277" display="https://pbs.twimg.com/profile_images/709141383588749312/LDsavna9_normal.jpg" xr:uid="{00A915EA-459B-45ED-AE19-B6689393E1B8}"/>
    <hyperlink ref="B4625" r:id="rId14278" display="https://twitter.com/11LucasDiaz" xr:uid="{690F32C1-C20A-45EB-8C03-FFE9DE87965A}"/>
    <hyperlink ref="E4625" r:id="rId14279" display="https://twitter.com/11LucasDiaz/status/723571325391003648" xr:uid="{373660DC-4066-4D0B-8210-0F1D94AE3037}"/>
    <hyperlink ref="O4625" r:id="rId14280" display="https://pbs.twimg.com/profile_images/722105874236502017/_UHxBLQ-_normal.jpg" xr:uid="{1C1AA72D-5112-4CDC-A91F-AE31F0BED505}"/>
    <hyperlink ref="B4626" r:id="rId14281" display="https://twitter.com/VolkswagenPost" xr:uid="{4DCADB57-3DEC-4E6F-A42E-584A98E53829}"/>
    <hyperlink ref="E4626" r:id="rId14282" display="https://twitter.com/VolkswagenPost/status/723571437622185984" xr:uid="{60976BCA-E14E-41CB-BA8E-5E2555946253}"/>
    <hyperlink ref="O4626" r:id="rId14283" display="https://pbs.twimg.com/profile_images/530071272881803264/a_jcCmPZ_normal.png" xr:uid="{582E1E32-12CB-488F-8D80-2C258703AE8B}"/>
    <hyperlink ref="B4627" r:id="rId14284" display="https://twitter.com/VolkswagenPost" xr:uid="{0D8D86F7-C403-44A1-9D26-7987E69D75CA}"/>
    <hyperlink ref="E4627" r:id="rId14285" display="https://twitter.com/VolkswagenPost/status/723571438830141440" xr:uid="{DE27C060-8AD2-405F-8486-BF4E33ED257B}"/>
    <hyperlink ref="O4627" r:id="rId14286" display="https://pbs.twimg.com/profile_images/530071272881803264/a_jcCmPZ_normal.png" xr:uid="{99EC3DF8-5B4D-4C30-8F04-9F83BD8E64FE}"/>
    <hyperlink ref="B4628" r:id="rId14287" display="https://twitter.com/FlorDeCornuda" xr:uid="{12CFAC30-8C7F-44E0-BD7C-23C4019D750D}"/>
    <hyperlink ref="E4628" r:id="rId14288" display="https://twitter.com/FlorDeCornuda/status/723571603435597825" xr:uid="{B0A38B62-C8B6-4F50-8667-911EF811582D}"/>
    <hyperlink ref="O4628" r:id="rId14289" display="https://pbs.twimg.com/profile_images/716292820194172928/DCB0n-Ae_normal.jpg" xr:uid="{B38BA9D8-9C4D-429E-91D6-1B52EF02948B}"/>
    <hyperlink ref="B4629" r:id="rId14290" display="https://twitter.com/techie_paul" xr:uid="{B2A438EA-DEBD-41F6-9C15-CA191110F984}"/>
    <hyperlink ref="E4629" r:id="rId14291" display="https://twitter.com/techie_paul/status/723571627112452098" xr:uid="{B49EE596-C271-43A3-B6D3-F26D1585C086}"/>
    <hyperlink ref="O4629" r:id="rId14292" display="https://pbs.twimg.com/profile_images/608531162340990976/-d_HSOP1_normal.jpg" xr:uid="{562BFA0E-090C-4941-A700-DF31A8CFEA0F}"/>
    <hyperlink ref="B4630" r:id="rId14293" display="https://twitter.com/Hector_Beney" xr:uid="{0CADFDA1-730B-46B8-8D12-5B7E2DC1C503}"/>
    <hyperlink ref="E4630" r:id="rId14294" display="https://twitter.com/Hector_Beney/status/723571844775854081" xr:uid="{34B74458-4A51-4363-9F4F-08C0F83FD0D3}"/>
    <hyperlink ref="O4630" r:id="rId14295" display="https://pbs.twimg.com/profile_images/716932029871493120/R3aFT7Lx_normal.jpg" xr:uid="{E3AFD0D6-85A4-442E-9D17-60BA75112C2B}"/>
    <hyperlink ref="B4631" r:id="rId14296" display="https://twitter.com/VWBeetleSales" xr:uid="{9FF9BE8C-433D-4239-B675-6061F35B5E44}"/>
    <hyperlink ref="E4631" r:id="rId14297" display="https://twitter.com/VWBeetleSales/status/723571852229013504" xr:uid="{D4D741B4-59B1-44E7-99DA-87C93D1060D2}"/>
    <hyperlink ref="F4631" r:id="rId14298" xr:uid="{6E2F318C-6978-4181-B7C2-E2AB4C3BD06F}"/>
    <hyperlink ref="O4631" r:id="rId14299" display="https://pbs.twimg.com/profile_images/703294545195307008/qeCvrX86_normal.jpg" xr:uid="{798E6D4B-CDBF-4DDD-A5D0-EBDD91240692}"/>
    <hyperlink ref="B4632" r:id="rId14300" display="https://twitter.com/AlfonsoCamila1" xr:uid="{CB9E3707-41DF-47C7-89A7-0B2B52EFF358}"/>
    <hyperlink ref="E4632" r:id="rId14301" display="https://twitter.com/AlfonsoCamila1/status/723571891798196224" xr:uid="{2CA20E38-75F2-4616-ACAE-76C43C44B6EA}"/>
    <hyperlink ref="O4632" r:id="rId14302" display="https://pbs.twimg.com/profile_images/721395136190685185/7AfvVxmI_normal.jpg" xr:uid="{E4761295-0073-4EC4-AC5F-F76C8FB9678A}"/>
    <hyperlink ref="B4633" r:id="rId14303" display="https://twitter.com/ra_howl" xr:uid="{5157879B-D714-476C-80D2-DF9732B4FCC6}"/>
    <hyperlink ref="E4633" r:id="rId14304" display="https://twitter.com/ra_howl/status/723571907732320256" xr:uid="{39A94880-12C1-4438-ADAD-5CD75B0B189E}"/>
    <hyperlink ref="O4633" r:id="rId14305" display="https://pbs.twimg.com/profile_images/615906809816023040/r5wXkKcl_normal.jpg" xr:uid="{CC9F337C-36E6-46F7-B90B-A4CF15268A6D}"/>
    <hyperlink ref="B4634" r:id="rId14306" display="https://twitter.com/AlexWitzleben" xr:uid="{309B5478-453D-4AE6-B8DB-2E0C127276A3}"/>
    <hyperlink ref="E4634" r:id="rId14307" display="https://twitter.com/AlexWitzleben/status/723571981849878529" xr:uid="{933C17B7-8051-4143-ABD7-5E08A64FBC56}"/>
    <hyperlink ref="O4634" r:id="rId14308" display="https://pbs.twimg.com/profile_images/1913087124/AvW_website_normal.jpg" xr:uid="{7E5269E8-F129-4E6E-AEA2-48F2CBFF7E35}"/>
    <hyperlink ref="B4635" r:id="rId14309" display="https://twitter.com/TheInsideManLtd" xr:uid="{02BF59F2-2BD1-4757-9E62-CD5492098F09}"/>
    <hyperlink ref="E4635" r:id="rId14310" display="https://twitter.com/TheInsideManLtd/status/723572139886944257" xr:uid="{CEE95212-6C54-4B21-BD6D-E22DD7B80069}"/>
    <hyperlink ref="O4635" r:id="rId14311" display="https://pbs.twimg.com/profile_images/699600965545156608/p9HSQiDf_normal.png" xr:uid="{4D9E4BE3-AAD5-4FAB-87CB-DCF1B8E48B4C}"/>
    <hyperlink ref="B4636" r:id="rId14312" display="https://twitter.com/FlorMusante_" xr:uid="{E0C00421-89A5-4515-8C35-53DF08CA30C9}"/>
    <hyperlink ref="E4636" r:id="rId14313" display="https://twitter.com/FlorMusante_/status/723572236473520128" xr:uid="{5387F7E8-FC60-4CA0-AB02-D59346EB0C34}"/>
    <hyperlink ref="O4636" r:id="rId14314" display="https://pbs.twimg.com/profile_images/721724710174601216/B0T6CY6B_normal.jpg" xr:uid="{45391019-703B-49CD-A80A-086F938F6AFB}"/>
    <hyperlink ref="B4637" r:id="rId14315" display="https://twitter.com/DurhamRed77" xr:uid="{6391159A-D3F2-41C2-B416-9FCAECAD04F2}"/>
    <hyperlink ref="E4637" r:id="rId14316" display="https://twitter.com/DurhamRed77/status/723572329448652800" xr:uid="{D42F7D53-4DE4-4666-93C3-0D5D9D3ACAAE}"/>
    <hyperlink ref="O4637" r:id="rId14317" display="https://pbs.twimg.com/profile_images/677727303858823169/jRsrdcqd_normal.jpg" xr:uid="{AE1692B0-A8DA-4905-B62D-96EA6542E1CE}"/>
    <hyperlink ref="B4638" r:id="rId14318" display="https://twitter.com/kpeterlBW" xr:uid="{F9005BD9-CCB3-4AEB-AB0D-5EE99A947D9C}"/>
    <hyperlink ref="E4638" r:id="rId14319" display="https://twitter.com/kpeterlBW/status/723572418393022465" xr:uid="{DEAC39D5-58CC-4909-9521-F34E348A8FA5}"/>
    <hyperlink ref="O4638" r:id="rId14320" display="https://pbs.twimg.com/profile_images/566236112876609536/C9Mw_KoX_normal.jpeg" xr:uid="{00FDACE9-6CDF-4B02-94D4-62AB757998E0}"/>
    <hyperlink ref="B4639" r:id="rId14321" display="https://twitter.com/AlexWitzleben" xr:uid="{84D2A88F-7E35-47E4-9180-346E7BD70B0D}"/>
    <hyperlink ref="E4639" r:id="rId14322" display="https://twitter.com/AlexWitzleben/status/723572542242480128" xr:uid="{33357341-C587-4888-8C0C-30890B5D68C5}"/>
    <hyperlink ref="O4639" r:id="rId14323" display="https://pbs.twimg.com/profile_images/1913087124/AvW_website_normal.jpg" xr:uid="{96311A50-1AFC-4726-AB73-3CBAD896995E}"/>
    <hyperlink ref="B4640" r:id="rId14324" display="https://twitter.com/PTSDandYOU" xr:uid="{C6988966-A082-4843-94A1-1265432F37A1}"/>
    <hyperlink ref="E4640" r:id="rId14325" display="https://twitter.com/PTSDandYOU/status/723572586278445056" xr:uid="{C2B16922-9F83-445C-A866-C6EF94864D8E}"/>
    <hyperlink ref="O4640" r:id="rId14326" display="https://pbs.twimg.com/profile_images/3183814069/dc8784a7f11af617105f6632e87f9752_normal.jpeg" xr:uid="{EB10B25A-91BD-4949-B556-0FBCEB2CBDB7}"/>
    <hyperlink ref="B4641" r:id="rId14327" display="https://twitter.com/AUTOCONSULTANT2" xr:uid="{DB23817A-4F71-4E06-BC72-51180C9DA613}"/>
    <hyperlink ref="E4641" r:id="rId14328" display="https://twitter.com/AUTOCONSULTANT2/status/723572653869682688" xr:uid="{EA0C38FA-308C-4CC3-874B-918AA854F3BD}"/>
    <hyperlink ref="O4641" r:id="rId14329" display="https://pbs.twimg.com/profile_images/531918857976299520/PZ5mIbP3_normal.jpeg" xr:uid="{1CAD778D-E487-490F-AA4A-FA30D4FD46AB}"/>
    <hyperlink ref="B4642" r:id="rId14330" display="https://twitter.com/volcombug" xr:uid="{A29E3C46-B9E9-4A00-AFEA-DAD8C0D9C16F}"/>
    <hyperlink ref="E4642" r:id="rId14331" display="https://twitter.com/volcombug/status/723572667782025216" xr:uid="{70ADD435-0DA4-4956-B1C2-DDFAD2E25506}"/>
    <hyperlink ref="O4642" r:id="rId14332" display="https://pbs.twimg.com/profile_images/683168753639489536/ooTROAP5_normal.jpg" xr:uid="{2BFB5B01-CEEF-4C73-BBE7-D5E6D3685D2B}"/>
    <hyperlink ref="B4643" r:id="rId14333" display="https://twitter.com/Arianaacoll" xr:uid="{FC0C85D3-A973-490F-9E78-D5F14A078A3E}"/>
    <hyperlink ref="E4643" r:id="rId14334" display="https://twitter.com/Arianaacoll/status/723572679878434816" xr:uid="{62E5B0C8-919B-4E65-82FA-71FB7065CE14}"/>
    <hyperlink ref="O4643" r:id="rId14335" display="https://pbs.twimg.com/profile_images/702515731230019584/y8s-VOIo_normal.jpg" xr:uid="{426927FE-BED1-4C3A-9309-1FFBF315D715}"/>
    <hyperlink ref="B4644" r:id="rId14336" display="https://twitter.com/DenbyCampervans" xr:uid="{5970666E-39AC-4410-9E87-62EFBEAA9DFC}"/>
    <hyperlink ref="E4644" r:id="rId14337" display="https://twitter.com/DenbyCampervans/status/723572696307646465" xr:uid="{D6CFCC25-F676-4600-A5BC-807020B3E258}"/>
    <hyperlink ref="O4644" r:id="rId14338" display="https://pbs.twimg.com/profile_images/489353066819248128/cxv60hiW_normal.png" xr:uid="{928D4F4D-C5D6-4FE6-B3BB-6AE8816F0B53}"/>
    <hyperlink ref="B4645" r:id="rId14339" display="https://twitter.com/steve_schmidt75" xr:uid="{39F0CC3D-B6E8-432D-A14F-9A7362044C40}"/>
    <hyperlink ref="E4645" r:id="rId14340" display="https://twitter.com/steve_schmidt75/status/723572739076927488" xr:uid="{AC30A76D-D3D1-4064-94C9-82039BA16A43}"/>
    <hyperlink ref="O4645" r:id="rId14341" display="https://pbs.twimg.com/profile_images/714926926910107648/EHYhORYP_normal.jpg" xr:uid="{8A82090F-8081-48B5-8D22-E2993089515E}"/>
    <hyperlink ref="B4646" r:id="rId14342" display="https://twitter.com/das_Ruhrgebiet" xr:uid="{F8600605-2CDB-4C8C-9727-5F394F438548}"/>
    <hyperlink ref="E4646" r:id="rId14343" display="https://twitter.com/das_Ruhrgebiet/status/723572809583222785" xr:uid="{CD7FAC95-6D84-4D4E-94E2-4DEBF4B4D425}"/>
    <hyperlink ref="O4646" r:id="rId14344" display="https://pbs.twimg.com/profile_images/695718830690201600/Qv2sKM9j_normal.jpg" xr:uid="{5EC32694-07A5-4056-8FE8-C8451AF25726}"/>
    <hyperlink ref="B4647" r:id="rId14345" display="https://twitter.com/DaianaPaez4" xr:uid="{F8D0BF1C-64E6-4978-830E-EC8D4D357D73}"/>
    <hyperlink ref="E4647" r:id="rId14346" display="https://twitter.com/DaianaPaez4/status/723572830122704896" xr:uid="{62E608B4-5CCB-458F-A1E8-C31CA898F420}"/>
    <hyperlink ref="O4647" r:id="rId14347" display="https://pbs.twimg.com/profile_images/722914450739740672/UDev3RR5_normal.jpg" xr:uid="{CFCF859A-4A89-4DAF-9EE5-3B021C9F2807}"/>
    <hyperlink ref="B4648" r:id="rId14348" display="https://twitter.com/JamieWestwood12" xr:uid="{E972274E-7F47-4173-85A6-917DA45B33DB}"/>
    <hyperlink ref="E4648" r:id="rId14349" display="https://twitter.com/JamieWestwood12/status/723572927577370625" xr:uid="{95950571-26D3-4E78-ADBD-F7D9CC033D9C}"/>
    <hyperlink ref="O4648" r:id="rId14350" display="https://pbs.twimg.com/profile_images/603130296016478208/SslEbxgT_normal.jpg" xr:uid="{3647C380-210A-4483-A4A0-33CF116164FB}"/>
    <hyperlink ref="B4649" r:id="rId14351" display="https://twitter.com/InteressantesIG" xr:uid="{5A2CDA44-D297-4232-9F1F-46A6EABA2C5A}"/>
    <hyperlink ref="E4649" r:id="rId14352" display="https://twitter.com/InteressantesIG/status/723572948406284288" xr:uid="{2D8A1AEA-60A5-4C2E-905C-A0DE51E5B301}"/>
    <hyperlink ref="O4649" r:id="rId14353" display="https://pbs.twimg.com/profile_images/615649526586703873/vMsQrfJ2_normal.jpg" xr:uid="{6BFB6FE7-D7D2-46F7-AEF6-5CF26D58190E}"/>
    <hyperlink ref="B4650" r:id="rId14354" display="https://twitter.com/beetlebug1938" xr:uid="{2D4CB096-100F-4690-860E-3CE658D1D52A}"/>
    <hyperlink ref="E4650" r:id="rId14355" display="https://twitter.com/beetlebug1938/status/723573102752440320" xr:uid="{9621DB3E-BDA5-4E14-9013-3852DDE1C83E}"/>
    <hyperlink ref="O4650" r:id="rId14356" display="https://pbs.twimg.com/profile_images/718820712757215233/LXXndPTS_normal.jpg" xr:uid="{55D175DC-29F0-461B-8B77-959864438E19}"/>
    <hyperlink ref="B4651" r:id="rId14357" display="https://twitter.com/LombardaMotori" xr:uid="{419C4842-C0AF-4368-9CBC-7D2E25D03158}"/>
    <hyperlink ref="E4651" r:id="rId14358" display="https://twitter.com/LombardaMotori/status/723573103121588224" xr:uid="{275CDEF5-4E36-4110-B141-671286BED8D2}"/>
    <hyperlink ref="O4651" r:id="rId14359" display="https://pbs.twimg.com/profile_images/558298291985608704/57n8APEK_normal.jpeg" xr:uid="{F13CBF86-F053-4973-A282-FE7E1A39E751}"/>
    <hyperlink ref="P4651" r:id="rId14360" location="45.5801,9.2725" display="http://ctrlq.org/maps/address/ - 45.5801,9.2725" xr:uid="{8725BEA9-CA31-4A12-AE8A-858EFFD79D49}"/>
    <hyperlink ref="B4652" r:id="rId14361" display="https://twitter.com/beetlebug1938" xr:uid="{43EFF939-6597-455E-8194-9F0BD3F5045B}"/>
    <hyperlink ref="E4652" r:id="rId14362" display="https://twitter.com/beetlebug1938/status/723573109085876224" xr:uid="{25779C0E-6E23-4A1D-A078-D1BE17B83F74}"/>
    <hyperlink ref="O4652" r:id="rId14363" display="https://pbs.twimg.com/profile_images/718820712757215233/LXXndPTS_normal.jpg" xr:uid="{885F2EC0-E26F-47F0-B3F8-CB5C23D3074C}"/>
    <hyperlink ref="B4653" r:id="rId14364" display="https://twitter.com/LombardaMotori" xr:uid="{3FFB8604-7946-4A9C-B2B0-6FDAF37B6267}"/>
    <hyperlink ref="E4653" r:id="rId14365" display="https://twitter.com/LombardaMotori/status/723573110352519168" xr:uid="{B4A645E5-5FFB-4ED6-BB50-EACBC9146570}"/>
    <hyperlink ref="O4653" r:id="rId14366" display="https://pbs.twimg.com/profile_images/558298291985608704/57n8APEK_normal.jpeg" xr:uid="{038C4D40-37C3-4637-B49D-50CEEADC2461}"/>
    <hyperlink ref="P4653" r:id="rId14367" location="45.5801,9.2725" display="http://ctrlq.org/maps/address/ - 45.5801,9.2725" xr:uid="{04D144A0-4887-4D03-82AC-69D85C674635}"/>
    <hyperlink ref="B4654" r:id="rId14368" display="https://twitter.com/LombardaMotori" xr:uid="{DBD353EF-16AD-4CE2-B377-058AE8C65F08}"/>
    <hyperlink ref="E4654" r:id="rId14369" display="https://twitter.com/LombardaMotori/status/723573113280188417" xr:uid="{8B7055B0-F32B-4A1E-AF0B-E7A8FDE5D98D}"/>
    <hyperlink ref="O4654" r:id="rId14370" display="https://pbs.twimg.com/profile_images/558298291985608704/57n8APEK_normal.jpeg" xr:uid="{8D01755E-A1FC-4758-B2C6-C06D87FC6582}"/>
    <hyperlink ref="P4654" r:id="rId14371" location="45.5801,9.2725" display="http://ctrlq.org/maps/address/ - 45.5801,9.2725" xr:uid="{24FC5CA9-383B-409F-BF56-285DEFFEE3D4}"/>
    <hyperlink ref="B4655" r:id="rId14372" display="https://twitter.com/beetlebug1938" xr:uid="{55A42C63-28CB-41E1-BBE0-F08A0F9F72B9}"/>
    <hyperlink ref="E4655" r:id="rId14373" display="https://twitter.com/beetlebug1938/status/723573121433911297" xr:uid="{854DB691-5DE3-4E29-9E85-0EDB04BF10BE}"/>
    <hyperlink ref="O4655" r:id="rId14374" display="https://pbs.twimg.com/profile_images/718820712757215233/LXXndPTS_normal.jpg" xr:uid="{1385D7EB-21E4-42ED-9CD1-775A807BEACC}"/>
    <hyperlink ref="B4656" r:id="rId14375" display="https://twitter.com/LombardaMotori" xr:uid="{33B0536B-73CC-467E-B3CF-531E4184E6C0}"/>
    <hyperlink ref="E4656" r:id="rId14376" display="https://twitter.com/LombardaMotori/status/723573122662862848" xr:uid="{3987FACA-8C5E-4782-97AC-491B77C9D1E7}"/>
    <hyperlink ref="O4656" r:id="rId14377" display="https://pbs.twimg.com/profile_images/558298291985608704/57n8APEK_normal.jpeg" xr:uid="{23C1BEF1-08FD-4942-992F-D977647E5A91}"/>
    <hyperlink ref="P4656" r:id="rId14378" location="45.5801,9.2725" display="http://ctrlq.org/maps/address/ - 45.5801,9.2725" xr:uid="{3AF7383A-AB90-4186-AC57-EE8056A41FF0}"/>
    <hyperlink ref="B4657" r:id="rId14379" display="https://twitter.com/beetlebug1938" xr:uid="{CF4098DC-2443-410A-BECA-F9F164446C17}"/>
    <hyperlink ref="E4657" r:id="rId14380" display="https://twitter.com/beetlebug1938/status/723573127037464576" xr:uid="{6C56B2FC-9A81-4618-80F2-34BF61BDFE89}"/>
    <hyperlink ref="O4657" r:id="rId14381" display="https://pbs.twimg.com/profile_images/718820712757215233/LXXndPTS_normal.jpg" xr:uid="{B3CD2DE8-87C9-496F-8259-193304512181}"/>
    <hyperlink ref="B4658" r:id="rId14382" display="https://twitter.com/beetlebug1938" xr:uid="{8FA4EF49-5FE4-4B68-8F2C-D72E9E428ED6}"/>
    <hyperlink ref="E4658" r:id="rId14383" display="https://twitter.com/beetlebug1938/status/723573134427885568" xr:uid="{54E4257B-0E4F-49C7-95AD-C0C8BDF05125}"/>
    <hyperlink ref="O4658" r:id="rId14384" display="https://pbs.twimg.com/profile_images/718820712757215233/LXXndPTS_normal.jpg" xr:uid="{8523BBF4-D264-4C10-BBF3-BD8DBEEA9FC8}"/>
    <hyperlink ref="B4659" r:id="rId14385" display="https://twitter.com/beetlebug1938" xr:uid="{106D260B-499A-4269-A621-DF65B66CE403}"/>
    <hyperlink ref="E4659" r:id="rId14386" display="https://twitter.com/beetlebug1938/status/723573140664791042" xr:uid="{79378F80-FAF7-443F-B64C-F41A43CDE452}"/>
    <hyperlink ref="O4659" r:id="rId14387" display="https://pbs.twimg.com/profile_images/718820712757215233/LXXndPTS_normal.jpg" xr:uid="{951FEBE1-11C1-4F9D-93F8-36218DEC7ADC}"/>
    <hyperlink ref="B4660" r:id="rId14388" display="https://twitter.com/beetlebug1938" xr:uid="{0C901D73-AD55-497F-81E5-EF7735282B49}"/>
    <hyperlink ref="E4660" r:id="rId14389" display="https://twitter.com/beetlebug1938/status/723573154791206912" xr:uid="{C5D5E45B-1A5E-43F3-A592-A5275E0B021B}"/>
    <hyperlink ref="O4660" r:id="rId14390" display="https://pbs.twimg.com/profile_images/718820712757215233/LXXndPTS_normal.jpg" xr:uid="{1BD886EE-BC12-4D2D-B22F-F50786E6A93E}"/>
    <hyperlink ref="B4661" r:id="rId14391" display="https://twitter.com/beetlebug1938" xr:uid="{A2BD2842-12F5-4FF4-8040-C3E352FB7AE9}"/>
    <hyperlink ref="E4661" r:id="rId14392" display="https://twitter.com/beetlebug1938/status/723573164807192576" xr:uid="{E28DB83C-69DA-410C-AB00-B587829F43C9}"/>
    <hyperlink ref="O4661" r:id="rId14393" display="https://pbs.twimg.com/profile_images/718820712757215233/LXXndPTS_normal.jpg" xr:uid="{6AE8FB3E-00DD-4C26-BB15-67E15FF6B60A}"/>
    <hyperlink ref="B4662" r:id="rId14394" display="https://twitter.com/KarinaS47327470" xr:uid="{46F0EC4D-91E2-4A53-8520-29FFEF0BC3A1}"/>
    <hyperlink ref="E4662" r:id="rId14395" display="https://twitter.com/KarinaS47327470/status/723573189427646464" xr:uid="{4CD325DB-2F89-40CB-A784-77B6473F55B7}"/>
    <hyperlink ref="O4662" r:id="rId14396" display="https://pbs.twimg.com/profile_images/722941853394337794/_dhXFLas_normal.jpg" xr:uid="{76FAAA84-B3C8-438B-BE2F-3CEB17CBB4B7}"/>
    <hyperlink ref="B4663" r:id="rId14397" display="https://twitter.com/ktos90" xr:uid="{1AEF7834-9FE1-48EA-B901-12CEE5F42D77}"/>
    <hyperlink ref="E4663" r:id="rId14398" display="https://twitter.com/ktos90/status/723573260659621893" xr:uid="{61040EF7-5178-4921-9C62-AB85A33E6040}"/>
    <hyperlink ref="O4663" r:id="rId14399" display="https://pbs.twimg.com/profile_images/3326406395/719285154d57ac5eaeeefdce92d3c9c0_normal.jpeg" xr:uid="{9345806A-067F-4351-AE7B-FE96B12F5A09}"/>
    <hyperlink ref="P4663" r:id="rId14400" location="52.4333,19.4833" display="http://ctrlq.org/maps/address/ - 52.4333,19.4833" xr:uid="{81E7145C-B612-4C6C-A62D-B7F8578BFB46}"/>
    <hyperlink ref="B4664" r:id="rId14401" display="https://twitter.com/craigm1001" xr:uid="{C1DC92F0-82E6-437B-9B95-B1254412BC2B}"/>
    <hyperlink ref="E4664" r:id="rId14402" display="https://twitter.com/craigm1001/status/723573326162079744" xr:uid="{7AAC4148-F315-428F-8968-3FBDE3BB6246}"/>
    <hyperlink ref="O4664" r:id="rId14403" display="https://pbs.twimg.com/profile_images/637536838597672960/lxw69UmJ_normal.jpg" xr:uid="{05A26A70-788E-421C-8AF7-7E42285ABDAA}"/>
    <hyperlink ref="B4665" r:id="rId14404" display="https://twitter.com/marcos189sk8" xr:uid="{752CA0A2-0D52-423F-8731-E4F60DC6A3A6}"/>
    <hyperlink ref="E4665" r:id="rId14405" display="https://twitter.com/marcos189sk8/status/723573388665589760" xr:uid="{0DD14E7D-6ABD-41CA-A38B-E6E8443A6A49}"/>
    <hyperlink ref="O4665" r:id="rId14406" display="https://pbs.twimg.com/profile_images/720741719206203392/UF7FjEYv_normal.jpg" xr:uid="{B8871BBD-700C-419B-95D1-62C8DBDFD250}"/>
    <hyperlink ref="B4666" r:id="rId14407" display="https://twitter.com/sroski" xr:uid="{2AAF8B4D-0154-415F-A616-37B53744922E}"/>
    <hyperlink ref="E4666" r:id="rId14408" display="https://twitter.com/sroski/status/723573407007313920" xr:uid="{27FA5E7D-1352-44F2-92F9-BDB53F019A1D}"/>
    <hyperlink ref="N4666" r:id="rId14409" xr:uid="{C49F607A-A32A-4C90-8D1E-90E5528ECEF3}"/>
    <hyperlink ref="O4666" r:id="rId14410" display="https://pbs.twimg.com/profile_images/623907147819155456/6Cl14LSJ_normal.jpg" xr:uid="{3AE07FCE-8795-446E-B85C-1ED274DA822C}"/>
    <hyperlink ref="B4667" r:id="rId14411" display="https://twitter.com/elfransanchez99" xr:uid="{303B3E1A-29A4-46A6-89AB-C917A93669CF}"/>
    <hyperlink ref="E4667" r:id="rId14412" display="https://twitter.com/elfransanchez99/status/723573431304904706" xr:uid="{F8E2A351-7898-43AF-AF91-41439EF9C93F}"/>
    <hyperlink ref="O4667" r:id="rId14413" display="https://pbs.twimg.com/profile_images/647434205853544453/1g3EBIZ1_normal.jpg" xr:uid="{BE589EF5-010A-4623-8340-C2D2C5A53F57}"/>
    <hyperlink ref="B4668" r:id="rId14414" display="https://twitter.com/camiii_zalazar" xr:uid="{EB33715F-C0BE-4A73-A3D2-7170347CDA67}"/>
    <hyperlink ref="E4668" r:id="rId14415" display="https://twitter.com/camiii_zalazar/status/723573584237568000" xr:uid="{E31B5260-7CC2-47E0-BC9B-EB78BA32FEFF}"/>
    <hyperlink ref="O4668" r:id="rId14416" display="https://pbs.twimg.com/profile_images/720834831408443392/brx71tjG_normal.jpg" xr:uid="{F077026B-78F7-4473-A84F-331F07040220}"/>
    <hyperlink ref="B4669" r:id="rId14417" display="https://twitter.com/VWCamperSales" xr:uid="{A56F1675-B8B5-4FF9-ABD0-3DA3FE1763EF}"/>
    <hyperlink ref="E4669" r:id="rId14418" display="https://twitter.com/VWCamperSales/status/723573612125388800" xr:uid="{A65BC432-3DBC-4DE4-A25F-3479F5CBF656}"/>
    <hyperlink ref="F4669" r:id="rId14419" xr:uid="{21337178-7C4A-417B-9F48-D711F6435773}"/>
    <hyperlink ref="O4669" r:id="rId14420" display="https://pbs.twimg.com/profile_images/627949001179037696/skEBkS05_normal.jpg" xr:uid="{127866AE-1033-47D3-AAC0-C1611775B041}"/>
    <hyperlink ref="B4670" r:id="rId14421" display="https://twitter.com/dw_business" xr:uid="{10118481-E93C-42DE-A3BE-E20A0E77C179}"/>
    <hyperlink ref="E4670" r:id="rId14422" display="https://twitter.com/dw_business/status/723573612796465152" xr:uid="{4C12FC51-280E-44BD-AA32-F277BA6F85F4}"/>
    <hyperlink ref="O4670" r:id="rId14423" display="https://pbs.twimg.com/profile_images/474178130312044544/-U2TP65D_normal.png" xr:uid="{99F689E8-86A3-4874-B59B-8BA0D58CF7A8}"/>
    <hyperlink ref="B4671" r:id="rId14424" display="https://twitter.com/RayGoldbaer" xr:uid="{2E527993-CA66-4E70-A601-86B9201D8FDE}"/>
    <hyperlink ref="E4671" r:id="rId14425" display="https://twitter.com/RayGoldbaer/status/723573710385459200" xr:uid="{3981864F-C029-4B81-ADB2-F2381E3D7C66}"/>
    <hyperlink ref="O4671" r:id="rId14426" display="https://pbs.twimg.com/profile_images/712920876300238848/JDhJWFQm_normal.jpg" xr:uid="{17FF289B-71C4-4FB2-B2FD-7D061DE212A8}"/>
    <hyperlink ref="B4672" r:id="rId14427" display="https://twitter.com/SvenMFGN" xr:uid="{F684920D-601C-4F2C-9ACC-16556D40D1D8}"/>
    <hyperlink ref="E4672" r:id="rId14428" display="https://twitter.com/SvenMFGN/status/723573751003099136" xr:uid="{C43DA283-9E44-4FC6-B459-EB079215F09D}"/>
    <hyperlink ref="O4672" r:id="rId14429" display="https://pbs.twimg.com/profile_images/686176747390398464/xWJNnW3D_normal.jpg" xr:uid="{C77E03CF-DBBF-4CEB-A7C3-21328865B0D8}"/>
    <hyperlink ref="B4673" r:id="rId14430" display="https://twitter.com/countUP" xr:uid="{FBF703E4-5A1A-40BC-962D-25E6548F5195}"/>
    <hyperlink ref="E4673" r:id="rId14431" display="https://twitter.com/countUP/status/723573807529758720" xr:uid="{37872479-985F-4256-A075-3D312F694737}"/>
    <hyperlink ref="O4673" r:id="rId14432" display="https://pbs.twimg.com/profile_images/366739006/bewerbungsbild_detail_flyer_13_normal.png" xr:uid="{7EE2BE8E-A686-4894-AFB3-E80C8A0978C8}"/>
    <hyperlink ref="B4674" r:id="rId14433" display="https://twitter.com/AlexWitzleben" xr:uid="{916C1A04-4535-4372-B30E-EC605508A6AF}"/>
    <hyperlink ref="E4674" r:id="rId14434" display="https://twitter.com/AlexWitzleben/status/723573810658705409" xr:uid="{D501B750-6897-4FF9-98FD-BC04EBE60066}"/>
    <hyperlink ref="O4674" r:id="rId14435" display="https://pbs.twimg.com/profile_images/1913087124/AvW_website_normal.jpg" xr:uid="{5AE55002-E9E3-43B7-8D82-00F9260342E8}"/>
    <hyperlink ref="B4675" r:id="rId14436" display="https://twitter.com/UmaSharandon" xr:uid="{91D2F0F3-F32D-4F0C-9AF0-AE50A7C125A4}"/>
    <hyperlink ref="E4675" r:id="rId14437" display="https://twitter.com/UmaSharandon/status/723573848969515008" xr:uid="{0ED8C891-3C0E-404E-9B6B-48C7BEF43467}"/>
    <hyperlink ref="O4675" r:id="rId14438" display="https://pbs.twimg.com/profile_images/953096495/ISchnee_web_normal.jpg" xr:uid="{7CDFB494-CBEC-4C6F-9218-BC3FDA8FE0E2}"/>
    <hyperlink ref="B4676" r:id="rId14439" display="https://twitter.com/kevin_h_1979" xr:uid="{424772EE-F592-4F20-868A-394239E9405F}"/>
    <hyperlink ref="E4676" r:id="rId14440" display="https://twitter.com/kevin_h_1979/status/723573881806684160" xr:uid="{9594EA91-5F27-4E92-97F3-FF7D671974AF}"/>
    <hyperlink ref="O4676" r:id="rId14441" display="https://pbs.twimg.com/profile_images/717522214258663426/_jvM6g7j_normal.jpg" xr:uid="{12884FA8-CCF0-4853-A872-CB502D7D039B}"/>
    <hyperlink ref="B4677" r:id="rId14442" display="https://twitter.com/UniversityVW" xr:uid="{60DC4F9F-4B26-460E-BB74-E871D493252F}"/>
    <hyperlink ref="E4677" r:id="rId14443" display="https://twitter.com/UniversityVW/status/723573899124940802" xr:uid="{6F5A97CA-1083-455A-9618-5BE3C9CBD2B9}"/>
    <hyperlink ref="O4677" r:id="rId14444" display="https://pbs.twimg.com/profile_images/702601670186790912/ZdaqJSKf_normal.jpg" xr:uid="{42BDC8B5-509C-4F0E-980D-1EBF635D7083}"/>
    <hyperlink ref="B4678" r:id="rId14445" display="https://twitter.com/Mainbube" xr:uid="{54AD5FBD-609A-478C-B96B-D7A0CCAC2803}"/>
    <hyperlink ref="E4678" r:id="rId14446" display="https://twitter.com/Mainbube/status/723573937960042499" xr:uid="{0D8196A2-9B9E-4483-9412-E1CDCDF024DF}"/>
    <hyperlink ref="O4678" r:id="rId14447" display="https://pbs.twimg.com/profile_images/698181468846219264/whz-sLAP_normal.jpg" xr:uid="{D1E44362-766F-4AE0-A51B-86C7E85A6AB9}"/>
    <hyperlink ref="B4679" r:id="rId14448" display="https://twitter.com/UmaSharandon" xr:uid="{077AABD1-F2CD-4DF8-B7C1-C1F596E808AC}"/>
    <hyperlink ref="E4679" r:id="rId14449" display="https://twitter.com/UmaSharandon/status/723573948697436161" xr:uid="{D86A6D25-98EF-4E91-9552-9B8606E7D76B}"/>
    <hyperlink ref="O4679" r:id="rId14450" display="https://pbs.twimg.com/profile_images/953096495/ISchnee_web_normal.jpg" xr:uid="{875BCFF5-AE9C-401D-BC39-9077C0B21D66}"/>
    <hyperlink ref="B4680" r:id="rId14451" display="https://twitter.com/NorthWestDubs" xr:uid="{1CF08BBD-7C6D-4C88-AC73-28FF49EDED61}"/>
    <hyperlink ref="E4680" r:id="rId14452" display="https://twitter.com/NorthWestDubs/status/723574195800674304" xr:uid="{A1F68222-0494-46AC-BF14-C9E39EF3EE27}"/>
    <hyperlink ref="O4680" r:id="rId14453" display="https://pbs.twimg.com/profile_images/3325520037/cf2027069deae5dc44e82172d33a6683_normal.jpeg" xr:uid="{3EB3020F-44A9-4122-916A-F6F9AB3CB876}"/>
    <hyperlink ref="B4681" r:id="rId14454" display="https://twitter.com/Stony_BS" xr:uid="{8976EB49-98DD-40C1-8652-256BF4CD2E4F}"/>
    <hyperlink ref="E4681" r:id="rId14455" display="https://twitter.com/Stony_BS/status/723574201072902144" xr:uid="{88CA2190-8DE0-48E8-9E49-54874C4DD39E}"/>
    <hyperlink ref="O4681" r:id="rId14456" display="https://pbs.twimg.com/profile_images/668091779313500160/ZepxnJcI_normal.jpg" xr:uid="{2B6D2ED5-1059-4645-A204-F632DC1C3200}"/>
    <hyperlink ref="B4682" r:id="rId14457" display="https://twitter.com/themoosemind" xr:uid="{E8B63623-A2F3-4B7A-8C17-98AA19E75EE5}"/>
    <hyperlink ref="E4682" r:id="rId14458" display="https://twitter.com/themoosemind/status/723574206101880832" xr:uid="{AC899770-ADC6-4FEA-A4D6-692A51527B28}"/>
    <hyperlink ref="O4682" r:id="rId14459" display="https://pbs.twimg.com/profile_images/1548456046/Martin_Thoma_web_thumb_normal.jpg" xr:uid="{00F44B6D-ADE2-4AE8-AEE5-49B74F097375}"/>
    <hyperlink ref="B4683" r:id="rId14460" display="https://twitter.com/dwnews" xr:uid="{1FA27127-C679-4726-984E-D176100D90CC}"/>
    <hyperlink ref="E4683" r:id="rId14461" display="https://twitter.com/dwnews/status/723574349635035139" xr:uid="{09B9E906-D3BD-4108-A300-B80AEED04929}"/>
    <hyperlink ref="O4683" r:id="rId14462" display="https://pbs.twimg.com/profile_images/608213167496417280/QSxgcLn__normal.png" xr:uid="{48BD3985-2735-4139-AF39-48628F6993C1}"/>
    <hyperlink ref="B4684" r:id="rId14463" display="https://twitter.com/UmaSharandon" xr:uid="{9474FA7B-E69C-4098-BDF4-E6F7DAB74C54}"/>
    <hyperlink ref="E4684" r:id="rId14464" display="https://twitter.com/UmaSharandon/status/723574375904083968" xr:uid="{678F000B-A464-4E92-A3FF-38262036CDA2}"/>
    <hyperlink ref="O4684" r:id="rId14465" display="https://pbs.twimg.com/profile_images/953096495/ISchnee_web_normal.jpg" xr:uid="{49DC4D75-5F7F-4144-9AA4-5952D8881246}"/>
    <hyperlink ref="B4685" r:id="rId14466" display="https://twitter.com/MoveRally" xr:uid="{6C827D5A-0025-4148-A86D-8CCD32336A5D}"/>
    <hyperlink ref="E4685" r:id="rId14467" display="https://twitter.com/MoveRally/status/723574418375598081" xr:uid="{0E6B9C3A-314F-4097-831D-75D1D204860A}"/>
    <hyperlink ref="O4685" r:id="rId14468" display="https://pbs.twimg.com/profile_images/2261219336/portada_normal.jpg" xr:uid="{E24A0897-BFCC-43B7-BC75-517905855BC9}"/>
    <hyperlink ref="B4686" r:id="rId14469" display="https://twitter.com/sperrenohneball" xr:uid="{E79DC05A-25F8-40E7-B7A4-3E0BC3D39634}"/>
    <hyperlink ref="E4686" r:id="rId14470" display="https://twitter.com/sperrenohneball/status/723574447102373889" xr:uid="{8ADEAF8E-3593-4ADA-A9E5-A2C03B7ED0EF}"/>
    <hyperlink ref="O4686" r:id="rId14471" display="https://pbs.twimg.com/profile_images/708994757989638144/1AxOzwPm_normal.jpg" xr:uid="{75EFDFC7-0CD5-4459-BC43-9D4F9B6B1570}"/>
    <hyperlink ref="B4687" r:id="rId14472" display="https://twitter.com/e13Kiki" xr:uid="{AE81373E-B337-4054-9627-575EFAC0114C}"/>
    <hyperlink ref="E4687" r:id="rId14473" display="https://twitter.com/e13Kiki/status/723574666405785600" xr:uid="{C078D59E-B3BC-4A6E-B36A-71613C120363}"/>
    <hyperlink ref="O4687" r:id="rId14474" display="https://pbs.twimg.com/profile_images/720258066680324096/etKSGBp0_normal.jpg" xr:uid="{4694705E-E54C-4F83-B8A9-65A69643C5D7}"/>
    <hyperlink ref="B4688" r:id="rId14475" display="https://twitter.com/copeyphoto" xr:uid="{6E3FB113-B9EA-4F53-BE99-BF8FD58D213A}"/>
    <hyperlink ref="E4688" r:id="rId14476" display="https://twitter.com/copeyphoto/status/723574685158375424" xr:uid="{40198E28-CD9D-4E0D-86AA-FA8EC460F18A}"/>
    <hyperlink ref="O4688" r:id="rId14477" display="https://pbs.twimg.com/profile_images/471360227137163264/w2Gvricp_normal.png" xr:uid="{F1CF808D-6DDD-4B4F-9A1C-793902A968E7}"/>
    <hyperlink ref="B4689" r:id="rId14478" display="https://twitter.com/HelenaFalke1" xr:uid="{B68A418E-57FF-4A95-8AD0-ACCB86BF494B}"/>
    <hyperlink ref="E4689" r:id="rId14479" display="https://twitter.com/HelenaFalke1/status/723574687909969920" xr:uid="{D5DB10E0-32CF-4023-81AF-30BA30465773}"/>
    <hyperlink ref="O4689" r:id="rId14480" display="https://pbs.twimg.com/profile_images/3148486201/8709e99c61b7546219e400c8072dbadb_normal.jpeg" xr:uid="{31318C7B-D397-450B-BCC9-6D08D7AEE10C}"/>
    <hyperlink ref="B4690" r:id="rId14481" display="https://twitter.com/NickiFinlayson" xr:uid="{4F2E7782-AFE1-48EF-8F43-AD30AED0B129}"/>
    <hyperlink ref="E4690" r:id="rId14482" display="https://twitter.com/NickiFinlayson/status/723574693639401472" xr:uid="{1AE42373-D76F-4042-AF89-10D2F36ABB4B}"/>
    <hyperlink ref="O4690" r:id="rId14483" display="https://pbs.twimg.com/profile_images/554314641560846337/PQhLQK44_normal.jpeg" xr:uid="{85C95090-6BE9-43D5-A17A-FAE62944D09D}"/>
    <hyperlink ref="B4691" r:id="rId14484" display="https://twitter.com/todaysjobsfinde" xr:uid="{2B9CB51C-8E3A-4264-B5BC-57C7FDBDE260}"/>
    <hyperlink ref="E4691" r:id="rId14485" display="https://twitter.com/todaysjobsfinde/status/723574720994529285" xr:uid="{23E944D6-6787-4388-B68B-B89042883791}"/>
    <hyperlink ref="O4691" r:id="rId14486" display="https://pbs.twimg.com/profile_images/530313438526849024/SiYPqCcU_normal.png" xr:uid="{3076C083-B7C7-4FDB-BB4A-1D7164B6F080}"/>
    <hyperlink ref="B4692" r:id="rId14487" display="https://twitter.com/FuscaWorld" xr:uid="{192464D3-FB08-46FE-8775-2B4BEA6EAA92}"/>
    <hyperlink ref="E4692" r:id="rId14488" display="https://twitter.com/FuscaWorld/status/723574734957469697" xr:uid="{394993AA-FF63-4B33-B090-EBF39D56E3D8}"/>
    <hyperlink ref="O4692" r:id="rId14489" display="https://pbs.twimg.com/profile_images/705780107844067328/e7O4UBNb_normal.jpg" xr:uid="{E41B0ECC-F714-44B5-A41B-335AFE59CE21}"/>
    <hyperlink ref="B4693" r:id="rId14490" display="https://twitter.com/chrzescinski" xr:uid="{FC6A02D0-34A3-4A04-8065-3135DE4D6EFC}"/>
    <hyperlink ref="E4693" r:id="rId14491" display="https://twitter.com/chrzescinski/status/723574735385300992" xr:uid="{45548322-E8C3-4411-A769-A1E78CE2DBA9}"/>
    <hyperlink ref="O4693" r:id="rId14492" display="https://pbs.twimg.com/profile_images/580687738636247040/fASIEOYs_normal.jpg" xr:uid="{3E47D0B9-676A-47DC-916F-3DF4131EFEB2}"/>
    <hyperlink ref="B4694" r:id="rId14493" display="https://twitter.com/FuscaWorld" xr:uid="{977A55DF-2CCE-4AB5-AC2E-497CFF73BF2B}"/>
    <hyperlink ref="E4694" r:id="rId14494" display="https://twitter.com/FuscaWorld/status/723574737788669952" xr:uid="{C83E7EA7-73B1-4B52-9480-6627F690FC2A}"/>
    <hyperlink ref="O4694" r:id="rId14495" display="https://pbs.twimg.com/profile_images/705780107844067328/e7O4UBNb_normal.jpg" xr:uid="{3F5A4139-209F-48B9-AFD8-5C4A6A5EECCE}"/>
    <hyperlink ref="B4695" r:id="rId14496" display="https://twitter.com/DDROffiziell" xr:uid="{D2D021C1-4683-4B70-8F50-A7EEBBA66098}"/>
    <hyperlink ref="E4695" r:id="rId14497" display="https://twitter.com/DDROffiziell/status/723574939274600449" xr:uid="{8F71EB70-1685-41CB-A2D8-A55A56F2834A}"/>
    <hyperlink ref="O4695" r:id="rId14498" display="https://pbs.twimg.com/profile_images/637410448153964548/b8p3iGqk_normal.jpg" xr:uid="{AEF22713-25DF-490B-B932-6160E0C07923}"/>
    <hyperlink ref="B4696" r:id="rId14499" display="https://twitter.com/GFSchulze" xr:uid="{C211164A-6048-4F60-A69C-8B9FAE0EDDA9}"/>
    <hyperlink ref="E4696" r:id="rId14500" display="https://twitter.com/GFSchulze/status/723574942269333504" xr:uid="{3F5DD564-1D34-4F37-96E3-CFB7BE884D67}"/>
    <hyperlink ref="O4696" r:id="rId14501" display="https://pbs.twimg.com/profile_images/541550464311902208/JxUT1EJM_normal.jpeg" xr:uid="{21C97DEE-133E-464C-BCC2-5085E09B07D5}"/>
    <hyperlink ref="B4697" r:id="rId14502" display="https://twitter.com/TractatusArtium" xr:uid="{62ABD60E-2020-46ED-9967-C6B023F5CCD8}"/>
    <hyperlink ref="E4697" r:id="rId14503" display="https://twitter.com/TractatusArtium/status/723574975031029760" xr:uid="{E5170CB0-BDA1-4565-91BB-65F851E1A56F}"/>
    <hyperlink ref="O4697" r:id="rId14504" display="https://pbs.twimg.com/profile_images/2133628020/Bild_MH_normal.JPG" xr:uid="{D64FA678-0709-49E3-9801-7BDDAE3AED09}"/>
    <hyperlink ref="B4698" r:id="rId14505" display="https://twitter.com/TodayBEToday" xr:uid="{E947FC9B-8697-46B2-BFC6-14EC865ED76C}"/>
    <hyperlink ref="E4698" r:id="rId14506" display="https://twitter.com/TodayBEToday/status/723575015522873344" xr:uid="{7AC3DD4C-8C6E-4BA4-900F-DE27D9CE13DD}"/>
    <hyperlink ref="O4698" r:id="rId14507" display="https://pbs.twimg.com/profile_images/492723540802932736/jwdWTjbv_normal.jpeg" xr:uid="{0357FB2E-3385-491F-BB75-E0F50B701B16}"/>
    <hyperlink ref="B4699" r:id="rId14508" display="https://twitter.com/vonAckern" xr:uid="{B6695B31-CE82-4996-BF9E-E74FCDCC0552}"/>
    <hyperlink ref="E4699" r:id="rId14509" display="https://twitter.com/vonAckern/status/723575038843195393" xr:uid="{63C2A8C9-622B-4AAA-891A-FC4E58B483D2}"/>
    <hyperlink ref="O4699" r:id="rId14510" display="https://pbs.twimg.com/profile_images/657519862038831104/cRJqTT4t_normal.png" xr:uid="{6AE2E966-95B3-49EA-933D-7EF2B68B1B6A}"/>
    <hyperlink ref="B4700" r:id="rId14511" display="https://twitter.com/EHcars" xr:uid="{138E6DDC-96F8-4C7C-9AC8-F470FC9B1D4F}"/>
    <hyperlink ref="E4700" r:id="rId14512" display="https://twitter.com/EHcars/status/723575055414906880" xr:uid="{14DE9C31-DFD9-4917-BFFC-465F3ADEBDB7}"/>
    <hyperlink ref="O4700" r:id="rId14513" display="https://pbs.twimg.com/profile_images/619590752906149888/gOJBR12k_normal.jpg" xr:uid="{8F660AB3-C664-4747-943C-B8A73C11C7CC}"/>
    <hyperlink ref="B4701" r:id="rId14514" display="https://twitter.com/Creeperagent" xr:uid="{D47BAAA8-7D04-4315-BE73-86A30501D2E8}"/>
    <hyperlink ref="E4701" r:id="rId14515" display="https://twitter.com/Creeperagent/status/723575073475538947" xr:uid="{C4261BA5-1D24-439A-B3B7-2FF4FA29AAF3}"/>
    <hyperlink ref="O4701" r:id="rId14516" display="https://abs.twimg.com/sticky/default_profile_images/default_profile_5_normal.png" xr:uid="{5744EC35-4254-45FE-811A-6EB989ABB0E1}"/>
    <hyperlink ref="B4702" r:id="rId14517" display="https://twitter.com/brookeamasters" xr:uid="{1B0E8427-05D3-456D-9EB5-B1EF712F449F}"/>
    <hyperlink ref="E4702" r:id="rId14518" display="https://twitter.com/brookeamasters/status/723575074004058112" xr:uid="{A4093A34-0A5E-4833-B50C-928997C8A142}"/>
    <hyperlink ref="O4702" r:id="rId14519" display="https://pbs.twimg.com/profile_images/690516567252156416/xyEYEy_7_normal.jpg" xr:uid="{EC166019-DC43-4627-9820-C68DDEB5C252}"/>
    <hyperlink ref="B4703" r:id="rId14520" display="https://twitter.com/iForia" xr:uid="{593BEE3A-C04A-4FEC-BF27-48D984C901A9}"/>
    <hyperlink ref="E4703" r:id="rId14521" display="https://twitter.com/iForia/status/723575084347215872" xr:uid="{1E504DC7-5C13-4758-B363-F5B86BE020A1}"/>
    <hyperlink ref="O4703" r:id="rId14522" display="https://pbs.twimg.com/profile_images/1662133533/Augen-T_reasonably_small_normal.jpg" xr:uid="{33D4E6AC-1324-4B60-A5A5-4BA005323652}"/>
    <hyperlink ref="B4704" r:id="rId14523" display="https://twitter.com/DubLuvTuning" xr:uid="{1528C5CF-F891-42D6-A63F-60AC21B386A4}"/>
    <hyperlink ref="E4704" r:id="rId14524" display="https://twitter.com/DubLuvTuning/status/723575192249896960" xr:uid="{E681F31D-E108-418E-BB9A-03733971388D}"/>
    <hyperlink ref="O4704" r:id="rId14525" display="https://pbs.twimg.com/profile_images/378800000572104796/1de43e1cf23efb3f4101c02afad0d3b6_normal.png" xr:uid="{AF62A36E-5EEE-4671-8D59-34A98A0B3261}"/>
    <hyperlink ref="B4705" r:id="rId14526" display="https://twitter.com/DubLuvTuning" xr:uid="{BCE5A60C-D87D-4E31-9F8B-D71AD0E6E939}"/>
    <hyperlink ref="E4705" r:id="rId14527" display="https://twitter.com/DubLuvTuning/status/723575193743011840" xr:uid="{70B1950B-C7BB-4C1E-8898-977C30A31FED}"/>
    <hyperlink ref="O4705" r:id="rId14528" display="https://pbs.twimg.com/profile_images/378800000572104796/1de43e1cf23efb3f4101c02afad0d3b6_normal.png" xr:uid="{03002F62-9B97-4BFD-8870-58C935DB3CFC}"/>
    <hyperlink ref="B4706" r:id="rId14529" display="https://twitter.com/anja_urbschat" xr:uid="{2290DE45-4338-4269-B153-6101BA5722B3}"/>
    <hyperlink ref="E4706" r:id="rId14530" display="https://twitter.com/anja_urbschat/status/723575218485248000" xr:uid="{21E9D20D-1C8E-4564-AE49-A5279E0FDF75}"/>
    <hyperlink ref="O4706" r:id="rId14531" display="https://pbs.twimg.com/profile_images/714481016879099904/ePsz83mr_normal.jpg" xr:uid="{FDF3EEA9-3E9C-4D89-95B0-858D3719D97B}"/>
    <hyperlink ref="B4707" r:id="rId14532" display="https://twitter.com/VWCamperSales" xr:uid="{1DCF7A28-6C09-45FB-ADD0-668F3C096EF2}"/>
    <hyperlink ref="E4707" r:id="rId14533" display="https://twitter.com/VWCamperSales/status/723575235102953472" xr:uid="{9600ABD8-662A-422F-8BF0-9EA116C0C2A4}"/>
    <hyperlink ref="F4707" r:id="rId14534" xr:uid="{1F228F09-B0D3-47A5-938B-79679F71CB90}"/>
    <hyperlink ref="O4707" r:id="rId14535" display="https://pbs.twimg.com/profile_images/627949001179037696/skEBkS05_normal.jpg" xr:uid="{C7873B61-C274-48A6-9D54-3E2B7B8B01EE}"/>
    <hyperlink ref="B4708" r:id="rId14536" display="https://twitter.com/Porscheclubscms" xr:uid="{0C754891-61EF-4957-BF6C-E705BB4F62B5}"/>
    <hyperlink ref="E4708" r:id="rId14537" display="https://twitter.com/Porscheclubscms/status/723575245966348288" xr:uid="{58E5371C-AE07-45D2-BEBE-DC0531A65D52}"/>
    <hyperlink ref="O4708" r:id="rId14538" display="https://pbs.twimg.com/profile_images/714388994763669504/Xw-x8bz-_normal.jpg" xr:uid="{5C439B58-5821-4495-BBDD-80FC8E1D7F3C}"/>
    <hyperlink ref="B4709" r:id="rId14539" display="https://twitter.com/weald_tech" xr:uid="{C82ADEA3-3399-43C2-A6CE-49CD37FBFB27}"/>
    <hyperlink ref="E4709" r:id="rId14540" display="https://twitter.com/weald_tech/status/723575253201461248" xr:uid="{0E81D314-1C9B-4A15-AC40-8A7AA7A352A1}"/>
    <hyperlink ref="O4709" r:id="rId14541" display="https://pbs.twimg.com/profile_images/687855325500846081/QXpQDiXO_normal.jpg" xr:uid="{C22FE0C8-FAB1-4F40-903E-B73805912DE6}"/>
    <hyperlink ref="B4710" r:id="rId14542" display="https://twitter.com/sempretranquila" xr:uid="{73C9A076-0F2E-4F7C-924A-8FACE5CEE719}"/>
    <hyperlink ref="E4710" r:id="rId14543" display="https://twitter.com/sempretranquila/status/723575283010383872" xr:uid="{73474842-D511-4584-A1BD-862450FF319C}"/>
    <hyperlink ref="O4710" r:id="rId14544" display="https://pbs.twimg.com/profile_images/714254271735336961/PdFBoQ2A_normal.jpg" xr:uid="{FC0231D2-6A93-4E91-A77A-1676B3294C89}"/>
    <hyperlink ref="B4711" r:id="rId14545" display="https://twitter.com/Addi_Poes" xr:uid="{45A68AC0-1E0E-47B9-96CF-CA3FA8907FB9}"/>
    <hyperlink ref="E4711" r:id="rId14546" display="https://twitter.com/Addi_Poes/status/723575305634492416" xr:uid="{E9BAEF0F-678A-4D95-AD65-08002FAE47A9}"/>
    <hyperlink ref="O4711" r:id="rId14547" display="https://pbs.twimg.com/profile_images/684052496524926981/INtnRaxy_normal.jpg" xr:uid="{CD0DA9B2-8CBF-4518-BC7B-69EA79C18960}"/>
    <hyperlink ref="B4712" r:id="rId14548" display="https://twitter.com/kinoptika" xr:uid="{CD30C88A-BD91-4E9E-B3BF-51BAC9D77390}"/>
    <hyperlink ref="E4712" r:id="rId14549" display="https://twitter.com/kinoptika/status/723575310101278721" xr:uid="{7985E7F2-D8A7-4A15-8FA0-6FF9674E8B2F}"/>
    <hyperlink ref="O4712" r:id="rId14550" display="https://pbs.twimg.com/profile_images/510673988003966976/6Ggzktuf_normal.png" xr:uid="{F6F01085-DEA4-422F-8676-3EAFD68577CA}"/>
    <hyperlink ref="B4713" r:id="rId14551" display="https://twitter.com/Midgedog" xr:uid="{B560E660-D9D4-4A71-B999-851C08D3FD0A}"/>
    <hyperlink ref="E4713" r:id="rId14552" display="https://twitter.com/Midgedog/status/723575347892084737" xr:uid="{E394AF73-DB5F-48E0-BA72-346EACED2376}"/>
    <hyperlink ref="O4713" r:id="rId14553" display="https://pbs.twimg.com/profile_images/667473720701812736/FIda9hZJ_normal.jpg" xr:uid="{95F2BCE2-259B-4245-B373-9322F333EEC1}"/>
    <hyperlink ref="B4714" r:id="rId14554" display="https://twitter.com/GFSchulze" xr:uid="{C1B6B9CB-EFF3-4732-AB98-2C5E305EDDC9}"/>
    <hyperlink ref="E4714" r:id="rId14555" display="https://twitter.com/GFSchulze/status/723575350911991808" xr:uid="{DBF8C507-5710-4114-A859-F227A511A029}"/>
    <hyperlink ref="O4714" r:id="rId14556" display="https://pbs.twimg.com/profile_images/541550464311902208/JxUT1EJM_normal.jpeg" xr:uid="{91F34B97-C3F8-4368-B98B-E4E0505CEB49}"/>
    <hyperlink ref="B4715" r:id="rId14557" display="https://twitter.com/Michael_Vasanth" xr:uid="{2AB9E75D-E21C-49AA-A7FA-07DFB36F279B}"/>
    <hyperlink ref="E4715" r:id="rId14558" display="https://twitter.com/Michael_Vasanth/status/723575385506615297" xr:uid="{24F7DD34-6234-4D3A-A411-6F0283BDF545}"/>
    <hyperlink ref="O4715" r:id="rId14559" display="https://pbs.twimg.com/profile_images/693447250224087040/au64Cdjo_normal.jpg" xr:uid="{0915E07D-42FC-47AC-B590-362186ADEEED}"/>
    <hyperlink ref="B4716" r:id="rId14560" display="https://twitter.com/kinoptika" xr:uid="{A7F55A38-4947-459D-A6C5-4587F95636A0}"/>
    <hyperlink ref="E4716" r:id="rId14561" display="https://twitter.com/kinoptika/status/723575493132349440" xr:uid="{F4345AC7-B641-45E8-91F3-A7DA15352352}"/>
    <hyperlink ref="O4716" r:id="rId14562" display="https://pbs.twimg.com/profile_images/510673988003966976/6Ggzktuf_normal.png" xr:uid="{99D2DCFA-EC81-431C-A65F-5FC7AE4093A8}"/>
    <hyperlink ref="B4717" r:id="rId14563" display="https://twitter.com/holminger" xr:uid="{EBC77331-F4E0-495D-AD77-BD3DEA5698CB}"/>
    <hyperlink ref="E4717" r:id="rId14564" display="https://twitter.com/holminger/status/723575495992991747" xr:uid="{83DB78FA-7458-43DA-856B-EF5B8157087C}"/>
    <hyperlink ref="O4717" r:id="rId14565" display="https://pbs.twimg.com/profile_images/1168508926/holm_manga_avatar_mini_normal.jpg" xr:uid="{E0C363B8-DC29-48FE-A4B3-F314B0E6240A}"/>
    <hyperlink ref="B4718" r:id="rId14566" display="https://twitter.com/bitgit" xr:uid="{743FD397-3F74-4E9A-A746-66F500FE55C2}"/>
    <hyperlink ref="E4718" r:id="rId14567" display="https://twitter.com/bitgit/status/723575525063708672" xr:uid="{BE499F91-2BC8-45E1-8DE0-B1C4616E1B70}"/>
    <hyperlink ref="O4718" r:id="rId14568" display="https://pbs.twimg.com/profile_images/618550586804449280/8Lx4PJtx_normal.jpg" xr:uid="{9D398634-453F-4323-96DE-179BDB7A387B}"/>
    <hyperlink ref="B4719" r:id="rId14569" display="https://twitter.com/Cynfullll" xr:uid="{4B8C0CC0-55EE-4BF4-BD92-1DD39408BE45}"/>
    <hyperlink ref="E4719" r:id="rId14570" display="https://twitter.com/Cynfullll/status/723575724737699840" xr:uid="{85D72A25-1FB4-42E5-B2F4-47D8022A5E57}"/>
    <hyperlink ref="O4719" r:id="rId14571" display="https://pbs.twimg.com/profile_images/547471830659776512/hoBj9PzX_normal.jpeg" xr:uid="{A9274686-A570-4C05-8134-16FD7451E5AA}"/>
    <hyperlink ref="B4720" r:id="rId14572" display="https://twitter.com/Luishii23" xr:uid="{CADE2FE5-B62B-4EDF-A261-91E982585E80}"/>
    <hyperlink ref="E4720" r:id="rId14573" display="https://twitter.com/Luishii23/status/723575780542976001" xr:uid="{E5D42CC3-47FF-480B-B5B8-740F4C7326CA}"/>
    <hyperlink ref="O4720" r:id="rId14574" display="https://pbs.twimg.com/profile_images/689594001280929792/BuF5EpDZ_normal.jpg" xr:uid="{1FDF6121-3EF8-4E62-BAEC-6733A4F0CD2F}"/>
    <hyperlink ref="B4721" r:id="rId14575" display="https://twitter.com/tagesschau" xr:uid="{4194E656-B397-4D8C-9595-0A9F24A6D8F1}"/>
    <hyperlink ref="E4721" r:id="rId14576" display="https://twitter.com/tagesschau/status/723575816987267074" xr:uid="{362806EF-596B-41F8-A938-4DD2D6343EA9}"/>
    <hyperlink ref="F4721" r:id="rId14577" xr:uid="{9ABF5CF8-5215-4C29-A3CF-11551104F79B}"/>
    <hyperlink ref="O4721" r:id="rId14578" display="https://pbs.twimg.com/profile_images/531688614640365568/U84uXoIT_normal.png" xr:uid="{FED5A401-D761-4239-8B7D-5EF8CE9AA086}"/>
    <hyperlink ref="B4722" r:id="rId14579" display="https://twitter.com/photogera" xr:uid="{1B5B745F-5AB9-4BDD-80D8-62FF4A034929}"/>
    <hyperlink ref="E4722" r:id="rId14580" display="https://twitter.com/photogera/status/723575840961867776" xr:uid="{80564E32-E108-4F8A-927B-E9E10410C59F}"/>
    <hyperlink ref="O4722" r:id="rId14581" display="https://pbs.twimg.com/profile_images/999306142/Unbenannt-4_normal.jpg" xr:uid="{13D3ADEC-6619-48FF-ABC8-A1A788119FA3}"/>
    <hyperlink ref="B4723" r:id="rId14582" display="https://twitter.com/Topspeedgr" xr:uid="{F08CFB1F-4802-4BBB-A412-2C20D7EF6D21}"/>
    <hyperlink ref="E4723" r:id="rId14583" display="https://twitter.com/Topspeedgr/status/723575892350357504" xr:uid="{419A41A0-64F4-42C2-8760-BC7CB4A8DCFF}"/>
    <hyperlink ref="F4723" r:id="rId14584" xr:uid="{BC8FDB17-A051-49C1-ABAB-AA49E4E6AE70}"/>
    <hyperlink ref="O4723" r:id="rId14585" display="https://pbs.twimg.com/profile_images/608722117648101376/9jVJ4teJ_normal.jpg" xr:uid="{F3A00971-DBCF-4DD0-8D85-30ACB9686AE2}"/>
    <hyperlink ref="B4724" r:id="rId14586" display="https://twitter.com/Guadiglesias" xr:uid="{39740DCF-1051-480D-B04D-E56E6BFB6699}"/>
    <hyperlink ref="E4724" r:id="rId14587" display="https://twitter.com/Guadiglesias/status/723576038786211841" xr:uid="{51E446C8-AD6B-4DBD-B838-9FB5BF079135}"/>
    <hyperlink ref="O4724" r:id="rId14588" display="https://pbs.twimg.com/profile_images/714914680997806082/geggEhGo_normal.jpg" xr:uid="{50CB565B-78DD-4FAE-A457-6FAD6A3C9C51}"/>
    <hyperlink ref="B4725" r:id="rId14589" display="https://twitter.com/MiiqaaNu" xr:uid="{0C0FF4C5-EF86-4AC0-9D12-12958C305464}"/>
    <hyperlink ref="E4725" r:id="rId14590" display="https://twitter.com/MiiqaaNu/status/723576107971317760" xr:uid="{A7C460F3-864B-4C5D-AC8B-091F323C62B2}"/>
    <hyperlink ref="O4725" r:id="rId14591" display="https://pbs.twimg.com/profile_images/721045156959555585/S4XPyxVN_normal.jpg" xr:uid="{03682596-054B-43F7-BD5B-47B34C831347}"/>
    <hyperlink ref="B4726" r:id="rId14592" display="https://twitter.com/fan_burnnotice" xr:uid="{BDDC06B4-2966-4C5E-A8F5-1E6317EF83C0}"/>
    <hyperlink ref="E4726" r:id="rId14593" display="https://twitter.com/fan_burnnotice/status/723576218352758784" xr:uid="{9B912AE7-3965-4590-9D7E-5B202D37E1BF}"/>
    <hyperlink ref="O4726" r:id="rId14594" display="https://pbs.twimg.com/profile_images/686286262773387264/YnzLLxvO_normal.jpg" xr:uid="{D18CC64D-0C78-49E0-8B26-479CEA7DCE8F}"/>
    <hyperlink ref="B4727" r:id="rId14595" display="https://twitter.com/vwdepo" xr:uid="{0D03A704-C8F9-4AA4-B026-4BB8FD2A69BB}"/>
    <hyperlink ref="E4727" r:id="rId14596" display="https://twitter.com/vwdepo/status/723576405645205504" xr:uid="{8BD0220F-261F-41DD-B34A-0E1476D1FE13}"/>
    <hyperlink ref="O4727" r:id="rId14597" display="https://pbs.twimg.com/profile_images/3378184537/c20ae9a7a410821b4f189c34a63380f7_normal.png" xr:uid="{FB186B9E-F7A4-4947-8468-9F20322A94BE}"/>
    <hyperlink ref="B4728" r:id="rId14598" display="https://twitter.com/ratemycamper" xr:uid="{2F80BD4D-87A2-4601-A698-048811DB5963}"/>
    <hyperlink ref="E4728" r:id="rId14599" display="https://twitter.com/ratemycamper/status/723576457839140864" xr:uid="{723A5248-D14B-43A0-8D31-B7100189A08C}"/>
    <hyperlink ref="O4728" r:id="rId14600" display="https://pbs.twimg.com/profile_images/710929065939755009/-Rgs_z20_normal.jpg" xr:uid="{2DF4F7B6-D85F-4463-8181-89A11031CE99}"/>
    <hyperlink ref="B4729" r:id="rId14601" display="https://twitter.com/c6rainer" xr:uid="{C4909C2E-2E41-4877-A21F-CDBC9093A537}"/>
    <hyperlink ref="E4729" r:id="rId14602" display="https://twitter.com/c6rainer/status/723576587392790528" xr:uid="{099A8410-6F34-4F1A-83DD-9ED29ADCA410}"/>
    <hyperlink ref="O4729" r:id="rId14603" display="https://pbs.twimg.com/profile_images/711512516833185792/d0lfppeu_normal.jpg" xr:uid="{815143A0-EFBD-40F3-9331-47392AF9F054}"/>
    <hyperlink ref="B4730" r:id="rId14604" display="https://twitter.com/oekomobil" xr:uid="{51DF4CA8-203F-4536-8561-0E0CB308762E}"/>
    <hyperlink ref="E4730" r:id="rId14605" display="https://twitter.com/oekomobil/status/723576695903670273" xr:uid="{053DC0E9-3124-424B-A431-AE2E5D5A2B12}"/>
    <hyperlink ref="O4730" r:id="rId14606" display="https://pbs.twimg.com/profile_images/703329620259688448/RfdFkFzI_normal.jpg" xr:uid="{772F4423-232A-4B72-902C-B261B41B54F1}"/>
    <hyperlink ref="B4731" r:id="rId14607" display="https://twitter.com/gaffers101" xr:uid="{5C1791B7-90B5-4B18-86B0-251F0909DD91}"/>
    <hyperlink ref="E4731" r:id="rId14608" display="https://twitter.com/gaffers101/status/723576944445521920" xr:uid="{CF31CCA3-0B30-45F4-9070-1288295D8400}"/>
    <hyperlink ref="O4731" r:id="rId14609" display="https://pbs.twimg.com/profile_images/701308630155579392/9VyAtMQn_normal.jpg" xr:uid="{1A3BD957-70A2-45E0-B7CD-90600847E262}"/>
    <hyperlink ref="B4732" r:id="rId14610" display="https://twitter.com/tinteschreiber" xr:uid="{A495B95E-8C44-4496-B511-664C6E99E741}"/>
    <hyperlink ref="E4732" r:id="rId14611" display="https://twitter.com/tinteschreiber/status/723576959704375296" xr:uid="{22421F84-91F4-4D73-A51B-DCFDEC2E4E9D}"/>
    <hyperlink ref="O4732" r:id="rId14612" display="https://pbs.twimg.com/profile_images/721631877707272194/339ABugc_normal.jpg" xr:uid="{E3DC8CA2-A0C8-4AE7-895E-A97A7C0475F6}"/>
    <hyperlink ref="B4733" r:id="rId14613" display="https://twitter.com/William24442835" xr:uid="{88F24753-E15C-4FF9-B1FC-758AEFAB4EF8}"/>
    <hyperlink ref="E4733" r:id="rId14614" display="https://twitter.com/William24442835/status/723576964053868545" xr:uid="{6E543D27-2110-49AA-8892-738483A6AAF1}"/>
    <hyperlink ref="O4733" r:id="rId14615" display="https://pbs.twimg.com/profile_images/721149184863301632/jpODuwW-_normal.jpg" xr:uid="{5CC608EA-CA40-45EE-9AD6-983DFF254562}"/>
    <hyperlink ref="B4734" r:id="rId14616" display="https://twitter.com/yoga_and_more" xr:uid="{EFAB46C0-2380-4144-89BA-347FB84CCCBA}"/>
    <hyperlink ref="E4734" r:id="rId14617" display="https://twitter.com/yoga_and_more/status/723577166630363136" xr:uid="{933B2C38-4CE0-4AD5-A102-06CD3417EB47}"/>
    <hyperlink ref="O4734" r:id="rId14618" display="https://pbs.twimg.com/profile_images/671622043377512449/urTZ7prg_normal.jpg" xr:uid="{D914F8E2-B770-456E-B9C2-6D3BB0C96F93}"/>
    <hyperlink ref="B4735" r:id="rId14619" display="https://twitter.com/Stony_BS" xr:uid="{DF4AF195-042B-4282-8C71-976C480B4A12}"/>
    <hyperlink ref="E4735" r:id="rId14620" display="https://twitter.com/Stony_BS/status/723577616800821248" xr:uid="{7B5C1510-4B11-4455-8F05-5AD8BEA78864}"/>
    <hyperlink ref="O4735" r:id="rId14621" display="https://pbs.twimg.com/profile_images/668091779313500160/ZepxnJcI_normal.jpg" xr:uid="{6BB7D683-339A-4F9C-926B-BFBF1276D5B6}"/>
    <hyperlink ref="B4736" r:id="rId14622" display="https://twitter.com/KarenEspindola_" xr:uid="{F0B254E9-BF34-4CD4-B107-FDD2EB1AFBC7}"/>
    <hyperlink ref="E4736" r:id="rId14623" display="https://twitter.com/KarenEspindola_/status/723577628746231808" xr:uid="{7E3175F1-99AB-40B5-B2D5-77BDCD3B9313}"/>
    <hyperlink ref="O4736" r:id="rId14624" display="https://pbs.twimg.com/profile_images/721549707772891136/zcZaPd89_normal.jpg" xr:uid="{90667511-195E-4E7E-8BAB-05E59D63D490}"/>
    <hyperlink ref="B4737" r:id="rId14625" display="https://twitter.com/agtomlinson_uk" xr:uid="{3B092449-74CC-4064-BE34-A59D994D88B5}"/>
    <hyperlink ref="E4737" r:id="rId14626" display="https://twitter.com/agtomlinson_uk/status/723577664100028416" xr:uid="{48BF16AF-4CBF-4599-A51D-27F582E0C2CD}"/>
    <hyperlink ref="O4737" r:id="rId14627" display="https://pbs.twimg.com/profile_images/553653312067624960/CIAl_X3g_normal.jpeg" xr:uid="{792987C2-FF59-4686-9B9D-499ED64FE369}"/>
    <hyperlink ref="B4738" r:id="rId14628" display="https://twitter.com/Insta_VWT" xr:uid="{3FF81C5C-F492-484F-8494-F54ED3B1BBEB}"/>
    <hyperlink ref="E4738" r:id="rId14629" display="https://twitter.com/Insta_VWT/status/723577707410366465" xr:uid="{D51BD65E-8AC8-4BEF-A49C-2FB4299773EF}"/>
    <hyperlink ref="O4738" r:id="rId14630" display="https://pbs.twimg.com/profile_images/424893967197433858/iQ86NktX_normal.jpeg" xr:uid="{7563A88A-9DF5-4778-A871-E2A8E798258C}"/>
    <hyperlink ref="B4739" r:id="rId14631" display="https://twitter.com/Insta_VWT" xr:uid="{3BA59C4A-261B-45F9-A044-113B1C7D07D3}"/>
    <hyperlink ref="E4739" r:id="rId14632" display="https://twitter.com/Insta_VWT/status/723577730084818944" xr:uid="{0ED2D468-EBA6-4472-9E08-E9B8880BF9DC}"/>
    <hyperlink ref="O4739" r:id="rId14633" display="https://pbs.twimg.com/profile_images/424893967197433858/iQ86NktX_normal.jpeg" xr:uid="{D777F5AE-8337-4EB0-AB6F-853AB191BF36}"/>
    <hyperlink ref="B4740" r:id="rId14634" display="https://twitter.com/schwerlastprofi" xr:uid="{E96F9F7C-B575-4640-BC78-055FE9AE58BD}"/>
    <hyperlink ref="E4740" r:id="rId14635" display="https://twitter.com/schwerlastprofi/status/723577764138328065" xr:uid="{A6C1B00E-9064-4E7E-9D87-0F6F42568A15}"/>
    <hyperlink ref="O4740" r:id="rId14636" display="https://pbs.twimg.com/profile_images/699312392279351296/xLH7EdkY_normal.jpg" xr:uid="{AFB77BBB-7AF6-466A-BAA8-A8B88114EA87}"/>
    <hyperlink ref="B4741" r:id="rId14637" display="https://twitter.com/Sr_Pilluelo" xr:uid="{C17840EC-A255-4A6E-937D-155E7D479107}"/>
    <hyperlink ref="E4741" r:id="rId14638" display="https://twitter.com/Sr_Pilluelo/status/723577864696827904" xr:uid="{E7EA34F6-5C9B-48CB-AE8F-75085E79D8BC}"/>
    <hyperlink ref="O4741" r:id="rId14639" display="https://pbs.twimg.com/profile_images/723003937532588032/qZmcNWU-_normal.jpg" xr:uid="{81D7E65D-D563-4DF0-A458-6C5B1B9A0E54}"/>
    <hyperlink ref="B4742" r:id="rId14640" display="https://twitter.com/ThomasGermany01" xr:uid="{1C8C2403-D240-46E1-B6A2-F0CF667B4928}"/>
    <hyperlink ref="E4742" r:id="rId14641" display="https://twitter.com/ThomasGermany01/status/723578272295038982" xr:uid="{D9E3EA1F-1E15-4B89-89C7-E6328EE82071}"/>
    <hyperlink ref="O4742" r:id="rId14642" display="https://pbs.twimg.com/profile_images/464445915223191552/S56ZJkTB_normal.jpeg" xr:uid="{09E0832F-2F36-4F67-B90E-6D00075E0504}"/>
    <hyperlink ref="B4743" r:id="rId14643" display="https://twitter.com/Legende2015" xr:uid="{9CA8C986-397A-4B9A-AB67-5A1602EB9655}"/>
    <hyperlink ref="E4743" r:id="rId14644" display="https://twitter.com/Legende2015/status/723578363626020865" xr:uid="{D6FEA311-C1AA-4F70-A91C-3140F6AB373A}"/>
    <hyperlink ref="O4743" r:id="rId14645" display="https://pbs.twimg.com/profile_images/652794510754344960/t2PPvsjv_normal.jpg" xr:uid="{03DA8F05-BDCC-44E1-9B01-212C3CF9D960}"/>
    <hyperlink ref="B4744" r:id="rId14646" display="https://twitter.com/heike1502" xr:uid="{7D3A1C2E-6FA3-4AC5-ABA4-85FF5535B0E7}"/>
    <hyperlink ref="E4744" r:id="rId14647" display="https://twitter.com/heike1502/status/723578623547023361" xr:uid="{8DCC6967-780C-4221-9724-88AFB7A348B2}"/>
    <hyperlink ref="O4744" r:id="rId14648" display="https://pbs.twimg.com/profile_images/709393622156836864/mepc1fVn_normal.jpg" xr:uid="{C7C50614-251A-46DC-8996-9B4C6BA8A1FA}"/>
    <hyperlink ref="B4745" r:id="rId14649" display="https://twitter.com/Stony_BS" xr:uid="{C1800B87-8BEC-45FF-ADE8-A20A5F71E2B9}"/>
    <hyperlink ref="E4745" r:id="rId14650" display="https://twitter.com/Stony_BS/status/723578677573877760" xr:uid="{9B2076D5-2D81-4B51-AF86-8D868AAD6194}"/>
    <hyperlink ref="O4745" r:id="rId14651" display="https://pbs.twimg.com/profile_images/668091779313500160/ZepxnJcI_normal.jpg" xr:uid="{57390CFA-7601-4EC0-94F6-68A20D19F250}"/>
    <hyperlink ref="B4746" r:id="rId14652" display="https://twitter.com/suzzie20202020" xr:uid="{BD9D1418-2D51-4FE5-964D-0B5D8DBD31CE}"/>
    <hyperlink ref="E4746" r:id="rId14653" display="https://twitter.com/suzzie20202020/status/723578775464644608" xr:uid="{1D74AA59-4FA7-4A2C-A228-169C23C9F29B}"/>
    <hyperlink ref="O4746" r:id="rId14654" display="https://abs.twimg.com/sticky/default_profile_images/default_profile_0_normal.png" xr:uid="{91ADD33D-0D1C-491F-8D6E-67E6996539A6}"/>
    <hyperlink ref="B4747" r:id="rId14655" display="https://twitter.com/EulenTweet" xr:uid="{EA47C540-F216-4595-822F-C2D90836B231}"/>
    <hyperlink ref="E4747" r:id="rId14656" display="https://twitter.com/EulenTweet/status/723578795870003200" xr:uid="{0FEA07B9-9C3F-49EC-8B81-AA0F476F7525}"/>
    <hyperlink ref="O4747" r:id="rId14657" display="https://pbs.twimg.com/profile_images/547286236738490368/dnpW5lX0_normal.jpeg" xr:uid="{0AD32A24-FB7A-4302-AFFC-FEF8064E718A}"/>
    <hyperlink ref="B4748" r:id="rId14658" display="https://twitter.com/socialwriter" xr:uid="{FC33DEFB-962B-481C-9886-B821C27AE395}"/>
    <hyperlink ref="E4748" r:id="rId14659" display="https://twitter.com/socialwriter/status/723578890854215680" xr:uid="{566F0B58-A33B-4343-B6A1-E0FE00B71671}"/>
    <hyperlink ref="O4748" r:id="rId14660" display="https://pbs.twimg.com/profile_images/1364292067/Mann_mit_Fl_stert_te_normal.JPG" xr:uid="{88C02B37-A6C1-4AF4-A9AE-06B6EF060286}"/>
    <hyperlink ref="B4749" r:id="rId14661" display="https://twitter.com/a911girlie" xr:uid="{0AF45871-89D3-4FFD-A77A-A9D3F99E2913}"/>
    <hyperlink ref="E4749" r:id="rId14662" display="https://twitter.com/a911girlie/status/723579195847237632" xr:uid="{0A8BA769-B300-4F0F-BE8D-F41C7669F326}"/>
    <hyperlink ref="O4749" r:id="rId14663" display="https://pbs.twimg.com/profile_images/447189869744631808/Kf4FEKKq_normal.jpeg" xr:uid="{276B00ED-0CAE-459D-9DAB-50B82613F4CD}"/>
    <hyperlink ref="B4750" r:id="rId14664" display="https://twitter.com/Burslempottery" xr:uid="{E0265A3A-B5EA-4258-BF95-89CD706D0F83}"/>
    <hyperlink ref="E4750" r:id="rId14665" display="https://twitter.com/Burslempottery/status/723579358259089408" xr:uid="{A33F6E2B-00CE-4B51-BE70-ED80197A28F9}"/>
    <hyperlink ref="O4750" r:id="rId14666" display="https://pbs.twimg.com/profile_images/461151199/owl_photoshop_normal.jpg" xr:uid="{0347D1BC-647D-4F25-A58E-A91C64D39B1B}"/>
    <hyperlink ref="B4751" r:id="rId14667" display="https://twitter.com/RaZeRiel" xr:uid="{2D097943-13A0-420F-926A-540249E96F5B}"/>
    <hyperlink ref="E4751" r:id="rId14668" display="https://twitter.com/RaZeRiel/status/723579375057289217" xr:uid="{DD178F7D-D81D-492C-AFB6-81A86AFB5989}"/>
    <hyperlink ref="O4751" r:id="rId14669" display="https://pbs.twimg.com/profile_images/425756630098001920/k5MIYSRu_normal.jpeg" xr:uid="{7317B94B-666A-49F7-B7D1-BE8DCF0615E8}"/>
    <hyperlink ref="B4752" r:id="rId14670" display="https://twitter.com/Fefe_crc" xr:uid="{0D2A012B-9E25-4E04-95B7-23EBC7833372}"/>
    <hyperlink ref="E4752" r:id="rId14671" display="https://twitter.com/Fefe_crc/status/723579647775088640" xr:uid="{33452D88-7290-438A-BB0F-1F05434F8E8C}"/>
    <hyperlink ref="O4752" r:id="rId14672" display="https://pbs.twimg.com/profile_images/708317385292451840/hvGxvzeX_normal.jpg" xr:uid="{42134B08-C215-47F5-9A33-43DDA0CCD431}"/>
    <hyperlink ref="B4753" r:id="rId14673" display="https://twitter.com/Mphilpot1" xr:uid="{BD58F282-3C8E-4747-BD7D-A9C02DEB4769}"/>
    <hyperlink ref="E4753" r:id="rId14674" display="https://twitter.com/Mphilpot1/status/723579720005120001" xr:uid="{B039DA77-EEA1-4BC4-A021-15012C29C87B}"/>
    <hyperlink ref="O4753" r:id="rId14675" display="https://pbs.twimg.com/profile_images/422164778639839234/LVnS1q1c_normal.jpeg" xr:uid="{9F1C3234-B071-4647-966E-68DC9A431E02}"/>
    <hyperlink ref="B4754" r:id="rId14676" display="https://twitter.com/theoneliner_" xr:uid="{A5AF0808-4262-4F79-A17F-D6E889588227}"/>
    <hyperlink ref="E4754" r:id="rId14677" display="https://twitter.com/theoneliner_/status/723579784807211008" xr:uid="{C61BEB66-0921-4A8F-9310-8ABFFC089FA2}"/>
    <hyperlink ref="O4754" r:id="rId14678" display="https://pbs.twimg.com/profile_images/626096492722393088/4PV3tOXU_normal.jpg" xr:uid="{698FBB39-BA87-45A9-BE58-5D193AB963AD}"/>
    <hyperlink ref="B4755" r:id="rId14679" display="https://twitter.com/bucknasty1213" xr:uid="{2DA9EE5C-B77A-4762-962C-F54A86F1CE9D}"/>
    <hyperlink ref="E4755" r:id="rId14680" display="https://twitter.com/bucknasty1213/status/723579818919469056" xr:uid="{24C3512D-DB8F-4704-8FF9-42E1A0B05628}"/>
    <hyperlink ref="O4755" r:id="rId14681" display="https://pbs.twimg.com/profile_images/1829211721/5f3oj1Vv_normal" xr:uid="{5B41B0F8-0D6C-4C74-A3D1-1352B39F9F78}"/>
    <hyperlink ref="P4755" r:id="rId14682" location="41.0327,-72.208" display="http://ctrlq.org/maps/address/ - 41.0327,-72.208" xr:uid="{6C8994B1-F08F-4732-8395-52F3651B10F4}"/>
    <hyperlink ref="B4756" r:id="rId14683" display="https://twitter.com/authormrmike059" xr:uid="{4300FC08-BD7A-48BF-BE14-D9D118EE68C4}"/>
    <hyperlink ref="E4756" r:id="rId14684" display="https://twitter.com/authormrmike059/status/723579927983980544" xr:uid="{2C6B6EE1-38CF-4F77-80AA-826E6C6ECE24}"/>
    <hyperlink ref="O4756" r:id="rId14685" display="https://pbs.twimg.com/profile_images/595566449315328000/SA2bNnvl_normal.jpg" xr:uid="{26EF487D-1E29-4468-B0B6-C874E9C08B00}"/>
    <hyperlink ref="B4757" r:id="rId14686" display="https://twitter.com/Stony_BS" xr:uid="{A1B3A350-A997-48D0-8643-7F6484D174DA}"/>
    <hyperlink ref="E4757" r:id="rId14687" display="https://twitter.com/Stony_BS/status/723579958749212674" xr:uid="{3E53A6A1-44F2-4D13-9955-273348981897}"/>
    <hyperlink ref="O4757" r:id="rId14688" display="https://pbs.twimg.com/profile_images/668091779313500160/ZepxnJcI_normal.jpg" xr:uid="{04C3451A-F360-4BBF-B519-07AFA4987A82}"/>
    <hyperlink ref="B4758" r:id="rId14689" display="https://twitter.com/karingonzalez2" xr:uid="{979FD060-946A-4005-8AAE-1DD44E295D0B}"/>
    <hyperlink ref="E4758" r:id="rId14690" display="https://twitter.com/karingonzalez2/status/723579993935237122" xr:uid="{C11A7A70-7338-4717-9AC3-C3EEE28F34C3}"/>
    <hyperlink ref="O4758" r:id="rId14691" display="https://pbs.twimg.com/profile_images/712479461703335937/fzllmCrI_normal.jpg" xr:uid="{AE4ACFBC-5096-4DCE-B553-599794F38EE8}"/>
    <hyperlink ref="B4759" r:id="rId14692" display="https://twitter.com/Colson_Hicks" xr:uid="{35FE0F32-2887-48A9-A3E2-05D3D40B4218}"/>
    <hyperlink ref="E4759" r:id="rId14693" display="https://twitter.com/Colson_Hicks/status/723580008766144512" xr:uid="{B3560658-3A4B-42EE-A216-97AD3BF5A189}"/>
    <hyperlink ref="O4759" r:id="rId14694" display="https://pbs.twimg.com/profile_images/2460141036/sjyibdigjv1d2c6e1sb0_normal.jpeg" xr:uid="{401FEEDB-679C-4D40-9294-1A0980636931}"/>
    <hyperlink ref="B4760" r:id="rId14695" display="https://twitter.com/Nevriye24" xr:uid="{E5E8BD94-FD97-4BB6-ADF4-150B15884F74}"/>
    <hyperlink ref="E4760" r:id="rId14696" display="https://twitter.com/Nevriye24/status/723580009168904192" xr:uid="{3B590A24-9FFF-4712-B767-C9F7364B33C9}"/>
    <hyperlink ref="O4760" r:id="rId14697" display="https://pbs.twimg.com/profile_images/378800000482732625/294a30a57cb74ab8221d2c411bd22a55_normal.jpeg" xr:uid="{90653523-0CD1-43F4-A528-12CF3F21D7DE}"/>
    <hyperlink ref="B4761" r:id="rId14698" display="https://twitter.com/BalrajGhattaura" xr:uid="{0A66EA65-3BF8-42B4-B600-63E383451310}"/>
    <hyperlink ref="E4761" r:id="rId14699" display="https://twitter.com/BalrajGhattaura/status/723580111648362496" xr:uid="{73C49A4A-CA2B-404D-A387-F2336819F569}"/>
    <hyperlink ref="O4761" r:id="rId14700" display="https://pbs.twimg.com/profile_images/378800000743480671/888bf2d3d6d63ffa431b47127494902b_normal.jpeg" xr:uid="{37E5588A-6163-413F-BB25-6D4E974DC55D}"/>
    <hyperlink ref="B4762" r:id="rId14701" display="https://twitter.com/Stony_BS" xr:uid="{96527C96-B3BD-4392-876D-98A01AD2FBFF}"/>
    <hyperlink ref="E4762" r:id="rId14702" display="https://twitter.com/Stony_BS/status/723580192036392960" xr:uid="{33A98188-C534-4D9B-891E-770F608D8A27}"/>
    <hyperlink ref="O4762" r:id="rId14703" display="https://pbs.twimg.com/profile_images/668091779313500160/ZepxnJcI_normal.jpg" xr:uid="{5906EEB3-B4B9-4AA8-983E-46973DED9151}"/>
    <hyperlink ref="B4763" r:id="rId14704" display="https://twitter.com/VWBeetleSales" xr:uid="{A62B05D6-10D8-47BB-8B66-07E36EC1536E}"/>
    <hyperlink ref="E4763" r:id="rId14705" display="https://twitter.com/VWBeetleSales/status/723580405593440256" xr:uid="{70353875-F299-4C40-AB72-F8D57C0BDD84}"/>
    <hyperlink ref="F4763" r:id="rId14706" xr:uid="{1426D9C1-5F52-4A3C-A280-1E7233429833}"/>
    <hyperlink ref="O4763" r:id="rId14707" display="https://pbs.twimg.com/profile_images/703294545195307008/qeCvrX86_normal.jpg" xr:uid="{64EF37C9-BE18-46AC-8F12-6473753AFEE5}"/>
    <hyperlink ref="B4764" r:id="rId14708" display="https://twitter.com/VWBeetleSales" xr:uid="{23E62930-CCD4-43DD-AD51-A47123BE3D9D}"/>
    <hyperlink ref="E4764" r:id="rId14709" display="https://twitter.com/VWBeetleSales/status/723580413206089728" xr:uid="{74BAF996-3C03-4EBF-8F5A-6C260563C9DF}"/>
    <hyperlink ref="F4764" r:id="rId14710" xr:uid="{0C9CFB32-3F4A-4106-A25A-E864864E0BA3}"/>
    <hyperlink ref="O4764" r:id="rId14711" display="https://pbs.twimg.com/profile_images/703294545195307008/qeCvrX86_normal.jpg" xr:uid="{C33E4005-4E5F-4F79-B893-00B7B355A796}"/>
    <hyperlink ref="B4765" r:id="rId14712" display="https://twitter.com/VWBeetleSales" xr:uid="{136EACEC-E289-4F11-96F1-97962CCB96BA}"/>
    <hyperlink ref="E4765" r:id="rId14713" display="https://twitter.com/VWBeetleSales/status/723580419992514561" xr:uid="{8E92210D-AAF1-4712-AEBE-9121B6BA7367}"/>
    <hyperlink ref="F4765" r:id="rId14714" xr:uid="{4D094CC9-1D81-4CBC-9A40-84683D21EE34}"/>
    <hyperlink ref="O4765" r:id="rId14715" display="https://pbs.twimg.com/profile_images/703294545195307008/qeCvrX86_normal.jpg" xr:uid="{3F847548-C153-40E0-841E-ADC0D24FDB29}"/>
    <hyperlink ref="B4766" r:id="rId14716" display="https://twitter.com/GlobalEthicist" xr:uid="{A82C9608-F310-4769-B7C4-552A091525A2}"/>
    <hyperlink ref="E4766" r:id="rId14717" display="https://twitter.com/GlobalEthicist/status/723580420277805057" xr:uid="{428B5A8E-5BD6-48E5-96A2-FDD6A9B27D6E}"/>
    <hyperlink ref="O4766" r:id="rId14718" display="https://pbs.twimg.com/profile_images/521406560179085312/6RyXKIat_normal.jpeg" xr:uid="{A85C4C7B-5AFD-4588-B612-79C142DDEA09}"/>
    <hyperlink ref="B4767" r:id="rId14719" display="https://twitter.com/lumnon" xr:uid="{C7BDFFD1-2915-4369-89EC-2B94BE9399A8}"/>
    <hyperlink ref="E4767" r:id="rId14720" display="https://twitter.com/lumnon/status/723580711257706496" xr:uid="{385C6B10-400D-44E1-A46B-7C6488C73AD3}"/>
    <hyperlink ref="O4767" r:id="rId14721" display="https://pbs.twimg.com/profile_images/1485945406/207925_113294028751758_100002134839482_119781_4289885_n_normal.jpg" xr:uid="{E1A3B195-6C87-460A-AE15-6355A819C15C}"/>
    <hyperlink ref="B4768" r:id="rId14722" display="https://twitter.com/DriveEv" xr:uid="{0B6E79C7-34D8-48F3-9283-C31C930BC55C}"/>
    <hyperlink ref="E4768" r:id="rId14723" display="https://twitter.com/DriveEv/status/723580731583270912" xr:uid="{8D70EC76-3617-40FF-8E9B-12AC9BF6C27F}"/>
    <hyperlink ref="O4768" r:id="rId14724" display="https://pbs.twimg.com/profile_images/722409786629885952/DJ7FnCpI_normal.jpg" xr:uid="{1133ECD9-6DA4-4374-A058-5625D9C4E7A4}"/>
    <hyperlink ref="B4769" r:id="rId14725" display="https://twitter.com/birminghamVWCV" xr:uid="{3B9FEAB4-D8CA-4295-A326-1A59AB5F95D1}"/>
    <hyperlink ref="E4769" r:id="rId14726" display="https://twitter.com/birminghamVWCV/status/723580887703543808" xr:uid="{3A7E5053-3E4A-4DDE-A006-0688663FDF1C}"/>
    <hyperlink ref="O4769" r:id="rId14727" display="https://pbs.twimg.com/profile_images/488710473336889344/zkbG6NtN_normal.jpeg" xr:uid="{EB559B71-0B59-40AD-A09C-F0270C729A9F}"/>
    <hyperlink ref="B4770" r:id="rId14728" display="https://twitter.com/swanswaygroup" xr:uid="{0BDF2A66-758C-406D-8B21-8214BFBDF5FB}"/>
    <hyperlink ref="E4770" r:id="rId14729" display="https://twitter.com/swanswaygroup/status/723580887707705344" xr:uid="{7B8C5087-FE60-456F-A7C1-7D8AD758266A}"/>
    <hyperlink ref="O4770" r:id="rId14730" display="https://pbs.twimg.com/profile_images/552037189328982016/r65JRGTS_normal.jpeg" xr:uid="{68142193-6AB7-4C81-BC5C-EAA1909ADEB6}"/>
    <hyperlink ref="B4771" r:id="rId14731" display="https://twitter.com/MotoringPodcast" xr:uid="{FCEB20C6-637A-487C-9DCF-4F06191ACCE3}"/>
    <hyperlink ref="E4771" r:id="rId14732" display="https://twitter.com/MotoringPodcast/status/723580887850463232" xr:uid="{BC1D62AA-0452-48A3-8E19-7AF62534A385}"/>
    <hyperlink ref="O4771" r:id="rId14733" display="https://pbs.twimg.com/profile_images/718471023616770049/pJARbhRj_normal.jpg" xr:uid="{1CA117BE-263A-49A1-B9B8-AE6435FC355B}"/>
    <hyperlink ref="B4772" r:id="rId14734" display="https://twitter.com/LukasSustala" xr:uid="{E4525A40-3E46-4E7C-AA5A-3D1F6CC310F3}"/>
    <hyperlink ref="E4772" r:id="rId14735" display="https://twitter.com/LukasSustala/status/723580927658602496" xr:uid="{B2F46EC2-9E30-4B84-BEE9-C24D5E463DFF}"/>
    <hyperlink ref="O4772" r:id="rId14736" display="https://pbs.twimg.com/profile_images/715271545690722305/zk42HaIU_normal.jpg" xr:uid="{A4874431-86A5-4353-B667-40504B472A93}"/>
    <hyperlink ref="B4773" r:id="rId14737" display="https://twitter.com/VWofGG" xr:uid="{3EBB6656-E33A-4388-9E8C-CE3CC09B415C}"/>
    <hyperlink ref="E4773" r:id="rId14738" display="https://twitter.com/VWofGG/status/723581146135728129" xr:uid="{2F1FB459-2694-4A2C-82C4-5248BE3A8FF4}"/>
    <hyperlink ref="O4773" r:id="rId14739" display="https://pbs.twimg.com/profile_images/3503160267/b8e1e70e006fa9b9e777b8f236d61c3d_normal.jpeg" xr:uid="{F54769D2-6103-46A6-9AFA-269805A79C07}"/>
    <hyperlink ref="B4774" r:id="rId14740" display="https://twitter.com/OseaesO" xr:uid="{AFB3E1AB-D706-4942-AAC3-C773C520A9BC}"/>
    <hyperlink ref="E4774" r:id="rId14741" display="https://twitter.com/OseaesO/status/723581322673958913" xr:uid="{856D64E1-F183-4B94-80A8-CCD5C304B0F1}"/>
    <hyperlink ref="O4774" r:id="rId14742" display="https://pbs.twimg.com/profile_images/2170953039/Gargola_normal.jpeg" xr:uid="{EDFA5E01-0335-4BE3-8E0C-BC6354DD972F}"/>
    <hyperlink ref="B4775" r:id="rId14743" display="https://twitter.com/dft" xr:uid="{5EF7D70C-D617-429B-BB48-985AC905E8FA}"/>
    <hyperlink ref="E4775" r:id="rId14744" display="https://twitter.com/dft/status/723581512797573121" xr:uid="{171C439E-8A34-4145-82AC-C065B751C7C7}"/>
    <hyperlink ref="O4775" r:id="rId14745" display="https://pbs.twimg.com/profile_images/519785398566785024/PVYaywMF_normal.jpeg" xr:uid="{B378AC9D-D81B-47FD-B3E4-A06567F87766}"/>
    <hyperlink ref="B4776" r:id="rId14746" display="https://twitter.com/exequielleguiz1" xr:uid="{2161E839-B432-49A4-96BB-698E78AA8C33}"/>
    <hyperlink ref="E4776" r:id="rId14747" display="https://twitter.com/exequielleguiz1/status/723581519068041220" xr:uid="{7223D1F3-B69C-41F8-9EF8-1F2C48BC84E9}"/>
    <hyperlink ref="O4776" r:id="rId14748" display="https://pbs.twimg.com/profile_images/722584639395729409/6xOQLAoP_normal.jpg" xr:uid="{5B5674BD-6D5E-4FD6-8C6C-E15C0B3DCEF4}"/>
    <hyperlink ref="B4777" r:id="rId14749" display="https://twitter.com/techhippie" xr:uid="{EA885EC4-EBF0-40A8-A16D-C353121582C7}"/>
    <hyperlink ref="E4777" r:id="rId14750" display="https://twitter.com/techhippie/status/723581526483546112" xr:uid="{47C8D42E-38DE-4819-A81A-10FEF58FF108}"/>
    <hyperlink ref="O4777" r:id="rId14751" display="https://pbs.twimg.com/profile_images/702511217793863680/lty8h9vE_normal.jpg" xr:uid="{F1BD0BB1-F5E2-4D16-B968-9244B9DFF097}"/>
    <hyperlink ref="B4778" r:id="rId14752" display="https://twitter.com/techhippie" xr:uid="{CE6FCDFD-1C91-49EE-B712-84A30D031C80}"/>
    <hyperlink ref="E4778" r:id="rId14753" display="https://twitter.com/techhippie/status/723581538881949696" xr:uid="{AF2D31DC-DAE2-4FCC-AF8B-16F61DB55F67}"/>
    <hyperlink ref="O4778" r:id="rId14754" display="https://pbs.twimg.com/profile_images/702511217793863680/lty8h9vE_normal.jpg" xr:uid="{11FD4E60-728B-457D-B7D4-48EDEEEF245E}"/>
    <hyperlink ref="B4779" r:id="rId14755" display="https://twitter.com/GermanIOD" xr:uid="{A2B46B8B-13D6-49D2-B56A-3FDB471A0F10}"/>
    <hyperlink ref="E4779" r:id="rId14756" display="https://twitter.com/GermanIOD/status/723581547752894464" xr:uid="{EEA5C62D-05A2-4DF9-92E7-18C483ACC253}"/>
    <hyperlink ref="O4779" r:id="rId14757" display="https://pbs.twimg.com/profile_images/637652033793851392/sK5pDpLB_normal.png" xr:uid="{06A60F66-0DAB-4FA8-B2FD-4B2432C0E088}"/>
    <hyperlink ref="B4780" r:id="rId14758" display="https://twitter.com/Zusehrverkuerzt" xr:uid="{29E156B3-65C2-43D3-94CA-E5E1F141E8FA}"/>
    <hyperlink ref="E4780" r:id="rId14759" display="https://twitter.com/Zusehrverkuerzt/status/723581555889868802" xr:uid="{5BD72B09-C725-4FC1-BDD9-C17FE759C972}"/>
    <hyperlink ref="O4780" r:id="rId14760" display="https://pbs.twimg.com/profile_images/689764385410191360/zjcXtdHi_normal.jpg" xr:uid="{769532F8-CE15-473A-979F-0A525AF5FF45}"/>
    <hyperlink ref="B4781" r:id="rId14761" display="https://twitter.com/techhippie" xr:uid="{75A29E11-6AAA-4801-A3DC-F0FF4AE1CBBA}"/>
    <hyperlink ref="E4781" r:id="rId14762" display="https://twitter.com/techhippie/status/723581619676827648" xr:uid="{CBC4DAA4-0B9F-4537-97DE-5684665EA866}"/>
    <hyperlink ref="O4781" r:id="rId14763" display="https://pbs.twimg.com/profile_images/702511217793863680/lty8h9vE_normal.jpg" xr:uid="{BD50F0D9-1C4C-4D27-960F-3D5206652F49}"/>
    <hyperlink ref="B4782" r:id="rId14764" display="https://twitter.com/xDriversAlertx" xr:uid="{E1818786-B644-449C-9CEC-9BDE6335624D}"/>
    <hyperlink ref="E4782" r:id="rId14765" display="https://twitter.com/xDriversAlertx/status/723581711108419584" xr:uid="{C0046A64-B7B4-4393-B78B-4BED69853E13}"/>
    <hyperlink ref="O4782" r:id="rId14766" display="https://pbs.twimg.com/profile_images/474199090587107328/U8lZx9ej_normal.png" xr:uid="{A5A4D0ED-4A07-4837-A65B-D27376C9DE1A}"/>
    <hyperlink ref="B4783" r:id="rId14767" display="https://twitter.com/aligerb" xr:uid="{ED36BBA1-CD25-4243-8ED8-E91BCD68F172}"/>
    <hyperlink ref="E4783" r:id="rId14768" display="https://twitter.com/aligerb/status/723581902804787200" xr:uid="{A9F98E4B-C976-4791-B63F-036BD1F071BF}"/>
    <hyperlink ref="O4783" r:id="rId14769" display="https://pbs.twimg.com/profile_images/717529579779399680/e1OghXlz_normal.jpg" xr:uid="{13AC7A71-6D3F-432D-8B02-538259876503}"/>
    <hyperlink ref="B4784" r:id="rId14770" display="https://twitter.com/Zusehrverkuerzt" xr:uid="{D4320F42-ED80-451A-A613-CB8138B14463}"/>
    <hyperlink ref="E4784" r:id="rId14771" display="https://twitter.com/Zusehrverkuerzt/status/723581906101669889" xr:uid="{0163B8F4-6C69-4687-B05C-FEABDC14CD2A}"/>
    <hyperlink ref="O4784" r:id="rId14772" display="https://pbs.twimg.com/profile_images/689764385410191360/zjcXtdHi_normal.jpg" xr:uid="{BD2C4FC4-A9AA-49D4-A8B6-5C41F10BBBD3}"/>
    <hyperlink ref="B4785" r:id="rId14773" display="https://twitter.com/thewonkydonkey" xr:uid="{BD1798E0-F129-4B31-81F8-475A76BD002A}"/>
    <hyperlink ref="E4785" r:id="rId14774" display="https://twitter.com/thewonkydonkey/status/723582002809700353" xr:uid="{AEE880D7-D58F-42DA-8C27-3A7DF6646D7F}"/>
    <hyperlink ref="O4785" r:id="rId14775" display="https://pbs.twimg.com/profile_images/673462865/wonky_twitter_normal.jpg" xr:uid="{9D1CBCE0-1D80-41FC-92BD-D3A7F3827FF4}"/>
    <hyperlink ref="B4786" r:id="rId14776" display="https://twitter.com/glenmavis" xr:uid="{523DF160-459D-4148-93C0-BE222F8C451D}"/>
    <hyperlink ref="E4786" r:id="rId14777" display="https://twitter.com/glenmavis/status/723582143956439041" xr:uid="{48607758-DF00-4483-8F74-39AFB4BE9F62}"/>
    <hyperlink ref="O4786" r:id="rId14778" display="https://pbs.twimg.com/profile_images/595309304510550019/sGlNhfkh_normal.jpg" xr:uid="{67F05062-B67F-4F68-8CB8-F6844C385009}"/>
    <hyperlink ref="B4787" r:id="rId14779" display="https://twitter.com/gabiravanelli" xr:uid="{1D234569-9575-4916-91CE-6B677C06B488}"/>
    <hyperlink ref="E4787" r:id="rId14780" display="https://twitter.com/gabiravanelli/status/723582248243597316" xr:uid="{975307EE-A674-427F-8DCB-261453AEEF63}"/>
    <hyperlink ref="O4787" r:id="rId14781" display="https://abs.twimg.com/sticky/default_profile_images/default_profile_0_normal.png" xr:uid="{CF6C886A-A15C-4910-B2C4-4E0A4F58A559}"/>
    <hyperlink ref="B4788" r:id="rId14782" display="https://twitter.com/VWPuyallup" xr:uid="{84AE8A02-8426-45AC-A350-493C728D7070}"/>
    <hyperlink ref="E4788" r:id="rId14783" display="https://twitter.com/VWPuyallup/status/723582282993307648" xr:uid="{4880F931-128A-4525-9B10-7704A007A49A}"/>
    <hyperlink ref="O4788" r:id="rId14784" display="https://pbs.twimg.com/profile_images/435934668228001792/Jra00BM-_normal.jpeg" xr:uid="{F9D95627-452E-4E36-9E86-823AE86BA7B8}"/>
    <hyperlink ref="B4789" r:id="rId14785" display="https://twitter.com/deanomsport" xr:uid="{20B8920C-CA22-440B-BD9A-9EC6DFA1CDF6}"/>
    <hyperlink ref="E4789" r:id="rId14786" display="https://twitter.com/deanomsport/status/723582568516452353" xr:uid="{2D68AFF2-C492-459F-A789-FBB8B0DD15F7}"/>
    <hyperlink ref="O4789" r:id="rId14787" display="https://pbs.twimg.com/profile_images/653310353653297153/bYVyhn8J_normal.jpg" xr:uid="{B96E408D-9C25-4FEC-A502-6A30205A2B50}"/>
    <hyperlink ref="B4790" r:id="rId14788" display="https://twitter.com/FraaanBetancurt" xr:uid="{079D377A-2DED-4726-88E3-FBCB2ABAE066}"/>
    <hyperlink ref="E4790" r:id="rId14789" display="https://twitter.com/FraaanBetancurt/status/723582588804280321" xr:uid="{3793F370-53E0-4523-9A3B-229AA733BD8F}"/>
    <hyperlink ref="O4790" r:id="rId14790" display="https://pbs.twimg.com/profile_images/721156068357849089/usr8UmjU_normal.jpg" xr:uid="{8B0BB689-1C51-49F4-BE85-1C4121B47D9B}"/>
    <hyperlink ref="B4791" r:id="rId14791" display="https://twitter.com/rajesh877" xr:uid="{730F5237-ABAF-48CD-8C3B-510E1B1427F3}"/>
    <hyperlink ref="E4791" r:id="rId14792" display="https://twitter.com/rajesh877/status/723582786272108544" xr:uid="{14AB1A18-5CEE-4C5F-900B-E04968033325}"/>
    <hyperlink ref="O4791" r:id="rId14793" display="https://pbs.twimg.com/profile_images/690068229562241028/dtAFj2bm_normal.jpg" xr:uid="{DB0DDE7D-0A02-4970-8923-80ABC999153B}"/>
    <hyperlink ref="B4792" r:id="rId14794" display="https://twitter.com/Sebitta_caab" xr:uid="{DA72105D-8B65-4B7B-8A93-5BE313E96C91}"/>
    <hyperlink ref="E4792" r:id="rId14795" display="https://twitter.com/Sebitta_caab/status/723583299319390208" xr:uid="{882EEACA-9898-4AAB-9D1F-BFB54CCE63CD}"/>
    <hyperlink ref="O4792" r:id="rId14796" display="https://pbs.twimg.com/profile_images/674424734059241473/jtZsoDUQ_normal.jpg" xr:uid="{8B7FD646-D852-44DD-93DE-84EF0FEDA1C1}"/>
    <hyperlink ref="B4793" r:id="rId14797" display="https://twitter.com/KatsDekker" xr:uid="{21DFE354-63D0-4033-951B-FE48F094D0C4}"/>
    <hyperlink ref="E4793" r:id="rId14798" display="https://twitter.com/KatsDekker/status/723583462469414912" xr:uid="{FBF3455D-4C6F-4695-8679-D3D7FDD8668B}"/>
    <hyperlink ref="O4793" r:id="rId14799" display="https://pbs.twimg.com/profile_images/709009177004384256/vUOvUx74_normal.jpg" xr:uid="{848E5037-C47C-4A04-8B6F-6F63A2F4AA6A}"/>
    <hyperlink ref="B4794" r:id="rId14800" display="https://twitter.com/Gian__Lucas" xr:uid="{E8EBDD21-7921-495F-A474-754381F66D95}"/>
    <hyperlink ref="E4794" r:id="rId14801" display="https://twitter.com/Gian__Lucas/status/723583476113518596" xr:uid="{D32E5E1F-1F64-41C3-8DCD-16E160389419}"/>
    <hyperlink ref="O4794" r:id="rId14802" display="https://pbs.twimg.com/profile_images/722894845199691776/EIYEavtK_normal.jpg" xr:uid="{FE7E812A-97BA-4792-A671-B9E81E00017C}"/>
    <hyperlink ref="B4795" r:id="rId14803" display="https://twitter.com/LucasBarra22" xr:uid="{BAFB9EB6-4F00-47CC-BC88-482300E14296}"/>
    <hyperlink ref="E4795" r:id="rId14804" display="https://twitter.com/LucasBarra22/status/723583509202391040" xr:uid="{CDB5BFF0-10D8-4DBB-BC90-0892746F687C}"/>
    <hyperlink ref="O4795" r:id="rId14805" display="https://pbs.twimg.com/profile_images/649095362045706240/qqU0BpOO_normal.jpg" xr:uid="{01CDDE67-1238-4BFA-9198-3D322F84B70A}"/>
    <hyperlink ref="B4796" r:id="rId14806" display="https://twitter.com/VWCamperSales" xr:uid="{080A9F00-8230-4711-AB66-873A16950A45}"/>
    <hyperlink ref="E4796" r:id="rId14807" display="https://twitter.com/VWCamperSales/status/723583673556066305" xr:uid="{06F4BA67-4637-419B-AE16-072B3333B9D3}"/>
    <hyperlink ref="F4796" r:id="rId14808" xr:uid="{3506A11C-D2FE-434D-BEF9-22669A40F48B}"/>
    <hyperlink ref="O4796" r:id="rId14809" display="https://pbs.twimg.com/profile_images/627949001179037696/skEBkS05_normal.jpg" xr:uid="{F6E20199-753A-4F25-91CB-24C7A4EF99BF}"/>
    <hyperlink ref="B4797" r:id="rId14810" display="https://twitter.com/LucasBarra22" xr:uid="{5B908673-6FD6-4C96-8D3C-E8C28F531C75}"/>
    <hyperlink ref="E4797" r:id="rId14811" display="https://twitter.com/LucasBarra22/status/723583677469458438" xr:uid="{3891A5A3-5D20-47C3-AE31-D2766B2849F2}"/>
    <hyperlink ref="O4797" r:id="rId14812" display="https://pbs.twimg.com/profile_images/649095362045706240/qqU0BpOO_normal.jpg" xr:uid="{D9BDBBE0-5C0D-4DC9-A0B9-0F97C3146720}"/>
    <hyperlink ref="B4798" r:id="rId14813" display="https://twitter.com/DKMRacing" xr:uid="{43643A93-7BDC-4F59-AA53-37DEFC249596}"/>
    <hyperlink ref="E4798" r:id="rId14814" display="https://twitter.com/DKMRacing/status/723583907468210176" xr:uid="{1C20413A-7E57-4ECA-853B-CF3B5A414C4D}"/>
    <hyperlink ref="O4798" r:id="rId14815" display="https://pbs.twimg.com/profile_images/711174977727422464/IPloOHJg_normal.jpg" xr:uid="{BDE75B33-2716-49DC-9B99-09E916B44EE2}"/>
    <hyperlink ref="B4799" r:id="rId14816" display="https://twitter.com/bflwerner" xr:uid="{AD9C0258-82A9-41BC-9292-53735D6966F5}"/>
    <hyperlink ref="E4799" r:id="rId14817" display="https://twitter.com/bflwerner/status/723584160984641536" xr:uid="{CE4CC2F1-96F4-460E-94FC-DC29F4956924}"/>
    <hyperlink ref="O4799" r:id="rId14818" display="https://pbs.twimg.com/profile_images/723039939026378752/UgmKDGmM_normal.jpg" xr:uid="{33A870A5-F701-4050-9CBD-75A9D283289B}"/>
    <hyperlink ref="B4800" r:id="rId14819" display="https://twitter.com/bessermobil" xr:uid="{9FA6A315-1ADE-4641-A547-5D587351D9D5}"/>
    <hyperlink ref="E4800" r:id="rId14820" display="https://twitter.com/bessermobil/status/723584168404373504" xr:uid="{73FABA05-1EBC-409D-8B06-FCCD9B4E0CA6}"/>
    <hyperlink ref="O4800" r:id="rId14821" display="https://pbs.twimg.com/profile_images/703969274461888512/NW6Y77Oh_normal.jpg" xr:uid="{054002AA-D423-4AC4-A2BE-6B483F64305C}"/>
    <hyperlink ref="B4801" r:id="rId14822" display="https://twitter.com/kurtseinitz" xr:uid="{A8840E4B-5055-4F59-BCFC-AAA5C70748F8}"/>
    <hyperlink ref="E4801" r:id="rId14823" display="https://twitter.com/kurtseinitz/status/723584205880483841" xr:uid="{4D7EA72F-B57F-4ACC-813E-A12BF6448D5A}"/>
    <hyperlink ref="O4801" r:id="rId14824" display="https://pbs.twimg.com/profile_images/607945158869549056/NV8RBT1d_normal.jpg" xr:uid="{1D14E845-2034-492C-B26C-1C850BF6AE91}"/>
    <hyperlink ref="B4802" r:id="rId14825" display="https://twitter.com/Chat_Atkins" xr:uid="{F4E50EBE-F4F8-4B84-B903-BAC38FA184B5}"/>
    <hyperlink ref="E4802" r:id="rId14826" display="https://twitter.com/Chat_Atkins/status/723584241653657600" xr:uid="{92787772-D9B7-411D-854E-33ED34E03B5E}"/>
    <hyperlink ref="O4802" r:id="rId14827" display="https://pbs.twimg.com/profile_images/3494760705/823323f6d432b61b688163ae7d9d9dda_normal.jpeg" xr:uid="{4D738046-AA0C-4BD4-AAAB-D82610E8218B}"/>
    <hyperlink ref="B4803" r:id="rId14828" display="https://twitter.com/gutierrez_gime" xr:uid="{21CA724E-7217-4316-B9FF-7D03BFB04914}"/>
    <hyperlink ref="E4803" r:id="rId14829" display="https://twitter.com/gutierrez_gime/status/723584406854750208" xr:uid="{9E1326A7-F55B-444C-A73D-9C47EF3AAD67}"/>
    <hyperlink ref="O4803" r:id="rId14830" display="https://pbs.twimg.com/profile_images/655050406427557888/zQoR7oCO_normal.jpg" xr:uid="{6A22F907-FD63-4C64-9EB7-A23B3FC29149}"/>
    <hyperlink ref="B4804" r:id="rId14831" display="https://twitter.com/LisaHayward3" xr:uid="{57915F63-22FE-4DA5-8D52-A5821D49837B}"/>
    <hyperlink ref="E4804" r:id="rId14832" display="https://twitter.com/LisaHayward3/status/723584570168233984" xr:uid="{C15E5F77-A209-4A95-B805-5A69535727D7}"/>
    <hyperlink ref="O4804" r:id="rId14833" display="https://pbs.twimg.com/profile_images/545466998839209984/-xrJfHvn_normal.jpeg" xr:uid="{C4E6FF94-CCF1-4B59-9628-4B9CD6E6E1A5}"/>
    <hyperlink ref="B4805" r:id="rId14834" display="https://twitter.com/CastleCoastCamp" xr:uid="{D41C9B1B-75A7-4B01-B8EF-D8B1E552D4AB}"/>
    <hyperlink ref="E4805" r:id="rId14835" display="https://twitter.com/CastleCoastCamp/status/723584617731776512" xr:uid="{FA04D3FB-7CB1-4B38-8553-1BA53B2D3D05}"/>
    <hyperlink ref="O4805" r:id="rId14836" display="https://pbs.twimg.com/profile_images/610401931501137920/c0qYTPr__normal.jpg" xr:uid="{E616867B-E896-4E04-ADDA-2EF16576FC6B}"/>
    <hyperlink ref="B4806" r:id="rId14837" display="https://twitter.com/jungewelt" xr:uid="{497C176A-3321-4F06-AF08-89E4F0217DEF}"/>
    <hyperlink ref="E4806" r:id="rId14838" display="https://twitter.com/jungewelt/status/723584711461855232" xr:uid="{D79E56F1-35E4-4379-9187-5DD5ED37B64E}"/>
    <hyperlink ref="O4806" r:id="rId14839" display="https://pbs.twimg.com/profile_images/543394122816446464/jjh-af9K_normal.png" xr:uid="{115065E7-3112-4641-BC97-800F5846782F}"/>
    <hyperlink ref="B4807" r:id="rId14840" display="https://twitter.com/Way_Cool_" xr:uid="{456E525A-E6AA-4597-8D38-F6A1DAEC2492}"/>
    <hyperlink ref="E4807" r:id="rId14841" display="https://twitter.com/Way_Cool_/status/723584727630925824" xr:uid="{5E85FCEE-FD80-48A4-9508-46E0FCCD85EE}"/>
    <hyperlink ref="O4807" r:id="rId14842" display="https://pbs.twimg.com/profile_images/708280127025598464/akwVZYwc_normal.jpg" xr:uid="{7D5014C4-3D6E-4693-845D-09A069A4B3B3}"/>
    <hyperlink ref="B4808" r:id="rId14843" display="https://twitter.com/kurtseinitz" xr:uid="{3233AD12-F8E8-49F8-B61C-0F1FE9700ACC}"/>
    <hyperlink ref="E4808" r:id="rId14844" display="https://twitter.com/kurtseinitz/status/723584906106945536" xr:uid="{B5F08A96-4F8E-4997-9542-AEE87FA0AA74}"/>
    <hyperlink ref="O4808" r:id="rId14845" display="https://pbs.twimg.com/profile_images/607945158869549056/NV8RBT1d_normal.jpg" xr:uid="{AAAD4B81-F460-46C0-835C-CA56D0D70ADB}"/>
    <hyperlink ref="B4809" r:id="rId14846" display="https://twitter.com/lessismoremike" xr:uid="{50E62201-C868-4E35-BD52-34DF49BD81B3}"/>
    <hyperlink ref="E4809" r:id="rId14847" display="https://twitter.com/lessismoremike/status/723585008024297472" xr:uid="{D29A0207-05CE-40D3-9DF6-66B115EF9B71}"/>
    <hyperlink ref="O4809" r:id="rId14848" display="https://pbs.twimg.com/profile_images/1772698594/image_normal.jpg" xr:uid="{692AC506-0D20-4D93-A56E-1444FADDF24B}"/>
    <hyperlink ref="B4810" r:id="rId14849" display="https://twitter.com/VWBeetleSales" xr:uid="{0D182FEB-04CC-4B5B-B143-688ACD3F576D}"/>
    <hyperlink ref="E4810" r:id="rId14850" display="https://twitter.com/VWBeetleSales/status/723585183773904897" xr:uid="{D9BDE0F4-D247-4D5A-B10D-CDE487B895B8}"/>
    <hyperlink ref="F4810" r:id="rId14851" xr:uid="{CAFCEC4D-2C45-456C-96BA-7CAE84064C85}"/>
    <hyperlink ref="O4810" r:id="rId14852" display="https://pbs.twimg.com/profile_images/703294545195307008/qeCvrX86_normal.jpg" xr:uid="{B991C1CD-DF7E-442C-B64F-BB37AAD81CD9}"/>
    <hyperlink ref="B4811" r:id="rId14853" display="https://twitter.com/Way_Cool_" xr:uid="{68A6B50B-16B7-4E29-8537-B1CC2EED27F8}"/>
    <hyperlink ref="E4811" r:id="rId14854" display="https://twitter.com/Way_Cool_/status/723585243459010560" xr:uid="{33C3E79F-D5E0-43D7-BB22-04E0D959D93C}"/>
    <hyperlink ref="O4811" r:id="rId14855" display="https://pbs.twimg.com/profile_images/708280127025598464/akwVZYwc_normal.jpg" xr:uid="{061F34A9-CC0F-409F-8A88-167329AB882D}"/>
    <hyperlink ref="B4812" r:id="rId14856" display="https://twitter.com/coccicab71" xr:uid="{9FF6897E-38B0-4E41-8177-02594A757C0D}"/>
    <hyperlink ref="E4812" r:id="rId14857" display="https://twitter.com/coccicab71/status/723585445381152768" xr:uid="{C3B25F61-1F86-4A68-B6D5-2B8BFE7D9217}"/>
    <hyperlink ref="O4812" r:id="rId14858" display="https://pbs.twimg.com/profile_images/3728536184/f8618f162b51e72519303cccedbec92b_normal.jpeg" xr:uid="{8F91C43F-031A-4C52-AE84-C35B37CD3C8E}"/>
    <hyperlink ref="B4813" r:id="rId14859" display="https://twitter.com/kurtseinitz" xr:uid="{54DBB2B0-9CAC-4A75-96E1-81713017D70B}"/>
    <hyperlink ref="E4813" r:id="rId14860" display="https://twitter.com/kurtseinitz/status/723585486367932416" xr:uid="{E341F750-EE4F-4960-8FFD-2B94C3495E24}"/>
    <hyperlink ref="O4813" r:id="rId14861" display="https://pbs.twimg.com/profile_images/607945158869549056/NV8RBT1d_normal.jpg" xr:uid="{AEA06F21-BA86-4049-98F1-093B47DA986C}"/>
    <hyperlink ref="B4814" r:id="rId14862" display="https://twitter.com/chefwickler" xr:uid="{F545E2E1-4680-4C15-AD2F-B275A45437C4}"/>
    <hyperlink ref="E4814" r:id="rId14863" display="https://twitter.com/chefwickler/status/723585566932082688" xr:uid="{AE72B47F-CFF4-44C6-B1F3-6683EE754810}"/>
    <hyperlink ref="O4814" r:id="rId14864" display="https://pbs.twimg.com/profile_images/710075864797585409/WsFKqcsm_normal.jpg" xr:uid="{2565146B-5507-4E82-A338-418D7F4EA9D3}"/>
    <hyperlink ref="B4815" r:id="rId14865" display="https://twitter.com/dandoherty1981" xr:uid="{DF26B5E1-46D9-4D15-AC56-8C972E833C01}"/>
    <hyperlink ref="E4815" r:id="rId14866" display="https://twitter.com/dandoherty1981/status/723585636557553666" xr:uid="{6310C1E8-9F52-4207-9760-95DA26FBB047}"/>
    <hyperlink ref="O4815" r:id="rId14867" display="https://pbs.twimg.com/profile_images/665669445206024192/UvfzXxE__normal.jpg" xr:uid="{5C1079FF-7C24-4D40-98AC-DC42DF22A39D}"/>
    <hyperlink ref="B4816" r:id="rId14868" display="https://twitter.com/VWCamperSales" xr:uid="{E62F7C7E-D6B4-433E-BBC8-D82CB0B174A8}"/>
    <hyperlink ref="E4816" r:id="rId14869" display="https://twitter.com/VWCamperSales/status/723585689342734336" xr:uid="{1DFA46E7-9C49-46F4-B1AF-3DC34AFF7A7D}"/>
    <hyperlink ref="F4816" r:id="rId14870" xr:uid="{2FC5C8B6-6058-4FBD-9D6B-46A9C9CB3559}"/>
    <hyperlink ref="O4816" r:id="rId14871" display="https://pbs.twimg.com/profile_images/627949001179037696/skEBkS05_normal.jpg" xr:uid="{3013FD7F-BADC-4D8E-A7DB-33D9785B573E}"/>
    <hyperlink ref="B4817" r:id="rId14872" display="https://twitter.com/DubLuvTuning" xr:uid="{F606AFA7-A6B6-42A1-86D6-E3432F7BA1C3}"/>
    <hyperlink ref="E4817" r:id="rId14873" display="https://twitter.com/DubLuvTuning/status/723585763980513281" xr:uid="{7D07766D-987C-4913-ABEB-A2EFA652069E}"/>
    <hyperlink ref="O4817" r:id="rId14874" display="https://pbs.twimg.com/profile_images/378800000572104796/1de43e1cf23efb3f4101c02afad0d3b6_normal.png" xr:uid="{42F303B0-7C6C-41E0-AD0E-CC9FF3EB24EE}"/>
    <hyperlink ref="B4818" r:id="rId14875" display="https://twitter.com/Repupilli_Azul" xr:uid="{B2D49D5A-01AB-461D-ADBF-E1220EBE67BA}"/>
    <hyperlink ref="E4818" r:id="rId14876" display="https://twitter.com/Repupilli_Azul/status/723585837905096705" xr:uid="{90023515-157E-47A7-A60A-CA7654236CF4}"/>
    <hyperlink ref="O4818" r:id="rId14877" display="https://pbs.twimg.com/profile_images/722995209903169536/IRFOZNS2_normal.jpg" xr:uid="{386A4677-D3E2-471F-A266-CE088D0984BF}"/>
    <hyperlink ref="B4819" r:id="rId14878" display="https://twitter.com/Drive_Better" xr:uid="{917FB3A6-A57B-4181-9440-5E2AD4EE37FD}"/>
    <hyperlink ref="C4819" r:id="rId14879" xr:uid="{B88B229C-318A-4738-8501-B12950F04EF8}"/>
    <hyperlink ref="E4819" r:id="rId14880" display="https://twitter.com/Drive_Better/status/723586037335896064" xr:uid="{D6594EAF-3433-4A5B-B5B0-403AD422F7A3}"/>
    <hyperlink ref="O4819" r:id="rId14881" display="https://pbs.twimg.com/profile_images/459174154097291264/Wc-tvdVg_normal.jpeg" xr:uid="{1322F1AF-7958-4792-8BDD-177BBD7337E6}"/>
    <hyperlink ref="B4820" r:id="rId14882" display="https://twitter.com/Aguuuero" xr:uid="{C43FC8F1-3839-4618-87DC-F81906EF5983}"/>
    <hyperlink ref="E4820" r:id="rId14883" display="https://twitter.com/Aguuuero/status/723586146014355457" xr:uid="{7003176F-845F-419D-96B8-E110D085C7BE}"/>
    <hyperlink ref="O4820" r:id="rId14884" display="https://pbs.twimg.com/profile_images/624244894719188992/FmpTg5L8_normal.jpg" xr:uid="{BB19196C-BDCE-47DC-B3A4-A5AE8CE756ED}"/>
    <hyperlink ref="P4820" r:id="rId14885" location="-38,-57.55" display="http://ctrlq.org/maps/address/ - -38,-57.55" xr:uid="{7805F400-9ABF-4657-9193-074C3786D566}"/>
    <hyperlink ref="B4821" r:id="rId14886" display="https://twitter.com/tim_jarz" xr:uid="{A715A8B4-3AC9-4C74-981A-BA649A8CE762}"/>
    <hyperlink ref="E4821" r:id="rId14887" display="https://twitter.com/tim_jarz/status/723586254701391872" xr:uid="{A0FE7EE1-E7C3-41A0-9F76-4779ADDC0EC7}"/>
    <hyperlink ref="O4821" r:id="rId14888" display="https://pbs.twimg.com/profile_images/530443622768836608/5EYPjdoC_normal.jpeg" xr:uid="{AF7290F9-8D57-43A1-8750-44F0A58E3C91}"/>
    <hyperlink ref="B4822" r:id="rId14889" display="https://twitter.com/HistoricPeriods" xr:uid="{DBCB194E-B4C1-456B-A238-DA2E9277B0A4}"/>
    <hyperlink ref="E4822" r:id="rId14890" display="https://twitter.com/HistoricPeriods/status/723586267628339200" xr:uid="{816DD7E8-CD36-4AB4-977F-A704D686E962}"/>
    <hyperlink ref="O4822" r:id="rId14891" display="https://pbs.twimg.com/profile_images/701108111709495296/L5YkkOqj_normal.png" xr:uid="{F87ECA12-5DB2-4065-9266-7471A3553670}"/>
    <hyperlink ref="B4823" r:id="rId14892" display="https://twitter.com/helensarmstrong" xr:uid="{D240DD0B-6F49-4BA7-A1C2-C47CF1387DDC}"/>
    <hyperlink ref="E4823" r:id="rId14893" display="https://twitter.com/helensarmstrong/status/723586318354251776" xr:uid="{ED77132E-C061-4E89-8295-A98D8E7E18B6}"/>
    <hyperlink ref="O4823" r:id="rId14894" display="https://pbs.twimg.com/profile_images/692809854864510976/yEKX2c1-_normal.jpg" xr:uid="{FD1ADF4B-2643-4FEE-B843-3B814E611839}"/>
    <hyperlink ref="B4824" r:id="rId14895" display="https://twitter.com/Luchyokk" xr:uid="{5F3C9D86-7DCD-44BF-81FA-7FF38B1ED63C}"/>
    <hyperlink ref="E4824" r:id="rId14896" display="https://twitter.com/Luchyokk/status/723586412155678720" xr:uid="{6563DB2C-0619-4187-A722-BF47F7981647}"/>
    <hyperlink ref="O4824" r:id="rId14897" display="https://pbs.twimg.com/profile_images/675866578760634369/Wu-DqRQO_normal.jpg" xr:uid="{5EBFD26C-F6E3-42EB-9673-6169CDC61E03}"/>
    <hyperlink ref="B4825" r:id="rId14898" display="https://twitter.com/RosaTrunk" xr:uid="{16D70B65-B0AD-49A6-91AD-FFBC4A015069}"/>
    <hyperlink ref="E4825" r:id="rId14899" display="https://twitter.com/RosaTrunk/status/723586428135944193" xr:uid="{222DBEB1-FA1A-438E-8BDE-C991E321D0A1}"/>
    <hyperlink ref="O4825" r:id="rId14900" display="https://pbs.twimg.com/profile_images/643472118177525760/w0sM5P_N_normal.jpg" xr:uid="{4BF34338-D514-47D6-81E2-E5E3A3BB74D3}"/>
    <hyperlink ref="B4826" r:id="rId14901" display="https://twitter.com/Iris_Rohmann" xr:uid="{444B6D6E-D7C1-4800-A827-80D955395418}"/>
    <hyperlink ref="E4826" r:id="rId14902" display="https://twitter.com/Iris_Rohmann/status/723586482179596290" xr:uid="{3807D19C-C97B-4CDB-A774-D3337191ABD5}"/>
    <hyperlink ref="O4826" r:id="rId14903" display="https://pbs.twimg.com/profile_images/685518722598068224/HbGzWKVA_normal.jpg" xr:uid="{2E1831BC-2CBC-4642-BE8F-21E28E6A3566}"/>
    <hyperlink ref="B4827" r:id="rId14904" display="https://twitter.com/EmaZaracho" xr:uid="{DEE7112B-7B3E-4B47-B651-A3A44DC1828D}"/>
    <hyperlink ref="E4827" r:id="rId14905" display="https://twitter.com/EmaZaracho/status/723586588656164864" xr:uid="{2701DEA0-D7DF-4040-B8E9-51AE7DE848F2}"/>
    <hyperlink ref="O4827" r:id="rId14906" display="https://pbs.twimg.com/profile_images/722117418659790848/hkfd9GNd_normal.jpg" xr:uid="{81039700-FFA6-4662-B0F6-EA4D47DB8827}"/>
    <hyperlink ref="B4828" r:id="rId14907" display="https://twitter.com/JJRepairchip" xr:uid="{C3337E78-18E4-4659-8AC5-0CBDE1A04232}"/>
    <hyperlink ref="E4828" r:id="rId14908" display="https://twitter.com/JJRepairchip/status/723586650866126849" xr:uid="{C08C902B-C8C7-43EB-8E72-4830398AF45B}"/>
    <hyperlink ref="O4828" r:id="rId14909" display="https://pbs.twimg.com/profile_images/698395851199287297/02pwFeVG_normal.jpg" xr:uid="{FFE82F3E-A9F2-4CDD-A614-FF7F47796784}"/>
    <hyperlink ref="B4829" r:id="rId14910" display="https://twitter.com/brosefstalin53" xr:uid="{2FE93E06-5297-4960-97DE-5C41B5C3B056}"/>
    <hyperlink ref="E4829" r:id="rId14911" display="https://twitter.com/brosefstalin53/status/723586723071037440" xr:uid="{3D6FA652-E3BC-4B47-8963-2A87F3B01028}"/>
    <hyperlink ref="O4829" r:id="rId14912" display="https://pbs.twimg.com/profile_images/714459923313213440/hqlB0K0j_normal.jpg" xr:uid="{0E85EA4D-3047-4F15-A60B-6899F42FD009}"/>
    <hyperlink ref="B4830" r:id="rId14913" display="https://twitter.com/RainerRogge" xr:uid="{2B7FEF57-FEDE-4640-AED3-2F7F83D3D922}"/>
    <hyperlink ref="E4830" r:id="rId14914" display="https://twitter.com/RainerRogge/status/723586793048793089" xr:uid="{D2D49023-4D50-49A3-A26C-89A3D6D4D885}"/>
    <hyperlink ref="O4830" r:id="rId14915" display="https://pbs.twimg.com/profile_images/592417094983102464/xowRMPEE_normal.jpg" xr:uid="{A97D91FB-8320-4196-880F-C87E4D46E0B2}"/>
    <hyperlink ref="B4831" r:id="rId14916" display="https://twitter.com/SvOstrow" xr:uid="{494EFA76-8AC4-4BF2-854A-2E014A1326BB}"/>
    <hyperlink ref="E4831" r:id="rId14917" display="https://twitter.com/SvOstrow/status/723586905032523776" xr:uid="{7528BDF4-4589-4F3C-8DCC-1AD691C6F68A}"/>
    <hyperlink ref="O4831" r:id="rId14918" display="https://pbs.twimg.com/profile_images/531108045451837442/KHuLHxmU_normal.jpeg" xr:uid="{C4248717-AF12-4F62-A236-FEFEF9F07F23}"/>
    <hyperlink ref="B4832" r:id="rId14919" display="https://twitter.com/MemosL" xr:uid="{D7B92306-2972-45A3-80B9-5EE3F5642BE2}"/>
    <hyperlink ref="E4832" r:id="rId14920" display="https://twitter.com/MemosL/status/723586922883493889" xr:uid="{A7BAB73C-1791-46FF-9817-08A398493C54}"/>
    <hyperlink ref="O4832" r:id="rId14921" display="https://pbs.twimg.com/profile_images/668792440980004864/HoWoh2Uv_normal.jpg" xr:uid="{BC63F8C7-EBF4-433F-85ED-2EAC6BD6E7D6}"/>
    <hyperlink ref="B4833" r:id="rId14922" display="https://twitter.com/sine_injuria" xr:uid="{BFA7134E-4A9E-44B3-9318-E1A4CD5C1A06}"/>
    <hyperlink ref="E4833" r:id="rId14923" display="https://twitter.com/sine_injuria/status/723587033604718593" xr:uid="{6FA4485C-4FA0-47E3-9E0A-BE14BF121F10}"/>
    <hyperlink ref="O4833" r:id="rId14924" display="https://pbs.twimg.com/profile_images/642021337809076225/YhbHP0MU_normal.jpg" xr:uid="{BF79A34F-65FC-43DE-8023-608D74380C12}"/>
    <hyperlink ref="B4834" r:id="rId14925" display="https://twitter.com/VWCamperSales" xr:uid="{3314573E-21C0-46D1-A405-799A308980A1}"/>
    <hyperlink ref="E4834" r:id="rId14926" display="https://twitter.com/VWCamperSales/status/723587212047081472" xr:uid="{5E7172E0-6A2E-457F-85FC-10DAE8BC98AC}"/>
    <hyperlink ref="F4834" r:id="rId14927" xr:uid="{42944C82-176E-4207-A49D-92420D83078B}"/>
    <hyperlink ref="O4834" r:id="rId14928" display="https://pbs.twimg.com/profile_images/627949001179037696/skEBkS05_normal.jpg" xr:uid="{AB1AE496-5A8D-4B98-A81A-2EDE65E6D405}"/>
    <hyperlink ref="B4835" r:id="rId14929" display="https://twitter.com/VWCamperSales" xr:uid="{4043DBD2-85A7-411C-99FA-26CF9D8AF9C1}"/>
    <hyperlink ref="E4835" r:id="rId14930" display="https://twitter.com/VWCamperSales/status/723587220259524609" xr:uid="{902CA285-1E9D-4A0A-9319-7F703DF1C2AA}"/>
    <hyperlink ref="F4835" r:id="rId14931" xr:uid="{BF92E272-2D0B-4632-814A-A21DD82C68CC}"/>
    <hyperlink ref="O4835" r:id="rId14932" display="https://pbs.twimg.com/profile_images/627949001179037696/skEBkS05_normal.jpg" xr:uid="{1F794DBD-C3A0-47D0-892C-C5023931D1BF}"/>
    <hyperlink ref="B4836" r:id="rId14933" display="https://twitter.com/LondonPicks" xr:uid="{B3416B23-A641-4F6A-81F8-7041195B5F2A}"/>
    <hyperlink ref="E4836" r:id="rId14934" display="https://twitter.com/LondonPicks/status/723587255491653632" xr:uid="{F71B5B99-2F96-445D-8B32-62C899DB64D9}"/>
    <hyperlink ref="O4836" r:id="rId14935" display="https://pbs.twimg.com/profile_images/1196278450/picks-logo-london_normal.png" xr:uid="{82E555B3-7AA8-4256-B2AF-817C3194FF43}"/>
    <hyperlink ref="B4837" r:id="rId14936" display="https://twitter.com/julioDeLange" xr:uid="{B71617CB-323E-4E2F-97CA-BC87121113EB}"/>
    <hyperlink ref="E4837" r:id="rId14937" display="https://twitter.com/julioDeLange/status/723587291759939585" xr:uid="{608481A5-5F77-45C7-9643-59412C75AC56}"/>
    <hyperlink ref="O4837" r:id="rId14938" display="https://pbs.twimg.com/profile_images/709826765716324353/TlhgogFL_normal.jpg" xr:uid="{A8D843ED-3D5D-44DF-B334-8724BDE21A66}"/>
    <hyperlink ref="B4838" r:id="rId14939" display="https://twitter.com/kngeuro" xr:uid="{0C06D748-B61F-4D3E-90BB-9BBFBB94BEF1}"/>
    <hyperlink ref="E4838" r:id="rId14940" display="https://twitter.com/kngeuro/status/723587373594869760" xr:uid="{24AB95F1-516A-4C84-946F-94C87AEF5085}"/>
    <hyperlink ref="O4838" r:id="rId14941" display="https://pbs.twimg.com/profile_images/570375988065935360/ooT_Nq7x_normal.jpeg" xr:uid="{3478A265-9F9E-4215-AF06-B4A7F466515A}"/>
    <hyperlink ref="B4839" r:id="rId14942" display="https://twitter.com/frisch_fish" xr:uid="{4830F8E9-3CFE-441A-BB96-C48D14F317EF}"/>
    <hyperlink ref="E4839" r:id="rId14943" display="https://twitter.com/frisch_fish/status/723587392284856320" xr:uid="{FB5CBF00-8442-405A-8E71-38A1FAB63FDC}"/>
    <hyperlink ref="O4839" r:id="rId14944" display="https://pbs.twimg.com/profile_images/491217423396134913/ygdCi_0u_normal.jpeg" xr:uid="{1ADA6C7A-E66C-4F3D-AC8B-7C1155726460}"/>
    <hyperlink ref="B4840" r:id="rId14945" display="https://twitter.com/longshipdriver" xr:uid="{C0600AEF-95D6-4AA7-B788-60960DEBDDAE}"/>
    <hyperlink ref="E4840" r:id="rId14946" display="https://twitter.com/longshipdriver/status/723587652562333696" xr:uid="{BBF09FBD-4855-40C4-8917-9A96664B5643}"/>
    <hyperlink ref="O4840" r:id="rId14947" display="https://pbs.twimg.com/profile_images/2688871973/17923af03e83ba9d96439300ef4d4e1d_normal.jpeg" xr:uid="{6F046EA6-2F20-4A87-BC79-EA46C4534A3E}"/>
    <hyperlink ref="B4841" r:id="rId14948" display="https://twitter.com/kingblaise_" xr:uid="{0EEAFDE6-A656-4464-B85D-E5F0405A0CA4}"/>
    <hyperlink ref="E4841" r:id="rId14949" display="https://twitter.com/kingblaise_/status/723587682392223746" xr:uid="{FA94B064-19DA-4CC5-B619-F6E7A1C9D837}"/>
    <hyperlink ref="O4841" r:id="rId14950" display="https://pbs.twimg.com/profile_images/715520899764641793/OwuBxAa9_normal.jpg" xr:uid="{A27496AA-E771-4E3A-915E-72CD24560320}"/>
    <hyperlink ref="B4842" r:id="rId14951" display="https://twitter.com/MikeLittUSA" xr:uid="{33C5129A-4398-48AA-ABE7-818C69DF2465}"/>
    <hyperlink ref="E4842" r:id="rId14952" display="https://twitter.com/MikeLittUSA/status/723587734548434944" xr:uid="{ED061EEF-813F-4A34-8024-DF06927B0D95}"/>
    <hyperlink ref="O4842" r:id="rId14953" display="https://pbs.twimg.com/profile_images/585174486485311489/6TENQeaO_normal.jpg" xr:uid="{73C3311C-513F-4B6E-856A-83E3307DEB6D}"/>
    <hyperlink ref="B4843" r:id="rId14954" display="https://twitter.com/SerraTVC" xr:uid="{DA9F0983-FCF2-4ABE-97CE-B9233815D70D}"/>
    <hyperlink ref="E4843" r:id="rId14955" display="https://twitter.com/SerraTVC/status/723587843638067200" xr:uid="{DF773362-7894-4367-BFC1-010DCBCE8F15}"/>
    <hyperlink ref="O4843" r:id="rId14956" display="https://pbs.twimg.com/profile_images/719611202129625088/XNXG8FpF_normal.jpg" xr:uid="{55DFD08D-9F70-44BF-B785-750152C4F2E4}"/>
    <hyperlink ref="B4844" r:id="rId14957" display="https://twitter.com/EzeeHerman" xr:uid="{1F0AE2BF-7F97-4C3E-AA30-15AB6D9D19A4}"/>
    <hyperlink ref="E4844" r:id="rId14958" display="https://twitter.com/EzeeHerman/status/723587947727966208" xr:uid="{CBABE8C4-6335-4279-B829-E0F5F5CAEE87}"/>
    <hyperlink ref="O4844" r:id="rId14959" display="https://pbs.twimg.com/profile_images/695285455147896833/chTGAG7C_normal.jpg" xr:uid="{5EBFA7D2-47CC-4427-BDCC-78DAD1216C34}"/>
    <hyperlink ref="B4845" r:id="rId14960" display="https://twitter.com/beetlebug1938" xr:uid="{CB193455-528C-4548-9813-B4BE47FF91E9}"/>
    <hyperlink ref="E4845" r:id="rId14961" display="https://twitter.com/beetlebug1938/status/723588072861011968" xr:uid="{C9684D31-1323-438C-886E-FE4C517F4346}"/>
    <hyperlink ref="O4845" r:id="rId14962" display="https://pbs.twimg.com/profile_images/718820712757215233/LXXndPTS_normal.jpg" xr:uid="{18953E09-1C6D-4200-95E9-A834C2DC2CCA}"/>
    <hyperlink ref="B4846" r:id="rId14963" display="https://twitter.com/beetlebug1938" xr:uid="{1DBB3435-F6EC-4525-B2E0-1E6FAE360F38}"/>
    <hyperlink ref="E4846" r:id="rId14964" display="https://twitter.com/beetlebug1938/status/723588091966033920" xr:uid="{5DD7DCF1-71B9-4907-929B-E0268D62BA63}"/>
    <hyperlink ref="O4846" r:id="rId14965" display="https://pbs.twimg.com/profile_images/718820712757215233/LXXndPTS_normal.jpg" xr:uid="{53BB1B56-6618-4043-B831-10ACE6FF6DDE}"/>
    <hyperlink ref="B4847" r:id="rId14966" display="https://twitter.com/VolkswagenPost" xr:uid="{3DC76034-CD1D-4DAF-8AA8-0766E01DF71E}"/>
    <hyperlink ref="E4847" r:id="rId14967" display="https://twitter.com/VolkswagenPost/status/723588168851795968" xr:uid="{716F09A2-C60F-40D1-A4AD-768D22610D65}"/>
    <hyperlink ref="O4847" r:id="rId14968" display="https://pbs.twimg.com/profile_images/530071272881803264/a_jcCmPZ_normal.png" xr:uid="{7A9EF6C2-7861-4016-B8C4-D6AC2EEF93D3}"/>
    <hyperlink ref="B4848" r:id="rId14969" display="https://twitter.com/DrWetti" xr:uid="{1D0C4BE6-6FCF-42A7-B147-FAE29CA0592C}"/>
    <hyperlink ref="E4848" r:id="rId14970" display="https://twitter.com/DrWetti/status/723588175923417089" xr:uid="{2B710171-AD87-41C9-AC6F-0FD4049EAD7C}"/>
    <hyperlink ref="O4848" r:id="rId14971" display="https://pbs.twimg.com/profile_images/1445240756/twitterneu_normal.jpg" xr:uid="{EBD17435-9E78-4724-B232-711BDBBFB07E}"/>
    <hyperlink ref="B4849" r:id="rId14972" display="https://twitter.com/DubLuvTuning" xr:uid="{7650F578-1D67-48C1-BD0F-890AE4D83F0E}"/>
    <hyperlink ref="E4849" r:id="rId14973" display="https://twitter.com/DubLuvTuning/status/723588357314482177" xr:uid="{C3E95547-D71D-48AE-854F-40BEA33F64B6}"/>
    <hyperlink ref="O4849" r:id="rId14974" display="https://pbs.twimg.com/profile_images/378800000572104796/1de43e1cf23efb3f4101c02afad0d3b6_normal.png" xr:uid="{CD382F47-B06A-498C-BC1C-0F6E89FBE88D}"/>
    <hyperlink ref="B4850" r:id="rId14975" display="https://twitter.com/VWBeetleSales" xr:uid="{36E84DB7-E8A6-4467-ABA8-D14F24D9F2D8}"/>
    <hyperlink ref="E4850" r:id="rId14976" display="https://twitter.com/VWBeetleSales/status/723588465258942465" xr:uid="{CB410AB1-47EE-4D9E-B208-C04EF0DF3FF6}"/>
    <hyperlink ref="F4850" r:id="rId14977" xr:uid="{E4FDAEC6-FB01-448E-A4C6-F4C9F0084B19}"/>
    <hyperlink ref="O4850" r:id="rId14978" display="https://pbs.twimg.com/profile_images/703294545195307008/qeCvrX86_normal.jpg" xr:uid="{0C1E4009-0831-4002-B1D1-BB6CAA50B580}"/>
    <hyperlink ref="B4851" r:id="rId14979" display="https://twitter.com/FuscaWorld" xr:uid="{238F3405-7C60-446B-98C3-C8D7F8842317}"/>
    <hyperlink ref="E4851" r:id="rId14980" display="https://twitter.com/FuscaWorld/status/723588471860912128" xr:uid="{E035D6F4-5055-40B6-819D-551CA4F01207}"/>
    <hyperlink ref="O4851" r:id="rId14981" display="https://pbs.twimg.com/profile_images/705780107844067328/e7O4UBNb_normal.jpg" xr:uid="{5B610A81-FC97-419D-8428-529B05F5BAEA}"/>
    <hyperlink ref="B4852" r:id="rId14982" display="https://twitter.com/StohlmanAuto" xr:uid="{B9F645D2-42A7-4835-891C-F6360C468E9E}"/>
    <hyperlink ref="E4852" r:id="rId14983" display="https://twitter.com/StohlmanAuto/status/723588510029103105" xr:uid="{57B27238-B722-4325-BA33-141A7C2243F1}"/>
    <hyperlink ref="O4852" r:id="rId14984" display="https://pbs.twimg.com/profile_images/2301932893/ofy8sgl94m45zgiq2my3_normal.jpeg" xr:uid="{03F17BC9-52E2-46B2-AEEF-99EFF332B858}"/>
    <hyperlink ref="B4853" r:id="rId14985" display="https://twitter.com/uextremo" xr:uid="{6D5B4EA9-B1F6-4A38-8609-4FB9570B2154}"/>
    <hyperlink ref="E4853" r:id="rId14986" display="https://twitter.com/uextremo/status/723588549698813952" xr:uid="{CE898FC6-A1A1-4EE8-96D9-4F3FEC35BBC6}"/>
    <hyperlink ref="O4853" r:id="rId14987" display="https://pbs.twimg.com/profile_images/3077820952/a1d4fe04dd9458bc186ab16a86ba62c0_normal.jpeg" xr:uid="{32AE4866-B00F-4072-85C3-3234A733C43A}"/>
    <hyperlink ref="B4854" r:id="rId14988" display="https://twitter.com/rafickd" xr:uid="{A8E8E2A4-1F7C-486E-BC7F-596F27CF06F0}"/>
    <hyperlink ref="E4854" r:id="rId14989" display="https://twitter.com/rafickd/status/723588769597784064" xr:uid="{5E54C724-8DFA-40A3-8F48-DAD21DB5BDAF}"/>
    <hyperlink ref="O4854" r:id="rId14990" display="https://pbs.twimg.com/profile_images/520889978763497472/D5_00R6w_normal.jpeg" xr:uid="{6FB79ECB-3D81-42C9-8A75-E8A702FFD326}"/>
    <hyperlink ref="B4855" r:id="rId14991" display="https://twitter.com/VWCamperSales" xr:uid="{29F5C948-3D3F-4468-8900-8CB22BFD8141}"/>
    <hyperlink ref="E4855" r:id="rId14992" display="https://twitter.com/VWCamperSales/status/723588842968608769" xr:uid="{85BC5134-437A-4D2C-95C9-FB3220873996}"/>
    <hyperlink ref="F4855" r:id="rId14993" xr:uid="{24A37905-E720-4F9C-96E2-6469CD64AFB0}"/>
    <hyperlink ref="O4855" r:id="rId14994" display="https://pbs.twimg.com/profile_images/627949001179037696/skEBkS05_normal.jpg" xr:uid="{4E35C4F3-67E8-4B87-949B-3572F64F7549}"/>
    <hyperlink ref="B4856" r:id="rId14995" display="https://twitter.com/Logistique01" xr:uid="{52E49024-798B-489F-82DC-294A328FF4D8}"/>
    <hyperlink ref="E4856" r:id="rId14996" display="https://twitter.com/Logistique01/status/723589037450129408" xr:uid="{C481AAE3-0656-4D91-BE3F-902A2E3F45C5}"/>
    <hyperlink ref="O4856" r:id="rId14997" display="https://pbs.twimg.com/profile_images/3497903431/ae95594a00a0817e860e73da8fef6dca_normal.png" xr:uid="{7AA84BC8-A61D-4A40-8634-CEBFA1AEBF42}"/>
    <hyperlink ref="B4857" r:id="rId14998" display="https://twitter.com/beuc" xr:uid="{867BA571-F67B-4687-A585-55040D580A63}"/>
    <hyperlink ref="E4857" r:id="rId14999" display="https://twitter.com/beuc/status/723589078151782401" xr:uid="{02FB0DCB-49FC-4F85-B47B-9414B13A98D8}"/>
    <hyperlink ref="O4857" r:id="rId15000" display="https://pbs.twimg.com/profile_images/1749790667/twitter_normal.jpg" xr:uid="{71B10734-FD10-4F87-82AE-96B873D7E24C}"/>
    <hyperlink ref="B4858" r:id="rId15001" display="https://twitter.com/FlowKoR" xr:uid="{C9542BFF-C83C-4B07-805B-E9CB26338C72}"/>
    <hyperlink ref="E4858" r:id="rId15002" display="https://twitter.com/FlowKoR/status/723589724372406276" xr:uid="{9D168C70-8F2C-4EEC-9313-261A456BA68B}"/>
    <hyperlink ref="O4858" r:id="rId15003" display="https://pbs.twimg.com/profile_images/541184768092946432/7MQsdDpQ_normal.jpeg" xr:uid="{17EB6910-1CA5-47E9-B738-E067B1378EE7}"/>
    <hyperlink ref="B4859" r:id="rId15004" display="https://twitter.com/marksvaleting" xr:uid="{DAF2DFD9-3CE8-4243-9D04-472B16D3804B}"/>
    <hyperlink ref="E4859" r:id="rId15005" display="https://twitter.com/marksvaleting/status/723589797747417088" xr:uid="{7F77A884-8060-4383-B126-D568E36C3E74}"/>
    <hyperlink ref="O4859" r:id="rId15006" display="https://pbs.twimg.com/profile_images/670167803933147137/TS0Pfe6g_normal.jpg" xr:uid="{52A28A85-06E8-4BBD-9287-C744644BF306}"/>
    <hyperlink ref="B4860" r:id="rId15007" display="https://twitter.com/luchomarinacci" xr:uid="{E31FC579-7078-45AF-94CB-6DAEEEABB0E6}"/>
    <hyperlink ref="E4860" r:id="rId15008" display="https://twitter.com/luchomarinacci/status/723589893822263297" xr:uid="{D328CF96-41A3-42A9-AEE8-BEE288FF194E}"/>
    <hyperlink ref="O4860" r:id="rId15009" display="https://pbs.twimg.com/profile_images/722125617907503104/KuNX67lM_normal.jpg" xr:uid="{B9AA6457-8221-4831-BFC8-031FB2CBF2E1}"/>
    <hyperlink ref="B4861" r:id="rId15010" display="https://twitter.com/notyourcountry" xr:uid="{C89D091A-826F-48F9-B63C-72AF363C534A}"/>
    <hyperlink ref="E4861" r:id="rId15011" display="https://twitter.com/notyourcountry/status/723589954132037632" xr:uid="{D9AF3149-4331-4664-B608-73A19AE7B5C5}"/>
    <hyperlink ref="O4861" r:id="rId15012" display="https://pbs.twimg.com/profile_images/644097845818068992/PHIi32Pe_normal.png" xr:uid="{7B5ED895-6C7A-4B5D-AD38-569071BA459F}"/>
    <hyperlink ref="B4862" r:id="rId15013" display="https://twitter.com/WhatsUpMattDiaz" xr:uid="{CF733849-7D9E-4DC5-A03C-F02B933A853C}"/>
    <hyperlink ref="E4862" r:id="rId15014" display="https://twitter.com/WhatsUpMattDiaz/status/723590130339074049" xr:uid="{2970C32A-37B3-47AC-A028-515DF9D7EDBF}"/>
    <hyperlink ref="O4862" r:id="rId15015" display="https://pbs.twimg.com/profile_images/712857678679252992/50JbthhW_normal.jpg" xr:uid="{4B772FD1-19C8-4DD1-BF18-8E8B1DF3F8B2}"/>
    <hyperlink ref="B4863" r:id="rId15016" display="https://twitter.com/miliivillar_" xr:uid="{F36D9092-2DE1-4778-A49C-067EEEAA6A9F}"/>
    <hyperlink ref="E4863" r:id="rId15017" display="https://twitter.com/miliivillar_/status/723590196420325376" xr:uid="{43D73694-4B8C-4875-9C5D-F296DE10E0A1}"/>
    <hyperlink ref="O4863" r:id="rId15018" display="https://pbs.twimg.com/profile_images/719374746882863104/mJVCSYuc_normal.jpg" xr:uid="{2F1D06D3-F24F-44B7-BE34-3B4267BAA6F2}"/>
    <hyperlink ref="B4864" r:id="rId15019" display="https://twitter.com/VWBeetleSales" xr:uid="{F4912F4B-4697-47D9-8798-27E962EAE230}"/>
    <hyperlink ref="E4864" r:id="rId15020" display="https://twitter.com/VWBeetleSales/status/723590209535795200" xr:uid="{3ADBF219-BFB1-4D7F-9B03-2902C019CC77}"/>
    <hyperlink ref="F4864" r:id="rId15021" xr:uid="{4938B26E-E8D8-4940-9606-9E99B22D71F2}"/>
    <hyperlink ref="O4864" r:id="rId15022" display="https://pbs.twimg.com/profile_images/703294545195307008/qeCvrX86_normal.jpg" xr:uid="{5370BCA5-401E-4FE4-BA94-CA2346C8CA81}"/>
    <hyperlink ref="B4865" r:id="rId15023" display="https://twitter.com/Fam2FamHIC" xr:uid="{4AEC1A3D-F2ED-45FD-A3B2-316DB8708347}"/>
    <hyperlink ref="E4865" r:id="rId15024" display="https://twitter.com/Fam2FamHIC/status/723590264149803008" xr:uid="{D214D343-0729-4FF6-8AA9-3BFB907DFD34}"/>
    <hyperlink ref="O4865" r:id="rId15025" display="https://pbs.twimg.com/profile_images/1565666442/2_normal.jpg" xr:uid="{0AEEAAB0-3DDF-415E-8E3D-25592DF15516}"/>
    <hyperlink ref="B4866" r:id="rId15026" display="https://twitter.com/Tonelli22" xr:uid="{A368CC66-E905-491A-9DEB-D988ED9A6B89}"/>
    <hyperlink ref="E4866" r:id="rId15027" display="https://twitter.com/Tonelli22/status/723590476255891456" xr:uid="{974C8DBA-4944-4087-9722-83D5D7B481CC}"/>
    <hyperlink ref="O4866" r:id="rId15028" display="https://pbs.twimg.com/profile_images/722256787009859584/vkuTNBGF_normal.jpg" xr:uid="{971BA834-F082-4C77-B8A4-6110722EBD32}"/>
    <hyperlink ref="B4867" r:id="rId15029" display="https://twitter.com/GarionCoyote" xr:uid="{BD0E9B91-ACF8-494E-89FA-2CE2A835403D}"/>
    <hyperlink ref="E4867" r:id="rId15030" display="https://twitter.com/GarionCoyote/status/723590592681357312" xr:uid="{46632D0D-936A-40B8-8AEA-AE5FBBB8EB6A}"/>
    <hyperlink ref="O4867" r:id="rId15031" display="https://pbs.twimg.com/profile_images/671367911857127424/UES84lbq_normal.jpg" xr:uid="{79B78719-DACE-4C56-9189-2EF9AB18B8C4}"/>
    <hyperlink ref="B4868" r:id="rId15032" display="https://twitter.com/lautaroalarcon5" xr:uid="{E9510E10-2298-4AD7-85B5-FA5615C9FCDE}"/>
    <hyperlink ref="E4868" r:id="rId15033" display="https://twitter.com/lautaroalarcon5/status/723590699673853953" xr:uid="{07ADE5EA-D04C-49B9-9C94-9B817D43D56B}"/>
    <hyperlink ref="O4868" r:id="rId15034" display="https://pbs.twimg.com/profile_images/662123268590206976/GwYg7E7v_normal.jpg" xr:uid="{28CE13C7-6054-47C8-BFE1-033D19BD4636}"/>
    <hyperlink ref="B4869" r:id="rId15035" display="https://twitter.com/CeasarorRome" xr:uid="{BB146B5B-349A-4DFB-98A0-2263AEEA3B93}"/>
    <hyperlink ref="E4869" r:id="rId15036" display="https://twitter.com/CeasarorRome/status/723590771908206593" xr:uid="{2C52DF83-5409-45CA-954A-8ACA2696BB32}"/>
    <hyperlink ref="O4869" r:id="rId15037" display="https://pbs.twimg.com/profile_images/378800000289761493/de650efb105fddd7be2b73feb9cbe610_normal.png" xr:uid="{18633189-2A5D-421C-8484-0876D55C8B00}"/>
    <hyperlink ref="B4870" r:id="rId15038" display="https://twitter.com/Scirocco_Tuning" xr:uid="{F0DD5E8D-2927-49B6-B6FF-EFBC9D8D3339}"/>
    <hyperlink ref="E4870" r:id="rId15039" display="https://twitter.com/Scirocco_Tuning/status/723590823477170176" xr:uid="{32EF96EA-8892-4F74-8969-2E3E498B96EC}"/>
    <hyperlink ref="O4870" r:id="rId15040" display="https://pbs.twimg.com/profile_images/1610421423/Image2_normal.jpg" xr:uid="{1D7BA58A-0AA7-4C15-A098-E856C0E0AC7C}"/>
    <hyperlink ref="B4871" r:id="rId15041" display="https://twitter.com/JoergRupp" xr:uid="{4F791AAD-13EB-4F47-9778-C9097950790B}"/>
    <hyperlink ref="E4871" r:id="rId15042" display="https://twitter.com/JoergRupp/status/723590949465669633" xr:uid="{51ADE646-3030-4119-9FF0-3D162FE1419C}"/>
    <hyperlink ref="O4871" r:id="rId15043" display="https://pbs.twimg.com/profile_images/627119186943344644/ABqY0Py5_normal.jpg" xr:uid="{5FAF1D14-4EC6-4A49-902A-14CE1F9D1B0D}"/>
    <hyperlink ref="B4872" r:id="rId15044" display="https://twitter.com/Gurupro" xr:uid="{0D432ABA-CC55-459C-8672-172B92E247F8}"/>
    <hyperlink ref="E4872" r:id="rId15045" display="https://twitter.com/Gurupro/status/723590967002062848" xr:uid="{C022DD32-6D72-4FCE-A0FA-BA88C96BAB0F}"/>
    <hyperlink ref="O4872" r:id="rId15046" display="https://pbs.twimg.com/profile_images/608059787474018305/JaYlRabK_normal.jpg" xr:uid="{C1CC2A49-567D-42C3-8403-1098EC600838}"/>
    <hyperlink ref="B4873" r:id="rId15047" display="https://twitter.com/rhettx" xr:uid="{50D3885C-906F-457D-9D14-8502D8BD1D18}"/>
    <hyperlink ref="E4873" r:id="rId15048" display="https://twitter.com/rhettx/status/723590995837898753" xr:uid="{A9DE3C53-40A3-457C-8799-0AF1BCAF3C4A}"/>
    <hyperlink ref="O4873" r:id="rId15049" display="https://pbs.twimg.com/profile_images/711096343394164736/OI7mC7jB_normal.jpg" xr:uid="{914CEFF6-8244-411E-A1D1-BB86B70BB491}"/>
    <hyperlink ref="B4874" r:id="rId15050" display="https://twitter.com/Donna_Belsky" xr:uid="{D8B86709-9C49-43A6-9407-CAA0A811F498}"/>
    <hyperlink ref="E4874" r:id="rId15051" display="https://twitter.com/Donna_Belsky/status/723591000762007556" xr:uid="{0331F0C1-4196-44D0-A569-94CC3B9AFF79}"/>
    <hyperlink ref="O4874" r:id="rId15052" display="https://abs.twimg.com/sticky/default_profile_images/default_profile_1_normal.png" xr:uid="{88FDB21D-7FA2-4CED-A8D6-23537970CC70}"/>
    <hyperlink ref="B4875" r:id="rId15053" display="https://twitter.com/acvwpassion" xr:uid="{9134B8F6-0CE5-4118-8996-5892051B2DCB}"/>
    <hyperlink ref="E4875" r:id="rId15054" display="https://twitter.com/acvwpassion/status/723591012589903872" xr:uid="{5249FBD0-26AD-4C82-A570-9773FD14EDD0}"/>
    <hyperlink ref="O4875" r:id="rId15055" display="https://pbs.twimg.com/profile_images/545688359964651520/SF3sJ7lv_normal.jpeg" xr:uid="{E0B40BC7-1F86-4B8F-ACEE-D1DBEE8E8798}"/>
    <hyperlink ref="B4876" r:id="rId15056" display="https://twitter.com/AttorneyLending" xr:uid="{312DB31D-6DD3-4D6E-BE77-5BE8F41AFC71}"/>
    <hyperlink ref="E4876" r:id="rId15057" display="https://twitter.com/AttorneyLending/status/723591356912906241" xr:uid="{3087A028-E374-4B91-A481-F168A4D5F6D7}"/>
    <hyperlink ref="O4876" r:id="rId15058" display="https://pbs.twimg.com/profile_images/489869773597986816/qXB3yWJn_normal.jpeg" xr:uid="{CB389D72-3EA3-40BF-86F3-51FF3CA0C71D}"/>
    <hyperlink ref="B4877" r:id="rId15059" display="https://twitter.com/ProfJohnix" xr:uid="{01F96C7D-B8DD-4D6C-966C-737FB17BD1B3}"/>
    <hyperlink ref="E4877" r:id="rId15060" display="https://twitter.com/ProfJohnix/status/723591498768486400" xr:uid="{CBB3374B-F7C1-4FDF-89ED-71B945E24EC8}"/>
    <hyperlink ref="O4877" r:id="rId15061" display="https://pbs.twimg.com/profile_images/1579595684/johnix-selbstportrait-80x100_normal.jpg" xr:uid="{CEFCF40F-CFA0-4AC5-BAD4-1F8C59A5C6BC}"/>
    <hyperlink ref="B4878" r:id="rId15062" display="https://twitter.com/Gosthtot" xr:uid="{FCFCE871-4869-40B3-B685-18451CA7819F}"/>
    <hyperlink ref="E4878" r:id="rId15063" display="https://twitter.com/Gosthtot/status/723591920400908288" xr:uid="{4A8CFA78-6EF8-4240-8DA7-671326565A17}"/>
    <hyperlink ref="O4878" r:id="rId15064" display="https://pbs.twimg.com/profile_images/556251546715820033/l5Ixj297_normal.jpeg" xr:uid="{5C330FBB-B793-4A0C-8139-623D30B71085}"/>
    <hyperlink ref="B4879" r:id="rId15065" display="https://twitter.com/Logistique01" xr:uid="{EDFF9507-EB1F-4AA1-84D6-85B2417A0F18}"/>
    <hyperlink ref="E4879" r:id="rId15066" display="https://twitter.com/Logistique01/status/723592120301293568" xr:uid="{617A9D39-FF6F-4742-B215-1FDBF82F855D}"/>
    <hyperlink ref="O4879" r:id="rId15067" display="https://pbs.twimg.com/profile_images/3497903431/ae95594a00a0817e860e73da8fef6dca_normal.png" xr:uid="{B7A230AD-44B3-4AA6-BE71-9E14B7B32CEE}"/>
    <hyperlink ref="B4880" r:id="rId15068" display="https://twitter.com/luisvilla080921" xr:uid="{F06080E1-281D-4DEB-B5CD-92A583E49E43}"/>
    <hyperlink ref="E4880" r:id="rId15069" display="https://twitter.com/luisvilla080921/status/723592136357232640" xr:uid="{01F76FEB-A01E-4540-BAD5-59480C836BC0}"/>
    <hyperlink ref="O4880" r:id="rId15070" display="https://pbs.twimg.com/profile_images/722036543905468419/9HvI0UM4_normal.jpg" xr:uid="{DFBEA2B3-69F8-444A-97BC-1CA98B926332}"/>
    <hyperlink ref="B4881" r:id="rId15071" display="https://twitter.com/BodySoulAutoW" xr:uid="{B115D274-178E-427B-ADDF-797B80DA4613}"/>
    <hyperlink ref="E4881" r:id="rId15072" display="https://twitter.com/BodySoulAutoW/status/723592202941804544" xr:uid="{E6FFCE99-83FB-4F8B-A3AF-1634DAF4CC0C}"/>
    <hyperlink ref="O4881" r:id="rId15073" display="https://pbs.twimg.com/profile_images/378800000525610579/6f00609e1a10dd11349b998bee5a3a5f_normal.jpeg" xr:uid="{F00C66D8-888D-4E9C-81FA-29A300ED57F7}"/>
    <hyperlink ref="B4882" r:id="rId15074" display="https://twitter.com/enripiv" xr:uid="{C609DD53-04F5-4020-A75D-1F99582A7AE6}"/>
    <hyperlink ref="E4882" r:id="rId15075" display="https://twitter.com/enripiv/status/723592253520916480" xr:uid="{396E3030-4514-47C9-89E1-294065290233}"/>
    <hyperlink ref="O4882" r:id="rId15076" display="https://pbs.twimg.com/profile_images/683976813064941568/4M6noO5e_normal.jpg" xr:uid="{B3C8F53D-B697-4B20-AA81-4767F0B781E1}"/>
    <hyperlink ref="B4883" r:id="rId15077" display="https://twitter.com/ThomasThePommes" xr:uid="{DCD07EB3-3EB5-4BBC-8A94-00209708E85C}"/>
    <hyperlink ref="E4883" r:id="rId15078" display="https://twitter.com/ThomasThePommes/status/723592555749871616" xr:uid="{DB82CDBF-701F-45B6-ABCC-F7E229C66EAC}"/>
    <hyperlink ref="O4883" r:id="rId15079" display="https://pbs.twimg.com/profile_images/719921608509558786/VuRcYsKy_normal.jpg" xr:uid="{5C81FA46-17EA-4BFA-98B5-4EB0F5F1E996}"/>
    <hyperlink ref="B4884" r:id="rId15080" display="https://twitter.com/RandigRoy" xr:uid="{13A5351E-B543-4561-B6DA-728DDACE1EE6}"/>
    <hyperlink ref="E4884" r:id="rId15081" display="https://twitter.com/RandigRoy/status/723592677955129344" xr:uid="{BF0DC0A3-36AE-40C5-B6F1-AF3D391A63B9}"/>
    <hyperlink ref="O4884" r:id="rId15082" display="https://pbs.twimg.com/profile_images/706250402153549824/0fzL9x_h_normal.jpg" xr:uid="{05F1BA39-8178-4BCF-B1B5-3A8583142A30}"/>
    <hyperlink ref="B4885" r:id="rId15083" display="https://twitter.com/tesla_diary" xr:uid="{6F206926-0520-4409-8DF9-82E5AC9EC1A8}"/>
    <hyperlink ref="E4885" r:id="rId15084" display="https://twitter.com/tesla_diary/status/723592689237811200" xr:uid="{38187015-F19A-4D86-8C76-B48B8091610C}"/>
    <hyperlink ref="O4885" r:id="rId15085" display="https://abs.twimg.com/sticky/default_profile_images/default_profile_0_normal.png" xr:uid="{367F2A6B-941C-49EA-8ED7-F47D5694DB31}"/>
    <hyperlink ref="B4886" r:id="rId15086" display="https://twitter.com/MicaaSaleh" xr:uid="{FC3876E8-5B6B-4E8D-9DF5-64468349AC97}"/>
    <hyperlink ref="E4886" r:id="rId15087" display="https://twitter.com/MicaaSaleh/status/723592717876498433" xr:uid="{91217417-82E8-4AF4-A165-4C87BE710E79}"/>
    <hyperlink ref="O4886" r:id="rId15088" display="https://pbs.twimg.com/profile_images/663740018029150208/MlJVcCwz_normal.jpg" xr:uid="{A5983ACD-62C4-401E-8E50-AB40732C7A01}"/>
    <hyperlink ref="B4887" r:id="rId15089" display="https://twitter.com/Gosthtot" xr:uid="{D1A17AEA-05B5-4C2A-BE98-1D02EF6674F3}"/>
    <hyperlink ref="E4887" r:id="rId15090" display="https://twitter.com/Gosthtot/status/723592775715962880" xr:uid="{DB39B736-4261-4DF6-95AC-F52453F146D2}"/>
    <hyperlink ref="O4887" r:id="rId15091" display="https://pbs.twimg.com/profile_images/556251546715820033/l5Ixj297_normal.jpeg" xr:uid="{AFB594FE-007A-4979-BA34-813DCEA20442}"/>
    <hyperlink ref="B4888" r:id="rId15092" display="https://twitter.com/VCT_Tweets" xr:uid="{FBC1F1C0-3D53-4799-ACA6-8A0886090607}"/>
    <hyperlink ref="E4888" r:id="rId15093" display="https://twitter.com/VCT_Tweets/status/723593363769950208" xr:uid="{9D3592F2-8DC1-485F-BA70-71F2BF1E8FFF}"/>
    <hyperlink ref="O4888" r:id="rId15094" display="https://pbs.twimg.com/profile_images/569800899141177344/nVFLMSdb_normal.png" xr:uid="{76422AD1-96F2-42E9-8C3E-0FB634BB4800}"/>
    <hyperlink ref="B4889" r:id="rId15095" display="https://twitter.com/MiningAssets" xr:uid="{A0B52CE2-EC4A-409C-9C86-EC4A962ACFA2}"/>
    <hyperlink ref="E4889" r:id="rId15096" display="https://twitter.com/MiningAssets/status/723593498222563328" xr:uid="{CBA8093E-AB78-44F3-B345-29CDE9C1BFD9}"/>
    <hyperlink ref="O4889" r:id="rId15097" display="https://pbs.twimg.com/profile_images/1824707893/236201-frederika_normal.jpg" xr:uid="{40F8B2D3-819B-4981-8D18-90378A23B12A}"/>
    <hyperlink ref="B4890" r:id="rId15098" display="https://twitter.com/DonnaNunez4864" xr:uid="{896C19B6-790E-43AE-AC08-32764FC27667}"/>
    <hyperlink ref="E4890" r:id="rId15099" display="https://twitter.com/DonnaNunez4864/status/723593736786075653" xr:uid="{42356AFF-8661-40C7-831B-76F563AD2A55}"/>
    <hyperlink ref="F4890" r:id="rId15100" xr:uid="{4F0C204C-C194-4092-B2E1-D857EC8F65EB}"/>
    <hyperlink ref="O4890" r:id="rId15101" display="https://pbs.twimg.com/profile_images/859474166/12521969409537444_normal.jpg" xr:uid="{8EEB3F89-57B4-4DE0-9B1B-0179A421CC1B}"/>
    <hyperlink ref="B4891" r:id="rId15102" display="https://twitter.com/Gosthtot" xr:uid="{EA8DC46D-9655-4C20-8EC3-4EA4B506F32D}"/>
    <hyperlink ref="E4891" r:id="rId15103" display="https://twitter.com/Gosthtot/status/723593750052777984" xr:uid="{4AC036ED-EB80-47EA-8522-D6E5958B70B5}"/>
    <hyperlink ref="O4891" r:id="rId15104" display="https://pbs.twimg.com/profile_images/556251546715820033/l5Ixj297_normal.jpeg" xr:uid="{46A2E389-8A7F-447B-85D7-76A65FDBA676}"/>
    <hyperlink ref="B4892" r:id="rId15105" display="https://twitter.com/WreckitReese21" xr:uid="{0B3D136E-30D8-45EB-AB0E-16EDECB3C766}"/>
    <hyperlink ref="E4892" r:id="rId15106" display="https://twitter.com/WreckitReese21/status/723594084393209856" xr:uid="{DC46F4A5-73A9-46AE-A036-581C76163B1D}"/>
    <hyperlink ref="O4892" r:id="rId15107" display="https://pbs.twimg.com/profile_images/686110235245719552/ey8VjbBh_normal.jpg" xr:uid="{67F20C7F-D838-4A87-98A8-355AC990F781}"/>
    <hyperlink ref="B4893" r:id="rId15108" display="https://twitter.com/VWBeetleSales" xr:uid="{F3352889-A8FC-4D31-BFF9-376E581A0C7A}"/>
    <hyperlink ref="E4893" r:id="rId15109" display="https://twitter.com/VWBeetleSales/status/723594103749902336" xr:uid="{CA1BD3A2-06D4-4C84-AF5D-B8CED9C6C7E1}"/>
    <hyperlink ref="F4893" r:id="rId15110" xr:uid="{C5129E49-0E65-4516-9C30-AAA7432DD925}"/>
    <hyperlink ref="O4893" r:id="rId15111" display="https://pbs.twimg.com/profile_images/703294545195307008/qeCvrX86_normal.jpg" xr:uid="{109BD580-491F-4C95-A65E-61FAE888A4B3}"/>
    <hyperlink ref="B4894" r:id="rId15112" display="https://twitter.com/POLITICS_JEDI" xr:uid="{9B37FA66-F56E-4F02-AFC7-F6A856FE70DD}"/>
    <hyperlink ref="E4894" r:id="rId15113" display="https://twitter.com/POLITICS_JEDI/status/723594391978385408" xr:uid="{C80C9FB3-A38D-4795-8C93-C2717D06E388}"/>
    <hyperlink ref="O4894" r:id="rId15114" display="https://pbs.twimg.com/profile_images/696084845211074562/Cn9CCNQa_normal.jpg" xr:uid="{E7F4DFDB-25A9-476C-B24C-5A4F7333E888}"/>
    <hyperlink ref="B4895" r:id="rId15115" display="https://twitter.com/EitelStefan" xr:uid="{B7B28D3E-D7E0-4C58-AD23-2CE95EF94CBC}"/>
    <hyperlink ref="E4895" r:id="rId15116" display="https://twitter.com/EitelStefan/status/723594654764113920" xr:uid="{CDF1F258-6E6F-4FB3-A20E-6DCB168C60A8}"/>
    <hyperlink ref="O4895" r:id="rId15117" display="https://pbs.twimg.com/profile_images/637593303836422144/JiLq2Ins_normal.png" xr:uid="{FD4F017E-A408-4DF8-AB45-D9FB405E84F3}"/>
    <hyperlink ref="B4896" r:id="rId15118" display="https://twitter.com/eric_morehead" xr:uid="{B7A740E1-C943-4DE7-A32F-7A01EB3C5AFC}"/>
    <hyperlink ref="E4896" r:id="rId15119" display="https://twitter.com/eric_morehead/status/723594742848573441" xr:uid="{96A9F277-E087-4D39-B2E2-68F8804C8191}"/>
    <hyperlink ref="O4896" r:id="rId15120" display="https://pbs.twimg.com/profile_images/428638459389964288/5r8eLA45_normal.jpeg" xr:uid="{72EB2873-B692-4752-844D-A8E813E5CB0E}"/>
    <hyperlink ref="B4897" r:id="rId15121" display="https://twitter.com/loll1980" xr:uid="{AA317AFC-25D4-4D40-9372-272D5829D698}"/>
    <hyperlink ref="E4897" r:id="rId15122" display="https://twitter.com/loll1980/status/723594873744592898" xr:uid="{7454F8B5-9E0E-4680-A015-AA486F07F034}"/>
    <hyperlink ref="O4897" r:id="rId15123" display="https://pbs.twimg.com/profile_images/709091473682202624/KJaoCxuM_normal.jpg" xr:uid="{5152127B-ACE5-4C0B-BFEA-84256B962E14}"/>
    <hyperlink ref="B4898" r:id="rId15124" display="https://twitter.com/VolkswagenCasey" xr:uid="{4342FE0E-A5F9-427D-BC7D-EF86058BE7CC}"/>
    <hyperlink ref="E4898" r:id="rId15125" display="https://twitter.com/VolkswagenCasey/status/723594947346219008" xr:uid="{20880222-F7C7-4D82-9545-3D62783515FB}"/>
    <hyperlink ref="O4898" r:id="rId15126" display="https://pbs.twimg.com/profile_images/451387717742379008/x8L5Ms1G_normal.jpeg" xr:uid="{EE6C37C2-CDEB-4175-BFC5-C90FA92142C4}"/>
    <hyperlink ref="B4899" r:id="rId15127" display="https://twitter.com/j_sturmberg" xr:uid="{FDE42436-8BB9-4B98-A8F7-0936CEC6F30D}"/>
    <hyperlink ref="E4899" r:id="rId15128" display="https://twitter.com/j_sturmberg/status/723595222517714944" xr:uid="{64D2408E-0329-40AA-82EC-E0101DD17C2F}"/>
    <hyperlink ref="O4899" r:id="rId15129" display="https://pbs.twimg.com/profile_images/536668880203038720/469VmgoM_normal.jpeg" xr:uid="{08C49214-CF0F-4E4E-82F7-5470B52B5035}"/>
    <hyperlink ref="B4900" r:id="rId15130" display="https://twitter.com/j_sturmberg" xr:uid="{E17311F3-EEE8-48AF-8416-BA00E10DFB35}"/>
    <hyperlink ref="E4900" r:id="rId15131" display="https://twitter.com/j_sturmberg/status/723595429556944896" xr:uid="{F7CAB470-F83D-4A0E-AF88-37C0A2BCF70F}"/>
    <hyperlink ref="O4900" r:id="rId15132" display="https://pbs.twimg.com/profile_images/536668880203038720/469VmgoM_normal.jpeg" xr:uid="{F4D040AD-23BD-43E2-9879-64EB5B49D231}"/>
    <hyperlink ref="B4901" r:id="rId15133" display="https://twitter.com/EEPublishing" xr:uid="{51F0AAAE-E709-4588-A408-9D990DF77175}"/>
    <hyperlink ref="E4901" r:id="rId15134" display="https://twitter.com/EEPublishing/status/723595458220797952" xr:uid="{C45BCA58-A307-4368-B682-234C6273060B}"/>
    <hyperlink ref="O4901" r:id="rId15135" display="https://pbs.twimg.com/profile_images/577927762721120257/mbfn05ZP_normal.png" xr:uid="{2C0D5B06-B9D2-4640-AD51-07D33E0ABAD9}"/>
    <hyperlink ref="B4902" r:id="rId15136" display="https://twitter.com/JohnHall_UK" xr:uid="{2B9091D3-A396-42BA-82FA-A1513D76EF73}"/>
    <hyperlink ref="E4902" r:id="rId15137" display="https://twitter.com/JohnHall_UK/status/723595567134208000" xr:uid="{65C946E4-1B3C-4902-ABE8-E076ED9BB431}"/>
    <hyperlink ref="F4902" r:id="rId15138" xr:uid="{78023E77-6DCA-4C49-84EA-ECBE92F0A6AF}"/>
    <hyperlink ref="O4902" r:id="rId15139" display="https://pbs.twimg.com/profile_images/1636550085/me_normal.jpg" xr:uid="{8689C5C3-A4BA-49EC-AC3F-FC4ED00125E6}"/>
    <hyperlink ref="B4903" r:id="rId15140" display="https://twitter.com/EitelStefan" xr:uid="{8181B733-97ED-47C2-9BC9-72F9E1C47B3E}"/>
    <hyperlink ref="E4903" r:id="rId15141" display="https://twitter.com/EitelStefan/status/723595623426039809" xr:uid="{7CFB6F21-5F58-4FDE-8413-22765AEF2074}"/>
    <hyperlink ref="O4903" r:id="rId15142" display="https://pbs.twimg.com/profile_images/637593303836422144/JiLq2Ins_normal.png" xr:uid="{B14B9F83-8A8E-4825-B8F0-573DBE6D22A4}"/>
    <hyperlink ref="B4904" r:id="rId15143" display="https://twitter.com/Mphilpot1" xr:uid="{CFC09D2E-7CB6-4952-9376-0640F2F09FD6}"/>
    <hyperlink ref="E4904" r:id="rId15144" display="https://twitter.com/Mphilpot1/status/723595793253330944" xr:uid="{E65F1DFD-6687-444E-BEBC-1F423C37ADF0}"/>
    <hyperlink ref="O4904" r:id="rId15145" display="https://pbs.twimg.com/profile_images/422164778639839234/LVnS1q1c_normal.jpeg" xr:uid="{FD5F2EEC-123F-4596-A0A5-659DDB505130}"/>
    <hyperlink ref="B4905" r:id="rId15146" display="https://twitter.com/Mphilpot1" xr:uid="{D533AD4B-CC37-4486-BA0E-84EF19200469}"/>
    <hyperlink ref="E4905" r:id="rId15147" display="https://twitter.com/Mphilpot1/status/723595794046054401" xr:uid="{EAACF5C7-A751-4216-B994-C508AAAE9462}"/>
    <hyperlink ref="O4905" r:id="rId15148" display="https://pbs.twimg.com/profile_images/422164778639839234/LVnS1q1c_normal.jpeg" xr:uid="{C39F7E7B-36F8-4904-9AA4-3F74268DB914}"/>
    <hyperlink ref="B4906" r:id="rId15149" display="https://twitter.com/CraigBennett3" xr:uid="{751BD104-604B-4B10-B08C-8FE38E6D9E56}"/>
    <hyperlink ref="E4906" r:id="rId15150" display="https://twitter.com/CraigBennett3/status/723595929144705024" xr:uid="{82220BBC-86CF-452A-B14B-D5559C4ACE90}"/>
    <hyperlink ref="O4906" r:id="rId15151" display="https://pbs.twimg.com/profile_images/626355400586211328/nSfVJgBQ_normal.jpg" xr:uid="{B730E8BE-A729-4CA4-B484-D19B51FD78D9}"/>
    <hyperlink ref="B4907" r:id="rId15152" display="https://twitter.com/VWBeetleSales" xr:uid="{998A6070-7C95-43B8-95AE-6C4722724CC6}"/>
    <hyperlink ref="E4907" r:id="rId15153" display="https://twitter.com/VWBeetleSales/status/723596019905093633" xr:uid="{E18C362B-D721-4230-A2DD-90B69125C31A}"/>
    <hyperlink ref="F4907" r:id="rId15154" xr:uid="{21BCB69F-8037-4832-9838-57EA8133732A}"/>
    <hyperlink ref="O4907" r:id="rId15155" display="https://pbs.twimg.com/profile_images/703294545195307008/qeCvrX86_normal.jpg" xr:uid="{0EDA21EF-8895-4D95-9D33-5D7E1689C116}"/>
    <hyperlink ref="B4908" r:id="rId15156" display="https://twitter.com/VWBeetleSales" xr:uid="{91E1D1C9-1173-40B0-93B7-6ECBA0585538}"/>
    <hyperlink ref="E4908" r:id="rId15157" display="https://twitter.com/VWBeetleSales/status/723596026951557120" xr:uid="{F2C23C13-8F62-4DE1-A25A-10A18035102B}"/>
    <hyperlink ref="F4908" r:id="rId15158" xr:uid="{A9955E34-BAE6-47CF-A600-423CA1AE8EF1}"/>
    <hyperlink ref="O4908" r:id="rId15159" display="https://pbs.twimg.com/profile_images/703294545195307008/qeCvrX86_normal.jpg" xr:uid="{85B7E3FB-D558-4218-B08C-F2F65137EA5D}"/>
    <hyperlink ref="B4909" r:id="rId15160" display="https://twitter.com/Lunatique11" xr:uid="{54061A52-C7D5-4E73-9CCA-B7BED0565E49}"/>
    <hyperlink ref="E4909" r:id="rId15161" display="https://twitter.com/Lunatique11/status/723596264412049409" xr:uid="{920E3954-7288-4C46-B89D-C6D2269693E5}"/>
    <hyperlink ref="O4909" r:id="rId15162" display="https://pbs.twimg.com/profile_images/704318460814364672/WLDosunw_normal.jpg" xr:uid="{1FC18277-2899-448D-9268-F552D032BF54}"/>
    <hyperlink ref="B4910" r:id="rId15163" display="https://twitter.com/VolkswagenPost" xr:uid="{0E7FC43B-F07D-43DF-B5DF-67DACEAE20EF}"/>
    <hyperlink ref="E4910" r:id="rId15164" display="https://twitter.com/VolkswagenPost/status/723596365809500160" xr:uid="{2896711A-1D0E-496E-AF10-33B06FC27EB0}"/>
    <hyperlink ref="O4910" r:id="rId15165" display="https://pbs.twimg.com/profile_images/530071272881803264/a_jcCmPZ_normal.png" xr:uid="{D9B39533-B53B-4C73-AD8F-535EE19D820A}"/>
    <hyperlink ref="B4911" r:id="rId15166" display="https://twitter.com/VolkswagenPost" xr:uid="{29DA06E0-EC59-49DC-93DD-6FDD87E8A72E}"/>
    <hyperlink ref="E4911" r:id="rId15167" display="https://twitter.com/VolkswagenPost/status/723596367134883840" xr:uid="{21C6CEA6-E038-41DB-95C4-DC9D81E71B1A}"/>
    <hyperlink ref="O4911" r:id="rId15168" display="https://pbs.twimg.com/profile_images/530071272881803264/a_jcCmPZ_normal.png" xr:uid="{E147B6CF-D3C7-489A-B946-54BA734728B8}"/>
    <hyperlink ref="B4912" r:id="rId15169" display="https://twitter.com/railscanner" xr:uid="{64117FD6-BE33-4414-885F-D9A45DC1259B}"/>
    <hyperlink ref="E4912" r:id="rId15170" display="https://twitter.com/railscanner/status/723596677291102208" xr:uid="{89276CD0-72F9-47B7-AC79-1B3BC0DE4F86}"/>
    <hyperlink ref="O4912" r:id="rId15171" display="https://pbs.twimg.com/profile_images/419834366810783746/GP0PUHsm_normal.jpeg" xr:uid="{4960430E-56A9-413C-A0C2-720A26C9984A}"/>
    <hyperlink ref="B4913" r:id="rId15172" display="https://twitter.com/oWIGGYo" xr:uid="{28EA7A5F-119A-4C1E-B2DE-29CB6135CA30}"/>
    <hyperlink ref="E4913" r:id="rId15173" display="https://twitter.com/oWIGGYo/status/723597094183940096" xr:uid="{439DBEE8-8945-4754-8859-06B63A3EDEE8}"/>
    <hyperlink ref="O4913" r:id="rId15174" display="https://pbs.twimg.com/profile_images/1232882741/image_normal.jpg" xr:uid="{6A305042-8DC4-42F8-A008-98381BF05BE9}"/>
    <hyperlink ref="B4914" r:id="rId15175" display="https://twitter.com/Philippe_Leviez" xr:uid="{818F85AE-5F0D-4FDB-A3F2-B936287AF881}"/>
    <hyperlink ref="E4914" r:id="rId15176" display="https://twitter.com/Philippe_Leviez/status/723597236135952384" xr:uid="{24C26378-69C5-4E87-9188-64A2640930E6}"/>
    <hyperlink ref="O4914" r:id="rId15177" display="https://pbs.twimg.com/profile_images/378800000838147699/1b1d5a634aedb62ab272ba7fa17a9902_normal.jpeg" xr:uid="{17AF9898-08B6-46D6-87C3-8454825F4C69}"/>
    <hyperlink ref="B4915" r:id="rId15178" display="https://twitter.com/khalifagamal" xr:uid="{71EE9D3E-CAD9-4A36-999E-73DFB04C754E}"/>
    <hyperlink ref="E4915" r:id="rId15179" display="https://twitter.com/khalifagamal/status/723597479887904768" xr:uid="{C76EB4FF-B0E3-4753-9440-C945CE1729D8}"/>
    <hyperlink ref="O4915" r:id="rId15180" display="https://pbs.twimg.com/profile_images/673216512782688256/MWMPpBm__normal.jpg" xr:uid="{566E1587-C202-4B2C-AE83-5553DEEBD9EA}"/>
    <hyperlink ref="B4916" r:id="rId15181" display="https://twitter.com/VWBeetleSales" xr:uid="{074E21B4-76C6-4980-B2D5-6A23563155CD}"/>
    <hyperlink ref="E4916" r:id="rId15182" display="https://twitter.com/VWBeetleSales/status/723597770456633345" xr:uid="{9D22DD7D-ACC5-48A5-8DC3-ED3985726151}"/>
    <hyperlink ref="F4916" r:id="rId15183" xr:uid="{13079EC0-84D1-446A-AEC7-7E5BD0DF6734}"/>
    <hyperlink ref="O4916" r:id="rId15184" display="https://pbs.twimg.com/profile_images/703294545195307008/qeCvrX86_normal.jpg" xr:uid="{9347E2A5-65A1-4448-897A-561AAD3FA20B}"/>
    <hyperlink ref="B4917" r:id="rId15185" display="https://twitter.com/VWCamperSales" xr:uid="{20148580-32EE-4F9C-8A75-48F72086A70E}"/>
    <hyperlink ref="E4917" r:id="rId15186" display="https://twitter.com/VWCamperSales/status/723598024388136960" xr:uid="{F5121C24-24AF-4E0D-BCFB-03F1319D8E84}"/>
    <hyperlink ref="F4917" r:id="rId15187" xr:uid="{38B9EC58-40DA-4703-B0F0-BCD6152804BE}"/>
    <hyperlink ref="O4917" r:id="rId15188" display="https://pbs.twimg.com/profile_images/627949001179037696/skEBkS05_normal.jpg" xr:uid="{99013E05-D7AA-4420-8ED3-263C394AD29D}"/>
    <hyperlink ref="B4918" r:id="rId15189" display="https://twitter.com/KINGDONALDTRUM1" xr:uid="{BCE951D2-1752-4C42-AD13-ABF3C552244B}"/>
    <hyperlink ref="E4918" r:id="rId15190" display="https://twitter.com/KINGDONALDTRUM1/status/723598229967917057" xr:uid="{4F693F7C-37F1-4BE7-9BF7-3380E16571AF}"/>
    <hyperlink ref="O4918" r:id="rId15191" display="https://pbs.twimg.com/profile_images/714263929535537152/lJndNWrv_normal.jpg" xr:uid="{DBB7B169-6A44-456A-883A-F9376AE4F138}"/>
    <hyperlink ref="B4919" r:id="rId15192" display="https://twitter.com/KINGDONALDTRUM1" xr:uid="{A969F50A-9963-4039-BD9E-9C885AB1FA99}"/>
    <hyperlink ref="E4919" r:id="rId15193" display="https://twitter.com/KINGDONALDTRUM1/status/723598274129735680" xr:uid="{B98CD5DA-1917-4F40-8FDF-034035A1434A}"/>
    <hyperlink ref="O4919" r:id="rId15194" display="https://pbs.twimg.com/profile_images/714263929535537152/lJndNWrv_normal.jpg" xr:uid="{90D228DF-6F85-4B10-9A04-4931D1FFFA30}"/>
    <hyperlink ref="B4920" r:id="rId15195" display="https://twitter.com/bryanRis" xr:uid="{B6FC047C-62DE-41E6-B018-C88920AE95BD}"/>
    <hyperlink ref="E4920" r:id="rId15196" display="https://twitter.com/bryanRis/status/723598382724448258" xr:uid="{FA35250F-142C-4275-959B-636B00EAB237}"/>
    <hyperlink ref="O4920" r:id="rId15197" display="https://pbs.twimg.com/profile_images/378800000333683495/1b735d7df89d5667eeeb3eaa48617f9d_normal.jpeg" xr:uid="{7F0EE8FA-F1F0-4421-BBC2-CB2DC86C123D}"/>
    <hyperlink ref="B4921" r:id="rId15198" display="https://twitter.com/JrekAutocare" xr:uid="{98AB3207-2CDA-435C-879C-F0A2251C8277}"/>
    <hyperlink ref="E4921" r:id="rId15199" display="https://twitter.com/JrekAutocare/status/723598633476694017" xr:uid="{C1265A8B-456E-4AA2-A86A-FD204F2060F7}"/>
    <hyperlink ref="O4921" r:id="rId15200" display="https://pbs.twimg.com/profile_images/547784056167886848/5kirDLij_normal.png" xr:uid="{E5A90427-4CFD-4EBC-A038-1054AFB8FF4C}"/>
    <hyperlink ref="B4922" r:id="rId15201" display="https://twitter.com/GeologyColin" xr:uid="{92F085B3-D1B4-4476-81C0-9027D3A66B64}"/>
    <hyperlink ref="E4922" r:id="rId15202" display="https://twitter.com/GeologyColin/status/723598798816055296" xr:uid="{F3624C42-DD27-4B17-9804-8662EADB7CA2}"/>
    <hyperlink ref="O4922" r:id="rId15203" display="https://pbs.twimg.com/profile_images/633033646891372544/JCCEg4t2_normal.jpg" xr:uid="{25F826E6-BF7C-4A25-9B38-5457BA0EE7F3}"/>
    <hyperlink ref="B4923" r:id="rId15204" display="https://twitter.com/CatsandCars007" xr:uid="{36DC65CE-EB9E-43BD-879F-468898E3D336}"/>
    <hyperlink ref="E4923" r:id="rId15205" display="https://twitter.com/CatsandCars007/status/723598854797455360" xr:uid="{7B85EFA3-17F6-41C9-BB7C-1E20B9B1873D}"/>
    <hyperlink ref="O4923" r:id="rId15206" display="https://pbs.twimg.com/profile_images/700149442612047873/3AEJw4UZ_normal.jpg" xr:uid="{F260C0E0-1375-4DE8-B737-4EA6D85BFF75}"/>
    <hyperlink ref="B4924" r:id="rId15207" display="https://twitter.com/DeenCarp" xr:uid="{F615620E-0001-4252-8F3D-82D38A2C766E}"/>
    <hyperlink ref="E4924" r:id="rId15208" display="https://twitter.com/DeenCarp/status/723598940365578245" xr:uid="{1124AC21-706C-4051-803E-CD24DDC30AE9}"/>
    <hyperlink ref="O4924" r:id="rId15209" display="https://pbs.twimg.com/profile_images/714212857613836289/Ote1JoB5_normal.jpg" xr:uid="{C8A37FF1-112B-4E71-BA5B-453F49D36196}"/>
    <hyperlink ref="B4925" r:id="rId15210" display="https://twitter.com/GeologyColin" xr:uid="{070C24A1-DD53-4638-838A-62C51AEB69C2}"/>
    <hyperlink ref="E4925" r:id="rId15211" display="https://twitter.com/GeologyColin/status/723598956060504065" xr:uid="{67E24046-4681-4A75-999E-6F9A7DEC6AC3}"/>
    <hyperlink ref="O4925" r:id="rId15212" display="https://pbs.twimg.com/profile_images/633033646891372544/JCCEg4t2_normal.jpg" xr:uid="{680FD006-B620-47CC-BE77-F8EF56828BC0}"/>
    <hyperlink ref="B4926" r:id="rId15213" display="https://twitter.com/LeventResul" xr:uid="{CC8651A0-F9F7-4B69-A0E9-62DFA23D2B09}"/>
    <hyperlink ref="E4926" r:id="rId15214" display="https://twitter.com/LeventResul/status/723599096930508801" xr:uid="{8C4A8206-799A-4B0F-9589-B34C51079A31}"/>
    <hyperlink ref="O4926" r:id="rId15215" display="https://pbs.twimg.com/profile_images/3048824152/ca9d1b4730013b31b4b11191e4da34cf_normal.jpeg" xr:uid="{C8BDFF65-5E85-4DEB-BD62-E1130252DF90}"/>
    <hyperlink ref="B4927" r:id="rId15216" display="https://twitter.com/GeologyColin" xr:uid="{E7168DF0-590B-4B26-B049-D565B2F4A16D}"/>
    <hyperlink ref="E4927" r:id="rId15217" display="https://twitter.com/GeologyColin/status/723599122465349632" xr:uid="{0F80B398-7770-48E5-8858-6A7CB0D2CDB7}"/>
    <hyperlink ref="O4927" r:id="rId15218" display="https://pbs.twimg.com/profile_images/633033646891372544/JCCEg4t2_normal.jpg" xr:uid="{3A56746B-0B96-4A1C-930A-F663958FF7EA}"/>
    <hyperlink ref="B4928" r:id="rId15219" display="https://twitter.com/SJeanWrites" xr:uid="{4B0B23FD-B470-41F6-9173-70B524C30FEB}"/>
    <hyperlink ref="E4928" r:id="rId15220" display="https://twitter.com/SJeanWrites/status/723599141411127297" xr:uid="{FF9B8158-9D16-49AD-8EE7-AAB5899FC136}"/>
    <hyperlink ref="O4928" r:id="rId15221" display="https://pbs.twimg.com/profile_images/696171758877999104/iAcEEMnX_normal.jpg" xr:uid="{45CABBFA-6087-467A-BC64-FEC50F360D05}"/>
    <hyperlink ref="B4929" r:id="rId15222" display="https://twitter.com/GraLacey" xr:uid="{8F01EC84-7044-4311-98CA-21E20C771F5B}"/>
    <hyperlink ref="E4929" r:id="rId15223" display="https://twitter.com/GraLacey/status/723599205663686657" xr:uid="{6316FAC9-FB34-4B10-8861-9892CFD11B72}"/>
    <hyperlink ref="O4929" r:id="rId15224" display="https://pbs.twimg.com/profile_images/626745382035423232/nwofYmP7_normal.jpg" xr:uid="{13FDB6FB-628F-404C-8E4D-9D04A09468FD}"/>
    <hyperlink ref="B4930" r:id="rId15225" display="https://twitter.com/BASFCorporation" xr:uid="{599B2FB9-BC58-4F4A-A84B-E86B85543676}"/>
    <hyperlink ref="E4930" r:id="rId15226" display="https://twitter.com/BASFCorporation/status/723599300647878657" xr:uid="{0AF6B8A6-515F-40E8-BB22-D9957C90FACA}"/>
    <hyperlink ref="O4930" r:id="rId15227" display="https://pbs.twimg.com/profile_images/684005048993640448/DxFbN2Vi_normal.png" xr:uid="{DAD9F2AB-B204-453D-AD34-345A16B15B6E}"/>
    <hyperlink ref="B4931" r:id="rId15228" display="https://twitter.com/RecorderTweets" xr:uid="{544C985F-EF24-4BBD-8B6C-E96CD9610363}"/>
    <hyperlink ref="E4931" r:id="rId15229" display="https://twitter.com/RecorderTweets/status/723599713791037440" xr:uid="{DC8168F6-B416-449F-B3BC-79009E963D61}"/>
    <hyperlink ref="O4931" r:id="rId15230" display="https://pbs.twimg.com/profile_images/572482317193474048/RjdWJzV5_normal.png" xr:uid="{89DDFDC2-D30B-4D77-A3AA-929C5987963E}"/>
    <hyperlink ref="B4932" r:id="rId15231" display="https://twitter.com/Ee_Batesy" xr:uid="{A90CA968-1495-4F8E-B190-236FB41B2C39}"/>
    <hyperlink ref="E4932" r:id="rId15232" display="https://twitter.com/Ee_Batesy/status/723599763573231616" xr:uid="{2AA10B92-3FD3-4E08-9D72-B75D36E5859E}"/>
    <hyperlink ref="O4932" r:id="rId15233" display="https://pbs.twimg.com/profile_images/696836114716426241/gyTQKlir_normal.jpg" xr:uid="{940876E8-DAD2-4945-A960-03ED358ED6BF}"/>
    <hyperlink ref="B4933" r:id="rId15234" display="https://twitter.com/MikeSoraghan" xr:uid="{73F4C4B4-DCF8-452F-852E-44450626DA77}"/>
    <hyperlink ref="E4933" r:id="rId15235" display="https://twitter.com/MikeSoraghan/status/723600132831367168" xr:uid="{34CD1199-4BA0-45BD-897C-33A7B0F5985E}"/>
    <hyperlink ref="O4933" r:id="rId15236" display="https://pbs.twimg.com/profile_images/2645630553/fbdcd569c7cbd83bba874e8d65c5b303_normal.jpeg" xr:uid="{94360AC4-BA06-4A06-99E3-2BD907A72AD0}"/>
    <hyperlink ref="B4934" r:id="rId15237" display="https://twitter.com/macbeth1208" xr:uid="{60FEC184-167E-4B71-948F-F237A98ED19C}"/>
    <hyperlink ref="E4934" r:id="rId15238" display="https://twitter.com/macbeth1208/status/723600248812261376" xr:uid="{1FAE12CD-17D8-4011-8074-78833B6828D9}"/>
    <hyperlink ref="O4934" r:id="rId15239" display="https://pbs.twimg.com/profile_images/685540223493615616/UVdJ_S7d_normal.jpg" xr:uid="{71A22D92-5E16-4C9E-B296-38C52321D445}"/>
    <hyperlink ref="B4935" r:id="rId15240" display="https://twitter.com/teknikensvarld" xr:uid="{C0584CD9-7CE7-46E9-9DAC-8978F308F393}"/>
    <hyperlink ref="E4935" r:id="rId15241" display="https://twitter.com/teknikensvarld/status/723600481952608257" xr:uid="{BCE0CD30-7180-4A43-B619-AA91587E7BE7}"/>
    <hyperlink ref="O4935" r:id="rId15242" display="https://pbs.twimg.com/profile_images/713554103/logo-twitter_normal.jpg" xr:uid="{213BECBA-D2CB-4DAE-90B1-5A9665428182}"/>
    <hyperlink ref="B4936" r:id="rId15243" display="https://twitter.com/madmark31" xr:uid="{5D6DF0DD-44F3-4F89-9CE5-AAA32E5D45AC}"/>
    <hyperlink ref="E4936" r:id="rId15244" display="https://twitter.com/madmark31/status/723600521425235969" xr:uid="{26FC18EE-B443-4B83-90BF-8EE7A9B965E1}"/>
    <hyperlink ref="O4936" r:id="rId15245" display="https://pbs.twimg.com/profile_images/1063894323/madmark31_normal.jpg" xr:uid="{2E6B9414-DEBE-43C8-898B-46AADCB8FD5A}"/>
    <hyperlink ref="B4937" r:id="rId15246" display="https://twitter.com/dubengeldu" xr:uid="{01E95A45-3FA7-4F7D-9AFE-77907B394ED4}"/>
    <hyperlink ref="E4937" r:id="rId15247" display="https://twitter.com/dubengeldu/status/723600574516715520" xr:uid="{9B342697-534D-4499-AE13-CFBE92379ABE}"/>
    <hyperlink ref="O4937" r:id="rId15248" display="https://pbs.twimg.com/profile_images/680375152236982273/xNdXI6IP_normal.jpg" xr:uid="{1BD1F2B2-A0A5-44B8-9528-4006A075842E}"/>
    <hyperlink ref="B4938" r:id="rId15249" display="https://twitter.com/Mazzariello85" xr:uid="{6907732E-BEA1-4AD4-9B61-1D2E06186BF7}"/>
    <hyperlink ref="E4938" r:id="rId15250" display="https://twitter.com/Mazzariello85/status/723600589389750273" xr:uid="{310983AB-5555-4650-8A44-15DF1A50F28E}"/>
    <hyperlink ref="O4938" r:id="rId15251" display="https://pbs.twimg.com/profile_images/674351179346874368/ndLl0nUN_normal.jpg" xr:uid="{2DEEE929-025D-45EB-8502-24928D69E746}"/>
    <hyperlink ref="B4939" r:id="rId15252" display="https://twitter.com/splittywedding" xr:uid="{49AA6292-7BD0-4A19-96CC-FEC427B64E77}"/>
    <hyperlink ref="E4939" r:id="rId15253" display="https://twitter.com/splittywedding/status/723601030433353728" xr:uid="{1B845CC8-CC07-417B-AE3E-3A17DC8A2C78}"/>
    <hyperlink ref="O4939" r:id="rId15254" display="https://pbs.twimg.com/profile_images/669286298331516928/9SrFUAgy_normal.jpg" xr:uid="{F7E7D775-90DF-4270-974F-54F036599C23}"/>
    <hyperlink ref="B4940" r:id="rId15255" display="https://twitter.com/VWCamperSales" xr:uid="{5B6B34C7-8C19-4256-83DA-9EFAC97CD218}"/>
    <hyperlink ref="E4940" r:id="rId15256" display="https://twitter.com/VWCamperSales/status/723601304975601664" xr:uid="{75D139A6-E472-4955-B0E8-E98026140075}"/>
    <hyperlink ref="F4940" r:id="rId15257" xr:uid="{F0472D30-26D7-4102-B45E-CD01542F170E}"/>
    <hyperlink ref="O4940" r:id="rId15258" display="https://pbs.twimg.com/profile_images/627949001179037696/skEBkS05_normal.jpg" xr:uid="{E6FC5E71-805E-41A2-91A0-378771CEA903}"/>
    <hyperlink ref="B4941" r:id="rId15259" display="https://twitter.com/walter_johnson1" xr:uid="{5EF75EFD-C59B-44AE-9DD1-D07783D97E1D}"/>
    <hyperlink ref="E4941" r:id="rId15260" display="https://twitter.com/walter_johnson1/status/723601627094106112" xr:uid="{094073B3-D6BC-442B-AF18-AFE3454D3BD2}"/>
    <hyperlink ref="O4941" r:id="rId15261" display="https://pbs.twimg.com/profile_images/718427973179809792/7CfvNEEr_normal.jpg" xr:uid="{6CB16DB5-0D69-42B9-AA72-676BF1B09F72}"/>
    <hyperlink ref="B4942" r:id="rId15262" display="https://twitter.com/espasa" xr:uid="{965B68D3-A64B-40F1-9161-65674BD32D5C}"/>
    <hyperlink ref="E4942" r:id="rId15263" display="https://twitter.com/espasa/status/723601675991298049" xr:uid="{57E56787-384F-458F-A245-91CA8F834E7F}"/>
    <hyperlink ref="O4942" r:id="rId15264" display="https://pbs.twimg.com/profile_images/709395606993768449/jPD2x7BG_normal.jpg" xr:uid="{389AAAD2-B5EE-4818-86E3-0A699CE72D42}"/>
    <hyperlink ref="B4943" r:id="rId15265" display="https://twitter.com/EnthusiastView" xr:uid="{FE67D705-8891-4028-958A-F9A32D88331F}"/>
    <hyperlink ref="E4943" r:id="rId15266" display="https://twitter.com/EnthusiastView/status/723601774720905216" xr:uid="{958498F2-F21C-4C90-80F3-A75E8AC8A139}"/>
    <hyperlink ref="O4943" r:id="rId15267" display="https://pbs.twimg.com/profile_images/717113433267638272/6igZPcX4_normal.jpg" xr:uid="{8501B055-044E-463E-B8C4-2C765CD26F6A}"/>
    <hyperlink ref="B4944" r:id="rId15268" display="https://twitter.com/bjjarenaSA" xr:uid="{705AB34F-1FA0-42B4-9258-FD25070BD319}"/>
    <hyperlink ref="E4944" r:id="rId15269" display="https://twitter.com/bjjarenaSA/status/723601979914772483" xr:uid="{C9E6C11E-7A03-44AE-ADB1-D66FBFB34129}"/>
    <hyperlink ref="O4944" r:id="rId15270" display="https://pbs.twimg.com/profile_images/656932194305245184/iQCtXaXg_normal.png" xr:uid="{C1CF7CEF-9B32-467F-9497-6B6C0E8106D2}"/>
    <hyperlink ref="B4945" r:id="rId15271" display="https://twitter.com/Ernst1953Do" xr:uid="{4EB340DE-0362-4E2A-805A-C9E276700D18}"/>
    <hyperlink ref="E4945" r:id="rId15272" display="https://twitter.com/Ernst1953Do/status/723602030691016704" xr:uid="{5B87F66C-83FC-4A43-AF84-BA00124090B3}"/>
    <hyperlink ref="O4945" r:id="rId15273" display="https://pbs.twimg.com/profile_images/422397328868122625/tPN-y7Au_normal.jpeg" xr:uid="{759DF32C-9D26-49D7-ADDD-905765BEF751}"/>
    <hyperlink ref="B4946" r:id="rId15274" display="https://twitter.com/Kristasambuca" xr:uid="{8DEEA0D1-8525-4938-8B89-9DE4F7826DAE}"/>
    <hyperlink ref="E4946" r:id="rId15275" display="https://twitter.com/Kristasambuca/status/723602052996276224" xr:uid="{BD2CF52A-ACE3-427B-947F-B01167BD8390}"/>
    <hyperlink ref="O4946" r:id="rId15276" display="https://pbs.twimg.com/profile_images/425027493100552192/c0hUDijC_normal.jpeg" xr:uid="{27CF4152-6135-4D5C-8F75-738575FF5BC5}"/>
    <hyperlink ref="B4947" r:id="rId15277" display="https://twitter.com/BizForBreakfast" xr:uid="{EF237185-EDE0-4F27-ADDC-F9498947DC39}"/>
    <hyperlink ref="E4947" r:id="rId15278" display="https://twitter.com/BizForBreakfast/status/723602056003629057" xr:uid="{F9B0DD19-57C5-4D83-8B1E-05EA47EBBB4E}"/>
    <hyperlink ref="O4947" r:id="rId15279" display="https://pbs.twimg.com/profile_images/587206946069078016/kSwKZont_normal.jpg" xr:uid="{FD6B4DE4-FF46-4298-A60D-3FAAD4952BDE}"/>
    <hyperlink ref="B4948" r:id="rId15280" display="https://twitter.com/UniversityVW" xr:uid="{FA20B708-BCF5-45EF-9A2F-8DC31CC5D25F}"/>
    <hyperlink ref="E4948" r:id="rId15281" display="https://twitter.com/UniversityVW/status/723602581428293632" xr:uid="{7E7AFC31-0060-4FB9-93EA-0888560F0D43}"/>
    <hyperlink ref="O4948" r:id="rId15282" display="https://pbs.twimg.com/profile_images/702601670186790912/ZdaqJSKf_normal.jpg" xr:uid="{1BA8ED83-5ABD-4CBB-B599-FCAE1B04A224}"/>
    <hyperlink ref="B4949" r:id="rId15283" display="https://twitter.com/INDIZbot" xr:uid="{B51348F7-8CA4-4753-9939-DC4FAA55BCFE}"/>
    <hyperlink ref="E4949" r:id="rId15284" display="https://twitter.com/INDIZbot/status/723602715922804736" xr:uid="{D35ECF89-D0DC-42D3-A854-D8CEB2D94C49}"/>
    <hyperlink ref="O4949" r:id="rId15285" display="https://pbs.twimg.com/profile_images/645716711723925506/t5G0qOS6_normal.jpg" xr:uid="{9ECF5102-EA53-45C2-9200-F9E2D3124062}"/>
    <hyperlink ref="B4950" r:id="rId15286" display="https://twitter.com/HermanCookVW" xr:uid="{F87EFE4B-526D-4EC2-BBF1-B2A1731A8F7E}"/>
    <hyperlink ref="E4950" r:id="rId15287" display="https://twitter.com/HermanCookVW/status/723602754464276480" xr:uid="{1942DDAC-6F77-4B97-84A4-43B500582F47}"/>
    <hyperlink ref="O4950" r:id="rId15288" display="https://pbs.twimg.com/profile_images/720585614/HC-LOGO._normal.jpg" xr:uid="{C6D711AF-3CAA-4240-90B2-4A38E323DC13}"/>
    <hyperlink ref="B4951" r:id="rId15289" display="https://twitter.com/coolspringsvw" xr:uid="{FFF4F112-5F4E-4DEA-8B2C-F76BAC39ED81}"/>
    <hyperlink ref="E4951" r:id="rId15290" display="https://twitter.com/coolspringsvw/status/723602849033269249" xr:uid="{FF0B1985-6F7C-431C-A348-1151A3C5FDA5}"/>
    <hyperlink ref="O4951" r:id="rId15291" display="https://pbs.twimg.com/profile_images/710243539695763456/UeBsM3MU_normal.jpg" xr:uid="{340ADD24-77D8-4E9D-921F-AA7DD214B162}"/>
    <hyperlink ref="B4952" r:id="rId15292" display="https://twitter.com/coolspringsvw" xr:uid="{2456A66F-EC77-49D8-9FEF-F1CE61D8FEB8}"/>
    <hyperlink ref="E4952" r:id="rId15293" display="https://twitter.com/coolspringsvw/status/723602860982845441" xr:uid="{75704ED1-BEA6-42C4-B6B0-07FE173CE208}"/>
    <hyperlink ref="O4952" r:id="rId15294" display="https://pbs.twimg.com/profile_images/710243539695763456/UeBsM3MU_normal.jpg" xr:uid="{C57E5FC3-B9A4-4D30-97DF-834253BEF8FA}"/>
    <hyperlink ref="B4953" r:id="rId15295" display="https://twitter.com/alfievwweddings" xr:uid="{00B51A3A-40F5-4E63-A9DF-923E7AF2AADC}"/>
    <hyperlink ref="E4953" r:id="rId15296" display="https://twitter.com/alfievwweddings/status/723602958194229248" xr:uid="{82D000D0-CDF0-4DB5-9E7B-2B5FB3BD3290}"/>
    <hyperlink ref="O4953" r:id="rId15297" display="https://pbs.twimg.com/profile_images/500280765914312705/sN4HDIN-_normal.jpeg" xr:uid="{B86F4A46-A8D1-4FB6-B14E-29699AEFEC8A}"/>
    <hyperlink ref="B4954" r:id="rId15298" display="https://twitter.com/beetlebug1938" xr:uid="{B09912C1-8E47-45FC-AAB9-25D52FAAD046}"/>
    <hyperlink ref="E4954" r:id="rId15299" display="https://twitter.com/beetlebug1938/status/723603068802195456" xr:uid="{04F25421-1750-4D8A-B3DF-8684305D8434}"/>
    <hyperlink ref="O4954" r:id="rId15300" display="https://pbs.twimg.com/profile_images/718820712757215233/LXXndPTS_normal.jpg" xr:uid="{23192C97-F9B4-4CFA-9264-D3F2B19F55A6}"/>
    <hyperlink ref="B4955" r:id="rId15301" display="https://twitter.com/Solitairystorm" xr:uid="{B9D54627-26FA-4BA2-805B-489818710D62}"/>
    <hyperlink ref="E4955" r:id="rId15302" display="https://twitter.com/Solitairystorm/status/723603075504607232" xr:uid="{3A02BB0D-9AA6-47C1-B696-231D29D889E3}"/>
    <hyperlink ref="O4955" r:id="rId15303" display="https://pbs.twimg.com/profile_images/669015686199406593/GpiITYaW_normal.jpg" xr:uid="{37C7D222-500A-4144-A6F0-5404C3A482B0}"/>
    <hyperlink ref="B4956" r:id="rId15304" display="https://twitter.com/beetlebug1938" xr:uid="{B9803E5F-863B-4F46-980D-EB0B7B40B3B3}"/>
    <hyperlink ref="E4956" r:id="rId15305" display="https://twitter.com/beetlebug1938/status/723603126503264256" xr:uid="{E466EAAB-3468-4151-BCAA-8CC30B412992}"/>
    <hyperlink ref="O4956" r:id="rId15306" display="https://pbs.twimg.com/profile_images/718820712757215233/LXXndPTS_normal.jpg" xr:uid="{94226BF7-5007-4A72-B28F-B52A020AA7AD}"/>
    <hyperlink ref="B4957" r:id="rId15307" display="https://twitter.com/VWCamperSales" xr:uid="{7B9ABD8C-4CB9-417D-BD50-D9445DA98171}"/>
    <hyperlink ref="E4957" r:id="rId15308" display="https://twitter.com/VWCamperSales/status/723603231696252930" xr:uid="{2E182182-0AEF-4973-A77A-B0EC9D694877}"/>
    <hyperlink ref="F4957" r:id="rId15309" xr:uid="{D6CD63CA-E3B2-45EC-8CA9-8339DD0BBEF7}"/>
    <hyperlink ref="O4957" r:id="rId15310" display="https://pbs.twimg.com/profile_images/627949001179037696/skEBkS05_normal.jpg" xr:uid="{C2E34B38-08A6-4D7C-95D0-EB89CDA38C91}"/>
    <hyperlink ref="B4958" r:id="rId15311" display="https://twitter.com/martin_speer" xr:uid="{3BF26FA6-195C-450E-98DF-0BC1F660EE10}"/>
    <hyperlink ref="E4958" r:id="rId15312" display="https://twitter.com/martin_speer/status/723603254693777408" xr:uid="{9019190C-4B81-4571-9BAA-7513ECCE2019}"/>
    <hyperlink ref="O4958" r:id="rId15313" display="https://pbs.twimg.com/profile_images/499290018368598016/4mR--6E5_normal.jpeg" xr:uid="{297BE6F9-8E51-4383-AC57-C3D70DBA6FA0}"/>
    <hyperlink ref="B4959" r:id="rId15314" display="https://twitter.com/HoneysHomeGift1" xr:uid="{6CD428CD-99F3-42DA-9DAC-FDA405732552}"/>
    <hyperlink ref="E4959" r:id="rId15315" display="https://twitter.com/HoneysHomeGift1/status/723603321118969856" xr:uid="{20B77CFC-D083-4D6C-A0AA-F5BC4CCF7DF3}"/>
    <hyperlink ref="O4959" r:id="rId15316" display="https://pbs.twimg.com/profile_images/695578903222579200/bKth_nPh_normal.jpg" xr:uid="{316E35FD-69C3-4421-A96F-6F5F4E93BE40}"/>
    <hyperlink ref="B4960" r:id="rId15317" display="https://twitter.com/NorthWestDubs" xr:uid="{AC82F6F4-30F0-4D83-BD84-7C4A8C47C3AE}"/>
    <hyperlink ref="E4960" r:id="rId15318" display="https://twitter.com/NorthWestDubs/status/723603411028054016" xr:uid="{91B6AA25-33FF-42D9-91A5-6A156B43DC71}"/>
    <hyperlink ref="O4960" r:id="rId15319" display="https://pbs.twimg.com/profile_images/3325520037/cf2027069deae5dc44e82172d33a6683_normal.jpeg" xr:uid="{AADDD8F0-DB56-4534-844A-E749E8947553}"/>
    <hyperlink ref="B4961" r:id="rId15320" display="https://twitter.com/ArielWittenberg" xr:uid="{91ED825F-31DB-4F2D-AAD6-8FCC02E0F0E3}"/>
    <hyperlink ref="E4961" r:id="rId15321" display="https://twitter.com/ArielWittenberg/status/723603536991379461" xr:uid="{96E3794C-4DC4-4FD6-A075-9AAD734DDF5F}"/>
    <hyperlink ref="O4961" r:id="rId15322" display="https://pbs.twimg.com/profile_images/621357463225372672/jxGm9Tba_normal.jpg" xr:uid="{CD366B57-BC2F-486A-9DE3-89C6BA71D67C}"/>
    <hyperlink ref="B4962" r:id="rId15323" display="https://twitter.com/jai_verdancy" xr:uid="{D555473C-51F3-44B4-BD0F-EF94AFF885D5}"/>
    <hyperlink ref="E4962" r:id="rId15324" display="https://twitter.com/jai_verdancy/status/723603566489792512" xr:uid="{66756D59-3447-49E9-A5D3-89E7ED54268C}"/>
    <hyperlink ref="O4962" r:id="rId15325" display="https://pbs.twimg.com/profile_images/716173043266027520/Z2jmYUX5_normal.jpg" xr:uid="{6051100B-4BF5-48CB-8CC7-3095CBD6CC31}"/>
    <hyperlink ref="B4963" r:id="rId15326" display="https://twitter.com/AdamBartram" xr:uid="{956C6B16-4FB8-48BC-A26D-883FFFEE3C77}"/>
    <hyperlink ref="E4963" r:id="rId15327" display="https://twitter.com/AdamBartram/status/723603693397008384" xr:uid="{7DBB1905-15C1-42C6-A347-795F30A59E21}"/>
    <hyperlink ref="O4963" r:id="rId15328" display="https://pbs.twimg.com/profile_images/533303971101048832/6Ux9Cujk_normal.jpeg" xr:uid="{E17B6ECA-B369-4306-A327-D11C613DEEF1}"/>
    <hyperlink ref="B4964" r:id="rId15329" display="https://twitter.com/Marktzyniker" xr:uid="{4D182471-DE82-47DC-9CCB-A6BCBF9883FA}"/>
    <hyperlink ref="E4964" r:id="rId15330" display="https://twitter.com/Marktzyniker/status/723603744752054273" xr:uid="{916BEA9C-497C-4DEE-B8DE-62603AAFE4F4}"/>
    <hyperlink ref="O4964" r:id="rId15331" display="https://pbs.twimg.com/profile_images/1169387207/uhu_normal.jpg" xr:uid="{41FBB6CC-1F23-40A0-BF5D-9A2E835D0F56}"/>
    <hyperlink ref="B4965" r:id="rId15332" display="https://twitter.com/Gosthtot" xr:uid="{07B36339-E5F2-459D-821D-26C65F68B563}"/>
    <hyperlink ref="E4965" r:id="rId15333" display="https://twitter.com/Gosthtot/status/723603902348845056" xr:uid="{918D7E20-87BA-446F-B130-50F0B3DEE3F1}"/>
    <hyperlink ref="O4965" r:id="rId15334" display="https://pbs.twimg.com/profile_images/556251546715820033/l5Ixj297_normal.jpeg" xr:uid="{E45E4F18-C394-4455-9250-10987419203B}"/>
    <hyperlink ref="B4966" r:id="rId15335" display="https://twitter.com/GraLacey" xr:uid="{E0167B47-EAA9-4142-A295-9C28B079466C}"/>
    <hyperlink ref="E4966" r:id="rId15336" display="https://twitter.com/GraLacey/status/723603907730104320" xr:uid="{FD168F3F-26F2-4FCE-A0FD-1C70AE3ED751}"/>
    <hyperlink ref="O4966" r:id="rId15337" display="https://pbs.twimg.com/profile_images/626745382035423232/nwofYmP7_normal.jpg" xr:uid="{A80A98B1-12B1-4794-8403-4087E3D3F73C}"/>
    <hyperlink ref="B4967" r:id="rId15338" display="https://twitter.com/Marktzyniker" xr:uid="{2486C449-5C49-4324-A525-D445B15388F1}"/>
    <hyperlink ref="E4967" r:id="rId15339" display="https://twitter.com/Marktzyniker/status/723604109589385216" xr:uid="{CE8536C4-1E74-4F65-A4EC-D79F5F208B58}"/>
    <hyperlink ref="O4967" r:id="rId15340" display="https://pbs.twimg.com/profile_images/1169387207/uhu_normal.jpg" xr:uid="{BB3F0D52-D82B-46D2-B30C-0EE69BFCD0DE}"/>
    <hyperlink ref="B4968" r:id="rId15341" display="https://twitter.com/VWBeetleSales" xr:uid="{760DF202-7D7E-4C13-ABA2-F9542F572390}"/>
    <hyperlink ref="E4968" r:id="rId15342" display="https://twitter.com/VWBeetleSales/status/723604178233233409" xr:uid="{C6A65131-C580-465A-A3FE-1055E9501872}"/>
    <hyperlink ref="F4968" r:id="rId15343" xr:uid="{79C93C36-2183-4E59-8619-BD37B077B6BF}"/>
    <hyperlink ref="O4968" r:id="rId15344" display="https://pbs.twimg.com/profile_images/703294545195307008/qeCvrX86_normal.jpg" xr:uid="{71B81994-ECE7-4DE2-9D97-C6D9E78FE46C}"/>
    <hyperlink ref="B4969" r:id="rId15345" display="https://twitter.com/gigiocamicio" xr:uid="{D8FE4A57-4D4D-4168-85EC-5BEC55EC7278}"/>
    <hyperlink ref="E4969" r:id="rId15346" display="https://twitter.com/gigiocamicio/status/723604266556993536" xr:uid="{EFF01FB0-E669-4683-8EF7-32C7D4A117A8}"/>
    <hyperlink ref="O4969" r:id="rId15347" display="https://pbs.twimg.com/profile_images/678618389338812416/WgR_f3nt_normal.jpg" xr:uid="{63F7D2ED-D20F-4455-B7EB-2D8DDF8DC17D}"/>
    <hyperlink ref="B4970" r:id="rId15348" display="https://twitter.com/VolkswagenPost" xr:uid="{3C128427-3265-43A3-92EE-BB41C8BDA5E2}"/>
    <hyperlink ref="E4970" r:id="rId15349" display="https://twitter.com/VolkswagenPost/status/723604364854722560" xr:uid="{69F6E0AB-CB03-4D18-8A0A-3F629297A502}"/>
    <hyperlink ref="O4970" r:id="rId15350" display="https://pbs.twimg.com/profile_images/530071272881803264/a_jcCmPZ_normal.png" xr:uid="{22139DBC-5F87-4E22-BD36-A790AF919E74}"/>
    <hyperlink ref="B4971" r:id="rId15351" display="https://twitter.com/Taipanos" xr:uid="{F2532623-3B00-4DF7-9CD0-0BE29000EC70}"/>
    <hyperlink ref="E4971" r:id="rId15352" display="https://twitter.com/Taipanos/status/723604507452669953" xr:uid="{EF6B5A0D-B5EE-4BEF-96E7-7BF4CD7D57BF}"/>
    <hyperlink ref="O4971" r:id="rId15353" display="https://pbs.twimg.com/profile_images/697492201492910080/uR3QlSaO_normal.jpg" xr:uid="{D6DB4C5C-26A1-426E-99AF-CDCAD05DEC0B}"/>
    <hyperlink ref="B4972" r:id="rId15354" display="https://twitter.com/Judebram" xr:uid="{92EBB448-8A24-4B48-BD9E-15FA874AF902}"/>
    <hyperlink ref="E4972" r:id="rId15355" display="https://twitter.com/Judebram/status/723604744628002817" xr:uid="{67C6A6CA-B588-4817-BDA2-DF55A1D97348}"/>
    <hyperlink ref="O4972" r:id="rId15356" display="https://pbs.twimg.com/profile_images/1620230727/portrait_of_jools_3_small_normal.jpg" xr:uid="{C6035C1F-A4FD-4B41-AAB5-645E69A96AB3}"/>
    <hyperlink ref="B4973" r:id="rId15357" display="https://twitter.com/SuranClub" xr:uid="{BA8E0A27-D50C-40FC-997A-48764C9D9838}"/>
    <hyperlink ref="E4973" r:id="rId15358" display="https://twitter.com/SuranClub/status/723604746246848513" xr:uid="{7DC5751E-377D-4DE4-B2B4-5ACBEABE8641}"/>
    <hyperlink ref="O4973" r:id="rId15359" display="https://pbs.twimg.com/profile_images/634021831364747264/5vPrL2JH_normal.jpg" xr:uid="{9022890B-035B-4A4C-B688-70F113D0CAFD}"/>
    <hyperlink ref="B4974" r:id="rId15360" display="https://twitter.com/SuranClub" xr:uid="{3D7DDDC9-0378-40C3-B0AD-C2E3079C7334}"/>
    <hyperlink ref="E4974" r:id="rId15361" display="https://twitter.com/SuranClub/status/723604788173217792" xr:uid="{7E1B347F-A710-4E13-8AF3-3DC4B9FDED34}"/>
    <hyperlink ref="O4974" r:id="rId15362" display="https://pbs.twimg.com/profile_images/634021831364747264/5vPrL2JH_normal.jpg" xr:uid="{7C292637-6C01-4CFF-BBB3-2C36AA451B17}"/>
    <hyperlink ref="B4975" r:id="rId15363" display="https://twitter.com/christougherus" xr:uid="{9346C9E2-B47E-4964-96E1-18C2ABB1B58D}"/>
    <hyperlink ref="E4975" r:id="rId15364" display="https://twitter.com/christougherus/status/723604886043168769" xr:uid="{AF69F233-B21F-4D75-9D3A-71B02520AAE3}"/>
    <hyperlink ref="O4975" r:id="rId15365" display="https://pbs.twimg.com/profile_images/712373968540471296/c0joNTtP_normal.jpg" xr:uid="{B231A151-5EFE-4CE3-9FE4-9C251454410F}"/>
    <hyperlink ref="B4976" r:id="rId15366" display="https://twitter.com/rzy808" xr:uid="{52C2D3B8-6715-410D-9489-DBBE49AA1D9F}"/>
    <hyperlink ref="E4976" r:id="rId15367" display="https://twitter.com/rzy808/status/723605063483199488" xr:uid="{411F002A-D4BE-4455-9C16-D08E480B0260}"/>
    <hyperlink ref="O4976" r:id="rId15368" display="https://pbs.twimg.com/profile_images/538827287664553986/hK6PVXn2_normal.jpeg" xr:uid="{333F2F2D-3469-466B-9175-EAB003081814}"/>
    <hyperlink ref="B4977" r:id="rId15369" display="https://twitter.com/Marktzyniker" xr:uid="{58D9A6F0-5497-4DCB-BCB1-9568E0D1B78C}"/>
    <hyperlink ref="E4977" r:id="rId15370" display="https://twitter.com/Marktzyniker/status/723605483471409152" xr:uid="{4F826AC3-7AD3-4890-AB55-03523E7C720F}"/>
    <hyperlink ref="O4977" r:id="rId15371" display="https://pbs.twimg.com/profile_images/1169387207/uhu_normal.jpg" xr:uid="{F7C2FA23-1809-4B92-B2F2-4283D080E57B}"/>
    <hyperlink ref="B4978" r:id="rId15372" display="https://twitter.com/nocki61" xr:uid="{8FDAC043-FF7F-4716-8C9F-046B318A4EA2}"/>
    <hyperlink ref="E4978" r:id="rId15373" display="https://twitter.com/nocki61/status/723605520494546951" xr:uid="{582697F1-77B7-40AB-B295-E6BCB7A92845}"/>
    <hyperlink ref="O4978" r:id="rId15374" display="https://pbs.twimg.com/profile_images/715593945368117248/JXqy1gxb_normal.jpg" xr:uid="{0C5070E0-1FB2-4846-95A8-0BF873233514}"/>
    <hyperlink ref="B4979" r:id="rId15375" display="https://twitter.com/vwbusman72" xr:uid="{18B4A659-85F3-4B0D-BD2F-35AD7772A2DF}"/>
    <hyperlink ref="E4979" r:id="rId15376" display="https://twitter.com/vwbusman72/status/723605533144526851" xr:uid="{56BDA11C-1354-4472-9D04-7044086D3866}"/>
    <hyperlink ref="O4979" r:id="rId15377" display="https://pbs.twimg.com/profile_images/535972937346863104/azd9tVvN_normal.jpeg" xr:uid="{D582A2DE-7EFC-4482-8D65-18655ABA10D4}"/>
    <hyperlink ref="B4980" r:id="rId15378" display="https://twitter.com/NorthCounty_LRS" xr:uid="{EB9C9606-F454-4CA6-A2F8-EF026CE1DC62}"/>
    <hyperlink ref="E4980" r:id="rId15379" display="https://twitter.com/NorthCounty_LRS/status/723605567177154560" xr:uid="{5592C588-6ADF-4AF6-861D-63FD8A201C2E}"/>
    <hyperlink ref="O4980" r:id="rId15380" display="https://pbs.twimg.com/profile_images/615626236539203584/-VpP55pj_normal.png" xr:uid="{DA37ACC9-8CF1-41D0-A808-9014091BE48C}"/>
    <hyperlink ref="B4981" r:id="rId15381" display="https://twitter.com/VWBeetleSales" xr:uid="{E79BAF11-66D1-4CEA-A7AF-66468A3E9A48}"/>
    <hyperlink ref="E4981" r:id="rId15382" display="https://twitter.com/VWBeetleSales/status/723605826154287105" xr:uid="{944FB950-882A-4803-9A67-ACC384AA11D1}"/>
    <hyperlink ref="F4981" r:id="rId15383" xr:uid="{98FC0C2B-B9D6-407F-9582-EEF51D98926D}"/>
    <hyperlink ref="O4981" r:id="rId15384" display="https://pbs.twimg.com/profile_images/703294545195307008/qeCvrX86_normal.jpg" xr:uid="{3416CBA6-D7B5-44C5-9057-8A7177951BDC}"/>
    <hyperlink ref="B4982" r:id="rId15385" display="https://twitter.com/Marktzyniker" xr:uid="{82B64BF1-4BDC-4F56-8149-09ACD90189F1}"/>
    <hyperlink ref="E4982" r:id="rId15386" display="https://twitter.com/Marktzyniker/status/723605946082144256" xr:uid="{BB3D5796-236F-4636-8324-13C4FF04112D}"/>
    <hyperlink ref="O4982" r:id="rId15387" display="https://pbs.twimg.com/profile_images/1169387207/uhu_normal.jpg" xr:uid="{12FDA119-83E4-47EF-A4F2-1CE8CEEC6769}"/>
    <hyperlink ref="B4983" r:id="rId15388" display="https://twitter.com/Americanbullyhq" xr:uid="{B7D0F29C-D130-41B4-92FF-9FBA99E29D47}"/>
    <hyperlink ref="E4983" r:id="rId15389" display="https://twitter.com/Americanbullyhq/status/723605955326423040" xr:uid="{BA91124B-08B7-4980-A859-CFCEBB60861F}"/>
    <hyperlink ref="O4983" r:id="rId15390" display="https://pbs.twimg.com/profile_images/707459640758571008/LmPB7EIn_normal.jpg" xr:uid="{347F7544-F30F-4B37-984D-9C9FB6286667}"/>
    <hyperlink ref="B4984" r:id="rId15391" display="https://twitter.com/bilanmagazine" xr:uid="{6BAE9A73-2200-4AAE-9A47-8CA3B4F7FD01}"/>
    <hyperlink ref="E4984" r:id="rId15392" display="https://twitter.com/bilanmagazine/status/723606120728764417" xr:uid="{24A176DA-8610-4896-916B-9C3F8E59AA26}"/>
    <hyperlink ref="O4984" r:id="rId15393" display="https://pbs.twimg.com/profile_images/3568153380/ec6619b2af81970e1f5c05c8948ac893_normal.png" xr:uid="{02349F4D-BD7D-4B7C-92C2-AECF601B7896}"/>
    <hyperlink ref="B4985" r:id="rId15394" display="https://twitter.com/cristian_miuta" xr:uid="{AC40E08C-FE08-4481-ACB7-4A29E477994E}"/>
    <hyperlink ref="E4985" r:id="rId15395" display="https://twitter.com/cristian_miuta/status/723606125195722752" xr:uid="{D7B20F84-E2AA-44DF-BAAD-00209E9A58FC}"/>
    <hyperlink ref="O4985" r:id="rId15396" display="https://pbs.twimg.com/profile_images/717312149060595712/-_JCilfd_normal.jpg" xr:uid="{CC6CC9DD-C790-4EB9-82BA-386D7621F76D}"/>
    <hyperlink ref="B4986" r:id="rId15397" display="https://twitter.com/DubLuvTuning" xr:uid="{B281AA76-B8D8-4F33-8C52-C031414231AF}"/>
    <hyperlink ref="E4986" r:id="rId15398" display="https://twitter.com/DubLuvTuning/status/723606391039123456" xr:uid="{645493F0-7064-4EAF-BEB4-05DC5ED4FC41}"/>
    <hyperlink ref="O4986" r:id="rId15399" display="https://pbs.twimg.com/profile_images/378800000572104796/1de43e1cf23efb3f4101c02afad0d3b6_normal.png" xr:uid="{AA71B5F5-704D-465B-BFAF-1BE76F2FE6FF}"/>
    <hyperlink ref="B4987" r:id="rId15400" display="https://twitter.com/TimSchmuckall" xr:uid="{26C9B65B-AC6F-4811-8E25-69184DAED73C}"/>
    <hyperlink ref="E4987" r:id="rId15401" display="https://twitter.com/TimSchmuckall/status/723606429362458628" xr:uid="{63D42BD7-1DED-443D-80FF-1A8D766328E8}"/>
    <hyperlink ref="O4987" r:id="rId15402" display="https://pbs.twimg.com/profile_images/712580602076246016/snGbW6JJ_normal.jpg" xr:uid="{574436CB-E9EE-45E5-B288-6EFE034BF719}"/>
    <hyperlink ref="B4988" r:id="rId15403" display="https://twitter.com/MatiiSpinaa" xr:uid="{7BCD1399-7A64-4BD7-ADA1-8794784F260C}"/>
    <hyperlink ref="E4988" r:id="rId15404" display="https://twitter.com/MatiiSpinaa/status/723606673517084672" xr:uid="{26622DDC-C61A-45A6-B41C-2B12AB98571B}"/>
    <hyperlink ref="O4988" r:id="rId15405" display="https://pbs.twimg.com/profile_images/679088182655328257/UaXXNlpR_normal.jpg" xr:uid="{A0FF5413-037F-42BA-808C-9FA275FD53DE}"/>
    <hyperlink ref="B4989" r:id="rId15406" display="https://twitter.com/Konradinform" xr:uid="{C4D84099-632B-402A-BAED-7CD187A669A9}"/>
    <hyperlink ref="E4989" r:id="rId15407" display="https://twitter.com/Konradinform/status/723606776508223490" xr:uid="{0F1A9380-EFF9-4B22-B49F-F1ACEEE0B3DE}"/>
    <hyperlink ref="O4989" r:id="rId15408" display="https://pbs.twimg.com/profile_images/571225939184623616/VCwqY6RG_normal.jpeg" xr:uid="{C6BBE7B2-41D0-47D8-A896-B221F3FDA80E}"/>
    <hyperlink ref="B4990" r:id="rId15409" display="https://twitter.com/Marktzyniker" xr:uid="{4CD2A7DB-CB4D-4FC6-8E8A-3F152B343498}"/>
    <hyperlink ref="E4990" r:id="rId15410" display="https://twitter.com/Marktzyniker/status/723606831684263937" xr:uid="{E56ABB07-7033-4F6A-BFAF-647459CDCB2B}"/>
    <hyperlink ref="O4990" r:id="rId15411" display="https://pbs.twimg.com/profile_images/1169387207/uhu_normal.jpg" xr:uid="{C851D7DE-5E6D-48DA-95DD-19E711775335}"/>
    <hyperlink ref="B4991" r:id="rId15412" display="https://twitter.com/vwdepo" xr:uid="{D7BC368F-2C03-44BD-B87A-2CC349B746BE}"/>
    <hyperlink ref="E4991" r:id="rId15413" display="https://twitter.com/vwdepo/status/723606838114172929" xr:uid="{CB71D589-D9C1-4D8F-84B0-87660265865A}"/>
    <hyperlink ref="O4991" r:id="rId15414" display="https://pbs.twimg.com/profile_images/3378184537/c20ae9a7a410821b4f189c34a63380f7_normal.png" xr:uid="{070ABAE2-B96D-42A3-8DFC-47B2B9B39147}"/>
    <hyperlink ref="B4992" r:id="rId15415" display="https://twitter.com/DarkGermany" xr:uid="{E34CFE1A-98B9-4B51-BCAC-80DBBFD66FF9}"/>
    <hyperlink ref="E4992" r:id="rId15416" display="https://twitter.com/DarkGermany/status/723607029479297024" xr:uid="{B0F57DC6-1ED4-4B17-9A8B-91CF833C1DD5}"/>
    <hyperlink ref="O4992" r:id="rId15417" display="https://pbs.twimg.com/profile_images/657934028977393664/TfeaHgLP_normal.png" xr:uid="{0B0FA7A2-92B6-4B76-AAE3-FEA3392550B0}"/>
    <hyperlink ref="B4993" r:id="rId15418" display="https://twitter.com/CybermikeK" xr:uid="{55C1B0AB-6A58-43CF-9CFD-5A902EAAE64F}"/>
    <hyperlink ref="E4993" r:id="rId15419" display="https://twitter.com/CybermikeK/status/723607095283687425" xr:uid="{14E9864F-B617-42D0-A634-F4B7297465EF}"/>
    <hyperlink ref="O4993" r:id="rId15420" display="https://pbs.twimg.com/profile_images/642428814765723652/y6jxhWsq_normal.jpg" xr:uid="{2C17E886-6D34-4E4E-AAD3-795AA18B29D9}"/>
    <hyperlink ref="B4994" r:id="rId15421" display="https://twitter.com/Marktzyniker" xr:uid="{3E067AE0-E996-4682-A320-3BE5A68B3113}"/>
    <hyperlink ref="E4994" r:id="rId15422" display="https://twitter.com/Marktzyniker/status/723607190985146368" xr:uid="{9B7FACEA-B9F4-4C17-B05D-5175FF3A6962}"/>
    <hyperlink ref="O4994" r:id="rId15423" display="https://pbs.twimg.com/profile_images/1169387207/uhu_normal.jpg" xr:uid="{4497B3EA-06DB-4B5F-9EFD-6D648C995D09}"/>
    <hyperlink ref="B4995" r:id="rId15424" display="https://twitter.com/Marktzyniker" xr:uid="{EE1B706F-B871-4E5E-B6DD-25A250BFA57A}"/>
    <hyperlink ref="E4995" r:id="rId15425" display="https://twitter.com/Marktzyniker/status/723607478970265602" xr:uid="{CB6ED7B9-E7D9-4A65-A6E7-AE70E0C89177}"/>
    <hyperlink ref="O4995" r:id="rId15426" display="https://pbs.twimg.com/profile_images/1169387207/uhu_normal.jpg" xr:uid="{93FD7D6F-97BD-456B-ADD9-52D7EED68EF6}"/>
    <hyperlink ref="B4996" r:id="rId15427" display="https://twitter.com/Stony_BS" xr:uid="{2943A263-204C-4BD2-BF32-173E9D07B0BB}"/>
    <hyperlink ref="E4996" r:id="rId15428" display="https://twitter.com/Stony_BS/status/723607610080022528" xr:uid="{1F60446C-B52F-4892-99D6-4F644F7A6448}"/>
    <hyperlink ref="O4996" r:id="rId15429" display="https://pbs.twimg.com/profile_images/668091779313500160/ZepxnJcI_normal.jpg" xr:uid="{905268BC-0BDD-401A-B06B-C81FC0C7B37F}"/>
    <hyperlink ref="B4997" r:id="rId15430" display="https://twitter.com/CybermikeK" xr:uid="{2DB089C7-2A38-4464-B1A7-7508E6E16E0C}"/>
    <hyperlink ref="E4997" r:id="rId15431" display="https://twitter.com/CybermikeK/status/723607678250061829" xr:uid="{56A73BB2-A883-4CB1-89D8-B31C3388E14D}"/>
    <hyperlink ref="O4997" r:id="rId15432" display="https://pbs.twimg.com/profile_images/642428814765723652/y6jxhWsq_normal.jpg" xr:uid="{D780033B-AE30-4923-893C-94844C0CAD75}"/>
    <hyperlink ref="B4998" r:id="rId15433" display="https://twitter.com/TimSchmuckall" xr:uid="{8FC8B608-8514-4223-A2BF-816551010683}"/>
    <hyperlink ref="E4998" r:id="rId15434" display="https://twitter.com/TimSchmuckall/status/723607680590446592" xr:uid="{8D712FF9-41CC-4C69-913D-B75DA9E299B2}"/>
    <hyperlink ref="O4998" r:id="rId15435" display="https://pbs.twimg.com/profile_images/712580602076246016/snGbW6JJ_normal.jpg" xr:uid="{794044B3-721D-4F22-8D01-096E44F4BC8F}"/>
    <hyperlink ref="B4999" r:id="rId15436" display="https://twitter.com/DeeJayDready" xr:uid="{FFFEA028-C942-4D3A-B848-565160851A14}"/>
    <hyperlink ref="E4999" r:id="rId15437" display="https://twitter.com/DeeJayDready/status/723607814652960770" xr:uid="{6E2B0BBA-67B0-43A8-AB83-B0BCFF41B6F5}"/>
    <hyperlink ref="O4999" r:id="rId15438" display="https://pbs.twimg.com/profile_images/478129573243011072/IFObbHde_normal.jpeg" xr:uid="{E61C3F80-CBF9-4977-8A39-FA2D199F7B98}"/>
    <hyperlink ref="B5000" r:id="rId15439" display="https://twitter.com/Marktzyniker" xr:uid="{D749A5A6-0642-4ABC-BC8C-4E4046554E25}"/>
    <hyperlink ref="E5000" r:id="rId15440" display="https://twitter.com/Marktzyniker/status/723607868340076545" xr:uid="{DEF42CE0-533A-49E9-81C9-42D595227F0B}"/>
    <hyperlink ref="O5000" r:id="rId15441" display="https://pbs.twimg.com/profile_images/1169387207/uhu_normal.jpg" xr:uid="{92840A0D-700F-43F0-BB6B-D7B512F08880}"/>
    <hyperlink ref="B5001" r:id="rId15442" display="https://twitter.com/Kathreinerle" xr:uid="{D9D7B0CA-89AD-4216-9502-2710F341D322}"/>
    <hyperlink ref="E5001" r:id="rId15443" display="https://twitter.com/Kathreinerle/status/723607897368829952" xr:uid="{8653AA60-E62C-4843-A2A5-490498CE6244}"/>
    <hyperlink ref="O5001" r:id="rId15444" display="https://pbs.twimg.com/profile_images/723450768179646464/koBI5Xqg_normal.jpg" xr:uid="{F51277C7-A4CC-4C3D-8F4F-0CE38C435BDB}"/>
    <hyperlink ref="B5002" r:id="rId15445" display="https://twitter.com/ZDFhannover" xr:uid="{7EE7A966-590C-4A9E-9645-CA42DA1699C9}"/>
    <hyperlink ref="E5002" r:id="rId15446" display="https://twitter.com/ZDFhannover/status/723607939429326848" xr:uid="{4E2E40EE-896D-4083-8CD8-AE360BBDA0A8}"/>
    <hyperlink ref="O5002" r:id="rId15447" display="https://pbs.twimg.com/profile_images/606071164478308352/Bpbe55iE_normal.png" xr:uid="{504E83C1-11DE-4894-A8C5-FEF52FC9C001}"/>
    <hyperlink ref="B5003" r:id="rId15448" display="https://twitter.com/NanoSilveiraOK" xr:uid="{10A784ED-7247-4BFF-9A12-2B2DAACFC1FE}"/>
    <hyperlink ref="E5003" r:id="rId15449" display="https://twitter.com/NanoSilveiraOK/status/723607948694556672" xr:uid="{BD9C288E-F42A-4EC1-9193-E9AA83111C48}"/>
    <hyperlink ref="O5003" r:id="rId15450" display="https://pbs.twimg.com/profile_images/678664972382130176/rmyLdGBk_normal.jpg" xr:uid="{AE960FDA-9EB6-4EBC-B0A7-FCB854BA9727}"/>
    <hyperlink ref="B5004" r:id="rId15451" display="https://twitter.com/VWCamperSales" xr:uid="{21906E4F-7F11-4EEE-9CB3-1F49AD4D0461}"/>
    <hyperlink ref="E5004" r:id="rId15452" display="https://twitter.com/VWCamperSales/status/723607992772399104" xr:uid="{BCB7E821-31AE-4176-BE32-0779DA86B6A7}"/>
    <hyperlink ref="F5004" r:id="rId15453" xr:uid="{47506A78-97DE-4C47-8CC4-7926D0D0AAD5}"/>
    <hyperlink ref="O5004" r:id="rId15454" display="https://pbs.twimg.com/profile_images/627949001179037696/skEBkS05_normal.jpg" xr:uid="{5BF394E6-5FED-4086-923F-1A42A04F3A38}"/>
    <hyperlink ref="B5005" r:id="rId15455" display="https://twitter.com/VWCamperSales" xr:uid="{EF4E20E1-BF2D-4F01-91CB-D41EB8E27523}"/>
    <hyperlink ref="E5005" r:id="rId15456" display="https://twitter.com/VWCamperSales/status/723607995469299713" xr:uid="{8D6F9828-8F03-48CE-9095-301A4F49B383}"/>
    <hyperlink ref="F5005" r:id="rId15457" xr:uid="{7D8FE93C-AACF-4E49-A990-5C56AA75EF85}"/>
    <hyperlink ref="O5005" r:id="rId15458" display="https://pbs.twimg.com/profile_images/627949001179037696/skEBkS05_normal.jpg" xr:uid="{2AD29D34-6294-4038-9764-FC392F8720BA}"/>
    <hyperlink ref="B5006" r:id="rId15459" display="https://twitter.com/Insta_VWT" xr:uid="{37DFC452-D984-408F-B3BB-10748105183E}"/>
    <hyperlink ref="E5006" r:id="rId15460" display="https://twitter.com/Insta_VWT/status/723608075337265153" xr:uid="{D326455C-5564-4B76-8F7B-A83923E311DF}"/>
    <hyperlink ref="O5006" r:id="rId15461" display="https://pbs.twimg.com/profile_images/424893967197433858/iQ86NktX_normal.jpeg" xr:uid="{CC264935-1CA7-42F1-A4F5-0A6954F14732}"/>
    <hyperlink ref="B5007" r:id="rId15462" display="https://twitter.com/S_Galimberti" xr:uid="{02D14FC7-C91E-459B-8FBA-C12781EBE98C}"/>
    <hyperlink ref="E5007" r:id="rId15463" display="https://twitter.com/S_Galimberti/status/723608133990526976" xr:uid="{61A2ACEA-44BC-4001-82BA-3A32777A14E9}"/>
    <hyperlink ref="O5007" r:id="rId15464" display="https://pbs.twimg.com/profile_images/688140202565476352/EvprkhJd_normal.jpg" xr:uid="{74CC82F7-F293-4FB7-89A9-FA70726C61D8}"/>
    <hyperlink ref="B5008" r:id="rId15465" display="https://twitter.com/brizna68" xr:uid="{9C4DF9C9-C69E-486A-8E26-889807D53C3D}"/>
    <hyperlink ref="E5008" r:id="rId15466" display="https://twitter.com/brizna68/status/723608250113994752" xr:uid="{5DC772CD-07BA-42EB-896A-299664C4FB6A}"/>
    <hyperlink ref="O5008" r:id="rId15467" display="https://pbs.twimg.com/profile_images/485867296762507265/NeMMN_lk_normal.jpeg" xr:uid="{A35BC7E6-E120-4A93-A187-4175A06DB92D}"/>
    <hyperlink ref="B5009" r:id="rId15468" display="https://twitter.com/magloeckner" xr:uid="{D201263E-C6B9-468A-A322-FA50E30D8CAB}"/>
    <hyperlink ref="E5009" r:id="rId15469" display="https://twitter.com/magloeckner/status/723608312521068545" xr:uid="{29594B76-69FE-48A3-B563-EA12BBF0B32F}"/>
    <hyperlink ref="O5009" r:id="rId15470" display="https://pbs.twimg.com/profile_images/611220111056314368/Di83Q3l7_normal.jpg" xr:uid="{A86FA3EC-3588-4788-A150-0393F3A70311}"/>
    <hyperlink ref="B5010" r:id="rId15471" display="https://twitter.com/Scirocco_Tuning" xr:uid="{2D6A45F6-2FE7-4D5C-9DCE-A34F43A9796A}"/>
    <hyperlink ref="E5010" r:id="rId15472" display="https://twitter.com/Scirocco_Tuning/status/723608436819238912" xr:uid="{B775B392-A245-4928-916B-FC7B23B7CF5D}"/>
    <hyperlink ref="O5010" r:id="rId15473" display="https://pbs.twimg.com/profile_images/1610421423/Image2_normal.jpg" xr:uid="{77CA7323-E9E1-4BEC-A07F-0CCDA10BAC4D}"/>
    <hyperlink ref="B5011" r:id="rId15474" display="https://twitter.com/nullzeit" xr:uid="{381A7DD7-715C-477F-B480-80081A72A5F9}"/>
    <hyperlink ref="E5011" r:id="rId15475" display="https://twitter.com/nullzeit/status/723608462404493313" xr:uid="{38F8C7C3-98A6-4A19-8FF2-DFA89EC7516D}"/>
    <hyperlink ref="O5011" r:id="rId15476" display="https://pbs.twimg.com/profile_images/511655556637921280/dYwH4GcW_normal.jpeg" xr:uid="{FC2A1937-6124-4786-B626-C625F71AE6AA}"/>
    <hyperlink ref="B5012" r:id="rId15477" display="https://twitter.com/Marktzyniker" xr:uid="{B82B41E5-2646-4E27-A748-43531112BA4F}"/>
    <hyperlink ref="E5012" r:id="rId15478" display="https://twitter.com/Marktzyniker/status/723608569493512192" xr:uid="{12BDA713-9E00-47D9-B782-9F6C8796A7DB}"/>
    <hyperlink ref="O5012" r:id="rId15479" display="https://pbs.twimg.com/profile_images/1169387207/uhu_normal.jpg" xr:uid="{B857FE00-B883-4283-8DF5-DA6CFB88E2F5}"/>
    <hyperlink ref="B5013" r:id="rId15480" display="https://twitter.com/VCT_Tweets" xr:uid="{DB1F9A6B-F9F1-46A3-A026-95625E2D2434}"/>
    <hyperlink ref="E5013" r:id="rId15481" display="https://twitter.com/VCT_Tweets/status/723608573406765057" xr:uid="{8D998E54-E6AB-4A45-A68D-C91400CACBC1}"/>
    <hyperlink ref="O5013" r:id="rId15482" display="https://pbs.twimg.com/profile_images/569800899141177344/nVFLMSdb_normal.png" xr:uid="{6C8BCA16-6CF7-466D-A8EB-E1F05169F182}"/>
    <hyperlink ref="B5014" r:id="rId15483" display="https://twitter.com/Nikola_John" xr:uid="{414668AC-788B-4A7F-9C76-545CEC4DDCC6}"/>
    <hyperlink ref="E5014" r:id="rId15484" display="https://twitter.com/Nikola_John/status/723608785139449856" xr:uid="{A0F5F4B1-522E-4726-B0DB-65169FBBF3BC}"/>
    <hyperlink ref="O5014" r:id="rId15485" display="https://pbs.twimg.com/profile_images/1775415820/D_nemark_530_normal.jpg" xr:uid="{6F39EFD8-F96B-4375-BA8C-70BD0438DE23}"/>
    <hyperlink ref="B5015" r:id="rId15486" display="https://twitter.com/Pele2266" xr:uid="{D8D89234-9182-449C-9DF4-EFBE63F7A84B}"/>
    <hyperlink ref="E5015" r:id="rId15487" display="https://twitter.com/Pele2266/status/723608833923399680" xr:uid="{997B9CAA-2CF9-4958-9484-A62BC2B519DB}"/>
    <hyperlink ref="O5015" r:id="rId15488" display="https://pbs.twimg.com/profile_images/715481159937830913/K_ygMlAM_normal.jpg" xr:uid="{9AE535C3-512D-4EAD-A7CA-445C4D508C1D}"/>
    <hyperlink ref="B5016" r:id="rId15489" display="https://twitter.com/GerdaTrapp" xr:uid="{67B92109-F716-4178-84C3-4F46736D7400}"/>
    <hyperlink ref="E5016" r:id="rId15490" display="https://twitter.com/GerdaTrapp/status/723608992287711232" xr:uid="{B5724470-5137-4223-B33F-BE434AAB5CBD}"/>
    <hyperlink ref="O5016" r:id="rId15491" display="https://pbs.twimg.com/profile_images/683416522824519681/EfO40W2P_normal.jpg" xr:uid="{82C39518-B268-4B40-AAAF-D1E76013A3F0}"/>
    <hyperlink ref="B5017" r:id="rId15492" display="https://twitter.com/la40K" xr:uid="{0F9F520D-869F-43A0-8604-82EF0AB7F2A2}"/>
    <hyperlink ref="E5017" r:id="rId15493" display="https://twitter.com/la40K/status/723609474704003073" xr:uid="{0706DC52-BCE6-4491-87AC-E83CB843C4EF}"/>
    <hyperlink ref="O5017" r:id="rId15494" display="https://pbs.twimg.com/profile_images/721544673790140417/LHUMRCDA_normal.jpg" xr:uid="{93346513-7328-4E4F-9AD5-B27EA7FEB7FC}"/>
    <hyperlink ref="B5018" r:id="rId15495" display="https://twitter.com/ianb1550" xr:uid="{CFDA2FB4-CB31-4768-96F6-3CF171BB0929}"/>
    <hyperlink ref="E5018" r:id="rId15496" display="https://twitter.com/ianb1550/status/723609507516035073" xr:uid="{32B03563-ABC0-496B-8A08-647E7EC1FB78}"/>
    <hyperlink ref="O5018" r:id="rId15497" display="https://abs.twimg.com/sticky/default_profile_images/default_profile_5_normal.png" xr:uid="{EFA1C19C-3CB5-4308-AE57-D99E5705BD1E}"/>
    <hyperlink ref="B5019" r:id="rId15498" display="https://twitter.com/sozialromantik" xr:uid="{DD910CF4-D7D8-4728-8341-C0ABAF3A655C}"/>
    <hyperlink ref="E5019" r:id="rId15499" display="https://twitter.com/sozialromantik/status/723609837741969408" xr:uid="{89511798-720E-48FA-A9EA-2FDB7222B109}"/>
    <hyperlink ref="O5019" r:id="rId15500" display="https://pbs.twimg.com/profile_images/69751619/manfred-bartl_normal.jpg" xr:uid="{CD1C3D8C-2149-4940-A524-28FB465D5142}"/>
    <hyperlink ref="B5020" r:id="rId15501" display="https://twitter.com/sophiastrelli" xr:uid="{3059783C-8915-4D5E-8222-43DEFB66B41C}"/>
    <hyperlink ref="E5020" r:id="rId15502" display="https://twitter.com/sophiastrelli/status/723609875532623872" xr:uid="{DFA5CA66-2734-496B-99AC-4891B43A5107}"/>
    <hyperlink ref="O5020" r:id="rId15503" display="https://pbs.twimg.com/profile_images/610791642908364802/6HpxS-0Y_normal.jpg" xr:uid="{4FC688F1-6F08-403A-9212-D4A894A9EE54}"/>
    <hyperlink ref="B5021" r:id="rId15504" display="https://twitter.com/NOMAD941" xr:uid="{FC4C3238-38BA-4891-887F-27FB5AE443F2}"/>
    <hyperlink ref="E5021" r:id="rId15505" display="https://twitter.com/NOMAD941/status/723610134702899201" xr:uid="{8528D047-500F-4D1A-BD73-C72B2F979FD9}"/>
    <hyperlink ref="O5021" r:id="rId15506" display="https://pbs.twimg.com/profile_images/464102517278638081/qFU_Rwh9_normal.jpeg" xr:uid="{D69F0D35-F2A7-4D3C-92B5-CC00FC20E53E}"/>
    <hyperlink ref="B5022" r:id="rId15507" display="https://twitter.com/DingosPDR" xr:uid="{4F4C85C1-8556-4469-8CB5-0588F9A1CC3A}"/>
    <hyperlink ref="E5022" r:id="rId15508" display="https://twitter.com/DingosPDR/status/723610147969482752" xr:uid="{C46E24E4-4F6A-43AA-9EA8-D099229ED8FB}"/>
    <hyperlink ref="O5022" r:id="rId15509" display="https://pbs.twimg.com/profile_images/2777446765/3a79c1e9433e5fd3f5b82dcba18e9c95_normal.jpeg" xr:uid="{6A519679-B7D1-47D6-9780-2FD33116504E}"/>
    <hyperlink ref="B5023" r:id="rId15510" display="https://twitter.com/konni1068" xr:uid="{B126A7EE-28BC-4AA0-AFD7-9D6C95BEA42C}"/>
    <hyperlink ref="E5023" r:id="rId15511" display="https://twitter.com/konni1068/status/723610283801976832" xr:uid="{D005AF9E-3079-4D6B-B01B-813A374D3E45}"/>
    <hyperlink ref="O5023" r:id="rId15512" display="https://pbs.twimg.com/profile_images/624699093244354560/aGGGpGf3_normal.jpg" xr:uid="{54088F3B-56E2-4B59-8F80-6FCD5D47742F}"/>
    <hyperlink ref="B5024" r:id="rId15513" display="https://twitter.com/Way_Cool_" xr:uid="{207F82B6-856B-40DB-A9C6-74045B337A7B}"/>
    <hyperlink ref="E5024" r:id="rId15514" display="https://twitter.com/Way_Cool_/status/723610429554040832" xr:uid="{8AB91CD2-4343-4031-8A9B-C99CC36EE52B}"/>
    <hyperlink ref="O5024" r:id="rId15515" display="https://pbs.twimg.com/profile_images/708280127025598464/akwVZYwc_normal.jpg" xr:uid="{00F31888-F43C-4FAC-AFAD-A5519E74B05A}"/>
    <hyperlink ref="B5025" r:id="rId15516" display="https://twitter.com/Speak_EV" xr:uid="{167BE5CA-62EB-49E5-B3CD-B6C76B0A8E7A}"/>
    <hyperlink ref="E5025" r:id="rId15517" display="https://twitter.com/Speak_EV/status/723610496641957890" xr:uid="{53ADEFDA-D721-4E77-BC42-D0F870F8C9F9}"/>
    <hyperlink ref="O5025" r:id="rId15518" display="https://pbs.twimg.com/profile_images/378800000383656962/389f4a2062ec3c75e130fd84590d969c_normal.png" xr:uid="{228E94A9-C2BD-4A77-BACE-F38D16F7E7E9}"/>
    <hyperlink ref="B5026" r:id="rId15519" display="https://twitter.com/MorSvinka_83" xr:uid="{A1D58812-83AE-4260-A70A-1D55EF76D5DD}"/>
    <hyperlink ref="E5026" r:id="rId15520" display="https://twitter.com/MorSvinka_83/status/723611066354262017" xr:uid="{DE8C1EEC-57C5-4288-AF4D-FC8BCC9E7D89}"/>
    <hyperlink ref="O5026" r:id="rId15521" display="https://pbs.twimg.com/profile_images/2208847688/Untitled-2_normal.jpg" xr:uid="{016A854B-340C-4963-93A9-90B60C841C5D}"/>
    <hyperlink ref="B5027" r:id="rId15522" display="https://twitter.com/dafLOh" xr:uid="{85DF1A59-0DAE-42D7-B348-580AD626AB69}"/>
    <hyperlink ref="E5027" r:id="rId15523" display="https://twitter.com/dafLOh/status/723611177780166656" xr:uid="{AD0CD64E-404B-4BAD-B177-8D61659E2DC8}"/>
    <hyperlink ref="O5027" r:id="rId15524" display="https://pbs.twimg.com/profile_images/595593595459137536/bMPN9gqV_normal.jpg" xr:uid="{FB89E350-D473-4F57-B12F-B3942E2983B9}"/>
    <hyperlink ref="B5028" r:id="rId15525" display="https://twitter.com/bryanRis" xr:uid="{5FD5A7B5-5888-4E65-8ADA-56120949E530}"/>
    <hyperlink ref="E5028" r:id="rId15526" display="https://twitter.com/bryanRis/status/723611234826915840" xr:uid="{E5522BE3-9ABF-45DF-9FA2-72F9171A39E3}"/>
    <hyperlink ref="O5028" r:id="rId15527" display="https://pbs.twimg.com/profile_images/378800000333683495/1b735d7df89d5667eeeb3eaa48617f9d_normal.jpeg" xr:uid="{416797DE-2724-47C3-BE94-ADE146E11D2A}"/>
    <hyperlink ref="B5029" r:id="rId15528" display="https://twitter.com/VWCamperSales" xr:uid="{909CF2C3-8425-4F6D-9470-9BE7E3DDAAB9}"/>
    <hyperlink ref="E5029" r:id="rId15529" display="https://twitter.com/VWCamperSales/status/723611360970477569" xr:uid="{A934D4DE-1EF9-44B2-B871-1E74049F3237}"/>
    <hyperlink ref="F5029" r:id="rId15530" xr:uid="{20A0C825-2BB8-46F6-B308-A3738DFA508E}"/>
    <hyperlink ref="O5029" r:id="rId15531" display="https://pbs.twimg.com/profile_images/627949001179037696/skEBkS05_normal.jpg" xr:uid="{0EEAD319-29D0-4B66-831F-2623D80B1B09}"/>
    <hyperlink ref="B5030" r:id="rId15532" display="https://twitter.com/Mphilpot1" xr:uid="{1F288A05-7C20-487A-B40D-D3C4E6F7B703}"/>
    <hyperlink ref="E5030" r:id="rId15533" display="https://twitter.com/Mphilpot1/status/723611450615320576" xr:uid="{59D3524A-889F-40CD-8F91-948B742D36AC}"/>
    <hyperlink ref="O5030" r:id="rId15534" display="https://pbs.twimg.com/profile_images/422164778639839234/LVnS1q1c_normal.jpeg" xr:uid="{268DE40D-CB7B-4E96-9441-E33483EE1B4B}"/>
    <hyperlink ref="B5031" r:id="rId15535" display="https://twitter.com/OnlineCarReview" xr:uid="{0D5B17BB-FEC3-49AD-B9EF-9F27EC88E32E}"/>
    <hyperlink ref="E5031" r:id="rId15536" display="https://twitter.com/OnlineCarReview/status/723611755612540929" xr:uid="{6B5F4CB1-A4F2-44B8-9855-FC3DB2D270BA}"/>
    <hyperlink ref="O5031" r:id="rId15537" display="https://pbs.twimg.com/profile_images/652871584131092480/QA_B6SBO_normal.jpg" xr:uid="{588206A6-6DE4-489A-93CA-348BB25D40F1}"/>
    <hyperlink ref="B5032" r:id="rId15538" display="https://twitter.com/Marktzyniker" xr:uid="{71291834-416D-43B8-8490-BAAD1D67D446}"/>
    <hyperlink ref="E5032" r:id="rId15539" display="https://twitter.com/Marktzyniker/status/723611905798057984" xr:uid="{53CAC253-2CAC-4A05-9E6F-CD7CB05D01D5}"/>
    <hyperlink ref="O5032" r:id="rId15540" display="https://pbs.twimg.com/profile_images/1169387207/uhu_normal.jpg" xr:uid="{2ABF9BC9-6BDE-4480-9A87-B9BCC5F11E6B}"/>
    <hyperlink ref="B5033" r:id="rId15541" display="https://twitter.com/Marktzyniker" xr:uid="{826E572F-B2F6-4BB9-B5BA-7BFA1AEA808A}"/>
    <hyperlink ref="E5033" r:id="rId15542" display="https://twitter.com/Marktzyniker/status/723612432774602752" xr:uid="{7C5B1544-7C76-4E32-A6AD-A619A1375EE1}"/>
    <hyperlink ref="O5033" r:id="rId15543" display="https://pbs.twimg.com/profile_images/1169387207/uhu_normal.jpg" xr:uid="{4F5F5494-A4A0-4370-AF34-F8C3F9CD7951}"/>
    <hyperlink ref="B5034" r:id="rId15544" display="https://twitter.com/TRJhonny" xr:uid="{F372E5D8-C40D-4781-8844-5228B20A6C74}"/>
    <hyperlink ref="E5034" r:id="rId15545" display="https://twitter.com/TRJhonny/status/723612513900892160" xr:uid="{FE767D1A-DEB9-4BFD-B82F-A4B5B7C18023}"/>
    <hyperlink ref="O5034" r:id="rId15546" display="https://pbs.twimg.com/profile_images/1657601327/Untitled-1_normal.jpg" xr:uid="{5DDA7899-3903-4895-BD6E-43844A435BB9}"/>
    <hyperlink ref="B5035" r:id="rId15547" display="https://twitter.com/nordlohner" xr:uid="{96C168C0-722A-41A2-BC57-CD4BEA54CECC}"/>
    <hyperlink ref="E5035" r:id="rId15548" display="https://twitter.com/nordlohner/status/723612749998231554" xr:uid="{67E5028C-29DF-4F41-A0D7-596D91F49FAF}"/>
    <hyperlink ref="O5035" r:id="rId15549" display="https://pbs.twimg.com/profile_images/689490163639123968/KvB_Hdux_normal.jpg" xr:uid="{9C87D90F-28A5-4A95-89C9-3A38CE570059}"/>
    <hyperlink ref="B5036" r:id="rId15550" display="https://twitter.com/caroswg" xr:uid="{34E7AAE9-1223-49C2-A2BA-B46A0FF4AAAA}"/>
    <hyperlink ref="E5036" r:id="rId15551" display="https://twitter.com/caroswg/status/723612805925097472" xr:uid="{A62073CD-E133-4CAB-B3D1-6C5D8638C208}"/>
    <hyperlink ref="O5036" r:id="rId15552" display="https://pbs.twimg.com/profile_images/723537497293238273/q5pBqVBg_normal.jpg" xr:uid="{302C2107-2457-4624-9F2C-8C55EB17DBAA}"/>
    <hyperlink ref="B5037" r:id="rId15553" display="https://twitter.com/RomaanGnnZ" xr:uid="{1FB2AE2B-6615-47B0-AE1F-132CBF08982D}"/>
    <hyperlink ref="E5037" r:id="rId15554" display="https://twitter.com/RomaanGnnZ/status/723612821242695685" xr:uid="{42BC592B-553D-491D-BCFB-9E6B98D92B4F}"/>
    <hyperlink ref="O5037" r:id="rId15555" display="https://pbs.twimg.com/profile_images/707405042035335170/jSlCSVhr_normal.jpg" xr:uid="{95B2C200-842D-4240-A77C-F9BF453FBBCD}"/>
    <hyperlink ref="B5038" r:id="rId15556" display="https://twitter.com/puexxx" xr:uid="{A3ABCBAF-B4F0-47EE-BA85-BE698CE77592}"/>
    <hyperlink ref="E5038" r:id="rId15557" display="https://twitter.com/puexxx/status/723612873411448832" xr:uid="{4390DF03-7D8B-438B-AC5D-8172F103503A}"/>
    <hyperlink ref="O5038" r:id="rId15558" display="https://pbs.twimg.com/profile_images/654013242855981056/eqTQh9Bn_normal.png" xr:uid="{EF49F46F-147F-49CB-BA29-83C88A5B316D}"/>
    <hyperlink ref="B5039" r:id="rId15559" display="https://twitter.com/kngeuro" xr:uid="{A4257913-4963-4980-81CB-3E7187C39219}"/>
    <hyperlink ref="E5039" r:id="rId15560" display="https://twitter.com/kngeuro/status/723612906969919488" xr:uid="{9AFF2FFD-EEBE-43F0-BDEC-2BA69C605000}"/>
    <hyperlink ref="O5039" r:id="rId15561" display="https://pbs.twimg.com/profile_images/570375988065935360/ooT_Nq7x_normal.jpeg" xr:uid="{59A8A9C5-A289-48F4-94FF-79FAA25CB58D}"/>
    <hyperlink ref="B5040" r:id="rId15562" display="https://twitter.com/jimmillett72" xr:uid="{017AE7DC-4099-4C4C-AC5C-013438EDF4B5}"/>
    <hyperlink ref="E5040" r:id="rId15563" display="https://twitter.com/jimmillett72/status/723613450866450436" xr:uid="{F5412087-1DEE-4736-802E-72A25646B01C}"/>
    <hyperlink ref="O5040" r:id="rId15564" display="https://pbs.twimg.com/profile_images/378800000370359413/27d11d156d3be2c46ac01016646267e3_normal.jpeg" xr:uid="{10BD39C1-94A5-4761-A5FD-6629CA077CC0}"/>
    <hyperlink ref="B5041" r:id="rId15565" display="https://twitter.com/guidobraun" xr:uid="{A96D2A25-8654-433A-8AA3-6D0C2B61C7EB}"/>
    <hyperlink ref="E5041" r:id="rId15566" display="https://twitter.com/guidobraun/status/723613977389981701" xr:uid="{F531CC7E-2909-46A0-B5D3-2CC7F5BE4F83}"/>
    <hyperlink ref="O5041" r:id="rId15567" display="https://pbs.twimg.com/profile_images/687739723931119616/rWX3ayZq_normal.jpg" xr:uid="{B7CEC084-2918-4621-8CC7-003D82F7FD02}"/>
    <hyperlink ref="B5042" r:id="rId15568" display="https://twitter.com/herrenloserHund" xr:uid="{28FA2558-3A27-48EB-B65F-34EA11C5A330}"/>
    <hyperlink ref="E5042" r:id="rId15569" display="https://twitter.com/herrenloserHund/status/723614099683348483" xr:uid="{265E1723-2210-4041-81C1-0B899AEEC075}"/>
    <hyperlink ref="O5042" r:id="rId15570" display="https://pbs.twimg.com/profile_images/626150732908109824/YxBlJd63_normal.jpg" xr:uid="{30F40607-8526-4938-AF1A-14CBAD3E9D4A}"/>
    <hyperlink ref="B5043" r:id="rId15571" display="https://twitter.com/bvdvliet" xr:uid="{3219E247-4640-4053-AAA0-9FE63F0B91F6}"/>
    <hyperlink ref="E5043" r:id="rId15572" display="https://twitter.com/bvdvliet/status/723614292713549825" xr:uid="{280BEBEF-72C8-42ED-A6DE-17AC96600F96}"/>
    <hyperlink ref="O5043" r:id="rId15573" display="https://pbs.twimg.com/profile_images/378800000747750946/394d9f0f5e6dde5137683d9c98c5c8a9_normal.jpeg" xr:uid="{6BBC795A-790A-4B08-A9A6-3B85042B3068}"/>
    <hyperlink ref="B5044" r:id="rId15574" display="https://twitter.com/rkeuper" xr:uid="{5BDB8800-FE98-4D1E-B889-73C9A00FC1F6}"/>
    <hyperlink ref="E5044" r:id="rId15575" display="https://twitter.com/rkeuper/status/723614482170294273" xr:uid="{68EA8139-73BF-4408-B085-A93252F9E84C}"/>
    <hyperlink ref="O5044" r:id="rId15576" display="https://pbs.twimg.com/profile_images/550741947388686336/kltgfz2w_normal.jpeg" xr:uid="{914EEBAD-3DEC-4EAD-B260-83BD2C156C1A}"/>
    <hyperlink ref="B5045" r:id="rId15577" display="https://twitter.com/bvdvliet" xr:uid="{C7D46EA5-A195-428A-9917-DF7925B7CA36}"/>
    <hyperlink ref="E5045" r:id="rId15578" display="https://twitter.com/bvdvliet/status/723614570485526528" xr:uid="{84A76ADF-2F5C-4E84-9312-85C6492EEC73}"/>
    <hyperlink ref="O5045" r:id="rId15579" display="https://pbs.twimg.com/profile_images/378800000747750946/394d9f0f5e6dde5137683d9c98c5c8a9_normal.jpeg" xr:uid="{C3F12F7D-EA39-4B4E-9A8D-8CEF3C7B5609}"/>
    <hyperlink ref="B5046" r:id="rId15580" display="https://twitter.com/VolkswagenPost" xr:uid="{7472601A-5BD4-40C5-807B-0C3EAE8FC78F}"/>
    <hyperlink ref="E5046" r:id="rId15581" display="https://twitter.com/VolkswagenPost/status/723614837952135169" xr:uid="{586B5176-AF83-4F9C-AA2E-F3DADF294FAD}"/>
    <hyperlink ref="O5046" r:id="rId15582" display="https://pbs.twimg.com/profile_images/530071272881803264/a_jcCmPZ_normal.png" xr:uid="{1A50A990-E90C-43BE-BAB6-4493DD613CDD}"/>
    <hyperlink ref="B5047" r:id="rId15583" display="https://twitter.com/dhenneton" xr:uid="{779D019A-5853-4883-AB0C-B76518426247}"/>
    <hyperlink ref="E5047" r:id="rId15584" display="https://twitter.com/dhenneton/status/723614876661350400" xr:uid="{C318C470-B3AC-4A38-B2FA-C7E0BF0216A7}"/>
    <hyperlink ref="O5047" r:id="rId15585" display="https://pbs.twimg.com/profile_images/529657323615424512/qo5NPKe2_normal.jpeg" xr:uid="{D6F587E8-9920-4ABD-9DB6-F8F9A08E8F38}"/>
    <hyperlink ref="B5048" r:id="rId15586" display="https://twitter.com/TRJhonny" xr:uid="{D1B98EC3-EE44-408F-B87C-79496F0569EE}"/>
    <hyperlink ref="E5048" r:id="rId15587" display="https://twitter.com/TRJhonny/status/723614944369991680" xr:uid="{053A9631-F939-4DF8-91E4-CF5C611D07AA}"/>
    <hyperlink ref="O5048" r:id="rId15588" display="https://pbs.twimg.com/profile_images/1657601327/Untitled-1_normal.jpg" xr:uid="{37BC9EC3-F515-4D9F-B25D-825227AE758E}"/>
    <hyperlink ref="B5049" r:id="rId15589" display="https://twitter.com/ebaycampervans" xr:uid="{95B072B9-B716-4E90-BBFB-5B29A9988F86}"/>
    <hyperlink ref="E5049" r:id="rId15590" display="https://twitter.com/ebaycampervans/status/723615129489698816" xr:uid="{E01DCA3F-D468-4F57-880E-DD44428A5985}"/>
    <hyperlink ref="O5049" r:id="rId15591" display="https://pbs.twimg.com/profile_images/599357023407464449/BL9Bpo6T_normal.jpg" xr:uid="{11BD47F0-98AA-4BBA-A68E-6D1D161DD33E}"/>
    <hyperlink ref="B5050" r:id="rId15592" display="https://twitter.com/ShaunAmor" xr:uid="{9D440CA4-6E29-4E38-939C-8066D38EA150}"/>
    <hyperlink ref="E5050" r:id="rId15593" display="https://twitter.com/ShaunAmor/status/723615574568361984" xr:uid="{03361D4D-8339-4593-A9E1-F468B646A513}"/>
    <hyperlink ref="O5050" r:id="rId15594" display="https://pbs.twimg.com/profile_images/672894264095961089/v57NFl6w_normal.jpg" xr:uid="{CBA872EC-32B1-45AE-93EF-AEE75D2646BE}"/>
    <hyperlink ref="B5051" r:id="rId15595" display="https://twitter.com/HermanCookVW" xr:uid="{648584CF-12F4-402D-A3D6-5B5E38D4AFCB}"/>
    <hyperlink ref="E5051" r:id="rId15596" display="https://twitter.com/HermanCookVW/status/723615596861001728" xr:uid="{78641883-02F0-430E-80A4-D184AE9B7EE1}"/>
    <hyperlink ref="O5051" r:id="rId15597" display="https://pbs.twimg.com/profile_images/720585614/HC-LOGO._normal.jpg" xr:uid="{84DF8817-52B5-4342-8D31-69EF055DC5F8}"/>
    <hyperlink ref="B5052" r:id="rId15598" display="https://twitter.com/JaviZamariani17" xr:uid="{2D9FE69E-F912-4367-882D-A853FBC5B506}"/>
    <hyperlink ref="E5052" r:id="rId15599" display="https://twitter.com/JaviZamariani17/status/723615952030580736" xr:uid="{A14A2F2F-C0BF-491B-8209-CAB5734B5780}"/>
    <hyperlink ref="O5052" r:id="rId15600" display="https://pbs.twimg.com/profile_images/716984282053484544/cUgWw3CO_normal.jpg" xr:uid="{34DCDB01-FD26-44BF-B30B-A65E3470A13A}"/>
    <hyperlink ref="B5053" r:id="rId15601" display="https://twitter.com/thrussellart" xr:uid="{279DBE9D-1E88-47F7-BE26-8E950B5C4E44}"/>
    <hyperlink ref="E5053" r:id="rId15602" display="https://twitter.com/thrussellart/status/723615972410687488" xr:uid="{40E045C4-F608-4C5A-BE0F-878A912E41FA}"/>
    <hyperlink ref="O5053" r:id="rId15603" display="https://pbs.twimg.com/profile_images/550908495487594496/BhwnGVzf_normal.jpeg" xr:uid="{669775D4-3A9C-45C0-979A-72652F252ED2}"/>
    <hyperlink ref="P5053" r:id="rId15604" location="50.3437,-5.1546" display="http://ctrlq.org/maps/address/ - 50.3437,-5.1546" xr:uid="{02B726C8-C161-4E65-BFF6-35C6D22DB4B0}"/>
    <hyperlink ref="B5054" r:id="rId15605" display="https://twitter.com/facundoalmeira" xr:uid="{DC70A3A1-F2B2-40A2-B319-33F7C9B99D50}"/>
    <hyperlink ref="E5054" r:id="rId15606" display="https://twitter.com/facundoalmeira/status/723616032531841024" xr:uid="{0140DBB5-86E4-441C-9189-8CA41ADC0BA0}"/>
    <hyperlink ref="O5054" r:id="rId15607" display="https://pbs.twimg.com/profile_images/652625040089985024/NVgJWEdE_normal.jpg" xr:uid="{42F6A3AE-1D0A-4294-BE0B-2DED2A1C2382}"/>
    <hyperlink ref="B5055" r:id="rId15608" display="https://twitter.com/Highlander2512" xr:uid="{9748A9C1-6B0C-4F3F-BCEC-9FAEF1E5AA81}"/>
    <hyperlink ref="C5055" r:id="rId15609" xr:uid="{722EC339-921D-4043-B4F1-FEC7FBF56FDA}"/>
    <hyperlink ref="E5055" r:id="rId15610" display="https://twitter.com/Highlander2512/status/723616110164226048" xr:uid="{779F6FAF-BA13-4E1F-9A92-CB62D32F0749}"/>
    <hyperlink ref="O5055" r:id="rId15611" display="https://pbs.twimg.com/profile_images/682518374467944448/JjbYaxue_normal.png" xr:uid="{2130EDF6-F12C-4710-9DCD-36F4AB6A6C84}"/>
    <hyperlink ref="B5056" r:id="rId15612" display="https://twitter.com/AutoExpress" xr:uid="{CE6DB484-A37A-44E5-98F3-D422FF723F81}"/>
    <hyperlink ref="E5056" r:id="rId15613" display="https://twitter.com/AutoExpress/status/723617422268203008" xr:uid="{6466A019-5C7F-4CD1-8F60-AC93B4C0ABEA}"/>
    <hyperlink ref="O5056" r:id="rId15614" display="https://pbs.twimg.com/profile_images/378800000673633859/9729e4c280465095c6f835c9f6b36378_normal.jpeg" xr:uid="{17818ACB-E8D3-4AE0-8B31-587CB2595FD9}"/>
    <hyperlink ref="B5057" r:id="rId15615" display="https://twitter.com/NeedTechs" xr:uid="{6F1C8363-223C-4AEB-A3D3-C038902FCA5A}"/>
    <hyperlink ref="E5057" r:id="rId15616" display="https://twitter.com/NeedTechs/status/723617422310170624" xr:uid="{003F1135-4008-412F-B63B-79705BD5D409}"/>
    <hyperlink ref="O5057" r:id="rId15617" display="https://pbs.twimg.com/profile_images/588750621353717760/15I04Sdg_normal.png" xr:uid="{1CC63DA6-8BCF-4815-A35C-6ECD5A39C928}"/>
    <hyperlink ref="B5058" r:id="rId15618" display="https://twitter.com/kngeuro" xr:uid="{AFD6F20C-42E7-416D-B034-756F29EEA25D}"/>
    <hyperlink ref="E5058" r:id="rId15619" display="https://twitter.com/kngeuro/status/723617473371590656" xr:uid="{BF03F1FC-7EC7-41E9-BF20-4FC8F279FA87}"/>
    <hyperlink ref="O5058" r:id="rId15620" display="https://pbs.twimg.com/profile_images/570375988065935360/ooT_Nq7x_normal.jpeg" xr:uid="{5072D772-D3EF-43D2-A619-5D582C96FC9F}"/>
    <hyperlink ref="B5059" r:id="rId15621" display="https://twitter.com/ThorntonFirm" xr:uid="{BC9BAA19-75AF-42A2-AE22-573AAF4BC8C7}"/>
    <hyperlink ref="E5059" r:id="rId15622" display="https://twitter.com/ThorntonFirm/status/723617512387129345" xr:uid="{D9EFDD5A-DDA9-4FFF-957D-62263E47CB93}"/>
    <hyperlink ref="O5059" r:id="rId15623" display="https://pbs.twimg.com/profile_images/638430881229721600/SYdXPv56_normal.jpg" xr:uid="{D0309DCE-54FE-44C2-83DA-D1B2BC6DF4BC}"/>
    <hyperlink ref="B5060" r:id="rId15624" display="https://twitter.com/VWCamperSales" xr:uid="{C1EA967F-BFB8-46A6-9E01-D1F157C53DEE}"/>
    <hyperlink ref="E5060" r:id="rId15625" display="https://twitter.com/VWCamperSales/status/723617538265878528" xr:uid="{FF365FA2-DEB6-45A9-9BCE-506CCE7EB692}"/>
    <hyperlink ref="F5060" r:id="rId15626" xr:uid="{9D376644-253B-4FFE-BDDD-41BDA3D6EDF4}"/>
    <hyperlink ref="O5060" r:id="rId15627" display="https://pbs.twimg.com/profile_images/627949001179037696/skEBkS05_normal.jpg" xr:uid="{7AFE7A36-D84C-4CC7-AC54-5B6237F4ED28}"/>
    <hyperlink ref="B5061" r:id="rId15628" display="https://twitter.com/RTLRally" xr:uid="{25742BF3-0792-47EC-B460-32FDF27A9684}"/>
    <hyperlink ref="E5061" r:id="rId15629" display="https://twitter.com/RTLRally/status/723617987190771712" xr:uid="{85A4C302-4618-41B7-BC98-5714822844E5}"/>
    <hyperlink ref="O5061" r:id="rId15630" display="https://pbs.twimg.com/profile_images/711506516294041600/1fr0IryT_normal.jpg" xr:uid="{0E085FA4-D2A3-45CE-870E-48C8285B048E}"/>
    <hyperlink ref="B5062" r:id="rId15631" display="https://twitter.com/lestermarshall3" xr:uid="{0492A91F-D92F-44B6-8B1E-BCB8C38F7AEE}"/>
    <hyperlink ref="E5062" r:id="rId15632" display="https://twitter.com/lestermarshall3/status/723618071131246592" xr:uid="{FC586E29-B05D-4490-9861-5960750D8664}"/>
    <hyperlink ref="O5062" r:id="rId15633" display="https://pbs.twimg.com/profile_images/720354878782971904/7Udd1I_N_normal.jpg" xr:uid="{B9B2BE73-45FE-4083-8AAC-2508561966AA}"/>
    <hyperlink ref="B5063" r:id="rId15634" display="https://twitter.com/TrinosophieBlog" xr:uid="{577F02A3-58BE-4BD9-8785-F0358A08C9F9}"/>
    <hyperlink ref="E5063" r:id="rId15635" display="https://twitter.com/TrinosophieBlog/status/723618202702479361" xr:uid="{A69877DB-0507-48E4-90BE-DFC943765C2B}"/>
    <hyperlink ref="O5063" r:id="rId15636" display="https://pbs.twimg.com/profile_images/221996752/detail_trino_normal.jpg" xr:uid="{FF61F7EA-4B49-4F34-9EF5-C49EE1DB4B56}"/>
    <hyperlink ref="B5064" r:id="rId15637" display="https://twitter.com/DubLuvTuning" xr:uid="{1A875D2A-C67F-45BE-AB65-6854C568AC5B}"/>
    <hyperlink ref="E5064" r:id="rId15638" display="https://twitter.com/DubLuvTuning/status/723618289323249664" xr:uid="{01649326-7D38-4E52-A8E2-0E0FD0DA6A95}"/>
    <hyperlink ref="O5064" r:id="rId15639" display="https://pbs.twimg.com/profile_images/378800000572104796/1de43e1cf23efb3f4101c02afad0d3b6_normal.png" xr:uid="{5D6DE411-D209-466A-B7F4-16FB42D1E8F1}"/>
    <hyperlink ref="B5065" r:id="rId15640" display="https://twitter.com/DubLuvTuning" xr:uid="{2FC7C9AF-9BDD-4770-84E0-9E2D2DBF44D4}"/>
    <hyperlink ref="E5065" r:id="rId15641" display="https://twitter.com/DubLuvTuning/status/723618290589949952" xr:uid="{5C1DC05D-D401-4B41-ABAB-272113CD8559}"/>
    <hyperlink ref="O5065" r:id="rId15642" display="https://pbs.twimg.com/profile_images/378800000572104796/1de43e1cf23efb3f4101c02afad0d3b6_normal.png" xr:uid="{DA391115-0ABB-4AD1-A2C4-ECAF655AC151}"/>
    <hyperlink ref="B5066" r:id="rId15643" display="https://twitter.com/autos_kris" xr:uid="{7666ADB7-B582-4BF0-8002-3E212AF3A056}"/>
    <hyperlink ref="E5066" r:id="rId15644" display="https://twitter.com/autos_kris/status/723618309166501888" xr:uid="{FE3A61BA-AD27-4D10-AA7F-88E3C4C1D5BF}"/>
    <hyperlink ref="O5066" r:id="rId15645" display="https://pbs.twimg.com/profile_images/612959708152893440/EP2swCL9_normal.png" xr:uid="{90EA2C02-8C7E-4C3A-B607-344D75CC3D32}"/>
    <hyperlink ref="B5067" r:id="rId15646" display="https://twitter.com/luchitodf" xr:uid="{937B158C-2A2B-4453-BD31-A3AAFACEE12F}"/>
    <hyperlink ref="E5067" r:id="rId15647" display="https://twitter.com/luchitodf/status/723618352632045568" xr:uid="{0D4EA627-EA30-4DE3-808E-2B0498FE7B20}"/>
    <hyperlink ref="O5067" r:id="rId15648" display="https://pbs.twimg.com/profile_images/706696262016503809/DKOWP6rq_normal.jpg" xr:uid="{7146982E-6553-4A17-B65A-846208D9DF66}"/>
    <hyperlink ref="B5068" r:id="rId15649" display="https://twitter.com/dillonmj" xr:uid="{B9FE8F89-9B28-4EF0-BDB4-758354377507}"/>
    <hyperlink ref="E5068" r:id="rId15650" display="https://twitter.com/dillonmj/status/723618416167411714" xr:uid="{F92E229A-F2B4-4D56-AF7B-9AEDF9C5811A}"/>
    <hyperlink ref="O5068" r:id="rId15651" display="https://pbs.twimg.com/profile_images/668920799168888832/NUrKJBD-_normal.jpg" xr:uid="{3090BD77-86FE-4FE3-89B1-E6D4F1B64FD9}"/>
    <hyperlink ref="P5068" r:id="rId15652" location="49.82049212,-96.93501581" display="http://ctrlq.org/maps/address/ - 49.82049212,-96.93501581" xr:uid="{D1A3B35B-59E2-4136-AA65-172409DBDF83}"/>
    <hyperlink ref="B5069" r:id="rId15653" display="https://twitter.com/businessblogged" xr:uid="{718AF4B5-2C39-493B-B6EB-D557FEAC497C}"/>
    <hyperlink ref="E5069" r:id="rId15654" display="https://twitter.com/businessblogged/status/723618440137723904" xr:uid="{B9BD9603-522B-4DB0-83AC-FB14C79B457F}"/>
    <hyperlink ref="O5069" r:id="rId15655" display="https://pbs.twimg.com/profile_images/722104677656104961/0KuQLGIH_normal.jpg" xr:uid="{ACB2E7A9-DED7-4AF6-BB21-BA38DD9BB21F}"/>
    <hyperlink ref="B5070" r:id="rId15656" display="https://twitter.com/beetlebug1938" xr:uid="{0DCC115A-9487-424F-955D-CFF1979D00BB}"/>
    <hyperlink ref="E5070" r:id="rId15657" display="https://twitter.com/beetlebug1938/status/723618471897096192" xr:uid="{CF9309D4-4326-4FCF-B3B1-7AF87805B87A}"/>
    <hyperlink ref="O5070" r:id="rId15658" display="https://pbs.twimg.com/profile_images/718820712757215233/LXXndPTS_normal.jpg" xr:uid="{1D318C06-35C3-4626-B6D6-3A42D2E05DE1}"/>
    <hyperlink ref="B5071" r:id="rId15659" display="https://twitter.com/beetlebug1938" xr:uid="{10BD39AF-1F3C-4BB4-886D-6F7E893B71FB}"/>
    <hyperlink ref="E5071" r:id="rId15660" display="https://twitter.com/beetlebug1938/status/723618553530859520" xr:uid="{C453252B-1EFF-4A47-8EB2-1886770D3C8C}"/>
    <hyperlink ref="O5071" r:id="rId15661" display="https://pbs.twimg.com/profile_images/718820712757215233/LXXndPTS_normal.jpg" xr:uid="{FCDF3A3C-90CE-450C-A4D4-7C29E1ECF565}"/>
    <hyperlink ref="B5072" r:id="rId15662" display="https://twitter.com/twinity" xr:uid="{3F0EA989-3E26-449A-BBF5-166F4B54B5B7}"/>
    <hyperlink ref="E5072" r:id="rId15663" display="https://twitter.com/twinity/status/723618735555284993" xr:uid="{6FDCACDC-5D1C-449E-B062-2C41AA35ABAE}"/>
    <hyperlink ref="O5072" r:id="rId15664" display="https://pbs.twimg.com/profile_images/2946887682/19415956db81d4b6a9925e617813e680_normal.jpeg" xr:uid="{81C0516A-53AD-4835-83AD-39C54CEDE6A6}"/>
    <hyperlink ref="B5073" r:id="rId15665" display="https://twitter.com/veselinarogova" xr:uid="{21D9F943-39EA-4325-B4BF-095736AD8120}"/>
    <hyperlink ref="E5073" r:id="rId15666" display="https://twitter.com/veselinarogova/status/723618764051374080" xr:uid="{3B5E17A0-95D9-4BDD-B69E-4FC668B73F47}"/>
    <hyperlink ref="O5073" r:id="rId15667" display="https://pbs.twimg.com/profile_images/707844012154101760/6yMrzDXE_normal.jpg" xr:uid="{C2634DA6-AAF8-4F9E-B999-3F6E890775D2}"/>
    <hyperlink ref="B5074" r:id="rId15668" display="https://twitter.com/Leckert_" xr:uid="{CAED0FEB-91EC-4002-8467-0DC52CC5DE42}"/>
    <hyperlink ref="E5074" r:id="rId15669" display="https://twitter.com/Leckert_/status/723618985137283072" xr:uid="{47403996-5D4C-41B7-8B81-A61F27268F1E}"/>
    <hyperlink ref="M5074" r:id="rId15670" xr:uid="{4E9423CE-4786-40E8-A950-9635D0B08AEE}"/>
    <hyperlink ref="O5074" r:id="rId15671" display="https://pbs.twimg.com/profile_images/685097576874553344/Zgllsr-x_normal.jpg" xr:uid="{6167C505-018E-408D-A2DD-6D23B3A24D6F}"/>
    <hyperlink ref="B5075" r:id="rId15672" display="https://twitter.com/PeterJanEngelen" xr:uid="{E39A194F-3CE7-4CB7-8E10-1695E265C11C}"/>
    <hyperlink ref="E5075" r:id="rId15673" display="https://twitter.com/PeterJanEngelen/status/723619360334594048" xr:uid="{9B8A87BD-4BC1-4962-9E51-D50516E873E7}"/>
    <hyperlink ref="O5075" r:id="rId15674" display="https://pbs.twimg.com/profile_images/544061403317796864/-1uYRPtD_normal.jpeg" xr:uid="{3DF9B8DF-BD84-465A-9B38-324DBCF4BC5E}"/>
    <hyperlink ref="B5076" r:id="rId15675" display="https://twitter.com/VolkswagenPost" xr:uid="{A3B29DD0-EDC1-4F09-9557-091E0B9275E8}"/>
    <hyperlink ref="E5076" r:id="rId15676" display="https://twitter.com/VolkswagenPost/status/723619376289730560" xr:uid="{31B9C9BF-3D64-468D-B6F5-3F4594E04231}"/>
    <hyperlink ref="O5076" r:id="rId15677" display="https://pbs.twimg.com/profile_images/530071272881803264/a_jcCmPZ_normal.png" xr:uid="{6CD2F5FF-EA2E-45BD-B3E5-1385B656C986}"/>
    <hyperlink ref="B5077" r:id="rId15678" display="https://twitter.com/ddbEntertain" xr:uid="{D43A0811-64C9-42A3-B26C-E17EA57C12BE}"/>
    <hyperlink ref="E5077" r:id="rId15679" display="https://twitter.com/ddbEntertain/status/723620039799099392" xr:uid="{5CBFDB1D-F0CD-4F8D-B72C-B1EE3F84BD5B}"/>
    <hyperlink ref="O5077" r:id="rId15680" display="https://pbs.twimg.com/profile_images/3308614129/d7fb2a9044c368b51a4c947a770419a2_normal.jpeg" xr:uid="{62FBD270-9A62-4AAF-8F7C-F891FD55924D}"/>
    <hyperlink ref="B5078" r:id="rId15681" display="https://twitter.com/orafolwraps" xr:uid="{5D67942E-712D-4082-910C-36CEA3E75F02}"/>
    <hyperlink ref="E5078" r:id="rId15682" display="https://twitter.com/orafolwraps/status/723620199220580352" xr:uid="{73FD25D6-3B70-49D8-9F64-BEA769AFFEB2}"/>
    <hyperlink ref="O5078" r:id="rId15683" display="https://pbs.twimg.com/profile_images/568147155567656960/VPKW0WVw_normal.png" xr:uid="{F552B7CC-78EB-4772-AE12-A1C3A1CBD2A9}"/>
    <hyperlink ref="B5079" r:id="rId15684" display="https://twitter.com/Watson2706" xr:uid="{787C721D-25AF-44D7-8AAD-2173EDBAA651}"/>
    <hyperlink ref="E5079" r:id="rId15685" display="https://twitter.com/Watson2706/status/723620466037002240" xr:uid="{156ABDE2-F6FD-4BBF-A559-4E7855488D9D}"/>
    <hyperlink ref="O5079" r:id="rId15686" display="https://pbs.twimg.com/profile_images/299490659/Hr._Watson_normal.jpg" xr:uid="{5E54EC0A-AF3A-4B9A-A4B6-638BFE3568AA}"/>
    <hyperlink ref="B5080" r:id="rId15687" display="https://twitter.com/rheto" xr:uid="{54531CAD-A42B-4B3A-B40E-393305F04B65}"/>
    <hyperlink ref="E5080" r:id="rId15688" display="https://twitter.com/rheto/status/723620475121885184" xr:uid="{846AE63A-CC83-497E-A363-E37591418597}"/>
    <hyperlink ref="O5080" r:id="rId15689" display="https://pbs.twimg.com/profile_images/1157883957/Twitter_rheto_normal.jpg" xr:uid="{D8935FD4-77EF-498F-B13A-5138948F28FD}"/>
    <hyperlink ref="B5081" r:id="rId15690" display="https://twitter.com/jitenmistrydj" xr:uid="{E9708865-1666-4130-A576-5B194DC929FA}"/>
    <hyperlink ref="E5081" r:id="rId15691" display="https://twitter.com/jitenmistrydj/status/723620836180152321" xr:uid="{C2527E58-244A-4980-ABEA-422AEB8AA3D7}"/>
    <hyperlink ref="O5081" r:id="rId15692" display="https://pbs.twimg.com/profile_images/689245762694311937/sYUFvr0i_normal.jpg" xr:uid="{687AD9FD-7BC6-4DAC-BD94-A51A8A92563C}"/>
    <hyperlink ref="B5082" r:id="rId15693" display="https://twitter.com/SnowAngel0724" xr:uid="{4C10B11F-C8EA-4DDE-B495-1241E27B50EC}"/>
    <hyperlink ref="E5082" r:id="rId15694" display="https://twitter.com/SnowAngel0724/status/723620841611612160" xr:uid="{B3F128D7-3229-47DC-A206-3886081A6F68}"/>
    <hyperlink ref="O5082" r:id="rId15695" display="https://pbs.twimg.com/profile_images/718800395997294592/7kwRAhRd_normal.jpg" xr:uid="{08C91945-6E32-42F2-BEA2-213FA5047AC7}"/>
    <hyperlink ref="B5083" r:id="rId15696" display="https://twitter.com/urotuning" xr:uid="{64FF3336-7908-4697-9605-5B8944A91846}"/>
    <hyperlink ref="E5083" r:id="rId15697" display="https://twitter.com/urotuning/status/723620853318062080" xr:uid="{5A96C11F-654A-46D6-AAB4-924029142990}"/>
    <hyperlink ref="O5083" r:id="rId15698" display="https://pbs.twimg.com/profile_images/652593086124527616/onf0J8iL_normal.png" xr:uid="{9D0C805E-B064-4D72-8D27-8F4A1D1D7BCA}"/>
    <hyperlink ref="B5084" r:id="rId15699" display="https://twitter.com/wahnsinnman" xr:uid="{71C0AC45-D6B7-497B-B3B0-B391C3E26027}"/>
    <hyperlink ref="E5084" r:id="rId15700" display="https://twitter.com/wahnsinnman/status/723620861912190978" xr:uid="{2E45FAAD-3CA5-4750-BA4A-2939349586ED}"/>
    <hyperlink ref="O5084" r:id="rId15701" display="https://pbs.twimg.com/profile_images/711834780724289536/-KPqofzC_normal.jpg" xr:uid="{D1E9F971-C7A2-4355-951C-13CE517CF14B}"/>
    <hyperlink ref="B5085" r:id="rId15702" display="https://twitter.com/dom_pallett" xr:uid="{8E6DC112-E3EC-4E93-92B7-C128BF5E8B81}"/>
    <hyperlink ref="E5085" r:id="rId15703" display="https://twitter.com/dom_pallett/status/723621132260225026" xr:uid="{95B54870-DB02-48FB-A9AD-F19695FA9BE5}"/>
    <hyperlink ref="O5085" r:id="rId15704" display="https://pbs.twimg.com/profile_images/696384420123701253/hivrece1_normal.jpg" xr:uid="{025D90B2-196C-4D95-9BA5-68D195324660}"/>
    <hyperlink ref="B5086" r:id="rId15705" display="https://twitter.com/acvwpassion" xr:uid="{56C1986D-852B-4793-A6FE-76E669B2EE1C}"/>
    <hyperlink ref="E5086" r:id="rId15706" display="https://twitter.com/acvwpassion/status/723621202909081600" xr:uid="{97A26E0B-098A-4025-ABE1-C144E5A6F471}"/>
    <hyperlink ref="O5086" r:id="rId15707" display="https://pbs.twimg.com/profile_images/545688359964651520/SF3sJ7lv_normal.jpeg" xr:uid="{05106A2E-4664-4FAD-BA23-FAB433A0F497}"/>
    <hyperlink ref="B5087" r:id="rId15708" display="https://twitter.com/golfturkiye" xr:uid="{2F1413A9-0E70-4DA1-862D-5DFB3860F079}"/>
    <hyperlink ref="E5087" r:id="rId15709" display="https://twitter.com/golfturkiye/status/723621579637317632" xr:uid="{CF4D0A0A-485F-4E18-92A1-E6509CC90923}"/>
    <hyperlink ref="O5087" r:id="rId15710" display="https://pbs.twimg.com/profile_images/2908590566/828967841f09b515ee36e3dfccea4d28_normal.png" xr:uid="{B7AF8F30-A6BE-4AA5-8412-F8CF0952961E}"/>
    <hyperlink ref="B5088" r:id="rId15711" display="https://twitter.com/Saltytrees" xr:uid="{ABFD4A9D-AFD6-4369-968E-916C2456FBD0}"/>
    <hyperlink ref="E5088" r:id="rId15712" display="https://twitter.com/Saltytrees/status/723621608141787138" xr:uid="{21E1E47C-73F2-4E0D-9052-1CFBC7A213F6}"/>
    <hyperlink ref="O5088" r:id="rId15713" display="https://pbs.twimg.com/profile_images/692444593602871297/IkWgfIlE_normal.jpg" xr:uid="{15DC5E7A-4859-4214-9D5F-85516CD28546}"/>
    <hyperlink ref="B5089" r:id="rId15714" display="https://twitter.com/jitenmistrydj" xr:uid="{087E70B4-D1B7-44E8-B297-4AE93D677532}"/>
    <hyperlink ref="E5089" r:id="rId15715" display="https://twitter.com/jitenmistrydj/status/723621671308025856" xr:uid="{8F30EC12-5520-4883-A7E4-143085AFC5E1}"/>
    <hyperlink ref="O5089" r:id="rId15716" display="https://pbs.twimg.com/profile_images/689245762694311937/sYUFvr0i_normal.jpg" xr:uid="{65D643DC-B16B-43D4-B60B-040A02D697B9}"/>
    <hyperlink ref="B5090" r:id="rId15717" display="https://twitter.com/Mrwaterbiscuit" xr:uid="{0135C50B-D91B-421E-B167-8075FB0D1D33}"/>
    <hyperlink ref="E5090" r:id="rId15718" display="https://twitter.com/Mrwaterbiscuit/status/723621785581817856" xr:uid="{14961D0B-6C25-41C6-AAAB-DB953F2D5E54}"/>
    <hyperlink ref="O5090" r:id="rId15719" display="https://pbs.twimg.com/profile_images/462316696083369984/ZRV4WLSf_normal.jpeg" xr:uid="{77CFD887-7AB7-45CC-968D-3AEA7487BD4D}"/>
    <hyperlink ref="B5091" r:id="rId15720" display="https://twitter.com/Tkarera" xr:uid="{3314064A-17DE-4958-99CF-E5883FD80D96}"/>
    <hyperlink ref="E5091" r:id="rId15721" display="https://twitter.com/Tkarera/status/723621877592285185" xr:uid="{667B5A11-1A09-4F4F-A9E1-72FE29D63C58}"/>
    <hyperlink ref="O5091" r:id="rId15722" display="https://pbs.twimg.com/profile_images/2678224876/e0d50fddebcbb0ae56734edce9d553a0_normal.jpeg" xr:uid="{C0507CFC-C40E-4322-82C1-7A0D2E386452}"/>
    <hyperlink ref="B5092" r:id="rId15723" display="https://twitter.com/jitenmistrydj" xr:uid="{D11076B8-B303-44F6-ABDF-461F61B14CD2}"/>
    <hyperlink ref="E5092" r:id="rId15724" display="https://twitter.com/jitenmistrydj/status/723622132291350528" xr:uid="{C2856C11-497F-477B-84FA-2D06EFE79D96}"/>
    <hyperlink ref="O5092" r:id="rId15725" display="https://pbs.twimg.com/profile_images/689245762694311937/sYUFvr0i_normal.jpg" xr:uid="{9568DF70-0474-44B6-8FCD-971A82558381}"/>
    <hyperlink ref="B5093" r:id="rId15726" display="https://twitter.com/cotillo1" xr:uid="{5709AD9C-6B7B-433E-B0A5-4CF45F6A8784}"/>
    <hyperlink ref="E5093" r:id="rId15727" display="https://twitter.com/cotillo1/status/723622376735387648" xr:uid="{D17E2FD1-C8AE-4813-9D84-7D68D8E41CC0}"/>
    <hyperlink ref="O5093" r:id="rId15728" display="https://pbs.twimg.com/profile_images/471156603769466880/81WpPgNR_normal.jpeg" xr:uid="{84F9F18A-8FD5-476A-B429-854244250F84}"/>
    <hyperlink ref="B5094" r:id="rId15729" display="https://twitter.com/Ferrari_Jadore" xr:uid="{FEEF82E2-3F6C-4DD3-AE57-806A004EC3A4}"/>
    <hyperlink ref="E5094" r:id="rId15730" display="https://twitter.com/Ferrari_Jadore/status/723622398902329344" xr:uid="{C39B8EB4-CF7A-479B-9535-5A25F92C6141}"/>
    <hyperlink ref="O5094" r:id="rId15731" display="https://pbs.twimg.com/profile_images/719469365452808192/1OFS9oRH_normal.jpg" xr:uid="{16171AE0-A4D0-47C8-ACF8-08665F082243}"/>
    <hyperlink ref="B5095" r:id="rId15732" display="https://twitter.com/Ferrari_Jadore" xr:uid="{E9BAF472-7E65-463C-8093-8192B73E1FD5}"/>
    <hyperlink ref="E5095" r:id="rId15733" display="https://twitter.com/Ferrari_Jadore/status/723622408083640320" xr:uid="{D7DECF4E-419E-4433-9D04-B7E4E3E79DE2}"/>
    <hyperlink ref="O5095" r:id="rId15734" display="https://pbs.twimg.com/profile_images/719469365452808192/1OFS9oRH_normal.jpg" xr:uid="{948DE6E2-26F2-42E9-8154-FB6D00567DB7}"/>
    <hyperlink ref="B5096" r:id="rId15735" display="https://twitter.com/CAVolgan" xr:uid="{008818F3-1531-403B-953A-AE94308B63D1}"/>
    <hyperlink ref="E5096" r:id="rId15736" display="https://twitter.com/CAVolgan/status/723622466124419072" xr:uid="{D872F830-3540-417B-A11A-89E09D86E1C1}"/>
    <hyperlink ref="O5096" r:id="rId15737" display="https://pbs.twimg.com/profile_images/656489000627228672/C6CwhzL6_normal.jpg" xr:uid="{BFAA521D-6C4D-4DFF-A423-D162E8D2F27F}"/>
    <hyperlink ref="B5097" r:id="rId15738" display="https://twitter.com/aatheus" xr:uid="{991013AC-E2DA-4D86-92A6-869648D76247}"/>
    <hyperlink ref="E5097" r:id="rId15739" display="https://twitter.com/aatheus/status/723622791799427073" xr:uid="{176B7320-17B3-4D12-ABA1-BBBA9FF2DDE9}"/>
    <hyperlink ref="O5097" r:id="rId15740" display="https://pbs.twimg.com/profile_images/83066316/1249401_normal.jpeg" xr:uid="{34822799-5B38-4607-9B68-A00E0177F457}"/>
    <hyperlink ref="B5098" r:id="rId15741" display="https://twitter.com/RMLandscapes" xr:uid="{E1876C6A-A02F-4DBE-B39D-5C79546C82E6}"/>
    <hyperlink ref="E5098" r:id="rId15742" display="https://twitter.com/RMLandscapes/status/723622795658309632" xr:uid="{5A844328-2081-4545-BDA3-0531266CA61F}"/>
    <hyperlink ref="O5098" r:id="rId15743" display="https://pbs.twimg.com/profile_images/652938947216191488/cqnXokBS_normal.jpg" xr:uid="{EC7686C3-DE0D-40AD-9132-573CDD537970}"/>
    <hyperlink ref="B5099" r:id="rId15744" display="https://twitter.com/_A_A_C_" xr:uid="{B3D9B61F-C458-416C-9E9F-515BA9A84525}"/>
    <hyperlink ref="E5099" r:id="rId15745" display="https://twitter.com/_A_A_C_/status/723622824645001216" xr:uid="{0719D092-6A96-495D-8BEB-0E888ADA03CF}"/>
    <hyperlink ref="O5099" r:id="rId15746" display="https://pbs.twimg.com/profile_images/1172177646/AAC-web-logo-square_normal.jpg" xr:uid="{667EFF7D-CADE-4C23-90E4-C40D550B321D}"/>
    <hyperlink ref="B5100" r:id="rId15747" display="https://twitter.com/__venceremos__" xr:uid="{FD245BFF-B8DA-4E02-9058-05423420B626}"/>
    <hyperlink ref="E5100" r:id="rId15748" display="https://twitter.com/__venceremos__/status/723622944900034560" xr:uid="{E91D76CA-D55A-4466-9164-3B90A136B482}"/>
    <hyperlink ref="O5100" r:id="rId15749" display="https://pbs.twimg.com/profile_images/721120614623404033/oQSFtb9o_normal.jpg" xr:uid="{8F2F6F4D-5370-452B-B311-DB336233AD60}"/>
    <hyperlink ref="P5100" r:id="rId15750" location="39.7767,30.5206" display="http://ctrlq.org/maps/address/ - 39.7767,30.5206" xr:uid="{4BCFFC58-70D6-4ED5-B1C7-CEA8CE6CDCAA}"/>
    <hyperlink ref="B5101" r:id="rId15751" display="https://twitter.com/VeeDubMk1_" xr:uid="{1CCE5F0A-A736-4887-A1C3-5F3FFB9AD4B0}"/>
    <hyperlink ref="E5101" r:id="rId15752" display="https://twitter.com/VeeDubMk1_/status/723623096289251329" xr:uid="{949C734F-76BD-4760-8851-2DB0FDD1AE9A}"/>
    <hyperlink ref="O5101" r:id="rId15753" display="https://pbs.twimg.com/profile_images/672878354127839232/M7OYc-zx_normal.jpg" xr:uid="{8C7190BA-7CDE-42C3-A103-72911808E195}"/>
    <hyperlink ref="B5102" r:id="rId15754" display="https://twitter.com/VeeDubMk1_" xr:uid="{A9920208-632C-4513-BEE5-5182E66C400E}"/>
    <hyperlink ref="E5102" r:id="rId15755" display="https://twitter.com/VeeDubMk1_/status/723623111325831168" xr:uid="{3507FC10-545F-4F24-A018-CFCA22A08E24}"/>
    <hyperlink ref="O5102" r:id="rId15756" display="https://pbs.twimg.com/profile_images/672878354127839232/M7OYc-zx_normal.jpg" xr:uid="{251D1DE7-BDF0-4ABD-8A0E-EF598A84795D}"/>
    <hyperlink ref="B5103" r:id="rId15757" display="https://twitter.com/TeutonicReign" xr:uid="{49ED260E-5A8F-4EDD-B925-2478BD6DD7C2}"/>
    <hyperlink ref="E5103" r:id="rId15758" display="https://twitter.com/TeutonicReign/status/723623125661945857" xr:uid="{4541E1B6-727E-4694-88ED-CE7F1C948692}"/>
    <hyperlink ref="O5103" r:id="rId15759" display="https://pbs.twimg.com/profile_images/717491915541884928/AWPLnitB_normal.jpg" xr:uid="{D1A32286-9A28-4954-915F-EF0C0652E4B6}"/>
    <hyperlink ref="B5104" r:id="rId15760" display="https://twitter.com/wingston" xr:uid="{31B573C1-711D-4429-B124-E179B8CCBB54}"/>
    <hyperlink ref="E5104" r:id="rId15761" display="https://twitter.com/wingston/status/723623437420261376" xr:uid="{94C96C3B-7AAE-4787-9459-A64D07461455}"/>
    <hyperlink ref="O5104" r:id="rId15762" display="https://pbs.twimg.com/profile_images/3537672406/190f79c88052bd5078e91796fd0fffe1_normal.jpeg" xr:uid="{5E260100-B6D0-48A0-8591-770214EA5BF9}"/>
    <hyperlink ref="B5105" r:id="rId15763" display="https://twitter.com/VCT_Tweets" xr:uid="{D6F80E4E-C3B1-40A1-B98B-4CDA3031434B}"/>
    <hyperlink ref="E5105" r:id="rId15764" display="https://twitter.com/VCT_Tweets/status/723623537412575232" xr:uid="{908B4890-FED8-4BA1-A0C8-10BF03AEDCA7}"/>
    <hyperlink ref="O5105" r:id="rId15765" display="https://pbs.twimg.com/profile_images/569800899141177344/nVFLMSdb_normal.png" xr:uid="{87305079-31A7-4619-9B05-146DF9BBB4F7}"/>
    <hyperlink ref="B5106" r:id="rId15766" display="https://twitter.com/juergenarne" xr:uid="{4821AA79-FE7F-4928-9596-7FC216DE763F}"/>
    <hyperlink ref="E5106" r:id="rId15767" display="https://twitter.com/juergenarne/status/723623796670894084" xr:uid="{2C640F24-3679-4DFC-A199-B3D99646542A}"/>
    <hyperlink ref="O5106" r:id="rId15768" display="https://pbs.twimg.com/profile_images/720366446954590209/9NWYyVfw_normal.jpg" xr:uid="{87DEA168-93C3-42CC-B508-B0513EA0DD65}"/>
    <hyperlink ref="B5107" r:id="rId15769" display="https://twitter.com/VWCamperSales" xr:uid="{EA1A70A7-7D22-44EE-A401-9B3FBEAC9A32}"/>
    <hyperlink ref="E5107" r:id="rId15770" display="https://twitter.com/VWCamperSales/status/723623899561250816" xr:uid="{FF097E46-9807-4DF3-8449-72C7C870CE6E}"/>
    <hyperlink ref="F5107" r:id="rId15771" xr:uid="{1D4F356A-D369-4B04-9E50-B1EF77746109}"/>
    <hyperlink ref="O5107" r:id="rId15772" display="https://pbs.twimg.com/profile_images/627949001179037696/skEBkS05_normal.jpg" xr:uid="{7FC5938D-7205-4E54-B265-E2954DB042BE}"/>
    <hyperlink ref="B5108" r:id="rId15773" display="https://twitter.com/ColdFireLane" xr:uid="{D5AD2D54-0898-41C8-8B3F-A3D163E8D1CE}"/>
    <hyperlink ref="E5108" r:id="rId15774" display="https://twitter.com/ColdFireLane/status/723623917924036608" xr:uid="{B36FEBB3-F354-431E-B865-03F4B813C368}"/>
    <hyperlink ref="O5108" r:id="rId15775" display="https://pbs.twimg.com/profile_images/714930427740467201/CILH2iAE_normal.jpg" xr:uid="{0B2F95A0-BC0F-4921-A5B9-7E169E13474F}"/>
    <hyperlink ref="B5109" r:id="rId15776" display="https://twitter.com/NimzoIndisch" xr:uid="{7664C5A5-8AB9-4A02-8EFC-0181B2436641}"/>
    <hyperlink ref="E5109" r:id="rId15777" display="https://twitter.com/NimzoIndisch/status/723623980637261824" xr:uid="{3A9C839E-8BFD-4DC5-A2F9-6170F2817F57}"/>
    <hyperlink ref="O5109" r:id="rId15778" display="https://pbs.twimg.com/profile_images/657278021334867969/cLXaPsw-_normal.jpg" xr:uid="{042639F0-C06D-4BF4-B74E-85F237F0BE2A}"/>
    <hyperlink ref="B5110" r:id="rId15779" display="https://twitter.com/PaluelduPlessix" xr:uid="{4CC73A2B-ADC7-4203-983C-6082D823CBFD}"/>
    <hyperlink ref="E5110" r:id="rId15780" display="https://twitter.com/PaluelduPlessix/status/723624324683436032" xr:uid="{269DD3EE-FFEF-4BEB-8174-AF98BEF4A9F6}"/>
    <hyperlink ref="O5110" r:id="rId15781" display="https://pbs.twimg.com/profile_images/703202278979690497/5r_qCw-8_normal.jpg" xr:uid="{FA60504F-9BA7-4C6F-B6F2-BCC980992480}"/>
    <hyperlink ref="B5111" r:id="rId15782" display="https://twitter.com/ratemycamper" xr:uid="{E845A50A-89E5-48BF-8801-2DD0AFA2B58F}"/>
    <hyperlink ref="E5111" r:id="rId15783" display="https://twitter.com/ratemycamper/status/723624613238988800" xr:uid="{1859A442-4DF2-4D49-A850-5CCC897FD436}"/>
    <hyperlink ref="O5111" r:id="rId15784" display="https://pbs.twimg.com/profile_images/710929065939755009/-Rgs_z20_normal.jpg" xr:uid="{5D0AA95B-0794-449B-AC24-89C991C4EB1F}"/>
    <hyperlink ref="B5112" r:id="rId15785" display="https://twitter.com/RCVolkswagen" xr:uid="{0F3AF753-2E8B-4AC1-97C9-9F97A6288AE2}"/>
    <hyperlink ref="E5112" r:id="rId15786" display="https://twitter.com/RCVolkswagen/status/723625453320343552" xr:uid="{FE6E3591-438C-4FF5-8FEE-DADDB4CA9A8E}"/>
    <hyperlink ref="O5112" r:id="rId15787" display="https://pbs.twimg.com/profile_images/464510596256264192/jlJphn9d_normal.jpeg" xr:uid="{40E78D18-2006-4EF5-B11B-BA59EB20A3A3}"/>
    <hyperlink ref="B5113" r:id="rId15788" display="https://twitter.com/autoshowsonline" xr:uid="{63B737C6-4954-4ACD-9B7D-176E7EA31900}"/>
    <hyperlink ref="E5113" r:id="rId15789" display="https://twitter.com/autoshowsonline/status/723625476300877830" xr:uid="{6984D98C-4EDA-4E37-B946-12DD610B9435}"/>
    <hyperlink ref="O5113" r:id="rId15790" display="https://pbs.twimg.com/profile_images/2909062887/7c498d1abb7c96d9435f9b8a7630f3f1_normal.jpeg" xr:uid="{7A6A770A-9019-48E1-BAC3-F3A5B3B808B6}"/>
    <hyperlink ref="B5114" r:id="rId15791" display="https://twitter.com/HOWJORD" xr:uid="{A3874A0A-4247-4365-8714-B399740F3BD5}"/>
    <hyperlink ref="E5114" r:id="rId15792" display="https://twitter.com/HOWJORD/status/723627070853656576" xr:uid="{2955042C-A8ED-43B7-AC2E-DB44D66944C5}"/>
    <hyperlink ref="O5114" r:id="rId15793" display="https://pbs.twimg.com/profile_images/714551994892099585/WQdxJrAC_normal.jpg" xr:uid="{9E89DC5E-DC1F-446E-81A0-6BDF5997BE46}"/>
    <hyperlink ref="B5115" r:id="rId15794" display="https://twitter.com/JetTech33" xr:uid="{0B31F12F-249A-4D46-B38C-6B3088AAE669}"/>
    <hyperlink ref="E5115" r:id="rId15795" display="https://twitter.com/JetTech33/status/723627516116652032" xr:uid="{9F964E03-8AF9-49D6-8CD2-1F9328E8662B}"/>
    <hyperlink ref="O5115" r:id="rId15796" display="https://pbs.twimg.com/profile_images/573736676209590272/8KCGysTQ_normal.jpeg" xr:uid="{CD8A1979-3F59-4CBB-AE15-5C146FFB53C8}"/>
    <hyperlink ref="B5116" r:id="rId15797" display="https://twitter.com/stroisila" xr:uid="{FCFBA425-DEA4-4C86-903C-ED29B8802F34}"/>
    <hyperlink ref="E5116" r:id="rId15798" display="https://twitter.com/stroisila/status/723628002744119298" xr:uid="{EDDC7A0D-E8C0-4A75-A11F-9B06C1094EA6}"/>
    <hyperlink ref="O5116" r:id="rId15799" display="https://pbs.twimg.com/profile_images/437173690732515328/lOLCG4Wb_normal.jpeg" xr:uid="{23C0745C-D951-419F-918E-7EE8A11308E5}"/>
    <hyperlink ref="B5117" r:id="rId15800" display="https://twitter.com/ingridHH" xr:uid="{0E511C8B-A513-4FA6-9162-47CBE99B01B5}"/>
    <hyperlink ref="E5117" r:id="rId15801" display="https://twitter.com/ingridHH/status/723628115310854144" xr:uid="{EA7DA322-7977-46CE-812E-B2581A5270C6}"/>
    <hyperlink ref="O5117" r:id="rId15802" display="https://pbs.twimg.com/profile_images/714561320918597634/pCq6pGGN_normal.jpg" xr:uid="{091E6F99-BF2E-4679-8C2D-0754A2AF8CF4}"/>
    <hyperlink ref="B5118" r:id="rId15803" display="https://twitter.com/OnlineCarReview" xr:uid="{D784593C-B930-4F1A-AD08-2A53BB2AE2AF}"/>
    <hyperlink ref="E5118" r:id="rId15804" display="https://twitter.com/OnlineCarReview/status/723628231992053760" xr:uid="{60FEA4B5-82A0-4FB5-A390-DE8079A3EDA9}"/>
    <hyperlink ref="O5118" r:id="rId15805" display="https://pbs.twimg.com/profile_images/652871584131092480/QA_B6SBO_normal.jpg" xr:uid="{740697A1-99A6-44B9-B545-8451F29B2250}"/>
    <hyperlink ref="B5119" r:id="rId15806" display="https://twitter.com/OnlineCarReview" xr:uid="{21665FEF-AAA3-4D11-9985-F217457CB0EF}"/>
    <hyperlink ref="E5119" r:id="rId15807" display="https://twitter.com/OnlineCarReview/status/723628233023873024" xr:uid="{EA4ADB36-B910-43F8-92B1-F3E62F4BC2C8}"/>
    <hyperlink ref="O5119" r:id="rId15808" display="https://pbs.twimg.com/profile_images/652871584131092480/QA_B6SBO_normal.jpg" xr:uid="{99048FC4-7E12-4612-82CD-6A80FF1B44BB}"/>
    <hyperlink ref="B5120" r:id="rId15809" display="https://twitter.com/OnlineCarReview" xr:uid="{DD3BBF08-EF38-4B3E-AA4A-441E74418B9C}"/>
    <hyperlink ref="E5120" r:id="rId15810" display="https://twitter.com/OnlineCarReview/status/723628233875329025" xr:uid="{5AC642E0-0911-4A78-A3C3-2A74835B1C81}"/>
    <hyperlink ref="O5120" r:id="rId15811" display="https://pbs.twimg.com/profile_images/652871584131092480/QA_B6SBO_normal.jpg" xr:uid="{1262CF34-9480-4FE0-AB42-CE868C18D76C}"/>
    <hyperlink ref="B5121" r:id="rId15812" display="https://twitter.com/sonysasongko" xr:uid="{C5BADD0A-5BAB-4B5E-9080-140DD4F1C7D7}"/>
    <hyperlink ref="E5121" r:id="rId15813" display="https://twitter.com/sonysasongko/status/723628581260128256" xr:uid="{34354638-C5DC-447C-BD71-2C3DB21A489E}"/>
    <hyperlink ref="O5121" r:id="rId15814" display="https://pbs.twimg.com/profile_images/713267632351219715/uYZyD2GT_normal.jpg" xr:uid="{43A8FB2D-C5E5-43C5-B7A3-1FB51A921041}"/>
    <hyperlink ref="B5122" r:id="rId15815" display="https://twitter.com/VidalJimena1" xr:uid="{9107F4FF-556D-42B5-B6AA-76C5F09C7705}"/>
    <hyperlink ref="E5122" r:id="rId15816" display="https://twitter.com/VidalJimena1/status/723629006931800065" xr:uid="{465BBA20-B003-4F25-BD18-B7AADC01E9FB}"/>
    <hyperlink ref="O5122" r:id="rId15817" display="https://pbs.twimg.com/profile_images/718998805060927488/ds5qOEpX_normal.jpg" xr:uid="{ADDAFB7F-8F37-434D-9DDC-BD7633E75DC9}"/>
    <hyperlink ref="B5123" r:id="rId15818" display="https://twitter.com/GaryNuttallFans" xr:uid="{A13AE867-F372-45B5-BC1E-5DE8D7E865D0}"/>
    <hyperlink ref="E5123" r:id="rId15819" display="https://twitter.com/GaryNuttallFans/status/723629657258627072" xr:uid="{B10609B5-22DC-44A1-A734-EFBF7E1F8F04}"/>
    <hyperlink ref="O5123" r:id="rId15820" display="https://pbs.twimg.com/profile_images/628630384725655552/h1RRYXlx_normal.jpg" xr:uid="{109D352F-1C3A-4F2E-8DAB-12FEF2043621}"/>
    <hyperlink ref="B5124" r:id="rId15821" display="https://twitter.com/PatteFohlen" xr:uid="{CE10A1B6-5C40-410B-9778-A6D73E6734C4}"/>
    <hyperlink ref="E5124" r:id="rId15822" display="https://twitter.com/PatteFohlen/status/723629902394695682" xr:uid="{ADD0464E-1613-4EE6-8A5F-ACE6D05BDCF9}"/>
    <hyperlink ref="O5124" r:id="rId15823" display="https://pbs.twimg.com/profile_images/639842759977869312/s5MnDIfQ_normal.jpg" xr:uid="{1063AFFF-311A-4D99-9E1F-C17E1FE135B0}"/>
    <hyperlink ref="B5125" r:id="rId15824" display="https://twitter.com/Ivaneze3" xr:uid="{83AF0495-A1BB-43DC-93DC-4A9FA6FEBB26}"/>
    <hyperlink ref="E5125" r:id="rId15825" display="https://twitter.com/Ivaneze3/status/723630104165920768" xr:uid="{DB01C790-731A-4EF3-83B3-FC1540A3FF6A}"/>
    <hyperlink ref="O5125" r:id="rId15826" display="https://pbs.twimg.com/profile_images/720720581579182080/ALjkvUSH_normal.jpg" xr:uid="{CAF7433B-BB7E-45E7-903D-7F0D52B8C2AE}"/>
    <hyperlink ref="B5126" r:id="rId15827" display="https://twitter.com/VidalJimena1" xr:uid="{70A925DC-B80D-4B52-96D9-B16EFF93ABFA}"/>
    <hyperlink ref="E5126" r:id="rId15828" display="https://twitter.com/VidalJimena1/status/723630573168762880" xr:uid="{AE231CE1-0C8B-4C7D-AFBF-45542300342B}"/>
    <hyperlink ref="O5126" r:id="rId15829" display="https://pbs.twimg.com/profile_images/718998805060927488/ds5qOEpX_normal.jpg" xr:uid="{B131E976-AF9A-44EF-9A71-C27248877E58}"/>
    <hyperlink ref="B5127" r:id="rId15830" display="https://twitter.com/Stadtpirat" xr:uid="{CC11D890-84C5-4932-A22A-0663B3E45EC8}"/>
    <hyperlink ref="E5127" r:id="rId15831" display="https://twitter.com/Stadtpirat/status/723631387329306624" xr:uid="{E533FDF3-8AD8-4B02-AE17-6217BE7A89F5}"/>
    <hyperlink ref="O5127" r:id="rId15832" display="https://pbs.twimg.com/profile_images/883241100/_LQ_normal.png" xr:uid="{4D60CFC7-6C25-46B6-BBDC-4927F691D6DD}"/>
    <hyperlink ref="B5128" r:id="rId15833" display="https://twitter.com/garravw" xr:uid="{22456129-EB04-4F17-9A00-A123A37DCFA8}"/>
    <hyperlink ref="E5128" r:id="rId15834" display="https://twitter.com/garravw/status/723632473876381697" xr:uid="{16E1EC5D-2E01-487E-93EC-9E95CE454B24}"/>
    <hyperlink ref="O5128" r:id="rId15835" display="https://pbs.twimg.com/profile_images/378800000229998736/497818104fc0403f4157adfa87815d55_normal.png" xr:uid="{5357F175-656A-4B5C-9D9C-5B4E5B39DA8A}"/>
    <hyperlink ref="B5129" r:id="rId15836" display="https://twitter.com/NoahsitoW" xr:uid="{E6A14399-52C9-4286-96ED-F5E6200B95FB}"/>
    <hyperlink ref="E5129" r:id="rId15837" display="https://twitter.com/NoahsitoW/status/723632475134681088" xr:uid="{34F4B95E-6B2B-4E62-9B35-EC3157240C26}"/>
    <hyperlink ref="O5129" r:id="rId15838" display="https://pbs.twimg.com/profile_images/682334083272200192/3gtqdE-m_normal.jpg" xr:uid="{54A64A0A-3932-4956-9D14-21286A525BCD}"/>
    <hyperlink ref="B5130" r:id="rId15839" display="https://twitter.com/hdBerretz" xr:uid="{0473F716-C993-4F22-8993-51B0DABE1E53}"/>
    <hyperlink ref="E5130" r:id="rId15840" display="https://twitter.com/hdBerretz/status/723632795424313347" xr:uid="{8D50E94F-7D3B-4A2D-9A54-255B89B455EE}"/>
    <hyperlink ref="O5130" r:id="rId15841" display="https://pbs.twimg.com/profile_images/548874200102879234/jOo5AkMZ_normal.png" xr:uid="{ABD0BABD-C63C-4895-8A42-616835DFB407}"/>
    <hyperlink ref="B5131" r:id="rId15842" display="https://twitter.com/beetlebug1938" xr:uid="{4754F95B-BAE5-4175-85DD-54312DBACE60}"/>
    <hyperlink ref="E5131" r:id="rId15843" display="https://twitter.com/beetlebug1938/status/723633036164739076" xr:uid="{56F3CBCE-1656-42A9-A3DC-2ACC219A238A}"/>
    <hyperlink ref="O5131" r:id="rId15844" display="https://pbs.twimg.com/profile_images/718820712757215233/LXXndPTS_normal.jpg" xr:uid="{3146DE51-AF71-4DF7-B28F-118BF41CA885}"/>
    <hyperlink ref="B5132" r:id="rId15845" display="https://twitter.com/beetlebug1938" xr:uid="{563CBA88-C4B7-4A18-90F6-27D3F760B367}"/>
    <hyperlink ref="E5132" r:id="rId15846" display="https://twitter.com/beetlebug1938/status/723633047590019072" xr:uid="{4A6196F1-FCDE-41D0-A68A-274259E0BB00}"/>
    <hyperlink ref="O5132" r:id="rId15847" display="https://pbs.twimg.com/profile_images/718820712757215233/LXXndPTS_normal.jpg" xr:uid="{64478865-FB5F-44F8-9053-568C79CFB34F}"/>
    <hyperlink ref="B5133" r:id="rId15848" display="https://twitter.com/beetlebug1938" xr:uid="{7D14A01B-C6BC-4691-9CF5-6B124117FFF1}"/>
    <hyperlink ref="E5133" r:id="rId15849" display="https://twitter.com/beetlebug1938/status/723633114942181376" xr:uid="{6CFB83C2-9683-45FE-B71F-C95C1AAF5297}"/>
    <hyperlink ref="O5133" r:id="rId15850" display="https://pbs.twimg.com/profile_images/718820712757215233/LXXndPTS_normal.jpg" xr:uid="{05963F02-3BA7-4A9C-BAA5-F4FE5F24283E}"/>
    <hyperlink ref="B5134" r:id="rId15851" display="https://twitter.com/wehrs18" xr:uid="{DB514A21-78AE-47D4-AD39-D2E636F9011C}"/>
    <hyperlink ref="E5134" r:id="rId15852" display="https://twitter.com/wehrs18/status/723633449815412737" xr:uid="{D3148536-9EC4-424D-ADAB-B15E4E916CF1}"/>
    <hyperlink ref="O5134" r:id="rId15853" display="https://pbs.twimg.com/profile_images/687314255507513346/a83L5Opq_normal.jpg" xr:uid="{F5C6A6AA-90F2-471A-9368-72E8EA09806D}"/>
    <hyperlink ref="B5135" r:id="rId15854" display="https://twitter.com/Ferrari_Jadore" xr:uid="{7A2847EF-8F63-444F-8B5A-A589C095B4ED}"/>
    <hyperlink ref="E5135" r:id="rId15855" display="https://twitter.com/Ferrari_Jadore/status/723633930197409793" xr:uid="{42021A1C-628E-4C27-8AC3-869E797552AC}"/>
    <hyperlink ref="O5135" r:id="rId15856" display="https://pbs.twimg.com/profile_images/719469365452808192/1OFS9oRH_normal.jpg" xr:uid="{60DA1539-C51C-4401-A5AC-093B6D1A91EA}"/>
    <hyperlink ref="B5136" r:id="rId15857" display="https://twitter.com/VWBeetleSales" xr:uid="{970259E5-F738-4A42-A4A5-51E964ABFE45}"/>
    <hyperlink ref="E5136" r:id="rId15858" display="https://twitter.com/VWBeetleSales/status/723634004310683652" xr:uid="{CA4F4545-B3B4-4EDF-95F4-5569A46597C7}"/>
    <hyperlink ref="F5136" r:id="rId15859" xr:uid="{35915449-1855-4C6A-935C-ABE35E6ED80F}"/>
    <hyperlink ref="O5136" r:id="rId15860" display="https://pbs.twimg.com/profile_images/703294545195307008/qeCvrX86_normal.jpg" xr:uid="{07D281A2-01FA-4C55-8444-6695295B2603}"/>
    <hyperlink ref="B5137" r:id="rId15861" display="https://twitter.com/VWBeetleSales" xr:uid="{4F7725B5-25B1-4C8B-8A97-51DF1B4FD36E}"/>
    <hyperlink ref="E5137" r:id="rId15862" display="https://twitter.com/VWBeetleSales/status/723634007821283330" xr:uid="{1DF77FD9-D147-4B4C-99E4-66356D096DCE}"/>
    <hyperlink ref="F5137" r:id="rId15863" xr:uid="{3D505B86-48F2-494D-88E7-FB3AA8E60AE4}"/>
    <hyperlink ref="O5137" r:id="rId15864" display="https://pbs.twimg.com/profile_images/703294545195307008/qeCvrX86_normal.jpg" xr:uid="{5C44DC29-E536-4A24-A403-43A237B7F91F}"/>
    <hyperlink ref="B5138" r:id="rId15865" display="https://twitter.com/Madenza_" xr:uid="{D1021EA3-3F93-42AC-95D8-FD81324288CD}"/>
    <hyperlink ref="E5138" r:id="rId15866" display="https://twitter.com/Madenza_/status/723634134640410625" xr:uid="{DBF2D1CA-6D63-4AC0-8B62-EA08897E7D24}"/>
    <hyperlink ref="O5138" r:id="rId15867" display="https://pbs.twimg.com/profile_images/652792655156543488/KijatVs6_normal.jpg" xr:uid="{0AFCC18A-E63E-49FD-AA75-2A272268B92E}"/>
    <hyperlink ref="B5139" r:id="rId15868" display="https://twitter.com/gwisemixcds" xr:uid="{94369E35-6654-466F-8BCE-E8CF71A61836}"/>
    <hyperlink ref="E5139" r:id="rId15869" display="https://twitter.com/gwisemixcds/status/723634576447381504" xr:uid="{50FDFBED-E5BD-4127-8F35-D594345706DC}"/>
    <hyperlink ref="O5139" r:id="rId15870" display="https://pbs.twimg.com/profile_images/707820647238529024/26ThEFYL_normal.jpg" xr:uid="{19AE844A-B7A9-407A-B9BD-3AC38BD5F64E}"/>
    <hyperlink ref="B5140" r:id="rId15871" display="https://twitter.com/ElNNegroo" xr:uid="{42385429-48CB-4D11-9278-AC405DEED57A}"/>
    <hyperlink ref="E5140" r:id="rId15872" display="https://twitter.com/ElNNegroo/status/723635027075018752" xr:uid="{5B47C410-A0A7-4BED-9BB3-5FEDC2CFEED6}"/>
    <hyperlink ref="O5140" r:id="rId15873" display="https://pbs.twimg.com/profile_images/609932605056786432/wJUOqKgs_normal.jpg" xr:uid="{117E7E79-7AFA-4C44-8393-A08252AF844F}"/>
    <hyperlink ref="B5141" r:id="rId15874" display="https://twitter.com/KitManWong8" xr:uid="{49363156-4F7E-4D58-8BF2-3185F66F2920}"/>
    <hyperlink ref="E5141" r:id="rId15875" display="https://twitter.com/KitManWong8/status/723635095421214720" xr:uid="{60F1715D-D5A6-4B69-9FA5-AA726A62F2B6}"/>
    <hyperlink ref="O5141" r:id="rId15876" display="https://pbs.twimg.com/profile_images/675772571493732352/GRqxxc_d_normal.jpg" xr:uid="{D7661D0A-FAE9-4438-938F-6EEB737A4F7D}"/>
    <hyperlink ref="B5142" r:id="rId15877" display="https://twitter.com/PicadasArg" xr:uid="{32A59C7B-58B5-4C58-AF5B-3115354ABD65}"/>
    <hyperlink ref="E5142" r:id="rId15878" display="https://twitter.com/PicadasArg/status/723635177524703234" xr:uid="{5C124651-42A9-40A3-8920-381BF44DED1D}"/>
    <hyperlink ref="O5142" r:id="rId15879" display="https://pbs.twimg.com/profile_images/713573399386259456/JwmrbkVy_normal.jpg" xr:uid="{A165C969-7684-4FE6-8D41-62119F527A03}"/>
    <hyperlink ref="B5143" r:id="rId15880" display="https://twitter.com/J_A_Goodwin" xr:uid="{317FE194-AD4E-4D4D-8EA4-6BEA1857F413}"/>
    <hyperlink ref="E5143" r:id="rId15881" display="https://twitter.com/J_A_Goodwin/status/723635613493161985" xr:uid="{D8E7FA74-B119-455B-953B-983BF51FE791}"/>
    <hyperlink ref="O5143" r:id="rId15882" display="https://pbs.twimg.com/profile_images/378800000462396717/40b6ca623644e3ce6addf15947b0c27b_normal.jpeg" xr:uid="{D6AAB8B9-266D-400C-A990-942FA1C5CFDF}"/>
    <hyperlink ref="B5144" r:id="rId15883" display="https://twitter.com/LuliiDonatucci" xr:uid="{14A12B79-2AF0-4B04-9B31-82945B5A8AA4}"/>
    <hyperlink ref="E5144" r:id="rId15884" display="https://twitter.com/LuliiDonatucci/status/723635630375337984" xr:uid="{4534490F-D133-47A2-9B92-50601AF00505}"/>
    <hyperlink ref="O5144" r:id="rId15885" display="https://pbs.twimg.com/profile_images/714907870920318978/chBqOm_7_normal.jpg" xr:uid="{7A6B43E2-6954-4244-BC8E-320017DEFFDC}"/>
    <hyperlink ref="B5145" r:id="rId15886" display="https://twitter.com/Duambyth" xr:uid="{63005794-D48D-45D1-9236-378F19DBFA70}"/>
    <hyperlink ref="E5145" r:id="rId15887" display="https://twitter.com/Duambyth/status/723635883103141888" xr:uid="{1839C019-57FC-4B7E-82F9-5ED6156B8952}"/>
    <hyperlink ref="O5145" r:id="rId15888" display="https://pbs.twimg.com/profile_images/714558560936529920/fOUFpJYx_normal.jpg" xr:uid="{2AA3DC77-CC9A-4CFB-A7A6-373DC9410A10}"/>
    <hyperlink ref="B5146" r:id="rId15889" display="https://twitter.com/harwich2gether" xr:uid="{E8CE1CC2-5076-49D2-B7FE-D6B16239E797}"/>
    <hyperlink ref="E5146" r:id="rId15890" display="https://twitter.com/harwich2gether/status/723635893567893504" xr:uid="{A0B8699D-324F-4B62-9163-EE5E06E1BE82}"/>
    <hyperlink ref="O5146" r:id="rId15891" display="https://pbs.twimg.com/profile_images/652167146110341120/ntq8HXiU_normal.jpg" xr:uid="{DF367979-07E7-4617-BC48-7EA22081970C}"/>
    <hyperlink ref="B5147" r:id="rId15892" display="https://twitter.com/SutherlandPhD" xr:uid="{5F938A46-D957-4E70-858C-5588814ADB09}"/>
    <hyperlink ref="E5147" r:id="rId15893" display="https://twitter.com/SutherlandPhD/status/723636101219516416" xr:uid="{9784FE4F-3F73-4925-ACC5-1224865A8556}"/>
    <hyperlink ref="O5147" r:id="rId15894" display="https://pbs.twimg.com/profile_images/717798412196810752/5_KUUavR_normal.jpg" xr:uid="{E3F1FD67-72B0-4463-BEF9-1A5B8D078AB0}"/>
    <hyperlink ref="P5147" r:id="rId15895" location="33.75488073,-118.13951595" display="http://ctrlq.org/maps/address/ - 33.75488073,-118.13951595" xr:uid="{1257DC0E-DA67-4C9F-BA6F-834D4A6FFEB1}"/>
    <hyperlink ref="B5148" r:id="rId15896" display="https://twitter.com/BigBlizz" xr:uid="{C09AA2A0-AC09-4364-BDEC-B56511F7E795}"/>
    <hyperlink ref="E5148" r:id="rId15897" display="https://twitter.com/BigBlizz/status/723636151421145088" xr:uid="{A597B017-1779-48EF-9B39-C3C5BBE5B495}"/>
    <hyperlink ref="O5148" r:id="rId15898" display="https://pbs.twimg.com/profile_images/668693186898972672/N82WtbM8_normal.jpg" xr:uid="{AB78EEC7-5668-419B-8690-A8CCD9664B4D}"/>
    <hyperlink ref="B5149" r:id="rId15899" display="https://twitter.com/PumpTheMovie" xr:uid="{12B8714C-9C77-4D7F-9C73-570318232C1F}"/>
    <hyperlink ref="E5149" r:id="rId15900" display="https://twitter.com/PumpTheMovie/status/723636289195536384" xr:uid="{3EC60D65-A92C-4C39-9BD3-E3A37FEA94DC}"/>
    <hyperlink ref="O5149" r:id="rId15901" display="https://pbs.twimg.com/profile_images/508998286783438848/ZRUQeEUc_normal.jpeg" xr:uid="{E74B158A-30A7-4FAE-A9C6-6E8567AC55FA}"/>
    <hyperlink ref="B5150" r:id="rId15902" display="https://twitter.com/GreggCesaroni" xr:uid="{EC3EA201-F55D-4DBB-BACF-69DABD90A96F}"/>
    <hyperlink ref="E5150" r:id="rId15903" display="https://twitter.com/GreggCesaroni/status/723636417960747010" xr:uid="{A138C9E0-B7EB-499A-87E9-B3F62E06801F}"/>
    <hyperlink ref="O5150" r:id="rId15904" display="https://pbs.twimg.com/profile_images/719254757362282496/dN3ldQhB_normal.jpg" xr:uid="{B5A55337-53EB-4857-827C-5AFF3CE99A4B}"/>
    <hyperlink ref="B5151" r:id="rId15905" display="https://twitter.com/Owners4Owners" xr:uid="{FBEB219F-A9B1-486F-8D61-09F45403EBA2}"/>
    <hyperlink ref="E5151" r:id="rId15906" display="https://twitter.com/Owners4Owners/status/723636543546478592" xr:uid="{3D19A313-3622-49FA-A10B-0FC610B0E128}"/>
    <hyperlink ref="O5151" r:id="rId15907" display="https://pbs.twimg.com/profile_images/622516471973871616/ftCl_NIh_normal.jpg" xr:uid="{C3B211E6-97D7-4E54-922E-8A5179814CE9}"/>
    <hyperlink ref="B5152" r:id="rId15908" display="https://twitter.com/WWQualityCars" xr:uid="{4A1F454F-9A8C-4D0D-88B1-C95E2A51B240}"/>
    <hyperlink ref="E5152" r:id="rId15909" display="https://twitter.com/WWQualityCars/status/723636627197833216" xr:uid="{0AD36B5E-ED13-4A6B-954A-5121E241B23A}"/>
    <hyperlink ref="O5152" r:id="rId15910" display="https://pbs.twimg.com/profile_images/715331895920345089/lrSPh0l5_normal.jpg" xr:uid="{C5344E59-17D0-48C4-8429-50E38544327A}"/>
    <hyperlink ref="B5153" r:id="rId15911" display="https://twitter.com/oliva_naza" xr:uid="{8DED72D6-CDE7-4A7E-BDBE-1BABED60743C}"/>
    <hyperlink ref="E5153" r:id="rId15912" display="https://twitter.com/oliva_naza/status/723636693987807232" xr:uid="{EB73ACD9-60C9-431D-9718-FA3B4C2E322B}"/>
    <hyperlink ref="O5153" r:id="rId15913" display="https://pbs.twimg.com/profile_images/681258719137644544/shq1eo4o_normal.jpg" xr:uid="{632A73EB-473B-4B1E-97CC-83F4666FBD04}"/>
    <hyperlink ref="P5153" r:id="rId15914" location="-32.06944795,-64.53695747" display="http://ctrlq.org/maps/address/ - -32.06944795,-64.53695747" xr:uid="{02DF3CA1-33C6-45AB-87AE-684E898CF0F7}"/>
    <hyperlink ref="B5154" r:id="rId15915" display="https://twitter.com/trendingNewsFas" xr:uid="{CC55626F-FDE3-4C7A-B053-0A61C2BFE173}"/>
    <hyperlink ref="E5154" r:id="rId15916" display="https://twitter.com/trendingNewsFas/status/723636759020605440" xr:uid="{7942F697-1F5B-4040-A034-1508D75D88E7}"/>
    <hyperlink ref="O5154" r:id="rId15917" display="https://pbs.twimg.com/profile_images/722688047255527424/4zRdbppc_normal.jpg" xr:uid="{C56EE3A5-917E-4DE2-8637-F85D53877E42}"/>
    <hyperlink ref="B5155" r:id="rId15918" display="https://twitter.com/MerlinaAlmendra" xr:uid="{3D6BA3B3-76FA-4B2E-B696-D6CD65577C09}"/>
    <hyperlink ref="E5155" r:id="rId15919" display="https://twitter.com/MerlinaAlmendra/status/723636866881298432" xr:uid="{9CC4347C-64C3-484E-A23A-3CCCD456BA95}"/>
    <hyperlink ref="O5155" r:id="rId15920" display="https://pbs.twimg.com/profile_images/716386262387527680/iXBQikmn_normal.jpg" xr:uid="{CA0660B2-02CF-4B2E-8CDE-A3CF6F11415B}"/>
    <hyperlink ref="P5155" r:id="rId15921" location="51.03022584,-114.03502025" display="http://ctrlq.org/maps/address/ - 51.03022584,-114.03502025" xr:uid="{F2120735-C9E1-46BF-BB9C-DD297AC773EE}"/>
    <hyperlink ref="B5156" r:id="rId15922" display="https://twitter.com/nordlohner" xr:uid="{821816B9-371E-494D-AB76-B1DB90A10867}"/>
    <hyperlink ref="E5156" r:id="rId15923" display="https://twitter.com/nordlohner/status/723636955783811072" xr:uid="{04024BDD-7291-4A1B-832D-5B8528808216}"/>
    <hyperlink ref="O5156" r:id="rId15924" display="https://pbs.twimg.com/profile_images/689490163639123968/KvB_Hdux_normal.jpg" xr:uid="{4684925B-CC5E-48C8-BAB4-9DD1306A0DA4}"/>
    <hyperlink ref="B5157" r:id="rId15925" display="https://twitter.com/Supreme_Wheel" xr:uid="{15D94E5C-6EC7-471A-A7E5-3FA8DB12A695}"/>
    <hyperlink ref="E5157" r:id="rId15926" display="https://twitter.com/Supreme_Wheel/status/723637983203586048" xr:uid="{FF7097A1-1662-4F5E-B7C4-3A1F830A53C6}"/>
    <hyperlink ref="O5157" r:id="rId15927" display="https://pbs.twimg.com/profile_images/700378173943316481/4ItP2iGG_normal.jpg" xr:uid="{58FEA836-6821-41D4-8634-033BDAC991A0}"/>
    <hyperlink ref="B5158" r:id="rId15928" display="https://twitter.com/oldcar_photo" xr:uid="{C5176088-DC07-4121-B283-250C8D1FA6A1}"/>
    <hyperlink ref="E5158" r:id="rId15929" display="https://twitter.com/oldcar_photo/status/723637986148098048" xr:uid="{75315C64-2BB4-4695-A91A-FA1896917C45}"/>
    <hyperlink ref="O5158" r:id="rId15930" display="https://pbs.twimg.com/profile_images/615493650785660928/XHUh6HOk_normal.jpg" xr:uid="{398B44D7-BDF8-45CE-9D4D-60EBF9E8D0FF}"/>
    <hyperlink ref="B5159" r:id="rId15931" display="https://twitter.com/oldcar_photo" xr:uid="{B6AEA651-D556-497A-9DFF-E229EE5377C9}"/>
    <hyperlink ref="E5159" r:id="rId15932" display="https://twitter.com/oldcar_photo/status/723638023380996096" xr:uid="{F8DB401E-90DB-4FD1-8643-129F4439814C}"/>
    <hyperlink ref="O5159" r:id="rId15933" display="https://pbs.twimg.com/profile_images/615493650785660928/XHUh6HOk_normal.jpg" xr:uid="{F5C7045A-2EA4-455A-823B-2F72CB3323A1}"/>
    <hyperlink ref="B5160" r:id="rId15934" display="https://twitter.com/hansen_renate" xr:uid="{03DB3E83-A94A-4F76-A108-051182225206}"/>
    <hyperlink ref="E5160" r:id="rId15935" display="https://twitter.com/hansen_renate/status/723638068687806464" xr:uid="{676A6527-D66C-4310-93F1-61E6709D4577}"/>
    <hyperlink ref="O5160" r:id="rId15936" display="https://pbs.twimg.com/profile_images/3626549563/d95a4821a3987f8c50f45ab3cca4ef81_normal.jpeg" xr:uid="{F6D0985D-AEDB-482D-BF61-B01E73D48ECE}"/>
    <hyperlink ref="B5161" r:id="rId15937" display="https://twitter.com/Scirocco_Tuning" xr:uid="{5D7874D0-C277-4A2F-BBF6-77F0999A6EE5}"/>
    <hyperlink ref="E5161" r:id="rId15938" display="https://twitter.com/Scirocco_Tuning/status/723638318160838661" xr:uid="{999F55AB-5C33-4C03-BEEF-BD98253C0A78}"/>
    <hyperlink ref="O5161" r:id="rId15939" display="https://pbs.twimg.com/profile_images/1610421423/Image2_normal.jpg" xr:uid="{926C81F2-6FB2-40F2-A1DE-737043E045DD}"/>
    <hyperlink ref="B5162" r:id="rId15940" display="https://twitter.com/hdBerretz" xr:uid="{658A4A89-1206-49BC-91D3-9B0ADA718D4F}"/>
    <hyperlink ref="E5162" r:id="rId15941" display="https://twitter.com/hdBerretz/status/723638539188080640" xr:uid="{6A19DFD4-E3CA-4BFB-9519-4FCA3DA1FA2C}"/>
    <hyperlink ref="O5162" r:id="rId15942" display="https://pbs.twimg.com/profile_images/548874200102879234/jOo5AkMZ_normal.png" xr:uid="{0B8C0896-CC8E-4E05-9E41-551A1A833F26}"/>
    <hyperlink ref="B5163" r:id="rId15943" display="https://twitter.com/FuscaWorld" xr:uid="{1639BA19-8CCD-4FF3-93F2-C874A115070E}"/>
    <hyperlink ref="E5163" r:id="rId15944" display="https://twitter.com/FuscaWorld/status/723638611988627456" xr:uid="{EC62A33D-9DFC-4180-AAF0-0A4C868FA7AF}"/>
    <hyperlink ref="O5163" r:id="rId15945" display="https://pbs.twimg.com/profile_images/705780107844067328/e7O4UBNb_normal.jpg" xr:uid="{28F3FCF7-E0F8-4663-9C8D-AFB0C911595D}"/>
    <hyperlink ref="B5164" r:id="rId15946" display="https://twitter.com/FuscaWorld" xr:uid="{1D071375-619E-4764-B954-494186019BA6}"/>
    <hyperlink ref="E5164" r:id="rId15947" display="https://twitter.com/FuscaWorld/status/723638614073180160" xr:uid="{E113D994-105E-459D-A978-79146E03F71A}"/>
    <hyperlink ref="O5164" r:id="rId15948" display="https://pbs.twimg.com/profile_images/705780107844067328/e7O4UBNb_normal.jpg" xr:uid="{F5506024-A48B-4B67-97C9-C105D4A91E8D}"/>
    <hyperlink ref="B5165" r:id="rId15949" display="https://twitter.com/LimandoElPisoPM" xr:uid="{C36301B3-E027-455A-94C9-01CE3F538C7E}"/>
    <hyperlink ref="E5165" r:id="rId15950" display="https://twitter.com/LimandoElPisoPM/status/723639007876358144" xr:uid="{EDA770C1-0341-44EE-90B6-EF3982AA8BFD}"/>
    <hyperlink ref="O5165" r:id="rId15951" display="https://pbs.twimg.com/profile_images/710591486228766720/8dYGKdNm_normal.jpg" xr:uid="{0C2876E6-8752-42F6-97C1-42345D4B9C38}"/>
    <hyperlink ref="B5166" r:id="rId15952" display="https://twitter.com/GSracer69" xr:uid="{6179C2F2-D867-49E4-BC68-2C4954615661}"/>
    <hyperlink ref="E5166" r:id="rId15953" display="https://twitter.com/GSracer69/status/723639114734678016" xr:uid="{1B91A6B4-F277-4736-8719-21E6E22A1010}"/>
    <hyperlink ref="O5166" r:id="rId15954" display="https://pbs.twimg.com/profile_images/1480402733/image_normal.jpg" xr:uid="{A935F32B-689D-48EB-A605-37542AD49514}"/>
    <hyperlink ref="B5167" r:id="rId15955" display="https://twitter.com/facubustosT" xr:uid="{77567F05-DBD0-4841-8F8C-E26EF928E375}"/>
    <hyperlink ref="E5167" r:id="rId15956" display="https://twitter.com/facubustosT/status/723639119553925121" xr:uid="{4645014D-E585-4C3F-99C7-AA35F291BBF9}"/>
    <hyperlink ref="O5167" r:id="rId15957" display="https://pbs.twimg.com/profile_images/715776623434457088/L4fXJsEb_normal.jpg" xr:uid="{79293C7C-AD18-4739-AA23-B1547879ACF4}"/>
    <hyperlink ref="B5168" r:id="rId15958" display="https://twitter.com/santiagoolmoss" xr:uid="{AF64E999-069A-410C-A1CC-296AC68DE5D9}"/>
    <hyperlink ref="E5168" r:id="rId15959" display="https://twitter.com/santiagoolmoss/status/723639312684879873" xr:uid="{3A872592-A5D1-4389-B449-1965BAD8E6DF}"/>
    <hyperlink ref="O5168" r:id="rId15960" display="https://pbs.twimg.com/profile_images/695051718531354624/i5ezgQbc_normal.jpg" xr:uid="{F67B7B42-EAE5-40D7-90FE-B9C9F4696CBA}"/>
    <hyperlink ref="B5169" r:id="rId15961" display="https://twitter.com/AgustinArias0" xr:uid="{D1B283E7-63DD-49BD-B275-36A6EDBFF2FA}"/>
    <hyperlink ref="E5169" r:id="rId15962" display="https://twitter.com/AgustinArias0/status/723639673881550851" xr:uid="{1978D8D5-C208-4CDE-BD8E-A240124FD096}"/>
    <hyperlink ref="O5169" r:id="rId15963" display="https://pbs.twimg.com/profile_images/719875850238345216/YRSs9IeA_normal.jpg" xr:uid="{3920616E-987E-409E-8EB9-6015227C26DA}"/>
    <hyperlink ref="B5170" r:id="rId15964" display="https://twitter.com/poandpo" xr:uid="{0C844602-A062-4D10-A7CA-DB097FE901CA}"/>
    <hyperlink ref="E5170" r:id="rId15965" display="https://twitter.com/poandpo/status/723640094465396738" xr:uid="{EC0034DA-C664-4403-A800-37DAD63DC9DB}"/>
    <hyperlink ref="O5170" r:id="rId15966" display="https://pbs.twimg.com/profile_images/697059054741536770/bzz3mR4g_normal.png" xr:uid="{5098B845-A373-414E-BA00-7D607BE008F4}"/>
    <hyperlink ref="B5171" r:id="rId15967" display="https://twitter.com/AgusMarielOk" xr:uid="{DC5D85B5-8CB4-4695-8225-12F9BDDAF625}"/>
    <hyperlink ref="E5171" r:id="rId15968" display="https://twitter.com/AgusMarielOk/status/723640111662006272" xr:uid="{23B0077B-5394-4194-82BE-7E0FA679E502}"/>
    <hyperlink ref="O5171" r:id="rId15969" display="https://pbs.twimg.com/profile_images/723355436389306371/VmFtgXEL_normal.jpg" xr:uid="{D1331809-F75C-4C83-A92A-C9715DC62B9D}"/>
    <hyperlink ref="B5172" r:id="rId15970" display="https://twitter.com/PaulMIllerVW" xr:uid="{F30CA627-6FAB-4DF3-997F-88C9BDB5FA3D}"/>
    <hyperlink ref="E5172" r:id="rId15971" display="https://twitter.com/PaulMIllerVW/status/723640276653211649" xr:uid="{42C3B786-96E4-4C02-B368-A1C7F04E9D61}"/>
    <hyperlink ref="O5172" r:id="rId15972" display="https://pbs.twimg.com/profile_images/606538524934807552/brKPBufq_normal.jpg" xr:uid="{87BAA103-B0F5-4B7F-8488-691D8CD8945D}"/>
    <hyperlink ref="B5173" r:id="rId15973" display="https://twitter.com/britezmalee" xr:uid="{767BDD91-5463-4BD6-A041-EB99D5FAE911}"/>
    <hyperlink ref="E5173" r:id="rId15974" display="https://twitter.com/britezmalee/status/723640297352249344" xr:uid="{6E03F3BB-137B-4A6B-9479-54AA8D1EF077}"/>
    <hyperlink ref="O5173" r:id="rId15975" display="https://pbs.twimg.com/profile_images/718490030596075520/0EQESv16_normal.jpg" xr:uid="{3555FD28-3ED9-4643-9223-CD06471FA8E5}"/>
    <hyperlink ref="B5174" r:id="rId15976" display="https://twitter.com/IvanGoon" xr:uid="{91B1DE4F-6554-43EC-8F06-AEA69643BFA4}"/>
    <hyperlink ref="E5174" r:id="rId15977" display="https://twitter.com/IvanGoon/status/723640520531161088" xr:uid="{2CC616CA-FF0D-4547-A8B8-35C7D81A0AA2}"/>
    <hyperlink ref="O5174" r:id="rId15978" display="https://pbs.twimg.com/profile_images/713569707492843521/tnA8VGeA_normal.jpg" xr:uid="{E0A00E7E-5D51-4651-9F8F-8072734D9C82}"/>
    <hyperlink ref="B5175" r:id="rId15979" display="https://twitter.com/VWBeetleSales" xr:uid="{17E9D915-56BC-461D-A14C-44853BCA110A}"/>
    <hyperlink ref="E5175" r:id="rId15980" display="https://twitter.com/VWBeetleSales/status/723640543457103872" xr:uid="{EA226EA1-2EB6-4F65-AB7B-9B271DE5C55A}"/>
    <hyperlink ref="F5175" r:id="rId15981" xr:uid="{A9B09EE0-8C0E-40DA-9104-2C005003090E}"/>
    <hyperlink ref="O5175" r:id="rId15982" display="https://pbs.twimg.com/profile_images/703294545195307008/qeCvrX86_normal.jpg" xr:uid="{F942A0CF-5103-4F42-B3F3-F135A311A700}"/>
    <hyperlink ref="B5176" r:id="rId15983" display="https://twitter.com/doin384" xr:uid="{0024CFB1-1E17-4DB1-BD60-C9A72ED41F96}"/>
    <hyperlink ref="E5176" r:id="rId15984" display="https://twitter.com/doin384/status/723640647559819264" xr:uid="{B74AAF64-5A31-4FC4-9C23-B87CD7FCD7A6}"/>
    <hyperlink ref="O5176" r:id="rId15985" display="https://pbs.twimg.com/profile_images/722248646604013569/kvvRmbIE_normal.jpg" xr:uid="{1A649F85-D49C-47FE-8EAF-624153C0594F}"/>
    <hyperlink ref="B5177" r:id="rId15986" display="https://twitter.com/FrancoBerlin1" xr:uid="{EE832404-A4DB-4E9C-BFFA-C64E1C02F992}"/>
    <hyperlink ref="E5177" r:id="rId15987" display="https://twitter.com/FrancoBerlin1/status/723640962770178048" xr:uid="{BD79F22C-D66D-4518-890B-46F6D58ACE4C}"/>
    <hyperlink ref="O5177" r:id="rId15988" display="https://pbs.twimg.com/profile_images/712345439333384192/wv176eiK_normal.jpg" xr:uid="{2ED48E0F-8794-40E3-A30D-6773DAA48FB9}"/>
    <hyperlink ref="B5178" r:id="rId15989" display="https://twitter.com/G_Vazquez4" xr:uid="{42E6367B-6525-49A5-A7BA-B55161F10DF3}"/>
    <hyperlink ref="E5178" r:id="rId15990" display="https://twitter.com/G_Vazquez4/status/723641088985194496" xr:uid="{869131E2-3BFE-4387-B4A0-D3B11BBF7EDB}"/>
    <hyperlink ref="O5178" r:id="rId15991" display="https://pbs.twimg.com/profile_images/689662359007318018/TUFAFXvA_normal.jpg" xr:uid="{A0686F60-11F3-4A57-AC60-13BF8914CAB5}"/>
    <hyperlink ref="B5179" r:id="rId15992" display="https://twitter.com/PinticaOfficiel" xr:uid="{E0CD78AC-4050-41E1-B3E4-3D05E99D8409}"/>
    <hyperlink ref="E5179" r:id="rId15993" display="https://twitter.com/PinticaOfficiel/status/723641288575320064" xr:uid="{43F2069B-5B46-417A-AEEA-03DC245A5B4C}"/>
    <hyperlink ref="O5179" r:id="rId15994" display="https://pbs.twimg.com/profile_images/650616939325325312/UqCRtRr__normal.png" xr:uid="{51EBEAA9-A73E-4300-A3DB-D57312DDE163}"/>
    <hyperlink ref="B5180" r:id="rId15995" display="https://twitter.com/davidmilner73" xr:uid="{926C1296-3DE3-4749-AC7D-59B0419E2BB9}"/>
    <hyperlink ref="E5180" r:id="rId15996" display="https://twitter.com/davidmilner73/status/723641371769319424" xr:uid="{F03BAE79-89F4-40CD-A6D2-9A78E6F1E05B}"/>
    <hyperlink ref="O5180" r:id="rId15997" display="https://pbs.twimg.com/profile_images/472526808785887234/G8ib9GJj_normal.jpeg" xr:uid="{CCC62A5D-B5E5-4DFD-A7A1-5CC40AC60374}"/>
    <hyperlink ref="B5181" r:id="rId15998" display="https://twitter.com/fermorales_24" xr:uid="{2BBB702E-54CD-499F-BB68-8F5B0DE032FB}"/>
    <hyperlink ref="E5181" r:id="rId15999" display="https://twitter.com/fermorales_24/status/723641674921029633" xr:uid="{84D925EF-08B4-4449-8EAD-49C001B8A941}"/>
    <hyperlink ref="O5181" r:id="rId16000" display="https://pbs.twimg.com/profile_images/717549799772463104/RpCTRcl7_normal.jpg" xr:uid="{BAC9669F-1C36-42FE-B9FA-0D0CF112F4C9}"/>
    <hyperlink ref="B5182" r:id="rId16001" display="https://twitter.com/Lucchisius" xr:uid="{219ACE13-005A-4558-889F-42EEA5FE5F3C}"/>
    <hyperlink ref="E5182" r:id="rId16002" display="https://twitter.com/Lucchisius/status/723642017146802176" xr:uid="{353010CC-B1F5-4803-A3F5-9E95EE441E98}"/>
    <hyperlink ref="O5182" r:id="rId16003" display="https://pbs.twimg.com/profile_images/620720275085258752/RHLkT3gP_normal.jpg" xr:uid="{76D16669-C1CC-4F41-9473-086E14356E87}"/>
    <hyperlink ref="B5183" r:id="rId16004" display="https://twitter.com/tony_scotto" xr:uid="{3ED80689-58E7-4334-8CD0-297503504FE5}"/>
    <hyperlink ref="E5183" r:id="rId16005" display="https://twitter.com/tony_scotto/status/723642367656468480" xr:uid="{8101BEE5-A001-4A8E-ACEB-7EE04211727E}"/>
    <hyperlink ref="O5183" r:id="rId16006" display="https://pbs.twimg.com/profile_images/378800000763889532/dc2ce25cdf57456bb8a0c5c858d8e33d_normal.jpeg" xr:uid="{FE9C878C-AB53-45EC-B572-A54F8F579AF3}"/>
    <hyperlink ref="B5184" r:id="rId16007" display="https://twitter.com/Tomiimz" xr:uid="{CF88BE1D-4895-4556-B6DA-291B07BDE781}"/>
    <hyperlink ref="E5184" r:id="rId16008" display="https://twitter.com/Tomiimz/status/723642603359600644" xr:uid="{FBC6FF7F-0019-4723-A17E-AFF14FAFE03A}"/>
    <hyperlink ref="O5184" r:id="rId16009" display="https://pbs.twimg.com/profile_images/687489461798760448/S-GbVRV6_normal.jpg" xr:uid="{BA7FAD21-63CE-462D-8455-05FE619151C7}"/>
    <hyperlink ref="B5185" r:id="rId16010" display="https://twitter.com/crislomb" xr:uid="{89BBAAA3-92DF-4B3B-8319-85E2D5CB8CC9}"/>
    <hyperlink ref="E5185" r:id="rId16011" display="https://twitter.com/crislomb/status/723642625702658049" xr:uid="{2D425AB8-761C-4F8D-B311-B0F0620B2233}"/>
    <hyperlink ref="O5185" r:id="rId16012" display="https://pbs.twimg.com/profile_images/661670085459886081/ntDsP93E_normal.jpg" xr:uid="{3935456D-4CEC-4DB4-9AD7-08B478E9574D}"/>
    <hyperlink ref="B5186" r:id="rId16013" display="https://twitter.com/maatyleonel" xr:uid="{5853282D-660B-4A87-A0AF-F419B3FB5F30}"/>
    <hyperlink ref="E5186" r:id="rId16014" display="https://twitter.com/maatyleonel/status/723643011003981829" xr:uid="{D58AB10C-A9F8-4AD8-807E-F69DD68B37B1}"/>
    <hyperlink ref="O5186" r:id="rId16015" display="https://pbs.twimg.com/profile_images/639370047413207040/EBpQjmXr_normal.jpg" xr:uid="{71685BAE-A90D-4E7C-800F-512E3941D266}"/>
    <hyperlink ref="B5187" r:id="rId16016" display="https://twitter.com/guidopeternell" xr:uid="{05D4AD1E-50FE-41E1-BB42-94AF1844AB54}"/>
    <hyperlink ref="E5187" r:id="rId16017" display="https://twitter.com/guidopeternell/status/723643057237811201" xr:uid="{1A71F8F4-A0C4-4FA4-BE65-537A7BA6D537}"/>
    <hyperlink ref="O5187" r:id="rId16018" display="https://pbs.twimg.com/profile_images/1281621005/Guido_Peternell_normal.jpg" xr:uid="{52ADEECD-588A-46DA-93C5-1B722BE1760B}"/>
    <hyperlink ref="B5188" r:id="rId16019" display="https://twitter.com/fantigos" xr:uid="{B942C52C-389A-4EF8-BA52-116E111B7E93}"/>
    <hyperlink ref="E5188" r:id="rId16020" display="https://twitter.com/fantigos/status/723643848103190528" xr:uid="{43C4CA7F-A310-4FC8-9042-4FB590AD460E}"/>
    <hyperlink ref="O5188" r:id="rId16021" display="https://pbs.twimg.com/profile_images/638947231144509440/iP1-exrN_normal.jpg" xr:uid="{CEFFA687-45CE-4266-9194-AD9EC00B0970}"/>
    <hyperlink ref="B5189" r:id="rId16022" display="https://twitter.com/VolkswagenPost" xr:uid="{705BBAA7-A9E2-401F-A5A6-3B3C5C8F9A8D}"/>
    <hyperlink ref="E5189" r:id="rId16023" display="https://twitter.com/VolkswagenPost/status/723644183907459072" xr:uid="{A7DCF911-E282-4787-9541-13AAC9BE8B9A}"/>
    <hyperlink ref="O5189" r:id="rId16024" display="https://pbs.twimg.com/profile_images/530071272881803264/a_jcCmPZ_normal.png" xr:uid="{E0B4EB31-C6FD-49C6-B620-80A5ED4746FA}"/>
    <hyperlink ref="B5190" r:id="rId16025" display="https://twitter.com/bmwblog" xr:uid="{D389614F-206E-4C2E-BB90-77472E4FA540}"/>
    <hyperlink ref="E5190" r:id="rId16026" display="https://twitter.com/bmwblog/status/723644430079692800" xr:uid="{92E249E9-BAFD-407D-B28E-B2C315168AD4}"/>
    <hyperlink ref="O5190" r:id="rId16027" display="https://pbs.twimg.com/profile_images/461517086573871104/3db6VsXA_normal.png" xr:uid="{6CA6647C-7121-4259-9711-268A105B1EEF}"/>
    <hyperlink ref="B5191" r:id="rId16028" display="https://twitter.com/Lucchisius" xr:uid="{25692952-D8EE-41F6-AC39-410E0F2546C5}"/>
    <hyperlink ref="E5191" r:id="rId16029" display="https://twitter.com/Lucchisius/status/723644441295204352" xr:uid="{B14C1BD2-65C3-43B5-9004-7149EE5BC05B}"/>
    <hyperlink ref="O5191" r:id="rId16030" display="https://pbs.twimg.com/profile_images/620720275085258752/RHLkT3gP_normal.jpg" xr:uid="{DB354B27-26B8-41A8-8E5D-D75A9750D960}"/>
    <hyperlink ref="B5192" r:id="rId16031" display="https://twitter.com/Orne_Dalfonso" xr:uid="{8D4E23C7-7500-46F7-ABCA-32AB41554E5D}"/>
    <hyperlink ref="E5192" r:id="rId16032" display="https://twitter.com/Orne_Dalfonso/status/723644461822128129" xr:uid="{C8C581A9-D5A7-438F-94D5-3A6C2075B93A}"/>
    <hyperlink ref="O5192" r:id="rId16033" display="https://pbs.twimg.com/profile_images/716053257962041344/auGRVQke_normal.jpg" xr:uid="{5595C766-F02C-4AB1-83AB-03E7956AE6ED}"/>
    <hyperlink ref="B5193" r:id="rId16034" display="https://twitter.com/TadeAvalos" xr:uid="{1ECDF39E-4FFA-4CB5-A059-FA8D9E46A1B3}"/>
    <hyperlink ref="E5193" r:id="rId16035" display="https://twitter.com/TadeAvalos/status/723645084206522369" xr:uid="{8378DF95-7949-41FC-B369-8B7B1F7639C8}"/>
    <hyperlink ref="O5193" r:id="rId16036" display="https://pbs.twimg.com/profile_images/715004193040371712/YZClh8ao_normal.jpg" xr:uid="{604784A2-C1E7-4416-A53E-85B51582CC0B}"/>
    <hyperlink ref="B5194" r:id="rId16037" display="https://twitter.com/dealersouq" xr:uid="{26865189-5309-4269-A753-97E70429D4F9}"/>
    <hyperlink ref="E5194" r:id="rId16038" display="https://twitter.com/dealersouq/status/723645223319015426" xr:uid="{5A1F382A-5943-426E-9497-BEF76F901FD9}"/>
    <hyperlink ref="O5194" r:id="rId16039" display="https://pbs.twimg.com/profile_images/671685785058344961/azudlysS_normal.jpg" xr:uid="{440DA32C-E70C-4100-AA7D-42D749D0FE88}"/>
    <hyperlink ref="B5195" r:id="rId16040" display="https://twitter.com/EricArnoldPhoto" xr:uid="{1FAC4A5E-BC18-47A7-B144-DBF7C27C8E8C}"/>
    <hyperlink ref="E5195" r:id="rId16041" display="https://twitter.com/EricArnoldPhoto/status/723645409768267776" xr:uid="{46F75039-7632-4848-B04A-95DCB9BD435F}"/>
    <hyperlink ref="O5195" r:id="rId16042" display="https://pbs.twimg.com/profile_images/651616124824477697/MPmni4uW_normal.jpg" xr:uid="{275D7A6D-1448-42A9-9F10-1A6E73908FDD}"/>
    <hyperlink ref="B5196" r:id="rId16043" display="https://twitter.com/acdcabba" xr:uid="{748B20C6-F970-4BAE-BF8C-2234C7588AD7}"/>
    <hyperlink ref="E5196" r:id="rId16044" display="https://twitter.com/acdcabba/status/723645706163068928" xr:uid="{2B6ED791-1DF4-43D8-8327-22249099BB26}"/>
    <hyperlink ref="O5196" r:id="rId16045" display="https://pbs.twimg.com/profile_images/523219475374821377/s4tVMnBe_normal.jpeg" xr:uid="{A756EFB6-1617-4317-B3E5-152D0F30C036}"/>
    <hyperlink ref="B5197" r:id="rId16046" display="https://twitter.com/MepadiL" xr:uid="{94670485-CAF8-484E-9F5A-93A1FE6D2071}"/>
    <hyperlink ref="E5197" r:id="rId16047" display="https://twitter.com/MepadiL/status/723645724261408769" xr:uid="{D2946A25-76BF-49AB-9E65-220D27AE63DE}"/>
    <hyperlink ref="O5197" r:id="rId16048" display="https://pbs.twimg.com/profile_images/720894601167380480/dZDpPybl_normal.jpg" xr:uid="{EC2EB6A5-D471-4213-9364-A2D802754DF6}"/>
    <hyperlink ref="B5198" r:id="rId16049" display="https://twitter.com/emerald_Max" xr:uid="{F3187957-824D-4ADB-94D6-E30B9D1B7EBA}"/>
    <hyperlink ref="E5198" r:id="rId16050" display="https://twitter.com/emerald_Max/status/723646228941156352" xr:uid="{40FAA7D4-30E9-4081-9FC7-3B2398FD9314}"/>
    <hyperlink ref="O5198" r:id="rId16051" display="https://pbs.twimg.com/profile_images/378800000364599447/1caf5caa3d9877fe5f66db3db3b28e24_normal.jpeg" xr:uid="{E2C5EBB4-85DE-4516-B282-FF76448CE6B3}"/>
    <hyperlink ref="B5199" r:id="rId16052" display="https://twitter.com/acdcabba" xr:uid="{CED5DA33-EC83-4A77-891F-A143F5C06810}"/>
    <hyperlink ref="E5199" r:id="rId16053" display="https://twitter.com/acdcabba/status/723646268258529281" xr:uid="{C72BBAB9-0736-4BD7-B486-EB1F031AB44D}"/>
    <hyperlink ref="O5199" r:id="rId16054" display="https://pbs.twimg.com/profile_images/523219475374821377/s4tVMnBe_normal.jpeg" xr:uid="{E3B0A157-3AFF-49FD-9749-85AABA464A6A}"/>
    <hyperlink ref="B5200" r:id="rId16055" display="https://twitter.com/LaloZaldivarD" xr:uid="{11182831-1ED1-4F82-A769-78FBE660D988}"/>
    <hyperlink ref="E5200" r:id="rId16056" display="https://twitter.com/LaloZaldivarD/status/723646345240666112" xr:uid="{F1A92A39-9E89-420A-A463-4165A0C0F5F9}"/>
    <hyperlink ref="O5200" r:id="rId16057" display="https://pbs.twimg.com/profile_images/721922098914930688/9X4b7rh2_normal.jpg" xr:uid="{2265FD2F-F079-47E2-864A-5B529D87536F}"/>
    <hyperlink ref="B5201" r:id="rId16058" display="https://twitter.com/DubLuvTuning" xr:uid="{FA34C0A4-C716-4DCB-8388-764C73CB02B9}"/>
    <hyperlink ref="E5201" r:id="rId16059" display="https://twitter.com/DubLuvTuning/status/723646362240294912" xr:uid="{C54170EA-B961-45DD-BC36-428F450C0B3B}"/>
    <hyperlink ref="O5201" r:id="rId16060" display="https://pbs.twimg.com/profile_images/378800000572104796/1de43e1cf23efb3f4101c02afad0d3b6_normal.png" xr:uid="{94896787-A1A5-4297-8E12-31B9F85E1CA6}"/>
    <hyperlink ref="B5202" r:id="rId16061" display="https://twitter.com/andreasw2000" xr:uid="{2ACFF205-85FA-47D7-AC57-2F353FBA9667}"/>
    <hyperlink ref="E5202" r:id="rId16062" display="https://twitter.com/andreasw2000/status/723646740755320832" xr:uid="{8B68CF63-4081-42ED-8AC3-6BFA6B1F3600}"/>
    <hyperlink ref="O5202" r:id="rId16063" display="https://pbs.twimg.com/profile_images/638350661038526464/K_N5HRKD_normal.jpg" xr:uid="{052C6003-2863-471B-BCF6-07B5F10FC796}"/>
    <hyperlink ref="B5203" r:id="rId16064" display="https://twitter.com/CharlieSEvans" xr:uid="{5DAFF6EA-B0D3-46DE-9DEA-4CEB06521FF7}"/>
    <hyperlink ref="E5203" r:id="rId16065" display="https://twitter.com/CharlieSEvans/status/723646810561105920" xr:uid="{DD5102C7-A32F-495F-96A6-4C8AAA7FFF3F}"/>
    <hyperlink ref="O5203" r:id="rId16066" display="https://pbs.twimg.com/profile_images/692064043767562244/ub53wwZt_normal.jpg" xr:uid="{EEEBCC8E-3795-45F4-AE97-3E05E3158E1B}"/>
    <hyperlink ref="B5204" r:id="rId16067" display="https://twitter.com/_kuball_" xr:uid="{8DE19D6A-0B12-456D-8533-7124B2D0F1D6}"/>
    <hyperlink ref="E5204" r:id="rId16068" display="https://twitter.com/_kuball_/status/723647057005797377" xr:uid="{FB80E12D-ADCB-40DF-9DA5-41534A7F360A}"/>
    <hyperlink ref="O5204" r:id="rId16069" display="https://pbs.twimg.com/profile_images/466212943038656513/ILfqZEXV_normal.jpeg" xr:uid="{F94BD090-9B35-406E-95FB-B0AA760BBC28}"/>
    <hyperlink ref="B5205" r:id="rId16070" display="https://twitter.com/riversidevw" xr:uid="{F7AFA98C-0D8D-4024-8712-0340B091F5FA}"/>
    <hyperlink ref="E5205" r:id="rId16071" display="https://twitter.com/riversidevw/status/723647169228603397" xr:uid="{DB762296-52A1-41CF-9228-DB7163178849}"/>
    <hyperlink ref="O5205" r:id="rId16072" display="https://pbs.twimg.com/profile_images/672153171607744512/19k3O2VA_normal.png" xr:uid="{1CAF5521-0FDD-4B5D-B416-13448D7247E7}"/>
    <hyperlink ref="B5206" r:id="rId16073" display="https://twitter.com/ViniciusWilli15" xr:uid="{56BBB43C-05E4-43DF-AE6A-E0150FCCC1AF}"/>
    <hyperlink ref="E5206" r:id="rId16074" display="https://twitter.com/ViniciusWilli15/status/723647245774557184" xr:uid="{69C4D306-7346-40F2-8F0B-C13926D6C628}"/>
    <hyperlink ref="O5206" r:id="rId16075" display="https://pbs.twimg.com/profile_images/690529057927249920/ei1xRfhk_normal.jpg" xr:uid="{504B1C48-83F0-4B8C-A700-52A505FC41EF}"/>
    <hyperlink ref="B5207" r:id="rId16076" display="https://twitter.com/BizAurora" xr:uid="{99610EBA-4696-4D84-9AB0-7BB6ED120264}"/>
    <hyperlink ref="E5207" r:id="rId16077" display="https://twitter.com/BizAurora/status/723647662097072131" xr:uid="{CF9DD2D3-E3F2-477A-A0FD-689E061108ED}"/>
    <hyperlink ref="O5207" r:id="rId16078" display="https://pbs.twimg.com/profile_images/654697538449092608/WF5ocTlD_normal.png" xr:uid="{ED716A18-2DC8-428A-A4DD-23727C6B55FC}"/>
    <hyperlink ref="B5208" r:id="rId16079" display="https://twitter.com/kngeuro" xr:uid="{1ED8D055-09E6-4CB1-BAEF-02FE6CE85445}"/>
    <hyperlink ref="E5208" r:id="rId16080" display="https://twitter.com/kngeuro/status/723647696175652864" xr:uid="{8B1E2F6C-AC71-4811-8BD8-72B1B0FC2EF0}"/>
    <hyperlink ref="O5208" r:id="rId16081" display="https://pbs.twimg.com/profile_images/570375988065935360/ooT_Nq7x_normal.jpeg" xr:uid="{D33E6F4B-32BC-4EE5-A31C-C001AADB31F1}"/>
    <hyperlink ref="B5209" r:id="rId16082" display="https://twitter.com/BaliBarber" xr:uid="{3106D870-AB5F-4393-AB4D-F90D22735E64}"/>
    <hyperlink ref="E5209" r:id="rId16083" display="https://twitter.com/BaliBarber/status/723647821006647296" xr:uid="{159C478E-B4F6-418B-A45B-EBB108ADE538}"/>
    <hyperlink ref="O5209" r:id="rId16084" display="https://pbs.twimg.com/profile_images/579577377413431296/g3sV31AL_normal.jpg" xr:uid="{DEDD7F9B-5012-400E-A9B7-048553E62E62}"/>
    <hyperlink ref="B5210" r:id="rId16085" display="https://twitter.com/_LeonAntelo" xr:uid="{F78DC0AA-847E-4F22-B78A-26A506F902B0}"/>
    <hyperlink ref="E5210" r:id="rId16086" display="https://twitter.com/_LeonAntelo/status/723647891131215873" xr:uid="{B8B3DBD4-57FC-459B-A86F-02B3711FB1B2}"/>
    <hyperlink ref="O5210" r:id="rId16087" display="https://pbs.twimg.com/profile_images/722407003751104512/S-lrrhK__normal.jpg" xr:uid="{A567EAA4-281E-4AE4-B5E2-1A732FB75E58}"/>
    <hyperlink ref="P5210" r:id="rId16088" location="-34.58672,-58.43482" display="http://ctrlq.org/maps/address/ - -34.58672,-58.43482" xr:uid="{DB52DF40-D001-4563-B1B4-B174FDA99109}"/>
    <hyperlink ref="B5211" r:id="rId16089" display="https://twitter.com/C_Pohlmann" xr:uid="{2A160A8A-DA7C-4752-A912-599E1B766B7B}"/>
    <hyperlink ref="E5211" r:id="rId16090" display="https://twitter.com/C_Pohlmann/status/723647962354737152" xr:uid="{E76B068A-2BC4-44DA-90BB-028C2CCBBFAC}"/>
    <hyperlink ref="O5211" r:id="rId16091" display="https://pbs.twimg.com/profile_images/668919224744738820/O3s5k-n9_normal.jpg" xr:uid="{A4EF657E-4D6D-4258-9525-309C6C28C680}"/>
    <hyperlink ref="B5212" r:id="rId16092" display="https://twitter.com/OnlyFerrariPics" xr:uid="{D1155FC9-15B5-4369-899E-B3E5B1A86488}"/>
    <hyperlink ref="E5212" r:id="rId16093" display="https://twitter.com/OnlyFerrariPics/status/723648239392698369" xr:uid="{5855E466-C653-4A08-83AE-75720C110A74}"/>
    <hyperlink ref="O5212" r:id="rId16094" display="https://pbs.twimg.com/profile_images/540037751416971264/FUsmNZrb_normal.jpeg" xr:uid="{9B11C123-BACA-4149-8312-F1051BAEA5A8}"/>
    <hyperlink ref="B5213" r:id="rId16095" display="https://twitter.com/beetlebug1938" xr:uid="{46503095-4FE4-4B2E-BB86-57D4FA908840}"/>
    <hyperlink ref="E5213" r:id="rId16096" display="https://twitter.com/beetlebug1938/status/723648332795617284" xr:uid="{60AE5DED-617D-4BBE-A600-25FE43C97844}"/>
    <hyperlink ref="O5213" r:id="rId16097" display="https://pbs.twimg.com/profile_images/718820712757215233/LXXndPTS_normal.jpg" xr:uid="{51881509-094E-44C9-86CE-C8719D0BFDAA}"/>
    <hyperlink ref="B5214" r:id="rId16098" display="https://twitter.com/santhi_vergara" xr:uid="{55B82A50-402A-401A-8BE0-077EF930C97A}"/>
    <hyperlink ref="E5214" r:id="rId16099" display="https://twitter.com/santhi_vergara/status/723648336360689664" xr:uid="{C4C6B893-E5CC-4F73-8B06-B691F2CAF55B}"/>
    <hyperlink ref="O5214" r:id="rId16100" display="https://pbs.twimg.com/profile_images/679041403733848064/3170zpfU_normal.jpg" xr:uid="{D73D1FDD-D16C-408F-A106-FAB82875150B}"/>
    <hyperlink ref="B5215" r:id="rId16101" display="https://twitter.com/beetlebug1938" xr:uid="{26B08ABC-3B6D-4234-89A6-0E9217E41D18}"/>
    <hyperlink ref="E5215" r:id="rId16102" display="https://twitter.com/beetlebug1938/status/723648344996872192" xr:uid="{B606C272-3173-4FDB-BFB5-012F34FF270E}"/>
    <hyperlink ref="O5215" r:id="rId16103" display="https://pbs.twimg.com/profile_images/718820712757215233/LXXndPTS_normal.jpg" xr:uid="{35EFDCAA-6991-4F20-9F80-89CF90FF74D2}"/>
    <hyperlink ref="B5216" r:id="rId16104" display="https://twitter.com/beetlebug1938" xr:uid="{50FAED10-D00F-484C-BCF1-03AD6BCCDFCB}"/>
    <hyperlink ref="E5216" r:id="rId16105" display="https://twitter.com/beetlebug1938/status/723648368505937920" xr:uid="{36253C68-0D38-4926-846E-4C0033CFC659}"/>
    <hyperlink ref="O5216" r:id="rId16106" display="https://pbs.twimg.com/profile_images/718820712757215233/LXXndPTS_normal.jpg" xr:uid="{FA695644-9265-4AAE-AB6C-C1DFC3499CFA}"/>
    <hyperlink ref="B5217" r:id="rId16107" display="https://twitter.com/beetlebug1938" xr:uid="{78A7B885-8F86-4D80-9D4D-D7DDE35F3D52}"/>
    <hyperlink ref="E5217" r:id="rId16108" display="https://twitter.com/beetlebug1938/status/723648383869685760" xr:uid="{C41086E8-4C98-40DF-85B4-9A9F57218ADD}"/>
    <hyperlink ref="O5217" r:id="rId16109" display="https://pbs.twimg.com/profile_images/718820712757215233/LXXndPTS_normal.jpg" xr:uid="{C9F20FEC-056F-4D08-88F2-AB1117A838A6}"/>
    <hyperlink ref="B5218" r:id="rId16110" display="https://twitter.com/DubLuvTuning" xr:uid="{8216059E-D492-48CD-B499-B2024D040A81}"/>
    <hyperlink ref="E5218" r:id="rId16111" display="https://twitter.com/DubLuvTuning/status/723648439469400064" xr:uid="{90432366-87A3-4CEF-B4C6-7EFF1DDE73FE}"/>
    <hyperlink ref="O5218" r:id="rId16112" display="https://pbs.twimg.com/profile_images/378800000572104796/1de43e1cf23efb3f4101c02afad0d3b6_normal.png" xr:uid="{C2D3A0C2-1D1E-452D-B1F9-AD1BEAB80C54}"/>
    <hyperlink ref="B5219" r:id="rId16113" display="https://twitter.com/sofiaAAAJ" xr:uid="{BB99DB1C-5382-484B-B867-93A0EF4CD3A8}"/>
    <hyperlink ref="E5219" r:id="rId16114" display="https://twitter.com/sofiaAAAJ/status/723648700363493376" xr:uid="{13B0AB27-1816-4A0E-962B-2DB90CEFB775}"/>
    <hyperlink ref="O5219" r:id="rId16115" display="https://pbs.twimg.com/profile_images/712127065634508803/umdoB6fs_normal.jpg" xr:uid="{E36B3A6F-F0AF-4FDE-BB41-E28F3BB6A974}"/>
    <hyperlink ref="B5220" r:id="rId16116" display="https://twitter.com/VolkswagenPost" xr:uid="{1DCCC98E-DA25-41F1-98AA-EFFE14ADE83A}"/>
    <hyperlink ref="E5220" r:id="rId16117" display="https://twitter.com/VolkswagenPost/status/723648730533081088" xr:uid="{B5383212-8FEB-45FF-B9F1-5005A82F7481}"/>
    <hyperlink ref="O5220" r:id="rId16118" display="https://pbs.twimg.com/profile_images/530071272881803264/a_jcCmPZ_normal.png" xr:uid="{00624CF1-39E8-4F58-8A83-DC62B95C945B}"/>
    <hyperlink ref="B5221" r:id="rId16119" display="https://twitter.com/mickk1954" xr:uid="{6242C5F8-B9B4-4F9A-9D1B-02ABF2445474}"/>
    <hyperlink ref="E5221" r:id="rId16120" display="https://twitter.com/mickk1954/status/723649247502061568" xr:uid="{82B51DE1-BC85-4E88-8BD4-28BFFC2EEDFF}"/>
    <hyperlink ref="O5221" r:id="rId16121" display="https://pbs.twimg.com/profile_images/378800000656452228/fca6692010a822f776917f40c9102341_normal.jpeg" xr:uid="{2D999811-7EE6-47A4-B66C-1553ECD7410C}"/>
    <hyperlink ref="B5222" r:id="rId16122" display="https://twitter.com/TokanP" xr:uid="{8D451D56-BB0D-4CC4-ACAE-516DA713E408}"/>
    <hyperlink ref="E5222" r:id="rId16123" display="https://twitter.com/TokanP/status/723649369472425986" xr:uid="{6124B5B6-1975-45B5-B7E6-55257F18CF33}"/>
    <hyperlink ref="O5222" r:id="rId16124" display="https://pbs.twimg.com/profile_images/684108288955445250/n4CHc8B8_normal.jpg" xr:uid="{3D81F31C-5E51-4539-8D5A-D1E74CF63173}"/>
    <hyperlink ref="B5223" r:id="rId16125" display="https://twitter.com/olliehayes" xr:uid="{B51AE7C4-D2E4-4B6B-8541-743EB053BB53}"/>
    <hyperlink ref="E5223" r:id="rId16126" display="https://twitter.com/olliehayes/status/723649499177074688" xr:uid="{9D488567-EB17-43C0-B765-818519BC7D35}"/>
    <hyperlink ref="O5223" r:id="rId16127" display="https://pbs.twimg.com/profile_images/491169303027134464/ZT6kRda0_normal.jpeg" xr:uid="{9A911805-D69E-449E-AF99-CC65B33F2F23}"/>
    <hyperlink ref="B5224" r:id="rId16128" display="https://twitter.com/clubVAGVzla" xr:uid="{634EA91D-B0B0-4CA5-8F07-AFFACC89DD16}"/>
    <hyperlink ref="E5224" r:id="rId16129" display="https://twitter.com/clubVAGVzla/status/723649513760632832" xr:uid="{0BFBD19F-AF34-4185-ABC3-7937B30EE948}"/>
    <hyperlink ref="O5224" r:id="rId16130" display="https://pbs.twimg.com/profile_images/621145253261770756/SJdc3xVG_normal.jpg" xr:uid="{5C62ECA2-BAE4-48FD-8B39-A1B851439C6D}"/>
    <hyperlink ref="B5225" r:id="rId16131" display="https://twitter.com/VWHeritage" xr:uid="{C8582735-1584-4E11-A4EE-B4A37658F003}"/>
    <hyperlink ref="E5225" r:id="rId16132" display="https://twitter.com/VWHeritage/status/723650154239275008" xr:uid="{9E92015F-925D-4B74-992D-45EDC6A7C8E1}"/>
    <hyperlink ref="O5225" r:id="rId16133" display="https://pbs.twimg.com/profile_images/709359494128599041/-2u0_Nqv_normal.jpg" xr:uid="{C30C7232-5A8A-4782-A2A8-95F2E3192C0D}"/>
    <hyperlink ref="B5226" r:id="rId16134" display="https://twitter.com/TejedaLucas" xr:uid="{4C48934E-B1BF-4CB1-8742-5836995824FF}"/>
    <hyperlink ref="E5226" r:id="rId16135" display="https://twitter.com/TejedaLucas/status/723650594020425728" xr:uid="{E4E49619-60C7-4FC9-A4EC-5BFB712D5E03}"/>
    <hyperlink ref="O5226" r:id="rId16136" display="https://pbs.twimg.com/profile_images/683018809431687169/FZVED1pg_normal.jpg" xr:uid="{3A79223B-5906-4B95-AA8F-933749DBA81A}"/>
    <hyperlink ref="B5227" r:id="rId16137" display="https://twitter.com/YO_CATERINA" xr:uid="{01CF8343-6249-4512-8B72-7CB3EAD066B0}"/>
    <hyperlink ref="E5227" r:id="rId16138" display="https://twitter.com/YO_CATERINA/status/723650837898235904" xr:uid="{C37D8C7C-AFA7-4C4F-8C26-75905862337D}"/>
    <hyperlink ref="O5227" r:id="rId16139" display="https://pbs.twimg.com/profile_images/697845167844364288/K-thuxL0_normal.jpg" xr:uid="{80DF9F74-2FB0-4FF2-BD8B-AB163A90C2B1}"/>
    <hyperlink ref="B5228" r:id="rId16140" display="https://twitter.com/VolkswagenPost" xr:uid="{859F2328-78E8-488C-B67E-9586AFD46A5F}"/>
    <hyperlink ref="E5228" r:id="rId16141" display="https://twitter.com/VolkswagenPost/status/723651078546444288" xr:uid="{B5EA016C-01D6-4300-9D50-56A59A1AACF2}"/>
    <hyperlink ref="O5228" r:id="rId16142" display="https://pbs.twimg.com/profile_images/530071272881803264/a_jcCmPZ_normal.png" xr:uid="{715E2F3A-28EB-4609-8BA7-AE20244D5D84}"/>
    <hyperlink ref="B5229" r:id="rId16143" display="https://twitter.com/ThiagoLopez00" xr:uid="{11210F2C-5F23-4FE9-A314-F068AA823D90}"/>
    <hyperlink ref="E5229" r:id="rId16144" display="https://twitter.com/ThiagoLopez00/status/723651308977266688" xr:uid="{16968127-AF57-4E97-89BD-0375E33BD750}"/>
    <hyperlink ref="O5229" r:id="rId16145" display="https://pbs.twimg.com/profile_images/722699840338137088/gZIMZuy8_normal.jpg" xr:uid="{70B73DBF-4D6E-4141-BA05-7CC69FDE4C8F}"/>
    <hyperlink ref="B5230" r:id="rId16146" display="https://twitter.com/Audi_App" xr:uid="{57437B13-1C5D-4750-B0F9-67A6781D9F38}"/>
    <hyperlink ref="E5230" r:id="rId16147" display="https://twitter.com/Audi_App/status/723651342162649088" xr:uid="{CB047BD3-7EB8-43F8-9722-94CACEDF881C}"/>
    <hyperlink ref="O5230" r:id="rId16148" display="https://pbs.twimg.com/profile_images/722769998104629248/UT633gEV_normal.jpg" xr:uid="{4CFD0A10-437E-4257-B043-901967A16917}"/>
    <hyperlink ref="B5231" r:id="rId16149" display="https://twitter.com/acvwpassion" xr:uid="{B9F18DF8-42E2-4467-892B-3A36095D95EA}"/>
    <hyperlink ref="E5231" r:id="rId16150" display="https://twitter.com/acvwpassion/status/723651410420748288" xr:uid="{EEADB6F3-9C53-4444-BF4C-D7A2E5C233A7}"/>
    <hyperlink ref="O5231" r:id="rId16151" display="https://pbs.twimg.com/profile_images/545688359964651520/SF3sJ7lv_normal.jpeg" xr:uid="{68252DF3-9E25-4F5A-8F80-D18DE105075E}"/>
    <hyperlink ref="B5232" r:id="rId16152" display="https://twitter.com/rplantt" xr:uid="{2ADC1550-B857-4A00-89DA-CA161D63255F}"/>
    <hyperlink ref="E5232" r:id="rId16153" display="https://twitter.com/rplantt/status/723651926013947904" xr:uid="{8D80D231-60DC-4836-81C3-A402DF9D8FD9}"/>
    <hyperlink ref="O5232" r:id="rId16154" display="https://pbs.twimg.com/profile_images/459064818557661184/91o9tza1_normal.jpeg" xr:uid="{97890477-3A63-4C82-9F8F-C640B8EBE6AD}"/>
    <hyperlink ref="B5233" r:id="rId16155" display="https://twitter.com/Aldow_CR" xr:uid="{76766763-A144-4155-8FDD-CF6D963DB1AF}"/>
    <hyperlink ref="E5233" r:id="rId16156" display="https://twitter.com/Aldow_CR/status/723652594527141888" xr:uid="{7B573E09-5571-4B24-9DF6-5C780EC04700}"/>
    <hyperlink ref="O5233" r:id="rId16157" display="https://pbs.twimg.com/profile_images/719650097139621889/fFEwHSPd_normal.jpg" xr:uid="{445E1179-0FB9-4C6F-A542-8E48C064C0A2}"/>
    <hyperlink ref="B5234" r:id="rId16158" display="https://twitter.com/Leo10Utrera" xr:uid="{17A5E3F7-B05F-4057-BB76-49B59030FD72}"/>
    <hyperlink ref="E5234" r:id="rId16159" display="https://twitter.com/Leo10Utrera/status/723652700789940224" xr:uid="{58A87E91-F505-42D8-943C-713A261C0C5B}"/>
    <hyperlink ref="O5234" r:id="rId16160" display="https://pbs.twimg.com/profile_images/697273196068921344/fbQb71Ak_normal.jpg" xr:uid="{F46EE291-A749-4482-BAA2-0CFC4A4CA966}"/>
    <hyperlink ref="B5235" r:id="rId16161" display="https://twitter.com/JoserRP" xr:uid="{D26D9B72-C9B8-4DB6-AFF4-8946DC2FFC5A}"/>
    <hyperlink ref="E5235" r:id="rId16162" display="https://twitter.com/JoserRP/status/723652843962392576" xr:uid="{2A18BE5D-D1FF-4784-9EC9-E96A1B66761A}"/>
    <hyperlink ref="O5235" r:id="rId16163" display="https://pbs.twimg.com/profile_images/716653254524805124/SlK9E5Pd_normal.jpg" xr:uid="{7972BE3A-9759-4E0A-A40E-45BB6B360D4D}"/>
    <hyperlink ref="B5236" r:id="rId16164" display="https://twitter.com/classactionlaw" xr:uid="{E94B5F94-3BF1-444F-9A89-373B203A931F}"/>
    <hyperlink ref="E5236" r:id="rId16165" display="https://twitter.com/classactionlaw/status/723652969896415232" xr:uid="{541051C9-8141-464A-A8BF-E57413D8984A}"/>
    <hyperlink ref="O5236" r:id="rId16166" display="https://pbs.twimg.com/profile_images/464114496563200000/hqu3hpC3_normal.jpeg" xr:uid="{FE8733C3-C9EB-4F32-95E5-A872E1FA91B2}"/>
    <hyperlink ref="B5237" r:id="rId16167" display="https://twitter.com/rgoverstreet" xr:uid="{30DE5E4C-BDD3-44EB-92C3-B5733EF2B639}"/>
    <hyperlink ref="E5237" r:id="rId16168" display="https://twitter.com/rgoverstreet/status/723652988108046337" xr:uid="{0926C907-4AFD-420E-93F7-EEAC53FA51D9}"/>
    <hyperlink ref="O5237" r:id="rId16169" display="https://pbs.twimg.com/profile_images/511300315228811264/sT0G3pjp_normal.jpeg" xr:uid="{9D3A9CEE-CD76-4F8E-B0A0-EACF17436E85}"/>
    <hyperlink ref="B5238" r:id="rId16170" display="https://twitter.com/VeeDubMk1_" xr:uid="{DF5BFCBD-F8F4-4E7D-96AD-CDDBD51FEC91}"/>
    <hyperlink ref="E5238" r:id="rId16171" display="https://twitter.com/VeeDubMk1_/status/723653054915051520" xr:uid="{3AEB6FDA-DD3F-4268-9005-A3E5404CEF4E}"/>
    <hyperlink ref="O5238" r:id="rId16172" display="https://pbs.twimg.com/profile_images/672878354127839232/M7OYc-zx_normal.jpg" xr:uid="{9BC46BC8-946C-4D73-936A-AE1351EAD80A}"/>
    <hyperlink ref="B5239" r:id="rId16173" display="https://twitter.com/sfchronicle" xr:uid="{501E9626-9221-44B0-A1B4-83B02FB23A9E}"/>
    <hyperlink ref="E5239" r:id="rId16174" display="https://twitter.com/sfchronicle/status/723653117984677888" xr:uid="{B8CE71CD-833F-4C33-A686-0C4A01214F0B}"/>
    <hyperlink ref="O5239" r:id="rId16175" display="https://pbs.twimg.com/profile_images/695773573919543296/Q1mS960c_normal.jpg" xr:uid="{32BAA122-6443-46F9-83C8-9551324EBE98}"/>
    <hyperlink ref="B5240" r:id="rId16176" display="https://twitter.com/Jairoogorosito" xr:uid="{0097478A-620C-44C5-8533-99A681632207}"/>
    <hyperlink ref="E5240" r:id="rId16177" display="https://twitter.com/Jairoogorosito/status/723653915078758401" xr:uid="{56F31FB9-8914-4EC3-9338-1087745BDEF5}"/>
    <hyperlink ref="O5240" r:id="rId16178" display="https://pbs.twimg.com/profile_images/625698487301197824/R6F9oMUa_normal.jpg" xr:uid="{F42F0649-91CA-481D-8DCA-EEEC98A49AB7}"/>
    <hyperlink ref="B5241" r:id="rId16179" display="https://twitter.com/chronsucks" xr:uid="{C0E5B84D-5906-4588-833B-0D7F7A702DF2}"/>
    <hyperlink ref="E5241" r:id="rId16180" display="https://twitter.com/chronsucks/status/723654473785171969" xr:uid="{85E85415-BE2D-44E4-B502-7CA8008ED039}"/>
    <hyperlink ref="O5241" r:id="rId16181" display="https://abs.twimg.com/sticky/default_profile_images/default_profile_0_normal.png" xr:uid="{E42BD201-67E3-4803-B400-CE4463902E59}"/>
    <hyperlink ref="B5242" r:id="rId16182" display="https://twitter.com/VWofStockton" xr:uid="{9D9575BF-7715-43DA-BE35-4C9C413AC360}"/>
    <hyperlink ref="E5242" r:id="rId16183" display="https://twitter.com/VWofStockton/status/723654630232719360" xr:uid="{3285B585-90F8-46C2-BA7B-92765D573C7F}"/>
    <hyperlink ref="O5242" r:id="rId16184" display="https://pbs.twimg.com/profile_images/688094284558422016/VHQCApoO_normal.jpg" xr:uid="{E45B9BAF-9C5B-4D21-B9F4-38A4108DBB67}"/>
    <hyperlink ref="B5243" r:id="rId16185" display="https://twitter.com/RamiBurgos" xr:uid="{90FD6251-C6BB-4ED3-BBF2-D18FCF973251}"/>
    <hyperlink ref="E5243" r:id="rId16186" display="https://twitter.com/RamiBurgos/status/723654717851721731" xr:uid="{6114AFCD-41F1-4902-82F1-145B0B137925}"/>
    <hyperlink ref="O5243" r:id="rId16187" display="https://pbs.twimg.com/profile_images/637079566859767812/tkxkGxL8_normal.jpg" xr:uid="{100F1FBE-3B73-4D98-A751-24FD3188D1C5}"/>
    <hyperlink ref="B5244" r:id="rId16188" display="https://twitter.com/MDRINFO" xr:uid="{4CAF033E-4111-4CCC-9D2E-596BEDFDB527}"/>
    <hyperlink ref="E5244" r:id="rId16189" display="https://twitter.com/MDRINFO/status/723654950019076096" xr:uid="{7967CB01-FEBC-477D-A3EA-FD4A293A3618}"/>
    <hyperlink ref="O5244" r:id="rId16190" display="https://pbs.twimg.com/profile_images/2289706087/q66ajanznpfm87cybp5p_normal.jpeg" xr:uid="{3F007D0C-58A0-4D80-8620-0244079299F5}"/>
    <hyperlink ref="B5245" r:id="rId16191" display="https://twitter.com/kslnewsradio" xr:uid="{FE9CCEFC-26F9-450B-BDF6-E2F7FC42B6BC}"/>
    <hyperlink ref="E5245" r:id="rId16192" display="https://twitter.com/kslnewsradio/status/723655179166306305" xr:uid="{0CF9DADB-E381-4180-AB99-250EFA0EDB64}"/>
    <hyperlink ref="O5245" r:id="rId16193" display="https://pbs.twimg.com/profile_images/609058126193565696/z5t68RjE_normal.jpg" xr:uid="{E986BA89-0671-4E2F-94CF-E8D418B1D3E8}"/>
    <hyperlink ref="B5246" r:id="rId16194" display="https://twitter.com/VWCamperSales" xr:uid="{2CC672B7-6490-4ED9-82C4-9440EC649198}"/>
    <hyperlink ref="E5246" r:id="rId16195" display="https://twitter.com/VWCamperSales/status/723655658524925952" xr:uid="{6BA54484-AFE7-43E7-89D9-E93B668C3960}"/>
    <hyperlink ref="F5246" r:id="rId16196" xr:uid="{7D44D857-5FD7-4AE5-AFB2-434018E15610}"/>
    <hyperlink ref="O5246" r:id="rId16197" display="https://pbs.twimg.com/profile_images/627949001179037696/skEBkS05_normal.jpg" xr:uid="{7BDC265B-FFAB-4152-B139-272098A75E9B}"/>
    <hyperlink ref="B5247" r:id="rId16198" display="https://twitter.com/SnowAngel0724" xr:uid="{85294DBD-B82B-4C1A-9884-6F5D1BDA3297}"/>
    <hyperlink ref="E5247" r:id="rId16199" display="https://twitter.com/SnowAngel0724/status/723657026337837057" xr:uid="{6F403791-F333-4758-82C6-A250D56CACDA}"/>
    <hyperlink ref="O5247" r:id="rId16200" display="https://pbs.twimg.com/profile_images/718800395997294592/7kwRAhRd_normal.jpg" xr:uid="{388530A5-8F0A-43E1-821E-F340F2D80F0C}"/>
    <hyperlink ref="B5248" r:id="rId16201" display="https://twitter.com/VWBeetleSales" xr:uid="{8B0D00F9-8EAC-42DA-A58D-BC44BA03F1C3}"/>
    <hyperlink ref="E5248" r:id="rId16202" display="https://twitter.com/VWBeetleSales/status/723657400146763777" xr:uid="{FE986CB4-F369-4CBB-BF09-B4003CE7A3CD}"/>
    <hyperlink ref="F5248" r:id="rId16203" xr:uid="{11A3FABE-2FD0-46C6-A172-BC71302ECE7B}"/>
    <hyperlink ref="O5248" r:id="rId16204" display="https://pbs.twimg.com/profile_images/703294545195307008/qeCvrX86_normal.jpg" xr:uid="{D011586D-9BA0-4329-90FA-9D424980B788}"/>
    <hyperlink ref="B5249" r:id="rId16205" display="https://twitter.com/VWBeetleSales" xr:uid="{B11A2B9E-B69A-4177-89CE-D0B4DA476170}"/>
    <hyperlink ref="E5249" r:id="rId16206" display="https://twitter.com/VWBeetleSales/status/723657402235514881" xr:uid="{D1588564-1742-4A86-9860-0FA14B2042AF}"/>
    <hyperlink ref="F5249" r:id="rId16207" xr:uid="{00695606-CC2A-4162-8C10-55C1FC7A9E94}"/>
    <hyperlink ref="O5249" r:id="rId16208" display="https://pbs.twimg.com/profile_images/703294545195307008/qeCvrX86_normal.jpg" xr:uid="{E1D866CE-7F55-4386-BF0C-2EE5E4330A9D}"/>
    <hyperlink ref="B5250" r:id="rId16209" display="https://twitter.com/Matt_Barbera2" xr:uid="{436A6E0B-62B1-4A42-A426-63BA50AD0941}"/>
    <hyperlink ref="E5250" r:id="rId16210" display="https://twitter.com/Matt_Barbera2/status/723657556057534464" xr:uid="{09A03013-1F09-43EE-8096-F90D5F144EFA}"/>
    <hyperlink ref="O5250" r:id="rId16211" display="https://pbs.twimg.com/profile_images/722247394377777152/68jeiqXN_normal.jpg" xr:uid="{4CC37025-C912-4841-B61B-C16745F4E37E}"/>
    <hyperlink ref="B5251" r:id="rId16212" display="https://twitter.com/MorSvinka_83" xr:uid="{3DD57EF6-DD03-4869-8D38-B86B6CEE776D}"/>
    <hyperlink ref="E5251" r:id="rId16213" display="https://twitter.com/MorSvinka_83/status/723657666665562112" xr:uid="{E8C82110-2AD3-4DF1-9413-EA7598E5CE0A}"/>
    <hyperlink ref="O5251" r:id="rId16214" display="https://pbs.twimg.com/profile_images/2208847688/Untitled-2_normal.jpg" xr:uid="{8A51CA9E-A1EB-4CF7-9028-0D41D202DFB0}"/>
    <hyperlink ref="B5252" r:id="rId16215" display="https://twitter.com/n05w04" xr:uid="{51AC1082-2D24-457A-A342-CB785254C94D}"/>
    <hyperlink ref="E5252" r:id="rId16216" display="https://twitter.com/n05w04/status/723658525050728453" xr:uid="{C285646E-9848-4074-91ED-74E5E6868500}"/>
    <hyperlink ref="O5252" r:id="rId16217" display="https://pbs.twimg.com/profile_images/442914198830329856/CPRlK2Ur_normal.jpeg" xr:uid="{4812B6E8-A2C6-45E7-AC31-FCBFAE80097E}"/>
    <hyperlink ref="B5253" r:id="rId16218" display="https://twitter.com/VWBeetleSales" xr:uid="{2B7CAF08-2EB7-42A1-B72B-413261BBA5FB}"/>
    <hyperlink ref="E5253" r:id="rId16219" display="https://twitter.com/VWBeetleSales/status/723658917381730305" xr:uid="{36B17458-08E3-4D1D-BF3E-553FB0874667}"/>
    <hyperlink ref="F5253" r:id="rId16220" xr:uid="{E914E726-A5FC-4E4C-B4B3-6D60B3A7AE05}"/>
    <hyperlink ref="O5253" r:id="rId16221" display="https://pbs.twimg.com/profile_images/703294545195307008/qeCvrX86_normal.jpg" xr:uid="{1B776E90-8612-4D84-B324-F39E8DF69E85}"/>
    <hyperlink ref="B5254" r:id="rId16222" display="https://twitter.com/VWBeetleSales" xr:uid="{6B6C23D8-2C76-4DC6-A400-655BDBBE691A}"/>
    <hyperlink ref="E5254" r:id="rId16223" display="https://twitter.com/VWBeetleSales/status/723658925438996480" xr:uid="{C6738563-8A84-4D99-9564-EC64D8C750C5}"/>
    <hyperlink ref="F5254" r:id="rId16224" xr:uid="{B095EA29-AE57-43BE-A377-9033775F7DF9}"/>
    <hyperlink ref="O5254" r:id="rId16225" display="https://pbs.twimg.com/profile_images/703294545195307008/qeCvrX86_normal.jpg" xr:uid="{E0F4DCF7-A980-41B0-97D5-5E5906B05228}"/>
    <hyperlink ref="B5255" r:id="rId16226" display="https://twitter.com/feerquiroga710" xr:uid="{3C2B3F3B-52FB-4B08-B34C-FBA0218646A6}"/>
    <hyperlink ref="E5255" r:id="rId16227" display="https://twitter.com/feerquiroga710/status/723659463647977472" xr:uid="{9A259008-7396-4BCB-96E4-1839CEC73500}"/>
    <hyperlink ref="O5255" r:id="rId16228" display="https://pbs.twimg.com/profile_images/714295690629947392/xeCSYFnl_normal.jpg" xr:uid="{77B2E94D-2D20-456C-A31B-D092DDFA58A3}"/>
    <hyperlink ref="B5256" r:id="rId16229" display="https://twitter.com/soolriivero" xr:uid="{7F1A02D1-29B0-415A-B36E-391B9D8A82FA}"/>
    <hyperlink ref="E5256" r:id="rId16230" display="https://twitter.com/soolriivero/status/723659560272171013" xr:uid="{C36772B0-8C79-4148-B320-FC15DF24696A}"/>
    <hyperlink ref="O5256" r:id="rId16231" display="https://pbs.twimg.com/profile_images/720801824618520576/8Lrf2MJD_normal.jpg" xr:uid="{32DFD1C3-59D3-47CF-8F62-8F3E9CBA9993}"/>
    <hyperlink ref="B5257" r:id="rId16232" display="https://twitter.com/MDBlanchfield" xr:uid="{516305F4-79BD-492B-89A5-150B73142BA5}"/>
    <hyperlink ref="E5257" r:id="rId16233" display="https://twitter.com/MDBlanchfield/status/723659905945636865" xr:uid="{49A864A9-98D2-492E-8174-8CAA4B7E25E5}"/>
    <hyperlink ref="O5257" r:id="rId16234" display="https://pbs.twimg.com/profile_images/717361645454905344/eSYXksup_normal.jpg" xr:uid="{968F3FD7-0B58-47B6-847A-9607BA7735FC}"/>
    <hyperlink ref="B5258" r:id="rId16235" display="https://twitter.com/jess_gq" xr:uid="{D34750E1-BE47-4294-8A64-C0FCEA90FEED}"/>
    <hyperlink ref="E5258" r:id="rId16236" display="https://twitter.com/jess_gq/status/723660029715324928" xr:uid="{6EA0AAE5-F246-40A2-965D-D2D4B2EBB413}"/>
    <hyperlink ref="O5258" r:id="rId16237" display="https://pbs.twimg.com/profile_images/720000905089667073/2aXZd0yK_normal.jpg" xr:uid="{2BCA0501-85FD-49D9-B6C6-4472ACD4A417}"/>
    <hyperlink ref="B5259" r:id="rId16238" display="https://twitter.com/damdamok" xr:uid="{3BB74433-F93D-4D24-AE52-67212B74BEFC}"/>
    <hyperlink ref="E5259" r:id="rId16239" display="https://twitter.com/damdamok/status/723660445039640577" xr:uid="{E84118D3-31A0-4A85-9697-D1C43F424426}"/>
    <hyperlink ref="O5259" r:id="rId16240" display="https://pbs.twimg.com/profile_images/716686215861420032/nElCGDlo_normal.jpg" xr:uid="{80B6D971-7231-4772-AAB7-E73A2882DC53}"/>
    <hyperlink ref="B5260" r:id="rId16241" display="https://twitter.com/Fabio_gonzalezs" xr:uid="{26B3058A-B7D5-491A-8DE7-08DAC30E9B2A}"/>
    <hyperlink ref="E5260" r:id="rId16242" display="https://twitter.com/Fabio_gonzalezs/status/723660521170440192" xr:uid="{16E1B9E4-487E-41BD-8C6C-631261AD35EE}"/>
    <hyperlink ref="O5260" r:id="rId16243" display="https://pbs.twimg.com/profile_images/700934646029279232/ZBynIyxT_normal.jpg" xr:uid="{39CADE41-224E-4481-8D98-ADB16373D087}"/>
    <hyperlink ref="B5261" r:id="rId16244" display="https://twitter.com/VolkswagenPost" xr:uid="{5A53E176-C66E-49E6-8E64-22A4362DB6F9}"/>
    <hyperlink ref="E5261" r:id="rId16245" display="https://twitter.com/VolkswagenPost/status/723660982296281088" xr:uid="{C12589FD-92DA-4C09-8832-66003C3B3FE9}"/>
    <hyperlink ref="O5261" r:id="rId16246" display="https://pbs.twimg.com/profile_images/530071272881803264/a_jcCmPZ_normal.png" xr:uid="{EE30FC98-C8FC-4C78-B8F8-93D07C58FD5E}"/>
    <hyperlink ref="B5262" r:id="rId16247" display="https://twitter.com/hernancarlos88" xr:uid="{1668699F-3CE0-4790-8FDE-7B91B6027660}"/>
    <hyperlink ref="E5262" r:id="rId16248" display="https://twitter.com/hernancarlos88/status/723661313080053760" xr:uid="{32F6D9D6-E591-48C8-B383-A5CA588FAD31}"/>
    <hyperlink ref="O5262" r:id="rId16249" display="https://pbs.twimg.com/profile_images/707593065850994688/vfHYeV8C_normal.jpg" xr:uid="{450C7377-6498-41C0-B6E5-46C9650C2D10}"/>
    <hyperlink ref="B5263" r:id="rId16250" display="https://twitter.com/805CameraBus" xr:uid="{3D6CD5CE-E90E-44BD-9BD9-E4818E289855}"/>
    <hyperlink ref="E5263" r:id="rId16251" display="https://twitter.com/805CameraBus/status/723662069740904448" xr:uid="{05145824-EB58-44A6-9E75-2982FC5766DB}"/>
    <hyperlink ref="O5263" r:id="rId16252" display="https://pbs.twimg.com/profile_images/715772857578602497/Bwg-n1yL_normal.jpg" xr:uid="{4C9C8B54-3E0D-4887-8821-96FC22951927}"/>
    <hyperlink ref="B5264" r:id="rId16253" display="https://twitter.com/jahdaic" xr:uid="{D5E7E823-2635-4335-88FB-BD82CDABEF83}"/>
    <hyperlink ref="E5264" r:id="rId16254" display="https://twitter.com/jahdaic/status/723662079425695745" xr:uid="{832C30C2-3E85-40E9-8D9C-712DF5689908}"/>
    <hyperlink ref="O5264" r:id="rId16255" display="https://pbs.twimg.com/profile_images/722859223089070080/75kCpYCK_normal.jpg" xr:uid="{B4AB0029-0EA9-4FCE-9410-66EF25D43837}"/>
    <hyperlink ref="B5265" r:id="rId16256" display="https://twitter.com/VWBeetleSales" xr:uid="{82F54D59-1DEF-4389-B494-3EDED558A0EA}"/>
    <hyperlink ref="E5265" r:id="rId16257" display="https://twitter.com/VWBeetleSales/status/723662083426918401" xr:uid="{81EEE756-F6FC-4C1E-9205-24FD9A6BF53D}"/>
    <hyperlink ref="F5265" r:id="rId16258" xr:uid="{99041FF8-528E-4E61-9104-67CB87B52923}"/>
    <hyperlink ref="O5265" r:id="rId16259" display="https://pbs.twimg.com/profile_images/703294545195307008/qeCvrX86_normal.jpg" xr:uid="{FEBFB005-6ABE-40E0-902A-57F6E64F6313}"/>
    <hyperlink ref="B5266" r:id="rId16260" display="https://twitter.com/sinairally" xr:uid="{B4A465D7-95FF-4EEC-9062-82008F5344AE}"/>
    <hyperlink ref="E5266" r:id="rId16261" display="https://twitter.com/sinairally/status/723662608864317442" xr:uid="{DF27011F-D3D5-4F89-8840-90E25F092DFE}"/>
    <hyperlink ref="O5266" r:id="rId16262" display="https://pbs.twimg.com/profile_images/697117108275146753/gEm5e8_g_normal.png" xr:uid="{E7D9E60E-C42A-436A-A154-A43F92C5B4DB}"/>
    <hyperlink ref="B5267" r:id="rId16263" display="https://twitter.com/beetlebug1938" xr:uid="{92613D1A-6F38-4FD3-8201-05E09769A76B}"/>
    <hyperlink ref="E5267" r:id="rId16264" display="https://twitter.com/beetlebug1938/status/723663430100594688" xr:uid="{08522A82-9552-4798-91FB-02B7C6E77BAA}"/>
    <hyperlink ref="O5267" r:id="rId16265" display="https://pbs.twimg.com/profile_images/718820712757215233/LXXndPTS_normal.jpg" xr:uid="{55DAF7FC-0724-41C7-B15A-D2A4F0ECC4AD}"/>
    <hyperlink ref="B5268" r:id="rId16266" display="https://twitter.com/beetlebug1938" xr:uid="{4BC2507D-77B8-4D2D-9F95-A424874F7A7F}"/>
    <hyperlink ref="E5268" r:id="rId16267" display="https://twitter.com/beetlebug1938/status/723663436413034496" xr:uid="{EC6C981C-4E40-440E-9BB5-48DF8255C504}"/>
    <hyperlink ref="O5268" r:id="rId16268" display="https://pbs.twimg.com/profile_images/718820712757215233/LXXndPTS_normal.jpg" xr:uid="{737ABD86-F786-4682-BAAA-AB17385A3DF2}"/>
    <hyperlink ref="B5269" r:id="rId16269" display="https://twitter.com/VWCamperSales" xr:uid="{FAE5CFC2-ECB4-473B-8488-9DD5D0D0D01A}"/>
    <hyperlink ref="E5269" r:id="rId16270" display="https://twitter.com/VWCamperSales/status/723663598266908672" xr:uid="{71E36760-9C9E-4A4E-A725-AE8C0DAD1E09}"/>
    <hyperlink ref="F5269" r:id="rId16271" xr:uid="{3DF6D66B-D3E9-4F5F-84D8-B3CBA5E00FF6}"/>
    <hyperlink ref="O5269" r:id="rId16272" display="https://pbs.twimg.com/profile_images/627949001179037696/skEBkS05_normal.jpg" xr:uid="{007AF408-A86D-4944-B72C-AF2C6D295DC1}"/>
    <hyperlink ref="B5270" r:id="rId16273" display="https://twitter.com/FuscaWorld" xr:uid="{49F763EC-4B3D-4533-A8A4-354D6B27FEA2}"/>
    <hyperlink ref="E5270" r:id="rId16274" display="https://twitter.com/FuscaWorld/status/723663648275750912" xr:uid="{A53567B9-4A00-4985-8531-5F2B8EB7BF83}"/>
    <hyperlink ref="O5270" r:id="rId16275" display="https://pbs.twimg.com/profile_images/705780107844067328/e7O4UBNb_normal.jpg" xr:uid="{B9737AC8-BB34-4F8A-9AE6-5F0E23C1C150}"/>
    <hyperlink ref="B5271" r:id="rId16276" display="https://twitter.com/mark_germain" xr:uid="{D9C064D6-53A9-4058-B1DD-9BBB3658E82E}"/>
    <hyperlink ref="E5271" r:id="rId16277" display="https://twitter.com/mark_germain/status/723664691449438210" xr:uid="{45041AE9-15FD-4679-9E71-8705E206A885}"/>
    <hyperlink ref="O5271" r:id="rId16278" display="https://pbs.twimg.com/profile_images/667796187039199233/B8zDXbfw_normal.jpg" xr:uid="{76C08859-527D-49B0-B078-6AD50A48DACB}"/>
    <hyperlink ref="B5272" r:id="rId16279" display="https://twitter.com/BeaconWealth" xr:uid="{EEE61A6C-BBE4-485B-BD37-722ED061E776}"/>
    <hyperlink ref="E5272" r:id="rId16280" display="https://twitter.com/BeaconWealth/status/723664694523924480" xr:uid="{CDD10393-8396-4E83-BE13-9264FAAD1BD8}"/>
    <hyperlink ref="O5272" r:id="rId16281" display="https://pbs.twimg.com/profile_images/2599636126/x02y4h1jup58idpvausw_normal.jpeg" xr:uid="{F938DB64-8FDF-494B-BE40-68ED50BD960C}"/>
    <hyperlink ref="B5273" r:id="rId16282" display="https://twitter.com/angelmartinber" xr:uid="{8D079785-2DE0-430B-9593-24C5F22D053E}"/>
    <hyperlink ref="E5273" r:id="rId16283" display="https://twitter.com/angelmartinber/status/723664790401503232" xr:uid="{8FBE59FB-7C0A-4D86-A617-030B6F34DFA4}"/>
    <hyperlink ref="O5273" r:id="rId16284" display="https://pbs.twimg.com/profile_images/653969613936533504/Yb9hq4mK_normal.jpg" xr:uid="{C159313C-ABA9-4381-9866-69C4EDB5A788}"/>
    <hyperlink ref="B5274" r:id="rId16285" display="https://twitter.com/LifeBlab" xr:uid="{974BBF6C-4611-4CC8-8AD2-DD82044C4F3E}"/>
    <hyperlink ref="E5274" r:id="rId16286" display="https://twitter.com/LifeBlab/status/723664975248646145" xr:uid="{79C74E6F-028E-4C27-B45B-E68D5273DE38}"/>
    <hyperlink ref="O5274" r:id="rId16287" display="https://pbs.twimg.com/profile_images/1247253854/lifeblab-icon6_normal.png" xr:uid="{7A1CDBAE-8161-48AE-9F0A-64F3C5D2C120}"/>
    <hyperlink ref="B5275" r:id="rId16288" display="https://twitter.com/AutobarnVWCS" xr:uid="{BF90DD1E-D92A-498D-B79C-453F0CB8B550}"/>
    <hyperlink ref="E5275" r:id="rId16289" display="https://twitter.com/AutobarnVWCS/status/723665261979656192" xr:uid="{7CCD1C60-0518-41B2-B87C-60E692AA5F24}"/>
    <hyperlink ref="O5275" r:id="rId16290" display="https://pbs.twimg.com/profile_images/537269183315058688/xeIPssfD_normal.png" xr:uid="{4E08A654-887C-405E-A727-18CB1BE17600}"/>
    <hyperlink ref="B5276" r:id="rId16291" display="https://twitter.com/ORattorney" xr:uid="{5F022BC4-A42C-457A-BEE6-CCD9E48FE359}"/>
    <hyperlink ref="E5276" r:id="rId16292" display="https://twitter.com/ORattorney/status/723665515235790848" xr:uid="{DB32728E-0E96-4FBE-B2AB-9A7AC25D844E}"/>
    <hyperlink ref="O5276" r:id="rId16293" display="https://pbs.twimg.com/profile_images/477178494099550208/fDwtt_6w_normal.jpeg" xr:uid="{7DB1141C-CFC2-47D9-9993-7478B4EEF309}"/>
    <hyperlink ref="B5277" r:id="rId16294" display="https://twitter.com/barclay_m" xr:uid="{F8B611F0-EAB8-4D1B-8005-9B07598D04C1}"/>
    <hyperlink ref="E5277" r:id="rId16295" display="https://twitter.com/barclay_m/status/723665546324013057" xr:uid="{6A9D8F63-AEC6-48FE-ACB8-C8FC5E159194}"/>
    <hyperlink ref="O5277" r:id="rId16296" display="https://pbs.twimg.com/profile_images/709833135190642690/eUY1fcNe_normal.jpg" xr:uid="{EC4A2A12-3AE5-4BB2-9C62-FEFB08F8A003}"/>
    <hyperlink ref="B5278" r:id="rId16297" display="https://twitter.com/vwscully" xr:uid="{837DA590-3C22-4719-966A-E3D60DDB4D09}"/>
    <hyperlink ref="E5278" r:id="rId16298" display="https://twitter.com/vwscully/status/723665565152321536" xr:uid="{A927E5AB-0FE8-41DD-A984-5F95ECEEA677}"/>
    <hyperlink ref="O5278" r:id="rId16299" display="https://pbs.twimg.com/profile_images/2817103532/22f579fee96ef09817a45107de93154e_normal.jpeg" xr:uid="{4F25B7B4-DC8B-47EB-9925-A353A4EDBAAC}"/>
    <hyperlink ref="B5279" r:id="rId16300" display="https://twitter.com/EnlaceMexicoMX" xr:uid="{1775EC54-BBEB-45AB-8762-DD5C7B7A9EEE}"/>
    <hyperlink ref="E5279" r:id="rId16301" display="https://twitter.com/EnlaceMexicoMX/status/723665582936059904" xr:uid="{E79966BC-AD12-448D-AF98-32CCF0000D74}"/>
    <hyperlink ref="O5279" r:id="rId16302" display="https://pbs.twimg.com/profile_images/492428476062777344/PinaonZb_normal.jpeg" xr:uid="{79B94433-34B0-4234-BA06-E689D4A79926}"/>
    <hyperlink ref="B5280" r:id="rId16303" display="https://twitter.com/rico_moreno" xr:uid="{66D3961A-A6EF-4414-B98F-A92013E5CF37}"/>
    <hyperlink ref="E5280" r:id="rId16304" display="https://twitter.com/rico_moreno/status/723666090794983425" xr:uid="{13471D3E-0F2B-4239-9D39-020B4A60788B}"/>
    <hyperlink ref="O5280" r:id="rId16305" display="https://pbs.twimg.com/profile_images/473241395436986368/mFhroiNf_normal.jpeg" xr:uid="{CC9C900E-83F1-40F8-8924-83891C662AEA}"/>
    <hyperlink ref="B5281" r:id="rId16306" display="https://twitter.com/SnowAngel0724" xr:uid="{AEC548F4-C478-4C16-B5F5-2478FDC9BCDD}"/>
    <hyperlink ref="E5281" r:id="rId16307" display="https://twitter.com/SnowAngel0724/status/723667091153248256" xr:uid="{308BD78B-93A6-4074-BDBC-41CA700E8CEF}"/>
    <hyperlink ref="O5281" r:id="rId16308" display="https://pbs.twimg.com/profile_images/718800395997294592/7kwRAhRd_normal.jpg" xr:uid="{BD5768B7-8820-4D21-90D5-09EC8122B987}"/>
    <hyperlink ref="B5282" r:id="rId16309" display="https://twitter.com/isazozoaga" xr:uid="{0DA028B4-1789-490B-ACEA-05A8D99355F9}"/>
    <hyperlink ref="E5282" r:id="rId16310" display="https://twitter.com/isazozoaga/status/723667932346114050" xr:uid="{C021E58F-5084-4375-B486-788C7854CB90}"/>
    <hyperlink ref="O5282" r:id="rId16311" display="https://pbs.twimg.com/profile_images/447441718514700288/peakR1oV_normal.jpeg" xr:uid="{5D54297E-16DB-4D07-A13F-353BD69F633F}"/>
    <hyperlink ref="B5283" r:id="rId16312" display="https://twitter.com/Scirocco_Tuning" xr:uid="{CD4A402E-9901-4E7A-A038-8BC73F27D686}"/>
    <hyperlink ref="E5283" r:id="rId16313" display="https://twitter.com/Scirocco_Tuning/status/723668196511866880" xr:uid="{B0AB6D3A-B078-4336-B76C-279444A5FF60}"/>
    <hyperlink ref="O5283" r:id="rId16314" display="https://pbs.twimg.com/profile_images/1610421423/Image2_normal.jpg" xr:uid="{79DA78F6-6A44-4F7D-A0E9-22B79D858552}"/>
    <hyperlink ref="B5284" r:id="rId16315" display="https://twitter.com/oldcar_photo" xr:uid="{EFBC9551-C4FE-4B3D-B68B-80F49DDF46DF}"/>
    <hyperlink ref="E5284" r:id="rId16316" display="https://twitter.com/oldcar_photo/status/723668229076430848" xr:uid="{0A18451A-3A21-4744-BD5C-388EB99FF0C3}"/>
    <hyperlink ref="O5284" r:id="rId16317" display="https://pbs.twimg.com/profile_images/615493650785660928/XHUh6HOk_normal.jpg" xr:uid="{3848B842-0DD3-43D0-8D50-9948A56FDD17}"/>
    <hyperlink ref="B5285" r:id="rId16318" display="https://twitter.com/VCT_Tweets" xr:uid="{AE1115B6-D391-418A-9873-529B7B280D8B}"/>
    <hyperlink ref="E5285" r:id="rId16319" display="https://twitter.com/VCT_Tweets/status/723668666252943360" xr:uid="{3852AA3C-7DBB-4321-ACF0-E49B45EB5194}"/>
    <hyperlink ref="O5285" r:id="rId16320" display="https://pbs.twimg.com/profile_images/569800899141177344/nVFLMSdb_normal.png" xr:uid="{E674EC9F-F203-44E1-9762-47A27ED65B77}"/>
    <hyperlink ref="B5286" r:id="rId16321" display="https://twitter.com/cosasdeautos" xr:uid="{59E1A027-B027-4613-9593-29AC675BA291}"/>
    <hyperlink ref="E5286" r:id="rId16322" display="https://twitter.com/cosasdeautos/status/723669042775638017" xr:uid="{1300C255-71C7-4D25-B907-ACC423DE75D0}"/>
    <hyperlink ref="O5286" r:id="rId16323" display="https://pbs.twimg.com/profile_images/474019501403406336/_4Ns_zdP_normal.jpeg" xr:uid="{9F6AE7C8-F750-492F-9695-F33845ABCAC4}"/>
    <hyperlink ref="B5287" r:id="rId16324" display="https://twitter.com/ebaycampervans" xr:uid="{3549FC28-DFF1-48CE-B952-6B22A0558FE9}"/>
    <hyperlink ref="E5287" r:id="rId16325" display="https://twitter.com/ebaycampervans/status/723669110412873728" xr:uid="{6E9FF425-A425-41C9-A313-6FCBAC4F40FA}"/>
    <hyperlink ref="O5287" r:id="rId16326" display="https://pbs.twimg.com/profile_images/599357023407464449/BL9Bpo6T_normal.jpg" xr:uid="{598BB30A-6C9B-4419-95BF-719933AEBA9B}"/>
    <hyperlink ref="B5288" r:id="rId16327" display="https://twitter.com/_Payaso__" xr:uid="{763EEAFE-73A2-4B4E-98EC-292ED1BBD149}"/>
    <hyperlink ref="E5288" r:id="rId16328" display="https://twitter.com/_Payaso__/status/723669165488394240" xr:uid="{77126417-8845-45D1-B47D-6D887D1483BF}"/>
    <hyperlink ref="O5288" r:id="rId16329" display="https://pbs.twimg.com/profile_images/672077684932009985/G8MLPDJT_normal.jpg" xr:uid="{66976DAF-FB1A-412A-9EF8-DBE00D3F3332}"/>
    <hyperlink ref="B5289" r:id="rId16330" display="https://twitter.com/FuscaWorld" xr:uid="{7E125F9D-6F10-4BE4-B9B8-BDA9BCFEC42B}"/>
    <hyperlink ref="E5289" r:id="rId16331" display="https://twitter.com/FuscaWorld/status/723669189513338880" xr:uid="{07AEEE91-9982-411F-94BB-7B875B1EC4E0}"/>
    <hyperlink ref="O5289" r:id="rId16332" display="https://pbs.twimg.com/profile_images/705780107844067328/e7O4UBNb_normal.jpg" xr:uid="{A7DE37E8-2ACC-4F9A-95F4-E3D7CE636BB0}"/>
    <hyperlink ref="B5290" r:id="rId16333" display="https://twitter.com/sohailmalik7" xr:uid="{CAB7A886-F190-438A-BDCC-7AD3361A18AA}"/>
    <hyperlink ref="E5290" r:id="rId16334" display="https://twitter.com/sohailmalik7/status/723669789646950400" xr:uid="{B6AB7C36-5889-4F35-B178-2B09AD10C89B}"/>
    <hyperlink ref="O5290" r:id="rId16335" display="https://pbs.twimg.com/profile_images/699776285401333761/lEBgZfiO_normal.jpg" xr:uid="{F6F909CB-47DB-4EAF-B57A-F6B7A6EAE94A}"/>
    <hyperlink ref="B5291" r:id="rId16336" display="https://twitter.com/rplantt" xr:uid="{163AE936-D8F0-4BE6-BBAD-9ABDED22EF27}"/>
    <hyperlink ref="E5291" r:id="rId16337" display="https://twitter.com/rplantt/status/723669990059216896" xr:uid="{7861457E-A13D-4E51-8317-10FC314B166F}"/>
    <hyperlink ref="O5291" r:id="rId16338" display="https://pbs.twimg.com/profile_images/459064818557661184/91o9tza1_normal.jpeg" xr:uid="{084333A5-E6C9-4215-895D-3063DBBFE58E}"/>
    <hyperlink ref="B5292" r:id="rId16339" display="https://twitter.com/CollectHW" xr:uid="{154FA5D8-384F-481B-B5CE-D30BF8B11B7D}"/>
    <hyperlink ref="E5292" r:id="rId16340" display="https://twitter.com/CollectHW/status/723670043993735168" xr:uid="{54977BB9-111E-4C2E-AC24-BBD687B9D8BF}"/>
    <hyperlink ref="O5292" r:id="rId16341" display="https://pbs.twimg.com/profile_images/522469771573350400/e5WjUwRr_normal.png" xr:uid="{0CA6570A-E63E-4E26-B050-1F3A2DA67AF9}"/>
    <hyperlink ref="B5293" r:id="rId16342" display="https://twitter.com/saudi_carz" xr:uid="{19DB038C-D495-4BBB-927B-9CE091D26FC8}"/>
    <hyperlink ref="E5293" r:id="rId16343" display="https://twitter.com/saudi_carz/status/723670098519703552" xr:uid="{D236D29F-4818-426D-8C78-A0541F372CB0}"/>
    <hyperlink ref="O5293" r:id="rId16344" display="https://pbs.twimg.com/profile_images/669116837360246784/ej1M5xaG_normal.jpg" xr:uid="{7B9453D8-A490-4F45-86C8-D1AB2974BB70}"/>
    <hyperlink ref="B5294" r:id="rId16345" display="https://twitter.com/KMennerFineArt" xr:uid="{C4E43785-EAC7-44A2-AD86-613EAB43BBDD}"/>
    <hyperlink ref="E5294" r:id="rId16346" display="https://twitter.com/KMennerFineArt/status/723670135219712000" xr:uid="{E3019BFC-5408-47D5-8C19-84E915ED4200}"/>
    <hyperlink ref="O5294" r:id="rId16347" display="https://pbs.twimg.com/profile_images/477811564179779585/Tn-jHdTl_normal.jpeg" xr:uid="{0D99C365-2A93-40CD-90DF-C802A327C77E}"/>
    <hyperlink ref="B5295" r:id="rId16348" display="https://twitter.com/Omaruberto" xr:uid="{AD8DB2FF-7221-44CB-BA3F-7DB86BBE5AC7}"/>
    <hyperlink ref="E5295" r:id="rId16349" display="https://twitter.com/Omaruberto/status/723670502695407617" xr:uid="{D5DEA30B-ABC6-42BD-939A-68CF1EFCFCFA}"/>
    <hyperlink ref="O5295" r:id="rId16350" display="https://pbs.twimg.com/profile_images/557683961036828673/88lV9nT3_normal.jpeg" xr:uid="{53831A4C-5689-4F6A-BECE-83533B792DE1}"/>
    <hyperlink ref="B5296" r:id="rId16351" display="https://twitter.com/vwbusman72" xr:uid="{06D90E60-9E8A-4FFC-840F-D99CD24ABDCB}"/>
    <hyperlink ref="E5296" r:id="rId16352" display="https://twitter.com/vwbusman72/status/723671044897267712" xr:uid="{84CF31E2-3D6D-47E0-8DA8-63C9BE7B4CC7}"/>
    <hyperlink ref="O5296" r:id="rId16353" display="https://pbs.twimg.com/profile_images/535972937346863104/azd9tVvN_normal.jpeg" xr:uid="{A60CC56D-F079-4CE4-B933-E4E65D870AD1}"/>
    <hyperlink ref="B5297" r:id="rId16354" display="https://twitter.com/Wracktonne" xr:uid="{8031A143-3F59-401B-A5F8-D8BA58D2C372}"/>
    <hyperlink ref="E5297" r:id="rId16355" display="https://twitter.com/Wracktonne/status/723671739281100800" xr:uid="{31483823-6E60-4A24-A562-C01AD64B04DE}"/>
    <hyperlink ref="O5297" r:id="rId16356" display="https://pbs.twimg.com/profile_images/716001984168521730/VNYAvB9v_normal.jpg" xr:uid="{A93823A9-0E5B-4863-8A16-5399BD1ED719}"/>
    <hyperlink ref="B5298" r:id="rId16357" display="https://twitter.com/vwbusman72" xr:uid="{619A26FC-B3B7-4448-B94D-2B76904F8B33}"/>
    <hyperlink ref="E5298" r:id="rId16358" display="https://twitter.com/vwbusman72/status/723671967249866752" xr:uid="{E5318D3B-D2CD-4B79-8761-35D44EB116CD}"/>
    <hyperlink ref="O5298" r:id="rId16359" display="https://pbs.twimg.com/profile_images/535972937346863104/azd9tVvN_normal.jpeg" xr:uid="{A2B20F73-4BC4-44D4-AEDC-AC77944B4B4D}"/>
    <hyperlink ref="B5299" r:id="rId16360" display="https://twitter.com/TheNewDailyAu" xr:uid="{64A1B015-7393-4438-89A6-B25E813A5EEA}"/>
    <hyperlink ref="E5299" r:id="rId16361" display="https://twitter.com/TheNewDailyAu/status/723673234013442048" xr:uid="{2F694DC0-9412-410E-91C9-4F2397509CA9}"/>
    <hyperlink ref="O5299" r:id="rId16362" display="https://pbs.twimg.com/profile_images/539549629847584769/3to5Was6_normal.png" xr:uid="{C7F77D3E-E012-46CD-8C99-2CD6A3E567A1}"/>
    <hyperlink ref="B5300" r:id="rId16363" display="https://twitter.com/EUROPAvsEBOLA" xr:uid="{C55012A6-8BDA-432C-9A4F-7D57AED07B6F}"/>
    <hyperlink ref="E5300" r:id="rId16364" display="https://twitter.com/EUROPAvsEBOLA/status/723674591743369216" xr:uid="{BA5B3284-25B8-404B-A54D-CBC662BBE926}"/>
    <hyperlink ref="O5300" r:id="rId16365" display="https://pbs.twimg.com/profile_images/521862730584580096/OFkhzI16_normal.png" xr:uid="{753FD028-C84E-4A9C-BF82-F728B1E17C36}"/>
    <hyperlink ref="B5301" r:id="rId16366" display="https://twitter.com/kustomfest" xr:uid="{29D4E8BD-D2B4-4653-9D5E-406DDA498E6E}"/>
    <hyperlink ref="E5301" r:id="rId16367" display="https://twitter.com/kustomfest/status/723675303520927744" xr:uid="{BFE12C3A-057F-46D3-B576-DB5C9145DA42}"/>
    <hyperlink ref="O5301" r:id="rId16368" display="https://pbs.twimg.com/profile_images/1883286200/Logo_20Kustomfest_normal.jpg" xr:uid="{3754B1FA-FC0D-4807-9F40-7F6637923C4B}"/>
    <hyperlink ref="B5302" r:id="rId16369" display="https://twitter.com/NiCoMoeremans" xr:uid="{09A39E6A-6BDE-4703-A658-604449725FE7}"/>
    <hyperlink ref="E5302" r:id="rId16370" display="https://twitter.com/NiCoMoeremans/status/723675316233854976" xr:uid="{3186FE22-A0D5-4237-BEB7-1DFBEAF0B93D}"/>
    <hyperlink ref="O5302" r:id="rId16371" display="https://pbs.twimg.com/profile_images/637462942779318272/u2z-u7RM_normal.jpg" xr:uid="{3F676350-F76A-4EBA-846F-713DD96376FE}"/>
    <hyperlink ref="B5303" r:id="rId16372" display="https://twitter.com/kustomfest" xr:uid="{12D290BF-BCAF-4606-99C4-6159DDED0D4A}"/>
    <hyperlink ref="E5303" r:id="rId16373" display="https://twitter.com/kustomfest/status/723675662561775617" xr:uid="{952A5476-3579-4139-AE5E-500C52FCA3DB}"/>
    <hyperlink ref="O5303" r:id="rId16374" display="https://pbs.twimg.com/profile_images/1883286200/Logo_20Kustomfest_normal.jpg" xr:uid="{587A3C25-F14A-4726-B2E1-05B9B2914DAB}"/>
    <hyperlink ref="B5304" r:id="rId16375" display="https://twitter.com/VolkswagenPost" xr:uid="{77FF80C7-81D6-4506-A696-75194457934E}"/>
    <hyperlink ref="E5304" r:id="rId16376" display="https://twitter.com/VolkswagenPost/status/723676687154597889" xr:uid="{66BAF5D8-620D-4F68-9375-C1F7879E6ED4}"/>
    <hyperlink ref="O5304" r:id="rId16377" display="https://pbs.twimg.com/profile_images/530071272881803264/a_jcCmPZ_normal.png" xr:uid="{A7644E4C-97B0-4AA4-BDA8-6F08C1DB5B5F}"/>
    <hyperlink ref="B5305" r:id="rId16378" display="https://twitter.com/VolkswagenPost" xr:uid="{E9402E09-0265-42A3-B5FF-97743AFAF085}"/>
    <hyperlink ref="E5305" r:id="rId16379" display="https://twitter.com/VolkswagenPost/status/723676687993462785" xr:uid="{AADD7988-5C30-4837-8C60-44A7199389EF}"/>
    <hyperlink ref="O5305" r:id="rId16380" display="https://pbs.twimg.com/profile_images/530071272881803264/a_jcCmPZ_normal.png" xr:uid="{2E250964-F906-4F28-B025-5B611BE0F710}"/>
    <hyperlink ref="B5306" r:id="rId16381" display="https://twitter.com/VolkswagenPost" xr:uid="{846F523A-3AE9-4C42-AD5C-3F2E75009A4A}"/>
    <hyperlink ref="E5306" r:id="rId16382" display="https://twitter.com/VolkswagenPost/status/723676688895217665" xr:uid="{D5176589-3C40-4391-B264-AC04E32F379A}"/>
    <hyperlink ref="O5306" r:id="rId16383" display="https://pbs.twimg.com/profile_images/530071272881803264/a_jcCmPZ_normal.png" xr:uid="{27CBB629-DE1C-4E83-AC4A-97C964DB4A30}"/>
    <hyperlink ref="B5307" r:id="rId16384" display="https://twitter.com/VolkswagenPost" xr:uid="{892E4060-1DE6-4370-9E98-E3DB99DF9B6A}"/>
    <hyperlink ref="E5307" r:id="rId16385" display="https://twitter.com/VolkswagenPost/status/723676689771843584" xr:uid="{A266372C-97F8-4E29-B41E-2876F14E5A65}"/>
    <hyperlink ref="O5307" r:id="rId16386" display="https://pbs.twimg.com/profile_images/530071272881803264/a_jcCmPZ_normal.png" xr:uid="{E301E8FC-2EB2-404C-829E-8460C0820176}"/>
    <hyperlink ref="B5308" r:id="rId16387" display="https://twitter.com/Rigoler" xr:uid="{3D8BCA76-80C9-4F07-BE9F-27B7765C86AA}"/>
    <hyperlink ref="E5308" r:id="rId16388" display="https://twitter.com/Rigoler/status/723677234691735553" xr:uid="{9E0BDF7F-CD73-47F9-9B5C-7385983E3CBE}"/>
    <hyperlink ref="O5308" r:id="rId16389" display="https://pbs.twimg.com/profile_images/711179363203452929/T5u2PPJQ_normal.jpg" xr:uid="{62D976AC-8A2A-4740-A4F4-EAD3B43D1D4E}"/>
    <hyperlink ref="B5309" r:id="rId16390" display="https://twitter.com/beetlebug1938" xr:uid="{9B9F7C0D-DA06-4400-BD18-3F39ADE17A3F}"/>
    <hyperlink ref="E5309" r:id="rId16391" display="https://twitter.com/beetlebug1938/status/723678672226553856" xr:uid="{57195255-283E-4322-A68D-E5962D62CBD7}"/>
    <hyperlink ref="O5309" r:id="rId16392" display="https://pbs.twimg.com/profile_images/718820712757215233/LXXndPTS_normal.jpg" xr:uid="{49822C8D-9ED8-4A6E-9A41-0614F4DEBC31}"/>
    <hyperlink ref="B5310" r:id="rId16393" display="https://twitter.com/rplantt" xr:uid="{11A4D5CA-ED00-4248-AA58-0CCF508DBEF2}"/>
    <hyperlink ref="E5310" r:id="rId16394" display="https://twitter.com/rplantt/status/723678716002447361" xr:uid="{9772806B-5305-4FC2-8CF5-81BC2CC34CCE}"/>
    <hyperlink ref="O5310" r:id="rId16395" display="https://pbs.twimg.com/profile_images/459064818557661184/91o9tza1_normal.jpeg" xr:uid="{3DF53293-98AF-44D4-AE4C-233E3C83CC44}"/>
    <hyperlink ref="B5311" r:id="rId16396" display="https://twitter.com/SantiGutie" xr:uid="{C5CB7E2C-BAF1-49FE-B6DC-06B9BCB24FCD}"/>
    <hyperlink ref="E5311" r:id="rId16397" display="https://twitter.com/SantiGutie/status/723679211790147584" xr:uid="{41504061-360E-4635-94CC-96DB3BF693F0}"/>
    <hyperlink ref="O5311" r:id="rId16398" display="https://pbs.twimg.com/profile_images/708144941898321920/yFsT-WEB_normal.jpg" xr:uid="{F455C51F-AC9D-491F-8E2C-1F32334C54F9}"/>
    <hyperlink ref="B5312" r:id="rId16399" display="https://twitter.com/robertmarere" xr:uid="{CBAE0F34-8208-4F55-858F-FCA9F899B801}"/>
    <hyperlink ref="E5312" r:id="rId16400" display="https://twitter.com/robertmarere/status/723679343021531136" xr:uid="{1000E440-E9A4-48F3-84FF-B817DBA63713}"/>
    <hyperlink ref="O5312" r:id="rId16401" display="https://pbs.twimg.com/profile_images/625575996981407744/VHvf7EVC_normal.jpg" xr:uid="{831746A2-B779-4952-96F7-2B7E9A3EDE7D}"/>
    <hyperlink ref="B5313" r:id="rId16402" display="https://twitter.com/HomeMckee" xr:uid="{9DBA72B4-D082-4314-A381-615951B8D82E}"/>
    <hyperlink ref="E5313" r:id="rId16403" display="https://twitter.com/HomeMckee/status/723679607363383297" xr:uid="{B82FBD64-4E79-44DC-900C-8C118F923D8B}"/>
    <hyperlink ref="O5313" r:id="rId16404" display="https://pbs.twimg.com/profile_images/723576155173957632/q_TORr6w_normal.jpg" xr:uid="{0F31D6C9-89BF-46B4-8A22-622E83612357}"/>
    <hyperlink ref="B5314" r:id="rId16405" display="https://twitter.com/miner_media" xr:uid="{3E579FFC-4580-4112-8FB0-E951D5D4F261}"/>
    <hyperlink ref="E5314" r:id="rId16406" display="https://twitter.com/miner_media/status/723679695129079808" xr:uid="{50B12110-F523-4C9A-9AF8-BE92EDFF8E1C}"/>
    <hyperlink ref="O5314" r:id="rId16407" display="https://pbs.twimg.com/profile_images/723677113027420160/EMZKh-Rq_normal.jpg" xr:uid="{ED607D12-FE92-4E4B-9FEF-C063418B0406}"/>
    <hyperlink ref="B5315" r:id="rId16408" display="https://twitter.com/ChiruzzaCerveza" xr:uid="{8FD04878-5073-4D89-A831-F0875035DA42}"/>
    <hyperlink ref="E5315" r:id="rId16409" display="https://twitter.com/ChiruzzaCerveza/status/723680153465921536" xr:uid="{B6B87858-FC0F-4E82-8D41-D17212DB48EC}"/>
    <hyperlink ref="O5315" r:id="rId16410" display="https://pbs.twimg.com/profile_images/482693553739427840/7SfjXxqi_normal.png" xr:uid="{079FD9D9-9BD1-4836-8B4B-20C5EF67F77E}"/>
    <hyperlink ref="B5316" r:id="rId16411" display="https://twitter.com/KostasTourlakis" xr:uid="{2A804115-EB36-45FE-A97B-C1298D0470A5}"/>
    <hyperlink ref="E5316" r:id="rId16412" display="https://twitter.com/KostasTourlakis/status/723680517640605696" xr:uid="{462D8495-AAA2-4DD0-A6AF-A85B7ED6B733}"/>
    <hyperlink ref="O5316" r:id="rId16413" display="https://pbs.twimg.com/profile_images/719217805376270337/CC_zc0I5_normal.jpg" xr:uid="{6FC01CDD-ADFB-4FCA-A31D-9EE1493EC2A7}"/>
    <hyperlink ref="B5317" r:id="rId16414" display="https://twitter.com/hime__eri" xr:uid="{CE51278A-0EC3-43BB-9ED5-34D504ED1D18}"/>
    <hyperlink ref="E5317" r:id="rId16415" display="https://twitter.com/hime__eri/status/723682202228166656" xr:uid="{A790D468-27F8-4584-8DC4-124E69208917}"/>
    <hyperlink ref="O5317" r:id="rId16416" display="https://pbs.twimg.com/profile_images/679327429643513856/MKIspi1j_normal.jpg" xr:uid="{1529C3B6-BDFD-4C71-941F-FF163DCF8602}"/>
    <hyperlink ref="B5318" r:id="rId16417" display="https://twitter.com/cuco996" xr:uid="{9759CB24-F659-4DBF-B995-8DB84300EC60}"/>
    <hyperlink ref="E5318" r:id="rId16418" display="https://twitter.com/cuco996/status/723682806942052353" xr:uid="{CE3D0C17-F525-4955-BF06-DF285EEA9DAC}"/>
    <hyperlink ref="O5318" r:id="rId16419" display="https://pbs.twimg.com/profile_images/1623055213/download_normal.jpg" xr:uid="{7A7910D7-E510-4BB2-A93A-C79AF04556C9}"/>
    <hyperlink ref="B5319" r:id="rId16420" display="https://twitter.com/EHavetta" xr:uid="{AD339710-7CF1-4BC8-8027-13F69DE49534}"/>
    <hyperlink ref="E5319" r:id="rId16421" display="https://twitter.com/EHavetta/status/723683005521367040" xr:uid="{1C59B904-4048-411A-B75B-FFB5D1AA0DB4}"/>
    <hyperlink ref="O5319" r:id="rId16422" display="https://pbs.twimg.com/profile_images/717436754282807296/rUnRPBLb_normal.jpg" xr:uid="{2C273215-D698-47CF-92D0-36530F277A0B}"/>
    <hyperlink ref="B5320" r:id="rId16423" display="https://twitter.com/QuentinDempster" xr:uid="{899C6B32-1560-499A-B5DF-D0B498046479}"/>
    <hyperlink ref="E5320" r:id="rId16424" display="https://twitter.com/QuentinDempster/status/723683138476482561" xr:uid="{A50EDEA6-9215-4F9B-A5A6-4724F2ED39C9}"/>
    <hyperlink ref="O5320" r:id="rId16425" display="https://pbs.twimg.com/profile_images/554510464999104512/30MM94gT_normal.jpeg" xr:uid="{9E006A72-B98A-4293-A8EA-C68D28C26313}"/>
    <hyperlink ref="B5321" r:id="rId16426" display="https://twitter.com/oldcar_photo" xr:uid="{975CCFB0-95CF-4309-A525-B4361F7B21CD}"/>
    <hyperlink ref="E5321" r:id="rId16427" display="https://twitter.com/oldcar_photo/status/723683180134412288" xr:uid="{CFEB21B8-F599-4BA9-BFEB-553E74B16D3A}"/>
    <hyperlink ref="O5321" r:id="rId16428" display="https://pbs.twimg.com/profile_images/615493650785660928/XHUh6HOk_normal.jpg" xr:uid="{33104C8D-B2C9-4AE0-BE13-43E18ECB1CA9}"/>
    <hyperlink ref="B5322" r:id="rId16429" display="https://twitter.com/oldcar_photo" xr:uid="{109D3672-5989-4A80-BC97-78CD233BD994}"/>
    <hyperlink ref="E5322" r:id="rId16430" display="https://twitter.com/oldcar_photo/status/723683183351488512" xr:uid="{E8E715A4-D12B-4FAF-BF83-1056D2BADA03}"/>
    <hyperlink ref="O5322" r:id="rId16431" display="https://pbs.twimg.com/profile_images/615493650785660928/XHUh6HOk_normal.jpg" xr:uid="{1AA980EA-ABE9-4583-A999-5E4A8CEB9480}"/>
    <hyperlink ref="B5323" r:id="rId16432" display="https://twitter.com/VCT_Tweets" xr:uid="{D5E7B4E1-C0C8-4C6E-8E1D-0836388359BA}"/>
    <hyperlink ref="E5323" r:id="rId16433" display="https://twitter.com/VCT_Tweets/status/723683653503574016" xr:uid="{6C86A80D-B6F6-4D71-A974-4E1E13275831}"/>
    <hyperlink ref="O5323" r:id="rId16434" display="https://pbs.twimg.com/profile_images/569800899141177344/nVFLMSdb_normal.png" xr:uid="{0B4E8785-94E4-4DF1-8BC2-4B323807AEB1}"/>
    <hyperlink ref="B5324" r:id="rId16435" display="https://twitter.com/hillbillylawns" xr:uid="{9920BD17-B2F9-4DD4-BD2E-5947794EE48B}"/>
    <hyperlink ref="E5324" r:id="rId16436" display="https://twitter.com/hillbillylawns/status/723684022342291456" xr:uid="{25AB8B3C-EC19-4668-813A-B06797A7CD05}"/>
    <hyperlink ref="O5324" r:id="rId16437" display="https://pbs.twimg.com/profile_images/522812503097872384/vAgZehbG_normal.jpeg" xr:uid="{AC99CF6E-6D71-4CDE-930F-5EA543CD4AAE}"/>
    <hyperlink ref="B5325" r:id="rId16438" display="https://twitter.com/techislet" xr:uid="{4F0077F6-712D-4A31-ACBA-1407EA6AFB4A}"/>
    <hyperlink ref="E5325" r:id="rId16439" display="https://twitter.com/techislet/status/723684197097955329" xr:uid="{B9DAC2B4-8731-498D-9528-764673E5F210}"/>
    <hyperlink ref="O5325" r:id="rId16440" display="https://pbs.twimg.com/profile_images/640893185158352896/TMGmsF0r_normal.png" xr:uid="{06CF4D7E-734D-4726-B5B2-72924F54AF1D}"/>
    <hyperlink ref="B5326" r:id="rId16441" display="https://twitter.com/CollectHW" xr:uid="{A5C77646-3991-4B48-AF73-397F6AD85452}"/>
    <hyperlink ref="E5326" r:id="rId16442" display="https://twitter.com/CollectHW/status/723684525583286272" xr:uid="{1BAAB02B-4C0D-4167-A01C-E3A3165A29DA}"/>
    <hyperlink ref="O5326" r:id="rId16443" display="https://pbs.twimg.com/profile_images/522469771573350400/e5WjUwRr_normal.png" xr:uid="{5C52F511-3B28-4099-AD78-BB82BAF5E892}"/>
    <hyperlink ref="B5327" r:id="rId16444" display="https://twitter.com/ShinyCordoba" xr:uid="{8788E47B-7C0A-44D9-8A7D-2E7BA9303E9A}"/>
    <hyperlink ref="E5327" r:id="rId16445" display="https://twitter.com/ShinyCordoba/status/723684580310568960" xr:uid="{AA6AD968-FD4C-4E43-B510-6BF7766AF0E3}"/>
    <hyperlink ref="O5327" r:id="rId16446" display="https://pbs.twimg.com/profile_images/638473863052021760/ubuTDwkg_normal.jpg" xr:uid="{6B9EA6EA-4178-4843-B196-E573E41AA969}"/>
    <hyperlink ref="P5327" r:id="rId16447" location="-31.4,-64.5167" display="http://ctrlq.org/maps/address/ - -31.4,-64.5167" xr:uid="{E34D218E-F11D-45FB-85B2-AEFF49AA8001}"/>
    <hyperlink ref="B5328" r:id="rId16448" display="https://twitter.com/RamziBerrabia" xr:uid="{3AC617E5-D07E-4F4F-8156-DB83252CEB17}"/>
    <hyperlink ref="E5328" r:id="rId16449" display="https://twitter.com/RamziBerrabia/status/723684951690993664" xr:uid="{13E26E56-B76F-43E6-835E-5E896D9F8B36}"/>
    <hyperlink ref="O5328" r:id="rId16450" display="https://pbs.twimg.com/profile_images/512410499753840640/71x55KFh_normal.jpeg" xr:uid="{02227121-60E8-47E1-8D32-090CB47FEBF6}"/>
    <hyperlink ref="B5329" r:id="rId16451" display="https://twitter.com/AutoenAccion" xr:uid="{B703452E-508D-4D32-AFC7-4543E4F8962E}"/>
    <hyperlink ref="E5329" r:id="rId16452" display="https://twitter.com/AutoenAccion/status/723685033878282241" xr:uid="{045CED2D-04A8-4F77-A14F-D2A7D33EFED3}"/>
    <hyperlink ref="O5329" r:id="rId16453" display="https://pbs.twimg.com/profile_images/716639110153297920/-Yi8AL_W_normal.jpg" xr:uid="{4562A011-F402-478B-822A-CA11BB0A6983}"/>
    <hyperlink ref="B5330" r:id="rId16454" display="https://twitter.com/CameronQland" xr:uid="{FE292A5F-1C77-474A-BF74-2E38CAA6A289}"/>
    <hyperlink ref="E5330" r:id="rId16455" display="https://twitter.com/CameronQland/status/723685164706979840" xr:uid="{5549BF26-080D-4005-967F-A04554993788}"/>
    <hyperlink ref="O5330" r:id="rId16456" display="https://pbs.twimg.com/profile_images/378800000827120112/bb88ca260a477e3c94636e87492f47bc_normal.jpeg" xr:uid="{EF03381C-0938-4226-8E09-A406061C1E16}"/>
    <hyperlink ref="B5331" r:id="rId16457" display="https://twitter.com/Scirocco_Tuning" xr:uid="{3EEB0DE6-986A-4C91-AC9A-09BE9C1D935E}"/>
    <hyperlink ref="E5331" r:id="rId16458" display="https://twitter.com/Scirocco_Tuning/status/723685283468840961" xr:uid="{7A6E02A4-F15C-45C0-BC26-279F19EC49E6}"/>
    <hyperlink ref="O5331" r:id="rId16459" display="https://pbs.twimg.com/profile_images/1610421423/Image2_normal.jpg" xr:uid="{4DA3C5D8-C3FC-4FAA-B470-4337B0A75802}"/>
    <hyperlink ref="B5332" r:id="rId16460" display="https://twitter.com/FuscaWorld" xr:uid="{9B15AAFB-6F43-45ED-8F43-1D783052EA38}"/>
    <hyperlink ref="E5332" r:id="rId16461" display="https://twitter.com/FuscaWorld/status/723685651263172608" xr:uid="{33B737E1-8474-42E3-83EE-F34197456C5B}"/>
    <hyperlink ref="O5332" r:id="rId16462" display="https://pbs.twimg.com/profile_images/705780107844067328/e7O4UBNb_normal.jpg" xr:uid="{DDC34925-6F0D-4E92-B83D-B2993E471D2A}"/>
    <hyperlink ref="B5333" r:id="rId16463" display="https://twitter.com/FuscaWorld" xr:uid="{35390211-F7C7-4CE8-AEF9-1534A02568B5}"/>
    <hyperlink ref="E5333" r:id="rId16464" display="https://twitter.com/FuscaWorld/status/723685653255454720" xr:uid="{60AFA92E-523C-479C-A473-5A9089CEB99C}"/>
    <hyperlink ref="O5333" r:id="rId16465" display="https://pbs.twimg.com/profile_images/705780107844067328/e7O4UBNb_normal.jpg" xr:uid="{1C513701-BEEF-4B61-882F-78FD277CA6B0}"/>
    <hyperlink ref="B5334" r:id="rId16466" display="https://twitter.com/FuscaWorld" xr:uid="{272ED234-9BEE-4181-8DCA-0BF3D6DC9CC7}"/>
    <hyperlink ref="E5334" r:id="rId16467" display="https://twitter.com/FuscaWorld/status/723685655298080768" xr:uid="{28B114CB-689D-4D6D-A52C-AB672F59FF43}"/>
    <hyperlink ref="O5334" r:id="rId16468" display="https://pbs.twimg.com/profile_images/705780107844067328/e7O4UBNb_normal.jpg" xr:uid="{BB069765-BA68-458A-9E31-9555360AD4D5}"/>
    <hyperlink ref="B5335" r:id="rId16469" display="https://twitter.com/GastonVanini" xr:uid="{77BB3B50-D7E3-41D0-8BAD-0D90397844E8}"/>
    <hyperlink ref="E5335" r:id="rId16470" display="https://twitter.com/GastonVanini/status/723685760289918976" xr:uid="{0F9AB980-D9C7-4F49-A6B7-321418EE959C}"/>
    <hyperlink ref="O5335" r:id="rId16471" display="https://pbs.twimg.com/profile_images/556649250071666689/kQtpgDqR_normal.jpeg" xr:uid="{84FF76DA-D638-46F8-8323-89E2CAEDD55A}"/>
    <hyperlink ref="B5336" r:id="rId16472" display="https://twitter.com/gise_max" xr:uid="{1157FDD4-BF91-441C-8629-F993B9D47343}"/>
    <hyperlink ref="E5336" r:id="rId16473" display="https://twitter.com/gise_max/status/723686019128791040" xr:uid="{7633FA13-5479-4437-8649-1E28A1654C28}"/>
    <hyperlink ref="M5336" r:id="rId16474" xr:uid="{AA215204-DB3D-4333-AB37-216D63FEC979}"/>
    <hyperlink ref="O5336" r:id="rId16475" display="https://pbs.twimg.com/profile_images/610532807329378305/fwbFqFDw_normal.jpg" xr:uid="{6B97C858-347D-4AFD-8F81-61D70D0A2F05}"/>
    <hyperlink ref="B5337" r:id="rId16476" display="https://twitter.com/MicaiasUriel" xr:uid="{748B2529-6282-4BB2-A52E-360C76915828}"/>
    <hyperlink ref="E5337" r:id="rId16477" display="https://twitter.com/MicaiasUriel/status/723686482037362688" xr:uid="{AA32F9D9-4FD4-4627-BDAE-877CD7D2532F}"/>
    <hyperlink ref="O5337" r:id="rId16478" display="https://pbs.twimg.com/profile_images/716896035671580672/EmIuVgoK_normal.jpg" xr:uid="{90302B2E-3990-40DB-8867-ECA7965202AD}"/>
    <hyperlink ref="B5338" r:id="rId16479" display="https://twitter.com/NoCarNoFun" xr:uid="{5F66797C-AED0-4C4C-969C-2434F2E9A094}"/>
    <hyperlink ref="E5338" r:id="rId16480" display="https://twitter.com/NoCarNoFun/status/723687588612177920" xr:uid="{5AB17041-2963-40FB-90E3-4EB63EEFACC6}"/>
    <hyperlink ref="O5338" r:id="rId16481" display="https://pbs.twimg.com/profile_images/583355386759114753/UFl8HGQg_normal.jpg" xr:uid="{00A9B312-4083-450A-8340-05B5B766AE72}"/>
    <hyperlink ref="B5339" r:id="rId16482" display="https://twitter.com/bjsommerville" xr:uid="{CD56A337-76D2-416F-8345-E48F8C917452}"/>
    <hyperlink ref="E5339" r:id="rId16483" display="https://twitter.com/bjsommerville/status/723687962894966784" xr:uid="{B05D161B-DFFB-4FBA-A421-17F7A7A3C40F}"/>
    <hyperlink ref="O5339" r:id="rId16484" display="https://pbs.twimg.com/profile_images/3725967723/1cb19fcb397118623a9866ecb7fd9b52_normal.jpeg" xr:uid="{6C7F8884-C422-4374-889A-7BE173CA93C7}"/>
    <hyperlink ref="B5340" r:id="rId16485" display="https://twitter.com/LuchiAbiuso" xr:uid="{2A211A99-F4F7-41CA-B0E3-F81AC0B32CA4}"/>
    <hyperlink ref="E5340" r:id="rId16486" display="https://twitter.com/LuchiAbiuso/status/723688432594235393" xr:uid="{EFFBC67F-C199-4386-A8C6-D253E6F7E57D}"/>
    <hyperlink ref="O5340" r:id="rId16487" display="https://pbs.twimg.com/profile_images/719350304182050816/VSz4khiW_normal.jpg" xr:uid="{369CB2CF-BC3E-496D-8771-713705D191D9}"/>
    <hyperlink ref="B5341" r:id="rId16488" display="https://twitter.com/AlainMatungulu" xr:uid="{72CE9CAE-5875-45EB-8566-D7323C928C8F}"/>
    <hyperlink ref="E5341" r:id="rId16489" display="https://twitter.com/AlainMatungulu/status/723688696105590789" xr:uid="{79043093-9952-43EE-974F-05F9C6669BFA}"/>
    <hyperlink ref="O5341" r:id="rId16490" display="https://pbs.twimg.com/profile_images/3017660054/ee83c52d1d7888aafd6408ffbd16dbd1_normal.jpeg" xr:uid="{58F6A644-1728-47FB-B0A9-D2CE2D7CA190}"/>
    <hyperlink ref="B5342" r:id="rId16491" display="https://twitter.com/drjosefaria" xr:uid="{E94183CC-FC89-4182-8595-CF3DDF5AD0B5}"/>
    <hyperlink ref="E5342" r:id="rId16492" display="https://twitter.com/drjosefaria/status/723688840385445889" xr:uid="{128626D7-CEF1-4AF0-8107-DBBA807F5C72}"/>
    <hyperlink ref="O5342" r:id="rId16493" display="https://pbs.twimg.com/profile_images/711755394599800833/q1IK7Rn9_normal.jpg" xr:uid="{12149D55-E6FE-4B7F-9A3B-18C044BE439F}"/>
    <hyperlink ref="B5343" r:id="rId16494" display="https://twitter.com/LeoZettel" xr:uid="{99064E54-E5A3-4F58-8419-283326ED6531}"/>
    <hyperlink ref="E5343" r:id="rId16495" display="https://twitter.com/LeoZettel/status/723688960770215936" xr:uid="{466215E5-146E-4296-9573-56148F89459E}"/>
    <hyperlink ref="O5343" r:id="rId16496" display="https://pbs.twimg.com/profile_images/1572942658/041220_-_Rally_Track__07__making_off2_normal.jpg" xr:uid="{168FC53D-40C9-40BF-A098-28B9625F0879}"/>
    <hyperlink ref="B5344" r:id="rId16497" display="https://twitter.com/JNathanHigdon" xr:uid="{32E5510C-545A-4480-864D-8FFAD3C9D932}"/>
    <hyperlink ref="E5344" r:id="rId16498" display="https://twitter.com/JNathanHigdon/status/723689021264695296" xr:uid="{C5DA20AF-1D4C-409D-92C2-A08898F8A2D7}"/>
    <hyperlink ref="O5344" r:id="rId16499" display="https://pbs.twimg.com/profile_images/722388923767525376/7KvgtvmA_normal.jpg" xr:uid="{83AB2656-8A7B-4CCE-BF88-EFC292AC147D}"/>
    <hyperlink ref="B5345" r:id="rId16500" display="https://twitter.com/HermelindaRiosA" xr:uid="{990A60ED-895D-4CE8-AF1A-7F577F8B6E92}"/>
    <hyperlink ref="E5345" r:id="rId16501" display="https://twitter.com/HermelindaRiosA/status/723689967659159554" xr:uid="{653CD8AD-F1E8-450C-9D3A-750F71B0BA76}"/>
    <hyperlink ref="O5345" r:id="rId16502" display="https://abs.twimg.com/sticky/default_profile_images/default_profile_0_normal.png" xr:uid="{D09FFDB9-8833-4A03-B24C-A0CC725EEE22}"/>
    <hyperlink ref="B5346" r:id="rId16503" display="https://twitter.com/0a48e0f5698e460" xr:uid="{EB77C6DB-3D6C-443F-BC20-43BE07A307CE}"/>
    <hyperlink ref="E5346" r:id="rId16504" display="https://twitter.com/0a48e0f5698e460/status/723690040455389184" xr:uid="{688AAAD2-2426-4FA2-BDEE-261AD50918F9}"/>
    <hyperlink ref="O5346" r:id="rId16505" display="https://pbs.twimg.com/profile_images/553582082568364032/7ORuzIIY_normal.jpeg" xr:uid="{E448845C-94D7-4134-88D9-70D23EDC7D5E}"/>
    <hyperlink ref="B5347" r:id="rId16506" display="https://twitter.com/moteking25" xr:uid="{AB8F8AC0-88D6-472A-B3DF-8861344C9AC2}"/>
    <hyperlink ref="E5347" r:id="rId16507" display="https://twitter.com/moteking25/status/723690518085963777" xr:uid="{2A697EB4-3214-43CB-ACF6-D2E76A3CAEB1}"/>
    <hyperlink ref="O5347" r:id="rId16508" display="https://pbs.twimg.com/profile_images/695836169418899456/Z9ohOFD9_normal.jpg" xr:uid="{8FF9224F-B0BF-463C-BE1E-6FBC57627E39}"/>
    <hyperlink ref="B5348" r:id="rId16509" display="https://twitter.com/rajesh877" xr:uid="{06DD9A6F-3271-47BB-9341-E318140E0811}"/>
    <hyperlink ref="E5348" r:id="rId16510" display="https://twitter.com/rajesh877/status/723690744763023360" xr:uid="{25116EB8-2F7E-4302-BD79-DD4459F2924E}"/>
    <hyperlink ref="O5348" r:id="rId16511" display="https://pbs.twimg.com/profile_images/690068229562241028/dtAFj2bm_normal.jpg" xr:uid="{887006F6-05DD-40B2-831E-1E19CD29C1F8}"/>
    <hyperlink ref="B5349" r:id="rId16512" display="https://twitter.com/nightalberta" xr:uid="{CB8FC5EF-7813-45C6-BAB0-E6DBD9E4A35A}"/>
    <hyperlink ref="E5349" r:id="rId16513" display="https://twitter.com/nightalberta/status/723691628553244672" xr:uid="{D6A19A28-F433-421B-AB95-6AB1CBE48F2F}"/>
    <hyperlink ref="O5349" r:id="rId16514" display="https://pbs.twimg.com/profile_images/635977445691166720/6q2xnCIa_normal.jpg" xr:uid="{291C4190-C3AF-43E6-A931-178B2505D3A3}"/>
    <hyperlink ref="B5350" r:id="rId16515" display="https://twitter.com/sgpragency" xr:uid="{39B0AD31-4314-435E-8CE8-D493206E1AAE}"/>
    <hyperlink ref="E5350" r:id="rId16516" display="https://twitter.com/sgpragency/status/723692127847239680" xr:uid="{1B212EA3-D859-4ADC-B64D-281679979EB2}"/>
    <hyperlink ref="O5350" r:id="rId16517" display="https://pbs.twimg.com/profile_images/696166674836254720/2dvOBRdF_normal.jpg" xr:uid="{857D7E80-90AD-44FF-B879-C56454F48BAE}"/>
    <hyperlink ref="B5351" r:id="rId16518" display="https://twitter.com/DubLuvTuning" xr:uid="{A5E5373C-D572-4740-B68D-96946F118634}"/>
    <hyperlink ref="E5351" r:id="rId16519" display="https://twitter.com/DubLuvTuning/status/723692193052024832" xr:uid="{00B1D2E7-B28D-4425-9DAF-F2EB91BB302D}"/>
    <hyperlink ref="O5351" r:id="rId16520" display="https://pbs.twimg.com/profile_images/378800000572104796/1de43e1cf23efb3f4101c02afad0d3b6_normal.png" xr:uid="{D01D9FD8-32D7-4EDB-8160-33C31052F6BC}"/>
    <hyperlink ref="B5352" r:id="rId16521" display="https://twitter.com/OnlineCarReview" xr:uid="{7758E695-7422-421E-A533-51259E82D27B}"/>
    <hyperlink ref="E5352" r:id="rId16522" display="https://twitter.com/OnlineCarReview/status/723692759446523908" xr:uid="{79659297-7170-4850-B058-8C62C74A8F1E}"/>
    <hyperlink ref="O5352" r:id="rId16523" display="https://pbs.twimg.com/profile_images/652871584131092480/QA_B6SBO_normal.jpg" xr:uid="{DCC59C08-582D-4882-95FE-32F173717B4A}"/>
    <hyperlink ref="B5353" r:id="rId16524" display="https://twitter.com/OnlineCarReview" xr:uid="{8BFDEBCB-49A0-4739-A7A7-0280F21228EF}"/>
    <hyperlink ref="E5353" r:id="rId16525" display="https://twitter.com/OnlineCarReview/status/723692760293724160" xr:uid="{8DEE846C-E669-4ACA-9A60-67263BA4DB4A}"/>
    <hyperlink ref="O5353" r:id="rId16526" display="https://pbs.twimg.com/profile_images/652871584131092480/QA_B6SBO_normal.jpg" xr:uid="{82C7B7FE-1769-483F-91DB-F74E72A27B82}"/>
    <hyperlink ref="B5354" r:id="rId16527" display="https://twitter.com/Sutjeska" xr:uid="{5D6EC7F3-2089-4971-9F49-2D63031F8B22}"/>
    <hyperlink ref="E5354" r:id="rId16528" display="https://twitter.com/Sutjeska/status/723694019377766400" xr:uid="{67CF174C-8321-4605-B20B-A55391426DA8}"/>
    <hyperlink ref="O5354" r:id="rId16529" display="https://pbs.twimg.com/profile_images/593589082615324672/YJqoYADV_normal.jpg" xr:uid="{6E38D789-8174-4235-A7DC-7C8562CC222E}"/>
    <hyperlink ref="B5355" r:id="rId16530" display="https://twitter.com/GrupoAlden" xr:uid="{46B758F4-F8CF-4564-9A27-8E9B7A568B4C}"/>
    <hyperlink ref="E5355" r:id="rId16531" display="https://twitter.com/GrupoAlden/status/723694195458887680" xr:uid="{6E32FF5F-1B0F-4050-A4A0-32242ECDD7FB}"/>
    <hyperlink ref="M5355" r:id="rId16532" xr:uid="{A425E966-8164-4D1F-AD42-C3606000DD08}"/>
    <hyperlink ref="O5355" r:id="rId16533" display="https://pbs.twimg.com/profile_images/685175443654246401/92R4InX-_normal.png" xr:uid="{B71106A5-AA9A-47DC-B28A-20EC419F4704}"/>
    <hyperlink ref="B5356" r:id="rId16534" display="https://twitter.com/CalgaryToday" xr:uid="{599975DB-BC74-4665-AAEC-84F701E66B52}"/>
    <hyperlink ref="E5356" r:id="rId16535" display="https://twitter.com/CalgaryToday/status/723695074824040453" xr:uid="{E7DA4FBA-2592-4CE8-B669-EB239AF4806A}"/>
    <hyperlink ref="O5356" r:id="rId16536" display="https://pbs.twimg.com/profile_images/588461871558107137/9m-nVvMW_normal.png" xr:uid="{C2F336F2-D3E9-4D56-BEF6-DC4495D424AF}"/>
    <hyperlink ref="B5357" r:id="rId16537" display="https://twitter.com/NewsTalk770" xr:uid="{973C16C4-FC3F-4001-9D59-FD49547DF726}"/>
    <hyperlink ref="E5357" r:id="rId16538" display="https://twitter.com/NewsTalk770/status/723695076237545472" xr:uid="{6398A940-ADDA-4EDA-9C8A-A1CAD8F64A05}"/>
    <hyperlink ref="O5357" r:id="rId16539" display="https://pbs.twimg.com/profile_images/687712068523302912/RhuOJR3M_normal.jpg" xr:uid="{F03D14D7-9DB7-4E3F-BF18-FAEB9C3ED7AC}"/>
    <hyperlink ref="B5358" r:id="rId16540" display="https://twitter.com/dannyriendeau" xr:uid="{038FB51E-2526-4A56-BA77-6488D57496B2}"/>
    <hyperlink ref="E5358" r:id="rId16541" display="https://twitter.com/dannyriendeau/status/723695077953036288" xr:uid="{73F3E711-7567-475C-A166-F0845829BCCC}"/>
    <hyperlink ref="O5358" r:id="rId16542" display="https://pbs.twimg.com/profile_images/481916630344024064/CQetvK97_normal.jpeg" xr:uid="{F33410DC-A9EC-409E-81CF-F19B39FD11FE}"/>
    <hyperlink ref="B5359" r:id="rId16543" display="https://twitter.com/bjsommerville" xr:uid="{6BCFD148-AA53-49B0-9D26-CDC759BD4D4A}"/>
    <hyperlink ref="E5359" r:id="rId16544" display="https://twitter.com/bjsommerville/status/723695267111964673" xr:uid="{84E8C1EF-093A-4E1C-8A8B-C5D84C5DCBC8}"/>
    <hyperlink ref="O5359" r:id="rId16545" display="https://pbs.twimg.com/profile_images/3725967723/1cb19fcb397118623a9866ecb7fd9b52_normal.jpeg" xr:uid="{44DCA379-3268-4370-88FD-342A8D98E61A}"/>
    <hyperlink ref="B5360" r:id="rId16546" display="https://twitter.com/beetlebug1938" xr:uid="{22450A56-E6B7-4B4F-A82F-9D8E42910874}"/>
    <hyperlink ref="E5360" r:id="rId16547" display="https://twitter.com/beetlebug1938/status/723695390504157184" xr:uid="{78666F3E-CF82-41A9-9155-76C0DB430CF3}"/>
    <hyperlink ref="O5360" r:id="rId16548" display="https://pbs.twimg.com/profile_images/718820712757215233/LXXndPTS_normal.jpg" xr:uid="{06A26F94-9D70-4D11-A27A-A82CF470933C}"/>
    <hyperlink ref="B5361" r:id="rId16549" display="https://twitter.com/beetlebug1938" xr:uid="{4378999A-7278-4DDC-9657-B692667A9D3B}"/>
    <hyperlink ref="E5361" r:id="rId16550" display="https://twitter.com/beetlebug1938/status/723695395713499136" xr:uid="{152D06AC-ECAF-400A-A77D-1DA2FE0F5149}"/>
    <hyperlink ref="O5361" r:id="rId16551" display="https://pbs.twimg.com/profile_images/718820712757215233/LXXndPTS_normal.jpg" xr:uid="{95A696DE-67EF-4545-97D0-7398A8AA2B4E}"/>
    <hyperlink ref="B5362" r:id="rId16552" display="https://twitter.com/beetlebug1938" xr:uid="{B81AB8E3-DC82-4B96-962B-DEB957BA1C88}"/>
    <hyperlink ref="E5362" r:id="rId16553" display="https://twitter.com/beetlebug1938/status/723695405133893634" xr:uid="{6500983E-6A66-48D5-9D13-2F590548F9B7}"/>
    <hyperlink ref="O5362" r:id="rId16554" display="https://pbs.twimg.com/profile_images/718820712757215233/LXXndPTS_normal.jpg" xr:uid="{CF3FA173-63C6-498C-93AB-7E4442F2854F}"/>
    <hyperlink ref="B5363" r:id="rId16555" display="https://twitter.com/beetlebug1938" xr:uid="{24401F7E-535B-4CA0-965C-C2442DCC28E5}"/>
    <hyperlink ref="E5363" r:id="rId16556" display="https://twitter.com/beetlebug1938/status/723695411286933504" xr:uid="{2FEC15CA-2842-4471-9EA9-7E267F081BA5}"/>
    <hyperlink ref="O5363" r:id="rId16557" display="https://pbs.twimg.com/profile_images/718820712757215233/LXXndPTS_normal.jpg" xr:uid="{C8FC4501-5CF3-4ACC-8F11-255329E85AFD}"/>
    <hyperlink ref="B5364" r:id="rId16558" display="https://twitter.com/beetlebug1938" xr:uid="{5A5C110C-506B-491A-A60B-125069B7B9AC}"/>
    <hyperlink ref="E5364" r:id="rId16559" display="https://twitter.com/beetlebug1938/status/723695421919518720" xr:uid="{697A16D8-F277-4143-A433-0378E41A96D3}"/>
    <hyperlink ref="O5364" r:id="rId16560" display="https://pbs.twimg.com/profile_images/718820712757215233/LXXndPTS_normal.jpg" xr:uid="{87B1E4DE-2EEC-44DE-896C-1E95DCD845C7}"/>
    <hyperlink ref="B5365" r:id="rId16561" display="https://twitter.com/beetlebug1938" xr:uid="{A3D36C94-CE61-4D55-A7C6-C809C3A4D1A3}"/>
    <hyperlink ref="E5365" r:id="rId16562" display="https://twitter.com/beetlebug1938/status/723695430358409217" xr:uid="{506720A9-95AA-4EEE-A6AF-0AC48B8CA42A}"/>
    <hyperlink ref="O5365" r:id="rId16563" display="https://pbs.twimg.com/profile_images/718820712757215233/LXXndPTS_normal.jpg" xr:uid="{37738B22-FE0B-44C5-868F-36DC6EB52CC0}"/>
    <hyperlink ref="B5366" r:id="rId16564" display="https://twitter.com/beetlebug1938" xr:uid="{91B1DFC8-4B2F-4F55-A97D-5D0DC9A11380}"/>
    <hyperlink ref="E5366" r:id="rId16565" display="https://twitter.com/beetlebug1938/status/723695436133994496" xr:uid="{75FF4774-216C-437C-8890-4ADD21735D17}"/>
    <hyperlink ref="O5366" r:id="rId16566" display="https://pbs.twimg.com/profile_images/718820712757215233/LXXndPTS_normal.jpg" xr:uid="{37FD11CC-5B95-4E2F-898E-7D44BA60E94F}"/>
    <hyperlink ref="B5367" r:id="rId16567" display="https://twitter.com/OnlyFerrariPics" xr:uid="{02612354-3F01-49B4-A30A-F95F9FB800E1}"/>
    <hyperlink ref="E5367" r:id="rId16568" display="https://twitter.com/OnlyFerrariPics/status/723695560763559936" xr:uid="{1D11229C-B046-439C-9B94-B577F1D90DF8}"/>
    <hyperlink ref="O5367" r:id="rId16569" display="https://pbs.twimg.com/profile_images/540037751416971264/FUsmNZrb_normal.jpeg" xr:uid="{C6D47226-4BC0-4134-8FA0-AB504534787D}"/>
    <hyperlink ref="B5368" r:id="rId16570" display="https://twitter.com/TetsuoHojo" xr:uid="{820ED573-A533-4325-A276-3FE6302100E7}"/>
    <hyperlink ref="E5368" r:id="rId16571" display="https://twitter.com/TetsuoHojo/status/723695615482302464" xr:uid="{DC108B7B-3E56-4686-91BF-1DF6181C55CB}"/>
    <hyperlink ref="O5368" r:id="rId16572" display="https://pbs.twimg.com/profile_images/2646835465/aa5823578b01b04b7e91d58e8ca88691_normal.jpeg" xr:uid="{43C351EC-F32E-43A3-B763-B382CBA1CC50}"/>
    <hyperlink ref="B5369" r:id="rId16573" display="https://twitter.com/TetsuoHojo" xr:uid="{B56F56F8-92B6-496C-BFBB-3456D45E6F68}"/>
    <hyperlink ref="E5369" r:id="rId16574" display="https://twitter.com/TetsuoHojo/status/723695767471321090" xr:uid="{8BFA7425-20C8-4C85-ACBA-5CB99B6B18CD}"/>
    <hyperlink ref="O5369" r:id="rId16575" display="https://pbs.twimg.com/profile_images/2646835465/aa5823578b01b04b7e91d58e8ca88691_normal.jpeg" xr:uid="{14E01330-3BFE-4005-8723-9EF599B2F767}"/>
    <hyperlink ref="B5370" r:id="rId16576" display="https://twitter.com/FuscaWorld" xr:uid="{55B74934-C035-455E-A1E8-7E23E8D486F9}"/>
    <hyperlink ref="E5370" r:id="rId16577" display="https://twitter.com/FuscaWorld/status/723696350647472129" xr:uid="{40CDF7D9-F3BE-4C22-A4F3-10019CD2F3EF}"/>
    <hyperlink ref="O5370" r:id="rId16578" display="https://pbs.twimg.com/profile_images/705780107844067328/e7O4UBNb_normal.jpg" xr:uid="{E4E838C9-1F01-45B3-9652-9CD793D75358}"/>
    <hyperlink ref="B5371" r:id="rId16579" display="https://twitter.com/rollidriver" xr:uid="{6226B712-FF76-4F03-AE9C-746D431A11A6}"/>
    <hyperlink ref="E5371" r:id="rId16580" display="https://twitter.com/rollidriver/status/723696457073745921" xr:uid="{EE22879A-6383-4FF1-9C3A-A2237D657FEB}"/>
    <hyperlink ref="O5371" r:id="rId16581" display="https://pbs.twimg.com/profile_images/760272898/DSC00033_normal.JPG" xr:uid="{7DB5D0FE-663F-49C0-942D-F84E0A4E9A84}"/>
    <hyperlink ref="B5372" r:id="rId16582" display="https://twitter.com/SuperCub1981" xr:uid="{E60176B9-0829-4B90-AB66-C3465AC07CCD}"/>
    <hyperlink ref="E5372" r:id="rId16583" display="https://twitter.com/SuperCub1981/status/723696934372827136" xr:uid="{AED08C9C-4AA1-4064-9798-AAC8B2D9374F}"/>
    <hyperlink ref="O5372" r:id="rId16584" display="https://pbs.twimg.com/profile_images/717899474324955136/rYxHADYt_normal.jpg" xr:uid="{4EE30D55-FDDE-4249-9245-04FC5CF30916}"/>
    <hyperlink ref="B5373" r:id="rId16585" display="https://twitter.com/TetsuoHojo" xr:uid="{07EF965C-E96A-4AB1-8667-F94F2593E926}"/>
    <hyperlink ref="E5373" r:id="rId16586" display="https://twitter.com/TetsuoHojo/status/723697441761951744" xr:uid="{FB7AA151-8D6C-444D-8C9E-28307876F485}"/>
    <hyperlink ref="O5373" r:id="rId16587" display="https://pbs.twimg.com/profile_images/2646835465/aa5823578b01b04b7e91d58e8ca88691_normal.jpeg" xr:uid="{B92F30DE-17C9-402B-8F9C-50743774C2E0}"/>
    <hyperlink ref="B5374" r:id="rId16588" display="https://twitter.com/TetsuoHojo" xr:uid="{BB1F9F07-A7C1-4FEA-81FC-031CE8EBC222}"/>
    <hyperlink ref="E5374" r:id="rId16589" display="https://twitter.com/TetsuoHojo/status/723697456962097152" xr:uid="{D25408E6-286C-4282-8F3D-7F8A7A6E93B2}"/>
    <hyperlink ref="O5374" r:id="rId16590" display="https://pbs.twimg.com/profile_images/2646835465/aa5823578b01b04b7e91d58e8ca88691_normal.jpeg" xr:uid="{0EA5F048-D15C-4C75-BF94-F9C8C75C9FF5}"/>
    <hyperlink ref="B5375" r:id="rId16591" display="https://twitter.com/TetsuoHojo" xr:uid="{45102550-1062-47E4-A6BE-F67311708886}"/>
    <hyperlink ref="E5375" r:id="rId16592" display="https://twitter.com/TetsuoHojo/status/723697473462525952" xr:uid="{AE08B95E-D373-4D21-8F0C-F2ED37AE340B}"/>
    <hyperlink ref="O5375" r:id="rId16593" display="https://pbs.twimg.com/profile_images/2646835465/aa5823578b01b04b7e91d58e8ca88691_normal.jpeg" xr:uid="{3A033264-BD61-4D1F-A19E-97CD709F5A28}"/>
    <hyperlink ref="B5376" r:id="rId16594" display="https://twitter.com/TetsuoHojo" xr:uid="{C27A57D2-6848-4BE8-9F2E-8AE7FE5CEA51}"/>
    <hyperlink ref="E5376" r:id="rId16595" display="https://twitter.com/TetsuoHojo/status/723697487727321088" xr:uid="{46750360-5003-402D-A3BA-A3FE8C0202E0}"/>
    <hyperlink ref="O5376" r:id="rId16596" display="https://pbs.twimg.com/profile_images/2646835465/aa5823578b01b04b7e91d58e8ca88691_normal.jpeg" xr:uid="{6C0D72BD-FB7B-4B0D-A4FF-20528266C324}"/>
    <hyperlink ref="B5377" r:id="rId16597" display="https://twitter.com/CamyyRc" xr:uid="{68F7BEA9-ED3E-4BD9-A2C2-A9AA2DC7BBD8}"/>
    <hyperlink ref="E5377" r:id="rId16598" display="https://twitter.com/CamyyRc/status/723697679310688256" xr:uid="{19118A44-FD9F-4293-B63E-AD6CFF634D36}"/>
    <hyperlink ref="O5377" r:id="rId16599" display="https://pbs.twimg.com/profile_images/721822581955891200/hEjNAXrW_normal.jpg" xr:uid="{0B197197-5DFA-43C3-AB67-1BEED615EAF8}"/>
    <hyperlink ref="B5378" r:id="rId16600" display="https://twitter.com/EmasAzor" xr:uid="{BF484360-3128-4DAC-B280-7B122236C2B7}"/>
    <hyperlink ref="E5378" r:id="rId16601" display="https://twitter.com/EmasAzor/status/723698156844752898" xr:uid="{BC1D379F-1677-460B-BF9C-2ED55F29ADAA}"/>
    <hyperlink ref="O5378" r:id="rId16602" display="https://pbs.twimg.com/profile_images/646163342848073729/Eg-8aCHE_normal.jpg" xr:uid="{E7F2827D-027A-4C6B-AB9E-2E6388F6D860}"/>
    <hyperlink ref="B5379" r:id="rId16603" display="https://twitter.com/Insta_VWT" xr:uid="{B675BECE-2155-4E87-A29B-8959E4278BFF}"/>
    <hyperlink ref="E5379" r:id="rId16604" display="https://twitter.com/Insta_VWT/status/723700260770570240" xr:uid="{D390C935-27CF-4F47-A372-6F059590E238}"/>
    <hyperlink ref="O5379" r:id="rId16605" display="https://pbs.twimg.com/profile_images/424893967197433858/iQ86NktX_normal.jpeg" xr:uid="{83A773C3-FB59-4B50-BCC3-A41DFA04CA66}"/>
    <hyperlink ref="B5380" r:id="rId16606" display="https://twitter.com/iaacanob" xr:uid="{45650699-4F81-4AE2-9A3C-E07DDFF4483B}"/>
    <hyperlink ref="E5380" r:id="rId16607" display="https://twitter.com/iaacanob/status/723700306580779010" xr:uid="{B02F89B5-29AD-4DCA-9FBE-E4AD9FC73494}"/>
    <hyperlink ref="O5380" r:id="rId16608" display="https://pbs.twimg.com/profile_images/722930747762458624/zQs5yuFJ_normal.jpg" xr:uid="{C1D0A0D7-8228-452F-8E4F-6EC03482F254}"/>
    <hyperlink ref="B5381" r:id="rId16609" display="https://twitter.com/Vivu012" xr:uid="{59D6F575-F270-4FB8-8A04-5A4840BF6BFD}"/>
    <hyperlink ref="E5381" r:id="rId16610" display="https://twitter.com/Vivu012/status/723700680188420096" xr:uid="{B32ADB70-D3CB-4E9F-AB77-470EA3CF4541}"/>
    <hyperlink ref="O5381" r:id="rId16611" display="https://pbs.twimg.com/profile_images/3423460058/ed8c9e3582adb96e1f516be360165840_normal.jpeg" xr:uid="{BE26C142-57C6-4E18-88F7-82DFDCFF6CB8}"/>
    <hyperlink ref="B5382" r:id="rId16612" display="https://twitter.com/varysykusej" xr:uid="{2B4B3569-1B33-48B7-8DF5-E9E9C3E2288F}"/>
    <hyperlink ref="E5382" r:id="rId16613" display="https://twitter.com/varysykusej/status/723700957331116032" xr:uid="{C23D71D3-833A-44AC-B8B1-81B2532EE8F8}"/>
    <hyperlink ref="O5382" r:id="rId16614" display="https://pbs.twimg.com/profile_images/545473063353974785/7Bnm5ncu_normal.jpeg" xr:uid="{73102F26-3FFF-4845-96BB-C31AD6023F0F}"/>
    <hyperlink ref="B5383" r:id="rId16615" display="https://twitter.com/Inesicaleo" xr:uid="{00EA89B0-3155-4467-923C-FFFECE197FC4}"/>
    <hyperlink ref="E5383" r:id="rId16616" display="https://twitter.com/Inesicaleo/status/723702304365531137" xr:uid="{42321AED-C81B-4111-9E5F-CC5D4CAE07EB}"/>
    <hyperlink ref="O5383" r:id="rId16617" display="https://pbs.twimg.com/profile_images/695977201389473792/pxQvhhKK_normal.jpg" xr:uid="{8019508B-FC38-497E-BD4E-98916CF4C94D}"/>
    <hyperlink ref="B5384" r:id="rId16618" display="https://twitter.com/vikfer77" xr:uid="{5408443D-0DB1-4969-BD87-BA385FC88170}"/>
    <hyperlink ref="E5384" r:id="rId16619" display="https://twitter.com/vikfer77/status/723702393070825472" xr:uid="{A91F5154-985D-4FB1-B94E-894442832905}"/>
    <hyperlink ref="O5384" r:id="rId16620" display="https://pbs.twimg.com/profile_images/714233510760939520/Kuqup19-_normal.jpg" xr:uid="{712F7FDF-5F01-416E-9158-2174AB9C2C38}"/>
    <hyperlink ref="B5385" r:id="rId16621" display="https://twitter.com/Carscoop" xr:uid="{9A4FA4B7-E670-4013-B803-3A7038A7BF3E}"/>
    <hyperlink ref="E5385" r:id="rId16622" display="https://twitter.com/Carscoop/status/723703467231969281" xr:uid="{1555E7FB-C176-41DA-AF18-A287A02D1AAA}"/>
    <hyperlink ref="F5385" r:id="rId16623" xr:uid="{961B73B0-BB5C-48D6-B393-05F69CD4F274}"/>
    <hyperlink ref="O5385" r:id="rId16624" display="https://pbs.twimg.com/profile_images/599709666017435648/r0vhT_9C_normal.png" xr:uid="{77B708F7-AD7F-448A-9272-57797C9E4945}"/>
    <hyperlink ref="B5386" r:id="rId16625" display="https://twitter.com/MiasmaXIII" xr:uid="{A444895F-7EB4-4327-B487-68D82EEFBC63}"/>
    <hyperlink ref="E5386" r:id="rId16626" display="https://twitter.com/MiasmaXIII/status/723703674447515652" xr:uid="{219E7F0B-ED94-48C2-8DBC-3C2DC9EB7285}"/>
    <hyperlink ref="O5386" r:id="rId16627" display="https://pbs.twimg.com/profile_images/721824276865814528/ERktkiLE_normal.jpg" xr:uid="{C46DD457-3754-4624-9166-ACE902D9BD15}"/>
    <hyperlink ref="B5387" r:id="rId16628" display="https://twitter.com/DanielTottenham" xr:uid="{BA76FF7B-F9BB-4DF5-BBE3-7439B1CB1A4B}"/>
    <hyperlink ref="E5387" r:id="rId16629" display="https://twitter.com/DanielTottenham/status/723704636700516352" xr:uid="{BA413A29-297F-4F43-B076-59CC166F89C7}"/>
    <hyperlink ref="O5387" r:id="rId16630" display="https://pbs.twimg.com/profile_images/716153900202483714/M_qYTZVI_normal.jpg" xr:uid="{BF58B10D-99BB-4BCD-9673-145DD3DB8DAA}"/>
    <hyperlink ref="B5388" r:id="rId16631" display="https://twitter.com/Scirocco_Tuning" xr:uid="{D68628E1-4A1D-439E-A3E8-0DAF30842924}"/>
    <hyperlink ref="E5388" r:id="rId16632" display="https://twitter.com/Scirocco_Tuning/status/723704639728787456" xr:uid="{45C0024C-684B-4032-B254-1C8547C1FE64}"/>
    <hyperlink ref="O5388" r:id="rId16633" display="https://pbs.twimg.com/profile_images/1610421423/Image2_normal.jpg" xr:uid="{3CDD293B-6D26-43F1-8A01-56691252BC7E}"/>
    <hyperlink ref="B5389" r:id="rId16634" display="https://twitter.com/57BDR" xr:uid="{8010F44F-4C5F-4E93-81AD-DFF0D9DCE333}"/>
    <hyperlink ref="E5389" r:id="rId16635" display="https://twitter.com/57BDR/status/723704782221881344" xr:uid="{FCEDA8FA-E8CA-46BF-80A1-43976EB3A04A}"/>
    <hyperlink ref="O5389" r:id="rId16636" display="https://pbs.twimg.com/profile_images/709086812719947776/vXWinlfZ_normal.jpg" xr:uid="{89EAC981-D9BD-443E-8510-14BB7F219A6E}"/>
    <hyperlink ref="B5390" r:id="rId16637" display="https://twitter.com/poandpo" xr:uid="{1C0F3EFC-141F-4B97-9108-B1A58320BEA3}"/>
    <hyperlink ref="E5390" r:id="rId16638" display="https://twitter.com/poandpo/status/723706732644585473" xr:uid="{252E35FA-E536-4678-84B8-2D25D6FE6A43}"/>
    <hyperlink ref="O5390" r:id="rId16639" display="https://pbs.twimg.com/profile_images/697059054741536770/bzz3mR4g_normal.png" xr:uid="{ECB743E7-03D1-4707-A625-5051F892D353}"/>
    <hyperlink ref="B5391" r:id="rId16640" display="https://twitter.com/oceanshaman" xr:uid="{CC1E3624-C790-46F9-8B6B-F7EC8EE75CEF}"/>
    <hyperlink ref="E5391" r:id="rId16641" display="https://twitter.com/oceanshaman/status/723707546305847296" xr:uid="{7B1D1C57-3A81-4301-9A5F-9672A4917B46}"/>
    <hyperlink ref="O5391" r:id="rId16642" display="https://pbs.twimg.com/profile_images/675825917944549380/s1onEWok_normal.jpg" xr:uid="{9F18F98A-11A9-47F7-A972-7285A8B17B66}"/>
    <hyperlink ref="B5392" r:id="rId16643" display="https://twitter.com/vixizewyryt" xr:uid="{94577371-EB2B-425D-9A7C-42AF5F0718A8}"/>
    <hyperlink ref="E5392" r:id="rId16644" display="https://twitter.com/vixizewyryt/status/723707825600487426" xr:uid="{2C0F001A-477D-4F15-92E4-3E8F0862410A}"/>
    <hyperlink ref="O5392" r:id="rId16645" display="https://pbs.twimg.com/profile_images/496025508098760704/eyHTamUw_normal.jpeg" xr:uid="{57BC5499-FA73-4D62-8D73-421C84AB570D}"/>
    <hyperlink ref="B5393" r:id="rId16646" display="https://twitter.com/Braian_9107" xr:uid="{4583E812-C4AB-4B2B-9070-30612D4950BB}"/>
    <hyperlink ref="E5393" r:id="rId16647" display="https://twitter.com/Braian_9107/status/723708279541653510" xr:uid="{D89BD9D9-2101-49A3-B726-CE6D63184247}"/>
    <hyperlink ref="O5393" r:id="rId16648" display="https://pbs.twimg.com/profile_images/664288528667418624/Mx05DUhU_normal.jpg" xr:uid="{002CF60B-E888-439B-8C5C-1AD0A0AD9F80}"/>
    <hyperlink ref="B5394" r:id="rId16649" display="https://twitter.com/porschepilotage" xr:uid="{47806579-5DDA-4E6C-9E4E-A6C1D51F53A3}"/>
    <hyperlink ref="E5394" r:id="rId16650" display="https://twitter.com/porschepilotage/status/723708626058227713" xr:uid="{C89F9C88-34C9-4055-8EB8-04C978686566}"/>
    <hyperlink ref="O5394" r:id="rId16651" display="https://pbs.twimg.com/profile_images/1137193741/porsche-twitter_normal.jpg" xr:uid="{A4C345F3-FE97-4972-89C0-FFBD3BE90581}"/>
    <hyperlink ref="B5395" r:id="rId16652" display="https://twitter.com/Valennaraya" xr:uid="{1A50BB18-6C16-48CA-A611-5579A400FEAE}"/>
    <hyperlink ref="E5395" r:id="rId16653" display="https://twitter.com/Valennaraya/status/723708799765348352" xr:uid="{84BEE511-058D-4716-B551-1824FA53104A}"/>
    <hyperlink ref="O5395" r:id="rId16654" display="https://pbs.twimg.com/profile_images/721394143377932288/ImLRgOKY_normal.jpg" xr:uid="{C2163CD2-5295-40FF-92B2-FC8E306EBDD5}"/>
    <hyperlink ref="B5396" r:id="rId16655" display="https://twitter.com/iza_edit" xr:uid="{64CC32EB-CD39-4861-90C5-9817BBF01672}"/>
    <hyperlink ref="E5396" r:id="rId16656" display="https://twitter.com/iza_edit/status/723709200090550272" xr:uid="{BE1AD07D-70F2-4238-80B7-54A9CCFBFDE6}"/>
    <hyperlink ref="O5396" r:id="rId16657" display="https://pbs.twimg.com/profile_images/1315649415/izatwitter_________normal.jpg" xr:uid="{1C15D6E3-1022-45E1-A3F0-CD8A84A0120D}"/>
    <hyperlink ref="B5397" r:id="rId16658" display="https://twitter.com/Ronalley1" xr:uid="{01D26A75-D8DA-433E-940A-BA9D06ED218B}"/>
    <hyperlink ref="E5397" r:id="rId16659" display="https://twitter.com/Ronalley1/status/723709423739396096" xr:uid="{82D133B6-5065-4F13-907D-FE78AF146136}"/>
    <hyperlink ref="O5397" r:id="rId16660" display="https://pbs.twimg.com/profile_images/630198293826420736/tHb553bt_normal.jpg" xr:uid="{87E2113E-DEEF-463E-A91A-695D60937BDB}"/>
    <hyperlink ref="B5398" r:id="rId16661" display="https://twitter.com/beetlebug1938" xr:uid="{AA8BEAE8-8EF3-4088-AA57-84757600181B}"/>
    <hyperlink ref="E5398" r:id="rId16662" display="https://twitter.com/beetlebug1938/status/723710491504336896" xr:uid="{BA281C33-3FA4-43D3-8424-EECB05CBC3EF}"/>
    <hyperlink ref="O5398" r:id="rId16663" display="https://pbs.twimg.com/profile_images/718820712757215233/LXXndPTS_normal.jpg" xr:uid="{10A1588C-4F29-4F6E-87D2-ECFE08A770A0}"/>
    <hyperlink ref="B5399" r:id="rId16664" display="https://twitter.com/beetlebug1938" xr:uid="{F1A0F3B4-636E-498B-8891-4E83687D16A6}"/>
    <hyperlink ref="E5399" r:id="rId16665" display="https://twitter.com/beetlebug1938/status/723710505706205184" xr:uid="{6E6C4BF6-F2A0-4185-B868-52C1FCD5D4B9}"/>
    <hyperlink ref="O5399" r:id="rId16666" display="https://pbs.twimg.com/profile_images/718820712757215233/LXXndPTS_normal.jpg" xr:uid="{04286CAE-A69D-4794-A01A-90FFF3B2B6C0}"/>
    <hyperlink ref="B5400" r:id="rId16667" display="https://twitter.com/Tweets4Yoga" xr:uid="{7F2EAE9D-2386-4E8D-ACBD-CC005C75DCC8}"/>
    <hyperlink ref="E5400" r:id="rId16668" display="https://twitter.com/Tweets4Yoga/status/723710510001184768" xr:uid="{5CAE1273-5D7E-4BAF-9637-094BB9FF8D44}"/>
    <hyperlink ref="O5400" r:id="rId16669" display="https://pbs.twimg.com/profile_images/638327600486719488/Z-1qM3qs_normal.jpg" xr:uid="{32230891-D38A-4824-80E9-64DB3F8A9BB1}"/>
    <hyperlink ref="B5401" r:id="rId16670" display="https://twitter.com/beetlebug1938" xr:uid="{11AF0E12-0C9E-49F9-A799-10A06BA247DD}"/>
    <hyperlink ref="E5401" r:id="rId16671" display="https://twitter.com/beetlebug1938/status/723710519107026944" xr:uid="{2AD13353-12DD-43AC-8211-2520B442F392}"/>
    <hyperlink ref="O5401" r:id="rId16672" display="https://pbs.twimg.com/profile_images/718820712757215233/LXXndPTS_normal.jpg" xr:uid="{D6BD7B40-5A3F-4B6A-9A85-9808D1D0203B}"/>
    <hyperlink ref="B5402" r:id="rId16673" display="https://twitter.com/beetlebug1938" xr:uid="{F84F4F27-4E21-4A18-A2F2-B824F9DCC4EC}"/>
    <hyperlink ref="E5402" r:id="rId16674" display="https://twitter.com/beetlebug1938/status/723710532772106240" xr:uid="{00C2E098-0806-4E14-8186-868BC09558B5}"/>
    <hyperlink ref="O5402" r:id="rId16675" display="https://pbs.twimg.com/profile_images/718820712757215233/LXXndPTS_normal.jpg" xr:uid="{8A4F50B8-07CB-4A65-BA59-088CD86D7233}"/>
    <hyperlink ref="B5403" r:id="rId16676" display="https://twitter.com/Tweets4Yoga" xr:uid="{B87DE523-D937-42FB-A864-EB2C044ACD71}"/>
    <hyperlink ref="E5403" r:id="rId16677" display="https://twitter.com/Tweets4Yoga/status/723710542871977984" xr:uid="{1BF066BC-860C-447C-B007-27A0A5635416}"/>
    <hyperlink ref="O5403" r:id="rId16678" display="https://pbs.twimg.com/profile_images/638327600486719488/Z-1qM3qs_normal.jpg" xr:uid="{97D5757B-7132-4D11-BE75-5662DCBED561}"/>
    <hyperlink ref="B5404" r:id="rId16679" display="https://twitter.com/beetlebug1938" xr:uid="{FC1C68C6-6803-4828-A23D-811BCDAA29A2}"/>
    <hyperlink ref="E5404" r:id="rId16680" display="https://twitter.com/beetlebug1938/status/723710547208876032" xr:uid="{708AC7DD-B1B9-46D3-B67F-003333DF9C2E}"/>
    <hyperlink ref="O5404" r:id="rId16681" display="https://pbs.twimg.com/profile_images/718820712757215233/LXXndPTS_normal.jpg" xr:uid="{92AA3449-4D5B-4FD5-B04A-81CD089068B0}"/>
    <hyperlink ref="B5405" r:id="rId16682" display="https://twitter.com/beetlebug1938" xr:uid="{B485D8FF-C77C-4CF9-B696-8ADECA42274F}"/>
    <hyperlink ref="E5405" r:id="rId16683" display="https://twitter.com/beetlebug1938/status/723710558617370625" xr:uid="{3A2A7DEB-DEB9-455D-8CA2-9AF6EEDA67CE}"/>
    <hyperlink ref="O5405" r:id="rId16684" display="https://pbs.twimg.com/profile_images/718820712757215233/LXXndPTS_normal.jpg" xr:uid="{23FF8122-FB6B-44D0-B29F-C10E6C37B2F3}"/>
    <hyperlink ref="B5406" r:id="rId16685" display="https://twitter.com/Tweets4Yoga" xr:uid="{682E4DBA-6F08-400F-A684-5D9B953FDB15}"/>
    <hyperlink ref="E5406" r:id="rId16686" display="https://twitter.com/Tweets4Yoga/status/723710568151048193" xr:uid="{7B2A2920-EAC4-486D-A861-6DE93199C5C8}"/>
    <hyperlink ref="O5406" r:id="rId16687" display="https://pbs.twimg.com/profile_images/638327600486719488/Z-1qM3qs_normal.jpg" xr:uid="{668F066E-579A-4763-9FEC-90874E74F0D2}"/>
    <hyperlink ref="B5407" r:id="rId16688" display="https://twitter.com/beetlebug1938" xr:uid="{37A3A9FF-9961-4D79-89CC-013572E0DB11}"/>
    <hyperlink ref="E5407" r:id="rId16689" display="https://twitter.com/beetlebug1938/status/723710573490384897" xr:uid="{621D4B6E-00DE-44FB-9090-088C8E75C0B1}"/>
    <hyperlink ref="O5407" r:id="rId16690" display="https://pbs.twimg.com/profile_images/718820712757215233/LXXndPTS_normal.jpg" xr:uid="{6E1A7AC7-4E5D-43D6-A253-158CD458102A}"/>
    <hyperlink ref="B5408" r:id="rId16691" display="https://twitter.com/Tweets4Yoga" xr:uid="{6FAAB080-18ED-4940-8725-EF4572BC14FF}"/>
    <hyperlink ref="E5408" r:id="rId16692" display="https://twitter.com/Tweets4Yoga/status/723710576657092612" xr:uid="{7A25DAA0-8822-4486-8B5E-F9EC8462F6F5}"/>
    <hyperlink ref="O5408" r:id="rId16693" display="https://pbs.twimg.com/profile_images/638327600486719488/Z-1qM3qs_normal.jpg" xr:uid="{0A054404-0C58-4C46-821E-F4C9EB756BD6}"/>
    <hyperlink ref="B5409" r:id="rId16694" display="https://twitter.com/beetlebug1938" xr:uid="{4755A450-1C32-499E-B247-DBB2BC4FD7E6}"/>
    <hyperlink ref="E5409" r:id="rId16695" display="https://twitter.com/beetlebug1938/status/723710586723405828" xr:uid="{F6A055C6-CDF9-4FAF-A90E-6317D3131911}"/>
    <hyperlink ref="O5409" r:id="rId16696" display="https://pbs.twimg.com/profile_images/718820712757215233/LXXndPTS_normal.jpg" xr:uid="{501B9028-33CB-459E-ADA0-699C069EDF89}"/>
    <hyperlink ref="B5410" r:id="rId16697" display="https://twitter.com/CindyCallinsky" xr:uid="{258BA3A2-2F83-4867-B12A-9DC190021D7F}"/>
    <hyperlink ref="E5410" r:id="rId16698" display="https://twitter.com/CindyCallinsky/status/723711842992922624" xr:uid="{E9754B28-0C6B-475F-9D9C-1DDE1DF28847}"/>
    <hyperlink ref="O5410" r:id="rId16699" display="https://pbs.twimg.com/profile_images/718296879986012160/C5y4_r_5_normal.jpg" xr:uid="{322BBAD2-739D-4FF0-94A2-D3684DF76208}"/>
    <hyperlink ref="B5411" r:id="rId16700" display="https://twitter.com/VWBeetleSales" xr:uid="{84F33041-E936-480B-8161-18864BFB1F7B}"/>
    <hyperlink ref="E5411" r:id="rId16701" display="https://twitter.com/VWBeetleSales/status/723712520993705984" xr:uid="{20226016-6173-4F79-8577-EEE5FBE125DB}"/>
    <hyperlink ref="F5411" r:id="rId16702" xr:uid="{214F8ACD-8512-4FC2-9DC5-203E012810B9}"/>
    <hyperlink ref="O5411" r:id="rId16703" display="https://pbs.twimg.com/profile_images/703294545195307008/qeCvrX86_normal.jpg" xr:uid="{008B1966-C47A-415B-B50B-295D896B7C51}"/>
    <hyperlink ref="B5412" r:id="rId16704" display="https://twitter.com/CaaioMonteiro" xr:uid="{647CDA83-6B05-4D13-93FD-4DD618F7D687}"/>
    <hyperlink ref="E5412" r:id="rId16705" display="https://twitter.com/CaaioMonteiro/status/723712884652556289" xr:uid="{C6604230-625F-41FF-B07C-EDB28355E2CB}"/>
    <hyperlink ref="O5412" r:id="rId16706" display="https://pbs.twimg.com/profile_images/1403349824/tt_normal.jpg" xr:uid="{A7B448C0-9F8C-4030-A31F-F48D30E8C3C5}"/>
    <hyperlink ref="B5413" r:id="rId16707" display="https://twitter.com/bjsommerville" xr:uid="{DB5B144E-D01C-47FE-BA20-70388186D557}"/>
    <hyperlink ref="E5413" r:id="rId16708" display="https://twitter.com/bjsommerville/status/723712892843892736" xr:uid="{3F82C0E2-F8FC-4EFF-85C8-C2E4F30A919C}"/>
    <hyperlink ref="O5413" r:id="rId16709" display="https://pbs.twimg.com/profile_images/3725967723/1cb19fcb397118623a9866ecb7fd9b52_normal.jpeg" xr:uid="{EB10479D-6D67-43B5-B433-57E53154D6B0}"/>
    <hyperlink ref="B5414" r:id="rId16710" display="https://twitter.com/yamjun" xr:uid="{39F50354-9065-4E38-8A8F-A0785E14AB10}"/>
    <hyperlink ref="E5414" r:id="rId16711" display="https://twitter.com/yamjun/status/723713058225442817" xr:uid="{7B2AC11D-37D8-4C61-AD6A-D1D5463E2104}"/>
    <hyperlink ref="O5414" r:id="rId16712" display="https://pbs.twimg.com/profile_images/1383765110/yamjun-_300_normal.jpg" xr:uid="{48E8A575-53CB-426C-A8E7-E7DBFFDBD5F6}"/>
    <hyperlink ref="B5415" r:id="rId16713" display="https://twitter.com/bigbobblehats" xr:uid="{57624E88-1DEA-447A-A797-463FBA544A74}"/>
    <hyperlink ref="E5415" r:id="rId16714" display="https://twitter.com/bigbobblehats/status/723715083281547264" xr:uid="{95CE05F2-6389-4020-A4B9-B3ACF2292EB6}"/>
    <hyperlink ref="O5415" r:id="rId16715" display="https://pbs.twimg.com/profile_images/1147531135/Bus_Card_Logo_normal.jpg" xr:uid="{4585DBD0-CDA8-4A74-87C1-12E6E257155A}"/>
    <hyperlink ref="B5416" r:id="rId16716" display="https://twitter.com/dcmotoring" xr:uid="{89301320-5B1C-47C7-92D2-8818EF6DBF35}"/>
    <hyperlink ref="E5416" r:id="rId16717" display="https://twitter.com/dcmotoring/status/723715092785799168" xr:uid="{CE83E173-9908-4B68-ADA8-DE648157E23D}"/>
    <hyperlink ref="O5416" r:id="rId16718" display="https://pbs.twimg.com/profile_images/607768408768118784/KQCGVxZn_normal.jpg" xr:uid="{67238B17-214B-4B58-8F80-6F37DD230F67}"/>
    <hyperlink ref="B5417" r:id="rId16719" display="https://twitter.com/Angel3614" xr:uid="{3DD678EB-F605-4FE5-934D-69095B382356}"/>
    <hyperlink ref="E5417" r:id="rId16720" display="https://twitter.com/Angel3614/status/723716495885406209" xr:uid="{732C7C20-AEA8-4A5C-9160-6F949A27B582}"/>
    <hyperlink ref="O5417" r:id="rId16721" display="https://pbs.twimg.com/profile_images/539292996856856577/qxhH9j0q_normal.png" xr:uid="{789249A7-8066-4678-AEC9-317BB52ED3D0}"/>
    <hyperlink ref="P5417" r:id="rId16722" location="19.03859118,-98.20181249" display="http://ctrlq.org/maps/address/ - 19.03859118,-98.20181249" xr:uid="{96E76259-A2E4-4686-B5FA-0B2817B93A7E}"/>
    <hyperlink ref="B5418" r:id="rId16723" display="https://twitter.com/breedveldusa" xr:uid="{8F5B4897-FDC6-4A3D-B8E5-A9042A9542A2}"/>
    <hyperlink ref="E5418" r:id="rId16724" display="https://twitter.com/breedveldusa/status/723717695905107972" xr:uid="{D1904E09-2927-47B1-AE5E-C806A1D66926}"/>
    <hyperlink ref="O5418" r:id="rId16725" display="https://pbs.twimg.com/profile_images/674866085213130752/qAlZEGhV_normal.jpg" xr:uid="{4443E0D0-EBF5-45FD-AD2F-90EC699C498D}"/>
    <hyperlink ref="B5419" r:id="rId16726" display="https://twitter.com/VWCamperSales" xr:uid="{7D8F02FE-DDDA-4322-9EC9-BE0860A65CAA}"/>
    <hyperlink ref="E5419" r:id="rId16727" display="https://twitter.com/VWCamperSales/status/723720575185620992" xr:uid="{44450028-667C-4DDB-9A78-705BE9BE0E7E}"/>
    <hyperlink ref="F5419" r:id="rId16728" xr:uid="{A90BACD8-11F9-4F16-AAA6-94A53F8F85E0}"/>
    <hyperlink ref="O5419" r:id="rId16729" display="https://pbs.twimg.com/profile_images/627949001179037696/skEBkS05_normal.jpg" xr:uid="{F452CE16-FD37-4F80-B5C6-20437C7A10AD}"/>
    <hyperlink ref="B5420" r:id="rId16730" display="https://twitter.com/vagcafe" xr:uid="{7C0A6512-6E77-49D3-898F-8EFF423D3D26}"/>
    <hyperlink ref="E5420" r:id="rId16731" display="https://twitter.com/vagcafe/status/723721118864019456" xr:uid="{B24E2C0B-38C7-4376-8EB4-FEA30821594B}"/>
    <hyperlink ref="O5420" r:id="rId16732" display="https://pbs.twimg.com/profile_images/424263999111180288/uiuHfUnY_normal.png" xr:uid="{83EB0CD4-3FBD-49AF-91F6-D4118DC2009D}"/>
    <hyperlink ref="B5421" r:id="rId16733" display="https://twitter.com/DubLuvTuning" xr:uid="{33F610DC-B66C-4FF8-960E-A8A5CB29C722}"/>
    <hyperlink ref="E5421" r:id="rId16734" display="https://twitter.com/DubLuvTuning/status/723721326096179200" xr:uid="{5005F8C1-36FB-4937-BBAF-074115D77A46}"/>
    <hyperlink ref="O5421" r:id="rId16735" display="https://pbs.twimg.com/profile_images/378800000572104796/1de43e1cf23efb3f4101c02afad0d3b6_normal.png" xr:uid="{15A16E14-6139-48C4-8BAD-9EF7EE4B6C5F}"/>
    <hyperlink ref="B5422" r:id="rId16736" display="https://twitter.com/davidtellez" xr:uid="{ABF4D18C-3B34-4664-8FE7-F61A6970F027}"/>
    <hyperlink ref="E5422" r:id="rId16737" display="https://twitter.com/davidtellez/status/723721693928263681" xr:uid="{C3887071-A953-4635-A8CF-7A955BEAEA79}"/>
    <hyperlink ref="O5422" r:id="rId16738" display="https://pbs.twimg.com/profile_images/700445723104407552/1a_55IZR_normal.jpg" xr:uid="{5A4CD245-C7A8-42E8-8A39-C6C0CED3F627}"/>
    <hyperlink ref="B5423" r:id="rId16739" display="https://twitter.com/FlorShirado" xr:uid="{A953163E-3F6E-44D1-BA02-9ABA10EE4A17}"/>
    <hyperlink ref="E5423" r:id="rId16740" display="https://twitter.com/FlorShirado/status/723721844776407040" xr:uid="{4983C7F9-E9C2-4483-9AD0-1129CCEDD0E5}"/>
    <hyperlink ref="O5423" r:id="rId16741" display="https://pbs.twimg.com/profile_images/722115747934302210/aV4zL8et_normal.jpg" xr:uid="{848FBBB0-9F96-406B-9DA8-B77B71F9A276}"/>
    <hyperlink ref="B5424" r:id="rId16742" display="https://twitter.com/davidtellez" xr:uid="{7B86D800-C481-41B9-8AFE-24221A78481B}"/>
    <hyperlink ref="E5424" r:id="rId16743" display="https://twitter.com/davidtellez/status/723722032375054336" xr:uid="{976E42E1-49A7-4E67-A2B4-E55112985D44}"/>
    <hyperlink ref="O5424" r:id="rId16744" display="https://pbs.twimg.com/profile_images/700445723104407552/1a_55IZR_normal.jpg" xr:uid="{4481169B-2E7A-4FF6-A95F-68D0045F7422}"/>
    <hyperlink ref="B5425" r:id="rId16745" display="https://twitter.com/davidtellez" xr:uid="{7D24AF5E-155F-4ECD-819C-CE746F23E884}"/>
    <hyperlink ref="E5425" r:id="rId16746" display="https://twitter.com/davidtellez/status/723722322121732096" xr:uid="{F0AFA3A7-D848-4E0C-B0DF-4030A814905A}"/>
    <hyperlink ref="O5425" r:id="rId16747" display="https://pbs.twimg.com/profile_images/700445723104407552/1a_55IZR_normal.jpg" xr:uid="{7E6C391C-A527-4266-BBAC-4719F2A59CB0}"/>
    <hyperlink ref="B5426" r:id="rId16748" display="https://twitter.com/24HoursOfLeMons" xr:uid="{21AC135B-BA5A-4465-9B3B-C9D80FD7C450}"/>
    <hyperlink ref="E5426" r:id="rId16749" display="https://twitter.com/24HoursOfLeMons/status/723722785965617153" xr:uid="{91586C5F-BFAE-4179-9D83-7A2A0DC98171}"/>
    <hyperlink ref="O5426" r:id="rId16750" display="https://pbs.twimg.com/profile_images/3208566039/89994ec2076c0a659a2ee8d088a9c6e7_normal.jpeg" xr:uid="{A5C80994-1EC4-472B-91E5-E4555C791E6F}"/>
    <hyperlink ref="B5427" r:id="rId16751" display="https://twitter.com/ebaycampervans" xr:uid="{95A2B01F-E42C-4F0A-A877-A4FFFACAE053}"/>
    <hyperlink ref="E5427" r:id="rId16752" display="https://twitter.com/ebaycampervans/status/723722852805963780" xr:uid="{EBF5B5D7-BD2D-4107-AEA0-63CA3F5D96D1}"/>
    <hyperlink ref="O5427" r:id="rId16753" display="https://pbs.twimg.com/profile_images/599357023407464449/BL9Bpo6T_normal.jpg" xr:uid="{0A578A01-AA28-4B9F-8EA4-B7BF4AF9B805}"/>
    <hyperlink ref="B5428" r:id="rId16754" display="https://twitter.com/GulfNewsBiz" xr:uid="{0F3255D6-8CEA-4984-8E72-AA891B59B4C2}"/>
    <hyperlink ref="E5428" r:id="rId16755" display="https://twitter.com/GulfNewsBiz/status/723723106544574465" xr:uid="{DE5373C3-E83B-46D8-BA6C-5415F4E5010B}"/>
    <hyperlink ref="O5428" r:id="rId16756" display="https://pbs.twimg.com/profile_images/519804667849486336/BNnWeW7h_normal.jpeg" xr:uid="{5EDC70B3-673A-46B3-B7E8-BC94F403DE68}"/>
    <hyperlink ref="B5429" r:id="rId16757" display="https://twitter.com/FakeDispatchBot" xr:uid="{87E30B68-C232-476E-8189-C5D7994C455A}"/>
    <hyperlink ref="E5429" r:id="rId16758" display="https://twitter.com/FakeDispatchBot/status/723723271586209792" xr:uid="{C4B56F7B-066D-433F-B6E7-C27CBDAC625D}"/>
    <hyperlink ref="O5429" r:id="rId16759" display="https://pbs.twimg.com/profile_images/672983778885689344/1ep6eaaz_normal.jpg" xr:uid="{87F39CC6-9605-46AC-9ACB-8EFDAB18CB2B}"/>
    <hyperlink ref="B5430" r:id="rId16760" display="https://twitter.com/Jochitas" xr:uid="{8265D6F9-4A99-433A-9766-42C06A8EF641}"/>
    <hyperlink ref="E5430" r:id="rId16761" display="https://twitter.com/Jochitas/status/723724112875556865" xr:uid="{BE1C5238-15D3-4790-9B33-E8E1E2EC834F}"/>
    <hyperlink ref="O5430" r:id="rId16762" display="https://pbs.twimg.com/profile_images/594267818842988544/ZJUVlxJG_normal.jpg" xr:uid="{878055F3-3C4F-42FF-BF05-DE50BA4FBF62}"/>
    <hyperlink ref="B5431" r:id="rId16763" display="https://twitter.com/VolkswagenPost" xr:uid="{D3FB1694-0D90-4A47-A796-94337F855E8A}"/>
    <hyperlink ref="E5431" r:id="rId16764" display="https://twitter.com/VolkswagenPost/status/723724661289263105" xr:uid="{677F99B5-7C75-4E7E-BEC9-703EDF2F2E61}"/>
    <hyperlink ref="O5431" r:id="rId16765" display="https://pbs.twimg.com/profile_images/530071272881803264/a_jcCmPZ_normal.png" xr:uid="{1E1A8347-FA07-4F49-BE5F-E9C45FDC5279}"/>
    <hyperlink ref="B5432" r:id="rId16766" display="https://twitter.com/hayles_143" xr:uid="{00891AC2-8A0A-4F76-8758-CA2C9EBF1522}"/>
    <hyperlink ref="E5432" r:id="rId16767" display="https://twitter.com/hayles_143/status/723726174195589120" xr:uid="{A231E067-F2CD-4B34-927E-24F7B7157A27}"/>
    <hyperlink ref="O5432" r:id="rId16768" display="https://pbs.twimg.com/profile_images/723552199503056896/q92McICK_normal.jpg" xr:uid="{E24BB417-DC22-47B9-989D-8A7E4367EA0E}"/>
    <hyperlink ref="B5433" r:id="rId16769" display="https://twitter.com/Scirocco_Tuning" xr:uid="{1E0EF95E-A71B-4CF4-B127-0061FA4A6003}"/>
    <hyperlink ref="E5433" r:id="rId16770" display="https://twitter.com/Scirocco_Tuning/status/723727915276480513" xr:uid="{E8C13996-7F6F-4C7D-BC51-B665F3FFF8AB}"/>
    <hyperlink ref="O5433" r:id="rId16771" display="https://pbs.twimg.com/profile_images/1610421423/Image2_normal.jpg" xr:uid="{1FE1D7EC-4868-4822-8C5A-DF00A2B1B0B5}"/>
    <hyperlink ref="B5434" r:id="rId16772" display="https://twitter.com/VWBeetleSales" xr:uid="{55A580A4-416B-4851-9399-2EDCBBFB9FC8}"/>
    <hyperlink ref="E5434" r:id="rId16773" display="https://twitter.com/VWBeetleSales/status/723728364830216193" xr:uid="{973A9951-13C7-4848-A849-E7E34956715A}"/>
    <hyperlink ref="F5434" r:id="rId16774" xr:uid="{5A8A226D-B343-483D-AE8C-65515BFB5C26}"/>
    <hyperlink ref="O5434" r:id="rId16775" display="https://pbs.twimg.com/profile_images/703294545195307008/qeCvrX86_normal.jpg" xr:uid="{973995AD-77BF-40DC-ACA0-55B0E2AE5BB2}"/>
    <hyperlink ref="B5435" r:id="rId16776" display="https://twitter.com/ExpeditionFools" xr:uid="{F13ADA97-7A27-4FF4-BCA1-03AC83391DF2}"/>
    <hyperlink ref="E5435" r:id="rId16777" display="https://twitter.com/ExpeditionFools/status/723728926984413184" xr:uid="{8F1E80A9-C2C8-4672-B638-C5254648225A}"/>
    <hyperlink ref="O5435" r:id="rId16778" display="https://pbs.twimg.com/profile_images/710523117727145984/7-Pyv2g5_normal.jpg" xr:uid="{D23A242A-B095-4482-95EC-4B7457CE2B31}"/>
    <hyperlink ref="B5436" r:id="rId16779" display="https://twitter.com/tschmitz_eu" xr:uid="{F1CF2C8B-A548-48E0-B0E3-56B369EA2AC0}"/>
    <hyperlink ref="E5436" r:id="rId16780" display="https://twitter.com/tschmitz_eu/status/723730506647482369" xr:uid="{C4954AC0-9CFF-40AB-B007-6DC291119F95}"/>
    <hyperlink ref="O5436" r:id="rId16781" display="https://pbs.twimg.com/profile_images/721235286269804544/nZY31tY3_normal.jpg" xr:uid="{0B488D19-A673-40D5-AD03-9BB2DB8B2AAA}"/>
    <hyperlink ref="B5437" r:id="rId16782" display="https://twitter.com/ENLACEPUEBLA" xr:uid="{8EB19293-502D-45F8-A629-06C7F2906DFE}"/>
    <hyperlink ref="E5437" r:id="rId16783" display="https://twitter.com/ENLACEPUEBLA/status/723730914375659520" xr:uid="{26390020-9726-4BF7-A569-240A147ED295}"/>
    <hyperlink ref="O5437" r:id="rId16784" display="https://pbs.twimg.com/profile_images/443258859092578304/uvPzzzTx_normal.png" xr:uid="{0B9C527E-75A5-423F-975C-A57FE29DA4B7}"/>
    <hyperlink ref="B5438" r:id="rId16785" display="https://twitter.com/tschmitz_eu" xr:uid="{C06BFCDB-596D-4F23-8AF6-619D7523DAC1}"/>
    <hyperlink ref="E5438" r:id="rId16786" display="https://twitter.com/tschmitz_eu/status/723731134669041664" xr:uid="{DDF8E547-F85B-4667-A298-3C13C235DB0F}"/>
    <hyperlink ref="O5438" r:id="rId16787" display="https://pbs.twimg.com/profile_images/721235286269804544/nZY31tY3_normal.jpg" xr:uid="{A572FC49-75AF-4E73-8A73-3A1E5F35621F}"/>
    <hyperlink ref="B5439" r:id="rId16788" display="https://twitter.com/RadialTVcom" xr:uid="{579C543F-6887-48E8-BD36-447F010375D5}"/>
    <hyperlink ref="E5439" r:id="rId16789" display="https://twitter.com/RadialTVcom/status/723731455155662848" xr:uid="{DE56CD78-8C63-47EE-92D3-82129705E7A8}"/>
    <hyperlink ref="O5439" r:id="rId16790" display="https://pbs.twimg.com/profile_images/524247355084636160/OzYcsa1O_normal.jpeg" xr:uid="{546438D8-BF51-4E3C-AA41-91C2207F1475}"/>
    <hyperlink ref="B5440" r:id="rId16791" display="https://twitter.com/beto_rh6" xr:uid="{A84F817D-7F18-4E58-8E4D-8F2816F45687}"/>
    <hyperlink ref="E5440" r:id="rId16792" display="https://twitter.com/beto_rh6/status/723731786853818368" xr:uid="{734BEFEB-B776-4F6C-8554-851AD744114B}"/>
    <hyperlink ref="O5440" r:id="rId16793" display="https://pbs.twimg.com/profile_images/674995378828152832/MlepJsK4_normal.jpg" xr:uid="{1E2F2C60-6064-48EE-AC9B-86B699A3B01F}"/>
    <hyperlink ref="B5441" r:id="rId16794" display="https://twitter.com/nico85045340" xr:uid="{32BBFB8D-548F-4064-938A-08985F2852BC}"/>
    <hyperlink ref="E5441" r:id="rId16795" display="https://twitter.com/nico85045340/status/723732225213227008" xr:uid="{D1993286-7923-4C65-A17B-E35BF74B2A19}"/>
    <hyperlink ref="O5441" r:id="rId16796" display="https://pbs.twimg.com/profile_images/723348796898443268/buY9RlRR_normal.jpg" xr:uid="{DDC84498-BEB1-4C2B-AAA8-0C6DBAF03FB8}"/>
    <hyperlink ref="B5442" r:id="rId16797" display="https://twitter.com/skywalker5005" xr:uid="{83C31818-F4AE-48D6-A183-2A6670B925EA}"/>
    <hyperlink ref="E5442" r:id="rId16798" display="https://twitter.com/skywalker5005/status/723733561224867840" xr:uid="{675361DC-32A8-4C0F-A267-1103D4C7A18C}"/>
    <hyperlink ref="O5442" r:id="rId16799" display="https://pbs.twimg.com/profile_images/721567171344777216/2raw1nMK_normal.jpg" xr:uid="{69EC6481-BD84-44C3-B29E-1D9734AAD20E}"/>
    <hyperlink ref="B5443" r:id="rId16800" display="https://twitter.com/bodo1962" xr:uid="{8D85730A-6353-4351-AB52-072EFC51162E}"/>
    <hyperlink ref="E5443" r:id="rId16801" display="https://twitter.com/bodo1962/status/723734953041780736" xr:uid="{F9404BC5-9C49-4BCB-B037-849CEE19E03D}"/>
    <hyperlink ref="O5443" r:id="rId16802" display="https://pbs.twimg.com/profile_images/439706141728051201/GQgdrA5p_normal.jpeg" xr:uid="{2980BA68-1978-40C8-9846-BF8C6A77BC97}"/>
    <hyperlink ref="B5444" r:id="rId16803" display="https://twitter.com/bodo1962" xr:uid="{CBAFDC0E-631A-46C9-B1B5-3B12497FB6B1}"/>
    <hyperlink ref="E5444" r:id="rId16804" display="https://twitter.com/bodo1962/status/723735165063847936" xr:uid="{C2DBC19E-3105-41B8-8A0C-F716AA373867}"/>
    <hyperlink ref="O5444" r:id="rId16805" display="https://pbs.twimg.com/profile_images/439706141728051201/GQgdrA5p_normal.jpeg" xr:uid="{3DF4A087-1E4F-4E8D-BA99-85B4FBCA7D07}"/>
    <hyperlink ref="B5445" r:id="rId16806" display="https://twitter.com/Rodrigo_Taylorr" xr:uid="{20567FF4-BEBF-46DD-AAB3-517802C502B6}"/>
    <hyperlink ref="E5445" r:id="rId16807" display="https://twitter.com/Rodrigo_Taylorr/status/723735848118833152" xr:uid="{E8263479-5595-4B49-9E7E-E2FDBCE78D5D}"/>
    <hyperlink ref="O5445" r:id="rId16808" display="https://pbs.twimg.com/profile_images/722613468084486144/7b5Iz33V_normal.jpg" xr:uid="{0B99414D-ED60-4A08-98E9-95F24453F8A2}"/>
    <hyperlink ref="B5446" r:id="rId16809" display="https://twitter.com/SkipYorkEnergy" xr:uid="{7B576EA2-1072-43E7-AE75-7A096CC55498}"/>
    <hyperlink ref="E5446" r:id="rId16810" display="https://twitter.com/SkipYorkEnergy/status/723736175089840128" xr:uid="{C386EC02-A7C4-4909-86C0-12039D81E40B}"/>
    <hyperlink ref="O5446" r:id="rId16811" display="https://pbs.twimg.com/profile_images/684230516967538688/aj8IoHKQ_normal.jpg" xr:uid="{C651B266-4DA8-4CD6-997A-E6B51673BC41}"/>
    <hyperlink ref="B5447" r:id="rId16812" display="https://twitter.com/webaraba" xr:uid="{EEB26073-10E5-4756-BA67-A61E71B62958}"/>
    <hyperlink ref="C5447" r:id="rId16813" xr:uid="{C0C9E1F2-1097-47AC-B456-41D1B96CE148}"/>
    <hyperlink ref="E5447" r:id="rId16814" display="https://twitter.com/webaraba/status/723736714091597824" xr:uid="{4CE8950A-08DD-4D72-99EF-6E6A20692432}"/>
    <hyperlink ref="F5447" r:id="rId16815" xr:uid="{7AB30DC4-092C-4692-9B6A-916F34BEC2B6}"/>
    <hyperlink ref="O5447" r:id="rId16816" display="https://pbs.twimg.com/profile_images/641238966541361152/-oEpQ9XT_normal.png" xr:uid="{29ED6F12-B93C-498C-968F-A3C7AA3EE307}"/>
    <hyperlink ref="B5448" r:id="rId16817" display="https://twitter.com/autoinsight_app" xr:uid="{5C911DAA-5BEC-4951-A2A0-8479C4859A00}"/>
    <hyperlink ref="E5448" r:id="rId16818" display="https://twitter.com/autoinsight_app/status/723736936641355776" xr:uid="{7A5B2A1A-D2BE-44A0-B912-7C804BC79D29}"/>
    <hyperlink ref="O5448" r:id="rId16819" display="https://pbs.twimg.com/profile_images/719587346165817345/_yenBawf_normal.jpg" xr:uid="{2652303D-D1A9-4239-A529-CCB40E2CEC1C}"/>
    <hyperlink ref="B5449" r:id="rId16820" display="https://twitter.com/enzodaviid" xr:uid="{0F9A2256-C4B3-4E7D-BDEE-218A5F1682C1}"/>
    <hyperlink ref="E5449" r:id="rId16821" display="https://twitter.com/enzodaviid/status/723738229799837696" xr:uid="{CA7DBE4D-17E1-4449-8813-BABCCA48A2F0}"/>
    <hyperlink ref="O5449" r:id="rId16822" display="https://pbs.twimg.com/profile_images/451335270445895680/kbg9n6nR_normal.jpeg" xr:uid="{A1CCCE10-726B-4A5F-B0D4-494A159FD358}"/>
    <hyperlink ref="P5449" r:id="rId16823" location="-38,-57.55" display="http://ctrlq.org/maps/address/ - -38,-57.55" xr:uid="{0F6F05D1-EA90-4B66-8847-7B44635628CA}"/>
    <hyperlink ref="B5450" r:id="rId16824" display="https://twitter.com/FrankBauHa" xr:uid="{050BFFB4-EF7B-47CB-BEA1-4D5ECF629AA5}"/>
    <hyperlink ref="E5450" r:id="rId16825" display="https://twitter.com/FrankBauHa/status/723738272254533632" xr:uid="{73F74C44-9A5F-4BB3-B9DF-61C6BBC4477F}"/>
    <hyperlink ref="O5450" r:id="rId16826" display="https://pbs.twimg.com/profile_images/573395717953224705/aSHONgO9_normal.jpeg" xr:uid="{0CC04FA2-3DE6-48C0-B90E-6E5B62A521F2}"/>
    <hyperlink ref="B5451" r:id="rId16827" display="https://twitter.com/Mysterons" xr:uid="{55062ECC-4797-4476-9598-F4332FEB4B22}"/>
    <hyperlink ref="E5451" r:id="rId16828" display="https://twitter.com/Mysterons/status/723738663339872257" xr:uid="{08AFB0DC-EA95-4B94-B1D5-E1CF2F264ED2}"/>
    <hyperlink ref="O5451" r:id="rId16829" display="https://pbs.twimg.com/profile_images/1259854880/manga_1_normal.jpg" xr:uid="{FAED207A-0817-42F1-9532-2671E3674C65}"/>
    <hyperlink ref="B5452" r:id="rId16830" display="https://twitter.com/Benni_Hofmann" xr:uid="{13AABA34-36F5-4AE1-89BF-1122D1D9D1C2}"/>
    <hyperlink ref="E5452" r:id="rId16831" display="https://twitter.com/Benni_Hofmann/status/723740154196795392" xr:uid="{C61F73C3-F0E9-4681-B615-8F6B34218796}"/>
    <hyperlink ref="O5452" r:id="rId16832" display="https://pbs.twimg.com/profile_images/1601078439/DSC_0135klein_normal.jpg" xr:uid="{BDC36E49-FF1D-4497-B38E-3A5518B080E8}"/>
    <hyperlink ref="B5453" r:id="rId16833" display="https://twitter.com/VolkswagenPost" xr:uid="{E20A854D-2D63-45D3-BE37-53107079BA19}"/>
    <hyperlink ref="E5453" r:id="rId16834" display="https://twitter.com/VolkswagenPost/status/723740441997242368" xr:uid="{4D162C7E-4A9C-426E-B2DA-AE595C2C3E18}"/>
    <hyperlink ref="O5453" r:id="rId16835" display="https://pbs.twimg.com/profile_images/530071272881803264/a_jcCmPZ_normal.png" xr:uid="{9F300FB4-BF6C-402C-B788-3BC2DB56941A}"/>
    <hyperlink ref="B5454" r:id="rId16836" display="https://twitter.com/BlogCarsPassion" xr:uid="{A47BAC03-54C2-43D4-8D6C-4D23CB0B6D04}"/>
    <hyperlink ref="E5454" r:id="rId16837" display="https://twitter.com/BlogCarsPassion/status/723741135924006912" xr:uid="{A600ABCB-8B7B-41BC-8A4E-E6E007CE0216}"/>
    <hyperlink ref="O5454" r:id="rId16838" display="https://pbs.twimg.com/profile_images/466206973327716354/B-Lh-ibm_normal.png" xr:uid="{20239C07-01D1-48D3-BDB9-453E2846465C}"/>
    <hyperlink ref="B5455" r:id="rId16839" display="https://twitter.com/Kielia88" xr:uid="{25EFFCEA-88B9-42B0-A7A7-48FF486C6E09}"/>
    <hyperlink ref="E5455" r:id="rId16840" display="https://twitter.com/Kielia88/status/723741320674742272" xr:uid="{8579022C-4745-4E33-A778-86556D710CEC}"/>
    <hyperlink ref="O5455" r:id="rId16841" display="https://pbs.twimg.com/profile_images/604605659410235392/k92X94I5_normal.jpg" xr:uid="{4F1229E9-6923-4488-B055-A6EC900E2FF7}"/>
    <hyperlink ref="B5456" r:id="rId16842" display="https://twitter.com/PetrBenes73" xr:uid="{462C0F1B-0703-4D36-B3DF-C985726ABE5D}"/>
    <hyperlink ref="E5456" r:id="rId16843" display="https://twitter.com/PetrBenes73/status/723741382788165633" xr:uid="{A4DC9214-2536-40A0-A694-93C1165EAB15}"/>
    <hyperlink ref="O5456" r:id="rId16844" display="https://abs.twimg.com/sticky/default_profile_images/default_profile_0_normal.png" xr:uid="{84469A1D-32DC-42C3-9728-6E0415716B3E}"/>
    <hyperlink ref="B5457" r:id="rId16845" display="https://twitter.com/mondedelauto" xr:uid="{603CC112-1116-40BA-99C5-5678E1FB6BEB}"/>
    <hyperlink ref="E5457" r:id="rId16846" display="https://twitter.com/mondedelauto/status/723742016392335360" xr:uid="{5AB7460C-00B8-4B80-911F-243842B90771}"/>
    <hyperlink ref="O5457" r:id="rId16847" display="https://pbs.twimg.com/profile_images/695355061635932160/5oTfZ6Ac_normal.jpg" xr:uid="{48DA7DEA-67B3-40ED-B7E3-2E70DEB27ECC}"/>
    <hyperlink ref="B5458" r:id="rId16848" display="https://twitter.com/Kielia88" xr:uid="{0BB5A8C3-CBB4-4630-9D5D-D9A05A714AD6}"/>
    <hyperlink ref="E5458" r:id="rId16849" display="https://twitter.com/Kielia88/status/723742612411260928" xr:uid="{1C86C7FD-8C0E-4230-A5AD-199B28F1EC77}"/>
    <hyperlink ref="O5458" r:id="rId16850" display="https://pbs.twimg.com/profile_images/604605659410235392/k92X94I5_normal.jpg" xr:uid="{5CFA3116-7CAB-438E-85DB-4584ED566C22}"/>
    <hyperlink ref="B5459" r:id="rId16851" display="https://twitter.com/CFPhotography1" xr:uid="{944E81A7-03E5-4AC2-B063-F4F82537EA20}"/>
    <hyperlink ref="E5459" r:id="rId16852" display="https://twitter.com/CFPhotography1/status/723742841856495616" xr:uid="{B48784E8-4691-44BF-8354-150561992254}"/>
    <hyperlink ref="O5459" r:id="rId16853" display="https://pbs.twimg.com/profile_images/705666972621508608/2ljE7R_P_normal.jpg" xr:uid="{4970DC36-6D50-426D-A041-F08236B5177C}"/>
    <hyperlink ref="B5460" r:id="rId16854" display="https://twitter.com/dsgforever" xr:uid="{2CF30D9B-C7FC-40B7-8C81-DBCDD3EAA925}"/>
    <hyperlink ref="E5460" r:id="rId16855" display="https://twitter.com/dsgforever/status/723743027949395968" xr:uid="{5E40F1DA-4C80-4798-8384-5713EB6B853A}"/>
    <hyperlink ref="O5460" r:id="rId16856" display="https://pbs.twimg.com/profile_images/692269771841236992/mVBQRdUr_normal.jpg" xr:uid="{D0FD48A6-CA44-49DC-929D-E56ABE719632}"/>
    <hyperlink ref="B5461" r:id="rId16857" display="https://twitter.com/JunoDee" xr:uid="{9C8A737F-E90D-444B-AD18-F1009E808A1C}"/>
    <hyperlink ref="E5461" r:id="rId16858" display="https://twitter.com/JunoDee/status/723743281222397952" xr:uid="{A81C0894-A6E1-4A62-B9FE-6BE963DBCA1C}"/>
    <hyperlink ref="O5461" r:id="rId16859" display="https://pbs.twimg.com/profile_images/718940079960563712/9LzCcd8k_normal.jpg" xr:uid="{6BC68514-E520-4279-A529-E3B7D4FF1C08}"/>
    <hyperlink ref="B5462" r:id="rId16860" display="https://twitter.com/alletun" xr:uid="{5B3D0B62-AF6A-42B0-A45C-2CCC4F149203}"/>
    <hyperlink ref="E5462" r:id="rId16861" display="https://twitter.com/alletun/status/723743335786094592" xr:uid="{23736177-4ACE-4B86-99FD-D673D6CB9D61}"/>
    <hyperlink ref="O5462" r:id="rId16862" display="https://pbs.twimg.com/profile_images/558535484582793216/1YKaWa1i_normal.jpeg" xr:uid="{FB2240FA-3301-453D-A6AB-56EF348A3707}"/>
    <hyperlink ref="B5463" r:id="rId16863" display="https://twitter.com/roansub" xr:uid="{1F3790C2-13E3-48BD-BBC5-6DCA7EAA1127}"/>
    <hyperlink ref="E5463" r:id="rId16864" display="https://twitter.com/roansub/status/723743366777851904" xr:uid="{B8A4F534-4311-4145-907A-CA148E93DA92}"/>
    <hyperlink ref="O5463" r:id="rId16865" display="https://pbs.twimg.com/profile_images/638973360169463808/YEbGEWne_normal.jpg" xr:uid="{6E07FB4C-73D0-4F54-80AB-C7E73543D8C2}"/>
    <hyperlink ref="B5464" r:id="rId16866" display="https://twitter.com/AldoCarigiet" xr:uid="{8D22A9DE-0BF2-46E4-B054-1A24703850C2}"/>
    <hyperlink ref="E5464" r:id="rId16867" display="https://twitter.com/AldoCarigiet/status/723743466908475392" xr:uid="{816FEEA7-2390-4C1D-9B3A-31DD7CD332B8}"/>
    <hyperlink ref="O5464" r:id="rId16868" display="https://abs.twimg.com/sticky/default_profile_images/default_profile_1_normal.png" xr:uid="{D50F3E39-1B9B-4B8F-BB5D-F984AAC2FDDD}"/>
    <hyperlink ref="B5465" r:id="rId16869" display="https://twitter.com/carloooove1000" xr:uid="{8E05AFB6-2BCC-4887-AD2D-EC402FBA503D}"/>
    <hyperlink ref="E5465" r:id="rId16870" display="https://twitter.com/carloooove1000/status/723743726225367040" xr:uid="{7FF20A9F-5C4C-40F1-8906-A1D68F85DD74}"/>
    <hyperlink ref="O5465" r:id="rId16871" display="https://pbs.twimg.com/profile_images/711267290851835904/BMGyNOSC_normal.jpg" xr:uid="{22A5AB7E-CBF7-444F-A6E0-8EE3B4B06539}"/>
    <hyperlink ref="B5466" r:id="rId16872" display="https://twitter.com/ChatLeRoy" xr:uid="{94E76ECB-0AD1-4C46-B25B-4C1E451EC37D}"/>
    <hyperlink ref="E5466" r:id="rId16873" display="https://twitter.com/ChatLeRoy/status/723743763106025472" xr:uid="{DAECE737-CBF7-4F53-A8C8-633DC57F88C6}"/>
    <hyperlink ref="O5466" r:id="rId16874" display="https://pbs.twimg.com/profile_images/639820375019384833/pthoDc2s_normal.jpg" xr:uid="{32B5DBA2-AD11-48B0-B038-EC35893A5BD0}"/>
    <hyperlink ref="B5467" r:id="rId16875" display="https://twitter.com/soboro1022" xr:uid="{3B9EE328-4C79-458D-992C-811E7F18DA3C}"/>
    <hyperlink ref="E5467" r:id="rId16876" display="https://twitter.com/soboro1022/status/723743777295347712" xr:uid="{E8EE5963-7CD9-44C2-A11C-29872B0A5D72}"/>
    <hyperlink ref="O5467" r:id="rId16877" display="https://pbs.twimg.com/profile_images/712992096920014848/_J0Y0Gvz_normal.jpg" xr:uid="{9490927A-61A3-4851-84AB-E4C259ED3D1D}"/>
    <hyperlink ref="B5468" r:id="rId16878" display="https://twitter.com/VWBeetleSales" xr:uid="{DB6FD35C-7A7B-408D-AE83-1C2990B422A3}"/>
    <hyperlink ref="E5468" r:id="rId16879" display="https://twitter.com/VWBeetleSales/status/723743983797575683" xr:uid="{2AD2036A-76F9-4534-AE8E-0062C52DB447}"/>
    <hyperlink ref="F5468" r:id="rId16880" xr:uid="{3F333F5A-2E61-4F31-8486-02184134F299}"/>
    <hyperlink ref="O5468" r:id="rId16881" display="https://pbs.twimg.com/profile_images/703294545195307008/qeCvrX86_normal.jpg" xr:uid="{E7F00277-85F0-4C9A-AC1C-013386061098}"/>
    <hyperlink ref="B5469" r:id="rId16882" display="https://twitter.com/JackyMMontes" xr:uid="{C394D8CA-7E13-4624-8051-8FB87B5AAE27}"/>
    <hyperlink ref="E5469" r:id="rId16883" display="https://twitter.com/JackyMMontes/status/723744077917904896" xr:uid="{221B7427-FDFA-41D7-B8C7-5DA938D206D1}"/>
    <hyperlink ref="O5469" r:id="rId16884" display="https://pbs.twimg.com/profile_images/701891172998864896/MWTDgukB_normal.png" xr:uid="{196BBAFF-EF6E-401B-88BA-F1FEBFF58C87}"/>
    <hyperlink ref="B5470" r:id="rId16885" display="https://twitter.com/wendy_2parra" xr:uid="{E33986E2-249F-4F0E-B5A3-265265B5083F}"/>
    <hyperlink ref="E5470" r:id="rId16886" display="https://twitter.com/wendy_2parra/status/723745247361114112" xr:uid="{363C78DC-F83D-4B5C-BC37-51D8D4975B42}"/>
    <hyperlink ref="O5470" r:id="rId16887" display="https://pbs.twimg.com/profile_images/700396434412077056/BkSuEj4v_normal.png" xr:uid="{A6DB0D27-6FC9-4A62-8099-9F9017B5C009}"/>
    <hyperlink ref="B5471" r:id="rId16888" display="https://twitter.com/begkimchi" xr:uid="{755A60FF-485F-474D-A4D7-6E668BF7CDD3}"/>
    <hyperlink ref="E5471" r:id="rId16889" display="https://twitter.com/begkimchi/status/723745655286452226" xr:uid="{0FB17B2D-DB55-4D8C-9418-36121ACDF6FF}"/>
    <hyperlink ref="O5471" r:id="rId16890" display="https://pbs.twimg.com/profile_images/1114332849/41717_100001544730121_1584_n_normal.jpg" xr:uid="{56260EF7-C6FC-486F-8599-D6203BCB81A2}"/>
    <hyperlink ref="B5472" r:id="rId16891" display="https://twitter.com/iTRON_car" xr:uid="{DFD6EBF1-A6D5-43E1-B906-999E5C580080}"/>
    <hyperlink ref="E5472" r:id="rId16892" display="https://twitter.com/iTRON_car/status/723745866197155841" xr:uid="{70CB6155-9B2C-4BE7-B136-F06C4DCF0132}"/>
    <hyperlink ref="O5472" r:id="rId16893" display="https://pbs.twimg.com/profile_images/723541619148988416/X9xXaUQk_normal.jpg" xr:uid="{7ACFA1B0-3D34-4974-95FE-98EAF570DE46}"/>
    <hyperlink ref="B5473" r:id="rId16894" display="https://twitter.com/carina_thewald" xr:uid="{203DF03F-C0C2-4290-AD03-ADCEF37BA4B1}"/>
    <hyperlink ref="E5473" r:id="rId16895" display="https://twitter.com/carina_thewald/status/723745896341581824" xr:uid="{2B81B9EC-A059-4833-A42C-391761F3E0CE}"/>
    <hyperlink ref="O5473" r:id="rId16896" display="https://pbs.twimg.com/profile_images/674854011586088961/eoe_WIK0_normal.jpg" xr:uid="{B250A82E-3913-41F0-B6B7-C03A9437D318}"/>
    <hyperlink ref="B5474" r:id="rId16897" display="https://twitter.com/AJBCE" xr:uid="{3BF15F61-91C2-46D6-A272-E8300AAD2011}"/>
    <hyperlink ref="E5474" r:id="rId16898" display="https://twitter.com/AJBCE/status/723746646086025216" xr:uid="{B38D77EB-9AF1-4700-975D-264D13D17ED5}"/>
    <hyperlink ref="O5474" r:id="rId16899" display="https://pbs.twimg.com/profile_images/3751707139/5aac161e2461c79838ce82fbf8cf39c6_normal.jpeg" xr:uid="{40ADA144-194F-402F-8747-4BE8B4E54EB9}"/>
    <hyperlink ref="B5475" r:id="rId16900" display="https://twitter.com/KESIGAN10" xr:uid="{8D9BE913-EB90-4399-A23F-4D056BB8B480}"/>
    <hyperlink ref="E5475" r:id="rId16901" display="https://twitter.com/KESIGAN10/status/723747058008625153" xr:uid="{439F3059-A3E4-40F6-85C4-D0658372461F}"/>
    <hyperlink ref="O5475" r:id="rId16902" display="https://pbs.twimg.com/profile_images/439742449330954241/gPcHBUaE_normal.jpeg" xr:uid="{D643DE7F-9004-4DD4-BA65-B0B97B541ECF}"/>
    <hyperlink ref="B5476" r:id="rId16903" display="https://twitter.com/brennan_gibson" xr:uid="{69039375-F624-40BB-B2EC-3F4BCA6C3392}"/>
    <hyperlink ref="E5476" r:id="rId16904" display="https://twitter.com/brennan_gibson/status/723747108738744320" xr:uid="{B764AECE-2ACF-42C1-83E0-E48025A3BDD8}"/>
    <hyperlink ref="O5476" r:id="rId16905" display="https://pbs.twimg.com/profile_images/723745639977390080/ZJh-wkZu_normal.jpg" xr:uid="{7128C918-CB57-4B8C-8E9E-D2BC1CFEB8B5}"/>
    <hyperlink ref="B5477" r:id="rId16906" display="https://twitter.com/furqan_satcom" xr:uid="{05FCAB69-AFEA-458D-9106-E9C30E7C78BC}"/>
    <hyperlink ref="E5477" r:id="rId16907" display="https://twitter.com/furqan_satcom/status/723747250522873856" xr:uid="{8818A46B-0CAE-4BD5-B08B-A1B4F6C51197}"/>
    <hyperlink ref="O5477" r:id="rId16908" display="https://pbs.twimg.com/profile_images/709439945719554049/EsfOsVRH_normal.jpg" xr:uid="{200D6F2F-9D85-4AB1-A403-CC111BD21E6E}"/>
    <hyperlink ref="B5478" r:id="rId16909" display="https://twitter.com/LStahlecker" xr:uid="{C204638A-1B84-43FD-8083-75B5BFD9CC21}"/>
    <hyperlink ref="E5478" r:id="rId16910" display="https://twitter.com/LStahlecker/status/723748379432361985" xr:uid="{34108DCA-C423-4614-BA02-0388DC90A3A3}"/>
    <hyperlink ref="O5478" r:id="rId16911" display="https://pbs.twimg.com/profile_images/510170113257914368/O9xXZ4lT_normal.jpeg" xr:uid="{21BC0590-840F-40FD-91CC-852ABE5A107D}"/>
    <hyperlink ref="B5479" r:id="rId16912" display="https://twitter.com/sid_shenoy" xr:uid="{F0A3816D-10D2-48AA-8526-2A68F7E3DD5A}"/>
    <hyperlink ref="E5479" r:id="rId16913" display="https://twitter.com/sid_shenoy/status/723748484516442112" xr:uid="{76AF6E38-444F-4096-9A86-12FFB1CA1190}"/>
    <hyperlink ref="O5479" r:id="rId16914" display="https://pbs.twimg.com/profile_images/1289987609/OgAAACuThxO-w0aQovrtBT_ksZWe8J9BDIGDR1qjMxzHp8EjqQOktV-77YACgbkK3t6fgmhD1WJNfIvORCOmNBowRJMAm1T1UON20eIuAzcZlpnugIWvQOCL9xxi_normal.jpg" xr:uid="{FCEDE88C-55DA-4F28-92A8-CFFE75429590}"/>
    <hyperlink ref="B5480" r:id="rId16915" display="https://twitter.com/equatormotorsuk" xr:uid="{67F17359-72DF-4DE0-8428-43D63518E68B}"/>
    <hyperlink ref="E5480" r:id="rId16916" display="https://twitter.com/equatormotorsuk/status/723748499125362688" xr:uid="{B5EDF999-1299-44F9-9B10-46375DD7905C}"/>
    <hyperlink ref="O5480" r:id="rId16917" display="https://pbs.twimg.com/profile_images/723158848173912064/b1FMMt6k_normal.jpg" xr:uid="{364D4453-AB88-4707-AEAA-6AD955646768}"/>
    <hyperlink ref="B5481" r:id="rId16918" display="https://twitter.com/bsterix" xr:uid="{77722379-06DE-4A5F-89F0-660126E57489}"/>
    <hyperlink ref="E5481" r:id="rId16919" display="https://twitter.com/bsterix/status/723748878131011584" xr:uid="{1C86351A-188E-47E0-B4DE-57E2914F9698}"/>
    <hyperlink ref="O5481" r:id="rId16920" display="https://pbs.twimg.com/profile_images/2452635446/zip0k52fx60doeym2alu_normal.jpeg" xr:uid="{D657CB36-AA2D-4E91-98CD-544CFAC4830D}"/>
    <hyperlink ref="B5482" r:id="rId16921" display="https://twitter.com/CaTurfPros" xr:uid="{72CC267C-3CB1-4ED6-8DC0-26F692D6EE08}"/>
    <hyperlink ref="E5482" r:id="rId16922" display="https://twitter.com/CaTurfPros/status/723749560502374401" xr:uid="{0F3E784F-F2D5-4C5E-A8F7-C3D132F319B1}"/>
    <hyperlink ref="O5482" r:id="rId16923" display="https://pbs.twimg.com/profile_images/630981227038687233/IBQOxT_a_normal.png" xr:uid="{1A691440-2BC3-427E-B98A-4C46A00BC00B}"/>
    <hyperlink ref="B5483" r:id="rId16924" display="https://twitter.com/jenpetersen12" xr:uid="{15DB2178-F79E-4C05-93BA-C77FEB339101}"/>
    <hyperlink ref="E5483" r:id="rId16925" display="https://twitter.com/jenpetersen12/status/723750005165723648" xr:uid="{D7BE80DE-C8D5-432F-8BB8-4A7EF480780D}"/>
    <hyperlink ref="O5483" r:id="rId16926" display="https://pbs.twimg.com/profile_images/708667618836803588/Qpm0WLaI_normal.jpg" xr:uid="{AB20DBA3-4D08-41C7-A00B-9B6D8E15D6D1}"/>
    <hyperlink ref="B5484" r:id="rId16927" display="https://twitter.com/MikerHerrera" xr:uid="{CDD833A5-2C0A-459E-8833-141272BDC515}"/>
    <hyperlink ref="E5484" r:id="rId16928" display="https://twitter.com/MikerHerrera/status/723750269960376321" xr:uid="{9A3FD712-8DF2-4B59-8B8F-1429889242CC}"/>
    <hyperlink ref="O5484" r:id="rId16929" display="https://pbs.twimg.com/profile_images/3462680803/42dfaee63b95cbc2f9c7e115eb8e109b_normal.jpeg" xr:uid="{BEAAD230-49F6-4B92-9F33-7DC8E24EFFB2}"/>
    <hyperlink ref="B5485" r:id="rId16930" display="https://twitter.com/Scirocco_Tuning" xr:uid="{91BA54F3-5DF9-4376-9C9B-674724F65F9A}"/>
    <hyperlink ref="E5485" r:id="rId16931" display="https://twitter.com/Scirocco_Tuning/status/723751660271579137" xr:uid="{5E2A2C6B-2912-4E8B-B579-DB79F0C6D0AD}"/>
    <hyperlink ref="O5485" r:id="rId16932" display="https://pbs.twimg.com/profile_images/1610421423/Image2_normal.jpg" xr:uid="{6382BE5C-E3AB-4406-8A8B-BC5845AFF818}"/>
    <hyperlink ref="B5486" r:id="rId16933" display="https://twitter.com/MikerHerrera" xr:uid="{8EB89127-0222-4D8F-B4F2-232618CD3F22}"/>
    <hyperlink ref="E5486" r:id="rId16934" display="https://twitter.com/MikerHerrera/status/723751704026468353" xr:uid="{82350D0E-1A79-4AC3-97BD-2FC257CF0674}"/>
    <hyperlink ref="O5486" r:id="rId16935" display="https://pbs.twimg.com/profile_images/3462680803/42dfaee63b95cbc2f9c7e115eb8e109b_normal.jpeg" xr:uid="{6EFFCC0D-1CA7-4FAD-BE42-AFCDA1252ECA}"/>
    <hyperlink ref="B5487" r:id="rId16936" display="https://twitter.com/Vantigosf" xr:uid="{FF1F5C85-438F-409E-A9B7-12889EE1C61A}"/>
    <hyperlink ref="E5487" r:id="rId16937" display="https://twitter.com/Vantigosf/status/723751712717074432" xr:uid="{3231E4EE-0062-454D-97E8-F3520F8F108E}"/>
    <hyperlink ref="O5487" r:id="rId16938" display="https://pbs.twimg.com/profile_images/378800000324328510/d07282df6f49ca608372edd52852d8f3_normal.jpeg" xr:uid="{C2598630-6CD7-411A-BD5D-58A0D7116659}"/>
    <hyperlink ref="B5488" r:id="rId16939" display="https://twitter.com/vintagevwdita" xr:uid="{9E7E0DCD-3850-48C5-A698-D99ECB9025D0}"/>
    <hyperlink ref="E5488" r:id="rId16940" display="https://twitter.com/vintagevwdita/status/723752624911200257" xr:uid="{FC860CD1-4034-443A-AD81-3EF1FF49C60D}"/>
    <hyperlink ref="O5488" r:id="rId16941" display="https://pbs.twimg.com/profile_images/687419637429080064/YhD1MggI_normal.jpg" xr:uid="{CF988414-9C80-4602-9A2B-04148F3DF5CF}"/>
    <hyperlink ref="B5489" r:id="rId16942" display="https://twitter.com/hashtagvanlife" xr:uid="{81FD9D96-EA31-4B82-BACE-0ACCFE77751F}"/>
    <hyperlink ref="E5489" r:id="rId16943" display="https://twitter.com/hashtagvanlife/status/723753518268579841" xr:uid="{237FC02F-7B71-43FB-92EC-67B51B4BCF98}"/>
    <hyperlink ref="O5489" r:id="rId16944" display="https://pbs.twimg.com/profile_images/653637535545995264/gHuXQ5Bt_normal.jpg" xr:uid="{541CB245-86BE-4CC4-A1A4-69048C72F2A0}"/>
    <hyperlink ref="B5490" r:id="rId16945" display="https://twitter.com/Scirocco_Tuning" xr:uid="{4D0D5ADC-7457-4AD2-95FD-6C5C7EF130BB}"/>
    <hyperlink ref="E5490" r:id="rId16946" display="https://twitter.com/Scirocco_Tuning/status/723755108283109376" xr:uid="{FC5F905E-3224-424E-8EC0-FB328D59055A}"/>
    <hyperlink ref="O5490" r:id="rId16947" display="https://pbs.twimg.com/profile_images/1610421423/Image2_normal.jpg" xr:uid="{E346D641-4976-413F-9025-81E5DD51796D}"/>
    <hyperlink ref="B5491" r:id="rId16948" display="https://twitter.com/jonkustom" xr:uid="{E44FA7D9-8551-4447-98CA-6AD74360C659}"/>
    <hyperlink ref="E5491" r:id="rId16949" display="https://twitter.com/jonkustom/status/723755194631225344" xr:uid="{124DD4FE-1A2F-438A-BEB1-6C3408A63099}"/>
    <hyperlink ref="O5491" r:id="rId16950" display="https://pbs.twimg.com/profile_images/717626444621414401/KVtqVZeY_normal.jpg" xr:uid="{6AF871D1-F91F-48A0-AAE8-8C9811B17C34}"/>
    <hyperlink ref="B5492" r:id="rId16951" display="https://twitter.com/tonymunday1" xr:uid="{4FB5ECB5-E04F-4068-ADA9-14EC7FDE129A}"/>
    <hyperlink ref="E5492" r:id="rId16952" display="https://twitter.com/tonymunday1/status/723756623014047745" xr:uid="{6BF55C2A-081C-40B7-9027-1C8E2BBBC322}"/>
    <hyperlink ref="O5492" r:id="rId16953" display="https://pbs.twimg.com/profile_images/2807465765/b721b16b6ee39dc443bb049fd6b0ae8d_normal.png" xr:uid="{AD56AA83-F3B4-443C-9A1C-93E77416AAC7}"/>
    <hyperlink ref="B5493" r:id="rId16954" display="https://twitter.com/tooppermann" xr:uid="{7ABDED96-1D92-4AE6-A151-6674CA2B7D0E}"/>
    <hyperlink ref="E5493" r:id="rId16955" display="https://twitter.com/tooppermann/status/723757125802008576" xr:uid="{0BC012C8-B843-4F0F-BD74-A98024D99F45}"/>
    <hyperlink ref="O5493" r:id="rId16956" display="https://pbs.twimg.com/profile_images/569498266786877440/eYP0jdWw_normal.jpeg" xr:uid="{22639D43-CB41-4B7B-8478-E09D0224AC02}"/>
    <hyperlink ref="B5494" r:id="rId16957" display="https://twitter.com/goetageblatt" xr:uid="{2980E5B8-FDB7-4D71-A218-226270C069EC}"/>
    <hyperlink ref="E5494" r:id="rId16958" display="https://twitter.com/goetageblatt/status/723757406719713280" xr:uid="{874E281C-70E7-4BF3-B1E4-3AA05D68F88D}"/>
    <hyperlink ref="O5494" r:id="rId16959" display="https://pbs.twimg.com/profile_images/574978715077083137/wSivJhc8_normal.png" xr:uid="{9D301E6B-6C5D-470F-9B33-FD39BD49AC39}"/>
    <hyperlink ref="B5495" r:id="rId16960" display="https://twitter.com/VWShawty" xr:uid="{01C0AA4F-EB40-4C44-A31E-7558F054D11E}"/>
    <hyperlink ref="E5495" r:id="rId16961" display="https://twitter.com/VWShawty/status/723757952759255040" xr:uid="{CF18F83A-4CE5-4E67-9066-036D91BC0CBB}"/>
    <hyperlink ref="O5495" r:id="rId16962" display="https://pbs.twimg.com/profile_images/718275890933809156/npH4oxJP_normal.jpg" xr:uid="{2285FEA6-347A-4A21-8291-C736BCA36C7E}"/>
    <hyperlink ref="B5496" r:id="rId16963" display="https://twitter.com/yopi_bob" xr:uid="{EC4B9BEC-E05E-4D80-A4AB-89B25B2EEF7E}"/>
    <hyperlink ref="E5496" r:id="rId16964" display="https://twitter.com/yopi_bob/status/723758841624580096" xr:uid="{97B3B214-5B81-4984-BCF2-788F09EA3677}"/>
    <hyperlink ref="O5496" r:id="rId16965" display="https://pbs.twimg.com/profile_images/378800000301037965/6e8a72a8345dab4a26d9506066ecbd2b_normal.jpeg" xr:uid="{CE5A7AC5-2781-4A1F-BBC3-76B0D873034F}"/>
    <hyperlink ref="B5497" r:id="rId16966" display="https://twitter.com/katrinhilger" xr:uid="{CFAD75B5-644B-40D9-AFD8-9263C15F5E4D}"/>
    <hyperlink ref="E5497" r:id="rId16967" display="https://twitter.com/katrinhilger/status/723759658972909569" xr:uid="{F6BB0C1E-9972-440C-9DE3-3BB51F6C19CE}"/>
    <hyperlink ref="O5497" r:id="rId16968" display="https://pbs.twimg.com/profile_images/665098638327173121/1qwb7YxR_normal.jpg" xr:uid="{3E82C038-9F8B-4472-AB7F-B5991A9F9FB5}"/>
    <hyperlink ref="B5498" r:id="rId16969" display="https://twitter.com/AnjaKolibri" xr:uid="{325CA9A0-063E-4E80-9010-C534F4F78772}"/>
    <hyperlink ref="E5498" r:id="rId16970" display="https://twitter.com/AnjaKolibri/status/723759798613741568" xr:uid="{CAC7850F-4ED1-4D66-AA03-3AFA4FB9CCEB}"/>
    <hyperlink ref="O5498" r:id="rId16971" display="https://pbs.twimg.com/profile_images/653465042441007104/DzFCw-KA_normal.jpg" xr:uid="{7423589E-B35F-4C83-A865-85C3DFB9025B}"/>
    <hyperlink ref="B5499" r:id="rId16972" display="https://twitter.com/GermanIOD" xr:uid="{809F3A87-4481-41A8-8668-926671DFC880}"/>
    <hyperlink ref="E5499" r:id="rId16973" display="https://twitter.com/GermanIOD/status/723759930637955072" xr:uid="{4448B7B7-C06E-491A-B118-00708A6A9907}"/>
    <hyperlink ref="O5499" r:id="rId16974" display="https://pbs.twimg.com/profile_images/637652033793851392/sK5pDpLB_normal.png" xr:uid="{D4819995-E127-4935-B721-8EF2A54C6B2F}"/>
    <hyperlink ref="B5500" r:id="rId16975" display="https://twitter.com/Logistique01" xr:uid="{E7514FA9-6F42-425A-82B4-4C407FF901B3}"/>
    <hyperlink ref="E5500" r:id="rId16976" display="https://twitter.com/Logistique01/status/723760496839524352" xr:uid="{CF001A42-35F0-4432-AD0B-858088329AA6}"/>
    <hyperlink ref="O5500" r:id="rId16977" display="https://pbs.twimg.com/profile_images/3497903431/ae95594a00a0817e860e73da8fef6dca_normal.png" xr:uid="{B18E443D-A9B1-43AC-A3DF-B45F65BE163A}"/>
    <hyperlink ref="B5501" r:id="rId16978" display="https://twitter.com/katrinhilger" xr:uid="{75D8CE74-AD6C-4BAD-90F2-E7808E9BA2C6}"/>
    <hyperlink ref="E5501" r:id="rId16979" display="https://twitter.com/katrinhilger/status/723760531996286976" xr:uid="{4EA3E560-369E-47B1-9CC6-D5726D6B57DB}"/>
    <hyperlink ref="O5501" r:id="rId16980" display="https://pbs.twimg.com/profile_images/665098638327173121/1qwb7YxR_normal.jpg" xr:uid="{FCBF2035-7070-43F9-8E79-63F0B17F6503}"/>
    <hyperlink ref="B5502" r:id="rId16981" display="https://twitter.com/mmuenzl" xr:uid="{F9DE049D-E4D4-4D02-87AC-BA7043274FD1}"/>
    <hyperlink ref="E5502" r:id="rId16982" display="https://twitter.com/mmuenzl/status/723760632005275648" xr:uid="{61F726F0-CE48-45D3-BFAC-3EC85B2104C3}"/>
    <hyperlink ref="O5502" r:id="rId16983" display="https://pbs.twimg.com/profile_images/558958452001615872/I1ef-mQ7_normal.jpeg" xr:uid="{B6A09436-FF3B-4BF9-97B7-7FC6899D9DB5}"/>
    <hyperlink ref="B5503" r:id="rId16984" display="https://twitter.com/oldcar_photo" xr:uid="{4734FDDB-A894-4A99-B49A-9648BD4ACB3B}"/>
    <hyperlink ref="E5503" r:id="rId16985" display="https://twitter.com/oldcar_photo/status/723760636270878720" xr:uid="{36932134-E65F-462F-8449-E59AEC43AB7E}"/>
    <hyperlink ref="O5503" r:id="rId16986" display="https://pbs.twimg.com/profile_images/615493650785660928/XHUh6HOk_normal.jpg" xr:uid="{7E1BAE51-8808-4550-AA7C-5F5A306A5D52}"/>
    <hyperlink ref="B5504" r:id="rId16987" display="https://twitter.com/GermanoDottori" xr:uid="{0CEAF91A-A1AF-46DB-92BC-DBE7EAD6DBFF}"/>
    <hyperlink ref="E5504" r:id="rId16988" display="https://twitter.com/GermanoDottori/status/723760858753544192" xr:uid="{881CE546-F1F7-4E2D-B951-4A272505FEED}"/>
    <hyperlink ref="O5504" r:id="rId16989" display="https://pbs.twimg.com/profile_images/687621594584330240/n-hbnRI9_normal.jpg" xr:uid="{AFE51F0E-798E-45BA-911D-DCF07DC644D0}"/>
    <hyperlink ref="B5505" r:id="rId16990" display="https://twitter.com/katrinhilger" xr:uid="{AD479C73-8830-4725-BC55-BF8120B60FEA}"/>
    <hyperlink ref="E5505" r:id="rId16991" display="https://twitter.com/katrinhilger/status/723761105185705984" xr:uid="{C4D1B2DF-07EE-4A89-8BCE-9121ABE3D1EE}"/>
    <hyperlink ref="O5505" r:id="rId16992" display="https://pbs.twimg.com/profile_images/665098638327173121/1qwb7YxR_normal.jpg" xr:uid="{7E2347CB-FE30-4C39-89CE-5EF587389F80}"/>
    <hyperlink ref="B5506" r:id="rId16993" display="https://twitter.com/RobertSteuckers" xr:uid="{C7425786-486E-4AF5-88F6-BBB73474ED4C}"/>
    <hyperlink ref="E5506" r:id="rId16994" display="https://twitter.com/RobertSteuckers/status/723761352909676544" xr:uid="{6EFBCF64-0DB8-49FE-A984-BEA28E825EEF}"/>
    <hyperlink ref="O5506" r:id="rId16995" display="https://pbs.twimg.com/profile_images/378800000528412674/b42ab397bc773eaa54a8e8f231d54601_normal.jpeg" xr:uid="{7CEF272C-5DD3-4799-A94F-E9D93B42CC8C}"/>
    <hyperlink ref="B5507" r:id="rId16996" display="https://twitter.com/Spoekenkiekerei" xr:uid="{172C1488-CAEB-4E2E-9BFE-AF835D8BCB11}"/>
    <hyperlink ref="E5507" r:id="rId16997" display="https://twitter.com/Spoekenkiekerei/status/723761448237805568" xr:uid="{BFEA1DDE-FBEE-4F5E-A5B2-35191E0E5F23}"/>
    <hyperlink ref="O5507" r:id="rId16998" display="https://pbs.twimg.com/profile_images/717382175071535104/1l_yueaA_normal.jpg" xr:uid="{FBFDA650-CAD0-4467-81AE-614CA820A0E2}"/>
    <hyperlink ref="B5508" r:id="rId16999" display="https://twitter.com/MoniShantiRani" xr:uid="{F63939FC-D916-4860-8B94-9A4242BD420C}"/>
    <hyperlink ref="E5508" r:id="rId17000" display="https://twitter.com/MoniShantiRani/status/723761570317250560" xr:uid="{8E36EAAE-8EB0-4CA6-82EB-FF8EB3DE218B}"/>
    <hyperlink ref="O5508" r:id="rId17001" display="https://pbs.twimg.com/profile_images/2199952127/sorrisino_normal.jpg" xr:uid="{C2936D1E-CB3B-4EB8-9587-6D624DA6B655}"/>
    <hyperlink ref="B5509" r:id="rId17002" display="https://twitter.com/FuscaWorld" xr:uid="{CB85D6EF-CEB1-45D0-A42D-4C5B64A699FA}"/>
    <hyperlink ref="E5509" r:id="rId17003" display="https://twitter.com/FuscaWorld/status/723761597672464384" xr:uid="{83031AB9-AFB4-4CAF-933E-7DCE9365E8EE}"/>
    <hyperlink ref="O5509" r:id="rId17004" display="https://pbs.twimg.com/profile_images/705780107844067328/e7O4UBNb_normal.jpg" xr:uid="{ADA95DE6-1C9B-4D32-90A5-9F418948A054}"/>
    <hyperlink ref="B5510" r:id="rId17005" display="https://twitter.com/Ruchser" xr:uid="{C22F9EC4-1E03-4190-93EE-A2F54E3AEE31}"/>
    <hyperlink ref="E5510" r:id="rId17006" display="https://twitter.com/Ruchser/status/723762136699289600" xr:uid="{9D00B019-5D70-47AD-A0BF-869BC1F46617}"/>
    <hyperlink ref="O5510" r:id="rId17007" display="https://pbs.twimg.com/profile_images/532583024743837696/nWwsp4Vd_normal.jpeg" xr:uid="{EFBBC66C-7EC6-4DB8-A698-B6459C27A73A}"/>
    <hyperlink ref="B5511" r:id="rId17008" display="https://twitter.com/capipaula182" xr:uid="{304D4394-7B96-4739-A5F2-B9FD333A848F}"/>
    <hyperlink ref="E5511" r:id="rId17009" display="https://twitter.com/capipaula182/status/723762193674674176" xr:uid="{C09F7BD0-3784-421C-8C6A-F7525E03A36B}"/>
    <hyperlink ref="O5511" r:id="rId17010" display="https://pbs.twimg.com/profile_images/645241660574695424/KLJds9rL_normal.jpg" xr:uid="{04BD4BD2-E2A1-41A3-9746-C2CC5E930496}"/>
    <hyperlink ref="B5512" r:id="rId17011" display="https://twitter.com/SDittl" xr:uid="{C9EC8F6B-5FA7-4057-A221-4933682FAC7F}"/>
    <hyperlink ref="E5512" r:id="rId17012" display="https://twitter.com/SDittl/status/723762672483835904" xr:uid="{BF0B3FE7-DC40-4BE6-9973-2BA088CEA4CA}"/>
    <hyperlink ref="O5512" r:id="rId17013" display="https://pbs.twimg.com/profile_images/616224512359665665/tPf2TtTI_normal.jpg" xr:uid="{7A7283FD-19C2-4098-8617-B6521A3B1405}"/>
    <hyperlink ref="B5513" r:id="rId17014" display="https://twitter.com/Kittypunk16" xr:uid="{4AF09D54-502F-43E0-B990-7BD1FE21E2CE}"/>
    <hyperlink ref="E5513" r:id="rId17015" display="https://twitter.com/Kittypunk16/status/723762704977149952" xr:uid="{221A1D52-4750-45E9-945A-B6D46248196B}"/>
    <hyperlink ref="O5513" r:id="rId17016" display="https://pbs.twimg.com/profile_images/680948958844338176/k8qFUheG_normal.png" xr:uid="{27A504B1-FC51-48D6-9896-A423A01A9B24}"/>
    <hyperlink ref="B5514" r:id="rId17017" display="https://twitter.com/Kittypunk16" xr:uid="{2396A564-0D5D-4AC9-9DFF-F52898F47D46}"/>
    <hyperlink ref="E5514" r:id="rId17018" display="https://twitter.com/Kittypunk16/status/723763276664975361" xr:uid="{F6970ED8-404A-4291-AE0F-55FFFFC143E1}"/>
    <hyperlink ref="O5514" r:id="rId17019" display="https://pbs.twimg.com/profile_images/680948958844338176/k8qFUheG_normal.png" xr:uid="{6A7A6A90-7C7D-4361-9D40-787611D824A5}"/>
    <hyperlink ref="B5515" r:id="rId17020" display="https://twitter.com/rheto" xr:uid="{3A38435F-98A3-4C56-B445-8FB7A7A62621}"/>
    <hyperlink ref="E5515" r:id="rId17021" display="https://twitter.com/rheto/status/723763642282479616" xr:uid="{0710E015-1E5A-4838-9A3D-A4419B8BAA41}"/>
    <hyperlink ref="O5515" r:id="rId17022" display="https://pbs.twimg.com/profile_images/1157883957/Twitter_rheto_normal.jpg" xr:uid="{D6156133-EFA4-4C1B-B1B3-528B2193BDF1}"/>
    <hyperlink ref="B5516" r:id="rId17023" display="https://twitter.com/Marie_Laveau_" xr:uid="{B5CA3305-39AE-474D-BE4C-FF925FE10C44}"/>
    <hyperlink ref="E5516" r:id="rId17024" display="https://twitter.com/Marie_Laveau_/status/723764682402750464" xr:uid="{D693C9D8-9CD4-46EF-8432-04EB18AF68E6}"/>
    <hyperlink ref="O5516" r:id="rId17025" display="https://pbs.twimg.com/profile_images/610490531953668096/uBvorN_Q_normal.jpg" xr:uid="{D778E930-F86B-4CDB-BFFF-78B442D7DFF3}"/>
    <hyperlink ref="B5517" r:id="rId17026" display="https://twitter.com/Simulacron2" xr:uid="{47ACE0B6-EB59-42AF-B914-25EE11A3C1EF}"/>
    <hyperlink ref="E5517" r:id="rId17027" display="https://twitter.com/Simulacron2/status/723764776321581056" xr:uid="{67E7DBEE-C03B-4E1A-B44B-583DB88812DD}"/>
    <hyperlink ref="O5517" r:id="rId17028" display="https://pbs.twimg.com/profile_images/533918848613744640/2E_whAZT_normal.png" xr:uid="{3BE39331-817F-45EF-B8E4-238DA403E9B6}"/>
    <hyperlink ref="B5518" r:id="rId17029" display="https://twitter.com/KESS_" xr:uid="{53E650BD-4F3E-41B4-9A68-A1B30AAAD8D1}"/>
    <hyperlink ref="E5518" r:id="rId17030" display="https://twitter.com/KESS_/status/723764862510358528" xr:uid="{B77F46AA-27D9-41C4-828D-DACA08E888F6}"/>
    <hyperlink ref="O5518" r:id="rId17031" display="https://pbs.twimg.com/profile_images/278262556/kess_deich500_normal_normal.jpg" xr:uid="{E5EC35D9-CF55-4B05-B6E5-E1FEB539BB07}"/>
    <hyperlink ref="B5519" r:id="rId17032" display="https://twitter.com/ErnstJandeZwart" xr:uid="{7932D30E-4C6E-4ECB-80EF-B1E2723718A1}"/>
    <hyperlink ref="E5519" r:id="rId17033" display="https://twitter.com/ErnstJandeZwart/status/723764947847536640" xr:uid="{849DFD44-022B-44DB-8905-0AE36E58D36B}"/>
    <hyperlink ref="O5519" r:id="rId17034" display="https://pbs.twimg.com/profile_images/1808210858/Maledives1_normal.jpg" xr:uid="{B2E38E28-885A-40C0-9C2D-B06608975F4A}"/>
    <hyperlink ref="P5519" r:id="rId17035" location="51.83154475,4.97450313" display="http://ctrlq.org/maps/address/ - 51.83154475,4.97450313" xr:uid="{150E2EFD-B891-4E0B-8227-955D208AA8C6}"/>
    <hyperlink ref="B5520" r:id="rId17036" display="https://twitter.com/HunkyAlley" xr:uid="{7F0834C3-1EBF-4F3B-8FA6-130C88FC1C0D}"/>
    <hyperlink ref="E5520" r:id="rId17037" display="https://twitter.com/HunkyAlley/status/723765182657343488" xr:uid="{476D878A-B71A-44A3-B401-57C12D9164EE}"/>
    <hyperlink ref="O5520" r:id="rId17038" display="https://pbs.twimg.com/profile_images/617967865413525504/y9t3axe3_normal.jpg" xr:uid="{4267ECB5-8180-4FC2-9A1B-D3193291AED4}"/>
    <hyperlink ref="P5520" r:id="rId17039" location="34.089323,-118.350243" display="http://ctrlq.org/maps/address/ - 34.089323,-118.350243" xr:uid="{F4515366-7F8C-433B-A123-0DEA0D79AD46}"/>
    <hyperlink ref="B5521" r:id="rId17040" display="https://twitter.com/Old_Man_Abbott" xr:uid="{33880E03-5483-4E93-9299-47287EF2F5B8}"/>
    <hyperlink ref="E5521" r:id="rId17041" display="https://twitter.com/Old_Man_Abbott/status/723765760498241536" xr:uid="{E13D107C-3232-4EDA-B9B0-4F4DACEA2FAD}"/>
    <hyperlink ref="O5521" r:id="rId17042" display="https://pbs.twimg.com/profile_images/677290875785977856/NSbHTnLj_normal.jpg" xr:uid="{EF989FD2-507F-485A-8AE5-1A07025A43B4}"/>
    <hyperlink ref="B5522" r:id="rId17043" display="https://twitter.com/emiliamuthoni" xr:uid="{8FD1858D-D96A-453E-88AF-2960EF31E4EA}"/>
    <hyperlink ref="E5522" r:id="rId17044" display="https://twitter.com/emiliamuthoni/status/723766040522555393" xr:uid="{1C558EAB-7D6D-48C1-A9CE-A08C977134A9}"/>
    <hyperlink ref="O5522" r:id="rId17045" display="https://pbs.twimg.com/profile_images/578500949288824832/VFFH0A8N_normal.jpeg" xr:uid="{BA2E1AF7-D742-478C-84FD-A5BE7A50BA33}"/>
    <hyperlink ref="B5523" r:id="rId17046" display="https://twitter.com/roansub" xr:uid="{325BCDE4-215C-4D79-8A99-81036E8691E3}"/>
    <hyperlink ref="E5523" r:id="rId17047" display="https://twitter.com/roansub/status/723766221116706816" xr:uid="{A1FEC127-C8CF-4595-A20A-D79ADD335313}"/>
    <hyperlink ref="O5523" r:id="rId17048" display="https://pbs.twimg.com/profile_images/638973360169463808/YEbGEWne_normal.jpg" xr:uid="{FAB0A660-F22D-4A14-9ED1-AA8C347D10A5}"/>
    <hyperlink ref="B5524" r:id="rId17049" display="https://twitter.com/ragingbull44" xr:uid="{B39DEBD4-F84A-42A3-B442-6192CE5632DA}"/>
    <hyperlink ref="E5524" r:id="rId17050" display="https://twitter.com/ragingbull44/status/723766553611763712" xr:uid="{CBBD21DA-BA2C-4CA4-A1F3-42709D151A98}"/>
    <hyperlink ref="O5524" r:id="rId17051" display="https://pbs.twimg.com/profile_images/690447630548242432/EOCV79PX_normal.jpg" xr:uid="{39B9EF09-4902-4BAC-AB55-0ED531C213B4}"/>
    <hyperlink ref="B5525" r:id="rId17052" display="https://twitter.com/twizler557" xr:uid="{478BF5C9-51D9-4379-9272-0E36F6B4326E}"/>
    <hyperlink ref="E5525" r:id="rId17053" display="https://twitter.com/twizler557/status/723766786932363264" xr:uid="{5EA00206-B07A-4FEF-A3DE-9EC17F5821CA}"/>
    <hyperlink ref="O5525" r:id="rId17054" display="https://pbs.twimg.com/profile_images/630477470240604160/cWOnCrEZ_normal.jpg" xr:uid="{F4C519DB-5463-4661-AEDF-15B4F4AE9412}"/>
    <hyperlink ref="B5526" r:id="rId17055" display="https://twitter.com/richgoodingcom" xr:uid="{1C6B67AE-3E7D-4D27-B181-CDC8D7408275}"/>
    <hyperlink ref="E5526" r:id="rId17056" display="https://twitter.com/richgoodingcom/status/723766975630024704" xr:uid="{0A91EEC3-B432-4FA8-8CAD-5F5079381B7F}"/>
    <hyperlink ref="O5526" r:id="rId17057" display="https://pbs.twimg.com/profile_images/626150798590902273/qUbM1D-g_normal.jpg" xr:uid="{355956FF-7D30-42C1-B346-5285B7837788}"/>
    <hyperlink ref="B5527" r:id="rId17058" display="https://twitter.com/VWBeetleSales" xr:uid="{8AF4E5F5-6B83-46C6-8B34-53CD1BBA1CB7}"/>
    <hyperlink ref="E5527" r:id="rId17059" display="https://twitter.com/VWBeetleSales/status/723766995913609216" xr:uid="{B99FA14C-04D1-49D1-A4A5-585016307EC8}"/>
    <hyperlink ref="F5527" r:id="rId17060" xr:uid="{215AB240-C9A7-4EDF-847D-8D8E75708F40}"/>
    <hyperlink ref="O5527" r:id="rId17061" display="https://pbs.twimg.com/profile_images/703294545195307008/qeCvrX86_normal.jpg" xr:uid="{0B542702-6568-44DF-B18B-1452E1A6BA3B}"/>
    <hyperlink ref="B5528" r:id="rId17062" display="https://twitter.com/GarionCoyote" xr:uid="{12EAF7AE-8AC0-42A2-9498-74870917CF86}"/>
    <hyperlink ref="E5528" r:id="rId17063" display="https://twitter.com/GarionCoyote/status/723768100060012544" xr:uid="{9407F97D-A4E7-482A-8D18-9E48B10D5E58}"/>
    <hyperlink ref="O5528" r:id="rId17064" display="https://pbs.twimg.com/profile_images/671367911857127424/UES84lbq_normal.jpg" xr:uid="{E2105CF7-3BB8-4CAC-A4AB-A9C9C16E5DA4}"/>
    <hyperlink ref="B5529" r:id="rId17065" display="https://twitter.com/UKordeck" xr:uid="{5916EADC-8E01-46DE-867F-212629E3DD70}"/>
    <hyperlink ref="E5529" r:id="rId17066" display="https://twitter.com/UKordeck/status/723768192691240960" xr:uid="{A33D8271-6915-4A63-B3D5-1FA122C642AC}"/>
    <hyperlink ref="O5529" r:id="rId17067" display="https://abs.twimg.com/sticky/default_profile_images/default_profile_6_normal.png" xr:uid="{FCE9F071-E6E1-42D6-A9B5-B86E1C72CE6D}"/>
    <hyperlink ref="B5530" r:id="rId17068" display="https://twitter.com/COURAGE_COMM" xr:uid="{97B34C80-A519-45C2-B3B8-2A760521A39A}"/>
    <hyperlink ref="E5530" r:id="rId17069" display="https://twitter.com/COURAGE_COMM/status/723768208277266433" xr:uid="{D6D2A4A4-4098-4F1A-9A00-A45BC48180C3}"/>
    <hyperlink ref="O5530" r:id="rId17070" display="https://pbs.twimg.com/profile_images/1404247982/_MG_1344_normal.jpg" xr:uid="{E683E83D-2853-47B9-9238-BE446B3D5BC7}"/>
    <hyperlink ref="B5531" r:id="rId17071" display="https://twitter.com/AdvisorAbbate" xr:uid="{D1DC4E6C-9A29-4AF8-BA48-C400EDA33262}"/>
    <hyperlink ref="E5531" r:id="rId17072" display="https://twitter.com/AdvisorAbbate/status/723768773799366657" xr:uid="{29833124-D6CD-49BA-9453-1927A7CB9386}"/>
    <hyperlink ref="O5531" r:id="rId17073" display="https://pbs.twimg.com/profile_images/603388321662828544/8ITPYicg_normal.jpg" xr:uid="{620DDAEB-A490-4EC3-94E4-52B4D8DCC0E0}"/>
    <hyperlink ref="B5532" r:id="rId17074" display="https://twitter.com/1stInSEO" xr:uid="{2F78FCA8-90CF-4BF1-BAD9-93B70C81621B}"/>
    <hyperlink ref="E5532" r:id="rId17075" display="https://twitter.com/1stInSEO/status/723768780103393280" xr:uid="{87EAF0CD-40D1-42C8-B2B5-8311469A6867}"/>
    <hyperlink ref="O5532" r:id="rId17076" display="https://pbs.twimg.com/profile_images/708466589696262144/0z2VO5-J_normal.jpg" xr:uid="{32030CD1-A4FF-443F-B97D-35564B986020}"/>
    <hyperlink ref="B5533" r:id="rId17077" display="https://twitter.com/hashtagvanlife" xr:uid="{FF80D85C-B541-49BE-89C3-D3184ECE2137}"/>
    <hyperlink ref="E5533" r:id="rId17078" display="https://twitter.com/hashtagvanlife/status/723768851545071616" xr:uid="{01DF8071-AFFE-4517-A098-C132E3D89CE9}"/>
    <hyperlink ref="O5533" r:id="rId17079" display="https://pbs.twimg.com/profile_images/653637535545995264/gHuXQ5Bt_normal.jpg" xr:uid="{780DE29C-8BC3-4C49-B0C9-1CE87A09E8DC}"/>
    <hyperlink ref="B5534" r:id="rId17080" display="https://twitter.com/theDrivenUKshow" xr:uid="{FF5EA3EF-C5B7-44AD-B8CF-03BA42E05DDF}"/>
    <hyperlink ref="E5534" r:id="rId17081" display="https://twitter.com/theDrivenUKshow/status/723769107355676672" xr:uid="{FF77A4BF-B7D6-4E32-88F8-9640527F9AE4}"/>
    <hyperlink ref="O5534" r:id="rId17082" display="https://pbs.twimg.com/profile_images/723462210484342784/YTUDU9Ir_normal.jpg" xr:uid="{FA5FE399-4532-4CF2-93BB-3E9F9441D5FE}"/>
    <hyperlink ref="B5535" r:id="rId17083" display="https://twitter.com/autoblazmotor" xr:uid="{6A5DEAB9-56F6-406F-8393-4312F3A48354}"/>
    <hyperlink ref="E5535" r:id="rId17084" display="https://twitter.com/autoblazmotor/status/723769201148735488" xr:uid="{3822D27F-CCC8-4104-82C0-53B4EB32E85E}"/>
    <hyperlink ref="O5535" r:id="rId17085" display="https://pbs.twimg.com/profile_images/422353139384061953/SHo7byiA_normal.png" xr:uid="{8CAB28F0-8922-4C0B-BF25-CCDA26CA6594}"/>
    <hyperlink ref="B5536" r:id="rId17086" display="https://twitter.com/SvOstrow" xr:uid="{1B9944B7-CB0F-40F0-A9CE-5351B9F0914D}"/>
    <hyperlink ref="E5536" r:id="rId17087" display="https://twitter.com/SvOstrow/status/723769584680050688" xr:uid="{381AAE6D-C600-4BEC-95F8-C6EAC79A69FA}"/>
    <hyperlink ref="O5536" r:id="rId17088" display="https://pbs.twimg.com/profile_images/531108045451837442/KHuLHxmU_normal.jpeg" xr:uid="{C90F092F-72C6-4310-B04D-78F799C11E94}"/>
    <hyperlink ref="B5537" r:id="rId17089" display="https://twitter.com/GvrcnOsman" xr:uid="{0BBBF174-EE71-4A76-93B8-202E5A8ECE51}"/>
    <hyperlink ref="E5537" r:id="rId17090" display="https://twitter.com/GvrcnOsman/status/723769629877911552" xr:uid="{764FB698-3093-4117-AB9C-9B63D19E15CA}"/>
    <hyperlink ref="O5537" r:id="rId17091" display="https://pbs.twimg.com/profile_images/717038007652638720/t4cqes2w_normal.jpg" xr:uid="{38D9C44B-D2B9-42AB-B54D-2D268FAAA8F9}"/>
    <hyperlink ref="P5537" r:id="rId17092" location="37.05121393,37.3647958" display="http://ctrlq.org/maps/address/ - 37.05121393,37.3647958" xr:uid="{35991F4D-B648-43FE-B76F-0CF00DCBC74B}"/>
    <hyperlink ref="B5538" r:id="rId17093" display="https://twitter.com/berlinwerbung" xr:uid="{3AB35015-6F83-4C88-A06C-0DE7A248E810}"/>
    <hyperlink ref="E5538" r:id="rId17094" display="https://twitter.com/berlinwerbung/status/723769767576895488" xr:uid="{302EC64C-574F-467A-A9A5-BB4209F21119}"/>
    <hyperlink ref="O5538" r:id="rId17095" display="https://pbs.twimg.com/profile_images/707425852322091011/s0V50WcC_normal.jpg" xr:uid="{CE789F2E-799E-4E47-966E-E8839B424245}"/>
    <hyperlink ref="B5539" r:id="rId17096" display="https://twitter.com/lesrouescarrees" xr:uid="{A0BD303C-1F17-4E09-8948-131234422CE3}"/>
    <hyperlink ref="E5539" r:id="rId17097" display="https://twitter.com/lesrouescarrees/status/723769769896345600" xr:uid="{B3C97F22-2636-4722-B010-D35B07E81EF8}"/>
    <hyperlink ref="O5539" r:id="rId17098" display="https://pbs.twimg.com/profile_images/650997880606560256/X60nrR5n_normal.jpg" xr:uid="{178C45B7-F904-4AFD-BA02-9D686BC62A83}"/>
    <hyperlink ref="B5540" r:id="rId17099" display="https://twitter.com/heikolossie" xr:uid="{9E631F0E-120E-41EE-AA40-EBF0FE53141D}"/>
    <hyperlink ref="E5540" r:id="rId17100" display="https://twitter.com/heikolossie/status/723769783049682944" xr:uid="{C159CE93-1BFC-4D87-B0D8-BA2DF15D5FF8}"/>
    <hyperlink ref="O5540" r:id="rId17101" display="https://pbs.twimg.com/profile_images/2586380116/image_normal.jpg" xr:uid="{E8EE0844-56CA-44DD-8614-F8D26193E6E5}"/>
    <hyperlink ref="B5541" r:id="rId17102" display="https://twitter.com/stachelvieh" xr:uid="{610EAC78-C4FA-42D0-BE7A-DB86857AD1E3}"/>
    <hyperlink ref="E5541" r:id="rId17103" display="https://twitter.com/stachelvieh/status/723769842734665728" xr:uid="{0FDEAD0D-08C3-467C-BEDF-FFFFD96D6EF5}"/>
    <hyperlink ref="O5541" r:id="rId17104" display="https://pbs.twimg.com/profile_images/714531728778477568/-sIm9BK5_normal.jpg" xr:uid="{A1969161-3BB1-49D7-9232-A42850DFE8FB}"/>
    <hyperlink ref="B5542" r:id="rId17105" display="https://twitter.com/molisukun" xr:uid="{F343EE88-F777-4A94-A33E-F99FF9E38444}"/>
    <hyperlink ref="E5542" r:id="rId17106" display="https://twitter.com/molisukun/status/723770046669950976" xr:uid="{185A4BEC-663C-4965-815C-CF107E031B8C}"/>
    <hyperlink ref="O5542" r:id="rId17107" display="https://pbs.twimg.com/profile_images/472019695189491712/cx9z_iBS_normal.jpeg" xr:uid="{603DC4F6-2327-4D7B-B63C-C8186C0400C0}"/>
    <hyperlink ref="B5543" r:id="rId17108" display="https://twitter.com/MRauleac" xr:uid="{54F84BAA-1946-4049-B6A8-EEFEB5CD373A}"/>
    <hyperlink ref="E5543" r:id="rId17109" display="https://twitter.com/MRauleac/status/723770168099409920" xr:uid="{3C8978F5-B460-4FD4-8742-2832BADE8548}"/>
    <hyperlink ref="O5543" r:id="rId17110" display="https://pbs.twimg.com/profile_images/640463335574515713/HsmIEid8_normal.jpg" xr:uid="{F612F39E-527C-4AD2-81A9-8DB6D89DFCE8}"/>
    <hyperlink ref="B5544" r:id="rId17111" display="https://twitter.com/coplusx" xr:uid="{6B5BB9F2-9399-4E33-80B0-7E9ED88ED649}"/>
    <hyperlink ref="E5544" r:id="rId17112" display="https://twitter.com/coplusx/status/723770294209531904" xr:uid="{5A71D6C1-0C75-4BB9-92FC-238F4244F4C1}"/>
    <hyperlink ref="O5544" r:id="rId17113" display="https://pbs.twimg.com/profile_images/665939288538918913/4UGtyA65_normal.jpg" xr:uid="{3C4F83E1-2FFE-42E8-BC0F-E43A53CB6827}"/>
    <hyperlink ref="B5545" r:id="rId17114" display="https://twitter.com/tooppermann" xr:uid="{54D7CAA2-674E-4859-94A1-066ADF971538}"/>
    <hyperlink ref="E5545" r:id="rId17115" display="https://twitter.com/tooppermann/status/723770850936295424" xr:uid="{C2D37D73-0708-4960-89A5-313D0A40C76D}"/>
    <hyperlink ref="O5545" r:id="rId17116" display="https://pbs.twimg.com/profile_images/569498266786877440/eYP0jdWw_normal.jpeg" xr:uid="{3F2A6A62-1792-4D92-AECD-5C24BD148A8F}"/>
    <hyperlink ref="B5546" r:id="rId17117" display="https://twitter.com/Gachie_" xr:uid="{86D8FF52-420C-4D95-8875-298C6AB7FE39}"/>
    <hyperlink ref="E5546" r:id="rId17118" display="https://twitter.com/Gachie_/status/723771165257424896" xr:uid="{9D272CA5-9ED4-4F1F-AD6A-1CE754DDF3AA}"/>
    <hyperlink ref="O5546" r:id="rId17119" display="https://pbs.twimg.com/profile_images/685731696629669888/Q1eGq-ag_normal.png" xr:uid="{52C818BB-A118-41D2-B937-F4C84710A7D6}"/>
    <hyperlink ref="B5547" r:id="rId17120" display="https://twitter.com/Mobkay" xr:uid="{921517EF-33D5-423F-9C07-83527E6583B7}"/>
    <hyperlink ref="E5547" r:id="rId17121" display="https://twitter.com/Mobkay/status/723771381301780480" xr:uid="{1AE6CA3E-FFDF-4D87-8E97-266B6514F48D}"/>
    <hyperlink ref="O5547" r:id="rId17122" display="https://pbs.twimg.com/profile_images/378800000697620600/f8e7249e5c51121bbf503fd7cc4d5ab6_normal.jpeg" xr:uid="{5413F181-EF41-4DC3-A52F-FA294E5CAC12}"/>
    <hyperlink ref="B5548" r:id="rId17123" display="https://twitter.com/OnlyCarrera" xr:uid="{C204EB21-0007-451A-B84A-FE009D3C4CB3}"/>
    <hyperlink ref="E5548" r:id="rId17124" display="https://twitter.com/OnlyCarrera/status/723771411312070656" xr:uid="{29804663-43D0-4A82-9AE2-F176517C778C}"/>
    <hyperlink ref="O5548" r:id="rId17125" display="https://pbs.twimg.com/profile_images/542918171158511617/A72BLdkG_normal.png" xr:uid="{0E2ED070-217C-4455-AEA2-F9FAD1E254B6}"/>
    <hyperlink ref="B5549" r:id="rId17126" display="https://twitter.com/BioFares" xr:uid="{5CE88302-8072-4AD0-9858-19C79DB69F00}"/>
    <hyperlink ref="E5549" r:id="rId17127" display="https://twitter.com/BioFares/status/723771576735424512" xr:uid="{08B7F5A0-10C0-42ED-A9DE-57777D53AC89}"/>
    <hyperlink ref="O5549" r:id="rId17128" display="https://pbs.twimg.com/profile_images/459716655581364224/L2RGYkk5_normal.jpeg" xr:uid="{FCB55766-5667-48C0-A153-53BDE42A7281}"/>
    <hyperlink ref="B5550" r:id="rId17129" display="https://twitter.com/VWBeetleSales" xr:uid="{0DE3A2B6-EBFA-4B1F-89E2-548626E50696}"/>
    <hyperlink ref="E5550" r:id="rId17130" display="https://twitter.com/VWBeetleSales/status/723771813486960641" xr:uid="{4C9E6F1F-B8DB-460F-845F-F6C76DE7A4A6}"/>
    <hyperlink ref="F5550" r:id="rId17131" xr:uid="{593B3185-5798-40D6-B450-5630C03A339F}"/>
    <hyperlink ref="O5550" r:id="rId17132" display="https://pbs.twimg.com/profile_images/703294545195307008/qeCvrX86_normal.jpg" xr:uid="{D42DE031-906E-4D61-A924-4585F825CC7E}"/>
    <hyperlink ref="B5551" r:id="rId17133" display="https://twitter.com/VWCamperSales" xr:uid="{8960D61C-8656-4D7F-9553-AD41615D3A2D}"/>
    <hyperlink ref="E5551" r:id="rId17134" display="https://twitter.com/VWCamperSales/status/723771854968627200" xr:uid="{221AB33A-8E68-428E-BFC4-BD327287BA00}"/>
    <hyperlink ref="F5551" r:id="rId17135" xr:uid="{1597758D-295D-4D50-AFED-9277B31B2884}"/>
    <hyperlink ref="O5551" r:id="rId17136" display="https://pbs.twimg.com/profile_images/627949001179037696/skEBkS05_normal.jpg" xr:uid="{449D98EC-03F2-44BF-B8CF-5F59FC68C387}"/>
    <hyperlink ref="B5552" r:id="rId17137" display="https://twitter.com/tjasko" xr:uid="{C7318676-3D5E-492F-BA5C-4A6CE0E45243}"/>
    <hyperlink ref="E5552" r:id="rId17138" display="https://twitter.com/tjasko/status/723772854421065728" xr:uid="{BD02D62D-CEC3-43BE-8099-7DC1032442FC}"/>
    <hyperlink ref="O5552" r:id="rId17139" display="https://pbs.twimg.com/profile_images/537493150416125952/V9FSvv1i_normal.jpeg" xr:uid="{C5A27DC8-4711-478E-88A1-9862857C39AD}"/>
    <hyperlink ref="B5553" r:id="rId17140" display="https://twitter.com/ffamilymedicine" xr:uid="{C0A4B84B-F7C2-4764-AC95-1D7F43DD0676}"/>
    <hyperlink ref="E5553" r:id="rId17141" display="https://twitter.com/ffamilymedicine/status/723773151188914178" xr:uid="{73E7B518-5242-4FCF-A3E2-F214C25AF16C}"/>
    <hyperlink ref="O5553" r:id="rId17142" display="https://pbs.twimg.com/profile_images/583322292995772418/_hSKZ3NN_normal.jpg" xr:uid="{7AAFC94D-C2EA-4FCE-9094-9B0920F84A51}"/>
    <hyperlink ref="B5554" r:id="rId17143" display="https://twitter.com/PamelaCCcorona" xr:uid="{C61954B3-704E-47AC-809D-5AD6120105D1}"/>
    <hyperlink ref="E5554" r:id="rId17144" display="https://twitter.com/PamelaCCcorona/status/723773196319752192" xr:uid="{3565911E-105C-4859-BFA9-7729E482A542}"/>
    <hyperlink ref="O5554" r:id="rId17145" display="https://pbs.twimg.com/profile_images/701935561657835520/gdjnXKfP_normal.png" xr:uid="{6089E28F-83DF-4A73-BFAF-D98F566066F0}"/>
    <hyperlink ref="B5555" r:id="rId17146" display="https://twitter.com/bodo1962" xr:uid="{0BA32E13-719B-44A0-8E24-BDEC1D2D45D6}"/>
    <hyperlink ref="E5555" r:id="rId17147" display="https://twitter.com/bodo1962/status/723773387357728769" xr:uid="{B2004A57-8C69-4D56-9EB2-CFAAC1EA9A6A}"/>
    <hyperlink ref="O5555" r:id="rId17148" display="https://pbs.twimg.com/profile_images/439706141728051201/GQgdrA5p_normal.jpeg" xr:uid="{BE8CC78D-1C12-4F7A-B7D5-ADC53392537E}"/>
    <hyperlink ref="B5556" r:id="rId17149" display="https://twitter.com/Scirocco_Tuning" xr:uid="{91FB65EF-8719-4239-8F5C-206A41A6D6EB}"/>
    <hyperlink ref="E5556" r:id="rId17150" display="https://twitter.com/Scirocco_Tuning/status/723773534812684288" xr:uid="{A6A30E29-3E79-4291-BD20-5E23339E4073}"/>
    <hyperlink ref="O5556" r:id="rId17151" display="https://pbs.twimg.com/profile_images/1610421423/Image2_normal.jpg" xr:uid="{B3CA74AD-B8A6-40BD-9ABC-399BC6C5F9D4}"/>
    <hyperlink ref="B5557" r:id="rId17152" display="https://twitter.com/theDrivenUKshow" xr:uid="{2A98F995-2705-4047-822E-69842A73EAB3}"/>
    <hyperlink ref="E5557" r:id="rId17153" display="https://twitter.com/theDrivenUKshow/status/723774692230836224" xr:uid="{5B528440-97FB-4B98-B526-4B969B50CA45}"/>
    <hyperlink ref="O5557" r:id="rId17154" display="https://pbs.twimg.com/profile_images/723462210484342784/YTUDU9Ir_normal.jpg" xr:uid="{43FB9025-371B-4DED-9D2C-F206720862CB}"/>
    <hyperlink ref="B5558" r:id="rId17155" display="https://twitter.com/bodo1962" xr:uid="{7BC5505F-4C59-444C-AB81-6CF89177CE1C}"/>
    <hyperlink ref="E5558" r:id="rId17156" display="https://twitter.com/bodo1962/status/723774756496019456" xr:uid="{C2394202-9873-46C4-B479-790778C24F2C}"/>
    <hyperlink ref="O5558" r:id="rId17157" display="https://pbs.twimg.com/profile_images/439706141728051201/GQgdrA5p_normal.jpeg" xr:uid="{96EE09AB-D361-49F5-A71B-44624AF11658}"/>
    <hyperlink ref="B5559" r:id="rId17158" display="https://twitter.com/suma_we" xr:uid="{61B69D68-6C9B-456B-A00A-99C9FCAACE5E}"/>
    <hyperlink ref="E5559" r:id="rId17159" display="https://twitter.com/suma_we/status/723774949870166016" xr:uid="{F2EA3760-C54D-45C5-9F17-6AC5235859B1}"/>
    <hyperlink ref="O5559" r:id="rId17160" display="https://pbs.twimg.com/profile_images/711824654252556288/QX4bbwyl_normal.jpg" xr:uid="{4AD588E5-6CE1-45DD-9635-65C41B65FEEB}"/>
    <hyperlink ref="B5560" r:id="rId17161" display="https://twitter.com/aktionaer" xr:uid="{03AA2563-C0D7-41D1-AC68-FE5B1804BD0D}"/>
    <hyperlink ref="E5560" r:id="rId17162" display="https://twitter.com/aktionaer/status/723775440502972416" xr:uid="{1D136B2A-E120-4B5E-A0AD-DE03C9CD6DA9}"/>
    <hyperlink ref="O5560" r:id="rId17163" display="https://pbs.twimg.com/profile_images/679552623641509888/_vPw9IS2_normal.png" xr:uid="{8CFE638D-E9AE-4163-AEC0-1939DC8F1429}"/>
    <hyperlink ref="B5561" r:id="rId17164" display="https://twitter.com/c_martin982" xr:uid="{120379AF-8084-4162-8A84-36661781BC97}"/>
    <hyperlink ref="E5561" r:id="rId17165" display="https://twitter.com/c_martin982/status/723775451861258240" xr:uid="{E2B7975B-E935-421B-B630-C494243AC52D}"/>
    <hyperlink ref="O5561" r:id="rId17166" display="https://pbs.twimg.com/profile_images/709373395771723776/EGbN9UvT_normal.jpg" xr:uid="{9822F7E8-484E-4C0E-9AC4-A63E9A76BBEB}"/>
    <hyperlink ref="B5562" r:id="rId17167" display="https://twitter.com/Insta_VWT" xr:uid="{2C85B36C-BD3A-4781-87AC-1C836B58D4B6}"/>
    <hyperlink ref="E5562" r:id="rId17168" display="https://twitter.com/Insta_VWT/status/723775747362545664" xr:uid="{608A10A8-D0AC-487C-8F36-BA2428F1477D}"/>
    <hyperlink ref="O5562" r:id="rId17169" display="https://pbs.twimg.com/profile_images/424893967197433858/iQ86NktX_normal.jpeg" xr:uid="{4EA6897F-93BC-423F-8912-3F5DE481A8B8}"/>
    <hyperlink ref="B5563" r:id="rId17170" display="https://twitter.com/Insta_VWT" xr:uid="{3106468B-D4DB-4D30-BD33-79D86AF5A0A5}"/>
    <hyperlink ref="E5563" r:id="rId17171" display="https://twitter.com/Insta_VWT/status/723775764567580672" xr:uid="{0D5404C8-E1FA-4B9F-8503-9E1B8EE6FBCB}"/>
    <hyperlink ref="O5563" r:id="rId17172" display="https://pbs.twimg.com/profile_images/424893967197433858/iQ86NktX_normal.jpeg" xr:uid="{5E7500D5-FDA5-4BB0-AFCD-17F88CCCA190}"/>
    <hyperlink ref="B5564" r:id="rId17173" display="https://twitter.com/Insta_VWT" xr:uid="{5824CE56-AA44-4467-A942-7A7606579870}"/>
    <hyperlink ref="E5564" r:id="rId17174" display="https://twitter.com/Insta_VWT/status/723775769701408768" xr:uid="{76417F6E-7F52-46B7-9D5B-9B199B4D4DE2}"/>
    <hyperlink ref="O5564" r:id="rId17175" display="https://pbs.twimg.com/profile_images/424893967197433858/iQ86NktX_normal.jpeg" xr:uid="{C806A5AC-26CE-43A1-909F-37DF4FC41C90}"/>
    <hyperlink ref="B5565" r:id="rId17176" display="https://twitter.com/Insta_VWT" xr:uid="{BB8F5E3F-7595-4550-9B50-30AB285FAFA5}"/>
    <hyperlink ref="E5565" r:id="rId17177" display="https://twitter.com/Insta_VWT/status/723775778845020160" xr:uid="{26F96C20-15BB-4BC7-88D3-57506267B714}"/>
    <hyperlink ref="O5565" r:id="rId17178" display="https://pbs.twimg.com/profile_images/424893967197433858/iQ86NktX_normal.jpeg" xr:uid="{7B7AB738-9CAA-4C42-A683-36BA49995932}"/>
    <hyperlink ref="B5566" r:id="rId17179" display="https://twitter.com/MusicHistoryLaw" xr:uid="{DAF94F6F-F692-4AC2-AB0C-7BF36DBA8768}"/>
    <hyperlink ref="E5566" r:id="rId17180" display="https://twitter.com/MusicHistoryLaw/status/723776957477953536" xr:uid="{6AC59A47-10FE-48B3-97E6-DBE2022897C4}"/>
    <hyperlink ref="O5566" r:id="rId17181" display="https://pbs.twimg.com/profile_images/710862405924995073/1bboZzVW_normal.jpg" xr:uid="{2C2427CD-67DD-4B9B-9CE5-5E549F0E7751}"/>
    <hyperlink ref="B5567" r:id="rId17182" display="https://twitter.com/C_Barraud" xr:uid="{8FFE377F-5972-4DEF-95AB-8BA7F79C1B53}"/>
    <hyperlink ref="E5567" r:id="rId17183" display="https://twitter.com/C_Barraud/status/723777153238745088" xr:uid="{E70CC255-CD90-45C9-B6D2-778023193451}"/>
    <hyperlink ref="O5567" r:id="rId17184" display="https://pbs.twimg.com/profile_images/529914410903425024/I-mwj11H_normal.png" xr:uid="{A14F9B40-EE21-4194-BA41-C4A62BDD529A}"/>
    <hyperlink ref="B5568" r:id="rId17185" display="https://twitter.com/goldi6919" xr:uid="{7DEE38A6-430C-4FA1-AC49-348357834EE5}"/>
    <hyperlink ref="E5568" r:id="rId17186" display="https://twitter.com/goldi6919/status/723777729116704768" xr:uid="{A72D0D1F-59BE-40CB-81D1-6E692DC75ED0}"/>
    <hyperlink ref="O5568" r:id="rId17187" display="https://pbs.twimg.com/profile_images/653421858537230336/e_JMkUJ5_normal.jpg" xr:uid="{A677915A-0744-463D-B5B7-07DB2A4D3147}"/>
    <hyperlink ref="B5569" r:id="rId17188" display="https://twitter.com/Jakob_Juergen" xr:uid="{0E0621A9-CE99-4CD0-B620-F80252320216}"/>
    <hyperlink ref="E5569" r:id="rId17189" display="https://twitter.com/Jakob_Juergen/status/723778070780493825" xr:uid="{27C9063F-5B95-48D3-8B94-644FE246EC02}"/>
    <hyperlink ref="O5569" r:id="rId17190" display="https://pbs.twimg.com/profile_images/509638486991712256/yNj2TcZe_normal.jpeg" xr:uid="{7873CDF2-201E-4B1E-AC03-DA6A69C08287}"/>
    <hyperlink ref="B5570" r:id="rId17191" display="https://twitter.com/VWBeetleSales" xr:uid="{2D9EB024-E7C1-4B15-AE28-23383113DFFB}"/>
    <hyperlink ref="E5570" r:id="rId17192" display="https://twitter.com/VWBeetleSales/status/723778453665771520" xr:uid="{9C120A55-4DE6-46D2-B5A0-7DA4F6208D0A}"/>
    <hyperlink ref="F5570" r:id="rId17193" xr:uid="{6ED0855E-F4CC-4CB8-9903-669786880689}"/>
    <hyperlink ref="O5570" r:id="rId17194" display="https://pbs.twimg.com/profile_images/703294545195307008/qeCvrX86_normal.jpg" xr:uid="{C226AC95-08A0-4029-9ADA-E98BBD8A9A50}"/>
    <hyperlink ref="B5571" r:id="rId17195" display="https://twitter.com/cas_2050001283" xr:uid="{5B5E8858-08BE-42A7-A2BD-19868C27D46C}"/>
    <hyperlink ref="E5571" r:id="rId17196" display="https://twitter.com/cas_2050001283/status/723778503682973696" xr:uid="{8496A767-07D3-497C-8B97-AB43801D82A7}"/>
    <hyperlink ref="O5571" r:id="rId17197" display="https://abs.twimg.com/sticky/default_profile_images/default_profile_1_normal.png" xr:uid="{96FEC7B0-DE0B-4A98-BF91-BA2AD10645FB}"/>
    <hyperlink ref="B5572" r:id="rId17198" display="https://twitter.com/JoshuaHakman" xr:uid="{E5E6739A-A4E2-45CF-89CA-EA7EA452A208}"/>
    <hyperlink ref="E5572" r:id="rId17199" display="https://twitter.com/JoshuaHakman/status/723778733501485056" xr:uid="{DAC0F16C-6BB3-4C8F-929C-7970BCF86D9F}"/>
    <hyperlink ref="O5572" r:id="rId17200" display="https://pbs.twimg.com/profile_images/455483809157222400/6WDtBDEZ_normal.jpeg" xr:uid="{93A4A780-1E28-4498-B176-DCE7FB6BC0E7}"/>
    <hyperlink ref="B5573" r:id="rId17201" display="https://twitter.com/mapro67" xr:uid="{2E536820-8A1B-4E4B-BC0B-51A4223FBDC4}"/>
    <hyperlink ref="E5573" r:id="rId17202" display="https://twitter.com/mapro67/status/723780072457527296" xr:uid="{269643F0-E383-4FD7-A9EB-B00CA440E34B}"/>
    <hyperlink ref="O5573" r:id="rId17203" display="https://pbs.twimg.com/profile_images/3696204923/a63ad31c34a3cddd03c8d129fe69498d_normal.jpeg" xr:uid="{93EBEE53-36BD-4D0E-BBD5-A6F96A243353}"/>
    <hyperlink ref="B5574" r:id="rId17204" display="https://twitter.com/triolix251" xr:uid="{AE188F31-F45D-4DF0-9EFC-6888EEDD9484}"/>
    <hyperlink ref="E5574" r:id="rId17205" display="https://twitter.com/triolix251/status/723780277793873920" xr:uid="{93A0B923-9FE1-41FB-B7FA-1BC543AD9538}"/>
    <hyperlink ref="O5574" r:id="rId17206" display="https://pbs.twimg.com/profile_images/714791251485331456/Zg_jCfjL_normal.jpg" xr:uid="{68E07365-EF1D-4982-B159-E22EDAF4C9ED}"/>
    <hyperlink ref="B5575" r:id="rId17207" display="https://twitter.com/GreenCityeV" xr:uid="{8736CD58-E9E2-49F3-805C-37B505D332A0}"/>
    <hyperlink ref="E5575" r:id="rId17208" display="https://twitter.com/GreenCityeV/status/723780533621297152" xr:uid="{988EEFD3-E98A-4537-AE0A-E29654901F9E}"/>
    <hyperlink ref="O5575" r:id="rId17209" display="https://pbs.twimg.com/profile_images/683938464644132864/wlhhM0YZ_normal.jpg" xr:uid="{2EC6B6EA-FFE2-4FCD-9DB7-2B1F26B5D222}"/>
    <hyperlink ref="B5576" r:id="rId17210" display="https://twitter.com/GastonStuttgart" xr:uid="{2DD9469B-A7D9-4D7D-9750-6D3407A7B95C}"/>
    <hyperlink ref="E5576" r:id="rId17211" display="https://twitter.com/GastonStuttgart/status/723780785338241024" xr:uid="{6B8FC651-CF94-4E8D-80E6-98B713B583F0}"/>
    <hyperlink ref="O5576" r:id="rId17212" display="https://pbs.twimg.com/profile_images/683456597855698946/1JvQCYTP_normal.jpg" xr:uid="{9F11A53C-071C-4D67-B832-18AD135D6999}"/>
    <hyperlink ref="B5577" r:id="rId17213" display="https://twitter.com/WhichNews" xr:uid="{9E2E9C9A-7CD3-4AD6-B32B-197ADE5B84F6}"/>
    <hyperlink ref="E5577" r:id="rId17214" display="https://twitter.com/WhichNews/status/723780970202189824" xr:uid="{872B357F-9FC1-4B8B-9015-DE04672AE032}"/>
    <hyperlink ref="O5577" r:id="rId17215" display="https://pbs.twimg.com/profile_images/2868729622/b3269f7a53245c31450b1e9eb53adf80_normal.png" xr:uid="{D0FB596B-4D46-4C33-815F-4D24D4AE91C0}"/>
    <hyperlink ref="B5578" r:id="rId17216" display="https://twitter.com/Thomas_Wuest" xr:uid="{3015E144-F2D5-43FD-928F-4B6064777766}"/>
    <hyperlink ref="E5578" r:id="rId17217" display="https://twitter.com/Thomas_Wuest/status/723780978427174913" xr:uid="{7416AAE6-00F9-45B8-9FA7-A88789E2954A}"/>
    <hyperlink ref="O5578" r:id="rId17218" display="https://pbs.twimg.com/profile_images/684427037780611074/sMtHXqkw_normal.jpg" xr:uid="{9FF84307-9F57-4B14-A3BB-C8AEDA4175AA}"/>
    <hyperlink ref="B5579" r:id="rId17219" display="https://twitter.com/RichardJLloyd" xr:uid="{9A24244E-A7BA-49D9-A384-BFB91B7225C0}"/>
    <hyperlink ref="E5579" r:id="rId17220" display="https://twitter.com/RichardJLloyd/status/723781130068045824" xr:uid="{A0A473C8-234D-4418-9F42-B629FEF81FC8}"/>
    <hyperlink ref="O5579" r:id="rId17221" display="https://pbs.twimg.com/profile_images/541963483617558529/0KSfmRVY_normal.jpeg" xr:uid="{BCE10E2B-B9A3-452D-A49F-9072701B6BED}"/>
    <hyperlink ref="B5580" r:id="rId17222" display="https://twitter.com/darrenshirley" xr:uid="{6B5E3995-7858-449E-B8D4-C84B07C856DB}"/>
    <hyperlink ref="E5580" r:id="rId17223" display="https://twitter.com/darrenshirley/status/723781239698821121" xr:uid="{DF0560A4-9D90-4D8B-80E4-D0E590DBFB98}"/>
    <hyperlink ref="O5580" r:id="rId17224" display="https://pbs.twimg.com/profile_images/437680875434541056/VUvUo5FE_normal.jpeg" xr:uid="{3D424342-3A04-45D7-ACB3-54EE694A3776}"/>
    <hyperlink ref="B5581" r:id="rId17225" display="https://twitter.com/LucyRigby" xr:uid="{39E2E06C-C1D3-4962-9A5C-D2A6EDC9011F}"/>
    <hyperlink ref="E5581" r:id="rId17226" display="https://twitter.com/LucyRigby/status/723781614023659520" xr:uid="{F3E68DD2-DE01-4020-BD5F-011D433D65B6}"/>
    <hyperlink ref="O5581" r:id="rId17227" display="https://pbs.twimg.com/profile_images/612919811543330816/-VdcKGWw_normal.jpg" xr:uid="{473E49CA-22B1-4DD5-B262-8A536EBF2749}"/>
    <hyperlink ref="B5582" r:id="rId17228" display="https://twitter.com/AmitBadal" xr:uid="{F5B03C13-2E83-4CFE-BE6F-88A4D15DA85B}"/>
    <hyperlink ref="E5582" r:id="rId17229" display="https://twitter.com/AmitBadal/status/723782045919485953" xr:uid="{6EC81C2F-A687-4A52-9379-34C5D3108B2D}"/>
    <hyperlink ref="O5582" r:id="rId17230" display="https://pbs.twimg.com/profile_images/927868107/Twitter_Foto_Amit01a_normal.jpg" xr:uid="{CF943937-CC6A-496B-937D-5F29196D9A46}"/>
    <hyperlink ref="B5583" r:id="rId17231" display="https://twitter.com/NDRnds" xr:uid="{2695F8FF-1324-4C26-80FB-3152FDC4EBF9}"/>
    <hyperlink ref="E5583" r:id="rId17232" display="https://twitter.com/NDRnds/status/723782221375647744" xr:uid="{F649073D-CF19-4684-96B5-151DC2631128}"/>
    <hyperlink ref="O5583" r:id="rId17233" display="https://pbs.twimg.com/profile_images/628233882014457856/o87vMXlL_normal.jpg" xr:uid="{A63CAC13-B545-48AA-8F4B-3685F099F6AF}"/>
    <hyperlink ref="B5584" r:id="rId17234" display="https://twitter.com/GrahamBlack30" xr:uid="{75803C99-8921-4629-B6DE-DA0F305121B2}"/>
    <hyperlink ref="E5584" r:id="rId17235" display="https://twitter.com/GrahamBlack30/status/723782288316706816" xr:uid="{8E24A4CB-AC06-40B6-A7EC-A7987BD959B3}"/>
    <hyperlink ref="O5584" r:id="rId17236" display="https://pbs.twimg.com/profile_images/378800000290470734/e9ecdf75b11ca96fab721b7f9debc5ab_normal.jpeg" xr:uid="{A76A0B6C-DBCB-49CE-ACE6-E3D3E239A00E}"/>
    <hyperlink ref="B5585" r:id="rId17237" display="https://twitter.com/canwater" xr:uid="{5BE71622-72B2-4010-8160-4B6B390AC634}"/>
    <hyperlink ref="E5585" r:id="rId17238" display="https://twitter.com/canwater/status/723782364212658176" xr:uid="{877A11B0-E850-41FC-8635-F242A900C4C2}"/>
    <hyperlink ref="O5585" r:id="rId17239" display="https://pbs.twimg.com/profile_images/713830236673191948/umVQMit8_normal.jpg" xr:uid="{F5391517-3529-4B8F-B89A-1FBA241E139D}"/>
    <hyperlink ref="P5585" r:id="rId17240" location="36.66716913,30.55089919" display="http://ctrlq.org/maps/address/ - 36.66716913,30.55089919" xr:uid="{4FB49471-B867-43F9-A099-68C67824BCA8}"/>
    <hyperlink ref="B5586" r:id="rId17241" display="https://twitter.com/Kimmi1337" xr:uid="{59586B81-DB49-475A-9496-BA20FD6DFD0A}"/>
    <hyperlink ref="E5586" r:id="rId17242" display="https://twitter.com/Kimmi1337/status/723782629376561153" xr:uid="{F0F5C07E-A5CE-49D5-8D99-C1B2AE726729}"/>
    <hyperlink ref="O5586" r:id="rId17243" display="https://pbs.twimg.com/profile_images/378800000201063638/1ae962d11e41e24e82e653b160a93333_normal.jpeg" xr:uid="{A5AB66A6-8722-47B0-9CDC-CCCA49EE49BC}"/>
    <hyperlink ref="B5587" r:id="rId17244" display="https://twitter.com/MJLMcClelland" xr:uid="{AAEC67D2-F308-4788-AB70-1F34D710CD84}"/>
    <hyperlink ref="E5587" r:id="rId17245" display="https://twitter.com/MJLMcClelland/status/723782987528192000" xr:uid="{FE8BD5CC-ED21-459F-B143-351849C2F642}"/>
    <hyperlink ref="O5587" r:id="rId17246" display="https://pbs.twimg.com/profile_images/704774903451537408/9loZbTSA_normal.jpg" xr:uid="{A6B276BF-B6B8-4835-BD0F-7FBC51238579}"/>
    <hyperlink ref="B5588" r:id="rId17247" display="https://twitter.com/theroguegents" xr:uid="{25114395-2689-4083-B6F4-F9B567EE1778}"/>
    <hyperlink ref="E5588" r:id="rId17248" display="https://twitter.com/theroguegents/status/723783196383522817" xr:uid="{8181DCFE-520E-4686-B627-63B9A408342D}"/>
    <hyperlink ref="O5588" r:id="rId17249" display="https://pbs.twimg.com/profile_images/671780220752498688/WEmZmiH9_normal.jpg" xr:uid="{4B82B86F-AA94-4477-B62F-91A285F11733}"/>
    <hyperlink ref="B5589" r:id="rId17250" display="https://twitter.com/aldertings" xr:uid="{56EAD152-CB7E-47C6-9622-6A00290463E4}"/>
    <hyperlink ref="E5589" r:id="rId17251" display="https://twitter.com/aldertings/status/723783422985003010" xr:uid="{4EB1B8FB-EAC4-4BDA-85D9-53ED98BB73E0}"/>
    <hyperlink ref="O5589" r:id="rId17252" display="https://pbs.twimg.com/profile_images/718202317426843649/9Efo8ucw_normal.jpg" xr:uid="{F383CA82-5228-4166-8F76-8B21DA7C8EC3}"/>
    <hyperlink ref="B5590" r:id="rId17253" display="https://twitter.com/MhvonS" xr:uid="{CFF127F6-B397-4840-BF95-990E2CC536FC}"/>
    <hyperlink ref="E5590" r:id="rId17254" display="https://twitter.com/MhvonS/status/723783662257491969" xr:uid="{C340B9B7-E8E9-475F-8864-9E4BFE6A5E43}"/>
    <hyperlink ref="O5590" r:id="rId17255" display="https://pbs.twimg.com/profile_images/723492895874002945/vvHAsCQf_normal.jpg" xr:uid="{53C9BF92-488A-46DF-B7A6-1D5718F26A01}"/>
    <hyperlink ref="B5591" r:id="rId17256" display="https://twitter.com/VWBeetleSales" xr:uid="{54E59F63-13B9-42B0-808D-C8673BDD5E59}"/>
    <hyperlink ref="E5591" r:id="rId17257" display="https://twitter.com/VWBeetleSales/status/723784996742258688" xr:uid="{CE3F1356-B1B8-44E0-A8C8-03F67B4491BD}"/>
    <hyperlink ref="F5591" r:id="rId17258" xr:uid="{53A493D4-D5ED-4A4E-870F-85CD9244A604}"/>
    <hyperlink ref="O5591" r:id="rId17259" display="https://pbs.twimg.com/profile_images/703294545195307008/qeCvrX86_normal.jpg" xr:uid="{D36A3798-F2BF-475F-93D4-0DE1D7C26B85}"/>
    <hyperlink ref="B5592" r:id="rId17260" display="https://twitter.com/ThibMcQueen" xr:uid="{80F47E72-4B16-4FDD-84C6-5E0E486A55F8}"/>
    <hyperlink ref="E5592" r:id="rId17261" display="https://twitter.com/ThibMcQueen/status/723785557910937600" xr:uid="{BDCA1E56-B64A-4205-90CC-23EB2F3656D9}"/>
    <hyperlink ref="O5592" r:id="rId17262" display="https://pbs.twimg.com/profile_images/431119006146113536/_vKP0rbw_normal.jpeg" xr:uid="{1BE5B818-22F0-447D-ABF9-6ADFFDD11CA7}"/>
    <hyperlink ref="B5593" r:id="rId17263" display="https://twitter.com/chaseybr" xr:uid="{FE3750AF-4ACA-4B33-B7BB-BC7B39CF1253}"/>
    <hyperlink ref="E5593" r:id="rId17264" display="https://twitter.com/chaseybr/status/723785786894782465" xr:uid="{3F8C4E3B-C5B4-4A7D-850E-8BAE28350F96}"/>
    <hyperlink ref="O5593" r:id="rId17265" display="https://abs.twimg.com/sticky/default_profile_images/default_profile_2_normal.png" xr:uid="{3A6D9D18-2693-4F88-B70E-B2D2D0E48360}"/>
    <hyperlink ref="B5594" r:id="rId17266" display="https://twitter.com/OnlineCarReview" xr:uid="{AD805C64-63F9-4421-AA3F-AD3E781A9C16}"/>
    <hyperlink ref="E5594" r:id="rId17267" display="https://twitter.com/OnlineCarReview/status/723786635322626048" xr:uid="{5D2C705A-014F-49F5-9121-C40243CA3DD6}"/>
    <hyperlink ref="O5594" r:id="rId17268" display="https://pbs.twimg.com/profile_images/652871584131092480/QA_B6SBO_normal.jpg" xr:uid="{17C407C0-3E1C-4A48-B9B8-8226EBDD5C7A}"/>
    <hyperlink ref="B5595" r:id="rId17269" display="https://twitter.com/Mphilpot1" xr:uid="{57F9416A-4536-4AB7-B68A-71F14167C927}"/>
    <hyperlink ref="E5595" r:id="rId17270" display="https://twitter.com/Mphilpot1/status/723786779103350784" xr:uid="{10816C8A-D1AA-47DF-BF6D-8DFB761F30A1}"/>
    <hyperlink ref="O5595" r:id="rId17271" display="https://pbs.twimg.com/profile_images/422164778639839234/LVnS1q1c_normal.jpeg" xr:uid="{129EEB02-8631-4D03-B44B-EC1A0A3A6F4A}"/>
    <hyperlink ref="B5596" r:id="rId17272" display="https://twitter.com/Sufiy" xr:uid="{8643D175-DFEA-4D29-BA0C-076D22E362E9}"/>
    <hyperlink ref="E5596" r:id="rId17273" display="https://twitter.com/Sufiy/status/723786878852456449" xr:uid="{0CAD6B9F-A057-481E-A404-B8F371DE2169}"/>
    <hyperlink ref="O5596" r:id="rId17274" display="https://pbs.twimg.com/profile_images/292857657/GreenGrowth_normal.jpg" xr:uid="{B27849BF-CCE1-42C1-9D66-CB820EB2FB70}"/>
    <hyperlink ref="B5597" r:id="rId17275" display="https://twitter.com/Sufiy" xr:uid="{B534177A-896E-4C76-B39F-B0FE5D9ECC63}"/>
    <hyperlink ref="E5597" r:id="rId17276" display="https://twitter.com/Sufiy/status/723786930102636544" xr:uid="{302C8251-4D11-4043-A576-A08E68E933C0}"/>
    <hyperlink ref="O5597" r:id="rId17277" display="https://pbs.twimg.com/profile_images/292857657/GreenGrowth_normal.jpg" xr:uid="{679016DF-2C21-4E70-B013-D096D35B0EB7}"/>
    <hyperlink ref="B5598" r:id="rId17278" display="https://twitter.com/Sufiy" xr:uid="{77BB311A-E680-493E-9D2B-7BFFE94B7B0B}"/>
    <hyperlink ref="E5598" r:id="rId17279" display="https://twitter.com/Sufiy/status/723786982405603328" xr:uid="{7340D80E-8CDD-4DFF-A742-D99BAAA9A5BB}"/>
    <hyperlink ref="O5598" r:id="rId17280" display="https://pbs.twimg.com/profile_images/292857657/GreenGrowth_normal.jpg" xr:uid="{7D8CB7E9-F591-4508-9331-5C74EF18B9AF}"/>
    <hyperlink ref="B5599" r:id="rId17281" display="https://twitter.com/EurJRR" xr:uid="{D3ED5100-7C0B-43A0-B5DF-46C50D82A03B}"/>
    <hyperlink ref="E5599" r:id="rId17282" display="https://twitter.com/EurJRR/status/723786992971046916" xr:uid="{64E7EDE8-7184-474D-98F2-49D0FDB26BA6}"/>
    <hyperlink ref="O5599" r:id="rId17283" display="https://pbs.twimg.com/profile_images/1691137019/EJRR_kopf_web_normal.jpg" xr:uid="{52EE8ED0-4A0E-4984-9FE3-082AE40DECE1}"/>
    <hyperlink ref="B5600" r:id="rId17284" display="https://twitter.com/fitra_eri" xr:uid="{3787FA58-C253-4143-B61C-E9C44C893EED}"/>
    <hyperlink ref="E5600" r:id="rId17285" display="https://twitter.com/fitra_eri/status/723787110440939520" xr:uid="{C3040F8D-A575-41BE-B885-37CB0AD960AF}"/>
    <hyperlink ref="O5600" r:id="rId17286" display="https://pbs.twimg.com/profile_images/378800000179644697/989228d76c4c219758ab128e45d019ce_normal.jpeg" xr:uid="{81D4EC27-5A29-404E-9B67-283E1D82DCE6}"/>
    <hyperlink ref="B5601" r:id="rId17287" display="https://twitter.com/shinemyrideuk" xr:uid="{35C4CBE9-BDCD-4CBB-9922-499538FC7AB6}"/>
    <hyperlink ref="E5601" r:id="rId17288" display="https://twitter.com/shinemyrideuk/status/723787329266192384" xr:uid="{A17EFBDC-F2CF-438B-A43F-E54B0A5289E9}"/>
    <hyperlink ref="O5601" r:id="rId17289" display="https://pbs.twimg.com/profile_images/673219952988413952/RwM7EX2v_normal.png" xr:uid="{5FFB4C89-C872-4B74-8045-272E694F4833}"/>
    <hyperlink ref="B5602" r:id="rId17290" display="https://twitter.com/JenniPii" xr:uid="{C80CC43B-F14C-48F5-94BA-EB3E0C830DBD}"/>
    <hyperlink ref="E5602" r:id="rId17291" display="https://twitter.com/JenniPii/status/723787368600375296" xr:uid="{BDC7C543-D983-40AA-AD11-68D13FBF803D}"/>
    <hyperlink ref="O5602" r:id="rId17292" display="https://pbs.twimg.com/profile_images/722101790431260672/0vYDkuAk_normal.jpg" xr:uid="{2D99D555-BA3D-45E1-9ECA-D91B99AF137D}"/>
    <hyperlink ref="B5603" r:id="rId17293" display="https://twitter.com/alemannoEU" xr:uid="{8DD5A585-4C39-41F3-9E53-4EAE54CFCAFA}"/>
    <hyperlink ref="E5603" r:id="rId17294" display="https://twitter.com/alemannoEU/status/723787380713512960" xr:uid="{3506915E-7503-4023-971B-809219AC9DB9}"/>
    <hyperlink ref="O5603" r:id="rId17295" display="https://pbs.twimg.com/profile_images/716615654770667520/9yQz2MjC_normal.jpg" xr:uid="{D0C3CBF9-CCB4-40D4-AA9B-51E1313A0FD6}"/>
    <hyperlink ref="B5604" r:id="rId17296" display="https://twitter.com/CastleCoastCamp" xr:uid="{575BAECF-F35D-47B6-8B88-BDEAF42A3B1C}"/>
    <hyperlink ref="E5604" r:id="rId17297" display="https://twitter.com/CastleCoastCamp/status/723787815423750144" xr:uid="{35F848D5-E572-4068-B368-FE83BF6B64AB}"/>
    <hyperlink ref="O5604" r:id="rId17298" display="https://pbs.twimg.com/profile_images/610401931501137920/c0qYTPr__normal.jpg" xr:uid="{EF394405-751E-44D3-8426-DA8DA4BC0BFD}"/>
    <hyperlink ref="B5605" r:id="rId17299" display="https://twitter.com/alemannoEU" xr:uid="{7833D093-AED2-4634-B58A-FFDD5655CE6C}"/>
    <hyperlink ref="E5605" r:id="rId17300" display="https://twitter.com/alemannoEU/status/723788114683170816" xr:uid="{74E1A440-884F-4B06-8516-F827401AAFC8}"/>
    <hyperlink ref="O5605" r:id="rId17301" display="https://pbs.twimg.com/profile_images/716615654770667520/9yQz2MjC_normal.jpg" xr:uid="{890F4994-5CDA-4081-A7D8-4071A9570A31}"/>
    <hyperlink ref="B5606" r:id="rId17302" display="https://twitter.com/Tschonka" xr:uid="{241DEA01-0B2D-47A7-90CD-917946E7AEE3}"/>
    <hyperlink ref="E5606" r:id="rId17303" display="https://twitter.com/Tschonka/status/723788357311041537" xr:uid="{05684711-00B7-4D2F-8C61-54076089E9D5}"/>
    <hyperlink ref="O5606" r:id="rId17304" display="https://pbs.twimg.com/profile_images/643084020633481216/9U3J-N2X_normal.jpg" xr:uid="{5B89465C-9AF0-4A52-A955-7891E5769E7B}"/>
    <hyperlink ref="B5607" r:id="rId17305" display="https://twitter.com/fceintracht1992" xr:uid="{B48ED502-97A3-463D-9920-AC63AB8183B3}"/>
    <hyperlink ref="E5607" r:id="rId17306" display="https://twitter.com/fceintracht1992/status/723789098499059712" xr:uid="{75539562-F7CA-4E15-9FA6-C6CB65AEDAE5}"/>
    <hyperlink ref="O5607" r:id="rId17307" display="https://pbs.twimg.com/profile_images/686682446935552002/K_UT5tM2_normal.jpg" xr:uid="{62ABD12A-420B-44D9-AA06-99F7EBDF033E}"/>
    <hyperlink ref="B5608" r:id="rId17308" display="https://twitter.com/CastleCoastCamp" xr:uid="{E71F9998-6FFD-4E4A-937D-D01D8BE1B522}"/>
    <hyperlink ref="E5608" r:id="rId17309" display="https://twitter.com/CastleCoastCamp/status/723789162197954560" xr:uid="{61AF0EB1-C14D-4DBF-8BD1-0729DF1350DB}"/>
    <hyperlink ref="O5608" r:id="rId17310" display="https://pbs.twimg.com/profile_images/610401931501137920/c0qYTPr__normal.jpg" xr:uid="{2C14A9BF-7C66-4F47-B505-B6A387890B2C}"/>
    <hyperlink ref="B5609" r:id="rId17311" display="https://twitter.com/MarFnk" xr:uid="{8EF986ED-16DB-4038-9E17-8DF36A582E85}"/>
    <hyperlink ref="E5609" r:id="rId17312" display="https://twitter.com/MarFnk/status/723790037796704256" xr:uid="{F136062D-73F1-4602-A718-C07FCB5C4DF0}"/>
    <hyperlink ref="O5609" r:id="rId17313" display="https://pbs.twimg.com/profile_images/378800000706162815/e272abebfb386acf549f7b35a5e5adfe_normal.jpeg" xr:uid="{3A565A77-C6B8-4FC1-8516-F6EBF93D1BE0}"/>
    <hyperlink ref="B5610" r:id="rId17314" display="https://twitter.com/dabbelu" xr:uid="{144172B1-B84D-4FD3-BA01-05A814B113D8}"/>
    <hyperlink ref="E5610" r:id="rId17315" display="https://twitter.com/dabbelu/status/723790307163267072" xr:uid="{8C03E549-DFF7-47FE-AEBF-2B68BFB0C646}"/>
    <hyperlink ref="O5610" r:id="rId17316" display="https://pbs.twimg.com/profile_images/686473888356810752/N1q7fthz_normal.jpg" xr:uid="{4CA032F1-24B8-4680-AEC0-51D9E0F32D11}"/>
    <hyperlink ref="B5611" r:id="rId17317" display="https://twitter.com/CastleCoastCamp" xr:uid="{0DCC0F5D-3BEA-4E44-8AF4-98E8946E8F92}"/>
    <hyperlink ref="E5611" r:id="rId17318" display="https://twitter.com/CastleCoastCamp/status/723790341460074496" xr:uid="{3903315B-B92A-413B-AEE5-44A29862F783}"/>
    <hyperlink ref="O5611" r:id="rId17319" display="https://pbs.twimg.com/profile_images/610401931501137920/c0qYTPr__normal.jpg" xr:uid="{5CCCDC42-B5FC-489E-99AD-6C8B48742D4A}"/>
    <hyperlink ref="B5612" r:id="rId17320" display="https://twitter.com/Awesome_eu_com" xr:uid="{7EF79FA7-5682-451F-BF3B-868DF131C8AF}"/>
    <hyperlink ref="E5612" r:id="rId17321" display="https://twitter.com/Awesome_eu_com/status/723790473740075008" xr:uid="{307DB8A6-C826-4502-A8B4-A022F1340564}"/>
    <hyperlink ref="O5612" r:id="rId17322" display="https://pbs.twimg.com/profile_images/682567064658259968/q3TCimOc_normal.jpg" xr:uid="{EBAF0590-75CF-4ED4-8612-C2FFCEA6B3E5}"/>
    <hyperlink ref="B5613" r:id="rId17323" display="https://twitter.com/VeeDubMk1_" xr:uid="{6901A84A-CE0F-4C88-BEAC-708E3DD2E1C0}"/>
    <hyperlink ref="E5613" r:id="rId17324" display="https://twitter.com/VeeDubMk1_/status/723790915110854660" xr:uid="{0DA3BCD8-5FFD-4858-AD97-CBED9BCB9914}"/>
    <hyperlink ref="O5613" r:id="rId17325" display="https://pbs.twimg.com/profile_images/672878354127839232/M7OYc-zx_normal.jpg" xr:uid="{11C7B3E3-A0A5-4124-943B-502E9BD683CA}"/>
    <hyperlink ref="B5614" r:id="rId17326" display="https://twitter.com/Insta_VWT" xr:uid="{5A4FAE9C-4F93-476B-9BE9-B4649DF899C5}"/>
    <hyperlink ref="E5614" r:id="rId17327" display="https://twitter.com/Insta_VWT/status/723790935830728704" xr:uid="{51A4D775-53B6-470E-B784-55478354FDDF}"/>
    <hyperlink ref="O5614" r:id="rId17328" display="https://pbs.twimg.com/profile_images/424893967197433858/iQ86NktX_normal.jpeg" xr:uid="{F504F56D-CD60-4628-B42B-43A9E3D73156}"/>
    <hyperlink ref="B5615" r:id="rId17329" display="https://twitter.com/Insta_VWT" xr:uid="{48C6D029-7A52-4ACF-AEF6-9FE4D44A2DE5}"/>
    <hyperlink ref="E5615" r:id="rId17330" display="https://twitter.com/Insta_VWT/status/723790964297482240" xr:uid="{D8FF1A05-0BED-4644-98DC-DDFC14B3FEDF}"/>
    <hyperlink ref="O5615" r:id="rId17331" display="https://pbs.twimg.com/profile_images/424893967197433858/iQ86NktX_normal.jpeg" xr:uid="{EBDA38CA-0A7F-4443-8666-4C4E5640D44D}"/>
    <hyperlink ref="B5616" r:id="rId17332" display="https://twitter.com/Insta_VWT" xr:uid="{EB9E4509-41B9-4D8F-90C5-914DEE0DF732}"/>
    <hyperlink ref="E5616" r:id="rId17333" display="https://twitter.com/Insta_VWT/status/723790984316882944" xr:uid="{C29CE02E-7B08-4428-90F2-DAD7E30B417A}"/>
    <hyperlink ref="O5616" r:id="rId17334" display="https://pbs.twimg.com/profile_images/424893967197433858/iQ86NktX_normal.jpeg" xr:uid="{687AFD41-C6D2-47D9-BBD0-3215F4BDA6FC}"/>
    <hyperlink ref="B5617" r:id="rId17335" display="https://twitter.com/VWCamperSales" xr:uid="{E0A3E7DC-2218-4E2F-B3AF-B0B3819740D2}"/>
    <hyperlink ref="E5617" r:id="rId17336" display="https://twitter.com/VWCamperSales/status/723792247385251840" xr:uid="{AFAE2670-5160-408A-A776-3B69D0860011}"/>
    <hyperlink ref="F5617" r:id="rId17337" xr:uid="{56701BE1-85B4-462B-97D1-039E43EC1C7B}"/>
    <hyperlink ref="O5617" r:id="rId17338" display="https://pbs.twimg.com/profile_images/627949001179037696/skEBkS05_normal.jpg" xr:uid="{7310C729-039E-4D3B-B197-0E3E38B9829B}"/>
    <hyperlink ref="B5618" r:id="rId17339" display="https://twitter.com/MarcusFreyer" xr:uid="{8454D3A2-E4E4-4263-B1BC-9F7B1427F89B}"/>
    <hyperlink ref="E5618" r:id="rId17340" display="https://twitter.com/MarcusFreyer/status/723792308353810432" xr:uid="{9E6CAA5E-1773-47E7-B39D-8E654ABD1570}"/>
    <hyperlink ref="O5618" r:id="rId17341" display="https://pbs.twimg.com/profile_images/429998328365850625/UsZ4WCnN_normal.png" xr:uid="{B023DB6D-9637-4083-B9F5-8C3DF5D931BE}"/>
    <hyperlink ref="B5619" r:id="rId17342" display="https://twitter.com/AC_translates" xr:uid="{24575B87-F974-42E1-A872-A8FEB66CBCAE}"/>
    <hyperlink ref="E5619" r:id="rId17343" display="https://twitter.com/AC_translates/status/723792386678206468" xr:uid="{BC778188-8D6C-4A19-8C83-C30A7B663AC6}"/>
    <hyperlink ref="O5619" r:id="rId17344" display="https://pbs.twimg.com/profile_images/554933957155115008/ExxqV_Hp_normal.jpeg" xr:uid="{CCE1CBDD-4764-4C7C-8EEE-C782A1F0B6AA}"/>
    <hyperlink ref="B5620" r:id="rId17345" display="https://twitter.com/sakshinews" xr:uid="{A0DD24DF-6599-4D8D-8C13-8B775E19CFEA}"/>
    <hyperlink ref="E5620" r:id="rId17346" display="https://twitter.com/sakshinews/status/723792415585239040" xr:uid="{EC05DC3F-316B-4CD1-914E-E7FB977A2565}"/>
    <hyperlink ref="O5620" r:id="rId17347" display="https://pbs.twimg.com/profile_images/378800000218928167/666e84548a432bb1c6f1374f7f6c7f0f_normal.png" xr:uid="{9C88A9CA-CC9D-437E-94D4-8D865C37EF3D}"/>
    <hyperlink ref="B5621" r:id="rId17348" display="https://twitter.com/SantaPodRaceway" xr:uid="{36569B16-78C3-4ADF-B4E1-C697914A8636}"/>
    <hyperlink ref="E5621" r:id="rId17349" display="https://twitter.com/SantaPodRaceway/status/723792518022873088" xr:uid="{B4F93F2F-3401-4634-8F66-8025635123BB}"/>
    <hyperlink ref="O5621" r:id="rId17350" display="https://pbs.twimg.com/profile_images/378800000801365829/e9f28f8996ff7f098d9b8a1840e76f50_normal.png" xr:uid="{457DDF7B-98F1-4241-A348-C62C034EB638}"/>
    <hyperlink ref="P5621" r:id="rId17351" location="52.23786032,-0.59730173" display="http://ctrlq.org/maps/address/ - 52.23786032,-0.59730173" xr:uid="{4E5F6B80-6854-43BC-8382-015E3CE3ADBE}"/>
    <hyperlink ref="B5622" r:id="rId17352" display="https://twitter.com/Braulio_Urresti" xr:uid="{42DEE85A-C95F-4203-8D2B-491F98E40C7D}"/>
    <hyperlink ref="E5622" r:id="rId17353" display="https://twitter.com/Braulio_Urresti/status/723792564231528448" xr:uid="{B257F24F-1D69-4546-A82A-85F93038ADEF}"/>
    <hyperlink ref="O5622" r:id="rId17354" display="https://abs.twimg.com/sticky/default_profile_images/default_profile_5_normal.png" xr:uid="{A5B52912-0AB3-4D8C-A00C-396B65224C22}"/>
    <hyperlink ref="B5623" r:id="rId17355" display="https://twitter.com/Wendishwasher" xr:uid="{5C52D04D-CA00-41E3-A2CB-19CE5763AA99}"/>
    <hyperlink ref="E5623" r:id="rId17356" display="https://twitter.com/Wendishwasher/status/723792954175971328" xr:uid="{AE970B91-1A85-4035-8272-E45425510E15}"/>
    <hyperlink ref="O5623" r:id="rId17357" display="https://pbs.twimg.com/profile_images/607431748125900800/x0UAHZPL_normal.jpg" xr:uid="{8FA70F36-577B-4E34-B8E2-4C3AC4BE35B7}"/>
    <hyperlink ref="B5624" r:id="rId17358" display="https://twitter.com/frenja" xr:uid="{DB05EB11-A469-4F3F-ABFC-F85E20A7A320}"/>
    <hyperlink ref="E5624" r:id="rId17359" display="https://twitter.com/frenja/status/723793454753538048" xr:uid="{0047BB1E-3F99-4085-BF74-97C18F54B68B}"/>
    <hyperlink ref="O5624" r:id="rId17360" display="https://pbs.twimg.com/profile_images/2809466914/4e4fb7a41dc491c36d2931c84e1769ca_normal.jpeg" xr:uid="{D4BD8CFD-E4B5-4930-BBA8-735AA2235B79}"/>
    <hyperlink ref="B5625" r:id="rId17361" display="https://twitter.com/CastleCoastCamp" xr:uid="{370AAE29-B9E6-49C1-B700-7D3B21878F91}"/>
    <hyperlink ref="E5625" r:id="rId17362" display="https://twitter.com/CastleCoastCamp/status/723793462928236544" xr:uid="{D04CE8E0-39B2-4568-B40C-6796B23192FD}"/>
    <hyperlink ref="O5625" r:id="rId17363" display="https://pbs.twimg.com/profile_images/610401931501137920/c0qYTPr__normal.jpg" xr:uid="{32BA5676-D786-4C24-BAF4-2CB520D9E3DF}"/>
    <hyperlink ref="B5626" r:id="rId17364" display="https://twitter.com/MotorphiliacsTv" xr:uid="{EE098E01-E6A6-49C0-99BD-D7465EE26356}"/>
    <hyperlink ref="E5626" r:id="rId17365" display="https://twitter.com/MotorphiliacsTv/status/723794449571049473" xr:uid="{E4A20526-3E9F-4B28-9456-8C483E527D2F}"/>
    <hyperlink ref="O5626" r:id="rId17366" display="https://pbs.twimg.com/profile_images/701133680937291776/4TSsJk3y_normal.jpg" xr:uid="{B75C718B-D0FE-44CB-A6D3-A394BFD6C05C}"/>
    <hyperlink ref="B5627" r:id="rId17367" display="https://twitter.com/NetzwerkggS21" xr:uid="{B8873979-4DE4-4CA2-8821-A2D17C952314}"/>
    <hyperlink ref="E5627" r:id="rId17368" display="https://twitter.com/NetzwerkggS21/status/723794984101662720" xr:uid="{A9B5A494-7DA7-405A-940A-9CC7E72F5A68}"/>
    <hyperlink ref="M5627" r:id="rId17369" xr:uid="{8236B192-7BDE-4D27-92F6-B8BF2602FC55}"/>
    <hyperlink ref="O5627" r:id="rId17370" display="https://pbs.twimg.com/profile_images/378800000528765970/3ab9f2a00010e9cac08d5ca1638926e9_normal.png" xr:uid="{5FFC1DA1-50D4-4178-A241-D30C36477AA9}"/>
    <hyperlink ref="B5628" r:id="rId17371" display="https://twitter.com/ReginaSeelos" xr:uid="{4748F6A8-DA2B-4210-82EA-AA351AB0EDE4}"/>
    <hyperlink ref="E5628" r:id="rId17372" display="https://twitter.com/ReginaSeelos/status/723795085700259840" xr:uid="{B5310E01-C14D-446E-91BC-F73510C203D0}"/>
    <hyperlink ref="O5628" r:id="rId17373" display="https://pbs.twimg.com/profile_images/645687851150090240/AIVtG4Zx_normal.jpg" xr:uid="{87F38E14-7300-4699-B8BE-B0E94366B671}"/>
    <hyperlink ref="B5629" r:id="rId17374" display="https://twitter.com/gunnar_harms" xr:uid="{4BF7076E-99CF-43EF-B0FC-12EA9D0ED53F}"/>
    <hyperlink ref="E5629" r:id="rId17375" display="https://twitter.com/gunnar_harms/status/723795348511174656" xr:uid="{3D24C0B2-746A-4A2C-900D-4D9C3554741B}"/>
    <hyperlink ref="O5629" r:id="rId17376" display="https://abs.twimg.com/sticky/default_profile_images/default_profile_0_normal.png" xr:uid="{8EAC56B6-A86F-4E4E-A83C-2425E7EA128A}"/>
    <hyperlink ref="B5630" r:id="rId17377" display="https://twitter.com/Balefir3" xr:uid="{2B782386-DEAD-4A16-9039-F246FDE1ECDA}"/>
    <hyperlink ref="E5630" r:id="rId17378" display="https://twitter.com/Balefir3/status/723795473996324864" xr:uid="{2B8DFD50-8937-4A34-BE7B-D06221FBDCAA}"/>
    <hyperlink ref="O5630" r:id="rId17379" display="https://pbs.twimg.com/profile_images/3165068380/9dae0a636bc4038fae35f093796ed190_normal.jpeg" xr:uid="{6CCB2A38-498E-4484-B318-F0134F0EED01}"/>
    <hyperlink ref="B5631" r:id="rId17380" display="https://twitter.com/JoJagiello" xr:uid="{1D369E6D-A7C1-4639-94BD-A5247520E90F}"/>
    <hyperlink ref="E5631" r:id="rId17381" display="https://twitter.com/JoJagiello/status/723795839253094400" xr:uid="{AB335A33-5E63-420E-9E4F-1482FEEFF244}"/>
    <hyperlink ref="O5631" r:id="rId17382" display="https://pbs.twimg.com/profile_images/701477016030289921/prD-N92q_normal.jpg" xr:uid="{2D1A8D1F-F1CC-483C-A768-32B09DEB1648}"/>
    <hyperlink ref="B5632" r:id="rId17383" display="https://twitter.com/FennellMarcus" xr:uid="{9160DFDD-182D-474D-BFC4-FFE37B9490AE}"/>
    <hyperlink ref="E5632" r:id="rId17384" display="https://twitter.com/FennellMarcus/status/723795897121951744" xr:uid="{F516111E-744E-4AEE-A304-FD25ACB4C538}"/>
    <hyperlink ref="O5632" r:id="rId17385" display="https://pbs.twimg.com/profile_images/689135486544293889/vPAeUEzo_normal.jpg" xr:uid="{AC5D3540-A0E2-41AE-8555-5B8447761AD1}"/>
    <hyperlink ref="B5633" r:id="rId17386" display="https://twitter.com/AlexWitzleben" xr:uid="{476830D3-C279-4807-A77C-315D54DCF86A}"/>
    <hyperlink ref="E5633" r:id="rId17387" display="https://twitter.com/AlexWitzleben/status/723796235958755328" xr:uid="{4E778016-D04D-4DDB-A957-B737CB0C254B}"/>
    <hyperlink ref="O5633" r:id="rId17388" display="https://pbs.twimg.com/profile_images/1913087124/AvW_website_normal.jpg" xr:uid="{BB06AA77-EEDD-4A7A-AD85-0A746C3385D2}"/>
    <hyperlink ref="B5634" r:id="rId17389" display="https://twitter.com/RippedFlower" xr:uid="{14083B45-F9C5-4A88-9F16-5BA429C6C328}"/>
    <hyperlink ref="E5634" r:id="rId17390" display="https://twitter.com/RippedFlower/status/723796239280705540" xr:uid="{5C667170-73F0-4E4E-879A-B4FA1C08BCF2}"/>
    <hyperlink ref="O5634" r:id="rId17391" display="https://pbs.twimg.com/profile_images/505852375911780352/2-ZN7ue2_normal.jpeg" xr:uid="{9CAA5BF1-80F3-480C-A940-B665306846A0}"/>
    <hyperlink ref="B5635" r:id="rId17392" display="https://twitter.com/MarcelSigner" xr:uid="{28FE99A5-3558-41E1-89F4-710795120C7D}"/>
    <hyperlink ref="E5635" r:id="rId17393" display="https://twitter.com/MarcelSigner/status/723796270163304448" xr:uid="{804031C4-2629-4347-B872-C6BE827ACA86}"/>
    <hyperlink ref="O5635" r:id="rId17394" display="https://pbs.twimg.com/profile_images/618543469875740672/9UTnmeyy_normal.png" xr:uid="{27B118D5-A36B-4379-80B8-625A7407CD51}"/>
    <hyperlink ref="B5636" r:id="rId17395" display="https://twitter.com/RippedFlower" xr:uid="{B079EC28-F55E-4DAE-96F0-6DFB5E9278B5}"/>
    <hyperlink ref="E5636" r:id="rId17396" display="https://twitter.com/RippedFlower/status/723796439797751808" xr:uid="{95351DE7-9BD1-433A-9B61-CA5A2A94F3F1}"/>
    <hyperlink ref="O5636" r:id="rId17397" display="https://pbs.twimg.com/profile_images/505852375911780352/2-ZN7ue2_normal.jpeg" xr:uid="{6BCC2B59-69BC-491F-B345-DA76B722386C}"/>
    <hyperlink ref="B5637" r:id="rId17398" display="https://twitter.com/swanswaygroup" xr:uid="{A6DC814B-6707-4533-BFC4-1E05661895DE}"/>
    <hyperlink ref="E5637" r:id="rId17399" display="https://twitter.com/swanswaygroup/status/723796809626214400" xr:uid="{95183A17-B5EA-4057-91D4-B68FF8762BD9}"/>
    <hyperlink ref="O5637" r:id="rId17400" display="https://pbs.twimg.com/profile_images/552037189328982016/r65JRGTS_normal.jpeg" xr:uid="{114B3032-9FC2-4A51-BC12-DF2FB439EEF9}"/>
    <hyperlink ref="B5638" r:id="rId17401" display="https://twitter.com/liverpoolVWCV" xr:uid="{46C0DDAB-F849-4E08-B932-912337F736EB}"/>
    <hyperlink ref="E5638" r:id="rId17402" display="https://twitter.com/liverpoolVWCV/status/723796809672323072" xr:uid="{52F2F80F-B0EA-477C-9695-D7AD57F4CA1E}"/>
    <hyperlink ref="O5638" r:id="rId17403" display="https://pbs.twimg.com/profile_images/488711520251944960/yGYPawOw_normal.jpeg" xr:uid="{38D9D0C7-02D4-482D-A429-BA02185BAD9E}"/>
    <hyperlink ref="B5639" r:id="rId17404" display="https://twitter.com/HarudEge" xr:uid="{80220584-BD4C-4950-B350-C67BE2F96644}"/>
    <hyperlink ref="E5639" r:id="rId17405" display="https://twitter.com/HarudEge/status/723797080964272128" xr:uid="{18C57A75-CBD5-4899-888B-F0B50F3B7A24}"/>
    <hyperlink ref="O5639" r:id="rId17406" display="https://pbs.twimg.com/profile_images/710837619316416513/jTgPl3Vv_normal.jpg" xr:uid="{6A0CAB6C-42D9-41D4-AC06-1A970C05924B}"/>
    <hyperlink ref="B5640" r:id="rId17407" display="https://twitter.com/agenturi" xr:uid="{490CA774-C8BB-4B78-9320-2781626DA324}"/>
    <hyperlink ref="E5640" r:id="rId17408" display="https://twitter.com/agenturi/status/723797204352286720" xr:uid="{BA0FFB7F-5495-458F-AB29-88BC97BCA9CF}"/>
    <hyperlink ref="O5640" r:id="rId17409" display="https://pbs.twimg.com/profile_images/1309489296/IMG_0441bea__FILEminimizer__normal.JPG" xr:uid="{559746A2-15AD-4B6D-9710-4ED88E963123}"/>
    <hyperlink ref="B5641" r:id="rId17410" display="https://twitter.com/porkpiefrank" xr:uid="{A7C1DB56-8014-4213-94BA-735F626DF1AC}"/>
    <hyperlink ref="E5641" r:id="rId17411" display="https://twitter.com/porkpiefrank/status/723797541427531776" xr:uid="{AC52EAD9-5F77-44A3-A365-179C07086363}"/>
    <hyperlink ref="O5641" r:id="rId17412" display="https://pbs.twimg.com/profile_images/721298638002135040/UA8fxiJD_normal.jpg" xr:uid="{43697408-2C10-408C-9FFE-CDBC39330857}"/>
    <hyperlink ref="B5642" r:id="rId17413" display="https://twitter.com/Dieren01" xr:uid="{8F24890C-EED3-4606-A23E-B5C9487765A0}"/>
    <hyperlink ref="E5642" r:id="rId17414" display="https://twitter.com/Dieren01/status/723797568912797697" xr:uid="{5046B642-71E1-4584-9E33-C64F02E3D319}"/>
    <hyperlink ref="O5642" r:id="rId17415" display="https://pbs.twimg.com/profile_images/468753206395146240/UNroIAFG_normal.jpeg" xr:uid="{9C139C8A-7997-458E-BF62-43AE65D6C7F4}"/>
    <hyperlink ref="B5643" r:id="rId17416" display="https://twitter.com/Scirocco_Tuning" xr:uid="{7C7DCE26-5C54-4C38-8904-37BA7552B208}"/>
    <hyperlink ref="E5643" r:id="rId17417" display="https://twitter.com/Scirocco_Tuning/status/723797583332839424" xr:uid="{236C09BF-CC89-4208-9C66-DC796628D45B}"/>
    <hyperlink ref="O5643" r:id="rId17418" display="https://pbs.twimg.com/profile_images/1610421423/Image2_normal.jpg" xr:uid="{39E1C10F-BE51-4C15-B9EC-EB7920670B57}"/>
    <hyperlink ref="B5644" r:id="rId17419" display="https://twitter.com/JoeFeltch" xr:uid="{531960B4-FB2B-42CE-94CF-A15262C0B014}"/>
    <hyperlink ref="E5644" r:id="rId17420" display="https://twitter.com/JoeFeltch/status/723797926577889280" xr:uid="{CB88AA40-401C-4232-9518-493D0C641014}"/>
    <hyperlink ref="O5644" r:id="rId17421" display="https://pbs.twimg.com/profile_images/2576163313/empty_normal.jpg" xr:uid="{E2FD3208-29E3-4C9A-A5DC-53A6D124D2F0}"/>
    <hyperlink ref="B5645" r:id="rId17422" display="https://twitter.com/BavariaWatch" xr:uid="{F51DCE59-EC8B-4434-8FD6-F1A8FD13FA00}"/>
    <hyperlink ref="E5645" r:id="rId17423" display="https://twitter.com/BavariaWatch/status/723798179200815104" xr:uid="{5FD95526-BFB8-424E-AB96-B075DE82006E}"/>
    <hyperlink ref="O5645" r:id="rId17424" display="https://pbs.twimg.com/profile_images/718466703341010945/x9i3UOOr_normal.jpg" xr:uid="{4A0CA6C3-D233-4670-B7A6-64512967C134}"/>
    <hyperlink ref="B5646" r:id="rId17425" display="https://twitter.com/YoeriAlbrecht" xr:uid="{4024B0B2-4865-4817-ABA5-5FB77E97098D}"/>
    <hyperlink ref="E5646" r:id="rId17426" display="https://twitter.com/YoeriAlbrecht/status/723798207160025088" xr:uid="{094C0920-A7DA-403A-9438-5FD8A5B8EEDC}"/>
    <hyperlink ref="O5646" r:id="rId17427" display="https://pbs.twimg.com/profile_images/3136554383/c62637029402b0d8fe007a682895c1b1_normal.jpeg" xr:uid="{97CD6A95-EDEB-49B1-A157-03367F5A5C6F}"/>
    <hyperlink ref="B5647" r:id="rId17428" display="https://twitter.com/VolkswagenPost" xr:uid="{77131EC9-0176-4413-9F92-3473EBC76278}"/>
    <hyperlink ref="E5647" r:id="rId17429" display="https://twitter.com/VolkswagenPost/status/723798234611757057" xr:uid="{4B245D9D-262D-44DA-A16A-68466E17000A}"/>
    <hyperlink ref="O5647" r:id="rId17430" display="https://pbs.twimg.com/profile_images/530071272881803264/a_jcCmPZ_normal.png" xr:uid="{22EEB3D5-D1BA-4442-88B6-B00622B30473}"/>
    <hyperlink ref="B5648" r:id="rId17431" display="https://twitter.com/Viro_31" xr:uid="{82E377E5-632E-49EF-BF34-3FAEDD99F645}"/>
    <hyperlink ref="E5648" r:id="rId17432" display="https://twitter.com/Viro_31/status/723798519883173888" xr:uid="{DBEDD18B-8505-42DF-8841-5416831D6DF5}"/>
    <hyperlink ref="O5648" r:id="rId17433" display="https://pbs.twimg.com/profile_images/681915425861582848/h10p2sHy_normal.jpg" xr:uid="{F52A5A79-FD41-491F-893A-0693B7228958}"/>
    <hyperlink ref="B5649" r:id="rId17434" display="https://twitter.com/Law_Bolthausen" xr:uid="{53550B3C-8CE3-4505-B004-17C1B5743CA0}"/>
    <hyperlink ref="E5649" r:id="rId17435" display="https://twitter.com/Law_Bolthausen/status/723798750309814272" xr:uid="{964D0CC1-0584-45F5-9AE9-6B6EC6C21154}"/>
    <hyperlink ref="O5649" r:id="rId17436" display="https://pbs.twimg.com/profile_images/709389204506198017/vgmyEiD5_normal.jpg" xr:uid="{77C7167F-D398-41EF-93E6-F20DBAE340B0}"/>
    <hyperlink ref="B5650" r:id="rId17437" display="https://twitter.com/thomrosenhagen" xr:uid="{3D135E0F-5B09-4A1B-974D-74982D2F9D0B}"/>
    <hyperlink ref="E5650" r:id="rId17438" display="https://twitter.com/thomrosenhagen/status/723798875866279937" xr:uid="{E7C04FFE-6A9D-43EA-B96D-532271D42019}"/>
    <hyperlink ref="O5650" r:id="rId17439" display="https://pbs.twimg.com/profile_images/378800000151023854/ce37258684d7baa3221cfae274336c26_normal.jpeg" xr:uid="{5FC22BBB-3100-4C34-9E98-C12915F2BF1B}"/>
    <hyperlink ref="B5651" r:id="rId17440" display="https://twitter.com/pleasecallmemac" xr:uid="{812093CC-F8FE-44A6-BBA0-C1D7C506DEF7}"/>
    <hyperlink ref="E5651" r:id="rId17441" display="https://twitter.com/pleasecallmemac/status/723798912109305856" xr:uid="{56B0566D-A26A-42F1-B52D-F14775E35C70}"/>
    <hyperlink ref="O5651" r:id="rId17442" display="https://pbs.twimg.com/profile_images/621428656/IMG_0670_normal.jpg" xr:uid="{252A7B31-16AB-45A5-9100-013B94680CA8}"/>
    <hyperlink ref="B5652" r:id="rId17443" display="https://twitter.com/schoensteiner" xr:uid="{F47E53B2-3A4E-4352-B704-B9E59FBF154E}"/>
    <hyperlink ref="E5652" r:id="rId17444" display="https://twitter.com/schoensteiner/status/723799319200063488" xr:uid="{F8F83B91-88F6-4723-A200-E11E8086BF08}"/>
    <hyperlink ref="O5652" r:id="rId17445" display="https://pbs.twimg.com/profile_images/705215112735498240/4Aeq0YtR_normal.jpg" xr:uid="{5D1BE7A0-1B90-4F5C-9F98-F09D8ECAFBA5}"/>
    <hyperlink ref="B5653" r:id="rId17446" display="https://twitter.com/pets4cats" xr:uid="{6407DE64-9DFA-47D1-AB03-9FF14F6366C1}"/>
    <hyperlink ref="E5653" r:id="rId17447" display="https://twitter.com/pets4cats/status/723799517359910912" xr:uid="{02926ADE-99E2-4D41-B1C7-F5014B4E4766}"/>
    <hyperlink ref="O5653" r:id="rId17448" display="https://pbs.twimg.com/profile_images/721053973499801602/wTgVJ6EE_normal.jpg" xr:uid="{810F54C0-BB50-4527-86A9-1B58111AD7D7}"/>
    <hyperlink ref="B5654" r:id="rId17449" display="https://twitter.com/Brainvibes" xr:uid="{184947EF-D202-4D0D-9F1A-D751DFA3D00D}"/>
    <hyperlink ref="E5654" r:id="rId17450" display="https://twitter.com/Brainvibes/status/723799554936717312" xr:uid="{40FFFD57-491E-4777-94EB-831794593BB4}"/>
    <hyperlink ref="O5654" r:id="rId17451" display="https://pbs.twimg.com/profile_images/569834399064424448/pusBZV00_normal.jpeg" xr:uid="{A4500B40-7CE4-40C3-B11C-4AA1B9763E13}"/>
    <hyperlink ref="B5655" r:id="rId17452" display="https://twitter.com/ErnstvAll" xr:uid="{622C3AEE-006B-4B08-8407-4BA8E4B09CDF}"/>
    <hyperlink ref="E5655" r:id="rId17453" display="https://twitter.com/ErnstvAll/status/723799690639187969" xr:uid="{BBCACC54-19AA-4BC3-901E-27736250288E}"/>
    <hyperlink ref="O5655" r:id="rId17454" display="https://pbs.twimg.com/profile_images/722924621301956608/WYrNe6po_normal.jpg" xr:uid="{5D34A449-0C1F-47B6-9FBD-80036BA12EC3}"/>
    <hyperlink ref="B5656" r:id="rId17455" display="https://twitter.com/HurstView1" xr:uid="{B2D329A9-25FC-41BD-8D2F-283C505A7721}"/>
    <hyperlink ref="E5656" r:id="rId17456" display="https://twitter.com/HurstView1/status/723799733077192704" xr:uid="{07308AA6-78FF-49CE-B748-3D817B1B489F}"/>
    <hyperlink ref="O5656" r:id="rId17457" display="https://pbs.twimg.com/profile_images/519422947010678784/mnCSODh0_normal.jpeg" xr:uid="{37493A87-69B3-4588-9C67-C14DBCBE965D}"/>
    <hyperlink ref="B5657" r:id="rId17458" display="https://twitter.com/Donnerbeutel" xr:uid="{751FB2F9-27A6-47FE-9B27-7DD4985D444C}"/>
    <hyperlink ref="E5657" r:id="rId17459" display="https://twitter.com/Donnerbeutel/status/723799912413061120" xr:uid="{E7EBA239-2BA0-4015-90EF-5E886C393991}"/>
    <hyperlink ref="O5657" r:id="rId17460" display="https://pbs.twimg.com/profile_images/678666181683867652/BQqbEXCY_normal.jpg" xr:uid="{7A7884A3-7EFD-45F8-9CA1-036D69B48142}"/>
    <hyperlink ref="B5658" r:id="rId17461" display="https://twitter.com/GO_ShengExhaust" xr:uid="{0DA9C81E-C025-4C7B-9BF8-38447EC20502}"/>
    <hyperlink ref="E5658" r:id="rId17462" display="https://twitter.com/GO_ShengExhaust/status/723799965118558209" xr:uid="{E96F9192-4DF7-475A-AD77-4B1A3D4E6337}"/>
    <hyperlink ref="O5658" r:id="rId17463" display="https://pbs.twimg.com/profile_images/639281846556069892/c78Gg9SX_normal.jpg" xr:uid="{B383C292-8440-4793-B872-45F3932D3805}"/>
    <hyperlink ref="B5659" r:id="rId17464" display="https://twitter.com/_AKHH_" xr:uid="{E58E9FC3-DDF8-43F8-9CAE-698EE3E23355}"/>
    <hyperlink ref="E5659" r:id="rId17465" display="https://twitter.com/_AKHH_/status/723800090213781504" xr:uid="{C71F81E0-A10B-4E48-A7F9-5BFD949A732F}"/>
    <hyperlink ref="O5659" r:id="rId17466" display="https://pbs.twimg.com/profile_images/720264922844786688/5Vt8GBnt_normal.jpg" xr:uid="{5D640F65-9B7C-43E3-95A8-F1B392346798}"/>
    <hyperlink ref="B5660" r:id="rId17467" display="https://twitter.com/Elisa1Beth2" xr:uid="{813DE8A8-8BF7-4B5D-B554-9301C16D8FFC}"/>
    <hyperlink ref="E5660" r:id="rId17468" display="https://twitter.com/Elisa1Beth2/status/723800262129926144" xr:uid="{720357D6-457E-453B-B7D4-209B7C30D4DE}"/>
    <hyperlink ref="O5660" r:id="rId17469" display="https://pbs.twimg.com/profile_images/612158537448472576/bQPPZ83Y_normal.jpg" xr:uid="{0702025F-AE31-4CB2-8417-BC3A7A7EDD5D}"/>
    <hyperlink ref="B5661" r:id="rId17470" display="https://twitter.com/kasperschrijft" xr:uid="{C519F610-C907-458D-B794-C0E9AB42B5C0}"/>
    <hyperlink ref="E5661" r:id="rId17471" display="https://twitter.com/kasperschrijft/status/723800864515862528" xr:uid="{05004EAF-928D-41B0-9086-B1C9E2FD16A2}"/>
    <hyperlink ref="O5661" r:id="rId17472" display="https://pbs.twimg.com/profile_images/2931620919/b471227e8e789068badfd2d08541c067_normal.jpeg" xr:uid="{503CAE0F-76AF-4C08-87ED-D9532BA0F9A5}"/>
    <hyperlink ref="B5662" r:id="rId17473" display="https://twitter.com/AlHaddadComm" xr:uid="{EFEEA0E2-D3E1-4890-A331-CAA693EADABB}"/>
    <hyperlink ref="E5662" r:id="rId17474" display="https://twitter.com/AlHaddadComm/status/723800937651920896" xr:uid="{F29D4AD5-A656-437F-A18B-604D4BCE5155}"/>
    <hyperlink ref="O5662" r:id="rId17475" display="https://pbs.twimg.com/profile_images/3310553933/4ec743e0f8325c4a3872c3ff3d2dea97_normal.jpeg" xr:uid="{AC274009-9CD1-4DEC-A727-574C7FC3C13E}"/>
    <hyperlink ref="B5663" r:id="rId17476" display="https://twitter.com/Wilhelm_Pieck" xr:uid="{9FF553BF-9EFD-4C8E-8CC8-5E3211C3A1D8}"/>
    <hyperlink ref="E5663" r:id="rId17477" display="https://twitter.com/Wilhelm_Pieck/status/723801095357763584" xr:uid="{B053A502-0C4B-4A61-A7B9-C0F91E46DD8F}"/>
    <hyperlink ref="O5663" r:id="rId17478" display="https://pbs.twimg.com/profile_images/559094010434691072/SPEAOqw8_normal.jpeg" xr:uid="{032CA5E4-4026-4D18-8961-9510776D2BA3}"/>
    <hyperlink ref="B5664" r:id="rId17479" display="https://twitter.com/PriskaHinz" xr:uid="{BCF0EE28-269B-4C5B-B79B-B6558FAFF850}"/>
    <hyperlink ref="E5664" r:id="rId17480" display="https://twitter.com/PriskaHinz/status/723801206905249792" xr:uid="{E4A6A9D7-9136-4EBF-B06B-C6A674B15A58}"/>
    <hyperlink ref="O5664" r:id="rId17481" display="https://pbs.twimg.com/profile_images/378800000159615863/10adc536d0a5bb77e166eb36bea24764_normal.jpeg" xr:uid="{2C4BD53D-968E-4608-AEC2-374AE5FBD904}"/>
    <hyperlink ref="B5665" r:id="rId17482" display="https://twitter.com/KleinerAktivist" xr:uid="{03EA529B-F086-480D-8BC7-F4876474B07D}"/>
    <hyperlink ref="E5665" r:id="rId17483" display="https://twitter.com/KleinerAktivist/status/723801299632971776" xr:uid="{7A5E3F43-6E79-4037-A322-46511D5A0EA6}"/>
    <hyperlink ref="O5665" r:id="rId17484" display="https://pbs.twimg.com/profile_images/482904233994235906/P3cnCAb3_normal.jpeg" xr:uid="{7F68BA92-49C6-4A37-B83B-35E07C3AB27D}"/>
    <hyperlink ref="B5666" r:id="rId17485" display="https://twitter.com/DavidB46" xr:uid="{1FA7FF0B-AC88-41E4-A0C2-7EB68AA6AD42}"/>
    <hyperlink ref="E5666" r:id="rId17486" display="https://twitter.com/DavidB46/status/723802339476406272" xr:uid="{DBCAA4A9-3E73-4C51-9618-C8BBF3CB1B99}"/>
    <hyperlink ref="O5666" r:id="rId17487" display="https://pbs.twimg.com/profile_images/701016168740610048/_rqIqQSf_normal.jpg" xr:uid="{E9B7228F-81D9-4DBE-A1EF-39D2B89EC2B5}"/>
    <hyperlink ref="B5667" r:id="rId17488" display="https://twitter.com/slsmicha" xr:uid="{64EA6C61-F296-48DD-836B-0CFC3E0D1482}"/>
    <hyperlink ref="E5667" r:id="rId17489" display="https://twitter.com/slsmicha/status/723802397986926592" xr:uid="{42E16A5F-5F31-4034-90D6-3A6B5256ED0B}"/>
    <hyperlink ref="O5667" r:id="rId17490" display="https://pbs.twimg.com/profile_images/481714929464918017/DHSrKWur_normal.jpeg" xr:uid="{D5D128EC-EE93-4F76-8FF2-F3F4FCF3A365}"/>
    <hyperlink ref="B5668" r:id="rId17491" display="https://twitter.com/hellosunshine73" xr:uid="{E932CE2C-6A92-412F-B2B6-A62D81F00286}"/>
    <hyperlink ref="E5668" r:id="rId17492" display="https://twitter.com/hellosunshine73/status/723802718800891904" xr:uid="{8D52E116-2219-4B22-9987-206BF2AAF478}"/>
    <hyperlink ref="O5668" r:id="rId17493" display="https://pbs.twimg.com/profile_images/634351297500721152/M5SEJZND_normal.jpg" xr:uid="{E6822185-24FA-4604-A97D-532BBB8ADA76}"/>
    <hyperlink ref="B5669" r:id="rId17494" display="https://twitter.com/m_mediouni" xr:uid="{03D5C759-CA4F-4794-8DA8-A7D72432AEA7}"/>
    <hyperlink ref="E5669" r:id="rId17495" display="https://twitter.com/m_mediouni/status/723802822802833408" xr:uid="{0C54E33A-745B-477C-9BEF-75F6425D1C3F}"/>
    <hyperlink ref="O5669" r:id="rId17496" display="https://pbs.twimg.com/profile_images/589811211778293760/J2sTcb44_normal.jpg" xr:uid="{5EB28B2D-A0D2-4007-9742-940709B17B6F}"/>
    <hyperlink ref="B5670" r:id="rId17497" display="https://twitter.com/MaxCainam" xr:uid="{EF09C4DB-3515-41DF-82A4-56C4CC73CC09}"/>
    <hyperlink ref="E5670" r:id="rId17498" display="https://twitter.com/MaxCainam/status/723803226412335104" xr:uid="{D6D82BD2-8233-41DC-A1AA-ECEE86AFAEFC}"/>
    <hyperlink ref="O5670" r:id="rId17499" display="https://pbs.twimg.com/profile_images/723551574753181696/dgFYSYhf_normal.jpg" xr:uid="{0BCD8366-6820-46D2-851A-FB04D8C8A5DC}"/>
    <hyperlink ref="B5671" r:id="rId17500" display="https://twitter.com/ChrisJBCarroll" xr:uid="{9348B903-95B2-4B49-B919-1BB2AFFCDC5F}"/>
    <hyperlink ref="E5671" r:id="rId17501" display="https://twitter.com/ChrisJBCarroll/status/723803505505513472" xr:uid="{5A201BA0-8CF9-476A-B87B-BFD60E95E59C}"/>
    <hyperlink ref="O5671" r:id="rId17502" display="https://pbs.twimg.com/profile_images/378800000461582138/dea3b11d48a7b41fa52ff65a08ce5a0c_normal.jpeg" xr:uid="{09E9A4AD-69A4-4871-95B9-E43FA66CDF6B}"/>
    <hyperlink ref="B5672" r:id="rId17503" display="https://twitter.com/BTMotorsport" xr:uid="{B38069CF-895E-420F-9415-2BB4C1E91513}"/>
    <hyperlink ref="E5672" r:id="rId17504" display="https://twitter.com/BTMotorsport/status/723803539194130432" xr:uid="{9B5D0E95-C65A-4278-B661-0A975BB58881}"/>
    <hyperlink ref="O5672" r:id="rId17505" display="https://pbs.twimg.com/profile_images/532260522939654144/fOFdZU8S_normal.jpeg" xr:uid="{68D72D61-059B-4A04-9FA5-89DB04AAB2BA}"/>
    <hyperlink ref="B5673" r:id="rId17506" display="https://twitter.com/digitalAngst" xr:uid="{EC421BAC-0F28-4A51-80BB-5D1E55CA826F}"/>
    <hyperlink ref="E5673" r:id="rId17507" display="https://twitter.com/digitalAngst/status/723803600091254784" xr:uid="{A477A599-15D7-460D-84C6-B7A818CF5333}"/>
    <hyperlink ref="O5673" r:id="rId17508" display="https://pbs.twimg.com/profile_images/1575203828/Kaminekobitingcat_normal.PNG" xr:uid="{794F0B60-8A3A-4521-B721-F61C8C0D3DA2}"/>
    <hyperlink ref="B5674" r:id="rId17509" display="https://twitter.com/CastleCoastCamp" xr:uid="{1B32C1AA-D8A8-4572-A9F8-4A9CE4F0C282}"/>
    <hyperlink ref="E5674" r:id="rId17510" display="https://twitter.com/CastleCoastCamp/status/723803602997940226" xr:uid="{D5B5DA68-B201-4E84-82C0-A484C36C5DAD}"/>
    <hyperlink ref="O5674" r:id="rId17511" display="https://pbs.twimg.com/profile_images/610401931501137920/c0qYTPr__normal.jpg" xr:uid="{77156E2C-D03E-459F-B27D-29D41C9F644B}"/>
    <hyperlink ref="B5675" r:id="rId17512" display="https://twitter.com/StephenJohansen" xr:uid="{9BB7630C-E161-4707-8BCC-24B85EDD0E88}"/>
    <hyperlink ref="E5675" r:id="rId17513" display="https://twitter.com/StephenJohansen/status/723803653610594304" xr:uid="{69804EAE-F81F-48E4-AA6D-9BD56160CF55}"/>
    <hyperlink ref="O5675" r:id="rId17514" display="https://pbs.twimg.com/profile_images/550717264371396609/Q9MjfbBV_normal.jpeg" xr:uid="{938D7B40-210F-4F40-B1A0-7608160264C8}"/>
    <hyperlink ref="B5676" r:id="rId17515" display="https://twitter.com/VWCamperSales" xr:uid="{721672B5-063F-47F3-A2AF-28ED3CA4A3DA}"/>
    <hyperlink ref="E5676" r:id="rId17516" display="https://twitter.com/VWCamperSales/status/723803881499566080" xr:uid="{69535AC3-06F6-455C-9FE7-AC55578198A5}"/>
    <hyperlink ref="F5676" r:id="rId17517" xr:uid="{393706E8-99D8-4374-9BBC-79AD38A7D9E5}"/>
    <hyperlink ref="O5676" r:id="rId17518" display="https://pbs.twimg.com/profile_images/627949001179037696/skEBkS05_normal.jpg" xr:uid="{6DE4A2DB-58FF-484C-9D5D-97B29B629177}"/>
    <hyperlink ref="B5677" r:id="rId17519" display="https://twitter.com/vwdepo" xr:uid="{7CEECCF7-45A9-4B91-906B-5D08CC68EFDB}"/>
    <hyperlink ref="E5677" r:id="rId17520" display="https://twitter.com/vwdepo/status/723804526852083712" xr:uid="{2762D85D-749C-42A3-B2B8-CF59275BCFDF}"/>
    <hyperlink ref="O5677" r:id="rId17521" display="https://pbs.twimg.com/profile_images/3378184537/c20ae9a7a410821b4f189c34a63380f7_normal.png" xr:uid="{6B7E4350-59CF-46E8-BFF5-1A6AD4CA5129}"/>
    <hyperlink ref="B5678" r:id="rId17522" display="https://twitter.com/houdoukyoku" xr:uid="{62958F81-E50E-4926-A5CF-F4BC37C591CB}"/>
    <hyperlink ref="E5678" r:id="rId17523" display="https://twitter.com/houdoukyoku/status/723804606451486720" xr:uid="{231130F3-122A-4EBA-8204-EA2074E2BD20}"/>
    <hyperlink ref="O5678" r:id="rId17524" display="https://pbs.twimg.com/profile_images/580938982151745536/Ojfkm1Nr_normal.jpg" xr:uid="{F6458EA8-8C0E-41A3-A43A-2E6F4792693B}"/>
    <hyperlink ref="B5679" r:id="rId17525" display="https://twitter.com/Tahsinemres" xr:uid="{3ADA140E-4070-4EEE-B951-7FB9B0DD6A4D}"/>
    <hyperlink ref="E5679" r:id="rId17526" display="https://twitter.com/Tahsinemres/status/723804779122593792" xr:uid="{90CDB445-BA59-4E57-9149-108AECF2AB79}"/>
    <hyperlink ref="O5679" r:id="rId17527" display="https://pbs.twimg.com/profile_images/712639850218962946/ix5EU-Ne_normal.jpg" xr:uid="{8F3F5564-5FBB-445B-B46C-F95716F9E1D9}"/>
    <hyperlink ref="B5680" r:id="rId17528" display="https://twitter.com/Im_BrownDash" xr:uid="{768AD42C-9FA6-4E55-A2AA-5FFCB4C52E42}"/>
    <hyperlink ref="E5680" r:id="rId17529" display="https://twitter.com/Im_BrownDash/status/723805103401119744" xr:uid="{20CCA5A0-F7D0-487E-BA2E-EAD4C584BBF9}"/>
    <hyperlink ref="O5680" r:id="rId17530" display="https://pbs.twimg.com/profile_images/723793878185287680/DrYEFexG_normal.jpg" xr:uid="{40A4D41D-A603-406B-A0DC-2B8F8C1C5FC3}"/>
    <hyperlink ref="B5681" r:id="rId17531" display="https://twitter.com/crossasinangry" xr:uid="{4412712E-674E-415A-881D-267F52B296F0}"/>
    <hyperlink ref="E5681" r:id="rId17532" display="https://twitter.com/crossasinangry/status/723805343076220929" xr:uid="{2BD8F3A9-54D0-42BA-961D-D1CA6CBCDC46}"/>
    <hyperlink ref="O5681" r:id="rId17533" display="https://pbs.twimg.com/profile_images/720628102976663552/s48kDHvJ_normal.jpg" xr:uid="{6E585E8E-0E4D-4150-8441-13613089A41C}"/>
    <hyperlink ref="B5682" r:id="rId17534" display="https://twitter.com/Eliott_Law" xr:uid="{68D4574F-F786-4939-B6DA-A12A6E64DCAC}"/>
    <hyperlink ref="E5682" r:id="rId17535" display="https://twitter.com/Eliott_Law/status/723805960809119744" xr:uid="{2A9F0F6B-BD80-46AE-9BAD-EEE8602F59CB}"/>
    <hyperlink ref="O5682" r:id="rId17536" display="https://pbs.twimg.com/profile_images/689530457378181120/hebb5eT3_normal.jpg" xr:uid="{62B4939D-5B1E-4142-ABA2-CFC598C2C1D8}"/>
    <hyperlink ref="B5683" r:id="rId17537" display="https://twitter.com/hubberme" xr:uid="{CC20304B-DFA6-41A6-B123-3495B4059982}"/>
    <hyperlink ref="C5683" r:id="rId17538" xr:uid="{70890471-9BB4-478B-9D32-A28505BF3D4A}"/>
    <hyperlink ref="E5683" r:id="rId17539" display="https://twitter.com/hubberme/status/723805986201436160" xr:uid="{D6E55521-F411-4ED8-A11E-A6D784145710}"/>
    <hyperlink ref="O5683" r:id="rId17540" display="https://pbs.twimg.com/profile_images/658982987573407744/n_n0LSWB_normal.png" xr:uid="{DAE02378-BD21-458B-A078-659B9624D5E3}"/>
    <hyperlink ref="B5684" r:id="rId17541" display="https://twitter.com/UKPMR" xr:uid="{A8CE3487-3A84-4AD9-B5FC-E93DF77B5D94}"/>
    <hyperlink ref="E5684" r:id="rId17542" display="https://twitter.com/UKPMR/status/723805991469457409" xr:uid="{FCBAC8EA-ADB8-44E3-B6E4-06AC015B90BF}"/>
    <hyperlink ref="O5684" r:id="rId17543" display="https://pbs.twimg.com/profile_images/706187927102103553/JgY5rgCP_normal.jpg" xr:uid="{9802D2C6-9B95-4D7E-A4AB-9F4515507112}"/>
    <hyperlink ref="B5685" r:id="rId17544" display="https://twitter.com/GDBF_S204" xr:uid="{99CC25D2-612A-43F9-B0CE-CA79A471BD96}"/>
    <hyperlink ref="E5685" r:id="rId17545" display="https://twitter.com/GDBF_S204/status/723806072159375360" xr:uid="{EF721CDC-ECF7-4805-AFC3-97E6718907E4}"/>
    <hyperlink ref="O5685" r:id="rId17546" display="https://pbs.twimg.com/profile_images/563925788215345152/u7izI05t_normal.jpeg" xr:uid="{00FD21A6-5247-48EE-98D3-1C6AE242563A}"/>
    <hyperlink ref="B5686" r:id="rId17547" display="https://twitter.com/VeeDubMk1_" xr:uid="{E61E6F4F-94BA-4B69-B189-E5602D59179B}"/>
    <hyperlink ref="E5686" r:id="rId17548" display="https://twitter.com/VeeDubMk1_/status/723806075896619008" xr:uid="{D94F3F63-D114-40CA-8631-E23E6C6C93E3}"/>
    <hyperlink ref="O5686" r:id="rId17549" display="https://pbs.twimg.com/profile_images/672878354127839232/M7OYc-zx_normal.jpg" xr:uid="{67B951C5-85F0-4256-A138-A3A1BC1F159D}"/>
    <hyperlink ref="B5687" r:id="rId17550" display="https://twitter.com/Eliott_Law" xr:uid="{5B537EF4-076D-4756-819A-C63A2F7DC0C7}"/>
    <hyperlink ref="E5687" r:id="rId17551" display="https://twitter.com/Eliott_Law/status/723806142015614976" xr:uid="{67539D23-241D-432F-AC65-9E571BD2503B}"/>
    <hyperlink ref="O5687" r:id="rId17552" display="https://pbs.twimg.com/profile_images/689530457378181120/hebb5eT3_normal.jpg" xr:uid="{9E5C809D-7919-4BE8-904F-DDB0988B6333}"/>
    <hyperlink ref="B5688" r:id="rId17553" display="https://twitter.com/ProjectCarsUK" xr:uid="{41B67240-13E2-4ECB-B818-C865D72A4A62}"/>
    <hyperlink ref="E5688" r:id="rId17554" display="https://twitter.com/ProjectCarsUK/status/723806243509383168" xr:uid="{2944CCE5-4A51-469E-B931-4357A4878077}"/>
    <hyperlink ref="O5688" r:id="rId17555" display="https://pbs.twimg.com/profile_images/706833390725681152/IaXMLicB_normal.jpg" xr:uid="{0A4C317B-5DFC-46F1-B35C-26C8C8728AFD}"/>
    <hyperlink ref="B5689" r:id="rId17556" display="https://twitter.com/thesecretcaddie" xr:uid="{61A00546-6D7D-4A59-AE70-9A911689BA1A}"/>
    <hyperlink ref="E5689" r:id="rId17557" display="https://twitter.com/thesecretcaddie/status/723806386719711232" xr:uid="{ED1DE1DC-175B-40AF-98CA-E072947099ED}"/>
    <hyperlink ref="O5689" r:id="rId17558" display="https://pbs.twimg.com/profile_images/657274911854055424/lvaVj9jL_normal.jpg" xr:uid="{6401CB04-AFB4-4C3F-8976-79C8AD570B96}"/>
    <hyperlink ref="B5690" r:id="rId17559" display="https://twitter.com/Deejaywilliams" xr:uid="{D018BC42-888C-41DE-B973-413DFBA6F1B4}"/>
    <hyperlink ref="E5690" r:id="rId17560" display="https://twitter.com/Deejaywilliams/status/723806412195934208" xr:uid="{1E0AA0FF-85F4-4C0D-A2C1-A8074430EE0A}"/>
    <hyperlink ref="O5690" r:id="rId17561" display="https://pbs.twimg.com/profile_images/699671285903847425/5M5nDF6k_normal.jpg" xr:uid="{CC42BD86-1867-4D7A-AB73-5DECF85B20FB}"/>
    <hyperlink ref="B5691" r:id="rId17562" display="https://twitter.com/Eliott_Law" xr:uid="{80A758D0-D224-433A-82DE-F13554B8A0F4}"/>
    <hyperlink ref="E5691" r:id="rId17563" display="https://twitter.com/Eliott_Law/status/723806445339312128" xr:uid="{22EB6978-5C42-433F-98DF-29A0972857CC}"/>
    <hyperlink ref="O5691" r:id="rId17564" display="https://pbs.twimg.com/profile_images/689530457378181120/hebb5eT3_normal.jpg" xr:uid="{A6C39816-8845-4930-9797-3C667B84C968}"/>
    <hyperlink ref="B5692" r:id="rId17565" display="https://twitter.com/neythomas" xr:uid="{D6D1B81D-8000-4095-9A77-3E163E4B8E77}"/>
    <hyperlink ref="E5692" r:id="rId17566" display="https://twitter.com/neythomas/status/723806666559467521" xr:uid="{6E8205BC-7596-42A3-8226-5D4599D1B98E}"/>
    <hyperlink ref="O5692" r:id="rId17567" display="https://pbs.twimg.com/profile_images/667434081215455232/O14VEhOK_normal.jpg" xr:uid="{1B944006-FEF7-4CF8-B9B4-1E9AD9898BCA}"/>
    <hyperlink ref="B5693" r:id="rId17568" display="https://twitter.com/OlafHeinrich73" xr:uid="{68712A71-CE75-49AB-8765-327C11F286FE}"/>
    <hyperlink ref="E5693" r:id="rId17569" display="https://twitter.com/OlafHeinrich73/status/723807018809724928" xr:uid="{88BC91D1-854F-40AC-BDA7-4B7861F644DF}"/>
    <hyperlink ref="O5693" r:id="rId17570" display="https://pbs.twimg.com/profile_images/689448231919431680/41fa1Iis_normal.png" xr:uid="{EDABB90E-CE6E-49E6-9322-D6509F1C2A01}"/>
    <hyperlink ref="B5694" r:id="rId17571" display="https://twitter.com/VWCamperSales" xr:uid="{95A5695C-0470-4A6A-A22F-D69704A5A49E}"/>
    <hyperlink ref="E5694" r:id="rId17572" display="https://twitter.com/VWCamperSales/status/723807333277523968" xr:uid="{8FECB947-C29C-4E72-8106-5050735A098B}"/>
    <hyperlink ref="F5694" r:id="rId17573" xr:uid="{E3222E91-945F-449E-89AB-9206F03A6C9F}"/>
    <hyperlink ref="O5694" r:id="rId17574" display="https://pbs.twimg.com/profile_images/627949001179037696/skEBkS05_normal.jpg" xr:uid="{AB38E211-FB0D-429A-8F70-93E0ACBAE2D8}"/>
    <hyperlink ref="B5695" r:id="rId17575" display="https://twitter.com/LRDValeting" xr:uid="{3D5F3BC6-9D2A-4E96-913D-1899CC11C0DC}"/>
    <hyperlink ref="E5695" r:id="rId17576" display="https://twitter.com/LRDValeting/status/723808253629620225" xr:uid="{D89198F6-8176-4CB6-8AFC-B0602E8B0E4D}"/>
    <hyperlink ref="O5695" r:id="rId17577" display="https://pbs.twimg.com/profile_images/644448469177008129/NawOBHy6_normal.jpg" xr:uid="{C2F7A060-CDAC-49D2-ABB5-B73DB5E22603}"/>
    <hyperlink ref="B5696" r:id="rId17578" display="https://twitter.com/vagmenhq" xr:uid="{C6D5CD0A-A833-4B32-BFDE-D3D655A3713D}"/>
    <hyperlink ref="E5696" r:id="rId17579" display="https://twitter.com/vagmenhq/status/723808265726005248" xr:uid="{24E145A4-821C-4583-9622-CDD916E86FB4}"/>
    <hyperlink ref="O5696" r:id="rId17580" display="https://pbs.twimg.com/profile_images/446781974452371456/rqBZF-KN_normal.jpeg" xr:uid="{8D297F92-C046-4F40-95A2-CC2170008E1E}"/>
    <hyperlink ref="B5697" r:id="rId17581" display="https://twitter.com/cas_2050001283" xr:uid="{DFF7EF59-A982-490B-B9F2-D65B68FFA71A}"/>
    <hyperlink ref="E5697" r:id="rId17582" display="https://twitter.com/cas_2050001283/status/723808335900860416" xr:uid="{18B4AE4E-E0A8-49D1-BF53-023B07124115}"/>
    <hyperlink ref="O5697" r:id="rId17583" display="https://abs.twimg.com/sticky/default_profile_images/default_profile_1_normal.png" xr:uid="{91F8ADC9-B1D8-4244-A07B-792EC0DFE933}"/>
    <hyperlink ref="B5698" r:id="rId17584" display="https://twitter.com/cas_2050001283" xr:uid="{AB20BC84-86D3-4FFB-8817-AF16BD6B465D}"/>
    <hyperlink ref="E5698" r:id="rId17585" display="https://twitter.com/cas_2050001283/status/723808356582985728" xr:uid="{BFC57FE7-640B-4314-94F2-A2647F39AEB2}"/>
    <hyperlink ref="O5698" r:id="rId17586" display="https://abs.twimg.com/sticky/default_profile_images/default_profile_1_normal.png" xr:uid="{76528E72-E843-409F-86D7-8A7788017617}"/>
    <hyperlink ref="B5699" r:id="rId17587" display="https://twitter.com/vagmenhq" xr:uid="{7B417B93-33DB-4F9B-8876-1F1D59FAB632}"/>
    <hyperlink ref="E5699" r:id="rId17588" display="https://twitter.com/vagmenhq/status/723808406516150272" xr:uid="{5B1A826B-4F15-4759-A9C5-302415996895}"/>
    <hyperlink ref="O5699" r:id="rId17589" display="https://pbs.twimg.com/profile_images/446781974452371456/rqBZF-KN_normal.jpeg" xr:uid="{568452FB-78ED-4CB8-929D-B492CBC389CB}"/>
    <hyperlink ref="B5700" r:id="rId17590" display="https://twitter.com/KarlySykes" xr:uid="{948DF0D9-0147-46B3-B91A-B9CBC49DA2E0}"/>
    <hyperlink ref="E5700" r:id="rId17591" display="https://twitter.com/KarlySykes/status/723808423188529152" xr:uid="{56C8791F-7E5F-496F-8F95-C85BB9677999}"/>
    <hyperlink ref="O5700" r:id="rId17592" display="https://pbs.twimg.com/profile_images/718178524369199106/vkYbys3h_normal.jpg" xr:uid="{7F3D5F1D-2521-4B04-BDFE-D2617CEC8EC1}"/>
    <hyperlink ref="B5701" r:id="rId17593" display="https://twitter.com/old_style_car" xr:uid="{83DCBA1D-A6C3-4F8F-B6C7-3C8B18FEBDFF}"/>
    <hyperlink ref="E5701" r:id="rId17594" display="https://twitter.com/old_style_car/status/723808541329494020" xr:uid="{A8F2121E-423E-4F82-8D35-05F7A9CEFCAC}"/>
    <hyperlink ref="O5701" r:id="rId17595" display="https://pbs.twimg.com/profile_images/722314860021854208/21bQNWO6_normal.jpg" xr:uid="{BC795CD0-1D1E-4A3D-9941-0C3B07FAA5AB}"/>
    <hyperlink ref="B5702" r:id="rId17596" display="https://twitter.com/halt_design" xr:uid="{C905CD68-B9C0-46DD-909C-CFAEE371BBCE}"/>
    <hyperlink ref="E5702" r:id="rId17597" display="https://twitter.com/halt_design/status/723808901729148929" xr:uid="{BB985674-FBCF-400C-981A-1DE3E8C8FAE4}"/>
    <hyperlink ref="O5702" r:id="rId17598" display="https://pbs.twimg.com/profile_images/716208660876144645/X7VuzobY_normal.jpg" xr:uid="{0F9CD18E-DF0E-4D40-A83E-CB4AF21296B4}"/>
    <hyperlink ref="B5703" r:id="rId17599" display="https://twitter.com/twiginza" xr:uid="{665A86B5-0FE1-4712-B0DD-26BC2173149B}"/>
    <hyperlink ref="E5703" r:id="rId17600" display="https://twitter.com/twiginza/status/723809148576497664" xr:uid="{EF7A9A58-7C13-4CB2-B24B-3DCA187E5105}"/>
    <hyperlink ref="O5703" r:id="rId17601" display="https://pbs.twimg.com/profile_images/1657339604/1_normal.jpg" xr:uid="{467116E0-7894-4209-94EC-4298B976F729}"/>
    <hyperlink ref="B5704" r:id="rId17602" display="https://twitter.com/bzberlin" xr:uid="{88C8280F-1106-4774-A6B1-CAC9F9AB7BFF}"/>
    <hyperlink ref="E5704" r:id="rId17603" display="https://twitter.com/bzberlin/status/723809417028841472" xr:uid="{5EC7EFC8-4729-4EF6-B1FE-54BF57A61246}"/>
    <hyperlink ref="O5704" r:id="rId17604" display="https://pbs.twimg.com/profile_images/458886642598555648/xyftvlqH_normal.png" xr:uid="{938C8E80-A21E-4C1E-B37C-36DFC4FB20E6}"/>
    <hyperlink ref="B5705" r:id="rId17605" display="https://twitter.com/verticalwise" xr:uid="{8ADE7D56-AA3F-4974-9DB1-6F5B029FF47B}"/>
    <hyperlink ref="E5705" r:id="rId17606" display="https://twitter.com/verticalwise/status/723809745694515200" xr:uid="{7066FC37-5545-413F-A59C-8859B7831498}"/>
    <hyperlink ref="O5705" r:id="rId17607" display="https://pbs.twimg.com/profile_images/615133737794146304/tm_E3lwi_normal.png" xr:uid="{73B70DED-BA38-45F7-BDDC-F1C091EF67C7}"/>
    <hyperlink ref="B5706" r:id="rId17608" display="https://twitter.com/Racing_Aces" xr:uid="{5D6E177F-9979-427B-83FA-2817F8DD3F41}"/>
    <hyperlink ref="E5706" r:id="rId17609" display="https://twitter.com/Racing_Aces/status/723809770071834624" xr:uid="{D491C62E-CEE4-4AD7-833F-E6D6925DA204}"/>
    <hyperlink ref="O5706" r:id="rId17610" display="https://pbs.twimg.com/profile_images/2551906812/65tp83amf7my90jmtv4t_normal.jpeg" xr:uid="{6B521BD7-BB91-48F2-BA5F-E204F3240096}"/>
    <hyperlink ref="B5707" r:id="rId17611" display="https://twitter.com/miiloomultipass" xr:uid="{45F34159-1443-4379-A957-8CA2400FFBFA}"/>
    <hyperlink ref="E5707" r:id="rId17612" display="https://twitter.com/miiloomultipass/status/723809838812172288" xr:uid="{3DA79C11-920B-4FC8-B2BE-194BD8F1BF53}"/>
    <hyperlink ref="O5707" r:id="rId17613" display="https://pbs.twimg.com/profile_images/719028005406842880/7WaXV5hM_normal.jpg" xr:uid="{B78E28E1-08A9-4525-BB21-E17EDA493BD9}"/>
    <hyperlink ref="B5708" r:id="rId17614" display="https://twitter.com/Racing_Aces" xr:uid="{91CB48F5-3A91-4965-A6E0-819C59E90FAE}"/>
    <hyperlink ref="E5708" r:id="rId17615" display="https://twitter.com/Racing_Aces/status/723809847964241920" xr:uid="{EE175D82-0651-46D5-92F8-A597DA9E69AC}"/>
    <hyperlink ref="O5708" r:id="rId17616" display="https://pbs.twimg.com/profile_images/2551906812/65tp83amf7my90jmtv4t_normal.jpeg" xr:uid="{5F438BCA-42FE-4C2B-99A2-94C678DADA5B}"/>
    <hyperlink ref="B5709" r:id="rId17617" display="https://twitter.com/pixeljunkie" xr:uid="{96EFC333-74E1-49F5-8742-892078A52D37}"/>
    <hyperlink ref="E5709" r:id="rId17618" display="https://twitter.com/pixeljunkie/status/723810235429838848" xr:uid="{AF4D8BD6-EE53-4BCA-9334-6732D2590CED}"/>
    <hyperlink ref="O5709" r:id="rId17619" display="https://pbs.twimg.com/profile_images/694639408222437377/OcrQi40G_normal.jpg" xr:uid="{681CDA7B-7182-4C0B-B898-2419BE36699B}"/>
    <hyperlink ref="B5710" r:id="rId17620" display="https://twitter.com/Alex_yusipov" xr:uid="{499E6250-BCE9-4904-831D-E1FA7C50D37F}"/>
    <hyperlink ref="E5710" r:id="rId17621" display="https://twitter.com/Alex_yusipov/status/723810375221829632" xr:uid="{4E734ED7-E264-47F0-B99D-D4B73D351998}"/>
    <hyperlink ref="O5710" r:id="rId17622" display="https://pbs.twimg.com/profile_images/2582895335/n25fyfmmddlz8s3dufg5_normal.jpeg" xr:uid="{3682F663-81A5-44E3-A189-A4C8367E8A10}"/>
    <hyperlink ref="B5711" r:id="rId17623" display="https://twitter.com/KramerFerdinand" xr:uid="{CFD2B2BC-6A45-4935-8551-E894BFC6E22F}"/>
    <hyperlink ref="E5711" r:id="rId17624" display="https://twitter.com/KramerFerdinand/status/723811200727830529" xr:uid="{C8283D05-2F5B-4917-BF2C-676EC4EE123D}"/>
    <hyperlink ref="O5711" r:id="rId17625" display="https://pbs.twimg.com/profile_images/692263572710252545/oFwlaEUn_normal.jpg" xr:uid="{B700BAFA-9D8D-4DDA-BEE8-974A9F595557}"/>
    <hyperlink ref="B5712" r:id="rId17626" display="https://twitter.com/carstech42160" xr:uid="{7FC7AF3C-17CB-473A-8B5E-6C9303A4CD68}"/>
    <hyperlink ref="E5712" r:id="rId17627" display="https://twitter.com/carstech42160/status/723811280193114113" xr:uid="{465872E6-7F9E-4841-BC8E-8714544B6555}"/>
    <hyperlink ref="O5712" r:id="rId17628" display="https://pbs.twimg.com/profile_images/709727688462831616/KG2oHK_4_normal.jpg" xr:uid="{F035D5BC-A97C-43B7-8114-FDFA6B4CB9E0}"/>
    <hyperlink ref="B5713" r:id="rId17629" display="https://twitter.com/NetzwerkggS21" xr:uid="{3FD8DBD4-213F-4F4E-A417-44FBB71C38CB}"/>
    <hyperlink ref="E5713" r:id="rId17630" display="https://twitter.com/NetzwerkggS21/status/723811296186081280" xr:uid="{0631B1F2-1CA9-4FF2-85FC-C1028143E1A6}"/>
    <hyperlink ref="M5713" r:id="rId17631" xr:uid="{EAAAE7A4-6765-419A-8E7B-9EA7A16AB9D3}"/>
    <hyperlink ref="O5713" r:id="rId17632" display="https://pbs.twimg.com/profile_images/378800000528765970/3ab9f2a00010e9cac08d5ca1638926e9_normal.png" xr:uid="{DA8FD765-0778-4E26-B7BB-5BEB1E112114}"/>
    <hyperlink ref="B5714" r:id="rId17633" display="https://twitter.com/tradecar_ie" xr:uid="{EF08F77E-1648-466E-9731-A3AB2333DAD4}"/>
    <hyperlink ref="C5714" r:id="rId17634" xr:uid="{8AC222E2-79E5-40B1-B2AA-7BF8CD9B12C0}"/>
    <hyperlink ref="E5714" r:id="rId17635" display="https://twitter.com/tradecar_ie/status/723811691910299648" xr:uid="{39F95BD6-CEA5-4C06-847A-BF8AC2D9E615}"/>
    <hyperlink ref="O5714" r:id="rId17636" display="https://pbs.twimg.com/profile_images/702501103846494209/PNsFF5XB_normal.jpg" xr:uid="{391B5B07-9347-45D8-9095-4844EAE8A1B8}"/>
    <hyperlink ref="B5715" r:id="rId17637" display="https://twitter.com/PaddleBoardCity" xr:uid="{A5D97D39-8A74-4086-AB48-61D3E968A44A}"/>
    <hyperlink ref="E5715" r:id="rId17638" display="https://twitter.com/PaddleBoardCity/status/723812306715590657" xr:uid="{91EF0AEC-7534-443D-A294-324C120196AC}"/>
    <hyperlink ref="O5715" r:id="rId17639" display="https://pbs.twimg.com/profile_images/662049887941361664/yq7ufuWy_normal.jpg" xr:uid="{5D30D902-AE30-46B1-81BC-768605D2B879}"/>
    <hyperlink ref="B5716" r:id="rId17640" display="https://twitter.com/lutonphoto" xr:uid="{461DF39A-B563-42FB-978F-511CE0EB7287}"/>
    <hyperlink ref="E5716" r:id="rId17641" display="https://twitter.com/lutonphoto/status/723812583673753600" xr:uid="{A60B1F17-C21D-4221-9C07-C5B9DC7EAD5E}"/>
    <hyperlink ref="O5716" r:id="rId17642" display="https://pbs.twimg.com/profile_images/2652648264/cc69306dfe9f17f4e179998703eb96b7_normal.png" xr:uid="{26E1BC86-C51D-415B-BDB0-55519AD5213B}"/>
    <hyperlink ref="B5717" r:id="rId17643" display="https://twitter.com/carstech42160" xr:uid="{06AE05FC-A27D-4DC5-BFF5-08000CE000BB}"/>
    <hyperlink ref="E5717" r:id="rId17644" display="https://twitter.com/carstech42160/status/723812905985036288" xr:uid="{0306F87F-5A87-4225-8C90-2FFFF763963A}"/>
    <hyperlink ref="O5717" r:id="rId17645" display="https://pbs.twimg.com/profile_images/709727688462831616/KG2oHK_4_normal.jpg" xr:uid="{D96537CE-D26C-49F2-9C6D-2A68453FAF42}"/>
    <hyperlink ref="B5718" r:id="rId17646" display="https://twitter.com/IPKlaus" xr:uid="{6627651A-7FCE-4530-8D52-68FE7EEC2171}"/>
    <hyperlink ref="E5718" r:id="rId17647" display="https://twitter.com/IPKlaus/status/723812919163662336" xr:uid="{0AFB1AB1-C6B3-4461-B800-F5F3C21E120B}"/>
    <hyperlink ref="O5718" r:id="rId17648" display="https://pbs.twimg.com/profile_images/1643829292/gilgenbach_negativ_normal.jpg" xr:uid="{FDFEC0C7-42AC-4C03-9DFD-6568593AAD5B}"/>
    <hyperlink ref="B5719" r:id="rId17649" display="https://twitter.com/masa90t0" xr:uid="{C640136B-06A6-49C5-B059-09C44322E11C}"/>
    <hyperlink ref="E5719" r:id="rId17650" display="https://twitter.com/masa90t0/status/723813023563931649" xr:uid="{294A0BEA-BF8E-4ABC-8A8E-DD26BDAFB1CD}"/>
    <hyperlink ref="O5719" r:id="rId17651" display="https://pbs.twimg.com/profile_images/493009266584719360/vu5lY9gi_normal.jpeg" xr:uid="{5BDA29A4-6E17-4A1E-B4CD-2522BE166651}"/>
    <hyperlink ref="B5720" r:id="rId17652" display="https://twitter.com/SantaPodRaceway" xr:uid="{3B92DBF0-5766-47D1-ADCF-51BE3B7ACF62}"/>
    <hyperlink ref="E5720" r:id="rId17653" display="https://twitter.com/SantaPodRaceway/status/723813747882512384" xr:uid="{0134B6F3-6C01-44EB-B6F1-67671BDA0CCC}"/>
    <hyperlink ref="O5720" r:id="rId17654" display="https://pbs.twimg.com/profile_images/378800000801365829/e9f28f8996ff7f098d9b8a1840e76f50_normal.png" xr:uid="{1EF1C464-9B1F-4B88-8213-65F0C0CDA3FA}"/>
    <hyperlink ref="B5721" r:id="rId17655" display="https://twitter.com/hashtagvanlife" xr:uid="{0D7E333F-01EF-4416-81F8-7B556822565F}"/>
    <hyperlink ref="E5721" r:id="rId17656" display="https://twitter.com/hashtagvanlife/status/723813918313975808" xr:uid="{EDA4C6AB-C949-4348-AA01-05176951E60A}"/>
    <hyperlink ref="O5721" r:id="rId17657" display="https://pbs.twimg.com/profile_images/653637535545995264/gHuXQ5Bt_normal.jpg" xr:uid="{FDA8C429-83EC-430F-8A6E-A1C5C99517BA}"/>
    <hyperlink ref="B5722" r:id="rId17658" display="https://twitter.com/dw_business" xr:uid="{95A98C6F-2C47-4AAA-9BD9-CF9EACDE2EB8}"/>
    <hyperlink ref="E5722" r:id="rId17659" display="https://twitter.com/dw_business/status/723814444334108673" xr:uid="{2787F195-1343-4323-B19C-3628026EB0E4}"/>
    <hyperlink ref="O5722" r:id="rId17660" display="https://pbs.twimg.com/profile_images/474178130312044544/-U2TP65D_normal.png" xr:uid="{839A5C42-67B3-4A57-BCB2-47B7260EDAB9}"/>
    <hyperlink ref="B5723" r:id="rId17661" display="https://twitter.com/Autourtiti" xr:uid="{474AB846-D88E-45C6-97DD-2835700F3590}"/>
    <hyperlink ref="E5723" r:id="rId17662" display="https://twitter.com/Autourtiti/status/723814450009124864" xr:uid="{320A9EA5-E928-4B46-A0F8-C8DF1A66FF5A}"/>
    <hyperlink ref="O5723" r:id="rId17663" display="https://pbs.twimg.com/profile_images/378800000756387886/c547a918bcad5d95a42507361c94d2fa_normal.png" xr:uid="{8C762B69-B721-494C-9B18-05B7684E4809}"/>
    <hyperlink ref="B5724" r:id="rId17664" display="https://twitter.com/JustitiaAbusi" xr:uid="{791A50DA-2520-4872-B2E6-1EDA161E5DBA}"/>
    <hyperlink ref="E5724" r:id="rId17665" display="https://twitter.com/JustitiaAbusi/status/723814677025832960" xr:uid="{2ECDBE78-6F85-4445-9BBF-72B526AC2008}"/>
    <hyperlink ref="O5724" r:id="rId17666" display="https://pbs.twimg.com/profile_images/478812007160741888/0bki6zj9_normal.png" xr:uid="{DB5F1D0D-B348-4063-B83B-5D86C1CAA807}"/>
    <hyperlink ref="B5725" r:id="rId17667" display="https://twitter.com/frank_volk" xr:uid="{C0C10058-E9DE-45D7-91E0-46391FA0815D}"/>
    <hyperlink ref="E5725" r:id="rId17668" display="https://twitter.com/frank_volk/status/723815000314404864" xr:uid="{2F5061D0-5A89-4387-AA5C-626712DAACF3}"/>
    <hyperlink ref="O5725" r:id="rId17669" display="https://pbs.twimg.com/profile_images/667782416749240324/YPeXdS-L_normal.jpg" xr:uid="{E2180A1D-8AE3-4180-86A7-285C753B5610}"/>
    <hyperlink ref="B5726" r:id="rId17670" display="https://twitter.com/dwnews" xr:uid="{D0C8E061-7F13-40EE-BD56-E481A31A38B7}"/>
    <hyperlink ref="E5726" r:id="rId17671" display="https://twitter.com/dwnews/status/723815128987230208" xr:uid="{43A70FD9-0799-4F22-B346-9659B765538A}"/>
    <hyperlink ref="O5726" r:id="rId17672" display="https://pbs.twimg.com/profile_images/608213167496417280/QSxgcLn__normal.png" xr:uid="{494C8C18-EFDE-44CF-A8E3-7605EFD5215C}"/>
    <hyperlink ref="B5727" r:id="rId17673" display="https://twitter.com/smithwicks8888" xr:uid="{23377208-34EE-460C-8055-8718471C19DF}"/>
    <hyperlink ref="E5727" r:id="rId17674" display="https://twitter.com/smithwicks8888/status/723815285048918017" xr:uid="{AF00EC6D-81F2-4DB5-843F-BE249CCDA90B}"/>
    <hyperlink ref="O5727" r:id="rId17675" display="https://pbs.twimg.com/profile_images/662727196667019264/7euxutpC_normal.jpg" xr:uid="{F863DB9D-3191-402B-A962-4AC43AB3E29A}"/>
    <hyperlink ref="B5728" r:id="rId17676" display="https://twitter.com/telloglou" xr:uid="{6E5C9CE0-E26E-4BFE-A4AA-9BABB1C613FE}"/>
    <hyperlink ref="E5728" r:id="rId17677" display="https://twitter.com/telloglou/status/723815412740292608" xr:uid="{8A2F61C4-A122-48B1-B5B4-01E44DA7ED1D}"/>
    <hyperlink ref="O5728" r:id="rId17678" display="https://pbs.twimg.com/profile_images/582257754296979457/f-cxGOrD_normal.jpg" xr:uid="{12A9F826-5CEF-4915-AB58-2DEA4BC53E47}"/>
    <hyperlink ref="B5729" r:id="rId17679" display="https://twitter.com/SupermanDan01" xr:uid="{8D45AF44-2986-4570-B2E9-B810E13D7DED}"/>
    <hyperlink ref="E5729" r:id="rId17680" display="https://twitter.com/SupermanDan01/status/723815757319036928" xr:uid="{0B999C07-278D-4911-A6D2-700F627EB999}"/>
    <hyperlink ref="O5729" r:id="rId17681" display="https://pbs.twimg.com/profile_images/508713944819957762/PmgOmWa9_normal.jpeg" xr:uid="{0D752143-A732-4A75-84C5-9D5F21BF3332}"/>
    <hyperlink ref="B5730" r:id="rId17682" display="https://twitter.com/FensomesUK" xr:uid="{33A5FDDF-C776-4167-A490-E7ADD8DFC5DB}"/>
    <hyperlink ref="E5730" r:id="rId17683" display="https://twitter.com/FensomesUK/status/723816259138260992" xr:uid="{07762293-BD7F-40AC-BFE7-F038EAB48D9E}"/>
    <hyperlink ref="O5730" r:id="rId17684" display="https://pbs.twimg.com/profile_images/519135326258733057/ZcvPfZJ__normal.jpeg" xr:uid="{B8CA436A-52E1-450D-B5D6-084F52396894}"/>
    <hyperlink ref="B5731" r:id="rId17685" display="https://twitter.com/PipSterling" xr:uid="{6A38A405-947F-4429-9F9E-5F1C7C6FFBAA}"/>
    <hyperlink ref="E5731" r:id="rId17686" display="https://twitter.com/PipSterling/status/723816352398626816" xr:uid="{FDE11315-2BF2-425C-B04F-18CBB0EDDC60}"/>
    <hyperlink ref="O5731" r:id="rId17687" display="https://pbs.twimg.com/profile_images/656139604026724353/FTB6saBQ_normal.jpg" xr:uid="{A7ABF19E-658D-4AFA-8E32-5CEF86F4FF5F}"/>
    <hyperlink ref="B5732" r:id="rId17688" display="https://twitter.com/moteking25" xr:uid="{230BBAC2-2C5D-456F-B6D2-25B855D4839B}"/>
    <hyperlink ref="E5732" r:id="rId17689" display="https://twitter.com/moteking25/status/723816635044253697" xr:uid="{1D747AE7-CA36-4CF3-B881-25854F52B6EA}"/>
    <hyperlink ref="O5732" r:id="rId17690" display="https://pbs.twimg.com/profile_images/695836169418899456/Z9ohOFD9_normal.jpg" xr:uid="{18C620AE-A8A9-4AC8-BA9B-0B070ED3C351}"/>
    <hyperlink ref="B5733" r:id="rId17691" display="https://twitter.com/mmkassem" xr:uid="{64EA0505-0146-4F05-A0E1-F6D10B185274}"/>
    <hyperlink ref="E5733" r:id="rId17692" display="https://twitter.com/mmkassem/status/723816732561932288" xr:uid="{941DFE23-2D2D-4E9E-8EF5-69B92BE3BAEF}"/>
    <hyperlink ref="O5733" r:id="rId17693" display="https://pbs.twimg.com/profile_images/467207793661853696/diWZiIik_normal.jpeg" xr:uid="{25EA45EE-EC00-4F48-B7CF-E0CA7284D4CD}"/>
    <hyperlink ref="B5734" r:id="rId17694" display="https://twitter.com/gengh60" xr:uid="{7DA53399-F688-44A8-8C06-4000B836E736}"/>
    <hyperlink ref="E5734" r:id="rId17695" display="https://twitter.com/gengh60/status/723816998229172224" xr:uid="{24F55F42-8056-47DF-A4C2-93ABBC9AEC40}"/>
    <hyperlink ref="O5734" r:id="rId17696" display="https://pbs.twimg.com/profile_images/482674748619362305/g-7jPc3m_normal.jpeg" xr:uid="{9AA3AA4B-F782-4D7D-B59B-5CBEA16EE736}"/>
    <hyperlink ref="B5735" r:id="rId17697" display="https://twitter.com/hddoger" xr:uid="{976A92AE-0A70-49D2-B89B-3982C02976E2}"/>
    <hyperlink ref="E5735" r:id="rId17698" display="https://twitter.com/hddoger/status/723817477742956545" xr:uid="{11DC83DD-A1AF-4145-AEA7-705D178B64B7}"/>
    <hyperlink ref="O5735" r:id="rId17699" display="https://pbs.twimg.com/profile_images/3296258792/7852b77f95bc153cf32db2ba07fb879c_normal.jpeg" xr:uid="{FEA093CA-4C9F-464A-B866-6C9EEA1730D3}"/>
    <hyperlink ref="B5736" r:id="rId17700" display="https://twitter.com/StefanDiResta" xr:uid="{4B5DFF60-06B4-4959-BEF0-3C6B4D77A26E}"/>
    <hyperlink ref="E5736" r:id="rId17701" display="https://twitter.com/StefanDiResta/status/723817485036822528" xr:uid="{6CA9C1F2-6E21-49C4-BE87-C13FF5F9FE13}"/>
    <hyperlink ref="O5736" r:id="rId17702" display="https://pbs.twimg.com/profile_images/3518949462/7aeba110699c42ab49154931fc3b3e93_normal.jpeg" xr:uid="{AB7CA95E-37C0-40E7-8AF5-8860292017ED}"/>
    <hyperlink ref="B5737" r:id="rId17703" display="https://twitter.com/TomBergen" xr:uid="{8F5147D3-A7EA-4BB4-B16F-11AE2F9886EA}"/>
    <hyperlink ref="E5737" r:id="rId17704" display="https://twitter.com/TomBergen/status/723817690645827584" xr:uid="{2A0F8422-F39C-464A-B47B-7DCE70D95EDC}"/>
    <hyperlink ref="O5737" r:id="rId17705" display="https://pbs.twimg.com/profile_images/721601549668065280/tkUXV8EY_normal.jpg" xr:uid="{E77B745F-4C7E-4F24-B237-FC8FDA73771C}"/>
    <hyperlink ref="B5738" r:id="rId17706" display="https://twitter.com/ingridHH" xr:uid="{91A4B64A-B4FE-44D5-AA93-9B57F2ECE350}"/>
    <hyperlink ref="E5738" r:id="rId17707" display="https://twitter.com/ingridHH/status/723817786137546752" xr:uid="{B44F8514-253C-40CA-A5D3-EE98B23694A6}"/>
    <hyperlink ref="O5738" r:id="rId17708" display="https://pbs.twimg.com/profile_images/714561320918597634/pCq6pGGN_normal.jpg" xr:uid="{E7D62275-A18F-4018-9AD2-1AA5C61FA8BC}"/>
    <hyperlink ref="B5739" r:id="rId17709" display="https://twitter.com/AdhieStone" xr:uid="{0B075CB8-141B-4447-A53D-012C72179F77}"/>
    <hyperlink ref="E5739" r:id="rId17710" display="https://twitter.com/AdhieStone/status/723818247301283841" xr:uid="{1082FE0A-B14B-4835-A516-08CFD9183D94}"/>
    <hyperlink ref="O5739" r:id="rId17711" display="https://pbs.twimg.com/profile_images/615392221093736448/ih2ahLZ2_normal.jpg" xr:uid="{79BFD0CF-7BD9-4F20-983B-F82371C7C7F0}"/>
    <hyperlink ref="B5740" r:id="rId17712" display="https://twitter.com/Scirocco_Tuning" xr:uid="{A1245D22-35EF-4B9F-9EB7-E17E1E4A6BD7}"/>
    <hyperlink ref="E5740" r:id="rId17713" display="https://twitter.com/Scirocco_Tuning/status/723818864023375872" xr:uid="{135DC284-6F21-4EE4-802D-871062D17114}"/>
    <hyperlink ref="O5740" r:id="rId17714" display="https://pbs.twimg.com/profile_images/1610421423/Image2_normal.jpg" xr:uid="{D2CA0AD5-AE1F-4D48-96C4-D40010D54E0E}"/>
    <hyperlink ref="B5741" r:id="rId17715" display="https://twitter.com/Turanlar_2023" xr:uid="{327F693C-74A9-4342-A5E2-2D7DACA9805E}"/>
    <hyperlink ref="E5741" r:id="rId17716" display="https://twitter.com/Turanlar_2023/status/723818947959726080" xr:uid="{A889C53F-DA6D-4758-891B-F3018CEA00E0}"/>
    <hyperlink ref="O5741" r:id="rId17717" display="https://pbs.twimg.com/profile_images/714918565263118336/WWTsR5W__normal.jpg" xr:uid="{518C273F-6A55-446B-ABCB-03203D1A59EF}"/>
    <hyperlink ref="B5742" r:id="rId17718" display="https://twitter.com/VolkswagenPost" xr:uid="{FEF90C5A-F247-4282-A37E-C4F629293A71}"/>
    <hyperlink ref="E5742" r:id="rId17719" display="https://twitter.com/VolkswagenPost/status/723819063160369152" xr:uid="{1451BF85-8D8F-40E2-90E1-A3EBF0E80DC1}"/>
    <hyperlink ref="O5742" r:id="rId17720" display="https://pbs.twimg.com/profile_images/530071272881803264/a_jcCmPZ_normal.png" xr:uid="{57CE6027-4349-4646-859C-DC67311D8072}"/>
    <hyperlink ref="B5743" r:id="rId17721" display="https://twitter.com/DubLuvTuning" xr:uid="{24183CD4-3A62-44B5-9573-6AC286731F40}"/>
    <hyperlink ref="E5743" r:id="rId17722" display="https://twitter.com/DubLuvTuning/status/723819103069298688" xr:uid="{151C921D-52BA-4E1F-BC40-7BE549BA7069}"/>
    <hyperlink ref="O5743" r:id="rId17723" display="https://pbs.twimg.com/profile_images/378800000572104796/1de43e1cf23efb3f4101c02afad0d3b6_normal.png" xr:uid="{0549436A-3570-439F-AD22-80798E81F8CF}"/>
    <hyperlink ref="B5744" r:id="rId17724" display="https://twitter.com/CarWaffle" xr:uid="{272C29E6-2223-4DF0-93B1-902209726F10}"/>
    <hyperlink ref="E5744" r:id="rId17725" display="https://twitter.com/CarWaffle/status/723819901874515968" xr:uid="{D840D935-B533-497B-ABE0-ABCC6714B9CF}"/>
    <hyperlink ref="O5744" r:id="rId17726" display="https://pbs.twimg.com/profile_images/572420601340366848/9FNFcUKK_normal.jpeg" xr:uid="{FB133E34-81DD-453B-9DF4-296668899D1B}"/>
    <hyperlink ref="B5745" r:id="rId17727" display="https://twitter.com/AnthonyIsCool21" xr:uid="{4169155D-1596-4881-8CA6-FFD6559E9EC6}"/>
    <hyperlink ref="E5745" r:id="rId17728" display="https://twitter.com/AnthonyIsCool21/status/723820583897710594" xr:uid="{18096AE0-A752-4EF7-AEC9-07A29D45F650}"/>
    <hyperlink ref="O5745" r:id="rId17729" display="https://pbs.twimg.com/profile_images/708628572718686208/RDKaoPTR_normal.jpg" xr:uid="{01D29F9F-112A-4B75-9FC6-A6ADB91E92CD}"/>
    <hyperlink ref="B5746" r:id="rId17730" display="https://twitter.com/daretobarebride" xr:uid="{0E8419BE-C8AF-4693-993E-2C15A384A0AF}"/>
    <hyperlink ref="E5746" r:id="rId17731" display="https://twitter.com/daretobarebride/status/723820594437992449" xr:uid="{E442CCD7-36AF-4D95-B4C0-762996A45118}"/>
    <hyperlink ref="O5746" r:id="rId17732" display="https://pbs.twimg.com/profile_images/633523835166433280/JHOCIWIs_normal.jpg" xr:uid="{B1D6EFBB-5529-4D3B-8728-9659EE1F0AF1}"/>
    <hyperlink ref="B5747" r:id="rId17733" display="https://twitter.com/RA762" xr:uid="{B1F5FDFE-007D-4515-BE7C-7A12CAF74E4C}"/>
    <hyperlink ref="E5747" r:id="rId17734" display="https://twitter.com/RA762/status/723820772112752640" xr:uid="{EF4A3BEE-23A2-4439-83B1-4F28B5CD68C5}"/>
    <hyperlink ref="O5747" r:id="rId17735" display="https://pbs.twimg.com/profile_images/573831072540033025/_s73MpGg_normal.jpeg" xr:uid="{B449A1A2-EEE7-4469-B9A7-B1333C6F2F55}"/>
    <hyperlink ref="B5748" r:id="rId17736" display="https://twitter.com/VivaParess" xr:uid="{74C4313E-277B-4B6E-9BBE-31BBEF8C4592}"/>
    <hyperlink ref="E5748" r:id="rId17737" display="https://twitter.com/VivaParess/status/723820805914808321" xr:uid="{DCB15E0F-D807-4277-A8E8-47715D9EA4AD}"/>
    <hyperlink ref="O5748" r:id="rId17738" display="https://pbs.twimg.com/profile_images/526171583657041920/7uIzdVbX_normal.jpeg" xr:uid="{57FDDA0E-4FCF-43BA-AA6D-6307218F14B1}"/>
    <hyperlink ref="B5749" r:id="rId17739" display="https://twitter.com/tradecar_ie" xr:uid="{B22B26EE-A915-4598-9212-CEFAFB57B6E6}"/>
    <hyperlink ref="C5749" r:id="rId17740" xr:uid="{33744326-2E2A-4840-AB6F-BA619CD1A4C8}"/>
    <hyperlink ref="E5749" r:id="rId17741" display="https://twitter.com/tradecar_ie/status/723820932691841024" xr:uid="{D0106C49-5794-4FBD-90AA-C1E8EF10D5A2}"/>
    <hyperlink ref="O5749" r:id="rId17742" display="https://pbs.twimg.com/profile_images/702501103846494209/PNsFF5XB_normal.jpg" xr:uid="{B527704D-06FE-466E-A5D9-E1C61DCDBB98}"/>
    <hyperlink ref="B5750" r:id="rId17743" display="https://twitter.com/Tokyogame" xr:uid="{CB53A294-1762-4FD2-BEB4-9429E0AA22F9}"/>
    <hyperlink ref="E5750" r:id="rId17744" display="https://twitter.com/Tokyogame/status/723820947766054912" xr:uid="{ED304343-716C-47D9-8B2C-394C12657C5E}"/>
    <hyperlink ref="O5750" r:id="rId17745" display="https://pbs.twimg.com/profile_images/608500317831856128/_Iku0GwR_normal.jpg" xr:uid="{E5239A44-EF6E-468F-8BF0-B1E5F3DA1CC7}"/>
    <hyperlink ref="B5751" r:id="rId17746" display="https://twitter.com/tytanic727" xr:uid="{80319111-2E1E-4FC2-A4D9-9CA7FE07F87B}"/>
    <hyperlink ref="E5751" r:id="rId17747" display="https://twitter.com/tytanic727/status/723820954254737409" xr:uid="{B084B4D0-EC9D-4650-BFEF-0FF24A63F04C}"/>
    <hyperlink ref="O5751" r:id="rId17748" display="https://pbs.twimg.com/profile_images/723496520000131072/5vGhOomI_normal.jpg" xr:uid="{BB064548-7C46-4641-8523-CA367067B769}"/>
    <hyperlink ref="B5752" r:id="rId17749" display="https://twitter.com/nobuhusababa" xr:uid="{26EA7FCE-AF5C-495C-956E-7BCB9A7A4092}"/>
    <hyperlink ref="E5752" r:id="rId17750" display="https://twitter.com/nobuhusababa/status/723821050388049920" xr:uid="{693A3D8B-B174-42C9-AA5B-534FC75B2491}"/>
    <hyperlink ref="O5752" r:id="rId17751" display="https://pbs.twimg.com/profile_images/450834272803241984/vlcIO6UH_normal.jpeg" xr:uid="{54B91A89-C97C-46D9-A9E5-7543159C2F33}"/>
    <hyperlink ref="B5753" r:id="rId17752" display="https://twitter.com/Insta_VWT" xr:uid="{21FFF58D-4B96-468E-9F35-66AE8FF1D08C}"/>
    <hyperlink ref="E5753" r:id="rId17753" display="https://twitter.com/Insta_VWT/status/723821070109794304" xr:uid="{69E409EB-D8CD-4C98-B2F1-34FD067F7429}"/>
    <hyperlink ref="O5753" r:id="rId17754" display="https://pbs.twimg.com/profile_images/424893967197433858/iQ86NktX_normal.jpeg" xr:uid="{22ED8943-DC4A-4D91-8D6A-FB14CF5B3AD4}"/>
    <hyperlink ref="B5754" r:id="rId17755" display="https://twitter.com/oldcar_photo" xr:uid="{6228018D-CAA5-4971-8664-0DB4CEBE9D8C}"/>
    <hyperlink ref="E5754" r:id="rId17756" display="https://twitter.com/oldcar_photo/status/723821078141894656" xr:uid="{C15CCF16-BC11-4E78-ABEB-25ADC1707675}"/>
    <hyperlink ref="O5754" r:id="rId17757" display="https://pbs.twimg.com/profile_images/615493650785660928/XHUh6HOk_normal.jpg" xr:uid="{2C338680-B7E1-44EE-A00C-980FF1296290}"/>
    <hyperlink ref="B5755" r:id="rId17758" display="https://twitter.com/VeeDubMk1_" xr:uid="{9FF6FB02-BE58-42B1-94C4-E7AD88D9DA75}"/>
    <hyperlink ref="E5755" r:id="rId17759" display="https://twitter.com/VeeDubMk1_/status/723821112547794944" xr:uid="{09D7D4AA-BB4C-4592-ABE6-DFD3F5177C26}"/>
    <hyperlink ref="O5755" r:id="rId17760" display="https://pbs.twimg.com/profile_images/672878354127839232/M7OYc-zx_normal.jpg" xr:uid="{DAE9243D-BCC4-4EC3-98ED-7BAE1A95AC49}"/>
    <hyperlink ref="B5756" r:id="rId17761" display="https://twitter.com/FuscaWorld" xr:uid="{8A4B72AF-4A00-4D4B-8985-6165122C1F44}"/>
    <hyperlink ref="E5756" r:id="rId17762" display="https://twitter.com/FuscaWorld/status/723821325404504064" xr:uid="{C82EC231-83BE-4E3A-A169-2544C324BA20}"/>
    <hyperlink ref="O5756" r:id="rId17763" display="https://pbs.twimg.com/profile_images/705780107844067328/e7O4UBNb_normal.jpg" xr:uid="{0CD70F23-ACAE-474F-A267-E41962137AD1}"/>
    <hyperlink ref="B5757" r:id="rId17764" display="https://twitter.com/VWCamperSales" xr:uid="{B2197BE5-4B66-411C-A79E-A6CC5D12EAE7}"/>
    <hyperlink ref="E5757" r:id="rId17765" display="https://twitter.com/VWCamperSales/status/723821357520158720" xr:uid="{A13DF130-A609-482E-B44B-D75E5D0AF79E}"/>
    <hyperlink ref="F5757" r:id="rId17766" xr:uid="{A7230530-99B4-40BB-B5DF-E93E5D64A000}"/>
    <hyperlink ref="O5757" r:id="rId17767" display="https://pbs.twimg.com/profile_images/627949001179037696/skEBkS05_normal.jpg" xr:uid="{8363CC3B-F46E-40E8-8236-D0741A9DEF96}"/>
    <hyperlink ref="B5758" r:id="rId17768" display="https://twitter.com/richgoodingcom" xr:uid="{08A95A61-C4C8-4F5C-8E65-07EE224461F9}"/>
    <hyperlink ref="E5758" r:id="rId17769" display="https://twitter.com/richgoodingcom/status/723821804893167620" xr:uid="{348E126F-C54F-43B1-AE02-5ABA3F35652C}"/>
    <hyperlink ref="O5758" r:id="rId17770" display="https://pbs.twimg.com/profile_images/626150798590902273/qUbM1D-g_normal.jpg" xr:uid="{A98FEA29-D603-46E5-B2D5-99BCDE4998C7}"/>
    <hyperlink ref="B5759" r:id="rId17771" display="https://twitter.com/LuxuryLivng" xr:uid="{C332A406-71A2-4EDC-A513-4F4FC45FE74B}"/>
    <hyperlink ref="E5759" r:id="rId17772" display="https://twitter.com/LuxuryLivng/status/723822065929846784" xr:uid="{DA91F5CF-5668-4573-B40D-6565DCDC240D}"/>
    <hyperlink ref="O5759" r:id="rId17773" display="https://pbs.twimg.com/profile_images/591593624594317312/1fcFGRHy_normal.jpg" xr:uid="{818E0BC2-D9F4-48F1-BE5C-DD8D59557F6A}"/>
    <hyperlink ref="B5760" r:id="rId17774" display="https://twitter.com/carlsten_leif" xr:uid="{981BB334-3F30-4926-89C2-3D93E8EC3858}"/>
    <hyperlink ref="E5760" r:id="rId17775" display="https://twitter.com/carlsten_leif/status/723822066328285188" xr:uid="{DB0A38CC-D25C-4B1A-8EED-5C8EC1590FCA}"/>
    <hyperlink ref="O5760" r:id="rId17776" display="https://pbs.twimg.com/profile_images/723649839221891072/b9ZWtdVv_normal.jpg" xr:uid="{81346ABB-D233-4284-BAA4-F19AD5A47F18}"/>
    <hyperlink ref="B5761" r:id="rId17777" display="https://twitter.com/carlsten_leif" xr:uid="{F036BBC8-7AAC-4288-A3DE-C0C78F2EC39C}"/>
    <hyperlink ref="E5761" r:id="rId17778" display="https://twitter.com/carlsten_leif/status/723822190152585216" xr:uid="{D9690223-5633-479D-880A-A54E697A3FB9}"/>
    <hyperlink ref="O5761" r:id="rId17779" display="https://pbs.twimg.com/profile_images/723649839221891072/b9ZWtdVv_normal.jpg" xr:uid="{755373A7-0D1D-49E1-A1FA-B9FC941D2981}"/>
    <hyperlink ref="B5762" r:id="rId17780" display="https://twitter.com/murr_max" xr:uid="{5F32197B-7D9B-4636-A5C4-539B88BAB516}"/>
    <hyperlink ref="E5762" r:id="rId17781" display="https://twitter.com/murr_max/status/723822344448409600" xr:uid="{7833C6CE-1A63-45A8-92A9-B1BF69B4EB6C}"/>
    <hyperlink ref="O5762" r:id="rId17782" display="https://pbs.twimg.com/profile_images/532621719169548289/VzIKh2mL_normal.jpeg" xr:uid="{3D3BF029-23D9-4A1B-B9B7-ABA9A49EDBAB}"/>
    <hyperlink ref="B5763" r:id="rId17783" display="https://twitter.com/jayne_stackp" xr:uid="{F3E9DB17-DFAA-4F2F-BDE5-E113B1747D07}"/>
    <hyperlink ref="E5763" r:id="rId17784" display="https://twitter.com/jayne_stackp/status/723822366602698753" xr:uid="{A268E2CA-8CE6-4477-ABA5-754FBF72B295}"/>
    <hyperlink ref="O5763" r:id="rId17785" display="https://pbs.twimg.com/profile_images/717738032267395072/SEHS-S39_normal.jpg" xr:uid="{97F28B0F-22A9-4A8C-9205-25CDA0A00ACE}"/>
    <hyperlink ref="B5764" r:id="rId17786" display="https://twitter.com/jayne_stackp" xr:uid="{79C0C1DF-3A28-44B6-A122-4E6DFA51D362}"/>
    <hyperlink ref="E5764" r:id="rId17787" display="https://twitter.com/jayne_stackp/status/723822435271888896" xr:uid="{17E71574-D67F-4FBC-8BFB-2CDBE604D98B}"/>
    <hyperlink ref="O5764" r:id="rId17788" display="https://pbs.twimg.com/profile_images/717738032267395072/SEHS-S39_normal.jpg" xr:uid="{F0F0DD7D-A73F-4624-A55B-40CA74D5684C}"/>
    <hyperlink ref="B5765" r:id="rId17789" display="https://twitter.com/hamdanhamdun" xr:uid="{9090E0F0-1DE4-430E-902E-025A2D06EBA2}"/>
    <hyperlink ref="E5765" r:id="rId17790" display="https://twitter.com/hamdanhamdun/status/723822740482854912" xr:uid="{611D8342-9D27-4B57-AC1B-CD9722B6C270}"/>
    <hyperlink ref="O5765" r:id="rId17791" display="https://pbs.twimg.com/profile_images/716292045904547840/U_rBOhol_normal.jpg" xr:uid="{44B8A7E2-544C-4729-9F4D-DB9798731944}"/>
    <hyperlink ref="B5766" r:id="rId17792" display="https://twitter.com/tazo157" xr:uid="{B97EC518-330D-48B2-9524-1FBD854572E3}"/>
    <hyperlink ref="E5766" r:id="rId17793" display="https://twitter.com/tazo157/status/723822822120914944" xr:uid="{D6F5BC08-DC91-460E-A5C7-D074C1B611B9}"/>
    <hyperlink ref="O5766" r:id="rId17794" display="https://pbs.twimg.com/profile_images/696888675548983296/8JSr1_Bb_normal.jpg" xr:uid="{F2E7D64B-8368-4911-9B84-5D59EE6F32BF}"/>
    <hyperlink ref="B5767" r:id="rId17795" display="https://twitter.com/Tweet_auto_com" xr:uid="{9736DAF0-8B01-4B76-AEA0-B013AF94861E}"/>
    <hyperlink ref="E5767" r:id="rId17796" display="https://twitter.com/Tweet_auto_com/status/723822968942546944" xr:uid="{0BCB3406-6406-4C36-B3F2-E91D7A4BA571}"/>
    <hyperlink ref="O5767" r:id="rId17797" display="https://pbs.twimg.com/profile_images/704679832874053632/MaJRG7nY_normal.jpg" xr:uid="{AFD365A8-D60A-4148-B7C0-FDDF120D7FAB}"/>
    <hyperlink ref="B5768" r:id="rId17798" display="https://twitter.com/marcomausf" xr:uid="{EFDA6B8F-4496-4422-8147-EE8AD2EC090C}"/>
    <hyperlink ref="E5768" r:id="rId17799" display="https://twitter.com/marcomausf/status/723822978165776384" xr:uid="{781CFF66-682D-45F5-AF8D-63071627AACA}"/>
    <hyperlink ref="O5768" r:id="rId17800" display="https://pbs.twimg.com/profile_images/429750966/mausf_normal.jpg" xr:uid="{9E6B676F-4569-4394-A11C-E571AD3C7FF4}"/>
    <hyperlink ref="B5769" r:id="rId17801" display="https://twitter.com/SJB6991" xr:uid="{0AEFF13E-DBDB-4A64-B1D0-AC9D58496A8A}"/>
    <hyperlink ref="E5769" r:id="rId17802" display="https://twitter.com/SJB6991/status/723824056072548352" xr:uid="{55752373-3068-4DE8-870E-46BED64DFCD5}"/>
    <hyperlink ref="O5769" r:id="rId17803" display="https://pbs.twimg.com/profile_images/709373815126622208/WvQF6M5j_normal.jpg" xr:uid="{BC431CE5-B4B7-430B-976C-D186DEB3A242}"/>
    <hyperlink ref="B5770" r:id="rId17804" display="https://twitter.com/ciocirlans" xr:uid="{62A5C2C7-4018-4EE5-8A91-C9021802AD0E}"/>
    <hyperlink ref="E5770" r:id="rId17805" display="https://twitter.com/ciocirlans/status/723824059331567616" xr:uid="{DFD402C4-D62C-402C-BD13-A1147080420C}"/>
    <hyperlink ref="O5770" r:id="rId17806" display="https://pbs.twimg.com/profile_images/477029152441110528/11WmXfGi_normal.jpeg" xr:uid="{D10699A3-49F2-4106-B5BD-9EF1D59A85FC}"/>
    <hyperlink ref="B5771" r:id="rId17807" display="https://twitter.com/bryanRis" xr:uid="{9CA977D7-CB60-42E8-AC91-157FE24D7FD8}"/>
    <hyperlink ref="E5771" r:id="rId17808" display="https://twitter.com/bryanRis/status/723824502174425088" xr:uid="{A4259558-C5F5-4D64-80F0-AAC17B934099}"/>
    <hyperlink ref="O5771" r:id="rId17809" display="https://pbs.twimg.com/profile_images/378800000333683495/1b735d7df89d5667eeeb3eaa48617f9d_normal.jpeg" xr:uid="{ECE0E918-612F-4A71-AA58-B7D94D09600C}"/>
    <hyperlink ref="B5772" r:id="rId17810" display="https://twitter.com/automotiveml" xr:uid="{965273D2-2C96-4E3C-9785-5854ACE2D443}"/>
    <hyperlink ref="E5772" r:id="rId17811" display="https://twitter.com/automotiveml/status/723824545103138816" xr:uid="{61746418-1E69-42D6-BB39-87E1F1B3253D}"/>
    <hyperlink ref="O5772" r:id="rId17812" display="https://pbs.twimg.com/profile_images/679154013011582976/1dS_RwuC_normal.jpg" xr:uid="{B36C9FCC-C118-4087-AAF7-BDB953FC06FF}"/>
    <hyperlink ref="B5773" r:id="rId17813" display="https://twitter.com/Automotiveampl" xr:uid="{9579078F-6AF3-41A9-865D-99EAF13A65C7}"/>
    <hyperlink ref="E5773" r:id="rId17814" display="https://twitter.com/Automotiveampl/status/723824640842301440" xr:uid="{FC35F46C-AB0F-4205-BBD4-C19C435F1A06}"/>
    <hyperlink ref="O5773" r:id="rId17815" display="https://pbs.twimg.com/profile_images/711877455682752513/3RSuHOjc_normal.jpg" xr:uid="{B296229B-3B21-451A-8927-C3A865646CC6}"/>
    <hyperlink ref="B5774" r:id="rId17816" display="https://twitter.com/russmini" xr:uid="{781D034E-0BAD-4E14-B9B1-271D69182CE6}"/>
    <hyperlink ref="E5774" r:id="rId17817" display="https://twitter.com/russmini/status/723824714712506368" xr:uid="{38308D46-BAE7-40D1-A9F5-F45552B26DEF}"/>
    <hyperlink ref="O5774" r:id="rId17818" display="https://pbs.twimg.com/profile_images/647146919098232832/0SPoyMyg_normal.jpg" xr:uid="{B0D670E4-EED5-4CD7-A2C9-6F3E4301B7B0}"/>
    <hyperlink ref="B5775" r:id="rId17819" display="https://twitter.com/Closed404" xr:uid="{68587941-8FEF-4E22-A2DC-707585C9ED18}"/>
    <hyperlink ref="E5775" r:id="rId17820" display="https://twitter.com/Closed404/status/723825622842257408" xr:uid="{22DCDBA5-77A0-46D2-ADFB-4C7C621E9743}"/>
    <hyperlink ref="O5775" r:id="rId17821" display="https://pbs.twimg.com/profile_images/709739067857113088/rpApXjKW_normal.jpg" xr:uid="{B1821C3C-10DE-41B9-9830-970D6D7E1120}"/>
    <hyperlink ref="B5776" r:id="rId17822" display="https://twitter.com/devangelista647" xr:uid="{A46B88EF-3327-42ED-9966-082028504231}"/>
    <hyperlink ref="E5776" r:id="rId17823" display="https://twitter.com/devangelista647/status/723826093975719937" xr:uid="{FC2A7409-3288-4801-B447-A7DD7213FC93}"/>
    <hyperlink ref="O5776" r:id="rId17824" display="https://pbs.twimg.com/profile_images/584325151564537857/gURNr4OQ_normal.jpg" xr:uid="{B54EBF1B-729A-4C0D-8448-7B861AEE205A}"/>
    <hyperlink ref="B5777" r:id="rId17825" display="https://twitter.com/JClaesz" xr:uid="{E6A95D5B-7770-424D-A710-592458B2AB5D}"/>
    <hyperlink ref="E5777" r:id="rId17826" display="https://twitter.com/JClaesz/status/723826213446406144" xr:uid="{18B1F0DB-FC8D-4098-BABF-7628C85F3FB3}"/>
    <hyperlink ref="O5777" r:id="rId17827" display="https://pbs.twimg.com/profile_images/695000806655811584/7lC1MdUr_normal.png" xr:uid="{933BD82F-9B13-4944-B7B2-E53EF92E5DB8}"/>
    <hyperlink ref="B5778" r:id="rId17828" display="https://twitter.com/NetzwerkggS21" xr:uid="{8D3D5A85-3FAB-427E-AED1-F195FBAA00C5}"/>
    <hyperlink ref="E5778" r:id="rId17829" display="https://twitter.com/NetzwerkggS21/status/723826301216415744" xr:uid="{308296A4-3743-4D02-BCD4-F90557A8F580}"/>
    <hyperlink ref="M5778" r:id="rId17830" xr:uid="{C1F650BB-0284-4129-808A-2206B23172FC}"/>
    <hyperlink ref="O5778" r:id="rId17831" display="https://pbs.twimg.com/profile_images/378800000528765970/3ab9f2a00010e9cac08d5ca1638926e9_normal.png" xr:uid="{45F5E486-415A-4B0E-9E61-4121FAA041A2}"/>
    <hyperlink ref="B5779" r:id="rId17832" display="https://twitter.com/WWidiwici" xr:uid="{D04D7275-148D-4147-90BC-F40AFF1B80DF}"/>
    <hyperlink ref="E5779" r:id="rId17833" display="https://twitter.com/WWidiwici/status/723826425908879360" xr:uid="{88AE73BC-CD0A-467B-BD07-2FC202162202}"/>
    <hyperlink ref="O5779" r:id="rId17834" display="https://pbs.twimg.com/profile_images/455038456746352640/Yx84ud5Z_normal.jpeg" xr:uid="{EA41EFFA-5442-4D81-8A0C-46A9AC6731F4}"/>
    <hyperlink ref="B5780" r:id="rId17835" display="https://twitter.com/FellianTsuyoshi" xr:uid="{FE09BB32-2BB0-4849-B061-0F70F8134C17}"/>
    <hyperlink ref="E5780" r:id="rId17836" display="https://twitter.com/FellianTsuyoshi/status/723827354284511232" xr:uid="{CB41FABD-9657-4E2D-8E09-C300B2C93227}"/>
    <hyperlink ref="O5780" r:id="rId17837" display="https://pbs.twimg.com/profile_images/436183298696425472/YLbEiNAM_normal.jpeg" xr:uid="{5FF13800-C3C3-42F7-B75F-2C94D9F15D92}"/>
    <hyperlink ref="B5781" r:id="rId17838" display="https://twitter.com/clachaf" xr:uid="{25F39A9D-FD53-4E4F-94AE-43FD67960EFE}"/>
    <hyperlink ref="E5781" r:id="rId17839" display="https://twitter.com/clachaf/status/723827416741892096" xr:uid="{B2FDF3FC-FA53-4CD7-A784-EEF1CD98DB46}"/>
    <hyperlink ref="O5781" r:id="rId17840" display="https://pbs.twimg.com/profile_images/458963386147934208/n6yx4LOp_normal.jpeg" xr:uid="{50CB192B-3316-49B2-AD2E-295C6753A759}"/>
    <hyperlink ref="B5782" r:id="rId17841" display="https://twitter.com/VWCamperSales" xr:uid="{709859F5-31AC-4568-80A3-2442CE0EB9AA}"/>
    <hyperlink ref="E5782" r:id="rId17842" display="https://twitter.com/VWCamperSales/status/723827788289986561" xr:uid="{7DBA3C6D-F7B4-4DAB-896A-3844C8BBDAA2}"/>
    <hyperlink ref="F5782" r:id="rId17843" xr:uid="{38FA7171-CE77-4FAF-9929-61C30F628557}"/>
    <hyperlink ref="O5782" r:id="rId17844" display="https://pbs.twimg.com/profile_images/627949001179037696/skEBkS05_normal.jpg" xr:uid="{7E360239-B9B2-40E5-9629-B607D4BA2B78}"/>
    <hyperlink ref="B5783" r:id="rId17845" display="https://twitter.com/rickfr01" xr:uid="{94E9CD3C-81CB-43EC-AFDF-889371868566}"/>
    <hyperlink ref="E5783" r:id="rId17846" display="https://twitter.com/rickfr01/status/723828623657033730" xr:uid="{51994943-FA5F-406D-8668-DCF4AB9DE931}"/>
    <hyperlink ref="O5783" r:id="rId17847" display="https://pbs.twimg.com/profile_images/713654769571725313/46CFIy5d_normal.jpg" xr:uid="{213E74A1-B0BB-4DD6-8EB9-ABF6783D2C44}"/>
    <hyperlink ref="B5784" r:id="rId17848" display="https://twitter.com/DeeCzee" xr:uid="{F7559AA1-E7FD-4F3E-9015-6DF75F740227}"/>
    <hyperlink ref="E5784" r:id="rId17849" display="https://twitter.com/DeeCzee/status/723828669676937217" xr:uid="{B68B8C11-4A9F-4C67-9881-977DCF9E3278}"/>
    <hyperlink ref="O5784" r:id="rId17850" display="https://pbs.twimg.com/profile_images/676002361320587264/lm_t9gJo_normal.jpg" xr:uid="{E5999C65-FD0F-4FB1-9CB2-B3E57D3FDB07}"/>
    <hyperlink ref="B5785" r:id="rId17851" display="https://twitter.com/wortjongleur" xr:uid="{DBEDB9BA-7938-4F49-B4DE-D933ACCA0CEF}"/>
    <hyperlink ref="E5785" r:id="rId17852" display="https://twitter.com/wortjongleur/status/723828762526289920" xr:uid="{99ED90C3-8B01-4585-97B7-2AD60525A4FD}"/>
    <hyperlink ref="O5785" r:id="rId17853" display="https://pbs.twimg.com/profile_images/657253244968828929/MTJyb-ma_normal.jpg" xr:uid="{2E63E6F6-1F79-4077-8846-8E081373B374}"/>
    <hyperlink ref="B5786" r:id="rId17854" display="https://twitter.com/vwpress_de" xr:uid="{3325764F-2D46-437F-972E-FEA83C8E5A74}"/>
    <hyperlink ref="E5786" r:id="rId17855" display="https://twitter.com/vwpress_de/status/723828984698511360" xr:uid="{6F8978B1-CE60-40F1-A281-089E3521D0CE}"/>
    <hyperlink ref="O5786" r:id="rId17856" display="https://pbs.twimg.com/profile_images/682117656502222848/Ge7YeAF3_normal.png" xr:uid="{29BAF152-B4D6-4863-89CC-20C678AA9584}"/>
    <hyperlink ref="B5787" r:id="rId17857" display="https://twitter.com/VolkswagenCZ" xr:uid="{2D028D00-6DCD-49D2-A599-1AC8E5A7BAFD}"/>
    <hyperlink ref="E5787" r:id="rId17858" display="https://twitter.com/VolkswagenCZ/status/723829008991948800" xr:uid="{96EEB520-8160-47ED-A2E7-365B2831C129}"/>
    <hyperlink ref="O5787" r:id="rId17859" display="https://pbs.twimg.com/profile_images/689102170717839360/y5b-XDuX_normal.jpg" xr:uid="{351DB8F4-56D5-4217-8E9F-3EE847A6447A}"/>
    <hyperlink ref="B5788" r:id="rId17860" display="https://twitter.com/Banane0711" xr:uid="{2E815BD9-5EB1-4C12-A228-991056E26F68}"/>
    <hyperlink ref="E5788" r:id="rId17861" display="https://twitter.com/Banane0711/status/723829046522601472" xr:uid="{E2B0F44C-8B92-4E96-B42B-98655BA86EEC}"/>
    <hyperlink ref="O5788" r:id="rId17862" display="https://pbs.twimg.com/profile_images/1488674331/schofer4_normal.jpg" xr:uid="{7D7C70D5-0488-4BDA-9CDE-63CB873A1877}"/>
    <hyperlink ref="B5789" r:id="rId17863" display="https://twitter.com/misa7231kbear" xr:uid="{A31CAE33-CC44-4F99-ACB3-8100B2B7BE71}"/>
    <hyperlink ref="E5789" r:id="rId17864" display="https://twitter.com/misa7231kbear/status/723829257579843584" xr:uid="{C66AF68D-9060-455C-B250-4F95D4D2F1C7}"/>
    <hyperlink ref="O5789" r:id="rId17865" display="https://pbs.twimg.com/profile_images/417537341046018051/EcJNiMR2_normal.jpeg" xr:uid="{FA93D470-A8E0-454E-9D07-550AFF416C36}"/>
    <hyperlink ref="B5790" r:id="rId17866" display="https://twitter.com/crewevw" xr:uid="{02314C4E-60F5-4D1B-A4A6-63566D5594FE}"/>
    <hyperlink ref="E5790" r:id="rId17867" display="https://twitter.com/crewevw/status/723829271194570752" xr:uid="{A862AF63-04F2-4709-88C6-7DA04C9D6D8F}"/>
    <hyperlink ref="O5790" r:id="rId17868" display="https://pbs.twimg.com/profile_images/488678354338324481/_qtBruR6_normal.jpeg" xr:uid="{EB71D62D-8889-46EA-98AF-1C09D427C5D5}"/>
    <hyperlink ref="B5791" r:id="rId17869" display="https://twitter.com/swanswaygroup" xr:uid="{06FCC4B1-5108-4E17-B2DD-C04AADAF3E59}"/>
    <hyperlink ref="E5791" r:id="rId17870" display="https://twitter.com/swanswaygroup/status/723829272138240001" xr:uid="{93C104F9-6C3F-45F6-B2CB-2D9FC663EA88}"/>
    <hyperlink ref="O5791" r:id="rId17871" display="https://pbs.twimg.com/profile_images/552037189328982016/r65JRGTS_normal.jpeg" xr:uid="{3F2374EB-A4AF-4B0E-862A-C416BD726F48}"/>
    <hyperlink ref="B5792" r:id="rId17872" display="https://twitter.com/ebaycampervans" xr:uid="{E36F6188-C251-42E1-BCF7-28514FBF9129}"/>
    <hyperlink ref="E5792" r:id="rId17873" display="https://twitter.com/ebaycampervans/status/723829608873750529" xr:uid="{2C8D47DE-B568-4048-A0B0-E149AEF7916D}"/>
    <hyperlink ref="O5792" r:id="rId17874" display="https://pbs.twimg.com/profile_images/599357023407464449/BL9Bpo6T_normal.jpg" xr:uid="{B40FA9F3-98EE-4AFF-9197-1AE2D83EB07F}"/>
    <hyperlink ref="B5793" r:id="rId17875" display="https://twitter.com/AutoExpress" xr:uid="{0149EE02-5513-4A42-B699-84E5E1600DD7}"/>
    <hyperlink ref="E5793" r:id="rId17876" display="https://twitter.com/AutoExpress/status/723829782031421440" xr:uid="{C515EA44-AFDE-4003-A8BB-2F00BCF7DD3C}"/>
    <hyperlink ref="O5793" r:id="rId17877" display="https://pbs.twimg.com/profile_images/378800000673633859/9729e4c280465095c6f835c9f6b36378_normal.jpeg" xr:uid="{8873D3C0-2D28-4459-923A-473A10FDC94A}"/>
    <hyperlink ref="B5794" r:id="rId17878" display="https://twitter.com/VolkswagenPost" xr:uid="{82922E2F-D828-4612-B9B5-542676A3E583}"/>
    <hyperlink ref="E5794" r:id="rId17879" display="https://twitter.com/VolkswagenPost/status/723830291412975616" xr:uid="{F3BAA320-DDAE-4BEB-BED0-BBE6A7B4EFB9}"/>
    <hyperlink ref="O5794" r:id="rId17880" display="https://pbs.twimg.com/profile_images/530071272881803264/a_jcCmPZ_normal.png" xr:uid="{D810B5E8-AD7B-4558-8E68-BEA252118A63}"/>
    <hyperlink ref="B5795" r:id="rId17881" display="https://twitter.com/VolkswagenPost" xr:uid="{6BC3AAA5-D99D-4E72-8A86-4345E6731CEB}"/>
    <hyperlink ref="E5795" r:id="rId17882" display="https://twitter.com/VolkswagenPost/status/723830292356685824" xr:uid="{D0BFA157-EFFC-4F5F-83DD-8E589C7A687D}"/>
    <hyperlink ref="O5795" r:id="rId17883" display="https://pbs.twimg.com/profile_images/530071272881803264/a_jcCmPZ_normal.png" xr:uid="{2619372D-0444-48FC-B31E-0C514121BE80}"/>
    <hyperlink ref="B5796" r:id="rId17884" display="https://twitter.com/swanswaygroup" xr:uid="{7DECC3A6-FB68-4404-8515-CC9363F4BFAA}"/>
    <hyperlink ref="E5796" r:id="rId17885" display="https://twitter.com/swanswaygroup/status/723830531964719104" xr:uid="{11FDE68C-919B-440C-B271-193980CCE695}"/>
    <hyperlink ref="O5796" r:id="rId17886" display="https://pbs.twimg.com/profile_images/552037189328982016/r65JRGTS_normal.jpeg" xr:uid="{E1116285-4B83-42E4-83E9-7D92EABB590B}"/>
    <hyperlink ref="B5797" r:id="rId17887" display="https://twitter.com/RochdaleHonda" xr:uid="{2A9A77D5-3A66-4907-85E4-02A6A7C60186}"/>
    <hyperlink ref="E5797" r:id="rId17888" display="https://twitter.com/RochdaleHonda/status/723830532023279617" xr:uid="{D5E07D64-E5E0-47D1-9913-A47168D80D18}"/>
    <hyperlink ref="O5797" r:id="rId17889" display="https://pbs.twimg.com/profile_images/488709218304663552/ImY8iitu_normal.jpeg" xr:uid="{E0C3C343-7205-405D-9CEC-722C59E4711F}"/>
    <hyperlink ref="B5798" r:id="rId17890" display="https://twitter.com/Fat4y" xr:uid="{5D94FCF2-FA1A-40A4-BE1A-1E1B616EC494}"/>
    <hyperlink ref="E5798" r:id="rId17891" display="https://twitter.com/Fat4y/status/723830542685351936" xr:uid="{E30B77C5-D6CD-4881-90FC-C881C63ABFAC}"/>
    <hyperlink ref="O5798" r:id="rId17892" display="https://pbs.twimg.com/profile_images/701348099290218496/iXTmp1jH_normal.jpg" xr:uid="{733F6703-3936-4308-BC49-849677E708F9}"/>
    <hyperlink ref="B5799" r:id="rId17893" display="https://twitter.com/ABshekB" xr:uid="{0CFC79B4-3865-4CB5-8790-4EFD4568678C}"/>
    <hyperlink ref="E5799" r:id="rId17894" display="https://twitter.com/ABshekB/status/723831364861198336" xr:uid="{1BFDB97E-E150-495C-B2F8-4B6E4AD03571}"/>
    <hyperlink ref="O5799" r:id="rId17895" display="https://pbs.twimg.com/profile_images/710482038583767041/5SUfHRAA_normal.jpg" xr:uid="{B1FD0E3D-7E04-475C-A9E4-48C60D664DC7}"/>
    <hyperlink ref="B5800" r:id="rId17896" display="https://twitter.com/VWCamperSales" xr:uid="{399DD47F-7C99-4E21-8F43-59AF06BA23A9}"/>
    <hyperlink ref="E5800" r:id="rId17897" display="https://twitter.com/VWCamperSales/status/723831813358018560" xr:uid="{B89759B7-9AC4-4DC9-A6DB-6DDA87A3BAAE}"/>
    <hyperlink ref="F5800" r:id="rId17898" xr:uid="{257B99D0-C335-4DD6-B1A0-849E6BAAFE8B}"/>
    <hyperlink ref="O5800" r:id="rId17899" display="https://pbs.twimg.com/profile_images/627949001179037696/skEBkS05_normal.jpg" xr:uid="{8557BFC1-7850-4DD1-9BB6-501BEE9839C8}"/>
    <hyperlink ref="B5801" r:id="rId17900" display="https://twitter.com/garage777uk" xr:uid="{E7AE4E75-A1F8-4FF1-9269-81DADAFEA82B}"/>
    <hyperlink ref="E5801" r:id="rId17901" display="https://twitter.com/garage777uk/status/723831853367566336" xr:uid="{E281FC5F-CB68-4674-B13D-8F98A75C45B9}"/>
    <hyperlink ref="O5801" r:id="rId17902" display="https://pbs.twimg.com/profile_images/631026118951211008/-Kh_VtK-_normal.jpg" xr:uid="{A893D384-2941-40CA-84B4-E2F38FB75269}"/>
    <hyperlink ref="B5802" r:id="rId17903" display="https://twitter.com/mycomfor" xr:uid="{C3D94DF2-84BB-41E0-938C-35B97B8F6E5D}"/>
    <hyperlink ref="E5802" r:id="rId17904" display="https://twitter.com/mycomfor/status/723831994145202176" xr:uid="{6BE39F1C-2105-48D0-975F-201FCD34B3A7}"/>
    <hyperlink ref="O5802" r:id="rId17905" display="https://pbs.twimg.com/profile_images/1254132835/3com_normal.jpg" xr:uid="{20EB37DF-C4EF-4B33-A7E7-8E2E3E9AF2DA}"/>
    <hyperlink ref="B5803" r:id="rId17906" display="https://twitter.com/Stadtpirat" xr:uid="{80CDEC7F-3BDF-4890-AB8B-B8937CC5F068}"/>
    <hyperlink ref="E5803" r:id="rId17907" display="https://twitter.com/Stadtpirat/status/723831996946980864" xr:uid="{48E94077-A5CB-4267-A281-2E18828E656E}"/>
    <hyperlink ref="O5803" r:id="rId17908" display="https://pbs.twimg.com/profile_images/883241100/_LQ_normal.png" xr:uid="{86E1060F-A490-4FA0-9685-FF74BF7755D5}"/>
    <hyperlink ref="B5804" r:id="rId17909" display="https://twitter.com/Turanlar_2023" xr:uid="{4059C154-FDC3-4D13-849D-8BF9B5ED44E9}"/>
    <hyperlink ref="E5804" r:id="rId17910" display="https://twitter.com/Turanlar_2023/status/723832316162899968" xr:uid="{AF2EBA1E-DFD0-4663-A133-3463F5187230}"/>
    <hyperlink ref="O5804" r:id="rId17911" display="https://pbs.twimg.com/profile_images/714918565263118336/WWTsR5W__normal.jpg" xr:uid="{A388AF8D-9FEF-4FC6-A2B1-56A6A768C464}"/>
    <hyperlink ref="B5805" r:id="rId17912" display="https://twitter.com/VolkswagenPost" xr:uid="{8832BA6D-7EF4-49E9-A32B-62F264207B64}"/>
    <hyperlink ref="E5805" r:id="rId17913" display="https://twitter.com/VolkswagenPost/status/723832450368065536" xr:uid="{402ABBC2-992B-4B95-B94F-AEA21F77F6C6}"/>
    <hyperlink ref="O5805" r:id="rId17914" display="https://pbs.twimg.com/profile_images/530071272881803264/a_jcCmPZ_normal.png" xr:uid="{79D5E7F1-012C-4792-9029-E9DB2FDCA76E}"/>
    <hyperlink ref="B5806" r:id="rId17915" display="https://twitter.com/AskingDerek" xr:uid="{2A6F15C1-466D-4C7A-BC02-AF499A8C6A0E}"/>
    <hyperlink ref="E5806" r:id="rId17916" display="https://twitter.com/AskingDerek/status/723832786440704000" xr:uid="{8F74EAA4-2E6B-4B8F-881B-63EEF1D0B841}"/>
    <hyperlink ref="O5806" r:id="rId17917" display="https://pbs.twimg.com/profile_images/683706859648319492/_QGItkLA_normal.jpg" xr:uid="{3172814A-D369-4737-9241-BD9D3232BD3B}"/>
    <hyperlink ref="B5807" r:id="rId17918" display="https://twitter.com/solarpolis" xr:uid="{507E6581-84FF-4187-848A-DF2C25E25D31}"/>
    <hyperlink ref="E5807" r:id="rId17919" display="https://twitter.com/solarpolis/status/723832933971271680" xr:uid="{83B2DFAC-9D64-4532-9D83-6AAE6CB92B75}"/>
    <hyperlink ref="O5807" r:id="rId17920" display="https://pbs.twimg.com/profile_images/1326803950/DSC_00680001_normal.JPG" xr:uid="{8FD5ECF9-A41C-4D57-B858-FA65F2225731}"/>
    <hyperlink ref="B5808" r:id="rId17921" display="https://twitter.com/VWBeetleSales" xr:uid="{48C9CAE0-31E1-41BB-936A-ADF569AD6112}"/>
    <hyperlink ref="E5808" r:id="rId17922" display="https://twitter.com/VWBeetleSales/status/723834073584521220" xr:uid="{F8FD7082-60EF-4C3D-9016-4D94A0B0635C}"/>
    <hyperlink ref="F5808" r:id="rId17923" xr:uid="{7E950205-436B-4578-B885-9F893943FBDE}"/>
    <hyperlink ref="O5808" r:id="rId17924" display="https://pbs.twimg.com/profile_images/703294545195307008/qeCvrX86_normal.jpg" xr:uid="{E25E4E2F-2DAE-4A57-A71C-2CE2499E32F1}"/>
    <hyperlink ref="B5809" r:id="rId17925" display="https://twitter.com/ThurlesTown" xr:uid="{DCEAEA58-AAC3-4387-8A49-989FB917F6C7}"/>
    <hyperlink ref="E5809" r:id="rId17926" display="https://twitter.com/ThurlesTown/status/723834186000437248" xr:uid="{19282EB9-27E9-486E-B627-21247B87E9B5}"/>
    <hyperlink ref="O5809" r:id="rId17927" display="https://pbs.twimg.com/profile_images/674370430694739972/w8axnsYU_normal.jpg" xr:uid="{BD72C77D-FDF0-4903-B562-4F1324D6F705}"/>
    <hyperlink ref="B5810" r:id="rId17928" display="https://twitter.com/GonZaa_mdq" xr:uid="{B88E9144-1F75-4BFF-A14A-87A58D6EF5B0}"/>
    <hyperlink ref="E5810" r:id="rId17929" display="https://twitter.com/GonZaa_mdq/status/723835097858891776" xr:uid="{624A9B6A-A24C-485B-AAEB-624676C062D9}"/>
    <hyperlink ref="O5810" r:id="rId17930" display="https://pbs.twimg.com/profile_images/527434322018828289/g65cRkt5_normal.jpeg" xr:uid="{14F03B36-8877-4B93-A7D2-6308B294ADCF}"/>
    <hyperlink ref="B5811" r:id="rId17931" display="https://twitter.com/MinnieMelville" xr:uid="{A768F3AA-3694-435B-BCC3-4D2B66863EEA}"/>
    <hyperlink ref="E5811" r:id="rId17932" display="https://twitter.com/MinnieMelville/status/723835673149579264" xr:uid="{F519072A-EBB7-424E-BE8E-B3E4410B1D3A}"/>
    <hyperlink ref="O5811" r:id="rId17933" display="https://pbs.twimg.com/profile_images/526402558789976065/eXjXgASI_normal.jpeg" xr:uid="{A0DBC187-FDA6-40C7-9669-8B51E4472717}"/>
    <hyperlink ref="B5812" r:id="rId17934" display="https://twitter.com/Banane0711" xr:uid="{B6DC25CF-328D-47F1-A29A-323575BB9959}"/>
    <hyperlink ref="E5812" r:id="rId17935" display="https://twitter.com/Banane0711/status/723835943803867136" xr:uid="{50FE6AE5-CF26-4337-A82F-F5AA98C52E89}"/>
    <hyperlink ref="O5812" r:id="rId17936" display="https://pbs.twimg.com/profile_images/1488674331/schofer4_normal.jpg" xr:uid="{D1055FD2-3970-4F39-BC5C-C0BCD5C1B345}"/>
    <hyperlink ref="B5813" r:id="rId17937" display="https://twitter.com/arnopaulus" xr:uid="{EC613C34-BB48-4FCC-BCC5-1F7B1037E112}"/>
    <hyperlink ref="E5813" r:id="rId17938" display="https://twitter.com/arnopaulus/status/723835954595794944" xr:uid="{E9C56AFE-80CE-4BA5-8E4F-3F3D0AB34CE9}"/>
    <hyperlink ref="O5813" r:id="rId17939" display="https://pbs.twimg.com/profile_images/456327738928791552/jgHfF8lW_normal.png" xr:uid="{799DDDF2-DA5C-46FB-B5F2-E414C732E357}"/>
    <hyperlink ref="B5814" r:id="rId17940" display="https://twitter.com/unlmtdsmarttech" xr:uid="{95C1EDBB-3A1A-46CE-9818-C733264C904B}"/>
    <hyperlink ref="E5814" r:id="rId17941" display="https://twitter.com/unlmtdsmarttech/status/723836033952047104" xr:uid="{077923CC-CB92-4426-84BC-A25C3CFEFA1F}"/>
    <hyperlink ref="O5814" r:id="rId17942" display="https://pbs.twimg.com/profile_images/671525031948652544/gPRky3nV_normal.jpg" xr:uid="{FB08A17B-4A68-4955-942A-3E75715E9E6F}"/>
    <hyperlink ref="B5815" r:id="rId17943" display="https://twitter.com/VeeDubMk1_" xr:uid="{857A0608-29BA-43D6-8FA1-9B126684F0EC}"/>
    <hyperlink ref="E5815" r:id="rId17944" display="https://twitter.com/VeeDubMk1_/status/723836201967456257" xr:uid="{F9B3EB27-D48E-47E9-8A6F-EFD44607BB03}"/>
    <hyperlink ref="O5815" r:id="rId17945" display="https://pbs.twimg.com/profile_images/672878354127839232/M7OYc-zx_normal.jpg" xr:uid="{606BE01F-AE48-4BE7-B9E8-336EF0E3B6DA}"/>
    <hyperlink ref="B5816" r:id="rId17946" display="https://twitter.com/VeeDubMk1_" xr:uid="{D2F5431A-D955-44E1-AC6A-30703654C040}"/>
    <hyperlink ref="E5816" r:id="rId17947" display="https://twitter.com/VeeDubMk1_/status/723836219055046656" xr:uid="{53C27330-1342-4046-8D61-86F88BF721C3}"/>
    <hyperlink ref="O5816" r:id="rId17948" display="https://pbs.twimg.com/profile_images/672878354127839232/M7OYc-zx_normal.jpg" xr:uid="{7DA94971-9204-4E63-AFE8-719FC1E1A0E0}"/>
    <hyperlink ref="B5817" r:id="rId17949" display="https://twitter.com/VWCamperSales" xr:uid="{8D41C504-10A8-41AA-A04F-28C89926719C}"/>
    <hyperlink ref="E5817" r:id="rId17950" display="https://twitter.com/VWCamperSales/status/723836359027216384" xr:uid="{F814E424-FA18-495F-85FC-DD48D00CC6F1}"/>
    <hyperlink ref="F5817" r:id="rId17951" xr:uid="{DFC825CC-41C7-4759-BCB4-11D41F7EFC1C}"/>
    <hyperlink ref="O5817" r:id="rId17952" display="https://pbs.twimg.com/profile_images/627949001179037696/skEBkS05_normal.jpg" xr:uid="{F1F0ED62-65FA-4082-9238-2CC2EC61B197}"/>
    <hyperlink ref="B5818" r:id="rId17953" display="https://twitter.com/VWCamperSales" xr:uid="{AD6A178D-DE05-48E4-AE89-FF088CCC704B}"/>
    <hyperlink ref="E5818" r:id="rId17954" display="https://twitter.com/VWCamperSales/status/723836366153388032" xr:uid="{FCBC8953-A0D0-4CA5-8C05-FDCB44CDF87C}"/>
    <hyperlink ref="F5818" r:id="rId17955" xr:uid="{3595F8E4-A028-4C3F-992A-2CDB1F29B039}"/>
    <hyperlink ref="O5818" r:id="rId17956" display="https://pbs.twimg.com/profile_images/627949001179037696/skEBkS05_normal.jpg" xr:uid="{5E6C1B0E-3C23-4F35-B7E9-A9E85421C9CD}"/>
    <hyperlink ref="B5819" r:id="rId17957" display="https://twitter.com/lordsinclair70" xr:uid="{6A23F605-6834-4D6A-9EF7-29C48B40A940}"/>
    <hyperlink ref="E5819" r:id="rId17958" display="https://twitter.com/lordsinclair70/status/723836595179282438" xr:uid="{CA7A09E6-A777-4EB0-B825-8113EFB8766F}"/>
    <hyperlink ref="O5819" r:id="rId17959" display="https://pbs.twimg.com/profile_images/3677650507/e310667f83e2740eaa9aeed33afb0e6b_normal.jpeg" xr:uid="{176A9B6A-0570-43BB-A417-121C04DF9B02}"/>
    <hyperlink ref="B5820" r:id="rId17960" display="https://twitter.com/Braulio_Urresti" xr:uid="{83D30584-75E4-44AB-B8BC-68C280511BA7}"/>
    <hyperlink ref="E5820" r:id="rId17961" display="https://twitter.com/Braulio_Urresti/status/723837944033849344" xr:uid="{53EA9ABB-0C85-497B-8E5F-358C9E1C021B}"/>
    <hyperlink ref="O5820" r:id="rId17962" display="https://abs.twimg.com/sticky/default_profile_images/default_profile_5_normal.png" xr:uid="{9665C097-1A7F-4C62-8EEB-CB9AC3E75E25}"/>
    <hyperlink ref="B5821" r:id="rId17963" display="https://twitter.com/NetzwerkggS21" xr:uid="{3C3569C7-7DB0-4547-8735-B6684B414149}"/>
    <hyperlink ref="E5821" r:id="rId17964" display="https://twitter.com/NetzwerkggS21/status/723838228126679040" xr:uid="{2CC54E33-E136-435F-8C4E-E2CB94012F79}"/>
    <hyperlink ref="M5821" r:id="rId17965" xr:uid="{7CE7CC11-21F5-49ED-B9BE-3A8B71D6CF63}"/>
    <hyperlink ref="O5821" r:id="rId17966" display="https://pbs.twimg.com/profile_images/378800000528765970/3ab9f2a00010e9cac08d5ca1638926e9_normal.png" xr:uid="{6B2F4E9A-4AF7-4F81-814D-7A876FBBD6D2}"/>
    <hyperlink ref="B5822" r:id="rId17967" display="https://twitter.com/thecottagelmore" xr:uid="{FC9C6A75-5D3D-4418-923B-A6EE678D2A5A}"/>
    <hyperlink ref="E5822" r:id="rId17968" display="https://twitter.com/thecottagelmore/status/723838406963412992" xr:uid="{59D8DC32-BF2E-4EF5-B26E-74AE9272C68F}"/>
    <hyperlink ref="O5822" r:id="rId17969" display="https://pbs.twimg.com/profile_images/509471961303371776/dg3kiGiI_normal.jpeg" xr:uid="{3F20C9C9-43C3-4770-84A0-77ABBAC58C42}"/>
    <hyperlink ref="B5823" r:id="rId17970" display="https://twitter.com/krazykayjun" xr:uid="{06FF07C0-88DC-40EA-9B2E-A05CC9FE2E1D}"/>
    <hyperlink ref="E5823" r:id="rId17971" display="https://twitter.com/krazykayjun/status/723838673867837440" xr:uid="{423A396E-9E3D-4B10-9A6A-B1149A000C22}"/>
    <hyperlink ref="O5823" r:id="rId17972" display="https://pbs.twimg.com/profile_images/475463102277091328/MvEJwQyx_normal.jpeg" xr:uid="{1D487A6E-6494-4E3E-8A39-9FE99ADBD21E}"/>
    <hyperlink ref="B5824" r:id="rId17973" display="https://twitter.com/JohnPinkGTi" xr:uid="{6CFC54C0-E5F4-4ABA-9AE9-AF719FC96AA1}"/>
    <hyperlink ref="E5824" r:id="rId17974" display="https://twitter.com/JohnPinkGTi/status/723839094342725632" xr:uid="{9DC68436-1AFD-4F67-A3B8-95E5251228A5}"/>
    <hyperlink ref="O5824" r:id="rId17975" display="https://pbs.twimg.com/profile_images/717430776573403136/n-S0k2X0_normal.jpg" xr:uid="{2E2FBA1B-0329-41C6-A382-6C73AA13E036}"/>
    <hyperlink ref="B5825" r:id="rId17976" display="https://twitter.com/PaulMillerAG" xr:uid="{3433D1BF-54E2-4706-AFC3-27CFD1A9AE79}"/>
    <hyperlink ref="E5825" r:id="rId17977" display="https://twitter.com/PaulMillerAG/status/723839125929881602" xr:uid="{F9E5620E-2E0C-4485-86A1-1CF403486EE0}"/>
    <hyperlink ref="O5825" r:id="rId17978" display="https://pbs.twimg.com/profile_images/441617884725276672/SnZtRMvP_normal.jpeg" xr:uid="{F301E552-3090-4588-AD3B-0761224B1CF1}"/>
    <hyperlink ref="B5826" r:id="rId17979" display="https://twitter.com/dosummitgood" xr:uid="{8ACA0BB8-6D9A-4B03-B011-8539B2213BC2}"/>
    <hyperlink ref="E5826" r:id="rId17980" display="https://twitter.com/dosummitgood/status/723839598485491712" xr:uid="{DAC423A3-F7A5-4FF1-9447-384FE3EF090F}"/>
    <hyperlink ref="O5826" r:id="rId17981" display="https://pbs.twimg.com/profile_images/378800000674642483/4bcb1ac988f8e83031fc49c885ea124f_normal.jpeg" xr:uid="{C5CF4B28-27C5-47AD-B5FC-4BE6E930AF33}"/>
    <hyperlink ref="B5827" r:id="rId17982" display="https://twitter.com/NetzwerkggS21" xr:uid="{B4470BD3-2D0A-4621-80FB-123D6CF1533F}"/>
    <hyperlink ref="E5827" r:id="rId17983" display="https://twitter.com/NetzwerkggS21/status/723839764223406080" xr:uid="{E411F348-2590-46B0-9F95-ED97AA31FDF8}"/>
    <hyperlink ref="M5827" r:id="rId17984" xr:uid="{4ECED346-A70C-4EAF-BA63-8813EF0A3A6D}"/>
    <hyperlink ref="O5827" r:id="rId17985" display="https://pbs.twimg.com/profile_images/378800000528765970/3ab9f2a00010e9cac08d5ca1638926e9_normal.png" xr:uid="{5D986682-6956-4DBE-990E-4F498C139A8D}"/>
    <hyperlink ref="B5828" r:id="rId17986" display="https://twitter.com/Scirocco_Tuning" xr:uid="{C2EE9EB1-C9A4-4DBD-AFDC-BF65ABE1ADFE}"/>
    <hyperlink ref="E5828" r:id="rId17987" display="https://twitter.com/Scirocco_Tuning/status/723839793470255104" xr:uid="{6BD0EB3C-AD86-4401-8714-FEA437CEFCD5}"/>
    <hyperlink ref="O5828" r:id="rId17988" display="https://pbs.twimg.com/profile_images/1610421423/Image2_normal.jpg" xr:uid="{F45268F8-D119-466A-89E1-ABD2ABC33BDD}"/>
    <hyperlink ref="B5829" r:id="rId17989" display="https://twitter.com/04Francene" xr:uid="{A9DDF933-2BF2-4431-8A27-37E50C043F81}"/>
    <hyperlink ref="E5829" r:id="rId17990" display="https://twitter.com/04Francene/status/723839905298685952" xr:uid="{9C5EAB50-8772-4373-BA8A-8E089DCF03A4}"/>
    <hyperlink ref="O5829" r:id="rId17991" display="https://pbs.twimg.com/profile_images/555469100181233664/N58lleuy_normal.png" xr:uid="{172A5654-BD5B-4B25-84B5-E7CC03445C73}"/>
    <hyperlink ref="B5830" r:id="rId17992" display="https://twitter.com/DubLuvTuning" xr:uid="{5479B64D-0367-4DDA-B6E1-E9CF76A9CF45}"/>
    <hyperlink ref="E5830" r:id="rId17993" display="https://twitter.com/DubLuvTuning/status/723840496137809921" xr:uid="{03AEE055-1458-4775-A5EA-325A7E7DD34E}"/>
    <hyperlink ref="O5830" r:id="rId17994" display="https://pbs.twimg.com/profile_images/378800000572104796/1de43e1cf23efb3f4101c02afad0d3b6_normal.png" xr:uid="{5423EB8E-7226-4D65-859A-F53DBE8B77A6}"/>
    <hyperlink ref="B5831" r:id="rId17995" display="https://twitter.com/maximarquezok" xr:uid="{81296B04-9A1A-479D-A710-AC40E4229537}"/>
    <hyperlink ref="E5831" r:id="rId17996" display="https://twitter.com/maximarquezok/status/723840826611212288" xr:uid="{C4DF38DB-4DD1-4AC3-A230-71D40FECC1B1}"/>
    <hyperlink ref="O5831" r:id="rId17997" display="https://pbs.twimg.com/profile_images/718895725715787777/qYqpsLvX_normal.jpg" xr:uid="{49F7E62E-9C1C-44C0-86EE-BA28354E5C37}"/>
    <hyperlink ref="B5832" r:id="rId17998" display="https://twitter.com/OnlyHypercar" xr:uid="{F623C7BE-97F2-4056-AC4E-D75444C66DF8}"/>
    <hyperlink ref="E5832" r:id="rId17999" display="https://twitter.com/OnlyHypercar/status/723840868373942272" xr:uid="{F43F90B4-C9CC-48ED-8661-46057F56FC05}"/>
    <hyperlink ref="O5832" r:id="rId18000" display="https://pbs.twimg.com/profile_images/540367961584709632/flFdoN-4_normal.jpeg" xr:uid="{6995E3F9-A61D-4DE9-ADE1-455F5A223A1D}"/>
    <hyperlink ref="B5833" r:id="rId18001" display="https://twitter.com/Tipperaryphotos" xr:uid="{17F9599C-2D79-4577-B104-AF713CB5AF10}"/>
    <hyperlink ref="E5833" r:id="rId18002" display="https://twitter.com/Tipperaryphotos/status/723841165385175040" xr:uid="{DCAE4ACE-9944-486D-89FF-BA9A708EE6AE}"/>
    <hyperlink ref="O5833" r:id="rId18003" display="https://pbs.twimg.com/profile_images/468388723357278208/ffmBn-pp_normal.jpeg" xr:uid="{D516B5EC-E6CE-4421-8BF0-D0DB5F89620C}"/>
    <hyperlink ref="B5834" r:id="rId18004" display="https://twitter.com/BI_Neckartor" xr:uid="{F5EBFF5D-E645-4B58-B404-2D5A64AAE0EB}"/>
    <hyperlink ref="E5834" r:id="rId18005" display="https://twitter.com/BI_Neckartor/status/723841556533358592" xr:uid="{D08487FD-9A57-4164-86FB-E459DB2645CF}"/>
    <hyperlink ref="O5834" r:id="rId18006" display="https://pbs.twimg.com/profile_images/691295347436552194/n11nMbJK_normal.jpg" xr:uid="{AC57BFA9-470B-422C-81CC-DB4A9A21E5AD}"/>
    <hyperlink ref="B5835" r:id="rId18007" display="https://twitter.com/BecksNutt" xr:uid="{190E0576-1611-489E-8655-60256D941B6D}"/>
    <hyperlink ref="E5835" r:id="rId18008" display="https://twitter.com/BecksNutt/status/723841580998791171" xr:uid="{E0C23EDB-3A04-43CD-ACB8-C180B5BA9534}"/>
    <hyperlink ref="O5835" r:id="rId18009" display="https://pbs.twimg.com/profile_images/621761611175469056/b89EkOYM_normal.jpg" xr:uid="{79677488-CEA2-4A07-8418-6EF1A98B0A66}"/>
    <hyperlink ref="B5836" r:id="rId18010" display="https://twitter.com/vonuntendrunter" xr:uid="{5B4DB7F0-9610-4B05-8431-4C5A92982C31}"/>
    <hyperlink ref="E5836" r:id="rId18011" display="https://twitter.com/vonuntendrunter/status/723841621884866560" xr:uid="{1EBA762F-BAB8-4F21-BB84-CC31EE361B28}"/>
    <hyperlink ref="O5836" r:id="rId18012" display="https://pbs.twimg.com/profile_images/717109195561152512/mv8-ZiHd_normal.jpg" xr:uid="{02493E51-3446-4B0F-AD7F-370FF813828A}"/>
    <hyperlink ref="B5837" r:id="rId18013" display="https://twitter.com/BI_Neckartor" xr:uid="{3B4E71C6-A288-429D-82AD-B4603D905CF5}"/>
    <hyperlink ref="E5837" r:id="rId18014" display="https://twitter.com/BI_Neckartor/status/723841634455158785" xr:uid="{5B41BDB6-7526-4EC1-9918-CCEE71154EB0}"/>
    <hyperlink ref="O5837" r:id="rId18015" display="https://pbs.twimg.com/profile_images/691295347436552194/n11nMbJK_normal.jpg" xr:uid="{678DA29B-5103-410C-AAD6-108C0684DEEE}"/>
    <hyperlink ref="B5838" r:id="rId18016" display="https://twitter.com/fys_yukio" xr:uid="{91CB09AD-4F7E-4A93-9F10-94A6213C1D13}"/>
    <hyperlink ref="E5838" r:id="rId18017" display="https://twitter.com/fys_yukio/status/723841727161737216" xr:uid="{F692454B-CFBB-4837-8BC9-1545E8AAA601}"/>
    <hyperlink ref="O5838" r:id="rId18018" display="https://pbs.twimg.com/profile_images/568149263889096704/BO2L4CN5_normal.jpeg" xr:uid="{82E66CB2-EC00-416F-B59B-94088491F977}"/>
    <hyperlink ref="P5838" r:id="rId18019" location="-23.63794103,-47.19913405" display="http://ctrlq.org/maps/address/ - -23.63794103,-47.19913405" xr:uid="{368BA4A7-F80C-4EE4-A147-F276975FD14A}"/>
    <hyperlink ref="B5839" r:id="rId18020" display="https://twitter.com/DingosPDR" xr:uid="{EB4F79D1-EE4C-4985-8AF6-108F969CCC5F}"/>
    <hyperlink ref="E5839" r:id="rId18021" display="https://twitter.com/DingosPDR/status/723841773202771968" xr:uid="{B8C9CB38-636B-42F7-B31C-2DC6578577E0}"/>
    <hyperlink ref="O5839" r:id="rId18022" display="https://pbs.twimg.com/profile_images/2777446765/3a79c1e9433e5fd3f5b82dcba18e9c95_normal.jpeg" xr:uid="{17C23D72-2DA8-4695-8739-59EABFD9095A}"/>
    <hyperlink ref="B5840" r:id="rId18023" display="https://twitter.com/ORAC_2200" xr:uid="{C62215AD-AECA-46D8-B385-053D614127EA}"/>
    <hyperlink ref="E5840" r:id="rId18024" display="https://twitter.com/ORAC_2200/status/723842918524526592" xr:uid="{AAF9B263-2729-4BD7-8C2C-CB6DACF25EF6}"/>
    <hyperlink ref="O5840" r:id="rId18025" display="https://pbs.twimg.com/profile_images/1562972132/e4656889-cfc3-4844-b2ee-86e9ca2ca683_normal.png" xr:uid="{1B476660-718B-46CA-A938-1EB431028BDB}"/>
    <hyperlink ref="B5841" r:id="rId18026" display="https://twitter.com/voosvoos" xr:uid="{CD143331-015F-4901-92C6-1C226E98CDD4}"/>
    <hyperlink ref="E5841" r:id="rId18027" display="https://twitter.com/voosvoos/status/723843025257021440" xr:uid="{A4B78169-9CA7-418E-89E0-9C413F7BD8CF}"/>
    <hyperlink ref="O5841" r:id="rId18028" display="https://pbs.twimg.com/profile_images/668437116981018625/BA3Ui4qQ_normal.jpg" xr:uid="{19514878-13CB-4BB5-BE27-A982E20C495D}"/>
    <hyperlink ref="B5842" r:id="rId18029" display="https://twitter.com/voosvoos" xr:uid="{A2A4470A-E384-49B1-A7CC-FF2327E8F5AE}"/>
    <hyperlink ref="E5842" r:id="rId18030" display="https://twitter.com/voosvoos/status/723843120727764992" xr:uid="{A405F502-6D9D-429F-BA50-3E5BB2E1E8D7}"/>
    <hyperlink ref="O5842" r:id="rId18031" display="https://pbs.twimg.com/profile_images/668437116981018625/BA3Ui4qQ_normal.jpg" xr:uid="{35116EBE-FA4C-4DFA-8F79-3C55DBCFA1E1}"/>
    <hyperlink ref="B5843" r:id="rId18032" display="https://twitter.com/CalumWebster" xr:uid="{0091A2A3-1922-48DE-ABC2-220A73F43BDF}"/>
    <hyperlink ref="E5843" r:id="rId18033" display="https://twitter.com/CalumWebster/status/723843144035475457" xr:uid="{F9E4C55B-DE29-4C45-B324-9E581674A5D1}"/>
    <hyperlink ref="O5843" r:id="rId18034" display="https://pbs.twimg.com/profile_images/1244194437/DSC00094__Medium__normal.JPG" xr:uid="{4488E62B-FE21-4666-AE4C-D6A1A4FB90E1}"/>
    <hyperlink ref="B5844" r:id="rId18035" display="https://twitter.com/voosvoos" xr:uid="{ABB190EC-D45A-4230-AD27-223DE7A397F7}"/>
    <hyperlink ref="E5844" r:id="rId18036" display="https://twitter.com/voosvoos/status/723843230689800192" xr:uid="{60E9AA8D-843E-42F9-B75F-023DF927A0E5}"/>
    <hyperlink ref="O5844" r:id="rId18037" display="https://pbs.twimg.com/profile_images/668437116981018625/BA3Ui4qQ_normal.jpg" xr:uid="{8E6C51A4-BE32-4E3F-B6A2-84FDA036E99A}"/>
    <hyperlink ref="B5845" r:id="rId18038" display="https://twitter.com/FuscaWorld" xr:uid="{83BD63FB-9482-459C-A44F-BEEED67D51CD}"/>
    <hyperlink ref="E5845" r:id="rId18039" display="https://twitter.com/FuscaWorld/status/723843385434488832" xr:uid="{69D013DE-142E-4F06-8238-8A1405DD855C}"/>
    <hyperlink ref="O5845" r:id="rId18040" display="https://pbs.twimg.com/profile_images/705780107844067328/e7O4UBNb_normal.jpg" xr:uid="{F57FBC8E-BDA0-4F44-A829-08D42CB1928E}"/>
    <hyperlink ref="B5846" r:id="rId18041" display="https://twitter.com/FuscaWorld" xr:uid="{3CC6958C-99A0-458F-BD8E-BEFA035412D6}"/>
    <hyperlink ref="E5846" r:id="rId18042" display="https://twitter.com/FuscaWorld/status/723843387892338689" xr:uid="{9FC57FBA-59AD-4863-A4EE-5C7979238266}"/>
    <hyperlink ref="O5846" r:id="rId18043" display="https://pbs.twimg.com/profile_images/705780107844067328/e7O4UBNb_normal.jpg" xr:uid="{2CFF3DEA-6077-4C31-B5C6-F56ABC1248F8}"/>
    <hyperlink ref="B5847" r:id="rId18044" display="https://twitter.com/FuscaWorld" xr:uid="{F8734A4A-44DF-4C57-8FC0-C069B977FB62}"/>
    <hyperlink ref="E5847" r:id="rId18045" display="https://twitter.com/FuscaWorld/status/723843389872021505" xr:uid="{013C7845-486A-45C5-BE14-B1BE1C9BA7CF}"/>
    <hyperlink ref="O5847" r:id="rId18046" display="https://pbs.twimg.com/profile_images/705780107844067328/e7O4UBNb_normal.jpg" xr:uid="{291A959E-CA9C-4848-AEA3-62133BE21473}"/>
    <hyperlink ref="B5848" r:id="rId18047" display="https://twitter.com/voosvoos" xr:uid="{FABCFFF1-9B9B-48EB-8D4D-303DEA4B6AA9}"/>
    <hyperlink ref="E5848" r:id="rId18048" display="https://twitter.com/voosvoos/status/723843519211773952" xr:uid="{59EACE2B-DCF8-4E59-B948-F56C9E7B1702}"/>
    <hyperlink ref="O5848" r:id="rId18049" display="https://pbs.twimg.com/profile_images/668437116981018625/BA3Ui4qQ_normal.jpg" xr:uid="{FF64AF0E-F2D7-48CE-ADC1-BE81ADD782DF}"/>
    <hyperlink ref="B5849" r:id="rId18050" display="https://twitter.com/voosvoos" xr:uid="{F605A1D3-034C-40FB-8136-50E2DE19D332}"/>
    <hyperlink ref="E5849" r:id="rId18051" display="https://twitter.com/voosvoos/status/723843625562562560" xr:uid="{2875554D-3253-4C00-9D5C-58442D0490D4}"/>
    <hyperlink ref="O5849" r:id="rId18052" display="https://pbs.twimg.com/profile_images/668437116981018625/BA3Ui4qQ_normal.jpg" xr:uid="{088BF856-9C4A-40E2-B3B0-FD59C9ACADAC}"/>
    <hyperlink ref="B5850" r:id="rId18053" display="https://twitter.com/voosvoos" xr:uid="{71949F33-41F8-4CCC-977D-13E82060F759}"/>
    <hyperlink ref="E5850" r:id="rId18054" display="https://twitter.com/voosvoos/status/723843718554501120" xr:uid="{488BE67F-63D7-4242-A9DC-BD8FF9F30AC5}"/>
    <hyperlink ref="O5850" r:id="rId18055" display="https://pbs.twimg.com/profile_images/668437116981018625/BA3Ui4qQ_normal.jpg" xr:uid="{D616EB5A-0B17-47F8-8636-DF5AA58F3E20}"/>
    <hyperlink ref="B5851" r:id="rId18056" display="https://twitter.com/voosvoos" xr:uid="{3A9DF8D5-0A63-435C-825C-7EDF286B45DE}"/>
    <hyperlink ref="E5851" r:id="rId18057" display="https://twitter.com/voosvoos/status/723843841325993984" xr:uid="{35DE4461-3225-480E-8C46-FBEA6D3121D3}"/>
    <hyperlink ref="O5851" r:id="rId18058" display="https://pbs.twimg.com/profile_images/668437116981018625/BA3Ui4qQ_normal.jpg" xr:uid="{9A37B42F-8B5B-41D6-927A-586BB30AF1BD}"/>
    <hyperlink ref="B5852" r:id="rId18059" display="https://twitter.com/Elitet5" xr:uid="{5501DE0E-6FCF-4931-900C-9CB0DD3094C4}"/>
    <hyperlink ref="E5852" r:id="rId18060" display="https://twitter.com/Elitet5/status/723843875199156226" xr:uid="{EBFBCDF7-D64F-4751-BA33-9E2CE2C8CB7C}"/>
    <hyperlink ref="O5852" r:id="rId18061" display="https://pbs.twimg.com/profile_images/431166006807904256/QQuD9iZE_normal.jpeg" xr:uid="{DB19CE67-3CCE-48B1-B7D2-54F88FCB0BB5}"/>
    <hyperlink ref="B5853" r:id="rId18062" display="https://twitter.com/zoomit_ir" xr:uid="{ACB7AC42-571D-4089-975A-25F3BC8571D7}"/>
    <hyperlink ref="E5853" r:id="rId18063" display="https://twitter.com/zoomit_ir/status/723843992715165697" xr:uid="{75C74605-1A1C-4309-A1D0-40C25B0EB486}"/>
    <hyperlink ref="O5853" r:id="rId18064" display="https://pbs.twimg.com/profile_images/504930723967418369/-5Q-e2N6_normal.png" xr:uid="{84E04AEC-4FD1-4052-9A0E-58AEC1B614DB}"/>
    <hyperlink ref="B5854" r:id="rId18065" display="https://twitter.com/eoguzbey1" xr:uid="{DB51FAD5-CD88-40DE-A8CD-9CDB4EF5F527}"/>
    <hyperlink ref="E5854" r:id="rId18066" display="https://twitter.com/eoguzbey1/status/723844066820005888" xr:uid="{861C4FA9-C471-4A3C-A70B-FD1BC2961FA9}"/>
    <hyperlink ref="O5854" r:id="rId18067" display="https://pbs.twimg.com/profile_images/715931676803731456/Xc8P_p5g_normal.jpg" xr:uid="{504F7C58-DB03-4622-9895-B8B53A9ABB74}"/>
    <hyperlink ref="B5855" r:id="rId18068" display="https://twitter.com/indianautos" xr:uid="{85A14AD8-CC61-43F6-BB97-9C6023803370}"/>
    <hyperlink ref="E5855" r:id="rId18069" display="https://twitter.com/indianautos/status/723844070636937216" xr:uid="{251A479E-4AD4-4B93-8006-BECBE12103BE}"/>
    <hyperlink ref="O5855" r:id="rId18070" display="https://pbs.twimg.com/profile_images/2122824468/IAB_normal.png" xr:uid="{EC95824E-70F4-42FC-865C-71866F0067F5}"/>
    <hyperlink ref="B5856" r:id="rId18071" display="https://twitter.com/voosvoos" xr:uid="{DC0377D4-C65F-439A-88D6-5FD51388BF37}"/>
    <hyperlink ref="E5856" r:id="rId18072" display="https://twitter.com/voosvoos/status/723844133056569344" xr:uid="{CE92E4C7-A837-491A-BD28-E76AE4E2A357}"/>
    <hyperlink ref="O5856" r:id="rId18073" display="https://pbs.twimg.com/profile_images/668437116981018625/BA3Ui4qQ_normal.jpg" xr:uid="{A5B8C6E7-9155-4308-B98E-10EBFBBD3E53}"/>
    <hyperlink ref="B5857" r:id="rId18074" display="https://twitter.com/GianMarcoSolas" xr:uid="{23ECA0A3-0334-4000-B412-6B7D8C98C36C}"/>
    <hyperlink ref="E5857" r:id="rId18075" display="https://twitter.com/GianMarcoSolas/status/723844183702802432" xr:uid="{E7D357DA-EAB6-45FB-849F-D59F26535C45}"/>
    <hyperlink ref="O5857" r:id="rId18076" display="https://pbs.twimg.com/profile_images/717791489737232385/xRQsxjNT_normal.jpg" xr:uid="{386E3AE4-6B94-4F47-9586-17EFBD4AFB69}"/>
    <hyperlink ref="B5858" r:id="rId18077" display="https://twitter.com/yunusemrkaraman" xr:uid="{4C3F58E2-D629-4EC5-8A4D-AD0AAAEA92D6}"/>
    <hyperlink ref="E5858" r:id="rId18078" display="https://twitter.com/yunusemrkaraman/status/723844464716963840" xr:uid="{070E3B61-0920-439C-B38B-03DB1DA03F58}"/>
    <hyperlink ref="O5858" r:id="rId18079" display="https://pbs.twimg.com/profile_images/684637471917883392/edHMl99a_normal.jpg" xr:uid="{814C2E3A-098F-493F-8A59-9FD27877A916}"/>
    <hyperlink ref="B5859" r:id="rId18080" display="https://twitter.com/miraclemedia" xr:uid="{7ABF6AA7-1917-48A0-BF6E-3AEFC5F28280}"/>
    <hyperlink ref="E5859" r:id="rId18081" display="https://twitter.com/miraclemedia/status/723844493909352448" xr:uid="{8377EF76-DF2C-46A3-8725-438B0F953661}"/>
    <hyperlink ref="O5859" r:id="rId18082" display="https://pbs.twimg.com/profile_images/492989753374281728/8UiYOUo7_normal.jpeg" xr:uid="{FF327EBA-86E6-42CB-93CD-E4300C1BFCEB}"/>
    <hyperlink ref="P5859" r:id="rId18083" location="52.36666667,4.53333333" display="http://ctrlq.org/maps/address/ - 52.36666667,4.53333333" xr:uid="{40ADC7D4-904C-4B80-8A0B-8AD9E2CA4933}"/>
    <hyperlink ref="B5860" r:id="rId18084" display="https://twitter.com/voosvoos" xr:uid="{18CE4D79-B524-441C-8FA8-7810FBEFD6A5}"/>
    <hyperlink ref="E5860" r:id="rId18085" display="https://twitter.com/voosvoos/status/723844599421276160" xr:uid="{A1000AC7-DE98-4C39-A77A-D949B5DD298B}"/>
    <hyperlink ref="O5860" r:id="rId18086" display="https://pbs.twimg.com/profile_images/668437116981018625/BA3Ui4qQ_normal.jpg" xr:uid="{B09046B0-D433-40D4-852D-D6DFCD20F5DD}"/>
    <hyperlink ref="B5861" r:id="rId18087" display="https://twitter.com/mattdownstch1" xr:uid="{234FFAE3-E891-44B7-AC45-0BF897D31B95}"/>
    <hyperlink ref="E5861" r:id="rId18088" display="https://twitter.com/mattdownstch1/status/723844649400582144" xr:uid="{B16CC2A2-B0B4-43A8-8F7B-8F497D4EB7CD}"/>
    <hyperlink ref="O5861" r:id="rId18089" display="https://pbs.twimg.com/profile_images/722061901673447424/Dg_EuKrF_normal.jpg" xr:uid="{EF8A8F7D-8C23-401C-8A73-F4B955249B1A}"/>
    <hyperlink ref="B5862" r:id="rId18090" display="https://twitter.com/DubLuvTuning" xr:uid="{93BBCD06-33B3-47FE-9DE9-98FAE7F2F721}"/>
    <hyperlink ref="E5862" r:id="rId18091" display="https://twitter.com/DubLuvTuning/status/723844799481188352" xr:uid="{89DF20EE-CE14-4519-B631-71916EA19244}"/>
    <hyperlink ref="O5862" r:id="rId18092" display="https://pbs.twimg.com/profile_images/378800000572104796/1de43e1cf23efb3f4101c02afad0d3b6_normal.png" xr:uid="{1DC68C9C-F6C0-4DCC-9374-411792A67435}"/>
    <hyperlink ref="B5863" r:id="rId18093" display="https://twitter.com/Exvtra_uk" xr:uid="{0EC1801D-A958-4F6B-B6EE-EAA6A48D4A3E}"/>
    <hyperlink ref="C5863" r:id="rId18094" xr:uid="{C79B7427-A09F-4A33-B95E-306EF82ECB2F}"/>
    <hyperlink ref="E5863" r:id="rId18095" display="https://twitter.com/Exvtra_uk/status/723844807337119748" xr:uid="{2C7FAC2A-B529-4880-A25D-DAE0839AFD4F}"/>
    <hyperlink ref="O5863" r:id="rId18096" display="https://pbs.twimg.com/profile_images/524531569906565120/Noxq66xP_normal.jpeg" xr:uid="{E90ABD22-7F5B-4432-AE3C-26BA21030652}"/>
    <hyperlink ref="B5864" r:id="rId18097" display="https://twitter.com/Exvtra_uk" xr:uid="{2E0E3869-C618-4418-A1A4-8F9BD4059316}"/>
    <hyperlink ref="C5864" r:id="rId18098" xr:uid="{286FDA22-9A83-4EA8-88C4-280E9CE27358}"/>
    <hyperlink ref="E5864" r:id="rId18099" display="https://twitter.com/Exvtra_uk/status/723844836131016706" xr:uid="{B70A976E-410D-4F63-93C2-9FC7D5E1DC71}"/>
    <hyperlink ref="O5864" r:id="rId18100" display="https://pbs.twimg.com/profile_images/524531569906565120/Noxq66xP_normal.jpeg" xr:uid="{C688C134-87DE-4FDE-92AF-1632E7242C1B}"/>
    <hyperlink ref="B5865" r:id="rId18101" display="https://twitter.com/Exvtra_uk" xr:uid="{0DD7CE93-088D-40DC-91DE-CA9F783A7A16}"/>
    <hyperlink ref="C5865" r:id="rId18102" xr:uid="{68A4212E-F1FA-4D41-801F-34B048E69DCF}"/>
    <hyperlink ref="E5865" r:id="rId18103" display="https://twitter.com/Exvtra_uk/status/723844883920859136" xr:uid="{61AE41FA-B9FF-4123-84B9-A98EC88E8F5C}"/>
    <hyperlink ref="O5865" r:id="rId18104" display="https://pbs.twimg.com/profile_images/524531569906565120/Noxq66xP_normal.jpeg" xr:uid="{8D6AEDE5-3A45-49CC-AFE4-E436297D720E}"/>
    <hyperlink ref="B5866" r:id="rId18105" display="https://twitter.com/Shereen_Shabnam" xr:uid="{A8D89362-B1C5-411B-9DD4-ABAB08986F04}"/>
    <hyperlink ref="E5866" r:id="rId18106" display="https://twitter.com/Shereen_Shabnam/status/723844905462800384" xr:uid="{339DA17D-4E22-431C-A2BB-718A7851C23A}"/>
    <hyperlink ref="O5866" r:id="rId18107" display="https://pbs.twimg.com/profile_images/521400664019050497/hWGhy89F_normal.jpeg" xr:uid="{A7C0534A-9492-4F27-87B4-90DB7A0809F2}"/>
    <hyperlink ref="B5867" r:id="rId18108" display="https://twitter.com/Aboutwheels" xr:uid="{725B85EE-C7EB-4A87-9356-A3BB702A00EE}"/>
    <hyperlink ref="E5867" r:id="rId18109" display="https://twitter.com/Aboutwheels/status/723845211382767616" xr:uid="{9A08A365-CD25-4C4D-BD34-763AEC3B83E6}"/>
    <hyperlink ref="O5867" r:id="rId18110" display="https://pbs.twimg.com/profile_images/425018361852854272/odnnWFLd_normal.jpeg" xr:uid="{FED2A6B6-035F-4C13-8134-756A4F93B283}"/>
    <hyperlink ref="B5868" r:id="rId18111" display="https://twitter.com/InstaHotNow1" xr:uid="{AFFEB986-9E02-4A91-A1A2-C011AF51FF7D}"/>
    <hyperlink ref="E5868" r:id="rId18112" display="https://twitter.com/InstaHotNow1/status/723845645350498304" xr:uid="{6399B605-B0EB-470B-A354-A9E037F1145D}"/>
    <hyperlink ref="O5868" r:id="rId18113" display="https://pbs.twimg.com/profile_images/701822960152096768/0A3w9j0k_normal.jpg" xr:uid="{A2507A67-EAC3-4110-A38C-75C75C9BDC89}"/>
    <hyperlink ref="B5869" r:id="rId18114" display="https://twitter.com/FuscaWorld" xr:uid="{D0B5C96C-84BF-4EAD-9029-239852283D67}"/>
    <hyperlink ref="E5869" r:id="rId18115" display="https://twitter.com/FuscaWorld/status/723846132837834752" xr:uid="{F132E94F-8C36-41EB-88B2-77FB129024EA}"/>
    <hyperlink ref="O5869" r:id="rId18116" display="https://pbs.twimg.com/profile_images/705780107844067328/e7O4UBNb_normal.jpg" xr:uid="{7D239534-1F35-455F-901A-9ED89DBDB93C}"/>
    <hyperlink ref="B5870" r:id="rId18117" display="https://twitter.com/FuscaWorld" xr:uid="{F1876219-ECA8-471B-B118-CD5181F0B916}"/>
    <hyperlink ref="E5870" r:id="rId18118" display="https://twitter.com/FuscaWorld/status/723846137736736769" xr:uid="{953D2BF7-FFAD-478C-AE4E-0C12B6171915}"/>
    <hyperlink ref="O5870" r:id="rId18119" display="https://pbs.twimg.com/profile_images/705780107844067328/e7O4UBNb_normal.jpg" xr:uid="{D2BD9452-E287-4606-8F71-3AB4E9DCA520}"/>
    <hyperlink ref="B5871" r:id="rId18120" display="https://twitter.com/FuscaWorld" xr:uid="{9BB87CA5-B6AB-40E4-A446-17E593010F50}"/>
    <hyperlink ref="E5871" r:id="rId18121" display="https://twitter.com/FuscaWorld/status/723846139817132033" xr:uid="{DFBD9793-BFF7-4E1B-9BA8-8100292B8F4A}"/>
    <hyperlink ref="O5871" r:id="rId18122" display="https://pbs.twimg.com/profile_images/705780107844067328/e7O4UBNb_normal.jpg" xr:uid="{C4C3960F-6B5C-45A9-9D92-1F1C50D9CAC2}"/>
    <hyperlink ref="B5872" r:id="rId18123" display="https://twitter.com/FuscaWorld" xr:uid="{45235F53-E2B2-4DC9-A2F3-F80C5172AE90}"/>
    <hyperlink ref="E5872" r:id="rId18124" display="https://twitter.com/FuscaWorld/status/723846141683597312" xr:uid="{F67E90AB-1F7A-461D-99F7-A25E40EE4AF4}"/>
    <hyperlink ref="O5872" r:id="rId18125" display="https://pbs.twimg.com/profile_images/705780107844067328/e7O4UBNb_normal.jpg" xr:uid="{C39DEE16-0303-4204-B7AA-145A9ACDC5AD}"/>
    <hyperlink ref="B5873" r:id="rId18126" display="https://twitter.com/FuscaWorld" xr:uid="{C6B28917-D11F-4A29-8260-5CE8F7E85473}"/>
    <hyperlink ref="E5873" r:id="rId18127" display="https://twitter.com/FuscaWorld/status/723846143717838848" xr:uid="{8339C920-392B-41A7-AF17-5F032B7270CE}"/>
    <hyperlink ref="O5873" r:id="rId18128" display="https://pbs.twimg.com/profile_images/705780107844067328/e7O4UBNb_normal.jpg" xr:uid="{363DDC5F-2BD4-4EB2-8863-B5BDC36A51DF}"/>
    <hyperlink ref="B5874" r:id="rId18129" display="https://twitter.com/FuscaWorld" xr:uid="{B7298E0D-FEB6-444F-B351-1BB2E8700F01}"/>
    <hyperlink ref="E5874" r:id="rId18130" display="https://twitter.com/FuscaWorld/status/723846147350122496" xr:uid="{2B9CFA0E-A932-40AE-A7EA-BB9625614818}"/>
    <hyperlink ref="O5874" r:id="rId18131" display="https://pbs.twimg.com/profile_images/705780107844067328/e7O4UBNb_normal.jpg" xr:uid="{F557A5CD-F894-4125-8B1F-2243D4EB0E98}"/>
    <hyperlink ref="B5875" r:id="rId18132" display="https://twitter.com/manfredelsner" xr:uid="{1AA71C63-4021-41A9-B419-674617B8482D}"/>
    <hyperlink ref="E5875" r:id="rId18133" display="https://twitter.com/manfredelsner/status/723846295333511168" xr:uid="{0AACDF9F-48DF-4961-9965-0567A46D6EB0}"/>
    <hyperlink ref="O5875" r:id="rId18134" display="https://pbs.twimg.com/profile_images/2605614780/n4nhv76ydkxd1bgav4sa_normal.jpeg" xr:uid="{E2DF3001-645D-481D-B640-E1D6FE7E190F}"/>
    <hyperlink ref="B5876" r:id="rId18135" display="https://twitter.com/MarkCSchneider" xr:uid="{205ABF56-F75C-4DC0-B0A1-ADC0FB58CBC5}"/>
    <hyperlink ref="E5876" r:id="rId18136" display="https://twitter.com/MarkCSchneider/status/723846430662754304" xr:uid="{ECB95E93-F263-475E-A673-2ADA90783C5E}"/>
    <hyperlink ref="O5876" r:id="rId18137" display="https://pbs.twimg.com/profile_images/706784695795769345/XGXgdjww_normal.jpg" xr:uid="{BFF6EF23-F26F-43C9-88B6-88F3E50B1F84}"/>
    <hyperlink ref="B5877" r:id="rId18138" display="https://twitter.com/Dandii" xr:uid="{788A24B0-71DF-4396-A4EE-93F0C5B88E62}"/>
    <hyperlink ref="E5877" r:id="rId18139" display="https://twitter.com/Dandii/status/723846668744056833" xr:uid="{C69E0E56-89B7-4749-AFF3-DE3FB3BEA7D7}"/>
    <hyperlink ref="O5877" r:id="rId18140" display="https://pbs.twimg.com/profile_images/454742454743609344/phoHOZ9h_normal.jpeg" xr:uid="{03BAD8A6-4425-4F02-A3CC-81D7A95E3F93}"/>
    <hyperlink ref="B5878" r:id="rId18141" display="https://twitter.com/CBSDetroit" xr:uid="{CB7FB88C-F53F-4B57-8837-FA902996032B}"/>
    <hyperlink ref="E5878" r:id="rId18142" display="https://twitter.com/CBSDetroit/status/723846964601716737" xr:uid="{79A37265-9602-4AA3-896C-5B2CDD91C5D6}"/>
    <hyperlink ref="O5878" r:id="rId18143" display="https://pbs.twimg.com/profile_images/3495327835/97a74b07f81dbe41b12b527f8c7fc52c_normal.jpeg" xr:uid="{E39E4905-2FB1-45D8-9A5F-0A515FBCE81F}"/>
    <hyperlink ref="B5879" r:id="rId18144" display="https://twitter.com/WWJ950" xr:uid="{1E2CE028-8900-426D-B595-B976C16DF0F4}"/>
    <hyperlink ref="E5879" r:id="rId18145" display="https://twitter.com/WWJ950/status/723846965864189952" xr:uid="{FDEDEAAC-D822-4B92-8F9C-EA0DC7FCB617}"/>
    <hyperlink ref="O5879" r:id="rId18146" display="https://pbs.twimg.com/profile_images/2652043886/466bedb70eab21210898bbb81cbcd08f_normal.png" xr:uid="{D68DC3C1-0058-4200-9E91-974047CFBAA7}"/>
    <hyperlink ref="B5880" r:id="rId18147" display="https://twitter.com/Marina_Ilona" xr:uid="{4639E7FF-0AF3-48E3-BED4-F99D721F2722}"/>
    <hyperlink ref="E5880" r:id="rId18148" display="https://twitter.com/Marina_Ilona/status/723847378499964928" xr:uid="{E6327892-16A6-456F-9FB3-0F5960963725}"/>
    <hyperlink ref="O5880" r:id="rId18149" display="https://pbs.twimg.com/profile_images/692310744122179588/mSQOWSau_normal.jpg" xr:uid="{FF47E922-CFF4-4182-9FD7-2490CF6FBD42}"/>
    <hyperlink ref="B5881" r:id="rId18150" display="https://twitter.com/81Vosvos" xr:uid="{B5E816FF-E16B-43D5-91A1-9B7EE86F0436}"/>
    <hyperlink ref="E5881" r:id="rId18151" display="https://twitter.com/81Vosvos/status/723847431671132160" xr:uid="{9450FCA2-B474-4AFF-9FD4-E5401E6D0ACD}"/>
    <hyperlink ref="O5881" r:id="rId18152" display="https://pbs.twimg.com/profile_images/723564585509371905/ahjvupSE_normal.jpg" xr:uid="{D19FF425-36F3-4E98-9E9A-861E898BB2E5}"/>
    <hyperlink ref="B5882" r:id="rId18153" display="https://twitter.com/imtheweatherguy" xr:uid="{CC497A57-10BC-43F2-91BF-A9E36A42E9A1}"/>
    <hyperlink ref="E5882" r:id="rId18154" display="https://twitter.com/imtheweatherguy/status/723847554069356545" xr:uid="{128B32A4-1D82-4DF3-9635-D854806A502D}"/>
    <hyperlink ref="O5882" r:id="rId18155" display="https://pbs.twimg.com/profile_images/592053404303826944/dFGzjd4i_normal.jpg" xr:uid="{13696F68-911B-4E0A-B745-46A85BFC679B}"/>
    <hyperlink ref="B5883" r:id="rId18156" display="https://twitter.com/shochi_hh" xr:uid="{7B9EB50F-3251-4953-953C-7219AFB0BD9C}"/>
    <hyperlink ref="E5883" r:id="rId18157" display="https://twitter.com/shochi_hh/status/723847648835293184" xr:uid="{74852017-F244-438A-A08B-FE4AAB9D7994}"/>
    <hyperlink ref="O5883" r:id="rId18158" display="https://pbs.twimg.com/profile_images/378800000566208652/10a58f54013f0c319b1253d4b4c7dc5f_normal.jpeg" xr:uid="{12290660-BDEB-4A62-9C53-6ACAA58B0648}"/>
    <hyperlink ref="B5884" r:id="rId18159" display="https://twitter.com/asriehasnie" xr:uid="{E6290452-5F02-464E-8F42-DEF3AF92D20E}"/>
    <hyperlink ref="E5884" r:id="rId18160" display="https://twitter.com/asriehasnie/status/723847888762114048" xr:uid="{08FE30AA-7CCE-44A1-8BE7-8BF110BD72A9}"/>
    <hyperlink ref="O5884" r:id="rId18161" display="https://pbs.twimg.com/profile_images/718453650218061824/qMyM9nm2_normal.jpg" xr:uid="{7D0F952D-9B6D-424C-99AF-DAE4FA1000E9}"/>
    <hyperlink ref="B5885" r:id="rId18162" display="https://twitter.com/HeadBistro" xr:uid="{E0B6E7EF-F9C1-4903-85E7-4785A09DE9BE}"/>
    <hyperlink ref="E5885" r:id="rId18163" display="https://twitter.com/HeadBistro/status/723847902016233472" xr:uid="{83ED865C-EEA5-41F9-BAD5-D59A53D82CBF}"/>
    <hyperlink ref="O5885" r:id="rId18164" display="https://pbs.twimg.com/profile_images/723248256629788673/K_ud_lgL_normal.jpg" xr:uid="{DD31596E-D096-4D91-9363-E3EA58AC0521}"/>
    <hyperlink ref="B5886" r:id="rId18165" display="https://twitter.com/Exvtra_uk" xr:uid="{294A27ED-8DBF-4AC0-8720-A7C01A81CC92}"/>
    <hyperlink ref="C5886" r:id="rId18166" xr:uid="{AD9479A0-FF84-45B6-9ACC-3FC053F692C2}"/>
    <hyperlink ref="E5886" r:id="rId18167" display="https://twitter.com/Exvtra_uk/status/723847960774217730" xr:uid="{6CB02819-C6BE-44AF-9F39-2B5AEABB2265}"/>
    <hyperlink ref="O5886" r:id="rId18168" display="https://pbs.twimg.com/profile_images/524531569906565120/Noxq66xP_normal.jpeg" xr:uid="{A4C4CB29-1BE6-4F9B-AEA2-1A55BE59ED33}"/>
    <hyperlink ref="B5887" r:id="rId18169" display="https://twitter.com/mark_tipp" xr:uid="{0498B6D2-8417-436A-91CF-DCD83953E4C0}"/>
    <hyperlink ref="E5887" r:id="rId18170" display="https://twitter.com/mark_tipp/status/723848371413372929" xr:uid="{C3BE72F4-B22E-49E7-ADB0-C8E910923C84}"/>
    <hyperlink ref="O5887" r:id="rId18171" display="https://pbs.twimg.com/profile_images/1794026974/Image0298_normal.jpg" xr:uid="{8C0493C4-CE55-4AAD-AA1A-0B3024852FF8}"/>
    <hyperlink ref="B5888" r:id="rId18172" display="https://twitter.com/Twitchin888" xr:uid="{DE065E61-9763-4BD3-84C4-CB3180C9EA02}"/>
    <hyperlink ref="E5888" r:id="rId18173" display="https://twitter.com/Twitchin888/status/723848427663052805" xr:uid="{82693E03-7540-4B55-A7BD-20D87F39AAD7}"/>
    <hyperlink ref="O5888" r:id="rId18174" display="https://pbs.twimg.com/profile_images/549662230048804864/0zcWWKDp_normal.jpeg" xr:uid="{4A8564D4-2AE8-49B1-8BDA-DE3BBB0B1371}"/>
    <hyperlink ref="B5889" r:id="rId18175" display="https://twitter.com/CornwallBzForum" xr:uid="{B3D18169-8FA3-48B7-B381-EA48541E7A05}"/>
    <hyperlink ref="E5889" r:id="rId18176" display="https://twitter.com/CornwallBzForum/status/723848731351781376" xr:uid="{96A63E54-F8E0-4E89-9867-30C8665E9C55}"/>
    <hyperlink ref="O5889" r:id="rId18177" display="https://pbs.twimg.com/profile_images/3120330421/18166a7606798b1cd07c5596ffc4001f_normal.png" xr:uid="{3F6F4CE6-5C1C-4AEC-9CB8-F80C779B99E4}"/>
    <hyperlink ref="B5890" r:id="rId18178" display="https://twitter.com/M_Draeger" xr:uid="{9CCA34D7-A914-44F5-8915-E7FEA9102953}"/>
    <hyperlink ref="E5890" r:id="rId18179" display="https://twitter.com/M_Draeger/status/723848743842394112" xr:uid="{1F327FBE-7E11-494F-8A60-8D3FF1C04DC1}"/>
    <hyperlink ref="O5890" r:id="rId18180" display="https://pbs.twimg.com/profile_images/466231140588605440/LpEqV7bj_normal.jpeg" xr:uid="{C15070DD-B26A-4C6B-9243-AED937911ADF}"/>
    <hyperlink ref="B5891" r:id="rId18181" display="https://twitter.com/grazynagintner" xr:uid="{53F48C7C-FCEC-45AF-A4FC-C0C97A32A49D}"/>
    <hyperlink ref="E5891" r:id="rId18182" display="https://twitter.com/grazynagintner/status/723848857860378624" xr:uid="{A2CC693A-B60A-4A4D-B9FA-9388A67E8B5E}"/>
    <hyperlink ref="O5891" r:id="rId18183" display="https://pbs.twimg.com/profile_images/681874926140284932/pL8_tZ_F_normal.jpg" xr:uid="{F72C1F27-4041-48FC-A39B-DCEA1A549017}"/>
    <hyperlink ref="B5892" r:id="rId18184" display="https://twitter.com/nope75440125" xr:uid="{4D919E3A-0150-4AFF-8263-7F47B7A154F1}"/>
    <hyperlink ref="E5892" r:id="rId18185" display="https://twitter.com/nope75440125/status/723849706137391104" xr:uid="{BE01F095-8D9D-4FB7-8367-7EF3CBDB6C9C}"/>
    <hyperlink ref="O5892" r:id="rId18186" display="https://pbs.twimg.com/profile_images/590257090796597248/p6AfDYxV_normal.jpg" xr:uid="{2CB6779D-6150-45D6-B01B-70186B813BEF}"/>
    <hyperlink ref="B5893" r:id="rId18187" display="https://twitter.com/CARS_MMcLay" xr:uid="{9020507A-12EB-4E1C-A1BC-BD0F7C69250F}"/>
    <hyperlink ref="E5893" r:id="rId18188" display="https://twitter.com/CARS_MMcLay/status/723850190751412224" xr:uid="{A3DC7EF4-9961-444E-9E4F-E137B98B46F9}"/>
    <hyperlink ref="O5893" r:id="rId18189" display="https://pbs.twimg.com/profile_images/603944903572267008/opS_TgdQ_normal.png" xr:uid="{2ECF3CE4-7FAD-481C-8868-2B7A600B9F88}"/>
    <hyperlink ref="B5894" r:id="rId18190" display="https://twitter.com/ContemporaryHan" xr:uid="{D6EE6C5A-84DD-4F85-8DB0-19C52181BB72}"/>
    <hyperlink ref="E5894" r:id="rId18191" display="https://twitter.com/ContemporaryHan/status/723850194459213824" xr:uid="{00836CEC-2814-45B7-A0E8-F650DAB5F407}"/>
    <hyperlink ref="O5894" r:id="rId18192" display="https://pbs.twimg.com/profile_images/689057873352085505/ITqw1MRX_normal.jpg" xr:uid="{8DCE6283-D258-468A-BCB7-B0578A5C969E}"/>
    <hyperlink ref="B5895" r:id="rId18193" display="https://twitter.com/peterlfoster" xr:uid="{B4783E5A-37CE-46DD-87FE-89152D3085EF}"/>
    <hyperlink ref="E5895" r:id="rId18194" display="https://twitter.com/peterlfoster/status/723850681656958977" xr:uid="{72F0F9BB-E347-409E-81F7-68F21F13A22F}"/>
    <hyperlink ref="O5895" r:id="rId18195" display="https://pbs.twimg.com/profile_images/2999449482/b2656ef7bb2deb53c433a514f80848aa_normal.jpeg" xr:uid="{862916B6-2027-43B2-81C0-4621376196AB}"/>
    <hyperlink ref="B5896" r:id="rId18196" display="https://twitter.com/nbjustin" xr:uid="{E3B72F99-F1EB-44C7-B973-6C6596F59E15}"/>
    <hyperlink ref="E5896" r:id="rId18197" display="https://twitter.com/nbjustin/status/723850797948219392" xr:uid="{CDE257C3-085E-40A1-8142-2C464F86C0F9}"/>
    <hyperlink ref="O5896" r:id="rId18198" display="https://pbs.twimg.com/profile_images/649588042655748096/kSJoPtyb_normal.jpg" xr:uid="{C1DAF5D8-5F8D-487B-A5F6-D39BFD13A829}"/>
    <hyperlink ref="B5897" r:id="rId18199" display="https://twitter.com/OnlineCarReview" xr:uid="{7DF3942A-3331-4557-BB42-023C934DFD1A}"/>
    <hyperlink ref="E5897" r:id="rId18200" display="https://twitter.com/OnlineCarReview/status/723850907578834953" xr:uid="{E2FC57E8-7639-47CF-926B-B6893369444E}"/>
    <hyperlink ref="O5897" r:id="rId18201" display="https://pbs.twimg.com/profile_images/652871584131092480/QA_B6SBO_normal.jpg" xr:uid="{C939EC9C-54FA-41E4-8A32-D6E157262D4A}"/>
    <hyperlink ref="B5898" r:id="rId18202" display="https://twitter.com/stephen08293226" xr:uid="{54387942-48BB-4A80-8D78-3BEFC66FD2F4}"/>
    <hyperlink ref="E5898" r:id="rId18203" display="https://twitter.com/stephen08293226/status/723851116212043778" xr:uid="{89729C95-84AC-492C-B103-5D4913F8FDB5}"/>
    <hyperlink ref="O5898" r:id="rId18204" display="https://abs.twimg.com/sticky/default_profile_images/default_profile_6_normal.png" xr:uid="{CBE5D1EE-0B5B-4A0D-9B74-BEF3B3F2E23A}"/>
    <hyperlink ref="B5899" r:id="rId18205" display="https://twitter.com/VeeDubMk1_" xr:uid="{303B9BAA-11F1-4ED8-98F0-3BDF14A719D0}"/>
    <hyperlink ref="E5899" r:id="rId18206" display="https://twitter.com/VeeDubMk1_/status/723851300857892864" xr:uid="{A3027014-F551-438F-AE79-8F80117C4F2F}"/>
    <hyperlink ref="O5899" r:id="rId18207" display="https://pbs.twimg.com/profile_images/672878354127839232/M7OYc-zx_normal.jpg" xr:uid="{6AFD6A3B-3FE1-419A-90BC-C1CD8F90E2E6}"/>
    <hyperlink ref="B5900" r:id="rId18208" display="https://twitter.com/VolkswagenPost" xr:uid="{55D0B37D-531D-49FC-98A6-C8A1C4C52807}"/>
    <hyperlink ref="E5900" r:id="rId18209" display="https://twitter.com/VolkswagenPost/status/723851366611881984" xr:uid="{FA74CF23-0BBF-4C39-B0A5-8E1BDBEB691E}"/>
    <hyperlink ref="O5900" r:id="rId18210" display="https://pbs.twimg.com/profile_images/530071272881803264/a_jcCmPZ_normal.png" xr:uid="{F4FBC85C-CC94-4543-AC33-5736DB5FF83F}"/>
    <hyperlink ref="B5901" r:id="rId18211" display="https://twitter.com/FindingDhimo" xr:uid="{38EE09C9-2DCB-40A9-BB6D-6D22CD22B558}"/>
    <hyperlink ref="E5901" r:id="rId18212" display="https://twitter.com/FindingDhimo/status/723851385566056448" xr:uid="{A0C60F6C-B029-4512-AF59-E37F0124DBF9}"/>
    <hyperlink ref="O5901" r:id="rId18213" display="https://pbs.twimg.com/profile_images/687676353450217472/nPh8M5dG_normal.jpg" xr:uid="{2410D45C-4E2D-458E-8A21-F8FBD9EB9C65}"/>
    <hyperlink ref="B5902" r:id="rId18214" display="https://twitter.com/Insta_VWT" xr:uid="{9DD18E44-81C6-429B-A437-A1F86B8609C4}"/>
    <hyperlink ref="E5902" r:id="rId18215" display="https://twitter.com/Insta_VWT/status/723851411491053568" xr:uid="{0F4322FB-BC54-4564-840F-F558351B3F5D}"/>
    <hyperlink ref="O5902" r:id="rId18216" display="https://pbs.twimg.com/profile_images/424893967197433858/iQ86NktX_normal.jpeg" xr:uid="{24A74D5E-4C62-43D5-8682-1F4DBCC5C80C}"/>
    <hyperlink ref="B5903" r:id="rId18217" display="https://twitter.com/motorhappy" xr:uid="{454A4D21-E657-4A59-9593-27E5F82D03AA}"/>
    <hyperlink ref="E5903" r:id="rId18218" display="https://twitter.com/motorhappy/status/723851808444178432" xr:uid="{63D165F2-CF17-4C98-8D02-DDD34BE789D1}"/>
    <hyperlink ref="O5903" r:id="rId18219" display="https://pbs.twimg.com/profile_images/552042888666705921/TxWAPB36_normal.png" xr:uid="{D9375D48-B11F-49ED-8154-E8F76D15A3D8}"/>
    <hyperlink ref="B5904" r:id="rId18220" display="https://twitter.com/VCT_Tweets" xr:uid="{B7221776-8DA2-4A87-B3E9-DEB5473779AE}"/>
    <hyperlink ref="E5904" r:id="rId18221" display="https://twitter.com/VCT_Tweets/status/723851813129203713" xr:uid="{B394145D-0CCA-4B5D-990C-667E4A4328D8}"/>
    <hyperlink ref="O5904" r:id="rId18222" display="https://pbs.twimg.com/profile_images/569800899141177344/nVFLMSdb_normal.png" xr:uid="{667C35BC-1B3B-4757-8E46-21E6F5B07715}"/>
    <hyperlink ref="B5905" r:id="rId18223" display="https://twitter.com/MotorHour" xr:uid="{319AB9FD-C7B1-4BBB-83DE-DDEB73F65D33}"/>
    <hyperlink ref="E5905" r:id="rId18224" display="https://twitter.com/MotorHour/status/723852094034329600" xr:uid="{FC9DBB45-9632-4078-9BC3-6C0FA3E7C63F}"/>
    <hyperlink ref="O5905" r:id="rId18225" display="https://pbs.twimg.com/profile_images/552044021774700544/M3FC3arM_normal.jpeg" xr:uid="{F504005F-E1C5-4A51-95CA-7FAD345C6C4F}"/>
    <hyperlink ref="B5906" r:id="rId18226" display="https://twitter.com/VWCamperSales" xr:uid="{4AFAFD8A-5D4A-446F-BFFD-01FC13A9F784}"/>
    <hyperlink ref="E5906" r:id="rId18227" display="https://twitter.com/VWCamperSales/status/723852311525658624" xr:uid="{2BF078B6-A469-4386-9EF1-A494F87FCB35}"/>
    <hyperlink ref="F5906" r:id="rId18228" xr:uid="{57271BEF-6385-450D-9E59-90E16EA91ECD}"/>
    <hyperlink ref="O5906" r:id="rId18229" display="https://pbs.twimg.com/profile_images/627949001179037696/skEBkS05_normal.jpg" xr:uid="{AD81E54B-AF92-4800-AD31-40460643A0D8}"/>
    <hyperlink ref="B5907" r:id="rId18230" display="https://twitter.com/Onlydriving1" xr:uid="{7D2ECEB0-8269-4BA9-8315-E368DBC2C6CE}"/>
    <hyperlink ref="E5907" r:id="rId18231" display="https://twitter.com/Onlydriving1/status/723852369600106496" xr:uid="{49E46FA3-B116-4308-9424-BB5FCA792E72}"/>
    <hyperlink ref="O5907" r:id="rId18232" display="https://pbs.twimg.com/profile_images/494041717373300736/H07jZb4u_normal.jpeg" xr:uid="{F86D113D-36B7-4C81-9688-7E2BE91B2FFF}"/>
    <hyperlink ref="B5908" r:id="rId18233" display="https://twitter.com/Shereen_Shabnam" xr:uid="{E091EB4D-D78D-4C2A-AB9C-0A5F5796C640}"/>
    <hyperlink ref="E5908" r:id="rId18234" display="https://twitter.com/Shereen_Shabnam/status/723852465997799425" xr:uid="{B0684466-8F30-4045-8F4D-66DE80E48E68}"/>
    <hyperlink ref="O5908" r:id="rId18235" display="https://pbs.twimg.com/profile_images/521400664019050497/hWGhy89F_normal.jpeg" xr:uid="{8846E8D1-AFEB-4AAB-B8BF-630C2DDB894C}"/>
    <hyperlink ref="B5909" r:id="rId18236" display="https://twitter.com/BootsBrothers" xr:uid="{FF653C29-5420-4964-BC86-5581ABA7E95F}"/>
    <hyperlink ref="E5909" r:id="rId18237" display="https://twitter.com/BootsBrothers/status/723853112117723136" xr:uid="{F18011F9-A038-44CD-9EA5-4F9DA1E7E0B0}"/>
    <hyperlink ref="O5909" r:id="rId18238" display="https://pbs.twimg.com/profile_images/623002118480224256/a4_TT0iV_normal.jpg" xr:uid="{23D8BF01-34CE-43E6-A366-B789555E3B6F}"/>
    <hyperlink ref="B5910" r:id="rId18239" display="https://twitter.com/charlieemma" xr:uid="{0F3E7993-8137-4B17-8598-FA4209B9250E}"/>
    <hyperlink ref="E5910" r:id="rId18240" display="https://twitter.com/charlieemma/status/723853609843175425" xr:uid="{09454018-0105-446C-9A89-7AC4A49A6CB8}"/>
    <hyperlink ref="O5910" r:id="rId18241" display="https://pbs.twimg.com/profile_images/630521424529203200/BI1XLLRq_normal.jpg" xr:uid="{7534AE8C-81DF-41B4-ADBB-71432127D819}"/>
    <hyperlink ref="B5911" r:id="rId18242" display="https://twitter.com/KinsaleOnline" xr:uid="{9E04701D-BACD-467E-8E6D-FC02CFD3BCE9}"/>
    <hyperlink ref="E5911" r:id="rId18243" display="https://twitter.com/KinsaleOnline/status/723854292822687745" xr:uid="{5871A6C5-82ED-40C8-90B2-009D8544A3C2}"/>
    <hyperlink ref="O5911" r:id="rId18244" display="https://pbs.twimg.com/profile_images/718804114780655616/RVH524-G_normal.jpg" xr:uid="{B4189E23-22FD-47EB-93C8-F62F339BA686}"/>
    <hyperlink ref="B5912" r:id="rId18245" display="https://twitter.com/krankspinatra" xr:uid="{8D88FDF1-536E-4797-BF57-1402E66F27AA}"/>
    <hyperlink ref="E5912" r:id="rId18246" display="https://twitter.com/krankspinatra/status/723857146610343936" xr:uid="{B160CCD7-DA19-4804-9568-8130D7FD9909}"/>
    <hyperlink ref="O5912" r:id="rId18247" display="https://pbs.twimg.com/profile_images/688893787205074944/EvYVmDGM_normal.jpg" xr:uid="{313B56F7-73C4-41A4-A3AD-A13667FA3F58}"/>
    <hyperlink ref="B5913" r:id="rId18248" display="https://twitter.com/Soullehhin" xr:uid="{BDAB52F5-115E-404B-B51D-0589E5E43B8E}"/>
    <hyperlink ref="E5913" r:id="rId18249" display="https://twitter.com/Soullehhin/status/723857264491134977" xr:uid="{B61876B3-ED6E-44AE-9AB0-95C404BEE630}"/>
    <hyperlink ref="O5913" r:id="rId18250" display="https://pbs.twimg.com/profile_images/675828432056352768/HeAvTTHu_normal.jpg" xr:uid="{ADB570ED-B575-41FA-8C85-840F9CAC65D3}"/>
    <hyperlink ref="B5914" r:id="rId18251" display="https://twitter.com/Jh0nX" xr:uid="{785865D5-4A85-4A28-8826-1EF90E26A418}"/>
    <hyperlink ref="E5914" r:id="rId18252" display="https://twitter.com/Jh0nX/status/723858732988375040" xr:uid="{3BBD30DE-7519-4A79-B08C-985F692CBAC1}"/>
    <hyperlink ref="O5914" r:id="rId18253" display="https://pbs.twimg.com/profile_images/703530030010335232/GY0EEAPw_normal.jpg" xr:uid="{221B7AE6-8936-41F7-AD7F-960506937584}"/>
    <hyperlink ref="B5915" r:id="rId18254" display="https://twitter.com/VWCamperSales" xr:uid="{59AA21CD-BB63-46F7-AEC1-8658ABC67F0F}"/>
    <hyperlink ref="E5915" r:id="rId18255" display="https://twitter.com/VWCamperSales/status/723858746191974400" xr:uid="{CFD980D0-B082-4DC6-B3CA-C3A45C319769}"/>
    <hyperlink ref="F5915" r:id="rId18256" xr:uid="{7C3B5280-48FE-4D18-8823-B11916AAFA5E}"/>
    <hyperlink ref="O5915" r:id="rId18257" display="https://pbs.twimg.com/profile_images/627949001179037696/skEBkS05_normal.jpg" xr:uid="{D8C3B8E9-88A1-465D-902C-35E2BCA5F2C7}"/>
    <hyperlink ref="B5916" r:id="rId18258" display="https://twitter.com/VWCamperSales" xr:uid="{372A9F88-98A4-4476-A92E-739AA831EE38}"/>
    <hyperlink ref="E5916" r:id="rId18259" display="https://twitter.com/VWCamperSales/status/723858751422255105" xr:uid="{366A64C6-DBF5-40D2-A86B-5DD5C3C4BA9D}"/>
    <hyperlink ref="F5916" r:id="rId18260" xr:uid="{48A0FBDC-8E82-4719-BE4C-FCD340D1F39E}"/>
    <hyperlink ref="O5916" r:id="rId18261" display="https://pbs.twimg.com/profile_images/627949001179037696/skEBkS05_normal.jpg" xr:uid="{490F0880-0DEA-4D7B-B21D-9B5B489AE6B4}"/>
    <hyperlink ref="B5917" r:id="rId18262" display="https://twitter.com/AlwaysInTheTaxi" xr:uid="{7CCAD54C-A43A-446C-90D9-294F5F86CF25}"/>
    <hyperlink ref="E5917" r:id="rId18263" display="https://twitter.com/AlwaysInTheTaxi/status/723858922856165376" xr:uid="{F0BCB646-FCC3-49D1-845F-C5263684B02C}"/>
    <hyperlink ref="O5917" r:id="rId18264" display="https://pbs.twimg.com/profile_images/558311466282270721/qSeyoc7L_normal.jpeg" xr:uid="{1DE596AD-4056-4DF8-AE35-069E73D5EE48}"/>
    <hyperlink ref="B5918" r:id="rId18265" display="https://twitter.com/swanswaygroup" xr:uid="{E6B4DC07-D7C7-4E2E-864B-2EF3BE78A079}"/>
    <hyperlink ref="E5918" r:id="rId18266" display="https://twitter.com/swanswaygroup/status/723858972516728832" xr:uid="{D660F7A9-5784-4FC2-A6D7-B23773483B57}"/>
    <hyperlink ref="O5918" r:id="rId18267" display="https://pbs.twimg.com/profile_images/552037189328982016/r65JRGTS_normal.jpeg" xr:uid="{B289F7B0-FD95-4454-BF14-C31DA11ED423}"/>
    <hyperlink ref="B5919" r:id="rId18268" display="https://twitter.com/crewevw" xr:uid="{D3BD12F5-0975-4A4C-B066-6B2F36E3950E}"/>
    <hyperlink ref="E5919" r:id="rId18269" display="https://twitter.com/crewevw/status/723858976253849600" xr:uid="{3326CF02-F3EC-45BE-8800-CFDE3DCC78FF}"/>
    <hyperlink ref="O5919" r:id="rId18270" display="https://pbs.twimg.com/profile_images/488678354338324481/_qtBruR6_normal.jpeg" xr:uid="{E5D0C570-531A-44F9-B743-7BE3276411E3}"/>
    <hyperlink ref="B5920" r:id="rId18271" display="https://twitter.com/nicetvgermany" xr:uid="{4D3DDC37-99C3-4733-AC57-7C2140CC00CF}"/>
    <hyperlink ref="E5920" r:id="rId18272" display="https://twitter.com/nicetvgermany/status/723859080020918272" xr:uid="{9F423BE3-A262-43AC-96CE-F92B1124C4F3}"/>
    <hyperlink ref="O5920" r:id="rId18273" display="https://pbs.twimg.com/profile_images/708809206032424960/bdr9jDE-_normal.jpg" xr:uid="{2AD34A34-4127-40C4-A970-0CD376EE4F03}"/>
    <hyperlink ref="B5921" r:id="rId18274" display="https://twitter.com/DanpolLodz" xr:uid="{574151CC-F2EE-4874-BCDE-4D18C9C4C97A}"/>
    <hyperlink ref="E5921" r:id="rId18275" display="https://twitter.com/DanpolLodz/status/723859173306408960" xr:uid="{CFEDF33A-1686-4BB8-92D5-E23692C8CDF1}"/>
    <hyperlink ref="O5921" r:id="rId18276" display="https://pbs.twimg.com/profile_images/496641357113331712/epbi56D0_normal.jpeg" xr:uid="{04EF00ED-2251-4205-91ED-53988331A91B}"/>
    <hyperlink ref="B5922" r:id="rId18277" display="https://twitter.com/GolfitIt" xr:uid="{9685E2EF-23C7-4560-BD00-17CBF9B76941}"/>
    <hyperlink ref="E5922" r:id="rId18278" display="https://twitter.com/GolfitIt/status/723859302964989954" xr:uid="{E9E8D412-FDC3-4BC4-9994-9AFCE386ED8E}"/>
    <hyperlink ref="O5922" r:id="rId18279" display="https://pbs.twimg.com/profile_images/465845159607824386/C2TZw1k6_normal.jpeg" xr:uid="{A7643A52-2CCE-450D-90E5-5589A97406B3}"/>
    <hyperlink ref="B5923" r:id="rId18280" display="https://twitter.com/vwpress_de" xr:uid="{F51A6B43-AA3E-4D0C-95A6-99A4E45D85F0}"/>
    <hyperlink ref="E5923" r:id="rId18281" display="https://twitter.com/vwpress_de/status/723859340210372608" xr:uid="{CAF20BD6-4B7F-4F67-ABF6-602C8997F7CE}"/>
    <hyperlink ref="O5923" r:id="rId18282" display="https://pbs.twimg.com/profile_images/682117656502222848/Ge7YeAF3_normal.png" xr:uid="{FA5CE495-5B98-4BAA-B9A1-95C050659D39}"/>
    <hyperlink ref="B5924" r:id="rId18283" display="https://twitter.com/ECC_SouthC" xr:uid="{E6614362-023B-4C6F-A561-DA0F51D4CD5C}"/>
    <hyperlink ref="E5924" r:id="rId18284" display="https://twitter.com/ECC_SouthC/status/723859345574891520" xr:uid="{2D682299-7341-4A76-9EC2-B35B1CC9DB48}"/>
    <hyperlink ref="O5924" r:id="rId18285" display="https://pbs.twimg.com/profile_images/624941492038201344/p1XivIQQ_normal.png" xr:uid="{B5BE4BF8-2947-4A32-823E-4A9DA68FAB5D}"/>
    <hyperlink ref="B5925" r:id="rId18286" display="https://twitter.com/MecGenMC" xr:uid="{CD77B371-F860-4F36-AF8A-00DDD8E93487}"/>
    <hyperlink ref="E5925" r:id="rId18287" display="https://twitter.com/MecGenMC/status/723859360401788929" xr:uid="{02365E1E-F732-4EFC-A763-295921924C84}"/>
    <hyperlink ref="O5925" r:id="rId18288" display="https://pbs.twimg.com/profile_images/714778426171850752/4lk3oa_x_normal.jpg" xr:uid="{D306F570-4F2B-4A47-9350-C3CC9EF44859}"/>
    <hyperlink ref="B5926" r:id="rId18289" display="https://twitter.com/GaryLyford" xr:uid="{C1A4FE19-F42B-4A2A-A7A1-29D15D4E201E}"/>
    <hyperlink ref="E5926" r:id="rId18290" display="https://twitter.com/GaryLyford/status/723859561409613824" xr:uid="{95FE5E26-6666-4892-B8D2-72B054934ACC}"/>
    <hyperlink ref="O5926" r:id="rId18291" display="https://pbs.twimg.com/profile_images/2184365538/twtpic_normal.jpg" xr:uid="{2EEF9A2D-E700-4F24-8D97-CD7A417801A9}"/>
    <hyperlink ref="B5927" r:id="rId18292" display="https://twitter.com/vwpress_en" xr:uid="{4DA9AA93-E99B-4D32-A1AB-9B1C4AF60D6B}"/>
    <hyperlink ref="E5927" r:id="rId18293" display="https://twitter.com/vwpress_en/status/723859630733045760" xr:uid="{3C1276B2-556B-4832-B4B4-6B5E6AB45F69}"/>
    <hyperlink ref="O5927" r:id="rId18294" display="https://pbs.twimg.com/profile_images/682117963349135360/IUfZQy35_normal.png" xr:uid="{6D9B9E74-4E23-4778-B123-AB89C8024FEE}"/>
    <hyperlink ref="B5928" r:id="rId18295" display="https://twitter.com/TheSnMGroup" xr:uid="{5DB75687-FB00-4BAA-B58A-859834A47DC6}"/>
    <hyperlink ref="E5928" r:id="rId18296" display="https://twitter.com/TheSnMGroup/status/723859781686013952" xr:uid="{5FF497ED-D8DE-424F-B22F-0CAD4AD75A0F}"/>
    <hyperlink ref="O5928" r:id="rId18297" display="https://pbs.twimg.com/profile_images/2591894236/gn9sg1939s9e60ie682s_normal.jpeg" xr:uid="{5FA73D67-EF54-457B-A859-F54A421B4F22}"/>
    <hyperlink ref="B5929" r:id="rId18298" display="https://twitter.com/1JulianMartinez" xr:uid="{28B55810-F2C8-4D93-B6BD-59E81889371D}"/>
    <hyperlink ref="E5929" r:id="rId18299" display="https://twitter.com/1JulianMartinez/status/723859809628499969" xr:uid="{0096FC72-97E9-425E-B583-21B561B2DBA9}"/>
    <hyperlink ref="O5929" r:id="rId18300" display="https://pbs.twimg.com/profile_images/722462618556960768/JE-_sTXq_normal.jpg" xr:uid="{C972CC41-9FCC-4F4A-B4BD-0C72486BAF86}"/>
    <hyperlink ref="B5930" r:id="rId18301" display="https://twitter.com/fairychav" xr:uid="{FEBC8327-9947-4A40-BFB0-3C9F63A33736}"/>
    <hyperlink ref="E5930" r:id="rId18302" display="https://twitter.com/fairychav/status/723859827332681728" xr:uid="{80C7FD10-2D61-4CE6-8729-1D015D7DF855}"/>
    <hyperlink ref="O5930" r:id="rId18303" display="https://pbs.twimg.com/profile_images/1874724197/me_normal.jpg" xr:uid="{848ABCB7-8BA6-43DC-A9BA-2A3D326E8114}"/>
    <hyperlink ref="B5931" r:id="rId18304" display="https://twitter.com/1JulianMartinez" xr:uid="{CD4937C1-DBF3-456B-8209-4A95F538EDBE}"/>
    <hyperlink ref="E5931" r:id="rId18305" display="https://twitter.com/1JulianMartinez/status/723859938729181184" xr:uid="{51EE72AE-2E5A-4DA1-B854-B2E8406A1D6D}"/>
    <hyperlink ref="O5931" r:id="rId18306" display="https://pbs.twimg.com/profile_images/722462618556960768/JE-_sTXq_normal.jpg" xr:uid="{5ECFC65A-2264-4B94-90D3-6ED564B36ECF}"/>
    <hyperlink ref="B5932" r:id="rId18307" display="https://twitter.com/lafeecrochete" xr:uid="{0E59D943-6CEE-4957-B370-0E766D3BA99B}"/>
    <hyperlink ref="E5932" r:id="rId18308" display="https://twitter.com/lafeecrochete/status/723860149920763904" xr:uid="{53B57982-D0C8-4CD6-9163-16ECE6625106}"/>
    <hyperlink ref="O5932" r:id="rId18309" display="https://pbs.twimg.com/profile_images/662955103742201857/LPXwBwdt_normal.jpg" xr:uid="{30FAAE9C-6D32-40B5-8697-A7C08F7DC18B}"/>
    <hyperlink ref="B5933" r:id="rId18310" display="https://twitter.com/Ikoniclondon" xr:uid="{3A010406-958A-4AAF-9D59-1E2A7541D188}"/>
    <hyperlink ref="E5933" r:id="rId18311" display="https://twitter.com/Ikoniclondon/status/723860480469528576" xr:uid="{8B494548-7667-4866-8611-EE87937417AF}"/>
    <hyperlink ref="O5933" r:id="rId18312" display="https://pbs.twimg.com/profile_images/3003211219/5eb0510a3d8f48f25da10db3e595b7a0_normal.png" xr:uid="{6FDCAF8F-1E23-4B18-87AE-ED7C43CB7990}"/>
    <hyperlink ref="B5934" r:id="rId18313" display="https://twitter.com/boaz_tal" xr:uid="{798D1D14-D2C7-4ABD-BE8B-EA79AF2EA3FF}"/>
    <hyperlink ref="E5934" r:id="rId18314" display="https://twitter.com/boaz_tal/status/723860793561899008" xr:uid="{20BFDD20-E3CB-4B1C-B98E-81639C681C76}"/>
    <hyperlink ref="O5934" r:id="rId18315" display="https://pbs.twimg.com/profile_images/459621743728939009/6xf57Blw_normal.jpeg" xr:uid="{DE3DF4FB-20A6-4646-A309-2AA6E23E40A4}"/>
    <hyperlink ref="B5935" r:id="rId18316" display="https://twitter.com/motorhappy" xr:uid="{97751289-F818-4246-9ABD-F84634B363F5}"/>
    <hyperlink ref="E5935" r:id="rId18317" display="https://twitter.com/motorhappy/status/723860945542459392" xr:uid="{0A733485-B90F-466B-AFEE-4BE190471D2D}"/>
    <hyperlink ref="O5935" r:id="rId18318" display="https://pbs.twimg.com/profile_images/552042888666705921/TxWAPB36_normal.png" xr:uid="{8539EFDE-32C0-40DA-9CC7-EDF8E3B8EE06}"/>
    <hyperlink ref="B5936" r:id="rId18319" display="https://twitter.com/dafLOh" xr:uid="{59D91927-2AD4-433B-9CF1-275E76266F0B}"/>
    <hyperlink ref="E5936" r:id="rId18320" display="https://twitter.com/dafLOh/status/723860966757285888" xr:uid="{1FAB8EEC-C9E2-49DF-9575-2C98848D5F45}"/>
    <hyperlink ref="O5936" r:id="rId18321" display="https://pbs.twimg.com/profile_images/595593595459137536/bMPN9gqV_normal.jpg" xr:uid="{06C1585C-23F2-47B0-8FB4-C66E4E30B022}"/>
    <hyperlink ref="B5937" r:id="rId18322" display="https://twitter.com/yann_drareg" xr:uid="{EEBEECE7-32C1-477A-8F04-08062206F313}"/>
    <hyperlink ref="E5937" r:id="rId18323" display="https://twitter.com/yann_drareg/status/723861122579869696" xr:uid="{EFD572A6-F837-40CC-832A-736B96BF1C6F}"/>
    <hyperlink ref="O5937" r:id="rId18324" display="https://pbs.twimg.com/profile_images/577742130698915840/ghR4cANb_normal.jpeg" xr:uid="{2297EEF2-450C-4E6A-BB39-5331399A2FFC}"/>
    <hyperlink ref="B5938" r:id="rId18325" display="https://twitter.com/Hykaaal_" xr:uid="{BC9835E0-984B-4B19-990B-6B310781B699}"/>
    <hyperlink ref="E5938" r:id="rId18326" display="https://twitter.com/Hykaaal_/status/723861170612891648" xr:uid="{D495D017-21E0-46CE-94C6-CA4A2AACACC1}"/>
    <hyperlink ref="O5938" r:id="rId18327" display="https://pbs.twimg.com/profile_images/682492887909572608/uhnCneqL_normal.jpg" xr:uid="{4470DB16-1ADB-479F-BB9F-A63DC117737C}"/>
    <hyperlink ref="B5939" r:id="rId18328" display="https://twitter.com/jochenkiehl2" xr:uid="{915F4BC1-6C61-4370-8812-45E478B5CC33}"/>
    <hyperlink ref="E5939" r:id="rId18329" display="https://twitter.com/jochenkiehl2/status/723861982089195520" xr:uid="{5481FEBD-9C9F-41EF-8056-42A8BD530B84}"/>
    <hyperlink ref="O5939" r:id="rId18330" display="https://abs.twimg.com/sticky/default_profile_images/default_profile_1_normal.png" xr:uid="{6DE2EA77-ABF5-41DD-863F-CC25A44BFFDD}"/>
    <hyperlink ref="B5940" r:id="rId18331" display="https://twitter.com/VolkswagenPost" xr:uid="{F6B55884-35F0-4B48-9731-699AE36A8E4B}"/>
    <hyperlink ref="E5940" r:id="rId18332" display="https://twitter.com/VolkswagenPost/status/723862772711362560" xr:uid="{75AA7419-D83D-4624-94A7-7A59266B6553}"/>
    <hyperlink ref="O5940" r:id="rId18333" display="https://pbs.twimg.com/profile_images/530071272881803264/a_jcCmPZ_normal.png" xr:uid="{B5F95AB9-4F6A-4AED-ADFF-B81BE50B4D64}"/>
    <hyperlink ref="B5941" r:id="rId18334" display="https://twitter.com/RoliKlotz" xr:uid="{C023C78F-D535-4F3E-B5E1-1246F68EA4DA}"/>
    <hyperlink ref="E5941" r:id="rId18335" display="https://twitter.com/RoliKlotz/status/723862821948280832" xr:uid="{02C7FA3D-0F47-4775-A661-93058240D8A4}"/>
    <hyperlink ref="O5941" r:id="rId18336" display="https://pbs.twimg.com/profile_images/619148914692784128/10nel41m_normal.jpg" xr:uid="{1251E251-AEB1-4D50-83BC-744B247A0B8C}"/>
    <hyperlink ref="B5942" r:id="rId18337" display="https://twitter.com/cherubimu" xr:uid="{93E074BE-9583-45CD-93C5-417906712EC9}"/>
    <hyperlink ref="E5942" r:id="rId18338" display="https://twitter.com/cherubimu/status/723863688885735424" xr:uid="{63F96444-1C61-48C8-B40F-763D958F8B2E}"/>
    <hyperlink ref="O5942" r:id="rId18339" display="https://pbs.twimg.com/profile_images/630675955007270912/iceoiWn7_normal.jpg" xr:uid="{8FC5FAD4-15A9-4358-B4C2-455833216BB1}"/>
    <hyperlink ref="B5943" r:id="rId18340" display="https://twitter.com/VWCamperSales" xr:uid="{0882AAD6-75C2-4088-A25E-A27CE61CD877}"/>
    <hyperlink ref="E5943" r:id="rId18341" display="https://twitter.com/VWCamperSales/status/723864035779874816" xr:uid="{5B44A33E-B2AB-4569-83F8-9CC130B36809}"/>
    <hyperlink ref="F5943" r:id="rId18342" xr:uid="{561E1407-330E-4727-904D-6BC719F86F01}"/>
    <hyperlink ref="O5943" r:id="rId18343" display="https://pbs.twimg.com/profile_images/627949001179037696/skEBkS05_normal.jpg" xr:uid="{6F0C10C6-500C-4816-9E4E-60068567C7D5}"/>
    <hyperlink ref="B5944" r:id="rId18344" display="https://twitter.com/confiafinancial" xr:uid="{2B272B54-887A-44FF-A2AD-36E7B827772D}"/>
    <hyperlink ref="E5944" r:id="rId18345" display="https://twitter.com/confiafinancial/status/723864601050238978" xr:uid="{0061AA2F-251A-4AFE-BCC9-A8728554ECBF}"/>
    <hyperlink ref="O5944" r:id="rId18346" display="https://pbs.twimg.com/profile_images/552947036555722752/Pjh_pElu_normal.png" xr:uid="{46BE524B-3D75-4AEB-96C1-9226D965ED8F}"/>
    <hyperlink ref="B5945" r:id="rId18347" display="https://twitter.com/vwdepo" xr:uid="{22C647E8-55A8-4A62-BFC2-4A4F81A5FE5D}"/>
    <hyperlink ref="E5945" r:id="rId18348" display="https://twitter.com/vwdepo/status/723864988226596864" xr:uid="{9C66A4BF-7F92-41B7-873E-DED1A423701D}"/>
    <hyperlink ref="O5945" r:id="rId18349" display="https://pbs.twimg.com/profile_images/3378184537/c20ae9a7a410821b4f189c34a63380f7_normal.png" xr:uid="{07B44432-2739-498A-815A-C9C5E9233E8A}"/>
    <hyperlink ref="B5946" r:id="rId18350" display="https://twitter.com/fatifit" xr:uid="{C9FB76DD-6B5A-4386-8F98-7661C84E03B7}"/>
    <hyperlink ref="E5946" r:id="rId18351" display="https://twitter.com/fatifit/status/723865245211566080" xr:uid="{1FDFCD5B-2135-4D0F-83F6-958EC7B77B3F}"/>
    <hyperlink ref="O5946" r:id="rId18352" display="https://pbs.twimg.com/profile_images/430210521586208768/09mPdrlt_normal.jpeg" xr:uid="{0103AE13-6D9F-45AC-80D6-68B97B9DA603}"/>
    <hyperlink ref="B5947" r:id="rId18353" display="https://twitter.com/wdanielsen" xr:uid="{04715E0E-2366-4276-BCB9-F0EECB52322F}"/>
    <hyperlink ref="E5947" r:id="rId18354" display="https://twitter.com/wdanielsen/status/723865370277371904" xr:uid="{954DAC05-9018-4652-850C-11C913789762}"/>
    <hyperlink ref="O5947" r:id="rId18355" display="https://pbs.twimg.com/profile_images/2943135410/38516e91d9e49960d752aaecb0eb5fed_normal.jpeg" xr:uid="{6EC4346E-8EBF-4CD9-BCDE-C63017BC3F00}"/>
    <hyperlink ref="B5948" r:id="rId18356" display="https://twitter.com/polodrivercom" xr:uid="{59A0D38C-A3E7-45E2-9E12-1D077FCD45F6}"/>
    <hyperlink ref="E5948" r:id="rId18357" display="https://twitter.com/polodrivercom/status/723865700729786369" xr:uid="{561653F3-2F07-48FD-8C8B-EF6A88F8AE53}"/>
    <hyperlink ref="O5948" r:id="rId18358" display="https://pbs.twimg.com/profile_images/462266691305488384/nZV5thLJ_normal.jpeg" xr:uid="{78447BCD-713E-40B4-9D8C-2ADE06A26CF4}"/>
    <hyperlink ref="B5949" r:id="rId18359" display="https://twitter.com/richgoodingcom" xr:uid="{6ECD1824-CE6F-4E5F-A2DF-BAEDD410EF9D}"/>
    <hyperlink ref="E5949" r:id="rId18360" display="https://twitter.com/richgoodingcom/status/723865700767510528" xr:uid="{DE1D9FEA-AC3C-4786-BD59-BB19BDF50CB6}"/>
    <hyperlink ref="O5949" r:id="rId18361" display="https://pbs.twimg.com/profile_images/626150798590902273/qUbM1D-g_normal.jpg" xr:uid="{5EF2B6CA-BCAB-457E-83F4-ECE97CC7C496}"/>
    <hyperlink ref="B5950" r:id="rId18362" display="https://twitter.com/VolkswagenPost" xr:uid="{995F3DE0-DCF7-49AF-A12F-537184AB34CD}"/>
    <hyperlink ref="E5950" r:id="rId18363" display="https://twitter.com/VolkswagenPost/status/723865728244453376" xr:uid="{C3D45845-9C2E-472C-95B9-67CFCDECCC24}"/>
    <hyperlink ref="O5950" r:id="rId18364" display="https://pbs.twimg.com/profile_images/530071272881803264/a_jcCmPZ_normal.png" xr:uid="{A9A32B51-0CE5-4C1F-A4F1-34901D1692FE}"/>
    <hyperlink ref="B5951" r:id="rId18365" display="https://twitter.com/MKIMAYER" xr:uid="{1C1EADAB-0F0B-4D42-ACD6-B915A1A8ED5B}"/>
    <hyperlink ref="E5951" r:id="rId18366" display="https://twitter.com/MKIMAYER/status/723865864102154240" xr:uid="{12DF2527-E8C4-4EC3-9021-E37C2C32288C}"/>
    <hyperlink ref="O5951" r:id="rId18367" display="https://pbs.twimg.com/profile_images/663825445796913152/rdSB6lkl_normal.jpg" xr:uid="{5C98FBDC-9546-4836-81BA-7B0D587E0501}"/>
    <hyperlink ref="B5952" r:id="rId18368" display="https://twitter.com/caryelluk" xr:uid="{5A0F2D08-3B12-4140-B688-C3B66CBAA262}"/>
    <hyperlink ref="E5952" r:id="rId18369" display="https://twitter.com/caryelluk/status/723865996121886720" xr:uid="{2CB84820-C0FE-4B78-8C72-A416CB91C8C5}"/>
    <hyperlink ref="O5952" r:id="rId18370" display="https://pbs.twimg.com/profile_images/715332329019994114/CunHJsKm_normal.jpg" xr:uid="{3F6B9814-AED2-4ACA-9ADA-444EBD0EBE85}"/>
    <hyperlink ref="B5953" r:id="rId18371" display="https://twitter.com/vwpress_de" xr:uid="{E75D50FC-2803-462D-A90B-19693DA1FFCB}"/>
    <hyperlink ref="E5953" r:id="rId18372" display="https://twitter.com/vwpress_de/status/723866056645873664" xr:uid="{D938B088-73A6-419C-81A9-743055DCD858}"/>
    <hyperlink ref="O5953" r:id="rId18373" display="https://pbs.twimg.com/profile_images/682117656502222848/Ge7YeAF3_normal.png" xr:uid="{E67C2883-FA59-4667-BECB-44A31F65CA01}"/>
    <hyperlink ref="B5954" r:id="rId18374" display="https://twitter.com/DroppedPictures" xr:uid="{5D8EE24F-D069-4AB0-90A5-E97C40B09217}"/>
    <hyperlink ref="E5954" r:id="rId18375" display="https://twitter.com/DroppedPictures/status/723866104184078337" xr:uid="{46836521-1E27-40B7-9332-B036400BB116}"/>
    <hyperlink ref="O5954" r:id="rId18376" display="https://pbs.twimg.com/profile_images/723860883768774656/auGhykZE_normal.jpg" xr:uid="{66D2D28D-A6AF-4145-9FD8-F9EB76231528}"/>
    <hyperlink ref="B5955" r:id="rId18377" display="https://twitter.com/GapSecurity2015" xr:uid="{0864D04B-C6BC-4D0E-A40D-0A5C35C26B9C}"/>
    <hyperlink ref="E5955" r:id="rId18378" display="https://twitter.com/GapSecurity2015/status/723866321545486336" xr:uid="{3D2E38B5-93D6-4E1D-BE18-E8FE4FCF495C}"/>
    <hyperlink ref="O5955" r:id="rId18379" display="https://pbs.twimg.com/profile_images/570917883199246336/NuBJA9SP_normal.jpeg" xr:uid="{EEE32707-3489-40A9-B3C6-736EFC8E449C}"/>
    <hyperlink ref="B5956" r:id="rId18380" display="https://twitter.com/Insta_VWT" xr:uid="{2230350E-ED6D-4094-8497-4A7A77E95E49}"/>
    <hyperlink ref="E5956" r:id="rId18381" display="https://twitter.com/Insta_VWT/status/723866366860746754" xr:uid="{EF053A6F-91DC-4B61-A4F3-DAFE11C125E4}"/>
    <hyperlink ref="O5956" r:id="rId18382" display="https://pbs.twimg.com/profile_images/424893967197433858/iQ86NktX_normal.jpeg" xr:uid="{2AC7E902-8A80-4BC7-9A6C-5B9126920D58}"/>
    <hyperlink ref="B5957" r:id="rId18383" display="https://twitter.com/vwpress_en" xr:uid="{3F6C4B7E-D5EE-4C6D-9833-BBA1D7E25399}"/>
    <hyperlink ref="E5957" r:id="rId18384" display="https://twitter.com/vwpress_en/status/723866383541481472" xr:uid="{39F92C62-B3DF-47AB-B1CC-A66F24B7866B}"/>
    <hyperlink ref="O5957" r:id="rId18385" display="https://pbs.twimg.com/profile_images/682117963349135360/IUfZQy35_normal.png" xr:uid="{57948A8D-5D1D-46F7-BB76-F82FA51AADA9}"/>
    <hyperlink ref="B5958" r:id="rId18386" display="https://twitter.com/VeeDubMk1_" xr:uid="{09D280D0-1ED6-4328-9157-011C7AF65D31}"/>
    <hyperlink ref="E5958" r:id="rId18387" display="https://twitter.com/VeeDubMk1_/status/723866535543078912" xr:uid="{1CEA2C26-D7C7-4330-A4DC-CD75C6FAB28B}"/>
    <hyperlink ref="O5958" r:id="rId18388" display="https://pbs.twimg.com/profile_images/672878354127839232/M7OYc-zx_normal.jpg" xr:uid="{AB4CBDBC-E17C-4B82-8B76-84B0C6422289}"/>
    <hyperlink ref="B5959" r:id="rId18389" display="https://twitter.com/dft" xr:uid="{ACF82F89-F1AB-429D-B1FE-00AF86398FF2}"/>
    <hyperlink ref="E5959" r:id="rId18390" display="https://twitter.com/dft/status/723866685032288256" xr:uid="{DB5F507E-F6D8-4A84-942D-B5EEA1DA5727}"/>
    <hyperlink ref="O5959" r:id="rId18391" display="https://pbs.twimg.com/profile_images/519785398566785024/PVYaywMF_normal.jpeg" xr:uid="{BC0A6A38-1969-4DE6-89C3-95FC44412EBF}"/>
    <hyperlink ref="B5960" r:id="rId18392" display="https://twitter.com/Exvtra_uk" xr:uid="{043006F3-E97E-4476-A42A-BA875667ED5E}"/>
    <hyperlink ref="C5960" r:id="rId18393" xr:uid="{00EAF63C-2573-4A83-B2A0-C3D8D2A81048}"/>
    <hyperlink ref="E5960" r:id="rId18394" display="https://twitter.com/Exvtra_uk/status/723866830587203584" xr:uid="{BE9DE4AA-E063-44DE-881A-EB299369E3F2}"/>
    <hyperlink ref="O5960" r:id="rId18395" display="https://pbs.twimg.com/profile_images/524531569906565120/Noxq66xP_normal.jpeg" xr:uid="{8EA8BA07-FF87-421D-A78E-81CEC937C940}"/>
    <hyperlink ref="B5961" r:id="rId18396" display="https://twitter.com/VCT_Tweets" xr:uid="{66894301-86C8-4ACF-8D0A-B8A4726E188F}"/>
    <hyperlink ref="E5961" r:id="rId18397" display="https://twitter.com/VCT_Tweets/status/723866906155950081" xr:uid="{9B0533A3-D14A-437B-AC2D-A304B493A786}"/>
    <hyperlink ref="O5961" r:id="rId18398" display="https://pbs.twimg.com/profile_images/569800899141177344/nVFLMSdb_normal.png" xr:uid="{C52C79B7-25D1-49D5-8E8E-C87C2D9E6859}"/>
    <hyperlink ref="B5962" r:id="rId18399" display="https://twitter.com/MOSLIM10003" xr:uid="{1AEFBA80-84DB-4F40-B57E-7128AF26EDCD}"/>
    <hyperlink ref="E5962" r:id="rId18400" display="https://twitter.com/MOSLIM10003/status/723866907338780672" xr:uid="{DE778775-D493-4E4C-B1E0-92972AE6BB15}"/>
    <hyperlink ref="O5962" r:id="rId18401" display="https://pbs.twimg.com/profile_images/715860076217630721/S35iH7qg_normal.jpg" xr:uid="{2EC8D281-7919-497E-9AA9-69E49E9F62ED}"/>
    <hyperlink ref="B5963" r:id="rId18402" display="https://twitter.com/vwgroup_de" xr:uid="{71C7DC1A-1995-44C2-9A3B-0D3465226F4B}"/>
    <hyperlink ref="E5963" r:id="rId18403" display="https://twitter.com/vwgroup_de/status/723867103741222920" xr:uid="{8D528513-26D6-4809-9692-CC1AFD7DB838}"/>
    <hyperlink ref="O5963" r:id="rId18404" display="https://pbs.twimg.com/profile_images/666952128108363777/FL78g9n-_normal.png" xr:uid="{BEA97338-F0D5-4B4C-B870-EA1E6E7C0F43}"/>
    <hyperlink ref="B5964" r:id="rId18405" display="https://twitter.com/vwgroup_en" xr:uid="{9D614056-DCD0-45F7-9C6B-E41BD31A2856}"/>
    <hyperlink ref="E5964" r:id="rId18406" display="https://twitter.com/vwgroup_en/status/723867177162575872" xr:uid="{F1712401-4DEE-4E01-9EB9-A183676C4BE4}"/>
    <hyperlink ref="O5964" r:id="rId18407" display="https://pbs.twimg.com/profile_images/666952430177935362/T46eVne2_normal.png" xr:uid="{5F9EA880-7824-41C5-A35E-47FE734E4FDC}"/>
    <hyperlink ref="B5965" r:id="rId18408" display="https://twitter.com/Scirocco_Tuning" xr:uid="{449FD5A7-0ADE-4CD1-9EE8-D3ABF97D585E}"/>
    <hyperlink ref="E5965" r:id="rId18409" display="https://twitter.com/Scirocco_Tuning/status/723867187916754945" xr:uid="{F86FD701-209F-4AF9-A288-968F6F8EBBDA}"/>
    <hyperlink ref="O5965" r:id="rId18410" display="https://pbs.twimg.com/profile_images/1610421423/Image2_normal.jpg" xr:uid="{A69ECD5C-4B06-49EF-ACA8-8683F8EA5C5B}"/>
    <hyperlink ref="B5966" r:id="rId18411" display="https://twitter.com/henryrobben" xr:uid="{0F1B7565-53F1-467F-B527-D7F75F64F5AE}"/>
    <hyperlink ref="E5966" r:id="rId18412" display="https://twitter.com/henryrobben/status/723867760288235520" xr:uid="{53F9EE6D-7F5F-4323-903D-9A20712DB798}"/>
    <hyperlink ref="O5966" r:id="rId18413" display="https://pbs.twimg.com/profile_images/486129197413572608/yz3mWXie_normal.jpeg" xr:uid="{59C4063B-66CD-4A70-940A-404C71755806}"/>
    <hyperlink ref="B5967" r:id="rId18414" display="https://twitter.com/josiah_jurado" xr:uid="{C8F09F57-68FE-4763-8F16-BD3BB3018AAF}"/>
    <hyperlink ref="E5967" r:id="rId18415" display="https://twitter.com/josiah_jurado/status/723867787957932032" xr:uid="{EDDB71DB-F8C5-476E-A248-3200ADEE130C}"/>
    <hyperlink ref="O5967" r:id="rId18416" display="https://pbs.twimg.com/profile_images/701389151199866880/TaZ_Jfoo_normal.png" xr:uid="{20C9434D-668A-4281-9C14-E7037BA5C1AB}"/>
    <hyperlink ref="B5968" r:id="rId18417" display="https://twitter.com/VWCamperSales" xr:uid="{580FA0D2-5A3A-4C49-9F91-7B1C53399FA4}"/>
    <hyperlink ref="E5968" r:id="rId18418" display="https://twitter.com/VWCamperSales/status/723867820132442113" xr:uid="{42501683-D2F8-4FE0-9356-7ED4012F7B81}"/>
    <hyperlink ref="F5968" r:id="rId18419" xr:uid="{022186BA-C795-4013-ACD7-5B77F2034D7A}"/>
    <hyperlink ref="O5968" r:id="rId18420" display="https://pbs.twimg.com/profile_images/627949001179037696/skEBkS05_normal.jpg" xr:uid="{CD6BD5E0-0886-4A7F-A886-33C4799088CD}"/>
    <hyperlink ref="B5969" r:id="rId18421" display="https://twitter.com/LukasBouwman" xr:uid="{96E8B9A4-4022-4B57-BB64-67864933084D}"/>
    <hyperlink ref="E5969" r:id="rId18422" display="https://twitter.com/LukasBouwman/status/723867843650002944" xr:uid="{C4D10F9F-0E67-4583-8D58-CEE39004F974}"/>
    <hyperlink ref="O5969" r:id="rId18423" display="https://pbs.twimg.com/profile_images/1694897534/LukasBouwman_normal.jpg" xr:uid="{12D0D72B-DC28-4082-9780-ADCCA040B56F}"/>
    <hyperlink ref="B5970" r:id="rId18424" display="https://twitter.com/eRplusP" xr:uid="{90476B3D-467A-4D97-A515-030C02F3F229}"/>
    <hyperlink ref="E5970" r:id="rId18425" display="https://twitter.com/eRplusP/status/723867848486039553" xr:uid="{B40D746C-E20E-47BF-A6C8-AB9E48CC151A}"/>
    <hyperlink ref="O5970" r:id="rId18426" display="https://pbs.twimg.com/profile_images/714108792821125120/h6F9y3Al_normal.jpg" xr:uid="{1971CA36-AC9B-4D76-9258-845C68B2B35B}"/>
    <hyperlink ref="B5971" r:id="rId18427" display="https://twitter.com/eRplusP" xr:uid="{2DB23DEE-4FF1-4302-BCB3-AC5ECA109BCF}"/>
    <hyperlink ref="E5971" r:id="rId18428" display="https://twitter.com/eRplusP/status/723867935081697280" xr:uid="{8AF5A5A4-022C-4837-A361-5B8FB6011919}"/>
    <hyperlink ref="O5971" r:id="rId18429" display="https://pbs.twimg.com/profile_images/714108792821125120/h6F9y3Al_normal.jpg" xr:uid="{1302564D-826A-4D21-BDD2-A0644CC1DBE3}"/>
    <hyperlink ref="B5972" r:id="rId18430" display="https://twitter.com/ruipinto70" xr:uid="{98F07D59-FD4C-4A32-A0A0-E98F069FD99A}"/>
    <hyperlink ref="E5972" r:id="rId18431" display="https://twitter.com/ruipinto70/status/723868244742930432" xr:uid="{C739B4E6-01BD-4C7C-A7F9-845264D143D1}"/>
    <hyperlink ref="O5972" r:id="rId18432" display="https://pbs.twimg.com/profile_images/719634934403612672/J_8yDQTY_normal.jpg" xr:uid="{A5044385-E52E-4CD3-BAFC-4C6A3164015A}"/>
    <hyperlink ref="B5973" r:id="rId18433" display="https://twitter.com/VWBeetleSales" xr:uid="{3368D87E-4FB0-4821-AEB8-0ED172E050B4}"/>
    <hyperlink ref="E5973" r:id="rId18434" display="https://twitter.com/VWBeetleSales/status/723868301294592000" xr:uid="{0CF4F7F8-3113-4998-B5B4-012309361BFE}"/>
    <hyperlink ref="F5973" r:id="rId18435" xr:uid="{9EDDA1CD-BC35-483F-ACCC-094337295964}"/>
    <hyperlink ref="O5973" r:id="rId18436" display="https://pbs.twimg.com/profile_images/703294545195307008/qeCvrX86_normal.jpg" xr:uid="{B0B04B1A-7760-45C5-A7E1-3748F0E07DA9}"/>
    <hyperlink ref="B5974" r:id="rId18437" display="https://twitter.com/Markus_Hoess" xr:uid="{C5BEB840-BE2E-4133-B72B-28FC7DB73C1B}"/>
    <hyperlink ref="E5974" r:id="rId18438" display="https://twitter.com/Markus_Hoess/status/723868475433881601" xr:uid="{2D51E2C7-E398-4940-B4EB-BE6BD87CD5F3}"/>
    <hyperlink ref="O5974" r:id="rId18439" display="https://pbs.twimg.com/profile_images/706941537310085120/vfX3aYoO_normal.jpg" xr:uid="{F60C9966-A7E3-441E-8C57-73CA43C9B9ED}"/>
    <hyperlink ref="B5975" r:id="rId18440" display="https://twitter.com/Realvelo" xr:uid="{F8C13F68-7CA0-4BC4-939A-EC151F3A4D9C}"/>
    <hyperlink ref="E5975" r:id="rId18441" display="https://twitter.com/Realvelo/status/723868570493571073" xr:uid="{543C700C-380F-4A04-AE75-8119246F1854}"/>
    <hyperlink ref="O5975" r:id="rId18442" display="https://pbs.twimg.com/profile_images/709396884683694080/_ELzZ3WD_normal.jpg" xr:uid="{8EDEE365-4AD9-4C42-B181-272B9858E933}"/>
    <hyperlink ref="B5976" r:id="rId18443" display="https://twitter.com/JamesDerom" xr:uid="{DEAD62D0-661C-4587-9E28-69DC31A5304B}"/>
    <hyperlink ref="E5976" r:id="rId18444" display="https://twitter.com/JamesDerom/status/723868647802953730" xr:uid="{BE3C5621-2B63-4297-99C6-AB2C94D9E1AE}"/>
    <hyperlink ref="O5976" r:id="rId18445" display="https://pbs.twimg.com/profile_images/423514424658231296/nyUIYVc2_normal.jpeg" xr:uid="{AC43DF9E-618B-46E3-895C-C5CDC8FFE8BD}"/>
    <hyperlink ref="B5977" r:id="rId18446" display="https://twitter.com/TraderCrowd" xr:uid="{343F7A68-3E0A-496C-A1F2-C0B0B8439FDF}"/>
    <hyperlink ref="E5977" r:id="rId18447" display="https://twitter.com/TraderCrowd/status/723868748541759488" xr:uid="{96976130-B8E1-44BB-8E49-7F4BC87086C0}"/>
    <hyperlink ref="O5977" r:id="rId18448" display="https://pbs.twimg.com/profile_images/670608121887383552/f-Xdw29F_normal.png" xr:uid="{CE29FA25-6197-4A0B-999C-FC803185A805}"/>
    <hyperlink ref="B5978" r:id="rId18449" display="https://twitter.com/josiah_jurado" xr:uid="{2DBA5075-763E-4151-B28F-891857966221}"/>
    <hyperlink ref="E5978" r:id="rId18450" display="https://twitter.com/josiah_jurado/status/723869450374533120" xr:uid="{F48DCC66-AF55-4783-AF67-34E7A08D0A77}"/>
    <hyperlink ref="O5978" r:id="rId18451" display="https://pbs.twimg.com/profile_images/701389151199866880/TaZ_Jfoo_normal.png" xr:uid="{424FB5A6-B56B-40CD-A208-C79D566784D6}"/>
    <hyperlink ref="B5979" r:id="rId18452" display="https://twitter.com/Geilowicz23" xr:uid="{CC18EB61-AF14-40F7-8E2C-82249F93DC33}"/>
    <hyperlink ref="E5979" r:id="rId18453" display="https://twitter.com/Geilowicz23/status/723869650447142913" xr:uid="{B6FF3E7B-4F0E-42E5-90D3-B9DF3D197AAF}"/>
    <hyperlink ref="O5979" r:id="rId18454" display="https://pbs.twimg.com/profile_images/696722199718322176/kS_l_m8y_normal.jpg" xr:uid="{8D3B0BC8-D3E0-48AE-B420-53AC21274BF2}"/>
    <hyperlink ref="B5980" r:id="rId18455" display="https://twitter.com/MotorHour" xr:uid="{715106A5-B436-483F-95A7-BC481B091A3B}"/>
    <hyperlink ref="E5980" r:id="rId18456" display="https://twitter.com/MotorHour/status/723869797969174530" xr:uid="{72A09D2B-DAAF-4ADF-962F-C5AD28CEE2C1}"/>
    <hyperlink ref="O5980" r:id="rId18457" display="https://pbs.twimg.com/profile_images/552044021774700544/M3FC3arM_normal.jpeg" xr:uid="{A3BCB3B4-11AD-4A5D-A118-2F6CC1ADA480}"/>
    <hyperlink ref="B5981" r:id="rId18458" display="https://twitter.com/JeremySpira" xr:uid="{9EEB7ED5-496A-4A6C-A8B0-1536BE739983}"/>
    <hyperlink ref="E5981" r:id="rId18459" display="https://twitter.com/JeremySpira/status/723869885382692864" xr:uid="{2753A6EB-5834-4CBC-AE81-75BC989C4078}"/>
    <hyperlink ref="O5981" r:id="rId18460" display="https://pbs.twimg.com/profile_images/702714452991299584/GeaOqstt_normal.jpg" xr:uid="{832DE737-9AE1-4471-87EE-71919A7D3F76}"/>
    <hyperlink ref="B5982" r:id="rId18461" display="https://twitter.com/salzburg_com" xr:uid="{E5DEDAE4-2512-49F1-996F-602B2BC383D7}"/>
    <hyperlink ref="E5982" r:id="rId18462" display="https://twitter.com/salzburg_com/status/723870278632235010" xr:uid="{F39E0832-49C1-451C-A146-CEB9AEE5BB62}"/>
    <hyperlink ref="O5982" r:id="rId18463" display="https://pbs.twimg.com/profile_images/1719719523/SN_370_normal.jpg" xr:uid="{1EBB13C1-04B3-4FFF-9CDC-C080BF91FC81}"/>
    <hyperlink ref="B5983" r:id="rId18464" display="https://twitter.com/Ikoniclondon" xr:uid="{68A12A74-47DA-4B1E-AA96-5C9175ECDDB2}"/>
    <hyperlink ref="E5983" r:id="rId18465" display="https://twitter.com/Ikoniclondon/status/723870733777145856" xr:uid="{1E7E4E28-BBF1-4EEA-8C43-2007F0F2858E}"/>
    <hyperlink ref="O5983" r:id="rId18466" display="https://pbs.twimg.com/profile_images/3003211219/5eb0510a3d8f48f25da10db3e595b7a0_normal.png" xr:uid="{088990D0-F963-4D8B-8354-F3A2B4FC6BFF}"/>
    <hyperlink ref="B5984" r:id="rId18467" display="https://twitter.com/BurkhardRi" xr:uid="{58A8B8DC-CF2B-4C07-A32F-9E49DFE4ACA9}"/>
    <hyperlink ref="E5984" r:id="rId18468" display="https://twitter.com/BurkhardRi/status/723870789674635265" xr:uid="{069B63D0-7585-4927-AEB2-E47FB207ED46}"/>
    <hyperlink ref="O5984" r:id="rId18469" display="https://pbs.twimg.com/profile_images/628914317052743680/zpzonaaQ_normal.jpg" xr:uid="{022BF946-F847-45C4-80F2-D0BF56AD0C75}"/>
    <hyperlink ref="B5985" r:id="rId18470" display="https://twitter.com/FuscaWorld" xr:uid="{1B7B4AC2-D94F-414E-B34A-16ECA7FFEFF6}"/>
    <hyperlink ref="E5985" r:id="rId18471" display="https://twitter.com/FuscaWorld/status/723870882125459456" xr:uid="{7C5387D6-7982-44F2-86D7-38743033A59F}"/>
    <hyperlink ref="O5985" r:id="rId18472" display="https://pbs.twimg.com/profile_images/705780107844067328/e7O4UBNb_normal.jpg" xr:uid="{A49858C8-A7F3-4C38-8EF0-B2CECCEDF1F1}"/>
    <hyperlink ref="B5986" r:id="rId18473" display="https://twitter.com/VWCamperSales" xr:uid="{826268F1-0231-4661-831A-91B305E40ECE}"/>
    <hyperlink ref="E5986" r:id="rId18474" display="https://twitter.com/VWCamperSales/status/723871079521914880" xr:uid="{80BA5F9C-D854-4593-9EFF-486F172BAEF8}"/>
    <hyperlink ref="F5986" r:id="rId18475" xr:uid="{0E6108E0-7E04-4491-916C-72724EDE7F41}"/>
    <hyperlink ref="O5986" r:id="rId18476" display="https://pbs.twimg.com/profile_images/627949001179037696/skEBkS05_normal.jpg" xr:uid="{541F00F3-8429-4D7E-978A-DC556623D799}"/>
    <hyperlink ref="B5987" r:id="rId18477" display="https://twitter.com/rudy_rubber" xr:uid="{85F2DFD7-DB2C-4547-98EB-35DD05F61B40}"/>
    <hyperlink ref="E5987" r:id="rId18478" display="https://twitter.com/rudy_rubber/status/723871719484583937" xr:uid="{07D22C05-B9E3-4431-87B8-5A93D45043F2}"/>
    <hyperlink ref="O5987" r:id="rId18479" display="https://pbs.twimg.com/profile_images/712451398361714688/lMb1t3cS_normal.jpg" xr:uid="{DCFFC41C-FE8A-4D35-A075-40C0E281D306}"/>
    <hyperlink ref="B5988" r:id="rId18480" display="https://twitter.com/TDentist" xr:uid="{0CFD981A-AEA2-4650-BDF3-DBE7D65D1A28}"/>
    <hyperlink ref="E5988" r:id="rId18481" display="https://twitter.com/TDentist/status/723872505925111808" xr:uid="{CAF4971F-C3AC-4D02-B27D-EEFCFDE2AB09}"/>
    <hyperlink ref="O5988" r:id="rId18482" display="https://pbs.twimg.com/profile_images/714418680742985728/6B3Bih9b_normal.jpg" xr:uid="{BFE53643-D0C5-4910-B882-C7D25382FDBF}"/>
    <hyperlink ref="B5989" r:id="rId18483" display="https://twitter.com/heikolossie" xr:uid="{FD02E264-5DE3-4E9A-87D3-531B7BFBF1CF}"/>
    <hyperlink ref="E5989" r:id="rId18484" display="https://twitter.com/heikolossie/status/723872580134948865" xr:uid="{22233F08-6B9B-47C3-8E19-DBDD0FC5A823}"/>
    <hyperlink ref="O5989" r:id="rId18485" display="https://pbs.twimg.com/profile_images/2586380116/image_normal.jpg" xr:uid="{4C7CF1EB-BC0F-4F15-BFDC-C875C1762B45}"/>
    <hyperlink ref="B5990" r:id="rId18486" display="https://twitter.com/alfabiszetta" xr:uid="{7223D299-61D3-439A-B3D2-1015E89EFB8F}"/>
    <hyperlink ref="E5990" r:id="rId18487" display="https://twitter.com/alfabiszetta/status/723872658585165824" xr:uid="{67BED58D-DF37-4779-965E-53CA9BA04601}"/>
    <hyperlink ref="O5990" r:id="rId18488" display="https://pbs.twimg.com/profile_images/722221150957387776/EnN2RL7C_normal.jpg" xr:uid="{4387B769-6334-4E2E-9E63-1512789A80B8}"/>
    <hyperlink ref="B5991" r:id="rId18489" display="https://twitter.com/SAMBeastDavid" xr:uid="{87256EE6-6ED9-4942-A630-D416E68BBB25}"/>
    <hyperlink ref="E5991" r:id="rId18490" display="https://twitter.com/SAMBeastDavid/status/723872868837240832" xr:uid="{A47CBE11-F01B-4771-96C5-4D05E2D97378}"/>
    <hyperlink ref="O5991" r:id="rId18491" display="https://pbs.twimg.com/profile_images/653304712834469890/V9tqCgWT_normal.jpg" xr:uid="{1E969176-96FA-444F-A622-D5BCA23ECC82}"/>
    <hyperlink ref="B5992" r:id="rId18492" display="https://twitter.com/swanswaygroup" xr:uid="{092D8589-AB84-4B38-B918-9B36DA4FB40D}"/>
    <hyperlink ref="E5992" r:id="rId18493" display="https://twitter.com/swanswaygroup/status/723873315220148225" xr:uid="{45A716CC-953A-40BD-AEB0-1DDF84D55104}"/>
    <hyperlink ref="O5992" r:id="rId18494" display="https://pbs.twimg.com/profile_images/552037189328982016/r65JRGTS_normal.jpeg" xr:uid="{2D212CC4-F235-4330-AB72-C9A0F2C3907C}"/>
    <hyperlink ref="B5993" r:id="rId18495" display="https://twitter.com/vwvanspreston" xr:uid="{934595E8-37A2-4A93-95B8-9851D8BEB334}"/>
    <hyperlink ref="E5993" r:id="rId18496" display="https://twitter.com/vwvanspreston/status/723873317275328514" xr:uid="{DDAB7D14-C00C-48B2-9ECD-879B8F324565}"/>
    <hyperlink ref="O5993" r:id="rId18497" display="https://pbs.twimg.com/profile_images/488711298692034561/a6Hw8Ko-_normal.jpeg" xr:uid="{EFE42A4F-A15D-462E-A8AC-15D5A26D698F}"/>
    <hyperlink ref="B5994" r:id="rId18498" display="https://twitter.com/PheonixJane" xr:uid="{CB45CFFA-BE52-4980-90F8-68E12402D42B}"/>
    <hyperlink ref="E5994" r:id="rId18499" display="https://twitter.com/PheonixJane/status/723873649585971201" xr:uid="{EB562772-6B04-469B-A114-101082FF2B0B}"/>
    <hyperlink ref="O5994" r:id="rId18500" display="https://pbs.twimg.com/profile_images/674456186159276032/s6_5pnsh_normal.jpg" xr:uid="{9130CFDE-3D90-4FF6-AC80-F6B5EC8F50A8}"/>
    <hyperlink ref="B5995" r:id="rId18501" display="https://twitter.com/acvwpassion" xr:uid="{5C2FCBFD-1282-4AD0-8311-9CE5EA6E8D30}"/>
    <hyperlink ref="E5995" r:id="rId18502" display="https://twitter.com/acvwpassion/status/723874232434843648" xr:uid="{8ABCAEC3-CDC3-4BA6-A910-4E9F69253FFF}"/>
    <hyperlink ref="O5995" r:id="rId18503" display="https://pbs.twimg.com/profile_images/545688359964651520/SF3sJ7lv_normal.jpeg" xr:uid="{90E987DA-1702-45D7-B851-63EDA27DFCA1}"/>
    <hyperlink ref="B5996" r:id="rId18504" display="https://twitter.com/carolinepedler" xr:uid="{16C99AF2-206D-498A-9B2B-DF8D1198E773}"/>
    <hyperlink ref="E5996" r:id="rId18505" display="https://twitter.com/carolinepedler/status/723874259408420864" xr:uid="{BBC643AF-829F-4A61-9FE2-DC222023B6B9}"/>
    <hyperlink ref="O5996" r:id="rId18506" display="https://pbs.twimg.com/profile_images/378800000085640419/5a1f5f1175065b21acf37ad3ded72eaa_normal.png" xr:uid="{C68961C8-56CB-4A13-83F9-A582BA949FC4}"/>
    <hyperlink ref="B5997" r:id="rId18507" display="https://twitter.com/whats_live" xr:uid="{2FD74A0F-39C9-4FB1-ABB0-0427C1782A08}"/>
    <hyperlink ref="E5997" r:id="rId18508" display="https://twitter.com/whats_live/status/723874285429903364" xr:uid="{55F7F734-CFF2-4C77-A519-1EA55D2B9266}"/>
    <hyperlink ref="O5997" r:id="rId18509" display="https://pbs.twimg.com/profile_images/600965523518566400/l0bcJH8l_normal.jpg" xr:uid="{64A8A7D9-2979-4509-9019-79C3B5BD1301}"/>
    <hyperlink ref="B5998" r:id="rId18510" display="https://twitter.com/FletcherJonesVW" xr:uid="{305142E5-8491-43DB-9685-A52329AE7022}"/>
    <hyperlink ref="E5998" r:id="rId18511" display="https://twitter.com/FletcherJonesVW/status/723874321559617536" xr:uid="{3712B5C2-8ACA-40B9-9BE4-647ED958F097}"/>
    <hyperlink ref="O5998" r:id="rId18512" display="https://pbs.twimg.com/profile_images/583306350760984576/2RP-_qOY_normal.jpg" xr:uid="{89041238-1B98-4372-AC46-0F0898AA7321}"/>
    <hyperlink ref="B5999" r:id="rId18513" display="https://twitter.com/fjchicago" xr:uid="{E1976183-5192-4692-93B0-19E00162580C}"/>
    <hyperlink ref="E5999" r:id="rId18514" display="https://twitter.com/fjchicago/status/723874334817837056" xr:uid="{DE76FB02-2540-4036-915C-64406CB2162F}"/>
    <hyperlink ref="O5999" r:id="rId18515" display="https://pbs.twimg.com/profile_images/510776626/fj_thumb_final_normal.jpg" xr:uid="{2E3AF3B0-68E1-4628-8EA2-D3F473B077A4}"/>
    <hyperlink ref="B6000" r:id="rId18516" display="https://twitter.com/PheonixJane" xr:uid="{B93AE7CC-ED21-443A-B69F-FE9E4C629D79}"/>
    <hyperlink ref="E6000" r:id="rId18517" display="https://twitter.com/PheonixJane/status/723874563428331520" xr:uid="{7E5F502E-CF82-4A14-8B49-9E2A3378255F}"/>
    <hyperlink ref="O6000" r:id="rId18518" display="https://pbs.twimg.com/profile_images/674456186159276032/s6_5pnsh_normal.jpg" xr:uid="{0346AD8D-375D-4F94-8C1A-E99280484A95}"/>
    <hyperlink ref="B6001" r:id="rId18519" display="https://twitter.com/startmakkelijk" xr:uid="{5D217907-9695-48CE-B1EC-62D745B0204E}"/>
    <hyperlink ref="E6001" r:id="rId18520" display="https://twitter.com/startmakkelijk/status/723874600824643584" xr:uid="{E0B9766E-92AD-4CB0-B637-05AD220D209C}"/>
    <hyperlink ref="F6001" r:id="rId18521" xr:uid="{A5D3CBEF-AA0E-4C33-A17C-573D980D50A8}"/>
    <hyperlink ref="O6001" r:id="rId18522" display="https://pbs.twimg.com/profile_images/556562408542445568/pKWad79S_normal.png" xr:uid="{0017226D-5E8A-40D5-8F48-4D2A4B5C9A56}"/>
    <hyperlink ref="B6002" r:id="rId18523" display="https://twitter.com/JosBosboom_" xr:uid="{B6F341AC-5F7B-4BDE-AFF1-7EE2625703EE}"/>
    <hyperlink ref="E6002" r:id="rId18524" display="https://twitter.com/JosBosboom_/status/723874601076289542" xr:uid="{4D890B32-FE18-44BB-9284-8EB331FA005C}"/>
    <hyperlink ref="F6002" r:id="rId18525" xr:uid="{C42EF149-079D-464E-B19B-31A8BD2F5DF7}"/>
    <hyperlink ref="O6002" r:id="rId18526" display="https://pbs.twimg.com/profile_images/570893108095639552/IiOlHTmM_normal.jpeg" xr:uid="{9C0E62CF-2B0F-4FC4-8EFB-2B644EA6AE78}"/>
    <hyperlink ref="B6003" r:id="rId18527" display="https://twitter.com/VWBeetleSales" xr:uid="{12B43C94-4FC6-4E0A-9B39-D986A3A89309}"/>
    <hyperlink ref="E6003" r:id="rId18528" display="https://twitter.com/VWBeetleSales/status/723874835609198594" xr:uid="{F5DD0C99-2234-4AF7-B27D-E078E65E3539}"/>
    <hyperlink ref="F6003" r:id="rId18529" xr:uid="{F67EBBF8-3519-40B8-8A99-94E54CFCAB46}"/>
    <hyperlink ref="O6003" r:id="rId18530" display="https://pbs.twimg.com/profile_images/703294545195307008/qeCvrX86_normal.jpg" xr:uid="{6D56773D-4040-4CA4-8C33-293D639683C0}"/>
    <hyperlink ref="B6004" r:id="rId18531" display="https://twitter.com/krazykayjun" xr:uid="{251AB22F-DB98-4BB8-B332-98F2898098F7}"/>
    <hyperlink ref="E6004" r:id="rId18532" display="https://twitter.com/krazykayjun/status/723876056801792000" xr:uid="{4CEBF037-009D-4125-9D89-27F595199403}"/>
    <hyperlink ref="O6004" r:id="rId18533" display="https://pbs.twimg.com/profile_images/475463102277091328/MvEJwQyx_normal.jpeg" xr:uid="{9B96E49E-D7C6-418E-9B9B-1779C22542A2}"/>
    <hyperlink ref="B6005" r:id="rId18534" display="https://twitter.com/crissshidalgo" xr:uid="{657DB48C-B109-4E1B-ADCE-828DED48122B}"/>
    <hyperlink ref="E6005" r:id="rId18535" display="https://twitter.com/crissshidalgo/status/723876141153423360" xr:uid="{1DBFB03B-ECD0-4780-8515-3244F34B4967}"/>
    <hyperlink ref="O6005" r:id="rId18536" display="https://pbs.twimg.com/profile_images/720097053217579008/yUEHosni_normal.jpg" xr:uid="{21AD4BB7-5107-42C1-BD06-5D7E590971BA}"/>
    <hyperlink ref="P6005" r:id="rId18537" location="-34.66666667,-58.66666667" display="http://ctrlq.org/maps/address/ - -34.66666667,-58.66666667" xr:uid="{4750D161-D0B6-4563-81F6-801F776C64AC}"/>
    <hyperlink ref="B6006" r:id="rId18538" display="https://twitter.com/Adi7r" xr:uid="{5FBEF7A9-9811-47F7-B1A7-3959867A0B67}"/>
    <hyperlink ref="E6006" r:id="rId18539" display="https://twitter.com/Adi7r/status/723876390643351552" xr:uid="{F4D18B8E-85AE-488A-878A-3462B4B99ED4}"/>
    <hyperlink ref="O6006" r:id="rId18540" display="https://pbs.twimg.com/profile_images/707565238611271682/vuZJROIH_normal.jpg" xr:uid="{22185C58-CF1C-4EF4-85A4-071079F922B7}"/>
    <hyperlink ref="B6007" r:id="rId18541" display="https://twitter.com/WhichUK" xr:uid="{7EC2D3D6-2DFD-497A-9371-125E413E64B8}"/>
    <hyperlink ref="E6007" r:id="rId18542" display="https://twitter.com/WhichUK/status/723876448499580929" xr:uid="{452DA487-9D74-4ECF-95E8-F7F89D577B04}"/>
    <hyperlink ref="O6007" r:id="rId18543" display="https://pbs.twimg.com/profile_images/608651059893030912/tjbUr7l5_normal.png" xr:uid="{A39B6F60-EC41-46C9-9F5B-2123938B0EB0}"/>
    <hyperlink ref="B6008" r:id="rId18544" display="https://twitter.com/JayRHenley" xr:uid="{88A41692-FE21-4C05-A2A6-FEDEDF6D1AEC}"/>
    <hyperlink ref="E6008" r:id="rId18545" display="https://twitter.com/JayRHenley/status/723876462156197888" xr:uid="{6A1AEC01-A529-4088-86D2-9E19EEFA4E6C}"/>
    <hyperlink ref="O6008" r:id="rId18546" display="https://pbs.twimg.com/profile_images/683188363030085633/DHnXAkxL_normal.jpg" xr:uid="{FBB84900-7BAA-4183-A3B4-F031ACF1DBB2}"/>
    <hyperlink ref="B6009" r:id="rId18547" display="https://twitter.com/VolkswagenPost" xr:uid="{A392A000-E464-4C32-8AB3-468D69D5D981}"/>
    <hyperlink ref="E6009" r:id="rId18548" display="https://twitter.com/VolkswagenPost/status/723877252535050242" xr:uid="{E14A9765-7164-4B6E-8A64-4D8865EB3472}"/>
    <hyperlink ref="O6009" r:id="rId18549" display="https://pbs.twimg.com/profile_images/530071272881803264/a_jcCmPZ_normal.png" xr:uid="{47C0193D-60AA-46B4-A9CB-5FDD92F5A1BD}"/>
    <hyperlink ref="B6010" r:id="rId18550" display="https://twitter.com/Giustozziauto" xr:uid="{CF710A32-2C93-46DC-90A0-B9AFD544F759}"/>
    <hyperlink ref="E6010" r:id="rId18551" display="https://twitter.com/Giustozziauto/status/723877861640146945" xr:uid="{4260794C-0E70-4D16-8F3D-6DF094B08343}"/>
    <hyperlink ref="O6010" r:id="rId18552" display="https://pbs.twimg.com/profile_images/602784795119190016/VyaVwPXK_normal.jpg" xr:uid="{5D04A370-B3D5-453C-8038-9D8351735FCE}"/>
    <hyperlink ref="B6011" r:id="rId18553" display="https://twitter.com/umitzeyrek" xr:uid="{9A9E6551-B0FB-4420-A731-1E4826DEA1E6}"/>
    <hyperlink ref="E6011" r:id="rId18554" display="https://twitter.com/umitzeyrek/status/723878296308580353" xr:uid="{46F6A7F3-3908-445C-A71D-FE7D1FF7F659}"/>
    <hyperlink ref="O6011" r:id="rId18555" display="https://pbs.twimg.com/profile_images/521442539287506945/Sq9vADfR_normal.jpeg" xr:uid="{95BDFAD4-E47B-4A4C-BBB8-5A538224EDBC}"/>
    <hyperlink ref="B6012" r:id="rId18556" display="https://twitter.com/StephanKrull" xr:uid="{A2FF7F58-6605-4D6A-8460-C59E1566F2A7}"/>
    <hyperlink ref="E6012" r:id="rId18557" display="https://twitter.com/StephanKrull/status/723878960078159872" xr:uid="{52282E38-0CED-4A14-B4D7-6679657DC930}"/>
    <hyperlink ref="O6012" r:id="rId18558" display="https://pbs.twimg.com/profile_images/561650835038298112/jX4E_neH_normal.jpeg" xr:uid="{B2BACF5F-0CC3-4579-B8E1-698FE8826E61}"/>
    <hyperlink ref="B6013" r:id="rId18559" display="https://twitter.com/AlpinumIm" xr:uid="{E382B25F-6D19-4007-8831-91433D07E88D}"/>
    <hyperlink ref="E6013" r:id="rId18560" display="https://twitter.com/AlpinumIm/status/723878965564321792" xr:uid="{347AF3D1-C1E8-4FBD-9D4D-96449CB946F8}"/>
    <hyperlink ref="O6013" r:id="rId18561" display="https://pbs.twimg.com/profile_images/697011934466420739/Y3xIOWMo_normal.png" xr:uid="{E43615EA-CBFB-4BB1-B85E-FC46981476CB}"/>
    <hyperlink ref="B6014" r:id="rId18562" display="https://twitter.com/chrispillennews" xr:uid="{F8E130AB-AB3C-4CC0-A952-D0E7D18ABFDF}"/>
    <hyperlink ref="E6014" r:id="rId18563" display="https://twitter.com/chrispillennews/status/723879186482475008" xr:uid="{3344A54D-F70E-402D-AA48-9DE0859EDEA7}"/>
    <hyperlink ref="O6014" r:id="rId18564" display="https://pbs.twimg.com/profile_images/589041144027357185/LMeiK-X6_normal.jpg" xr:uid="{079C3CE3-E5F1-400C-8167-3637C54431FF}"/>
    <hyperlink ref="B6015" r:id="rId18565" display="https://twitter.com/ClassActionsLaw" xr:uid="{A635C02D-9A0D-4DFF-9C7D-7BCEFE20735C}"/>
    <hyperlink ref="E6015" r:id="rId18566" display="https://twitter.com/ClassActionsLaw/status/723879347682156544" xr:uid="{208B399C-2554-4619-B73E-A25024BB4FFC}"/>
    <hyperlink ref="O6015" r:id="rId18567" display="https://pbs.twimg.com/profile_images/471351230212501504/x8Z0ncVJ_normal.jpeg" xr:uid="{D0B5DEC0-5B52-49A6-B52E-A2600D70C395}"/>
    <hyperlink ref="B6016" r:id="rId18568" display="https://twitter.com/PheonixJane" xr:uid="{64CDB0BD-98DC-4A84-A163-A681DEA8AF3A}"/>
    <hyperlink ref="E6016" r:id="rId18569" display="https://twitter.com/PheonixJane/status/723880363391631360" xr:uid="{83C9C32E-12D5-4C5C-A9A6-778BCA31B984}"/>
    <hyperlink ref="O6016" r:id="rId18570" display="https://pbs.twimg.com/profile_images/674456186159276032/s6_5pnsh_normal.jpg" xr:uid="{9673F303-7387-4EE2-9C0A-963A39330F18}"/>
    <hyperlink ref="B6017" r:id="rId18571" display="https://twitter.com/caryelluk" xr:uid="{C5C29002-92EB-46E1-B36D-BDC5C909D9B9}"/>
    <hyperlink ref="E6017" r:id="rId18572" display="https://twitter.com/caryelluk/status/723880383717101573" xr:uid="{837F1CF1-7CA7-4D50-826B-BFDB173E0D54}"/>
    <hyperlink ref="O6017" r:id="rId18573" display="https://pbs.twimg.com/profile_images/715332329019994114/CunHJsKm_normal.jpg" xr:uid="{46FC1452-BEC8-44BD-B577-74967B936C40}"/>
    <hyperlink ref="B6018" r:id="rId18574" display="https://twitter.com/CriistiaanBj" xr:uid="{1DCEA25B-9D58-4DD4-A893-999B21FFCC90}"/>
    <hyperlink ref="E6018" r:id="rId18575" display="https://twitter.com/CriistiaanBj/status/723880964078866432" xr:uid="{BC087668-963D-4D61-AB03-2A8C66BB938D}"/>
    <hyperlink ref="O6018" r:id="rId18576" display="https://pbs.twimg.com/profile_images/700930853837414401/S-A5_8ub_normal.jpg" xr:uid="{B7B7316E-04D9-4CD0-913E-E6186CD46D7E}"/>
    <hyperlink ref="B6019" r:id="rId18577" display="https://twitter.com/a_cologne" xr:uid="{B3FB6376-2DF3-4FA7-AE38-4A2064F42C71}"/>
    <hyperlink ref="E6019" r:id="rId18578" display="https://twitter.com/a_cologne/status/723881096115544064" xr:uid="{9725C89A-3C55-4B96-B337-5292F655D3F7}"/>
    <hyperlink ref="O6019" r:id="rId18579" display="https://pbs.twimg.com/profile_images/665794155369668608/801u7DY1_normal.png" xr:uid="{1EE1CEEE-72B2-4204-93F0-3296205B24A0}"/>
    <hyperlink ref="B6020" r:id="rId18580" display="https://twitter.com/chantaljcs" xr:uid="{85F46697-DCE1-4B00-9523-A4D4F9C2C1DB}"/>
    <hyperlink ref="E6020" r:id="rId18581" display="https://twitter.com/chantaljcs/status/723881357693333504" xr:uid="{B32A81BF-C5D3-4F66-B111-D366B8DA8436}"/>
    <hyperlink ref="O6020" r:id="rId18582" display="https://pbs.twimg.com/profile_images/664794741444317184/MDYXkgPB_normal.jpg" xr:uid="{B783658F-6E14-46F8-9586-7C7D9EC35C96}"/>
    <hyperlink ref="B6021" r:id="rId18583" display="https://twitter.com/Insta_VWT" xr:uid="{E48ED1C5-0D22-42E8-B99B-67F919A94E70}"/>
    <hyperlink ref="E6021" r:id="rId18584" display="https://twitter.com/Insta_VWT/status/723881482415169537" xr:uid="{21CF33D7-162E-4FA8-BB19-CED03CFD8812}"/>
    <hyperlink ref="O6021" r:id="rId18585" display="https://pbs.twimg.com/profile_images/424893967197433858/iQ86NktX_normal.jpeg" xr:uid="{A35EDB25-01BC-40B2-9D15-AEFC03F8F6D5}"/>
    <hyperlink ref="B6022" r:id="rId18586" display="https://twitter.com/hashtagvanlife" xr:uid="{DA5CA2DE-EB4C-4D08-99D4-61DFF8C891F5}"/>
    <hyperlink ref="E6022" r:id="rId18587" display="https://twitter.com/hashtagvanlife/status/723881868370817024" xr:uid="{C6FBBC71-8D4A-44DF-883B-9D0CAACAE6C9}"/>
    <hyperlink ref="O6022" r:id="rId18588" display="https://pbs.twimg.com/profile_images/653637535545995264/gHuXQ5Bt_normal.jpg" xr:uid="{CFB3B855-E9B5-4C39-926C-7C0F34B8A71B}"/>
    <hyperlink ref="B6023" r:id="rId18589" display="https://twitter.com/OnlineCarReview" xr:uid="{02E3EBD4-7F67-49DD-98B6-74D9C873FD6D}"/>
    <hyperlink ref="E6023" r:id="rId18590" display="https://twitter.com/OnlineCarReview/status/723882199070580738" xr:uid="{12A1727D-3080-4B34-B82E-3380FF4E7866}"/>
    <hyperlink ref="O6023" r:id="rId18591" display="https://pbs.twimg.com/profile_images/652871584131092480/QA_B6SBO_normal.jpg" xr:uid="{DEDB057A-FD70-482A-96B9-CD29517CF106}"/>
    <hyperlink ref="B6024" r:id="rId18592" display="https://twitter.com/mokshaamm" xr:uid="{6EADBC91-8CF1-456E-A350-16F3E28205B0}"/>
    <hyperlink ref="E6024" r:id="rId18593" display="https://twitter.com/mokshaamm/status/723882569368932353" xr:uid="{0B6D3BF8-6657-47F5-A2A5-F428D81A330A}"/>
    <hyperlink ref="O6024" r:id="rId18594" display="https://abs.twimg.com/sticky/default_profile_images/default_profile_0_normal.png" xr:uid="{94628437-B941-4DF0-A84D-0F3A3EB532FD}"/>
    <hyperlink ref="B6025" r:id="rId18595" display="https://twitter.com/VolkswagenPost" xr:uid="{CC2BB6ED-22A0-4A70-A7FD-AC5231C2B7EC}"/>
    <hyperlink ref="E6025" r:id="rId18596" display="https://twitter.com/VolkswagenPost/status/723882719713722369" xr:uid="{3CA1511A-E2B9-4EE7-8436-1849A2E078F2}"/>
    <hyperlink ref="O6025" r:id="rId18597" display="https://pbs.twimg.com/profile_images/530071272881803264/a_jcCmPZ_normal.png" xr:uid="{336CA70A-C923-4486-98AB-81BA03E4801F}"/>
    <hyperlink ref="B6026" r:id="rId18598" display="https://twitter.com/VolkswagenPost" xr:uid="{7A81A0F8-12C1-48C4-97AC-2EBADC1A655B}"/>
    <hyperlink ref="E6026" r:id="rId18599" display="https://twitter.com/VolkswagenPost/status/723882721458556931" xr:uid="{A6D1B30A-916D-404A-A6B1-57D6C415BF34}"/>
    <hyperlink ref="O6026" r:id="rId18600" display="https://pbs.twimg.com/profile_images/530071272881803264/a_jcCmPZ_normal.png" xr:uid="{E236F01B-F319-486E-8182-ADE79733B006}"/>
    <hyperlink ref="B6027" r:id="rId18601" display="https://twitter.com/juliawimbush" xr:uid="{8CEBBA07-8F60-4A11-B420-E362532412F6}"/>
    <hyperlink ref="E6027" r:id="rId18602" display="https://twitter.com/juliawimbush/status/723882817696980994" xr:uid="{FAE56A30-3BB3-498E-A2DF-8F1F5FCC63D8}"/>
    <hyperlink ref="O6027" r:id="rId18603" display="https://pbs.twimg.com/profile_images/2263204940/188249_1921812926589_4888950_n_normal.jpg" xr:uid="{DE6C7ACC-392E-4D5C-A569-D3BE1AD528FE}"/>
    <hyperlink ref="B6028" r:id="rId18604" display="https://twitter.com/ebaycampervans" xr:uid="{8836B98C-4C86-487D-A25D-E4372FC8D336}"/>
    <hyperlink ref="E6028" r:id="rId18605" display="https://twitter.com/ebaycampervans/status/723883072903507970" xr:uid="{EFF0A460-3D36-4A62-9563-59BCD0FBB0FB}"/>
    <hyperlink ref="O6028" r:id="rId18606" display="https://pbs.twimg.com/profile_images/599357023407464449/BL9Bpo6T_normal.jpg" xr:uid="{23C3E751-E774-4AAC-BC20-866DC45A3CEE}"/>
    <hyperlink ref="B6029" r:id="rId18607" display="https://twitter.com/VWBeetleSales" xr:uid="{8CED2E68-351D-41E2-A34D-71185DB05009}"/>
    <hyperlink ref="E6029" r:id="rId18608" display="https://twitter.com/VWBeetleSales/status/723883411069231104" xr:uid="{1EB55283-D5C2-4C39-9708-2B7C005D35B9}"/>
    <hyperlink ref="F6029" r:id="rId18609" xr:uid="{0D530D62-C4BE-4C02-9B75-04F0CA49EF0A}"/>
    <hyperlink ref="O6029" r:id="rId18610" display="https://pbs.twimg.com/profile_images/703294545195307008/qeCvrX86_normal.jpg" xr:uid="{11057BA3-8640-4029-84B0-9E13027BE537}"/>
    <hyperlink ref="B6030" r:id="rId18611" display="https://twitter.com/manumuncki" xr:uid="{D6D2EBE0-E024-4934-BAAE-44C2A0DAFC6E}"/>
    <hyperlink ref="E6030" r:id="rId18612" display="https://twitter.com/manumuncki/status/723884346592092161" xr:uid="{9FF79653-01B2-46F0-8572-257508012DF2}"/>
    <hyperlink ref="O6030" r:id="rId18613" display="https://pbs.twimg.com/profile_images/423811151109976064/7Vsor0Pi_normal.png" xr:uid="{1658ABE1-7E74-47D5-AA7F-2B6F05FAF5C2}"/>
    <hyperlink ref="B6031" r:id="rId18614" display="https://twitter.com/Ramon500v" xr:uid="{C9E37F0A-3F45-4372-BADE-234CB38EF80C}"/>
    <hyperlink ref="E6031" r:id="rId18615" display="https://twitter.com/Ramon500v/status/723884436924829698" xr:uid="{BEA947B6-221A-4919-AEB1-206CF6EC5EF7}"/>
    <hyperlink ref="O6031" r:id="rId18616" display="https://pbs.twimg.com/profile_images/590138055014670337/F8_y0IBj_normal.jpg" xr:uid="{CF082ED2-8C9A-472B-9788-20342436CBFB}"/>
    <hyperlink ref="B6032" r:id="rId18617" display="https://twitter.com/manumuncki" xr:uid="{8BFD6E20-1194-47E8-83E2-6F046AC4A05B}"/>
    <hyperlink ref="E6032" r:id="rId18618" display="https://twitter.com/manumuncki/status/723884695864381441" xr:uid="{29AB83E6-E117-4040-B2E6-DE7489886B11}"/>
    <hyperlink ref="O6032" r:id="rId18619" display="https://pbs.twimg.com/profile_images/423811151109976064/7Vsor0Pi_normal.png" xr:uid="{A948B9BD-99B0-4FDC-9FA5-837C70AFA6AC}"/>
    <hyperlink ref="B6033" r:id="rId18620" display="https://twitter.com/danny_macaskill" xr:uid="{87455B39-19B4-4FC8-B643-E0EC65489C53}"/>
    <hyperlink ref="E6033" r:id="rId18621" display="https://twitter.com/danny_macaskill/status/723885040191430658" xr:uid="{2E14E6E4-70A4-41A2-8FBC-EEBA1B8FDA92}"/>
    <hyperlink ref="O6033" r:id="rId18622" display="https://pbs.twimg.com/profile_images/675288954808238080/bhh-agl2_normal.jpg" xr:uid="{AD5C5F28-5C0D-42AD-AE8F-B41E37A9CA34}"/>
    <hyperlink ref="B6034" r:id="rId18623" display="https://twitter.com/AtahanKLNC" xr:uid="{4ED92834-C4B9-474F-8444-17565DFA9BBB}"/>
    <hyperlink ref="E6034" r:id="rId18624" display="https://twitter.com/AtahanKLNC/status/723885677981495296" xr:uid="{E89AFA5A-CF3E-43EF-9EC7-F06691475ABD}"/>
    <hyperlink ref="O6034" r:id="rId18625" display="https://pbs.twimg.com/profile_images/627234217840246784/fdpcdjnW_normal.jpg" xr:uid="{082C7B88-9187-4758-B8FB-911EED59B790}"/>
    <hyperlink ref="P6034" r:id="rId18626" location="40.99552,28.85033" display="http://ctrlq.org/maps/address/ - 40.99552,28.85033" xr:uid="{ABFEC47E-5B68-4865-AE3D-26E5BF48CB77}"/>
    <hyperlink ref="B6035" r:id="rId18627" display="https://twitter.com/Mrhemicuda360" xr:uid="{0C09D8F7-E107-491E-AD01-209823E6EC82}"/>
    <hyperlink ref="E6035" r:id="rId18628" display="https://twitter.com/Mrhemicuda360/status/723885718985183232" xr:uid="{7BA1412D-D2BA-4A6C-A483-A6B67D992B5D}"/>
    <hyperlink ref="O6035" r:id="rId18629" display="https://pbs.twimg.com/profile_images/723628966578393088/A7-vmc68_normal.jpg" xr:uid="{1B5220D2-795F-4A28-86EF-86F1C403022F}"/>
    <hyperlink ref="B6036" r:id="rId18630" display="https://twitter.com/danny_macaskill" xr:uid="{FCB691D4-B4F2-410D-B6B8-AD968E8AA5CF}"/>
    <hyperlink ref="E6036" r:id="rId18631" display="https://twitter.com/danny_macaskill/status/723885788019187712" xr:uid="{176843FC-2AEC-4113-A210-48E022C515C1}"/>
    <hyperlink ref="O6036" r:id="rId18632" display="https://pbs.twimg.com/profile_images/675288954808238080/bhh-agl2_normal.jpg" xr:uid="{9453381F-5686-4E99-AC4A-76F7238B9059}"/>
    <hyperlink ref="B6037" r:id="rId18633" display="https://twitter.com/nurdersven" xr:uid="{444A5E1B-93DB-4719-B8BD-6407C5BF471A}"/>
    <hyperlink ref="E6037" r:id="rId18634" display="https://twitter.com/nurdersven/status/723886174528483331" xr:uid="{39B623BB-4902-4C82-BDC3-3574F04BED94}"/>
    <hyperlink ref="O6037" r:id="rId18635" display="https://pbs.twimg.com/profile_images/490872931334254592/bn6LDMXT_normal.jpeg" xr:uid="{C9AB5CD5-343E-47D0-B628-B45BFB3C25D2}"/>
    <hyperlink ref="B6038" r:id="rId18636" display="https://twitter.com/wintonsauto" xr:uid="{9656327E-DEAA-4105-880E-E6959E937629}"/>
    <hyperlink ref="E6038" r:id="rId18637" display="https://twitter.com/wintonsauto/status/723886429936476160" xr:uid="{1FA1D6FC-E57F-4744-8E6F-DD3E1284656C}"/>
    <hyperlink ref="O6038" r:id="rId18638" display="https://pbs.twimg.com/profile_images/436538745232568320/WdIrwRnz_normal.jpeg" xr:uid="{D593E46E-974B-44C4-853F-EE186586517F}"/>
    <hyperlink ref="B6039" r:id="rId18639" display="https://twitter.com/LVIaLondres" xr:uid="{4B25E820-3C72-447E-91E0-60668B85E0AA}"/>
    <hyperlink ref="E6039" r:id="rId18640" display="https://twitter.com/LVIaLondres/status/723886504251133952" xr:uid="{368174FA-D945-4B94-9B4B-40F1DF7FF8DB}"/>
    <hyperlink ref="O6039" r:id="rId18641" display="https://pbs.twimg.com/profile_images/620156890274766848/QTu02poy_normal.jpg" xr:uid="{E10BD58A-E630-4546-AE54-D68838275538}"/>
    <hyperlink ref="B6040" r:id="rId18642" display="https://twitter.com/RobsterRound" xr:uid="{6A19DF40-D7D9-4E55-BB6C-4033E4B64C24}"/>
    <hyperlink ref="E6040" r:id="rId18643" display="https://twitter.com/RobsterRound/status/723887149964242945" xr:uid="{58F86187-78DC-4817-870F-574B2D5F32F2}"/>
    <hyperlink ref="O6040" r:id="rId18644" display="https://pbs.twimg.com/profile_images/719093309738770432/-ot7iGIC_normal.jpg" xr:uid="{9EA74C9D-AB70-4700-A3E3-998C7891E858}"/>
    <hyperlink ref="B6041" r:id="rId18645" display="https://twitter.com/Danny5140" xr:uid="{80754BFD-C3B7-4036-A342-A1ECBDA7E44C}"/>
    <hyperlink ref="E6041" r:id="rId18646" display="https://twitter.com/Danny5140/status/723887480953536513" xr:uid="{4049290F-7091-4A8D-876E-E29FE7219014}"/>
    <hyperlink ref="O6041" r:id="rId18647" display="https://pbs.twimg.com/profile_images/687000839517528064/Uss1jMXJ_normal.jpg" xr:uid="{C3D3141E-B9E1-4481-A582-D7FB9811AA70}"/>
    <hyperlink ref="B6042" r:id="rId18648" display="https://twitter.com/rheinhessenulf" xr:uid="{FC68DB9A-63B8-46AA-BB72-8425BF5381D1}"/>
    <hyperlink ref="E6042" r:id="rId18649" display="https://twitter.com/rheinhessenulf/status/723887522951094273" xr:uid="{AB9C8ED3-3FEC-42A2-9D18-429254467547}"/>
    <hyperlink ref="O6042" r:id="rId18650" display="https://pbs.twimg.com/profile_images/635899193148600320/JKHbj8eH_normal.png" xr:uid="{7CA02F02-DC55-43DE-B903-752B1583558A}"/>
    <hyperlink ref="B6043" r:id="rId18651" display="https://twitter.com/DerLuggas" xr:uid="{CCDACD45-DA50-439D-9A8C-F3BED05C027E}"/>
    <hyperlink ref="E6043" r:id="rId18652" display="https://twitter.com/DerLuggas/status/723887554496442368" xr:uid="{DF442968-A4EE-49EE-B872-0E9A814B931B}"/>
    <hyperlink ref="O6043" r:id="rId18653" display="https://pbs.twimg.com/profile_images/662325037396041728/8Tf0awpH_normal.jpg" xr:uid="{3A7CD28B-A14E-43CA-94F5-EEEEDDADAA78}"/>
    <hyperlink ref="B6044" r:id="rId18654" display="https://twitter.com/KK_aus_K" xr:uid="{C0D84C95-6463-492F-A3DB-6C75A8266996}"/>
    <hyperlink ref="E6044" r:id="rId18655" display="https://twitter.com/KK_aus_K/status/723887561303810048" xr:uid="{FD945628-1E75-409A-9142-12CB5038B228}"/>
    <hyperlink ref="O6044" r:id="rId18656" display="https://pbs.twimg.com/profile_images/562580411692220416/2NE-rvNb_normal.jpeg" xr:uid="{9A0B0B4A-5F18-44CD-84E7-427E45864246}"/>
    <hyperlink ref="B6045" r:id="rId18657" display="https://twitter.com/TralalaBarb" xr:uid="{833BCC28-97D9-4815-826C-1D66E119A9EB}"/>
    <hyperlink ref="E6045" r:id="rId18658" display="https://twitter.com/TralalaBarb/status/723887925524611072" xr:uid="{8F0A2117-6CCB-471C-951D-7D4BDBE7FBAF}"/>
    <hyperlink ref="O6045" r:id="rId18659" display="https://pbs.twimg.com/profile_images/460856641206759424/FVPr1nt2_normal.jpeg" xr:uid="{CDCE62A8-5A33-455A-8093-79F3C59380B3}"/>
    <hyperlink ref="B6046" r:id="rId18660" display="https://twitter.com/VWCamperSales" xr:uid="{C3985CE9-5937-44D7-975D-48A4473F7150}"/>
    <hyperlink ref="E6046" r:id="rId18661" display="https://twitter.com/VWCamperSales/status/723888051630428160" xr:uid="{5BE221D2-65EF-4DB6-A79A-CFE3E6364F08}"/>
    <hyperlink ref="F6046" r:id="rId18662" xr:uid="{1C210069-6B8D-4891-9A51-AB2632307B65}"/>
    <hyperlink ref="O6046" r:id="rId18663" display="https://pbs.twimg.com/profile_images/627949001179037696/skEBkS05_normal.jpg" xr:uid="{68683700-9DD1-4A36-964A-4FA9605DC137}"/>
    <hyperlink ref="B6047" r:id="rId18664" display="https://twitter.com/Onkel_Homie" xr:uid="{FA3B5358-3F74-44C7-AEC9-7BC4234CE087}"/>
    <hyperlink ref="E6047" r:id="rId18665" display="https://twitter.com/Onkel_Homie/status/723888058408513536" xr:uid="{767406CF-78DE-4C9C-9C63-8A6A0D6DB50F}"/>
    <hyperlink ref="O6047" r:id="rId18666" display="https://pbs.twimg.com/profile_images/723597456596979714/1a2Onsh-_normal.jpg" xr:uid="{B6684858-9598-4ECF-BF2D-5CF657E672ED}"/>
    <hyperlink ref="B6048" r:id="rId18667" display="https://twitter.com/TheWhiskyLynx" xr:uid="{60A93C91-0A8F-4270-B6DE-FFEC5D81F9BD}"/>
    <hyperlink ref="E6048" r:id="rId18668" display="https://twitter.com/TheWhiskyLynx/status/723888166097305600" xr:uid="{87EFDD02-9E0B-4CED-8735-EE9691F546FE}"/>
    <hyperlink ref="O6048" r:id="rId18669" display="https://pbs.twimg.com/profile_images/701050474045251585/RSM5NM6y_normal.jpg" xr:uid="{B4BD1772-9FE3-4071-9FB0-7352DBA0FFD5}"/>
    <hyperlink ref="B6049" r:id="rId18670" display="https://twitter.com/MorSvinka_83" xr:uid="{34C2B388-E14F-497C-BD4D-EFCFF32E6DC1}"/>
    <hyperlink ref="E6049" r:id="rId18671" display="https://twitter.com/MorSvinka_83/status/723888223173394432" xr:uid="{E656ADF7-3DB2-4EA8-9BBD-6741532ED95A}"/>
    <hyperlink ref="O6049" r:id="rId18672" display="https://pbs.twimg.com/profile_images/2208847688/Untitled-2_normal.jpg" xr:uid="{2F720A38-7325-4674-ACF8-EEF6CCD359D6}"/>
    <hyperlink ref="B6050" r:id="rId18673" display="https://twitter.com/ggracing11" xr:uid="{762DC619-50A8-4FAB-93E5-687B7618E5E4}"/>
    <hyperlink ref="E6050" r:id="rId18674" display="https://twitter.com/ggracing11/status/723888607677820928" xr:uid="{4011D580-EAA8-444F-8549-43D65AF2C818}"/>
    <hyperlink ref="O6050" r:id="rId18675" display="https://pbs.twimg.com/profile_images/632993235552587776/7N1mu_tb_normal.jpg" xr:uid="{F864AA7D-4084-4592-AA00-67684439F7FD}"/>
    <hyperlink ref="P6050" r:id="rId18676" location="-23.48367234,-46.60681257" display="http://ctrlq.org/maps/address/ - -23.48367234,-46.60681257" xr:uid="{89537A16-825C-4BAF-BE09-02FB4E5A201E}"/>
    <hyperlink ref="B6051" r:id="rId18677" display="https://twitter.com/BLONDIE24699" xr:uid="{72B3E4A8-C853-42D7-89F7-AD40FBFA821D}"/>
    <hyperlink ref="E6051" r:id="rId18678" display="https://twitter.com/BLONDIE24699/status/723888783616278528" xr:uid="{27968B7B-B9F3-48AD-B76B-06F433A3D06A}"/>
    <hyperlink ref="O6051" r:id="rId18679" display="https://pbs.twimg.com/profile_images/707712324312961024/oIuosl6x_normal.jpg" xr:uid="{A98D5E73-B489-4EFF-A53A-10D9FE04B6A5}"/>
    <hyperlink ref="B6052" r:id="rId18680" display="https://twitter.com/AhmadAlZ" xr:uid="{B878323C-74AF-453C-BF50-ABA14845E7AF}"/>
    <hyperlink ref="E6052" r:id="rId18681" display="https://twitter.com/AhmadAlZ/status/723888809591578626" xr:uid="{D44FA981-9515-408C-ADD5-43FDE7309D7C}"/>
    <hyperlink ref="O6052" r:id="rId18682" display="https://pbs.twimg.com/profile_images/268749427/Bild_061__2__normal.jpg" xr:uid="{CCEA1A54-576F-497F-92E1-A8D1B78BFA96}"/>
    <hyperlink ref="B6053" r:id="rId18683" display="https://twitter.com/Dex_Morgan96" xr:uid="{4E295A0A-30CE-421E-9E65-5D5944ABF70A}"/>
    <hyperlink ref="E6053" r:id="rId18684" display="https://twitter.com/Dex_Morgan96/status/723889023224274944" xr:uid="{EF172855-92CD-4891-8EB2-40DA57D3AA0F}"/>
    <hyperlink ref="O6053" r:id="rId18685" display="https://pbs.twimg.com/profile_images/711135089388818432/uvAjv_9K_normal.jpg" xr:uid="{8ACF444A-F55C-4376-9B17-A435979113AC}"/>
    <hyperlink ref="B6054" r:id="rId18686" display="https://twitter.com/CarterVW" xr:uid="{7478327C-3786-4577-9DF6-2A6DDF714D00}"/>
    <hyperlink ref="E6054" r:id="rId18687" display="https://twitter.com/CarterVW/status/723889198231486464" xr:uid="{B9F68BA4-E97C-435F-928A-FAF4C618CD59}"/>
    <hyperlink ref="O6054" r:id="rId18688" display="https://pbs.twimg.com/profile_images/693260133237809152/JUVeKYdq_normal.jpg" xr:uid="{5A5CE4F1-29E7-4237-91CE-DA5C4EA451C3}"/>
    <hyperlink ref="B6055" r:id="rId18689" display="https://twitter.com/B83ART" xr:uid="{6B18D1A4-D5FE-4708-A9AC-89C44DF9DF36}"/>
    <hyperlink ref="E6055" r:id="rId18690" display="https://twitter.com/B83ART/status/723889431728513024" xr:uid="{F6064AF2-C013-44A4-9BD1-812949F1201B}"/>
    <hyperlink ref="O6055" r:id="rId18691" display="https://pbs.twimg.com/profile_images/722201032479088641/gDpR-6wN_normal.jpg" xr:uid="{EEA2D62A-51F8-4C24-9AA6-494E27612FB6}"/>
    <hyperlink ref="B6056" r:id="rId18692" display="https://twitter.com/Volkswagen_T25" xr:uid="{1D3975A9-8008-4C20-BCA5-5E057AB2B09F}"/>
    <hyperlink ref="C6056" r:id="rId18693" xr:uid="{9E0A00B3-F314-4851-814E-82F3CA0156BF}"/>
    <hyperlink ref="E6056" r:id="rId18694" display="https://twitter.com/Volkswagen_T25/status/723889436052885504" xr:uid="{17E151EB-BF25-4362-8AD1-4D20BD4999E5}"/>
    <hyperlink ref="O6056" r:id="rId18695" display="https://pbs.twimg.com/profile_images/522805756736057344/m7B0nHpz_normal.jpeg" xr:uid="{AC0301FE-6764-4006-A3B1-39062A3104D1}"/>
    <hyperlink ref="B6057" r:id="rId18696" display="https://twitter.com/daniel1820815" xr:uid="{132B1B11-EBD2-4DBA-9D41-8BD24843C9F5}"/>
    <hyperlink ref="E6057" r:id="rId18697" display="https://twitter.com/daniel1820815/status/723889595612565504" xr:uid="{64D1E131-93B5-4DD9-BBDA-2ACFE9F0FC88}"/>
    <hyperlink ref="O6057" r:id="rId18698" display="https://pbs.twimg.com/profile_images/679621667774164992/o2iiV0R3_normal.jpg" xr:uid="{52D79C5D-BB4C-472B-BB45-1B161910B452}"/>
    <hyperlink ref="B6058" r:id="rId18699" display="https://twitter.com/VWCamperSales" xr:uid="{F14C48B7-DAAF-4C29-AE90-3CA21DA38DDE}"/>
    <hyperlink ref="E6058" r:id="rId18700" display="https://twitter.com/VWCamperSales/status/723889702495883265" xr:uid="{7EC3A41C-F49C-42E5-A76A-387200905E71}"/>
    <hyperlink ref="F6058" r:id="rId18701" xr:uid="{69E1DE38-CACF-463C-8EB8-36C3B3D3CA53}"/>
    <hyperlink ref="O6058" r:id="rId18702" display="https://pbs.twimg.com/profile_images/627949001179037696/skEBkS05_normal.jpg" xr:uid="{AE3037BD-AFF3-4E18-BF67-F1BD1F65015B}"/>
    <hyperlink ref="B6059" r:id="rId18703" display="https://twitter.com/hirokigb" xr:uid="{EA2EE220-7F45-42D7-A83B-C58249C3181D}"/>
    <hyperlink ref="E6059" r:id="rId18704" display="https://twitter.com/hirokigb/status/723889707382243328" xr:uid="{FEB4B5B0-A9CE-4DB6-B452-40CB3F0A6C8E}"/>
    <hyperlink ref="O6059" r:id="rId18705" display="https://pbs.twimg.com/profile_images/721754944324239361/D_NZR4B1_normal.jpg" xr:uid="{969FEFA3-EE59-46C7-964A-B22AF1473C01}"/>
    <hyperlink ref="B6060" r:id="rId18706" display="https://twitter.com/SouthCentreVW" xr:uid="{F23BF3A9-0FF7-4A29-9782-18D8BE368B3C}"/>
    <hyperlink ref="E6060" r:id="rId18707" display="https://twitter.com/SouthCentreVW/status/723890036513509376" xr:uid="{55D1861B-3EE3-458C-B90B-4FC268667828}"/>
    <hyperlink ref="O6060" r:id="rId18708" display="https://pbs.twimg.com/profile_images/420634034830454784/G0XYnB5o_normal.jpeg" xr:uid="{C8ADE459-CC28-4DCF-9B10-1CCA8D2F6F9B}"/>
    <hyperlink ref="B6061" r:id="rId18709" display="https://twitter.com/JoJagiello" xr:uid="{4A4FCB21-9360-4840-BE65-430E42BC8C0A}"/>
    <hyperlink ref="E6061" r:id="rId18710" display="https://twitter.com/JoJagiello/status/723890104394256384" xr:uid="{FF85A3D4-894B-4DF9-A1F1-BBE3B361E688}"/>
    <hyperlink ref="O6061" r:id="rId18711" display="https://pbs.twimg.com/profile_images/701477016030289921/prD-N92q_normal.jpg" xr:uid="{CE88E48F-5040-430D-86B8-60C132CA42EB}"/>
    <hyperlink ref="B6062" r:id="rId18712" display="https://twitter.com/thecurtis76" xr:uid="{CA01E116-5906-455F-BDDE-34BC0F42F066}"/>
    <hyperlink ref="E6062" r:id="rId18713" display="https://twitter.com/thecurtis76/status/723890316495970304" xr:uid="{4011860D-1180-4ADA-B780-42C714893A80}"/>
    <hyperlink ref="O6062" r:id="rId18714" display="https://pbs.twimg.com/profile_images/1148670077/5073089178_ac68a0ace7_o_normal.jpeg" xr:uid="{414AEF04-96AC-40C5-A018-7D0F866A5D06}"/>
    <hyperlink ref="B6063" r:id="rId18715" display="https://twitter.com/swanswaygroup" xr:uid="{36FF660F-760F-45A8-A216-838982D3FFC4}"/>
    <hyperlink ref="E6063" r:id="rId18716" display="https://twitter.com/swanswaygroup/status/723890678854377473" xr:uid="{B855AE48-63B5-4835-B8B8-8ACB044C0E69}"/>
    <hyperlink ref="O6063" r:id="rId18717" display="https://pbs.twimg.com/profile_images/552037189328982016/r65JRGTS_normal.jpeg" xr:uid="{85FE2627-33BF-4327-AD44-46B6C5BD9C2C}"/>
    <hyperlink ref="B6064" r:id="rId18718" display="https://twitter.com/WrexhamVW" xr:uid="{5434638C-DDCF-41E6-9DD7-65E590082180}"/>
    <hyperlink ref="E6064" r:id="rId18719" display="https://twitter.com/WrexhamVW/status/723890678950817793" xr:uid="{AF9AA5C9-8972-4D38-B557-744F4DED2103}"/>
    <hyperlink ref="O6064" r:id="rId18720" display="https://pbs.twimg.com/profile_images/488719995401027584/VzWWQNs__normal.jpeg" xr:uid="{8C89B8A5-1C1D-42DB-9DE9-B48D54C9E234}"/>
    <hyperlink ref="B6065" r:id="rId18721" display="https://twitter.com/Nyck_frank" xr:uid="{331A08A5-30E0-448B-AE0B-98983B6E723B}"/>
    <hyperlink ref="E6065" r:id="rId18722" display="https://twitter.com/Nyck_frank/status/723890689101045760" xr:uid="{F3CEFCA0-81D7-4747-92EC-946AA25463E0}"/>
    <hyperlink ref="O6065" r:id="rId18723" display="https://pbs.twimg.com/profile_images/713869890470486020/kPjXKpBg_normal.jpg" xr:uid="{4C6E112D-455F-4122-A78D-9923F553CC24}"/>
    <hyperlink ref="B6066" r:id="rId18724" display="https://twitter.com/joergeickhoff" xr:uid="{997C15A1-83BB-42AD-9C06-623ED4C51CAE}"/>
    <hyperlink ref="E6066" r:id="rId18725" display="https://twitter.com/joergeickhoff/status/723890740590419969" xr:uid="{C0E82992-9767-44B5-AC3E-F87087B903D0}"/>
    <hyperlink ref="O6066" r:id="rId18726" display="https://pbs.twimg.com/profile_images/512117524813467648/G656Oqmx_normal.jpeg" xr:uid="{47A8D4B8-6267-46A4-B604-265C86472DC0}"/>
    <hyperlink ref="B6067" r:id="rId18727" display="https://twitter.com/rfreuden" xr:uid="{24FEE58F-70A0-4FE7-86FA-869EB9439252}"/>
    <hyperlink ref="E6067" r:id="rId18728" display="https://twitter.com/rfreuden/status/723890961001136128" xr:uid="{0B0BB03B-8F44-4A68-84C6-43DCC3EB4270}"/>
    <hyperlink ref="O6067" r:id="rId18729" display="https://pbs.twimg.com/profile_images/1261747552/photo_normal.JPG" xr:uid="{DA01B494-3FA3-4AB2-A1B3-7189066E3E80}"/>
    <hyperlink ref="P6067" r:id="rId18730" location="35.96013836,-78.95991139" display="http://ctrlq.org/maps/address/ - 35.96013836,-78.95991139" xr:uid="{8A19747E-AAAA-44FE-8919-F81787A610BB}"/>
    <hyperlink ref="B6068" r:id="rId18731" display="https://twitter.com/jeremyjudkins" xr:uid="{73BC9470-A59C-4FA4-82F5-79292E9705ED}"/>
    <hyperlink ref="E6068" r:id="rId18732" display="https://twitter.com/jeremyjudkins/status/723891532026273792" xr:uid="{84E1DB79-A256-4B8E-B9EF-12F23681D1E4}"/>
    <hyperlink ref="O6068" r:id="rId18733" display="https://pbs.twimg.com/profile_images/703731714225512448/L6xzIxC6_normal.jpg" xr:uid="{5F2EC08F-F6BA-4597-8043-A3F216F90F40}"/>
    <hyperlink ref="P6068" r:id="rId18734" location="31.63448381,-83.58424846" display="http://ctrlq.org/maps/address/ - 31.63448381,-83.58424846" xr:uid="{1CB7AB72-42C4-4172-B38C-1D811CC9B9B3}"/>
    <hyperlink ref="B6069" r:id="rId18735" display="https://twitter.com/hashtagvanlife" xr:uid="{3FF5AB84-721B-4057-8393-5CD28F745168}"/>
    <hyperlink ref="E6069" r:id="rId18736" display="https://twitter.com/hashtagvanlife/status/723891588045385728" xr:uid="{4C5A51E5-B3B2-4CFA-83D0-4CC249FAF983}"/>
    <hyperlink ref="O6069" r:id="rId18737" display="https://pbs.twimg.com/profile_images/653637535545995264/gHuXQ5Bt_normal.jpg" xr:uid="{3B5245FD-3E50-48A9-800F-FB0472BD708E}"/>
    <hyperlink ref="B6070" r:id="rId18738" display="https://twitter.com/VWBeetleSales" xr:uid="{257A78A9-F9F0-40F8-96C3-C03A6D992870}"/>
    <hyperlink ref="E6070" r:id="rId18739" display="https://twitter.com/VWBeetleSales/status/723891947765538817" xr:uid="{127BE007-247B-4E07-8313-57C72510D7C0}"/>
    <hyperlink ref="F6070" r:id="rId18740" xr:uid="{7C56C863-23ED-4F21-AEE7-7925E8A71CEF}"/>
    <hyperlink ref="O6070" r:id="rId18741" display="https://pbs.twimg.com/profile_images/703294545195307008/qeCvrX86_normal.jpg" xr:uid="{3DF52573-8FEC-4E37-973B-AAAB476B1288}"/>
    <hyperlink ref="B6071" r:id="rId18742" display="https://twitter.com/SD2MUC" xr:uid="{7D489E20-6D60-4E46-B09F-1B2ED882FC04}"/>
    <hyperlink ref="E6071" r:id="rId18743" display="https://twitter.com/SD2MUC/status/723892443985379328" xr:uid="{B275AD0B-ED44-4D62-9F5B-B7C2E1835261}"/>
    <hyperlink ref="O6071" r:id="rId18744" display="https://pbs.twimg.com/profile_images/553716949738590209/8hcEcDmI_normal.jpeg" xr:uid="{A72FD3FB-6925-4DED-B179-09BB9700E629}"/>
    <hyperlink ref="B6072" r:id="rId18745" display="https://twitter.com/goatandkettle" xr:uid="{61F5D602-C9D4-4A42-9BD9-F4A04B1552EA}"/>
    <hyperlink ref="E6072" r:id="rId18746" display="https://twitter.com/goatandkettle/status/723892540701691904" xr:uid="{57B390CD-A654-43B5-9F2B-533BAFFC8937}"/>
    <hyperlink ref="O6072" r:id="rId18747" display="https://pbs.twimg.com/profile_images/448225399399411712/3vBzIwmK_normal.jpeg" xr:uid="{9CEA36B0-F2E6-45F0-98C3-C28824FA8DBA}"/>
    <hyperlink ref="B6073" r:id="rId18748" display="https://twitter.com/Insta_VWT" xr:uid="{BD6AF651-870A-45C1-BA6E-FE87D2BC9FEE}"/>
    <hyperlink ref="E6073" r:id="rId18749" display="https://twitter.com/Insta_VWT/status/723892807115640833" xr:uid="{C39CF9AA-5B3C-49F8-8A6C-4DF2C1B3041D}"/>
    <hyperlink ref="O6073" r:id="rId18750" display="https://pbs.twimg.com/profile_images/424893967197433858/iQ86NktX_normal.jpeg" xr:uid="{6767E714-2F0D-4CF0-85A8-B0A94E1D7A64}"/>
    <hyperlink ref="B6074" r:id="rId18751" display="https://twitter.com/RWFleetServices" xr:uid="{9DF94AC1-697D-4F62-8FF3-120EE531EF94}"/>
    <hyperlink ref="E6074" r:id="rId18752" display="https://twitter.com/RWFleetServices/status/723892820545835009" xr:uid="{8D4ADBEC-0BFE-4BA5-9A32-42A273CBB736}"/>
    <hyperlink ref="O6074" r:id="rId18753" display="https://pbs.twimg.com/profile_images/710902676310134784/rj4E7WD1_normal.jpg" xr:uid="{88A67A19-0DE2-4C51-B660-9DF603A5033A}"/>
    <hyperlink ref="B6075" r:id="rId18754" display="https://twitter.com/Burtbros" xr:uid="{11ED1908-BCBF-4281-81EF-639915B524F5}"/>
    <hyperlink ref="E6075" r:id="rId18755" display="https://twitter.com/Burtbros/status/723893992820224001" xr:uid="{7B15AA8E-5520-4076-AF8D-446942E895D2}"/>
    <hyperlink ref="O6075" r:id="rId18756" display="https://pbs.twimg.com/profile_images/443500704578031616/l1PNCdBj_normal.jpeg" xr:uid="{3005C40E-F6DD-4488-9E85-17F90E046747}"/>
    <hyperlink ref="B6076" r:id="rId18757" display="https://twitter.com/GPAssetFinance" xr:uid="{738E2651-213D-4D22-99C1-A048B3E05DF4}"/>
    <hyperlink ref="E6076" r:id="rId18758" display="https://twitter.com/GPAssetFinance/status/723894024080396288" xr:uid="{FB7EA8C0-B290-44BE-88B4-4591C0A61F93}"/>
    <hyperlink ref="O6076" r:id="rId18759" display="https://pbs.twimg.com/profile_images/486130541037494272/gLuQGrk0_normal.jpeg" xr:uid="{F1F558FA-6CA6-43EC-9A39-89D3A2B7BD4F}"/>
    <hyperlink ref="B6077" r:id="rId18760" display="https://twitter.com/DonnaCBoehme" xr:uid="{DC754044-E293-4296-A483-91C91E781214}"/>
    <hyperlink ref="E6077" r:id="rId18761" display="https://twitter.com/DonnaCBoehme/status/723894249385811968" xr:uid="{AF61C71D-6A44-4807-9642-714FC10726A7}"/>
    <hyperlink ref="O6077" r:id="rId18762" display="https://pbs.twimg.com/profile_images/459344691729661953/ivwQqiW6_normal.jpeg" xr:uid="{9EB313C1-0A33-476C-BF25-415C49B19F77}"/>
    <hyperlink ref="B6078" r:id="rId18763" display="https://twitter.com/peabee72" xr:uid="{C98E2CF4-0AE5-4991-B8C1-B281C63B2DB5}"/>
    <hyperlink ref="E6078" r:id="rId18764" display="https://twitter.com/peabee72/status/723894369934295040" xr:uid="{DBC0B238-42C7-4DAE-8CB0-B4515BD335C2}"/>
    <hyperlink ref="O6078" r:id="rId18765" display="https://pbs.twimg.com/profile_images/710382978891964420/bDtudOu8_normal.jpg" xr:uid="{FE0F138A-84DB-4A71-A385-342F2086269A}"/>
    <hyperlink ref="B6079" r:id="rId18766" display="https://twitter.com/Scirocco_Tuning" xr:uid="{46065156-52F9-4559-9343-2D6CC9763875}"/>
    <hyperlink ref="E6079" r:id="rId18767" display="https://twitter.com/Scirocco_Tuning/status/723894714349568001" xr:uid="{06CC6C1F-7949-4F28-ABA0-1249D45A4FF4}"/>
    <hyperlink ref="O6079" r:id="rId18768" display="https://pbs.twimg.com/profile_images/1610421423/Image2_normal.jpg" xr:uid="{ACB3C2E5-1F27-4491-BA6D-7512996C8931}"/>
    <hyperlink ref="B6080" r:id="rId18769" display="https://twitter.com/DonnaCBoehme" xr:uid="{5CC2C0BD-5E6D-40B8-A7A6-86E52F99CA1C}"/>
    <hyperlink ref="E6080" r:id="rId18770" display="https://twitter.com/DonnaCBoehme/status/723895200301649920" xr:uid="{AE78B261-68A1-4B73-B23C-12807F0EFBAE}"/>
    <hyperlink ref="O6080" r:id="rId18771" display="https://pbs.twimg.com/profile_images/459344691729661953/ivwQqiW6_normal.jpeg" xr:uid="{C0D87AAE-7EEB-41AE-9A60-64B9EC71A970}"/>
    <hyperlink ref="B6081" r:id="rId18772" display="https://twitter.com/VWBeetleSales" xr:uid="{EFD6976E-C020-4102-847E-A7B3E2E30817}"/>
    <hyperlink ref="E6081" r:id="rId18773" display="https://twitter.com/VWBeetleSales/status/723895340919705600" xr:uid="{33FBA607-7C15-48EF-8201-E6DDF522ADD8}"/>
    <hyperlink ref="F6081" r:id="rId18774" xr:uid="{BF8F0929-8929-48AE-A240-128D449AC9F7}"/>
    <hyperlink ref="O6081" r:id="rId18775" display="https://pbs.twimg.com/profile_images/703294545195307008/qeCvrX86_normal.jpg" xr:uid="{E6458210-E337-42CC-90DC-D50825EC3255}"/>
    <hyperlink ref="B6082" r:id="rId18776" display="https://twitter.com/Germanbsfan" xr:uid="{DABB14B1-4ABE-4CAD-9986-77AEEF42B512}"/>
    <hyperlink ref="E6082" r:id="rId18777" display="https://twitter.com/Germanbsfan/status/723895727164915712" xr:uid="{27B006F3-0289-4B01-AF2B-A3A893402D7E}"/>
    <hyperlink ref="O6082" r:id="rId18778" display="https://pbs.twimg.com/profile_images/720670609282351104/5UrLey3s_normal.jpg" xr:uid="{91554EA1-53A0-4003-8F60-DD2648FE3C07}"/>
    <hyperlink ref="B6083" r:id="rId18779" display="https://twitter.com/KK24990" xr:uid="{E45FBED5-D581-4345-92F0-7DFF6ECBFAAA}"/>
    <hyperlink ref="E6083" r:id="rId18780" display="https://twitter.com/KK24990/status/723896007264768000" xr:uid="{0405C785-D2A4-49CA-8A66-9B65F5998C4A}"/>
    <hyperlink ref="O6083" r:id="rId18781" display="https://pbs.twimg.com/profile_images/721726455420424195/1sADDwx8_normal.jpg" xr:uid="{35C96379-84D1-45C6-8E1C-9A29BB3657EA}"/>
    <hyperlink ref="B6084" r:id="rId18782" display="https://twitter.com/VolkswagenPost" xr:uid="{A93D341A-FD92-45A0-9DB3-F5D5A37515B8}"/>
    <hyperlink ref="E6084" r:id="rId18783" display="https://twitter.com/VolkswagenPost/status/723896352862801921" xr:uid="{792EA46A-D4C1-4EB1-9B31-7941C454C486}"/>
    <hyperlink ref="O6084" r:id="rId18784" display="https://pbs.twimg.com/profile_images/530071272881803264/a_jcCmPZ_normal.png" xr:uid="{AD96E1F4-073C-4770-B9B9-22F75548AAE9}"/>
    <hyperlink ref="B6085" r:id="rId18785" display="https://twitter.com/VolkswagenPost" xr:uid="{21DF90AE-4F39-4D5F-A23B-0C5EA9FFF4E4}"/>
    <hyperlink ref="E6085" r:id="rId18786" display="https://twitter.com/VolkswagenPost/status/723896353928175618" xr:uid="{468FB4E7-F129-4697-BA29-EDFE14713B11}"/>
    <hyperlink ref="O6085" r:id="rId18787" display="https://pbs.twimg.com/profile_images/530071272881803264/a_jcCmPZ_normal.png" xr:uid="{4E86CFC2-B07F-41DF-A9E5-80FF529F07AE}"/>
    <hyperlink ref="B6086" r:id="rId18788" display="https://twitter.com/VeeDubMk1_" xr:uid="{616D0DFB-DAE0-4A7C-BE82-EA178EA3A8D6}"/>
    <hyperlink ref="E6086" r:id="rId18789" display="https://twitter.com/VeeDubMk1_/status/723896604684619776" xr:uid="{129431CD-31F3-4A05-B41B-0A86477164EB}"/>
    <hyperlink ref="O6086" r:id="rId18790" display="https://pbs.twimg.com/profile_images/672878354127839232/M7OYc-zx_normal.jpg" xr:uid="{D6EA340B-8AFF-4FCA-9DFB-C8C2E316648C}"/>
    <hyperlink ref="B6087" r:id="rId18791" display="https://twitter.com/a_majid99" xr:uid="{58148564-72DC-40C9-8A86-CE58CA4E38F2}"/>
    <hyperlink ref="E6087" r:id="rId18792" display="https://twitter.com/a_majid99/status/723896800319512576" xr:uid="{2A8B2CB0-194B-4760-903E-1037B988FBD4}"/>
    <hyperlink ref="O6087" r:id="rId18793" display="https://abs.twimg.com/sticky/default_profile_images/default_profile_5_normal.png" xr:uid="{F8F522E8-6A3C-44A7-A973-288DB8BEB1E9}"/>
    <hyperlink ref="B6088" r:id="rId18794" display="https://twitter.com/DevinPierson" xr:uid="{AF85FAB1-5F3D-437D-BF98-EF9A046F84F6}"/>
    <hyperlink ref="E6088" r:id="rId18795" display="https://twitter.com/DevinPierson/status/723897179828531201" xr:uid="{16B69278-FDC4-4137-96DE-F87637D34008}"/>
    <hyperlink ref="O6088" r:id="rId18796" display="https://pbs.twimg.com/profile_images/705074350152556544/DuuTJ6bR_normal.jpg" xr:uid="{E6620AE6-0AD2-40CE-9A33-E35B9F007B4B}"/>
    <hyperlink ref="B6089" r:id="rId18797" display="https://twitter.com/TheRoadClowns" xr:uid="{7820EE25-2000-451A-AA57-3D3A997DA461}"/>
    <hyperlink ref="E6089" r:id="rId18798" display="https://twitter.com/TheRoadClowns/status/723897314729963520" xr:uid="{C35B8DFA-820C-4F37-A11E-17E5266EF4C7}"/>
    <hyperlink ref="O6089" r:id="rId18799" display="https://pbs.twimg.com/profile_images/1442070195/ClownCar_normal.png" xr:uid="{0271555A-AD1A-4A29-823D-51813A446F90}"/>
    <hyperlink ref="B6090" r:id="rId18800" display="https://twitter.com/dubtoberfest" xr:uid="{49DD9C14-4B0E-427F-AFF7-66BED4AD2B80}"/>
    <hyperlink ref="E6090" r:id="rId18801" display="https://twitter.com/dubtoberfest/status/723897523971219457" xr:uid="{9E8CDFB6-F1CA-40E8-A4CC-145ABB75245A}"/>
    <hyperlink ref="O6090" r:id="rId18802" display="https://pbs.twimg.com/profile_images/582903436158586880/9BOOA3zQ_normal.jpg" xr:uid="{83F43A93-B1CA-4836-B009-DE1F534DEA74}"/>
    <hyperlink ref="B6091" r:id="rId18803" display="https://twitter.com/brandywineap" xr:uid="{C1B52E63-D317-43B1-A8A4-AFD8879DCEBD}"/>
    <hyperlink ref="E6091" r:id="rId18804" display="https://twitter.com/brandywineap/status/723897800421834752" xr:uid="{A82975B9-ACD6-496B-8C51-8165ACF1508A}"/>
    <hyperlink ref="O6091" r:id="rId18805" display="https://pbs.twimg.com/profile_images/524970986840412160/t0GfzRDD_normal.jpeg" xr:uid="{D2B986AB-84F6-4FFF-AA03-DA36EEACF4FE}"/>
    <hyperlink ref="B6092" r:id="rId18806" display="https://twitter.com/twamateur" xr:uid="{377407D1-2709-41BA-8AA5-5EE36423E433}"/>
    <hyperlink ref="E6092" r:id="rId18807" display="https://twitter.com/twamateur/status/723897848190918658" xr:uid="{8074E487-250E-4410-B527-CC799A0F6FEE}"/>
    <hyperlink ref="O6092" r:id="rId18808" display="https://pbs.twimg.com/profile_images/668467583675457537/B5dG-jc6_normal.jpg" xr:uid="{AD7C4346-8C56-4809-ABBA-21759EB18D7F}"/>
    <hyperlink ref="B6093" r:id="rId18809" display="https://twitter.com/Braulio_Urresti" xr:uid="{B6F42B79-5569-452B-BC86-A016720FA263}"/>
    <hyperlink ref="E6093" r:id="rId18810" display="https://twitter.com/Braulio_Urresti/status/723898253633310721" xr:uid="{CDCD486A-C2A4-4BF3-B970-114AB279AE30}"/>
    <hyperlink ref="O6093" r:id="rId18811" display="https://abs.twimg.com/sticky/default_profile_images/default_profile_5_normal.png" xr:uid="{852AE03B-FE56-4D6C-9F45-216E4B9964C9}"/>
    <hyperlink ref="B6094" r:id="rId18812" display="https://twitter.com/VWCamperSales" xr:uid="{8F936297-0C83-485C-B07F-684555A70152}"/>
    <hyperlink ref="E6094" r:id="rId18813" display="https://twitter.com/VWCamperSales/status/723898261614944256" xr:uid="{21F189DD-8E0A-44E1-84F1-3B00110926A8}"/>
    <hyperlink ref="F6094" r:id="rId18814" xr:uid="{D753B88D-2A8F-48C5-9466-DE6764EDAE32}"/>
    <hyperlink ref="O6094" r:id="rId18815" display="https://pbs.twimg.com/profile_images/627949001179037696/skEBkS05_normal.jpg" xr:uid="{9F9F5D17-D028-41D7-ABB9-9BC14F4086BD}"/>
    <hyperlink ref="B6095" r:id="rId18816" display="https://twitter.com/meerkatus71" xr:uid="{4D298DF8-8E1D-453A-AC80-09425BA7E93E}"/>
    <hyperlink ref="E6095" r:id="rId18817" display="https://twitter.com/meerkatus71/status/723898532407562241" xr:uid="{C59E9E79-721A-4F5F-91F1-F93815B97860}"/>
    <hyperlink ref="O6095" r:id="rId18818" display="https://pbs.twimg.com/profile_images/581968617006243840/EDrS5JLM_normal.jpg" xr:uid="{44F67BC2-C366-4CA5-9806-BACD90FE5D51}"/>
    <hyperlink ref="B6096" r:id="rId18819" display="https://twitter.com/bundes_car" xr:uid="{2EEA9E33-C91C-4847-B9F3-716C8B6DFFDB}"/>
    <hyperlink ref="E6096" r:id="rId18820" display="https://twitter.com/bundes_car/status/723898552607473665" xr:uid="{2AEF9368-0342-4E48-A85B-C2E240182C88}"/>
    <hyperlink ref="O6096" r:id="rId18821" display="https://pbs.twimg.com/profile_images/707127715581849600/zPs3f0nI_normal.jpg" xr:uid="{C253A411-D3EB-4FA2-844B-351B20144565}"/>
    <hyperlink ref="B6097" r:id="rId18822" display="https://twitter.com/Joh_Amarok" xr:uid="{134F8A92-794B-4DB9-B09C-2251F3684468}"/>
    <hyperlink ref="E6097" r:id="rId18823" display="https://twitter.com/Joh_Amarok/status/723898922985463808" xr:uid="{8D5762D0-7A4F-47AF-86B5-8AE72D73FBBC}"/>
    <hyperlink ref="O6097" r:id="rId18824" display="https://pbs.twimg.com/profile_images/723885547924672512/Zs63ZdSQ_normal.jpg" xr:uid="{49A9035C-9F31-428C-8D99-C8B56DF21613}"/>
    <hyperlink ref="B6098" r:id="rId18825" display="https://twitter.com/OnlineCarReview" xr:uid="{EE80F7D7-AD84-44B1-8B68-C64B31E34444}"/>
    <hyperlink ref="E6098" r:id="rId18826" display="https://twitter.com/OnlineCarReview/status/723899196940509184" xr:uid="{1498665C-CE15-4BE0-A2E4-C9725C1A195F}"/>
    <hyperlink ref="O6098" r:id="rId18827" display="https://pbs.twimg.com/profile_images/652871584131092480/QA_B6SBO_normal.jpg" xr:uid="{49D97362-79A9-4E76-8BCD-E05F73A4228F}"/>
    <hyperlink ref="B6099" r:id="rId18828" display="https://twitter.com/Floppii_Chiara" xr:uid="{B1E25B31-5BC6-479D-9BAB-ED9DB9BF8A45}"/>
    <hyperlink ref="E6099" r:id="rId18829" display="https://twitter.com/Floppii_Chiara/status/723899277152534528" xr:uid="{42BDA270-00F1-4130-AEEB-0A79321F5624}"/>
    <hyperlink ref="O6099" r:id="rId18830" display="https://pbs.twimg.com/profile_images/721334921982296065/-8sj1MgA_normal.jpg" xr:uid="{11A4F84C-C1D6-4AC5-AE69-313F900AED19}"/>
    <hyperlink ref="B6100" r:id="rId18831" display="https://twitter.com/carsten290666" xr:uid="{21828DAD-863B-498F-8867-7C90F748A25A}"/>
    <hyperlink ref="E6100" r:id="rId18832" display="https://twitter.com/carsten290666/status/723899464717615104" xr:uid="{42518457-77E4-4B59-8CDC-496D9A183610}"/>
    <hyperlink ref="O6100" r:id="rId18833" display="https://pbs.twimg.com/profile_images/657659695319154688/DkZotiSO_normal.jpg" xr:uid="{EAD7BA23-1F87-4F52-9F44-C7D48062A392}"/>
    <hyperlink ref="B6101" r:id="rId18834" display="https://twitter.com/SocialAutos" xr:uid="{F9C59289-5074-4304-92FD-F2F2E93E16B6}"/>
    <hyperlink ref="E6101" r:id="rId18835" display="https://twitter.com/SocialAutos/status/723899655453589505" xr:uid="{1F7427F3-AA89-45E2-A2E5-149772E3A85A}"/>
    <hyperlink ref="F6101" r:id="rId18836" xr:uid="{848DC5CF-3911-4D14-8F22-E039DE735616}"/>
    <hyperlink ref="O6101" r:id="rId18837" display="https://pbs.twimg.com/profile_images/378800000830360955/5fb295e74c438beb9dd7777a56295953_normal.jpeg" xr:uid="{5E463B80-F226-4173-B131-D5DF9E343491}"/>
    <hyperlink ref="B6102" r:id="rId18838" display="https://twitter.com/johnmac17" xr:uid="{99878ADC-4267-4594-9AB2-295E700E12A7}"/>
    <hyperlink ref="E6102" r:id="rId18839" display="https://twitter.com/johnmac17/status/723899725481709568" xr:uid="{ABD77F03-1096-4FA3-A432-B3AB8128FF72}"/>
    <hyperlink ref="O6102" r:id="rId18840" display="https://pbs.twimg.com/profile_images/720902665379659776/3AQo3tuF_normal.jpg" xr:uid="{D4E9E7A8-03CB-43E6-A810-A06B942F7DFC}"/>
    <hyperlink ref="B6103" r:id="rId18841" display="https://twitter.com/IrelandGuide" xr:uid="{F8525AD2-C4EE-4E50-856B-789531B61990}"/>
    <hyperlink ref="E6103" r:id="rId18842" display="https://twitter.com/IrelandGuide/status/723899750425174016" xr:uid="{B9F4E0B2-9A77-429F-8865-36242F7C3684}"/>
    <hyperlink ref="O6103" r:id="rId18843" display="https://pbs.twimg.com/profile_images/720940325179650048/RXNUe3fZ_normal.jpg" xr:uid="{45795FCC-9B52-40F6-A76B-E13C63197F7C}"/>
    <hyperlink ref="B6104" r:id="rId18844" display="https://twitter.com/SAGutah" xr:uid="{712ED8F5-27E4-4A3F-A89E-5DA9B11A54C1}"/>
    <hyperlink ref="E6104" r:id="rId18845" display="https://twitter.com/SAGutah/status/723900130349309952" xr:uid="{BCA96B74-769D-4FEB-87CB-5EE52F9D54F9}"/>
    <hyperlink ref="O6104" r:id="rId18846" display="https://pbs.twimg.com/profile_images/679188249303056384/oPqJ4ctf_normal.jpg" xr:uid="{1A405601-DD1B-49D8-B015-FAAB59EBAAD6}"/>
    <hyperlink ref="B6105" r:id="rId18847" display="https://twitter.com/JRehwald" xr:uid="{142799BC-36B6-4B61-BFC9-EC3281E340FC}"/>
    <hyperlink ref="E6105" r:id="rId18848" display="https://twitter.com/JRehwald/status/723900147348963328" xr:uid="{A659B5CF-B8C9-4121-946E-A877062437A0}"/>
    <hyperlink ref="O6105" r:id="rId18849" display="https://pbs.twimg.com/profile_images/567520162409365504/HSx0xrJm_normal.jpeg" xr:uid="{3E61C36E-5E45-41D5-9948-388DB39B2CCB}"/>
    <hyperlink ref="B6106" r:id="rId18850" display="https://twitter.com/Maaaaarrri" xr:uid="{4845B0CA-A548-45C5-A339-C3DB198CEF46}"/>
    <hyperlink ref="E6106" r:id="rId18851" display="https://twitter.com/Maaaaarrri/status/723900286935379969" xr:uid="{CD2B3818-1811-4CA1-9CD9-A901D1858D67}"/>
    <hyperlink ref="O6106" r:id="rId18852" display="https://pbs.twimg.com/profile_images/714203979828367360/L8fzYPdU_normal.jpg" xr:uid="{EFA8B75C-440E-4027-BB90-64AEE6689A34}"/>
    <hyperlink ref="B6107" r:id="rId18853" display="https://twitter.com/Citlali_Gaitan" xr:uid="{1C548F20-E76A-47D3-81FC-FEAFF80E673E}"/>
    <hyperlink ref="E6107" r:id="rId18854" display="https://twitter.com/Citlali_Gaitan/status/723901414162968576" xr:uid="{0B6C18D5-ED42-4321-8733-5E201CAFCAF1}"/>
    <hyperlink ref="O6107" r:id="rId18855" display="https://abs.twimg.com/sticky/default_profile_images/default_profile_0_normal.png" xr:uid="{60270C09-136E-46F2-88D9-2ED44080B6AE}"/>
    <hyperlink ref="B6108" r:id="rId18856" display="https://twitter.com/Hoots_mon" xr:uid="{4EB4CB33-563A-4C03-97CC-2F17C8291706}"/>
    <hyperlink ref="E6108" r:id="rId18857" display="https://twitter.com/Hoots_mon/status/723901518064300035" xr:uid="{546DC4B0-A81D-4644-B852-9D1F480713E2}"/>
    <hyperlink ref="O6108" r:id="rId18858" display="https://pbs.twimg.com/profile_images/709087090550689792/ICYFENhR_normal.jpg" xr:uid="{EA5F97CD-CB4E-4FAF-972E-DC0A3D257B4C}"/>
    <hyperlink ref="B6109" r:id="rId18859" display="https://twitter.com/p88nmg" xr:uid="{9B4F760F-073E-4BC4-8550-81BBE0A2D321}"/>
    <hyperlink ref="E6109" r:id="rId18860" display="https://twitter.com/p88nmg/status/723901648167428097" xr:uid="{96E5B047-EB22-435E-A6C4-3AA829246C62}"/>
    <hyperlink ref="O6109" r:id="rId18861" display="https://pbs.twimg.com/profile_images/682245507620683776/B3w9Ij5R_normal.jpg" xr:uid="{89D4BC98-17C3-437B-AB36-CB2B03C37FC9}"/>
    <hyperlink ref="B6110" r:id="rId18862" display="https://twitter.com/Danielberryman_" xr:uid="{BE72EE6C-C714-400C-BB21-6A8195E2F31C}"/>
    <hyperlink ref="E6110" r:id="rId18863" display="https://twitter.com/Danielberryman_/status/723901688550182912" xr:uid="{9C8B3CC4-D6E1-4BBB-A17F-B1DE86AC2336}"/>
    <hyperlink ref="O6110" r:id="rId18864" display="https://pbs.twimg.com/profile_images/3649681243/9f25e8e5f30d14c88d6ab8535050ac8e_normal.jpeg" xr:uid="{2F0CF8CF-2957-4CDD-9038-48AAC81057F6}"/>
    <hyperlink ref="B6111" r:id="rId18865" display="https://twitter.com/DeichCruiser" xr:uid="{2B61262C-BC77-406B-92DB-990599A2BE2E}"/>
    <hyperlink ref="E6111" r:id="rId18866" display="https://twitter.com/DeichCruiser/status/723902034370543616" xr:uid="{475564F3-F3F6-4D82-A090-076F0723C673}"/>
    <hyperlink ref="O6111" r:id="rId18867" display="https://pbs.twimg.com/profile_images/723565619958943744/jqjaD8Kn_normal.jpg" xr:uid="{F6DA8EAD-D0A0-4DAE-8298-7D9C45F7CE7E}"/>
    <hyperlink ref="B6112" r:id="rId18868" display="https://twitter.com/DeichCruiser" xr:uid="{DDE3B3EC-9CF8-482F-8431-7AE112B0068A}"/>
    <hyperlink ref="E6112" r:id="rId18869" display="https://twitter.com/DeichCruiser/status/723902350600081408" xr:uid="{C7909DCE-1E07-44C1-8644-C13803C2BF0E}"/>
    <hyperlink ref="O6112" r:id="rId18870" display="https://pbs.twimg.com/profile_images/723565619958943744/jqjaD8Kn_normal.jpg" xr:uid="{95A5837B-374C-492F-99A6-DCFE0EAFF60B}"/>
    <hyperlink ref="B6113" r:id="rId18871" display="https://twitter.com/_Logistra_" xr:uid="{26F29B68-8E0A-4400-B3DD-260162BE0AE8}"/>
    <hyperlink ref="E6113" r:id="rId18872" display="https://twitter.com/_Logistra_/status/723902769854328833" xr:uid="{F89CFFBA-C86A-4ADE-AEEA-10FB7D05B609}"/>
    <hyperlink ref="O6113" r:id="rId18873" display="https://pbs.twimg.com/profile_images/560808349239746560/NJEwEVs5_normal.png" xr:uid="{AD7BC238-CB76-4138-A9B8-1F0CACCA7827}"/>
    <hyperlink ref="B6114" r:id="rId18874" display="https://twitter.com/simonthurlow71" xr:uid="{274B63FC-9EFC-4238-B64B-825F33099DE1}"/>
    <hyperlink ref="E6114" r:id="rId18875" display="https://twitter.com/simonthurlow71/status/723902936049438720" xr:uid="{9345DC4D-11F1-414A-ADBA-C996F35BA914}"/>
    <hyperlink ref="O6114" r:id="rId18876" display="https://pbs.twimg.com/profile_images/654907317943668737/YsHV2Z3n_normal.jpg" xr:uid="{D90CD7C2-1DAE-4EDC-8CA6-09719D758799}"/>
    <hyperlink ref="B6115" r:id="rId18877" display="https://twitter.com/APA_LEMONAID" xr:uid="{BB1E747A-91AC-495F-B342-318D61B962D0}"/>
    <hyperlink ref="E6115" r:id="rId18878" display="https://twitter.com/APA_LEMONAID/status/723903075359043584" xr:uid="{9E25AECD-B85F-4CBD-BF03-3B941102A333}"/>
    <hyperlink ref="O6115" r:id="rId18879" display="https://pbs.twimg.com/profile_images/1535844911/Logo_normal.png" xr:uid="{801B5E88-84DB-4927-9DA9-A9E5E933A6D6}"/>
    <hyperlink ref="B6116" r:id="rId18880" display="https://twitter.com/fraenkySG" xr:uid="{3FD5BEC7-D327-4454-8B29-47E4883EAE9C}"/>
    <hyperlink ref="E6116" r:id="rId18881" display="https://twitter.com/fraenkySG/status/723903153129807873" xr:uid="{5499BFF5-EA07-4800-9ABF-47EBE94BDD0E}"/>
    <hyperlink ref="O6116" r:id="rId18882" display="https://pbs.twimg.com/profile_images/668483614884130817/liZwIH1X_normal.jpg" xr:uid="{F1BA8158-F62B-4D14-BDF6-B5534AF04FAC}"/>
    <hyperlink ref="B6117" r:id="rId18883" display="https://twitter.com/VWCamperSales" xr:uid="{C8D52841-9D0F-4445-BA27-E3EA5E253086}"/>
    <hyperlink ref="E6117" r:id="rId18884" display="https://twitter.com/VWCamperSales/status/723903278887538688" xr:uid="{57EFD383-3193-4113-8152-D45DA5B037BE}"/>
    <hyperlink ref="F6117" r:id="rId18885" xr:uid="{B3BFCAB6-F406-4012-B1E2-28B18E2D341D}"/>
    <hyperlink ref="O6117" r:id="rId18886" display="https://pbs.twimg.com/profile_images/627949001179037696/skEBkS05_normal.jpg" xr:uid="{47DE8C78-EC66-4D1B-9205-E7E3F2B1F74B}"/>
    <hyperlink ref="B6118" r:id="rId18887" display="https://twitter.com/vagmenhq" xr:uid="{BCA1573D-5832-407F-BB51-E1868D80E126}"/>
    <hyperlink ref="E6118" r:id="rId18888" display="https://twitter.com/vagmenhq/status/723903727602675712" xr:uid="{B39D0A96-234B-4019-8808-13A6933DD4A3}"/>
    <hyperlink ref="O6118" r:id="rId18889" display="https://pbs.twimg.com/profile_images/446781974452371456/rqBZF-KN_normal.jpeg" xr:uid="{C4358399-275E-478F-A429-98DD7C9D6111}"/>
    <hyperlink ref="B6119" r:id="rId18890" display="https://twitter.com/Pedroluise" xr:uid="{6AB035B9-0170-489B-B007-C6ADC27D9428}"/>
    <hyperlink ref="E6119" r:id="rId18891" display="https://twitter.com/Pedroluise/status/723904187910770688" xr:uid="{05118ACC-C52B-432F-B9C1-8CAA327F281E}"/>
    <hyperlink ref="O6119" r:id="rId18892" display="https://pbs.twimg.com/profile_images/1261310428/twitter_normal.JPG" xr:uid="{D2807D64-85CF-48B5-A57E-DD79DDB0994F}"/>
    <hyperlink ref="B6120" r:id="rId18893" display="https://twitter.com/tuningblog_eu" xr:uid="{611038C6-9324-4707-A06D-652C832827C2}"/>
    <hyperlink ref="E6120" r:id="rId18894" display="https://twitter.com/tuningblog_eu/status/723904283398250496" xr:uid="{76EA9497-7DD1-4302-A289-D59FCDF5681A}"/>
    <hyperlink ref="O6120" r:id="rId18895" display="https://pbs.twimg.com/profile_images/690404245024174084/pS8IAyFZ_normal.png" xr:uid="{6E7D68FC-4A4A-489F-AD53-EE7C12BA1EB6}"/>
    <hyperlink ref="B6121" r:id="rId18896" display="https://twitter.com/LookersVW" xr:uid="{C65FEDC0-7E71-4104-8B77-8F346E905158}"/>
    <hyperlink ref="E6121" r:id="rId18897" display="https://twitter.com/LookersVW/status/723904293137354752" xr:uid="{7226FD61-6F0C-4396-94CB-A62389076C72}"/>
    <hyperlink ref="O6121" r:id="rId18898" display="https://pbs.twimg.com/profile_images/707179840491884544/LWEI-p6Z_normal.jpg" xr:uid="{5187D5CC-8A19-4518-99B4-524DD2BF4E93}"/>
    <hyperlink ref="B6122" r:id="rId18899" display="https://twitter.com/acvwpassion" xr:uid="{53D699E4-FEC7-4184-8293-A427FB0838C9}"/>
    <hyperlink ref="E6122" r:id="rId18900" display="https://twitter.com/acvwpassion/status/723904473584832513" xr:uid="{CFC2E9FF-8335-4648-BC08-1993FABF4876}"/>
    <hyperlink ref="O6122" r:id="rId18901" display="https://pbs.twimg.com/profile_images/545688359964651520/SF3sJ7lv_normal.jpeg" xr:uid="{AC0D72D4-671E-4427-A06D-168B5D08D8B7}"/>
    <hyperlink ref="B6123" r:id="rId18902" display="https://twitter.com/VolkswagenPost" xr:uid="{DB379FDE-9ECA-4072-884B-3A5A2F950D1C}"/>
    <hyperlink ref="E6123" r:id="rId18903" display="https://twitter.com/VolkswagenPost/status/723904732088164352" xr:uid="{06402E68-68DB-401C-B469-5B380F5898E6}"/>
    <hyperlink ref="O6123" r:id="rId18904" display="https://pbs.twimg.com/profile_images/530071272881803264/a_jcCmPZ_normal.png" xr:uid="{185DF6DD-3305-4C58-85AB-45B172D2F96A}"/>
    <hyperlink ref="B6124" r:id="rId18905" display="https://twitter.com/Syrupshits" xr:uid="{C725E659-B7BD-4947-AEA1-A8D3BC681676}"/>
    <hyperlink ref="E6124" r:id="rId18906" display="https://twitter.com/Syrupshits/status/723905067007369216" xr:uid="{602069CE-9D58-4ED0-A538-25685F0EFDC0}"/>
    <hyperlink ref="O6124" r:id="rId18907" display="https://pbs.twimg.com/profile_images/537978095392022528/6T9M1UwY_normal.jpeg" xr:uid="{111F8D39-08CD-48A2-AFD5-24D4B63A4E6C}"/>
    <hyperlink ref="P6124" r:id="rId18908" location="52.5167,1.01667" display="http://ctrlq.org/maps/address/ - 52.5167,1.01667" xr:uid="{02E1F73A-B66D-4431-B868-D2A7B945266C}"/>
    <hyperlink ref="B6125" r:id="rId18909" display="https://twitter.com/Benk109" xr:uid="{7F4D2865-911C-46D1-B292-69157B01FFE4}"/>
    <hyperlink ref="E6125" r:id="rId18910" display="https://twitter.com/Benk109/status/723905414673358848" xr:uid="{29E653AC-AFA4-45C7-AE9A-52D196F99FA5}"/>
    <hyperlink ref="O6125" r:id="rId18911" display="https://pbs.twimg.com/profile_images/677425209725579264/LwR8Gd1t_normal.jpg" xr:uid="{18A1205E-CE9D-4DF7-A715-4C2239632192}"/>
    <hyperlink ref="B6126" r:id="rId18912" display="https://twitter.com/Blackzaza243" xr:uid="{44DDACA3-89FF-4038-BE23-285C7825E166}"/>
    <hyperlink ref="E6126" r:id="rId18913" display="https://twitter.com/Blackzaza243/status/723905422869049344" xr:uid="{3B35F275-C7C0-4481-9C5A-EF6EF75AACD0}"/>
    <hyperlink ref="O6126" r:id="rId18914" display="https://pbs.twimg.com/profile_images/625601731204915200/oAMR0Cpo_normal.jpg" xr:uid="{1CE47805-AE3D-4E4D-9698-AEC22234EDC7}"/>
    <hyperlink ref="B6127" r:id="rId18915" display="https://twitter.com/dianaclaire" xr:uid="{25F2AD7A-B936-4724-B4F8-E9B6C7568EFC}"/>
    <hyperlink ref="E6127" r:id="rId18916" display="https://twitter.com/dianaclaire/status/723905650103824384" xr:uid="{080005ED-53B4-4C8D-B6BE-6C9931FFE620}"/>
    <hyperlink ref="O6127" r:id="rId18917" display="https://pbs.twimg.com/profile_images/459358138043355136/zOl5UAF2_normal.jpeg" xr:uid="{5A7FAA46-63D3-4DE7-81A5-6BC2C9540D06}"/>
    <hyperlink ref="B6128" r:id="rId18918" display="https://twitter.com/stasikasper" xr:uid="{8F4902FD-053E-4DD0-A320-BD225992EBA2}"/>
    <hyperlink ref="E6128" r:id="rId18919" display="https://twitter.com/stasikasper/status/723905767221399554" xr:uid="{038425A6-19CB-4E21-9329-185028D4C75F}"/>
    <hyperlink ref="O6128" r:id="rId18920" display="https://pbs.twimg.com/profile_images/552903437407371264/35UQ9wsB_normal.jpeg" xr:uid="{D7ABE62B-A633-40CD-94FC-5AF40AD145A4}"/>
    <hyperlink ref="B6129" r:id="rId18921" display="https://twitter.com/VWBeetleSales" xr:uid="{05EEBBC2-52CD-4716-B899-AE28E303BB55}"/>
    <hyperlink ref="E6129" r:id="rId18922" display="https://twitter.com/VWBeetleSales/status/723905804374396929" xr:uid="{C34535FE-39E4-4E48-BB78-0D13F5C170C5}"/>
    <hyperlink ref="F6129" r:id="rId18923" xr:uid="{B5074741-0CC6-4BD8-97DB-E44412D74C20}"/>
    <hyperlink ref="O6129" r:id="rId18924" display="https://pbs.twimg.com/profile_images/703294545195307008/qeCvrX86_normal.jpg" xr:uid="{0021BF04-390A-4826-8BB9-8D459E21DA1D}"/>
    <hyperlink ref="B6130" r:id="rId18925" display="https://twitter.com/alex32stepanov" xr:uid="{32D45DAD-F715-40D7-8746-98F7A3AAF9F0}"/>
    <hyperlink ref="E6130" r:id="rId18926" display="https://twitter.com/alex32stepanov/status/723906231966916608" xr:uid="{E12415AA-3252-475B-907D-FBD4DCACB317}"/>
    <hyperlink ref="O6130" r:id="rId18927" display="https://pbs.twimg.com/profile_images/1351796085/59140e_normal.jpg" xr:uid="{23035C13-C331-4280-9AE4-55CE11619212}"/>
    <hyperlink ref="P6130" r:id="rId18928" location="53.26399,34.3615799" display="http://ctrlq.org/maps/address/ - 53.26399,34.3615799" xr:uid="{E5CBEE2F-9320-407A-A6BB-52009EA123C6}"/>
    <hyperlink ref="B6131" r:id="rId18929" display="https://twitter.com/worcpic" xr:uid="{670D691C-51CE-42F1-8255-99664C499D37}"/>
    <hyperlink ref="E6131" r:id="rId18930" display="https://twitter.com/worcpic/status/723906551187181568" xr:uid="{99AB0747-2100-4E96-BD39-34710A46B47F}"/>
    <hyperlink ref="O6131" r:id="rId18931" display="https://pbs.twimg.com/profile_images/684112090534129664/WS5GkOt1_normal.png" xr:uid="{CF935F34-1077-4D1C-989F-62F7153CDC31}"/>
    <hyperlink ref="B6132" r:id="rId18932" display="https://twitter.com/CastrolArg" xr:uid="{FECF8130-4D01-46A9-9780-98E535EC6E2F}"/>
    <hyperlink ref="E6132" r:id="rId18933" display="https://twitter.com/CastrolArg/status/723907068193845248" xr:uid="{7DBA5D83-9BB5-416A-A64C-C01D729B825F}"/>
    <hyperlink ref="O6132" r:id="rId18934" display="https://pbs.twimg.com/profile_images/558308052848238592/7sNWS5Zp_normal.png" xr:uid="{B922DA7D-B757-40A7-B8E8-00FDCC004446}"/>
    <hyperlink ref="B6133" r:id="rId18935" display="https://twitter.com/MorSvinka_83" xr:uid="{4E8DDB32-9017-4C9C-9477-BA2592AD20CF}"/>
    <hyperlink ref="E6133" r:id="rId18936" display="https://twitter.com/MorSvinka_83/status/723907329343774720" xr:uid="{EE088B01-6AB0-480D-A139-00AF2D20C845}"/>
    <hyperlink ref="O6133" r:id="rId18937" display="https://pbs.twimg.com/profile_images/2208847688/Untitled-2_normal.jpg" xr:uid="{C2885ECB-2B18-46E4-B773-0543BB82BC22}"/>
    <hyperlink ref="B6134" r:id="rId18938" display="https://twitter.com/Hanningkannnix" xr:uid="{79055186-817B-4F83-94B0-3E1F2CAC217A}"/>
    <hyperlink ref="E6134" r:id="rId18939" display="https://twitter.com/Hanningkannnix/status/723907346439757825" xr:uid="{C5DCDE3C-6A49-4BA3-AC10-A3098D206943}"/>
    <hyperlink ref="O6134" r:id="rId18940" display="https://pbs.twimg.com/profile_images/723894363349213184/6V-yivMR_normal.jpg" xr:uid="{5550B741-32FE-4B20-AD74-175E61A52BD3}"/>
    <hyperlink ref="B6135" r:id="rId18941" display="https://twitter.com/VWBeetleSales" xr:uid="{2FAD4167-9E9F-4CF9-966B-0721B14683AB}"/>
    <hyperlink ref="E6135" r:id="rId18942" display="https://twitter.com/VWBeetleSales/status/723907423451238400" xr:uid="{4AD44935-959F-4049-B3E0-273F8175729E}"/>
    <hyperlink ref="F6135" r:id="rId18943" xr:uid="{0679487A-9CDD-4DE0-BF83-CE29925B050F}"/>
    <hyperlink ref="O6135" r:id="rId18944" display="https://pbs.twimg.com/profile_images/703294545195307008/qeCvrX86_normal.jpg" xr:uid="{94FFB780-6358-4FFB-BE26-F0021286682D}"/>
    <hyperlink ref="B6136" r:id="rId18945" display="https://twitter.com/about_an_hour" xr:uid="{C98698BC-BC4B-4E76-9108-618A3166A576}"/>
    <hyperlink ref="E6136" r:id="rId18946" display="https://twitter.com/about_an_hour/status/723908188756549632" xr:uid="{4F5A99BF-DAAE-4256-969C-E6C54FD7366E}"/>
    <hyperlink ref="O6136" r:id="rId18947" display="https://pbs.twimg.com/profile_images/630957953588137984/-wxD0vGV_normal.jpg" xr:uid="{CEEFBF4B-B90C-48AB-81E8-80A08649EB4B}"/>
    <hyperlink ref="B6137" r:id="rId18948" display="https://twitter.com/autofrei_leben" xr:uid="{BDC8F4F1-E097-4B17-BE20-E9F3E9DD390F}"/>
    <hyperlink ref="E6137" r:id="rId18949" display="https://twitter.com/autofrei_leben/status/723908408991199233" xr:uid="{7F79101C-86F3-49BB-A089-F6037213E5CE}"/>
    <hyperlink ref="O6137" r:id="rId18950" display="https://pbs.twimg.com/profile_images/3502680582/d095888cf8391807ed1f4ead731fe4ee_normal.jpeg" xr:uid="{7A020FC4-397C-410F-B5E0-EFC5F162173B}"/>
    <hyperlink ref="B6138" r:id="rId18951" display="https://twitter.com/GeorgAlbrecht1" xr:uid="{35F559EE-E025-4FF5-9BDB-4DED241E23DD}"/>
    <hyperlink ref="E6138" r:id="rId18952" display="https://twitter.com/GeorgAlbrecht1/status/723909077626134530" xr:uid="{9FD8D880-5B81-44C1-B090-0833F69268D4}"/>
    <hyperlink ref="O6138" r:id="rId18953" display="https://pbs.twimg.com/profile_images/624857513989701632/nGTBvzYR_normal.jpg" xr:uid="{64AD0197-DAD2-4DDD-9E93-172BAF8C4389}"/>
    <hyperlink ref="B6139" r:id="rId18954" display="https://twitter.com/ScruffyDogSteph" xr:uid="{64103D8E-D721-4A5D-9183-4A885672BBF8}"/>
    <hyperlink ref="E6139" r:id="rId18955" display="https://twitter.com/ScruffyDogSteph/status/723909417821999104" xr:uid="{E79DDEA5-9810-4B2B-953E-2E48F11E009C}"/>
    <hyperlink ref="O6139" r:id="rId18956" display="https://pbs.twimg.com/profile_images/3316532991/eec263fafa1e013aa39dc95e789dcd0b_normal.jpeg" xr:uid="{38C559A1-D6CE-492B-A530-3B6675ACC53E}"/>
    <hyperlink ref="B6140" r:id="rId18957" display="https://twitter.com/marcus_philipp1" xr:uid="{356428EA-9553-4F3E-AA9E-A78979A2EEE1}"/>
    <hyperlink ref="E6140" r:id="rId18958" display="https://twitter.com/marcus_philipp1/status/723909441335103488" xr:uid="{5D0BC88A-485B-46FE-8802-F138BCC99567}"/>
    <hyperlink ref="O6140" r:id="rId18959" display="https://pbs.twimg.com/profile_images/715030110844362754/PC9gDSCU_normal.jpg" xr:uid="{0FBD970D-FA43-409B-A3C8-DFD5DAD778CB}"/>
    <hyperlink ref="B6141" r:id="rId18960" display="https://twitter.com/yann_drareg" xr:uid="{0646916C-7084-4A06-B18D-A2570AF02335}"/>
    <hyperlink ref="E6141" r:id="rId18961" display="https://twitter.com/yann_drareg/status/723909895490310144" xr:uid="{728BEAFB-053E-40D9-9A06-952830601575}"/>
    <hyperlink ref="O6141" r:id="rId18962" display="https://pbs.twimg.com/profile_images/577742130698915840/ghR4cANb_normal.jpeg" xr:uid="{089A8585-E2E7-4324-B06B-74A72E6FBED7}"/>
    <hyperlink ref="B6142" r:id="rId18963" display="https://twitter.com/RobsterRound" xr:uid="{F5D828AE-0A72-4EA9-AC24-35DDFA62831A}"/>
    <hyperlink ref="E6142" r:id="rId18964" display="https://twitter.com/RobsterRound/status/723910050494984192" xr:uid="{8EC33497-CD8A-4066-ACA4-E2719CB55EB9}"/>
    <hyperlink ref="O6142" r:id="rId18965" display="https://pbs.twimg.com/profile_images/719093309738770432/-ot7iGIC_normal.jpg" xr:uid="{9F9D12D2-E33F-40B3-B37A-036E165F4653}"/>
    <hyperlink ref="B6143" r:id="rId18966" display="https://twitter.com/BoxesRadio" xr:uid="{0C53A818-F48D-44C8-819E-AA64748AD291}"/>
    <hyperlink ref="E6143" r:id="rId18967" display="https://twitter.com/BoxesRadio/status/723910162520657921" xr:uid="{E8429D53-9A2B-4726-945A-2A3A575B2FEE}"/>
    <hyperlink ref="O6143" r:id="rId18968" display="https://pbs.twimg.com/profile_images/606430797743157249/nFnSTZud_normal.jpg" xr:uid="{7CC8C191-4A29-45B8-953D-ACC1577605CB}"/>
    <hyperlink ref="B6144" r:id="rId18969" display="https://twitter.com/AlmendraJuN" xr:uid="{9E796EDB-ACB0-4C25-B49A-7424CD61DBA6}"/>
    <hyperlink ref="E6144" r:id="rId18970" display="https://twitter.com/AlmendraJuN/status/723910181541785601" xr:uid="{6FA1D5F5-7CF0-4520-B6AD-4D2ECBA27791}"/>
    <hyperlink ref="O6144" r:id="rId18971" display="https://pbs.twimg.com/profile_images/684032553855000576/VmwdLyw8_normal.jpg" xr:uid="{5CC89033-B2B6-42C6-ACF1-F7CA3417907E}"/>
    <hyperlink ref="B6145" r:id="rId18972" display="https://twitter.com/Litardo_GermanC" xr:uid="{D2D5CE8A-6BEF-4273-8C28-811107616684}"/>
    <hyperlink ref="E6145" r:id="rId18973" display="https://twitter.com/Litardo_GermanC/status/723910315608576000" xr:uid="{65A996C3-8C4D-4B42-A013-206BD0426207}"/>
    <hyperlink ref="O6145" r:id="rId18974" display="https://pbs.twimg.com/profile_images/560585672508342272/DPrc_Yxv_normal.jpeg" xr:uid="{D77A43BC-01D6-4662-A901-D6AE8F967BB2}"/>
    <hyperlink ref="B6146" r:id="rId18975" display="https://twitter.com/AndyRArmstrong" xr:uid="{CC9B431F-F17B-4D3F-9493-5DD2F5F3C931}"/>
    <hyperlink ref="E6146" r:id="rId18976" display="https://twitter.com/AndyRArmstrong/status/723910691036372992" xr:uid="{40A55ADE-2689-4A12-B03F-A1524FFDEF88}"/>
    <hyperlink ref="N6146" r:id="rId18977" xr:uid="{9D908C19-B210-422B-A913-A0F7EE3E328C}"/>
    <hyperlink ref="O6146" r:id="rId18978" display="https://pbs.twimg.com/profile_images/2631993850/f768400fb066a4b3f1b00e29657f9e4b_normal.jpeg" xr:uid="{DADB152D-E35F-411F-BDBF-4ECD1D052DDE}"/>
    <hyperlink ref="B6147" r:id="rId18979" display="https://twitter.com/iksa1009" xr:uid="{944735D7-C010-4B84-B30D-E8E19BEA4ECB}"/>
    <hyperlink ref="E6147" r:id="rId18980" display="https://twitter.com/iksa1009/status/723911021388156928" xr:uid="{62A5AF1D-F5BD-4C99-9578-FC1C977F6A20}"/>
    <hyperlink ref="O6147" r:id="rId18981" display="https://pbs.twimg.com/profile_images/718624022561300480/OI27YgLi_normal.jpg" xr:uid="{A69AB95F-ADD6-4697-9BBF-8089D80CC7FE}"/>
    <hyperlink ref="B6148" r:id="rId18982" display="https://twitter.com/G5xbk" xr:uid="{04D16197-84DB-43FF-96E8-344065F2A696}"/>
    <hyperlink ref="E6148" r:id="rId18983" display="https://twitter.com/G5xbk/status/723911112828301312" xr:uid="{58372863-838A-40F9-87EB-ECEF9637614F}"/>
    <hyperlink ref="O6148" r:id="rId18984" display="https://pbs.twimg.com/profile_images/613820119349903360/ujZriYrP_normal.jpg" xr:uid="{07A82CEE-4AC6-44CC-AA3C-428203CB05B6}"/>
    <hyperlink ref="B6149" r:id="rId18985" display="https://twitter.com/VeeDubMk1_" xr:uid="{2925EB46-AE3F-4B52-9B4D-819754CEC339}"/>
    <hyperlink ref="E6149" r:id="rId18986" display="https://twitter.com/VeeDubMk1_/status/723911685917016064" xr:uid="{87154772-5654-47B2-A3A3-1ABDFC9C428C}"/>
    <hyperlink ref="O6149" r:id="rId18987" display="https://pbs.twimg.com/profile_images/672878354127839232/M7OYc-zx_normal.jpg" xr:uid="{BB908B5C-0A82-4498-B9F5-5113ED446C2F}"/>
    <hyperlink ref="B6150" r:id="rId18988" display="https://twitter.com/VeeDubMk1_" xr:uid="{0D5A89B4-4892-429D-928F-223393C2E7DB}"/>
    <hyperlink ref="E6150" r:id="rId18989" display="https://twitter.com/VeeDubMk1_/status/723911692938305536" xr:uid="{531986E1-411F-410E-B74F-FD5E89717650}"/>
    <hyperlink ref="O6150" r:id="rId18990" display="https://pbs.twimg.com/profile_images/672878354127839232/M7OYc-zx_normal.jpg" xr:uid="{933EB5A4-DA68-4398-8CED-5BC90D4BAD80}"/>
    <hyperlink ref="B6151" r:id="rId18991" display="https://twitter.com/Insta_VWT" xr:uid="{65065EDD-2B0E-46E9-A915-D60D0AD7955C}"/>
    <hyperlink ref="E6151" r:id="rId18992" display="https://twitter.com/Insta_VWT/status/723911699812720641" xr:uid="{083286A9-6624-489E-BB37-A808E3A97A55}"/>
    <hyperlink ref="O6151" r:id="rId18993" display="https://pbs.twimg.com/profile_images/424893967197433858/iQ86NktX_normal.jpeg" xr:uid="{421D6BFA-2063-4B31-BF48-D3B7561012AA}"/>
    <hyperlink ref="B6152" r:id="rId18994" display="https://twitter.com/VWCamperSales" xr:uid="{16FC71FE-936B-4AB3-9DFF-A14D5F0F448B}"/>
    <hyperlink ref="E6152" r:id="rId18995" display="https://twitter.com/VWCamperSales/status/723911842414747648" xr:uid="{CD5A9358-4C72-44BA-8513-C4699DB34FA8}"/>
    <hyperlink ref="F6152" r:id="rId18996" xr:uid="{295936F3-37B3-4577-B5C5-9FE03D355DF8}"/>
    <hyperlink ref="O6152" r:id="rId18997" display="https://pbs.twimg.com/profile_images/627949001179037696/skEBkS05_normal.jpg" xr:uid="{DB50FF0C-397E-4D36-84EF-AF81BB2F5BD7}"/>
    <hyperlink ref="B6153" r:id="rId18998" display="https://twitter.com/NetzwerkggS21" xr:uid="{604F047F-4C2E-4F27-AEF6-437A1B61A706}"/>
    <hyperlink ref="E6153" r:id="rId18999" display="https://twitter.com/NetzwerkggS21/status/723912027387904000" xr:uid="{BCDC9A06-C734-4DDC-9CA7-2CF56F1B58AA}"/>
    <hyperlink ref="M6153" r:id="rId19000" xr:uid="{C64B59F8-88AD-4BAF-9592-02010DC623F7}"/>
    <hyperlink ref="O6153" r:id="rId19001" display="https://pbs.twimg.com/profile_images/378800000528765970/3ab9f2a00010e9cac08d5ca1638926e9_normal.png" xr:uid="{DE400001-6E8C-4982-B4A9-76899C441A98}"/>
    <hyperlink ref="B6154" r:id="rId19002" display="https://twitter.com/TitilayoOjes1" xr:uid="{027A13BF-7F42-4040-A108-77E18F2ABDAB}"/>
    <hyperlink ref="E6154" r:id="rId19003" display="https://twitter.com/TitilayoOjes1/status/723912512270393344" xr:uid="{17C802EA-AFAD-40C4-B459-9E7404D00AF2}"/>
    <hyperlink ref="O6154" r:id="rId19004" display="https://pbs.twimg.com/profile_images/687235732889546752/wBZdkiLY_normal.jpg" xr:uid="{F055CA39-B089-4911-B583-218CA2BC6CF9}"/>
    <hyperlink ref="B6155" r:id="rId19005" display="https://twitter.com/CastleCoastCamp" xr:uid="{109849B8-34C2-40A9-8C40-E5945E012779}"/>
    <hyperlink ref="E6155" r:id="rId19006" display="https://twitter.com/CastleCoastCamp/status/723912545686433792" xr:uid="{E4F2E926-FCCC-42FB-8E0E-F48D221CF70B}"/>
    <hyperlink ref="O6155" r:id="rId19007" display="https://pbs.twimg.com/profile_images/610401931501137920/c0qYTPr__normal.jpg" xr:uid="{0EA70AC7-3C63-4119-BB87-3412EA9BF90C}"/>
    <hyperlink ref="B6156" r:id="rId19008" display="https://twitter.com/Rob_der_Waelder" xr:uid="{C37F2E63-774C-4A76-B561-5EE58CE2DCAC}"/>
    <hyperlink ref="E6156" r:id="rId19009" display="https://twitter.com/Rob_der_Waelder/status/723912609880268801" xr:uid="{935607C7-BEE6-48CE-9EE5-F0769F6FD030}"/>
    <hyperlink ref="O6156" r:id="rId19010" display="https://pbs.twimg.com/profile_images/378800000556673342/6f2f945a7e34f9ede6f4e200ccb89af2_normal.jpeg" xr:uid="{91229043-22A9-488C-9BE0-7D2C4E8C44C6}"/>
    <hyperlink ref="B6157" r:id="rId19011" display="https://twitter.com/vismonvan" xr:uid="{F1AB5AAE-CF74-4F25-864A-0297520D230C}"/>
    <hyperlink ref="E6157" r:id="rId19012" display="https://twitter.com/vismonvan/status/723912892605673472" xr:uid="{7ED6A1A0-C5C3-4AD5-932F-1343883A30FB}"/>
    <hyperlink ref="O6157" r:id="rId19013" display="https://pbs.twimg.com/profile_images/619560038714241025/Os9w2k0g_normal.jpg" xr:uid="{CB81A0C1-653A-4EB9-907D-89543FB337AC}"/>
    <hyperlink ref="B6158" r:id="rId19014" display="https://twitter.com/FerMan076" xr:uid="{E63D41FC-341B-48BF-912E-ABCF83D0CADE}"/>
    <hyperlink ref="E6158" r:id="rId19015" display="https://twitter.com/FerMan076/status/723913123778969600" xr:uid="{89643508-FDCE-4C22-B446-4770429541D6}"/>
    <hyperlink ref="O6158" r:id="rId19016" display="https://pbs.twimg.com/profile_images/1649649893/vacaloca_normal.jpg" xr:uid="{3D3B732F-26DF-4FEC-8B25-9CF87BDD36B4}"/>
    <hyperlink ref="P6158" r:id="rId19017" location="33.38395,-84.3128" display="http://ctrlq.org/maps/address/ - 33.38395,-84.3128" xr:uid="{1B615098-6FA0-4686-802C-AAE0F7F6324A}"/>
    <hyperlink ref="B6159" r:id="rId19018" display="https://twitter.com/groovytrip" xr:uid="{A34B537B-5E0D-4D12-9745-1BB1E812273C}"/>
    <hyperlink ref="E6159" r:id="rId19019" display="https://twitter.com/groovytrip/status/723913595738832896" xr:uid="{F1AC2271-9858-4CD8-985D-7151F7255516}"/>
    <hyperlink ref="O6159" r:id="rId19020" display="https://pbs.twimg.com/profile_images/712069686192549889/bykYsdPj_normal.jpg" xr:uid="{FA22D731-B5FD-49EE-8E55-4DFF9D3E5EAF}"/>
    <hyperlink ref="B6160" r:id="rId19021" display="https://twitter.com/Lunatique11" xr:uid="{49001741-91CB-4F97-B613-4F34B2309125}"/>
    <hyperlink ref="E6160" r:id="rId19022" display="https://twitter.com/Lunatique11/status/723913857882710016" xr:uid="{2812BDD8-F283-45E7-AA53-842F38550EEB}"/>
    <hyperlink ref="O6160" r:id="rId19023" display="https://pbs.twimg.com/profile_images/704318460814364672/WLDosunw_normal.jpg" xr:uid="{96FC1DD5-F1C6-4F25-8E2E-38F23D0C1D40}"/>
    <hyperlink ref="B6161" r:id="rId19024" display="https://twitter.com/Jaygrimbo" xr:uid="{BD21EE8D-AE4E-4F2B-BFE2-6EAA8ABC2E2C}"/>
    <hyperlink ref="E6161" r:id="rId19025" display="https://twitter.com/Jaygrimbo/status/723914002271707136" xr:uid="{827FD63D-FBF7-4C77-B99E-E9EEE6CCA965}"/>
    <hyperlink ref="O6161" r:id="rId19026" display="https://pbs.twimg.com/profile_images/686988633224654849/PaFzDiqe_normal.jpg" xr:uid="{68DDD211-BF6A-4094-BA11-2396A94AD109}"/>
    <hyperlink ref="B6162" r:id="rId19027" display="https://twitter.com/felix_pig" xr:uid="{AE9382DB-2047-488C-97E9-199B1ED986A7}"/>
    <hyperlink ref="E6162" r:id="rId19028" display="https://twitter.com/felix_pig/status/723914067795152896" xr:uid="{9C9ED306-C738-4B6D-B5E9-0E987AD910E6}"/>
    <hyperlink ref="O6162" r:id="rId19029" display="https://pbs.twimg.com/profile_images/378800000817281664/8d452fa185db6be015743c4f6da0e6e1_normal.jpeg" xr:uid="{6D84117D-3358-43B2-BD85-F2F02E1A66CB}"/>
    <hyperlink ref="B6163" r:id="rId19030" display="https://twitter.com/dejbanlaw" xr:uid="{9F8C11EF-FE40-4997-86AB-292144156175}"/>
    <hyperlink ref="E6163" r:id="rId19031" display="https://twitter.com/dejbanlaw/status/723914670382284800" xr:uid="{57C62FC0-19B6-4DBB-A870-25886A350A81}"/>
    <hyperlink ref="O6163" r:id="rId19032" display="https://pbs.twimg.com/profile_images/676465930424082432/zT-RyXf4_normal.jpg" xr:uid="{AD03456F-DCDD-4D7C-AEC0-865248037AC1}"/>
    <hyperlink ref="B6164" r:id="rId19033" display="https://twitter.com/aucklandcastle" xr:uid="{63314915-5A7C-4D82-B791-15F45A958458}"/>
    <hyperlink ref="E6164" r:id="rId19034" display="https://twitter.com/aucklandcastle/status/723914845121331200" xr:uid="{0D152633-2367-45C4-9020-60825ABA9F6B}"/>
    <hyperlink ref="O6164" r:id="rId19035" display="https://pbs.twimg.com/profile_images/2149603906/logo_normal.jpg" xr:uid="{B63C0A1D-9790-4A85-9753-E3C572A5DBC8}"/>
    <hyperlink ref="B6165" r:id="rId19036" display="https://twitter.com/belluxprod" xr:uid="{074FA7BC-5D9B-45CE-9954-8EAFD0DA402B}"/>
    <hyperlink ref="E6165" r:id="rId19037" display="https://twitter.com/belluxprod/status/723915060188352512" xr:uid="{7A77EE09-F24F-4E08-8416-503E3CE8D718}"/>
    <hyperlink ref="O6165" r:id="rId19038" display="https://pbs.twimg.com/profile_images/2920846445/e34a37ddab890f16b88086d930e5a566_normal.jpeg" xr:uid="{E40EC2C3-87BF-4DF5-97F0-82E23921C5E2}"/>
    <hyperlink ref="B6166" r:id="rId19039" display="https://twitter.com/yogafitter" xr:uid="{C652C27D-B532-4F27-BF76-7B78DA5DE52E}"/>
    <hyperlink ref="E6166" r:id="rId19040" display="https://twitter.com/yogafitter/status/723915231190126602" xr:uid="{03EE84A9-B6CF-421A-B8F1-786DE20F7C5B}"/>
    <hyperlink ref="O6166" r:id="rId19041" display="https://pbs.twimg.com/profile_images/722835603255992321/BBAQvavV_normal.jpg" xr:uid="{7543F0A1-7503-4FAA-866F-AB0A3F00E1A6}"/>
    <hyperlink ref="P6166" r:id="rId19042" location="32.07350377,-81.10070656" display="http://ctrlq.org/maps/address/ - 32.07350377,-81.10070656" xr:uid="{09DD61C5-3AF9-4D8E-AF4D-5D9015BB726E}"/>
    <hyperlink ref="B6167" r:id="rId19043" display="https://twitter.com/dejbanlaw" xr:uid="{556C4AFF-F1C8-442E-B82A-2AEF18793D31}"/>
    <hyperlink ref="E6167" r:id="rId19044" display="https://twitter.com/dejbanlaw/status/723915893655240704" xr:uid="{AD719B5E-57E0-42FE-844F-FBC623711F07}"/>
    <hyperlink ref="O6167" r:id="rId19045" display="https://pbs.twimg.com/profile_images/676465930424082432/zT-RyXf4_normal.jpg" xr:uid="{74AEE190-54E9-4621-A575-F8DDEE06631E}"/>
    <hyperlink ref="B6168" r:id="rId19046" display="https://twitter.com/VotelTravels" xr:uid="{37D8D50C-8CC0-47EF-B239-01617BB64220}"/>
    <hyperlink ref="E6168" r:id="rId19047" display="https://twitter.com/VotelTravels/status/723916011158798337" xr:uid="{C3F80986-4682-4416-9468-79C919F16AC3}"/>
    <hyperlink ref="O6168" r:id="rId19048" display="https://pbs.twimg.com/profile_images/653912667745333248/8Bvff339_normal.jpg" xr:uid="{3DE7154B-40FA-43A7-98E2-E0EDDDE7FFDD}"/>
    <hyperlink ref="B6169" r:id="rId19049" display="https://twitter.com/CapeCoralgroup" xr:uid="{76E81337-8A46-451A-B3F3-8F28AB7CC4B4}"/>
    <hyperlink ref="E6169" r:id="rId19050" display="https://twitter.com/CapeCoralgroup/status/723916109418749952" xr:uid="{B75C1760-E6F6-492E-8112-027632848C95}"/>
    <hyperlink ref="O6169" r:id="rId19051" display="https://pbs.twimg.com/profile_images/702118645221236736/UsrwZfWh_normal.jpg" xr:uid="{041D846A-CE86-4A31-B212-66690C42011C}"/>
    <hyperlink ref="B6170" r:id="rId19052" display="https://twitter.com/LottowinFlorida" xr:uid="{C73531FE-228C-4030-8AE4-035D8EC9FCB5}"/>
    <hyperlink ref="E6170" r:id="rId19053" display="https://twitter.com/LottowinFlorida/status/723916239974862849" xr:uid="{BC9F8C82-B525-4AF4-A88B-6502E199525A}"/>
    <hyperlink ref="O6170" r:id="rId19054" display="https://pbs.twimg.com/profile_images/1646905092/Frau_Women_normal.jpg" xr:uid="{6D93A81F-9B44-45D7-A132-36281885F4A4}"/>
    <hyperlink ref="B6171" r:id="rId19055" display="https://twitter.com/j0edraper_" xr:uid="{4E9CE528-272E-4685-82E0-A90290C04D8A}"/>
    <hyperlink ref="E6171" r:id="rId19056" display="https://twitter.com/j0edraper_/status/723917104240578561" xr:uid="{B0AF5FF8-DA8A-46BF-B9D2-6DBB4D171758}"/>
    <hyperlink ref="O6171" r:id="rId19057" display="https://pbs.twimg.com/profile_images/541554437656158208/ryXJEi6c_normal.jpeg" xr:uid="{3F9D8BC5-97AF-4308-9327-80489CC7DB4D}"/>
    <hyperlink ref="B6172" r:id="rId19058" display="https://twitter.com/MetindevrikHot" xr:uid="{05D55DE2-3B80-4E01-B680-1A3DA60E56C7}"/>
    <hyperlink ref="E6172" r:id="rId19059" display="https://twitter.com/MetindevrikHot/status/723917567946006530" xr:uid="{795CB77F-0DE0-442D-94ED-CA4392E6C742}"/>
    <hyperlink ref="O6172" r:id="rId19060" display="https://pbs.twimg.com/profile_images/681212978528649216/CCxhjhHP_normal.jpg" xr:uid="{FDDFEE24-C0FF-4B0F-BC62-22BCD336BED0}"/>
    <hyperlink ref="P6172" r:id="rId19061" location="41.09191691,28.79504052" display="http://ctrlq.org/maps/address/ - 41.09191691,28.79504052" xr:uid="{EE421D22-B898-410D-9369-890E707CD0EC}"/>
    <hyperlink ref="B6173" r:id="rId19062" display="https://twitter.com/Capricillo" xr:uid="{6DC039CE-BCE6-4AE6-9802-C49866C75E5B}"/>
    <hyperlink ref="E6173" r:id="rId19063" display="https://twitter.com/Capricillo/status/723917703640174592" xr:uid="{207A0847-8BAD-4C13-95F9-956931D057F6}"/>
    <hyperlink ref="O6173" r:id="rId19064" display="https://pbs.twimg.com/profile_images/650778349535633410/5nUr5aU0_normal.jpg" xr:uid="{CA19BD32-D5CB-4364-BFFD-55661D2AB369}"/>
    <hyperlink ref="B6174" r:id="rId19065" display="https://twitter.com/_Natchlko" xr:uid="{3CD57F85-CD3A-4C68-ACAB-2761FCD60144}"/>
    <hyperlink ref="E6174" r:id="rId19066" display="https://twitter.com/_Natchlko/status/723918033962590208" xr:uid="{D446FD7E-2D63-4FA4-92EE-71E9C94707B3}"/>
    <hyperlink ref="O6174" r:id="rId19067" display="https://pbs.twimg.com/profile_images/540385316100923392/3OdFDiWd_normal.jpeg" xr:uid="{9CA037E8-508B-4B2E-8E5E-855D7343CD39}"/>
    <hyperlink ref="B6175" r:id="rId19068" display="https://twitter.com/VWCamperSales" xr:uid="{3486AF6D-2A4D-413A-81F5-1F4E18F912E1}"/>
    <hyperlink ref="E6175" r:id="rId19069" display="https://twitter.com/VWCamperSales/status/723918287235506176" xr:uid="{6F2D4D10-1056-41D0-B8A8-66D15D68D063}"/>
    <hyperlink ref="F6175" r:id="rId19070" xr:uid="{6842228A-D4F6-42B2-A809-1EB754AC4590}"/>
    <hyperlink ref="O6175" r:id="rId19071" display="https://pbs.twimg.com/profile_images/627949001179037696/skEBkS05_normal.jpg" xr:uid="{91F11573-B896-4FB4-A605-8E1C50FE874C}"/>
    <hyperlink ref="B6176" r:id="rId19072" display="https://twitter.com/brankocovic" xr:uid="{9E76578B-175B-4DE4-9C67-6960902AA287}"/>
    <hyperlink ref="E6176" r:id="rId19073" display="https://twitter.com/brankocovic/status/723918334719348736" xr:uid="{26775265-4B20-44E4-A47F-ED184F9BCDF4}"/>
    <hyperlink ref="O6176" r:id="rId19074" display="https://pbs.twimg.com/profile_images/514757892290134017/oINplEn2_normal.jpeg" xr:uid="{75D890B8-AA7A-4799-89F2-6844A3690335}"/>
    <hyperlink ref="B6177" r:id="rId19075" display="https://twitter.com/steaithpooch" xr:uid="{6905B775-2E79-4CF0-A304-BAB0C63AD38E}"/>
    <hyperlink ref="E6177" r:id="rId19076" display="https://twitter.com/steaithpooch/status/723918675267473408" xr:uid="{41C4D186-A56F-47CC-9CDD-AFC3ACEA7F05}"/>
    <hyperlink ref="O6177" r:id="rId19077" display="https://pbs.twimg.com/profile_images/540345345029701632/41M7HyZS_normal.jpeg" xr:uid="{462D1077-D08B-4263-9F6A-FC2BE019F413}"/>
    <hyperlink ref="B6178" r:id="rId19078" display="https://twitter.com/gjPandaBouseKe" xr:uid="{51FEA2C1-008E-4B2F-B9A5-F2DA9A27652D}"/>
    <hyperlink ref="E6178" r:id="rId19079" display="https://twitter.com/gjPandaBouseKe/status/723918791386779648" xr:uid="{14E86E80-9D9C-42DF-BE63-40F0FCAC23D2}"/>
    <hyperlink ref="O6178" r:id="rId19080" display="https://pbs.twimg.com/profile_images/575760063651934208/JWKGrBNI_normal.jpeg" xr:uid="{826A107E-80D6-4DC1-9095-5CDF7748D96A}"/>
    <hyperlink ref="B6179" r:id="rId19081" display="https://twitter.com/Turnervwkelowna" xr:uid="{C41D36FF-5F57-4F50-ACFF-19F6F2DB1A35}"/>
    <hyperlink ref="E6179" r:id="rId19082" display="https://twitter.com/Turnervwkelowna/status/723918903605383168" xr:uid="{932F0180-D5D1-4EF5-B5B3-A7DD24A571D9}"/>
    <hyperlink ref="O6179" r:id="rId19083" display="https://pbs.twimg.com/profile_images/713126574036377600/SToYnSGD_normal.jpg" xr:uid="{DEE44D33-13B8-4440-A022-36B76663D391}"/>
    <hyperlink ref="B6180" r:id="rId19084" display="https://twitter.com/VolkerVotsmeier" xr:uid="{6C1E7655-7A45-465D-8FAA-DBF7D845879A}"/>
    <hyperlink ref="E6180" r:id="rId19085" display="https://twitter.com/VolkerVotsmeier/status/723919125647642625" xr:uid="{61509D94-5FE7-4B84-A34E-5260D8CE2E13}"/>
    <hyperlink ref="O6180" r:id="rId19086" display="https://pbs.twimg.com/profile_images/507897198911053824/7OqYAonJ_normal.jpeg" xr:uid="{AE2A3C36-8734-413E-B9C9-FE0F3DC1E1DA}"/>
    <hyperlink ref="B6181" r:id="rId19087" display="https://twitter.com/tywcc" xr:uid="{82D9BC05-4AD6-4ADE-943D-B12655EE4872}"/>
    <hyperlink ref="E6181" r:id="rId19088" display="https://twitter.com/tywcc/status/723919412261167104" xr:uid="{80E0DE07-309B-4E75-AD7C-5454FA89C36A}"/>
    <hyperlink ref="O6181" r:id="rId19089" display="https://pbs.twimg.com/profile_images/702271663644286976/bOsxJtiK_normal.png" xr:uid="{27DF7B00-574C-4E00-97B7-184DB14690CE}"/>
    <hyperlink ref="B6182" r:id="rId19090" display="https://twitter.com/igmybiga" xr:uid="{F7D77DF2-14DA-43C8-AB1D-13A7F8985015}"/>
    <hyperlink ref="E6182" r:id="rId19091" display="https://twitter.com/igmybiga/status/723919776523911168" xr:uid="{B62C06DE-5234-42F4-B67B-78CC0BE431AA}"/>
    <hyperlink ref="O6182" r:id="rId19092" display="https://pbs.twimg.com/profile_images/677218792473272320/D3XJHjN8_normal.jpg" xr:uid="{CCBF9171-4884-4C8A-AC6D-5F5971DA5C87}"/>
    <hyperlink ref="B6183" r:id="rId19093" display="https://twitter.com/crozen1" xr:uid="{32CA5475-C18C-4325-B7BB-4DBDE0224595}"/>
    <hyperlink ref="E6183" r:id="rId19094" display="https://twitter.com/crozen1/status/723919786640596993" xr:uid="{70002FEB-3612-4081-ABD7-B5DB07E9FB83}"/>
    <hyperlink ref="F6183" r:id="rId19095" xr:uid="{B5BC788F-5621-49DD-A40E-8A98719054C4}"/>
    <hyperlink ref="O6183" r:id="rId19096" display="https://pbs.twimg.com/profile_images/1886560867/rozen_normal.jpg" xr:uid="{797CB9CF-C973-44F9-B881-103C245702B3}"/>
    <hyperlink ref="B6184" r:id="rId19097" display="https://twitter.com/VWCamperSales" xr:uid="{D5903C25-317B-4B02-9AFC-117603508B2E}"/>
    <hyperlink ref="E6184" r:id="rId19098" display="https://twitter.com/VWCamperSales/status/723919839882936320" xr:uid="{F93AF749-0465-4F7F-87B3-22AA2E75F3EF}"/>
    <hyperlink ref="F6184" r:id="rId19099" xr:uid="{3DE5229A-B367-41E6-B1ED-7FB06306AA0B}"/>
    <hyperlink ref="O6184" r:id="rId19100" display="https://pbs.twimg.com/profile_images/627949001179037696/skEBkS05_normal.jpg" xr:uid="{206AD00E-288F-4A95-8204-E8DE0A3FFD7A}"/>
    <hyperlink ref="B6185" r:id="rId19101" display="https://twitter.com/tywcc" xr:uid="{78B8BBA5-17A4-4FA3-A0E1-AA565906F41F}"/>
    <hyperlink ref="E6185" r:id="rId19102" display="https://twitter.com/tywcc/status/723920057856856064" xr:uid="{C1395A28-3945-4420-B9FC-57C77D2F78D0}"/>
    <hyperlink ref="O6185" r:id="rId19103" display="https://pbs.twimg.com/profile_images/702271663644286976/bOsxJtiK_normal.png" xr:uid="{72460D84-4E00-4773-A8D9-80F892A1ECF8}"/>
    <hyperlink ref="B6186" r:id="rId19104" display="https://twitter.com/VWCrystalLake" xr:uid="{472DBBC4-1682-48EB-8809-FBA5D8D0F757}"/>
    <hyperlink ref="E6186" r:id="rId19105" display="https://twitter.com/VWCrystalLake/status/723920102551379968" xr:uid="{87620A4D-117F-4150-AC95-B43792D9ADD4}"/>
    <hyperlink ref="O6186" r:id="rId19106" display="https://pbs.twimg.com/profile_images/512340161149927424/q1C4j2Jn_normal.jpeg" xr:uid="{BC530820-4263-4F25-807B-69F8FC39226C}"/>
    <hyperlink ref="B6187" r:id="rId19107" display="https://twitter.com/Tmmlnne" xr:uid="{817E0FCA-81C0-4D0C-8FB9-7394F15C2B89}"/>
    <hyperlink ref="E6187" r:id="rId19108" display="https://twitter.com/Tmmlnne/status/723920176551333889" xr:uid="{D196F8C9-0446-4CAF-BFBA-CEC602A5C046}"/>
    <hyperlink ref="O6187" r:id="rId19109" display="https://pbs.twimg.com/profile_images/594567984447787008/EsQtwO2b_normal.jpg" xr:uid="{C3D690F2-334F-4159-A6AD-BD825CF3CE51}"/>
    <hyperlink ref="B6188" r:id="rId19110" display="https://twitter.com/CamperSpotting" xr:uid="{E013FAC9-E7E3-404F-B409-EDB64EDCB37A}"/>
    <hyperlink ref="E6188" r:id="rId19111" display="https://twitter.com/CamperSpotting/status/723920338531299330" xr:uid="{1618ED7F-29BE-4C0E-8D54-9CFD73DB8F22}"/>
    <hyperlink ref="O6188" r:id="rId19112" display="https://pbs.twimg.com/profile_images/714175709950910472/F7n1bWGY_normal.jpg" xr:uid="{F32FA622-90B2-483D-8A91-1C61F9284E06}"/>
    <hyperlink ref="B6189" r:id="rId19113" display="https://twitter.com/_forelgnsavage_" xr:uid="{1AD520BF-7CEA-4E81-8AA3-66C0E2C5005E}"/>
    <hyperlink ref="E6189" r:id="rId19114" display="https://twitter.com/_forelgnsavage_/status/723920346018111488" xr:uid="{1727A9DC-8F35-468C-A7DC-08D88495C8E8}"/>
    <hyperlink ref="O6189" r:id="rId19115" display="https://pbs.twimg.com/profile_images/534291201810530304/JWs1t6r9_normal.jpeg" xr:uid="{F9A71CE9-DB49-4B75-8A86-7EBA68D8ABE3}"/>
    <hyperlink ref="B6190" r:id="rId19116" display="https://twitter.com/handelsblatt" xr:uid="{8EA5E66A-DC1E-4245-A18B-CB9774B7D340}"/>
    <hyperlink ref="E6190" r:id="rId19117" display="https://twitter.com/handelsblatt/status/723920475387236352" xr:uid="{7B806660-978E-4BC1-B735-160523D64697}"/>
    <hyperlink ref="O6190" r:id="rId19118" display="https://pbs.twimg.com/profile_images/562563461171798017/AkHF4keI_normal.png" xr:uid="{2839D509-DDC0-4300-BAFC-8BC1F124F253}"/>
    <hyperlink ref="B6191" r:id="rId19119" display="https://twitter.com/Mayerllssernac" xr:uid="{CB13194A-39CD-47ED-8978-D99A2B9EF4BF}"/>
    <hyperlink ref="E6191" r:id="rId19120" display="https://twitter.com/Mayerllssernac/status/723920559050993668" xr:uid="{F43A609E-0872-422B-848D-845DFD6C7D61}"/>
    <hyperlink ref="O6191" r:id="rId19121" display="https://pbs.twimg.com/profile_images/539619100654571520/pWLTBAUN_normal.jpeg" xr:uid="{DE4DFFFE-D688-4ADD-96C5-4AFC28E1705B}"/>
    <hyperlink ref="B6192" r:id="rId19122" display="https://twitter.com/ThatBoy_Fergle" xr:uid="{5BAF379A-FD51-4CE4-97E1-C4076798B1AB}"/>
    <hyperlink ref="E6192" r:id="rId19123" display="https://twitter.com/ThatBoy_Fergle/status/723920736419762176" xr:uid="{91977337-8FD3-49BB-9031-00575169433C}"/>
    <hyperlink ref="O6192" r:id="rId19124" display="https://pbs.twimg.com/profile_images/534281940015525888/7xkdXwOq_normal.jpeg" xr:uid="{30E17745-B86F-47B0-A244-2F3DC1FD5824}"/>
    <hyperlink ref="B6193" r:id="rId19125" display="https://twitter.com/iuukeCampbell" xr:uid="{50A6D809-EFD6-4823-A3B3-8D09AB0A55BD}"/>
    <hyperlink ref="E6193" r:id="rId19126" display="https://twitter.com/iuukeCampbell/status/723920969019101184" xr:uid="{6EA627FF-CC92-4A90-B748-E4532DDF5377}"/>
    <hyperlink ref="O6193" r:id="rId19127" display="https://pbs.twimg.com/profile_images/534268534876954625/CEX5LuWX_normal.jpeg" xr:uid="{CEBEBED3-4A6C-4461-9C47-B26FC93EFF01}"/>
    <hyperlink ref="B6194" r:id="rId19128" display="https://twitter.com/DlmeFerd" xr:uid="{82BCB057-34D2-4848-A945-77928FD7396D}"/>
    <hyperlink ref="E6194" r:id="rId19129" display="https://twitter.com/DlmeFerd/status/723920970126340097" xr:uid="{2BD3585D-FA60-4BDC-9DCA-9A2CE03C8313}"/>
    <hyperlink ref="O6194" r:id="rId19130" display="https://pbs.twimg.com/profile_images/539624694534901760/QEJR_4Xl_normal.jpeg" xr:uid="{F92F8DAF-6886-4E4B-87EA-865FF1D26177}"/>
    <hyperlink ref="B6195" r:id="rId19131" display="https://twitter.com/_sea_fox_" xr:uid="{9B823CB9-D043-4007-A8D9-E7B05EA734EA}"/>
    <hyperlink ref="E6195" r:id="rId19132" display="https://twitter.com/_sea_fox_/status/723920977256701952" xr:uid="{F27E151F-27EE-4D2C-8EF7-41C0596D6CF6}"/>
    <hyperlink ref="O6195" r:id="rId19133" display="https://pbs.twimg.com/profile_images/644897595442241536/62y226Ai_normal.jpg" xr:uid="{7888E4F5-54BA-4987-B12B-43C93B99922E}"/>
    <hyperlink ref="P6195" r:id="rId19134" location="52.51677,13.38987" display="http://ctrlq.org/maps/address/ - 52.51677,13.38987" xr:uid="{B43DE90A-2B8E-4E36-A15B-200A74541245}"/>
    <hyperlink ref="B6196" r:id="rId19135" display="https://twitter.com/pathgirl888" xr:uid="{8E1B0C90-F6BE-446C-9B8B-743C1753A62C}"/>
    <hyperlink ref="E6196" r:id="rId19136" display="https://twitter.com/pathgirl888/status/723921025294016513" xr:uid="{7937E30B-FB6B-41A4-8897-3350D1AE5367}"/>
    <hyperlink ref="O6196" r:id="rId19137" display="https://pbs.twimg.com/profile_images/693415892085006337/yVYlfDuM_normal.jpg" xr:uid="{7DC917AE-B03E-4EA9-A12A-80E7099803C1}"/>
    <hyperlink ref="B6197" r:id="rId19138" display="https://twitter.com/_sea_fox_" xr:uid="{B74DBF2D-A83C-465C-8A3D-6FCA01D1CA79}"/>
    <hyperlink ref="E6197" r:id="rId19139" display="https://twitter.com/_sea_fox_/status/723921329091686401" xr:uid="{B57E2E5C-B09F-4322-8532-3B197F67F1CC}"/>
    <hyperlink ref="O6197" r:id="rId19140" display="https://pbs.twimg.com/profile_images/644897595442241536/62y226Ai_normal.jpg" xr:uid="{7724DA55-4C90-42BA-943A-EA2AA8CC6D76}"/>
    <hyperlink ref="P6197" r:id="rId19141" location="52.51677,13.38987" display="http://ctrlq.org/maps/address/ - 52.51677,13.38987" xr:uid="{F58A7E55-CE66-4754-872E-602FA8198528}"/>
    <hyperlink ref="B6198" r:id="rId19142" display="https://twitter.com/aiqaserjeddah" xr:uid="{F3A91CE2-7C32-4903-904B-CB3FF7F9B93E}"/>
    <hyperlink ref="E6198" r:id="rId19143" display="https://twitter.com/aiqaserjeddah/status/723921430547709953" xr:uid="{CF500914-7D13-49E5-A87C-097D49BB6487}"/>
    <hyperlink ref="O6198" r:id="rId19144" display="https://pbs.twimg.com/profile_images/539548703082967040/_s9lInnH_normal.jpeg" xr:uid="{24FE4C31-EB7D-442F-8778-BDDFEBC2E0B4}"/>
    <hyperlink ref="B6199" r:id="rId19145" display="https://twitter.com/_sea_fox_" xr:uid="{C6F9D857-1C80-4E3F-9D49-8C93FF1DC269}"/>
    <hyperlink ref="E6199" r:id="rId19146" display="https://twitter.com/_sea_fox_/status/723921553893797888" xr:uid="{4E1CFAF6-BE30-41A2-88E5-A331FCA2AC44}"/>
    <hyperlink ref="O6199" r:id="rId19147" display="https://pbs.twimg.com/profile_images/644897595442241536/62y226Ai_normal.jpg" xr:uid="{D9F5B531-045D-456D-A0E0-98D0DBB7DF34}"/>
    <hyperlink ref="P6199" r:id="rId19148" location="52.5006,13.3989" display="http://ctrlq.org/maps/address/ - 52.5006,13.3989" xr:uid="{386F7532-BE38-4C8B-9B4A-A401F8758D78}"/>
    <hyperlink ref="B6200" r:id="rId19149" display="https://twitter.com/StaceyJane212" xr:uid="{246A10AC-C9F8-4F7A-891B-F1F40B7EFFA8}"/>
    <hyperlink ref="E6200" r:id="rId19150" display="https://twitter.com/StaceyJane212/status/723921559748907011" xr:uid="{B62AE330-5C42-47A0-826B-0C0C937BF354}"/>
    <hyperlink ref="O6200" r:id="rId19151" display="https://pbs.twimg.com/profile_images/722148212153430017/NaDKflSD_normal.jpg" xr:uid="{FC69587B-2C72-43FC-8FDB-A8C704EBCD4E}"/>
    <hyperlink ref="B6201" r:id="rId19152" display="https://twitter.com/VWCamperSales" xr:uid="{076ADB45-27FB-47AA-BCF0-A2DB88BAE753}"/>
    <hyperlink ref="E6201" r:id="rId19153" display="https://twitter.com/VWCamperSales/status/723921671678087168" xr:uid="{F2298526-E395-4B9B-939C-3F3B7D6879C1}"/>
    <hyperlink ref="F6201" r:id="rId19154" xr:uid="{E6FFD2F7-713A-4587-B0C4-F1E4C7334072}"/>
    <hyperlink ref="O6201" r:id="rId19155" display="https://pbs.twimg.com/profile_images/627949001179037696/skEBkS05_normal.jpg" xr:uid="{047FA694-669B-4B0F-8D43-B94F4261D0A3}"/>
    <hyperlink ref="B6202" r:id="rId19156" display="https://twitter.com/_sea_fox_" xr:uid="{BE9CB0E7-85A4-473E-BB49-3CE33826CA94}"/>
    <hyperlink ref="E6202" r:id="rId19157" display="https://twitter.com/_sea_fox_/status/723921713742917635" xr:uid="{7DB6A6D9-7348-498F-B185-EFFDABD20DC4}"/>
    <hyperlink ref="O6202" r:id="rId19158" display="https://pbs.twimg.com/profile_images/644897595442241536/62y226Ai_normal.jpg" xr:uid="{B268DE6C-BAF2-4FF2-9FAE-22B29FAA3AB0}"/>
    <hyperlink ref="P6202" r:id="rId19159" location="52.5006,13.3989" display="http://ctrlq.org/maps/address/ - 52.5006,13.3989" xr:uid="{C1D8C982-1350-49ED-8A6B-FF3F5945C034}"/>
    <hyperlink ref="B6203" r:id="rId19160" display="https://twitter.com/mobiliteit_BIZ" xr:uid="{EAF28E23-BEC1-4365-B61B-2B5FC68E018D}"/>
    <hyperlink ref="C6203" r:id="rId19161" xr:uid="{2071073D-4093-492C-BC09-2441B1B74C48}"/>
    <hyperlink ref="E6203" r:id="rId19162" display="https://twitter.com/mobiliteit_BIZ/status/723921752028512256" xr:uid="{77F5840E-8946-4D0C-BCE6-43CA7AA8356D}"/>
    <hyperlink ref="O6203" r:id="rId19163" display="https://pbs.twimg.com/profile_images/378800000556304348/f945479287bcda37b179af016ec463b2_normal.png" xr:uid="{EAD75B49-0DDC-463D-8352-7D798AAB59FF}"/>
    <hyperlink ref="B6204" r:id="rId19164" display="https://twitter.com/St0psch1ld" xr:uid="{A422C179-72EC-4EB4-ACD6-92EBE0EA9374}"/>
    <hyperlink ref="E6204" r:id="rId19165" display="https://twitter.com/St0psch1ld/status/723921796009975808" xr:uid="{E265979C-1F9F-49BA-9D58-7AA5CD5B8BB9}"/>
    <hyperlink ref="O6204" r:id="rId19166" display="https://pbs.twimg.com/profile_images/695663013412630535/XgD9AbrJ_normal.jpg" xr:uid="{7DBBFE7F-8568-4CEB-89FA-3F56FA5B72BD}"/>
    <hyperlink ref="B6205" r:id="rId19167" display="https://twitter.com/franccco6" xr:uid="{9F2369A9-1E5F-487C-8E0B-6A0667E73589}"/>
    <hyperlink ref="E6205" r:id="rId19168" display="https://twitter.com/franccco6/status/723921871926923270" xr:uid="{7D1FB3D1-70F7-43E1-9339-0E7B5D800C39}"/>
    <hyperlink ref="O6205" r:id="rId19169" display="https://pbs.twimg.com/profile_images/539607518365089793/9nksGDzp_normal.jpeg" xr:uid="{EC5B84FB-84A6-4242-AFCA-282ECCEBF90E}"/>
    <hyperlink ref="B6206" r:id="rId19170" display="https://twitter.com/haymansafc" xr:uid="{F1C2B786-34DB-4229-A867-9063DB698570}"/>
    <hyperlink ref="E6206" r:id="rId19171" display="https://twitter.com/haymansafc/status/723921920169631746" xr:uid="{71CD1DDF-E203-488E-A4CE-97DAFD2268AF}"/>
    <hyperlink ref="O6206" r:id="rId19172" display="https://pbs.twimg.com/profile_images/1681261394/095_normal.JPG" xr:uid="{B9E46E72-849D-454A-8262-0927D260CE0F}"/>
    <hyperlink ref="B6207" r:id="rId19173" display="https://twitter.com/Scirocco_Tuning" xr:uid="{0016E947-30E3-4132-BFDC-77B8B1C4411D}"/>
    <hyperlink ref="E6207" r:id="rId19174" display="https://twitter.com/Scirocco_Tuning/status/723921925483966465" xr:uid="{24D7C82B-A585-445A-BFE7-001445D00795}"/>
    <hyperlink ref="O6207" r:id="rId19175" display="https://pbs.twimg.com/profile_images/1610421423/Image2_normal.jpg" xr:uid="{4E70D529-0C81-4CF0-BDCF-E6617F04D7CF}"/>
    <hyperlink ref="B6208" r:id="rId19176" display="https://twitter.com/_sea_fox_" xr:uid="{6C5CAA65-A552-4226-B437-07E061B19CA4}"/>
    <hyperlink ref="E6208" r:id="rId19177" display="https://twitter.com/_sea_fox_/status/723921982174171137" xr:uid="{C11D99CD-847A-41F6-A905-A074CF01280D}"/>
    <hyperlink ref="O6208" r:id="rId19178" display="https://pbs.twimg.com/profile_images/644897595442241536/62y226Ai_normal.jpg" xr:uid="{E1112629-7F46-4B19-B091-5D1A880B5768}"/>
    <hyperlink ref="P6208" r:id="rId19179" location="52.51677,13.38987" display="http://ctrlq.org/maps/address/ - 52.51677,13.38987" xr:uid="{578FF91D-7E73-4B7A-B4D4-2F06F43C0F33}"/>
    <hyperlink ref="B6209" r:id="rId19180" display="https://twitter.com/hashtagvanlife" xr:uid="{4954CFEF-10C0-4D14-A432-253ED6488CF0}"/>
    <hyperlink ref="E6209" r:id="rId19181" display="https://twitter.com/hashtagvanlife/status/723922111518105600" xr:uid="{67760D5D-5579-4BBB-B9DF-75D2DE4B5229}"/>
    <hyperlink ref="O6209" r:id="rId19182" display="https://pbs.twimg.com/profile_images/653637535545995264/gHuXQ5Bt_normal.jpg" xr:uid="{9720B02A-481A-4789-8281-723FFF56B324}"/>
    <hyperlink ref="B6210" r:id="rId19183" display="https://twitter.com/SYirmi" xr:uid="{8BC8C237-848D-40B9-86FA-66A74F96094B}"/>
    <hyperlink ref="E6210" r:id="rId19184" display="https://twitter.com/SYirmi/status/723922119655055360" xr:uid="{E195EEE4-3E73-49DB-8287-C3377B8F0FE9}"/>
    <hyperlink ref="O6210" r:id="rId19185" display="https://pbs.twimg.com/profile_images/509071000122982400/X7VfGKLE_normal.jpeg" xr:uid="{AB0EB6E9-E517-4A63-8812-E7AA70BD13B5}"/>
    <hyperlink ref="B6211" r:id="rId19186" display="https://twitter.com/OnlyCarrera" xr:uid="{3C012638-23B5-41E1-86A4-C852BA3495D4}"/>
    <hyperlink ref="E6211" r:id="rId19187" display="https://twitter.com/OnlyCarrera/status/723922121009803265" xr:uid="{4D3EE5FC-9A72-4E25-A733-7E5EAE6CE6B3}"/>
    <hyperlink ref="O6211" r:id="rId19188" display="https://pbs.twimg.com/profile_images/542918171158511617/A72BLdkG_normal.png" xr:uid="{12A677F7-EE21-4220-A0F2-DA67CAFEA3F9}"/>
    <hyperlink ref="B6212" r:id="rId19189" display="https://twitter.com/NeisonOE_" xr:uid="{E74EA0E3-7C86-4089-84FF-CF74E760FAB8}"/>
    <hyperlink ref="E6212" r:id="rId19190" display="https://twitter.com/NeisonOE_/status/723922131311034368" xr:uid="{998F6AFD-A1B4-424F-91F2-88C8E5D5AD2F}"/>
    <hyperlink ref="O6212" r:id="rId19191" display="https://pbs.twimg.com/profile_images/541516773234061312/2vokEsnJ_normal.jpeg" xr:uid="{F7275EB8-2AAB-4159-AB99-4E32FECAA88F}"/>
    <hyperlink ref="B6213" r:id="rId19192" display="https://twitter.com/OnlyCarrera" xr:uid="{4EC45644-DB47-4219-A1C8-565B47EF45A7}"/>
    <hyperlink ref="E6213" r:id="rId19193" display="https://twitter.com/OnlyCarrera/status/723922136763645952" xr:uid="{50CE41AA-76A0-44F0-8553-554BD2BC7929}"/>
    <hyperlink ref="O6213" r:id="rId19194" display="https://pbs.twimg.com/profile_images/542918171158511617/A72BLdkG_normal.png" xr:uid="{37F411B6-467E-459B-9277-5169507E6BFD}"/>
    <hyperlink ref="B6214" r:id="rId19195" display="https://twitter.com/OnlyCarrera" xr:uid="{E541D543-CDE4-40A6-8AE6-1A31AF406B50}"/>
    <hyperlink ref="E6214" r:id="rId19196" display="https://twitter.com/OnlyCarrera/status/723922151741501440" xr:uid="{D80E2ABD-5165-47A9-9127-0E54313ACBEB}"/>
    <hyperlink ref="O6214" r:id="rId19197" display="https://pbs.twimg.com/profile_images/542918171158511617/A72BLdkG_normal.png" xr:uid="{BD7F274E-CCC2-4D5A-BCD9-C669EA5F660F}"/>
    <hyperlink ref="B6215" r:id="rId19198" display="https://twitter.com/OnlyCarrera" xr:uid="{6C91A49F-B523-4FAE-80EE-698232DDBD77}"/>
    <hyperlink ref="E6215" r:id="rId19199" display="https://twitter.com/OnlyCarrera/status/723922162227253248" xr:uid="{5D39BBC2-E68A-4F44-9662-46FAD7328B5A}"/>
    <hyperlink ref="O6215" r:id="rId19200" display="https://pbs.twimg.com/profile_images/542918171158511617/A72BLdkG_normal.png" xr:uid="{986B4AF5-324D-435A-BA18-3F97A557F743}"/>
    <hyperlink ref="B6216" r:id="rId19201" display="https://twitter.com/_sea_fox_" xr:uid="{B17A4505-940B-4D7C-A5A6-F51E9B4DF289}"/>
    <hyperlink ref="E6216" r:id="rId19202" display="https://twitter.com/_sea_fox_/status/723922246083985408" xr:uid="{6245EA3D-A8EB-4CB7-86A6-5C7FA20E25FD}"/>
    <hyperlink ref="O6216" r:id="rId19203" display="https://pbs.twimg.com/profile_images/644897595442241536/62y226Ai_normal.jpg" xr:uid="{8840401F-CF2E-49AD-BD7C-7A9931037AEE}"/>
    <hyperlink ref="P6216" r:id="rId19204" location="52.5006,13.3989" display="http://ctrlq.org/maps/address/ - 52.5006,13.3989" xr:uid="{89A828C5-763F-45EF-81C8-1EF1C437B0EB}"/>
    <hyperlink ref="B6217" r:id="rId19205" display="https://twitter.com/likehealthyfood" xr:uid="{1043106E-CEBE-4EA4-A190-95B8D07351E6}"/>
    <hyperlink ref="E6217" r:id="rId19206" display="https://twitter.com/likehealthyfood/status/723922337716965376" xr:uid="{C68655FE-E20F-4D2F-94EB-6DAE3C984A6F}"/>
    <hyperlink ref="O6217" r:id="rId19207" display="https://pbs.twimg.com/profile_images/682538822219923456/2__NXhqj_normal.png" xr:uid="{9D8BA77C-66D8-4FB7-B841-22E38B9E9A05}"/>
    <hyperlink ref="B6218" r:id="rId19208" display="https://twitter.com/VWBeetleSales" xr:uid="{263961E7-C50F-44CE-AEB2-6B4B53C872B6}"/>
    <hyperlink ref="E6218" r:id="rId19209" display="https://twitter.com/VWBeetleSales/status/723922419073712128" xr:uid="{28B90BAD-849A-48A9-8CB6-AF463E714E0C}"/>
    <hyperlink ref="F6218" r:id="rId19210" xr:uid="{DFF633B6-CA5D-455A-9AA1-F4BEA8FDAD97}"/>
    <hyperlink ref="O6218" r:id="rId19211" display="https://pbs.twimg.com/profile_images/703294545195307008/qeCvrX86_normal.jpg" xr:uid="{86719D55-3C62-4231-AC23-87563A54CBF1}"/>
    <hyperlink ref="B6219" r:id="rId19212" display="https://twitter.com/RlCO_DA_MAC" xr:uid="{0D09F351-39A2-4CC3-90DA-15BC869C5B1B}"/>
    <hyperlink ref="E6219" r:id="rId19213" display="https://twitter.com/RlCO_DA_MAC/status/723922425650511873" xr:uid="{95AB70F5-F1B2-4477-B7CD-A4AB995BB113}"/>
    <hyperlink ref="O6219" r:id="rId19214" display="https://pbs.twimg.com/profile_images/534282231364071424/_PjPLYMo_normal.jpeg" xr:uid="{33CA7992-5A0B-4707-B98C-3BB6F498FFB5}"/>
    <hyperlink ref="B6220" r:id="rId19215" display="https://twitter.com/_sea_fox_" xr:uid="{655FCE0A-5D1E-4C2D-A08A-C5E6517D02A3}"/>
    <hyperlink ref="E6220" r:id="rId19216" display="https://twitter.com/_sea_fox_/status/723922449142845440" xr:uid="{C9D6FF2C-7EC7-4DA5-9819-9976491F9193}"/>
    <hyperlink ref="O6220" r:id="rId19217" display="https://pbs.twimg.com/profile_images/644897595442241536/62y226Ai_normal.jpg" xr:uid="{8AB29E50-AEEE-4D84-AD50-0FE1E39F3484}"/>
    <hyperlink ref="B6221" r:id="rId19218" display="https://twitter.com/_sea_fox_" xr:uid="{C2CE6CBA-B781-485D-A355-BF5591ABA735}"/>
    <hyperlink ref="E6221" r:id="rId19219" display="https://twitter.com/_sea_fox_/status/723922605338705921" xr:uid="{4CF5D1F6-DAB7-426B-B771-0BA13DA9BC5E}"/>
    <hyperlink ref="O6221" r:id="rId19220" display="https://pbs.twimg.com/profile_images/644897595442241536/62y226Ai_normal.jpg" xr:uid="{D718EDEA-9FA2-449B-BF5D-E63754840F43}"/>
    <hyperlink ref="B6222" r:id="rId19221" display="https://twitter.com/NickJB0721" xr:uid="{590AC18B-100B-4260-A030-9AE108274298}"/>
    <hyperlink ref="E6222" r:id="rId19222" display="https://twitter.com/NickJB0721/status/723922955353251844" xr:uid="{C958C109-1C08-454C-8C82-080AEF0834E4}"/>
    <hyperlink ref="O6222" r:id="rId19223" display="https://pbs.twimg.com/profile_images/594579852851712001/6ZsYN6xx_normal.jpg" xr:uid="{5008B55F-1E70-488D-A2FD-0B2FB0C04CDF}"/>
    <hyperlink ref="B6223" r:id="rId19224" display="https://twitter.com/_sea_fox_" xr:uid="{A7CE3147-B0D6-49C6-A568-8B33EB7096D8}"/>
    <hyperlink ref="E6223" r:id="rId19225" display="https://twitter.com/_sea_fox_/status/723923046894043136" xr:uid="{B98F8ACE-3299-49CB-8F6D-6B6A33749357}"/>
    <hyperlink ref="O6223" r:id="rId19226" display="https://pbs.twimg.com/profile_images/644897595442241536/62y226Ai_normal.jpg" xr:uid="{2AE61A57-07E5-4B71-B13F-946486E3544F}"/>
    <hyperlink ref="B6224" r:id="rId19227" display="https://twitter.com/onelllmate" xr:uid="{302A2E7B-E263-4F90-9381-E8B84FFEC73A}"/>
    <hyperlink ref="E6224" r:id="rId19228" display="https://twitter.com/onelllmate/status/723923173528473600" xr:uid="{26BE7215-96E5-4B5C-9C68-3D6C60EB660E}"/>
    <hyperlink ref="O6224" r:id="rId19229" display="https://pbs.twimg.com/profile_images/541532182955982848/hQBKsm6U_normal.jpeg" xr:uid="{4BE5B0D3-9D96-43F2-887A-932826479452}"/>
    <hyperlink ref="B6225" r:id="rId19230" display="https://twitter.com/carbrosusedcars" xr:uid="{2F5A1D7B-7945-488F-ADB2-6D82446170BA}"/>
    <hyperlink ref="E6225" r:id="rId19231" display="https://twitter.com/carbrosusedcars/status/723923237256704001" xr:uid="{C989E5DF-7313-4C6C-A53C-F5B511E85D67}"/>
    <hyperlink ref="O6225" r:id="rId19232" display="https://pbs.twimg.com/profile_images/719787002346938368/lHiRs900_normal.jpg" xr:uid="{4A26F164-0183-47A7-8EA5-294155D3792D}"/>
    <hyperlink ref="B6226" r:id="rId19233" display="https://twitter.com/AbruMuiler" xr:uid="{2D215D25-FE69-423B-A645-A5175128ABA7}"/>
    <hyperlink ref="E6226" r:id="rId19234" display="https://twitter.com/AbruMuiler/status/723923300494266368" xr:uid="{1080993B-0497-4237-8408-C8DD4CEAAFFF}"/>
    <hyperlink ref="O6226" r:id="rId19235" display="https://pbs.twimg.com/profile_images/539582537400844288/V0O1qkdR_normal.jpeg" xr:uid="{9CB8B5BA-2618-4265-8130-AB0ECA4E3FFA}"/>
    <hyperlink ref="B6227" r:id="rId19236" display="https://twitter.com/sami19981" xr:uid="{C32A8AC3-506F-41C4-B8F4-F4E73C18B672}"/>
    <hyperlink ref="E6227" r:id="rId19237" display="https://twitter.com/sami19981/status/723923401329414144" xr:uid="{27A00E19-BA84-4E0B-9C95-BD3286B585FB}"/>
    <hyperlink ref="O6227" r:id="rId19238" display="https://pbs.twimg.com/profile_images/697165847840698370/-u-vLqUa_normal.jpg" xr:uid="{62335BB9-545F-4A75-88E8-CD28FA6EC0CA}"/>
    <hyperlink ref="B6228" r:id="rId19239" display="https://twitter.com/autoboomer" xr:uid="{61BCBB26-A88D-4D36-BC9D-076096086FAC}"/>
    <hyperlink ref="E6228" r:id="rId19240" display="https://twitter.com/autoboomer/status/723923547966447616" xr:uid="{07042285-B839-4567-9FEE-028E61A00F29}"/>
    <hyperlink ref="O6228" r:id="rId19241" display="https://pbs.twimg.com/profile_images/706220345850597376/oEXfTeCE_normal.jpg" xr:uid="{AD4AF2F0-2366-4186-8254-E2AA3CDC1778}"/>
    <hyperlink ref="B6229" r:id="rId19242" display="https://twitter.com/DiegoUrquiolaG" xr:uid="{DF00098C-AD76-465A-80EA-7549AF619675}"/>
    <hyperlink ref="E6229" r:id="rId19243" display="https://twitter.com/DiegoUrquiolaG/status/723923626471350272" xr:uid="{869098FB-E240-4F0E-9F96-5976EBB9ACDF}"/>
    <hyperlink ref="O6229" r:id="rId19244" display="https://pbs.twimg.com/profile_images/712885807732957185/2anjbS1Y_normal.jpg" xr:uid="{1A8ECEB2-11C2-426A-926E-E923F38687BF}"/>
    <hyperlink ref="B6230" r:id="rId19245" display="https://twitter.com/cartes_roci" xr:uid="{382BF2FB-B050-436B-BBEE-248FA8C4259B}"/>
    <hyperlink ref="E6230" r:id="rId19246" display="https://twitter.com/cartes_roci/status/723924190227795968" xr:uid="{522CF005-9E1F-4E18-B3F3-21D079F75A89}"/>
    <hyperlink ref="O6230" r:id="rId19247" display="https://pbs.twimg.com/profile_images/721895506729922561/MzfGOzG8_normal.jpg" xr:uid="{4403D95D-0EA2-4939-9D80-9DD20C0541C7}"/>
    <hyperlink ref="B6231" r:id="rId19248" display="https://twitter.com/amln_aboharb" xr:uid="{8EC5B370-182E-4381-8129-410E008CBD68}"/>
    <hyperlink ref="E6231" r:id="rId19249" display="https://twitter.com/amln_aboharb/status/723924257080770560" xr:uid="{FA4122AF-07CF-4728-A478-668586A2EC09}"/>
    <hyperlink ref="O6231" r:id="rId19250" display="https://pbs.twimg.com/profile_images/539541707155845120/pGoqzoxE_normal.jpeg" xr:uid="{51E0E31C-FEC5-4B65-86CF-800A7B0E5EEE}"/>
    <hyperlink ref="B6232" r:id="rId19251" display="https://twitter.com/VolkswagenofWin" xr:uid="{F9014663-2331-47C1-BE55-AA786CF1851A}"/>
    <hyperlink ref="E6232" r:id="rId19252" display="https://twitter.com/VolkswagenofWin/status/723924400383254528" xr:uid="{2DE9C23D-74D4-43A1-9CB6-A34E833C4773}"/>
    <hyperlink ref="O6232" r:id="rId19253" display="https://pbs.twimg.com/profile_images/705746830928117760/59j-NWpU_normal.jpg" xr:uid="{A9A788D7-99DB-41B8-921E-003FF2003E31}"/>
    <hyperlink ref="B6233" r:id="rId19254" display="https://twitter.com/Ct2peteMX" xr:uid="{38E39294-CFCE-4D23-A47A-D969266C9836}"/>
    <hyperlink ref="E6233" r:id="rId19255" display="https://twitter.com/Ct2peteMX/status/723924526350897152" xr:uid="{FF360CDA-AA68-4B1C-ABF6-4EE38AFB9197}"/>
    <hyperlink ref="O6233" r:id="rId19256" display="https://pbs.twimg.com/profile_images/575845956521844736/NfPxpwnE_normal.jpeg" xr:uid="{3B220C1C-A8E2-4386-B0A0-5044745B43FB}"/>
    <hyperlink ref="B6234" r:id="rId19257" display="https://twitter.com/Hoeferle" xr:uid="{EE6D513F-AA6D-40A8-BB4A-AB087343D5C8}"/>
    <hyperlink ref="E6234" r:id="rId19258" display="https://twitter.com/Hoeferle/status/723924839308746752" xr:uid="{C3BD12DA-944C-4CB6-AB4C-3D9F5CD37021}"/>
    <hyperlink ref="O6234" r:id="rId19259" display="https://pbs.twimg.com/profile_images/534229277072314368/CGP57Wf8_normal.jpeg" xr:uid="{1CB94482-E52C-4890-A8FA-052C856D60CE}"/>
    <hyperlink ref="B6235" r:id="rId19260" display="https://twitter.com/TheC0ntentQ" xr:uid="{F5660527-3E7B-423C-89BC-2250EDA698F8}"/>
    <hyperlink ref="E6235" r:id="rId19261" display="https://twitter.com/TheC0ntentQ/status/723925021849194497" xr:uid="{67DCA968-5726-4DEF-85D1-E8D497070B06}"/>
    <hyperlink ref="O6235" r:id="rId19262" display="https://pbs.twimg.com/profile_images/540376116683632641/KBoJ9dBH_normal.jpeg" xr:uid="{D44BD8BB-4A9A-4522-AB6E-EC6A03AFE96D}"/>
    <hyperlink ref="B6236" r:id="rId19263" display="https://twitter.com/VWCamperSales" xr:uid="{FAE410A9-2A19-4539-A828-885476785594}"/>
    <hyperlink ref="E6236" r:id="rId19264" display="https://twitter.com/VWCamperSales/status/723925049028141056" xr:uid="{25AA3540-5912-4144-8C8B-84A7EB658A23}"/>
    <hyperlink ref="F6236" r:id="rId19265" xr:uid="{9637433E-A53B-4A84-9E5C-507EDAF0B4FB}"/>
    <hyperlink ref="O6236" r:id="rId19266" display="https://pbs.twimg.com/profile_images/627949001179037696/skEBkS05_normal.jpg" xr:uid="{882FB425-CD99-42BA-A07F-435F5966FCF5}"/>
    <hyperlink ref="B6237" r:id="rId19267" display="https://twitter.com/CHAELlNXI" xr:uid="{359F2482-CCF0-461F-B9FE-BD74D32CDE9F}"/>
    <hyperlink ref="E6237" r:id="rId19268" display="https://twitter.com/CHAELlNXI/status/723925592295411712" xr:uid="{EDB83152-6A48-4061-B839-F9B475D9E975}"/>
    <hyperlink ref="O6237" r:id="rId19269" display="https://pbs.twimg.com/profile_images/534255093902614528/5lsOxWj6_normal.jpeg" xr:uid="{038F54F0-6415-483F-BC5D-D65019E246E7}"/>
    <hyperlink ref="B6238" r:id="rId19270" display="https://twitter.com/dazvw" xr:uid="{52E48CF8-44BA-4F24-873F-E53764654CA7}"/>
    <hyperlink ref="E6238" r:id="rId19271" display="https://twitter.com/dazvw/status/723925754732371969" xr:uid="{8A4F1CB1-45E4-4A86-91B8-ABB34CB790B6}"/>
    <hyperlink ref="O6238" r:id="rId19272" display="https://pbs.twimg.com/profile_images/3095803063/6d0b0cd10bd2f076a374a11a88bb7c2e_normal.jpeg" xr:uid="{A8B4CC1E-F892-4CEF-9B83-9BC63C16EA19}"/>
    <hyperlink ref="B6239" r:id="rId19273" display="https://twitter.com/GuyMahomlie" xr:uid="{3A8BC8E7-CED0-4177-AD39-791E6C1C2752}"/>
    <hyperlink ref="E6239" r:id="rId19274" display="https://twitter.com/GuyMahomlie/status/723925762525519872" xr:uid="{3F8CB445-CCA6-4647-A8FD-2CC0ADC58A57}"/>
    <hyperlink ref="O6239" r:id="rId19275" display="https://pbs.twimg.com/profile_images/534251848681537536/QZ941BSB_normal.jpeg" xr:uid="{2998190C-802E-467B-843D-F2489BD938ED}"/>
    <hyperlink ref="B6240" r:id="rId19276" display="https://twitter.com/beetle_pics" xr:uid="{6A73C260-92BE-465A-95A3-C35770B93040}"/>
    <hyperlink ref="E6240" r:id="rId19277" display="https://twitter.com/beetle_pics/status/723925771048218625" xr:uid="{9F2BC23A-D24D-4BEC-B5C7-687FF91B42BB}"/>
    <hyperlink ref="O6240" r:id="rId19278" display="https://pbs.twimg.com/profile_images/441621274356240384/b9pRyHTU_normal.jpeg" xr:uid="{C34B4608-624E-44F8-A29F-1B7F7D975388}"/>
    <hyperlink ref="B6241" r:id="rId19279" display="https://twitter.com/beetle_pics" xr:uid="{761A7B3E-AAEE-4439-844A-151C6F241484}"/>
    <hyperlink ref="E6241" r:id="rId19280" display="https://twitter.com/beetle_pics/status/723925912647962624" xr:uid="{062CF674-1363-4A74-BDF8-AF2BEAAC1309}"/>
    <hyperlink ref="O6241" r:id="rId19281" display="https://pbs.twimg.com/profile_images/441621274356240384/b9pRyHTU_normal.jpeg" xr:uid="{D233F6E6-9F36-4A21-A49B-C207D74EFD06}"/>
    <hyperlink ref="B6242" r:id="rId19282" display="https://twitter.com/SevenDw4rf_TH" xr:uid="{9E65D729-9EC0-4BF6-A8C1-EDBA3DE9DBE4}"/>
    <hyperlink ref="E6242" r:id="rId19283" display="https://twitter.com/SevenDw4rf_TH/status/723926014443831296" xr:uid="{DCD9AB1A-7470-4339-A5E5-D93632382DA7}"/>
    <hyperlink ref="O6242" r:id="rId19284" display="https://pbs.twimg.com/profile_images/534296310221131777/trQtVXmB_normal.jpeg" xr:uid="{99DF496D-C158-4453-86D0-5548B3798729}"/>
    <hyperlink ref="B6243" r:id="rId19285" display="https://twitter.com/OriginalRadi" xr:uid="{FE503FF2-589E-41BF-A33B-AA6B7347B22D}"/>
    <hyperlink ref="E6243" r:id="rId19286" display="https://twitter.com/OriginalRadi/status/723926122782687234" xr:uid="{A8403275-8BFC-4C47-AC4A-0BE032D9DD4D}"/>
    <hyperlink ref="O6243" r:id="rId19287" display="https://pbs.twimg.com/profile_images/378800000596512650/cc5e665134d5974580c24c8b4433bc4f_normal.jpeg" xr:uid="{C0ECA2D8-DBB0-4239-B522-404480D9CBDF}"/>
    <hyperlink ref="B6244" r:id="rId19288" display="https://twitter.com/mexlbrony" xr:uid="{88E28A5D-B793-4AC9-8014-C02402969E86}"/>
    <hyperlink ref="E6244" r:id="rId19289" display="https://twitter.com/mexlbrony/status/723926149034840064" xr:uid="{A4B8B857-026E-43C0-A0A8-C7A2B97D2491}"/>
    <hyperlink ref="O6244" r:id="rId19290" display="https://pbs.twimg.com/profile_images/534268443399569408/_nft_q_M_normal.jpeg" xr:uid="{034E14F5-B6F1-4482-ACE2-1FB369068511}"/>
    <hyperlink ref="B6245" r:id="rId19291" display="https://twitter.com/iaurajaynesays" xr:uid="{307B53E5-8890-42E3-A8CB-AD32B0611516}"/>
    <hyperlink ref="E6245" r:id="rId19292" display="https://twitter.com/iaurajaynesays/status/723926352865447936" xr:uid="{58C2E7DC-0C1A-4DB4-B2AF-A4EBE2190A59}"/>
    <hyperlink ref="O6245" r:id="rId19293" display="https://pbs.twimg.com/profile_images/541529452568928256/3Z0TvgjV_normal.jpeg" xr:uid="{CB1A31B6-1E92-477E-A979-BC64019D85C2}"/>
    <hyperlink ref="B6246" r:id="rId19294" display="https://twitter.com/premchandc87" xr:uid="{7DFFF829-C0F2-4CF5-97E6-5B59B9F44F96}"/>
    <hyperlink ref="E6246" r:id="rId19295" display="https://twitter.com/premchandc87/status/723926398193160193" xr:uid="{6EF7EF58-4B94-4AA6-9CFA-50BDD950D94A}"/>
    <hyperlink ref="O6246" r:id="rId19296" display="https://pbs.twimg.com/profile_images/716336361507164160/LUJx9Ive_normal.jpg" xr:uid="{CF4A8292-6EFC-475E-851F-0B3CFEAABE17}"/>
    <hyperlink ref="B6247" r:id="rId19297" display="https://twitter.com/oldcar_photo" xr:uid="{4DEF6F87-C80A-4F54-B52C-B37C47768F7B}"/>
    <hyperlink ref="E6247" r:id="rId19298" display="https://twitter.com/oldcar_photo/status/723926413804470272" xr:uid="{3A6F7070-28E0-4C8C-91E3-D712CDB5AF7D}"/>
    <hyperlink ref="O6247" r:id="rId19299" display="https://pbs.twimg.com/profile_images/615493650785660928/XHUh6HOk_normal.jpg" xr:uid="{9AA29C30-1267-4EA5-AF55-A8036AC6467B}"/>
    <hyperlink ref="B6248" r:id="rId19300" display="https://twitter.com/SolchuCarretero" xr:uid="{85773077-B332-48AC-8536-FCA43B2B984A}"/>
    <hyperlink ref="E6248" r:id="rId19301" display="https://twitter.com/SolchuCarretero/status/723926419403845632" xr:uid="{3DFDAEA3-E37F-4DDE-9139-645BF5D57056}"/>
    <hyperlink ref="O6248" r:id="rId19302" display="https://pbs.twimg.com/profile_images/723338322098196480/TDOAiazl_normal.jpg" xr:uid="{63FC3214-0DC4-4233-A112-AAE1EC9C5EA1}"/>
    <hyperlink ref="B6249" r:id="rId19303" display="https://twitter.com/DigitalFuehrung" xr:uid="{01DB4E85-6BCA-4194-A3EF-F8137B92AE40}"/>
    <hyperlink ref="E6249" r:id="rId19304" display="https://twitter.com/DigitalFuehrung/status/723926440287166466" xr:uid="{B05D9726-50A2-47E6-9425-25BC67ABFE1E}"/>
    <hyperlink ref="O6249" r:id="rId19305" display="https://pbs.twimg.com/profile_images/671009336282497024/TudQkBna_normal.jpg" xr:uid="{781AA004-0C70-4A30-BD22-27C576EBEE94}"/>
    <hyperlink ref="B6250" r:id="rId19306" display="https://twitter.com/oldcar_photo" xr:uid="{BAACB1B7-00B0-4DDF-AABB-2C5E2BD047DA}"/>
    <hyperlink ref="E6250" r:id="rId19307" display="https://twitter.com/oldcar_photo/status/723926450919841792" xr:uid="{7AB33AF1-72C5-4294-9A06-3F6F52AFB811}"/>
    <hyperlink ref="O6250" r:id="rId19308" display="https://pbs.twimg.com/profile_images/615493650785660928/XHUh6HOk_normal.jpg" xr:uid="{8F204DE2-D42A-4593-919F-637E2FB25E78}"/>
    <hyperlink ref="B6251" r:id="rId19309" display="https://twitter.com/oldcar_photo" xr:uid="{204C1C5F-A41E-47C0-92CD-9CBD223C50D2}"/>
    <hyperlink ref="E6251" r:id="rId19310" display="https://twitter.com/oldcar_photo/status/723926458603835392" xr:uid="{16A416E5-B13F-4375-9EDA-7121AEACC5A0}"/>
    <hyperlink ref="O6251" r:id="rId19311" display="https://pbs.twimg.com/profile_images/615493650785660928/XHUh6HOk_normal.jpg" xr:uid="{22C22F82-2449-47D4-97AD-05C42B5B92E8}"/>
    <hyperlink ref="B6252" r:id="rId19312" display="https://twitter.com/oldcar_photo" xr:uid="{6476D4C0-9428-498A-B9ED-55DE3D90A042}"/>
    <hyperlink ref="E6252" r:id="rId19313" display="https://twitter.com/oldcar_photo/status/723926478505816064" xr:uid="{AD238093-C40A-4EBF-8A2C-67847A460E95}"/>
    <hyperlink ref="O6252" r:id="rId19314" display="https://pbs.twimg.com/profile_images/615493650785660928/XHUh6HOk_normal.jpg" xr:uid="{FBF04980-E4B0-4E50-A6FD-315242006E86}"/>
    <hyperlink ref="B6253" r:id="rId19315" display="https://twitter.com/oldcar_photo" xr:uid="{8022411C-1C08-442F-8338-154EB46A79FF}"/>
    <hyperlink ref="E6253" r:id="rId19316" display="https://twitter.com/oldcar_photo/status/723926494993616896" xr:uid="{72224001-C230-40F9-A67D-019DCCC72245}"/>
    <hyperlink ref="O6253" r:id="rId19317" display="https://pbs.twimg.com/profile_images/615493650785660928/XHUh6HOk_normal.jpg" xr:uid="{6A5F9066-4B13-4D73-AA65-B9AD84F62C2D}"/>
    <hyperlink ref="B6254" r:id="rId19318" display="https://twitter.com/VeeDubMk1_" xr:uid="{5C55FE9D-8524-4281-B063-0E18B90C0C08}"/>
    <hyperlink ref="E6254" r:id="rId19319" display="https://twitter.com/VeeDubMk1_/status/723926599482093568" xr:uid="{D4C4095D-972A-4975-AE05-D0A34A3885E4}"/>
    <hyperlink ref="O6254" r:id="rId19320" display="https://pbs.twimg.com/profile_images/672878354127839232/M7OYc-zx_normal.jpg" xr:uid="{15C9C002-373D-4210-BC3A-C1B73D9CBF3F}"/>
    <hyperlink ref="B6255" r:id="rId19321" display="https://twitter.com/Insta_VWT" xr:uid="{BCA73292-F0A9-403D-9AB5-5DEBF220F9A8}"/>
    <hyperlink ref="E6255" r:id="rId19322" display="https://twitter.com/Insta_VWT/status/723926626896101379" xr:uid="{14CAFB16-1AA4-4284-931C-4C5ED8EF9606}"/>
    <hyperlink ref="O6255" r:id="rId19323" display="https://pbs.twimg.com/profile_images/424893967197433858/iQ86NktX_normal.jpeg" xr:uid="{7196CD71-800B-4937-A6BD-54B446AB90B6}"/>
    <hyperlink ref="B6256" r:id="rId19324" display="https://twitter.com/Insta_VWT" xr:uid="{63BB34E1-EC0B-41DF-9AC3-6A8ADCA46557}"/>
    <hyperlink ref="E6256" r:id="rId19325" display="https://twitter.com/Insta_VWT/status/723926650677764098" xr:uid="{EE054EF6-F470-4317-A164-BC9FA32E115D}"/>
    <hyperlink ref="O6256" r:id="rId19326" display="https://pbs.twimg.com/profile_images/424893967197433858/iQ86NktX_normal.jpeg" xr:uid="{BB38D6FB-89B8-4029-AD99-D9DAE772B734}"/>
    <hyperlink ref="B6257" r:id="rId19327" display="https://twitter.com/4kathaksbreaks" xr:uid="{6459706D-294A-4036-A699-EB91E815AC94}"/>
    <hyperlink ref="E6257" r:id="rId19328" display="https://twitter.com/4kathaksbreaks/status/723926763764617216" xr:uid="{E2215ADC-732E-4E46-A667-C33358846871}"/>
    <hyperlink ref="O6257" r:id="rId19329" display="https://pbs.twimg.com/profile_images/534267387835449344/9OZA4aXp_normal.png" xr:uid="{BFDEA267-7E44-4E07-8916-9BCEB3EC6FF6}"/>
    <hyperlink ref="B6258" r:id="rId19330" display="https://twitter.com/rawcomme" xr:uid="{784DB3EA-3BC3-46B2-93C2-2DE539EC0AC2}"/>
    <hyperlink ref="E6258" r:id="rId19331" display="https://twitter.com/rawcomme/status/723926869356191744" xr:uid="{C1D8CA12-93E8-431B-B260-7325A26CD5C7}"/>
    <hyperlink ref="O6258" r:id="rId19332" display="https://pbs.twimg.com/profile_images/630785330690568192/ZD946uS6_normal.jpg" xr:uid="{6C012000-FEDE-4E1F-B0F4-842D0476081B}"/>
    <hyperlink ref="B6259" r:id="rId19333" display="https://twitter.com/Just_Dr0z" xr:uid="{80CA8A20-7727-4458-B92E-F124EB6B3D3F}"/>
    <hyperlink ref="E6259" r:id="rId19334" display="https://twitter.com/Just_Dr0z/status/723927092438560768" xr:uid="{3C5058B1-1FD3-4276-93D4-13ABF8A88AAE}"/>
    <hyperlink ref="O6259" r:id="rId19335" display="https://pbs.twimg.com/profile_images/594571313521430529/BKEe1qRC_normal.jpg" xr:uid="{2AC50648-388E-4937-842A-2F14077DFCB6}"/>
    <hyperlink ref="B6260" r:id="rId19336" display="https://twitter.com/VCT_Tweets" xr:uid="{0E682E51-7E6C-4F9A-991B-40E0A03F862F}"/>
    <hyperlink ref="E6260" r:id="rId19337" display="https://twitter.com/VCT_Tweets/status/723927123900162049" xr:uid="{F6CA508F-9688-4F3A-87F2-4A64EF73A38D}"/>
    <hyperlink ref="O6260" r:id="rId19338" display="https://pbs.twimg.com/profile_images/569800899141177344/nVFLMSdb_normal.png" xr:uid="{7C3E7FAF-BE16-4952-B3E6-E4BDC7BB1E1D}"/>
    <hyperlink ref="B6261" r:id="rId19339" display="https://twitter.com/VCT_Tweets" xr:uid="{5FF52AA6-56C9-4DBB-9B20-E4AF6CB54EF5}"/>
    <hyperlink ref="E6261" r:id="rId19340" display="https://twitter.com/VCT_Tweets/status/723927163750211584" xr:uid="{2986630C-FB52-4D89-9D5E-C85E22D9412D}"/>
    <hyperlink ref="O6261" r:id="rId19341" display="https://pbs.twimg.com/profile_images/569800899141177344/nVFLMSdb_normal.png" xr:uid="{FD6B0808-F623-4AB8-9957-FFB569636966}"/>
    <hyperlink ref="B6262" r:id="rId19342" display="https://twitter.com/ArtlstLucyChen" xr:uid="{43A04531-DA98-4F1C-8004-10E8C91F8E99}"/>
    <hyperlink ref="E6262" r:id="rId19343" display="https://twitter.com/ArtlstLucyChen/status/723927177377525760" xr:uid="{B5A6DB04-00AE-4C58-A20E-511B05BA612D}"/>
    <hyperlink ref="O6262" r:id="rId19344" display="https://pbs.twimg.com/profile_images/540358356645736450/Ap5Rcr8O_normal.jpeg" xr:uid="{9167A96F-F061-46F1-9AE2-FB100663CDCA}"/>
    <hyperlink ref="B6263" r:id="rId19345" display="https://twitter.com/NalfOsal" xr:uid="{1EC35214-366A-4C09-AA52-9B1045114C45}"/>
    <hyperlink ref="E6263" r:id="rId19346" display="https://twitter.com/NalfOsal/status/723927190711222272" xr:uid="{66878841-1236-4390-9826-5AD70BF563BD}"/>
    <hyperlink ref="O6263" r:id="rId19347" display="https://pbs.twimg.com/profile_images/539535772429606912/-qBokwtT_normal.jpeg" xr:uid="{55FF57A9-AB51-45CA-90F9-8BC6E8C649CA}"/>
    <hyperlink ref="B6264" r:id="rId19348" display="https://twitter.com/shekhah969" xr:uid="{28720E51-0DC4-4F46-AA15-3B8ED3821F4C}"/>
    <hyperlink ref="E6264" r:id="rId19349" display="https://twitter.com/shekhah969/status/723927230871666689" xr:uid="{77B79F86-ECAB-4750-A81C-F026978CA4A7}"/>
    <hyperlink ref="O6264" r:id="rId19350" display="https://pbs.twimg.com/profile_images/539551577435299842/yct65cY5_normal.jpeg" xr:uid="{07A81B18-7E07-406C-A235-38C00452E810}"/>
    <hyperlink ref="B6265" r:id="rId19351" display="https://twitter.com/VWBeetleSales" xr:uid="{BAEAEC71-AE52-47F2-B830-47B4EEE96A14}"/>
    <hyperlink ref="E6265" r:id="rId19352" display="https://twitter.com/VWBeetleSales/status/723927307325296640" xr:uid="{45F0ABE1-3C8B-4C5B-BCE8-94165C93828E}"/>
    <hyperlink ref="F6265" r:id="rId19353" xr:uid="{62195CC6-1B42-4681-B5B3-BD04E2562C0A}"/>
    <hyperlink ref="O6265" r:id="rId19354" display="https://pbs.twimg.com/profile_images/703294545195307008/qeCvrX86_normal.jpg" xr:uid="{92986BA9-A1F4-4836-B146-461781F432FE}"/>
    <hyperlink ref="B6266" r:id="rId19355" display="https://twitter.com/FEWOcapecoral" xr:uid="{8A42F0F4-FB7B-4BC3-91E9-E92DC218FF59}"/>
    <hyperlink ref="E6266" r:id="rId19356" display="https://twitter.com/FEWOcapecoral/status/723927376753790976" xr:uid="{DAAFDC02-8936-4933-8BC0-0EB520F08B86}"/>
    <hyperlink ref="O6266" r:id="rId19357" display="https://pbs.twimg.com/profile_images/3521940270/1347ff6f18e2de72bfacc03eb83abe89_normal.jpeg" xr:uid="{F9B95770-1DC5-4B9C-A11F-64DD3C3259CE}"/>
    <hyperlink ref="B6267" r:id="rId19358" display="https://twitter.com/officewerk" xr:uid="{F67440CA-B57B-4F20-99F5-094811BEF6F1}"/>
    <hyperlink ref="E6267" r:id="rId19359" display="https://twitter.com/officewerk/status/723927405522497537" xr:uid="{53DD3022-FE93-4F2D-9EF5-8CEC3508A0DF}"/>
    <hyperlink ref="O6267" r:id="rId19360" display="https://pbs.twimg.com/profile_images/718082158351499264/nfM-uS81_normal.jpg" xr:uid="{A67BF30D-9259-4D55-85D3-7725D912D847}"/>
    <hyperlink ref="B6268" r:id="rId19361" display="https://twitter.com/brandonmkeller" xr:uid="{A2113096-69AF-4942-8FA1-C8595A3F78C0}"/>
    <hyperlink ref="E6268" r:id="rId19362" display="https://twitter.com/brandonmkeller/status/723927432584114176" xr:uid="{C547C117-E837-4FE1-A171-421901675587}"/>
    <hyperlink ref="O6268" r:id="rId19363" display="https://pbs.twimg.com/profile_images/714476941072592896/m2fe4VI4_normal.jpg" xr:uid="{1D528936-479E-4869-AAF7-3DFDAD9F9657}"/>
    <hyperlink ref="B6269" r:id="rId19364" display="https://twitter.com/Miguel_SndvlA" xr:uid="{08A8E56B-E1A3-4192-BCA1-F48363DD1D76}"/>
    <hyperlink ref="E6269" r:id="rId19365" display="https://twitter.com/Miguel_SndvlA/status/723927533780127744" xr:uid="{F75496DB-3E5F-43B4-B0ED-05456646107E}"/>
    <hyperlink ref="O6269" r:id="rId19366" display="https://abs.twimg.com/sticky/default_profile_images/default_profile_1_normal.png" xr:uid="{4E149A82-FD23-4028-8CC5-3EC914A3004E}"/>
    <hyperlink ref="B6270" r:id="rId19367" display="https://twitter.com/LottowinFlorida" xr:uid="{A24FF767-0289-495C-A985-70D0C5736C85}"/>
    <hyperlink ref="E6270" r:id="rId19368" display="https://twitter.com/LottowinFlorida/status/723927623408205824" xr:uid="{5804C74B-38EE-479D-8C2E-49D7CDC9B097}"/>
    <hyperlink ref="O6270" r:id="rId19369" display="https://pbs.twimg.com/profile_images/1646905092/Frau_Women_normal.jpg" xr:uid="{5F88C91A-37C4-47F8-A8CF-04FA71FE9FDC}"/>
    <hyperlink ref="B6271" r:id="rId19370" display="https://twitter.com/Beonpush_CH" xr:uid="{7966D139-9F6C-4F44-AA95-632FA7866BD8}"/>
    <hyperlink ref="E6271" r:id="rId19371" display="https://twitter.com/Beonpush_CH/status/723928066033094656" xr:uid="{1B9DD0E1-BCE9-4C56-A8F3-090AE9B9813E}"/>
    <hyperlink ref="O6271" r:id="rId19372" display="https://pbs.twimg.com/profile_images/693418389054869505/M_fqp-rD_normal.png" xr:uid="{DDB6AE9D-E659-472C-BD16-70D421002911}"/>
    <hyperlink ref="B6272" r:id="rId19373" display="https://twitter.com/vwpress_de" xr:uid="{AA6607E4-BC07-4AB6-A505-1C898EC3BD49}"/>
    <hyperlink ref="E6272" r:id="rId19374" display="https://twitter.com/vwpress_de/status/723928654384910336" xr:uid="{A8ECD4E5-6709-4510-95C2-03DA1E3CAF2D}"/>
    <hyperlink ref="O6272" r:id="rId19375" display="https://pbs.twimg.com/profile_images/682117656502222848/Ge7YeAF3_normal.png" xr:uid="{952083E2-9487-4D70-A511-B27C3A380592}"/>
    <hyperlink ref="B6273" r:id="rId19376" display="https://twitter.com/VWCamperSales" xr:uid="{10B1BBFC-535C-41EE-8B88-FB4B077201F2}"/>
    <hyperlink ref="E6273" r:id="rId19377" display="https://twitter.com/VWCamperSales/status/723928949978357761" xr:uid="{D19B0AFF-3ECD-409E-9E2E-D09332CB2D28}"/>
    <hyperlink ref="F6273" r:id="rId19378" xr:uid="{07A1B3AD-5D5D-404A-8EEB-64D136CE90FE}"/>
    <hyperlink ref="O6273" r:id="rId19379" display="https://pbs.twimg.com/profile_images/627949001179037696/skEBkS05_normal.jpg" xr:uid="{77898CC2-4CB5-4679-96F5-B3BAE3FDB536}"/>
    <hyperlink ref="B6274" r:id="rId19380" display="https://twitter.com/ZuritaJ2s" xr:uid="{9031E666-61FB-4239-89B6-B475A289CAB6}"/>
    <hyperlink ref="E6274" r:id="rId19381" display="https://twitter.com/ZuritaJ2s/status/723929159798427648" xr:uid="{2544F12A-2793-4168-AD36-2216D15A0D33}"/>
    <hyperlink ref="O6274" r:id="rId19382" display="https://pbs.twimg.com/profile_images/723176446781329410/Li_8Nnpl_normal.jpg" xr:uid="{70223C2D-51D4-401A-9953-D76A28DEE45C}"/>
    <hyperlink ref="B6275" r:id="rId19383" display="https://twitter.com/FuscaWorld" xr:uid="{13C68D25-559E-4B80-923D-9D41F589B3B9}"/>
    <hyperlink ref="E6275" r:id="rId19384" display="https://twitter.com/FuscaWorld/status/723929192283381760" xr:uid="{A6C5AA25-2345-4FCA-8823-823B8F0C98F2}"/>
    <hyperlink ref="O6275" r:id="rId19385" display="https://pbs.twimg.com/profile_images/705780107844067328/e7O4UBNb_normal.jpg" xr:uid="{6C7EC14D-2AA1-486E-993B-11747538F841}"/>
    <hyperlink ref="B6276" r:id="rId19386" display="https://twitter.com/FuscaWorld" xr:uid="{C71200ED-6B0B-4C2E-B231-C439C28E7BB4}"/>
    <hyperlink ref="E6276" r:id="rId19387" display="https://twitter.com/FuscaWorld/status/723929194380595201" xr:uid="{6350F4DA-5D23-4CF4-A134-C9F56A6FFF42}"/>
    <hyperlink ref="O6276" r:id="rId19388" display="https://pbs.twimg.com/profile_images/705780107844067328/e7O4UBNb_normal.jpg" xr:uid="{2A6DFF5A-DABD-4E5A-A01E-0E9927575DC4}"/>
    <hyperlink ref="B6277" r:id="rId19389" display="https://twitter.com/FuscaWorld" xr:uid="{C753D39B-A6EE-4220-9C95-0AFF4D0CD749}"/>
    <hyperlink ref="E6277" r:id="rId19390" display="https://twitter.com/FuscaWorld/status/723929196419026944" xr:uid="{592ABFF3-CFD3-4AB5-AF64-A3D78E77D6BE}"/>
    <hyperlink ref="O6277" r:id="rId19391" display="https://pbs.twimg.com/profile_images/705780107844067328/e7O4UBNb_normal.jpg" xr:uid="{1AADC06F-C9E6-436F-B3A1-08E85AD3F6E3}"/>
    <hyperlink ref="B6278" r:id="rId19392" display="https://twitter.com/Kw0aT" xr:uid="{5F87106A-FF8B-4F1A-83D4-FCE5DCC55D8C}"/>
    <hyperlink ref="E6278" r:id="rId19393" display="https://twitter.com/Kw0aT/status/723929198004305920" xr:uid="{AC9DE193-8695-43E0-A6C2-1A38345D164F}"/>
    <hyperlink ref="O6278" r:id="rId19394" display="https://pbs.twimg.com/profile_images/683743044038868992/YVOYW93l_normal.png" xr:uid="{974ABE7C-7794-45B1-9708-29C5427D454B}"/>
    <hyperlink ref="B6279" r:id="rId19395" display="https://twitter.com/FuscaWorld" xr:uid="{EEF45EE7-EFB5-4DDA-9D89-141A7053F732}"/>
    <hyperlink ref="E6279" r:id="rId19396" display="https://twitter.com/FuscaWorld/status/723929198520328192" xr:uid="{4DD0F2CC-ED9B-4C5D-84DE-476A420B67F0}"/>
    <hyperlink ref="O6279" r:id="rId19397" display="https://pbs.twimg.com/profile_images/705780107844067328/e7O4UBNb_normal.jpg" xr:uid="{3400755B-AA53-4DC4-80AB-C06739D929AF}"/>
    <hyperlink ref="B6280" r:id="rId19398" display="https://twitter.com/VWBeetleSales" xr:uid="{4826D1EB-F9DD-44D3-8487-E1421178B600}"/>
    <hyperlink ref="E6280" r:id="rId19399" display="https://twitter.com/VWBeetleSales/status/723929198566338560" xr:uid="{B2F6B384-7671-4B63-BD7F-444A674738E0}"/>
    <hyperlink ref="F6280" r:id="rId19400" xr:uid="{4B6D63EC-F18C-41AD-8EFF-D350406322A5}"/>
    <hyperlink ref="O6280" r:id="rId19401" display="https://pbs.twimg.com/profile_images/703294545195307008/qeCvrX86_normal.jpg" xr:uid="{36E7BB0C-56C0-4370-98A7-5C098770770C}"/>
    <hyperlink ref="B6281" r:id="rId19402" display="https://twitter.com/FuscaWorld" xr:uid="{E55AE15C-D9EF-4983-829E-9B0D52AC33D5}"/>
    <hyperlink ref="E6281" r:id="rId19403" display="https://twitter.com/FuscaWorld/status/723929200411947010" xr:uid="{1E8D6BE0-250E-418A-84E5-CF8717ECEC77}"/>
    <hyperlink ref="O6281" r:id="rId19404" display="https://pbs.twimg.com/profile_images/705780107844067328/e7O4UBNb_normal.jpg" xr:uid="{294D73E1-6CFB-48F7-B1BF-19987EB888F1}"/>
    <hyperlink ref="B6282" r:id="rId19405" display="https://twitter.com/cardealsdirect" xr:uid="{A977E05C-E10A-40B3-84D9-FF649370414B}"/>
    <hyperlink ref="E6282" r:id="rId19406" display="https://twitter.com/cardealsdirect/status/723929369652158466" xr:uid="{8C692E66-4BF4-48B2-A4BB-DD63BE048CF9}"/>
    <hyperlink ref="O6282" r:id="rId19407" display="https://pbs.twimg.com/profile_images/704704242603433985/0feQZB2N_normal.jpg" xr:uid="{41FA14BE-659B-4565-8CEA-B4B7534F3AD1}"/>
    <hyperlink ref="B6283" r:id="rId19408" display="https://twitter.com/Decocalcos" xr:uid="{47550C95-6B36-4CA0-84F3-E09A586C610E}"/>
    <hyperlink ref="E6283" r:id="rId19409" display="https://twitter.com/Decocalcos/status/723929743763116037" xr:uid="{58C89C0D-8F14-4CF9-A1F1-2BC158AFB5AF}"/>
    <hyperlink ref="O6283" r:id="rId19410" display="https://pbs.twimg.com/profile_images/716028030175600642/XLe3HmvA_normal.jpg" xr:uid="{38169A78-003D-44A1-8172-4E31DF477588}"/>
    <hyperlink ref="B6284" r:id="rId19411" display="https://twitter.com/Tbonds69" xr:uid="{6F365AE1-3B0E-4E84-BA30-E4DA0FBCCFB1}"/>
    <hyperlink ref="E6284" r:id="rId19412" display="https://twitter.com/Tbonds69/status/723930143656448000" xr:uid="{F173565C-4F1F-498F-80A6-9C7978BA722D}"/>
    <hyperlink ref="O6284" r:id="rId19413" display="https://pbs.twimg.com/profile_images/720256156069814272/xwSW5czP_normal.jpg" xr:uid="{BC1B57A1-BD76-460F-9947-8C71404C4D26}"/>
    <hyperlink ref="B6285" r:id="rId19414" display="https://twitter.com/Lindsay_VW" xr:uid="{9B2E249F-7DCD-438F-8BF2-4A8EAD9EBF4E}"/>
    <hyperlink ref="E6285" r:id="rId19415" display="https://twitter.com/Lindsay_VW/status/723930447739248641" xr:uid="{8BDA5755-0A39-4EB4-815F-2816D81EDBBF}"/>
    <hyperlink ref="O6285" r:id="rId19416" display="https://pbs.twimg.com/profile_images/716020780899807232/fnaRfVpE_normal.jpg" xr:uid="{C33E2684-2826-44E3-87F8-C752B79100FD}"/>
    <hyperlink ref="B6286" r:id="rId19417" display="https://twitter.com/SerraTVC" xr:uid="{9841DC27-B99B-4DEC-9C15-F59FC9360C14}"/>
    <hyperlink ref="E6286" r:id="rId19418" display="https://twitter.com/SerraTVC/status/723930783572983808" xr:uid="{6058B587-BD8C-4CE5-ACC1-F5C14335AFAB}"/>
    <hyperlink ref="O6286" r:id="rId19419" display="https://pbs.twimg.com/profile_images/719611202129625088/XNXG8FpF_normal.jpg" xr:uid="{F428A0E5-35C3-4992-91CF-4C6338F0ACB6}"/>
    <hyperlink ref="B6287" r:id="rId19420" display="https://twitter.com/AAECOMPLIANCE" xr:uid="{A05A1BF3-F7FB-4F92-A26A-A6488686055B}"/>
    <hyperlink ref="E6287" r:id="rId19421" display="https://twitter.com/AAECOMPLIANCE/status/723931018277859328" xr:uid="{CB1A300D-CD6C-4F8D-89AA-CB36D623BB08}"/>
    <hyperlink ref="O6287" r:id="rId19422" display="https://pbs.twimg.com/profile_images/633806302960054272/PKtob7Ja_normal.jpg" xr:uid="{BE885F77-B0EC-44E1-AE93-A35E412ACB43}"/>
    <hyperlink ref="B6288" r:id="rId19423" display="https://twitter.com/commutador" xr:uid="{17181FAF-57DB-4897-B0BF-B2610D41DBAA}"/>
    <hyperlink ref="E6288" r:id="rId19424" display="https://twitter.com/commutador/status/723931182765903872" xr:uid="{43868D30-C684-4C13-AC0A-7CEFEEBBB97B}"/>
    <hyperlink ref="O6288" r:id="rId19425" display="https://pbs.twimg.com/profile_images/1175575617/IMG_0526_normal.JPG" xr:uid="{5C786D31-13B8-4BAA-AA69-6B8AC5774C63}"/>
    <hyperlink ref="B6289" r:id="rId19426" display="https://twitter.com/OnlineCarReview" xr:uid="{5B4E3C8D-253F-4F51-8A6B-6F4063801D61}"/>
    <hyperlink ref="E6289" r:id="rId19427" display="https://twitter.com/OnlineCarReview/status/723931319839776769" xr:uid="{1ACCB8B9-C008-483C-B307-0D19D6D030D9}"/>
    <hyperlink ref="O6289" r:id="rId19428" display="https://pbs.twimg.com/profile_images/652871584131092480/QA_B6SBO_normal.jpg" xr:uid="{CC5B8E42-6D49-4909-B704-3BEA85AABF82}"/>
    <hyperlink ref="B6290" r:id="rId19429" display="https://twitter.com/Mphilpot1" xr:uid="{B1B7B2C4-E15A-4BA9-8818-3504344C0613}"/>
    <hyperlink ref="E6290" r:id="rId19430" display="https://twitter.com/Mphilpot1/status/723931625768120320" xr:uid="{38FF7EEC-6CF3-4B29-AE0A-3B3640A8F26F}"/>
    <hyperlink ref="O6290" r:id="rId19431" display="https://pbs.twimg.com/profile_images/422164778639839234/LVnS1q1c_normal.jpeg" xr:uid="{4E991F2F-45AD-418C-8725-D1734D9AF7DA}"/>
    <hyperlink ref="B6291" r:id="rId19432" display="https://twitter.com/Htee28" xr:uid="{EA9ED616-5EC0-4410-BCA1-D544A0DB0353}"/>
    <hyperlink ref="E6291" r:id="rId19433" display="https://twitter.com/Htee28/status/723932217232228353" xr:uid="{F0DC6488-4B15-4EDC-B274-8A83294E0264}"/>
    <hyperlink ref="O6291" r:id="rId19434" display="https://pbs.twimg.com/profile_images/699604492849954816/mEYf4W7P_normal.jpg" xr:uid="{4A26FB3B-D31D-45C9-A2F8-CB5EB24573ED}"/>
    <hyperlink ref="P6291" r:id="rId19435" location="-23.95,31.1167" display="http://ctrlq.org/maps/address/ - -23.95,31.1167" xr:uid="{160FAA0E-12BD-4049-ACCC-387FD2118A5B}"/>
    <hyperlink ref="B6292" r:id="rId19436" display="https://twitter.com/VWCamperSales" xr:uid="{7BC090A3-AAA7-444F-888A-5F1A5878EC63}"/>
    <hyperlink ref="E6292" r:id="rId19437" display="https://twitter.com/VWCamperSales/status/723932356201967616" xr:uid="{A12AC6B0-0416-4E10-9808-ADC5D63F45E8}"/>
    <hyperlink ref="F6292" r:id="rId19438" xr:uid="{F50E33D7-7E43-4413-A845-B76BF61BC7DD}"/>
    <hyperlink ref="O6292" r:id="rId19439" display="https://pbs.twimg.com/profile_images/627949001179037696/skEBkS05_normal.jpg" xr:uid="{61B76AB5-4107-417A-81A8-6B9D2913854B}"/>
    <hyperlink ref="B6293" r:id="rId19440" display="https://twitter.com/BrightonVW" xr:uid="{867DC761-0B03-44F3-902C-08531B3C8912}"/>
    <hyperlink ref="E6293" r:id="rId19441" display="https://twitter.com/BrightonVW/status/723932511030661120" xr:uid="{D50AB80F-F6C6-4004-9762-8217B7BE819A}"/>
    <hyperlink ref="O6293" r:id="rId19442" display="https://pbs.twimg.com/profile_images/475566543200591872/LlXTxHkb_normal.jpeg" xr:uid="{E11BADE7-2EE3-420D-AD53-26252FDC230F}"/>
    <hyperlink ref="B6294" r:id="rId19443" display="https://twitter.com/BrightonVW" xr:uid="{180B18F7-E76A-4831-B271-9DA553DFD059}"/>
    <hyperlink ref="E6294" r:id="rId19444" display="https://twitter.com/BrightonVW/status/723933046085419008" xr:uid="{48F2B1BB-EB74-459F-8A61-11B51AFD1854}"/>
    <hyperlink ref="O6294" r:id="rId19445" display="https://pbs.twimg.com/profile_images/475566543200591872/LlXTxHkb_normal.jpeg" xr:uid="{C195BA2D-282D-44D8-A913-4160FA4CB305}"/>
    <hyperlink ref="B6295" r:id="rId19446" display="https://twitter.com/Feliher6Felipe" xr:uid="{BE2B586B-F7C5-4F55-A931-0843249A982A}"/>
    <hyperlink ref="E6295" r:id="rId19447" display="https://twitter.com/Feliher6Felipe/status/723933061038006272" xr:uid="{15AF408E-1DED-4146-A8A1-FCF1E408A130}"/>
    <hyperlink ref="O6295" r:id="rId19448" display="https://pbs.twimg.com/profile_images/684728793500487680/Z8zQkEhj_normal.jpg" xr:uid="{776E0BDB-4738-4409-BCDB-6F6404F3E0A8}"/>
    <hyperlink ref="B6296" r:id="rId19449" display="https://twitter.com/ev_charging_" xr:uid="{931DEA7E-9718-4EB1-B9BD-C0833FF82D94}"/>
    <hyperlink ref="E6296" r:id="rId19450" display="https://twitter.com/ev_charging_/status/723933633996673024" xr:uid="{88882FEC-959E-44EC-8C4C-6F6E23B2CA7D}"/>
    <hyperlink ref="O6296" r:id="rId19451" display="https://pbs.twimg.com/profile_images/669331676661575680/dgW50ccx_normal.png" xr:uid="{89A95231-4C14-4825-9312-902D519E17B0}"/>
    <hyperlink ref="B6297" r:id="rId19452" display="https://twitter.com/anjelicasjogren" xr:uid="{4E27024F-6245-44D1-B70D-BC4BC4E3DFF9}"/>
    <hyperlink ref="E6297" r:id="rId19453" display="https://twitter.com/anjelicasjogren/status/723933806361743360" xr:uid="{13E5BB7A-208E-4B30-A5B7-44A1286A928F}"/>
    <hyperlink ref="O6297" r:id="rId19454" display="https://pbs.twimg.com/profile_images/639825675428478976/lYkKqb5E_normal.jpg" xr:uid="{20C35DDE-4194-4881-83A3-91547787462C}"/>
    <hyperlink ref="B6298" r:id="rId19455" display="https://twitter.com/TaxiPSMPSOE" xr:uid="{7F034DFC-E8FB-481B-9544-75EF331CD31A}"/>
    <hyperlink ref="E6298" r:id="rId19456" display="https://twitter.com/TaxiPSMPSOE/status/723933916437032960" xr:uid="{156DA0E5-7BA6-447A-A41B-7ADF35330182}"/>
    <hyperlink ref="O6298" r:id="rId19457" display="https://pbs.twimg.com/profile_images/457447746375409664/XSHXPCNa_normal.png" xr:uid="{A080ADF7-AF0B-45C9-A66F-17962F1B9077}"/>
    <hyperlink ref="B6299" r:id="rId19458" display="https://twitter.com/ronymc_" xr:uid="{FA73C177-4BEE-4F67-9875-16E65BD079C5}"/>
    <hyperlink ref="E6299" r:id="rId19459" display="https://twitter.com/ronymc_/status/723934595217907712" xr:uid="{237F2C4C-B730-4056-AEE8-8938A6276463}"/>
    <hyperlink ref="O6299" r:id="rId19460" display="https://pbs.twimg.com/profile_images/647165170939240448/7EurWj_A_normal.jpg" xr:uid="{EB80CE85-FA0E-4E31-9E3B-E88ABE9318D9}"/>
    <hyperlink ref="B6300" r:id="rId19461" display="https://twitter.com/acvwpassion" xr:uid="{C6DF94AB-7B10-43A3-902A-2D7A3B779D82}"/>
    <hyperlink ref="E6300" r:id="rId19462" display="https://twitter.com/acvwpassion/status/723934666932277249" xr:uid="{F09EC86B-412A-4BFB-B9B5-6BCF3BF18180}"/>
    <hyperlink ref="O6300" r:id="rId19463" display="https://pbs.twimg.com/profile_images/545688359964651520/SF3sJ7lv_normal.jpeg" xr:uid="{A5556B22-CE25-4CA9-9ED3-3A3ABE17ACE9}"/>
    <hyperlink ref="B6301" r:id="rId19464" display="https://twitter.com/ChrisJ0404" xr:uid="{354E5D5E-B016-4015-9FD6-3C3F04B85DF9}"/>
    <hyperlink ref="E6301" r:id="rId19465" display="https://twitter.com/ChrisJ0404/status/723935330089357312" xr:uid="{FD6E7AEF-2182-40F6-AA07-BEBB1841BBC9}"/>
    <hyperlink ref="O6301" r:id="rId19466" display="https://pbs.twimg.com/profile_images/475726558120775680/ogymSgLG_normal.jpeg" xr:uid="{71D5D76F-23E1-4E4E-8CA8-EE2D94EB4E68}"/>
    <hyperlink ref="P6301" r:id="rId19467" location="27.4005337,-80.3256302" display="http://ctrlq.org/maps/address/ - 27.4005337,-80.3256302" xr:uid="{30330C42-A097-48FF-B26A-CBD712D00B19}"/>
    <hyperlink ref="B6302" r:id="rId19468" display="https://twitter.com/anjelicasjogren" xr:uid="{27FFAE10-E8D2-4561-93C8-1F9971F3D53F}"/>
    <hyperlink ref="E6302" r:id="rId19469" display="https://twitter.com/anjelicasjogren/status/723935731899609089" xr:uid="{FDBB0C98-B7F3-424D-9748-BD5B4297F825}"/>
    <hyperlink ref="O6302" r:id="rId19470" display="https://pbs.twimg.com/profile_images/639825675428478976/lYkKqb5E_normal.jpg" xr:uid="{7FDA290F-21C0-4B5D-919D-235738C8DD2C}"/>
    <hyperlink ref="B6303" r:id="rId19471" display="https://twitter.com/vwpress_de" xr:uid="{00C64AC7-F6EC-47B4-A96A-EA10EDAB4C83}"/>
    <hyperlink ref="E6303" r:id="rId19472" display="https://twitter.com/vwpress_de/status/723935752061607936" xr:uid="{25446D45-8507-4F5C-B29F-3E6F555897B6}"/>
    <hyperlink ref="O6303" r:id="rId19473" display="https://pbs.twimg.com/profile_images/682117656502222848/Ge7YeAF3_normal.png" xr:uid="{F7270AC6-2E9B-486A-BB12-BB13699C9803}"/>
    <hyperlink ref="B6304" r:id="rId19474" display="https://twitter.com/VWCamperSales" xr:uid="{C32F7C99-00CC-483F-B04F-849945495C64}"/>
    <hyperlink ref="E6304" r:id="rId19475" display="https://twitter.com/VWCamperSales/status/723935754783576065" xr:uid="{DD8614CE-5DDB-4BBF-84EA-3106E245F6B5}"/>
    <hyperlink ref="F6304" r:id="rId19476" xr:uid="{3A4D17C8-C6ED-4840-952C-A54DF029E719}"/>
    <hyperlink ref="O6304" r:id="rId19477" display="https://pbs.twimg.com/profile_images/627949001179037696/skEBkS05_normal.jpg" xr:uid="{BC2808E0-52C9-47D2-84E4-B04E8EF87CBF}"/>
    <hyperlink ref="B6305" r:id="rId19478" display="https://twitter.com/VWCamperSales" xr:uid="{900667E1-B0C3-4319-BA11-3900547A58BC}"/>
    <hyperlink ref="E6305" r:id="rId19479" display="https://twitter.com/VWCamperSales/status/723935759024029696" xr:uid="{6B29D23A-7EDE-4CE0-921D-2474087256F5}"/>
    <hyperlink ref="F6305" r:id="rId19480" xr:uid="{FBD4FDA3-6557-4FD7-8D79-88517FD2863E}"/>
    <hyperlink ref="O6305" r:id="rId19481" display="https://pbs.twimg.com/profile_images/627949001179037696/skEBkS05_normal.jpg" xr:uid="{B4AD0422-ABDC-4175-8A16-348492106991}"/>
    <hyperlink ref="B6306" r:id="rId19482" display="https://twitter.com/SAHotwheels" xr:uid="{886F6511-C089-4CD5-9120-744B809F3AAB}"/>
    <hyperlink ref="E6306" r:id="rId19483" display="https://twitter.com/SAHotwheels/status/723935863210528768" xr:uid="{9CD3A9A8-C73E-44F7-90A4-6961613DC7B6}"/>
    <hyperlink ref="O6306" r:id="rId19484" display="https://pbs.twimg.com/profile_images/1287389763/2244003_high_res_320x480_normal.jpg" xr:uid="{FA44EBFB-D78C-403A-9496-80EE75C224CC}"/>
    <hyperlink ref="P6306" r:id="rId19485" location="29.4167,-98.5" display="http://ctrlq.org/maps/address/ - 29.4167,-98.5" xr:uid="{09D234E4-6A04-4182-869A-2E13B1006DAB}"/>
    <hyperlink ref="B6307" r:id="rId19486" display="https://twitter.com/ebaycampervans" xr:uid="{6F99DEFA-B892-4281-9364-6E87053ACDCF}"/>
    <hyperlink ref="E6307" r:id="rId19487" display="https://twitter.com/ebaycampervans/status/723936967709192193" xr:uid="{3827E093-CEC8-4FCE-BEDB-32363F85FB69}"/>
    <hyperlink ref="O6307" r:id="rId19488" display="https://pbs.twimg.com/profile_images/599357023407464449/BL9Bpo6T_normal.jpg" xr:uid="{6896CD47-6CF9-462D-AADD-33CF99F3F655}"/>
    <hyperlink ref="B6308" r:id="rId19489" display="https://twitter.com/dddddyang" xr:uid="{E124C583-5B4B-43A4-8019-446F47F699A2}"/>
    <hyperlink ref="E6308" r:id="rId19490" display="https://twitter.com/dddddyang/status/723937018049232897" xr:uid="{AF0BEDB3-C5CD-463B-9ECA-E99CD7254AAB}"/>
    <hyperlink ref="O6308" r:id="rId19491" display="https://pbs.twimg.com/profile_images/700729790219685888/GtA-rM1j_normal.jpg" xr:uid="{E0AA37A5-CCFF-42B0-8D6E-9D1AAA4A2C1E}"/>
    <hyperlink ref="B6309" r:id="rId19492" display="https://twitter.com/dubbusses" xr:uid="{9B2B4D07-3E8B-47A8-A5F4-AE45299F62AC}"/>
    <hyperlink ref="E6309" r:id="rId19493" display="https://twitter.com/dubbusses/status/723937295624220672" xr:uid="{94EDF987-D4DA-4450-845E-203ADA34D174}"/>
    <hyperlink ref="O6309" r:id="rId19494" display="https://pbs.twimg.com/profile_images/718835727027580928/1ssyQ67y_normal.jpg" xr:uid="{935F9602-0A04-4281-BCA8-056891D5D402}"/>
    <hyperlink ref="B6310" r:id="rId19495" display="https://twitter.com/dubbusses" xr:uid="{996100F9-EF9D-4696-B766-AB6249F86BE9}"/>
    <hyperlink ref="E6310" r:id="rId19496" display="https://twitter.com/dubbusses/status/723937324715913217" xr:uid="{C0DD6270-A83A-443A-8025-B23ADABFA652}"/>
    <hyperlink ref="O6310" r:id="rId19497" display="https://pbs.twimg.com/profile_images/718835727027580928/1ssyQ67y_normal.jpg" xr:uid="{D27AB9D2-B202-4708-84D4-F11F40AAA275}"/>
    <hyperlink ref="B6311" r:id="rId19498" display="https://twitter.com/dubbusses" xr:uid="{6395D313-2076-4AB1-A684-909C216949A3}"/>
    <hyperlink ref="E6311" r:id="rId19499" display="https://twitter.com/dubbusses/status/723937357225988096" xr:uid="{790C0EFA-C132-48AE-9926-2DBF31175A74}"/>
    <hyperlink ref="O6311" r:id="rId19500" display="https://pbs.twimg.com/profile_images/718835727027580928/1ssyQ67y_normal.jpg" xr:uid="{97764DC5-F85F-4BB0-B5B9-069C0B3EB95D}"/>
    <hyperlink ref="B6312" r:id="rId19501" display="https://twitter.com/dubbusses" xr:uid="{857A08CE-2F90-4EEE-8B3C-00684B93DBBA}"/>
    <hyperlink ref="E6312" r:id="rId19502" display="https://twitter.com/dubbusses/status/723937387450085376" xr:uid="{5826F5CE-8295-4EA7-AD42-6FD33D026BA4}"/>
    <hyperlink ref="O6312" r:id="rId19503" display="https://pbs.twimg.com/profile_images/718835727027580928/1ssyQ67y_normal.jpg" xr:uid="{AC04430D-30DE-41DA-A3A5-EAE946EEC9F7}"/>
    <hyperlink ref="B6313" r:id="rId19504" display="https://twitter.com/2stew22" xr:uid="{67F03EDC-6E73-4775-8355-6C386DF97B24}"/>
    <hyperlink ref="E6313" r:id="rId19505" display="https://twitter.com/2stew22/status/723937596238340096" xr:uid="{C01222A7-23B4-45D9-862B-54D7A331A16D}"/>
    <hyperlink ref="O6313" r:id="rId19506" display="https://pbs.twimg.com/profile_images/421938414871937024/zFnDBbTQ_normal.jpeg" xr:uid="{E4ABC688-B21A-4B29-961E-6AD5F2D5FEEC}"/>
    <hyperlink ref="B6314" r:id="rId19507" display="https://twitter.com/Lindsay_VW" xr:uid="{6E193855-A792-42F2-A643-1FDEB11331AD}"/>
    <hyperlink ref="E6314" r:id="rId19508" display="https://twitter.com/Lindsay_VW/status/723937666979471360" xr:uid="{B369B69D-9786-4135-B198-E44D850989E3}"/>
    <hyperlink ref="O6314" r:id="rId19509" display="https://pbs.twimg.com/profile_images/716020780899807232/fnaRfVpE_normal.jpg" xr:uid="{40A682B9-A0B1-4B7E-9770-2EFAA43CA790}"/>
    <hyperlink ref="B6315" r:id="rId19510" display="https://twitter.com/Liese_Mueller" xr:uid="{D058A94A-2537-4CE4-98CB-9DE360C41967}"/>
    <hyperlink ref="E6315" r:id="rId19511" display="https://twitter.com/Liese_Mueller/status/723937701968379904" xr:uid="{92FE8D4B-E636-4B2E-8604-4DF559A83C0F}"/>
    <hyperlink ref="O6315" r:id="rId19512" display="https://pbs.twimg.com/profile_images/704411171059867649/GDcERPLT_normal.jpg" xr:uid="{5B31D41C-4F18-43E1-AFDE-5868D456E92F}"/>
    <hyperlink ref="B6316" r:id="rId19513" display="https://twitter.com/Lindsay_VW" xr:uid="{A27C804A-DA3C-4F00-93A0-719EB48BF67B}"/>
    <hyperlink ref="E6316" r:id="rId19514" display="https://twitter.com/Lindsay_VW/status/723938299576987648" xr:uid="{CFAE58ED-DF77-4215-BA59-612642B9D0F2}"/>
    <hyperlink ref="O6316" r:id="rId19515" display="https://pbs.twimg.com/profile_images/716020780899807232/fnaRfVpE_normal.jpg" xr:uid="{695571B5-3A4D-4FC7-8B79-D713940A845B}"/>
    <hyperlink ref="B6317" r:id="rId19516" display="https://twitter.com/RaphaelGonzaga" xr:uid="{66FB3979-979F-4BAE-B8E2-8B7AA2756C18}"/>
    <hyperlink ref="E6317" r:id="rId19517" display="https://twitter.com/RaphaelGonzaga/status/723938481072910336" xr:uid="{9B86695C-326B-4C36-B1F4-CC766344CF9B}"/>
    <hyperlink ref="O6317" r:id="rId19518" display="https://pbs.twimg.com/profile_images/378800000102139594/245ffca726e4dda0c3ed9eb7bfdb91e7_normal.jpeg" xr:uid="{DDB07240-4BA2-4AD0-A25C-6F6266EDDC5B}"/>
    <hyperlink ref="B6318" r:id="rId19519" display="https://twitter.com/DubLuvTuning" xr:uid="{D9BF15B5-3413-40E1-87D9-A9E6A507599A}"/>
    <hyperlink ref="E6318" r:id="rId19520" display="https://twitter.com/DubLuvTuning/status/723938508608540674" xr:uid="{A229A8FB-DCA9-4FBC-8927-9B5C876D02F2}"/>
    <hyperlink ref="O6318" r:id="rId19521" display="https://pbs.twimg.com/profile_images/378800000572104796/1de43e1cf23efb3f4101c02afad0d3b6_normal.png" xr:uid="{5A741635-5A04-4484-B62B-324B98882576}"/>
    <hyperlink ref="B6319" r:id="rId19522" display="https://twitter.com/DubLuvTuning" xr:uid="{FD1FD218-312D-4932-A6F2-FD7052560F22}"/>
    <hyperlink ref="E6319" r:id="rId19523" display="https://twitter.com/DubLuvTuning/status/723938509459992576" xr:uid="{071ED9BE-71C1-4E92-AD3E-A7095C052EC5}"/>
    <hyperlink ref="O6319" r:id="rId19524" display="https://pbs.twimg.com/profile_images/378800000572104796/1de43e1cf23efb3f4101c02afad0d3b6_normal.png" xr:uid="{177EFFA5-5897-4EC3-B548-92723DB4FF00}"/>
    <hyperlink ref="B6320" r:id="rId19525" display="https://twitter.com/VWCamperSales" xr:uid="{007CB5F4-0A6F-450D-A491-C9ECA44F9738}"/>
    <hyperlink ref="E6320" r:id="rId19526" display="https://twitter.com/VWCamperSales/status/723939013552279552" xr:uid="{65A87D55-23AF-44CB-8B4D-765CEA499EB8}"/>
    <hyperlink ref="F6320" r:id="rId19527" xr:uid="{8EC24DBD-265C-4AED-9345-1B83624AB541}"/>
    <hyperlink ref="O6320" r:id="rId19528" display="https://pbs.twimg.com/profile_images/627949001179037696/skEBkS05_normal.jpg" xr:uid="{C599731A-4859-45ED-88F9-1BACDAA0C188}"/>
    <hyperlink ref="B6321" r:id="rId19529" display="https://twitter.com/VWsightings" xr:uid="{0E025743-0855-4647-80F6-2C747DE2FF4F}"/>
    <hyperlink ref="E6321" r:id="rId19530" display="https://twitter.com/VWsightings/status/723939017310482432" xr:uid="{3B110626-FF06-412B-A8F9-A1745FB86DFD}"/>
    <hyperlink ref="O6321" r:id="rId19531" display="https://pbs.twimg.com/profile_images/378800000854855954/0d555726054b01e3c9d6b5241432dc4a_normal.jpeg" xr:uid="{E0BF8EA5-4264-4055-80E9-DB93AB6A6E4A}"/>
    <hyperlink ref="B6322" r:id="rId19532" display="https://twitter.com/diesellibrarian" xr:uid="{44E48111-992B-4688-8FEB-0F992C379B0F}"/>
    <hyperlink ref="E6322" r:id="rId19533" display="https://twitter.com/diesellibrarian/status/723939057516965891" xr:uid="{B9AA05E3-D6CB-400C-B0C0-38C8C89A9E76}"/>
    <hyperlink ref="O6322" r:id="rId19534" display="https://pbs.twimg.com/profile_images/648991159876890625/XgxPumHq_normal.png" xr:uid="{35466B87-F6EF-4D3F-B8C6-D1498B1F810E}"/>
    <hyperlink ref="B6323" r:id="rId19535" display="https://twitter.com/VWsightings" xr:uid="{A164B80B-B07B-4A72-93DB-442A895B55C2}"/>
    <hyperlink ref="E6323" r:id="rId19536" display="https://twitter.com/VWsightings/status/723939301583667200" xr:uid="{C71B354E-0592-417B-9704-5B356993F770}"/>
    <hyperlink ref="O6323" r:id="rId19537" display="https://pbs.twimg.com/profile_images/378800000854855954/0d555726054b01e3c9d6b5241432dc4a_normal.jpeg" xr:uid="{0A0155AF-8ED1-4CBE-ADB8-2265ACC117B2}"/>
    <hyperlink ref="B6324" r:id="rId19538" display="https://twitter.com/VWsightings" xr:uid="{13F39F67-09E1-4773-89C6-E05C528CDEB9}"/>
    <hyperlink ref="E6324" r:id="rId19539" display="https://twitter.com/VWsightings/status/723939311134117891" xr:uid="{B6918727-7DEC-4D6B-AF16-0D428E2E633E}"/>
    <hyperlink ref="O6324" r:id="rId19540" display="https://pbs.twimg.com/profile_images/378800000854855954/0d555726054b01e3c9d6b5241432dc4a_normal.jpeg" xr:uid="{B46425BC-5B96-4EB7-A70E-E9C05693B044}"/>
    <hyperlink ref="B6325" r:id="rId19541" display="https://twitter.com/VWsightings" xr:uid="{DF2A4FFB-3F59-4437-8085-DD9C9ECE6F26}"/>
    <hyperlink ref="E6325" r:id="rId19542" display="https://twitter.com/VWsightings/status/723939392281255936" xr:uid="{2C2A70DB-1EB2-4C89-8E4C-F5BB1221BA50}"/>
    <hyperlink ref="O6325" r:id="rId19543" display="https://pbs.twimg.com/profile_images/378800000854855954/0d555726054b01e3c9d6b5241432dc4a_normal.jpeg" xr:uid="{F5DABBAA-C00E-443D-828E-0D64453AE004}"/>
    <hyperlink ref="B6326" r:id="rId19544" display="https://twitter.com/VWsightings" xr:uid="{DAC38519-E932-485F-80B8-D5A1B8A62309}"/>
    <hyperlink ref="E6326" r:id="rId19545" display="https://twitter.com/VWsightings/status/723939476804919296" xr:uid="{E0B5AFDC-D795-4F6F-9C11-AC699DC42BAC}"/>
    <hyperlink ref="O6326" r:id="rId19546" display="https://pbs.twimg.com/profile_images/378800000854855954/0d555726054b01e3c9d6b5241432dc4a_normal.jpeg" xr:uid="{54C2EFBC-9049-4066-89F1-E07A9B7086FC}"/>
    <hyperlink ref="B6327" r:id="rId19547" display="https://twitter.com/PaulMIllerVW" xr:uid="{01432AE8-0851-4ABF-AB5F-9762ED446461}"/>
    <hyperlink ref="E6327" r:id="rId19548" display="https://twitter.com/PaulMIllerVW/status/723939498627735552" xr:uid="{A1D395F0-D63F-4EB3-A59E-239DA389F578}"/>
    <hyperlink ref="O6327" r:id="rId19549" display="https://pbs.twimg.com/profile_images/606538524934807552/brKPBufq_normal.jpg" xr:uid="{B3D08717-DD1E-4C59-A1D5-3F8BC9332F15}"/>
    <hyperlink ref="B6328" r:id="rId19550" display="https://twitter.com/LRDValeting" xr:uid="{36E88E28-83C6-4D7F-AA11-FB62F104EC18}"/>
    <hyperlink ref="E6328" r:id="rId19551" display="https://twitter.com/LRDValeting/status/723940092390289409" xr:uid="{D82F1122-332A-42C7-AF08-057548A5504B}"/>
    <hyperlink ref="O6328" r:id="rId19552" display="https://pbs.twimg.com/profile_images/644448469177008129/NawOBHy6_normal.jpg" xr:uid="{512C61BA-3E82-48BF-BB2A-72295F4F5E55}"/>
    <hyperlink ref="B6329" r:id="rId19553" display="https://twitter.com/re_keogh" xr:uid="{02E4D42D-C8BC-4386-97C2-B5A02D85DDBF}"/>
    <hyperlink ref="E6329" r:id="rId19554" display="https://twitter.com/re_keogh/status/723940218928291840" xr:uid="{2275214D-E4EA-40CF-9E21-275E7FF7C6BA}"/>
    <hyperlink ref="O6329" r:id="rId19555" display="https://pbs.twimg.com/profile_images/3639476653/e621be3172dde8d88a0c612870493ba9_normal.jpeg" xr:uid="{E1C210B1-1864-449D-8291-AE30D6EC46FC}"/>
    <hyperlink ref="B6330" r:id="rId19556" display="https://twitter.com/VWsightings" xr:uid="{3401CB67-16E8-4D5B-B84B-BE8031D3C7A5}"/>
    <hyperlink ref="E6330" r:id="rId19557" display="https://twitter.com/VWsightings/status/723940233541238784" xr:uid="{6290FECA-06BA-4CD6-9FA0-8D2ACBB13110}"/>
    <hyperlink ref="O6330" r:id="rId19558" display="https://pbs.twimg.com/profile_images/378800000854855954/0d555726054b01e3c9d6b5241432dc4a_normal.jpeg" xr:uid="{341281CD-4EA2-4134-84BA-EF17A2C806D5}"/>
    <hyperlink ref="B6331" r:id="rId19559" display="https://twitter.com/DomestcPlatypus" xr:uid="{52681F8E-1309-4F95-A747-D4BF9760468E}"/>
    <hyperlink ref="E6331" r:id="rId19560" display="https://twitter.com/DomestcPlatypus/status/723940328282177537" xr:uid="{B86CA997-49F2-400D-A808-26913E9553D0}"/>
    <hyperlink ref="O6331" r:id="rId19561" display="https://pbs.twimg.com/profile_images/1474461181/platypus2_normal.jpg" xr:uid="{8A47CEB0-F8FE-4D29-A4A8-460649D86F1B}"/>
    <hyperlink ref="B6332" r:id="rId19562" display="https://twitter.com/BEVENUTO" xr:uid="{3E597E41-9C26-4661-8AA5-E0206A992A96}"/>
    <hyperlink ref="E6332" r:id="rId19563" display="https://twitter.com/BEVENUTO/status/723940448067293184" xr:uid="{6E093EC0-9924-4F76-AFD1-16A04A97278E}"/>
    <hyperlink ref="O6332" r:id="rId19564" display="https://pbs.twimg.com/profile_images/1372304064/DSC04986_normal.JPG" xr:uid="{48C4520D-7D32-4C76-810E-CFB58CBEA01A}"/>
    <hyperlink ref="B6333" r:id="rId19565" display="https://twitter.com/buran63" xr:uid="{E4B0FB04-EE83-4F2A-BB1E-DEC660912606}"/>
    <hyperlink ref="E6333" r:id="rId19566" display="https://twitter.com/buran63/status/723940496339513346" xr:uid="{24D280B9-6184-4B00-8DFD-7445403C9CA0}"/>
    <hyperlink ref="O6333" r:id="rId19567" display="https://pbs.twimg.com/profile_images/645328399834181632/rWu1bHrC_normal.jpg" xr:uid="{AC35831D-A0C3-46B2-8F6B-AAA6BDA9B467}"/>
    <hyperlink ref="B6334" r:id="rId19568" display="https://twitter.com/ldnsecuritysynd" xr:uid="{AEEE2A09-0FFE-406B-8ECF-60D7B8E5833E}"/>
    <hyperlink ref="E6334" r:id="rId19569" display="https://twitter.com/ldnsecuritysynd/status/723940680263962624" xr:uid="{D7B16D25-0C5B-47DE-AFCC-A7AA4AE72F89}"/>
    <hyperlink ref="O6334" r:id="rId19570" display="https://pbs.twimg.com/profile_images/593454474041102336/YZAKB69P_normal.jpg" xr:uid="{51E9E70C-5128-4A4F-99C2-3926162CAE0A}"/>
    <hyperlink ref="B6335" r:id="rId19571" display="https://twitter.com/MirrorFinish" xr:uid="{54C83B42-B9D1-4849-8298-4B577CE16A93}"/>
    <hyperlink ref="E6335" r:id="rId19572" display="https://twitter.com/MirrorFinish/status/723940788460216320" xr:uid="{F2580AF0-D50F-459C-90F5-C76FB2314F1B}"/>
    <hyperlink ref="O6335" r:id="rId19573" display="https://pbs.twimg.com/profile_images/713544356381245440/0_b-xJXi_normal.jpg" xr:uid="{E8CE8307-FB9E-44B3-8052-E56C90E05F04}"/>
    <hyperlink ref="B6336" r:id="rId19574" display="https://twitter.com/B83ART" xr:uid="{D4D66EC7-B67D-4F46-BBD4-3520733BD257}"/>
    <hyperlink ref="E6336" r:id="rId19575" display="https://twitter.com/B83ART/status/723940808680984576" xr:uid="{7C23251F-3E88-4009-B084-16573B1F6C22}"/>
    <hyperlink ref="O6336" r:id="rId19576" display="https://pbs.twimg.com/profile_images/722201032479088641/gDpR-6wN_normal.jpg" xr:uid="{A134D5D5-961A-4B4F-9A03-4B787B6D2A0E}"/>
    <hyperlink ref="B6337" r:id="rId19577" display="https://twitter.com/ldnsecuritysynd" xr:uid="{A7252D30-04D9-4733-A341-301A8AAF64E2}"/>
    <hyperlink ref="E6337" r:id="rId19578" display="https://twitter.com/ldnsecuritysynd/status/723941107126689792" xr:uid="{71CE2D29-2312-422B-AF83-25A437DB5168}"/>
    <hyperlink ref="O6337" r:id="rId19579" display="https://pbs.twimg.com/profile_images/593454474041102336/YZAKB69P_normal.jpg" xr:uid="{D62953FE-58B7-4266-B35A-14B94C9DDC4E}"/>
    <hyperlink ref="B6338" r:id="rId19580" display="https://twitter.com/DubLuvTuning" xr:uid="{E678CF9F-B132-497F-BB14-CE2368F6CC37}"/>
    <hyperlink ref="E6338" r:id="rId19581" display="https://twitter.com/DubLuvTuning/status/723941126743416832" xr:uid="{1080D79B-4EF6-4575-8056-0D7F43835DC0}"/>
    <hyperlink ref="O6338" r:id="rId19582" display="https://pbs.twimg.com/profile_images/378800000572104796/1de43e1cf23efb3f4101c02afad0d3b6_normal.png" xr:uid="{8C291ED0-688E-4520-9F93-AA7DF51AB32C}"/>
    <hyperlink ref="B6339" r:id="rId19583" display="https://twitter.com/VolkswagenPost" xr:uid="{CDDDA56E-FB37-4659-87E7-DF76682B282D}"/>
    <hyperlink ref="E6339" r:id="rId19584" display="https://twitter.com/VolkswagenPost/status/723941246574694400" xr:uid="{365A230E-EC45-4FC4-8701-01E5E71C0F40}"/>
    <hyperlink ref="O6339" r:id="rId19585" display="https://pbs.twimg.com/profile_images/530071272881803264/a_jcCmPZ_normal.png" xr:uid="{D8BAF5B5-6567-40EE-851A-B34C1C888482}"/>
    <hyperlink ref="B6340" r:id="rId19586" display="https://twitter.com/VolkswagenPost" xr:uid="{44D164D9-DD65-43DA-99C4-87B7E42AB7E8}"/>
    <hyperlink ref="E6340" r:id="rId19587" display="https://twitter.com/VolkswagenPost/status/723941247661051904" xr:uid="{3BC03125-F447-425F-99B7-86EABEA08F71}"/>
    <hyperlink ref="O6340" r:id="rId19588" display="https://pbs.twimg.com/profile_images/530071272881803264/a_jcCmPZ_normal.png" xr:uid="{822C2B2D-5DA1-4531-9088-F7E80927FFC3}"/>
    <hyperlink ref="B6341" r:id="rId19589" display="https://twitter.com/FennellMarcus" xr:uid="{254FF4E3-783D-409B-90CE-DF2DF07C5628}"/>
    <hyperlink ref="E6341" r:id="rId19590" display="https://twitter.com/FennellMarcus/status/723941539022540800" xr:uid="{280CA537-90EB-420A-B680-B9E1E6E6D305}"/>
    <hyperlink ref="O6341" r:id="rId19591" display="https://pbs.twimg.com/profile_images/689135486544293889/vPAeUEzo_normal.jpg" xr:uid="{CB97E775-7987-44AD-A820-B11D2B57950E}"/>
    <hyperlink ref="B6342" r:id="rId19592" display="https://twitter.com/Insta_VWT" xr:uid="{BDF9C686-BEA7-46DB-A84F-8D86061152B1}"/>
    <hyperlink ref="E6342" r:id="rId19593" display="https://twitter.com/Insta_VWT/status/723941615128174593" xr:uid="{8698CFA1-51A2-4C7F-8931-85A96926C918}"/>
    <hyperlink ref="O6342" r:id="rId19594" display="https://pbs.twimg.com/profile_images/424893967197433858/iQ86NktX_normal.jpeg" xr:uid="{C4AD27CF-A750-4F38-B98D-707BE257B8A2}"/>
    <hyperlink ref="B6343" r:id="rId19595" display="https://twitter.com/oldcar_photo" xr:uid="{C200F5C7-4469-4950-AEBC-6177CDE9608E}"/>
    <hyperlink ref="E6343" r:id="rId19596" display="https://twitter.com/oldcar_photo/status/723941666252558336" xr:uid="{9E3815DB-B995-4CFA-9BCB-3FCC829D4A1B}"/>
    <hyperlink ref="O6343" r:id="rId19597" display="https://pbs.twimg.com/profile_images/615493650785660928/XHUh6HOk_normal.jpg" xr:uid="{B3C3D382-3DC5-4896-80C3-541D5AA4BA38}"/>
    <hyperlink ref="B6344" r:id="rId19598" display="https://twitter.com/VeeDubMk1_" xr:uid="{C2CE3020-752C-4BE4-8505-12F0F04E34FA}"/>
    <hyperlink ref="E6344" r:id="rId19599" display="https://twitter.com/VeeDubMk1_/status/723941707289636864" xr:uid="{4B1FBF1A-6A86-4713-B397-1F87AAA7EFD2}"/>
    <hyperlink ref="O6344" r:id="rId19600" display="https://pbs.twimg.com/profile_images/672878354127839232/M7OYc-zx_normal.jpg" xr:uid="{05AB19D8-FB85-4DD6-B1D3-C1E067FCFF01}"/>
    <hyperlink ref="B6345" r:id="rId19601" display="https://twitter.com/VeeDubMk1_" xr:uid="{8F10F9DB-6360-49D0-8729-8DA9A77FD612}"/>
    <hyperlink ref="E6345" r:id="rId19602" display="https://twitter.com/VeeDubMk1_/status/723941712876412928" xr:uid="{D4A914E7-32FB-4D55-AE16-13DCD76805E3}"/>
    <hyperlink ref="O6345" r:id="rId19603" display="https://pbs.twimg.com/profile_images/672878354127839232/M7OYc-zx_normal.jpg" xr:uid="{3940380C-A59D-4156-8FBA-A84A3E2FE6DC}"/>
    <hyperlink ref="B6346" r:id="rId19604" display="https://twitter.com/Kittyh21" xr:uid="{C6BDB028-30FA-4541-A728-8B27A323E891}"/>
    <hyperlink ref="E6346" r:id="rId19605" display="https://twitter.com/Kittyh21/status/723941810230464513" xr:uid="{FD204FA7-B1C9-46E9-BBE2-D17642D8C098}"/>
    <hyperlink ref="O6346" r:id="rId19606" display="https://pbs.twimg.com/profile_images/566973113330860032/NoKIjbWz_normal.jpeg" xr:uid="{6B5C557C-21D1-4C22-B35B-4193E11C1F4C}"/>
    <hyperlink ref="B6347" r:id="rId19607" display="https://twitter.com/B83ART" xr:uid="{E5B1B5B6-9153-4EC8-AE26-5379B8328DD8}"/>
    <hyperlink ref="E6347" r:id="rId19608" display="https://twitter.com/B83ART/status/723942105475850240" xr:uid="{F81DB246-CE03-4522-8EC0-7593C8AB5EAD}"/>
    <hyperlink ref="O6347" r:id="rId19609" display="https://pbs.twimg.com/profile_images/722201032479088641/gDpR-6wN_normal.jpg" xr:uid="{66DA3ED5-EC60-4D85-BB0D-4897B3BB622E}"/>
    <hyperlink ref="B6348" r:id="rId19610" display="https://twitter.com/MorSvinka_83" xr:uid="{2C9D9F53-25FD-416F-92CC-E32477283412}"/>
    <hyperlink ref="E6348" r:id="rId19611" display="https://twitter.com/MorSvinka_83/status/723942332723302401" xr:uid="{7FA30A58-DD42-4D41-93E4-E5585CF441BF}"/>
    <hyperlink ref="O6348" r:id="rId19612" display="https://pbs.twimg.com/profile_images/2208847688/Untitled-2_normal.jpg" xr:uid="{72A08B97-6E0E-45DB-ABE2-A09E6B3C0E69}"/>
    <hyperlink ref="B6349" r:id="rId19613" display="https://twitter.com/TheHippieVanMan" xr:uid="{9BFF4FFA-1417-4A59-890E-1A549645E58C}"/>
    <hyperlink ref="E6349" r:id="rId19614" display="https://twitter.com/TheHippieVanMan/status/723943088411017216" xr:uid="{04468682-77F2-4D10-A1DA-01F2F4268CA2}"/>
    <hyperlink ref="O6349" r:id="rId19615" display="https://pbs.twimg.com/profile_images/3247035045/9844e9d67157e05905c827333dbfa0ee_normal.jpeg" xr:uid="{5486B26F-4051-4643-A630-9EBDF4BB7618}"/>
    <hyperlink ref="B6350" r:id="rId19616" display="https://twitter.com/CalixtoVallejos" xr:uid="{5B58178E-BE73-4F20-BCA6-E2171EF0E2DE}"/>
    <hyperlink ref="E6350" r:id="rId19617" display="https://twitter.com/CalixtoVallejos/status/723943376853282817" xr:uid="{2B80E711-5D46-4867-B0F5-8FE6872C5B58}"/>
    <hyperlink ref="O6350" r:id="rId19618" display="https://abs.twimg.com/sticky/default_profile_images/default_profile_1_normal.png" xr:uid="{2602EE28-EBBE-477F-B6CB-9749F9248484}"/>
    <hyperlink ref="B6351" r:id="rId19619" display="https://twitter.com/VWCamperSales" xr:uid="{D8650CC9-34E9-4F28-A59E-92249A623C80}"/>
    <hyperlink ref="E6351" r:id="rId19620" display="https://twitter.com/VWCamperSales/status/723943659532509187" xr:uid="{DAA1427E-0CFE-49C6-8FB7-4626CA6A7ACC}"/>
    <hyperlink ref="F6351" r:id="rId19621" xr:uid="{0D2FDE83-57A8-4184-A1E5-4ED0BDBC6B9D}"/>
    <hyperlink ref="O6351" r:id="rId19622" display="https://pbs.twimg.com/profile_images/627949001179037696/skEBkS05_normal.jpg" xr:uid="{158DF899-DC43-4F23-BA7A-6F5A0CFA478C}"/>
    <hyperlink ref="B6352" r:id="rId19623" display="https://twitter.com/TheHippieVanMan" xr:uid="{9F481C32-6249-43E3-9A26-8430CCD4E8D7}"/>
    <hyperlink ref="E6352" r:id="rId19624" display="https://twitter.com/TheHippieVanMan/status/723943684153155585" xr:uid="{72F79953-C74E-4DE3-84B2-3D09E219358E}"/>
    <hyperlink ref="O6352" r:id="rId19625" display="https://pbs.twimg.com/profile_images/3247035045/9844e9d67157e05905c827333dbfa0ee_normal.jpeg" xr:uid="{4B58951C-7DA2-4DD5-A067-A7CE8A4D3B1B}"/>
    <hyperlink ref="B6353" r:id="rId19626" display="https://twitter.com/DubLuvTuning" xr:uid="{ABF21808-FE8A-40E4-A27B-02E49F40602B}"/>
    <hyperlink ref="E6353" r:id="rId19627" display="https://twitter.com/DubLuvTuning/status/723943752004460544" xr:uid="{06AC4DDE-F1CA-46A1-9B83-CE6519CE4D29}"/>
    <hyperlink ref="O6353" r:id="rId19628" display="https://pbs.twimg.com/profile_images/378800000572104796/1de43e1cf23efb3f4101c02afad0d3b6_normal.png" xr:uid="{2B24788D-C6EF-4A47-BD0A-AFAD5BEE6A09}"/>
    <hyperlink ref="B6354" r:id="rId19629" display="https://twitter.com/AutosRivada" xr:uid="{854DE426-E4ED-4425-B403-86DDC38BE5BC}"/>
    <hyperlink ref="E6354" r:id="rId19630" display="https://twitter.com/AutosRivada/status/723944306822811648" xr:uid="{E0564C4C-0813-4BD9-9B45-D199D14C3DB6}"/>
    <hyperlink ref="O6354" r:id="rId19631" display="https://pbs.twimg.com/profile_images/685389634898128896/xiku8joF_normal.jpg" xr:uid="{90326323-0D92-4C37-8DD9-53B1105B0CE5}"/>
    <hyperlink ref="P6354" r:id="rId19632" location="42.1713091,-8.6190843" display="http://ctrlq.org/maps/address/ - 42.1713091,-8.6190843" xr:uid="{D353FBDA-5EDD-48EE-9FF0-7446A6B75482}"/>
    <hyperlink ref="B6355" r:id="rId19633" display="https://twitter.com/hashtagvanlife" xr:uid="{00A3A265-13C5-44EC-B89F-7A6DAF408522}"/>
    <hyperlink ref="E6355" r:id="rId19634" display="https://twitter.com/hashtagvanlife/status/723944437626339328" xr:uid="{371A443A-D06F-40F1-8E5B-C327682C2C0E}"/>
    <hyperlink ref="O6355" r:id="rId19635" display="https://pbs.twimg.com/profile_images/653637535545995264/gHuXQ5Bt_normal.jpg" xr:uid="{00FEB617-0FBF-4BB9-A8DB-23AA5AC7D56C}"/>
    <hyperlink ref="B6356" r:id="rId19636" display="https://twitter.com/EverCharge" xr:uid="{FE563E7B-CED8-4471-ADFB-A9C4A7F0E8B3}"/>
    <hyperlink ref="E6356" r:id="rId19637" display="https://twitter.com/EverCharge/status/723944590403899392" xr:uid="{8AABFFD4-A23D-4394-850D-C3E16287BCB5}"/>
    <hyperlink ref="O6356" r:id="rId19638" display="https://pbs.twimg.com/profile_images/662690618221555712/8SCotH6T_normal.jpg" xr:uid="{777D0B3D-388B-4A5A-AC71-1F1C8ED85DF2}"/>
    <hyperlink ref="B6357" r:id="rId19639" display="https://twitter.com/hashtagvanlife" xr:uid="{801B2E4A-7F04-4B11-BC0A-96F193150ECD}"/>
    <hyperlink ref="E6357" r:id="rId19640" display="https://twitter.com/hashtagvanlife/status/723944748688543744" xr:uid="{699EFCD9-6E8B-43D9-AAE2-12C1171B3C35}"/>
    <hyperlink ref="O6357" r:id="rId19641" display="https://pbs.twimg.com/profile_images/653637535545995264/gHuXQ5Bt_normal.jpg" xr:uid="{20DA5C10-016E-42E0-9082-E16FC7D0A204}"/>
    <hyperlink ref="B6358" r:id="rId19642" display="https://twitter.com/TheHippieVanMan" xr:uid="{CFD26903-80CB-4954-A406-CE9B061318E9}"/>
    <hyperlink ref="E6358" r:id="rId19643" display="https://twitter.com/TheHippieVanMan/status/723944757265874944" xr:uid="{63AF7AB0-3449-4ECE-BE88-BA51C59BB12A}"/>
    <hyperlink ref="O6358" r:id="rId19644" display="https://pbs.twimg.com/profile_images/3247035045/9844e9d67157e05905c827333dbfa0ee_normal.jpeg" xr:uid="{0183292B-C41A-4B80-9BA8-AAD9F156E435}"/>
    <hyperlink ref="B6359" r:id="rId19645" display="https://twitter.com/ukoepke" xr:uid="{59FC3BB0-9EF8-492F-B31B-6EE608DAC6BA}"/>
    <hyperlink ref="E6359" r:id="rId19646" display="https://twitter.com/ukoepke/status/723944819505139712" xr:uid="{63E858FD-54AE-432E-8863-E78164BB66B9}"/>
    <hyperlink ref="O6359" r:id="rId19647" display="https://pbs.twimg.com/profile_images/617758971861037056/Nj6rNKM3_normal.jpg" xr:uid="{8219CCBF-D3C5-4B61-8818-2A5290655359}"/>
    <hyperlink ref="B6360" r:id="rId19648" display="https://twitter.com/hashtagvanlife" xr:uid="{17CC9420-D7DD-4B56-8AD5-56494FC3EE56}"/>
    <hyperlink ref="E6360" r:id="rId19649" display="https://twitter.com/hashtagvanlife/status/723945096828321792" xr:uid="{0A115376-AE15-44BE-8AEC-857015DC21A6}"/>
    <hyperlink ref="O6360" r:id="rId19650" display="https://pbs.twimg.com/profile_images/653637535545995264/gHuXQ5Bt_normal.jpg" xr:uid="{F9602540-27AF-45CB-9D39-A0D7A20CEAA1}"/>
    <hyperlink ref="B6361" r:id="rId19651" display="https://twitter.com/khilogram" xr:uid="{01B77178-2B4E-4150-96D0-82BD46414415}"/>
    <hyperlink ref="E6361" r:id="rId19652" display="https://twitter.com/khilogram/status/723945340177645569" xr:uid="{AAFD3ACB-4472-4C32-82C3-EAEF586D0893}"/>
    <hyperlink ref="O6361" r:id="rId19653" display="https://pbs.twimg.com/profile_images/721573146306830337/ZW0NIcS2_normal.jpg" xr:uid="{2FD4DC4E-C44B-49B8-B222-F35D4B245E0A}"/>
    <hyperlink ref="B6362" r:id="rId19654" display="https://twitter.com/Kudos_To_You" xr:uid="{DA501A85-81C6-468E-8BF0-D41E7EDE8A00}"/>
    <hyperlink ref="E6362" r:id="rId19655" display="https://twitter.com/Kudos_To_You/status/723945484826599425" xr:uid="{AFFAB059-11ED-473C-8CE0-4A7BC07F0753}"/>
    <hyperlink ref="O6362" r:id="rId19656" display="https://pbs.twimg.com/profile_images/722885411622690818/9xe1mfDl_normal.jpg" xr:uid="{BA588105-D5B4-4625-8A65-3DF60E626176}"/>
    <hyperlink ref="B6363" r:id="rId19657" display="https://twitter.com/AliSco72" xr:uid="{0A7D9635-EB10-4B3F-AB97-DF50CD692AB0}"/>
    <hyperlink ref="E6363" r:id="rId19658" display="https://twitter.com/AliSco72/status/723945615256891393" xr:uid="{A407A6A6-2390-4A65-8657-B8D5A2D2427C}"/>
    <hyperlink ref="O6363" r:id="rId19659" display="https://pbs.twimg.com/profile_images/702076247141122048/w-ws0Q67_normal.jpg" xr:uid="{FA25C69C-CBE1-4148-B3EE-DC942CC70142}"/>
    <hyperlink ref="B6364" r:id="rId19660" display="https://twitter.com/spicyfknrob" xr:uid="{AD0C9832-7328-41E1-93F0-9B4A6177464B}"/>
    <hyperlink ref="E6364" r:id="rId19661" display="https://twitter.com/spicyfknrob/status/723945881054121985" xr:uid="{060E9269-055E-4C46-82AC-DA4224ADDEF3}"/>
    <hyperlink ref="O6364" r:id="rId19662" display="https://pbs.twimg.com/profile_images/412739817621831680/jImjKPLq_normal.jpeg" xr:uid="{7181F603-E362-4D5E-B0D9-B682D8E232A6}"/>
    <hyperlink ref="B6365" r:id="rId19663" display="https://twitter.com/HueySupreme_" xr:uid="{BA790C05-3AE0-4674-99B2-B0244701CF6E}"/>
    <hyperlink ref="E6365" r:id="rId19664" display="https://twitter.com/HueySupreme_/status/723946086197542912" xr:uid="{4D6A3A11-545A-46E8-8A43-E4A9FF967C9D}"/>
    <hyperlink ref="O6365" r:id="rId19665" display="https://pbs.twimg.com/profile_images/722272615197446144/dz1hIDzD_normal.jpg" xr:uid="{FAE1A9D0-EED9-41CA-836F-1E432824B2BC}"/>
    <hyperlink ref="B6366" r:id="rId19666" display="https://twitter.com/wob_zwoelfter" xr:uid="{D5C1A219-3B82-409F-AD3B-199D7C8AED20}"/>
    <hyperlink ref="E6366" r:id="rId19667" display="https://twitter.com/wob_zwoelfter/status/723946294767706112" xr:uid="{84DB2CC6-1943-4509-B565-A841B29A225E}"/>
    <hyperlink ref="O6366" r:id="rId19668" display="https://pbs.twimg.com/profile_images/706860886208684032/10d4xY0F_normal.jpg" xr:uid="{3B93FBA4-2D72-49B1-89BD-8034E17A0514}"/>
    <hyperlink ref="B6367" r:id="rId19669" display="https://twitter.com/DubLuvTuning" xr:uid="{5441B700-9C0D-4383-AD70-2AB080214370}"/>
    <hyperlink ref="E6367" r:id="rId19670" display="https://twitter.com/DubLuvTuning/status/723946316502585345" xr:uid="{58220FDE-4B69-4F9A-A9BC-E887DFAF2498}"/>
    <hyperlink ref="O6367" r:id="rId19671" display="https://pbs.twimg.com/profile_images/378800000572104796/1de43e1cf23efb3f4101c02afad0d3b6_normal.png" xr:uid="{D0046DEB-2610-4660-B7AE-8DBDFB2D2F01}"/>
    <hyperlink ref="B6368" r:id="rId19672" display="https://twitter.com/DubLuvTuning" xr:uid="{DA1234B0-EAD1-4A55-B2FE-5282E856110A}"/>
    <hyperlink ref="E6368" r:id="rId19673" display="https://twitter.com/DubLuvTuning/status/723946318293512193" xr:uid="{27D66F5C-3BC3-4075-B09F-D4707E1B14C0}"/>
    <hyperlink ref="O6368" r:id="rId19674" display="https://pbs.twimg.com/profile_images/378800000572104796/1de43e1cf23efb3f4101c02afad0d3b6_normal.png" xr:uid="{7825146F-8471-4C29-AA81-E8BA2FD0EF8B}"/>
    <hyperlink ref="B6369" r:id="rId19675" display="https://twitter.com/VWsightings" xr:uid="{F648907A-5C7F-4B39-8589-B69386C5D763}"/>
    <hyperlink ref="E6369" r:id="rId19676" display="https://twitter.com/VWsightings/status/723946322483642368" xr:uid="{9717690B-0C65-4402-A3E8-D3E0FD6A8384}"/>
    <hyperlink ref="O6369" r:id="rId19677" display="https://pbs.twimg.com/profile_images/378800000854855954/0d555726054b01e3c9d6b5241432dc4a_normal.jpeg" xr:uid="{1EC99BCF-29D1-46F7-ACDA-CF1B4D9A5064}"/>
    <hyperlink ref="B6370" r:id="rId19678" display="https://twitter.com/jallen1299" xr:uid="{EE1E9001-3EF9-421E-A3EA-06718E0C5BDA}"/>
    <hyperlink ref="E6370" r:id="rId19679" display="https://twitter.com/jallen1299/status/723947094554238976" xr:uid="{3BEA08A0-67A4-4059-BB26-A87680681A8C}"/>
    <hyperlink ref="O6370" r:id="rId19680" display="https://abs.twimg.com/sticky/default_profile_images/default_profile_1_normal.png" xr:uid="{BBC9C686-E85B-4572-B12D-3A5244354ADB}"/>
    <hyperlink ref="B6371" r:id="rId19681" display="https://twitter.com/AL_DOMS" xr:uid="{0DB3C82B-2936-41FF-8F9C-D522010CA22C}"/>
    <hyperlink ref="E6371" r:id="rId19682" display="https://twitter.com/AL_DOMS/status/723947207783792640" xr:uid="{42852C75-BB94-417F-87A7-8E779793FC50}"/>
    <hyperlink ref="O6371" r:id="rId19683" display="https://pbs.twimg.com/profile_images/710803755902607360/IGxD4V0u_normal.jpg" xr:uid="{0A3A5459-B439-4846-9370-69A0024CAC1D}"/>
    <hyperlink ref="B6372" r:id="rId19684" display="https://twitter.com/VolkswagenPost" xr:uid="{7BCF1FC9-FA7F-41E6-BE3D-736D56BC86A3}"/>
    <hyperlink ref="E6372" r:id="rId19685" display="https://twitter.com/VolkswagenPost/status/723947774106988546" xr:uid="{EE45AB2E-A666-48A4-9B42-8BE2C4B6377C}"/>
    <hyperlink ref="O6372" r:id="rId19686" display="https://pbs.twimg.com/profile_images/530071272881803264/a_jcCmPZ_normal.png" xr:uid="{0C49936F-7F45-4AF4-87CC-4BC97843A45F}"/>
    <hyperlink ref="B6373" r:id="rId19687" display="https://twitter.com/VolkswagenPost" xr:uid="{F35DABB9-BC2B-4D5A-A041-B768F24F1D02}"/>
    <hyperlink ref="E6373" r:id="rId19688" display="https://twitter.com/VolkswagenPost/status/723947775004549120" xr:uid="{3FEEC9F3-03B9-431D-92F3-55491C96FAF9}"/>
    <hyperlink ref="O6373" r:id="rId19689" display="https://pbs.twimg.com/profile_images/530071272881803264/a_jcCmPZ_normal.png" xr:uid="{74BDF426-DAD8-44E2-8D74-CFAC93A59935}"/>
    <hyperlink ref="B6374" r:id="rId19690" display="https://twitter.com/TheHippieVanMan" xr:uid="{10545DD8-311A-478B-9FF1-8DF95FAEC272}"/>
    <hyperlink ref="E6374" r:id="rId19691" display="https://twitter.com/TheHippieVanMan/status/723948641682112512" xr:uid="{C042BE56-D613-49FA-9FAA-90EF2A589CBE}"/>
    <hyperlink ref="O6374" r:id="rId19692" display="https://pbs.twimg.com/profile_images/3247035045/9844e9d67157e05905c827333dbfa0ee_normal.jpeg" xr:uid="{F9F32561-FBC4-404A-8031-AFCD63C6428C}"/>
    <hyperlink ref="B6375" r:id="rId19693" display="https://twitter.com/LulubelleLimoVW" xr:uid="{07C1F939-857F-490D-BBC3-C48F8B719D2E}"/>
    <hyperlink ref="E6375" r:id="rId19694" display="https://twitter.com/LulubelleLimoVW/status/723949014740295680" xr:uid="{2D881A5A-98FD-4419-BCE8-6AC5AADEFA0A}"/>
    <hyperlink ref="O6375" r:id="rId19695" display="https://pbs.twimg.com/profile_images/697539834840268800/fIANhnLA_normal.jpg" xr:uid="{285FC7C7-8930-4001-85FB-CEDC655C2C90}"/>
    <hyperlink ref="B6376" r:id="rId19696" display="https://twitter.com/DubLuvTuning" xr:uid="{7F8AB03F-1594-44C9-A67F-E8C67B64F4E1}"/>
    <hyperlink ref="E6376" r:id="rId19697" display="https://twitter.com/DubLuvTuning/status/723949056142225408" xr:uid="{7CF69EF1-7B40-4C4D-8DF9-5948EAF75F6C}"/>
    <hyperlink ref="O6376" r:id="rId19698" display="https://pbs.twimg.com/profile_images/378800000572104796/1de43e1cf23efb3f4101c02afad0d3b6_normal.png" xr:uid="{F5FDD3D9-AE7B-4380-9E9D-2D7151370458}"/>
    <hyperlink ref="B6377" r:id="rId19699" display="https://twitter.com/dapper013" xr:uid="{B78406EC-FBE9-4EF3-8FED-6B98792A3506}"/>
    <hyperlink ref="E6377" r:id="rId19700" display="https://twitter.com/dapper013/status/723949427375878145" xr:uid="{5BC85871-44A9-498E-AB04-4C62103D1C5C}"/>
    <hyperlink ref="O6377" r:id="rId19701" display="https://pbs.twimg.com/profile_images/704424786777280513/YQVkJF57_normal.jpg" xr:uid="{66B82480-1230-4058-8D28-7195D932B822}"/>
    <hyperlink ref="B6378" r:id="rId19702" display="https://twitter.com/dapper013" xr:uid="{E5AFC362-F264-4E4F-8932-0E04F9A30F33}"/>
    <hyperlink ref="E6378" r:id="rId19703" display="https://twitter.com/dapper013/status/723949546716422144" xr:uid="{F80D8199-4638-451C-AAAE-061DE28CEB8C}"/>
    <hyperlink ref="O6378" r:id="rId19704" display="https://pbs.twimg.com/profile_images/704424786777280513/YQVkJF57_normal.jpg" xr:uid="{252E5335-436E-455C-A0B4-7AC92E0CFAC7}"/>
    <hyperlink ref="B6379" r:id="rId19705" display="https://twitter.com/beakersblog" xr:uid="{5B1F7C88-2462-46C5-B8E6-B2847EDA9C38}"/>
    <hyperlink ref="E6379" r:id="rId19706" display="https://twitter.com/beakersblog/status/723949636134817792" xr:uid="{5CF11328-EDEA-4855-B766-CD3851AC695C}"/>
    <hyperlink ref="N6379" r:id="rId19707" xr:uid="{7FA983DE-6F0A-4127-A92A-5B06DBEBFB97}"/>
    <hyperlink ref="O6379" r:id="rId19708" display="https://pbs.twimg.com/profile_images/1187478980/avabeaks_normal.jpg" xr:uid="{E1B2625B-60E4-4F0A-9B84-3D7368E38188}"/>
    <hyperlink ref="B6380" r:id="rId19709" display="https://twitter.com/dapper013" xr:uid="{790071B7-ECA5-4746-A422-5E824FE49636}"/>
    <hyperlink ref="E6380" r:id="rId19710" display="https://twitter.com/dapper013/status/723949701410729984" xr:uid="{4ECCA3AA-3AD3-4CDC-8150-AD8C0412AA87}"/>
    <hyperlink ref="O6380" r:id="rId19711" display="https://pbs.twimg.com/profile_images/704424786777280513/YQVkJF57_normal.jpg" xr:uid="{D8D0B934-F447-40A5-BF18-E96DFCE43B5E}"/>
    <hyperlink ref="B6381" r:id="rId19712" display="https://twitter.com/dendryad" xr:uid="{6F9D4781-62EC-4580-8D0A-57095F06835D}"/>
    <hyperlink ref="E6381" r:id="rId19713" display="https://twitter.com/dendryad/status/723949750463160321" xr:uid="{D9B94644-852C-4AA0-A254-8EA26F06112F}"/>
    <hyperlink ref="O6381" r:id="rId19714" display="https://pbs.twimg.com/profile_images/526657704433967104/Qpjvnhkn_normal.png" xr:uid="{8510232F-ABDD-42ED-90CF-1B6023757D15}"/>
    <hyperlink ref="B6382" r:id="rId19715" display="https://twitter.com/GolfitIt" xr:uid="{D746383D-2CE6-49C2-9D09-98326060A780}"/>
    <hyperlink ref="E6382" r:id="rId19716" display="https://twitter.com/GolfitIt/status/723949890418683904" xr:uid="{3D9DF372-02B7-4AF1-82A7-B1E99E3450D8}"/>
    <hyperlink ref="O6382" r:id="rId19717" display="https://pbs.twimg.com/profile_images/465845159607824386/C2TZw1k6_normal.jpeg" xr:uid="{103A7F23-6BD9-414A-8493-A52F5A0789FA}"/>
    <hyperlink ref="B6383" r:id="rId19718" display="https://twitter.com/hashtagvanlife" xr:uid="{3462F818-FD81-45CB-A194-9284FB7320CE}"/>
    <hyperlink ref="E6383" r:id="rId19719" display="https://twitter.com/hashtagvanlife/status/723950176063348737" xr:uid="{790EA545-BCC3-4D41-8190-D29BDCBC9DF0}"/>
    <hyperlink ref="O6383" r:id="rId19720" display="https://pbs.twimg.com/profile_images/653637535545995264/gHuXQ5Bt_normal.jpg" xr:uid="{D212B6A5-2A16-4E53-85B4-F10A2DAC13CB}"/>
    <hyperlink ref="B6384" r:id="rId19721" display="https://twitter.com/CatherineE1973" xr:uid="{5E93147C-E49E-45C2-AE6C-44FEEBEB731B}"/>
    <hyperlink ref="E6384" r:id="rId19722" display="https://twitter.com/CatherineE1973/status/723950179594985472" xr:uid="{C280DC49-24DB-4902-B158-121AB5EDB97B}"/>
    <hyperlink ref="O6384" r:id="rId19723" display="https://pbs.twimg.com/profile_images/720600659599482880/wXsZWa4I_normal.jpg" xr:uid="{A46B561F-8C69-4F7C-B3BA-4302C37AE2C5}"/>
    <hyperlink ref="B6385" r:id="rId19724" display="https://twitter.com/santi_lopezz30" xr:uid="{FCF2B828-FE17-4D43-B8D1-ACFA913D8CE7}"/>
    <hyperlink ref="E6385" r:id="rId19725" display="https://twitter.com/santi_lopezz30/status/723950624669310976" xr:uid="{FDE18C12-5AE0-4195-AD73-E75A3776E327}"/>
    <hyperlink ref="O6385" r:id="rId19726" display="https://pbs.twimg.com/profile_images/710675920013692928/zisdubTr_normal.jpg" xr:uid="{3149AE6C-A4BA-46EA-8BE8-2DB7D126A634}"/>
    <hyperlink ref="B6386" r:id="rId19727" display="https://twitter.com/VWBeetleSales" xr:uid="{900D5682-ABCD-4486-91AE-BBC0A8EFDBC2}"/>
    <hyperlink ref="E6386" r:id="rId19728" display="https://twitter.com/VWBeetleSales/status/723950714834182145" xr:uid="{14C1ABFA-DEC7-42E0-AD72-7A16D29E84DB}"/>
    <hyperlink ref="F6386" r:id="rId19729" xr:uid="{59CF82B0-8A58-4284-AE07-F658BCD94720}"/>
    <hyperlink ref="O6386" r:id="rId19730" display="https://pbs.twimg.com/profile_images/703294545195307008/qeCvrX86_normal.jpg" xr:uid="{855C7648-6054-447D-B8EB-CE1CCB82BB69}"/>
    <hyperlink ref="B6387" r:id="rId19731" display="https://twitter.com/Scirocco_Tuning" xr:uid="{0145E23F-A364-41C4-A502-46D2BF1680BC}"/>
    <hyperlink ref="E6387" r:id="rId19732" display="https://twitter.com/Scirocco_Tuning/status/723950755170926592" xr:uid="{2B2DAE7F-5F60-41C6-AF97-258726002E28}"/>
    <hyperlink ref="O6387" r:id="rId19733" display="https://pbs.twimg.com/profile_images/1610421423/Image2_normal.jpg" xr:uid="{1317B7E9-D0D7-438A-AC98-7A47EC870E53}"/>
    <hyperlink ref="B6388" r:id="rId19734" display="https://twitter.com/dubbusses" xr:uid="{A0EA6B03-7447-48C8-BD09-F276F521FD1D}"/>
    <hyperlink ref="E6388" r:id="rId19735" display="https://twitter.com/dubbusses/status/723952402378940416" xr:uid="{813C6BA5-F0CA-48F1-91DF-E136379CD9E2}"/>
    <hyperlink ref="O6388" r:id="rId19736" display="https://pbs.twimg.com/profile_images/718835727027580928/1ssyQ67y_normal.jpg" xr:uid="{0BFB532A-DF16-46B7-A439-9D05D154A74A}"/>
    <hyperlink ref="B6389" r:id="rId19737" display="https://twitter.com/dubbusses" xr:uid="{7E8F7DA2-C812-4370-8803-CF92CFFE203D}"/>
    <hyperlink ref="E6389" r:id="rId19738" display="https://twitter.com/dubbusses/status/723952429600006144" xr:uid="{5BFF20B6-2BE8-49A3-A30B-FA9D4F25F7A5}"/>
    <hyperlink ref="O6389" r:id="rId19739" display="https://pbs.twimg.com/profile_images/718835727027580928/1ssyQ67y_normal.jpg" xr:uid="{FD01452F-8E70-4220-AFCD-2124EADBDDDB}"/>
    <hyperlink ref="B6390" r:id="rId19740" display="https://twitter.com/dubbusses" xr:uid="{3514077E-DF72-44AA-8D21-9894EBFE7F2D}"/>
    <hyperlink ref="E6390" r:id="rId19741" display="https://twitter.com/dubbusses/status/723952438940717060" xr:uid="{2033AEB7-4AE8-447B-AF62-37148D56DBD2}"/>
    <hyperlink ref="O6390" r:id="rId19742" display="https://pbs.twimg.com/profile_images/718835727027580928/1ssyQ67y_normal.jpg" xr:uid="{F7E92ABD-905E-4BBC-A784-72CFD6144BE4}"/>
    <hyperlink ref="B6391" r:id="rId19743" display="https://twitter.com/dubbusses" xr:uid="{3BDCDADA-D170-4AAA-AF26-1A6FD16C3237}"/>
    <hyperlink ref="E6391" r:id="rId19744" display="https://twitter.com/dubbusses/status/723952458456829952" xr:uid="{2E29BFCE-785B-4838-B770-314E576C4798}"/>
    <hyperlink ref="O6391" r:id="rId19745" display="https://pbs.twimg.com/profile_images/718835727027580928/1ssyQ67y_normal.jpg" xr:uid="{309010DD-7920-405E-A070-5A5DC99FAF26}"/>
    <hyperlink ref="B6392" r:id="rId19746" display="https://twitter.com/swanswaygroup" xr:uid="{5A8458D6-3A0D-4CA3-A726-009C6AA4EB1F}"/>
    <hyperlink ref="E6392" r:id="rId19747" display="https://twitter.com/swanswaygroup/status/723953592319647745" xr:uid="{EF79EEBD-6125-49EF-A69A-71A711FCBA1B}"/>
    <hyperlink ref="O6392" r:id="rId19748" display="https://pbs.twimg.com/profile_images/552037189328982016/r65JRGTS_normal.jpeg" xr:uid="{8CAB584E-FF0E-4D9D-A277-46B1D2D871DA}"/>
    <hyperlink ref="B6393" r:id="rId19749" display="https://twitter.com/crewevw" xr:uid="{B41E1E51-649A-4DE1-B1A0-9108D42FF9FC}"/>
    <hyperlink ref="E6393" r:id="rId19750" display="https://twitter.com/crewevw/status/723953592374161408" xr:uid="{0508AEBF-D3D0-4FC2-A46C-9D59FEE8DB99}"/>
    <hyperlink ref="O6393" r:id="rId19751" display="https://pbs.twimg.com/profile_images/488678354338324481/_qtBruR6_normal.jpeg" xr:uid="{E434B5EA-7EF0-41A4-85E7-FB1E04C74620}"/>
    <hyperlink ref="B6394" r:id="rId19752" display="https://twitter.com/pagiduk" xr:uid="{A333CC5F-2245-470F-873A-73739F99672A}"/>
    <hyperlink ref="E6394" r:id="rId19753" display="https://twitter.com/pagiduk/status/723954129513664513" xr:uid="{D7AFDC19-893B-4398-BA67-92292FB630F5}"/>
    <hyperlink ref="O6394" r:id="rId19754" display="https://pbs.twimg.com/profile_images/540185455459696640/aWvVXgOD_normal.jpeg" xr:uid="{F68FE3DC-BC66-4928-865A-57AEBFF33919}"/>
    <hyperlink ref="B6395" r:id="rId19755" display="https://twitter.com/Harry_Hammer84" xr:uid="{9806334B-AABD-4D5C-9672-32ABB25F6B6E}"/>
    <hyperlink ref="E6395" r:id="rId19756" display="https://twitter.com/Harry_Hammer84/status/723954725188673536" xr:uid="{55B06172-069E-4CAD-BDEE-7F904B1D76CB}"/>
    <hyperlink ref="O6395" r:id="rId19757" display="https://pbs.twimg.com/profile_images/698975675609444353/OL5xE0gm_normal.jpg" xr:uid="{3E7EFA54-4CB6-4EC7-881F-5DA78345FE51}"/>
    <hyperlink ref="B6396" r:id="rId19758" display="https://twitter.com/TheRealBusman73" xr:uid="{FD0D5CE0-60FD-41CB-8045-D329CFEDD11F}"/>
    <hyperlink ref="E6396" r:id="rId19759" display="https://twitter.com/TheRealBusman73/status/723955051857907714" xr:uid="{2D3232B1-B321-48A8-BB09-C2A02941FF78}"/>
    <hyperlink ref="O6396" r:id="rId19760" display="https://pbs.twimg.com/profile_images/1821898729/image_normal.jpg" xr:uid="{DA6D84E2-AF04-41D3-BFD6-CF4B5B01FC8F}"/>
    <hyperlink ref="B6397" r:id="rId19761" display="https://twitter.com/Syrupshits" xr:uid="{2CE2C605-76EA-4290-B8F4-BA71AAB20B04}"/>
    <hyperlink ref="E6397" r:id="rId19762" display="https://twitter.com/Syrupshits/status/723956597475536896" xr:uid="{799E0F93-4790-43AE-8AA2-A260B05D2719}"/>
    <hyperlink ref="O6397" r:id="rId19763" display="https://pbs.twimg.com/profile_images/537978095392022528/6T9M1UwY_normal.jpeg" xr:uid="{8A33C9CD-CC29-4A6E-A602-1143A27550B7}"/>
    <hyperlink ref="P6397" r:id="rId19764" location="52.46403634,0.94627617" display="http://ctrlq.org/maps/address/ - 52.46403634,0.94627617" xr:uid="{315D1678-0F52-485C-8127-FE08D2073272}"/>
    <hyperlink ref="B6398" r:id="rId19765" display="https://twitter.com/Insta_VWT" xr:uid="{686AC0A9-77CC-43DC-A88C-183E730BFF02}"/>
    <hyperlink ref="E6398" r:id="rId19766" display="https://twitter.com/Insta_VWT/status/723956742342774784" xr:uid="{A25A4AE2-193E-4E42-BB4C-2D9A066FD162}"/>
    <hyperlink ref="O6398" r:id="rId19767" display="https://pbs.twimg.com/profile_images/424893967197433858/iQ86NktX_normal.jpeg" xr:uid="{390CE35B-F8FC-4ECD-B27F-8D011033ABCB}"/>
    <hyperlink ref="B6399" r:id="rId19768" display="https://twitter.com/Insta_VWT" xr:uid="{4EC64831-10B1-45F3-BA06-C445B1A1A1BD}"/>
    <hyperlink ref="E6399" r:id="rId19769" display="https://twitter.com/Insta_VWT/status/723956760604737536" xr:uid="{127EE59C-2589-4F43-AC76-FE2D4A6FF049}"/>
    <hyperlink ref="O6399" r:id="rId19770" display="https://pbs.twimg.com/profile_images/424893967197433858/iQ86NktX_normal.jpeg" xr:uid="{4DB796B8-0C67-4D23-AAAE-BB153ACDDD00}"/>
    <hyperlink ref="B6400" r:id="rId19771" display="https://twitter.com/Insta_VWT" xr:uid="{98F0851C-AE21-488C-8F7B-070FFC2A6D4D}"/>
    <hyperlink ref="E6400" r:id="rId19772" display="https://twitter.com/Insta_VWT/status/723956766539702273" xr:uid="{BD8B670D-8CFF-4468-80BF-B7519F3941EC}"/>
    <hyperlink ref="O6400" r:id="rId19773" display="https://pbs.twimg.com/profile_images/424893967197433858/iQ86NktX_normal.jpeg" xr:uid="{0BA66AC3-42D3-454C-9E17-EDE44480E026}"/>
    <hyperlink ref="B6401" r:id="rId19774" display="https://twitter.com/VeeDubMk1_" xr:uid="{C5AA507A-E5A4-4717-8D2F-50C9E90EF546}"/>
    <hyperlink ref="E6401" r:id="rId19775" display="https://twitter.com/VeeDubMk1_/status/723956767269478401" xr:uid="{559BF0DA-BB51-4C1A-BF20-DD9C77054737}"/>
    <hyperlink ref="O6401" r:id="rId19776" display="https://pbs.twimg.com/profile_images/672878354127839232/M7OYc-zx_normal.jpg" xr:uid="{DB7ACA4E-1491-439E-AC72-601E4F6F2178}"/>
    <hyperlink ref="B6402" r:id="rId19777" display="https://twitter.com/VeeDubMk1_" xr:uid="{0355545C-3349-4A74-8736-584D263F869C}"/>
    <hyperlink ref="E6402" r:id="rId19778" display="https://twitter.com/VeeDubMk1_/status/723956771983888384" xr:uid="{BFFDE46B-DA15-4C90-8E15-F880A6817C34}"/>
    <hyperlink ref="O6402" r:id="rId19779" display="https://pbs.twimg.com/profile_images/672878354127839232/M7OYc-zx_normal.jpg" xr:uid="{3D9AC832-6DFD-44D0-A061-4CACD62389E5}"/>
    <hyperlink ref="B6403" r:id="rId19780" display="https://twitter.com/Insta_VWT" xr:uid="{0C05183B-C1D8-44A3-B0A7-67123B4C06EF}"/>
    <hyperlink ref="E6403" r:id="rId19781" display="https://twitter.com/Insta_VWT/status/723956788513611776" xr:uid="{0BA05072-4117-4BF5-BE7E-1A58862D7469}"/>
    <hyperlink ref="O6403" r:id="rId19782" display="https://pbs.twimg.com/profile_images/424893967197433858/iQ86NktX_normal.jpeg" xr:uid="{FA9D0479-4F71-414F-B063-E9E491892012}"/>
    <hyperlink ref="B6404" r:id="rId19783" display="https://twitter.com/FennellMarcus" xr:uid="{21D0DE77-12F6-48F2-9E2D-DEB1CF3599CB}"/>
    <hyperlink ref="E6404" r:id="rId19784" display="https://twitter.com/FennellMarcus/status/723956820801392640" xr:uid="{E0A92E01-95F7-4BBF-96F8-124F22EB42F5}"/>
    <hyperlink ref="O6404" r:id="rId19785" display="https://pbs.twimg.com/profile_images/689135486544293889/vPAeUEzo_normal.jpg" xr:uid="{DF4BA923-1693-43AF-8C9E-3561D22AD1B3}"/>
    <hyperlink ref="B6405" r:id="rId19786" display="https://twitter.com/eastgodjelani" xr:uid="{47BB0812-6D3A-40B5-ACB9-BA3C05458627}"/>
    <hyperlink ref="E6405" r:id="rId19787" display="https://twitter.com/eastgodjelani/status/723956963885867008" xr:uid="{3831CAA9-5D6D-46FD-A727-7ED79CC18B5F}"/>
    <hyperlink ref="O6405" r:id="rId19788" display="https://pbs.twimg.com/profile_images/717246812072099840/c74lY1eg_normal.jpg" xr:uid="{1187A33C-568A-43EF-ADCB-D118519F9D19}"/>
    <hyperlink ref="B6406" r:id="rId19789" display="https://twitter.com/nectechkey" xr:uid="{0F23F18E-E43A-411A-9C9C-6DCD9C7C4DF4}"/>
    <hyperlink ref="E6406" r:id="rId19790" display="https://twitter.com/nectechkey/status/723957206715109376" xr:uid="{2C79FD89-2095-4713-BC5B-883F4AD12E6E}"/>
    <hyperlink ref="O6406" r:id="rId19791" display="https://pbs.twimg.com/profile_images/677916554684719104/lr12_1bS_normal.jpg" xr:uid="{8DE4B0B9-9419-465C-B44E-2F2C41DE98DD}"/>
    <hyperlink ref="B6407" r:id="rId19792" display="https://twitter.com/VolkswagenPost" xr:uid="{34E6E1B9-C4C3-430A-A164-67F568790F85}"/>
    <hyperlink ref="E6407" r:id="rId19793" display="https://twitter.com/VolkswagenPost/status/723957407597113344" xr:uid="{87CECB65-3BB9-4DEA-94CD-CB68E4B2A38D}"/>
    <hyperlink ref="O6407" r:id="rId19794" display="https://pbs.twimg.com/profile_images/530071272881803264/a_jcCmPZ_normal.png" xr:uid="{31BDCAC8-0B4C-4C6A-A3AA-67A9CCA5AADD}"/>
    <hyperlink ref="B6408" r:id="rId19795" display="https://twitter.com/AutoExpress" xr:uid="{0001547A-0239-4A4F-953D-1AA349EBC760}"/>
    <hyperlink ref="E6408" r:id="rId19796" display="https://twitter.com/AutoExpress/status/723957875815538689" xr:uid="{2DC05B8E-C2F5-4AF4-A9E3-C22A698FBC05}"/>
    <hyperlink ref="O6408" r:id="rId19797" display="https://pbs.twimg.com/profile_images/378800000673633859/9729e4c280465095c6f835c9f6b36378_normal.jpeg" xr:uid="{28481D1E-2558-4DA9-AD31-04D9B13C6CDE}"/>
    <hyperlink ref="B6409" r:id="rId19798" display="https://twitter.com/JCristianGF" xr:uid="{994793B9-29AF-42A6-B982-244D554BB1CB}"/>
    <hyperlink ref="E6409" r:id="rId19799" display="https://twitter.com/JCristianGF/status/723958085367123969" xr:uid="{31662789-AA16-4F15-874F-4F8DC690E4CE}"/>
    <hyperlink ref="O6409" r:id="rId19800" display="https://pbs.twimg.com/profile_images/683097267247554560/mO-D6l-F_normal.png" xr:uid="{FF923F88-2EE5-453F-9784-988AEF5DFC54}"/>
    <hyperlink ref="B6410" r:id="rId19801" display="https://twitter.com/VWCamperSales" xr:uid="{25DD54AB-DC67-4C0F-B51F-37C3BC21F4CB}"/>
    <hyperlink ref="E6410" r:id="rId19802" display="https://twitter.com/VWCamperSales/status/723958653309456385" xr:uid="{20438159-D38C-460C-AC3E-274BCD8CF52E}"/>
    <hyperlink ref="F6410" r:id="rId19803" xr:uid="{3C4E95AC-FD69-46BB-A1F6-9B0011B4F74C}"/>
    <hyperlink ref="O6410" r:id="rId19804" display="https://pbs.twimg.com/profile_images/627949001179037696/skEBkS05_normal.jpg" xr:uid="{9772C67A-DF8F-4F6B-9D94-49B8F2614BEA}"/>
    <hyperlink ref="B6411" r:id="rId19805" display="https://twitter.com/Srry_I_ddnt_kno" xr:uid="{3319CB05-F5BB-455F-A5D8-CD3233863C76}"/>
    <hyperlink ref="E6411" r:id="rId19806" display="https://twitter.com/Srry_I_ddnt_kno/status/723959102288875520" xr:uid="{B02CE486-4532-450D-89E3-E85AAA60F159}"/>
    <hyperlink ref="O6411" r:id="rId19807" display="https://pbs.twimg.com/profile_images/654379371449421825/wDuXHoqa_normal.jpg" xr:uid="{72B1080D-3B27-4BF0-B2B2-FE199DBB0405}"/>
    <hyperlink ref="B6412" r:id="rId19808" display="https://twitter.com/hashtagvanlife" xr:uid="{4F0DEB47-F0C1-456A-9C08-81C968C53E2B}"/>
    <hyperlink ref="E6412" r:id="rId19809" display="https://twitter.com/hashtagvanlife/status/723959627671580672" xr:uid="{F21AE451-B76B-43CC-8637-07D21687597D}"/>
    <hyperlink ref="O6412" r:id="rId19810" display="https://pbs.twimg.com/profile_images/653637535545995264/gHuXQ5Bt_normal.jpg" xr:uid="{A3586AA9-DBAC-4CB0-BB7C-7741D79B15DD}"/>
    <hyperlink ref="B6413" r:id="rId19811" display="https://twitter.com/VolkswagenPost" xr:uid="{62329DC9-19AB-43DF-A150-A583FD20E415}"/>
    <hyperlink ref="E6413" r:id="rId19812" display="https://twitter.com/VolkswagenPost/status/723960086574575616" xr:uid="{C6998C2F-EC73-4F00-AAE6-30BCF14A3AC8}"/>
    <hyperlink ref="O6413" r:id="rId19813" display="https://pbs.twimg.com/profile_images/530071272881803264/a_jcCmPZ_normal.png" xr:uid="{54386F47-F5BA-4BBF-9F02-F4586610D598}"/>
    <hyperlink ref="B6414" r:id="rId19814" display="https://twitter.com/VolkswagenPost" xr:uid="{94A52AB8-4260-4AB4-9130-AB1B76BB9024}"/>
    <hyperlink ref="E6414" r:id="rId19815" display="https://twitter.com/VolkswagenPost/status/723960087866429440" xr:uid="{9E172D63-FF38-40B2-A8A2-731BC87C58A1}"/>
    <hyperlink ref="O6414" r:id="rId19816" display="https://pbs.twimg.com/profile_images/530071272881803264/a_jcCmPZ_normal.png" xr:uid="{535A5890-20B4-48D3-AB3B-B15F5BA9C0BC}"/>
    <hyperlink ref="B6415" r:id="rId19817" display="https://twitter.com/berlinhabercom" xr:uid="{574F0D10-366A-4055-B4BE-CB50F50E25DD}"/>
    <hyperlink ref="C6415" r:id="rId19818" xr:uid="{B51465AD-4FC8-4DB4-9251-0C059DD4FF52}"/>
    <hyperlink ref="E6415" r:id="rId19819" display="https://twitter.com/berlinhabercom/status/723960548258394113" xr:uid="{BDA816A1-E2F4-494A-95DD-831485EEF893}"/>
    <hyperlink ref="O6415" r:id="rId19820" display="https://pbs.twimg.com/profile_images/473555745741344768/83uhhxQy_normal.jpeg" xr:uid="{15A4E150-C3B3-415B-A3D7-80D28AFE5260}"/>
    <hyperlink ref="B6416" r:id="rId19821" display="https://twitter.com/rallyargentina" xr:uid="{911B6F85-0FE1-4AF5-BFAB-3525E700A86D}"/>
    <hyperlink ref="E6416" r:id="rId19822" display="https://twitter.com/rallyargentina/status/723960875393101824" xr:uid="{8C1F3CDB-800A-47CB-93E7-0FF96F9F8EED}"/>
    <hyperlink ref="O6416" r:id="rId19823" display="https://pbs.twimg.com/profile_images/715939545305505792/puyqE4PS_normal.jpg" xr:uid="{71F3DF8E-AA9F-4AC7-A30E-F72BF9FE373B}"/>
    <hyperlink ref="B6417" r:id="rId19824" display="https://twitter.com/ThaiQashqaiClub" xr:uid="{7DF3D50E-4F4C-419E-9642-EC5AC10487FA}"/>
    <hyperlink ref="E6417" r:id="rId19825" display="https://twitter.com/ThaiQashqaiClub/status/723960878077480961" xr:uid="{758B6E52-1A60-45FA-863E-45C1D5A062C8}"/>
    <hyperlink ref="O6417" r:id="rId19826" display="https://pbs.twimg.com/profile_images/414218985224142848/lFUdEAne_normal.jpeg" xr:uid="{970B455D-A121-4131-8728-76FAB35A50E7}"/>
    <hyperlink ref="B6418" r:id="rId19827" display="https://twitter.com/elmatirusso" xr:uid="{EB883AB2-1ABD-4F98-86AB-87D386A36582}"/>
    <hyperlink ref="E6418" r:id="rId19828" display="https://twitter.com/elmatirusso/status/723960995241164801" xr:uid="{B001146F-E406-469E-951C-91900425C0F6}"/>
    <hyperlink ref="O6418" r:id="rId19829" display="https://pbs.twimg.com/profile_images/1630887720/foto_rally_normal.jpg" xr:uid="{090D6DA0-FB7A-4095-AC97-19DBAF46F836}"/>
    <hyperlink ref="B6419" r:id="rId19830" display="https://twitter.com/BaCuadros" xr:uid="{7D3D45D6-5948-47E1-BDA9-2EEF1A2FA5FC}"/>
    <hyperlink ref="E6419" r:id="rId19831" display="https://twitter.com/BaCuadros/status/723961016510480385" xr:uid="{E0D295CA-EECB-446C-A0C1-11FF2252C38C}"/>
    <hyperlink ref="O6419" r:id="rId19832" display="https://pbs.twimg.com/profile_images/3440349262/59758fc2d4ef13f0864497716fa9d8e3_normal.jpeg" xr:uid="{CFD9C503-B8E6-43B1-B86F-9FBF1035D9C2}"/>
    <hyperlink ref="B6420" r:id="rId19833" display="https://twitter.com/LeoDesimone6" xr:uid="{3BA7DFDE-395A-441B-A925-6BB72B37BF05}"/>
    <hyperlink ref="E6420" r:id="rId19834" display="https://twitter.com/LeoDesimone6/status/723961086999969792" xr:uid="{7D9E1EBD-2A6E-474D-AF86-41DDC5ABCD99}"/>
    <hyperlink ref="O6420" r:id="rId19835" display="https://pbs.twimg.com/profile_images/506640892044656640/9hLA6C7l_normal.jpeg" xr:uid="{34D24317-FD2F-463B-974B-A5E89F402055}"/>
    <hyperlink ref="B6421" r:id="rId19836" display="https://twitter.com/gustaricar2013" xr:uid="{3E4AB855-22BC-435D-91CB-4CDCFB710427}"/>
    <hyperlink ref="E6421" r:id="rId19837" display="https://twitter.com/gustaricar2013/status/723961092817428480" xr:uid="{7CECD6FB-AA63-4553-A45D-0CAED02350BE}"/>
    <hyperlink ref="O6421" r:id="rId19838" display="https://pbs.twimg.com/profile_images/711890317448904704/wabvMcxR_normal.jpg" xr:uid="{54CCC79E-4C5B-4407-B254-0CA3199359F1}"/>
    <hyperlink ref="B6422" r:id="rId19839" display="https://twitter.com/probusol" xr:uid="{9C4A60B2-8E86-47CD-A85C-462DBAE4BA81}"/>
    <hyperlink ref="E6422" r:id="rId19840" display="https://twitter.com/probusol/status/723961120655069185" xr:uid="{1EC61597-459B-476E-A69F-82F7585325DB}"/>
    <hyperlink ref="O6422" r:id="rId19841" display="https://pbs.twimg.com/profile_images/659418025528029184/qxDTeU_Q_normal.jpg" xr:uid="{AA0E0133-88D2-46DC-865A-9BE3598BCFFB}"/>
    <hyperlink ref="B6423" r:id="rId19842" display="https://twitter.com/BerniWan" xr:uid="{F627C913-6AE9-4A45-94EA-4C3BDE55AF23}"/>
    <hyperlink ref="E6423" r:id="rId19843" display="https://twitter.com/BerniWan/status/723961217174351872" xr:uid="{39F69EEA-068D-4F8E-A9D2-6020727F0964}"/>
    <hyperlink ref="O6423" r:id="rId19844" display="https://pbs.twimg.com/profile_images/462080171680358400/6kbeHuCz_normal.jpeg" xr:uid="{BB6966F8-400C-4557-A59A-A76E45466F10}"/>
    <hyperlink ref="B6424" r:id="rId19845" display="https://twitter.com/RTLRally" xr:uid="{C7218C98-3984-4C7B-97EF-1AD1C3A3A579}"/>
    <hyperlink ref="E6424" r:id="rId19846" display="https://twitter.com/RTLRally/status/723961297050714112" xr:uid="{D600DA5F-0C39-45B8-81EE-C40F61BE914F}"/>
    <hyperlink ref="O6424" r:id="rId19847" display="https://pbs.twimg.com/profile_images/711506516294041600/1fr0IryT_normal.jpg" xr:uid="{CC2B9F31-89EF-4252-A733-BDD8AF68D18F}"/>
    <hyperlink ref="B6425" r:id="rId19848" display="https://twitter.com/anlofa" xr:uid="{3D34EA29-2560-414C-85BF-A67BE316CAF1}"/>
    <hyperlink ref="E6425" r:id="rId19849" display="https://twitter.com/anlofa/status/723961355884175360" xr:uid="{BE62674A-1170-4CFC-8B76-C20C72D9189B}"/>
    <hyperlink ref="O6425" r:id="rId19850" display="https://pbs.twimg.com/profile_images/378800000547911829/e37e652d6980801bbc7cd7346e1a8510_normal.png" xr:uid="{C2330F66-F7C6-49EC-9E1F-91AC18E1C27E}"/>
    <hyperlink ref="B6426" r:id="rId19851" display="https://twitter.com/retodiariomx" xr:uid="{7D8B1E96-29CB-469A-9129-7D70722BFCBF}"/>
    <hyperlink ref="E6426" r:id="rId19852" display="https://twitter.com/retodiariomx/status/723961357951856640" xr:uid="{81BD33CE-3EC3-40D7-93B6-F4F0F09A2422}"/>
    <hyperlink ref="O6426" r:id="rId19853" display="https://pbs.twimg.com/profile_images/665618632802615297/ejRWRQP7_normal.jpg" xr:uid="{737D7EF9-C436-4D41-9176-CD6583D72BB5}"/>
    <hyperlink ref="B6427" r:id="rId19854" display="https://twitter.com/FabryB_" xr:uid="{1C97F346-36D6-4AB2-81F1-AA70C1A8A29D}"/>
    <hyperlink ref="E6427" r:id="rId19855" display="https://twitter.com/FabryB_/status/723961364985856000" xr:uid="{43C801AD-76EE-4944-A0D8-240F8FA29C9D}"/>
    <hyperlink ref="O6427" r:id="rId19856" display="https://pbs.twimg.com/profile_images/670833711500382208/ZJIS351m_normal.jpg" xr:uid="{E47A0280-49F8-4959-824E-7ACED354221E}"/>
    <hyperlink ref="B6428" r:id="rId19857" display="https://twitter.com/RallyLatam" xr:uid="{8F7874FD-4DA7-43C2-BEB2-B74778C6C4AC}"/>
    <hyperlink ref="E6428" r:id="rId19858" display="https://twitter.com/RallyLatam/status/723961627972870149" xr:uid="{D7AA76CE-4986-4598-B890-B7D1819E8930}"/>
    <hyperlink ref="O6428" r:id="rId19859" display="https://pbs.twimg.com/profile_images/582604276679249920/tYpGG9aP_normal.jpg" xr:uid="{E5C0724E-D190-4502-A234-1715082EC585}"/>
    <hyperlink ref="B6429" r:id="rId19860" display="https://twitter.com/j_a_n_30" xr:uid="{8EAD9FDD-64C5-449B-9F58-06389D52F311}"/>
    <hyperlink ref="E6429" r:id="rId19861" display="https://twitter.com/j_a_n_30/status/723961633870102528" xr:uid="{D36EF2B3-B525-474A-AEA7-EC1DDD52BE6E}"/>
    <hyperlink ref="O6429" r:id="rId19862" display="https://pbs.twimg.com/profile_images/585052636052881409/sX3eccwq_normal.jpg" xr:uid="{8BB08D7C-A6A0-4723-9C58-522878C61A49}"/>
    <hyperlink ref="B6430" r:id="rId19863" display="https://twitter.com/Gandalfwasme" xr:uid="{F763AE03-56F5-4DF2-A0BC-76052663A0E0}"/>
    <hyperlink ref="E6430" r:id="rId19864" display="https://twitter.com/Gandalfwasme/status/723961749918101506" xr:uid="{F14EF41A-8306-482F-99E3-CBBBF41710FC}"/>
    <hyperlink ref="O6430" r:id="rId19865" display="https://pbs.twimg.com/profile_images/2633049619/5553f14b2531e78260c667ecc0ecc3eb_normal.jpeg" xr:uid="{05D6EC87-C6F2-432F-B300-ED8F84EB1105}"/>
    <hyperlink ref="B6431" r:id="rId19866" display="https://twitter.com/VWBeetleSales" xr:uid="{F8F7EAD7-6AC6-4667-BBAC-EAD365820C69}"/>
    <hyperlink ref="E6431" r:id="rId19867" display="https://twitter.com/VWBeetleSales/status/723962042969821184" xr:uid="{0912C8C7-6508-4068-8694-0078CD5BCF37}"/>
    <hyperlink ref="F6431" r:id="rId19868" xr:uid="{2DAEC7FD-343E-4676-A02B-EA90ACF05052}"/>
    <hyperlink ref="O6431" r:id="rId19869" display="https://pbs.twimg.com/profile_images/703294545195307008/qeCvrX86_normal.jpg" xr:uid="{85C09794-FB54-4382-9A67-C2800A47AFCC}"/>
    <hyperlink ref="B6432" r:id="rId19870" display="https://twitter.com/Cris_Lagos" xr:uid="{6F942D10-07B5-4025-AD98-3D2DC588F9F3}"/>
    <hyperlink ref="E6432" r:id="rId19871" display="https://twitter.com/Cris_Lagos/status/723962243948392448" xr:uid="{DCB64D1E-C5F8-476E-990D-3A73D30FDFEF}"/>
    <hyperlink ref="O6432" r:id="rId19872" display="https://pbs.twimg.com/profile_images/634753238768689152/WdxhkVNO_normal.jpg" xr:uid="{C334902A-2CE6-47B8-B5AE-6EE984785A37}"/>
    <hyperlink ref="B6433" r:id="rId19873" display="https://twitter.com/RallyCuenca" xr:uid="{11ED9DD2-3FE6-4CC0-B96F-B99287041244}"/>
    <hyperlink ref="E6433" r:id="rId19874" display="https://twitter.com/RallyCuenca/status/723962328186818560" xr:uid="{34C7DA83-A673-4073-9ADE-2E78FE61D6A3}"/>
    <hyperlink ref="O6433" r:id="rId19875" display="https://pbs.twimg.com/profile_images/711042006823387137/YnqVfTfq_normal.jpg" xr:uid="{896026E8-0F37-43D0-82AF-E2BF6DA86A25}"/>
    <hyperlink ref="B6434" r:id="rId19876" display="https://twitter.com/Marilynnavas1" xr:uid="{6AF43282-BE0C-40FA-8717-0BB9905A3713}"/>
    <hyperlink ref="E6434" r:id="rId19877" display="https://twitter.com/Marilynnavas1/status/723962338764791809" xr:uid="{F6BD3075-E874-474A-A4F3-28DD3B9F736D}"/>
    <hyperlink ref="O6434" r:id="rId19878" display="https://pbs.twimg.com/profile_images/446753975371853825/Mbe_Q1qL_normal.jpeg" xr:uid="{43BDE085-15C9-420E-8A2C-A64A87721F0D}"/>
    <hyperlink ref="B6435" r:id="rId19879" display="https://twitter.com/JoMoWRC" xr:uid="{D7BB929B-F801-48C1-96F2-96663D7BCFE8}"/>
    <hyperlink ref="E6435" r:id="rId19880" display="https://twitter.com/JoMoWRC/status/723962465504116736" xr:uid="{576FA867-FF3A-4BBA-883D-5C182ECA2A7A}"/>
    <hyperlink ref="O6435" r:id="rId19881" display="https://pbs.twimg.com/profile_images/688319995579887616/aJ58T7Ve_normal.jpg" xr:uid="{AE314C37-CF17-41FA-BED0-5ABE0BF88A62}"/>
    <hyperlink ref="B6436" r:id="rId19882" display="https://twitter.com/andym1908" xr:uid="{ACDB1220-78E4-495F-B7AF-D32AAD92FC29}"/>
    <hyperlink ref="E6436" r:id="rId19883" display="https://twitter.com/andym1908/status/723962709641973768" xr:uid="{9C70EA0E-6246-4498-8716-19F9006CA58E}"/>
    <hyperlink ref="O6436" r:id="rId19884" display="https://pbs.twimg.com/profile_images/499178356295094272/IWQKuDTS_normal.jpeg" xr:uid="{98E05DA0-C381-464B-92D4-236B713D7189}"/>
    <hyperlink ref="B6437" r:id="rId19885" display="https://twitter.com/choyo_aguero" xr:uid="{3A3EA9B1-927A-4FFD-B507-A4BE0F136161}"/>
    <hyperlink ref="E6437" r:id="rId19886" display="https://twitter.com/choyo_aguero/status/723962765023559680" xr:uid="{7F9753F4-5D4E-4094-9F69-351F5B8DC943}"/>
    <hyperlink ref="O6437" r:id="rId19887" display="https://pbs.twimg.com/profile_images/537308468362108928/xAH3zfbV_normal.jpeg" xr:uid="{7C81E63C-6193-4584-A1A9-0C84BADB5175}"/>
    <hyperlink ref="B6438" r:id="rId19888" display="https://twitter.com/Miau21Rally" xr:uid="{1882C8BE-E6B8-4DE9-B3BC-E3101AAC2E9B}"/>
    <hyperlink ref="E6438" r:id="rId19889" display="https://twitter.com/Miau21Rally/status/723962842274254848" xr:uid="{3F0C1795-B73B-4267-B897-55876A43CA63}"/>
    <hyperlink ref="O6438" r:id="rId19890" display="https://pbs.twimg.com/profile_images/690102462921990144/IwQRKCQg_normal.png" xr:uid="{A836C84C-5E93-40A1-BEF2-B0272D9D4E37}"/>
    <hyperlink ref="B6439" r:id="rId19891" display="https://twitter.com/esoto2605" xr:uid="{7BFD4D73-9161-4DFA-8512-A89CC511DF34}"/>
    <hyperlink ref="E6439" r:id="rId19892" display="https://twitter.com/esoto2605/status/723962855364632576" xr:uid="{4ADC0168-1D14-4EFD-B8F4-146D9C937136}"/>
    <hyperlink ref="O6439" r:id="rId19893" display="https://pbs.twimg.com/profile_images/681129306446258176/SCn8_tXF_normal.jpg" xr:uid="{03BA3697-CA5D-4108-8646-08868E19EED5}"/>
    <hyperlink ref="B6440" r:id="rId19894" display="https://twitter.com/Panchi_Ferraro" xr:uid="{EDAF87D2-CF58-4F1D-8D72-EA6BAB9CBEE4}"/>
    <hyperlink ref="E6440" r:id="rId19895" display="https://twitter.com/Panchi_Ferraro/status/723962902089179137" xr:uid="{8C0D3E33-08DF-403D-A597-1476A8D162D9}"/>
    <hyperlink ref="O6440" r:id="rId19896" display="https://pbs.twimg.com/profile_images/454797576051511296/Bgp8_NVp_normal.jpeg" xr:uid="{34DEE3E3-9F0B-45F1-B67B-DEA0F8907139}"/>
    <hyperlink ref="B6441" r:id="rId19897" display="https://twitter.com/mrodrireus" xr:uid="{B2FCB54F-C17C-4EDB-8DA4-A8971A808236}"/>
    <hyperlink ref="E6441" r:id="rId19898" display="https://twitter.com/mrodrireus/status/723963013171150848" xr:uid="{92B96C2A-B523-453E-86F7-08DF0A018835}"/>
    <hyperlink ref="O6441" r:id="rId19899" display="https://pbs.twimg.com/profile_images/666290978303696898/QbmF7kVR_normal.jpg" xr:uid="{B22E0F28-9B54-4C1D-9D65-1D57C6B1394B}"/>
    <hyperlink ref="B6442" r:id="rId19900" display="https://twitter.com/lauriky78" xr:uid="{89C14E6F-264F-4F8F-AF02-0ADBA213EE2B}"/>
    <hyperlink ref="E6442" r:id="rId19901" display="https://twitter.com/lauriky78/status/723963131152728064" xr:uid="{4F44FDEC-99D0-4841-9DE3-8AF8675F19D4}"/>
    <hyperlink ref="O6442" r:id="rId19902" display="https://pbs.twimg.com/profile_images/706238230367244288/v80wwtFx_normal.jpg" xr:uid="{D16F52F9-F31C-49F4-9A4F-A727EDBF24AE}"/>
    <hyperlink ref="B6443" r:id="rId19903" display="https://twitter.com/majkStyle" xr:uid="{C8D6439D-01AD-48F0-AD7F-FAD2CD5B129A}"/>
    <hyperlink ref="E6443" r:id="rId19904" display="https://twitter.com/majkStyle/status/723963158038233088" xr:uid="{78BF14FF-72C0-49D6-AF09-2E33F80801D4}"/>
    <hyperlink ref="O6443" r:id="rId19905" display="https://pbs.twimg.com/profile_images/655740677121310724/P1rtaUl__normal.jpg" xr:uid="{CA6EDA4D-1358-4E79-8BDD-A35804BB1AD9}"/>
    <hyperlink ref="B6444" r:id="rId19906" display="https://twitter.com/daniel19makau" xr:uid="{F768C89A-D825-499C-B19A-47566CF26E12}"/>
    <hyperlink ref="E6444" r:id="rId19907" display="https://twitter.com/daniel19makau/status/723963174194548741" xr:uid="{EA830193-7D0B-4A43-B207-12E84E391879}"/>
    <hyperlink ref="O6444" r:id="rId19908" display="https://pbs.twimg.com/profile_images/723604054102798337/7hKrk6TJ_normal.jpg" xr:uid="{C0B80A96-0097-4F6D-A79F-78A770D20AFC}"/>
    <hyperlink ref="B6445" r:id="rId19909" display="https://twitter.com/FranNafarrate" xr:uid="{E9196CF6-A1FD-45B6-89F0-B7E718E65EED}"/>
    <hyperlink ref="E6445" r:id="rId19910" display="https://twitter.com/FranNafarrate/status/723963229559463937" xr:uid="{8230E5DE-7099-4E23-8C03-518C5230F7FC}"/>
    <hyperlink ref="O6445" r:id="rId19911" display="https://pbs.twimg.com/profile_images/703982704417701890/fM-ekylE_normal.jpg" xr:uid="{8457C36C-6F31-40E9-A57D-20CFF0DFABA5}"/>
    <hyperlink ref="B6446" r:id="rId19912" display="https://twitter.com/RALLY_PRIMERA" xr:uid="{CF2BABED-3E5B-4FD0-96B8-0E96B0D6362E}"/>
    <hyperlink ref="E6446" r:id="rId19913" display="https://twitter.com/RALLY_PRIMERA/status/723963285490556928" xr:uid="{B1666F39-B942-4174-96D6-E09CA68ADE51}"/>
    <hyperlink ref="O6446" r:id="rId19914" display="https://pbs.twimg.com/profile_images/714507195304517639/UIfr3nS-_normal.jpg" xr:uid="{61E223F4-47F7-4E34-8E3C-3BACCDB21753}"/>
    <hyperlink ref="B6447" r:id="rId19915" display="https://twitter.com/SobreRuedasLT9" xr:uid="{6C713232-75FB-48FC-BF56-A216C03F4235}"/>
    <hyperlink ref="E6447" r:id="rId19916" display="https://twitter.com/SobreRuedasLT9/status/723963421436317696" xr:uid="{B4B186C3-7EE5-4B9F-8F86-3B5377A5C7FA}"/>
    <hyperlink ref="O6447" r:id="rId19917" display="https://pbs.twimg.com/profile_images/378800000410719313/96dad96032234dd8c1a40c5ada7ce5ed_normal.jpeg" xr:uid="{7E9C75DB-405B-425D-90B8-E10A6F15E0FB}"/>
    <hyperlink ref="B6448" r:id="rId19918" display="https://twitter.com/nunezjuanc" xr:uid="{C272B429-74EE-4C14-AD4C-D3E49035D706}"/>
    <hyperlink ref="E6448" r:id="rId19919" display="https://twitter.com/nunezjuanc/status/723963659840569344" xr:uid="{F1DF00F3-0732-452E-AE42-537FFAA5B5F4}"/>
    <hyperlink ref="O6448" r:id="rId19920" display="https://pbs.twimg.com/profile_images/629451247087714305/Uq5bS8GX_normal.jpg" xr:uid="{997F86A3-FC5A-4433-AB66-FC7EEE427894}"/>
    <hyperlink ref="B6449" r:id="rId19921" display="https://twitter.com/SamuuNieto22" xr:uid="{7D40B494-2ECB-417E-B6D4-0B0F57196377}"/>
    <hyperlink ref="E6449" r:id="rId19922" display="https://twitter.com/SamuuNieto22/status/723963719437418497" xr:uid="{F22B448F-9D1D-42EA-94CF-6DA5EF7E78EA}"/>
    <hyperlink ref="O6449" r:id="rId19923" display="https://pbs.twimg.com/profile_images/706945389505744896/JCIK9T_N_normal.jpg" xr:uid="{AE2615F0-E301-4FC7-BC75-2B374F15F7FA}"/>
    <hyperlink ref="B6450" r:id="rId19924" display="https://twitter.com/frank_wrc" xr:uid="{C691B314-BBD1-4CCF-A925-C3CECCCA9421}"/>
    <hyperlink ref="E6450" r:id="rId19925" display="https://twitter.com/frank_wrc/status/723963747837071361" xr:uid="{0E3F541B-1D0B-4421-9B16-4BB5414DCBE4}"/>
    <hyperlink ref="O6450" r:id="rId19926" display="https://pbs.twimg.com/profile_images/556669044300853248/dIL6Pm-3_normal.jpeg" xr:uid="{3C6C2694-090D-4CB3-9A95-4CAE26F63DB4}"/>
    <hyperlink ref="B6451" r:id="rId19927" display="https://twitter.com/OseaesO" xr:uid="{8E0C546E-C0D8-409E-8183-5E7F0E712DD0}"/>
    <hyperlink ref="E6451" r:id="rId19928" display="https://twitter.com/OseaesO/status/723964140964974593" xr:uid="{8E6A2C04-2ADD-42C1-A114-66B880B151DA}"/>
    <hyperlink ref="O6451" r:id="rId19929" display="https://pbs.twimg.com/profile_images/2170953039/Gargola_normal.jpeg" xr:uid="{7D7394E8-40BE-4463-A85C-9CF8519280D3}"/>
    <hyperlink ref="B6452" r:id="rId19930" display="https://twitter.com/DanielKalan" xr:uid="{CA64576E-3C04-4197-8CE8-7126DA708AFF}"/>
    <hyperlink ref="E6452" r:id="rId19931" display="https://twitter.com/DanielKalan/status/723964161840058368" xr:uid="{44CC47DB-6715-4334-A8A8-9181E0AA4DF3}"/>
    <hyperlink ref="O6452" r:id="rId19932" display="https://pbs.twimg.com/profile_images/479939110/desni-bek_normal.jpg" xr:uid="{DB02C168-CB58-4CD9-8840-0FC0D1D38210}"/>
    <hyperlink ref="B6453" r:id="rId19933" display="https://twitter.com/JoaquinCantelmi" xr:uid="{6CAB7AE5-DC37-46EC-A302-4190C22C252F}"/>
    <hyperlink ref="E6453" r:id="rId19934" display="https://twitter.com/JoaquinCantelmi/status/723964279351853056" xr:uid="{4CFBE073-78F5-4258-93EF-9A8C219ADBA8}"/>
    <hyperlink ref="O6453" r:id="rId19935" display="https://pbs.twimg.com/profile_images/712305493759434752/vTv8-04u_normal.jpg" xr:uid="{645AA973-338F-4A2D-A4CA-CE4AACE3CF1E}"/>
    <hyperlink ref="B6454" r:id="rId19936" display="https://twitter.com/Cari_Leiva" xr:uid="{5EBF665E-CD02-495F-B3C7-C5C1C94D3C3C}"/>
    <hyperlink ref="E6454" r:id="rId19937" display="https://twitter.com/Cari_Leiva/status/723964374294138882" xr:uid="{90E05B72-ED49-42EE-B86F-D76F87F9DF3A}"/>
    <hyperlink ref="O6454" r:id="rId19938" display="https://pbs.twimg.com/profile_images/692144043954978818/xEphL9kI_normal.jpg" xr:uid="{093E0526-C4B6-4504-B922-705D4C53C9FA}"/>
    <hyperlink ref="B6455" r:id="rId19939" display="https://twitter.com/VWsightings" xr:uid="{15F1B129-38D0-4F13-A6F5-CA1671CB6880}"/>
    <hyperlink ref="E6455" r:id="rId19940" display="https://twitter.com/VWsightings/status/723964434637578240" xr:uid="{E120D64B-EB26-4120-8F51-A3B757418B97}"/>
    <hyperlink ref="O6455" r:id="rId19941" display="https://pbs.twimg.com/profile_images/378800000854855954/0d555726054b01e3c9d6b5241432dc4a_normal.jpeg" xr:uid="{AD02FDBD-4E5F-41B6-A6F3-FAC59BD9366F}"/>
    <hyperlink ref="B6456" r:id="rId19942" display="https://twitter.com/CooperOffroad" xr:uid="{C7C88EA3-D04C-4F87-B3F6-20CF27731866}"/>
    <hyperlink ref="E6456" r:id="rId19943" display="https://twitter.com/CooperOffroad/status/723964621837754368" xr:uid="{E4EF5D15-992F-479A-B6D4-B7FF9E72C8D8}"/>
    <hyperlink ref="O6456" r:id="rId19944" display="https://pbs.twimg.com/profile_images/672615786909929472/B_PlRu77_normal.jpg" xr:uid="{8B3F530B-5264-4174-8871-F381A1D2AD5C}"/>
    <hyperlink ref="B6457" r:id="rId19945" display="https://twitter.com/bneilbel" xr:uid="{1C5DB598-212A-460F-98B2-3B66BAD1B41C}"/>
    <hyperlink ref="E6457" r:id="rId19946" display="https://twitter.com/bneilbel/status/723964773487005696" xr:uid="{243229E6-03D9-4484-B62C-EB1749A6C4B6}"/>
    <hyperlink ref="O6457" r:id="rId19947" display="https://pbs.twimg.com/profile_images/391720090/Copy_of_Put-in-BAy_004_normal.jpg" xr:uid="{408CE9F1-72EF-4A02-8561-C3167D658597}"/>
    <hyperlink ref="B6458" r:id="rId19948" display="https://twitter.com/acvwpassion" xr:uid="{3821DCDC-5E8C-4C2B-9CC0-F1CC5228F5ED}"/>
    <hyperlink ref="E6458" r:id="rId19949" display="https://twitter.com/acvwpassion/status/723964864683712512" xr:uid="{B7C42848-78CF-4326-B966-091FF040EB83}"/>
    <hyperlink ref="O6458" r:id="rId19950" display="https://pbs.twimg.com/profile_images/545688359964651520/SF3sJ7lv_normal.jpeg" xr:uid="{B23C5EE8-CAFA-463F-A510-4A856499D968}"/>
    <hyperlink ref="B6459" r:id="rId19951" display="https://twitter.com/bneilbel" xr:uid="{951AEDD5-D0F4-4CC0-92BD-93C156C525D0}"/>
    <hyperlink ref="E6459" r:id="rId19952" display="https://twitter.com/bneilbel/status/723964921004871681" xr:uid="{563B218A-E607-4298-924B-24520729086B}"/>
    <hyperlink ref="O6459" r:id="rId19953" display="https://pbs.twimg.com/profile_images/391720090/Copy_of_Put-in-BAy_004_normal.jpg" xr:uid="{9327A054-B6A6-4A20-8F16-684DCCD8B1F9}"/>
    <hyperlink ref="B6460" r:id="rId19954" display="https://twitter.com/ctrangoni" xr:uid="{2032085C-01EF-4B66-9C03-E2DDB57F2126}"/>
    <hyperlink ref="E6460" r:id="rId19955" display="https://twitter.com/ctrangoni/status/723965000314966017" xr:uid="{3A40A541-AD35-402E-A2F2-7A9E63025CEB}"/>
    <hyperlink ref="O6460" r:id="rId19956" display="https://pbs.twimg.com/profile_images/692558623059415041/wLucfN4M_normal.jpg" xr:uid="{EAF64330-3802-430F-8004-FDEC9DE17BC7}"/>
    <hyperlink ref="B6461" r:id="rId19957" display="https://twitter.com/bneilbel" xr:uid="{F2473A1F-0A21-4C68-8D68-FC8514FE0438}"/>
    <hyperlink ref="E6461" r:id="rId19958" display="https://twitter.com/bneilbel/status/723965009622110211" xr:uid="{2DFE3B93-BEB8-47BD-B0A4-66DA3CF4BE25}"/>
    <hyperlink ref="O6461" r:id="rId19959" display="https://pbs.twimg.com/profile_images/391720090/Copy_of_Put-in-BAy_004_normal.jpg" xr:uid="{9DF9BDB6-69FD-48EB-9958-14D9F519446C}"/>
    <hyperlink ref="B6462" r:id="rId19960" display="https://twitter.com/SPAGartner" xr:uid="{31BE8446-1BE6-442F-A085-B6ED5BEE4B2C}"/>
    <hyperlink ref="E6462" r:id="rId19961" display="https://twitter.com/SPAGartner/status/723965127939248128" xr:uid="{928737CF-9C2D-4F7D-B1F1-EA3F1F4BA1FC}"/>
    <hyperlink ref="O6462" r:id="rId19962" display="https://pbs.twimg.com/profile_images/661266283556655104/HKDE-JBV_normal.jpg" xr:uid="{473CF106-3F62-41CB-B1E9-8C197CF62803}"/>
    <hyperlink ref="B6463" r:id="rId19963" display="https://twitter.com/PanchoName" xr:uid="{3DE144BC-5ACC-4982-88E9-21B64B582784}"/>
    <hyperlink ref="E6463" r:id="rId19964" display="https://twitter.com/PanchoName/status/723965368050454528" xr:uid="{77CA9850-B11C-4162-8D91-CFED8EAF1655}"/>
    <hyperlink ref="O6463" r:id="rId19965" display="https://pbs.twimg.com/profile_images/1171030197/DSCF3093_normal.JPG" xr:uid="{EA0308FE-229E-4F7D-B341-33384A8C1A3F}"/>
    <hyperlink ref="B6464" r:id="rId19966" display="https://twitter.com/_clairdelune" xr:uid="{0081CB11-6A58-4384-AE4E-12E3CEDBF29C}"/>
    <hyperlink ref="E6464" r:id="rId19967" display="https://twitter.com/_clairdelune/status/723965384727007232" xr:uid="{43D8F3E5-E93E-4024-AF5C-40095A1F3458}"/>
    <hyperlink ref="O6464" r:id="rId19968" display="https://pbs.twimg.com/profile_images/720080378602631172/6vgsuvEQ_normal.jpg" xr:uid="{FF3D170F-701B-48ED-8FC2-7009D0622545}"/>
    <hyperlink ref="B6465" r:id="rId19969" display="https://twitter.com/bneilbel" xr:uid="{4952140D-6047-4B15-B111-7F893F7C9624}"/>
    <hyperlink ref="E6465" r:id="rId19970" display="https://twitter.com/bneilbel/status/723965421750243332" xr:uid="{FCFB4B65-BAC8-43FA-AB05-6A9BDF5D4289}"/>
    <hyperlink ref="O6465" r:id="rId19971" display="https://pbs.twimg.com/profile_images/391720090/Copy_of_Put-in-BAy_004_normal.jpg" xr:uid="{C40BCD8E-E2D8-4182-A6AB-2722089391DD}"/>
    <hyperlink ref="B6466" r:id="rId19972" display="https://twitter.com/fedealcaraz14" xr:uid="{A8F5AC9A-5662-40B6-A895-9BF2FEBD8064}"/>
    <hyperlink ref="E6466" r:id="rId19973" display="https://twitter.com/fedealcaraz14/status/723966131350966278" xr:uid="{5F140DF5-E53D-4B3F-9770-2BA039EA2B77}"/>
    <hyperlink ref="O6466" r:id="rId19974" display="https://pbs.twimg.com/profile_images/672467636874289153/M8cmumpE_normal.jpg" xr:uid="{EF7886A1-DB6C-4380-9852-15AFC93C832D}"/>
    <hyperlink ref="B6467" r:id="rId19975" display="https://twitter.com/Scirocco_Tuning" xr:uid="{1753E851-4E9B-4A10-81B7-332D07620B63}"/>
    <hyperlink ref="E6467" r:id="rId19976" display="https://twitter.com/Scirocco_Tuning/status/723966462822592513" xr:uid="{8E7C00B1-D198-4521-9A94-10C2E7ACBCE3}"/>
    <hyperlink ref="O6467" r:id="rId19977" display="https://pbs.twimg.com/profile_images/1610421423/Image2_normal.jpg" xr:uid="{B723F115-FADC-4C9B-87B3-648D46C6BD7F}"/>
    <hyperlink ref="B6468" r:id="rId19978" display="https://twitter.com/BenMallie" xr:uid="{6B94D5F3-B6CA-4603-B5A5-BD1FD58CBB61}"/>
    <hyperlink ref="E6468" r:id="rId19979" display="https://twitter.com/BenMallie/status/723966889995677696" xr:uid="{1D9BFF23-E91B-45C6-986C-2DD108D59E9D}"/>
    <hyperlink ref="O6468" r:id="rId19980" display="https://pbs.twimg.com/profile_images/645945724052500480/Uz2cVEbI_normal.jpg" xr:uid="{021266EB-4560-447D-A96F-F44FBFA5C8AE}"/>
    <hyperlink ref="B6469" r:id="rId19981" display="https://twitter.com/VWBeetleSales" xr:uid="{A6C5E83A-8CC5-458D-93F4-93CE66F1C7C0}"/>
    <hyperlink ref="E6469" r:id="rId19982" display="https://twitter.com/VWBeetleSales/status/723967205956681729" xr:uid="{3545CFAD-B9C0-4ED5-B4AE-DD20D9B13A48}"/>
    <hyperlink ref="F6469" r:id="rId19983" xr:uid="{0F3413BE-0CDF-451D-BC57-67F2C9B90396}"/>
    <hyperlink ref="O6469" r:id="rId19984" display="https://pbs.twimg.com/profile_images/703294545195307008/qeCvrX86_normal.jpg" xr:uid="{60B06E1B-1FD2-436A-B6C0-CC80AE6932FC}"/>
    <hyperlink ref="B6470" r:id="rId19985" display="https://twitter.com/dubbusses" xr:uid="{6E117199-CDDF-4831-8AE2-4BE81B2E2886}"/>
    <hyperlink ref="E6470" r:id="rId19986" display="https://twitter.com/dubbusses/status/723967550313377792" xr:uid="{D010FDE9-3388-4A7B-8A99-B851574F4292}"/>
    <hyperlink ref="O6470" r:id="rId19987" display="https://pbs.twimg.com/profile_images/718835727027580928/1ssyQ67y_normal.jpg" xr:uid="{64F74DC3-3EB0-47CB-B487-8596E655FA19}"/>
    <hyperlink ref="B6471" r:id="rId19988" display="https://twitter.com/dubbusses" xr:uid="{01F2BAC3-D3FC-4520-9995-B28C9F27566F}"/>
    <hyperlink ref="E6471" r:id="rId19989" display="https://twitter.com/dubbusses/status/723967579707064321" xr:uid="{605BA19D-F50A-47CA-B4A5-B6FA0213F827}"/>
    <hyperlink ref="O6471" r:id="rId19990" display="https://pbs.twimg.com/profile_images/718835727027580928/1ssyQ67y_normal.jpg" xr:uid="{605188BB-B84C-4B8A-B127-A330F4059222}"/>
    <hyperlink ref="B6472" r:id="rId19991" display="https://twitter.com/dubbusses" xr:uid="{98113732-704F-4FE9-921B-4527E6A71648}"/>
    <hyperlink ref="E6472" r:id="rId19992" display="https://twitter.com/dubbusses/status/723967596014501888" xr:uid="{6907A520-FCA7-49C5-947B-3FB2BA4BE1C4}"/>
    <hyperlink ref="O6472" r:id="rId19993" display="https://pbs.twimg.com/profile_images/718835727027580928/1ssyQ67y_normal.jpg" xr:uid="{99996B5F-0BA2-401C-82D9-BEE11BC6247E}"/>
    <hyperlink ref="B6473" r:id="rId19994" display="https://twitter.com/tOrtu_cCp1912" xr:uid="{B2A46D76-A630-4ED9-9FD9-218260AAD5EB}"/>
    <hyperlink ref="E6473" r:id="rId19995" display="https://twitter.com/tOrtu_cCp1912/status/723968217123827714" xr:uid="{5C1A49C9-CB4A-4E28-8805-D884DBEE8A0B}"/>
    <hyperlink ref="O6473" r:id="rId19996" display="https://pbs.twimg.com/profile_images/714764624529383424/0Tbthz18_normal.jpg" xr:uid="{3DB4D814-4B7D-40D0-AD52-3A70D307AAE3}"/>
    <hyperlink ref="B6474" r:id="rId19997" display="https://twitter.com/nachofermanelli" xr:uid="{D92FB120-46E1-4472-9D8A-D6815AFBCD32}"/>
    <hyperlink ref="E6474" r:id="rId19998" display="https://twitter.com/nachofermanelli/status/723968217279004673" xr:uid="{956C9D8E-2BFF-454E-A2F3-DF8D062A2298}"/>
    <hyperlink ref="O6474" r:id="rId19999" display="https://pbs.twimg.com/profile_images/688908512638971904/olHswNoP_normal.jpg" xr:uid="{39808274-4C43-4877-BEB0-594A1F4DD009}"/>
    <hyperlink ref="B6475" r:id="rId20000" display="https://twitter.com/NanoSilveiraOK" xr:uid="{5F2A3907-729F-4FA7-BFD8-4EC7F1683851}"/>
    <hyperlink ref="E6475" r:id="rId20001" display="https://twitter.com/NanoSilveiraOK/status/723968240641282049" xr:uid="{78DB2039-B214-4521-B4CD-8A658578CC7F}"/>
    <hyperlink ref="O6475" r:id="rId20002" display="https://pbs.twimg.com/profile_images/678664972382130176/rmyLdGBk_normal.jpg" xr:uid="{7D8D10CD-F350-4183-896B-B84804B69502}"/>
    <hyperlink ref="P6475" r:id="rId20003" location="-34.69579598,-58.46247714" display="http://ctrlq.org/maps/address/ - -34.69579598,-58.46247714" xr:uid="{55B8B515-4A48-4388-BE26-0A118681BA47}"/>
    <hyperlink ref="B6476" r:id="rId20004" display="https://twitter.com/EvvoNewBeetles" xr:uid="{7A1EEF34-170A-40BD-B4C2-8440F3EF3CB3}"/>
    <hyperlink ref="E6476" r:id="rId20005" display="https://twitter.com/EvvoNewBeetles/status/723968345914126336" xr:uid="{F9B340E1-B7BB-430B-BC4F-224EE4F920DD}"/>
    <hyperlink ref="O6476" r:id="rId20006" display="https://pbs.twimg.com/profile_images/633346486823190529/bN4Fxs99_normal.jpg" xr:uid="{4A643E1D-BF90-498B-A779-2F4DA431EBF5}"/>
    <hyperlink ref="B6477" r:id="rId20007" display="https://twitter.com/BILDamSONNTAG" xr:uid="{A5619E2D-729D-4797-9264-7FD0D47ABCC5}"/>
    <hyperlink ref="E6477" r:id="rId20008" display="https://twitter.com/BILDamSONNTAG/status/723968469880836096" xr:uid="{243AEB85-CDB3-499A-B810-1CA95102833A}"/>
    <hyperlink ref="O6477" r:id="rId20009" display="https://pbs.twimg.com/profile_images/672408750104408064/xmmnmOye_normal.png" xr:uid="{4B064C13-41C9-465B-BC7C-84009F9CB72C}"/>
    <hyperlink ref="B6478" r:id="rId20010" display="https://twitter.com/Loeb_Seb1" xr:uid="{7605DD62-CB7D-4E95-BB4C-C1E05FA798F5}"/>
    <hyperlink ref="E6478" r:id="rId20011" display="https://twitter.com/Loeb_Seb1/status/723968571257294849" xr:uid="{7CAD4CE9-20A9-46B6-8942-D2ECE5559C8B}"/>
    <hyperlink ref="O6478" r:id="rId20012" display="https://pbs.twimg.com/profile_images/707943921134018560/JSf0qD5z_normal.jpg" xr:uid="{8579321F-F28B-4D9B-82BD-7B0230E848B6}"/>
    <hyperlink ref="B6479" r:id="rId20013" display="https://twitter.com/LifeAtWarpSpeed" xr:uid="{4D73F892-B0EF-4E4B-B609-1A797E896B24}"/>
    <hyperlink ref="E6479" r:id="rId20014" display="https://twitter.com/LifeAtWarpSpeed/status/723968697212256256" xr:uid="{883F7AB7-B341-4E2E-843F-7935717C736F}"/>
    <hyperlink ref="O6479" r:id="rId20015" display="https://pbs.twimg.com/profile_images/689725910224805889/9N3BPvYo_normal.jpg" xr:uid="{C0E07834-FDEA-4AE1-9B14-41798AFB2BB9}"/>
    <hyperlink ref="B6480" r:id="rId20016" display="https://twitter.com/_GOLD4MONEY" xr:uid="{A486EBEC-F3D3-427B-BBDA-25BB55098F73}"/>
    <hyperlink ref="E6480" r:id="rId20017" display="https://twitter.com/_GOLD4MONEY/status/723969157482594304" xr:uid="{0864FE3C-8A85-49E0-BC97-93E254FA36D1}"/>
    <hyperlink ref="O6480" r:id="rId20018" display="https://pbs.twimg.com/profile_images/1704921969/avatar_3824_normal.gif" xr:uid="{3EBEF255-2C56-4F1E-AF26-C393E489FE92}"/>
    <hyperlink ref="B6481" r:id="rId20019" display="https://twitter.com/grannicho" xr:uid="{AB6A3A76-3F7F-45F0-A4C1-FEA0ED4DF276}"/>
    <hyperlink ref="E6481" r:id="rId20020" display="https://twitter.com/grannicho/status/723969561771413504" xr:uid="{9DDD2F32-22C7-4327-A719-CA6DFA5A4557}"/>
    <hyperlink ref="O6481" r:id="rId20021" display="https://pbs.twimg.com/profile_images/539452942617567232/cIlwVj6z_normal.jpeg" xr:uid="{57FE39E3-F265-4E18-94A0-AED3864C9C42}"/>
    <hyperlink ref="B6482" r:id="rId20022" display="https://twitter.com/laulijayz" xr:uid="{1A95B189-BA6A-4D17-9466-629B18D1237D}"/>
    <hyperlink ref="E6482" r:id="rId20023" display="https://twitter.com/laulijayz/status/723969707431346176" xr:uid="{8005549E-9E2C-443E-991D-0BFAF6D1284D}"/>
    <hyperlink ref="O6482" r:id="rId20024" display="https://pbs.twimg.com/profile_images/714356148984553472/3i1jJYkN_normal.jpg" xr:uid="{0D06CC65-8842-4061-A35A-E9D475154DF6}"/>
    <hyperlink ref="B6483" r:id="rId20025" display="https://twitter.com/maxiavalos3" xr:uid="{9D2BA675-B616-4926-BAD1-395CD39EF196}"/>
    <hyperlink ref="E6483" r:id="rId20026" display="https://twitter.com/maxiavalos3/status/723969813442260993" xr:uid="{D4F95895-7FEC-43BB-B292-DFD3BA3D7370}"/>
    <hyperlink ref="O6483" r:id="rId20027" display="https://pbs.twimg.com/profile_images/699058627341066240/rAzVbwCe_normal.jpg" xr:uid="{2632EC93-9358-425A-BED8-061F7C3D3075}"/>
    <hyperlink ref="P6483" r:id="rId20028" location="-34.69427222,-58.45934722" display="http://ctrlq.org/maps/address/ - -34.69427222,-58.45934722" xr:uid="{25A0DA9D-2781-47BF-A6B9-BF8180743D10}"/>
    <hyperlink ref="B6484" r:id="rId20029" display="https://twitter.com/vwdepo" xr:uid="{CCE76617-6B54-477D-AB53-E57DFAA828FA}"/>
    <hyperlink ref="E6484" r:id="rId20030" display="https://twitter.com/vwdepo/status/723970398216290305" xr:uid="{3A09E556-D1EA-4353-8AF1-B8EE5770D405}"/>
    <hyperlink ref="O6484" r:id="rId20031" display="https://pbs.twimg.com/profile_images/3378184537/c20ae9a7a410821b4f189c34a63380f7_normal.png" xr:uid="{020092F9-7B8A-4309-8871-7D36EE00273A}"/>
    <hyperlink ref="B6485" r:id="rId20032" display="https://twitter.com/vwdepo" xr:uid="{31130EF8-3DAC-4404-A342-C27262987C57}"/>
    <hyperlink ref="E6485" r:id="rId20033" display="https://twitter.com/vwdepo/status/723970424929841152" xr:uid="{9FD505FA-5CA9-440D-BC91-6EFE7C791189}"/>
    <hyperlink ref="O6485" r:id="rId20034" display="https://pbs.twimg.com/profile_images/3378184537/c20ae9a7a410821b4f189c34a63380f7_normal.png" xr:uid="{9224D814-C6E3-4063-AFB4-709EF61230C3}"/>
    <hyperlink ref="B6486" r:id="rId20035" display="https://twitter.com/Metalingus_RS" xr:uid="{C2EBA3B0-CF64-41BA-B810-5B775E0FA48F}"/>
    <hyperlink ref="E6486" r:id="rId20036" display="https://twitter.com/Metalingus_RS/status/723970595071889408" xr:uid="{274EF131-CDBA-4067-A2C8-BE6B03FCDD8E}"/>
    <hyperlink ref="O6486" r:id="rId20037" display="https://pbs.twimg.com/profile_images/508847611441586176/b2Wfj25u_normal.jpeg" xr:uid="{5882094C-2387-414B-99E7-AEDEE3DB91FB}"/>
    <hyperlink ref="B6487" r:id="rId20038" display="https://twitter.com/exequielleguiz1" xr:uid="{157EC606-BBBC-4A60-BC17-4E0AAB4F3030}"/>
    <hyperlink ref="E6487" r:id="rId20039" display="https://twitter.com/exequielleguiz1/status/723971048434180096" xr:uid="{83FC185D-4957-4E06-8863-1E06D27DA162}"/>
    <hyperlink ref="O6487" r:id="rId20040" display="https://pbs.twimg.com/profile_images/722584639395729409/6xOQLAoP_normal.jpg" xr:uid="{21B8D916-2FA6-4AF5-940F-DA9B9A026C9C}"/>
    <hyperlink ref="B6488" r:id="rId20041" display="https://twitter.com/rip_curle" xr:uid="{E812935D-CEB7-4488-861E-CB3DA4F35161}"/>
    <hyperlink ref="E6488" r:id="rId20042" display="https://twitter.com/rip_curle/status/723971101001392130" xr:uid="{B0BA18F4-156D-4B4E-A3C9-8C579D47A63E}"/>
    <hyperlink ref="O6488" r:id="rId20043" display="https://pbs.twimg.com/profile_images/2305348441/42yki2pe2jn619bnwgad_normal.jpeg" xr:uid="{C2175415-1306-4961-AD6F-197B2E352192}"/>
    <hyperlink ref="B6489" r:id="rId20044" display="https://twitter.com/NollyPrott" xr:uid="{285FBDD9-85AA-4DB7-8D9D-C20A197C1510}"/>
    <hyperlink ref="E6489" r:id="rId20045" display="https://twitter.com/NollyPrott/status/723971635401875456" xr:uid="{059EC26E-4BEE-4EB8-A5E9-8011505FA65A}"/>
    <hyperlink ref="O6489" r:id="rId20046" display="https://pbs.twimg.com/profile_images/425599818853912576/kKRiBOc1_normal.jpeg" xr:uid="{4B2903DF-D2C0-4F66-996C-B8DE713ADF2F}"/>
    <hyperlink ref="B6490" r:id="rId20047" display="https://twitter.com/exequielleguiz1" xr:uid="{4C6688E0-2C3B-4D2F-ACCA-EB2AFFD89451}"/>
    <hyperlink ref="E6490" r:id="rId20048" display="https://twitter.com/exequielleguiz1/status/723971677403643904" xr:uid="{D78ED686-D5AC-4D54-A8C7-364C044E0C68}"/>
    <hyperlink ref="O6490" r:id="rId20049" display="https://pbs.twimg.com/profile_images/722584639395729409/6xOQLAoP_normal.jpg" xr:uid="{33C475A9-C2BB-41AF-9CD7-B0106AFC47FC}"/>
    <hyperlink ref="B6491" r:id="rId20050" display="https://twitter.com/Insta_VWT" xr:uid="{CD361DAD-5666-423E-BB9B-D186EBA0F376}"/>
    <hyperlink ref="E6491" r:id="rId20051" display="https://twitter.com/Insta_VWT/status/723971903506006016" xr:uid="{1C9D8570-C9A6-41CC-96E4-202217EE4D8B}"/>
    <hyperlink ref="O6491" r:id="rId20052" display="https://pbs.twimg.com/profile_images/424893967197433858/iQ86NktX_normal.jpeg" xr:uid="{E860CABD-B358-4A28-B9C8-AAF76301339C}"/>
    <hyperlink ref="B6492" r:id="rId20053" display="https://twitter.com/Insta_VWT" xr:uid="{777609A0-0DB8-4206-9C0E-3EDA1E566FC1}"/>
    <hyperlink ref="E6492" r:id="rId20054" display="https://twitter.com/Insta_VWT/status/723971909147340801" xr:uid="{0FCBB5D7-6B19-4236-8A48-A1DF11693205}"/>
    <hyperlink ref="O6492" r:id="rId20055" display="https://pbs.twimg.com/profile_images/424893967197433858/iQ86NktX_normal.jpeg" xr:uid="{25A0AA1D-0942-4C74-8A24-710F2BB04FF7}"/>
    <hyperlink ref="B6493" r:id="rId20056" display="https://twitter.com/Insta_VWT" xr:uid="{C08AC526-D0A5-4CEB-AD5D-2263CBA62ED2}"/>
    <hyperlink ref="E6493" r:id="rId20057" display="https://twitter.com/Insta_VWT/status/723971922107731968" xr:uid="{0E7335EF-9A0B-4A77-B8C7-B374E96C7893}"/>
    <hyperlink ref="O6493" r:id="rId20058" display="https://pbs.twimg.com/profile_images/424893967197433858/iQ86NktX_normal.jpeg" xr:uid="{F43EEC56-F34D-4365-8357-395CCD8AC8AA}"/>
    <hyperlink ref="B6494" r:id="rId20059" display="https://twitter.com/MSM_Marion" xr:uid="{2B87E211-8311-4A0F-813D-CF5C10DA080F}"/>
    <hyperlink ref="E6494" r:id="rId20060" display="https://twitter.com/MSM_Marion/status/723972870779621376" xr:uid="{03CFE205-3D8E-4205-9039-F53C507A9B9F}"/>
    <hyperlink ref="O6494" r:id="rId20061" display="https://pbs.twimg.com/profile_images/656943622139588608/S62sSdX8_normal.jpg" xr:uid="{A25BC131-D0AA-46F3-BBB1-35FA3E1916DC}"/>
    <hyperlink ref="B6495" r:id="rId20062" display="https://twitter.com/Masterpony" xr:uid="{B35AEFB7-FC82-40C1-9B27-2767BDE503E0}"/>
    <hyperlink ref="E6495" r:id="rId20063" display="https://twitter.com/Masterpony/status/723972901649653760" xr:uid="{C6285E50-A81E-4272-87BC-EC735A15912A}"/>
    <hyperlink ref="O6495" r:id="rId20064" display="https://pbs.twimg.com/profile_images/719291014582644736/xkObdI1y_normal.jpg" xr:uid="{40AB8F84-2AFE-40AA-9203-6CDA787B08AB}"/>
    <hyperlink ref="B6496" r:id="rId20065" display="https://twitter.com/ahmedhaltas" xr:uid="{23A7B3DF-702E-4DA3-9C84-C672F058AC9F}"/>
    <hyperlink ref="E6496" r:id="rId20066" display="https://twitter.com/ahmedhaltas/status/723973702082256899" xr:uid="{11C621AE-3531-4210-9CA1-0EAAA1436EB7}"/>
    <hyperlink ref="O6496" r:id="rId20067" display="https://pbs.twimg.com/profile_images/707336599898554368/C8k--jj7_normal.jpg" xr:uid="{2A8D9C14-3105-4F19-B73B-755017A91EC7}"/>
    <hyperlink ref="P6496" r:id="rId20068" location="39.9272,32.8644" display="http://ctrlq.org/maps/address/ - 39.9272,32.8644" xr:uid="{D955EC6D-BFCD-4D62-BB3E-15DED22D9703}"/>
    <hyperlink ref="B6497" r:id="rId20069" display="https://twitter.com/McBassler" xr:uid="{7A4092A1-7EF8-4732-9F2C-F5B1348B49AD}"/>
    <hyperlink ref="E6497" r:id="rId20070" display="https://twitter.com/McBassler/status/723973771497988096" xr:uid="{D12027B3-038C-4475-A15F-54FD430C972E}"/>
    <hyperlink ref="O6497" r:id="rId20071" display="https://pbs.twimg.com/profile_images/610176346996764673/OwEtSe7d_normal.jpg" xr:uid="{0D4DD458-D854-43CA-8B85-3C82F577FFC1}"/>
    <hyperlink ref="B6498" r:id="rId20072" display="https://twitter.com/Harkonen2" xr:uid="{FD0398FA-0CB9-4133-B4AC-DCB226733AC3}"/>
    <hyperlink ref="E6498" r:id="rId20073" display="https://twitter.com/Harkonen2/status/723974168002342914" xr:uid="{30A7B282-7A08-4DDC-B7C0-191FD0B26C74}"/>
    <hyperlink ref="O6498" r:id="rId20074" display="https://pbs.twimg.com/profile_images/2209657884/Francesc_Ferrer_i_Gu_rdia_normal.jpg" xr:uid="{821BDDC1-DBD8-4605-99A8-01A343354AEA}"/>
    <hyperlink ref="B6499" r:id="rId20075" display="https://twitter.com/50Gny" xr:uid="{D8CE0708-1ACA-46A3-9394-60B7E9C0973E}"/>
    <hyperlink ref="E6499" r:id="rId20076" display="https://twitter.com/50Gny/status/723974519468228608" xr:uid="{7F45118F-4694-4AA7-BB43-9FB092C11E76}"/>
    <hyperlink ref="O6499" r:id="rId20077" display="https://pbs.twimg.com/profile_images/615682819499626496/4VXS8ESF_normal.jpg" xr:uid="{E8688909-7521-4733-9497-A1E0A148B0BB}"/>
    <hyperlink ref="B6500" r:id="rId20078" display="https://twitter.com/KziaSabino" xr:uid="{69A91A51-6255-4BBA-9282-9035550561FC}"/>
    <hyperlink ref="E6500" r:id="rId20079" display="https://twitter.com/KziaSabino/status/723974590536507392" xr:uid="{FEE0FF7B-37E3-4592-8C84-28537DF53F3B}"/>
    <hyperlink ref="O6500" r:id="rId20080" display="https://pbs.twimg.com/profile_images/723116935605542912/YpMAUGCv_normal.jpg" xr:uid="{D6861AA8-CFC6-4F82-AF83-0D48BDCC8E37}"/>
    <hyperlink ref="B6501" r:id="rId20081" display="https://twitter.com/RodneySargent" xr:uid="{80756B7A-D009-4291-B88F-A22776B5CB68}"/>
    <hyperlink ref="E6501" r:id="rId20082" display="https://twitter.com/RodneySargent/status/723974667304751104" xr:uid="{18747709-B768-4795-8A17-771B9939D25B}"/>
    <hyperlink ref="O6501" r:id="rId20083" display="https://pbs.twimg.com/profile_images/428375339044069377/ZOSVMyhL_normal.jpeg" xr:uid="{8AC5D8A3-95BD-4510-88D3-8AB606A253EC}"/>
    <hyperlink ref="B6502" r:id="rId20084" display="https://twitter.com/dirroed" xr:uid="{0E6ED725-D535-4148-971C-FC13F0ECFBA7}"/>
    <hyperlink ref="E6502" r:id="rId20085" display="https://twitter.com/dirroed/status/723974859592732672" xr:uid="{E40D6F11-AC5F-47F7-B2FC-92C54BD8DFD8}"/>
    <hyperlink ref="O6502" r:id="rId20086" display="https://pbs.twimg.com/profile_images/637035800966885376/qmtOSgmX_normal.jpg" xr:uid="{92C86FEF-2574-4202-8731-38A714CB8D2B}"/>
    <hyperlink ref="B6503" r:id="rId20087" display="https://twitter.com/yeeea66" xr:uid="{F097F6D7-CA54-4D3F-B5DE-7FE096B5F989}"/>
    <hyperlink ref="E6503" r:id="rId20088" display="https://twitter.com/yeeea66/status/723975203533950977" xr:uid="{F47D4184-74AF-4F73-8FA6-066635766FED}"/>
    <hyperlink ref="O6503" r:id="rId20089" display="https://pbs.twimg.com/profile_images/655401370300739585/29SWPrAt_normal.jpg" xr:uid="{293F64A8-2DE9-40BC-8C03-798480F50FCE}"/>
    <hyperlink ref="B6504" r:id="rId20090" display="https://twitter.com/TheLovebusWedCo" xr:uid="{3735F7BC-DE7A-4BBF-BFC8-486743D3D414}"/>
    <hyperlink ref="E6504" r:id="rId20091" display="https://twitter.com/TheLovebusWedCo/status/723975306592264193" xr:uid="{AF6BFE2E-B753-4759-947E-498C2CE284DC}"/>
    <hyperlink ref="O6504" r:id="rId20092" display="https://pbs.twimg.com/profile_images/467070942460407808/6mlUcaWL_normal.jpeg" xr:uid="{E0CEF1FB-32A4-4CD6-8E07-CD76CB6DAB63}"/>
    <hyperlink ref="B6505" r:id="rId20093" display="https://twitter.com/From_Apexhunter" xr:uid="{37DF1C62-2748-4028-8AB8-2BCCD4ABAA8C}"/>
    <hyperlink ref="E6505" r:id="rId20094" display="https://twitter.com/From_Apexhunter/status/723975386976104450" xr:uid="{DF91F90A-A214-4AF2-86FA-99A06DE688E9}"/>
    <hyperlink ref="O6505" r:id="rId20095" display="https://pbs.twimg.com/profile_images/1734386362/IMG_1391_normal.JPG" xr:uid="{A36F9C68-130B-4F7C-8D85-544DB456A4BF}"/>
    <hyperlink ref="P6505" r:id="rId20096" location="30.39384764,-97.73132158" display="http://ctrlq.org/maps/address/ - 30.39384764,-97.73132158" xr:uid="{5009541D-3346-4616-8FE0-A356BDA40465}"/>
    <hyperlink ref="B6506" r:id="rId20097" display="https://twitter.com/Barksyfan" xr:uid="{48C43D2B-F697-442E-8C2C-3FF5E427C79D}"/>
    <hyperlink ref="E6506" r:id="rId20098" display="https://twitter.com/Barksyfan/status/723975461462638592" xr:uid="{8E232E31-8E98-41F8-A4AA-02141ADDCD28}"/>
    <hyperlink ref="O6506" r:id="rId20099" display="https://pbs.twimg.com/profile_images/476439198908825600/wfrkk5E1_normal.jpeg" xr:uid="{460B89B4-6295-4F1B-8B42-9306741711EF}"/>
    <hyperlink ref="B6507" r:id="rId20100" display="https://twitter.com/ErikDurr" xr:uid="{CD6AB534-67C2-48CB-BE01-3E5060720411}"/>
    <hyperlink ref="E6507" r:id="rId20101" display="https://twitter.com/ErikDurr/status/723975719903223808" xr:uid="{314D67B8-0457-46B8-AA45-E0CFF5B871A4}"/>
    <hyperlink ref="O6507" r:id="rId20102" display="https://pbs.twimg.com/profile_images/624226571474202624/LucRDb7k_normal.jpg" xr:uid="{6844EDEF-917A-4E12-9B12-2AB7C72EAA44}"/>
    <hyperlink ref="B6508" r:id="rId20103" display="https://twitter.com/StreetFoodUK" xr:uid="{800EE0F2-E82B-4698-AE07-A503706FCAB6}"/>
    <hyperlink ref="E6508" r:id="rId20104" display="https://twitter.com/StreetFoodUK/status/723975736730763266" xr:uid="{EF137ED1-8D3F-4D36-AF8F-754CFF1D084F}"/>
    <hyperlink ref="O6508" r:id="rId20105" display="https://pbs.twimg.com/profile_images/705279619977469952/983oprAu_normal.jpg" xr:uid="{27C7C2D4-E7A5-406D-8774-E8F0A144EE00}"/>
    <hyperlink ref="B6509" r:id="rId20106" display="https://twitter.com/momma_rocker" xr:uid="{E065A626-04A0-4E4B-B262-CB7AD8918D0E}"/>
    <hyperlink ref="E6509" r:id="rId20107" display="https://twitter.com/momma_rocker/status/723975882608644096" xr:uid="{9E72BF1A-8F58-40BC-9F61-A8DD95BA0074}"/>
    <hyperlink ref="O6509" r:id="rId20108" display="https://pbs.twimg.com/profile_images/600477454831120384/fBVmrZou_normal.jpg" xr:uid="{CB06DBEA-D29F-4585-A16C-E7E319AE2487}"/>
    <hyperlink ref="B6510" r:id="rId20109" display="https://twitter.com/StreetFoodUK" xr:uid="{91F7BBF1-D6AF-4672-A616-E6B309C298DB}"/>
    <hyperlink ref="E6510" r:id="rId20110" display="https://twitter.com/StreetFoodUK/status/723976014590840833" xr:uid="{CE2DAD3A-83F9-4DFF-B0A5-D02C52559591}"/>
    <hyperlink ref="O6510" r:id="rId20111" display="https://pbs.twimg.com/profile_images/705279619977469952/983oprAu_normal.jpg" xr:uid="{7E4F801B-72A6-455D-9303-95C58905493B}"/>
    <hyperlink ref="B6511" r:id="rId20112" display="https://twitter.com/ErikDurr" xr:uid="{AD72803D-2A5A-4132-A6A9-1AFE78F7D20C}"/>
    <hyperlink ref="E6511" r:id="rId20113" display="https://twitter.com/ErikDurr/status/723976052104675329" xr:uid="{02E8A561-5B00-4FBF-BBBD-4846548A02D3}"/>
    <hyperlink ref="O6511" r:id="rId20114" display="https://pbs.twimg.com/profile_images/624226571474202624/LucRDb7k_normal.jpg" xr:uid="{1EF5E219-68E4-4FC8-AC3B-A7DC93E8C31E}"/>
    <hyperlink ref="B6512" r:id="rId20115" display="https://twitter.com/damian_fanelli" xr:uid="{56DD4B7B-0060-4B5C-A37A-5DF218311CD2}"/>
    <hyperlink ref="E6512" r:id="rId20116" display="https://twitter.com/damian_fanelli/status/723976090113478657" xr:uid="{3DAE7888-9E07-4111-9D17-9FCE023FC8B7}"/>
    <hyperlink ref="O6512" r:id="rId20117" display="https://pbs.twimg.com/profile_images/472875847024513024/VGbooNKO_normal.jpeg" xr:uid="{480AEDDB-165D-48DC-A7FA-2444CA13EF44}"/>
    <hyperlink ref="B6513" r:id="rId20118" display="https://twitter.com/Recta_Principal" xr:uid="{C0EE0DA7-D4BE-4D30-8118-D30C8CC38341}"/>
    <hyperlink ref="E6513" r:id="rId20119" display="https://twitter.com/Recta_Principal/status/723976090180575232" xr:uid="{D89A301E-191D-4C22-A2CA-20918E59A0EE}"/>
    <hyperlink ref="O6513" r:id="rId20120" display="https://pbs.twimg.com/profile_images/445323548052058112/uxbQAp_w_normal.jpeg" xr:uid="{F12145E8-1179-46C9-82A8-A4214CDDDD7D}"/>
    <hyperlink ref="B6514" r:id="rId20121" display="https://twitter.com/CastrolArg" xr:uid="{61E03A14-8F21-4953-8827-220378EA75AF}"/>
    <hyperlink ref="E6514" r:id="rId20122" display="https://twitter.com/CastrolArg/status/723976106399948800" xr:uid="{79302BCD-4FD8-4AB8-B85C-ED9DC275922A}"/>
    <hyperlink ref="O6514" r:id="rId20123" display="https://pbs.twimg.com/profile_images/558308052848238592/7sNWS5Zp_normal.png" xr:uid="{A43399E8-64AD-44D2-98BA-A67B75ECA42F}"/>
    <hyperlink ref="B6515" r:id="rId20124" display="https://twitter.com/jukij" xr:uid="{93D87115-CB7B-4FB0-BA63-3ECE075DC831}"/>
    <hyperlink ref="E6515" r:id="rId20125" display="https://twitter.com/jukij/status/723976152214306816" xr:uid="{9D702C4D-6345-4F23-AF56-3EC8C11B46F6}"/>
    <hyperlink ref="O6515" r:id="rId20126" display="https://pbs.twimg.com/profile_images/1319657984/portrait_k_hler_041222_normal.jpg" xr:uid="{F935B58C-C8E1-443A-9A0B-2382E89B1A3E}"/>
    <hyperlink ref="B6516" r:id="rId20127" display="https://twitter.com/pa_bu_ro" xr:uid="{35D3816D-301B-4488-8678-A095E80ACB9A}"/>
    <hyperlink ref="E6516" r:id="rId20128" display="https://twitter.com/pa_bu_ro/status/723976291792371712" xr:uid="{1DD368FA-A96B-4A86-BC57-04370AF6F951}"/>
    <hyperlink ref="O6516" r:id="rId20129" display="https://pbs.twimg.com/profile_images/713946789037142020/KTGceYeg_normal.jpg" xr:uid="{BDEF1E80-8296-479F-919A-140DB2C1BF43}"/>
    <hyperlink ref="B6517" r:id="rId20130" display="https://twitter.com/guido_ciocca" xr:uid="{FA734F57-54FB-4427-961A-372E28C3D211}"/>
    <hyperlink ref="E6517" r:id="rId20131" display="https://twitter.com/guido_ciocca/status/723976469937004544" xr:uid="{C80C690A-4AB8-4480-A980-FB474C112EC5}"/>
    <hyperlink ref="O6517" r:id="rId20132" display="https://pbs.twimg.com/profile_images/705219521892712451/bEsxgzn3_normal.jpg" xr:uid="{3CC2B1D2-5984-43D8-AB85-22F08DAA1D0D}"/>
    <hyperlink ref="B6518" r:id="rId20133" display="https://twitter.com/TheLovebusWedCo" xr:uid="{4809C97D-DA2D-4C47-BEE3-7A36643DC815}"/>
    <hyperlink ref="E6518" r:id="rId20134" display="https://twitter.com/TheLovebusWedCo/status/723976552493535232" xr:uid="{A13D6D23-7009-44E5-BD8F-4F44CB2F7AC6}"/>
    <hyperlink ref="O6518" r:id="rId20135" display="https://pbs.twimg.com/profile_images/467070942460407808/6mlUcaWL_normal.jpeg" xr:uid="{3D0F41AB-2375-4A22-A114-84E2EDC4CBCC}"/>
    <hyperlink ref="B6519" r:id="rId20136" display="https://twitter.com/TheLovebusWedCo" xr:uid="{89363A72-BAD3-4F7D-854E-5B42CE17E247}"/>
    <hyperlink ref="E6519" r:id="rId20137" display="https://twitter.com/TheLovebusWedCo/status/723976586974924804" xr:uid="{B8D6DD40-608D-48AD-A069-1FC1BC64FF56}"/>
    <hyperlink ref="O6519" r:id="rId20138" display="https://pbs.twimg.com/profile_images/467070942460407808/6mlUcaWL_normal.jpeg" xr:uid="{093135E1-64A6-4562-BAEB-64AA1572797C}"/>
    <hyperlink ref="B6520" r:id="rId20139" display="https://twitter.com/manchester_app" xr:uid="{4AA6095C-41C6-4A0E-BA82-03C452AFDBA3}"/>
    <hyperlink ref="E6520" r:id="rId20140" display="https://twitter.com/manchester_app/status/723976680218472448" xr:uid="{D8E08722-ECA2-44ED-BD78-8ECB5891E8CF}"/>
    <hyperlink ref="O6520" r:id="rId20141" display="https://pbs.twimg.com/profile_images/676341218473697280/YXlUP_co_normal.png" xr:uid="{CDD33144-E259-482B-BAB1-FDFED542D881}"/>
    <hyperlink ref="B6521" r:id="rId20142" display="https://twitter.com/tamara_dumas" xr:uid="{6154B5EE-E2CE-40AE-8A92-F1D4A9522318}"/>
    <hyperlink ref="E6521" r:id="rId20143" display="https://twitter.com/tamara_dumas/status/723976741581148161" xr:uid="{C7C0A897-D458-4132-B0A1-DABF65CFE9E1}"/>
    <hyperlink ref="O6521" r:id="rId20144" display="https://pbs.twimg.com/profile_images/711584559029227522/5-2TZ7Ao_normal.jpg" xr:uid="{10578621-EDAF-401C-9332-222191D3BD6A}"/>
    <hyperlink ref="B6522" r:id="rId20145" display="https://twitter.com/Rustyandroses" xr:uid="{AD9FBFA8-A38F-4E19-8966-C15E79EBE522}"/>
    <hyperlink ref="E6522" r:id="rId20146" display="https://twitter.com/Rustyandroses/status/723976809033945089" xr:uid="{7D332811-34A2-42A0-9132-34E670FC071F}"/>
    <hyperlink ref="O6522" r:id="rId20147" display="https://pbs.twimg.com/profile_images/667831305875378177/4ZrgN1Qw_normal.jpg" xr:uid="{E9CF5AE1-0A53-4F96-90D5-1272AF2C63FB}"/>
    <hyperlink ref="B6523" r:id="rId20148" display="https://twitter.com/tamara_dumas" xr:uid="{4C884166-BA47-4410-8C3B-B4A7BBAF2897}"/>
    <hyperlink ref="E6523" r:id="rId20149" display="https://twitter.com/tamara_dumas/status/723976991104503808" xr:uid="{26F6A834-5BD5-4C86-A25E-22D29F031217}"/>
    <hyperlink ref="O6523" r:id="rId20150" display="https://pbs.twimg.com/profile_images/711584559029227522/5-2TZ7Ao_normal.jpg" xr:uid="{01CCC464-74A4-4DC9-BA8F-1961925EB768}"/>
    <hyperlink ref="B6524" r:id="rId20151" display="https://twitter.com/LoveUmbrellas" xr:uid="{25BB9D83-B8A1-4094-B9FF-98DCFF738326}"/>
    <hyperlink ref="E6524" r:id="rId20152" display="https://twitter.com/LoveUmbrellas/status/723977171602149377" xr:uid="{F3B008D7-F870-4CC7-9195-7805BBDCF272}"/>
    <hyperlink ref="O6524" r:id="rId20153" display="https://pbs.twimg.com/profile_images/501668076400545793/oZNlobyg_normal.jpeg" xr:uid="{CF12B96E-5884-475A-B1BA-B2B3B53C9285}"/>
    <hyperlink ref="B6525" r:id="rId20154" display="https://twitter.com/VWCamperSales" xr:uid="{FD4B2756-42F5-45F2-93D2-85B1ECE490B8}"/>
    <hyperlink ref="E6525" r:id="rId20155" display="https://twitter.com/VWCamperSales/status/723977274060496896" xr:uid="{C3E0C01A-00C8-48FD-8712-44B86E4AE566}"/>
    <hyperlink ref="F6525" r:id="rId20156" xr:uid="{0D97410B-6696-4522-985D-C749ACAA1C32}"/>
    <hyperlink ref="O6525" r:id="rId20157" display="https://pbs.twimg.com/profile_images/627949001179037696/skEBkS05_normal.jpg" xr:uid="{48898365-A09A-40E1-80DD-77BB149DEF02}"/>
    <hyperlink ref="B6526" r:id="rId20158" display="https://twitter.com/ALBADERTSCHER" xr:uid="{6708784B-D082-41BE-98D8-D74CFDAD796A}"/>
    <hyperlink ref="E6526" r:id="rId20159" display="https://twitter.com/ALBADERTSCHER/status/723977472883200000" xr:uid="{1E22799F-222C-4A2C-8135-B60AF1780CC5}"/>
    <hyperlink ref="O6526" r:id="rId20160" display="https://pbs.twimg.com/profile_images/549908720063234051/r3Mc9VAA_normal.jpeg" xr:uid="{0227F990-6078-4459-ACD4-1802B4F98035}"/>
    <hyperlink ref="B6527" r:id="rId20161" display="https://twitter.com/maxrace" xr:uid="{0DF634C8-61BC-49C9-BAA2-CFC3F3168BF4}"/>
    <hyperlink ref="E6527" r:id="rId20162" display="https://twitter.com/maxrace/status/723978604477059072" xr:uid="{5E180FB9-E7DB-428D-B592-DC6414B088D5}"/>
    <hyperlink ref="O6527" r:id="rId20163" display="https://pbs.twimg.com/profile_images/567734231561166849/UpmaHk-K_normal.jpeg" xr:uid="{A7321149-5AE5-4EFE-BF95-137C850DFC5A}"/>
    <hyperlink ref="B6528" r:id="rId20164" display="https://twitter.com/VolkswagenPost" xr:uid="{291E265F-5787-4CF3-A8B0-FCF3D5F4BDA2}"/>
    <hyperlink ref="E6528" r:id="rId20165" display="https://twitter.com/VolkswagenPost/status/723978988335427585" xr:uid="{17AD20F5-9945-4D7B-98FB-11553834977E}"/>
    <hyperlink ref="O6528" r:id="rId20166" display="https://pbs.twimg.com/profile_images/530071272881803264/a_jcCmPZ_normal.png" xr:uid="{98AA2E5E-1137-4B34-9608-662069259192}"/>
    <hyperlink ref="B6529" r:id="rId20167" display="https://twitter.com/VolkswagenPost" xr:uid="{65A05360-5934-41C1-8BE1-D4F755724519}"/>
    <hyperlink ref="E6529" r:id="rId20168" display="https://twitter.com/VolkswagenPost/status/723978989224660995" xr:uid="{C44819BD-ECB4-4E40-8D0D-9D049AA0E1B9}"/>
    <hyperlink ref="O6529" r:id="rId20169" display="https://pbs.twimg.com/profile_images/530071272881803264/a_jcCmPZ_normal.png" xr:uid="{DA8FEEE5-BB7E-4A88-98A3-F9490798581A}"/>
    <hyperlink ref="B6530" r:id="rId20170" display="https://twitter.com/VolkswagenPost" xr:uid="{B270E39C-E021-42A2-8287-74E37502CE59}"/>
    <hyperlink ref="E6530" r:id="rId20171" display="https://twitter.com/VolkswagenPost/status/723978990281576448" xr:uid="{DC71D579-47B1-44D4-AD1F-BAA63A38D063}"/>
    <hyperlink ref="O6530" r:id="rId20172" display="https://pbs.twimg.com/profile_images/530071272881803264/a_jcCmPZ_normal.png" xr:uid="{78967499-F82B-4BF0-98E0-E1D1C11F525E}"/>
    <hyperlink ref="B6531" r:id="rId20173" display="https://twitter.com/ALBADERTSCHER" xr:uid="{48226103-428C-44F8-9363-78F1E2D828B2}"/>
    <hyperlink ref="E6531" r:id="rId20174" display="https://twitter.com/ALBADERTSCHER/status/723979065598840833" xr:uid="{8400A461-96BD-462C-91DA-58B412B7C7A2}"/>
    <hyperlink ref="O6531" r:id="rId20175" display="https://pbs.twimg.com/profile_images/549908720063234051/r3Mc9VAA_normal.jpeg" xr:uid="{4A84E571-6B32-43CB-BB54-5EFFE3C8E4E5}"/>
    <hyperlink ref="B6532" r:id="rId20176" display="https://twitter.com/PokerAlho46" xr:uid="{1B493378-DC79-4085-B69C-A003583839CA}"/>
    <hyperlink ref="E6532" r:id="rId20177" display="https://twitter.com/PokerAlho46/status/723979507414249472" xr:uid="{991D7FD5-F9DD-48AE-8742-655C9BE59F3C}"/>
    <hyperlink ref="O6532" r:id="rId20178" display="https://pbs.twimg.com/profile_images/711929912421171201/7A3MicSM_normal.jpg" xr:uid="{2C42395C-CC09-4D0B-AD51-AD2FFF926B7D}"/>
    <hyperlink ref="B6533" r:id="rId20179" display="https://twitter.com/kagayaki_2012" xr:uid="{2A522BB2-8673-4923-BC89-DCE773C76040}"/>
    <hyperlink ref="E6533" r:id="rId20180" display="https://twitter.com/kagayaki_2012/status/723979563517104129" xr:uid="{4A50F8CC-CB80-4C24-8314-6964703A8CF5}"/>
    <hyperlink ref="O6533" r:id="rId20181" display="https://pbs.twimg.com/profile_images/718813549254938625/xaXyb8Wb_normal.jpg" xr:uid="{EAEC9C3C-8E4C-4A1D-8852-8C47134ACEB2}"/>
    <hyperlink ref="B6534" r:id="rId20182" display="https://twitter.com/NWFollowers" xr:uid="{D316F5AD-4D00-4B00-A900-241C52C673E6}"/>
    <hyperlink ref="E6534" r:id="rId20183" display="https://twitter.com/NWFollowers/status/723979784225718272" xr:uid="{44989FF0-4AD8-43BB-8069-B403F729A616}"/>
    <hyperlink ref="O6534" r:id="rId20184" display="https://pbs.twimg.com/profile_images/460807843591892992/tx13HquV_normal.jpeg" xr:uid="{A8416F17-8493-4B7A-B95C-3B6A09FF0838}"/>
    <hyperlink ref="B6535" r:id="rId20185" display="https://twitter.com/SCWorks_media" xr:uid="{A3EF48DC-7687-44A2-A676-DF64693446B7}"/>
    <hyperlink ref="E6535" r:id="rId20186" display="https://twitter.com/SCWorks_media/status/723980120566980608" xr:uid="{5B07CA74-EF00-4BF1-80B3-D44C9124BB71}"/>
    <hyperlink ref="O6535" r:id="rId20187" display="https://pbs.twimg.com/profile_images/684135416933515264/CjH20Wjp_normal.jpg" xr:uid="{0A955442-DF66-4324-98B2-DBBC9CE8D54E}"/>
    <hyperlink ref="B6536" r:id="rId20188" display="https://twitter.com/4x4tirol" xr:uid="{FD7B7DB9-E571-441F-AFCD-64099856774C}"/>
    <hyperlink ref="E6536" r:id="rId20189" display="https://twitter.com/4x4tirol/status/723980356370739200" xr:uid="{E6B33455-FFC8-4DCA-9572-FB4E6B864699}"/>
    <hyperlink ref="O6536" r:id="rId20190" display="https://pbs.twimg.com/profile_images/378800000330646969/343958b5e040bb86446ac20869b5ed1a_normal.jpeg" xr:uid="{32B75CAF-F7DC-4D87-99D0-ECA5817A1903}"/>
    <hyperlink ref="B6537" r:id="rId20191" display="https://twitter.com/ALBADERTSCHER" xr:uid="{7EF22011-226B-4119-B930-483E390FECCB}"/>
    <hyperlink ref="E6537" r:id="rId20192" display="https://twitter.com/ALBADERTSCHER/status/723980357264130049" xr:uid="{A6E9A981-4810-4B0D-9894-3033BEADC40A}"/>
    <hyperlink ref="O6537" r:id="rId20193" display="https://pbs.twimg.com/profile_images/549908720063234051/r3Mc9VAA_normal.jpeg" xr:uid="{02AA1364-570D-47A6-95B7-A090AA3440C3}"/>
    <hyperlink ref="B6538" r:id="rId20194" display="https://twitter.com/Jeremyhughes20G" xr:uid="{2893E210-5BB1-4BEA-A786-18CA756ABF49}"/>
    <hyperlink ref="E6538" r:id="rId20195" display="https://twitter.com/Jeremyhughes20G/status/723980386213076993" xr:uid="{3C114189-CF79-4FDA-AA74-59DBE22C2B53}"/>
    <hyperlink ref="O6538" r:id="rId20196" display="https://pbs.twimg.com/profile_images/723879215695728640/LAvTTSrs_normal.jpg" xr:uid="{09EC32B4-0F22-41B1-8451-E65CA11BED9F}"/>
    <hyperlink ref="B6539" r:id="rId20197" display="https://twitter.com/vagmenhq" xr:uid="{87C2DEFD-EBEC-4634-8AB4-8698409382F6}"/>
    <hyperlink ref="E6539" r:id="rId20198" display="https://twitter.com/vagmenhq/status/723981454359834624" xr:uid="{326FD330-0297-4576-9B25-F06C833304CA}"/>
    <hyperlink ref="O6539" r:id="rId20199" display="https://pbs.twimg.com/profile_images/446781974452371456/rqBZF-KN_normal.jpeg" xr:uid="{CB03E40E-D29A-47FC-9504-D44C2D931530}"/>
    <hyperlink ref="B6540" r:id="rId20200" display="https://twitter.com/tatymontespr" xr:uid="{DA9586A1-D88A-4A9E-9683-4D7EF9634D68}"/>
    <hyperlink ref="E6540" r:id="rId20201" display="https://twitter.com/tatymontespr/status/723981553928282112" xr:uid="{7625EA8E-CEEC-4F82-AE05-11BBCD639C5C}"/>
    <hyperlink ref="O6540" r:id="rId20202" display="https://pbs.twimg.com/profile_images/1625824638/1dfsf2_normal.jpg" xr:uid="{90C4A455-A471-4610-BA4A-CC89F77E7731}"/>
    <hyperlink ref="B6541" r:id="rId20203" display="https://twitter.com/Eduardo_MejiaV" xr:uid="{B30870C4-0CA2-436C-A257-F9C8934DD5BF}"/>
    <hyperlink ref="E6541" r:id="rId20204" display="https://twitter.com/Eduardo_MejiaV/status/723981609872056320" xr:uid="{F362419D-74ED-4A18-9ABF-854B867D912C}"/>
    <hyperlink ref="O6541" r:id="rId20205" display="https://pbs.twimg.com/profile_images/522875096117960705/xnXKZRyO_normal.jpeg" xr:uid="{CF6A5F7B-CEEB-4018-974F-87A58E58C83D}"/>
    <hyperlink ref="B6542" r:id="rId20206" display="https://twitter.com/vagmenhq" xr:uid="{72D67B96-8560-4A57-930F-6F96C7D0F57E}"/>
    <hyperlink ref="E6542" r:id="rId20207" display="https://twitter.com/vagmenhq/status/723981699172995072" xr:uid="{A92A101C-0982-4728-8527-07791505DDCF}"/>
    <hyperlink ref="O6542" r:id="rId20208" display="https://pbs.twimg.com/profile_images/446781974452371456/rqBZF-KN_normal.jpeg" xr:uid="{5060F813-EAB0-4113-8D7C-91D42EEB03D7}"/>
    <hyperlink ref="B6543" r:id="rId20209" display="https://twitter.com/dosummitgood" xr:uid="{4B8DA7A1-FB6E-48F4-89B8-DCE861F879B2}"/>
    <hyperlink ref="E6543" r:id="rId20210" display="https://twitter.com/dosummitgood/status/723981708001959936" xr:uid="{3EEE22EA-5304-4029-A091-B7DA30080597}"/>
    <hyperlink ref="O6543" r:id="rId20211" display="https://pbs.twimg.com/profile_images/378800000674642483/4bcb1ac988f8e83031fc49c885ea124f_normal.jpeg" xr:uid="{0F787B83-3A22-456F-B5D7-298BF7DAF1DE}"/>
    <hyperlink ref="B6544" r:id="rId20212" display="https://twitter.com/tatymontespr" xr:uid="{26A0E4C9-EE65-4D1F-98A8-E82AAF308C54}"/>
    <hyperlink ref="E6544" r:id="rId20213" display="https://twitter.com/tatymontespr/status/723981725366276096" xr:uid="{F3884838-FC88-41FB-B00B-532F4BC4A091}"/>
    <hyperlink ref="O6544" r:id="rId20214" display="https://pbs.twimg.com/profile_images/1625824638/1dfsf2_normal.jpg" xr:uid="{FAAE6B63-DCAD-458B-BFD8-D49EF7EFD0F0}"/>
    <hyperlink ref="B6545" r:id="rId20215" display="https://twitter.com/tatymontespr" xr:uid="{9B5A1EEE-E97F-4135-8697-538843051787}"/>
    <hyperlink ref="E6545" r:id="rId20216" display="https://twitter.com/tatymontespr/status/723981927833726976" xr:uid="{17175356-7591-4BC8-9604-F8DF14737394}"/>
    <hyperlink ref="O6545" r:id="rId20217" display="https://pbs.twimg.com/profile_images/1625824638/1dfsf2_normal.jpg" xr:uid="{6497CE7B-CB68-4F46-90E8-515B19B362A5}"/>
    <hyperlink ref="B6546" r:id="rId20218" display="https://twitter.com/AlexisContr10" xr:uid="{0015096D-8DF2-4B74-8CB0-3D2B7F4A3605}"/>
    <hyperlink ref="E6546" r:id="rId20219" display="https://twitter.com/AlexisContr10/status/723982384295755777" xr:uid="{7EB7210F-C023-4F5D-AC73-CFEF9B595946}"/>
    <hyperlink ref="O6546" r:id="rId20220" display="https://pbs.twimg.com/profile_images/711738875463520256/MTfCTGD-_normal.jpg" xr:uid="{A0570CED-53C2-4CE0-8DF3-D363D33866B7}"/>
    <hyperlink ref="B6547" r:id="rId20221" display="https://twitter.com/dubbusses" xr:uid="{3125D02A-ED6E-4DE7-BA9E-E810F5AEB592}"/>
    <hyperlink ref="E6547" r:id="rId20222" display="https://twitter.com/dubbusses/status/723982639460397056" xr:uid="{2C53E40F-0151-4097-B368-6319C8C1DAB0}"/>
    <hyperlink ref="O6547" r:id="rId20223" display="https://pbs.twimg.com/profile_images/718835727027580928/1ssyQ67y_normal.jpg" xr:uid="{049AA8B5-96BA-4532-831A-2A8D85308910}"/>
    <hyperlink ref="B6548" r:id="rId20224" display="https://twitter.com/dubbusses" xr:uid="{3D7FE0FF-7CF2-4861-888A-5BED8210610B}"/>
    <hyperlink ref="E6548" r:id="rId20225" display="https://twitter.com/dubbusses/status/723982662172610562" xr:uid="{3313E3A6-5C58-4C80-B8E1-94828923136E}"/>
    <hyperlink ref="O6548" r:id="rId20226" display="https://pbs.twimg.com/profile_images/718835727027580928/1ssyQ67y_normal.jpg" xr:uid="{D6D41480-FBC4-4F94-9AD7-6816EE45008B}"/>
    <hyperlink ref="B6549" r:id="rId20227" display="https://twitter.com/tomdrechsler" xr:uid="{C189F56F-E429-4503-AC39-6DEBB82C2492}"/>
    <hyperlink ref="E6549" r:id="rId20228" display="https://twitter.com/tomdrechsler/status/723982778476421120" xr:uid="{DCFE2936-A5FE-47C9-A023-4C96BB9A165C}"/>
    <hyperlink ref="O6549" r:id="rId20229" display="https://pbs.twimg.com/profile_images/618371711705198592/KWmZG0g7_normal.jpg" xr:uid="{3287A18B-ACB6-45A5-8577-CBE92B348856}"/>
    <hyperlink ref="B6550" r:id="rId20230" display="https://twitter.com/aridonatucci" xr:uid="{7F7A1468-E626-46A8-A326-8F03758E2179}"/>
    <hyperlink ref="E6550" r:id="rId20231" display="https://twitter.com/aridonatucci/status/723983233269043200" xr:uid="{062F15C5-9E75-4F04-8890-1057EE501763}"/>
    <hyperlink ref="O6550" r:id="rId20232" display="https://pbs.twimg.com/profile_images/1090546545/aritwitter_normal.JPG" xr:uid="{48EB387C-F6D8-4ABD-9C35-19BC402FCC1F}"/>
    <hyperlink ref="B6551" r:id="rId20233" display="https://twitter.com/Scirocco_Tuning" xr:uid="{FD9928F6-6615-47C0-8A66-D5646C2D0FFC}"/>
    <hyperlink ref="E6551" r:id="rId20234" display="https://twitter.com/Scirocco_Tuning/status/723983417822576640" xr:uid="{1FC619B2-4351-45FF-AD88-714EE6271194}"/>
    <hyperlink ref="O6551" r:id="rId20235" display="https://pbs.twimg.com/profile_images/1610421423/Image2_normal.jpg" xr:uid="{9EAEEAB1-5360-44F0-88F2-DB71EED7A6D0}"/>
    <hyperlink ref="B6552" r:id="rId20236" display="https://twitter.com/MuppetRider" xr:uid="{A1DD4801-3372-4364-A6C4-6F536C7884EA}"/>
    <hyperlink ref="E6552" r:id="rId20237" display="https://twitter.com/MuppetRider/status/723983569459265537" xr:uid="{96EA509D-98D3-4977-8C02-398C2F5BD9E6}"/>
    <hyperlink ref="O6552" r:id="rId20238" display="https://pbs.twimg.com/profile_images/590940002592415744/9CIdEDQi_normal.jpg" xr:uid="{D4BDBCCE-8B72-4EA7-9569-86B403348326}"/>
    <hyperlink ref="B6553" r:id="rId20239" display="https://twitter.com/gdrzewo" xr:uid="{120AFA95-8C17-4B2A-8C1C-6A725892AEA0}"/>
    <hyperlink ref="E6553" r:id="rId20240" display="https://twitter.com/gdrzewo/status/723983577709457409" xr:uid="{65377870-5A2E-4410-BB2A-74F15514B0B9}"/>
    <hyperlink ref="O6553" r:id="rId20241" display="https://pbs.twimg.com/profile_images/378800000505143379/8471aaec07a46e484b3ab4df81b2caed_normal.jpeg" xr:uid="{C433D2FA-B55E-48A3-A076-6C59359CEE6E}"/>
    <hyperlink ref="B6554" r:id="rId20242" display="https://twitter.com/m_mediouni" xr:uid="{00DB8B63-9710-4398-8E53-2DBDD6D7DE57}"/>
    <hyperlink ref="E6554" r:id="rId20243" display="https://twitter.com/m_mediouni/status/723983878935994369" xr:uid="{D46A14D7-2202-41C4-8E29-7351C3A9A93D}"/>
    <hyperlink ref="O6554" r:id="rId20244" display="https://pbs.twimg.com/profile_images/589811211778293760/J2sTcb44_normal.jpg" xr:uid="{B9D1942C-1FDC-4CC3-9A77-56DB4E4D6AF6}"/>
    <hyperlink ref="B6555" r:id="rId20245" display="https://twitter.com/Yellow_Car_Shop" xr:uid="{A7731758-2E34-41D6-B7BE-AA54E8A86F34}"/>
    <hyperlink ref="E6555" r:id="rId20246" display="https://twitter.com/Yellow_Car_Shop/status/723984585655234560" xr:uid="{A9F1EA0F-579C-4247-86D0-179B05655149}"/>
    <hyperlink ref="O6555" r:id="rId20247" display="https://pbs.twimg.com/profile_images/696469407200059395/ymFpE9mj_normal.jpg" xr:uid="{14C50C0A-8A57-421A-84FC-EE0D481AC746}"/>
    <hyperlink ref="B6556" r:id="rId20248" display="https://twitter.com/dejbanlaw" xr:uid="{28719B85-ABCE-46D1-948A-9C876AF44203}"/>
    <hyperlink ref="E6556" r:id="rId20249" display="https://twitter.com/dejbanlaw/status/723985458447802369" xr:uid="{AC333061-59D7-448D-B374-3CEEA8992C46}"/>
    <hyperlink ref="O6556" r:id="rId20250" display="https://pbs.twimg.com/profile_images/676465930424082432/zT-RyXf4_normal.jpg" xr:uid="{D9C0649C-9C92-4E18-A2ED-76C530F36E20}"/>
    <hyperlink ref="B6557" r:id="rId20251" display="https://twitter.com/vwdepo" xr:uid="{65BD656E-CBC4-4771-893D-3986EF764E2A}"/>
    <hyperlink ref="E6557" r:id="rId20252" display="https://twitter.com/vwdepo/status/723985468342329345" xr:uid="{2AA2A2E5-E14C-4DAA-9BE7-4052D5E4D01F}"/>
    <hyperlink ref="O6557" r:id="rId20253" display="https://pbs.twimg.com/profile_images/3378184537/c20ae9a7a410821b4f189c34a63380f7_normal.png" xr:uid="{11EA0033-07A2-430F-8446-C4FF9997F99F}"/>
    <hyperlink ref="B6558" r:id="rId20254" display="https://twitter.com/madeinsantacruz" xr:uid="{36A84FE5-EAE5-438D-B9F8-D803AA663696}"/>
    <hyperlink ref="E6558" r:id="rId20255" display="https://twitter.com/madeinsantacruz/status/723986144199892992" xr:uid="{CEB7CFC8-C8D6-4B09-BC56-A58B6AA14538}"/>
    <hyperlink ref="O6558" r:id="rId20256" display="https://pbs.twimg.com/profile_images/254110814/DroppedLOGO_jpeg_normal.jpg" xr:uid="{939C9615-05AA-4C02-B7A0-C09A0C8617F9}"/>
    <hyperlink ref="B6559" r:id="rId20257" display="https://twitter.com/OldFox1789" xr:uid="{AF083148-39C4-40FA-AA3B-6BB59D1FE9F5}"/>
    <hyperlink ref="E6559" r:id="rId20258" display="https://twitter.com/OldFox1789/status/723986386009882625" xr:uid="{6ACF391C-ADC9-4BCC-9E46-C900715E1798}"/>
    <hyperlink ref="O6559" r:id="rId20259" display="https://pbs.twimg.com/profile_images/660172992136224768/kyd2qeq6_normal.jpg" xr:uid="{4AF48FA5-CBE5-493C-B151-E775B80E0811}"/>
    <hyperlink ref="B6560" r:id="rId20260" display="https://twitter.com/XimeeCatalan" xr:uid="{7CDF097C-7F30-4F30-AC8C-504CB3ECAE29}"/>
    <hyperlink ref="E6560" r:id="rId20261" display="https://twitter.com/XimeeCatalan/status/723986422026371072" xr:uid="{B8E2B90B-A956-4956-8C38-E45110FA88F8}"/>
    <hyperlink ref="O6560" r:id="rId20262" display="https://pbs.twimg.com/profile_images/721557101999439872/_YvtEqhz_normal.jpg" xr:uid="{28B453AF-0F2F-41ED-A23C-44C9EA63C757}"/>
    <hyperlink ref="B6561" r:id="rId20263" display="https://twitter.com/Joon537" xr:uid="{8A367DBB-04FD-4C5D-A28D-B914407D6E95}"/>
    <hyperlink ref="E6561" r:id="rId20264" display="https://twitter.com/Joon537/status/723986736045539328" xr:uid="{A11A7609-EDEF-4526-AB14-BDF84BF8D65D}"/>
    <hyperlink ref="O6561" r:id="rId20265" display="https://pbs.twimg.com/profile_images/2327285864/Joon537_normal.jpg" xr:uid="{1152CE33-6B62-4DE8-AB29-7E085C22143E}"/>
    <hyperlink ref="B6562" r:id="rId20266" display="https://twitter.com/VeeDubMk1_" xr:uid="{DF10E581-1045-45C4-AC86-1B8855AC2C6D}"/>
    <hyperlink ref="E6562" r:id="rId20267" display="https://twitter.com/VeeDubMk1_/status/723986973573128193" xr:uid="{1E552264-B08C-4699-B3DF-CC93DEAC5A7A}"/>
    <hyperlink ref="O6562" r:id="rId20268" display="https://pbs.twimg.com/profile_images/672878354127839232/M7OYc-zx_normal.jpg" xr:uid="{C1462951-80B2-4002-B929-2822F9E30848}"/>
    <hyperlink ref="B6563" r:id="rId20269" display="https://twitter.com/Censored0" xr:uid="{28B8964E-D821-4F92-AEB4-BCD9BEA97D14}"/>
    <hyperlink ref="E6563" r:id="rId20270" display="https://twitter.com/Censored0/status/723987033316712449" xr:uid="{B2B2015E-04DA-4D99-9D33-9AE1016F4297}"/>
    <hyperlink ref="O6563" r:id="rId20271" display="https://pbs.twimg.com/profile_images/672513876546609152/dIow1bxx_normal.jpg" xr:uid="{C14F81D9-C68C-46E7-A6C8-A8533F26EB24}"/>
    <hyperlink ref="B6564" r:id="rId20272" display="https://twitter.com/unlmtdsmarttech" xr:uid="{AC8034BF-44F4-4869-B2E6-90ACCB0DB1AC}"/>
    <hyperlink ref="E6564" r:id="rId20273" display="https://twitter.com/unlmtdsmarttech/status/723987081974931456" xr:uid="{6A0D7A4D-18A1-4755-8F4B-4ED07B6790E1}"/>
    <hyperlink ref="O6564" r:id="rId20274" display="https://pbs.twimg.com/profile_images/671525031948652544/gPRky3nV_normal.jpg" xr:uid="{38A0F4A6-D792-484E-96B0-B0215C903D47}"/>
    <hyperlink ref="B6565" r:id="rId20275" display="https://twitter.com/agusruiz13" xr:uid="{BFB63A4D-EB1E-4A74-8863-BFC2774AC595}"/>
    <hyperlink ref="E6565" r:id="rId20276" display="https://twitter.com/agusruiz13/status/723987157359054849" xr:uid="{9A6A4300-DA6D-4691-AEB7-91FEE81A51C7}"/>
    <hyperlink ref="O6565" r:id="rId20277" display="https://pbs.twimg.com/profile_images/704162153696239616/Ke0WtIWj_normal.jpg" xr:uid="{324C0F2E-28AC-4083-905C-304C0412AEE8}"/>
    <hyperlink ref="P6565" r:id="rId20278" location="-34.62823056,-58.48138056" display="http://ctrlq.org/maps/address/ - -34.62823056,-58.48138056" xr:uid="{DC3C4EA8-B109-4B96-A79C-9AEF55B16D5D}"/>
    <hyperlink ref="B6566" r:id="rId20279" display="https://twitter.com/Losttime_Comics" xr:uid="{265CC585-9568-4F8F-8F09-F8CFC6D0589A}"/>
    <hyperlink ref="E6566" r:id="rId20280" display="https://twitter.com/Losttime_Comics/status/723987355703607296" xr:uid="{1AC9DC1D-4097-4DAA-B750-46BFE9AEC198}"/>
    <hyperlink ref="O6566" r:id="rId20281" display="https://pbs.twimg.com/profile_images/712885919171395586/DZuldnRH_normal.jpg" xr:uid="{11424985-48AA-4780-949A-5FD8BA82462A}"/>
    <hyperlink ref="B6567" r:id="rId20282" display="https://twitter.com/almadabriian" xr:uid="{78097D62-D2D0-47C7-9033-868BBE4D3205}"/>
    <hyperlink ref="E6567" r:id="rId20283" display="https://twitter.com/almadabriian/status/723987512025354240" xr:uid="{CC8B3304-FDF4-45E5-9295-ACEEBA7CEC8C}"/>
    <hyperlink ref="O6567" r:id="rId20284" display="https://pbs.twimg.com/profile_images/722161754839654400/YIH3Kxy7_normal.jpg" xr:uid="{8EC2607E-6E0A-4380-BB7E-FFB7CF57A13E}"/>
    <hyperlink ref="B6568" r:id="rId20285" display="https://twitter.com/thecoffeebus" xr:uid="{05AC665C-290C-4FED-A7C1-802EC66C3834}"/>
    <hyperlink ref="E6568" r:id="rId20286" display="https://twitter.com/thecoffeebus/status/723987669986906112" xr:uid="{E8A6A169-9072-4025-BA47-F167E1E5BC2E}"/>
    <hyperlink ref="O6568" r:id="rId20287" display="https://pbs.twimg.com/profile_images/561027762144542720/QH4eCkSR_normal.jpeg" xr:uid="{7024510C-9EDB-4E17-B35D-39C24AC63185}"/>
    <hyperlink ref="B6569" r:id="rId20288" display="https://twitter.com/barrydanzig" xr:uid="{DBCF6D8D-5087-4B3B-835C-6CF0679D404C}"/>
    <hyperlink ref="E6569" r:id="rId20289" display="https://twitter.com/barrydanzig/status/723988090600218625" xr:uid="{051BF8BD-A7BC-47A3-85F4-1C7CF5F31149}"/>
    <hyperlink ref="O6569" r:id="rId20290" display="https://pbs.twimg.com/profile_images/452223035278635008/nh74b6X2_normal.jpeg" xr:uid="{AB3FF14B-7D53-42DD-B8E9-60FF776F1BD0}"/>
    <hyperlink ref="B6570" r:id="rId20291" display="https://twitter.com/resumendelmedio" xr:uid="{77220CC0-C55B-4044-8150-699A1442E775}"/>
    <hyperlink ref="E6570" r:id="rId20292" display="https://twitter.com/resumendelmedio/status/723988535938830336" xr:uid="{58D72934-C0F8-4397-B82C-4827D3E4E655}"/>
    <hyperlink ref="O6570" r:id="rId20293" display="https://pbs.twimg.com/profile_images/3108571378/b62343724ccc97a242a7314747278689_normal.png" xr:uid="{20D59428-6A06-4962-B315-FADB376DB042}"/>
    <hyperlink ref="B6571" r:id="rId20294" display="https://twitter.com/sinanyuz" xr:uid="{569C50F5-32C0-42EE-AD98-4EFC97A3D743}"/>
    <hyperlink ref="E6571" r:id="rId20295" display="https://twitter.com/sinanyuz/status/723988892249165824" xr:uid="{FA410BB2-E68E-4AD9-B61C-4435F0E3EE13}"/>
    <hyperlink ref="O6571" r:id="rId20296" display="https://pbs.twimg.com/profile_images/633030122455609344/gcpG_VE7_normal.jpg" xr:uid="{06882653-1622-4B55-BD8E-A2C202406EC7}"/>
    <hyperlink ref="B6572" r:id="rId20297" display="https://twitter.com/Oqwamjaeger0P" xr:uid="{AB7D403C-7AB3-4D49-9351-4450AD058F1B}"/>
    <hyperlink ref="E6572" r:id="rId20298" display="https://twitter.com/Oqwamjaeger0P/status/723988927833579520" xr:uid="{C0D5BDCC-0894-4B26-A02F-E5399C57577B}"/>
    <hyperlink ref="O6572" r:id="rId20299" display="https://pbs.twimg.com/profile_images/575833403951468544/Zh-Ln_go_normal.jpeg" xr:uid="{3C50E21E-8FFA-4B6A-8F01-44FC5519BC6A}"/>
    <hyperlink ref="B6573" r:id="rId20300" display="https://twitter.com/69GILLBERTxK" xr:uid="{ADBF4516-310E-41CF-AEAE-212D4E78C4D6}"/>
    <hyperlink ref="E6573" r:id="rId20301" display="https://twitter.com/69GILLBERTxK/status/723989296798130176" xr:uid="{8D8122C7-EEE6-436D-BBC4-3D97CBCB6C78}"/>
    <hyperlink ref="O6573" r:id="rId20302" display="https://pbs.twimg.com/profile_images/575854619391172608/iJRbR0AY_normal.jpeg" xr:uid="{21B1879C-4B5B-4067-9D25-A19CB05FC1E2}"/>
    <hyperlink ref="B6574" r:id="rId20303" display="https://twitter.com/Nexovision" xr:uid="{56CDE313-C3B1-49B0-B1BA-676EE8B9E4EB}"/>
    <hyperlink ref="E6574" r:id="rId20304" display="https://twitter.com/Nexovision/status/723989381120282624" xr:uid="{701CD936-D452-4F2D-863F-1D1D07B43E47}"/>
    <hyperlink ref="O6574" r:id="rId20305" display="https://pbs.twimg.com/profile_images/440902226756632576/9PgGXUUP_normal.jpeg" xr:uid="{79C32DED-BB92-4258-8918-86A738710C92}"/>
    <hyperlink ref="B6575" r:id="rId20306" display="https://twitter.com/wilwardle" xr:uid="{167F0295-122F-4BEB-A371-88F3BB020520}"/>
    <hyperlink ref="E6575" r:id="rId20307" display="https://twitter.com/wilwardle/status/723989771182301184" xr:uid="{0E63A80D-49E4-4E93-8225-E94FDA8CCF96}"/>
    <hyperlink ref="O6575" r:id="rId20308" display="https://pbs.twimg.com/profile_images/1171075230/heres_looking_at_you_normal.jpg" xr:uid="{7E16F34A-FEE0-407B-A968-96BF9F1F8883}"/>
    <hyperlink ref="B6576" r:id="rId20309" display="https://twitter.com/RenzoRodriguez_" xr:uid="{F93CE511-6A1F-44E1-ADB0-F69F81C38164}"/>
    <hyperlink ref="E6576" r:id="rId20310" display="https://twitter.com/RenzoRodriguez_/status/723989938509873153" xr:uid="{8CF27EAA-CAFF-4B6E-8CC0-000397A17DCE}"/>
    <hyperlink ref="O6576" r:id="rId20311" display="https://pbs.twimg.com/profile_images/708289305043734528/fQpuNRU2_normal.jpg" xr:uid="{6B63F4F6-CE1B-4756-91DD-0D3E2BFDAF1E}"/>
    <hyperlink ref="B6577" r:id="rId20312" display="https://twitter.com/SophleKeads" xr:uid="{9B4C014E-1815-47D6-824B-2E766051782F}"/>
    <hyperlink ref="E6577" r:id="rId20313" display="https://twitter.com/SophleKeads/status/723990244786356224" xr:uid="{DF48A108-749A-4FA9-BF33-5DD9EFDD79F7}"/>
    <hyperlink ref="O6577" r:id="rId20314" display="https://pbs.twimg.com/profile_images/540370001723916288/XeEHR1Go_normal.jpeg" xr:uid="{CC0B3502-6FEE-49F4-9D8F-0EF2876F5C3A}"/>
    <hyperlink ref="B6578" r:id="rId20315" display="https://twitter.com/kelllsohara" xr:uid="{5CB7606B-C838-49AA-96F3-9BD6CF61ACFB}"/>
    <hyperlink ref="E6578" r:id="rId20316" display="https://twitter.com/kelllsohara/status/723990309881843712" xr:uid="{400D043E-C968-4397-9EAE-FD83B9A910E8}"/>
    <hyperlink ref="O6578" r:id="rId20317" display="https://pbs.twimg.com/profile_images/594598794114695169/21t2blj3_normal.jpg" xr:uid="{EC8B47E7-0064-4A17-83B0-52724B80E202}"/>
    <hyperlink ref="B6579" r:id="rId20318" display="https://twitter.com/ebaycampervans" xr:uid="{029820F0-E8E0-48BD-9F61-B5CE49FE5039}"/>
    <hyperlink ref="E6579" r:id="rId20319" display="https://twitter.com/ebaycampervans/status/723990337669074944" xr:uid="{EFDE8FAA-465F-4A70-BC3E-921FB80BFE4D}"/>
    <hyperlink ref="O6579" r:id="rId20320" display="https://pbs.twimg.com/profile_images/599357023407464449/BL9Bpo6T_normal.jpg" xr:uid="{EF799431-244D-4764-8E42-71887514D346}"/>
    <hyperlink ref="B6580" r:id="rId20321" display="https://twitter.com/LeoRogeris" xr:uid="{536BF751-66C3-416A-AC18-4631AC1FA313}"/>
    <hyperlink ref="E6580" r:id="rId20322" display="https://twitter.com/LeoRogeris/status/723990385534603264" xr:uid="{67B6F0FA-F36F-4162-8A6A-20665006C256}"/>
    <hyperlink ref="O6580" r:id="rId20323" display="https://pbs.twimg.com/profile_images/695736685959737346/91Zk4k_M_normal.jpg" xr:uid="{FC183433-5CD8-43D6-BAB5-4F8F59740D85}"/>
    <hyperlink ref="B6581" r:id="rId20324" display="https://twitter.com/PTPTM0" xr:uid="{5AA30758-CBEB-4DA6-A917-C761DCD3A367}"/>
    <hyperlink ref="E6581" r:id="rId20325" display="https://twitter.com/PTPTM0/status/723991323410231296" xr:uid="{DAB63AF6-E362-4EB9-9D91-9E1CEB5B34B1}"/>
    <hyperlink ref="O6581" r:id="rId20326" display="https://pbs.twimg.com/profile_images/594600472654184448/pUU50-zM_normal.jpg" xr:uid="{02FA5FF5-E018-4832-9529-751012B82E16}"/>
    <hyperlink ref="B6582" r:id="rId20327" display="https://twitter.com/MerlinaAlmendra" xr:uid="{E955651C-BEE0-4F27-BCF3-7959F66354FA}"/>
    <hyperlink ref="E6582" r:id="rId20328" display="https://twitter.com/MerlinaAlmendra/status/723991619821658116" xr:uid="{8F5C75A8-EA81-440D-AC2F-9F63700E88F9}"/>
    <hyperlink ref="O6582" r:id="rId20329" display="https://pbs.twimg.com/profile_images/716386262387527680/iXBQikmn_normal.jpg" xr:uid="{5C5A6D7F-5E6A-4822-84ED-CC9EA36381F7}"/>
    <hyperlink ref="B6583" r:id="rId20330" display="https://twitter.com/LaurenH51219678" xr:uid="{75BC5393-2807-4E0E-B0BE-AE11943EE7BD}"/>
    <hyperlink ref="E6583" r:id="rId20331" display="https://twitter.com/LaurenH51219678/status/723991996122206210" xr:uid="{1C2BD737-FE69-481E-B056-F2A15F6923B2}"/>
    <hyperlink ref="O6583" r:id="rId20332" display="https://pbs.twimg.com/profile_images/718771637177491456/sQ3Aguzt_normal.jpg" xr:uid="{EEEA7DBA-8977-405B-83D8-A694481219BB}"/>
    <hyperlink ref="B6584" r:id="rId20333" display="https://twitter.com/LaurenH51219678" xr:uid="{EE5829E4-66F8-49EB-9E33-ED5BF9B10810}"/>
    <hyperlink ref="E6584" r:id="rId20334" display="https://twitter.com/LaurenH51219678/status/723992033128505345" xr:uid="{F4C0111C-9F0A-447D-97A4-6E26865E8F12}"/>
    <hyperlink ref="O6584" r:id="rId20335" display="https://pbs.twimg.com/profile_images/718771637177491456/sQ3Aguzt_normal.jpg" xr:uid="{E2B844A1-1F3B-4D57-8FFD-3374260B4E7F}"/>
    <hyperlink ref="B6585" r:id="rId20336" display="https://twitter.com/janekglbbons" xr:uid="{8F794B4C-D05D-41C7-B8AA-5999D2178BE2}"/>
    <hyperlink ref="E6585" r:id="rId20337" display="https://twitter.com/janekglbbons/status/723992216599969792" xr:uid="{1C91CB77-6EEE-4016-BA37-7FF72B8E0997}"/>
    <hyperlink ref="O6585" r:id="rId20338" display="https://pbs.twimg.com/profile_images/534267709093990400/jaRfmyBl_normal.jpeg" xr:uid="{04665B1C-2DD4-4A02-9CC0-3A932C8D1F0C}"/>
    <hyperlink ref="B6586" r:id="rId20339" display="https://twitter.com/VWCamperSales" xr:uid="{D8E985A8-C8AD-4355-911E-C5CD160DD07B}"/>
    <hyperlink ref="E6586" r:id="rId20340" display="https://twitter.com/VWCamperSales/status/723992620280602624" xr:uid="{CBF6749A-280D-406B-A665-7532699D4AAB}"/>
    <hyperlink ref="F6586" r:id="rId20341" xr:uid="{4D62B805-6B46-43A9-8201-A9DE1E3A822C}"/>
    <hyperlink ref="O6586" r:id="rId20342" display="https://pbs.twimg.com/profile_images/627949001179037696/skEBkS05_normal.jpg" xr:uid="{A64AFFD2-CD3B-4E2F-8981-FB7B37C368EE}"/>
    <hyperlink ref="B6587" r:id="rId20343" display="https://twitter.com/ckindel" xr:uid="{CD318837-B881-4D7C-A06A-DA2CEBC57280}"/>
    <hyperlink ref="E6587" r:id="rId20344" display="https://twitter.com/ckindel/status/723992640627331072" xr:uid="{72C31544-283A-4C8A-8231-DEB1ACE8098C}"/>
    <hyperlink ref="O6587" r:id="rId20345" display="https://pbs.twimg.com/profile_images/695743870223589376/HIfxgvUt_normal.jpg" xr:uid="{8740519A-EAF3-42FE-879B-C810C887CCDA}"/>
    <hyperlink ref="B6588" r:id="rId20346" display="https://twitter.com/jarrodau" xr:uid="{95C1A0F0-B840-48DB-A654-9A322C781B0C}"/>
    <hyperlink ref="E6588" r:id="rId20347" display="https://twitter.com/jarrodau/status/723992673783304192" xr:uid="{F10D7677-245C-42DD-8CF5-712797D298E4}"/>
    <hyperlink ref="O6588" r:id="rId20348" display="https://pbs.twimg.com/profile_images/533518254497890305/leQoSDPL_normal.jpeg" xr:uid="{39405150-7305-4457-8EBF-FD87A291C49F}"/>
    <hyperlink ref="B6589" r:id="rId20349" display="https://twitter.com/purplehalr_xo" xr:uid="{1A7956FD-9D97-4445-B228-E5689FEEF27C}"/>
    <hyperlink ref="E6589" r:id="rId20350" display="https://twitter.com/purplehalr_xo/status/723993798251044864" xr:uid="{82185203-D794-4B6F-AB6A-86F193F97FDD}"/>
    <hyperlink ref="O6589" r:id="rId20351" display="https://pbs.twimg.com/profile_images/541559605290364928/Qmf_JkLj_normal.jpeg" xr:uid="{6DB981EB-D218-4809-9928-76753B9A690B}"/>
    <hyperlink ref="B6590" r:id="rId20352" display="https://twitter.com/OnlineCarReview" xr:uid="{AE349EA7-61E7-4EF9-A20D-5E9CE76D7D86}"/>
    <hyperlink ref="E6590" r:id="rId20353" display="https://twitter.com/OnlineCarReview/status/723994090405122048" xr:uid="{45BB74E7-544B-49F0-B421-8308D074DF1F}"/>
    <hyperlink ref="O6590" r:id="rId20354" display="https://pbs.twimg.com/profile_images/652871584131092480/QA_B6SBO_normal.jpg" xr:uid="{A477CCA9-9AAC-4166-890F-7152129FF676}"/>
    <hyperlink ref="B6591" r:id="rId20355" display="https://twitter.com/OnlineCarReview" xr:uid="{F20775FD-0FF7-4521-98E8-686B9AF1838B}"/>
    <hyperlink ref="E6591" r:id="rId20356" display="https://twitter.com/OnlineCarReview/status/723994091298529280" xr:uid="{5F4556FE-F52E-4D92-BA7C-1C24CB725EE5}"/>
    <hyperlink ref="O6591" r:id="rId20357" display="https://pbs.twimg.com/profile_images/652871584131092480/QA_B6SBO_normal.jpg" xr:uid="{FD2AD6DB-38FB-4A75-9D9E-930CDA613F5B}"/>
    <hyperlink ref="B6592" r:id="rId20358" display="https://twitter.com/VWCamperSales" xr:uid="{F0D692B1-CA11-491F-B32A-EA88C58FA46F}"/>
    <hyperlink ref="E6592" r:id="rId20359" display="https://twitter.com/VWCamperSales/status/723994134801866753" xr:uid="{40C09C60-86E3-4C03-953C-2ED7DE7036F7}"/>
    <hyperlink ref="F6592" r:id="rId20360" xr:uid="{AEBDF321-E06D-4788-B891-062F16B4B322}"/>
    <hyperlink ref="O6592" r:id="rId20361" display="https://pbs.twimg.com/profile_images/627949001179037696/skEBkS05_normal.jpg" xr:uid="{9219D6DB-C8C6-4316-A57D-7BC8ABF430A4}"/>
    <hyperlink ref="B6593" r:id="rId20362" display="https://twitter.com/Gravantar" xr:uid="{5F0F6BDB-8C01-47CD-844C-EEAB5BA2E4E4}"/>
    <hyperlink ref="E6593" r:id="rId20363" display="https://twitter.com/Gravantar/status/723994161007964161" xr:uid="{AFC32154-A030-4643-93F0-65EEB20D1F18}"/>
    <hyperlink ref="O6593" r:id="rId20364" display="https://pbs.twimg.com/profile_images/614154681250656256/TUEyUHnG_normal.jpg" xr:uid="{8C926A29-7E34-4AC7-B0EE-4518FCCA05B2}"/>
    <hyperlink ref="B6594" r:id="rId20365" display="https://twitter.com/KKast0rff" xr:uid="{F5203AB0-4147-45C1-97D1-85A1789B5469}"/>
    <hyperlink ref="E6594" r:id="rId20366" display="https://twitter.com/KKast0rff/status/723994342105317377" xr:uid="{51291A1F-AFA8-4D36-81D3-0A4A9E12C015}"/>
    <hyperlink ref="O6594" r:id="rId20367" display="https://pbs.twimg.com/profile_images/594594462057168896/YfV6rpnt_normal.jpg" xr:uid="{D6665221-EBD3-4194-B4A7-109ABCB068F8}"/>
    <hyperlink ref="B6595" r:id="rId20368" display="https://twitter.com/FMX_DBC" xr:uid="{96584831-878A-4783-92D8-559B20B24D70}"/>
    <hyperlink ref="E6595" r:id="rId20369" display="https://twitter.com/FMX_DBC/status/723994605126049793" xr:uid="{3525A4BC-1079-4734-8F08-EE27C2983443}"/>
    <hyperlink ref="O6595" r:id="rId20370" display="https://pbs.twimg.com/profile_images/416951767482380288/0F-CgFbE_normal.jpeg" xr:uid="{C8158F55-AFDB-41EF-B651-C85CB29945A0}"/>
    <hyperlink ref="B6596" r:id="rId20371" display="https://twitter.com/TroyLangford1" xr:uid="{4723951F-54C4-44FE-96E0-DFA4B618A6D7}"/>
    <hyperlink ref="E6596" r:id="rId20372" display="https://twitter.com/TroyLangford1/status/723994608414429184" xr:uid="{B6E6BC82-4826-4900-B3FE-67E68188661C}"/>
    <hyperlink ref="O6596" r:id="rId20373" display="https://pbs.twimg.com/profile_images/512791531128750080/twojGp5p_normal.jpeg" xr:uid="{CFC83BB3-1FD8-4CA0-8A2D-1577D13ACB7A}"/>
    <hyperlink ref="B6597" r:id="rId20374" display="https://twitter.com/johnmac17" xr:uid="{CF9E2D0E-6BD8-43AC-A58C-022F8F321F90}"/>
    <hyperlink ref="E6597" r:id="rId20375" display="https://twitter.com/johnmac17/status/723994650953048064" xr:uid="{8BB61CFC-957A-447F-93BA-DF7323415B5A}"/>
    <hyperlink ref="O6597" r:id="rId20376" display="https://pbs.twimg.com/profile_images/720902665379659776/3AQo3tuF_normal.jpg" xr:uid="{D0DFD6C2-7A61-4EFE-AA8A-D60B66B9835C}"/>
    <hyperlink ref="B6598" r:id="rId20377" display="https://twitter.com/ValeriaIbanezA" xr:uid="{619686CA-26EB-433F-ADAD-64F9F4943D8B}"/>
    <hyperlink ref="E6598" r:id="rId20378" display="https://twitter.com/ValeriaIbanezA/status/723994751909933057" xr:uid="{901C75A0-B9D7-47CF-97AE-AAE9D74E083E}"/>
    <hyperlink ref="O6598" r:id="rId20379" display="https://abs.twimg.com/sticky/default_profile_images/default_profile_6_normal.png" xr:uid="{3131FC6A-A19A-475A-ADD6-E03CAB93537C}"/>
    <hyperlink ref="B6599" r:id="rId20380" display="https://twitter.com/Omar_hola" xr:uid="{90FCB217-ACE0-4B32-9FD4-4B5D21CE3588}"/>
    <hyperlink ref="E6599" r:id="rId20381" display="https://twitter.com/Omar_hola/status/723994929953910785" xr:uid="{0AF84C59-EB4D-4856-9C88-B4F20F461157}"/>
    <hyperlink ref="O6599" r:id="rId20382" display="https://pbs.twimg.com/profile_images/564679346342723585/ssVaGFed_normal.jpeg" xr:uid="{0BECBB43-E13A-4129-B5A5-73A8543151C0}"/>
    <hyperlink ref="B6600" r:id="rId20383" display="https://twitter.com/robertodesachy" xr:uid="{E0D35C89-844C-4D4F-BDA0-1279367C7676}"/>
    <hyperlink ref="E6600" r:id="rId20384" display="https://twitter.com/robertodesachy/status/723994931036065792" xr:uid="{79873B63-4462-4ECF-AC80-BC59DD2A0965}"/>
    <hyperlink ref="O6600" r:id="rId20385" display="https://pbs.twimg.com/profile_images/438911154551668736/n6Nlzqp3_normal.jpeg" xr:uid="{3DE0D695-08AA-40F0-862F-06879CF7899E}"/>
    <hyperlink ref="B6601" r:id="rId20386" display="https://twitter.com/desdepuebla1" xr:uid="{AA3B6573-566C-4A15-8A43-EC55F9F0451A}"/>
    <hyperlink ref="E6601" r:id="rId20387" display="https://twitter.com/desdepuebla1/status/723994931094806528" xr:uid="{DDB4175F-6EE3-4910-848A-8DBBF651DC9A}"/>
    <hyperlink ref="O6601" r:id="rId20388" display="https://pbs.twimg.com/profile_images/459765540337119232/b35P2TUL_normal.jpeg" xr:uid="{81979ECB-5D98-42EB-9604-F40FA3BA078A}"/>
    <hyperlink ref="B6602" r:id="rId20389" display="https://twitter.com/FuscaWorld" xr:uid="{DE03C90F-E9BC-448D-99C2-886A5F9CCD8A}"/>
    <hyperlink ref="E6602" r:id="rId20390" display="https://twitter.com/FuscaWorld/status/723995354811777026" xr:uid="{6BABAC12-F7EE-4A42-9417-19EA1202F5C6}"/>
    <hyperlink ref="O6602" r:id="rId20391" display="https://pbs.twimg.com/profile_images/705780107844067328/e7O4UBNb_normal.jpg" xr:uid="{0C6076EA-4ACF-4A05-ABB3-0BFFCB2D6211}"/>
    <hyperlink ref="B6603" r:id="rId20392" display="https://twitter.com/andrewtconway" xr:uid="{3654CB07-8FA9-46A5-A6FA-B46B04E15154}"/>
    <hyperlink ref="E6603" r:id="rId20393" display="https://twitter.com/andrewtconway/status/723995393256755203" xr:uid="{6BC33C78-7846-4E00-BB69-6BDADCE9AF4E}"/>
    <hyperlink ref="O6603" r:id="rId20394" display="https://pbs.twimg.com/profile_images/663706932805550081/6fH0YlqP_normal.jpg" xr:uid="{1FFD8984-72C7-44BA-A039-98EFF810733E}"/>
    <hyperlink ref="B6604" r:id="rId20395" display="https://twitter.com/autogefuehl" xr:uid="{E52AC407-D49F-4C91-9AD3-A3C70B4003BB}"/>
    <hyperlink ref="E6604" r:id="rId20396" display="https://twitter.com/autogefuehl/status/723995435757625344" xr:uid="{733B4ED5-5F15-43BE-9092-7A6F387D2F44}"/>
    <hyperlink ref="O6604" r:id="rId20397" display="https://pbs.twimg.com/profile_images/378800000057574733/abb38e6b9c302ca61c9803fde73cfcd4_normal.jpeg" xr:uid="{0C98DB22-67DF-4062-A524-EC49376DE5F1}"/>
    <hyperlink ref="B6605" r:id="rId20398" display="https://twitter.com/SocialMAXorg" xr:uid="{C5F1EBDA-FAD7-47ED-B6F2-96450E745B09}"/>
    <hyperlink ref="E6605" r:id="rId20399" display="https://twitter.com/SocialMAXorg/status/723996003729285120" xr:uid="{16843A96-DF05-4571-8FA0-12BA7449C20D}"/>
    <hyperlink ref="O6605" r:id="rId20400" display="https://pbs.twimg.com/profile_images/675744269617893376/euzFIoRi_normal.png" xr:uid="{288DE7F1-4006-4CC9-BC9E-B941B487CAA8}"/>
    <hyperlink ref="B6606" r:id="rId20401" display="https://twitter.com/ParkwayVW" xr:uid="{ABB253E3-BE8B-4416-8F04-6774C34AF61C}"/>
    <hyperlink ref="E6606" r:id="rId20402" display="https://twitter.com/ParkwayVW/status/723996125842165761" xr:uid="{C55EECD3-5C7B-4F50-ABFC-CC94DBDE14AF}"/>
    <hyperlink ref="O6606" r:id="rId20403" display="https://pbs.twimg.com/profile_images/2635317758/7c2c4ad3f1a9ec07740a743a22591d59_normal.png" xr:uid="{48AF642C-F2FF-4669-A3BA-6F175525AF3F}"/>
    <hyperlink ref="B6607" r:id="rId20404" display="https://twitter.com/k__h3nd" xr:uid="{BA34ADBC-E5EE-4B5B-B326-927F1C303EE1}"/>
    <hyperlink ref="E6607" r:id="rId20405" display="https://twitter.com/k__h3nd/status/723996688478773248" xr:uid="{E41B2609-30C0-42BD-99EB-BA8D3E403E16}"/>
    <hyperlink ref="O6607" r:id="rId20406" display="https://pbs.twimg.com/profile_images/539542069124300800/Nx83VwHR_normal.jpeg" xr:uid="{E4206E1D-C2D9-41E4-A3C5-BAED2C35CF33}"/>
    <hyperlink ref="B6608" r:id="rId20407" display="https://twitter.com/LDCcreations" xr:uid="{BB4F7A79-38A0-423F-A894-7F5DA4597C7F}"/>
    <hyperlink ref="E6608" r:id="rId20408" display="https://twitter.com/LDCcreations/status/723996698561929216" xr:uid="{7A9A263B-0652-431F-853F-88F4569B3EC8}"/>
    <hyperlink ref="O6608" r:id="rId20409" display="https://pbs.twimg.com/profile_images/3546807418/358648ceafebcd1bc86c677256332c33_normal.jpeg" xr:uid="{8259B0F5-2852-43E3-A15E-D1A44170C257}"/>
    <hyperlink ref="B6609" r:id="rId20410" display="https://twitter.com/terl_mor" xr:uid="{14C6E322-15F8-4344-BA18-39312ADD73A4}"/>
    <hyperlink ref="E6609" r:id="rId20411" display="https://twitter.com/terl_mor/status/723996887313973248" xr:uid="{ADF4D753-4856-40D8-979E-56979C8F45A8}"/>
    <hyperlink ref="O6609" r:id="rId20412" display="https://pbs.twimg.com/profile_images/541516912371707904/H-NvkAOD_normal.jpeg" xr:uid="{7F63FAAE-3775-476F-8084-3B86C473982A}"/>
    <hyperlink ref="B6610" r:id="rId20413" display="https://twitter.com/Maricofre2" xr:uid="{FFB23C2C-C16F-408F-8213-B72C9FC3D36D}"/>
    <hyperlink ref="E6610" r:id="rId20414" display="https://twitter.com/Maricofre2/status/723997542070013954" xr:uid="{C16E066B-8053-4A59-8D53-48E7FA908D5C}"/>
    <hyperlink ref="O6610" r:id="rId20415" display="https://pbs.twimg.com/profile_images/706339835821293568/uyrqrH27_normal.jpg" xr:uid="{840369EE-5415-4FE8-8959-B57BDE14C6C0}"/>
    <hyperlink ref="B6611" r:id="rId20416" display="https://twitter.com/speedsoundtech" xr:uid="{140215C1-D827-4964-94DB-813F3E91550F}"/>
    <hyperlink ref="E6611" r:id="rId20417" display="https://twitter.com/speedsoundtech/status/723997677306953730" xr:uid="{831BEC18-E796-4AB6-8A49-A7D652E6A365}"/>
    <hyperlink ref="O6611" r:id="rId20418" display="https://pbs.twimg.com/profile_images/530009594236370944/9ZNr2jpQ_normal.jpeg" xr:uid="{AE47666A-F36B-4AE5-8D51-E2ED53A1D859}"/>
    <hyperlink ref="B6612" r:id="rId20419" display="https://twitter.com/dubbusses" xr:uid="{85257A22-207B-4DA4-BDF7-53AC2DEA06E9}"/>
    <hyperlink ref="E6612" r:id="rId20420" display="https://twitter.com/dubbusses/status/723997766159065088" xr:uid="{1842BCB1-C3C6-4A2D-9589-D89A9EF13868}"/>
    <hyperlink ref="O6612" r:id="rId20421" display="https://pbs.twimg.com/profile_images/718835727027580928/1ssyQ67y_normal.jpg" xr:uid="{6AB98088-F573-4747-B6F7-E6E12E922CED}"/>
    <hyperlink ref="B6613" r:id="rId20422" display="https://twitter.com/dubbusses" xr:uid="{9F34C19F-F7C4-4BFF-91D5-93A474094D8D}"/>
    <hyperlink ref="E6613" r:id="rId20423" display="https://twitter.com/dubbusses/status/723997785289285632" xr:uid="{FB717F3A-F028-493C-B30C-A2BFFFE623EE}"/>
    <hyperlink ref="O6613" r:id="rId20424" display="https://pbs.twimg.com/profile_images/718835727027580928/1ssyQ67y_normal.jpg" xr:uid="{5E6DEC47-8C72-43EE-A29B-D8A918E83A9A}"/>
    <hyperlink ref="B6614" r:id="rId20425" display="https://twitter.com/LusinaMatias" xr:uid="{34074909-AEFD-4012-A30A-3C212A896F3D}"/>
    <hyperlink ref="E6614" r:id="rId20426" display="https://twitter.com/LusinaMatias/status/723997904550150148" xr:uid="{52E5B627-D79E-4546-AFA7-B15B3A041BBC}"/>
    <hyperlink ref="O6614" r:id="rId20427" display="https://pbs.twimg.com/profile_images/723340492340121600/YW3LHsNb_normal.jpg" xr:uid="{9F6FFE4E-719F-4B35-A310-C8A186867FAF}"/>
    <hyperlink ref="B6615" r:id="rId20428" display="https://twitter.com/mk5_jetta" xr:uid="{21CEDE3E-476C-4D61-8C0C-1F5E5B9602F8}"/>
    <hyperlink ref="E6615" r:id="rId20429" display="https://twitter.com/mk5_jetta/status/723997986414436356" xr:uid="{91EB88F9-9FE1-442A-B5F4-594FEEA4E059}"/>
    <hyperlink ref="O6615" r:id="rId20430" display="https://pbs.twimg.com/profile_images/723997524051124224/f34alsaD_normal.jpg" xr:uid="{4545A98A-EFF1-493B-AF38-17250E326F97}"/>
    <hyperlink ref="B6616" r:id="rId20431" display="https://twitter.com/amdonahue92" xr:uid="{E22055FF-890C-4931-84EA-27CEC7EE46FE}"/>
    <hyperlink ref="E6616" r:id="rId20432" display="https://twitter.com/amdonahue92/status/723998040227471360" xr:uid="{CF13B25A-B7E3-4670-9E36-83802A6DA98A}"/>
    <hyperlink ref="O6616" r:id="rId20433" display="https://pbs.twimg.com/profile_images/540374264990687232/QgGq-XFE_normal.jpeg" xr:uid="{461617FD-884B-4D85-8363-E1FBEF35D28B}"/>
    <hyperlink ref="B6617" r:id="rId20434" display="https://twitter.com/khilogram" xr:uid="{12021BAF-CB5B-4817-9198-7B492E7611EE}"/>
    <hyperlink ref="E6617" r:id="rId20435" display="https://twitter.com/khilogram/status/723998568168718336" xr:uid="{C1692DB2-D05E-4B51-9B05-074928FFAE94}"/>
    <hyperlink ref="O6617" r:id="rId20436" display="https://pbs.twimg.com/profile_images/721573146306830337/ZW0NIcS2_normal.jpg" xr:uid="{4D746B4E-2FAA-4EF3-8BC4-92268DCDF3AA}"/>
    <hyperlink ref="B6618" r:id="rId20437" display="https://twitter.com/chezaily" xr:uid="{D4F9DD45-0169-409F-9406-471DBF03DA0D}"/>
    <hyperlink ref="E6618" r:id="rId20438" display="https://twitter.com/chezaily/status/723998952438247424" xr:uid="{497DDE7D-7E33-40BB-95D2-27BF358A1410}"/>
    <hyperlink ref="O6618" r:id="rId20439" display="https://pbs.twimg.com/profile_images/541516828955385857/e-6vr5Kt_normal.png" xr:uid="{61DEB40B-7513-4609-B140-D246153ED248}"/>
    <hyperlink ref="B6619" r:id="rId20440" display="https://twitter.com/zallshaaaa" xr:uid="{ABF4D53F-F056-49D7-9FDC-9DA1D4B386E0}"/>
    <hyperlink ref="E6619" r:id="rId20441" display="https://twitter.com/zallshaaaa/status/723998997703233537" xr:uid="{749ABA28-3D53-4368-ACF4-AAD84572BE50}"/>
    <hyperlink ref="O6619" r:id="rId20442" display="https://pbs.twimg.com/profile_images/541539301130240000/0Vmv4HRE_normal.jpeg" xr:uid="{6CEA2B54-8088-4ADF-A869-817903D2D2CF}"/>
    <hyperlink ref="B6620" r:id="rId20443" display="https://twitter.com/fo_sag" xr:uid="{A7F7FB76-8C63-4210-884E-45A6B57EAEA3}"/>
    <hyperlink ref="E6620" r:id="rId20444" display="https://twitter.com/fo_sag/status/723999028636205056" xr:uid="{C4308DC7-AA1C-4CE9-9C46-E67BDDE75302}"/>
    <hyperlink ref="O6620" r:id="rId20445" display="https://pbs.twimg.com/profile_images/675353964821528576/sHqb9p8B_normal.png" xr:uid="{86AD7057-3A11-4B60-B46B-DE0EB251E2CD}"/>
    <hyperlink ref="B6621" r:id="rId20446" display="https://twitter.com/PodeNaoRecife" xr:uid="{7D4FC2CE-F172-49F8-AAA0-32E03260A138}"/>
    <hyperlink ref="E6621" r:id="rId20447" display="https://twitter.com/PodeNaoRecife/status/723999153903296512" xr:uid="{91158E00-C906-405E-813F-A51343AB29CB}"/>
    <hyperlink ref="O6621" r:id="rId20448" display="https://pbs.twimg.com/profile_images/629823420801400832/oTfYgW6F_normal.jpg" xr:uid="{8D8DE4E7-A350-48DC-BECE-9473294DB2B0}"/>
    <hyperlink ref="B6622" r:id="rId20449" display="https://twitter.com/VWCamperSales" xr:uid="{D55AB8C4-B9A6-419B-B31A-2AAFCDDEE54D}"/>
    <hyperlink ref="E6622" r:id="rId20450" display="https://twitter.com/VWCamperSales/status/723999171603091456" xr:uid="{BD305124-E29B-4663-A575-F7B825019F8A}"/>
    <hyperlink ref="F6622" r:id="rId20451" xr:uid="{C600E9F7-D487-4A21-BBDE-0973A5DA5144}"/>
    <hyperlink ref="O6622" r:id="rId20452" display="https://pbs.twimg.com/profile_images/627949001179037696/skEBkS05_normal.jpg" xr:uid="{7EBF843A-36B5-4352-8AD9-1FDDA24FDDB3}"/>
    <hyperlink ref="B6623" r:id="rId20453" display="https://twitter.com/DosOz42" xr:uid="{DD1604A0-5D94-4891-849A-8B97A2115070}"/>
    <hyperlink ref="E6623" r:id="rId20454" display="https://twitter.com/DosOz42/status/723999195418509315" xr:uid="{938A0463-4EEC-4A5E-9617-D5AD7F17E523}"/>
    <hyperlink ref="O6623" r:id="rId20455" display="https://pbs.twimg.com/profile_images/550418294231273473/jfA3pOoK_normal.jpeg" xr:uid="{627F0779-FBAB-4289-86C1-63DE8C93836C}"/>
    <hyperlink ref="B6624" r:id="rId20456" display="https://twitter.com/gotsomeglas" xr:uid="{9EE50078-87AF-44BF-A873-86141BA62288}"/>
    <hyperlink ref="E6624" r:id="rId20457" display="https://twitter.com/gotsomeglas/status/723999348376363010" xr:uid="{D5CB45DB-3CA4-4231-9F06-56010A5F973D}"/>
    <hyperlink ref="O6624" r:id="rId20458" display="https://pbs.twimg.com/profile_images/723790749981126656/ed--OLBT_normal.jpg" xr:uid="{0C4A0492-2BF0-41F1-8E2C-99D180FD0340}"/>
    <hyperlink ref="B6625" r:id="rId20459" display="https://twitter.com/Kazimirovic104" xr:uid="{6ABF8904-A940-4F18-9A53-E60B3E6C7BED}"/>
    <hyperlink ref="E6625" r:id="rId20460" display="https://twitter.com/Kazimirovic104/status/723999470770372610" xr:uid="{80EB4F72-2545-4A53-8BD6-297A945F1CFD}"/>
    <hyperlink ref="O6625" r:id="rId20461" display="https://pbs.twimg.com/profile_images/677572613162536962/UIfN8-NR_normal.jpg" xr:uid="{EEFDCE0C-433C-437D-8C5C-EE5DDC5B427D}"/>
    <hyperlink ref="B6626" r:id="rId20462" display="https://twitter.com/saki12161114" xr:uid="{1B9AEB27-8B66-4831-848D-1EB3ABABE237}"/>
    <hyperlink ref="E6626" r:id="rId20463" display="https://twitter.com/saki12161114/status/723999941392130048" xr:uid="{1F88CF4B-759E-45B8-8AB4-BCFE6AB4B66C}"/>
    <hyperlink ref="O6626" r:id="rId20464" display="https://pbs.twimg.com/profile_images/699342477040332801/1lZtxf4o_normal.jpg" xr:uid="{29C9DD9D-302C-478B-B929-09380B12FCD5}"/>
    <hyperlink ref="B6627" r:id="rId20465" display="https://twitter.com/Wheelz_me" xr:uid="{0A6381EE-AF12-4321-9813-C562E239C032}"/>
    <hyperlink ref="C6627" r:id="rId20466" xr:uid="{31A68B46-5A69-47EF-A958-E044750E495B}"/>
    <hyperlink ref="E6627" r:id="rId20467" display="https://twitter.com/Wheelz_me/status/724000908179214336" xr:uid="{51A3A668-CB3C-4D1C-95CA-915CAACFBF40}"/>
    <hyperlink ref="O6627" r:id="rId20468" display="https://pbs.twimg.com/profile_images/525020643192885248/IrAFt9kX_normal.jpeg" xr:uid="{58CBE46D-82DF-4329-9893-AF2A21E0DDD0}"/>
    <hyperlink ref="B6628" r:id="rId20469" display="https://twitter.com/Karlomart" xr:uid="{6FCAA04B-B275-494B-948E-A8C75A1E4E69}"/>
    <hyperlink ref="E6628" r:id="rId20470" display="https://twitter.com/Karlomart/status/724001917140111361" xr:uid="{DC313A07-AA3C-4944-852D-9A59AEB64714}"/>
    <hyperlink ref="O6628" r:id="rId20471" display="https://pbs.twimg.com/profile_images/441017002224660480/wMS_0yBK_normal.jpeg" xr:uid="{72F9C58A-8B2D-4E05-96C7-2EC0558BE12E}"/>
    <hyperlink ref="B6629" r:id="rId20472" display="https://twitter.com/oldcar_photo" xr:uid="{5BD8A5B0-872F-4842-A08D-CFAF3EC16683}"/>
    <hyperlink ref="E6629" r:id="rId20473" display="https://twitter.com/oldcar_photo/status/724001964367990785" xr:uid="{AF2E6A44-3567-4973-989C-BD474970DF86}"/>
    <hyperlink ref="O6629" r:id="rId20474" display="https://pbs.twimg.com/profile_images/615493650785660928/XHUh6HOk_normal.jpg" xr:uid="{B7B0CDF8-5E34-4A53-AC4F-31BCC6A07EF5}"/>
    <hyperlink ref="B6630" r:id="rId20475" display="https://twitter.com/AlvaroSPalomino" xr:uid="{B42A314F-0982-457B-B450-6B215035E350}"/>
    <hyperlink ref="E6630" r:id="rId20476" display="https://twitter.com/AlvaroSPalomino/status/724001995384823808" xr:uid="{BB21A162-B959-45F3-9C71-55D2FB89D152}"/>
    <hyperlink ref="O6630" r:id="rId20477" display="https://abs.twimg.com/sticky/default_profile_images/default_profile_0_normal.png" xr:uid="{9C6275D6-DF5E-4BED-B15D-1CEB20EFE4F2}"/>
    <hyperlink ref="B6631" r:id="rId20478" display="https://twitter.com/VeeDubMk1_" xr:uid="{D746158F-B365-4D3F-A90F-CD249B01DC1E}"/>
    <hyperlink ref="E6631" r:id="rId20479" display="https://twitter.com/VeeDubMk1_/status/724002090436202496" xr:uid="{D0BCD4B6-E24E-4DDD-98D3-C1F4E91E78A8}"/>
    <hyperlink ref="O6631" r:id="rId20480" display="https://pbs.twimg.com/profile_images/672878354127839232/M7OYc-zx_normal.jpg" xr:uid="{685B43E1-51EE-4B65-80FF-C32C25DE7608}"/>
    <hyperlink ref="B6632" r:id="rId20481" display="https://twitter.com/vw_escarabajo" xr:uid="{8C521287-B5C5-43E7-AE77-A96FBA5916A4}"/>
    <hyperlink ref="E6632" r:id="rId20482" display="https://twitter.com/vw_escarabajo/status/724002429994426369" xr:uid="{CA8FBA73-5FCF-4624-A9EA-A92E8265879F}"/>
    <hyperlink ref="O6632" r:id="rId20483" display="https://pbs.twimg.com/profile_images/2335693624/8d0zkbzviiv8pqpcupyd_normal.jpeg" xr:uid="{45113F3E-8EAA-4CC4-88C9-FC5BDE51C0A2}"/>
    <hyperlink ref="B6633" r:id="rId20484" display="https://twitter.com/hallisky" xr:uid="{130FA13A-EE52-49B5-A2EE-4B0B59125F20}"/>
    <hyperlink ref="E6633" r:id="rId20485" display="https://twitter.com/hallisky/status/724002719527264256" xr:uid="{4329FD35-9544-4052-A937-35C7E06DAC31}"/>
    <hyperlink ref="O6633" r:id="rId20486" display="https://pbs.twimg.com/profile_images/1269473946/image_normal.jpg" xr:uid="{D3725CD9-7C86-430F-B1A5-002C881F6031}"/>
    <hyperlink ref="P6633" r:id="rId20487" location="34.07367246,-118.26050668" display="http://ctrlq.org/maps/address/ - 34.07367246,-118.26050668" xr:uid="{BC3FD858-8DED-45C2-BD2C-CB76F35AEB88}"/>
    <hyperlink ref="B6634" r:id="rId20488" display="https://twitter.com/bumpers_4bernie" xr:uid="{E9683056-E74C-4BEB-BF09-1D265F10629A}"/>
    <hyperlink ref="E6634" r:id="rId20489" display="https://twitter.com/bumpers_4bernie/status/724002952050921472" xr:uid="{1EB86845-35F5-4FF5-A8B2-CF031293C295}"/>
    <hyperlink ref="O6634" r:id="rId20490" display="https://pbs.twimg.com/profile_images/687475724815474688/Rs3BfuNy_normal.jpg" xr:uid="{E276CC72-09C1-45C2-B20B-22536E5A8B5C}"/>
    <hyperlink ref="B6635" r:id="rId20491" display="https://twitter.com/Logistique01" xr:uid="{F2AB575D-02D1-47DB-A809-4B7C75817E6E}"/>
    <hyperlink ref="E6635" r:id="rId20492" display="https://twitter.com/Logistique01/status/724003148981886976" xr:uid="{2D96F4B6-1ABA-4DFE-BA59-EE151808C4A8}"/>
    <hyperlink ref="O6635" r:id="rId20493" display="https://pbs.twimg.com/profile_images/3497903431/ae95594a00a0817e860e73da8fef6dca_normal.png" xr:uid="{09352FE8-1427-4F24-94E6-0AF94BDA6DA8}"/>
    <hyperlink ref="B6636" r:id="rId20494" display="https://twitter.com/VWBeetleSales" xr:uid="{98B3E8EA-5976-495E-9115-782C6F083E26}"/>
    <hyperlink ref="E6636" r:id="rId20495" display="https://twitter.com/VWBeetleSales/status/724003446987202560" xr:uid="{EAF9796A-E3E0-42B4-92CC-0B5DA3ABA89F}"/>
    <hyperlink ref="F6636" r:id="rId20496" xr:uid="{C75730FC-7DEC-4305-A034-ADBD610D087B}"/>
    <hyperlink ref="O6636" r:id="rId20497" display="https://pbs.twimg.com/profile_images/703294545195307008/qeCvrX86_normal.jpg" xr:uid="{EA73DD0A-9E7D-4D0E-B756-B84AC31A6EC4}"/>
    <hyperlink ref="B6637" r:id="rId20498" display="https://twitter.com/FuscaWorld" xr:uid="{44761281-6072-48DA-BE07-592470FB15B6}"/>
    <hyperlink ref="E6637" r:id="rId20499" display="https://twitter.com/FuscaWorld/status/724003626117636097" xr:uid="{87F40924-8000-4760-9594-D867C96E9E0C}"/>
    <hyperlink ref="O6637" r:id="rId20500" display="https://pbs.twimg.com/profile_images/705780107844067328/e7O4UBNb_normal.jpg" xr:uid="{A9B39288-087D-4F08-8AC5-7363A310F338}"/>
    <hyperlink ref="B6638" r:id="rId20501" display="https://twitter.com/amsalwajih" xr:uid="{79E473D7-9A1C-4847-ADD5-B76A079650D3}"/>
    <hyperlink ref="E6638" r:id="rId20502" display="https://twitter.com/amsalwajih/status/724004053856997376" xr:uid="{C4146D1D-0772-4142-B4B0-C0037B73B198}"/>
    <hyperlink ref="O6638" r:id="rId20503" display="https://pbs.twimg.com/profile_images/576412362711773184/jZSbDGM2_normal.jpeg" xr:uid="{552F0109-2826-4FA5-9E35-337564BA48A7}"/>
    <hyperlink ref="P6638" r:id="rId20504" location="38.92354005,-77.23737033" display="http://ctrlq.org/maps/address/ - 38.92354005,-77.23737033" xr:uid="{44ECC7D6-5C73-4FEC-A1E0-B5870E9A3206}"/>
    <hyperlink ref="B6639" r:id="rId20505" display="https://twitter.com/DollysdelightsS" xr:uid="{C25C64C9-D226-4298-98A3-0D511E50E2AF}"/>
    <hyperlink ref="E6639" r:id="rId20506" display="https://twitter.com/DollysdelightsS/status/724004146152673281" xr:uid="{89A2AAC8-B88C-4716-9751-82921FCA5D91}"/>
    <hyperlink ref="O6639" r:id="rId20507" display="https://pbs.twimg.com/profile_images/596082788459257856/4JBjLpzQ_normal.jpg" xr:uid="{59259118-51C3-4076-8A2C-013DF50E93F4}"/>
    <hyperlink ref="B6640" r:id="rId20508" display="https://twitter.com/HansTheGerman" xr:uid="{42353112-10A5-4681-8237-51B17F55A010}"/>
    <hyperlink ref="E6640" r:id="rId20509" display="https://twitter.com/HansTheGerman/status/724004215903932419" xr:uid="{DE2A24E2-8E96-4B70-A0FB-0B9471C3B72E}"/>
    <hyperlink ref="O6640" r:id="rId20510" display="https://pbs.twimg.com/profile_images/3012106875/596e712c99a38ec69b925b7f7ab71986_normal.jpeg" xr:uid="{6CE31B86-C774-45F7-A047-6F5F2BD330AB}"/>
    <hyperlink ref="B6641" r:id="rId20511" display="https://twitter.com/miss_hairpin" xr:uid="{DFE9B641-5FCE-40C3-85DD-9BEAEACD6448}"/>
    <hyperlink ref="E6641" r:id="rId20512" display="https://twitter.com/miss_hairpin/status/724004227840937986" xr:uid="{EBF190EA-36AA-496B-A59E-2C3F2A3EA903}"/>
    <hyperlink ref="O6641" r:id="rId20513" display="https://pbs.twimg.com/profile_images/713945344418164738/F20KdC47_normal.jpg" xr:uid="{1E320249-7D02-4414-8AD6-9CD6C83B0D97}"/>
    <hyperlink ref="B6642" r:id="rId20514" display="https://twitter.com/SantaPodRaceway" xr:uid="{C6CFB761-0509-4EE7-87EA-EECF00D6AD08}"/>
    <hyperlink ref="E6642" r:id="rId20515" display="https://twitter.com/SantaPodRaceway/status/724004408867061760" xr:uid="{491E7869-2ECC-4BA8-8991-7A10F92427C0}"/>
    <hyperlink ref="O6642" r:id="rId20516" display="https://pbs.twimg.com/profile_images/378800000801365829/e9f28f8996ff7f098d9b8a1840e76f50_normal.png" xr:uid="{87C7994E-0757-4322-8D06-2CEDF2011992}"/>
    <hyperlink ref="B6643" r:id="rId20517" display="https://twitter.com/VWCamperSales" xr:uid="{DC8109C1-8250-4DA3-8E88-FD13BA96B4A2}"/>
    <hyperlink ref="E6643" r:id="rId20518" display="https://twitter.com/VWCamperSales/status/724005593380352000" xr:uid="{F25DD2CF-D4D8-4708-9477-E8CF290759B7}"/>
    <hyperlink ref="F6643" r:id="rId20519" xr:uid="{AF028586-D9E3-4FF8-838E-5FD55EB3167C}"/>
    <hyperlink ref="O6643" r:id="rId20520" display="https://pbs.twimg.com/profile_images/627949001179037696/skEBkS05_normal.jpg" xr:uid="{94431CDC-48A1-478B-ACEE-1D3B874B9299}"/>
    <hyperlink ref="B6644" r:id="rId20521" display="https://twitter.com/zippi" xr:uid="{78DF808B-794E-4B12-B11A-F423090A5F45}"/>
    <hyperlink ref="C6644" r:id="rId20522" xr:uid="{E86B6C56-23D3-4F7D-AD9F-1FB505A2229A}"/>
    <hyperlink ref="E6644" r:id="rId20523" display="https://twitter.com/zippi/status/724006180138393600" xr:uid="{9F56C469-20C0-461D-B32F-9AED42662249}"/>
    <hyperlink ref="O6644" r:id="rId20524" display="https://pbs.twimg.com/profile_images/506450977411440641/ABCV3PnH_normal.png" xr:uid="{30748750-B333-43DA-B13A-D91362B88673}"/>
    <hyperlink ref="B6645" r:id="rId20525" display="https://twitter.com/uaslansoy" xr:uid="{20810409-F5E5-40C0-95E0-F214B9D0EA60}"/>
    <hyperlink ref="E6645" r:id="rId20526" display="https://twitter.com/uaslansoy/status/724006711816785921" xr:uid="{79711A8B-8AAA-44F6-AFBB-3B2A7ABFAB0E}"/>
    <hyperlink ref="O6645" r:id="rId20527" display="https://pbs.twimg.com/profile_images/378800000566385339/947a76f3e7b24fd5c799e63f1682d25a_normal.jpeg" xr:uid="{B3DBA5A2-3EB9-4A78-B8E0-EB6B70A31569}"/>
    <hyperlink ref="B6646" r:id="rId20528" display="https://twitter.com/greycatsunite" xr:uid="{5805F2CE-6E52-40E8-9632-E52EAE6E4365}"/>
    <hyperlink ref="E6646" r:id="rId20529" display="https://twitter.com/greycatsunite/status/724007161018327040" xr:uid="{D9F20EBC-426C-4CAE-A45F-33063A47560E}"/>
    <hyperlink ref="O6646" r:id="rId20530" display="https://pbs.twimg.com/profile_images/602306844804059136/7pyX-l_A_normal.jpg" xr:uid="{A66C70A6-D0B2-4772-B1AC-3049356E349A}"/>
    <hyperlink ref="B6647" r:id="rId20531" display="https://twitter.com/Speak_EV" xr:uid="{491DE355-2F82-45E6-B9A5-947ABE6B2B55}"/>
    <hyperlink ref="E6647" r:id="rId20532" display="https://twitter.com/Speak_EV/status/724007540456083460" xr:uid="{9EE3B25F-4AF5-4A2F-B0A0-6066CFEE9FCB}"/>
    <hyperlink ref="O6647" r:id="rId20533" display="https://pbs.twimg.com/profile_images/378800000383656962/389f4a2062ec3c75e130fd84590d969c_normal.png" xr:uid="{E323AF17-E7BD-4E30-9C60-C573D62F318D}"/>
    <hyperlink ref="B6648" r:id="rId20534" display="https://twitter.com/Speak_EV" xr:uid="{1BF0F7BE-C38C-416D-B963-0919020C8C6C}"/>
    <hyperlink ref="E6648" r:id="rId20535" display="https://twitter.com/Speak_EV/status/724007543945699330" xr:uid="{5FC1E26B-B7B8-4320-B8E4-DF514FB64F7A}"/>
    <hyperlink ref="O6648" r:id="rId20536" display="https://pbs.twimg.com/profile_images/378800000383656962/389f4a2062ec3c75e130fd84590d969c_normal.png" xr:uid="{29B36433-8355-4919-A47D-960E63DBAC71}"/>
    <hyperlink ref="B6649" r:id="rId20537" display="https://twitter.com/el_wakim" xr:uid="{25FE132D-C029-47C4-B876-B781960D8979}"/>
    <hyperlink ref="E6649" r:id="rId20538" display="https://twitter.com/el_wakim/status/724007774598750209" xr:uid="{507B198F-AB00-4175-B55A-9CD9C54236AF}"/>
    <hyperlink ref="O6649" r:id="rId20539" display="https://pbs.twimg.com/profile_images/417320786819424256/Gkn4-V24_normal.jpeg" xr:uid="{3C0521FB-E580-4FD0-B0D7-597709DB9F50}"/>
    <hyperlink ref="B6650" r:id="rId20540" display="https://twitter.com/TinoVinoli" xr:uid="{84E1B9A3-40C8-4A77-BB2A-5EB989725B65}"/>
    <hyperlink ref="E6650" r:id="rId20541" display="https://twitter.com/TinoVinoli/status/724007809033990144" xr:uid="{B20DFB94-2354-475F-9DB1-554B8DC3D133}"/>
    <hyperlink ref="O6650" r:id="rId20542" display="https://pbs.twimg.com/profile_images/653512901634887680/_04pOChq_normal.jpg" xr:uid="{5AFA4EEF-DBEB-4FF2-823D-8C8ADCD821CD}"/>
    <hyperlink ref="B6651" r:id="rId20543" display="https://twitter.com/larittaD" xr:uid="{251300F7-A29E-46CC-9811-3C0C5287A33F}"/>
    <hyperlink ref="E6651" r:id="rId20544" display="https://twitter.com/larittaD/status/724007894878818304" xr:uid="{6664B9B7-A1B0-4868-8EF0-2FE06A473BAC}"/>
    <hyperlink ref="O6651" r:id="rId20545" display="https://pbs.twimg.com/profile_images/646001933522604032/FKkklGHL_normal.jpg" xr:uid="{84E26976-2A8A-4108-A4DA-EACFFB98FAC2}"/>
    <hyperlink ref="B6652" r:id="rId20546" display="https://twitter.com/Rawy_Saba" xr:uid="{4964968A-9C0A-49A5-AB69-983184CC60F1}"/>
    <hyperlink ref="E6652" r:id="rId20547" display="https://twitter.com/Rawy_Saba/status/724007975203950592" xr:uid="{0FB3B6D8-54CA-4156-8915-672B1DD5A4FC}"/>
    <hyperlink ref="O6652" r:id="rId20548" display="https://pbs.twimg.com/profile_images/513050073849008128/PKRhFxe3_normal.jpeg" xr:uid="{D15D1312-243B-443C-B402-AF67A779E233}"/>
    <hyperlink ref="B6653" r:id="rId20549" display="https://twitter.com/w_Ame7_NEWs" xr:uid="{144F62CE-AA3F-46C0-9B1D-657D54F226A3}"/>
    <hyperlink ref="E6653" r:id="rId20550" display="https://twitter.com/w_Ame7_NEWs/status/724008022012366848" xr:uid="{3C6086BE-3C8C-4362-8151-CFE79A493981}"/>
    <hyperlink ref="O6653" r:id="rId20551" display="https://pbs.twimg.com/profile_images/3384121948/287e5df302a18d489e9bce00f83ffd7f_normal.png" xr:uid="{15AEEF0E-342D-44C0-BC9B-57B4107A6A2B}"/>
    <hyperlink ref="B6654" r:id="rId20552" display="https://twitter.com/netcarshows" xr:uid="{A86381EE-738D-403D-AD14-7069A3A0F492}"/>
    <hyperlink ref="E6654" r:id="rId20553" display="https://twitter.com/netcarshows/status/724008136693018624" xr:uid="{41460B60-25F7-4965-9316-EB417EE57A93}"/>
    <hyperlink ref="O6654" r:id="rId20554" display="https://pbs.twimg.com/profile_images/546009283486154752/aoEXLSKj_normal.jpeg" xr:uid="{85C1054D-F475-4E79-B5A9-FB02D68FAF9F}"/>
    <hyperlink ref="B6655" r:id="rId20555" display="https://twitter.com/carlosche94" xr:uid="{79779DD0-649B-469A-9431-2D1A162C9BD7}"/>
    <hyperlink ref="E6655" r:id="rId20556" display="https://twitter.com/carlosche94/status/724008375240036352" xr:uid="{B13E6D2A-5516-4931-A28B-AA8A9AF3FE84}"/>
    <hyperlink ref="O6655" r:id="rId20557" display="https://pbs.twimg.com/profile_images/613659038253981696/IOmiUWdn_normal.jpg" xr:uid="{A87A4D1C-8A5D-4400-A4B4-F154FB1592CB}"/>
    <hyperlink ref="B6656" r:id="rId20558" display="https://twitter.com/fzerfass" xr:uid="{5AE901B4-1920-4111-969D-6DF74D4AA1B9}"/>
    <hyperlink ref="E6656" r:id="rId20559" display="https://twitter.com/fzerfass/status/724008677242507264" xr:uid="{B5050261-164D-4A10-BE5A-D5DCBBA6637C}"/>
    <hyperlink ref="O6656" r:id="rId20560" display="https://pbs.twimg.com/profile_images/3121139630/cf49c4a28b490fc2d785123b06e6ae84_normal.jpeg" xr:uid="{7D379F01-51E8-47DD-B773-1E48C695CEB9}"/>
    <hyperlink ref="B6657" r:id="rId20561" display="https://twitter.com/_No_Chill_" xr:uid="{BFF3D994-59D2-4234-8B67-B7B504FD3D90}"/>
    <hyperlink ref="E6657" r:id="rId20562" display="https://twitter.com/_No_Chill_/status/724009054599782402" xr:uid="{CCCAFC8C-6563-4ABE-87E4-58562171BF18}"/>
    <hyperlink ref="O6657" r:id="rId20563" display="https://pbs.twimg.com/profile_images/624839694933581824/2o5BuK1c_normal.jpg" xr:uid="{54D5C613-0F02-4A4C-A717-E901DB68C56C}"/>
    <hyperlink ref="B6658" r:id="rId20564" display="https://twitter.com/andreacora66" xr:uid="{7BD90705-2501-453E-B6AC-62BBAE238F8C}"/>
    <hyperlink ref="E6658" r:id="rId20565" display="https://twitter.com/andreacora66/status/724009819502424064" xr:uid="{40F6D0B5-6BC5-4E95-B4F1-D37E1A018CEA}"/>
    <hyperlink ref="O6658" r:id="rId20566" display="https://pbs.twimg.com/profile_images/642753638511833088/hQVcoI0Z_normal.jpg" xr:uid="{5FC27C98-1600-42D3-9C1B-6609ACF35B55}"/>
    <hyperlink ref="B6659" r:id="rId20567" display="https://twitter.com/JustKampers" xr:uid="{5BD61F1F-7D43-4061-B783-42DF0EA51E2E}"/>
    <hyperlink ref="E6659" r:id="rId20568" display="https://twitter.com/JustKampers/status/724010698527920129" xr:uid="{E62200BB-1F39-44DB-ACE1-1B85CFA0F99E}"/>
    <hyperlink ref="O6659" r:id="rId20569" display="https://pbs.twimg.com/profile_images/720976955101851649/4hfxGqqa_normal.jpg" xr:uid="{7FD24387-3ABA-4288-BB73-7AEA287B3C70}"/>
    <hyperlink ref="B6660" r:id="rId20570" display="https://twitter.com/RickyCrompton" xr:uid="{A28193E5-F274-474F-8992-F27C4F897638}"/>
    <hyperlink ref="E6660" r:id="rId20571" display="https://twitter.com/RickyCrompton/status/724010868019724289" xr:uid="{99FC989F-4072-436C-B314-AE07EB47C23C}"/>
    <hyperlink ref="O6660" r:id="rId20572" display="https://pbs.twimg.com/profile_images/435196277085585408/VsCPK4hc_normal.jpeg" xr:uid="{CDF278D3-EF74-4EB6-BF29-40A8C06E8D31}"/>
    <hyperlink ref="B6661" r:id="rId20573" display="https://twitter.com/CStrategists" xr:uid="{0E9C6DD5-F456-4AB5-A27A-3A1A94C3D589}"/>
    <hyperlink ref="E6661" r:id="rId20574" display="https://twitter.com/CStrategists/status/724011917845618689" xr:uid="{653D2DE6-5EA7-4C64-B546-A818DDC7A223}"/>
    <hyperlink ref="O6661" r:id="rId20575" display="https://pbs.twimg.com/profile_images/378800000589384483/5e524f341ec994421f4233f16f91bc6b_normal.jpeg" xr:uid="{1BD9F850-1C9B-41F8-87EF-840AB7D1E1CF}"/>
    <hyperlink ref="B6662" r:id="rId20576" display="https://twitter.com/motorgiga" xr:uid="{C80F1E18-23EE-47DB-920B-05E18C093B25}"/>
    <hyperlink ref="C6662" r:id="rId20577" xr:uid="{342C1BFD-0E07-478D-94AC-8BF5949DF2AE}"/>
    <hyperlink ref="E6662" r:id="rId20578" display="https://twitter.com/motorgiga/status/724012259698180096" xr:uid="{243220A2-8A68-4F43-94C8-93AD2E6AD122}"/>
    <hyperlink ref="O6662" r:id="rId20579" display="https://pbs.twimg.com/profile_images/512189796068773888/7GP1qCk4_normal.png" xr:uid="{9B6FCE41-2FA5-47CB-ABC5-10D4C59B0E34}"/>
    <hyperlink ref="B6663" r:id="rId20580" display="https://twitter.com/nitromex" xr:uid="{49DC3919-CAD5-452A-A46F-BF372F25BC20}"/>
    <hyperlink ref="E6663" r:id="rId20581" display="https://twitter.com/nitromex/status/724012305625825280" xr:uid="{AF188FB9-57F0-4DF7-9D7D-CCD3EDA1F7D2}"/>
    <hyperlink ref="O6663" r:id="rId20582" display="https://pbs.twimg.com/profile_images/1385008895/avatar_normal.JPEG" xr:uid="{0CE88A1D-CAAB-4A9B-946B-DF42FA987C0A}"/>
    <hyperlink ref="P6663" r:id="rId20583" location="19.28384,-99.59781" display="http://ctrlq.org/maps/address/ - 19.28384,-99.59781" xr:uid="{641D48BD-80DB-400D-A12A-5F1E49A40ED8}"/>
    <hyperlink ref="B6664" r:id="rId20584" display="https://twitter.com/suhailrahmed" xr:uid="{FF73B2DD-A69B-4CEA-AD26-D0FE4E5F108E}"/>
    <hyperlink ref="E6664" r:id="rId20585" display="https://twitter.com/suhailrahmed/status/724012401318854656" xr:uid="{4B0F4EBF-12D0-4285-9B4C-5D8EEA1B37BB}"/>
    <hyperlink ref="O6664" r:id="rId20586" display="https://pbs.twimg.com/profile_images/655421479073554432/TE2gvtM-_normal.jpg" xr:uid="{D4DB8EEC-6DF3-4B7C-B17E-8415B0E3C829}"/>
    <hyperlink ref="B6665" r:id="rId20587" display="https://twitter.com/HansTheGerman" xr:uid="{6F8BF1F8-11BA-42B6-815F-483B7F644902}"/>
    <hyperlink ref="E6665" r:id="rId20588" display="https://twitter.com/HansTheGerman/status/724012422969888769" xr:uid="{A1DA02AF-81C0-4199-8137-E85F606C9D01}"/>
    <hyperlink ref="O6665" r:id="rId20589" display="https://pbs.twimg.com/profile_images/3012106875/596e712c99a38ec69b925b7f7ab71986_normal.jpeg" xr:uid="{F1523DA5-9A84-490F-9972-517634092B3F}"/>
    <hyperlink ref="B6666" r:id="rId20590" display="https://twitter.com/dubbusses" xr:uid="{C532B2A5-779A-4DD0-A360-6ED6135F67E5}"/>
    <hyperlink ref="E6666" r:id="rId20591" display="https://twitter.com/dubbusses/status/724012730659815424" xr:uid="{1B4F8733-7351-4887-B567-91BD54E27CCE}"/>
    <hyperlink ref="O6666" r:id="rId20592" display="https://pbs.twimg.com/profile_images/718835727027580928/1ssyQ67y_normal.jpg" xr:uid="{3D0F95A0-F3F4-4EFD-BAD6-9CEDFF648254}"/>
    <hyperlink ref="B6667" r:id="rId20593" display="https://twitter.com/dubbusses" xr:uid="{22A9358E-81B1-4C2D-9CDB-DC1B41F8E31F}"/>
    <hyperlink ref="E6667" r:id="rId20594" display="https://twitter.com/dubbusses/status/724012744886894592" xr:uid="{4C33D442-962E-4A3D-82D7-AF81FF2541BE}"/>
    <hyperlink ref="O6667" r:id="rId20595" display="https://pbs.twimg.com/profile_images/718835727027580928/1ssyQ67y_normal.jpg" xr:uid="{16221499-77E0-45C4-954C-BA5520F8983A}"/>
    <hyperlink ref="B6668" r:id="rId20596" display="https://twitter.com/booksbyjoy" xr:uid="{5EC25A7E-C6B4-4790-A502-CDECE810171B}"/>
    <hyperlink ref="E6668" r:id="rId20597" display="https://twitter.com/booksbyjoy/status/724012747168448512" xr:uid="{643F4D52-C89A-41F8-9DCA-B39D547C3DFD}"/>
    <hyperlink ref="O6668" r:id="rId20598" display="https://abs.twimg.com/sticky/default_profile_images/default_profile_2_normal.png" xr:uid="{B1974F13-8030-418B-B9D5-24A3882E3EA8}"/>
    <hyperlink ref="B6669" r:id="rId20599" display="https://twitter.com/dubbusses" xr:uid="{E28ADE7C-D8A8-43DD-87D2-F710D75E6043}"/>
    <hyperlink ref="E6669" r:id="rId20600" display="https://twitter.com/dubbusses/status/724012757343977473" xr:uid="{5AFD5F5A-CA81-48EC-93CF-3215135903EB}"/>
    <hyperlink ref="O6669" r:id="rId20601" display="https://pbs.twimg.com/profile_images/718835727027580928/1ssyQ67y_normal.jpg" xr:uid="{C67AAC2B-EFDF-4062-AEE4-F2FBA482CD7C}"/>
    <hyperlink ref="B6670" r:id="rId20602" display="https://twitter.com/dubbusses" xr:uid="{E356A5D8-9F26-463C-9497-341892032E5D}"/>
    <hyperlink ref="E6670" r:id="rId20603" display="https://twitter.com/dubbusses/status/724012766785343488" xr:uid="{1118C94F-2DB9-4613-9D12-98158C70285B}"/>
    <hyperlink ref="O6670" r:id="rId20604" display="https://pbs.twimg.com/profile_images/718835727027580928/1ssyQ67y_normal.jpg" xr:uid="{B0D27105-5630-4256-B111-CBEBF4217F8D}"/>
    <hyperlink ref="B6671" r:id="rId20605" display="https://twitter.com/VolkswagenPost" xr:uid="{207071FE-CD77-4BEF-9307-C471B02D6144}"/>
    <hyperlink ref="E6671" r:id="rId20606" display="https://twitter.com/VolkswagenPost/status/724013042275520512" xr:uid="{BDFE7534-34A7-4DAF-99DE-9EB9AF6AC740}"/>
    <hyperlink ref="O6671" r:id="rId20607" display="https://pbs.twimg.com/profile_images/530071272881803264/a_jcCmPZ_normal.png" xr:uid="{4D0FC44A-B812-41D9-B685-280C15C52EBE}"/>
    <hyperlink ref="B6672" r:id="rId20608" display="https://twitter.com/Scirocco_Tuning" xr:uid="{A75D170D-39C4-4386-BCFC-772110C8F5FA}"/>
    <hyperlink ref="E6672" r:id="rId20609" display="https://twitter.com/Scirocco_Tuning/status/724013389308125184" xr:uid="{2CC05AB2-C4A8-466C-8E42-876494067E19}"/>
    <hyperlink ref="O6672" r:id="rId20610" display="https://pbs.twimg.com/profile_images/1610421423/Image2_normal.jpg" xr:uid="{601591EC-C555-4E38-9A6A-7B047C8EC67D}"/>
    <hyperlink ref="B6673" r:id="rId20611" display="https://twitter.com/d_ariel" xr:uid="{BEBA5991-0A35-455E-B91D-71E652FE5B39}"/>
    <hyperlink ref="E6673" r:id="rId20612" display="https://twitter.com/d_ariel/status/724015039963926528" xr:uid="{7FFF3806-89B5-498D-8B37-5C6EC57CC577}"/>
    <hyperlink ref="O6673" r:id="rId20613" display="https://pbs.twimg.com/profile_images/2876381310/bf84fa6dd2da0ef35fb35b74bbf797ce_normal.jpeg" xr:uid="{E050B133-AD19-4153-A528-BA4E1CFC487F}"/>
    <hyperlink ref="B6674" r:id="rId20614" display="https://twitter.com/thatcurtis619" xr:uid="{95967049-AE35-4D17-8005-AE13767114AD}"/>
    <hyperlink ref="E6674" r:id="rId20615" display="https://twitter.com/thatcurtis619/status/724015273150418944" xr:uid="{3F343E09-8533-49F2-94D5-4FB24CFD4BF8}"/>
    <hyperlink ref="O6674" r:id="rId20616" display="https://pbs.twimg.com/profile_images/692102200047357954/BI4soJBN_normal.jpg" xr:uid="{CE7C0659-4A98-4D2F-86B6-A39047BE69F6}"/>
    <hyperlink ref="B6675" r:id="rId20617" display="https://twitter.com/joelharwoodlufc" xr:uid="{2C465E4F-E1F2-4034-9CD5-8A2339194E00}"/>
    <hyperlink ref="E6675" r:id="rId20618" display="https://twitter.com/joelharwoodlufc/status/724015954976464896" xr:uid="{94ABB50C-16F8-4335-8F12-1C3753BF4C2D}"/>
    <hyperlink ref="O6675" r:id="rId20619" display="https://pbs.twimg.com/profile_images/639192854527655942/f6A7MvV__normal.jpg" xr:uid="{93AA7FE1-830A-4217-A6E8-5D476B163370}"/>
    <hyperlink ref="B6676" r:id="rId20620" display="https://twitter.com/DonChocorrol" xr:uid="{FD2CCA18-E425-45DE-A6C7-0F785632F186}"/>
    <hyperlink ref="E6676" r:id="rId20621" display="https://twitter.com/DonChocorrol/status/724016217602838528" xr:uid="{72A408CE-67E1-4146-B504-7DC760B124DF}"/>
    <hyperlink ref="O6676" r:id="rId20622" display="https://pbs.twimg.com/profile_images/654357215520755713/17J9j-LU_normal.jpg" xr:uid="{D456349E-00CB-4AFB-9DC8-289E76806B00}"/>
    <hyperlink ref="B6677" r:id="rId20623" display="https://twitter.com/Insta_VWT" xr:uid="{EEC87405-E1ED-4AF5-8289-C52448E5890B}"/>
    <hyperlink ref="E6677" r:id="rId20624" display="https://twitter.com/Insta_VWT/status/724017082363420673" xr:uid="{1B6F2C22-9814-4DFB-B5B0-A9FBF839B202}"/>
    <hyperlink ref="O6677" r:id="rId20625" display="https://pbs.twimg.com/profile_images/424893967197433858/iQ86NktX_normal.jpeg" xr:uid="{E91C03CB-0789-4579-8F28-13C336F5B0F9}"/>
    <hyperlink ref="B6678" r:id="rId20626" display="https://twitter.com/VeeDubMk1_" xr:uid="{F026C0FE-619E-45EE-8DF3-9A3AD2A90DB0}"/>
    <hyperlink ref="E6678" r:id="rId20627" display="https://twitter.com/VeeDubMk1_/status/724017093822287872" xr:uid="{5630DB53-40A7-451A-891C-3B80EFD42834}"/>
    <hyperlink ref="O6678" r:id="rId20628" display="https://pbs.twimg.com/profile_images/672878354127839232/M7OYc-zx_normal.jpg" xr:uid="{0D621CE5-C023-40FE-8643-666436F3C994}"/>
    <hyperlink ref="B6679" r:id="rId20629" display="https://twitter.com/ash_echo7" xr:uid="{12EBCE52-41C3-4753-9A3C-360E28829076}"/>
    <hyperlink ref="E6679" r:id="rId20630" display="https://twitter.com/ash_echo7/status/724017174285848577" xr:uid="{F74B00C3-F4A7-487A-9605-C0D5B2C72660}"/>
    <hyperlink ref="O6679" r:id="rId20631" display="https://pbs.twimg.com/profile_images/687996488610365440/k-lgmigD_normal.jpg" xr:uid="{CD023D0D-D64E-435E-961B-11DA6B6E4C29}"/>
    <hyperlink ref="B6680" r:id="rId20632" display="https://twitter.com/VCT_Tweets" xr:uid="{7AC8D5E5-2969-44C3-8AC4-CA5AB6E1B5DF}"/>
    <hyperlink ref="E6680" r:id="rId20633" display="https://twitter.com/VCT_Tweets/status/724017605674196995" xr:uid="{46E37434-C01B-46CA-8A13-F0BEA1431964}"/>
    <hyperlink ref="O6680" r:id="rId20634" display="https://pbs.twimg.com/profile_images/569800899141177344/nVFLMSdb_normal.png" xr:uid="{B94BDB3A-1E0A-4C5E-8A72-88EDE84AB442}"/>
    <hyperlink ref="B6681" r:id="rId20635" display="https://twitter.com/AlfredoMaza23" xr:uid="{3370A50B-30DB-48F0-A744-B006488453E2}"/>
    <hyperlink ref="E6681" r:id="rId20636" display="https://twitter.com/AlfredoMaza23/status/724017890899402752" xr:uid="{F1A54016-FBC3-407D-89FA-A6F3325B4A17}"/>
    <hyperlink ref="O6681" r:id="rId20637" display="https://pbs.twimg.com/profile_images/562314571428679680/5vkStNXp_normal.jpeg" xr:uid="{075FAFDD-038F-4872-ADEB-7E95002D93F3}"/>
    <hyperlink ref="B6682" r:id="rId20638" display="https://twitter.com/CarterVW" xr:uid="{CC7E740F-51FC-4239-BFFD-BA6F750178F1}"/>
    <hyperlink ref="E6682" r:id="rId20639" display="https://twitter.com/CarterVW/status/724018018590711808" xr:uid="{863218A5-1CCB-41F5-9690-5910355E705E}"/>
    <hyperlink ref="O6682" r:id="rId20640" display="https://pbs.twimg.com/profile_images/693260133237809152/JUVeKYdq_normal.jpg" xr:uid="{A6118E44-94C2-4E83-B166-26EB1BB565DA}"/>
    <hyperlink ref="B6683" r:id="rId20641" display="https://twitter.com/NicoLeivaOK" xr:uid="{B0DF3DAF-2929-4FD4-A68C-115A9D7FB571}"/>
    <hyperlink ref="E6683" r:id="rId20642" display="https://twitter.com/NicoLeivaOK/status/724018775499149312" xr:uid="{37EF81F2-078F-4566-9819-4D29D4C778F4}"/>
    <hyperlink ref="O6683" r:id="rId20643" display="https://pbs.twimg.com/profile_images/687871650495344640/BaUVEy_3_normal.jpg" xr:uid="{31BC6F86-3432-462F-BB81-62450128F2FA}"/>
    <hyperlink ref="P6683" r:id="rId20644" location="-34.69579598,-58.46247714" display="http://ctrlq.org/maps/address/ - -34.69579598,-58.46247714" xr:uid="{7AE86467-9938-49AA-81BC-682EF87CD487}"/>
    <hyperlink ref="B6684" r:id="rId20645" display="https://twitter.com/retodiariomx" xr:uid="{CFB53F98-CD45-4575-B0C9-811DD4FAFE27}"/>
    <hyperlink ref="E6684" r:id="rId20646" display="https://twitter.com/retodiariomx/status/724018895548342272" xr:uid="{E9F14288-4A81-4A05-BE1F-30B886B48178}"/>
    <hyperlink ref="O6684" r:id="rId20647" display="https://pbs.twimg.com/profile_images/665618632802615297/ejRWRQP7_normal.jpg" xr:uid="{2D474590-20F5-4010-A40B-0D0366F69FA5}"/>
    <hyperlink ref="B6685" r:id="rId20648" display="https://twitter.com/thunderdan667" xr:uid="{796813CF-DF1E-45A9-97C9-3ACA802E884E}"/>
    <hyperlink ref="E6685" r:id="rId20649" display="https://twitter.com/thunderdan667/status/724019359811772416" xr:uid="{7B01E466-D6BE-4C0D-BF86-A00DE832D0A2}"/>
    <hyperlink ref="O6685" r:id="rId20650" display="https://pbs.twimg.com/profile_images/722242822301159424/nrziq21L_normal.jpg" xr:uid="{4BC8B221-892C-4113-9268-D4F48359D2CD}"/>
    <hyperlink ref="B6686" r:id="rId20651" display="https://twitter.com/thunderdan667" xr:uid="{50A9830A-A3F2-4096-8551-A47046B074F4}"/>
    <hyperlink ref="E6686" r:id="rId20652" display="https://twitter.com/thunderdan667/status/724020006648971265" xr:uid="{D13B297B-B998-4E3A-91A0-F36FD5CA1381}"/>
    <hyperlink ref="O6686" r:id="rId20653" display="https://pbs.twimg.com/profile_images/722242822301159424/nrziq21L_normal.jpg" xr:uid="{C3F4D0DB-C4F5-4B2B-99FA-3A934254F2A3}"/>
    <hyperlink ref="B6687" r:id="rId20654" display="https://twitter.com/surliergirl" xr:uid="{1D4AE4FA-579E-49C5-952F-EAFF59519660}"/>
    <hyperlink ref="E6687" r:id="rId20655" display="https://twitter.com/surliergirl/status/724020370660052992" xr:uid="{A6627CE5-BA18-48A3-A136-125F0336ADC9}"/>
    <hyperlink ref="O6687" r:id="rId20656" display="https://pbs.twimg.com/profile_images/191126702/ridiculous_cat_smile_t_normal.jpg" xr:uid="{9BB49668-C462-4470-B6C0-B0DAC9C92E43}"/>
    <hyperlink ref="B6688" r:id="rId20657" display="https://twitter.com/metal_fortress" xr:uid="{6F8554D8-530D-45D5-92F9-2BD5E226C2E6}"/>
    <hyperlink ref="E6688" r:id="rId20658" display="https://twitter.com/metal_fortress/status/724021290697408513" xr:uid="{0A2C8BCD-688E-48CE-A803-B9FC95F278B2}"/>
    <hyperlink ref="O6688" r:id="rId20659" display="https://pbs.twimg.com/profile_images/2508749289/nyw2zb8fz2mabullk7v1_normal.jpeg" xr:uid="{31485B2C-9E01-41FA-8AAA-768B94CAB442}"/>
    <hyperlink ref="B6689" r:id="rId20660" display="https://twitter.com/lety_76" xr:uid="{606C42B5-5D02-4F56-B1B5-E00BC7C102B8}"/>
    <hyperlink ref="E6689" r:id="rId20661" display="https://twitter.com/lety_76/status/724022759353925633" xr:uid="{B6C1E7F7-7C51-4008-B4BB-852FB882740D}"/>
    <hyperlink ref="O6689" r:id="rId20662" display="https://pbs.twimg.com/profile_images/690760579259101184/QpxeCQnU_normal.jpg" xr:uid="{FECD4FE5-55F2-4FAB-9B4E-24B5074959FC}"/>
    <hyperlink ref="B6690" r:id="rId20663" display="https://twitter.com/Bionicfog" xr:uid="{7B42D588-A1B2-4631-9490-D23DDF4A6B63}"/>
    <hyperlink ref="E6690" r:id="rId20664" display="https://twitter.com/Bionicfog/status/724023025478328320" xr:uid="{1642E543-17CB-42ED-8683-40532DBBE3BC}"/>
    <hyperlink ref="O6690" r:id="rId20665" display="https://pbs.twimg.com/profile_images/612342203269152768/_EEL1wu9_normal.jpg" xr:uid="{BA33F247-2D91-47B5-921C-B93CBAC35059}"/>
    <hyperlink ref="B6691" r:id="rId20666" display="https://twitter.com/StarsStanced" xr:uid="{F2D2994A-D059-4626-ADD0-23B2DCE713F5}"/>
    <hyperlink ref="E6691" r:id="rId20667" display="https://twitter.com/StarsStanced/status/724023509253513216" xr:uid="{2D57EE83-F6BF-40FC-91D4-370EC2BA4FC2}"/>
    <hyperlink ref="O6691" r:id="rId20668" display="https://pbs.twimg.com/profile_images/723311268904480769/gKfy_hcj_normal.jpg" xr:uid="{EB46731B-AA54-4044-BD51-17F43052F8A8}"/>
    <hyperlink ref="B6692" r:id="rId20669" display="https://twitter.com/APWCares" xr:uid="{F2A95832-3228-4062-AAD4-AB4C52C5C7B0}"/>
    <hyperlink ref="E6692" r:id="rId20670" display="https://twitter.com/APWCares/status/724023825881534465" xr:uid="{EAFE24E5-BEBE-46BD-8076-7C2249838681}"/>
    <hyperlink ref="O6692" r:id="rId20671" display="https://pbs.twimg.com/profile_images/723703082102587392/FUo06oia_normal.jpg" xr:uid="{250866A3-711A-4001-9AD3-CE9F66E8B366}"/>
    <hyperlink ref="B6693" r:id="rId20672" display="https://twitter.com/LcMonoblock" xr:uid="{0B5C6DB7-16E8-450E-B743-3834096488EE}"/>
    <hyperlink ref="E6693" r:id="rId20673" display="https://twitter.com/LcMonoblock/status/724024253838987264" xr:uid="{32BD3B94-F3EA-4F4F-B927-06747E80CBD6}"/>
    <hyperlink ref="O6693" r:id="rId20674" display="https://pbs.twimg.com/profile_images/699865680582201344/ML8QQWmw_normal.jpg" xr:uid="{E041473A-3E22-4BEE-AEB1-DD67D17157DC}"/>
    <hyperlink ref="B6694" r:id="rId20675" display="https://twitter.com/VWBeetleSales" xr:uid="{D56C209C-93E6-45F9-9AB5-C17D322460FE}"/>
    <hyperlink ref="E6694" r:id="rId20676" display="https://twitter.com/VWBeetleSales/status/724024578029166593" xr:uid="{8D8D8394-D893-4C48-8A06-2CDED20A3D78}"/>
    <hyperlink ref="F6694" r:id="rId20677" xr:uid="{B837C691-FACA-40F3-A823-460480C25D16}"/>
    <hyperlink ref="O6694" r:id="rId20678" display="https://pbs.twimg.com/profile_images/703294545195307008/qeCvrX86_normal.jpg" xr:uid="{F4C537F3-46BD-4212-BBDF-87B6267F517F}"/>
    <hyperlink ref="B6695" r:id="rId20679" display="https://twitter.com/OnlineCarReview" xr:uid="{4280AEBB-4083-41C8-ADB3-2453D328CD04}"/>
    <hyperlink ref="E6695" r:id="rId20680" display="https://twitter.com/OnlineCarReview/status/724025627020390401" xr:uid="{FB2A58E4-8576-4E99-8CF5-C6706B75D4F5}"/>
    <hyperlink ref="O6695" r:id="rId20681" display="https://pbs.twimg.com/profile_images/652871584131092480/QA_B6SBO_normal.jpg" xr:uid="{7A822080-3C96-48B4-B1CF-710EFAFA9511}"/>
    <hyperlink ref="B6696" r:id="rId20682" display="https://twitter.com/OnlineCarReview" xr:uid="{B311874D-192A-47B4-8B73-512CABFA75A4}"/>
    <hyperlink ref="E6696" r:id="rId20683" display="https://twitter.com/OnlineCarReview/status/724025628563906560" xr:uid="{A2F8ED7C-1F59-4BEA-BBC3-AC9014C4D602}"/>
    <hyperlink ref="O6696" r:id="rId20684" display="https://pbs.twimg.com/profile_images/652871584131092480/QA_B6SBO_normal.jpg" xr:uid="{511F2B45-4104-4D49-B622-70BAC4CCACEA}"/>
    <hyperlink ref="B6697" r:id="rId20685" display="https://twitter.com/celinosouza" xr:uid="{FAFBB928-342B-4943-8A4E-EBA75E5B2E46}"/>
    <hyperlink ref="E6697" r:id="rId20686" display="https://twitter.com/celinosouza/status/724026830554984449" xr:uid="{282DC3AC-1448-4C5B-B70A-D6335134D021}"/>
    <hyperlink ref="O6697" r:id="rId20687" display="https://pbs.twimg.com/profile_images/711991193530269696/FO50W-xr_normal.jpg" xr:uid="{911BE4FF-A498-4575-A6A1-DA06D4174437}"/>
    <hyperlink ref="B6698" r:id="rId20688" display="https://twitter.com/dubbusses" xr:uid="{7A5636EB-5D82-44D0-A51E-4D208280C660}"/>
    <hyperlink ref="E6698" r:id="rId20689" display="https://twitter.com/dubbusses/status/724027994700959744" xr:uid="{5FF003E8-A3B1-4C90-8BBC-DB1ECBBB26F1}"/>
    <hyperlink ref="O6698" r:id="rId20690" display="https://pbs.twimg.com/profile_images/718835727027580928/1ssyQ67y_normal.jpg" xr:uid="{3473925A-528C-4D26-BBEC-A63F56289B6E}"/>
    <hyperlink ref="B6699" r:id="rId20691" display="https://twitter.com/VWBeetleSales" xr:uid="{CEA36F3D-948F-4DAC-B182-221F7046F1DB}"/>
    <hyperlink ref="E6699" r:id="rId20692" display="https://twitter.com/VWBeetleSales/status/724028096974745601" xr:uid="{B383E14B-FE4F-45AE-B5CC-A10C29CF0458}"/>
    <hyperlink ref="F6699" r:id="rId20693" xr:uid="{17BFA781-E6DD-46DF-9305-628E4E7E85D7}"/>
    <hyperlink ref="O6699" r:id="rId20694" display="https://pbs.twimg.com/profile_images/703294545195307008/qeCvrX86_normal.jpg" xr:uid="{00FAB2A6-FAE7-48F1-852D-BB70BA688149}"/>
    <hyperlink ref="B6700" r:id="rId20695" display="https://twitter.com/VillagraFranco5" xr:uid="{E68F2C05-2FB0-4FC0-87B2-D0EA4672C085}"/>
    <hyperlink ref="E6700" r:id="rId20696" display="https://twitter.com/VillagraFranco5/status/724028329427390464" xr:uid="{A2D371AD-E2D5-4579-8872-7070E0FFC40C}"/>
    <hyperlink ref="O6700" r:id="rId20697" display="https://pbs.twimg.com/profile_images/723014771990224896/-68FTkKq_normal.jpg" xr:uid="{E2123971-3920-43E9-B519-E03B13C26C50}"/>
    <hyperlink ref="B6701" r:id="rId20698" display="https://twitter.com/fys_yukio" xr:uid="{A1B34091-F968-4C0A-8406-71229F1BFB28}"/>
    <hyperlink ref="E6701" r:id="rId20699" display="https://twitter.com/fys_yukio/status/724028790741987330" xr:uid="{843C7F20-9C4C-46E0-A9AF-33D457863121}"/>
    <hyperlink ref="O6701" r:id="rId20700" display="https://pbs.twimg.com/profile_images/568149263889096704/BO2L4CN5_normal.jpeg" xr:uid="{3B2F52BD-8D93-4FC5-BAB5-02A497C86FCC}"/>
    <hyperlink ref="P6701" r:id="rId20701" location="-23.6386763,-47.19859905" display="http://ctrlq.org/maps/address/ - -23.6386763,-47.19859905" xr:uid="{FA3C131A-D861-4192-9652-C442BD4D66C5}"/>
    <hyperlink ref="B6702" r:id="rId20702" display="https://twitter.com/sugru" xr:uid="{E0048F4F-1FC2-4957-8788-64EF9E86221C}"/>
    <hyperlink ref="E6702" r:id="rId20703" display="https://twitter.com/sugru/status/724029119021768704" xr:uid="{650F45DA-AC35-4DBB-9C19-5C4C9B38244D}"/>
    <hyperlink ref="O6702" r:id="rId20704" display="https://pbs.twimg.com/profile_images/532608549944193024/dNzQ6r6E_normal.png" xr:uid="{A6A82019-77A0-4494-8770-AA7CF2B7933F}"/>
    <hyperlink ref="B6703" r:id="rId20705" display="https://twitter.com/waleoshifowora" xr:uid="{B0B64BD2-9BAC-40B0-B84D-F1A332833E09}"/>
    <hyperlink ref="E6703" r:id="rId20706" display="https://twitter.com/waleoshifowora/status/724030139366006784" xr:uid="{A92889E9-15F4-4E9A-B4ED-24575487980C}"/>
    <hyperlink ref="O6703" r:id="rId20707" display="https://pbs.twimg.com/profile_images/434840517017608192/Ntw9BKy5_normal.jpeg" xr:uid="{9B27C44E-BB4E-474E-B12F-6020EEB84DF5}"/>
    <hyperlink ref="B6704" r:id="rId20708" display="https://twitter.com/SrC_WRC" xr:uid="{2A1A1754-05EC-4608-B358-061A597F8B21}"/>
    <hyperlink ref="E6704" r:id="rId20709" display="https://twitter.com/SrC_WRC/status/724030464332316673" xr:uid="{EAED9167-2C87-4F28-AF1A-E2CFC278D411}"/>
    <hyperlink ref="O6704" r:id="rId20710" display="https://pbs.twimg.com/profile_images/628713032957431808/iIoDMTx0_normal.jpg" xr:uid="{F4A6E8B6-4E0C-41A6-A67F-FA38281B8FD5}"/>
    <hyperlink ref="B6705" r:id="rId20711" display="https://twitter.com/Gaitor62" xr:uid="{5CC0DA5D-1AF0-4556-8F20-C93B7C6477B9}"/>
    <hyperlink ref="E6705" r:id="rId20712" display="https://twitter.com/Gaitor62/status/724031482105356288" xr:uid="{8B78CCDF-6B7C-4CC1-9E9F-52A0680952B9}"/>
    <hyperlink ref="O6705" r:id="rId20713" display="https://pbs.twimg.com/profile_images/720359480702156800/-6g6b6Vu_normal.jpg" xr:uid="{952C8D45-C448-4AF3-806E-2DFF9685A0FF}"/>
    <hyperlink ref="B6706" r:id="rId20714" display="https://twitter.com/TheSandlings" xr:uid="{3425ED39-E7C2-4D1C-9748-6C30652FE96F}"/>
    <hyperlink ref="E6706" r:id="rId20715" display="https://twitter.com/TheSandlings/status/724032151243595776" xr:uid="{CBF1F485-35C2-454B-AA90-EE291E58B3CA}"/>
    <hyperlink ref="O6706" r:id="rId20716" display="https://pbs.twimg.com/profile_images/3256042247/66321c338b84d42d4b14f5766bfb97e3_normal.jpeg" xr:uid="{2BFF6B3A-78D9-4C37-8396-BDC9C032DF7C}"/>
    <hyperlink ref="B6707" r:id="rId20717" display="https://twitter.com/Insta_VWT" xr:uid="{A532948C-60F1-4D8A-AFDC-9D94674405E7}"/>
    <hyperlink ref="E6707" r:id="rId20718" display="https://twitter.com/Insta_VWT/status/724032261780172800" xr:uid="{EE116280-B204-4FD7-AA43-4D1F151CCE72}"/>
    <hyperlink ref="O6707" r:id="rId20719" display="https://pbs.twimg.com/profile_images/424893967197433858/iQ86NktX_normal.jpeg" xr:uid="{29E90937-6B76-431E-A4DF-F54D5E479BA7}"/>
    <hyperlink ref="B6708" r:id="rId20720" display="https://twitter.com/Insta_VWT" xr:uid="{BDB1C919-4568-4E1C-B215-3B821E6AD43A}"/>
    <hyperlink ref="E6708" r:id="rId20721" display="https://twitter.com/Insta_VWT/status/724032266679255040" xr:uid="{8C4395DC-63EC-475E-A5CB-1C73DE949F62}"/>
    <hyperlink ref="O6708" r:id="rId20722" display="https://pbs.twimg.com/profile_images/424893967197433858/iQ86NktX_normal.jpeg" xr:uid="{9CB49151-6872-417B-9F99-730CB86A7669}"/>
    <hyperlink ref="B6709" r:id="rId20723" display="https://twitter.com/Insta_VWT" xr:uid="{D9272196-7F65-496E-B6B3-7F6CAFA8503E}"/>
    <hyperlink ref="E6709" r:id="rId20724" display="https://twitter.com/Insta_VWT/status/724032272802963456" xr:uid="{92EBCF6C-F9E9-4C6C-9D5B-B8196F973272}"/>
    <hyperlink ref="O6709" r:id="rId20725" display="https://pbs.twimg.com/profile_images/424893967197433858/iQ86NktX_normal.jpeg" xr:uid="{EDB8FBA4-4874-47D4-B46A-F7F539502526}"/>
    <hyperlink ref="B6710" r:id="rId20726" display="https://twitter.com/canc27" xr:uid="{5C979723-505B-4D6D-9943-0E415DB917B3}"/>
    <hyperlink ref="E6710" r:id="rId20727" display="https://twitter.com/canc27/status/724032438968659968" xr:uid="{95FFD2B2-0D8D-4C76-B060-DCFD28AFD1F1}"/>
    <hyperlink ref="O6710" r:id="rId20728" display="https://pbs.twimg.com/profile_images/378800000118633857/52e1178875219efcd074fdd66e3957fc_normal.jpeg" xr:uid="{AA22AE7E-C27C-4BDC-9461-0AA066EF7CE2}"/>
    <hyperlink ref="B6711" r:id="rId20729" display="https://twitter.com/VCT_Tweets" xr:uid="{197FB011-26C1-4C6A-9556-DAF5B4B13D45}"/>
    <hyperlink ref="E6711" r:id="rId20730" display="https://twitter.com/VCT_Tweets/status/724032738974642177" xr:uid="{A6CFDEB3-8FEF-4526-8030-D8B8F1CD4FDB}"/>
    <hyperlink ref="O6711" r:id="rId20731" display="https://pbs.twimg.com/profile_images/569800899141177344/nVFLMSdb_normal.png" xr:uid="{1086D76E-0B0C-44A7-9427-407C33AB744E}"/>
    <hyperlink ref="B6712" r:id="rId20732" display="https://twitter.com/VCT_Tweets" xr:uid="{E3B54EFC-459B-4700-AAF0-E53001CD0CA3}"/>
    <hyperlink ref="E6712" r:id="rId20733" display="https://twitter.com/VCT_Tweets/status/724032750139875329" xr:uid="{CD0EB90B-C388-4E02-B0F3-B76885ABEA32}"/>
    <hyperlink ref="O6712" r:id="rId20734" display="https://pbs.twimg.com/profile_images/569800899141177344/nVFLMSdb_normal.png" xr:uid="{F4FE1955-B6AD-43E0-AFF2-80F4247F6F42}"/>
    <hyperlink ref="B6713" r:id="rId20735" display="https://twitter.com/dani_acosta98" xr:uid="{5973B236-D56F-42D6-85F0-631801FF8884}"/>
    <hyperlink ref="E6713" r:id="rId20736" display="https://twitter.com/dani_acosta98/status/724033568113070080" xr:uid="{03B9D93B-322D-4F85-B244-4F67E5A1FF45}"/>
    <hyperlink ref="O6713" r:id="rId20737" display="https://pbs.twimg.com/profile_images/723999894726434816/9hThIcJo_normal.jpg" xr:uid="{628F9E7F-A568-45FC-8710-F219D4C87ADE}"/>
    <hyperlink ref="B6714" r:id="rId20738" display="https://twitter.com/Braulio_Urresti" xr:uid="{49DEF53E-D237-49A6-BCAB-EE8C0BE2BF1B}"/>
    <hyperlink ref="E6714" r:id="rId20739" display="https://twitter.com/Braulio_Urresti/status/724034013300690944" xr:uid="{C49683EB-0256-42DF-B8CD-3C1612E374C3}"/>
    <hyperlink ref="O6714" r:id="rId20740" display="https://abs.twimg.com/sticky/default_profile_images/default_profile_5_normal.png" xr:uid="{16AC1B85-B8C5-4F33-86FC-A8B3BCDB4065}"/>
    <hyperlink ref="B6715" r:id="rId20741" display="https://twitter.com/pblaauw" xr:uid="{15DAF703-B3FD-47A8-A004-C344D45F1E9F}"/>
    <hyperlink ref="E6715" r:id="rId20742" display="https://twitter.com/pblaauw/status/724034922365739008" xr:uid="{8FBF1E26-341E-41AC-B145-80831FCFAB94}"/>
    <hyperlink ref="O6715" r:id="rId20743" display="https://pbs.twimg.com/profile_images/665318136405696512/fauAUINl_normal.jpg" xr:uid="{D04972C5-E961-4788-BE7A-89744404970C}"/>
    <hyperlink ref="B6716" r:id="rId20744" display="https://twitter.com/Relaxiknwarchie" xr:uid="{F8A0EE44-7C7C-498E-B753-302004836BFF}"/>
    <hyperlink ref="E6716" r:id="rId20745" display="https://twitter.com/Relaxiknwarchie/status/724035327824793600" xr:uid="{930B9150-0B78-4B43-8258-E380AEE58562}"/>
    <hyperlink ref="O6716" r:id="rId20746" display="https://pbs.twimg.com/profile_images/683068570926985216/vAf4Alw0_normal.jpg" xr:uid="{B2A43B8D-9108-44F9-8A6F-817F1886951A}"/>
    <hyperlink ref="B6717" r:id="rId20747" display="https://twitter.com/emma_flores" xr:uid="{9EE0B6BC-C4ED-4039-A00E-8D677D22FF6F}"/>
    <hyperlink ref="E6717" r:id="rId20748" display="https://twitter.com/emma_flores/status/724037780041551872" xr:uid="{B447E7CB-BC63-4218-9F38-6791329DDFAC}"/>
    <hyperlink ref="O6717" r:id="rId20749" display="https://pbs.twimg.com/profile_images/696941279754719233/M3a_sYBU_normal.jpg" xr:uid="{ADD81243-E0B9-40F4-8251-8073DFAC396C}"/>
    <hyperlink ref="B6718" r:id="rId20750" display="https://twitter.com/vwpalmspringspr" xr:uid="{01398BBB-62AC-4FFA-86F5-AB92BD836922}"/>
    <hyperlink ref="E6718" r:id="rId20751" display="https://twitter.com/vwpalmspringspr/status/724038527697195008" xr:uid="{A306B654-80B2-403B-91B7-6ED6CB667A20}"/>
    <hyperlink ref="O6718" r:id="rId20752" display="https://pbs.twimg.com/profile_images/722518700427882496/rsO6Da_T_normal.jpg" xr:uid="{C580025D-5B5E-4EAA-872F-F9B3FFE14C5C}"/>
    <hyperlink ref="B6719" r:id="rId20753" display="https://twitter.com/sgpragency" xr:uid="{767B981B-2ED0-4868-AA5B-98A4DDDDC70E}"/>
    <hyperlink ref="E6719" r:id="rId20754" display="https://twitter.com/sgpragency/status/724038908388888576" xr:uid="{F63D7651-2BFA-403C-B9D2-87CD216BE76A}"/>
    <hyperlink ref="O6719" r:id="rId20755" display="https://pbs.twimg.com/profile_images/696166674836254720/2dvOBRdF_normal.jpg" xr:uid="{20797C9A-3A90-4001-8C1E-0DC6BE46E33D}"/>
    <hyperlink ref="B6720" r:id="rId20756" display="https://twitter.com/urotuning" xr:uid="{6F7CD0F2-B458-4DB2-BF62-32CEEAA85CDE}"/>
    <hyperlink ref="E6720" r:id="rId20757" display="https://twitter.com/urotuning/status/724040320602787840" xr:uid="{6032B7DA-AC0E-464B-A366-00F15F3EF6EC}"/>
    <hyperlink ref="O6720" r:id="rId20758" display="https://pbs.twimg.com/profile_images/652593086124527616/onf0J8iL_normal.png" xr:uid="{DCC2F9B2-8A8A-47A7-8A0A-DB3D8F4C8FE8}"/>
    <hyperlink ref="B6721" r:id="rId20759" display="https://twitter.com/FletcherJonesVW" xr:uid="{C75CC9B4-942A-4EBC-ACD8-932429D8FB6F}"/>
    <hyperlink ref="E6721" r:id="rId20760" display="https://twitter.com/FletcherJonesVW/status/724040349090484225" xr:uid="{641FA2C4-9882-43D9-A4DE-5090D9730558}"/>
    <hyperlink ref="O6721" r:id="rId20761" display="https://pbs.twimg.com/profile_images/583306350760984576/2RP-_qOY_normal.jpg" xr:uid="{F25529DE-E2B9-4683-A905-8FC4C7F7220E}"/>
    <hyperlink ref="B6722" r:id="rId20762" display="https://twitter.com/fjchicago" xr:uid="{B996BBAB-ADF4-438D-AF4D-34C121CBC21A}"/>
    <hyperlink ref="E6722" r:id="rId20763" display="https://twitter.com/fjchicago/status/724040361488855041" xr:uid="{8994232C-C337-446C-AF38-44EBEFDCB133}"/>
    <hyperlink ref="O6722" r:id="rId20764" display="https://pbs.twimg.com/profile_images/510776626/fj_thumb_final_normal.jpg" xr:uid="{B5D27949-90A7-4923-AF32-A4D78DB49536}"/>
    <hyperlink ref="B6723" r:id="rId20765" display="https://twitter.com/nurullahonder34" xr:uid="{13B98DC3-A143-4FBA-826D-132141956972}"/>
    <hyperlink ref="E6723" r:id="rId20766" display="https://twitter.com/nurullahonder34/status/724042571761238016" xr:uid="{C42A2623-0599-4278-A232-CEC17FFD6A45}"/>
    <hyperlink ref="O6723" r:id="rId20767" display="https://pbs.twimg.com/profile_images/715343902392324096/2O9aLmb1_normal.jpg" xr:uid="{6A292050-0FB0-46BE-A904-A9FCE7F03F69}"/>
    <hyperlink ref="P6723" r:id="rId20768" location="40.99939204,28.64870924" display="http://ctrlq.org/maps/address/ - 40.99939204,28.64870924" xr:uid="{90BAEE28-0FBB-41C4-9E9D-61071EBBF7FA}"/>
    <hyperlink ref="B6724" r:id="rId20769" display="https://twitter.com/VotelTravels" xr:uid="{80792BC1-CD8D-4720-9B5E-309B02A98601}"/>
    <hyperlink ref="E6724" r:id="rId20770" display="https://twitter.com/VotelTravels/status/724042825961189376" xr:uid="{6A595E72-C861-44E7-A92F-D8662D188D29}"/>
    <hyperlink ref="O6724" r:id="rId20771" display="https://pbs.twimg.com/profile_images/653912667745333248/8Bvff339_normal.jpg" xr:uid="{1E2E44B5-086A-4428-BD50-CDD1FDCD18C5}"/>
    <hyperlink ref="B6725" r:id="rId20772" display="https://twitter.com/Scirocco_Tuning" xr:uid="{5AF6883A-6064-4E51-918E-DCAFAE754D85}"/>
    <hyperlink ref="E6725" r:id="rId20773" display="https://twitter.com/Scirocco_Tuning/status/724043294104248320" xr:uid="{68F64407-8A23-41A1-85B3-272D5BFD0115}"/>
    <hyperlink ref="O6725" r:id="rId20774" display="https://pbs.twimg.com/profile_images/1610421423/Image2_normal.jpg" xr:uid="{2AF60FBE-481B-4A7F-8D3D-5CE945E980B3}"/>
    <hyperlink ref="B6726" r:id="rId20775" display="https://twitter.com/diiribas" xr:uid="{02153004-9B69-4D24-BA7F-AB9BDE1734A6}"/>
    <hyperlink ref="E6726" r:id="rId20776" display="https://twitter.com/diiribas/status/724043317009350656" xr:uid="{EBC65C76-9B07-4E00-A9F0-557D140166EC}"/>
    <hyperlink ref="O6726" r:id="rId20777" display="https://pbs.twimg.com/profile_images/1105833928/di1_normal.jpg" xr:uid="{8A02DBDA-B072-4F33-9996-D0C577B9F631}"/>
    <hyperlink ref="B6727" r:id="rId20778" display="https://twitter.com/jornalistavitor" xr:uid="{668A00C7-B26D-44B9-9FF6-CACC976F0810}"/>
    <hyperlink ref="E6727" r:id="rId20779" display="https://twitter.com/jornalistavitor/status/724043420537356288" xr:uid="{4A029C46-CB49-42F5-9ED7-8B0BD4E6310F}"/>
    <hyperlink ref="O6727" r:id="rId20780" display="https://pbs.twimg.com/profile_images/378800000463633572/8494361443a9361de1017d497c5ee1f2_normal.jpeg" xr:uid="{A9CD891B-E9A7-488C-9624-F0D6AF71A9CF}"/>
    <hyperlink ref="B6728" r:id="rId20781" display="https://twitter.com/ebaycampervans" xr:uid="{7ADDDBA6-1C15-4E18-9E79-92987F3A1BEB}"/>
    <hyperlink ref="E6728" r:id="rId20782" display="https://twitter.com/ebaycampervans/status/724043946431631363" xr:uid="{23617D65-8CA4-4F5E-A866-7A0FB6A999A0}"/>
    <hyperlink ref="O6728" r:id="rId20783" display="https://pbs.twimg.com/profile_images/599357023407464449/BL9Bpo6T_normal.jpg" xr:uid="{A0962D9D-5708-4736-B809-79FBE1D6AE99}"/>
    <hyperlink ref="B6729" r:id="rId20784" display="https://twitter.com/FredHagerman" xr:uid="{A0938F33-A834-4E7A-BE20-77AAAA0F236E}"/>
    <hyperlink ref="E6729" r:id="rId20785" display="https://twitter.com/FredHagerman/status/724044460120805376" xr:uid="{DAA72667-8864-4EE9-BD14-E6DAF47E3D7D}"/>
    <hyperlink ref="O6729" r:id="rId20786" display="https://pbs.twimg.com/profile_images/685063099037122560/PsHEpS8i_normal.jpg" xr:uid="{6191D1FB-652F-40CE-B325-E41BDC24FD5C}"/>
    <hyperlink ref="B6730" r:id="rId20787" display="https://twitter.com/FuscaWorld" xr:uid="{BC5A0C13-AA4C-4F69-BC66-594804B0DF9D}"/>
    <hyperlink ref="E6730" r:id="rId20788" display="https://twitter.com/FuscaWorld/status/724044748244267008" xr:uid="{895B1451-CB15-4D44-9E3F-241D20E13E23}"/>
    <hyperlink ref="O6730" r:id="rId20789" display="https://pbs.twimg.com/profile_images/705780107844067328/e7O4UBNb_normal.jpg" xr:uid="{D66960E8-6D7C-469B-B649-9A58A29D48B3}"/>
    <hyperlink ref="B6731" r:id="rId20790" display="https://twitter.com/jenkspl64" xr:uid="{77A8AFAF-29EB-49BF-9989-8A4C4BD0C44C}"/>
    <hyperlink ref="E6731" r:id="rId20791" display="https://twitter.com/jenkspl64/status/724045107284971520" xr:uid="{64227BCA-C948-49AF-83A7-A33535454C39}"/>
    <hyperlink ref="O6731" r:id="rId20792" display="https://pbs.twimg.com/profile_images/3784739731/6a5718677b0278eae62bd8e44f2f76b2_normal.jpeg" xr:uid="{8FB6C785-E6A7-4AB4-93EC-92FA282F4AC9}"/>
    <hyperlink ref="B6732" r:id="rId20793" display="https://twitter.com/BethMasck" xr:uid="{96DC537B-A140-4DFD-BA90-6A6BEF17E447}"/>
    <hyperlink ref="E6732" r:id="rId20794" display="https://twitter.com/BethMasck/status/724046049455812610" xr:uid="{026141C8-AFCC-47C6-8230-FE1C6841025C}"/>
    <hyperlink ref="O6732" r:id="rId20795" display="https://pbs.twimg.com/profile_images/606695011955163136/kB3W0z1x_normal.jpg" xr:uid="{2BC1BA1A-EE07-4B24-A28F-9CC6DBC506A1}"/>
    <hyperlink ref="B6733" r:id="rId20796" display="https://twitter.com/1966evo4g63" xr:uid="{931B75CB-938F-46E9-86C9-9E6C48AF1562}"/>
    <hyperlink ref="E6733" r:id="rId20797" display="https://twitter.com/1966evo4g63/status/724046384500891648" xr:uid="{A4191D4C-B4DE-43DC-9FE2-88B5DA20DB79}"/>
    <hyperlink ref="O6733" r:id="rId20798" display="https://pbs.twimg.com/profile_images/693728297608282112/hOdvuzhl_normal.jpg" xr:uid="{ACF52055-ECCC-48DA-8EB6-50D7F829ACB3}"/>
    <hyperlink ref="B6734" r:id="rId20799" display="https://twitter.com/ozgurcedeniz" xr:uid="{04646870-A9BB-4ACB-A597-C0296B610CBE}"/>
    <hyperlink ref="E6734" r:id="rId20800" display="https://twitter.com/ozgurcedeniz/status/724046995615297539" xr:uid="{D738B596-856C-4B33-A919-C6F167A23A73}"/>
    <hyperlink ref="O6734" r:id="rId20801" display="https://pbs.twimg.com/profile_images/723975994667872256/hFxdGIQV_normal.jpg" xr:uid="{9F9A4B79-329F-4A18-ABF9-6B47FFDA3199}"/>
    <hyperlink ref="B6735" r:id="rId20802" display="https://twitter.com/crissshidalgo" xr:uid="{92910143-40B5-4BAD-8B7E-739BD28F476F}"/>
    <hyperlink ref="E6735" r:id="rId20803" display="https://twitter.com/crissshidalgo/status/724047141501472768" xr:uid="{DCCC6278-CEB3-4094-B3CE-10CBABE14052}"/>
    <hyperlink ref="O6735" r:id="rId20804" display="https://pbs.twimg.com/profile_images/720097053217579008/yUEHosni_normal.jpg" xr:uid="{A745BEBC-3D24-4DA3-8B8B-99F15BFB485D}"/>
    <hyperlink ref="P6735" r:id="rId20805" location="-34.66666667,-58.66666667" display="http://ctrlq.org/maps/address/ - -34.66666667,-58.66666667" xr:uid="{F1759AB6-9F15-4F57-BBB1-6E9533C07FA4}"/>
    <hyperlink ref="B6736" r:id="rId20806" display="https://twitter.com/PicadasArg" xr:uid="{6871B52A-945E-41EE-980D-791D1BC88809}"/>
    <hyperlink ref="E6736" r:id="rId20807" display="https://twitter.com/PicadasArg/status/724047316102074368" xr:uid="{C5EEF3CA-B7F8-4F89-9168-F0AF7D490F51}"/>
    <hyperlink ref="O6736" r:id="rId20808" display="https://pbs.twimg.com/profile_images/713573399386259456/JwmrbkVy_normal.jpg" xr:uid="{CA440CE1-0102-407E-B300-020A76D3160D}"/>
    <hyperlink ref="B6737" r:id="rId20809" display="https://twitter.com/Lucascanob_" xr:uid="{C363AFB2-20E5-49BF-90D6-99D14E8A2C41}"/>
    <hyperlink ref="E6737" r:id="rId20810" display="https://twitter.com/Lucascanob_/status/724047416165564416" xr:uid="{6A4216D3-CBA5-4014-96C2-1FE57685E5F8}"/>
    <hyperlink ref="O6737" r:id="rId20811" display="https://pbs.twimg.com/profile_images/723315631039352832/VcTMp6jG_normal.jpg" xr:uid="{F8A407B9-C078-476C-8A19-6F41FB902E8A}"/>
    <hyperlink ref="B6738" r:id="rId20812" display="https://twitter.com/Braandon_0" xr:uid="{B277D07C-2406-45E6-A8DD-200764BDD767}"/>
    <hyperlink ref="E6738" r:id="rId20813" display="https://twitter.com/Braandon_0/status/724047530997256192" xr:uid="{9F15D4BD-F380-4C78-B7C3-31AA1054FB41}"/>
    <hyperlink ref="O6738" r:id="rId20814" display="https://pbs.twimg.com/profile_images/717609619967909889/4OLgkFBY_normal.jpg" xr:uid="{E464D5BF-47C7-45B2-8672-BA2DCC137277}"/>
    <hyperlink ref="B6739" r:id="rId20815" display="https://twitter.com/VazquezSool" xr:uid="{9C638FCA-FBB9-4FA0-9C37-DC63852FF44A}"/>
    <hyperlink ref="E6739" r:id="rId20816" display="https://twitter.com/VazquezSool/status/724047565503733761" xr:uid="{99AC9DAE-5358-4580-ACBD-315569E2A555}"/>
    <hyperlink ref="O6739" r:id="rId20817" display="https://pbs.twimg.com/profile_images/721373272705773568/2gPhR6nF_normal.jpg" xr:uid="{3AE31463-AA65-4FCE-94AC-9A8723BDB0FD}"/>
    <hyperlink ref="B6740" r:id="rId20818" display="https://twitter.com/fercabmoreno" xr:uid="{A3B118DF-1106-4E45-8078-8EBA6D49A28B}"/>
    <hyperlink ref="E6740" r:id="rId20819" display="https://twitter.com/fercabmoreno/status/724047599616036864" xr:uid="{EA1C6E65-B668-46D1-8700-9C67E8F25951}"/>
    <hyperlink ref="O6740" r:id="rId20820" display="https://pbs.twimg.com/profile_images/672644804422037504/SawTdvB2_normal.jpg" xr:uid="{B5946B75-4F12-44EE-A9FA-D369FE1829DA}"/>
    <hyperlink ref="B6741" r:id="rId20821" display="https://twitter.com/AylenANM" xr:uid="{ED01E0BC-4C3D-438E-B912-1B8494B99552}"/>
    <hyperlink ref="E6741" r:id="rId20822" display="https://twitter.com/AylenANM/status/724047608579239936" xr:uid="{3F8C7229-5360-40C8-91A3-A3D40412B9F9}"/>
    <hyperlink ref="O6741" r:id="rId20823" display="https://pbs.twimg.com/profile_images/723348530883092480/kbMpoaKc_normal.jpg" xr:uid="{EABF0893-6D5D-4B07-BBED-C850DE10DC75}"/>
    <hyperlink ref="B6742" r:id="rId20824" display="https://twitter.com/VCT_Tweets" xr:uid="{1D45A379-FD11-4AE6-9DAC-43CB09A23A17}"/>
    <hyperlink ref="E6742" r:id="rId20825" display="https://twitter.com/VCT_Tweets/status/724047854122217472" xr:uid="{F21CF2A1-6D5C-4464-B364-98DBF8E9C180}"/>
    <hyperlink ref="O6742" r:id="rId20826" display="https://pbs.twimg.com/profile_images/569800899141177344/nVFLMSdb_normal.png" xr:uid="{656DC9D0-4AF1-42CE-8DEB-88D641716C1C}"/>
    <hyperlink ref="B6743" r:id="rId20827" display="https://twitter.com/FrancoAguus" xr:uid="{912A054B-1D24-448D-A2DD-8AE9B10418C3}"/>
    <hyperlink ref="E6743" r:id="rId20828" display="https://twitter.com/FrancoAguus/status/724048177582714880" xr:uid="{823E7793-94FC-4B8D-A88E-BD5C529D669E}"/>
    <hyperlink ref="O6743" r:id="rId20829" display="https://pbs.twimg.com/profile_images/721771238360612865/05hmYcad_normal.jpg" xr:uid="{778608B0-61D2-452E-A67D-05F925D85551}"/>
    <hyperlink ref="B6744" r:id="rId20830" display="https://twitter.com/PicadasArg" xr:uid="{471A4AC4-8356-4379-A441-CF363DCB7027}"/>
    <hyperlink ref="E6744" r:id="rId20831" display="https://twitter.com/PicadasArg/status/724048587416567808" xr:uid="{7AAE9126-022B-40B6-AA0D-44F7B15E403C}"/>
    <hyperlink ref="O6744" r:id="rId20832" display="https://pbs.twimg.com/profile_images/713573399386259456/JwmrbkVy_normal.jpg" xr:uid="{7C5BC534-066E-4223-9224-215BBD83C119}"/>
    <hyperlink ref="B6745" r:id="rId20833" display="https://twitter.com/RamsarJrs12" xr:uid="{2BECCBEC-3B9F-4BEF-84CC-85372C466374}"/>
    <hyperlink ref="E6745" r:id="rId20834" display="https://twitter.com/RamsarJrs12/status/724048654038896642" xr:uid="{187D5BF7-EE53-42FA-911A-1AA49E37A78C}"/>
    <hyperlink ref="O6745" r:id="rId20835" display="https://pbs.twimg.com/profile_images/722120496964349954/Sp36T9JP_normal.jpg" xr:uid="{942B6D50-E050-4604-9824-8503DD907881}"/>
    <hyperlink ref="B6746" r:id="rId20836" display="https://twitter.com/Eze_Marocchi" xr:uid="{CC61A37F-BAD7-429B-BAD3-325ED0B3CB88}"/>
    <hyperlink ref="E6746" r:id="rId20837" display="https://twitter.com/Eze_Marocchi/status/724048682539212800" xr:uid="{A5DF64A8-631C-4F28-B52B-FADEC8FB27CF}"/>
    <hyperlink ref="O6746" r:id="rId20838" display="https://pbs.twimg.com/profile_images/723355752065175552/lZOfik9L_normal.jpg" xr:uid="{A63CCA9D-A803-4B80-9180-53577CE2861A}"/>
    <hyperlink ref="B6747" r:id="rId20839" display="https://twitter.com/Ros4ri0Central" xr:uid="{C0175418-470A-417E-893D-EBE9CD03320C}"/>
    <hyperlink ref="E6747" r:id="rId20840" display="https://twitter.com/Ros4ri0Central/status/724048699895222274" xr:uid="{9737B47C-8B4E-44FA-BE26-30106B54D84E}"/>
    <hyperlink ref="O6747" r:id="rId20841" display="https://pbs.twimg.com/profile_images/711958058633711616/QR_V7dil_normal.jpg" xr:uid="{548D3140-DD0D-4363-A138-B04519BB017D}"/>
    <hyperlink ref="B6748" r:id="rId20842" display="https://twitter.com/LeoSannchez22" xr:uid="{472BBBB8-52C4-4269-AA95-2E095C988A34}"/>
    <hyperlink ref="E6748" r:id="rId20843" display="https://twitter.com/LeoSannchez22/status/724048905009287168" xr:uid="{1C4FE28E-A41E-4110-88E7-FE12EADB96E2}"/>
    <hyperlink ref="O6748" r:id="rId20844" display="https://pbs.twimg.com/profile_images/655809632808603648/Db8WUfss_normal.jpg" xr:uid="{B85C02C9-7379-4072-9844-4ECEE69338EB}"/>
    <hyperlink ref="B6749" r:id="rId20845" display="https://twitter.com/MiqueasC01" xr:uid="{EF2B6690-7FD8-445F-B290-6427562ABA0A}"/>
    <hyperlink ref="E6749" r:id="rId20846" display="https://twitter.com/MiqueasC01/status/724049033615032321" xr:uid="{25723105-49BE-46D6-8F65-D5D2EDE91D9F}"/>
    <hyperlink ref="O6749" r:id="rId20847" display="https://pbs.twimg.com/profile_images/723508491407728640/fJcvYNZB_normal.jpg" xr:uid="{8565290E-A537-4F2A-BA5C-FF864F593A52}"/>
    <hyperlink ref="B6750" r:id="rId20848" display="https://twitter.com/1alanking" xr:uid="{12C17C12-753B-47CD-BDA0-5691910FF311}"/>
    <hyperlink ref="E6750" r:id="rId20849" display="https://twitter.com/1alanking/status/724049041751965696" xr:uid="{F07E94BD-8AAA-4ACF-BB25-53B538274014}"/>
    <hyperlink ref="O6750" r:id="rId20850" display="https://pbs.twimg.com/profile_images/241235095/Checkendon_normal.jpg" xr:uid="{E8C6DD4F-C9C0-4536-A9C3-9E7888CB9A53}"/>
    <hyperlink ref="B6751" r:id="rId20851" display="https://twitter.com/Agusperez09" xr:uid="{BC8ABE4C-21F2-4E34-9C55-4B51D510042E}"/>
    <hyperlink ref="E6751" r:id="rId20852" display="https://twitter.com/Agusperez09/status/724049153261748225" xr:uid="{7C688226-CDA6-4C36-A119-EA3BB5836758}"/>
    <hyperlink ref="O6751" r:id="rId20853" display="https://pbs.twimg.com/profile_images/707349972207996928/7-Xj4NwH_normal.jpg" xr:uid="{2DF9BAAF-943F-418A-96AC-80D898E97526}"/>
    <hyperlink ref="B6752" r:id="rId20854" display="https://twitter.com/rebelagenda" xr:uid="{313F8828-C2B8-4CAE-A5B6-931EC36254F6}"/>
    <hyperlink ref="E6752" r:id="rId20855" display="https://twitter.com/rebelagenda/status/724049277383647232" xr:uid="{859D4DCD-9CFC-4A04-891B-D1BC178F38BA}"/>
    <hyperlink ref="O6752" r:id="rId20856" display="https://pbs.twimg.com/profile_images/716106066673537025/2-Q6N4oh_normal.jpg" xr:uid="{4C4A3112-994F-4547-8C8E-ABA1D49C9905}"/>
    <hyperlink ref="B6753" r:id="rId20857" display="https://twitter.com/camiilarommero" xr:uid="{CB35ADE4-ED79-4D0C-B2F6-DA1AE59B18F5}"/>
    <hyperlink ref="E6753" r:id="rId20858" display="https://twitter.com/camiilarommero/status/724049632964255746" xr:uid="{6A6FB657-D59D-4A9E-B136-C8F6722353FF}"/>
    <hyperlink ref="O6753" r:id="rId20859" display="https://pbs.twimg.com/profile_images/712842542241484800/fYAhmTUq_normal.jpg" xr:uid="{3399CC27-4EE8-4F5C-AEE4-34A256041436}"/>
    <hyperlink ref="B6754" r:id="rId20860" display="https://twitter.com/agussnaavaarro" xr:uid="{155E1BAC-67D2-4ACA-B829-1B20451FF82B}"/>
    <hyperlink ref="E6754" r:id="rId20861" display="https://twitter.com/agussnaavaarro/status/724049702820429824" xr:uid="{477F7BD1-3BC7-4870-ACA4-D47FDDF0AFE2}"/>
    <hyperlink ref="O6754" r:id="rId20862" display="https://pbs.twimg.com/profile_images/719992610824302593/gTWo5WQ5_normal.jpg" xr:uid="{F88483E3-270F-4146-8EFA-C164CCFEE5E2}"/>
    <hyperlink ref="B6755" r:id="rId20863" display="https://twitter.com/gimena_barela" xr:uid="{D4D9B552-8B29-4E6B-B03F-4A52E757073B}"/>
    <hyperlink ref="E6755" r:id="rId20864" display="https://twitter.com/gimena_barela/status/724050209735626752" xr:uid="{60F6F307-9EE2-4E96-B60B-37C48884608C}"/>
    <hyperlink ref="O6755" r:id="rId20865" display="https://pbs.twimg.com/profile_images/723352962685345792/A1iPVpyc_normal.jpg" xr:uid="{18EB17BF-024B-4AB8-A9A9-BBABDBAE5F12}"/>
    <hyperlink ref="B6756" r:id="rId20866" display="https://twitter.com/sateibank" xr:uid="{D4C966CE-393D-4D78-A7B8-D339BA764504}"/>
    <hyperlink ref="E6756" r:id="rId20867" display="https://twitter.com/sateibank/status/724050941591195649" xr:uid="{47621835-3AD0-4A42-B526-090AEC7D5951}"/>
    <hyperlink ref="O6756" r:id="rId20868" display="https://pbs.twimg.com/profile_images/498644079387754496/5cUzlSkH_normal.jpeg" xr:uid="{60A41ADE-7F4B-4AAE-8C7E-C4A1C1816EB5}"/>
    <hyperlink ref="B6757" r:id="rId20869" display="https://twitter.com/giulianoctf" xr:uid="{305A19EA-7E08-439B-8564-C54F0FC39230}"/>
    <hyperlink ref="E6757" r:id="rId20870" display="https://twitter.com/giulianoctf/status/724051742225215488" xr:uid="{62F36E97-0F84-4432-8B39-030523EF1577}"/>
    <hyperlink ref="O6757" r:id="rId20871" display="https://pbs.twimg.com/profile_images/641421640748933120/XNuL6wLX_normal.jpg" xr:uid="{870FB967-CC71-4333-A459-3327BDC717F4}"/>
    <hyperlink ref="B6758" r:id="rId20872" display="https://twitter.com/giulianoctf" xr:uid="{39183931-28DE-405E-AF7C-B1ED74E1C1E7}"/>
    <hyperlink ref="E6758" r:id="rId20873" display="https://twitter.com/giulianoctf/status/724051775129567233" xr:uid="{D339540C-A405-4FC4-8BEB-37739BBBAF36}"/>
    <hyperlink ref="O6758" r:id="rId20874" display="https://pbs.twimg.com/profile_images/641421640748933120/XNuL6wLX_normal.jpg" xr:uid="{B64859BA-DC18-4F36-950A-2B9222BF4598}"/>
    <hyperlink ref="B6759" r:id="rId20875" display="https://twitter.com/CastineiraDiego" xr:uid="{87726F01-B312-406E-BB6C-1B4C733CDE83}"/>
    <hyperlink ref="E6759" r:id="rId20876" display="https://twitter.com/CastineiraDiego/status/724052476232605696" xr:uid="{17799EF4-FF49-4D30-9DF2-AC625CF92749}"/>
    <hyperlink ref="O6759" r:id="rId20877" display="https://pbs.twimg.com/profile_images/716359068965797888/zGBPoYQw_normal.jpg" xr:uid="{89ECC79D-5A93-4912-8C21-4A9E0BD42D02}"/>
    <hyperlink ref="B6760" r:id="rId20878" display="https://twitter.com/davidmanu_98" xr:uid="{EA777671-B28E-430E-8BF8-3FDE23C80833}"/>
    <hyperlink ref="E6760" r:id="rId20879" display="https://twitter.com/davidmanu_98/status/724053917835902976" xr:uid="{49E5C2FB-B680-41E7-8F9B-D42C74048DE6}"/>
    <hyperlink ref="O6760" r:id="rId20880" display="https://pbs.twimg.com/profile_images/704115994780897280/keBSrZX1_normal.jpg" xr:uid="{B931F1DF-E02C-410C-B946-5F5D8B9C34AC}"/>
    <hyperlink ref="B6761" r:id="rId20881" display="https://twitter.com/NickiLetts" xr:uid="{62AD2B1C-E551-4C7B-A095-A68E6A8FC4C4}"/>
    <hyperlink ref="E6761" r:id="rId20882" display="https://twitter.com/NickiLetts/status/724054143409623040" xr:uid="{61F697E9-B9B3-48F2-AF5C-B82C87254F94}"/>
    <hyperlink ref="O6761" r:id="rId20883" display="https://pbs.twimg.com/profile_images/554457656291639297/Q95Z8_au_normal.jpeg" xr:uid="{F1C4E6D5-2B75-4ADF-A1B4-096C3318B833}"/>
    <hyperlink ref="B6762" r:id="rId20884" display="https://twitter.com/Pancho_Ragoni" xr:uid="{D508F94E-573A-4C51-B1BC-3EB9218E7990}"/>
    <hyperlink ref="E6762" r:id="rId20885" display="https://twitter.com/Pancho_Ragoni/status/724056014417465344" xr:uid="{55082989-6214-4CE7-862E-C92947769676}"/>
    <hyperlink ref="O6762" r:id="rId20886" display="https://pbs.twimg.com/profile_images/607335982313160704/-Sgnz7nn_normal.jpg" xr:uid="{224E259B-B795-4D9D-A664-363EEC352BF6}"/>
    <hyperlink ref="B6763" r:id="rId20887" display="https://twitter.com/Daisho_414" xr:uid="{783FFCE0-8E24-46B3-AB7E-6CD62F78F56E}"/>
    <hyperlink ref="E6763" r:id="rId20888" display="https://twitter.com/Daisho_414/status/724056725180043264" xr:uid="{F86CC6D7-0D6B-46E9-B9E5-068BD42CD2EA}"/>
    <hyperlink ref="O6763" r:id="rId20889" display="https://pbs.twimg.com/profile_images/538865940159406080/3b3cMwVn_normal.jpeg" xr:uid="{E1A8913C-C5F5-4C47-B4EC-79AD887F8ACF}"/>
    <hyperlink ref="B6764" r:id="rId20890" display="https://twitter.com/rgtzmercadillo" xr:uid="{212CAA66-DC71-4C1A-84D7-88B5BC8B5518}"/>
    <hyperlink ref="E6764" r:id="rId20891" display="https://twitter.com/rgtzmercadillo/status/724058022947909632" xr:uid="{732D6D1A-6063-41FB-9BC1-841617089278}"/>
    <hyperlink ref="O6764" r:id="rId20892" display="https://pbs.twimg.com/profile_images/704315581244133376/dKnoDnRB_normal.jpg" xr:uid="{008DC1B4-BD44-4032-8E9C-BA1BBFDBBAFC}"/>
    <hyperlink ref="B6765" r:id="rId20893" display="https://twitter.com/mytweetmark" xr:uid="{C6E2A6BF-E79C-4788-A5C1-F49C914EE703}"/>
    <hyperlink ref="E6765" r:id="rId20894" display="https://twitter.com/mytweetmark/status/724058099280011265" xr:uid="{92C18E4D-2C39-4B5B-87BF-F52E5CDCF0F3}"/>
    <hyperlink ref="O6765" r:id="rId20895" display="https://pbs.twimg.com/profile_images/723486812656656384/Gik7F7Wc_normal.jpg" xr:uid="{073404C0-3660-44C8-B5B2-7A3C281D112B}"/>
    <hyperlink ref="B6766" r:id="rId20896" display="https://twitter.com/ChefSweetcrunch" xr:uid="{6AC889BC-0FF2-49D6-87D1-7FA1B4F03D74}"/>
    <hyperlink ref="E6766" r:id="rId20897" display="https://twitter.com/ChefSweetcrunch/status/724058738429157376" xr:uid="{1D16124C-E197-45B6-8609-4B5187B63BDB}"/>
    <hyperlink ref="O6766" r:id="rId20898" display="https://pbs.twimg.com/profile_images/1373744332/VermontMapleCookieLogoSMALL_normal.jpg" xr:uid="{FC180F77-2576-4AA6-839A-4181CED21FDA}"/>
    <hyperlink ref="B6767" r:id="rId20899" display="https://twitter.com/HunkyAlley" xr:uid="{9BDB6F35-7DF6-4A4B-B4D4-B2FF65C5D821}"/>
    <hyperlink ref="E6767" r:id="rId20900" display="https://twitter.com/HunkyAlley/status/724060035765161984" xr:uid="{683A3C6E-4F26-4424-A42F-D81A0EF1D5D3}"/>
    <hyperlink ref="O6767" r:id="rId20901" display="https://pbs.twimg.com/profile_images/617967865413525504/y9t3axe3_normal.jpg" xr:uid="{BA1B5F81-81A4-418E-8F8F-539E85277722}"/>
    <hyperlink ref="P6767" r:id="rId20902" location="34.089323,-118.350243" display="http://ctrlq.org/maps/address/ - 34.089323,-118.350243" xr:uid="{A47F6352-C24B-45BE-9DC6-865599AA28F0}"/>
    <hyperlink ref="B6768" r:id="rId20903" display="https://twitter.com/surendergowtham" xr:uid="{4CA7EC79-C624-45D2-A760-AC5C213CE87B}"/>
    <hyperlink ref="E6768" r:id="rId20904" display="https://twitter.com/surendergowtham/status/724060665279746052" xr:uid="{A795BA39-D6F6-45E8-BD81-328D4DF6C56F}"/>
    <hyperlink ref="O6768" r:id="rId20905" display="https://pbs.twimg.com/profile_images/713010392692236291/yCM5NCzN_normal.jpg" xr:uid="{75C58AA8-8A29-4730-B054-30C5B7E27C43}"/>
    <hyperlink ref="B6769" r:id="rId20906" display="https://twitter.com/oldcar_photo" xr:uid="{22D0C515-255F-45DA-AC3A-5157B3C45637}"/>
    <hyperlink ref="E6769" r:id="rId20907" display="https://twitter.com/oldcar_photo/status/724062394494914561" xr:uid="{38E35B74-D908-4F88-BB69-5D22597F7C6D}"/>
    <hyperlink ref="O6769" r:id="rId20908" display="https://pbs.twimg.com/profile_images/615493650785660928/XHUh6HOk_normal.jpg" xr:uid="{1C38C77B-5EA3-45C4-80BC-40183CBE8241}"/>
    <hyperlink ref="B6770" r:id="rId20909" display="https://twitter.com/oldcar_photo" xr:uid="{5C17A1F5-EE77-4E66-8A6A-A257347FFF90}"/>
    <hyperlink ref="E6770" r:id="rId20910" display="https://twitter.com/oldcar_photo/status/724062402032095232" xr:uid="{224805CB-1F3E-4463-B354-41202D20F448}"/>
    <hyperlink ref="O6770" r:id="rId20911" display="https://pbs.twimg.com/profile_images/615493650785660928/XHUh6HOk_normal.jpg" xr:uid="{21BFC6B7-2B66-4E6A-9A5A-8853C71BDF7B}"/>
    <hyperlink ref="B6771" r:id="rId20912" display="https://twitter.com/Popenici" xr:uid="{24DF2D73-84D7-43F8-83DD-4074BDC390D0}"/>
    <hyperlink ref="E6771" r:id="rId20913" display="https://twitter.com/Popenici/status/724062524245598209" xr:uid="{98FDBFD5-19C8-4918-99FB-204D7AB37DA8}"/>
    <hyperlink ref="O6771" r:id="rId20914" display="https://pbs.twimg.com/profile_images/378800000413462416/77238ebae51f5dee8cc6d04cdca98151_normal.jpeg" xr:uid="{DAF38DE4-97AC-4221-BE99-2266D0EA00B5}"/>
    <hyperlink ref="B6772" r:id="rId20915" display="https://twitter.com/happywes" xr:uid="{30AA3719-EAC3-4667-B3DD-705CAECFF59D}"/>
    <hyperlink ref="E6772" r:id="rId20916" display="https://twitter.com/happywes/status/724064081229967360" xr:uid="{3EED9096-C3E8-4D9F-9B8E-2ED3295A2844}"/>
    <hyperlink ref="O6772" r:id="rId20917" display="https://pbs.twimg.com/profile_images/605139878154625024/JqxtO8c-_normal.jpg" xr:uid="{1909644C-69F0-4302-AA4C-5A6388D03479}"/>
    <hyperlink ref="B6773" r:id="rId20918" display="https://twitter.com/hgvdriversdiary" xr:uid="{21520991-0479-457E-9764-839CD8684DE3}"/>
    <hyperlink ref="E6773" r:id="rId20919" display="https://twitter.com/hgvdriversdiary/status/724064145499369473" xr:uid="{30192BA0-3374-4343-89A3-A61CBA046E4F}"/>
    <hyperlink ref="O6773" r:id="rId20920" display="https://pbs.twimg.com/profile_images/524229024550092803/rDciaA1w_normal.jpeg" xr:uid="{2ABBD587-70E6-4AD8-AF50-311A3332DBF5}"/>
    <hyperlink ref="B6774" r:id="rId20921" display="https://twitter.com/seannosoul" xr:uid="{44B9D087-0127-4F0A-AC92-94404B0BED2F}"/>
    <hyperlink ref="E6774" r:id="rId20922" display="https://twitter.com/seannosoul/status/724064582348750848" xr:uid="{391D02B7-4CD8-4D4F-8930-A197D43DD7BF}"/>
    <hyperlink ref="O6774" r:id="rId20923" display="https://pbs.twimg.com/profile_images/709074217153777664/rZPD8L8m_normal.jpg" xr:uid="{C7751C2C-39BC-4E9A-BDE5-709580D09F42}"/>
    <hyperlink ref="B6775" r:id="rId20924" display="https://twitter.com/_EnanoOK" xr:uid="{AE6C9775-7646-42D8-9CF2-0D2E9086A67C}"/>
    <hyperlink ref="E6775" r:id="rId20925" display="https://twitter.com/_EnanoOK/status/724065304628891648" xr:uid="{42957D56-FE3F-4135-8F95-EB075AE2B79E}"/>
    <hyperlink ref="O6775" r:id="rId20926" display="https://pbs.twimg.com/profile_images/699868269918949376/Cc62FYNS_normal.jpg" xr:uid="{59BD3CEC-4B35-4A3D-8CB4-3AE74D667EFD}"/>
    <hyperlink ref="P6775" r:id="rId20927" location="-34.69617184,-58.46290485" display="http://ctrlq.org/maps/address/ - -34.69617184,-58.46290485" xr:uid="{7F1AAABE-AC8F-4308-BD7E-99841BAFA63D}"/>
    <hyperlink ref="B6776" r:id="rId20928" display="https://twitter.com/AMDAMORELOS" xr:uid="{C9A64AA9-683B-4019-AE82-595AE256D34D}"/>
    <hyperlink ref="E6776" r:id="rId20929" display="https://twitter.com/AMDAMORELOS/status/724068274997104640" xr:uid="{98840346-FD0E-490E-AFAA-DFAE9E840931}"/>
    <hyperlink ref="O6776" r:id="rId20930" display="https://pbs.twimg.com/profile_images/1441179004/LOGO_AMDA_MORELOS_normal.jpg" xr:uid="{1CDB8C06-E1D6-4FDF-AAFC-526EDD85F931}"/>
    <hyperlink ref="B6777" r:id="rId20931" display="https://twitter.com/VWBeetleSales" xr:uid="{905DE2BC-F225-4BF3-A179-CAAFB1B97B80}"/>
    <hyperlink ref="E6777" r:id="rId20932" display="https://twitter.com/VWBeetleSales/status/724068363064889344" xr:uid="{C2355477-6825-4366-B269-EA4E0699E27C}"/>
    <hyperlink ref="F6777" r:id="rId20933" xr:uid="{A5168E70-F025-448E-B912-C482F241F6C9}"/>
    <hyperlink ref="O6777" r:id="rId20934" display="https://pbs.twimg.com/profile_images/703294545195307008/qeCvrX86_normal.jpg" xr:uid="{022A6DC6-BF1C-44A2-B6D8-986B8BF26239}"/>
    <hyperlink ref="B6778" r:id="rId20935" display="https://twitter.com/mana__mana" xr:uid="{254763FB-62F3-46F6-A372-5A61D5A97815}"/>
    <hyperlink ref="E6778" r:id="rId20936" display="https://twitter.com/mana__mana/status/724068381872279552" xr:uid="{EBED615E-E9E6-4FFC-B29E-BFE4CA10F8BC}"/>
    <hyperlink ref="O6778" r:id="rId20937" display="https://pbs.twimg.com/profile_images/3308939578/7990942b4eb3b6c54661e62e3f39b0b7_normal.jpeg" xr:uid="{FC3FC685-46C1-406B-B53F-2574DDA3E81B}"/>
    <hyperlink ref="B6779" r:id="rId20938" display="https://twitter.com/VWBeetleSales" xr:uid="{5079C982-9F41-43B0-8B46-A0A936B202CF}"/>
    <hyperlink ref="E6779" r:id="rId20939" display="https://twitter.com/VWBeetleSales/status/724070122516705280" xr:uid="{58EB51B1-FC15-43DD-9684-E8980721BD22}"/>
    <hyperlink ref="F6779" r:id="rId20940" xr:uid="{F36A5997-E75B-4672-AE99-96AE54C70723}"/>
    <hyperlink ref="O6779" r:id="rId20941" display="https://pbs.twimg.com/profile_images/703294545195307008/qeCvrX86_normal.jpg" xr:uid="{57587523-736A-41E2-A80F-060E4ABEAA67}"/>
    <hyperlink ref="B6780" r:id="rId20942" display="https://twitter.com/paintedmanican" xr:uid="{0CDCCFFE-6429-408B-B1F3-D730C9526607}"/>
    <hyperlink ref="E6780" r:id="rId20943" display="https://twitter.com/paintedmanican/status/724070605981671424" xr:uid="{E15A2FB2-A6F3-415F-8384-B522B7699439}"/>
    <hyperlink ref="O6780" r:id="rId20944" display="https://pbs.twimg.com/profile_images/554845466257805312/7eZldUOH_normal.jpeg" xr:uid="{0B2E819A-7C44-4999-8BF4-F73995BCE1E2}"/>
    <hyperlink ref="B6781" r:id="rId20945" display="https://twitter.com/Scirocco_Tuning" xr:uid="{BD9F3F76-9F89-4E89-9109-F1AEA16F3FC6}"/>
    <hyperlink ref="E6781" r:id="rId20946" display="https://twitter.com/Scirocco_Tuning/status/724070937881153537" xr:uid="{9A06D4E9-4931-4E3F-A5C3-392C773F986C}"/>
    <hyperlink ref="O6781" r:id="rId20947" display="https://pbs.twimg.com/profile_images/1610421423/Image2_normal.jpg" xr:uid="{ACA2D223-6EF9-4818-9844-CCA90B1C1118}"/>
    <hyperlink ref="B6782" r:id="rId20948" display="https://twitter.com/MrMalky" xr:uid="{2AC71F85-20EE-4CCE-8F43-AE1B92B100AF}"/>
    <hyperlink ref="E6782" r:id="rId20949" display="https://twitter.com/MrMalky/status/724072340078899201" xr:uid="{8F90C561-2890-495E-BD2F-39EB13380811}"/>
    <hyperlink ref="O6782" r:id="rId20950" display="https://pbs.twimg.com/profile_images/691736292934184961/CyrC0_Hw_normal.jpg" xr:uid="{BF90E535-891A-4476-9942-37DBB37F2D38}"/>
    <hyperlink ref="B6783" r:id="rId20951" display="https://twitter.com/privilegimports" xr:uid="{B53B37BF-F93C-4DB5-8100-F37F1FF50757}"/>
    <hyperlink ref="E6783" r:id="rId20952" display="https://twitter.com/privilegimports/status/724072405929496578" xr:uid="{EDE81609-2F56-4C55-9C89-A2148B3E3123}"/>
    <hyperlink ref="O6783" r:id="rId20953" display="https://pbs.twimg.com/profile_images/713551988022181888/VnV9z_vA_normal.jpg" xr:uid="{F3165F64-6B68-48D8-922C-17298E90EF02}"/>
    <hyperlink ref="B6784" r:id="rId20954" display="https://twitter.com/StangDaeng" xr:uid="{B1697B61-5ED8-4FBE-920B-897CF2EE35A9}"/>
    <hyperlink ref="E6784" r:id="rId20955" display="https://twitter.com/StangDaeng/status/724072555645009921" xr:uid="{3619DB28-1949-4951-95A4-C08B3DFC7ACE}"/>
    <hyperlink ref="O6784" r:id="rId20956" display="https://pbs.twimg.com/profile_images/541111888164028416/CRkQZhY-_normal.jpeg" xr:uid="{82B7BF3D-588A-40C9-B553-3F0531D56B4C}"/>
    <hyperlink ref="B6785" r:id="rId20957" display="https://twitter.com/chrispillennews" xr:uid="{02DA1A2D-A21A-46B0-8C56-C8401CBFDADD}"/>
    <hyperlink ref="E6785" r:id="rId20958" display="https://twitter.com/chrispillennews/status/724072988124045312" xr:uid="{578F6BFF-FE8A-4C17-8EA1-6227D1CE2788}"/>
    <hyperlink ref="O6785" r:id="rId20959" display="https://pbs.twimg.com/profile_images/589041144027357185/LMeiK-X6_normal.jpg" xr:uid="{E5464AA7-D596-49E7-8315-7FBB825BEA28}"/>
    <hyperlink ref="B6786" r:id="rId20960" display="https://twitter.com/dubbusses" xr:uid="{3A59E86A-575E-4734-8FAC-4942D0E3CD59}"/>
    <hyperlink ref="E6786" r:id="rId20961" display="https://twitter.com/dubbusses/status/724073088460197888" xr:uid="{BC27C6CD-C88B-4841-8082-3F5288CB2236}"/>
    <hyperlink ref="O6786" r:id="rId20962" display="https://pbs.twimg.com/profile_images/718835727027580928/1ssyQ67y_normal.jpg" xr:uid="{2B4B1F44-09C1-4DD3-BC33-09D08C0DA7FA}"/>
    <hyperlink ref="B6787" r:id="rId20963" display="https://twitter.com/dubbusses" xr:uid="{4215A15A-4240-4DEB-82AA-42E8FCF8D847}"/>
    <hyperlink ref="E6787" r:id="rId20964" display="https://twitter.com/dubbusses/status/724073098102902784" xr:uid="{7C3570ED-EA67-4540-B2F4-B8879D53168D}"/>
    <hyperlink ref="O6787" r:id="rId20965" display="https://pbs.twimg.com/profile_images/718835727027580928/1ssyQ67y_normal.jpg" xr:uid="{87928DAE-E84F-4E0A-AF46-67C4C90F8A59}"/>
    <hyperlink ref="B6788" r:id="rId20966" display="https://twitter.com/VWBeetleSales" xr:uid="{1BA1E266-8885-4221-AD4C-8833A4F958D6}"/>
    <hyperlink ref="E6788" r:id="rId20967" display="https://twitter.com/VWBeetleSales/status/724073526680911872" xr:uid="{32DF8575-98C1-4C26-A4F4-CE59268A9065}"/>
    <hyperlink ref="F6788" r:id="rId20968" xr:uid="{A3AA1A8B-AA3F-4618-A6C7-A0FC8BAE789A}"/>
    <hyperlink ref="O6788" r:id="rId20969" display="https://pbs.twimg.com/profile_images/703294545195307008/qeCvrX86_normal.jpg" xr:uid="{D7447303-0ECB-48DB-8A74-CEE2440B1F64}"/>
    <hyperlink ref="B6789" r:id="rId20970" display="https://twitter.com/VWBeetleSales" xr:uid="{DEDCC6E1-CBD8-400C-960C-4D4324377A3B}"/>
    <hyperlink ref="E6789" r:id="rId20971" display="https://twitter.com/VWBeetleSales/status/724073529503670273" xr:uid="{B10284E9-37B7-44CC-8965-41F1F6A1AAA6}"/>
    <hyperlink ref="F6789" r:id="rId20972" xr:uid="{079E30D7-B1B8-4297-8645-286858E3046A}"/>
    <hyperlink ref="O6789" r:id="rId20973" display="https://pbs.twimg.com/profile_images/703294545195307008/qeCvrX86_normal.jpg" xr:uid="{51C8E237-8571-4797-B939-833FCBC63D30}"/>
    <hyperlink ref="B6790" r:id="rId20974" display="https://twitter.com/VolkswagenPost" xr:uid="{D85A5517-F5A0-4BBA-A43F-B7BDE36D4CB8}"/>
    <hyperlink ref="E6790" r:id="rId20975" display="https://twitter.com/VolkswagenPost/status/724075571546710016" xr:uid="{2CFC4653-5043-41CB-AC2D-4EA8C71C02B6}"/>
    <hyperlink ref="O6790" r:id="rId20976" display="https://pbs.twimg.com/profile_images/530071272881803264/a_jcCmPZ_normal.png" xr:uid="{5819E3A4-1C3D-4C3E-BA2F-E7C1BC992C63}"/>
    <hyperlink ref="B6791" r:id="rId20977" display="https://twitter.com/VolkswagenPost" xr:uid="{0707C132-C453-4B7C-B0E4-B5F568BA0AC6}"/>
    <hyperlink ref="E6791" r:id="rId20978" display="https://twitter.com/VolkswagenPost/status/724075572595314688" xr:uid="{B7625602-8594-4EDE-B76E-2F7FBD8D2F87}"/>
    <hyperlink ref="O6791" r:id="rId20979" display="https://pbs.twimg.com/profile_images/530071272881803264/a_jcCmPZ_normal.png" xr:uid="{55DCC3F5-BAC4-4B21-892B-AEF8380D7522}"/>
    <hyperlink ref="B6792" r:id="rId20980" display="https://twitter.com/takuya0358" xr:uid="{C0C599A8-09E3-44E6-AAF4-8BD1D47916F1}"/>
    <hyperlink ref="E6792" r:id="rId20981" display="https://twitter.com/takuya0358/status/724076487230386176" xr:uid="{043E060B-9CEE-4EAF-861B-F59D01FD69DB}"/>
    <hyperlink ref="O6792" r:id="rId20982" display="https://pbs.twimg.com/profile_images/719108127975559168/4cScEnwR_normal.jpg" xr:uid="{26C7B07C-DF2E-4C96-9537-D4DB2040B028}"/>
    <hyperlink ref="B6793" r:id="rId20983" display="https://twitter.com/oldcar_photo" xr:uid="{F5E32D71-223E-4E5F-A388-3BB312C12AEA}"/>
    <hyperlink ref="E6793" r:id="rId20984" display="https://twitter.com/oldcar_photo/status/724077611010408448" xr:uid="{29D996DD-B62E-415C-97FD-0EBA8927F216}"/>
    <hyperlink ref="O6793" r:id="rId20985" display="https://pbs.twimg.com/profile_images/615493650785660928/XHUh6HOk_normal.jpg" xr:uid="{C45ED524-EF10-4FBC-BB72-820C56592B46}"/>
    <hyperlink ref="B6794" r:id="rId20986" display="https://twitter.com/oldcar_photo" xr:uid="{0DA95507-386F-43F9-913D-793FC910595E}"/>
    <hyperlink ref="E6794" r:id="rId20987" display="https://twitter.com/oldcar_photo/status/724077622251126784" xr:uid="{0F7070DC-4365-457B-BBC0-876F80A86B11}"/>
    <hyperlink ref="O6794" r:id="rId20988" display="https://pbs.twimg.com/profile_images/615493650785660928/XHUh6HOk_normal.jpg" xr:uid="{1650F436-A614-4551-9E77-6ABD7BF21C22}"/>
    <hyperlink ref="B6795" r:id="rId20989" display="https://twitter.com/VeeDubMk1_" xr:uid="{2B594FE0-9FFB-4B6F-BB38-3E798634631A}"/>
    <hyperlink ref="E6795" r:id="rId20990" display="https://twitter.com/VeeDubMk1_/status/724077682330357760" xr:uid="{1F02AA9B-D73F-4D5E-9593-916689825652}"/>
    <hyperlink ref="O6795" r:id="rId20991" display="https://pbs.twimg.com/profile_images/672878354127839232/M7OYc-zx_normal.jpg" xr:uid="{664FF327-861E-4476-8EE4-7FB3946AA192}"/>
    <hyperlink ref="B6796" r:id="rId20992" display="https://twitter.com/MannyGhinga" xr:uid="{30504B54-86FD-4948-88F8-5912C8789CAD}"/>
    <hyperlink ref="E6796" r:id="rId20993" display="https://twitter.com/MannyGhinga/status/724077785136828416" xr:uid="{4B54BC9C-EEF1-4B08-8BB7-553325AC5A8F}"/>
    <hyperlink ref="O6796" r:id="rId20994" display="https://pbs.twimg.com/profile_images/724050446306832385/9TuOc48j_normal.jpg" xr:uid="{2AB0DF4F-7A1E-4F75-A371-F65E2D271A4F}"/>
    <hyperlink ref="B6797" r:id="rId20995" display="https://twitter.com/LybertusBarker" xr:uid="{A5563623-4E90-4A60-B194-BE7C72766607}"/>
    <hyperlink ref="E6797" r:id="rId20996" display="https://twitter.com/LybertusBarker/status/724080171502833664" xr:uid="{89217023-9AA8-4AF4-9FDE-D34C4465981D}"/>
    <hyperlink ref="O6797" r:id="rId20997" display="https://pbs.twimg.com/profile_images/569169141001498624/RzUbfsWR_normal.jpeg" xr:uid="{AEA7E62F-5E9B-493B-9CF9-1A3C433D6B8A}"/>
    <hyperlink ref="B6798" r:id="rId20998" display="https://twitter.com/FuscaWorld" xr:uid="{F2E2BDA4-04F7-4506-92FD-9D94211627CB}"/>
    <hyperlink ref="E6798" r:id="rId20999" display="https://twitter.com/FuscaWorld/status/724080353623810048" xr:uid="{BACCDFA9-3E02-421C-AAA5-021F704308D4}"/>
    <hyperlink ref="O6798" r:id="rId21000" display="https://pbs.twimg.com/profile_images/705780107844067328/e7O4UBNb_normal.jpg" xr:uid="{96EC5954-34CC-4AB0-ABE9-66E86B9B590D}"/>
    <hyperlink ref="B6799" r:id="rId21001" display="https://twitter.com/gustaricar2013" xr:uid="{FDA0BCD3-7A7B-4571-8353-5CA908ED2EB1}"/>
    <hyperlink ref="E6799" r:id="rId21002" display="https://twitter.com/gustaricar2013/status/724080552995885057" xr:uid="{95B7E817-E0E5-4AE6-86C7-102B015AAA9C}"/>
    <hyperlink ref="O6799" r:id="rId21003" display="https://pbs.twimg.com/profile_images/711890317448904704/wabvMcxR_normal.jpg" xr:uid="{0B564806-6DF3-493D-BA9C-2CAAD1FAB076}"/>
    <hyperlink ref="B6800" r:id="rId21004" display="https://twitter.com/LybertusBarker" xr:uid="{48CC1C38-26B9-4BFC-A69F-930E0F2A62D0}"/>
    <hyperlink ref="E6800" r:id="rId21005" display="https://twitter.com/LybertusBarker/status/724080753550594048" xr:uid="{8394EE0C-4B30-423C-9040-D30FFA9B561B}"/>
    <hyperlink ref="O6800" r:id="rId21006" display="https://pbs.twimg.com/profile_images/569169141001498624/RzUbfsWR_normal.jpeg" xr:uid="{19269C96-DDF7-4BBF-AF24-498CC5C61091}"/>
    <hyperlink ref="B6801" r:id="rId21007" display="https://twitter.com/LybertusBarker" xr:uid="{F33983BE-C561-4019-9391-E75606EFC1B0}"/>
    <hyperlink ref="E6801" r:id="rId21008" display="https://twitter.com/LybertusBarker/status/724081011085058049" xr:uid="{B10A50B4-BFC1-4B51-8E4F-C3873C73A7EA}"/>
    <hyperlink ref="O6801" r:id="rId21009" display="https://pbs.twimg.com/profile_images/569169141001498624/RzUbfsWR_normal.jpeg" xr:uid="{08C5D3B0-406A-4C81-9846-F270D1B59EAA}"/>
    <hyperlink ref="B6802" r:id="rId21010" display="https://twitter.com/matiasnfrutos" xr:uid="{14A45F96-C304-4F3F-83A1-979D56D27E46}"/>
    <hyperlink ref="E6802" r:id="rId21011" display="https://twitter.com/matiasnfrutos/status/724081094149177344" xr:uid="{52347D48-086E-4251-BDEE-3B8265819FBE}"/>
    <hyperlink ref="O6802" r:id="rId21012" display="https://pbs.twimg.com/profile_images/724000830257545216/yXcEDJ4J_normal.jpg" xr:uid="{613336D6-B940-4AB4-A062-02F4D07FF125}"/>
    <hyperlink ref="B6803" r:id="rId21013" display="https://twitter.com/SuranClub" xr:uid="{156BCF34-FC7F-48ED-98D4-A4A18C94D22D}"/>
    <hyperlink ref="E6803" r:id="rId21014" display="https://twitter.com/SuranClub/status/724081285329760256" xr:uid="{7137D541-2F28-49E1-8CE6-B04FFC2E31E8}"/>
    <hyperlink ref="O6803" r:id="rId21015" display="https://pbs.twimg.com/profile_images/634021831364747264/5vPrL2JH_normal.jpg" xr:uid="{3ADA4018-BAB7-48A5-AFFC-C4DBF5F4389A}"/>
    <hyperlink ref="B6804" r:id="rId21016" display="https://twitter.com/SuranClub" xr:uid="{3B02118D-D892-4BB1-AAB0-094BAF34DA1A}"/>
    <hyperlink ref="E6804" r:id="rId21017" display="https://twitter.com/SuranClub/status/724081302836797440" xr:uid="{9DF293BC-D697-405A-9BFE-25566DBADA4B}"/>
    <hyperlink ref="O6804" r:id="rId21018" display="https://pbs.twimg.com/profile_images/634021831364747264/5vPrL2JH_normal.jpg" xr:uid="{854AA336-29A3-46B8-9F48-01A1B73A9DD9}"/>
    <hyperlink ref="B6805" r:id="rId21019" display="https://twitter.com/SuranClub" xr:uid="{954665E2-8DE8-45E9-A962-6FECDBC69FA3}"/>
    <hyperlink ref="E6805" r:id="rId21020" display="https://twitter.com/SuranClub/status/724081874834980865" xr:uid="{055AC76B-36D4-439D-8ACA-80A4E9A8119D}"/>
    <hyperlink ref="O6805" r:id="rId21021" display="https://pbs.twimg.com/profile_images/634021831364747264/5vPrL2JH_normal.jpg" xr:uid="{FCAA9CDB-CDAE-45F5-9CE0-CCB02D8B71B0}"/>
    <hyperlink ref="B6806" r:id="rId21022" display="https://twitter.com/SuranClub" xr:uid="{D588481E-0A65-4B23-91EA-0C871FFD352C}"/>
    <hyperlink ref="E6806" r:id="rId21023" display="https://twitter.com/SuranClub/status/724081900667715584" xr:uid="{2755D9C7-F2CF-43D2-9F4C-EC4D35600BEC}"/>
    <hyperlink ref="O6806" r:id="rId21024" display="https://pbs.twimg.com/profile_images/634021831364747264/5vPrL2JH_normal.jpg" xr:uid="{7CA77A07-C9B9-4E18-8B7E-70665072F6B8}"/>
    <hyperlink ref="B6807" r:id="rId21025" display="https://twitter.com/SuranClub" xr:uid="{8871CD16-A375-43E8-A0E9-1F0F525436E1}"/>
    <hyperlink ref="E6807" r:id="rId21026" display="https://twitter.com/SuranClub/status/724082192427692032" xr:uid="{8FF71FA5-1B93-4A02-93CC-F3D6F199B6D5}"/>
    <hyperlink ref="O6807" r:id="rId21027" display="https://pbs.twimg.com/profile_images/634021831364747264/5vPrL2JH_normal.jpg" xr:uid="{6922FACA-DA71-444C-8439-94759529EDDB}"/>
    <hyperlink ref="B6808" r:id="rId21028" display="https://twitter.com/Matiasparra97" xr:uid="{D2B3FBE2-0E2B-4F02-960D-211CBCDFB972}"/>
    <hyperlink ref="E6808" r:id="rId21029" display="https://twitter.com/Matiasparra97/status/724083310117433344" xr:uid="{DFE4490F-5435-4D8F-8A12-8E7A778BA3FE}"/>
    <hyperlink ref="O6808" r:id="rId21030" display="https://pbs.twimg.com/profile_images/709199302057435136/vi-tZfhL_normal.jpg" xr:uid="{B082583D-75F2-41AA-B067-CD4B2C4B30B4}"/>
    <hyperlink ref="B6809" r:id="rId21031" display="https://twitter.com/BSeanie" xr:uid="{94BF1FC6-784C-4315-95F0-1AA8938F4B97}"/>
    <hyperlink ref="E6809" r:id="rId21032" display="https://twitter.com/BSeanie/status/724084488666419201" xr:uid="{985AF90E-2C3F-42BB-AEB8-7573F5AA22B5}"/>
    <hyperlink ref="O6809" r:id="rId21033" display="https://pbs.twimg.com/profile_images/685717935915188224/YoEIodZl_normal.jpg" xr:uid="{3A360753-07DB-48E9-B926-FC6DCBA43E22}"/>
    <hyperlink ref="B6810" r:id="rId21034" display="https://twitter.com/beetlebug1938" xr:uid="{5C04457E-E7DD-4B1B-8F76-FD2DE75AC582}"/>
    <hyperlink ref="E6810" r:id="rId21035" display="https://twitter.com/beetlebug1938/status/724087718192529408" xr:uid="{58F076FE-2ABA-4E38-A9C6-0A136588BF5E}"/>
    <hyperlink ref="O6810" r:id="rId21036" display="https://pbs.twimg.com/profile_images/718820712757215233/LXXndPTS_normal.jpg" xr:uid="{3BF8EBA7-FD1A-4550-A870-86DD99357FD5}"/>
    <hyperlink ref="B6811" r:id="rId21037" display="https://twitter.com/beetlebug1938" xr:uid="{FA5E9737-A941-447A-9BDD-1CDF9B6A4E9F}"/>
    <hyperlink ref="E6811" r:id="rId21038" display="https://twitter.com/beetlebug1938/status/724087725276729345" xr:uid="{BB9EBF04-33BB-48F1-87DB-14238FC799FF}"/>
    <hyperlink ref="O6811" r:id="rId21039" display="https://pbs.twimg.com/profile_images/718820712757215233/LXXndPTS_normal.jpg" xr:uid="{258CF408-B5EE-4AEC-86BB-E921BAFFA710}"/>
    <hyperlink ref="B6812" r:id="rId21040" display="https://twitter.com/beetlebug1938" xr:uid="{1B5C1C83-7427-4261-99F9-20544F6150FA}"/>
    <hyperlink ref="E6812" r:id="rId21041" display="https://twitter.com/beetlebug1938/status/724087729953361920" xr:uid="{CE833CEF-04B4-4727-B709-558EE8024379}"/>
    <hyperlink ref="O6812" r:id="rId21042" display="https://pbs.twimg.com/profile_images/718820712757215233/LXXndPTS_normal.jpg" xr:uid="{17474F8C-C68E-43A0-A474-B1334AAF5C2B}"/>
    <hyperlink ref="B6813" r:id="rId21043" display="https://twitter.com/beetlebug1938" xr:uid="{04F92384-0921-46EF-A59F-8023D3CFC2AE}"/>
    <hyperlink ref="E6813" r:id="rId21044" display="https://twitter.com/beetlebug1938/status/724087740283887616" xr:uid="{457139A0-0A59-4D09-A0EA-9361D8F13826}"/>
    <hyperlink ref="O6813" r:id="rId21045" display="https://pbs.twimg.com/profile_images/718820712757215233/LXXndPTS_normal.jpg" xr:uid="{252469AC-C337-4CC1-953F-7489970480EC}"/>
    <hyperlink ref="B6814" r:id="rId21046" display="https://twitter.com/dubbusses" xr:uid="{50351FA2-372B-4F86-9F33-68B5DA14D888}"/>
    <hyperlink ref="E6814" r:id="rId21047" display="https://twitter.com/dubbusses/status/724088275204452352" xr:uid="{148F9BC8-DE30-443F-BC3A-33D0E7AB4209}"/>
    <hyperlink ref="O6814" r:id="rId21048" display="https://pbs.twimg.com/profile_images/718835727027580928/1ssyQ67y_normal.jpg" xr:uid="{2D081A54-F839-45DB-8AE8-1B39486A9E79}"/>
    <hyperlink ref="B6815" r:id="rId21049" display="https://twitter.com/FuscaWorld" xr:uid="{45465A55-3DDB-48FA-872C-D2CAE9752BEF}"/>
    <hyperlink ref="E6815" r:id="rId21050" display="https://twitter.com/FuscaWorld/status/724088532957011968" xr:uid="{E27D4D7E-E050-4006-9DB1-83F5DAC59C44}"/>
    <hyperlink ref="O6815" r:id="rId21051" display="https://pbs.twimg.com/profile_images/705780107844067328/e7O4UBNb_normal.jpg" xr:uid="{DB342C71-70B4-4D4D-BC7F-B910B4FF7E89}"/>
    <hyperlink ref="B6816" r:id="rId21052" display="https://twitter.com/KritsadakornKa2" xr:uid="{BD465C1A-5C18-4446-9AC9-F46B5F691D4B}"/>
    <hyperlink ref="E6816" r:id="rId21053" display="https://twitter.com/KritsadakornKa2/status/724089442672214016" xr:uid="{B34F2C7D-1DA6-4530-8BEE-45E8B3402D91}"/>
    <hyperlink ref="O6816" r:id="rId21054" display="https://pbs.twimg.com/profile_images/683510819431288832/maAlyyTK_normal.jpg" xr:uid="{27DF90AE-995A-4912-B7F5-A785A1C3E708}"/>
    <hyperlink ref="B6817" r:id="rId21055" display="https://twitter.com/iglesiafede1" xr:uid="{627DFB87-56D1-41DD-9E68-5FA6216729A8}"/>
    <hyperlink ref="E6817" r:id="rId21056" display="https://twitter.com/iglesiafede1/status/724089463798898688" xr:uid="{73380A73-4CB0-4482-BCFD-6D21B9EF96D7}"/>
    <hyperlink ref="O6817" r:id="rId21057" display="https://pbs.twimg.com/profile_images/716621162718044160/kJvjZ5Km_normal.jpg" xr:uid="{B47C0FAD-A868-4E2D-B56E-5F56A7FE4319}"/>
    <hyperlink ref="B6818" r:id="rId21058" display="https://twitter.com/KritsadakornKa2" xr:uid="{D2BF41FB-6D5B-4EE0-A154-410D6AEBD145}"/>
    <hyperlink ref="E6818" r:id="rId21059" display="https://twitter.com/KritsadakornKa2/status/724089564445466624" xr:uid="{8FE59D41-8B7B-4360-A288-95A9E9EAAAB7}"/>
    <hyperlink ref="O6818" r:id="rId21060" display="https://pbs.twimg.com/profile_images/683510819431288832/maAlyyTK_normal.jpg" xr:uid="{FF06A045-98A6-47E4-8570-0C83F4B0CA34}"/>
    <hyperlink ref="B6819" r:id="rId21061" display="https://twitter.com/EVWestDotCom" xr:uid="{2EF9D40A-1833-42C3-B225-39B246C1A269}"/>
    <hyperlink ref="E6819" r:id="rId21062" display="https://twitter.com/EVWestDotCom/status/724090715534450688" xr:uid="{2A9A277C-51A0-463D-B758-F8B77CB8E738}"/>
    <hyperlink ref="O6819" r:id="rId21063" display="https://pbs.twimg.com/profile_images/1584405366/EVW_shield_75x65_normal.png" xr:uid="{460BD36E-1B54-4E80-8E6C-AE328C264E8A}"/>
    <hyperlink ref="B6820" r:id="rId21064" display="https://twitter.com/VolkswagenPost" xr:uid="{CF273AA1-5813-4D0F-A3B0-DB579751A4C5}"/>
    <hyperlink ref="E6820" r:id="rId21065" display="https://twitter.com/VolkswagenPost/status/724091896147009537" xr:uid="{695399BC-188E-4BF0-83E4-59AD5BF2369A}"/>
    <hyperlink ref="O6820" r:id="rId21066" display="https://pbs.twimg.com/profile_images/530071272881803264/a_jcCmPZ_normal.png" xr:uid="{88AB077F-AF0D-4FB0-9FD7-DD9D0C119923}"/>
    <hyperlink ref="B6821" r:id="rId21067" display="https://twitter.com/thecoffeebus" xr:uid="{6BFF46B1-D3A5-4DB1-AF62-458BC8636E91}"/>
    <hyperlink ref="E6821" r:id="rId21068" display="https://twitter.com/thecoffeebus/status/724092149227118592" xr:uid="{001A2819-7F12-4416-83D4-F051561A9637}"/>
    <hyperlink ref="O6821" r:id="rId21069" display="https://pbs.twimg.com/profile_images/561027762144542720/QH4eCkSR_normal.jpeg" xr:uid="{AE1754B8-22BC-46B0-870A-AA5181B49068}"/>
    <hyperlink ref="B6822" r:id="rId21070" display="https://twitter.com/Scirocco_Tuning" xr:uid="{A5E769B7-5E2F-4C9B-B670-04707068083D}"/>
    <hyperlink ref="E6822" r:id="rId21071" display="https://twitter.com/Scirocco_Tuning/status/724092955313713152" xr:uid="{C3A6D714-ECC6-42D4-9B84-FB865C4A027C}"/>
    <hyperlink ref="O6822" r:id="rId21072" display="https://pbs.twimg.com/profile_images/1610421423/Image2_normal.jpg" xr:uid="{D43890D3-CE62-4717-9CCA-7DBA72F8F889}"/>
    <hyperlink ref="B6823" r:id="rId21073" display="https://twitter.com/breedveldusa" xr:uid="{0643F5E0-D4B9-425A-BBFA-BB4C38E99CC1}"/>
    <hyperlink ref="E6823" r:id="rId21074" display="https://twitter.com/breedveldusa/status/724093011504828416" xr:uid="{CEDAC568-3BE4-4EF3-896B-25563B6ABB8D}"/>
    <hyperlink ref="O6823" r:id="rId21075" display="https://pbs.twimg.com/profile_images/674866085213130752/qAlZEGhV_normal.jpg" xr:uid="{2CEC140B-07BF-4E69-ADFA-F0547AFC1814}"/>
    <hyperlink ref="B6824" r:id="rId21076" display="https://twitter.com/Braulio_Urresti" xr:uid="{0493CC78-1EE7-4B87-B5B5-5E0A46397B31}"/>
    <hyperlink ref="E6824" r:id="rId21077" display="https://twitter.com/Braulio_Urresti/status/724094397739065348" xr:uid="{5A5BF0D4-BE87-4033-9ED6-4C6F3E794441}"/>
    <hyperlink ref="O6824" r:id="rId21078" display="https://abs.twimg.com/sticky/default_profile_images/default_profile_5_normal.png" xr:uid="{5AD07E28-29CF-4C7A-9392-841715E271D9}"/>
    <hyperlink ref="B6825" r:id="rId21079" display="https://twitter.com/VolkswagenPost" xr:uid="{2D86B937-E7E2-43E3-B864-3137B23D7A3D}"/>
    <hyperlink ref="E6825" r:id="rId21080" display="https://twitter.com/VolkswagenPost/status/724095071306584065" xr:uid="{708FB288-9897-480D-A848-C1015198ECFA}"/>
    <hyperlink ref="O6825" r:id="rId21081" display="https://pbs.twimg.com/profile_images/530071272881803264/a_jcCmPZ_normal.png" xr:uid="{E482460A-4BE8-4A9F-869F-4F1BB6CA3D00}"/>
    <hyperlink ref="B6826" r:id="rId21082" display="https://twitter.com/VWBeetleSales" xr:uid="{7AC88788-A97F-40F1-8D29-752BE4003408}"/>
    <hyperlink ref="E6826" r:id="rId21083" display="https://twitter.com/VWBeetleSales/status/724096521369587712" xr:uid="{3193D0F8-8F01-4E6B-948B-BF3FCA4182C2}"/>
    <hyperlink ref="F6826" r:id="rId21084" xr:uid="{77F6D5E0-1D59-4AFF-9AC9-55DCCC2C4887}"/>
    <hyperlink ref="O6826" r:id="rId21085" display="https://pbs.twimg.com/profile_images/703294545195307008/qeCvrX86_normal.jpg" xr:uid="{3BA3C1FB-AF44-474A-9F33-9D155184E246}"/>
    <hyperlink ref="B6827" r:id="rId21086" display="https://twitter.com/Volkswagen4ever" xr:uid="{71B67870-E1D7-4B52-B6BA-16B5DFE76294}"/>
    <hyperlink ref="E6827" r:id="rId21087" display="https://twitter.com/Volkswagen4ever/status/724097018281484288" xr:uid="{1BF0FB86-9692-4A94-ADB8-0479CAF61B90}"/>
    <hyperlink ref="O6827" r:id="rId21088" display="https://pbs.twimg.com/profile_images/470244235397312512/IoywoSWd_normal.jpeg" xr:uid="{672046A7-A3DC-4DAE-99A3-0CE454D63832}"/>
    <hyperlink ref="B6828" r:id="rId21089" display="https://twitter.com/DubLuvTuning" xr:uid="{FD0B2B08-1157-48FA-9402-9B293E957AF7}"/>
    <hyperlink ref="E6828" r:id="rId21090" display="https://twitter.com/DubLuvTuning/status/724097718491205634" xr:uid="{51ED37E8-1E35-497C-9529-7313F2127058}"/>
    <hyperlink ref="O6828" r:id="rId21091" display="https://pbs.twimg.com/profile_images/378800000572104796/1de43e1cf23efb3f4101c02afad0d3b6_normal.png" xr:uid="{82B3259A-FFAF-4479-B3CE-4A85C1674F34}"/>
    <hyperlink ref="B6829" r:id="rId21092" display="https://twitter.com/DubLuvTuning" xr:uid="{40434506-BA22-416D-9048-6B408BF0DDE9}"/>
    <hyperlink ref="E6829" r:id="rId21093" display="https://twitter.com/DubLuvTuning/status/724097719283884032" xr:uid="{B5CB20AF-391E-40E6-9D20-9E07F7829B95}"/>
    <hyperlink ref="O6829" r:id="rId21094" display="https://pbs.twimg.com/profile_images/378800000572104796/1de43e1cf23efb3f4101c02afad0d3b6_normal.png" xr:uid="{7D9729C4-CC93-4C7F-9619-6504D5AAC56F}"/>
    <hyperlink ref="B6830" r:id="rId21095" display="https://twitter.com/capipaula182" xr:uid="{2EAC88F3-2CC3-47B6-B007-746535988D2D}"/>
    <hyperlink ref="E6830" r:id="rId21096" display="https://twitter.com/capipaula182/status/724097856416657408" xr:uid="{0E75B36B-6D91-495B-B326-0B21012508ED}"/>
    <hyperlink ref="O6830" r:id="rId21097" display="https://pbs.twimg.com/profile_images/645241660574695424/KLJds9rL_normal.jpg" xr:uid="{15D0BB53-729F-459D-8B33-7547746472B9}"/>
    <hyperlink ref="B6831" r:id="rId21098" display="https://twitter.com/Joakyla4" xr:uid="{A33D782C-CF64-4FE6-AFD8-AF2CBDCDBABF}"/>
    <hyperlink ref="E6831" r:id="rId21099" display="https://twitter.com/Joakyla4/status/724098230150111236" xr:uid="{8C719B22-F7D7-4383-B9CC-E623928806D0}"/>
    <hyperlink ref="O6831" r:id="rId21100" display="https://pbs.twimg.com/profile_images/688149856313933824/GRZ7k9BQ_normal.jpg" xr:uid="{8F61B4BE-CDD2-4DD2-8CA6-104CFC2E1C41}"/>
    <hyperlink ref="B6832" r:id="rId21101" display="https://twitter.com/andresito24301" xr:uid="{6D0E5C20-1484-4AB8-9050-BB7F89A35CEA}"/>
    <hyperlink ref="E6832" r:id="rId21102" display="https://twitter.com/andresito24301/status/724101971213463552" xr:uid="{77F917FF-E0CF-40A5-8D08-5F656D9A60B5}"/>
    <hyperlink ref="O6832" r:id="rId21103" display="https://pbs.twimg.com/profile_images/707306482639966208/fV1YNOO0_normal.jpg" xr:uid="{96D31D37-E79F-4534-B74C-B633E0A9B209}"/>
    <hyperlink ref="B6833" r:id="rId21104" display="https://twitter.com/beetlebug1938" xr:uid="{A6DA504D-E5EE-4097-9EC2-74894CBCE426}"/>
    <hyperlink ref="E6833" r:id="rId21105" display="https://twitter.com/beetlebug1938/status/724102990899077120" xr:uid="{8577BE76-63A7-47FC-BF95-C58C33E8BE97}"/>
    <hyperlink ref="O6833" r:id="rId21106" display="https://pbs.twimg.com/profile_images/718820712757215233/LXXndPTS_normal.jpg" xr:uid="{6B2B734D-9D3E-4020-98C7-703E9276BA06}"/>
    <hyperlink ref="B6834" r:id="rId21107" display="https://twitter.com/beetlebug1938" xr:uid="{2D4CC037-6678-4280-A206-601F8BC771DF}"/>
    <hyperlink ref="E6834" r:id="rId21108" display="https://twitter.com/beetlebug1938/status/724103002311798784" xr:uid="{DCEE4A7E-2BE1-420C-B21F-F7E081A2580C}"/>
    <hyperlink ref="O6834" r:id="rId21109" display="https://pbs.twimg.com/profile_images/718820712757215233/LXXndPTS_normal.jpg" xr:uid="{8899B18B-3D1D-42A4-A5E7-C6DAC3569308}"/>
    <hyperlink ref="B6835" r:id="rId21110" display="https://twitter.com/beetlebug1938" xr:uid="{1894EFF7-EE4B-4FF3-AD89-3364A8D7E6F3}"/>
    <hyperlink ref="E6835" r:id="rId21111" display="https://twitter.com/beetlebug1938/status/724103029910282241" xr:uid="{3D141B46-F574-4114-9F0C-B83E62D7043E}"/>
    <hyperlink ref="O6835" r:id="rId21112" display="https://pbs.twimg.com/profile_images/718820712757215233/LXXndPTS_normal.jpg" xr:uid="{9BC3A5ED-86C8-4081-93E3-7E655A1A9ACA}"/>
    <hyperlink ref="B6836" r:id="rId21113" display="https://twitter.com/TetsuoHojo" xr:uid="{3DB0476E-AC04-42BB-B935-A8DA01426E42}"/>
    <hyperlink ref="E6836" r:id="rId21114" display="https://twitter.com/TetsuoHojo/status/724104255502573568" xr:uid="{68BE3AF8-768F-4DA7-89D2-389957C00AD0}"/>
    <hyperlink ref="O6836" r:id="rId21115" display="https://pbs.twimg.com/profile_images/2646835465/aa5823578b01b04b7e91d58e8ca88691_normal.jpeg" xr:uid="{61CB1E01-25AB-4163-AC49-3B240D62CC6B}"/>
    <hyperlink ref="B6837" r:id="rId21116" display="https://twitter.com/TetsuoHojo" xr:uid="{0F3AC487-2A30-40D3-834F-4B295992998E}"/>
    <hyperlink ref="E6837" r:id="rId21117" display="https://twitter.com/TetsuoHojo/status/724104284766236674" xr:uid="{873253CA-91C9-4A6F-A162-4F015EC272D9}"/>
    <hyperlink ref="O6837" r:id="rId21118" display="https://pbs.twimg.com/profile_images/2646835465/aa5823578b01b04b7e91d58e8ca88691_normal.jpeg" xr:uid="{A59088E8-9BC6-464C-A6AC-2744B08CDEFF}"/>
    <hyperlink ref="B6838" r:id="rId21119" display="https://twitter.com/TetsuoHojo" xr:uid="{564584B2-B4F0-4198-A63E-4BA3351C01C4}"/>
    <hyperlink ref="E6838" r:id="rId21120" display="https://twitter.com/TetsuoHojo/status/724104312914202625" xr:uid="{499C7321-B19F-4F75-817C-8B014E6526C4}"/>
    <hyperlink ref="O6838" r:id="rId21121" display="https://pbs.twimg.com/profile_images/2646835465/aa5823578b01b04b7e91d58e8ca88691_normal.jpeg" xr:uid="{2F471811-470A-41D8-A0CF-3B41E0D663DB}"/>
    <hyperlink ref="B6839" r:id="rId21122" display="https://twitter.com/OnlineCarReview" xr:uid="{0C2EA4D9-0A66-4490-BEB5-A98AA8AF7178}"/>
    <hyperlink ref="E6839" r:id="rId21123" display="https://twitter.com/OnlineCarReview/status/724104692658139136" xr:uid="{3FF246F5-D474-4D30-8270-8B5A9D9B2546}"/>
    <hyperlink ref="O6839" r:id="rId21124" display="https://pbs.twimg.com/profile_images/652871584131092480/QA_B6SBO_normal.jpg" xr:uid="{5A7A5391-7660-4A0C-96E3-6B3D54930381}"/>
    <hyperlink ref="B6840" r:id="rId21125" display="https://twitter.com/OnlineCarReview" xr:uid="{DBD22153-2ED6-422D-9C07-3511063F3972}"/>
    <hyperlink ref="E6840" r:id="rId21126" display="https://twitter.com/OnlineCarReview/status/724104693610213376" xr:uid="{EC0413CF-F3AE-4BFC-BD65-AF698379A396}"/>
    <hyperlink ref="O6840" r:id="rId21127" display="https://pbs.twimg.com/profile_images/652871584131092480/QA_B6SBO_normal.jpg" xr:uid="{514B6130-FD95-4F85-825F-62177B620362}"/>
    <hyperlink ref="B6841" r:id="rId21128" display="https://twitter.com/pinoywilson" xr:uid="{BAA80744-1400-442C-A650-355905A7C8C1}"/>
    <hyperlink ref="E6841" r:id="rId21129" display="https://twitter.com/pinoywilson/status/724105045428543488" xr:uid="{83A6C66F-F5E0-4C10-A49B-5D3422B6BDD8}"/>
    <hyperlink ref="O6841" r:id="rId21130" display="https://pbs.twimg.com/profile_images/661520508022861824/10UCrn55_normal.jpg" xr:uid="{C0F5ACD1-875D-4346-ACBB-B3ECE95EB007}"/>
    <hyperlink ref="B6842" r:id="rId21131" display="https://twitter.com/FacuRusso46vr" xr:uid="{3A28122F-B86F-4625-84E4-48816F295FB3}"/>
    <hyperlink ref="E6842" r:id="rId21132" display="https://twitter.com/FacuRusso46vr/status/724106770994614272" xr:uid="{ECA02D9A-9484-4A11-A0B9-BC7FB907AF25}"/>
    <hyperlink ref="O6842" r:id="rId21133" display="https://pbs.twimg.com/profile_images/712783822279032832/E8Ejivyg_normal.jpg" xr:uid="{8DC119FF-A864-4AA7-BECA-8ECA1E51D9EB}"/>
    <hyperlink ref="B6843" r:id="rId21134" display="https://twitter.com/abd_haas" xr:uid="{80FA9C78-BA4D-4A3D-8842-91399D40B2A7}"/>
    <hyperlink ref="E6843" r:id="rId21135" display="https://twitter.com/abd_haas/status/724107835274092544" xr:uid="{1FC54DF0-0DC4-43D1-9653-3C90F92D2D3C}"/>
    <hyperlink ref="O6843" r:id="rId21136" display="https://pbs.twimg.com/profile_images/638451782239264768/dKSDM3sD_normal.jpg" xr:uid="{A0C73EAD-92AC-4280-A364-7A5CD2B6695E}"/>
    <hyperlink ref="B6844" r:id="rId21137" display="https://twitter.com/paintdodgers" xr:uid="{C42AFDD2-A047-4E68-8DF6-8EA6118EB566}"/>
    <hyperlink ref="E6844" r:id="rId21138" display="https://twitter.com/paintdodgers/status/724108384052609025" xr:uid="{AAFDD5C2-8CA3-40B2-B866-AF21A8A9A6E8}"/>
    <hyperlink ref="O6844" r:id="rId21139" display="https://pbs.twimg.com/profile_images/724004022915633152/uwKdEOBn_normal.jpg" xr:uid="{E26FE4E0-F488-429B-9FDE-9616B33DF2CF}"/>
    <hyperlink ref="B6845" r:id="rId21140" display="https://twitter.com/paintdodgers" xr:uid="{2D34E28B-93C7-4DDE-9408-8AB6AB493176}"/>
    <hyperlink ref="E6845" r:id="rId21141" display="https://twitter.com/paintdodgers/status/724109449888149504" xr:uid="{AFD9F6E9-2FB5-4EB2-9AA5-F9AEC0BA5CC5}"/>
    <hyperlink ref="O6845" r:id="rId21142" display="https://pbs.twimg.com/profile_images/724004022915633152/uwKdEOBn_normal.jpg" xr:uid="{51BDDBA2-B037-4E81-9FC6-51398F1906BB}"/>
    <hyperlink ref="B6846" r:id="rId21143" display="https://twitter.com/Scirocco_Tuning" xr:uid="{BFF69BEB-B15D-448A-9CB8-FD463F6C6907}"/>
    <hyperlink ref="E6846" r:id="rId21144" display="https://twitter.com/Scirocco_Tuning/status/724109463796518912" xr:uid="{961CF4E7-8FE6-460D-9ACD-75B069E56A5C}"/>
    <hyperlink ref="O6846" r:id="rId21145" display="https://pbs.twimg.com/profile_images/1610421423/Image2_normal.jpg" xr:uid="{EFE0D2B4-06DB-44E1-9C53-1A2F6636EA4A}"/>
    <hyperlink ref="B6847" r:id="rId21146" display="https://twitter.com/Kielia88" xr:uid="{6B92CA73-DAFA-4E3F-8E7E-D4F676F24B16}"/>
    <hyperlink ref="E6847" r:id="rId21147" display="https://twitter.com/Kielia88/status/724112363834712064" xr:uid="{BBF59BA5-C41D-443C-8ED4-F14D980AFFBD}"/>
    <hyperlink ref="O6847" r:id="rId21148" display="https://pbs.twimg.com/profile_images/604605659410235392/k92X94I5_normal.jpg" xr:uid="{782E077A-BE05-444F-A278-41706AB28989}"/>
    <hyperlink ref="B6848" r:id="rId21149" display="https://twitter.com/DPocock1969" xr:uid="{787B9FDF-BF9E-4EB5-8A36-9F4490372B28}"/>
    <hyperlink ref="E6848" r:id="rId21150" display="https://twitter.com/DPocock1969/status/724113989337264128" xr:uid="{9034D970-5C73-4658-9E9E-B9871CB9E2CC}"/>
    <hyperlink ref="O6848" r:id="rId21151" display="https://pbs.twimg.com/profile_images/722414837112926208/qDYpjKZY_normal.jpg" xr:uid="{2F98D3E0-4460-4E34-8CE0-000E248B0FC5}"/>
    <hyperlink ref="B6849" r:id="rId21152" display="https://twitter.com/weare_van" xr:uid="{CF41E61B-2AFE-4F1F-B491-B8E1A82D44EC}"/>
    <hyperlink ref="E6849" r:id="rId21153" display="https://twitter.com/weare_van/status/724114873622401024" xr:uid="{D791A89A-2758-425E-A405-2A08B755B292}"/>
    <hyperlink ref="O6849" r:id="rId21154" display="https://pbs.twimg.com/profile_images/707176643509538817/-s_VKgK4_normal.jpg" xr:uid="{9A23C3BA-E1FA-456C-B887-A35644403B33}"/>
    <hyperlink ref="B6850" r:id="rId21155" display="https://twitter.com/TetsuoHojo" xr:uid="{B87A6154-D020-4D7D-9675-C7580166A40A}"/>
    <hyperlink ref="E6850" r:id="rId21156" display="https://twitter.com/TetsuoHojo/status/724116922078371841" xr:uid="{944F48FF-B882-486C-982B-2D90946FCBBD}"/>
    <hyperlink ref="O6850" r:id="rId21157" display="https://pbs.twimg.com/profile_images/2646835465/aa5823578b01b04b7e91d58e8ca88691_normal.jpeg" xr:uid="{7ABAC109-EF63-4CA9-A707-F2C81B71C18D}"/>
    <hyperlink ref="B6851" r:id="rId21158" display="https://twitter.com/FacuRusso46vr" xr:uid="{6B1CD700-3252-46E9-9FAE-9D6DE5107264}"/>
    <hyperlink ref="E6851" r:id="rId21159" display="https://twitter.com/FacuRusso46vr/status/724117186139283456" xr:uid="{5722CDD6-B389-448F-BFF0-A578505164C9}"/>
    <hyperlink ref="O6851" r:id="rId21160" display="https://pbs.twimg.com/profile_images/712783822279032832/E8Ejivyg_normal.jpg" xr:uid="{6307EC67-566C-4992-8DEF-41056E54D480}"/>
    <hyperlink ref="B6852" r:id="rId21161" display="https://twitter.com/FacuRusso46vr" xr:uid="{9DFE4EE5-DA21-4B27-94C8-BC1B2C1F155E}"/>
    <hyperlink ref="E6852" r:id="rId21162" display="https://twitter.com/FacuRusso46vr/status/724117407187476480" xr:uid="{743AFB14-C3D8-4D25-B92A-7F3EA8C8FD44}"/>
    <hyperlink ref="O6852" r:id="rId21163" display="https://pbs.twimg.com/profile_images/712783822279032832/E8Ejivyg_normal.jpg" xr:uid="{845905D7-6CFC-484D-8344-3EF04CDCE092}"/>
    <hyperlink ref="B6853" r:id="rId21164" display="https://twitter.com/micabesita" xr:uid="{2C1A98DC-6718-4843-9B1C-F26235881813}"/>
    <hyperlink ref="E6853" r:id="rId21165" display="https://twitter.com/micabesita/status/724117560074096642" xr:uid="{93BC0410-59E3-4432-A281-B46D969910B2}"/>
    <hyperlink ref="O6853" r:id="rId21166" display="https://pbs.twimg.com/profile_images/721557347945066496/35TI-Y5q_normal.jpg" xr:uid="{0EF80BBC-7F40-4890-878F-E01EB82B2680}"/>
    <hyperlink ref="B6854" r:id="rId21167" display="https://twitter.com/VWBeetleSales" xr:uid="{14A6D017-8DE0-4FEC-8D05-E51A7D9A7CAD}"/>
    <hyperlink ref="E6854" r:id="rId21168" display="https://twitter.com/VWBeetleSales/status/724117577455169538" xr:uid="{697FA4D6-285C-4BE8-992D-8C12DAC5AC69}"/>
    <hyperlink ref="F6854" r:id="rId21169" xr:uid="{EDA74CF6-2686-4110-B7B7-CB39032AD98D}"/>
    <hyperlink ref="O6854" r:id="rId21170" display="https://pbs.twimg.com/profile_images/703294545195307008/qeCvrX86_normal.jpg" xr:uid="{739C89A7-FF52-4508-B856-1907102A4972}"/>
    <hyperlink ref="B6855" r:id="rId21171" display="https://twitter.com/beetlebug1938" xr:uid="{419A8EDA-3C46-4DB5-8C2E-C2AC266A717A}"/>
    <hyperlink ref="E6855" r:id="rId21172" display="https://twitter.com/beetlebug1938/status/724118021200076800" xr:uid="{A2A9BF99-1B19-46BC-BCC9-8A037F127E9E}"/>
    <hyperlink ref="O6855" r:id="rId21173" display="https://pbs.twimg.com/profile_images/718820712757215233/LXXndPTS_normal.jpg" xr:uid="{EC49D89B-EDAC-4FA8-8563-4BD20F5F04F4}"/>
    <hyperlink ref="B6856" r:id="rId21174" display="https://twitter.com/dubbusses" xr:uid="{1052845C-D91B-4BA1-9099-50B9736B1A2E}"/>
    <hyperlink ref="E6856" r:id="rId21175" display="https://twitter.com/dubbusses/status/724118608901758976" xr:uid="{710587D8-8828-4253-BA19-9F6A4293E34A}"/>
    <hyperlink ref="O6856" r:id="rId21176" display="https://pbs.twimg.com/profile_images/718835727027580928/1ssyQ67y_normal.jpg" xr:uid="{6EB48406-7C06-4B0C-9DE7-C5F0268C4817}"/>
    <hyperlink ref="B6857" r:id="rId21177" display="https://twitter.com/VWBeetleSales" xr:uid="{F433E62E-DADA-43FB-A97C-3879B944D3E3}"/>
    <hyperlink ref="E6857" r:id="rId21178" display="https://twitter.com/VWBeetleSales/status/724119446416019458" xr:uid="{D4AB9493-63D9-4029-85C8-DB5D4FB47E4F}"/>
    <hyperlink ref="F6857" r:id="rId21179" xr:uid="{3AF9FE66-8141-45EB-B642-50FEAE0692E5}"/>
    <hyperlink ref="O6857" r:id="rId21180" display="https://pbs.twimg.com/profile_images/703294545195307008/qeCvrX86_normal.jpg" xr:uid="{7573FB18-9EBF-4D5D-8B8D-CDD39F1AA062}"/>
    <hyperlink ref="B6858" r:id="rId21181" display="https://twitter.com/m_v_22" xr:uid="{24313C03-F816-432A-89BE-72C86963A038}"/>
    <hyperlink ref="E6858" r:id="rId21182" display="https://twitter.com/m_v_22/status/724120037083107328" xr:uid="{60A0F816-CB7D-48F5-B1A7-D38A9A512BBF}"/>
    <hyperlink ref="O6858" r:id="rId21183" display="https://pbs.twimg.com/profile_images/2860849215/c806820e608c6d14839e5721d065717f_normal.jpeg" xr:uid="{9EBF2DF9-C588-4694-B34D-1C931A66CB9B}"/>
    <hyperlink ref="B6859" r:id="rId21184" display="https://twitter.com/micabesita" xr:uid="{3BEAD400-9E97-4219-BC01-6416C9EB6508}"/>
    <hyperlink ref="E6859" r:id="rId21185" display="https://twitter.com/micabesita/status/724120368408059904" xr:uid="{B44CA6BF-1759-4E3D-8CB1-C0B5625CCA40}"/>
    <hyperlink ref="O6859" r:id="rId21186" display="https://pbs.twimg.com/profile_images/721557347945066496/35TI-Y5q_normal.jpg" xr:uid="{19BAF07C-8548-4889-B5B4-8D67CB85B84B}"/>
    <hyperlink ref="B6860" r:id="rId21187" display="https://twitter.com/OnlineCarReview" xr:uid="{3C6EDCDB-2F27-4AA1-8C31-89789F823421}"/>
    <hyperlink ref="E6860" r:id="rId21188" display="https://twitter.com/OnlineCarReview/status/724120540819005440" xr:uid="{44D6F140-C7AE-4C55-8B4E-1B65B5B057C5}"/>
    <hyperlink ref="O6860" r:id="rId21189" display="https://pbs.twimg.com/profile_images/652871584131092480/QA_B6SBO_normal.jpg" xr:uid="{92C92518-CEAF-4A7A-8AB8-978B33B3E80D}"/>
    <hyperlink ref="B6861" r:id="rId21190" display="https://twitter.com/Mphilpot1" xr:uid="{E48547A2-A434-4DBC-A1CE-2945E7F69E8D}"/>
    <hyperlink ref="E6861" r:id="rId21191" display="https://twitter.com/Mphilpot1/status/724120875356680192" xr:uid="{FB2C9624-DE6A-4BC9-87DE-79F186CEE559}"/>
    <hyperlink ref="O6861" r:id="rId21192" display="https://pbs.twimg.com/profile_images/422164778639839234/LVnS1q1c_normal.jpeg" xr:uid="{980A0827-24DC-4383-BEA5-F65D4EE905EC}"/>
    <hyperlink ref="B6862" r:id="rId21193" display="https://twitter.com/Fabiola_LagosM" xr:uid="{C7C07CC6-4C4F-45E9-9FAE-D7F30D28BF37}"/>
    <hyperlink ref="E6862" r:id="rId21194" display="https://twitter.com/Fabiola_LagosM/status/724121431701917696" xr:uid="{B93D77B2-E838-4E9F-8AF7-1E38B1A677AF}"/>
    <hyperlink ref="O6862" r:id="rId21195" display="https://abs.twimg.com/sticky/default_profile_images/default_profile_5_normal.png" xr:uid="{78A7C1D5-D7C8-4F0F-9D97-FF1FBD795F64}"/>
    <hyperlink ref="B6863" r:id="rId21196" display="https://twitter.com/RobsterRound" xr:uid="{364085B4-589C-4C25-BB07-EF40A5230AE4}"/>
    <hyperlink ref="E6863" r:id="rId21197" display="https://twitter.com/RobsterRound/status/724121512211521536" xr:uid="{1480BD21-57D8-466E-9C2C-8115EDE93DDC}"/>
    <hyperlink ref="O6863" r:id="rId21198" display="https://pbs.twimg.com/profile_images/719093309738770432/-ot7iGIC_normal.jpg" xr:uid="{4FD85D91-F092-4FBB-89B5-C51750CA5745}"/>
    <hyperlink ref="B6864" r:id="rId21199" display="https://twitter.com/Maxipichichi" xr:uid="{77927749-6175-4BD3-A765-7B1C44063F93}"/>
    <hyperlink ref="E6864" r:id="rId21200" display="https://twitter.com/Maxipichichi/status/724121540619583488" xr:uid="{40C8CFAD-D8BA-407C-AFB1-E483DDB26CEC}"/>
    <hyperlink ref="O6864" r:id="rId21201" display="https://pbs.twimg.com/profile_images/716138130122874880/nUx_DuOm_normal.jpg" xr:uid="{D2403205-9866-45DE-B6D3-95D788180913}"/>
    <hyperlink ref="B6865" r:id="rId21202" display="https://twitter.com/Braian_9107" xr:uid="{34609FEE-4FE8-4F4F-9383-A984B75AF529}"/>
    <hyperlink ref="E6865" r:id="rId21203" display="https://twitter.com/Braian_9107/status/724122112903024640" xr:uid="{B8FE6C39-A729-430D-9D40-6AA3D59C853E}"/>
    <hyperlink ref="O6865" r:id="rId21204" display="https://pbs.twimg.com/profile_images/664288528667418624/Mx05DUhU_normal.jpg" xr:uid="{8A7A329E-5314-41DC-A5E3-9FABA9058D44}"/>
    <hyperlink ref="B6866" r:id="rId21205" display="https://twitter.com/Duambyth" xr:uid="{CBAD166A-59C2-4F23-B6BF-2555F5E68313}"/>
    <hyperlink ref="E6866" r:id="rId21206" display="https://twitter.com/Duambyth/status/724122129290149888" xr:uid="{B79B021C-178F-4E7C-BD22-9DBEED96387A}"/>
    <hyperlink ref="O6866" r:id="rId21207" display="https://pbs.twimg.com/profile_images/714558560936529920/fOUFpJYx_normal.jpg" xr:uid="{867C4EEA-B308-44AD-951F-0F3C0FCE3AED}"/>
    <hyperlink ref="B6867" r:id="rId21208" display="https://twitter.com/PheonixJane" xr:uid="{CECA3D28-5941-4D8C-B91D-251AE2320C72}"/>
    <hyperlink ref="E6867" r:id="rId21209" display="https://twitter.com/PheonixJane/status/724123268156915712" xr:uid="{3C54F246-C138-418E-BE8C-CDAE88DAF112}"/>
    <hyperlink ref="O6867" r:id="rId21210" display="https://pbs.twimg.com/profile_images/674456186159276032/s6_5pnsh_normal.jpg" xr:uid="{193B701B-6D96-470C-94AE-F075A2FB34AE}"/>
    <hyperlink ref="B6868" r:id="rId21211" display="https://twitter.com/VWHeritage" xr:uid="{BA7C2390-D994-4725-BF77-2F10F094863A}"/>
    <hyperlink ref="E6868" r:id="rId21212" display="https://twitter.com/VWHeritage/status/724123322691248128" xr:uid="{C070B2E7-8564-4A40-95F7-A124D34F3ED4}"/>
    <hyperlink ref="O6868" r:id="rId21213" display="https://pbs.twimg.com/profile_images/709359494128599041/-2u0_Nqv_normal.jpg" xr:uid="{17166A26-3D9E-4842-96A5-BD5E2C98B2D3}"/>
    <hyperlink ref="B6869" r:id="rId21214" display="https://twitter.com/hashtagvanlife" xr:uid="{E31791BC-41D0-4778-9FFB-687FB8409491}"/>
    <hyperlink ref="E6869" r:id="rId21215" display="https://twitter.com/hashtagvanlife/status/724123775005024256" xr:uid="{250CC8BC-EFE5-403A-A9D7-F41E39856690}"/>
    <hyperlink ref="O6869" r:id="rId21216" display="https://pbs.twimg.com/profile_images/653637535545995264/gHuXQ5Bt_normal.jpg" xr:uid="{3180C18B-793F-462E-9FED-7E61F7397253}"/>
    <hyperlink ref="B6870" r:id="rId21217" display="https://twitter.com/johnwhalvin" xr:uid="{290A2020-7AF3-412E-9C29-B8314EE1A133}"/>
    <hyperlink ref="E6870" r:id="rId21218" display="https://twitter.com/johnwhalvin/status/724125219225526272" xr:uid="{5B3224B1-E39E-4760-836F-B2B6B28852AB}"/>
    <hyperlink ref="O6870" r:id="rId21219" display="https://pbs.twimg.com/profile_images/691267260758020096/6YkrhJsd_normal.jpg" xr:uid="{9D618918-D1FB-43A5-8949-1E602E0653D7}"/>
    <hyperlink ref="B6871" r:id="rId21220" display="https://twitter.com/Low_Performer" xr:uid="{3680A807-9688-4D3E-9E9B-4F5E583AEED2}"/>
    <hyperlink ref="E6871" r:id="rId21221" display="https://twitter.com/Low_Performer/status/724126231860535296" xr:uid="{FE927FDE-43E9-4FC9-A041-F81DB9D6844B}"/>
    <hyperlink ref="O6871" r:id="rId21222" display="https://pbs.twimg.com/profile_images/682854166298013696/1apuSJ1I_normal.jpg" xr:uid="{6566B7EC-7714-476B-B1CF-BFFF96AEC6DD}"/>
    <hyperlink ref="B6872" r:id="rId21223" display="https://twitter.com/er__in" xr:uid="{23ACE632-99DA-4E58-88B7-B15437A2B59D}"/>
    <hyperlink ref="E6872" r:id="rId21224" display="https://twitter.com/er__in/status/724127927667806213" xr:uid="{30B0DBF8-1168-48D5-8FE2-93C633750BCB}"/>
    <hyperlink ref="O6872" r:id="rId21225" display="https://pbs.twimg.com/profile_images/723593582448246784/jGSJCamQ_normal.jpg" xr:uid="{46C4F136-8E4E-4AA2-9D18-A709E6402922}"/>
    <hyperlink ref="B6873" r:id="rId21226" display="https://twitter.com/VWCamperSales" xr:uid="{959D3DDD-B3EA-48FF-A100-BAB435BC876F}"/>
    <hyperlink ref="E6873" r:id="rId21227" display="https://twitter.com/VWCamperSales/status/724128159491231744" xr:uid="{6B8385F0-130D-4CBF-925A-8D8B9B89557A}"/>
    <hyperlink ref="F6873" r:id="rId21228" xr:uid="{35D002CA-51F5-4DBA-8103-6FCA875C423E}"/>
    <hyperlink ref="O6873" r:id="rId21229" display="https://pbs.twimg.com/profile_images/627949001179037696/skEBkS05_normal.jpg" xr:uid="{76DFC765-63E8-460A-86E4-1D27E07C78CC}"/>
    <hyperlink ref="B6874" r:id="rId21230" display="https://twitter.com/FrankBauHa" xr:uid="{B0260AAB-CF3D-4538-8347-5B7B4DBBB79A}"/>
    <hyperlink ref="E6874" r:id="rId21231" display="https://twitter.com/FrankBauHa/status/724130094025969665" xr:uid="{1A1CDDE5-0280-49F7-A5EF-E191F0F21EC0}"/>
    <hyperlink ref="O6874" r:id="rId21232" display="https://pbs.twimg.com/profile_images/573395717953224705/aSHONgO9_normal.jpeg" xr:uid="{05F6FB48-4D79-4A78-A14E-BF40E9ED9B70}"/>
    <hyperlink ref="B6875" r:id="rId21233" display="https://twitter.com/Scirocco_Tuning" xr:uid="{1BBE2FA5-9493-4F5D-9A3D-D0D436D3C15D}"/>
    <hyperlink ref="E6875" r:id="rId21234" display="https://twitter.com/Scirocco_Tuning/status/724130149067841536" xr:uid="{9082FF12-F680-46D1-B3C7-3D7F0460781E}"/>
    <hyperlink ref="O6875" r:id="rId21235" display="https://pbs.twimg.com/profile_images/1610421423/Image2_normal.jpg" xr:uid="{C0EC7373-CD4A-465E-BEDF-E56AE19F29EF}"/>
    <hyperlink ref="B6876" r:id="rId21236" display="https://twitter.com/YorkshireTint" xr:uid="{83AE8643-CD99-4B7D-BAA2-184155A4D925}"/>
    <hyperlink ref="E6876" r:id="rId21237" display="https://twitter.com/YorkshireTint/status/724130934874882048" xr:uid="{51267DEE-5B3F-4D0A-8872-5753F842563B}"/>
    <hyperlink ref="O6876" r:id="rId21238" display="https://pbs.twimg.com/profile_images/423546768706371584/JzuP2NWD_normal.jpeg" xr:uid="{1010BB7B-2D87-4C7B-BC68-5490D59D0DBF}"/>
    <hyperlink ref="B6877" r:id="rId21239" display="https://twitter.com/CarSniff" xr:uid="{E88E521F-ADEB-4440-BB30-7F2EB69E5D35}"/>
    <hyperlink ref="E6877" r:id="rId21240" display="https://twitter.com/CarSniff/status/724131095730507776" xr:uid="{4C78A645-BE4E-4272-B415-20101AEAD843}"/>
    <hyperlink ref="O6877" r:id="rId21241" display="https://pbs.twimg.com/profile_images/789711681/s2_normal.bmp" xr:uid="{05AF2112-B283-4ACD-826C-F79B117D73A9}"/>
    <hyperlink ref="B6878" r:id="rId21242" display="https://twitter.com/golfetemarco" xr:uid="{05A496AA-0180-47AD-85A0-13A526B76B30}"/>
    <hyperlink ref="E6878" r:id="rId21243" display="https://twitter.com/golfetemarco/status/724131216623022080" xr:uid="{AF243AD5-68B1-4735-9A95-32B2252FFB56}"/>
    <hyperlink ref="O6878" r:id="rId21244" display="https://pbs.twimg.com/profile_images/463089401011392512/dcYyj0wX_normal.jpeg" xr:uid="{4C5029EE-17C4-4FC7-9739-4D20FB4A6F38}"/>
    <hyperlink ref="B6879" r:id="rId21245" display="https://twitter.com/glenmavis" xr:uid="{5D59C82E-82F8-4B90-AFB3-E4DE36FDEA0F}"/>
    <hyperlink ref="E6879" r:id="rId21246" display="https://twitter.com/glenmavis/status/724131502548721665" xr:uid="{85662BBF-EF01-4700-B648-03D57395CF0C}"/>
    <hyperlink ref="O6879" r:id="rId21247" display="https://pbs.twimg.com/profile_images/595309304510550019/sGlNhfkh_normal.jpg" xr:uid="{419094DE-ED43-4A9A-9452-FC5EC4E1E3CD}"/>
    <hyperlink ref="B6880" r:id="rId21248" display="https://twitter.com/GutesAltern" xr:uid="{9D65FAB6-9FA4-4FF0-8452-597BA271F133}"/>
    <hyperlink ref="E6880" r:id="rId21249" display="https://twitter.com/GutesAltern/status/724132667164340224" xr:uid="{0232D5E7-A7A4-4952-8AFA-671AF7156D41}"/>
    <hyperlink ref="O6880" r:id="rId21250" display="https://pbs.twimg.com/profile_images/685910752184676352/VduIvbN-_normal.jpg" xr:uid="{BE3102C0-911A-413A-B96C-6339435B4A63}"/>
    <hyperlink ref="B6881" r:id="rId21251" display="https://twitter.com/beetlebug1938" xr:uid="{A0B4FBFA-F343-44CA-9DF0-F2398F991C60}"/>
    <hyperlink ref="E6881" r:id="rId21252" display="https://twitter.com/beetlebug1938/status/724133101983698944" xr:uid="{58250781-1878-4EDA-9B47-B1D6ABA6D59F}"/>
    <hyperlink ref="O6881" r:id="rId21253" display="https://pbs.twimg.com/profile_images/718820712757215233/LXXndPTS_normal.jpg" xr:uid="{9BBF47A9-7C84-4E0D-BAD0-571E361B7DA3}"/>
    <hyperlink ref="B6882" r:id="rId21254" display="https://twitter.com/beetlebug1938" xr:uid="{CFC43674-88E4-4D3B-840E-7D8BF48F5100}"/>
    <hyperlink ref="E6882" r:id="rId21255" display="https://twitter.com/beetlebug1938/status/724133126017024000" xr:uid="{73200BC0-CC6E-43A2-9023-20E02F515F91}"/>
    <hyperlink ref="O6882" r:id="rId21256" display="https://pbs.twimg.com/profile_images/718820712757215233/LXXndPTS_normal.jpg" xr:uid="{411C7261-0B06-4E43-B4A2-3DA041C483E9}"/>
    <hyperlink ref="B6883" r:id="rId21257" display="https://twitter.com/beetlebug1938" xr:uid="{DBCBB82E-C403-4059-BEE7-25BF0F3765F1}"/>
    <hyperlink ref="E6883" r:id="rId21258" display="https://twitter.com/beetlebug1938/status/724133138486702080" xr:uid="{1ECE3F2A-AB1F-43F2-BA42-BF6E3DF2AB3B}"/>
    <hyperlink ref="O6883" r:id="rId21259" display="https://pbs.twimg.com/profile_images/718820712757215233/LXXndPTS_normal.jpg" xr:uid="{B126DE80-0C6D-4ADA-AB54-660BFE657338}"/>
    <hyperlink ref="B6884" r:id="rId21260" display="https://twitter.com/PParzival" xr:uid="{0E053A67-4F18-48CE-9982-AA4F241CA437}"/>
    <hyperlink ref="E6884" r:id="rId21261" display="https://twitter.com/PParzival/status/724133161903493120" xr:uid="{29895A39-1EC0-47DC-AABA-D6553D65A436}"/>
    <hyperlink ref="O6884" r:id="rId21262" display="https://pbs.twimg.com/profile_images/714175065244434432/wbro3GNX_normal.jpg" xr:uid="{7958A7C4-AE6E-4900-B28F-209824E8287B}"/>
    <hyperlink ref="B6885" r:id="rId21263" display="https://twitter.com/dubbusses" xr:uid="{B2CBF3BB-FE25-47B7-A993-2B02292ED508}"/>
    <hyperlink ref="E6885" r:id="rId21264" display="https://twitter.com/dubbusses/status/724133658102214656" xr:uid="{E6E338F4-D261-41E4-B8C5-D23F35A4C2DE}"/>
    <hyperlink ref="O6885" r:id="rId21265" display="https://pbs.twimg.com/profile_images/718835727027580928/1ssyQ67y_normal.jpg" xr:uid="{9BEA7CDF-4ED7-4123-9AB1-297C74D086E6}"/>
    <hyperlink ref="B6886" r:id="rId21266" display="https://twitter.com/dubbusses" xr:uid="{543B3C17-82CE-4596-A7D8-295749BFDBC0}"/>
    <hyperlink ref="E6886" r:id="rId21267" display="https://twitter.com/dubbusses/status/724133661180874752" xr:uid="{FB44D4D2-2792-4FFB-9B60-E4627E051D05}"/>
    <hyperlink ref="O6886" r:id="rId21268" display="https://pbs.twimg.com/profile_images/718835727027580928/1ssyQ67y_normal.jpg" xr:uid="{CC65E499-C05E-4DB7-8031-05FD02E4868D}"/>
    <hyperlink ref="B6887" r:id="rId21269" display="https://twitter.com/dubbusses" xr:uid="{83A46A67-F2A3-4D8E-A7F3-761DE5D9D705}"/>
    <hyperlink ref="E6887" r:id="rId21270" display="https://twitter.com/dubbusses/status/724133665249329152" xr:uid="{415B886A-1F95-46FC-BAD7-63549AAF5221}"/>
    <hyperlink ref="O6887" r:id="rId21271" display="https://pbs.twimg.com/profile_images/718835727027580928/1ssyQ67y_normal.jpg" xr:uid="{E32A86D9-12DE-4AD8-8FCD-6906506EDB4B}"/>
    <hyperlink ref="B6888" r:id="rId21272" display="https://twitter.com/dubbusses" xr:uid="{4E2A7495-69F3-46B9-BE65-781E1528EB9F}"/>
    <hyperlink ref="E6888" r:id="rId21273" display="https://twitter.com/dubbusses/status/724133672077692928" xr:uid="{B3B71EAD-7C50-490B-AA34-D37BA20B6AFF}"/>
    <hyperlink ref="O6888" r:id="rId21274" display="https://pbs.twimg.com/profile_images/718835727027580928/1ssyQ67y_normal.jpg" xr:uid="{20374586-A8DD-4B31-9EA6-F5233C213B4E}"/>
    <hyperlink ref="B6889" r:id="rId21275" display="https://twitter.com/leonciobogotano" xr:uid="{E59BD5C8-A109-4D17-998E-1D6234AE568F}"/>
    <hyperlink ref="E6889" r:id="rId21276" display="https://twitter.com/leonciobogotano/status/724134980822118400" xr:uid="{076BC4C9-51EA-4D1C-B4DA-913C32185379}"/>
    <hyperlink ref="O6889" r:id="rId21277" display="https://abs.twimg.com/sticky/default_profile_images/default_profile_2_normal.png" xr:uid="{F92E5DD3-1A5B-4CD9-937A-0BD42C19E32A}"/>
    <hyperlink ref="B6890" r:id="rId21278" display="https://twitter.com/TetsuoHojo" xr:uid="{4CC35D31-13C1-4607-A314-2F0C37FA72C4}"/>
    <hyperlink ref="E6890" r:id="rId21279" display="https://twitter.com/TetsuoHojo/status/724136087149404161" xr:uid="{D5CA0940-5A06-4C52-8E0D-9B167D0350BF}"/>
    <hyperlink ref="O6890" r:id="rId21280" display="https://pbs.twimg.com/profile_images/2646835465/aa5823578b01b04b7e91d58e8ca88691_normal.jpeg" xr:uid="{8E8962C0-842F-4ACC-9FC9-FB15539585F4}"/>
    <hyperlink ref="B6891" r:id="rId21281" display="https://twitter.com/OnlineCarReview" xr:uid="{82A45623-D13D-4149-8645-02E829E21EBA}"/>
    <hyperlink ref="E6891" r:id="rId21282" display="https://twitter.com/OnlineCarReview/status/724137177479671808" xr:uid="{A7C2C413-5C19-46D3-BF5C-19C022014E52}"/>
    <hyperlink ref="O6891" r:id="rId21283" display="https://pbs.twimg.com/profile_images/652871584131092480/QA_B6SBO_normal.jpg" xr:uid="{1C5CE004-1CDD-471B-8C2C-382FE14F1A08}"/>
    <hyperlink ref="B6892" r:id="rId21284" display="https://twitter.com/CairnsMFDs" xr:uid="{E175EF14-2F2D-4E5B-AB8D-E5F7EF294E00}"/>
    <hyperlink ref="E6892" r:id="rId21285" display="https://twitter.com/CairnsMFDs/status/724137388667105281" xr:uid="{5D30B875-28F7-4174-A6CF-E6A04A16D047}"/>
    <hyperlink ref="O6892" r:id="rId21286" display="https://pbs.twimg.com/profile_images/684525057347981312/TsvQ6-oU_normal.png" xr:uid="{A8F0B01D-CEE3-4CB9-A2AF-5BD6E1A8E1FD}"/>
    <hyperlink ref="B6893" r:id="rId21287" display="https://twitter.com/abcdefghmiokxyz" xr:uid="{E4E65848-5ED0-4462-A670-1D4A1AFBA3E8}"/>
    <hyperlink ref="E6893" r:id="rId21288" display="https://twitter.com/abcdefghmiokxyz/status/724137870273859584" xr:uid="{3127D35A-EBA3-457E-8493-581F4A545DF4}"/>
    <hyperlink ref="O6893" r:id="rId21289" display="https://pbs.twimg.com/profile_images/720573378889814016/NgpA-9lN_normal.jpg" xr:uid="{F217444C-DE28-4275-92C2-B7B34824C155}"/>
    <hyperlink ref="B6894" r:id="rId21290" display="https://twitter.com/TranixConf" xr:uid="{2EB7DCB1-65DD-4768-9C2B-BC1637216F40}"/>
    <hyperlink ref="E6894" r:id="rId21291" display="https://twitter.com/TranixConf/status/724138105012367361" xr:uid="{8A1DA0F2-1EEE-4F5E-95B1-ED75A9E8731B}"/>
    <hyperlink ref="O6894" r:id="rId21292" display="https://pbs.twimg.com/profile_images/501634731797008386/BnqToGVL_normal.jpeg" xr:uid="{47B6EE13-09FD-417C-8B0E-CA64E82C5E15}"/>
    <hyperlink ref="B6895" r:id="rId21293" display="https://twitter.com/abcdefghmiokxyz" xr:uid="{BB576D80-B055-42AC-8AF4-966A1090E42B}"/>
    <hyperlink ref="E6895" r:id="rId21294" display="https://twitter.com/abcdefghmiokxyz/status/724138527789735937" xr:uid="{A3C0C065-2DD1-4CD4-A4A5-86DE4DC11463}"/>
    <hyperlink ref="O6895" r:id="rId21295" display="https://pbs.twimg.com/profile_images/720573378889814016/NgpA-9lN_normal.jpg" xr:uid="{D013C3DC-D4E5-4942-9968-79FE842BC805}"/>
    <hyperlink ref="B6896" r:id="rId21296" display="https://twitter.com/abcdefghmiokxyz" xr:uid="{5F00F1B4-3E3A-440E-BDF4-22315E1EB138}"/>
    <hyperlink ref="E6896" r:id="rId21297" display="https://twitter.com/abcdefghmiokxyz/status/724138539890315264" xr:uid="{A1DE681F-5414-4310-AFA0-106E7D4B86F5}"/>
    <hyperlink ref="O6896" r:id="rId21298" display="https://pbs.twimg.com/profile_images/720573378889814016/NgpA-9lN_normal.jpg" xr:uid="{205FB302-BA5D-4A09-BC86-8F49643C704A}"/>
    <hyperlink ref="B6897" r:id="rId21299" display="https://twitter.com/cultuurgeek" xr:uid="{62F22161-E68D-4A79-95D5-7B4D50F62078}"/>
    <hyperlink ref="E6897" r:id="rId21300" display="https://twitter.com/cultuurgeek/status/724138959757008896" xr:uid="{13FD641A-BB65-4921-B0C6-6F1B11441C35}"/>
    <hyperlink ref="O6897" r:id="rId21301" display="https://pbs.twimg.com/profile_images/486568956765798400/4fCE2vRk_normal.jpeg" xr:uid="{6F92C48A-0268-4CF5-9BDB-577FC886304C}"/>
    <hyperlink ref="B6898" r:id="rId21302" display="https://twitter.com/MhvonS" xr:uid="{BE3D52A8-811A-450A-8DCF-BA99A854A492}"/>
    <hyperlink ref="E6898" r:id="rId21303" display="https://twitter.com/MhvonS/status/724139274040446976" xr:uid="{13CF1EC1-DB4F-4CB0-9ADE-1EA6FADFEACA}"/>
    <hyperlink ref="O6898" r:id="rId21304" display="https://pbs.twimg.com/profile_images/723492895874002945/vvHAsCQf_normal.jpg" xr:uid="{D3F5AF66-B6A1-45FC-B222-621323FC2293}"/>
    <hyperlink ref="B6899" r:id="rId21305" display="https://twitter.com/Kerstin_Lomb" xr:uid="{8325C531-1402-467E-A62C-CD72DFE2565E}"/>
    <hyperlink ref="E6899" r:id="rId21306" display="https://twitter.com/Kerstin_Lomb/status/724139561106984960" xr:uid="{5614E435-5506-4BEC-9748-3C4A5B823AA9}"/>
    <hyperlink ref="O6899" r:id="rId21307" display="https://pbs.twimg.com/profile_images/543436298133184513/apPABZai_normal.jpeg" xr:uid="{43C34579-A95A-488A-9C73-9A958002024A}"/>
    <hyperlink ref="B6900" r:id="rId21308" display="https://twitter.com/StaffsVW" xr:uid="{F4BABF31-2E14-4EF5-803D-C02D11524B35}"/>
    <hyperlink ref="E6900" r:id="rId21309" display="https://twitter.com/StaffsVW/status/724139589481291776" xr:uid="{2F6575D6-BF31-4BBC-B31C-984C75499EDF}"/>
    <hyperlink ref="O6900" r:id="rId21310" display="https://pbs.twimg.com/profile_images/689180646653202432/IDgTGC30_normal.jpg" xr:uid="{1A77E93E-2A5A-4352-B3DF-8828357518C2}"/>
    <hyperlink ref="B6901" r:id="rId21311" display="https://twitter.com/KMennerFineArt" xr:uid="{06CB7E0D-F741-4C2F-928E-88D8078F04AD}"/>
    <hyperlink ref="E6901" r:id="rId21312" display="https://twitter.com/KMennerFineArt/status/724139659714949120" xr:uid="{439FDE12-3331-48E1-9F24-5925D7EC340B}"/>
    <hyperlink ref="O6901" r:id="rId21313" display="https://pbs.twimg.com/profile_images/477811564179779585/Tn-jHdTl_normal.jpeg" xr:uid="{0500B508-4DD3-4E54-BE1A-CBECF19B2E6B}"/>
    <hyperlink ref="B6902" r:id="rId21314" display="https://twitter.com/100oferta" xr:uid="{1D28123F-31B3-454E-AFE4-26583C0F88EA}"/>
    <hyperlink ref="E6902" r:id="rId21315" display="https://twitter.com/100oferta/status/724140114922885120" xr:uid="{9B8C6770-C7DC-4EE0-A24B-952C3F2AB87D}"/>
    <hyperlink ref="O6902" r:id="rId21316" display="https://pbs.twimg.com/profile_images/605683918369660929/r35bMZ-r_normal.png" xr:uid="{79B3AE8D-4F75-44BE-BB36-291A8455E4B1}"/>
    <hyperlink ref="B6903" r:id="rId21317" display="https://twitter.com/carsguru7" xr:uid="{087582EE-44FF-4022-A2FF-233F8D4CE8E8}"/>
    <hyperlink ref="E6903" r:id="rId21318" display="https://twitter.com/carsguru7/status/724141045781397505" xr:uid="{208DB586-FAC8-4D34-A52A-B7E38E96B4B3}"/>
    <hyperlink ref="O6903" r:id="rId21319" display="https://pbs.twimg.com/profile_images/722418263242645505/iDE6b42H_normal.jpg" xr:uid="{8A6A2C98-1C14-4F45-82AF-AF65A1D26EFB}"/>
    <hyperlink ref="B6904" r:id="rId21320" display="https://twitter.com/LisaHenri2" xr:uid="{97E7CCCB-F2BA-4901-91C2-B5961988C132}"/>
    <hyperlink ref="E6904" r:id="rId21321" display="https://twitter.com/LisaHenri2/status/724141388468748288" xr:uid="{A39BCD5C-59E7-4F92-B44A-F870E49DDD4A}"/>
    <hyperlink ref="O6904" r:id="rId21322" display="https://pbs.twimg.com/profile_images/423917634154151936/tKoaoerE_normal.jpeg" xr:uid="{6E9A43F2-9316-4465-BB68-95DB47AF23F1}"/>
    <hyperlink ref="B6905" r:id="rId21323" display="https://twitter.com/Volkstyp2" xr:uid="{622B8F5D-8EDA-4487-ADCD-28D4E2638492}"/>
    <hyperlink ref="E6905" r:id="rId21324" display="https://twitter.com/Volkstyp2/status/724142012895760384" xr:uid="{C96CD07B-9832-4068-AE99-62C8ACC322B3}"/>
    <hyperlink ref="O6905" r:id="rId21325" display="https://pbs.twimg.com/profile_images/430364935202164736/BE53SBuw_normal.jpeg" xr:uid="{E603AC6B-88CD-46D5-A561-A3447CBBB0B5}"/>
    <hyperlink ref="B6906" r:id="rId21326" display="https://twitter.com/travelbot666" xr:uid="{157B644B-82E0-40A6-9C72-FE8AA3E45244}"/>
    <hyperlink ref="E6906" r:id="rId21327" display="https://twitter.com/travelbot666/status/724142024706953216" xr:uid="{3FAF9F0D-BE18-413D-B506-08C8B8F72D8A}"/>
    <hyperlink ref="O6906" r:id="rId21328" display="https://abs.twimg.com/sticky/default_profile_images/default_profile_5_normal.png" xr:uid="{3901C91E-4E2C-4650-A048-BF6FC3588A0C}"/>
    <hyperlink ref="B6907" r:id="rId21329" display="https://twitter.com/michell73094462" xr:uid="{B8E4149C-3E80-4A26-9A4A-648EFB002B71}"/>
    <hyperlink ref="E6907" r:id="rId21330" display="https://twitter.com/michell73094462/status/724142147549683712" xr:uid="{5FBDAEF2-7576-4914-8297-BBC8C50C2A83}"/>
    <hyperlink ref="O6907" r:id="rId21331" display="https://pbs.twimg.com/profile_images/2651105844/397add13e3fe54a55cc1843292c7d917_normal.jpeg" xr:uid="{93F341FB-5C58-448C-BF04-B47E9BADABAA}"/>
    <hyperlink ref="B6908" r:id="rId21332" display="https://twitter.com/vwpress_de" xr:uid="{94A6CF6B-E5A3-403C-BAFC-C77B995A08B3}"/>
    <hyperlink ref="E6908" r:id="rId21333" display="https://twitter.com/vwpress_de/status/724142258300293121" xr:uid="{7762F576-89F5-4B76-BB26-1D2BC86AAE41}"/>
    <hyperlink ref="O6908" r:id="rId21334" display="https://pbs.twimg.com/profile_images/682117656502222848/Ge7YeAF3_normal.png" xr:uid="{7D046C9B-D60C-4B8B-BE25-15A73A9D915F}"/>
    <hyperlink ref="B6909" r:id="rId21335" display="https://twitter.com/Volkstyp2" xr:uid="{5A684656-772D-41B2-B60F-85386FD31462}"/>
    <hyperlink ref="E6909" r:id="rId21336" display="https://twitter.com/Volkstyp2/status/724142309860868096" xr:uid="{B56EAD4A-B989-4FEF-8373-4EB86A9CFA12}"/>
    <hyperlink ref="O6909" r:id="rId21337" display="https://pbs.twimg.com/profile_images/430364935202164736/BE53SBuw_normal.jpeg" xr:uid="{9E497C3B-6635-4289-BCE8-6BA8F3459E32}"/>
    <hyperlink ref="B6910" r:id="rId21338" display="https://twitter.com/VolkswagenPost" xr:uid="{627F8B37-29DE-44EC-8A5A-E3080DB7694F}"/>
    <hyperlink ref="E6910" r:id="rId21339" display="https://twitter.com/VolkswagenPost/status/724142477318492160" xr:uid="{63A5C289-0705-4A36-801C-49BFD1F65100}"/>
    <hyperlink ref="O6910" r:id="rId21340" display="https://pbs.twimg.com/profile_images/530071272881803264/a_jcCmPZ_normal.png" xr:uid="{E6AC2C14-3AEE-4A14-9B88-1D82B6364671}"/>
    <hyperlink ref="B6911" r:id="rId21341" display="https://twitter.com/VolkswagenPost" xr:uid="{8DEFD62C-CD74-4A52-85E2-E14A811C757C}"/>
    <hyperlink ref="E6911" r:id="rId21342" display="https://twitter.com/VolkswagenPost/status/724142478144770048" xr:uid="{D858EC06-BB5C-41B9-9CA9-BAA3576506EA}"/>
    <hyperlink ref="O6911" r:id="rId21343" display="https://pbs.twimg.com/profile_images/530071272881803264/a_jcCmPZ_normal.png" xr:uid="{0250A4AE-7FA2-4A9B-B2EF-E84E30E3D8E6}"/>
    <hyperlink ref="B6912" r:id="rId21344" display="https://twitter.com/vwpress_en" xr:uid="{F97AE8BB-C991-4234-B3CA-370D83BD24C4}"/>
    <hyperlink ref="E6912" r:id="rId21345" display="https://twitter.com/vwpress_en/status/724142816172105728" xr:uid="{CA92DDEB-B43D-4B9E-BA36-F3DCFA1816B9}"/>
    <hyperlink ref="O6912" r:id="rId21346" display="https://pbs.twimg.com/profile_images/682117963349135360/IUfZQy35_normal.png" xr:uid="{94569E9B-FAA1-4DF3-97C8-4ADC47FF5D33}"/>
    <hyperlink ref="B6913" r:id="rId21347" display="https://twitter.com/Volkstyp2" xr:uid="{5D7C793F-581F-4CEC-9792-7154280ED01D}"/>
    <hyperlink ref="E6913" r:id="rId21348" display="https://twitter.com/Volkstyp2/status/724142874477092865" xr:uid="{70C71A68-B052-45EC-ADE1-1215D3BB578A}"/>
    <hyperlink ref="O6913" r:id="rId21349" display="https://pbs.twimg.com/profile_images/430364935202164736/BE53SBuw_normal.jpeg" xr:uid="{2771F9BF-05E1-4BBD-A633-C3FF58E68E37}"/>
    <hyperlink ref="B6914" r:id="rId21350" display="https://twitter.com/DubLuvTuning" xr:uid="{A0F0C7E8-B53E-4D28-9A67-FF120ACEEC7E}"/>
    <hyperlink ref="E6914" r:id="rId21351" display="https://twitter.com/DubLuvTuning/status/724143192153677824" xr:uid="{FE03B006-6E6A-42D6-90A4-E4341A78832E}"/>
    <hyperlink ref="O6914" r:id="rId21352" display="https://pbs.twimg.com/profile_images/378800000572104796/1de43e1cf23efb3f4101c02afad0d3b6_normal.png" xr:uid="{0CE6D8B3-4579-4A3B-98D0-6AEB9491C644}"/>
    <hyperlink ref="B6915" r:id="rId21353" display="https://twitter.com/DubLuvTuning" xr:uid="{3BFA198A-D0A9-4677-A1C0-3E32C62CD970}"/>
    <hyperlink ref="E6915" r:id="rId21354" display="https://twitter.com/DubLuvTuning/status/724143192904482816" xr:uid="{67FB8176-3F8E-43EE-9519-895E6FBB2E98}"/>
    <hyperlink ref="O6915" r:id="rId21355" display="https://pbs.twimg.com/profile_images/378800000572104796/1de43e1cf23efb3f4101c02afad0d3b6_normal.png" xr:uid="{097C6E35-4BDC-48D9-85C4-9F830EBAE987}"/>
    <hyperlink ref="B6916" r:id="rId21356" display="https://twitter.com/DubLuvTuning" xr:uid="{42F61BB4-E8FD-4806-B4D4-A0B67D186251}"/>
    <hyperlink ref="E6916" r:id="rId21357" display="https://twitter.com/DubLuvTuning/status/724143193760083968" xr:uid="{4F632287-B34B-4EB0-830F-17E78E995247}"/>
    <hyperlink ref="O6916" r:id="rId21358" display="https://pbs.twimg.com/profile_images/378800000572104796/1de43e1cf23efb3f4101c02afad0d3b6_normal.png" xr:uid="{78E81158-BDB3-478F-8BD9-5822AB5DAA36}"/>
    <hyperlink ref="B6917" r:id="rId21359" display="https://twitter.com/miljanbojo" xr:uid="{D2B8EE7F-0E03-406A-8C33-D0C2CBB33396}"/>
    <hyperlink ref="E6917" r:id="rId21360" display="https://twitter.com/miljanbojo/status/724143314912591872" xr:uid="{7FBB8F13-0E65-4636-96D5-C6F5EC6E0B70}"/>
    <hyperlink ref="O6917" r:id="rId21361" display="https://pbs.twimg.com/profile_images/437989922432380928/qzNCXkVu_normal.jpeg" xr:uid="{EE0A85AE-5AC7-4458-8D4F-64876770D149}"/>
    <hyperlink ref="B6918" r:id="rId21362" display="https://twitter.com/LisaHenri2" xr:uid="{CAF5A009-F800-4596-B864-6734CF39D204}"/>
    <hyperlink ref="E6918" r:id="rId21363" display="https://twitter.com/LisaHenri2/status/724143316175065088" xr:uid="{34BF68AC-BF0E-45F5-BDF6-C4A8C49BDA1E}"/>
    <hyperlink ref="O6918" r:id="rId21364" display="https://pbs.twimg.com/profile_images/423917634154151936/tKoaoerE_normal.jpeg" xr:uid="{BE54E9EA-4316-487C-8E75-6FD078FFFB34}"/>
    <hyperlink ref="B6919" r:id="rId21365" display="https://twitter.com/Felix_Nyaga" xr:uid="{776ADCD0-F5AC-4423-AF35-5011C3862CF5}"/>
    <hyperlink ref="E6919" r:id="rId21366" display="https://twitter.com/Felix_Nyaga/status/724143537416232960" xr:uid="{EB0F08BC-697A-4AA4-A690-0772BA8C9178}"/>
    <hyperlink ref="O6919" r:id="rId21367" display="https://pbs.twimg.com/profile_images/437105386558992385/axf-xKDd_normal.jpeg" xr:uid="{9BAB2778-A608-44A1-80BC-67A4CD02ECA8}"/>
    <hyperlink ref="B6920" r:id="rId21368" display="https://twitter.com/sax_odyssey" xr:uid="{88604ED6-C20B-4A03-983B-250A713799CD}"/>
    <hyperlink ref="E6920" r:id="rId21369" display="https://twitter.com/sax_odyssey/status/724144182223343616" xr:uid="{C76E9621-C1E4-44CC-AD0D-F034D5093E33}"/>
    <hyperlink ref="O6920" r:id="rId21370" display="https://pbs.twimg.com/profile_images/716819659706777600/Z945kYnb_normal.jpg" xr:uid="{7C876A96-69FC-49EA-8C1B-21F8E2BFBFF9}"/>
    <hyperlink ref="B6921" r:id="rId21371" display="https://twitter.com/ALSP8" xr:uid="{E410B080-3C44-4AA6-A1A8-5E0404D17FA7}"/>
    <hyperlink ref="E6921" r:id="rId21372" display="https://twitter.com/ALSP8/status/724144571681259520" xr:uid="{A249F81E-3F58-4F94-A3A3-7F8C07EF7BAC}"/>
    <hyperlink ref="O6921" r:id="rId21373" display="https://pbs.twimg.com/profile_images/586606972696420352/aiX1YjIe_normal.jpg" xr:uid="{541DD17C-23A8-441A-A582-D66FFC1B7FC5}"/>
    <hyperlink ref="B6922" r:id="rId21374" display="https://twitter.com/VolkswagenPost" xr:uid="{B0F23216-8F75-4A80-B8B0-2912ED7BDAE2}"/>
    <hyperlink ref="E6922" r:id="rId21375" display="https://twitter.com/VolkswagenPost/status/724144579499446273" xr:uid="{13D698F2-3BD6-4571-9DA0-0D38753D68D7}"/>
    <hyperlink ref="O6922" r:id="rId21376" display="https://pbs.twimg.com/profile_images/530071272881803264/a_jcCmPZ_normal.png" xr:uid="{4658A1A4-917A-4518-BC8A-DFD505C54374}"/>
    <hyperlink ref="B6923" r:id="rId21377" display="https://twitter.com/sgdigitalpr" xr:uid="{93C0E844-2D04-4A94-A6AB-277B210F1924}"/>
    <hyperlink ref="E6923" r:id="rId21378" display="https://twitter.com/sgdigitalpr/status/724145431475691520" xr:uid="{E4C72930-9BF1-41CB-8E3C-E3C88E4856E6}"/>
    <hyperlink ref="O6923" r:id="rId21379" display="https://pbs.twimg.com/profile_images/654492505421942784/mJOspSI3_normal.jpg" xr:uid="{87F297A9-8C66-42D9-A0D9-3E6276DACD7A}"/>
    <hyperlink ref="B6924" r:id="rId21380" display="https://twitter.com/journalistR" xr:uid="{F75EDD2F-1E2B-4613-A6B4-F643E3A4A366}"/>
    <hyperlink ref="E6924" r:id="rId21381" display="https://twitter.com/journalistR/status/724145519996489728" xr:uid="{34C9B94D-5D10-408E-8A1F-EB303E64520C}"/>
    <hyperlink ref="O6924" r:id="rId21382" display="https://pbs.twimg.com/profile_images/706498628571910146/fO9f4M2K_normal.jpg" xr:uid="{9BB07317-9285-43A3-AF8A-89A99E5DD63E}"/>
    <hyperlink ref="B6925" r:id="rId21383" display="https://twitter.com/ErnstNordholt" xr:uid="{BF1B578C-10C3-48F2-BC72-0E88351647E4}"/>
    <hyperlink ref="E6925" r:id="rId21384" display="https://twitter.com/ErnstNordholt/status/724145746581270528" xr:uid="{4052ED89-9EA9-48C0-A793-3ABC110A9592}"/>
    <hyperlink ref="O6925" r:id="rId21385" display="https://pbs.twimg.com/profile_images/698509815870578688/S6oEQDwn_normal.jpg" xr:uid="{3EF9678A-EAB1-45EC-BEE7-D8E4C7A5F0B7}"/>
    <hyperlink ref="B6926" r:id="rId21386" display="https://twitter.com/RSTOKAR" xr:uid="{A5882ED6-D6AC-4084-B9B0-6019DE4A53DE}"/>
    <hyperlink ref="E6926" r:id="rId21387" display="https://twitter.com/RSTOKAR/status/724146325655289856" xr:uid="{D095EF6F-4678-4965-8308-C93E84DDEE3F}"/>
    <hyperlink ref="O6926" r:id="rId21388" display="https://pbs.twimg.com/profile_images/3282181310/09912193e3b2ecc229b9028eb0f19def_normal.jpeg" xr:uid="{A6EFB1AD-AE95-48B7-A6FA-9C2841A8FD06}"/>
    <hyperlink ref="B6927" r:id="rId21389" display="https://twitter.com/NorthWestDubs" xr:uid="{5A26FE91-F1EC-4F7E-83AF-28F21959637B}"/>
    <hyperlink ref="E6927" r:id="rId21390" display="https://twitter.com/NorthWestDubs/status/724146707869609985" xr:uid="{B5F33300-ADE8-4717-AC42-C0E97EDE52AD}"/>
    <hyperlink ref="O6927" r:id="rId21391" display="https://pbs.twimg.com/profile_images/3325520037/cf2027069deae5dc44e82172d33a6683_normal.jpeg" xr:uid="{69099360-0E7B-4C9D-B1E5-D8F05A706637}"/>
    <hyperlink ref="B6928" r:id="rId21392" display="https://twitter.com/Saluting_Pole" xr:uid="{F2A671CF-BFBA-4626-A765-16117EE8B09F}"/>
    <hyperlink ref="E6928" r:id="rId21393" display="https://twitter.com/Saluting_Pole/status/724146793651392512" xr:uid="{403D590C-5E4B-4D0B-8867-CB817B7FA42A}"/>
    <hyperlink ref="O6928" r:id="rId21394" display="https://pbs.twimg.com/profile_images/475577159851843585/l8Q32jOP_normal.jpeg" xr:uid="{5CD40AD2-C46E-456E-A8D4-12DD9FDD825F}"/>
    <hyperlink ref="B6929" r:id="rId21395" display="https://twitter.com/McDonald_69" xr:uid="{DACB41A2-E7ED-4197-A661-1CBD4B0FC744}"/>
    <hyperlink ref="E6929" r:id="rId21396" display="https://twitter.com/McDonald_69/status/724146853592354816" xr:uid="{8141B0E9-DD05-4FC0-B852-4A21D67D562F}"/>
    <hyperlink ref="O6929" r:id="rId21397" display="https://pbs.twimg.com/profile_images/681860446043926528/J7hTNp65_normal.jpg" xr:uid="{C26BA233-563B-43EA-AE40-0AE4F3B51A60}"/>
    <hyperlink ref="B6930" r:id="rId21398" display="https://twitter.com/umavoltadekombi" xr:uid="{A4281C48-464C-4FE9-8CA2-087CEF334B6B}"/>
    <hyperlink ref="E6930" r:id="rId21399" display="https://twitter.com/umavoltadekombi/status/724146996056064000" xr:uid="{0072C253-9D63-439B-9482-06FC11AB82A2}"/>
    <hyperlink ref="O6930" r:id="rId21400" display="https://pbs.twimg.com/profile_images/473925322987954176/k8264FtZ_normal.png" xr:uid="{9A0331AC-DFB1-4F02-B9D3-2A18DF8E154A}"/>
    <hyperlink ref="B6931" r:id="rId21401" display="https://twitter.com/GerdKebschull" xr:uid="{4D5D3E88-6F32-4C48-8301-3568354F3E92}"/>
    <hyperlink ref="E6931" r:id="rId21402" display="https://twitter.com/GerdKebschull/status/724147107305820160" xr:uid="{5BD31A7E-2873-4BF9-87C3-B542A092CC9A}"/>
    <hyperlink ref="O6931" r:id="rId21403" display="https://pbs.twimg.com/profile_images/546161039973572608/y1kL5bgd_normal.jpeg" xr:uid="{88BC87E4-3B20-4F1C-A6A2-04740BAB08B1}"/>
    <hyperlink ref="B6932" r:id="rId21404" display="https://twitter.com/AutobahnSales" xr:uid="{F614F064-E483-4C61-B7B3-27D0D09C44DD}"/>
    <hyperlink ref="E6932" r:id="rId21405" display="https://twitter.com/AutobahnSales/status/724147170400714752" xr:uid="{AED4691F-191F-4981-AAFE-877F37B56DD2}"/>
    <hyperlink ref="O6932" r:id="rId21406" display="https://pbs.twimg.com/profile_images/603104992703152128/ENsieqFD_normal.jpg" xr:uid="{77958C0F-59BD-44C3-AA15-A74D5AC8288A}"/>
    <hyperlink ref="B6933" r:id="rId21407" display="https://twitter.com/CareumCH" xr:uid="{F6C26138-1653-4FCE-AB83-A49437A9B8C9}"/>
    <hyperlink ref="E6933" r:id="rId21408" display="https://twitter.com/CareumCH/status/724147617815470081" xr:uid="{C265B5EC-DCA2-440D-A9E9-1FE8D6A14A4B}"/>
    <hyperlink ref="O6933" r:id="rId21409" display="https://pbs.twimg.com/profile_images/3538117851/f1dd4558c9a12d1e9da8b0a4c93cb0e0_normal.jpeg" xr:uid="{9CDD90C2-219F-47F0-A3D6-C38DA04CFA14}"/>
    <hyperlink ref="B6934" r:id="rId21410" display="https://twitter.com/florianlueft" xr:uid="{C0984C2D-99B1-4425-A18B-D2A848870322}"/>
    <hyperlink ref="E6934" r:id="rId21411" display="https://twitter.com/florianlueft/status/724147696437747712" xr:uid="{651FA841-229B-4526-A6FA-9A367EC11384}"/>
    <hyperlink ref="O6934" r:id="rId21412" display="https://pbs.twimg.com/profile_images/520636460295548931/obBYjqPM_normal.jpeg" xr:uid="{54C83631-8588-41C0-B2C5-C2E074A25A53}"/>
    <hyperlink ref="B6935" r:id="rId21413" display="https://twitter.com/dw_business" xr:uid="{710AB153-25F8-4DDE-9CEB-B92959EB834C}"/>
    <hyperlink ref="E6935" r:id="rId21414" display="https://twitter.com/dw_business/status/724147871205888002" xr:uid="{C25419BE-B0F8-4292-8D82-04AF82D8D284}"/>
    <hyperlink ref="O6935" r:id="rId21415" display="https://pbs.twimg.com/profile_images/474178130312044544/-U2TP65D_normal.png" xr:uid="{E20D1E26-FBA2-4A9F-AE94-7D5EB9DD52D5}"/>
    <hyperlink ref="B6936" r:id="rId21416" display="https://twitter.com/Ingridodl" xr:uid="{029AF192-CCBC-4BBF-9A0C-B3A26B5A9B6F}"/>
    <hyperlink ref="E6936" r:id="rId21417" display="https://twitter.com/Ingridodl/status/724147951422058496" xr:uid="{3F7EE288-193B-480B-9C63-E8098BBDC1E0}"/>
    <hyperlink ref="O6936" r:id="rId21418" display="https://pbs.twimg.com/profile_images/700112917337923584/D3GKv_nI_normal.jpg" xr:uid="{33EBBEAA-960D-4DAB-A16F-6A47B73F90FC}"/>
    <hyperlink ref="B6937" r:id="rId21419" display="https://twitter.com/beetlebug1938" xr:uid="{C025FAB7-496B-4DB9-BF82-1A7A00F9ADF9}"/>
    <hyperlink ref="E6937" r:id="rId21420" display="https://twitter.com/beetlebug1938/status/724148194653949952" xr:uid="{E5CFA871-F64F-47E5-A239-4C76C7FECEF1}"/>
    <hyperlink ref="O6937" r:id="rId21421" display="https://pbs.twimg.com/profile_images/718820712757215233/LXXndPTS_normal.jpg" xr:uid="{422D780F-B428-41E8-8ABB-F85B740D366A}"/>
    <hyperlink ref="B6938" r:id="rId21422" display="https://twitter.com/beetlebug1938" xr:uid="{0E709D38-0FBA-4332-8941-C6EDA2331CF7}"/>
    <hyperlink ref="E6938" r:id="rId21423" display="https://twitter.com/beetlebug1938/status/724148206238576640" xr:uid="{60CF6AED-DDC9-4708-B329-C5D16AE81E82}"/>
    <hyperlink ref="O6938" r:id="rId21424" display="https://pbs.twimg.com/profile_images/718820712757215233/LXXndPTS_normal.jpg" xr:uid="{E336A8D6-73B6-441A-BB5E-521C5A77F1B9}"/>
    <hyperlink ref="B6939" r:id="rId21425" display="https://twitter.com/beetlebug1938" xr:uid="{77128F10-291B-44AB-B969-94884BC25512}"/>
    <hyperlink ref="E6939" r:id="rId21426" display="https://twitter.com/beetlebug1938/status/724148218607579136" xr:uid="{7BC1965C-C5DB-4A53-BD40-608BDF3FCF9A}"/>
    <hyperlink ref="O6939" r:id="rId21427" display="https://pbs.twimg.com/profile_images/718820712757215233/LXXndPTS_normal.jpg" xr:uid="{54D5CE03-03D7-4A5C-8726-E6DE2AF39BC0}"/>
    <hyperlink ref="B6940" r:id="rId21428" display="https://twitter.com/ChristianFrits2" xr:uid="{38478BCF-B432-4A0A-9BFF-01C7EB44F729}"/>
    <hyperlink ref="E6940" r:id="rId21429" display="https://twitter.com/ChristianFrits2/status/724148585500168192" xr:uid="{B80CFD09-FD4F-4DCA-A199-2C05B371AEA3}"/>
    <hyperlink ref="O6940" r:id="rId21430" display="https://pbs.twimg.com/profile_images/609211270642946049/7ONMt_yL_normal.jpg" xr:uid="{0E0C988D-3CB1-44D9-82BA-1FC2F792B2F4}"/>
    <hyperlink ref="B6941" r:id="rId21431" display="https://twitter.com/Brhoomv" xr:uid="{6EEBC049-BE7A-4F55-9D3A-485FA1919DFB}"/>
    <hyperlink ref="E6941" r:id="rId21432" display="https://twitter.com/Brhoomv/status/724148622108049408" xr:uid="{77D000CD-44EC-4465-BFDC-EBCAA03F65CB}"/>
    <hyperlink ref="O6941" r:id="rId21433" display="https://pbs.twimg.com/profile_images/669926917160771584/T397VDU-_normal.jpg" xr:uid="{8708E16D-3A63-4B92-9F49-3455BEA1115F}"/>
    <hyperlink ref="B6942" r:id="rId21434" display="https://twitter.com/dubbusses" xr:uid="{647C9EC1-E3F5-4EFF-879E-4749CA8C8D6D}"/>
    <hyperlink ref="E6942" r:id="rId21435" display="https://twitter.com/dubbusses/status/724148681386123264" xr:uid="{68A27BE4-67F3-4DC0-8EA9-35160A4046A4}"/>
    <hyperlink ref="O6942" r:id="rId21436" display="https://pbs.twimg.com/profile_images/718835727027580928/1ssyQ67y_normal.jpg" xr:uid="{DC18B8F8-4988-4986-B4F4-AE2033C685B5}"/>
    <hyperlink ref="B6943" r:id="rId21437" display="https://twitter.com/dubbusses" xr:uid="{B9BA7AFE-0081-4D7F-A57C-1021969CC3CD}"/>
    <hyperlink ref="E6943" r:id="rId21438" display="https://twitter.com/dubbusses/status/724148695663562752" xr:uid="{294ECD6D-94F5-492C-AF4A-004789E2C3B9}"/>
    <hyperlink ref="O6943" r:id="rId21439" display="https://pbs.twimg.com/profile_images/718835727027580928/1ssyQ67y_normal.jpg" xr:uid="{49DAF67E-ADB2-47F4-8A79-3502BE0DB004}"/>
    <hyperlink ref="B6944" r:id="rId21440" display="https://twitter.com/dubbusses" xr:uid="{2F8C409A-DB0E-4C98-ACEA-521DDBE1C4E3}"/>
    <hyperlink ref="E6944" r:id="rId21441" display="https://twitter.com/dubbusses/status/724148720636407808" xr:uid="{001AD467-A5FC-46DB-94D1-F14A1EBC57D7}"/>
    <hyperlink ref="O6944" r:id="rId21442" display="https://pbs.twimg.com/profile_images/718835727027580928/1ssyQ67y_normal.jpg" xr:uid="{0B9B5E52-4371-42AF-B30A-B5E6F9C98B4D}"/>
    <hyperlink ref="B6945" r:id="rId21443" display="https://twitter.com/dubbusses" xr:uid="{C218044C-B0D4-4823-A920-7A6C70E4071D}"/>
    <hyperlink ref="E6945" r:id="rId21444" display="https://twitter.com/dubbusses/status/724148734116896768" xr:uid="{9AE69AF4-E03C-4054-8F65-2980DAFE57A1}"/>
    <hyperlink ref="O6945" r:id="rId21445" display="https://pbs.twimg.com/profile_images/718835727027580928/1ssyQ67y_normal.jpg" xr:uid="{FD62A951-9D67-45EE-923B-3104956B7DCD}"/>
    <hyperlink ref="B6946" r:id="rId21446" display="https://twitter.com/dubbusses" xr:uid="{6239DFDA-DFE4-40BF-8B4B-A52E2452F927}"/>
    <hyperlink ref="E6946" r:id="rId21447" display="https://twitter.com/dubbusses/status/724148746452381696" xr:uid="{BCCE14BD-6A5E-4270-B118-35A04165C7BE}"/>
    <hyperlink ref="O6946" r:id="rId21448" display="https://pbs.twimg.com/profile_images/718835727027580928/1ssyQ67y_normal.jpg" xr:uid="{66C48BAA-A296-431B-8928-39D1A8F41DCC}"/>
    <hyperlink ref="B6947" r:id="rId21449" display="https://twitter.com/dubbusses" xr:uid="{20851D53-978C-4C90-B15A-729C5BA8612E}"/>
    <hyperlink ref="E6947" r:id="rId21450" display="https://twitter.com/dubbusses/status/724148785392291841" xr:uid="{D89128F5-25EE-44D7-BCA7-99B40DAD2089}"/>
    <hyperlink ref="O6947" r:id="rId21451" display="https://pbs.twimg.com/profile_images/718835727027580928/1ssyQ67y_normal.jpg" xr:uid="{40F95C4D-B7CD-4AAA-87D4-CAF65EFBBE87}"/>
    <hyperlink ref="B6948" r:id="rId21452" display="https://twitter.com/Dignity70" xr:uid="{907D04D4-30F8-40C9-87B5-20A1878C516D}"/>
    <hyperlink ref="E6948" r:id="rId21453" display="https://twitter.com/Dignity70/status/724149247248097281" xr:uid="{EC305FD6-0A50-4989-B477-90E9DF26E1FB}"/>
    <hyperlink ref="O6948" r:id="rId21454" display="https://pbs.twimg.com/profile_images/603129963898904576/S9lWlL6S_normal.jpg" xr:uid="{F2E0AF33-E7F0-4BBB-8D9B-597D05CED187}"/>
    <hyperlink ref="B6949" r:id="rId21455" display="https://twitter.com/dendryad" xr:uid="{331806FA-1224-4B17-A74E-C88C2F2174C8}"/>
    <hyperlink ref="E6949" r:id="rId21456" display="https://twitter.com/dendryad/status/724150165381234689" xr:uid="{EC3EAC98-6D61-4F11-BDB2-9DCD1DB32FF6}"/>
    <hyperlink ref="O6949" r:id="rId21457" display="https://pbs.twimg.com/profile_images/526657704433967104/Qpjvnhkn_normal.png" xr:uid="{6E89538C-48C6-443F-97CF-C98FB3ED20CB}"/>
    <hyperlink ref="B6950" r:id="rId21458" display="https://twitter.com/hjmart" xr:uid="{AFB89009-8F61-4A0F-851E-997DE5479E57}"/>
    <hyperlink ref="E6950" r:id="rId21459" display="https://twitter.com/hjmart/status/724150230665428992" xr:uid="{A5A824E3-655A-4B98-9456-2725342D9FF4}"/>
    <hyperlink ref="O6950" r:id="rId21460" display="https://pbs.twimg.com/profile_images/2987437283/8aeeb0e6e46794096a72acfad98ad036_normal.jpeg" xr:uid="{A64CD899-DDA6-40F7-A786-91679F9D2CA8}"/>
    <hyperlink ref="B6951" r:id="rId21461" display="https://twitter.com/lilicedenice" xr:uid="{A646553E-7494-435B-94DE-E0C408F60A88}"/>
    <hyperlink ref="E6951" r:id="rId21462" display="https://twitter.com/lilicedenice/status/724150393698193408" xr:uid="{CA77CF5C-C204-41FC-847C-3AB29636D208}"/>
    <hyperlink ref="O6951" r:id="rId21463" display="https://pbs.twimg.com/profile_images/718361509907324928/5Ekd53Eu_normal.jpg" xr:uid="{75235BAE-EE09-465D-A6E9-79583982F583}"/>
    <hyperlink ref="B6952" r:id="rId21464" display="https://twitter.com/FuscaWorld" xr:uid="{446B6E60-A8E1-4770-B26B-14F3CFD97292}"/>
    <hyperlink ref="E6952" r:id="rId21465" display="https://twitter.com/FuscaWorld/status/724150741431160832" xr:uid="{8C995D0C-8124-474E-9976-609098B55EEB}"/>
    <hyperlink ref="O6952" r:id="rId21466" display="https://pbs.twimg.com/profile_images/705780107844067328/e7O4UBNb_normal.jpg" xr:uid="{E7941686-1E04-4628-A09D-27513019E7F3}"/>
    <hyperlink ref="B6953" r:id="rId21467" display="https://twitter.com/plastic_lettuce" xr:uid="{3588AA1F-D76C-411E-A0FC-B057F735B080}"/>
    <hyperlink ref="E6953" r:id="rId21468" display="https://twitter.com/plastic_lettuce/status/724150823828226048" xr:uid="{5072C97D-2526-4AE5-BD73-6E3ABD7077AE}"/>
    <hyperlink ref="O6953" r:id="rId21469" display="https://pbs.twimg.com/profile_images/714714039478272000/LlNKDsY5_normal.jpg" xr:uid="{BF0D2279-8F9E-4E8F-BA03-C76DD9EC6E67}"/>
    <hyperlink ref="B6954" r:id="rId21470" display="https://twitter.com/Soulvability" xr:uid="{7C9EFD5C-F924-4AEA-BEA9-04163867D763}"/>
    <hyperlink ref="E6954" r:id="rId21471" display="https://twitter.com/Soulvability/status/724151090065891329" xr:uid="{5F4E3295-C34F-409A-9EC2-4F11E00635CA}"/>
    <hyperlink ref="O6954" r:id="rId21472" display="https://pbs.twimg.com/profile_images/2654752586/a84c87946d743f821020c99db923b263_normal.png" xr:uid="{166DBE11-FBCE-4158-B6B9-0C27EB212E7C}"/>
    <hyperlink ref="B6955" r:id="rId21473" display="https://twitter.com/JohanVugt" xr:uid="{BB2A11B5-5332-42AB-B173-88B6DE95753E}"/>
    <hyperlink ref="E6955" r:id="rId21474" display="https://twitter.com/JohanVugt/status/724151463413469184" xr:uid="{99599FB3-0880-49F0-906A-722F270E9B8E}"/>
    <hyperlink ref="O6955" r:id="rId21475" display="https://pbs.twimg.com/profile_images/662371572334899201/pEgOGO4U_normal.jpg" xr:uid="{CE699B15-DFB7-4697-93DD-382390A6B8DD}"/>
    <hyperlink ref="B6956" r:id="rId21476" display="https://twitter.com/ebaycampervans" xr:uid="{158A0E82-C211-4D2D-936A-191D199546F7}"/>
    <hyperlink ref="E6956" r:id="rId21477" display="https://twitter.com/ebaycampervans/status/724151904998051840" xr:uid="{F3CA6ED1-63F1-4E07-B4BE-3A82C89AE245}"/>
    <hyperlink ref="O6956" r:id="rId21478" display="https://pbs.twimg.com/profile_images/599357023407464449/BL9Bpo6T_normal.jpg" xr:uid="{F4F6F90E-6433-4B47-845F-90D79CA54809}"/>
    <hyperlink ref="B6957" r:id="rId21479" display="https://twitter.com/yggep74" xr:uid="{CD7012E3-262E-4E68-897F-E24BAD8B3079}"/>
    <hyperlink ref="E6957" r:id="rId21480" display="https://twitter.com/yggep74/status/724151991904157696" xr:uid="{8FADFEEB-9750-4CA7-861B-8799BA9C2F4D}"/>
    <hyperlink ref="O6957" r:id="rId21481" display="https://pbs.twimg.com/profile_images/3503620879/70f6c39813a3680aaed9f3a618b9f973_normal.jpeg" xr:uid="{09A24B93-8FFB-4D7E-BE76-4EB200BF71A4}"/>
    <hyperlink ref="B6958" r:id="rId21482" display="https://twitter.com/Scirocco_Tuning" xr:uid="{129EE7EB-CCA4-497B-815A-EC5B804835CA}"/>
    <hyperlink ref="E6958" r:id="rId21483" display="https://twitter.com/Scirocco_Tuning/status/724152087228108800" xr:uid="{475A97D7-67F2-4AF3-8F7C-7216302B79D3}"/>
    <hyperlink ref="O6958" r:id="rId21484" display="https://pbs.twimg.com/profile_images/1610421423/Image2_normal.jpg" xr:uid="{9CDBC85B-F85E-41DB-82EF-9FE5AF54A972}"/>
    <hyperlink ref="B6959" r:id="rId21485" display="https://twitter.com/autofreshnews" xr:uid="{4425975C-89F7-40E4-A922-A58E4375265F}"/>
    <hyperlink ref="E6959" r:id="rId21486" display="https://twitter.com/autofreshnews/status/724152289661874176" xr:uid="{715CA61F-B499-40ED-A1E8-321DB92743EF}"/>
    <hyperlink ref="O6959" r:id="rId21487" display="https://pbs.twimg.com/profile_images/2993695854/bfc038b9654b5476fb581d347c90508a_normal.png" xr:uid="{259B1500-544C-4C8A-B556-9E1142E34CA8}"/>
    <hyperlink ref="B6960" r:id="rId21488" display="https://twitter.com/Svratiti" xr:uid="{C20C691B-71DB-438A-9FE4-3097F8FA2763}"/>
    <hyperlink ref="C6960" r:id="rId21489" xr:uid="{4F30BE9D-F0A7-42FA-9804-1BA7B6AB9B83}"/>
    <hyperlink ref="E6960" r:id="rId21490" display="https://twitter.com/Svratiti/status/724152417420451840" xr:uid="{E3D35104-F88F-46F0-96FA-CDE809C4DD19}"/>
    <hyperlink ref="O6960" r:id="rId21491" display="https://pbs.twimg.com/profile_images/718720041194233856/q2RfyvDp_normal.jpg" xr:uid="{088682ED-6FEF-4895-AB55-A7C0C1772B80}"/>
    <hyperlink ref="B6961" r:id="rId21492" display="https://twitter.com/VWBeetleSales" xr:uid="{8D5CB644-2E13-4FB4-B636-74F41D3208E5}"/>
    <hyperlink ref="E6961" r:id="rId21493" display="https://twitter.com/VWBeetleSales/status/724152663454044160" xr:uid="{AA19173B-3760-4532-9C18-EA95DA95297F}"/>
    <hyperlink ref="F6961" r:id="rId21494" xr:uid="{0277E9FF-5FD1-48A6-937D-B5120D103DF5}"/>
    <hyperlink ref="O6961" r:id="rId21495" display="https://pbs.twimg.com/profile_images/703294545195307008/qeCvrX86_normal.jpg" xr:uid="{9C74E50F-7A7D-4854-9A47-4DCB85669588}"/>
    <hyperlink ref="B6962" r:id="rId21496" display="https://twitter.com/rajesh12june" xr:uid="{D90C59DF-484D-4AEA-B1A8-4C2C3BABF51C}"/>
    <hyperlink ref="E6962" r:id="rId21497" display="https://twitter.com/rajesh12june/status/724152807608225792" xr:uid="{1409BEBA-647D-4EF6-B772-21942565EEEF}"/>
    <hyperlink ref="O6962" r:id="rId21498" display="https://pbs.twimg.com/profile_images/621995740177379328/YJAQstq5_normal.jpg" xr:uid="{F41E2486-BB72-49A9-BF39-AF0501388F83}"/>
    <hyperlink ref="B6963" r:id="rId21499" display="https://twitter.com/JensHenriksson" xr:uid="{A4FA08BB-22F6-4EE7-8FBC-BC0465574539}"/>
    <hyperlink ref="E6963" r:id="rId21500" display="https://twitter.com/JensHenriksson/status/724152818240724992" xr:uid="{83A19323-173F-48A6-94DC-03A92129F3EC}"/>
    <hyperlink ref="O6963" r:id="rId21501" display="https://pbs.twimg.com/profile_images/150238881/DSC_1610_normal.jpg" xr:uid="{04A07A6E-F7F5-440A-B4EE-5066D83DD048}"/>
    <hyperlink ref="B6964" r:id="rId21502" display="https://twitter.com/RFN19" xr:uid="{3ED9E938-171D-448E-835D-B3EAD6FD0FB1}"/>
    <hyperlink ref="E6964" r:id="rId21503" display="https://twitter.com/RFN19/status/724152947353878528" xr:uid="{68167088-7647-499C-B752-E8803B91F231}"/>
    <hyperlink ref="O6964" r:id="rId21504" display="https://pbs.twimg.com/profile_images/571872729201012736/GOT-p0KX_normal.jpeg" xr:uid="{48C7CC23-9B87-41A1-86EE-09C6018BC6C5}"/>
    <hyperlink ref="B6965" r:id="rId21505" display="https://twitter.com/FilippoGiov" xr:uid="{E0997D92-ADB2-472D-98A7-D296CB8E9A45}"/>
    <hyperlink ref="E6965" r:id="rId21506" display="https://twitter.com/FilippoGiov/status/724154060027375617" xr:uid="{30E5D86B-B384-4101-9DD2-6933536F286C}"/>
    <hyperlink ref="O6965" r:id="rId21507" display="https://pbs.twimg.com/profile_images/722831566737698816/KWkcQf8n_normal.jpg" xr:uid="{FD3F114E-FB49-4D3B-A0EF-F4F88638C85A}"/>
    <hyperlink ref="B6966" r:id="rId21508" display="https://twitter.com/vijeyamernath" xr:uid="{F6CBC386-D04A-4925-A028-31B6312CBE6C}"/>
    <hyperlink ref="E6966" r:id="rId21509" display="https://twitter.com/vijeyamernath/status/724154154776702976" xr:uid="{96CED802-3DB0-446B-B7CB-3A4135ECCA61}"/>
    <hyperlink ref="O6966" r:id="rId21510" display="https://pbs.twimg.com/profile_images/464052841162633216/_IVpzkY6_normal.jpeg" xr:uid="{A46E12FA-7155-4931-B91F-83425E581BE3}"/>
    <hyperlink ref="B6967" r:id="rId21511" display="https://twitter.com/hannover_messe" xr:uid="{E6A9E18C-0D78-4F3A-A38B-B3E2AA8AF8E2}"/>
    <hyperlink ref="E6967" r:id="rId21512" display="https://twitter.com/hannover_messe/status/724154285093695488" xr:uid="{F5700EB5-20AD-4859-AED6-FA8CE682D251}"/>
    <hyperlink ref="O6967" r:id="rId21513" display="https://pbs.twimg.com/profile_images/685255985/Bild_2_normal.png" xr:uid="{5B675691-D8C4-4C53-882D-0B4C728F9875}"/>
    <hyperlink ref="B6968" r:id="rId21514" display="https://twitter.com/jannikkel6" xr:uid="{EDF08A75-D232-48F6-A87F-7C1A99C29BF3}"/>
    <hyperlink ref="E6968" r:id="rId21515" display="https://twitter.com/jannikkel6/status/724154450772918272" xr:uid="{C8B7719F-F1DD-48E7-85BB-7243FDDEEEB1}"/>
    <hyperlink ref="O6968" r:id="rId21516" display="https://pbs.twimg.com/profile_images/588735849979842560/-5qGoCul_normal.png" xr:uid="{54731226-1F5A-43A8-A201-42866B174AFF}"/>
    <hyperlink ref="B6969" r:id="rId21517" display="https://twitter.com/_princesinha_15" xr:uid="{84EF0CED-5258-45EE-896A-3BB1C273DAA3}"/>
    <hyperlink ref="E6969" r:id="rId21518" display="https://twitter.com/_princesinha_15/status/724154888746340352" xr:uid="{A09C41B9-ED30-4789-8A05-58780232494B}"/>
    <hyperlink ref="O6969" r:id="rId21519" display="https://pbs.twimg.com/profile_images/721732844565983232/i7oXhUd2_normal.jpg" xr:uid="{D30C4972-C533-4EA3-8361-C440DBB867A6}"/>
    <hyperlink ref="B6970" r:id="rId21520" display="https://twitter.com/pizzapickupltd" xr:uid="{51F52B7C-D4D2-4CF4-A3F9-505E8F1387A6}"/>
    <hyperlink ref="E6970" r:id="rId21521" display="https://twitter.com/pizzapickupltd/status/724155007419953153" xr:uid="{4A9CB17D-7287-4DD5-8E3D-14D81F1AD86D}"/>
    <hyperlink ref="O6970" r:id="rId21522" display="https://pbs.twimg.com/profile_images/703666975021654018/wFXXPWaE_normal.jpg" xr:uid="{28A08C71-A053-452F-801D-B6FB945383A2}"/>
    <hyperlink ref="B6971" r:id="rId21523" display="https://twitter.com/JMJM197" xr:uid="{1023C948-0B78-4F53-BEF0-A0409D9F5E22}"/>
    <hyperlink ref="E6971" r:id="rId21524" display="https://twitter.com/JMJM197/status/724155168439283712" xr:uid="{DDFF8627-0EA2-4A83-B613-1EFC1A1C24F8}"/>
    <hyperlink ref="O6971" r:id="rId21525" display="https://pbs.twimg.com/profile_images/675606853649375232/OU7vaW6-_normal.jpg" xr:uid="{BDC1A587-2E26-4132-88F6-0F62DF798310}"/>
    <hyperlink ref="B6972" r:id="rId21526" display="https://twitter.com/DeezaSunglasses" xr:uid="{CCCCEE01-4FC0-4DBA-88F6-4B109A8FE03F}"/>
    <hyperlink ref="E6972" r:id="rId21527" display="https://twitter.com/DeezaSunglasses/status/724155357858242560" xr:uid="{C15AFE2C-AC77-49D3-B81C-94E89FF72B2D}"/>
    <hyperlink ref="O6972" r:id="rId21528" display="https://pbs.twimg.com/profile_images/681930519152619524/O4FX8h-k_normal.jpg" xr:uid="{82A0670F-0AAB-4949-97D6-A426A6717FA3}"/>
    <hyperlink ref="B6973" r:id="rId21529" display="https://twitter.com/DeKonzument" xr:uid="{69B6BFCF-D704-4AF1-A94C-0E13DAB42362}"/>
    <hyperlink ref="E6973" r:id="rId21530" display="https://twitter.com/DeKonzument/status/724155444697153536" xr:uid="{448D3621-EDA6-42BB-AE47-316252AB0AD5}"/>
    <hyperlink ref="O6973" r:id="rId21531" display="https://pbs.twimg.com/profile_images/712714144231919617/tMSqEETl_normal.jpg" xr:uid="{352C9D73-6343-496B-82D0-18E4A78DA6D0}"/>
    <hyperlink ref="B6974" r:id="rId21532" display="https://twitter.com/pizzapickupltd" xr:uid="{55C2017E-AA4C-4F5F-B777-CBEC8F98A3DB}"/>
    <hyperlink ref="E6974" r:id="rId21533" display="https://twitter.com/pizzapickupltd/status/724156580380434432" xr:uid="{4337F5FB-F39B-48DB-A18D-C08887EB82BB}"/>
    <hyperlink ref="O6974" r:id="rId21534" display="https://pbs.twimg.com/profile_images/703666975021654018/wFXXPWaE_normal.jpg" xr:uid="{1C159B00-454C-45FA-BCEF-1C2AC18AC634}"/>
    <hyperlink ref="B6975" r:id="rId21535" display="https://twitter.com/VolkswagenPost" xr:uid="{BF0596C7-7571-4766-BF16-5A93190AEAA4}"/>
    <hyperlink ref="E6975" r:id="rId21536" display="https://twitter.com/VolkswagenPost/status/724156975236280320" xr:uid="{F55FF349-9A14-4CB9-A5A8-7764FC57BB3B}"/>
    <hyperlink ref="O6975" r:id="rId21537" display="https://pbs.twimg.com/profile_images/530071272881803264/a_jcCmPZ_normal.png" xr:uid="{597FF416-F3D8-441C-8584-06D6B277BC42}"/>
    <hyperlink ref="B6976" r:id="rId21538" display="https://twitter.com/Impalfa" xr:uid="{76BCA472-8688-4572-95CC-F61700A03F1A}"/>
    <hyperlink ref="E6976" r:id="rId21539" display="https://twitter.com/Impalfa/status/724157023365918722" xr:uid="{B8789EAA-E390-4E5C-B4E3-13D1451F23BA}"/>
    <hyperlink ref="O6976" r:id="rId21540" display="https://pbs.twimg.com/profile_images/378800000213755302/28f339436050b0c83caa092a3087f1ad_normal.jpeg" xr:uid="{73E50FDC-EBB7-41E8-ABC0-A8837BD5ED09}"/>
    <hyperlink ref="B6977" r:id="rId21541" display="https://twitter.com/JonasHoefgen" xr:uid="{5B2F72C6-A155-4384-A205-8FC9824EE01B}"/>
    <hyperlink ref="E6977" r:id="rId21542" display="https://twitter.com/JonasHoefgen/status/724157573180579840" xr:uid="{9CB70131-F8D7-4F84-BE25-DED565EEAB51}"/>
    <hyperlink ref="O6977" r:id="rId21543" display="https://pbs.twimg.com/profile_images/681130445828915200/WUtV_5WK_normal.jpg" xr:uid="{D2713AE2-AB8F-4372-8B0D-87FCF6E3CCFD}"/>
    <hyperlink ref="B6978" r:id="rId21544" display="https://twitter.com/Tobias_aus_L" xr:uid="{A976F446-CB26-426D-9068-828F2EBD72F4}"/>
    <hyperlink ref="E6978" r:id="rId21545" display="https://twitter.com/Tobias_aus_L/status/724157816886419456" xr:uid="{1C2622A3-AE66-41DE-9C5F-DEA22901C854}"/>
    <hyperlink ref="O6978" r:id="rId21546" display="https://pbs.twimg.com/profile_images/565947130196799488/RCyKnmYI_normal.jpeg" xr:uid="{EE7F7E40-28D8-4B83-841F-5DF1A4D61A1C}"/>
    <hyperlink ref="B6979" r:id="rId21547" display="https://twitter.com/BliouxKirkby" xr:uid="{4CDD7275-E562-437B-B19B-03C81AA9AA06}"/>
    <hyperlink ref="E6979" r:id="rId21548" display="https://twitter.com/BliouxKirkby/status/724158598415323137" xr:uid="{B2B5840D-9492-4D9D-9B31-4D0C50F9B1D6}"/>
    <hyperlink ref="O6979" r:id="rId21549" display="https://pbs.twimg.com/profile_images/551677443036413952/rpDchzFG_normal.jpeg" xr:uid="{AF36B91B-29D0-4F76-B89A-6867DE1BFD4C}"/>
    <hyperlink ref="B6980" r:id="rId21550" display="https://twitter.com/BliouxKirkby" xr:uid="{23433435-BE50-4D51-ADCF-D21A353EEC28}"/>
    <hyperlink ref="E6980" r:id="rId21551" display="https://twitter.com/BliouxKirkby/status/724158652354048000" xr:uid="{18CD9CA3-C621-4DE9-A0A1-011CEA04A421}"/>
    <hyperlink ref="O6980" r:id="rId21552" display="https://pbs.twimg.com/profile_images/551677443036413952/rpDchzFG_normal.jpeg" xr:uid="{B61BE4F1-541F-4DAD-A937-C70C71837F8C}"/>
    <hyperlink ref="B6981" r:id="rId21553" display="https://twitter.com/HansTheGerman" xr:uid="{1EFE1D2F-E6D8-4661-9641-72E16E5D9E8B}"/>
    <hyperlink ref="E6981" r:id="rId21554" display="https://twitter.com/HansTheGerman/status/724159790662979584" xr:uid="{D4979F3D-B2D5-495C-8F03-9AE4C4B0EEA0}"/>
    <hyperlink ref="O6981" r:id="rId21555" display="https://pbs.twimg.com/profile_images/3012106875/596e712c99a38ec69b925b7f7ab71986_normal.jpeg" xr:uid="{F0F69D9B-173D-4575-B84C-921FE79C0864}"/>
    <hyperlink ref="B6982" r:id="rId21556" display="https://twitter.com/weare_van" xr:uid="{719DD8B3-16DE-4518-A867-FFB3664351FF}"/>
    <hyperlink ref="E6982" r:id="rId21557" display="https://twitter.com/weare_van/status/724160300824576000" xr:uid="{522C4E8A-62E1-4A29-B726-CAE614BE0644}"/>
    <hyperlink ref="O6982" r:id="rId21558" display="https://pbs.twimg.com/profile_images/707176643509538817/-s_VKgK4_normal.jpg" xr:uid="{D0D52D48-C53B-4601-8AEC-825863A903F5}"/>
    <hyperlink ref="B6983" r:id="rId21559" display="https://twitter.com/MarcusCJung" xr:uid="{AA83AAA2-4DE5-4C62-A2AC-06C946C07FDA}"/>
    <hyperlink ref="E6983" r:id="rId21560" display="https://twitter.com/MarcusCJung/status/724161053173645312" xr:uid="{68696B51-7229-4988-BFC9-6D123247F00D}"/>
    <hyperlink ref="O6983" r:id="rId21561" display="https://pbs.twimg.com/profile_images/658684970106507264/fAjFcyfX_normal.jpg" xr:uid="{BFB4738C-10C9-4A79-8096-40DCD723ACFD}"/>
    <hyperlink ref="B6984" r:id="rId21562" display="https://twitter.com/Vagowners" xr:uid="{D26DA62B-2859-403A-98E2-5268792F4A14}"/>
    <hyperlink ref="E6984" r:id="rId21563" display="https://twitter.com/Vagowners/status/724161130243993600" xr:uid="{C487098B-7C4C-4215-8630-6B18C7FB88CC}"/>
    <hyperlink ref="O6984" r:id="rId21564" display="https://pbs.twimg.com/profile_images/718839998531903489/eXyeGppJ_normal.jpg" xr:uid="{CAB89253-4C89-49F1-B311-997335CE29CD}"/>
    <hyperlink ref="B6985" r:id="rId21565" display="https://twitter.com/russell_sim" xr:uid="{43672F70-D700-4C5D-84CF-996A2F144817}"/>
    <hyperlink ref="E6985" r:id="rId21566" display="https://twitter.com/russell_sim/status/724161185755459584" xr:uid="{4C749A23-4921-4C8E-9236-37430CFD4534}"/>
    <hyperlink ref="O6985" r:id="rId21567" display="https://pbs.twimg.com/profile_images/636137995150692353/SzYQtSNS_normal.jpg" xr:uid="{BA59CA73-E18B-4FF2-9B98-9FFDF09BF455}"/>
    <hyperlink ref="B6986" r:id="rId21568" display="https://twitter.com/MissFlusi" xr:uid="{66875B34-FCCA-4A1B-86AA-37CE85CB7880}"/>
    <hyperlink ref="E6986" r:id="rId21569" display="https://twitter.com/MissFlusi/status/724161415825776640" xr:uid="{A81FF171-794D-4FF8-B4B9-372FC16299E1}"/>
    <hyperlink ref="O6986" r:id="rId21570" display="https://pbs.twimg.com/profile_images/708723135009464320/Ppp2D2rz_normal.jpg" xr:uid="{8358C3FA-F32C-4EA5-9564-DFF0363332A3}"/>
    <hyperlink ref="B6987" r:id="rId21571" display="https://twitter.com/TatiiVenegaa" xr:uid="{5CBC8B91-9B52-4873-996F-F989EFB07CE5}"/>
    <hyperlink ref="E6987" r:id="rId21572" display="https://twitter.com/TatiiVenegaa/status/724161437875208192" xr:uid="{2947D4FF-7F32-4C4C-8EB6-9A05A1AF859E}"/>
    <hyperlink ref="O6987" r:id="rId21573" display="https://pbs.twimg.com/profile_images/721595242454102016/kTiUFitK_normal.jpg" xr:uid="{508B10F2-C44E-4665-9C2F-49FBB59D56FE}"/>
    <hyperlink ref="B6988" r:id="rId21574" display="https://twitter.com/VWBeetleSales" xr:uid="{FE3D1E1F-2C5A-4ADA-BEC6-BB8A7AC97037}"/>
    <hyperlink ref="E6988" r:id="rId21575" display="https://twitter.com/VWBeetleSales/status/724161504354816001" xr:uid="{4DD94E3A-23BD-46E4-9BE2-CCEC66B85A38}"/>
    <hyperlink ref="F6988" r:id="rId21576" xr:uid="{DD20D386-5B4C-4738-ABBA-1CBD0EA5A76E}"/>
    <hyperlink ref="O6988" r:id="rId21577" display="https://pbs.twimg.com/profile_images/703294545195307008/qeCvrX86_normal.jpg" xr:uid="{3699EF10-C353-41DB-8E15-B9A0906E7713}"/>
    <hyperlink ref="B6989" r:id="rId21578" display="https://twitter.com/VWCamperSales" xr:uid="{F161BDB0-A91B-4ED9-B50E-E9BA882727C1}"/>
    <hyperlink ref="E6989" r:id="rId21579" display="https://twitter.com/VWCamperSales/status/724161510172332032" xr:uid="{66C606E2-DF82-4A5A-B6D9-596E5D007B5C}"/>
    <hyperlink ref="F6989" r:id="rId21580" xr:uid="{112B9941-EE2B-43BB-9902-00889EF2F4CB}"/>
    <hyperlink ref="O6989" r:id="rId21581" display="https://pbs.twimg.com/profile_images/627949001179037696/skEBkS05_normal.jpg" xr:uid="{6615E1C1-DD6A-4B4B-B572-4E4505420FED}"/>
    <hyperlink ref="B6990" r:id="rId21582" display="https://twitter.com/VWCamperSales" xr:uid="{80E36702-A69D-4389-AEEB-4A0F28932356}"/>
    <hyperlink ref="E6990" r:id="rId21583" display="https://twitter.com/VWCamperSales/status/724161525846446080" xr:uid="{FE9F5567-3FD2-4CDC-92C8-894959C8BF5B}"/>
    <hyperlink ref="F6990" r:id="rId21584" xr:uid="{64D3525D-E9D2-4B4E-885D-F95D9B6C728F}"/>
    <hyperlink ref="O6990" r:id="rId21585" display="https://pbs.twimg.com/profile_images/627949001179037696/skEBkS05_normal.jpg" xr:uid="{6B274592-054A-45A8-A57D-01FD4C758816}"/>
    <hyperlink ref="B6991" r:id="rId21586" display="https://twitter.com/McGeiz" xr:uid="{03FA7E8E-08AF-4EFB-AA2A-AA45C471EA6E}"/>
    <hyperlink ref="E6991" r:id="rId21587" display="https://twitter.com/McGeiz/status/724161776443645953" xr:uid="{24BDD02A-52F6-4D3D-8B35-6622D0D3BDD3}"/>
    <hyperlink ref="O6991" r:id="rId21588" display="https://pbs.twimg.com/profile_images/717457798070722564/CHXL03jt_normal.jpg" xr:uid="{06ED0312-FDE4-46B2-B68D-6983AABEC850}"/>
    <hyperlink ref="B6992" r:id="rId21589" display="https://twitter.com/ellie_sheppard" xr:uid="{E08613B6-E235-4B20-976E-C91AD369A991}"/>
    <hyperlink ref="E6992" r:id="rId21590" display="https://twitter.com/ellie_sheppard/status/724162010901032960" xr:uid="{0D58ADEB-9F1A-47EC-99BF-93545B66E495}"/>
    <hyperlink ref="O6992" r:id="rId21591" display="https://pbs.twimg.com/profile_images/655401728339267586/e71ZAKtu_normal.jpg" xr:uid="{407FF290-4D9F-46DF-9EFE-EF30680A1F4E}"/>
    <hyperlink ref="B6993" r:id="rId21592" display="https://twitter.com/BlackChapelYard" xr:uid="{397F13D7-CFF0-4B75-9782-B0E2EEC2187F}"/>
    <hyperlink ref="E6993" r:id="rId21593" display="https://twitter.com/BlackChapelYard/status/724162468356984832" xr:uid="{5719AFA3-033C-4FD3-81F5-B81D1A5D2801}"/>
    <hyperlink ref="O6993" r:id="rId21594" display="https://pbs.twimg.com/profile_images/694637128626606080/Jgz3Bfzb_normal.jpg" xr:uid="{D0756573-9C87-4C3C-BC31-7D4D8D1F011A}"/>
    <hyperlink ref="B6994" r:id="rId21595" display="https://twitter.com/nurahzz" xr:uid="{868100AD-C530-48D7-8089-95E4255D0744}"/>
    <hyperlink ref="E6994" r:id="rId21596" display="https://twitter.com/nurahzz/status/724162841658449920" xr:uid="{0C761FA5-8A08-4501-ACDF-12473CA6ED3A}"/>
    <hyperlink ref="O6994" r:id="rId21597" display="https://pbs.twimg.com/profile_images/720582436304908288/SqAQ3rKG_normal.jpg" xr:uid="{C60C4798-905E-4062-A75A-53FBE8AE7919}"/>
    <hyperlink ref="B6995" r:id="rId21598" display="https://twitter.com/beetlebug1938" xr:uid="{022250FF-2426-4363-B779-966EFF33CBD6}"/>
    <hyperlink ref="E6995" r:id="rId21599" display="https://twitter.com/beetlebug1938/status/724163280223215616" xr:uid="{15EE2B67-9337-40F1-ABCB-243802772CB8}"/>
    <hyperlink ref="O6995" r:id="rId21600" display="https://pbs.twimg.com/profile_images/718820712757215233/LXXndPTS_normal.jpg" xr:uid="{28BAB3FB-76B6-4EC7-AC7A-B97F72D546CE}"/>
    <hyperlink ref="B6996" r:id="rId21601" display="https://twitter.com/beetlebug1938" xr:uid="{15405522-D341-4CE9-9F08-C3C46DCFEE58}"/>
    <hyperlink ref="E6996" r:id="rId21602" display="https://twitter.com/beetlebug1938/status/724163294026711040" xr:uid="{5A29CAB2-5CE3-45CF-ABC8-15731E22E6E6}"/>
    <hyperlink ref="O6996" r:id="rId21603" display="https://pbs.twimg.com/profile_images/718820712757215233/LXXndPTS_normal.jpg" xr:uid="{2C01ED6E-4E73-4EB3-B924-FC722C9441AA}"/>
    <hyperlink ref="B6997" r:id="rId21604" display="https://twitter.com/hashtagvanlife" xr:uid="{12F278EF-03A8-4E5D-B85C-B192EA591F36}"/>
    <hyperlink ref="E6997" r:id="rId21605" display="https://twitter.com/hashtagvanlife/status/724163377803747328" xr:uid="{422BA47B-DE25-4EDB-BDC5-A412EB73228A}"/>
    <hyperlink ref="O6997" r:id="rId21606" display="https://pbs.twimg.com/profile_images/653637535545995264/gHuXQ5Bt_normal.jpg" xr:uid="{11098B53-CB11-497C-A858-4DA26425F3E2}"/>
    <hyperlink ref="B6998" r:id="rId21607" display="https://twitter.com/VWBeetleSales" xr:uid="{D5E8D59B-314F-404C-9E88-760BF5C0EB10}"/>
    <hyperlink ref="E6998" r:id="rId21608" display="https://twitter.com/VWBeetleSales/status/724163490890424320" xr:uid="{FCE51EE7-8A58-44B0-815E-9694F37A1A8D}"/>
    <hyperlink ref="F6998" r:id="rId21609" xr:uid="{C8B11057-D8D8-44E5-BE6B-BCA9E47735FE}"/>
    <hyperlink ref="O6998" r:id="rId21610" display="https://pbs.twimg.com/profile_images/703294545195307008/qeCvrX86_normal.jpg" xr:uid="{7863577D-A03C-4882-BE83-0A102829F310}"/>
    <hyperlink ref="B6999" r:id="rId21611" display="https://twitter.com/MorSvinka_83" xr:uid="{496C071C-81F6-463A-BA7E-D4397255B5EA}"/>
    <hyperlink ref="E6999" r:id="rId21612" display="https://twitter.com/MorSvinka_83/status/724163676735938560" xr:uid="{958E3FF2-691C-44AC-B4E2-BB2D7D2DD0D4}"/>
    <hyperlink ref="O6999" r:id="rId21613" display="https://pbs.twimg.com/profile_images/2208847688/Untitled-2_normal.jpg" xr:uid="{F8C41F76-83B7-44C9-AD3B-B9F970C1F294}"/>
    <hyperlink ref="B7000" r:id="rId21614" display="https://twitter.com/dubbusses" xr:uid="{E6E79301-6A6A-4CA7-86FD-0EADB04B26C1}"/>
    <hyperlink ref="E7000" r:id="rId21615" display="https://twitter.com/dubbusses/status/724163812300042241" xr:uid="{03E410C5-4417-4693-98FD-DE301EC04084}"/>
    <hyperlink ref="O7000" r:id="rId21616" display="https://pbs.twimg.com/profile_images/718835727027580928/1ssyQ67y_normal.jpg" xr:uid="{28F759F7-3B92-4DC1-8C14-18147678EF29}"/>
    <hyperlink ref="B7001" r:id="rId21617" display="https://twitter.com/dubbusses" xr:uid="{F0FB21EA-B04D-49D6-A131-2861E8253091}"/>
    <hyperlink ref="E7001" r:id="rId21618" display="https://twitter.com/dubbusses/status/724163819916931073" xr:uid="{DE97C6A2-EF96-4A08-8088-37C539BDC3A3}"/>
    <hyperlink ref="O7001" r:id="rId21619" display="https://pbs.twimg.com/profile_images/718835727027580928/1ssyQ67y_normal.jpg" xr:uid="{78970543-26CA-42DB-94E7-D1C531F7D711}"/>
    <hyperlink ref="B7002" r:id="rId21620" display="https://twitter.com/dubbusses" xr:uid="{32B079AD-AA77-4988-A8F0-904FD81CF595}"/>
    <hyperlink ref="E7002" r:id="rId21621" display="https://twitter.com/dubbusses/status/724163846303305728" xr:uid="{95DC7F55-17D9-4F22-9F09-FDCAA0A00E14}"/>
    <hyperlink ref="O7002" r:id="rId21622" display="https://pbs.twimg.com/profile_images/718835727027580928/1ssyQ67y_normal.jpg" xr:uid="{B1C3CDE8-8694-4A55-B926-4F3B3CB13808}"/>
    <hyperlink ref="B7003" r:id="rId21623" display="https://twitter.com/JulikaBrand" xr:uid="{7D8DD777-E154-45B9-B14D-9276A82CFE8A}"/>
    <hyperlink ref="E7003" r:id="rId21624" display="https://twitter.com/JulikaBrand/status/724163852737351680" xr:uid="{FB7DE34B-54B8-41B2-AFF7-093717A86522}"/>
    <hyperlink ref="O7003" r:id="rId21625" display="https://pbs.twimg.com/profile_images/663455849206169601/9s3yzE9j_normal.jpg" xr:uid="{EF193E11-5AEA-4D40-AF75-A9E16DB5B03C}"/>
    <hyperlink ref="B7004" r:id="rId21626" display="https://twitter.com/dubbusses" xr:uid="{8EDA1600-F1E3-4DD1-AE23-C5B6C4B67860}"/>
    <hyperlink ref="E7004" r:id="rId21627" display="https://twitter.com/dubbusses/status/724163857372073984" xr:uid="{A31C6A85-C4E2-4A5C-98E3-5C4CF0C9738A}"/>
    <hyperlink ref="O7004" r:id="rId21628" display="https://pbs.twimg.com/profile_images/718835727027580928/1ssyQ67y_normal.jpg" xr:uid="{604303AC-3618-48AF-8ACC-BF852CC291A0}"/>
    <hyperlink ref="B7005" r:id="rId21629" display="https://twitter.com/PorscheOfficApp" xr:uid="{15A5B548-BDFA-4C81-82DE-0F67B055EE73}"/>
    <hyperlink ref="E7005" r:id="rId21630" display="https://twitter.com/PorscheOfficApp/status/724164086422974464" xr:uid="{6BB443F1-4052-48BB-91CE-788ADFBEB580}"/>
    <hyperlink ref="O7005" r:id="rId21631" display="https://pbs.twimg.com/profile_images/684716541322072065/eXpLts42_normal.jpg" xr:uid="{D461F93E-80AF-4099-9C77-742F3E6255CB}"/>
    <hyperlink ref="B7006" r:id="rId21632" display="https://twitter.com/autofashion_imp" xr:uid="{8EA9A698-AB26-4FE6-B999-58EB7B731CA8}"/>
    <hyperlink ref="E7006" r:id="rId21633" display="https://twitter.com/autofashion_imp/status/724164090168508416" xr:uid="{07E8ABFB-8629-4706-BB54-B0FFB2171BEE}"/>
    <hyperlink ref="O7006" r:id="rId21634" display="https://pbs.twimg.com/profile_images/696540811/logo2_normal.jpg" xr:uid="{71B30982-68E7-4885-8BDE-24BB63562EB0}"/>
    <hyperlink ref="P7006" r:id="rId21635" location="34.74464484,135.38697905" display="http://ctrlq.org/maps/address/ - 34.74464484,135.38697905" xr:uid="{6567DF9B-10DC-4954-BA52-116F4F14358C}"/>
    <hyperlink ref="B7007" r:id="rId21636" display="https://twitter.com/androidec17serg" xr:uid="{12376157-81C6-4976-B785-96286B57CD65}"/>
    <hyperlink ref="E7007" r:id="rId21637" display="https://twitter.com/androidec17serg/status/724165229127581697" xr:uid="{7C1ED61C-854D-4309-A263-611F1C014DD2}"/>
    <hyperlink ref="O7007" r:id="rId21638" display="https://pbs.twimg.com/profile_images/675712248791343105/O7wvO-a__normal.jpg" xr:uid="{5BD99431-92D4-4F29-9830-A51F733B1C4F}"/>
    <hyperlink ref="B7008" r:id="rId21639" display="https://twitter.com/VWCamperSales" xr:uid="{9C7F47CE-C586-4B01-976C-B3CDC57B062C}"/>
    <hyperlink ref="E7008" r:id="rId21640" display="https://twitter.com/VWCamperSales/status/724165250182860800" xr:uid="{19617291-E3DA-4BB1-9494-D732465298F2}"/>
    <hyperlink ref="F7008" r:id="rId21641" xr:uid="{2774AAA0-C53A-469D-BFE9-601A98E4663D}"/>
    <hyperlink ref="O7008" r:id="rId21642" display="https://pbs.twimg.com/profile_images/627949001179037696/skEBkS05_normal.jpg" xr:uid="{5583123B-AA04-467D-9DEF-797B3A975C4E}"/>
    <hyperlink ref="B7009" r:id="rId21643" display="https://twitter.com/BurggrabenH" xr:uid="{CD18BA06-8F6A-415C-9E1B-4E9484ECFF36}"/>
    <hyperlink ref="E7009" r:id="rId21644" display="https://twitter.com/BurggrabenH/status/724165324564762624" xr:uid="{F86AEFEB-9952-4E20-B5A5-CD86168836B1}"/>
    <hyperlink ref="O7009" r:id="rId21645" display="https://pbs.twimg.com/profile_images/524928538395570176/kSpd7Y_x_normal.jpeg" xr:uid="{321D6EF7-E2A1-496F-AFE8-00FDE09EB182}"/>
    <hyperlink ref="B7010" r:id="rId21646" display="https://twitter.com/WimKweekel" xr:uid="{935AEAD2-CAFA-4E11-883F-DEA0ADACE432}"/>
    <hyperlink ref="E7010" r:id="rId21647" display="https://twitter.com/WimKweekel/status/724165418584268800" xr:uid="{73E2A67D-C071-4BBC-8616-EABDC279F399}"/>
    <hyperlink ref="O7010" r:id="rId21648" display="https://pbs.twimg.com/profile_images/505274086763671552/mmwkSl8F_normal.jpeg" xr:uid="{3F3E397E-9B1B-4C96-B381-5CB2F5404D8B}"/>
    <hyperlink ref="B7011" r:id="rId21649" display="https://twitter.com/swanswaygroup" xr:uid="{8E36E44D-4E83-4248-ABEB-F6A88F000D61}"/>
    <hyperlink ref="E7011" r:id="rId21650" display="https://twitter.com/swanswaygroup/status/724165515900375040" xr:uid="{A5AEF275-9BB0-4262-AC38-F823FA65A7A1}"/>
    <hyperlink ref="O7011" r:id="rId21651" display="https://pbs.twimg.com/profile_images/552037189328982016/r65JRGTS_normal.jpeg" xr:uid="{A7186B8E-2DC8-4F28-8445-1CCA918740D7}"/>
    <hyperlink ref="B7012" r:id="rId21652" display="https://twitter.com/crewevw" xr:uid="{77C97CCC-061A-417B-8F24-7C7A13945F0B}"/>
    <hyperlink ref="E7012" r:id="rId21653" display="https://twitter.com/crewevw/status/724165516575666176" xr:uid="{6F56FDDB-8B1F-4045-86B2-F751F56C4FFE}"/>
    <hyperlink ref="O7012" r:id="rId21654" display="https://pbs.twimg.com/profile_images/488678354338324481/_qtBruR6_normal.jpeg" xr:uid="{E48A3501-E161-4A86-89C8-76C86EEEB821}"/>
    <hyperlink ref="B7013" r:id="rId21655" display="https://twitter.com/petrichorpam" xr:uid="{DB344862-9EE7-4D05-ADCE-69C43263CB56}"/>
    <hyperlink ref="E7013" r:id="rId21656" display="https://twitter.com/petrichorpam/status/724165769047633920" xr:uid="{4B2825D6-1A5A-440A-8760-4A003E8601C1}"/>
    <hyperlink ref="O7013" r:id="rId21657" display="https://pbs.twimg.com/profile_images/724040319298195456/O41pQ7tc_normal.jpg" xr:uid="{B33542CA-1795-4C48-AD2B-F4B6C7888CFA}"/>
    <hyperlink ref="B7014" r:id="rId21658" display="https://twitter.com/KlaasBrongers" xr:uid="{8360C076-842F-4DC2-99D0-F7D2D6823770}"/>
    <hyperlink ref="E7014" r:id="rId21659" display="https://twitter.com/KlaasBrongers/status/724166719846158336" xr:uid="{7235ECCD-B900-4877-A2A3-83EEDAD6F98C}"/>
    <hyperlink ref="O7014" r:id="rId21660" display="https://pbs.twimg.com/profile_images/222183464/IMG_1848_2617_normal.JPG" xr:uid="{5D8B3024-21AD-4A2C-8F93-AB9CE9366C83}"/>
    <hyperlink ref="B7015" r:id="rId21661" display="https://twitter.com/VolkswagenPost" xr:uid="{F355D9A9-244E-4887-8E8F-B95FAAAE257B}"/>
    <hyperlink ref="E7015" r:id="rId21662" display="https://twitter.com/VolkswagenPost/status/724166967129702400" xr:uid="{252A59E2-D4F1-4B44-9A26-628FB9AEE34C}"/>
    <hyperlink ref="O7015" r:id="rId21663" display="https://pbs.twimg.com/profile_images/530071272881803264/a_jcCmPZ_normal.png" xr:uid="{72DA8E9F-0495-4BCB-B20B-6DBAC5B48810}"/>
    <hyperlink ref="B7016" r:id="rId21664" display="https://twitter.com/VolkswagenPost" xr:uid="{519B1306-7F41-4473-9D5E-0A456F9BDBA0}"/>
    <hyperlink ref="E7016" r:id="rId21665" display="https://twitter.com/VolkswagenPost/status/724166968287330304" xr:uid="{73CB6126-71A7-4E8E-BD00-0C7C9C35B530}"/>
    <hyperlink ref="O7016" r:id="rId21666" display="https://pbs.twimg.com/profile_images/530071272881803264/a_jcCmPZ_normal.png" xr:uid="{57B99064-5231-4B34-B367-CC22EBAAB811}"/>
    <hyperlink ref="B7017" r:id="rId21667" display="https://twitter.com/SanRMaadhwa" xr:uid="{7659D2F2-579D-46F4-A2A2-069F8E33EACB}"/>
    <hyperlink ref="E7017" r:id="rId21668" display="https://twitter.com/SanRMaadhwa/status/724167508303994880" xr:uid="{4788B710-9960-4085-B7B5-569D1B5A951D}"/>
    <hyperlink ref="O7017" r:id="rId21669" display="https://pbs.twimg.com/profile_images/679504135125778432/O4eV8Rwx_normal.jpg" xr:uid="{9AEEF309-46E9-4869-A5B2-732B35589490}"/>
    <hyperlink ref="B7018" r:id="rId21670" display="https://twitter.com/Joerg_Koper" xr:uid="{DFE47372-9324-4315-89D7-21DA8E6B1BB5}"/>
    <hyperlink ref="E7018" r:id="rId21671" display="https://twitter.com/Joerg_Koper/status/724167728702099456" xr:uid="{17043CB5-1AE9-4B7C-B928-8FE15447427E}"/>
    <hyperlink ref="O7018" r:id="rId21672" display="https://pbs.twimg.com/profile_images/434788311308054528/SqZ-cQzT_normal.jpeg" xr:uid="{527F0292-8FD3-4699-8BDC-0BBBA8D4E39B}"/>
    <hyperlink ref="B7019" r:id="rId21673" display="https://twitter.com/rockettoplay" xr:uid="{ECCD419D-B038-4FB1-A387-503310CCF3C2}"/>
    <hyperlink ref="E7019" r:id="rId21674" display="https://twitter.com/rockettoplay/status/724167833790353408" xr:uid="{3576C144-C2AE-4CE8-9214-E5A79CC251CB}"/>
    <hyperlink ref="O7019" r:id="rId21675" display="https://pbs.twimg.com/profile_images/717669252359127041/POZiKojj_normal.jpg" xr:uid="{56DCADCD-76D6-485C-B394-66A6A85A8557}"/>
    <hyperlink ref="B7020" r:id="rId21676" display="https://twitter.com/ErnstNordholt" xr:uid="{D83E7FB2-B813-44E7-988B-BA3B600BF6BA}"/>
    <hyperlink ref="E7020" r:id="rId21677" display="https://twitter.com/ErnstNordholt/status/724168024316600320" xr:uid="{BEF6FD98-AFCE-4C04-82B1-5824C7B3B214}"/>
    <hyperlink ref="O7020" r:id="rId21678" display="https://pbs.twimg.com/profile_images/698509815870578688/S6oEQDwn_normal.jpg" xr:uid="{2D339272-C439-435B-9E79-B6D0020E2BC4}"/>
    <hyperlink ref="B7021" r:id="rId21679" display="https://twitter.com/ErnstNordholt" xr:uid="{D22D4A85-7031-4150-A113-684E772C2756}"/>
    <hyperlink ref="E7021" r:id="rId21680" display="https://twitter.com/ErnstNordholt/status/724168062694481922" xr:uid="{B81453CE-8932-4304-B783-C83167C761B5}"/>
    <hyperlink ref="O7021" r:id="rId21681" display="https://pbs.twimg.com/profile_images/698509815870578688/S6oEQDwn_normal.jpg" xr:uid="{29D7B757-8865-444B-8A6D-0CE8860C1B97}"/>
    <hyperlink ref="B7022" r:id="rId21682" display="https://twitter.com/Insta_VWT" xr:uid="{C7C33E7B-CD6D-48DC-B128-DDDC7A7775C2}"/>
    <hyperlink ref="E7022" r:id="rId21683" display="https://twitter.com/Insta_VWT/status/724168092260151297" xr:uid="{575C3ECC-D420-40FF-B8E8-07A3F6778E51}"/>
    <hyperlink ref="O7022" r:id="rId21684" display="https://pbs.twimg.com/profile_images/424893967197433858/iQ86NktX_normal.jpeg" xr:uid="{2DCAE8C6-040C-4793-9E11-E7FB8DA742D3}"/>
    <hyperlink ref="B7023" r:id="rId21685" display="https://twitter.com/VeeDubMk1_" xr:uid="{B7D65C13-BBA4-4967-9CCC-AE79A84F8B32}"/>
    <hyperlink ref="E7023" r:id="rId21686" display="https://twitter.com/VeeDubMk1_/status/724168122291392514" xr:uid="{9C74DD81-66D2-4D63-BD87-BFE2C88A948B}"/>
    <hyperlink ref="O7023" r:id="rId21687" display="https://pbs.twimg.com/profile_images/672878354127839232/M7OYc-zx_normal.jpg" xr:uid="{26BE5D7D-AB5D-4597-B247-4FA1EEB87F44}"/>
    <hyperlink ref="B7024" r:id="rId21688" display="https://twitter.com/rsnqp" xr:uid="{3351A803-B422-41B3-AA32-397FECF6692E}"/>
    <hyperlink ref="E7024" r:id="rId21689" display="https://twitter.com/rsnqp/status/724168247050805252" xr:uid="{7AC7E6C4-4A58-453C-9B1A-1614C128C210}"/>
    <hyperlink ref="O7024" r:id="rId21690" display="https://pbs.twimg.com/profile_images/724081256648986625/qK2drvxO_normal.jpg" xr:uid="{16BEEC55-18AB-491C-B42E-126CB33FFC7B}"/>
    <hyperlink ref="B7025" r:id="rId21691" display="https://twitter.com/BBattmer" xr:uid="{F877860A-1A2A-4A4C-950B-056AE74D142B}"/>
    <hyperlink ref="E7025" r:id="rId21692" display="https://twitter.com/BBattmer/status/724168908719153152" xr:uid="{30BA0BFA-576C-4AD4-AFFB-067292088AEF}"/>
    <hyperlink ref="O7025" r:id="rId21693" display="https://pbs.twimg.com/profile_images/635928163755823104/1oTH8iM2_normal.png" xr:uid="{545615EC-4868-4AE5-8020-DF7DB0EEAAA0}"/>
    <hyperlink ref="B7026" r:id="rId21694" display="https://twitter.com/Scirocco_Tuning" xr:uid="{4849FB43-9CE2-48D0-9695-3083ECD53369}"/>
    <hyperlink ref="E7026" r:id="rId21695" display="https://twitter.com/Scirocco_Tuning/status/724169549394767873" xr:uid="{CEA339AC-D1F2-4D52-9D52-2CF117325625}"/>
    <hyperlink ref="O7026" r:id="rId21696" display="https://pbs.twimg.com/profile_images/1610421423/Image2_normal.jpg" xr:uid="{5AA76669-60D5-4B5E-B48B-F9DC6C5EC338}"/>
    <hyperlink ref="B7027" r:id="rId21697" display="https://twitter.com/VWCamperSales" xr:uid="{6EC252F6-D6FE-4614-9BDB-E779A40DDE44}"/>
    <hyperlink ref="E7027" r:id="rId21698" display="https://twitter.com/VWCamperSales/status/724170288607285248" xr:uid="{0C02E06C-15EB-4266-A51B-261E80476801}"/>
    <hyperlink ref="F7027" r:id="rId21699" xr:uid="{CF27C0FD-D729-4BCB-AADE-E99B90989A01}"/>
    <hyperlink ref="O7027" r:id="rId21700" display="https://pbs.twimg.com/profile_images/627949001179037696/skEBkS05_normal.jpg" xr:uid="{E7FA4CD7-9A2E-42B7-8D62-EEBE0F07FDF6}"/>
    <hyperlink ref="B7028" r:id="rId21701" display="https://twitter.com/CarJobsUK" xr:uid="{EE3E647D-3C9B-464B-B036-863A3BDA8AE7}"/>
    <hyperlink ref="E7028" r:id="rId21702" display="https://twitter.com/CarJobsUK/status/724171070215979009" xr:uid="{CAE99AB4-9CDB-4AEE-97BD-B52584DE9230}"/>
    <hyperlink ref="O7028" r:id="rId21703" display="https://pbs.twimg.com/profile_images/603916088485773312/-jB4Elw4_normal.png" xr:uid="{3AA3B9E0-5BD0-4226-8DF7-5E133C3804FE}"/>
    <hyperlink ref="B7029" r:id="rId21704" display="https://twitter.com/TobiMuelhauser" xr:uid="{F51C3762-32B3-4546-AE80-11618A22A0DF}"/>
    <hyperlink ref="E7029" r:id="rId21705" display="https://twitter.com/TobiMuelhauser/status/724171580385988609" xr:uid="{FD7CE604-6883-4ED6-B152-2B8416C6B9FA}"/>
    <hyperlink ref="O7029" r:id="rId21706" display="https://pbs.twimg.com/profile_images/637574744427102208/5hvsHkS-_normal.jpg" xr:uid="{7D51A03D-DADF-4C50-8E51-32245CB79B08}"/>
    <hyperlink ref="B7030" r:id="rId21707" display="https://twitter.com/techhippie" xr:uid="{D6339677-8C2C-4C64-8AC0-5360C6C6DC3D}"/>
    <hyperlink ref="E7030" r:id="rId21708" display="https://twitter.com/techhippie/status/724171889921384448" xr:uid="{EC7F888D-2EC8-415E-B863-4E89C8175931}"/>
    <hyperlink ref="O7030" r:id="rId21709" display="https://pbs.twimg.com/profile_images/702511217793863680/lty8h9vE_normal.jpg" xr:uid="{EEEDBB2B-B4CC-47EC-BFCD-5359016B77A7}"/>
    <hyperlink ref="B7031" r:id="rId21710" display="https://twitter.com/DelfinaMolinaF" xr:uid="{13568253-4C16-4BDB-A44D-C98A10C8D3C1}"/>
    <hyperlink ref="E7031" r:id="rId21711" display="https://twitter.com/DelfinaMolinaF/status/724171906811871232" xr:uid="{47EC1149-FAA5-48C3-BEB3-EEF4F23E156A}"/>
    <hyperlink ref="O7031" r:id="rId21712" display="https://abs.twimg.com/sticky/default_profile_images/default_profile_2_normal.png" xr:uid="{D9BAB731-0DE0-4AC2-B055-CF2E9D2C2155}"/>
    <hyperlink ref="B7032" r:id="rId21713" display="https://twitter.com/VWBeetleSales" xr:uid="{68CEF655-5D45-428D-A39C-4D5F9624EE2F}"/>
    <hyperlink ref="E7032" r:id="rId21714" display="https://twitter.com/VWBeetleSales/status/724171931289669632" xr:uid="{84FEBA1B-7118-49A3-8D71-10C205E673A6}"/>
    <hyperlink ref="F7032" r:id="rId21715" xr:uid="{4C7D86C0-57E6-4EBD-A640-70F3DB2F95D1}"/>
    <hyperlink ref="O7032" r:id="rId21716" display="https://pbs.twimg.com/profile_images/703294545195307008/qeCvrX86_normal.jpg" xr:uid="{3D9E61C3-DB49-47FD-9348-BE3245EF4F9B}"/>
    <hyperlink ref="B7033" r:id="rId21717" display="https://twitter.com/PriesThi" xr:uid="{83203639-D3A5-453D-B33B-ED7067184F8A}"/>
    <hyperlink ref="E7033" r:id="rId21718" display="https://twitter.com/PriesThi/status/724172136454209537" xr:uid="{9697C9D8-1392-4BFC-81D6-4B45064DA8FD}"/>
    <hyperlink ref="O7033" r:id="rId21719" display="https://pbs.twimg.com/profile_images/3160330816/1ce1024c4b92ef27b5c3859aa8159bef_normal.jpeg" xr:uid="{9B349475-F757-477B-8449-5982D41CD8F1}"/>
    <hyperlink ref="B7034" r:id="rId21720" display="https://twitter.com/JenstheGTIfreak" xr:uid="{0770E0D2-ECC0-48E8-9DB5-6095102B7CD7}"/>
    <hyperlink ref="E7034" r:id="rId21721" display="https://twitter.com/JenstheGTIfreak/status/724172164040142849" xr:uid="{078A20BF-850B-495B-B9D1-196F582B5E3D}"/>
    <hyperlink ref="O7034" r:id="rId21722" display="https://pbs.twimg.com/profile_images/684090508617060353/pbrpCt9J_normal.jpg" xr:uid="{73C668A0-84A7-4B84-9A1F-510F29D29D8D}"/>
    <hyperlink ref="B7035" r:id="rId21723" display="https://twitter.com/Fat4y" xr:uid="{ED80EBCF-AF7F-4B5D-AC59-A6D41C2654B3}"/>
    <hyperlink ref="E7035" r:id="rId21724" display="https://twitter.com/Fat4y/status/724173200574300160" xr:uid="{6AEFC167-5500-4C9E-B506-00AC6A434B00}"/>
    <hyperlink ref="O7035" r:id="rId21725" display="https://pbs.twimg.com/profile_images/701348099290218496/iXTmp1jH_normal.jpg" xr:uid="{BA0C2A1A-4A02-450D-BD31-25D8E7438FDA}"/>
    <hyperlink ref="B7036" r:id="rId21726" display="https://twitter.com/rajesh877" xr:uid="{34F17664-3DB3-4D6E-82E8-BBDB2B9BE1B3}"/>
    <hyperlink ref="E7036" r:id="rId21727" display="https://twitter.com/rajesh877/status/724173246648733696" xr:uid="{32ABC6DD-4E0C-4375-B2D5-1A10BF95EE99}"/>
    <hyperlink ref="O7036" r:id="rId21728" display="https://pbs.twimg.com/profile_images/690068229562241028/dtAFj2bm_normal.jpg" xr:uid="{B64CA138-384D-4231-A8A9-383490F3E7B0}"/>
    <hyperlink ref="B7037" r:id="rId21729" display="https://twitter.com/rajesh877" xr:uid="{D116936F-4FC1-4B65-973D-CA8D5B5063CA}"/>
    <hyperlink ref="E7037" r:id="rId21730" display="https://twitter.com/rajesh877/status/724173253854527488" xr:uid="{D9CBCF64-4ACF-4CF9-80FC-004E00CCEC9A}"/>
    <hyperlink ref="O7037" r:id="rId21731" display="https://pbs.twimg.com/profile_images/690068229562241028/dtAFj2bm_normal.jpg" xr:uid="{D5D34EF8-2B95-41C1-9081-1A3CF0428970}"/>
    <hyperlink ref="B7038" r:id="rId21732" display="https://twitter.com/andrewgooderson" xr:uid="{F0D31897-8FEB-4388-BDFE-60753AE19633}"/>
    <hyperlink ref="E7038" r:id="rId21733" display="https://twitter.com/andrewgooderson/status/724173454572843009" xr:uid="{D9EE376F-4B03-4ADC-BFB5-D4FE1A14B238}"/>
    <hyperlink ref="O7038" r:id="rId21734" display="https://pbs.twimg.com/profile_images/689177098968158208/GoFneAhS_normal.jpg" xr:uid="{8D082AA8-1012-45C5-B3EC-749F456C425F}"/>
    <hyperlink ref="B7039" r:id="rId21735" display="https://twitter.com/VWBeetleSales" xr:uid="{DDE8C527-A5BA-4037-A343-95B23F43DED5}"/>
    <hyperlink ref="E7039" r:id="rId21736" display="https://twitter.com/VWBeetleSales/status/724173830491656192" xr:uid="{615D3334-8CBE-4F53-BFC4-A0477F691528}"/>
    <hyperlink ref="F7039" r:id="rId21737" xr:uid="{9C34BB51-8905-4CB1-BA6C-B1824F13F08B}"/>
    <hyperlink ref="O7039" r:id="rId21738" display="https://pbs.twimg.com/profile_images/703294545195307008/qeCvrX86_normal.jpg" xr:uid="{BC55FEA2-9140-4E81-A2A5-B611A5B93CDF}"/>
    <hyperlink ref="B7040" r:id="rId21739" display="https://twitter.com/BlackbootsWim" xr:uid="{A96BC1B4-C74C-44A3-B09E-7462CF3D19EA}"/>
    <hyperlink ref="E7040" r:id="rId21740" display="https://twitter.com/BlackbootsWim/status/724176203620474880" xr:uid="{079557C0-41BA-486D-8B7B-0E50D3F23957}"/>
    <hyperlink ref="O7040" r:id="rId21741" display="https://pbs.twimg.com/profile_images/691628976633188352/8l3QwFg8_normal.jpg" xr:uid="{11DB75D8-F1D3-4E81-828C-DBE9B3324453}"/>
    <hyperlink ref="B7041" r:id="rId21742" display="https://twitter.com/caryelluk" xr:uid="{3EF4C1E1-1D26-455C-BF7A-3275FB69C77F}"/>
    <hyperlink ref="E7041" r:id="rId21743" display="https://twitter.com/caryelluk/status/724176261279453186" xr:uid="{A29E473E-EE5E-446E-837F-B9152A83D4D3}"/>
    <hyperlink ref="O7041" r:id="rId21744" display="https://pbs.twimg.com/profile_images/715332329019994114/CunHJsKm_normal.jpg" xr:uid="{2761C1CA-7A1B-4118-BEF8-AEA4B2E3383C}"/>
    <hyperlink ref="B7042" r:id="rId21745" display="https://twitter.com/GolfitIt" xr:uid="{9492FF29-277C-4522-8B56-C41BE98C2A34}"/>
    <hyperlink ref="E7042" r:id="rId21746" display="https://twitter.com/GolfitIt/status/724176378334183424" xr:uid="{8F135B1F-009B-4B48-98D3-60B1E089BD85}"/>
    <hyperlink ref="O7042" r:id="rId21747" display="https://pbs.twimg.com/profile_images/465845159607824386/C2TZw1k6_normal.jpeg" xr:uid="{7D4C962F-358F-4571-A950-6AEB1A77B64F}"/>
    <hyperlink ref="B7043" r:id="rId21748" display="https://twitter.com/derPaddy" xr:uid="{3EDB6615-086F-4396-B14C-DCE9B61E9BE8}"/>
    <hyperlink ref="E7043" r:id="rId21749" display="https://twitter.com/derPaddy/status/724177074718683136" xr:uid="{300523F6-7F60-4EA0-8E2A-CC54069FF0F3}"/>
    <hyperlink ref="O7043" r:id="rId21750" display="https://pbs.twimg.com/profile_images/692460254941024256/pFx1D2YZ_normal.png" xr:uid="{B727F76E-67F0-4002-9B18-C739FD1FBFDB}"/>
    <hyperlink ref="B7044" r:id="rId21751" display="https://twitter.com/FormulaAutosCT" xr:uid="{3B036CCA-257D-45AE-AF20-0420BD6C1862}"/>
    <hyperlink ref="E7044" r:id="rId21752" display="https://twitter.com/FormulaAutosCT/status/724177373336350721" xr:uid="{B8D8DBB0-54C2-4D47-A73E-33609962F5DE}"/>
    <hyperlink ref="O7044" r:id="rId21753" display="https://pbs.twimg.com/profile_images/709384506772480000/KSALrilO_normal.jpg" xr:uid="{2B329C62-3DB5-4FEE-AC58-625EB3E8B544}"/>
    <hyperlink ref="B7045" r:id="rId21754" display="https://twitter.com/Die_Primel" xr:uid="{F27DB3F3-AAF1-4FEF-B28D-D452163E7832}"/>
    <hyperlink ref="E7045" r:id="rId21755" display="https://twitter.com/Die_Primel/status/724177587552018433" xr:uid="{B9AA4B60-BEF8-4B8A-94DB-B58C315BF191}"/>
    <hyperlink ref="O7045" r:id="rId21756" display="https://pbs.twimg.com/profile_images/567365044917137408/57e5M0m2_normal.jpeg" xr:uid="{232E2222-A7C6-4619-9DE3-BDE5E778494E}"/>
    <hyperlink ref="B7046" r:id="rId21757" display="https://twitter.com/The1400Club" xr:uid="{644E0F69-89C1-4FAF-88D6-DE6457A7D9D9}"/>
    <hyperlink ref="E7046" r:id="rId21758" display="https://twitter.com/The1400Club/status/724177688391344128" xr:uid="{DEE2F442-2BA5-4227-A8DF-8AACFDD03D41}"/>
    <hyperlink ref="O7046" r:id="rId21759" display="https://pbs.twimg.com/profile_images/711707368212598784/-gzKfj8w_normal.jpg" xr:uid="{A1893998-2B27-4B9F-8E02-1D9AA3203EF4}"/>
    <hyperlink ref="B7047" r:id="rId21760" display="https://twitter.com/charl_folife" xr:uid="{D27A63CE-A271-4C62-82BB-7628788AC02C}"/>
    <hyperlink ref="E7047" r:id="rId21761" display="https://twitter.com/charl_folife/status/724178033913929728" xr:uid="{91BF8C21-D42B-48AF-A688-05CFC68DBB22}"/>
    <hyperlink ref="O7047" r:id="rId21762" display="https://pbs.twimg.com/profile_images/429873948008796160/hYqNEDSv_normal.png" xr:uid="{E75C94B2-F1C2-4A85-BB99-E95D5881687A}"/>
    <hyperlink ref="B7048" r:id="rId21763" display="https://twitter.com/VascoASG" xr:uid="{BB18E9FE-5F99-4510-A187-93E7935E6059}"/>
    <hyperlink ref="E7048" r:id="rId21764" display="https://twitter.com/VascoASG/status/724178046106755072" xr:uid="{6AFF88A0-69F2-421F-BE5B-AAECE7E731BC}"/>
    <hyperlink ref="O7048" r:id="rId21765" display="https://pbs.twimg.com/profile_images/2837066359/a35c7729303d192360769f39fd8d8a7e_normal.jpeg" xr:uid="{4C8ACB28-1DA5-4841-BADA-D273AAB853F0}"/>
    <hyperlink ref="B7049" r:id="rId21766" display="https://twitter.com/beetlebug1938" xr:uid="{34A7D3FA-6AA0-476F-B434-F6D5FD2A17E3}"/>
    <hyperlink ref="E7049" r:id="rId21767" display="https://twitter.com/beetlebug1938/status/724178361384316928" xr:uid="{2A2047FD-9586-4D31-BAB1-E839BDC5A07A}"/>
    <hyperlink ref="O7049" r:id="rId21768" display="https://pbs.twimg.com/profile_images/718820712757215233/LXXndPTS_normal.jpg" xr:uid="{149AF0A8-6C18-46D0-8AB9-CBD8F45802A3}"/>
    <hyperlink ref="B7050" r:id="rId21769" display="https://twitter.com/beetlebug1938" xr:uid="{2AF3CC5F-F418-4725-AB15-46E674C7D4D3}"/>
    <hyperlink ref="E7050" r:id="rId21770" display="https://twitter.com/beetlebug1938/status/724178376169275392" xr:uid="{3837CBB3-481E-4C54-84F4-0782A965229D}"/>
    <hyperlink ref="O7050" r:id="rId21771" display="https://pbs.twimg.com/profile_images/718820712757215233/LXXndPTS_normal.jpg" xr:uid="{318D0B40-6535-40EC-BE53-3614D08C6EEB}"/>
    <hyperlink ref="B7051" r:id="rId21772" display="https://twitter.com/beetlebug1938" xr:uid="{0CE35CD9-8BB4-4A4D-9937-A758C2F571C1}"/>
    <hyperlink ref="E7051" r:id="rId21773" display="https://twitter.com/beetlebug1938/status/724178432431689728" xr:uid="{20DCFD61-6949-46EB-8ECE-AD0276FFAD8C}"/>
    <hyperlink ref="O7051" r:id="rId21774" display="https://pbs.twimg.com/profile_images/718820712757215233/LXXndPTS_normal.jpg" xr:uid="{AA8A7430-80FE-491F-85E3-4C4FC036FC47}"/>
    <hyperlink ref="B7052" r:id="rId21775" display="https://twitter.com/beetlebug1938" xr:uid="{62EF4734-A60B-4477-B055-D36D8288D6DE}"/>
    <hyperlink ref="E7052" r:id="rId21776" display="https://twitter.com/beetlebug1938/status/724178444091822080" xr:uid="{81C5F123-1CCE-4B44-8982-0267AA1256C4}"/>
    <hyperlink ref="O7052" r:id="rId21777" display="https://pbs.twimg.com/profile_images/718820712757215233/LXXndPTS_normal.jpg" xr:uid="{54215208-A579-46E1-82A6-40CC2E6E0A6B}"/>
    <hyperlink ref="B7053" r:id="rId21778" display="https://twitter.com/dubbusses" xr:uid="{DCBF15B6-7D2C-4085-8A6E-7977AD46917F}"/>
    <hyperlink ref="E7053" r:id="rId21779" display="https://twitter.com/dubbusses/status/724178959932510208" xr:uid="{BFB4987C-0493-448F-A323-562E113E6DA5}"/>
    <hyperlink ref="O7053" r:id="rId21780" display="https://pbs.twimg.com/profile_images/718835727027580928/1ssyQ67y_normal.jpg" xr:uid="{83C87423-7E9D-44B6-8C8B-756FD8D63DF2}"/>
    <hyperlink ref="B7054" r:id="rId21781" display="https://twitter.com/dubbusses" xr:uid="{9EBBCCE1-A008-4D3B-9E7D-A7AC3EB71389}"/>
    <hyperlink ref="E7054" r:id="rId21782" display="https://twitter.com/dubbusses/status/724178993650536448" xr:uid="{D0ABC541-D4A9-4B48-9875-51088710329B}"/>
    <hyperlink ref="O7054" r:id="rId21783" display="https://pbs.twimg.com/profile_images/718835727027580928/1ssyQ67y_normal.jpg" xr:uid="{D32933A7-0E28-4F2A-9AC2-244EABC395FE}"/>
    <hyperlink ref="B7055" r:id="rId21784" display="https://twitter.com/dubbusses" xr:uid="{49936F26-520A-48D5-82D0-53C8D1F31D79}"/>
    <hyperlink ref="E7055" r:id="rId21785" display="https://twitter.com/dubbusses/status/724179008565456896" xr:uid="{789A2390-5955-4CC4-9E6B-641E18F1A4D0}"/>
    <hyperlink ref="O7055" r:id="rId21786" display="https://pbs.twimg.com/profile_images/718835727027580928/1ssyQ67y_normal.jpg" xr:uid="{15568230-854E-4037-A11B-3C8C6469F21D}"/>
    <hyperlink ref="B7056" r:id="rId21787" display="https://twitter.com/dubbusses" xr:uid="{2B012F4A-AC1A-429C-A866-979A2AB6780D}"/>
    <hyperlink ref="E7056" r:id="rId21788" display="https://twitter.com/dubbusses/status/724179021014138880" xr:uid="{B34E7D9F-F6D3-48BB-B9C1-A1C01E4196E2}"/>
    <hyperlink ref="O7056" r:id="rId21789" display="https://pbs.twimg.com/profile_images/718835727027580928/1ssyQ67y_normal.jpg" xr:uid="{7BB2D254-5834-4A84-961C-59BEDF5964BB}"/>
    <hyperlink ref="B7057" r:id="rId21790" display="https://twitter.com/dubbusses" xr:uid="{3A899452-A79C-452A-AC54-8CB1E25A14DE}"/>
    <hyperlink ref="E7057" r:id="rId21791" display="https://twitter.com/dubbusses/status/724179055877206016" xr:uid="{7947D119-40A8-4D32-A444-9CE538CDB4C0}"/>
    <hyperlink ref="O7057" r:id="rId21792" display="https://pbs.twimg.com/profile_images/718835727027580928/1ssyQ67y_normal.jpg" xr:uid="{1D842522-3B4C-4CC7-A01D-E139DFF013FA}"/>
    <hyperlink ref="B7058" r:id="rId21793" display="https://twitter.com/dubbusses" xr:uid="{8A2E22A0-1673-472E-801F-1CF3212CEAAF}"/>
    <hyperlink ref="E7058" r:id="rId21794" display="https://twitter.com/dubbusses/status/724179070905397253" xr:uid="{E65AC8B8-9C52-45DD-993B-0E9C1E8207F8}"/>
    <hyperlink ref="O7058" r:id="rId21795" display="https://pbs.twimg.com/profile_images/718835727027580928/1ssyQ67y_normal.jpg" xr:uid="{313FD9D5-E276-4E1D-B254-DED3C17E3C44}"/>
    <hyperlink ref="B7059" r:id="rId21796" display="https://twitter.com/dubbusses" xr:uid="{4D3AD5D5-5C45-4884-85CB-56F56FDB1EF9}"/>
    <hyperlink ref="E7059" r:id="rId21797" display="https://twitter.com/dubbusses/status/724179090450853888" xr:uid="{FA0A7CA5-B551-4A3E-BC07-51CC8664382C}"/>
    <hyperlink ref="O7059" r:id="rId21798" display="https://pbs.twimg.com/profile_images/718835727027580928/1ssyQ67y_normal.jpg" xr:uid="{93AD8266-A373-46BC-8EAC-64E129ACEDD2}"/>
    <hyperlink ref="B7060" r:id="rId21799" display="https://twitter.com/dubbusses" xr:uid="{1AA5F475-C109-4844-82C1-AFD782ED9370}"/>
    <hyperlink ref="E7060" r:id="rId21800" display="https://twitter.com/dubbusses/status/724179107689406464" xr:uid="{61C8AED9-83A7-4658-980D-2D9149E6C011}"/>
    <hyperlink ref="O7060" r:id="rId21801" display="https://pbs.twimg.com/profile_images/718835727027580928/1ssyQ67y_normal.jpg" xr:uid="{3877865B-FAB2-46D9-A2F6-FF663E3893F7}"/>
    <hyperlink ref="B7061" r:id="rId21802" display="https://twitter.com/BatesJenny" xr:uid="{4C7FCF06-1054-4DC3-AB73-8822846E3460}"/>
    <hyperlink ref="E7061" r:id="rId21803" display="https://twitter.com/BatesJenny/status/724179672217583616" xr:uid="{52084893-B990-4E71-A141-787059862A68}"/>
    <hyperlink ref="O7061" r:id="rId21804" display="https://pbs.twimg.com/profile_images/1441979505/Jenny_Bates-photo_normal.jpg" xr:uid="{A75B64D7-E591-445D-965E-49CADB3BDAF6}"/>
    <hyperlink ref="B7062" r:id="rId21805" display="https://twitter.com/VWCamperSales" xr:uid="{F65B3C66-C593-4842-A26B-F90C24AE1382}"/>
    <hyperlink ref="E7062" r:id="rId21806" display="https://twitter.com/VWCamperSales/status/724180358430748676" xr:uid="{F08DB786-5AB7-497F-87B3-C6A94A9B363F}"/>
    <hyperlink ref="F7062" r:id="rId21807" xr:uid="{B348E325-A419-43CC-AC84-1029D0B96C78}"/>
    <hyperlink ref="O7062" r:id="rId21808" display="https://pbs.twimg.com/profile_images/627949001179037696/skEBkS05_normal.jpg" xr:uid="{4D61FE7E-BDB0-4939-892A-879377D95FCE}"/>
    <hyperlink ref="B7063" r:id="rId21809" display="https://twitter.com/VWCamperSales" xr:uid="{CF05D62D-5C39-4F8F-84BB-4FA722D066A1}"/>
    <hyperlink ref="E7063" r:id="rId21810" display="https://twitter.com/VWCamperSales/status/724180366236344321" xr:uid="{712E26DF-F3F2-45AF-86D1-78AA2C3BE81C}"/>
    <hyperlink ref="F7063" r:id="rId21811" xr:uid="{2163AA47-DF9E-4159-93FB-326B904C6012}"/>
    <hyperlink ref="O7063" r:id="rId21812" display="https://pbs.twimg.com/profile_images/627949001179037696/skEBkS05_normal.jpg" xr:uid="{8D9F6F9F-CA82-46F4-92B6-20745F406690}"/>
    <hyperlink ref="B7064" r:id="rId21813" display="https://twitter.com/FuscaWorld" xr:uid="{F4CCFBED-1EA6-457D-AF15-2D7C142D1796}"/>
    <hyperlink ref="E7064" r:id="rId21814" display="https://twitter.com/FuscaWorld/status/724180427599155200" xr:uid="{7CCE48DB-AA74-4CE2-B751-1F69B2569B89}"/>
    <hyperlink ref="O7064" r:id="rId21815" display="https://pbs.twimg.com/profile_images/705780107844067328/e7O4UBNb_normal.jpg" xr:uid="{8055538A-CB6C-480F-9F0D-ADFBA12D3FC8}"/>
    <hyperlink ref="B7065" r:id="rId21816" display="https://twitter.com/FuscaWorld" xr:uid="{E8C3C3C4-72CD-4CB8-9002-7596F60E22CC}"/>
    <hyperlink ref="E7065" r:id="rId21817" display="https://twitter.com/FuscaWorld/status/724180429834690560" xr:uid="{66926376-6195-44E9-AB5B-AC0C54C807DB}"/>
    <hyperlink ref="O7065" r:id="rId21818" display="https://pbs.twimg.com/profile_images/705780107844067328/e7O4UBNb_normal.jpg" xr:uid="{21D5D666-CB37-426E-91CD-9AEC610876D6}"/>
    <hyperlink ref="B7066" r:id="rId21819" display="https://twitter.com/www4zylinder" xr:uid="{F95CD291-BB90-4F03-A874-8332B904EC4D}"/>
    <hyperlink ref="E7066" r:id="rId21820" display="https://twitter.com/www4zylinder/status/724180969595539456" xr:uid="{EDF27271-F073-4376-A748-D0E8C584F653}"/>
    <hyperlink ref="O7066" r:id="rId21821" display="https://pbs.twimg.com/profile_images/722007969894940673/pQGJMPxX_normal.jpg" xr:uid="{3F370AA5-9C33-4D4D-BFB5-36D463EAD94C}"/>
    <hyperlink ref="B7067" r:id="rId21822" display="https://twitter.com/vwdepo" xr:uid="{CF7996D4-F272-4DDC-A9CC-51619BFB93C9}"/>
    <hyperlink ref="E7067" r:id="rId21823" display="https://twitter.com/vwdepo/status/724181568479223809" xr:uid="{FE2DBFAC-DBD7-443D-A8FB-9AE98581A512}"/>
    <hyperlink ref="O7067" r:id="rId21824" display="https://pbs.twimg.com/profile_images/3378184537/c20ae9a7a410821b4f189c34a63380f7_normal.png" xr:uid="{C2644207-D7FE-4F57-B146-0F0A90157485}"/>
    <hyperlink ref="B7068" r:id="rId21825" display="https://twitter.com/CustomYourShoe" xr:uid="{C185573E-8C4D-403B-91AD-51A427CBAAF0}"/>
    <hyperlink ref="E7068" r:id="rId21826" display="https://twitter.com/CustomYourShoe/status/724182437572546560" xr:uid="{4358CB9B-BC92-4AE4-A608-B158640266BA}"/>
    <hyperlink ref="O7068" r:id="rId21827" display="https://pbs.twimg.com/profile_images/468794367109378048/Rq9VlgQw_normal.png" xr:uid="{841B3B96-9C44-49E4-9398-3F73BA6E1919}"/>
    <hyperlink ref="B7069" r:id="rId21828" display="https://twitter.com/VeeDubMk1_" xr:uid="{AD1F7E44-5831-42D5-9678-800480CDAD66}"/>
    <hyperlink ref="E7069" r:id="rId21829" display="https://twitter.com/VeeDubMk1_/status/724183209383215104" xr:uid="{30FA8ECB-B0A3-4ECA-A0AE-CCDD09047901}"/>
    <hyperlink ref="O7069" r:id="rId21830" display="https://pbs.twimg.com/profile_images/672878354127839232/M7OYc-zx_normal.jpg" xr:uid="{CF0EDB65-EBFA-47F5-8FE1-09ADA44E8147}"/>
    <hyperlink ref="B7070" r:id="rId21831" display="https://twitter.com/Tamara_DeCaluwe" xr:uid="{D93D589D-DAFF-4F61-A079-C55C3A850136}"/>
    <hyperlink ref="E7070" r:id="rId21832" display="https://twitter.com/Tamara_DeCaluwe/status/724183937665392640" xr:uid="{B4966828-C899-4C7A-A43B-353E2F267EFC}"/>
    <hyperlink ref="O7070" r:id="rId21833" display="https://pbs.twimg.com/profile_images/602768406224441344/37bYfus9_normal.jpg" xr:uid="{C26FFFA5-0A0A-4F11-AC84-652510860423}"/>
    <hyperlink ref="B7071" r:id="rId21834" display="https://twitter.com/TheOomDiff" xr:uid="{54CCB2E7-0682-4290-B4C9-7BFEFCC119B1}"/>
    <hyperlink ref="E7071" r:id="rId21835" display="https://twitter.com/TheOomDiff/status/724184031575855104" xr:uid="{6265A8A2-4A5F-4313-A453-F72DA87698DF}"/>
    <hyperlink ref="O7071" r:id="rId21836" display="https://pbs.twimg.com/profile_images/709259696356642816/sGu61ifo_normal.jpg" xr:uid="{D4055097-95A1-41A7-8448-5EB5149EFFFF}"/>
    <hyperlink ref="B7072" r:id="rId21837" display="https://twitter.com/OnlineCarReview" xr:uid="{F157F1AE-457E-4C40-9B65-E5834CE6D7D4}"/>
    <hyperlink ref="E7072" r:id="rId21838" display="https://twitter.com/OnlineCarReview/status/724184954561650690" xr:uid="{0293A778-318A-469F-B351-AA173C98467B}"/>
    <hyperlink ref="O7072" r:id="rId21839" display="https://pbs.twimg.com/profile_images/652871584131092480/QA_B6SBO_normal.jpg" xr:uid="{D2A2D511-9C0C-4FCA-8EF9-C629FF8FC8D1}"/>
    <hyperlink ref="B7073" r:id="rId21840" display="https://twitter.com/OnlineCarReview" xr:uid="{103F1E96-5251-445C-949D-9BE7DAAE81CD}"/>
    <hyperlink ref="E7073" r:id="rId21841" display="https://twitter.com/OnlineCarReview/status/724184955312431104" xr:uid="{304E5088-DBD1-41F9-9FEF-3CF9AE2ECC88}"/>
    <hyperlink ref="O7073" r:id="rId21842" display="https://pbs.twimg.com/profile_images/652871584131092480/QA_B6SBO_normal.jpg" xr:uid="{44FF06A0-ABB6-49BD-8DF9-B442B985D9A1}"/>
    <hyperlink ref="B7074" r:id="rId21843" display="https://twitter.com/OnlineCarReview" xr:uid="{F44B9E8B-76E8-447C-9242-6EE18EF46057}"/>
    <hyperlink ref="E7074" r:id="rId21844" display="https://twitter.com/OnlineCarReview/status/724184956109344768" xr:uid="{D513B2A3-B38F-4518-8DA5-DD24A6D540B1}"/>
    <hyperlink ref="O7074" r:id="rId21845" display="https://pbs.twimg.com/profile_images/652871584131092480/QA_B6SBO_normal.jpg" xr:uid="{5FF75759-8C1C-48CC-B646-6E10CDDE0A68}"/>
    <hyperlink ref="B7075" r:id="rId21846" display="https://twitter.com/VWCamperSales" xr:uid="{BF6D12F0-C241-4F6B-A49B-52CA3B388948}"/>
    <hyperlink ref="E7075" r:id="rId21847" display="https://twitter.com/VWCamperSales/status/724185154533515264" xr:uid="{A22524ED-66FC-4D16-B629-BAB71E502CC1}"/>
    <hyperlink ref="F7075" r:id="rId21848" xr:uid="{F2CC15B1-CE6E-4267-91DC-B91705FDE58D}"/>
    <hyperlink ref="O7075" r:id="rId21849" display="https://pbs.twimg.com/profile_images/627949001179037696/skEBkS05_normal.jpg" xr:uid="{6E8BEB4A-B4A2-4479-B216-213A080A1ACE}"/>
    <hyperlink ref="B7076" r:id="rId21850" display="https://twitter.com/franke_media" xr:uid="{39ECC4B9-733C-48BC-9F91-91342C8701E5}"/>
    <hyperlink ref="C7076" r:id="rId21851" xr:uid="{FD788FB6-F4C1-4B76-86B1-D55C2698C55D}"/>
    <hyperlink ref="E7076" r:id="rId21852" display="https://twitter.com/franke_media/status/724185226755342336" xr:uid="{569A0E20-CC9B-4C94-9240-C8E9DCC2CD44}"/>
    <hyperlink ref="O7076" r:id="rId21853" display="https://pbs.twimg.com/profile_images/431047003091398657/VwNnWrzp_normal.jpeg" xr:uid="{B7C37EEC-2AAF-42CB-9528-2BC221C14909}"/>
    <hyperlink ref="B7077" r:id="rId21854" display="https://twitter.com/smid_m" xr:uid="{F7210D87-07AA-476B-ACD9-E152B2ACFDDE}"/>
    <hyperlink ref="E7077" r:id="rId21855" display="https://twitter.com/smid_m/status/724185231956279296" xr:uid="{D63A29C5-F79A-430D-97B8-AB81177641F4}"/>
    <hyperlink ref="O7077" r:id="rId21856" display="https://pbs.twimg.com/profile_images/704037984438509568/-ACKJqjM_normal.jpg" xr:uid="{CD19B8F9-19BC-429F-B677-92F307A56CE2}"/>
    <hyperlink ref="B7078" r:id="rId21857" display="https://twitter.com/carolienGl" xr:uid="{1CD07DAB-8412-44BA-AD8D-AC80106A2CAC}"/>
    <hyperlink ref="E7078" r:id="rId21858" display="https://twitter.com/carolienGl/status/724185257235386368" xr:uid="{6F6DF2A4-0B58-4E37-A6C3-E7F3A1B7E861}"/>
    <hyperlink ref="O7078" r:id="rId21859" display="https://pbs.twimg.com/profile_images/3095501276/bc194b51f40d2f45f4e7dd85af657918_normal.jpeg" xr:uid="{87C16895-6684-46F9-B771-3558779B8CCE}"/>
    <hyperlink ref="B7079" r:id="rId21860" display="https://twitter.com/jmponteville" xr:uid="{56BDCA48-3ADE-4639-8628-711D57590117}"/>
    <hyperlink ref="E7079" r:id="rId21861" display="https://twitter.com/jmponteville/status/724185516447543296" xr:uid="{AE537CF6-A5BF-4B46-8FDE-0903BE767D0F}"/>
    <hyperlink ref="O7079" r:id="rId21862" display="https://pbs.twimg.com/profile_images/510875138120617984/XK68wPEi_normal.jpeg" xr:uid="{7B43CFE7-2BD7-4DD3-8560-A004E1580DFB}"/>
    <hyperlink ref="B7080" r:id="rId21863" display="https://twitter.com/OldFox1789" xr:uid="{37A4E6AF-716C-4E4C-A30D-6AA5D969A77B}"/>
    <hyperlink ref="E7080" r:id="rId21864" display="https://twitter.com/OldFox1789/status/724186125699559424" xr:uid="{E1710848-60C0-4AB7-8DAF-ED00EF7888CD}"/>
    <hyperlink ref="O7080" r:id="rId21865" display="https://pbs.twimg.com/profile_images/660172992136224768/kyd2qeq6_normal.jpg" xr:uid="{3256517E-5EB3-47DA-BB95-95571554107D}"/>
    <hyperlink ref="B7081" r:id="rId21866" display="https://twitter.com/techhippie" xr:uid="{A498503F-0036-4578-AEA1-33B06531D0AF}"/>
    <hyperlink ref="E7081" r:id="rId21867" display="https://twitter.com/techhippie/status/724186866744958977" xr:uid="{12943A5B-B9BF-4029-BAE9-78F56B4AC8DC}"/>
    <hyperlink ref="O7081" r:id="rId21868" display="https://pbs.twimg.com/profile_images/702511217793863680/lty8h9vE_normal.jpg" xr:uid="{AC2AB933-BA2E-4D3F-9197-065546519E63}"/>
    <hyperlink ref="B7082" r:id="rId21869" display="https://twitter.com/techhippie" xr:uid="{E1217363-7A29-4663-A3A0-755A9ACFD557}"/>
    <hyperlink ref="E7082" r:id="rId21870" display="https://twitter.com/techhippie/status/724186875322359808" xr:uid="{9FF93F05-16B5-4A19-9385-E8971F5BB597}"/>
    <hyperlink ref="O7082" r:id="rId21871" display="https://pbs.twimg.com/profile_images/702511217793863680/lty8h9vE_normal.jpg" xr:uid="{77DB9F58-842F-4F76-8FAB-F7ABE08063A1}"/>
    <hyperlink ref="B7083" r:id="rId21872" display="https://twitter.com/VWBeetleSales" xr:uid="{3ABB3AA0-9C96-4D31-83E2-B2E36246E91A}"/>
    <hyperlink ref="E7083" r:id="rId21873" display="https://twitter.com/VWBeetleSales/status/724187020973625345" xr:uid="{204A5CD4-CE2C-4C87-8396-4D0AD8DB0423}"/>
    <hyperlink ref="F7083" r:id="rId21874" xr:uid="{02895F7A-AA60-4ACD-AF5A-20026D353F4D}"/>
    <hyperlink ref="O7083" r:id="rId21875" display="https://pbs.twimg.com/profile_images/703294545195307008/qeCvrX86_normal.jpg" xr:uid="{FC5B4656-0CED-4185-A808-5DD36DEE1C03}"/>
    <hyperlink ref="B7084" r:id="rId21876" display="https://twitter.com/VWCamperSales" xr:uid="{725B5C97-B7EA-4792-B024-0A9D8FDC301C}"/>
    <hyperlink ref="E7084" r:id="rId21877" display="https://twitter.com/VWCamperSales/status/724187057233387520" xr:uid="{4530A4FB-9BDE-4A86-9C96-C9C3B1379AD0}"/>
    <hyperlink ref="F7084" r:id="rId21878" xr:uid="{F0124929-EF5A-4462-9101-A738C716BCDD}"/>
    <hyperlink ref="O7084" r:id="rId21879" display="https://pbs.twimg.com/profile_images/627949001179037696/skEBkS05_normal.jpg" xr:uid="{F96B9EE2-F018-4BB7-86CE-72071D7BAC88}"/>
    <hyperlink ref="B7085" r:id="rId21880" display="https://twitter.com/TetsuoHojo" xr:uid="{F29E75D7-45D3-4407-A64C-65AE49563308}"/>
    <hyperlink ref="E7085" r:id="rId21881" display="https://twitter.com/TetsuoHojo/status/724187080935362560" xr:uid="{2AA1C61B-7498-4AB6-90CA-DCFAEA2351B2}"/>
    <hyperlink ref="O7085" r:id="rId21882" display="https://pbs.twimg.com/profile_images/2646835465/aa5823578b01b04b7e91d58e8ca88691_normal.jpeg" xr:uid="{4694E130-67F6-4110-96B4-27971A42D184}"/>
    <hyperlink ref="B7086" r:id="rId21883" display="https://twitter.com/BarbaraKimmel" xr:uid="{0F5AF235-FE95-4E0B-A9DA-614FCB81FE15}"/>
    <hyperlink ref="E7086" r:id="rId21884" display="https://twitter.com/BarbaraKimmel/status/724187094671863808" xr:uid="{F5D597AF-0948-4B2D-B3FD-D8FE865FE45F}"/>
    <hyperlink ref="O7086" r:id="rId21885" display="https://pbs.twimg.com/profile_images/611495187009769472/B82dA9xg_normal.jpg" xr:uid="{75FED463-3F50-4B31-820F-4F6BD1BEE563}"/>
    <hyperlink ref="B7087" r:id="rId21886" display="https://twitter.com/TetsuoHojo" xr:uid="{D96F9024-B330-4057-99E0-382BF9F884A9}"/>
    <hyperlink ref="E7087" r:id="rId21887" display="https://twitter.com/TetsuoHojo/status/724187115030867968" xr:uid="{243417DD-0765-4D34-9AF0-73E16C166A9F}"/>
    <hyperlink ref="O7087" r:id="rId21888" display="https://pbs.twimg.com/profile_images/2646835465/aa5823578b01b04b7e91d58e8ca88691_normal.jpeg" xr:uid="{0F5B1617-2BD6-4581-BF12-CFAB907C3819}"/>
    <hyperlink ref="B7088" r:id="rId21889" display="https://twitter.com/TetsuoHojo" xr:uid="{4CAA2BD4-1B7A-47C3-80C9-783A0A47F905}"/>
    <hyperlink ref="E7088" r:id="rId21890" display="https://twitter.com/TetsuoHojo/status/724187224439328768" xr:uid="{90F3DCD2-E44D-4C98-A77D-7BE63D65AE28}"/>
    <hyperlink ref="O7088" r:id="rId21891" display="https://pbs.twimg.com/profile_images/2646835465/aa5823578b01b04b7e91d58e8ca88691_normal.jpeg" xr:uid="{D98B842E-2863-4C22-955D-18BE97B01F1E}"/>
    <hyperlink ref="B7089" r:id="rId21892" display="https://twitter.com/TetsuoHojo" xr:uid="{16E26C57-1990-48EC-9B82-3ED5D8446035}"/>
    <hyperlink ref="E7089" r:id="rId21893" display="https://twitter.com/TetsuoHojo/status/724187241547862016" xr:uid="{593A3DBE-3098-41F1-84B4-88F92751B8C2}"/>
    <hyperlink ref="O7089" r:id="rId21894" display="https://pbs.twimg.com/profile_images/2646835465/aa5823578b01b04b7e91d58e8ca88691_normal.jpeg" xr:uid="{88969ED0-BBBB-49FF-B51E-EFC5A1878D30}"/>
    <hyperlink ref="B7090" r:id="rId21895" display="https://twitter.com/TetsuoHojo" xr:uid="{B6888D42-A1E2-47E1-9E05-D5B2EB211DC2}"/>
    <hyperlink ref="E7090" r:id="rId21896" display="https://twitter.com/TetsuoHojo/status/724187325257777152" xr:uid="{595F4B3D-A523-444A-8903-C4D38121C53C}"/>
    <hyperlink ref="O7090" r:id="rId21897" display="https://pbs.twimg.com/profile_images/2646835465/aa5823578b01b04b7e91d58e8ca88691_normal.jpeg" xr:uid="{2D0C6549-6E26-40CF-9876-6B3698865180}"/>
    <hyperlink ref="B7091" r:id="rId21898" display="https://twitter.com/TetsuoHojo" xr:uid="{69564286-671C-463C-A9E0-95352F2C687D}"/>
    <hyperlink ref="E7091" r:id="rId21899" display="https://twitter.com/TetsuoHojo/status/724187339396804608" xr:uid="{E6A4430A-4EBC-4FE1-A056-3B8222B4BCE4}"/>
    <hyperlink ref="O7091" r:id="rId21900" display="https://pbs.twimg.com/profile_images/2646835465/aa5823578b01b04b7e91d58e8ca88691_normal.jpeg" xr:uid="{9B5CFFF3-009A-4FC2-A592-9A10EFC1C839}"/>
    <hyperlink ref="B7092" r:id="rId21901" display="https://twitter.com/TetsuoHojo" xr:uid="{855F9F39-4678-411D-890F-802FE5CEE487}"/>
    <hyperlink ref="E7092" r:id="rId21902" display="https://twitter.com/TetsuoHojo/status/724187395944370176" xr:uid="{52CF0B29-045E-477B-A74B-78A104A7DAD5}"/>
    <hyperlink ref="O7092" r:id="rId21903" display="https://pbs.twimg.com/profile_images/2646835465/aa5823578b01b04b7e91d58e8ca88691_normal.jpeg" xr:uid="{E7A7C47A-D0D3-4F00-8A25-48EA7FFE8DD8}"/>
    <hyperlink ref="B7093" r:id="rId21904" display="https://twitter.com/VolkswagenCZ" xr:uid="{AE53A4C2-7417-4050-9988-B8F50E398D5C}"/>
    <hyperlink ref="E7093" r:id="rId21905" display="https://twitter.com/VolkswagenCZ/status/724187418174337024" xr:uid="{9F7B3092-6EA2-4BBF-BFBB-6E991309F474}"/>
    <hyperlink ref="O7093" r:id="rId21906" display="https://pbs.twimg.com/profile_images/689102170717839360/y5b-XDuX_normal.jpg" xr:uid="{82399A17-5C58-448C-8A7A-45642861DE15}"/>
    <hyperlink ref="B7094" r:id="rId21907" display="https://twitter.com/nurahzz" xr:uid="{E20927D0-8B2A-4267-8665-059A9CC35F01}"/>
    <hyperlink ref="E7094" r:id="rId21908" display="https://twitter.com/nurahzz/status/724187677592002560" xr:uid="{24D9EA2C-A199-40E4-B56C-4C5D6C63C287}"/>
    <hyperlink ref="O7094" r:id="rId21909" display="https://pbs.twimg.com/profile_images/720582436304908288/SqAQ3rKG_normal.jpg" xr:uid="{6E397825-01A9-4764-9336-BA474052DB03}"/>
    <hyperlink ref="B7095" r:id="rId21910" display="https://twitter.com/calerliu" xr:uid="{22301ECC-C351-4646-B2C7-016F687CF69B}"/>
    <hyperlink ref="E7095" r:id="rId21911" display="https://twitter.com/calerliu/status/724188174071767040" xr:uid="{9B460C99-0BC6-43DC-97C1-936E42686EA3}"/>
    <hyperlink ref="O7095" r:id="rId21912" display="https://pbs.twimg.com/profile_images/581304253232222209/xA9FxzU4_normal.jpg" xr:uid="{637FC32D-5432-479F-819B-A8377C9C22F2}"/>
    <hyperlink ref="B7096" r:id="rId21913" display="https://twitter.com/halt_design" xr:uid="{7D8B521B-360A-48CE-A26D-BA0C5A1B2EAD}"/>
    <hyperlink ref="E7096" r:id="rId21914" display="https://twitter.com/halt_design/status/724188255617318912" xr:uid="{03858E7D-5A86-4AC5-8FD2-9D449B67D211}"/>
    <hyperlink ref="O7096" r:id="rId21915" display="https://pbs.twimg.com/profile_images/716208660876144645/X7VuzobY_normal.jpg" xr:uid="{FE2DF4A6-6EF3-4401-9314-A7DE321F98CF}"/>
    <hyperlink ref="B7097" r:id="rId21916" display="https://twitter.com/rajesh877" xr:uid="{28F64993-3E00-413C-90A4-DA23D961D4FA}"/>
    <hyperlink ref="E7097" r:id="rId21917" display="https://twitter.com/rajesh877/status/724188399511461888" xr:uid="{1A23D126-5FB4-4FA3-9BA3-2DA05CD33EC4}"/>
    <hyperlink ref="O7097" r:id="rId21918" display="https://pbs.twimg.com/profile_images/690068229562241028/dtAFj2bm_normal.jpg" xr:uid="{416B4C75-0C6F-469D-A4CB-D24ECDEFD52E}"/>
    <hyperlink ref="B7098" r:id="rId21919" display="https://twitter.com/OldeTeddyBears" xr:uid="{5F388B84-DFAC-4225-8138-8EEC70EF0ABA}"/>
    <hyperlink ref="E7098" r:id="rId21920" display="https://twitter.com/OldeTeddyBears/status/724188513827217408" xr:uid="{A1D2FFD8-EFA5-4586-87B2-7981485D844C}"/>
    <hyperlink ref="O7098" r:id="rId21921" display="https://pbs.twimg.com/profile_images/723031215289319424/hJ1B3oVk_normal.jpg" xr:uid="{792BCF99-14AF-4EC1-A9BE-318B6C86F3B0}"/>
    <hyperlink ref="B7099" r:id="rId21922" display="https://twitter.com/mausraster" xr:uid="{1D14EBCB-3515-44DF-8D32-0B78B3ECF131}"/>
    <hyperlink ref="E7099" r:id="rId21923" display="https://twitter.com/mausraster/status/724188647503892480" xr:uid="{E7A69136-C146-4E4D-8219-F1534A72C699}"/>
    <hyperlink ref="O7099" r:id="rId21924" display="https://pbs.twimg.com/profile_images/629014974644547584/vfnZRwpH_normal.png" xr:uid="{7046F7E6-676E-4CC5-BA95-2A31D313A38E}"/>
    <hyperlink ref="B7100" r:id="rId21925" display="https://twitter.com/dream7790080822" xr:uid="{D28D9B8C-A4CE-4B39-88A5-367DE3B74945}"/>
    <hyperlink ref="E7100" r:id="rId21926" display="https://twitter.com/dream7790080822/status/724189162706898945" xr:uid="{6BD6C4E2-274D-4DDB-B31D-12A3E05E6B0D}"/>
    <hyperlink ref="O7100" r:id="rId21927" display="https://pbs.twimg.com/profile_images/686395482382274560/hnmc7eOR_normal.jpg" xr:uid="{80F7F5D0-CAE6-4554-A376-AB260DBDBC93}"/>
    <hyperlink ref="B7101" r:id="rId21928" display="https://twitter.com/365Daytonafan" xr:uid="{4CE21168-62D9-4B1D-BE09-7247A8BFFFF6}"/>
    <hyperlink ref="E7101" r:id="rId21929" display="https://twitter.com/365Daytonafan/status/724189351127609344" xr:uid="{85E52DA9-1EC1-4FDE-BE48-744D008357AD}"/>
    <hyperlink ref="O7101" r:id="rId21930" display="https://pbs.twimg.com/profile_images/3632088082/ad9e738c415a8058ecbd1f77676fd198_normal.jpeg" xr:uid="{1E7C809A-1822-401B-BCD1-C8DA460E2190}"/>
    <hyperlink ref="B7102" r:id="rId21931" display="https://twitter.com/GRENZECHOnet" xr:uid="{F4A53AA1-384C-4AE7-80B5-18502AA2D6DD}"/>
    <hyperlink ref="C7102" r:id="rId21932" xr:uid="{DA441F26-5D83-4ED8-ADA9-AC593241F6E4}"/>
    <hyperlink ref="E7102" r:id="rId21933" display="https://twitter.com/GRENZECHOnet/status/724189416290443264" xr:uid="{6F014FD0-985D-47AB-8CFA-9F87F8886676}"/>
    <hyperlink ref="O7102" r:id="rId21934" display="https://pbs.twimg.com/profile_images/720632404436742145/1xwLeB9I_normal.jpg" xr:uid="{F154AE5A-02E4-4CC1-A3B3-DBE1EA3E8EE8}"/>
    <hyperlink ref="B7103" r:id="rId21935" display="https://twitter.com/WillowSpringsUK" xr:uid="{3F16054A-FCD0-4A39-9A14-C781B54BDD03}"/>
    <hyperlink ref="E7103" r:id="rId21936" display="https://twitter.com/WillowSpringsUK/status/724189960425869313" xr:uid="{D834BEE4-F6B4-42B2-B8D2-003C91E6133A}"/>
    <hyperlink ref="O7103" r:id="rId21937" display="https://pbs.twimg.com/profile_images/654670077661310976/E0rYy0cM_normal.png" xr:uid="{D4B9E9AD-806C-4DC9-BE8C-6A52DB937909}"/>
    <hyperlink ref="B7104" r:id="rId21938" display="https://twitter.com/sonjafusher" xr:uid="{8856B078-9EE5-43A3-B8EF-FA7D29F33241}"/>
    <hyperlink ref="E7104" r:id="rId21939" display="https://twitter.com/sonjafusher/status/724190557036273664" xr:uid="{992C5262-2783-4890-99D5-A41F15358781}"/>
    <hyperlink ref="O7104" r:id="rId21940" display="https://pbs.twimg.com/profile_images/484251912003272704/NSiCJrfj_normal.jpeg" xr:uid="{A47F2160-0884-4BA1-A272-25B0E1A4F89F}"/>
    <hyperlink ref="B7105" r:id="rId21941" display="https://twitter.com/caffeine_ebook" xr:uid="{F090628A-A6AA-4A89-9AB0-E7BEB70D042B}"/>
    <hyperlink ref="E7105" r:id="rId21942" display="https://twitter.com/caffeine_ebook/status/724190601617526785" xr:uid="{97ADE050-B8FE-4298-ACB7-322DC3E57F09}"/>
    <hyperlink ref="O7105" r:id="rId21943" display="https://abs.twimg.com/sticky/default_profile_images/default_profile_4_normal.png" xr:uid="{6A7A8A20-60EC-429B-9B06-36F3882257C4}"/>
    <hyperlink ref="B7106" r:id="rId21944" display="https://twitter.com/Scirocco_Tuning" xr:uid="{16BBCBC3-9012-45D9-9AAD-D88EB73DB24B}"/>
    <hyperlink ref="E7106" r:id="rId21945" display="https://twitter.com/Scirocco_Tuning/status/724191056464621569" xr:uid="{076B3D8E-3A9D-49AC-A587-3F377BD379C1}"/>
    <hyperlink ref="O7106" r:id="rId21946" display="https://pbs.twimg.com/profile_images/1610421423/Image2_normal.jpg" xr:uid="{9E019511-101A-4E94-9D12-C49499EEA501}"/>
    <hyperlink ref="B7107" r:id="rId21947" display="https://twitter.com/BALLtexter" xr:uid="{FA9871FE-C5BF-4612-B2F9-08F7CD858C0A}"/>
    <hyperlink ref="E7107" r:id="rId21948" display="https://twitter.com/BALLtexter/status/724191117307207680" xr:uid="{5155B02F-6E68-4E54-BB4A-6DB0729E2F37}"/>
    <hyperlink ref="O7107" r:id="rId21949" display="https://pbs.twimg.com/profile_images/709136799931764737/kljk8XnM_normal.jpg" xr:uid="{EBC0AA9B-8537-4F27-B14C-31B0C362B8F1}"/>
    <hyperlink ref="B7108" r:id="rId21950" display="https://twitter.com/HolidayMatch" xr:uid="{C6EC5074-D82E-4A8A-A63E-852958A4050B}"/>
    <hyperlink ref="E7108" r:id="rId21951" display="https://twitter.com/HolidayMatch/status/724191161821343745" xr:uid="{F1F29A4E-FF29-4E69-B7E6-8B5BD8C7508D}"/>
    <hyperlink ref="O7108" r:id="rId21952" display="https://pbs.twimg.com/profile_images/467757246651174914/-pJF7EvU_normal.jpeg" xr:uid="{8564AC38-9AD5-4FBC-9D66-72545D11AB8D}"/>
    <hyperlink ref="B7109" r:id="rId21953" display="https://twitter.com/AutoExpress" xr:uid="{6FADA4D5-3555-4E1B-B4B5-71AECA4E6716}"/>
    <hyperlink ref="E7109" r:id="rId21954" display="https://twitter.com/AutoExpress/status/724191208990367744" xr:uid="{35AD6000-BEB1-475E-A63D-8A67E9DA62F5}"/>
    <hyperlink ref="O7109" r:id="rId21955" display="https://pbs.twimg.com/profile_images/378800000673633859/9729e4c280465095c6f835c9f6b36378_normal.jpeg" xr:uid="{4652B2DD-77DB-40F1-804A-511252FDDA47}"/>
    <hyperlink ref="B7110" r:id="rId21956" display="https://twitter.com/mondedelauto" xr:uid="{3C88F206-2BD9-4752-A11E-5470879F636B}"/>
    <hyperlink ref="E7110" r:id="rId21957" display="https://twitter.com/mondedelauto/status/724191270101508096" xr:uid="{6469CD66-2ACB-4C07-9C84-CE5E5DB40E1F}"/>
    <hyperlink ref="O7110" r:id="rId21958" display="https://pbs.twimg.com/profile_images/695355061635932160/5oTfZ6Ac_normal.jpg" xr:uid="{E5F97E24-DABF-4999-BB34-FE33771BBBC8}"/>
    <hyperlink ref="B7111" r:id="rId21959" display="https://twitter.com/TheAuroraProjct" xr:uid="{27F7E7D5-CDC5-47AE-AAE3-09C3FFDB844B}"/>
    <hyperlink ref="E7111" r:id="rId21960" display="https://twitter.com/TheAuroraProjct/status/724191415350243328" xr:uid="{050CB253-71CB-4AB9-AF55-787AE0DEA103}"/>
    <hyperlink ref="O7111" r:id="rId21961" display="https://pbs.twimg.com/profile_images/717302161865097216/K9JRmEH9_normal.jpg" xr:uid="{7858E218-403F-45EE-AE4F-250AD9ECA0A0}"/>
    <hyperlink ref="B7112" r:id="rId21962" display="https://twitter.com/Otherbots" xr:uid="{53FF0E19-BB93-49DA-97E0-5F83F7643D37}"/>
    <hyperlink ref="E7112" r:id="rId21963" display="https://twitter.com/Otherbots/status/724191511781511168" xr:uid="{481C92B2-9054-4761-80FD-C7A0ED6F985D}"/>
    <hyperlink ref="O7112" r:id="rId21964" display="https://pbs.twimg.com/profile_images/2743738513/354ed035acf2e52b7b04a5143acec144_normal.png" xr:uid="{215CDA4A-1A35-4A37-8C6F-9AF8456B4F57}"/>
    <hyperlink ref="B7113" r:id="rId21965" display="https://twitter.com/kuka434" xr:uid="{4BAA75E7-92DC-4CDB-8A7A-78FFA8EC6ACD}"/>
    <hyperlink ref="E7113" r:id="rId21966" display="https://twitter.com/kuka434/status/724191936559636484" xr:uid="{20018B1F-4B2B-4931-818F-7103135C2F85}"/>
    <hyperlink ref="F7113" r:id="rId21967" xr:uid="{FBC1CC62-4F29-456E-9CC2-95D534496BA7}"/>
    <hyperlink ref="O7113" r:id="rId21968" display="https://pbs.twimg.com/profile_images/646614623056195584/2anhaorD_normal.jpg" xr:uid="{6CCF1FB5-E65F-44D7-97FC-3AB776173CD6}"/>
    <hyperlink ref="B7114" r:id="rId21969" display="https://twitter.com/Globosus" xr:uid="{2B2C303D-3E02-49F8-AA7B-4302012BE516}"/>
    <hyperlink ref="E7114" r:id="rId21970" display="https://twitter.com/Globosus/status/724192040305745920" xr:uid="{8BE83C9C-3BED-4568-87DF-65FC5A2DCF78}"/>
    <hyperlink ref="O7114" r:id="rId21971" display="https://pbs.twimg.com/profile_images/709716092139270144/PlNxVsny_normal.jpg" xr:uid="{B5125486-C029-4759-BBAA-67CF8ECF09C7}"/>
    <hyperlink ref="B7115" r:id="rId21972" display="https://twitter.com/mertbekci" xr:uid="{EA751D6F-9030-42AD-9F32-70550479DF84}"/>
    <hyperlink ref="E7115" r:id="rId21973" display="https://twitter.com/mertbekci/status/724192272078635008" xr:uid="{1F2D7410-B697-4F99-A2C6-5F2A2686B744}"/>
    <hyperlink ref="O7115" r:id="rId21974" display="https://pbs.twimg.com/profile_images/698254457998544896/9GCc4Vj1_normal.jpg" xr:uid="{D686BB67-F3D5-48C0-A411-253D707E88A2}"/>
    <hyperlink ref="B7116" r:id="rId21975" display="https://twitter.com/vwpress_en" xr:uid="{5F20AC53-2187-414F-BE4B-9D956AEE9C2D}"/>
    <hyperlink ref="E7116" r:id="rId21976" display="https://twitter.com/vwpress_en/status/724192462630170624" xr:uid="{F7C3FD89-7E61-4A42-9567-9702D27E1923}"/>
    <hyperlink ref="O7116" r:id="rId21977" display="https://pbs.twimg.com/profile_images/682117963349135360/IUfZQy35_normal.png" xr:uid="{5D7B56C5-8CD3-49A8-BBCD-70B7AA6E97C2}"/>
    <hyperlink ref="B7117" r:id="rId21978" display="https://twitter.com/vwpress_de" xr:uid="{74C390A7-493E-4073-9F71-3F4125DDE511}"/>
    <hyperlink ref="E7117" r:id="rId21979" display="https://twitter.com/vwpress_de/status/724192462810558464" xr:uid="{64CA9592-DD66-44DB-91FB-7A85A4766867}"/>
    <hyperlink ref="O7117" r:id="rId21980" display="https://pbs.twimg.com/profile_images/682117656502222848/Ge7YeAF3_normal.png" xr:uid="{2584339E-8678-4CE9-8221-7B7948028C96}"/>
    <hyperlink ref="B7118" r:id="rId21981" display="https://twitter.com/Globosus" xr:uid="{F4527426-8F12-48F2-ACFD-489A3C06D208}"/>
    <hyperlink ref="E7118" r:id="rId21982" display="https://twitter.com/Globosus/status/724192523883843585" xr:uid="{083A787A-FBF9-47F7-9D74-E172CC8AC57D}"/>
    <hyperlink ref="O7118" r:id="rId21983" display="https://pbs.twimg.com/profile_images/709716092139270144/PlNxVsny_normal.jpg" xr:uid="{8F8208CC-E55A-4A0C-8C4F-92F4CC0DB5EA}"/>
    <hyperlink ref="B7119" r:id="rId21984" display="https://twitter.com/MelAllanic" xr:uid="{00E66B51-B213-4934-B066-F61F73F2BA65}"/>
    <hyperlink ref="E7119" r:id="rId21985" display="https://twitter.com/MelAllanic/status/724192674220101632" xr:uid="{3BC6889F-C0C0-4C2B-887E-AA2014E323AE}"/>
    <hyperlink ref="O7119" r:id="rId21986" display="https://pbs.twimg.com/profile_images/681801758574796804/YPfq6rQd_normal.jpg" xr:uid="{FA94BB3A-44DF-49EE-B4C9-0E878BF16528}"/>
    <hyperlink ref="B7120" r:id="rId21987" display="https://twitter.com/PrimeRacing1" xr:uid="{BC1D9B13-383B-4B48-BFDD-9F2D713DEFC0}"/>
    <hyperlink ref="E7120" r:id="rId21988" display="https://twitter.com/PrimeRacing1/status/724192766788513792" xr:uid="{F526654C-245B-4956-9685-6DF9AAD6DD7A}"/>
    <hyperlink ref="O7120" r:id="rId21989" display="https://pbs.twimg.com/profile_images/722857526384017408/xErAUy8z_normal.jpg" xr:uid="{C322565B-CE98-49AB-9893-AD7365F4B4E0}"/>
    <hyperlink ref="B7121" r:id="rId21990" display="https://twitter.com/VWCamperSales" xr:uid="{92231C4E-1D68-4AB1-BE68-635FF9EA30BB}"/>
    <hyperlink ref="E7121" r:id="rId21991" display="https://twitter.com/VWCamperSales/status/724192946283634688" xr:uid="{AB5EBC82-C054-4162-B2C9-7FBE198F3D4A}"/>
    <hyperlink ref="F7121" r:id="rId21992" xr:uid="{D195FEAA-7AEA-4B50-9A91-A492D8B52CA0}"/>
    <hyperlink ref="O7121" r:id="rId21993" display="https://pbs.twimg.com/profile_images/627949001179037696/skEBkS05_normal.jpg" xr:uid="{0E60D129-0FFB-4EB3-AE59-9036B3EDDBA0}"/>
    <hyperlink ref="B7122" r:id="rId21994" display="https://twitter.com/VWCamperSales" xr:uid="{DA0DCC9C-648B-4F84-94BD-C41143BE19EA}"/>
    <hyperlink ref="E7122" r:id="rId21995" display="https://twitter.com/VWCamperSales/status/724192954395447296" xr:uid="{B080B4D6-C7EB-46D4-AE2E-063425960C68}"/>
    <hyperlink ref="F7122" r:id="rId21996" xr:uid="{4371AE3A-5AD4-4639-AF97-3D1ADDFA7BB6}"/>
    <hyperlink ref="O7122" r:id="rId21997" display="https://pbs.twimg.com/profile_images/627949001179037696/skEBkS05_normal.jpg" xr:uid="{C5D700F0-8F1D-42CC-B57D-A65C2BFC4C5C}"/>
    <hyperlink ref="B7123" r:id="rId21998" display="https://twitter.com/beetlebug1938" xr:uid="{0554CC09-44C6-4418-A997-11ACD1E5D249}"/>
    <hyperlink ref="E7123" r:id="rId21999" display="https://twitter.com/beetlebug1938/status/724193488770859012" xr:uid="{E402A203-16BB-4237-BF4F-F1B1E760D61E}"/>
    <hyperlink ref="O7123" r:id="rId22000" display="https://pbs.twimg.com/profile_images/718820712757215233/LXXndPTS_normal.jpg" xr:uid="{2A53EF20-D198-40F4-AC4F-68A16593D12C}"/>
    <hyperlink ref="B7124" r:id="rId22001" display="https://twitter.com/beetlebug1938" xr:uid="{E807E647-F7C4-4EE7-A6D1-0A7D4A140AF7}"/>
    <hyperlink ref="E7124" r:id="rId22002" display="https://twitter.com/beetlebug1938/status/724193503253803008" xr:uid="{85662B95-70CB-44AC-B88F-4A548CCD7C4B}"/>
    <hyperlink ref="O7124" r:id="rId22003" display="https://pbs.twimg.com/profile_images/718820712757215233/LXXndPTS_normal.jpg" xr:uid="{36ACB18B-17A5-4D85-B391-9AB097F54160}"/>
    <hyperlink ref="B7125" r:id="rId22004" display="https://twitter.com/beetlebug1938" xr:uid="{23481DE6-3274-4F83-8699-B91F5D85913D}"/>
    <hyperlink ref="E7125" r:id="rId22005" display="https://twitter.com/beetlebug1938/status/724193531288535040" xr:uid="{5C716533-F226-4DA4-88AE-922ABCDC1022}"/>
    <hyperlink ref="O7125" r:id="rId22006" display="https://pbs.twimg.com/profile_images/718820712757215233/LXXndPTS_normal.jpg" xr:uid="{C3817414-A07C-406D-B4DC-E7FC4E337718}"/>
    <hyperlink ref="B7126" r:id="rId22007" display="https://twitter.com/OnlyCarrera" xr:uid="{E1495533-2031-416D-BCE5-6205AA228F36}"/>
    <hyperlink ref="E7126" r:id="rId22008" display="https://twitter.com/OnlyCarrera/status/724193906787799040" xr:uid="{4AEE2D3E-3051-4C37-A2C5-A00B01A362AD}"/>
    <hyperlink ref="O7126" r:id="rId22009" display="https://pbs.twimg.com/profile_images/542918171158511617/A72BLdkG_normal.png" xr:uid="{637901E7-4880-4699-A68C-46A6C5099DCA}"/>
    <hyperlink ref="B7127" r:id="rId22010" display="https://twitter.com/dubbusses" xr:uid="{70D8324C-B6F5-4E25-8764-009DCEE66ECA}"/>
    <hyperlink ref="E7127" r:id="rId22011" display="https://twitter.com/dubbusses/status/724193963633172480" xr:uid="{88B73ACB-04A5-4076-B225-AE4A9F29F7CE}"/>
    <hyperlink ref="O7127" r:id="rId22012" display="https://pbs.twimg.com/profile_images/718835727027580928/1ssyQ67y_normal.jpg" xr:uid="{31275D30-FDFB-4A9F-B31A-368E6D705F39}"/>
    <hyperlink ref="B7128" r:id="rId22013" display="https://twitter.com/dubbusses" xr:uid="{371DAE04-BDAA-4257-8A75-B57D3671E711}"/>
    <hyperlink ref="E7128" r:id="rId22014" display="https://twitter.com/dubbusses/status/724194044889411587" xr:uid="{071A6F3F-0E21-4170-817A-934686701AFB}"/>
    <hyperlink ref="O7128" r:id="rId22015" display="https://pbs.twimg.com/profile_images/718835727027580928/1ssyQ67y_normal.jpg" xr:uid="{B9EAAFFC-5F6E-422C-9355-2BEDD9F61DAE}"/>
    <hyperlink ref="B7129" r:id="rId22016" display="https://twitter.com/vwpalmspringspr" xr:uid="{34C913AC-270F-4280-BC7A-7316F80A4E59}"/>
    <hyperlink ref="E7129" r:id="rId22017" display="https://twitter.com/vwpalmspringspr/status/724194581143646209" xr:uid="{FF9958A8-081C-440D-A43C-881B262748B0}"/>
    <hyperlink ref="O7129" r:id="rId22018" display="https://pbs.twimg.com/profile_images/722518700427882496/rsO6Da_T_normal.jpg" xr:uid="{CB983A67-15A2-4CFF-9B50-938A131E4F8D}"/>
    <hyperlink ref="B7130" r:id="rId22019" display="https://twitter.com/VWBeetleSales" xr:uid="{8217F3CA-93FC-4862-8EF5-75E2155240C8}"/>
    <hyperlink ref="E7130" r:id="rId22020" display="https://twitter.com/VWBeetleSales/status/724194611892088832" xr:uid="{E35C59FD-689D-4D01-92DC-44699F83368E}"/>
    <hyperlink ref="F7130" r:id="rId22021" xr:uid="{C1699EFE-902F-436C-A184-821DCCC1EA6B}"/>
    <hyperlink ref="O7130" r:id="rId22022" display="https://pbs.twimg.com/profile_images/703294545195307008/qeCvrX86_normal.jpg" xr:uid="{E7861AE3-C5F3-4118-8CA7-B44313EC646C}"/>
    <hyperlink ref="B7131" r:id="rId22023" display="https://twitter.com/Edrem278" xr:uid="{DA272B75-40E5-43C6-A81A-A82BDFDED1E2}"/>
    <hyperlink ref="E7131" r:id="rId22024" display="https://twitter.com/Edrem278/status/724194696667402241" xr:uid="{6E368A15-FEF0-4A4B-BC9C-726EF6C40ECD}"/>
    <hyperlink ref="O7131" r:id="rId22025" display="https://pbs.twimg.com/profile_images/700313215821942785/Jo3Rmdby_normal.jpg" xr:uid="{0E4DAFC1-D1D4-466B-953C-EE43CDB10608}"/>
    <hyperlink ref="B7132" r:id="rId22026" display="https://twitter.com/ThaiQashqaiClub" xr:uid="{2071CCF9-984E-47AF-9612-D878F6376B04}"/>
    <hyperlink ref="E7132" r:id="rId22027" display="https://twitter.com/ThaiQashqaiClub/status/724194917602463744" xr:uid="{E44CAE72-B868-4A44-94B8-0F69E6264171}"/>
    <hyperlink ref="O7132" r:id="rId22028" display="https://pbs.twimg.com/profile_images/414218985224142848/lFUdEAne_normal.jpeg" xr:uid="{FBB93D59-F84B-471B-9D6F-ACC706D66C13}"/>
    <hyperlink ref="B7133" r:id="rId22029" display="https://twitter.com/SqueakySays" xr:uid="{04B0AA5A-D79B-490F-A3B0-EB534E340353}"/>
    <hyperlink ref="E7133" r:id="rId22030" display="https://twitter.com/SqueakySays/status/724196444148772864" xr:uid="{4FC48A7A-C253-43C1-BF4D-1874E6D8E8A9}"/>
    <hyperlink ref="O7133" r:id="rId22031" display="https://pbs.twimg.com/profile_images/684099538483818500/mbnscI9S_normal.jpg" xr:uid="{4698E57B-343C-4603-860D-9507F8D4FC26}"/>
    <hyperlink ref="B7134" r:id="rId22032" display="https://twitter.com/VWCamperSales" xr:uid="{694108F0-D96C-476C-B6A2-29B40D8AF203}"/>
    <hyperlink ref="E7134" r:id="rId22033" display="https://twitter.com/VWCamperSales/status/724196473198366721" xr:uid="{367D054B-4EB6-4565-A5D1-04A70C5C63DB}"/>
    <hyperlink ref="F7134" r:id="rId22034" xr:uid="{BDE1CA91-4640-464F-A61E-D06C2C7649BD}"/>
    <hyperlink ref="O7134" r:id="rId22035" display="https://pbs.twimg.com/profile_images/627949001179037696/skEBkS05_normal.jpg" xr:uid="{DF9C9E1E-F69C-4180-83B6-38EC95D4BD47}"/>
    <hyperlink ref="B7135" r:id="rId22036" display="https://twitter.com/GreenGreenwich" xr:uid="{7C3C04D3-FDC0-4452-B873-FC8CCF9DBC6D}"/>
    <hyperlink ref="E7135" r:id="rId22037" display="https://twitter.com/GreenGreenwich/status/724196599795167233" xr:uid="{6C40EE13-36F8-4FF7-AC39-F65A312B4294}"/>
    <hyperlink ref="O7135" r:id="rId22038" display="https://pbs.twimg.com/profile_images/512330694312218624/Bq32lWja_normal.png" xr:uid="{A5F3BCEC-0081-4A4D-8E5D-FC0BB3C7E04A}"/>
    <hyperlink ref="B7136" r:id="rId22039" display="https://twitter.com/ChloeHawthornPR" xr:uid="{90D17B8A-C9C5-4EF6-8EFB-EFC91DCB1D25}"/>
    <hyperlink ref="E7136" r:id="rId22040" display="https://twitter.com/ChloeHawthornPR/status/724196836957904896" xr:uid="{6FB28DC7-462B-4ECC-A593-2ACA1A50B0CA}"/>
    <hyperlink ref="O7136" r:id="rId22041" display="https://pbs.twimg.com/profile_images/700967051528167424/FpLIs-uF_normal.jpg" xr:uid="{175181F3-BC67-4E2A-B042-678C81E2D0B4}"/>
    <hyperlink ref="B7137" r:id="rId22042" display="https://twitter.com/itsallplums" xr:uid="{21151655-788F-441F-9E21-8D845DDEC46C}"/>
    <hyperlink ref="E7137" r:id="rId22043" display="https://twitter.com/itsallplums/status/724197235802673153" xr:uid="{28C4EB4D-6051-4E26-9A16-3E812F727459}"/>
    <hyperlink ref="O7137" r:id="rId22044" display="https://pbs.twimg.com/profile_images/709288144391311361/vBXpPw30_normal.jpg" xr:uid="{47E9405B-0F29-49D1-BAE9-595FA1B83106}"/>
    <hyperlink ref="B7138" r:id="rId22045" display="https://twitter.com/JClaesz" xr:uid="{6BE24BC2-5B8F-438D-9D74-CF2BA084B352}"/>
    <hyperlink ref="E7138" r:id="rId22046" display="https://twitter.com/JClaesz/status/724197514228981761" xr:uid="{6E32CD70-4213-4B1F-BB86-2C23EBE924E5}"/>
    <hyperlink ref="O7138" r:id="rId22047" display="https://pbs.twimg.com/profile_images/695000806655811584/7lC1MdUr_normal.png" xr:uid="{885BC3ED-A056-4004-B7B3-C60262136C94}"/>
    <hyperlink ref="B7139" r:id="rId22048" display="https://twitter.com/WeAppU" xr:uid="{3A00850F-631D-42ED-ACD1-C90AA53BA3DA}"/>
    <hyperlink ref="E7139" r:id="rId22049" display="https://twitter.com/WeAppU/status/724197729929408513" xr:uid="{14EB136D-5857-4700-8A24-1FFA77C489C0}"/>
    <hyperlink ref="O7139" r:id="rId22050" display="https://pbs.twimg.com/profile_images/423172910321115136/pLbNvGzE_normal.jpeg" xr:uid="{00D96B13-1020-4F4C-A23E-E6529645E06A}"/>
    <hyperlink ref="B7140" r:id="rId22051" display="https://twitter.com/Insta_VWT" xr:uid="{C7820475-0ACD-47C7-834C-DE1FBE501848}"/>
    <hyperlink ref="E7140" r:id="rId22052" display="https://twitter.com/Insta_VWT/status/724198326355300352" xr:uid="{412548B5-0F06-4455-B250-B6C0F0549D7C}"/>
    <hyperlink ref="O7140" r:id="rId22053" display="https://pbs.twimg.com/profile_images/424893967197433858/iQ86NktX_normal.jpeg" xr:uid="{74D84CD0-BBB8-40F7-9CE1-BD98F139D15D}"/>
    <hyperlink ref="B7141" r:id="rId22054" display="https://twitter.com/Insta_VWT" xr:uid="{6A4C34D5-8FCC-451A-B856-BED1CE436E91}"/>
    <hyperlink ref="E7141" r:id="rId22055" display="https://twitter.com/Insta_VWT/status/724198333955215360" xr:uid="{C7BF3FD0-7C6C-4836-A2A6-BD86FA75A8D0}"/>
    <hyperlink ref="O7141" r:id="rId22056" display="https://pbs.twimg.com/profile_images/424893967197433858/iQ86NktX_normal.jpeg" xr:uid="{B4C2D846-BE01-4744-A3A1-DF44163A8D1E}"/>
    <hyperlink ref="B7142" r:id="rId22057" display="https://twitter.com/NeilGreenMidWor" xr:uid="{7EFEB896-7EC7-4CC1-B76F-434C2F0DBD4F}"/>
    <hyperlink ref="E7142" r:id="rId22058" display="https://twitter.com/NeilGreenMidWor/status/724198336077651972" xr:uid="{39A79394-F588-41A1-8F9A-DF331BED7934}"/>
    <hyperlink ref="O7142" r:id="rId22059" display="https://pbs.twimg.com/profile_images/644282914079813633/Dioz-jiN_normal.png" xr:uid="{55301D4C-E021-4F44-81A7-5A9EF5502CCF}"/>
    <hyperlink ref="B7143" r:id="rId22060" display="https://twitter.com/VeeDubMk1_" xr:uid="{08A20B0F-5B14-4E60-ACCA-F34CE977C3F2}"/>
    <hyperlink ref="E7143" r:id="rId22061" display="https://twitter.com/VeeDubMk1_/status/724198339005263872" xr:uid="{693E4F5C-C2D3-4296-8FC1-19EC0E05E8CA}"/>
    <hyperlink ref="O7143" r:id="rId22062" display="https://pbs.twimg.com/profile_images/672878354127839232/M7OYc-zx_normal.jpg" xr:uid="{C2218BAD-1304-48D7-B019-F10FBFA25669}"/>
    <hyperlink ref="B7144" r:id="rId22063" display="https://twitter.com/VeeDubMk1_" xr:uid="{47983357-6D80-4F4A-AD6C-89843309733F}"/>
    <hyperlink ref="E7144" r:id="rId22064" display="https://twitter.com/VeeDubMk1_/status/724198343690326016" xr:uid="{ACFADFC5-6F44-475A-AFE8-28E5D8029DF3}"/>
    <hyperlink ref="O7144" r:id="rId22065" display="https://pbs.twimg.com/profile_images/672878354127839232/M7OYc-zx_normal.jpg" xr:uid="{45E232E9-082D-4C12-AB16-269DD37496B0}"/>
    <hyperlink ref="B7145" r:id="rId22066" display="https://twitter.com/VeeDubMk1_" xr:uid="{4D22BA09-21CD-4034-AC56-355DD1DC1C3D}"/>
    <hyperlink ref="E7145" r:id="rId22067" display="https://twitter.com/VeeDubMk1_/status/724198348878692352" xr:uid="{7FF0B0EA-4C3E-4276-89CD-E068F65556C7}"/>
    <hyperlink ref="O7145" r:id="rId22068" display="https://pbs.twimg.com/profile_images/672878354127839232/M7OYc-zx_normal.jpg" xr:uid="{E3E94E12-ADB2-4907-B75B-ECE962E195EE}"/>
    <hyperlink ref="B7146" r:id="rId22069" display="https://twitter.com/VeeDubMk1_" xr:uid="{08E2A3E4-B172-420E-B130-336229BC7560}"/>
    <hyperlink ref="E7146" r:id="rId22070" display="https://twitter.com/VeeDubMk1_/status/724198354750693377" xr:uid="{275499A7-5B9C-4B3A-A26B-353B6F5A559C}"/>
    <hyperlink ref="O7146" r:id="rId22071" display="https://pbs.twimg.com/profile_images/672878354127839232/M7OYc-zx_normal.jpg" xr:uid="{CA71DAB1-722F-47AE-9323-119E6D68A5B4}"/>
    <hyperlink ref="B7147" r:id="rId22072" display="https://twitter.com/VeeDubMk1_" xr:uid="{B08BBC93-AF36-42E0-950C-873B528565F4}"/>
    <hyperlink ref="E7147" r:id="rId22073" display="https://twitter.com/VeeDubMk1_/status/724198360635330560" xr:uid="{3B1EB638-E3A9-49F6-8CF4-A641E2C216C7}"/>
    <hyperlink ref="O7147" r:id="rId22074" display="https://pbs.twimg.com/profile_images/672878354127839232/M7OYc-zx_normal.jpg" xr:uid="{B963CC7C-EB8D-4C47-8CAC-C606B02D2F4B}"/>
    <hyperlink ref="B7148" r:id="rId22075" display="https://twitter.com/vintagosity" xr:uid="{74D22E02-1322-4193-A0B7-8F722B12B07F}"/>
    <hyperlink ref="E7148" r:id="rId22076" display="https://twitter.com/vintagosity/status/724198610108174337" xr:uid="{6D4357F9-E03D-445A-91BB-B9CB455CA787}"/>
    <hyperlink ref="F7148" r:id="rId22077" xr:uid="{13D24629-E1CA-4BAC-AC57-5CAFE7C8F172}"/>
    <hyperlink ref="O7148" r:id="rId22078" display="https://pbs.twimg.com/profile_images/521789044422758400/q_I2IKmj_normal.png" xr:uid="{7D90EE3D-5177-42AB-B224-6156D8B733FA}"/>
    <hyperlink ref="B7149" r:id="rId22079" display="https://twitter.com/bBOLDbLONG" xr:uid="{1E33166E-9040-48B0-B9FD-04350DA3CC56}"/>
    <hyperlink ref="E7149" r:id="rId22080" display="https://twitter.com/bBOLDbLONG/status/724198628756185088" xr:uid="{F3D27236-7859-4593-BB3D-5E615FD0D9CA}"/>
    <hyperlink ref="O7149" r:id="rId22081" display="https://pbs.twimg.com/profile_images/708353303667671040/p6l9LTSb_normal.jpg" xr:uid="{BA0FF0DB-5788-4CFD-B824-5226A2FED3D4}"/>
    <hyperlink ref="B7150" r:id="rId22082" display="https://twitter.com/vwroc" xr:uid="{EEDE687A-D4A5-4579-9E74-AE06914464E7}"/>
    <hyperlink ref="E7150" r:id="rId22083" display="https://twitter.com/vwroc/status/724198893467144192" xr:uid="{B058B005-7B1D-4CDE-B0C5-3E74174DB881}"/>
    <hyperlink ref="O7150" r:id="rId22084" display="https://pbs.twimg.com/profile_images/543503900939014144/cn60bbIx_normal.jpeg" xr:uid="{D5D3D0F2-35E8-4817-A9A8-4BD6C5AA9A08}"/>
    <hyperlink ref="B7151" r:id="rId22085" display="https://twitter.com/JClaesz" xr:uid="{91372A85-C6F5-41E6-A740-950F2E3AEE08}"/>
    <hyperlink ref="E7151" r:id="rId22086" display="https://twitter.com/JClaesz/status/724199072165421056" xr:uid="{A766855B-CC50-4915-8E10-F6367044136D}"/>
    <hyperlink ref="O7151" r:id="rId22087" display="https://pbs.twimg.com/profile_images/695000806655811584/7lC1MdUr_normal.png" xr:uid="{FB976629-B6B9-4910-A4DE-E63F854F08AD}"/>
    <hyperlink ref="B7152" r:id="rId22088" display="https://twitter.com/Vagowners" xr:uid="{1ACFE723-24B9-47D8-B996-3060735E7CAF}"/>
    <hyperlink ref="E7152" r:id="rId22089" display="https://twitter.com/Vagowners/status/724199144013881345" xr:uid="{6DB1B634-DA11-46A1-A255-E1CCFEE3229B}"/>
    <hyperlink ref="O7152" r:id="rId22090" display="https://pbs.twimg.com/profile_images/718839998531903489/eXyeGppJ_normal.jpg" xr:uid="{187903E1-02AE-4211-A74F-DF7130140D21}"/>
    <hyperlink ref="B7153" r:id="rId22091" display="https://twitter.com/coccicab71" xr:uid="{2E280C00-A4D6-4458-9947-7012073443B9}"/>
    <hyperlink ref="E7153" r:id="rId22092" display="https://twitter.com/coccicab71/status/724199450059653120" xr:uid="{C99A6E5C-1DCC-41E9-BF3C-B0F9405C3636}"/>
    <hyperlink ref="O7153" r:id="rId22093" display="https://pbs.twimg.com/profile_images/3728536184/f8618f162b51e72519303cccedbec92b_normal.jpeg" xr:uid="{F1D1F251-691F-4B71-82D8-1021E1272B41}"/>
    <hyperlink ref="B7154" r:id="rId22094" display="https://twitter.com/VWBeetleSales" xr:uid="{900DD749-EC65-402D-BE67-682BFF254F57}"/>
    <hyperlink ref="E7154" r:id="rId22095" display="https://twitter.com/VWBeetleSales/status/724199734664028160" xr:uid="{5C95CE21-F093-412C-B4FC-D96B5E5ECD23}"/>
    <hyperlink ref="F7154" r:id="rId22096" xr:uid="{8E4AE2C4-471C-4BBB-9874-4924EB590DE4}"/>
    <hyperlink ref="O7154" r:id="rId22097" display="https://pbs.twimg.com/profile_images/703294545195307008/qeCvrX86_normal.jpg" xr:uid="{FCDCDCD5-CD82-46C4-AD88-9882AAF7181F}"/>
    <hyperlink ref="B7155" r:id="rId22098" display="https://twitter.com/IG_Yuyake_Club" xr:uid="{A83560A8-906D-494A-B51B-C94CF7F517E6}"/>
    <hyperlink ref="E7155" r:id="rId22099" display="https://twitter.com/IG_Yuyake_Club/status/724199985273704448" xr:uid="{D9E4A128-4B03-497A-8A4C-BD7035523CAA}"/>
    <hyperlink ref="O7155" r:id="rId22100" display="https://pbs.twimg.com/profile_images/1366570318/yuyake_club_normal.png" xr:uid="{3702B951-6C80-4107-B562-795EEE40932E}"/>
    <hyperlink ref="B7156" r:id="rId22101" display="https://twitter.com/OnlineCarReview" xr:uid="{1EB50A52-F6B5-4743-A54A-897A22FA405A}"/>
    <hyperlink ref="E7156" r:id="rId22102" display="https://twitter.com/OnlineCarReview/status/724200459884335105" xr:uid="{49B329DD-D1C7-4CD1-8B36-BCA28DF8AFB3}"/>
    <hyperlink ref="O7156" r:id="rId22103" display="https://pbs.twimg.com/profile_images/652871584131092480/QA_B6SBO_normal.jpg" xr:uid="{C644130D-4C45-4E1F-A925-392602759113}"/>
    <hyperlink ref="B7157" r:id="rId22104" display="https://twitter.com/Mphilpot1" xr:uid="{A7B503D0-6ECC-45C7-B801-8E69CA6A06E7}"/>
    <hyperlink ref="E7157" r:id="rId22105" display="https://twitter.com/Mphilpot1/status/724200939054194693" xr:uid="{7CE811C1-15CF-4885-8134-2F8B868BBF75}"/>
    <hyperlink ref="O7157" r:id="rId22106" display="https://pbs.twimg.com/profile_images/422164778639839234/LVnS1q1c_normal.jpeg" xr:uid="{07F5B7B3-576A-45C9-B38E-B26899ADDD9E}"/>
    <hyperlink ref="B7158" r:id="rId22107" display="https://twitter.com/VWBeetleSales" xr:uid="{4135817C-3DB7-48B6-BABB-62A4DB777C78}"/>
    <hyperlink ref="E7158" r:id="rId22108" display="https://twitter.com/VWBeetleSales/status/724201237499928577" xr:uid="{19C08FB4-B9CA-4AEB-AF76-2D9A9704709B}"/>
    <hyperlink ref="F7158" r:id="rId22109" xr:uid="{ECC7AB11-9468-47A7-9EFE-AE7F0C8B6EF0}"/>
    <hyperlink ref="O7158" r:id="rId22110" display="https://pbs.twimg.com/profile_images/703294545195307008/qeCvrX86_normal.jpg" xr:uid="{FFB13C8E-4117-4D7E-AD05-A096962FC714}"/>
    <hyperlink ref="B7159" r:id="rId22111" display="https://twitter.com/VWBeetleSales" xr:uid="{A23CB7B1-2C62-4CD3-B258-688E38A92C2D}"/>
    <hyperlink ref="E7159" r:id="rId22112" display="https://twitter.com/VWBeetleSales/status/724201244881903616" xr:uid="{3E4C2C15-AABE-4FF4-A6FD-F48532BF8621}"/>
    <hyperlink ref="F7159" r:id="rId22113" xr:uid="{25415477-1DFE-4585-AC02-FF82F334D3BB}"/>
    <hyperlink ref="O7159" r:id="rId22114" display="https://pbs.twimg.com/profile_images/703294545195307008/qeCvrX86_normal.jpg" xr:uid="{000D2E23-C955-4F01-98C7-4D2AE82BFCE2}"/>
    <hyperlink ref="B7160" r:id="rId22115" display="https://twitter.com/autofreshnews" xr:uid="{308C1636-4D61-4788-90AC-2DCCFBC4C9DF}"/>
    <hyperlink ref="E7160" r:id="rId22116" display="https://twitter.com/autofreshnews/status/724201287579885568" xr:uid="{E92DB8D3-F988-4A97-982F-5508184B27C9}"/>
    <hyperlink ref="O7160" r:id="rId22117" display="https://pbs.twimg.com/profile_images/2993695854/bfc038b9654b5476fb581d347c90508a_normal.png" xr:uid="{230C981F-26B1-44E4-9A95-D8290E4E2C7D}"/>
    <hyperlink ref="B7161" r:id="rId22118" display="https://twitter.com/RFN19" xr:uid="{6548DA43-6327-40B4-A716-4C96A454D314}"/>
    <hyperlink ref="E7161" r:id="rId22119" display="https://twitter.com/RFN19/status/724201484531822592" xr:uid="{B841D37E-B85E-4B4B-A63E-A0DCD0278CEB}"/>
    <hyperlink ref="O7161" r:id="rId22120" display="https://pbs.twimg.com/profile_images/571872729201012736/GOT-p0KX_normal.jpeg" xr:uid="{A12538A2-B37D-4063-AF2A-EC77B8749976}"/>
    <hyperlink ref="B7162" r:id="rId22121" display="https://twitter.com/HHMNE" xr:uid="{62BA7FC3-60D9-4CCA-8026-D212E31D750D}"/>
    <hyperlink ref="E7162" r:id="rId22122" display="https://twitter.com/HHMNE/status/724201930923380736" xr:uid="{B6FC5123-7D8E-4900-9255-1F4164F6E610}"/>
    <hyperlink ref="O7162" r:id="rId22123" display="https://pbs.twimg.com/profile_images/641857478414745601/o_-313PT_normal.jpg" xr:uid="{B4413A0B-2F26-4B62-A9C5-2B7AB3366557}"/>
    <hyperlink ref="B7163" r:id="rId22124" display="https://twitter.com/techhippie" xr:uid="{CDA20CD5-D11B-4D36-8092-53C615A2DFBE}"/>
    <hyperlink ref="E7163" r:id="rId22125" display="https://twitter.com/techhippie/status/724201973860409344" xr:uid="{86419160-FC5B-495F-A679-330E7CD50018}"/>
    <hyperlink ref="O7163" r:id="rId22126" display="https://pbs.twimg.com/profile_images/702511217793863680/lty8h9vE_normal.jpg" xr:uid="{060F4676-77BD-4EB8-B423-B43343B38B25}"/>
    <hyperlink ref="B7164" r:id="rId22127" display="https://twitter.com/techhippie" xr:uid="{7C5D847E-987C-434B-BB17-714BB0F124CB}"/>
    <hyperlink ref="E7164" r:id="rId22128" display="https://twitter.com/techhippie/status/724201979136872448" xr:uid="{13CDC329-95C9-443C-A7CA-1FFA70CC06BB}"/>
    <hyperlink ref="O7164" r:id="rId22129" display="https://pbs.twimg.com/profile_images/702511217793863680/lty8h9vE_normal.jpg" xr:uid="{2DD41AC6-720B-4270-B9A3-1473B190A13E}"/>
    <hyperlink ref="B7165" r:id="rId22130" display="https://twitter.com/techhippie" xr:uid="{BC1F6774-24C1-450D-A15D-AAEFA6D07E3F}"/>
    <hyperlink ref="E7165" r:id="rId22131" display="https://twitter.com/techhippie/status/724201988733448198" xr:uid="{72E63FD9-FE01-4FD1-BAEE-E5FC88C21575}"/>
    <hyperlink ref="O7165" r:id="rId22132" display="https://pbs.twimg.com/profile_images/702511217793863680/lty8h9vE_normal.jpg" xr:uid="{3EEEE61F-8396-4912-AA4C-950AA8FD57ED}"/>
    <hyperlink ref="B7166" r:id="rId22133" display="https://twitter.com/BenjaminBeutler" xr:uid="{80E6DBE5-82F6-49AA-84BE-FD84744F13DB}"/>
    <hyperlink ref="E7166" r:id="rId22134" display="https://twitter.com/BenjaminBeutler/status/724202423137476609" xr:uid="{A44B2C06-E7E4-45B4-BFB7-75FE911184B6}"/>
    <hyperlink ref="O7166" r:id="rId22135" display="https://pbs.twimg.com/profile_images/622867817365438466/TOMKALRh_normal.jpg" xr:uid="{B0918D50-A625-4011-9714-433FC4C3C570}"/>
    <hyperlink ref="B7167" r:id="rId22136" display="https://twitter.com/dazvw" xr:uid="{48BDC9BC-EC50-455A-880E-89A0E72D331A}"/>
    <hyperlink ref="E7167" r:id="rId22137" display="https://twitter.com/dazvw/status/724202739568357377" xr:uid="{8B98D353-2033-4C42-BD34-27A3D4EAD666}"/>
    <hyperlink ref="O7167" r:id="rId22138" display="https://pbs.twimg.com/profile_images/3095803063/6d0b0cd10bd2f076a374a11a88bb7c2e_normal.jpeg" xr:uid="{A48CF631-8B4A-417D-A89B-F65CD574E2AF}"/>
    <hyperlink ref="B7168" r:id="rId22139" display="https://twitter.com/nicolasnanchen1" xr:uid="{EA02780C-F74A-4B80-9B2B-3CEA67CCFB73}"/>
    <hyperlink ref="E7168" r:id="rId22140" display="https://twitter.com/nicolasnanchen1/status/724202968908718081" xr:uid="{57195397-E7C6-45F6-947F-A3C2656A8667}"/>
    <hyperlink ref="O7168" r:id="rId22141" display="https://pbs.twimg.com/profile_images/569767365538496512/aBsh6xPR_normal.jpeg" xr:uid="{42911BC3-3805-4204-9AC0-EA0D534FC729}"/>
    <hyperlink ref="B7169" r:id="rId22142" display="https://twitter.com/TobiasAustrup" xr:uid="{2946FDE2-F406-4D4B-BAB3-F316E0CAD935}"/>
    <hyperlink ref="E7169" r:id="rId22143" display="https://twitter.com/TobiasAustrup/status/724203120335708160" xr:uid="{326C67A4-77C8-41DE-8CD0-C69EEA1715A6}"/>
    <hyperlink ref="O7169" r:id="rId22144" display="https://pbs.twimg.com/profile_images/563649209430073344/GGzIu_sQ_normal.jpeg" xr:uid="{CD8E9A47-3C10-42F1-BCC0-4250E14FABAD}"/>
    <hyperlink ref="B7170" r:id="rId22145" display="https://twitter.com/devoncampers" xr:uid="{19D50224-59AC-4ED9-B1BB-2FFD19A5D9AF}"/>
    <hyperlink ref="E7170" r:id="rId22146" display="https://twitter.com/devoncampers/status/724204659771101184" xr:uid="{4CC58F4F-7D94-44F8-A77F-DE1D688D27EA}"/>
    <hyperlink ref="O7170" r:id="rId22147" display="https://pbs.twimg.com/profile_images/474837254783774720/A3oLujry_normal.jpeg" xr:uid="{7992D2F6-63D6-4B7C-A6C1-C3614168FD42}"/>
    <hyperlink ref="B7171" r:id="rId22148" display="https://twitter.com/RamyKhodeir" xr:uid="{3F577A7B-ED28-4B7A-9EF2-2B566B874A4E}"/>
    <hyperlink ref="E7171" r:id="rId22149" display="https://twitter.com/RamyKhodeir/status/724204804969488385" xr:uid="{A7C70297-7622-455A-9A32-F59A696BF702}"/>
    <hyperlink ref="O7171" r:id="rId22150" display="https://pbs.twimg.com/profile_images/596344900234321920/ZmwqqHZz_normal.jpg" xr:uid="{9F5DD097-0D1D-4D58-8CB2-393F89A39539}"/>
    <hyperlink ref="B7172" r:id="rId22151" display="https://twitter.com/vagmenhq" xr:uid="{A3F790DB-0C42-451C-9F20-2725E94659F5}"/>
    <hyperlink ref="E7172" r:id="rId22152" display="https://twitter.com/vagmenhq/status/724205101053816834" xr:uid="{A8D35A77-B919-42A0-8452-5590410984DF}"/>
    <hyperlink ref="O7172" r:id="rId22153" display="https://pbs.twimg.com/profile_images/446781974452371456/rqBZF-KN_normal.jpeg" xr:uid="{CF0AE2D9-C97E-41D4-90C5-DF44C4F8F590}"/>
    <hyperlink ref="B7173" r:id="rId22154" display="https://twitter.com/weare_van" xr:uid="{3593E941-1F3A-4725-8F72-7B024F640947}"/>
    <hyperlink ref="E7173" r:id="rId22155" display="https://twitter.com/weare_van/status/724205598481494016" xr:uid="{D388CBEF-B377-45EB-836C-B4E379185E88}"/>
    <hyperlink ref="O7173" r:id="rId22156" display="https://pbs.twimg.com/profile_images/707176643509538817/-s_VKgK4_normal.jpg" xr:uid="{98F6ACC6-E707-4412-A535-ADC0E3A06AD2}"/>
    <hyperlink ref="B7174" r:id="rId22157" display="https://twitter.com/Goebel_Michelle" xr:uid="{B042B10E-9A1D-4B5B-80D1-1CD303B46F73}"/>
    <hyperlink ref="E7174" r:id="rId22158" display="https://twitter.com/Goebel_Michelle/status/724205729184407552" xr:uid="{F28F46F8-FFC3-49D3-B8F0-98CEF5B8B805}"/>
    <hyperlink ref="O7174" r:id="rId22159" display="https://pbs.twimg.com/profile_images/721817255835774976/C5ySbLKK_normal.jpg" xr:uid="{FFEDD1B1-1FFF-43B5-84BF-7170CD464229}"/>
    <hyperlink ref="B7175" r:id="rId22160" display="https://twitter.com/ebaycampervans" xr:uid="{C95F8BF4-2099-487D-AB6B-0AEFD3EA1D87}"/>
    <hyperlink ref="E7175" r:id="rId22161" display="https://twitter.com/ebaycampervans/status/724205898638323712" xr:uid="{CA413BA8-43F5-44FD-9E95-8FC36E92FC01}"/>
    <hyperlink ref="O7175" r:id="rId22162" display="https://pbs.twimg.com/profile_images/599357023407464449/BL9Bpo6T_normal.jpg" xr:uid="{4961CB9A-0F85-4E53-A235-AC41E449FB14}"/>
    <hyperlink ref="B7176" r:id="rId22163" display="https://twitter.com/motorhappy" xr:uid="{A04EC8A2-C0D8-44A4-95FF-A1C77A35BCD0}"/>
    <hyperlink ref="E7176" r:id="rId22164" display="https://twitter.com/motorhappy/status/724206204612911104" xr:uid="{455FB84C-8F58-4DF1-8B2F-A6334D4B52F3}"/>
    <hyperlink ref="O7176" r:id="rId22165" display="https://pbs.twimg.com/profile_images/552042888666705921/TxWAPB36_normal.png" xr:uid="{8E91DB53-C428-445E-9DA7-33C90A68D41B}"/>
    <hyperlink ref="B7177" r:id="rId22166" display="https://twitter.com/Auto2day_gr" xr:uid="{F904FFD4-9118-4198-A9BB-52E778B28874}"/>
    <hyperlink ref="E7177" r:id="rId22167" display="https://twitter.com/Auto2day_gr/status/724206329598869504" xr:uid="{4499BC22-3F2C-453D-9C70-202BACA36677}"/>
    <hyperlink ref="O7177" r:id="rId22168" display="https://pbs.twimg.com/profile_images/684439034580570112/xeZrDF8k_normal.jpg" xr:uid="{C61E0069-AF02-4627-AD37-4CE7C3950E4B}"/>
    <hyperlink ref="B7178" r:id="rId22169" display="https://twitter.com/CanerAydinnn" xr:uid="{3841449B-CC13-4543-9E1C-C88DA82F8AA0}"/>
    <hyperlink ref="E7178" r:id="rId22170" display="https://twitter.com/CanerAydinnn/status/724207023198486528" xr:uid="{F4CAF7C5-AA07-459C-AD4A-80AEC9C91087}"/>
    <hyperlink ref="O7178" r:id="rId22171" display="https://pbs.twimg.com/profile_images/704838507693535232/IBa0yd2d_normal.jpg" xr:uid="{C0CF95CA-F845-4219-840C-F2D049348ACB}"/>
    <hyperlink ref="B7179" r:id="rId22172" display="https://twitter.com/F_Hubik" xr:uid="{5E0703AC-5F32-44D6-95FE-52CE8FE88960}"/>
    <hyperlink ref="E7179" r:id="rId22173" display="https://twitter.com/F_Hubik/status/724207590226419716" xr:uid="{3EA4758C-8659-4D6C-A469-5CA3120C37C9}"/>
    <hyperlink ref="O7179" r:id="rId22174" display="https://pbs.twimg.com/profile_images/685174846762971136/lzmUZmM9_normal.jpg" xr:uid="{522A99C6-2683-41EA-816B-0A91C930B5D3}"/>
    <hyperlink ref="B7180" r:id="rId22175" display="https://twitter.com/MotorHour" xr:uid="{8F6BE7B0-41A4-4CA2-8184-8F8F126D3FC4}"/>
    <hyperlink ref="E7180" r:id="rId22176" display="https://twitter.com/MotorHour/status/724207817700302848" xr:uid="{358E523E-EF0D-4229-A62A-46BFC35CA018}"/>
    <hyperlink ref="O7180" r:id="rId22177" display="https://pbs.twimg.com/profile_images/552044021774700544/M3FC3arM_normal.jpeg" xr:uid="{2028857E-1123-4358-A451-F0F81B545DD4}"/>
    <hyperlink ref="B7181" r:id="rId22178" display="https://twitter.com/mertbekci" xr:uid="{B36249E7-843E-4770-A644-C8D7C137F512}"/>
    <hyperlink ref="E7181" r:id="rId22179" display="https://twitter.com/mertbekci/status/724208010998874112" xr:uid="{704333D5-C4D5-4778-B8B6-5DD04FF6845F}"/>
    <hyperlink ref="O7181" r:id="rId22180" display="https://pbs.twimg.com/profile_images/698254457998544896/9GCc4Vj1_normal.jpg" xr:uid="{F5D68D49-098F-4B8A-8ECE-3EEC14B63539}"/>
    <hyperlink ref="B7182" r:id="rId22181" display="https://twitter.com/SocialEvents2" xr:uid="{5D55C8A3-E947-48D6-B2C1-E093E8D8EE26}"/>
    <hyperlink ref="E7182" r:id="rId22182" display="https://twitter.com/SocialEvents2/status/724208161595527168" xr:uid="{9A8A1F77-8E53-4F7E-90CA-92AF89E87A31}"/>
    <hyperlink ref="O7182" r:id="rId22183" display="https://pbs.twimg.com/profile_images/721700171567009792/VutCR1ci_normal.jpg" xr:uid="{7437496C-9422-4236-B528-F44185107BE3}"/>
    <hyperlink ref="B7183" r:id="rId22184" display="https://twitter.com/beetlebug1938" xr:uid="{B696086E-C028-4A10-8B47-DE595149D2E7}"/>
    <hyperlink ref="E7183" r:id="rId22185" display="https://twitter.com/beetlebug1938/status/724208581722157057" xr:uid="{FBB5C1DE-D066-48AF-A4DA-F3FE51801507}"/>
    <hyperlink ref="O7183" r:id="rId22186" display="https://pbs.twimg.com/profile_images/718820712757215233/LXXndPTS_normal.jpg" xr:uid="{6F02C649-A577-4DF6-9C18-3A89F21CC395}"/>
    <hyperlink ref="B7184" r:id="rId22187" display="https://twitter.com/beetlebug1938" xr:uid="{D0ECAE89-67C1-4760-9F54-1A696E04E97E}"/>
    <hyperlink ref="E7184" r:id="rId22188" display="https://twitter.com/beetlebug1938/status/724208605969453056" xr:uid="{58190B26-962E-4879-AF49-4C36A305AFDB}"/>
    <hyperlink ref="O7184" r:id="rId22189" display="https://pbs.twimg.com/profile_images/718820712757215233/LXXndPTS_normal.jpg" xr:uid="{8563EA8C-CD8E-4B2F-A110-EA1C51BD2244}"/>
    <hyperlink ref="B7185" r:id="rId22190" display="https://twitter.com/beetlebug1938" xr:uid="{05464BC4-9266-44B4-ADFE-A573ACC1F83D}"/>
    <hyperlink ref="E7185" r:id="rId22191" display="https://twitter.com/beetlebug1938/status/724208618799792128" xr:uid="{031749CE-DAAC-4FB4-BB9D-F8E3C380D4A7}"/>
    <hyperlink ref="O7185" r:id="rId22192" display="https://pbs.twimg.com/profile_images/718820712757215233/LXXndPTS_normal.jpg" xr:uid="{5D66D26F-A9DA-4E13-9B1E-2965D38CC93E}"/>
    <hyperlink ref="B7186" r:id="rId22193" display="https://twitter.com/beetlebug1938" xr:uid="{355383B4-ED8E-4F20-AF6D-6A927A1AA13B}"/>
    <hyperlink ref="E7186" r:id="rId22194" display="https://twitter.com/beetlebug1938/status/724208630959079424" xr:uid="{FD37B5D9-A865-4EBA-9DC0-B11BDB276037}"/>
    <hyperlink ref="O7186" r:id="rId22195" display="https://pbs.twimg.com/profile_images/718820712757215233/LXXndPTS_normal.jpg" xr:uid="{C56E5EEC-E1D6-40F0-8688-1FE397060A55}"/>
    <hyperlink ref="B7187" r:id="rId22196" display="https://twitter.com/beetlebug1938" xr:uid="{C6D852B5-DB25-44FF-B385-94B9B814DE13}"/>
    <hyperlink ref="E7187" r:id="rId22197" display="https://twitter.com/beetlebug1938/status/724208641188990977" xr:uid="{5B43B6F5-4FEA-4C3A-987A-26B90DE18651}"/>
    <hyperlink ref="O7187" r:id="rId22198" display="https://pbs.twimg.com/profile_images/718820712757215233/LXXndPTS_normal.jpg" xr:uid="{E7CA178A-F08C-44F8-817C-FA8A73151861}"/>
    <hyperlink ref="B7188" r:id="rId22199" display="https://twitter.com/beetlebug1938" xr:uid="{CAA1EF42-0A26-4460-928E-90E99FEB9489}"/>
    <hyperlink ref="E7188" r:id="rId22200" display="https://twitter.com/beetlebug1938/status/724208651859288064" xr:uid="{C7C2C516-29EC-43FC-8213-C0042D2F309D}"/>
    <hyperlink ref="O7188" r:id="rId22201" display="https://pbs.twimg.com/profile_images/718820712757215233/LXXndPTS_normal.jpg" xr:uid="{1DCE4127-85E4-4FDC-9A5D-6EBCA9EDA8A4}"/>
    <hyperlink ref="B7189" r:id="rId22202" display="https://twitter.com/beetlebug1938" xr:uid="{2719CB90-AD6C-408C-949F-F3B1AB6B6A72}"/>
    <hyperlink ref="E7189" r:id="rId22203" display="https://twitter.com/beetlebug1938/status/724208662139510784" xr:uid="{3C2DE831-96DA-430C-A905-90162A20D1F1}"/>
    <hyperlink ref="O7189" r:id="rId22204" display="https://pbs.twimg.com/profile_images/718820712757215233/LXXndPTS_normal.jpg" xr:uid="{33BE7D28-8EA1-42C1-942D-A596917F43E3}"/>
    <hyperlink ref="B7190" r:id="rId22205" display="https://twitter.com/handelsblatt" xr:uid="{850C807D-0BA0-4BF8-8EDB-8A9336486E55}"/>
    <hyperlink ref="E7190" r:id="rId22206" display="https://twitter.com/handelsblatt/status/724208836354162688" xr:uid="{1E19E5A3-8FC2-4D21-A145-CCCA31B21602}"/>
    <hyperlink ref="O7190" r:id="rId22207" display="https://pbs.twimg.com/profile_images/562563461171798017/AkHF4keI_normal.png" xr:uid="{89C7AC27-C79A-4B43-B67E-E57320AF4794}"/>
    <hyperlink ref="B7191" r:id="rId22208" display="https://twitter.com/DenbyCampervans" xr:uid="{415D6B11-A8CC-4C64-8B14-D9DCA0CB9056}"/>
    <hyperlink ref="E7191" r:id="rId22209" display="https://twitter.com/DenbyCampervans/status/724208841404108800" xr:uid="{17290827-624F-4022-BCD2-71C1B077FDBA}"/>
    <hyperlink ref="O7191" r:id="rId22210" display="https://pbs.twimg.com/profile_images/489353066819248128/cxv60hiW_normal.png" xr:uid="{22C503A8-AA67-42D1-8DDA-E00DAD42D08C}"/>
    <hyperlink ref="B7192" r:id="rId22211" display="https://twitter.com/dubbusses" xr:uid="{1515A7F7-63F3-480F-AF09-A386F69828D9}"/>
    <hyperlink ref="E7192" r:id="rId22212" display="https://twitter.com/dubbusses/status/724209104403742721" xr:uid="{5CDEB13D-F186-4ABF-9F14-40BDB6A53DCA}"/>
    <hyperlink ref="O7192" r:id="rId22213" display="https://pbs.twimg.com/profile_images/718835727027580928/1ssyQ67y_normal.jpg" xr:uid="{2109E3EA-15B6-4A27-A423-3FED737A6424}"/>
    <hyperlink ref="B7193" r:id="rId22214" display="https://twitter.com/VWCamperSales" xr:uid="{38C0EC8C-D4D5-4CE3-8380-5A03379ACFB0}"/>
    <hyperlink ref="E7193" r:id="rId22215" display="https://twitter.com/VWCamperSales/status/724209318099214338" xr:uid="{E943C667-1CE6-4675-90C6-A2E2014710A3}"/>
    <hyperlink ref="F7193" r:id="rId22216" xr:uid="{34BA7736-FA08-475E-A0C6-48BEFB15E0B5}"/>
    <hyperlink ref="O7193" r:id="rId22217" display="https://pbs.twimg.com/profile_images/627949001179037696/skEBkS05_normal.jpg" xr:uid="{8788ACA4-76BD-49E2-831A-7A8BFAB4CF49}"/>
    <hyperlink ref="B7194" r:id="rId22218" display="https://twitter.com/VWCamperSales" xr:uid="{4CC35288-1645-4328-A095-3B460F727AD1}"/>
    <hyperlink ref="E7194" r:id="rId22219" display="https://twitter.com/VWCamperSales/status/724209327184080896" xr:uid="{9634848E-2334-45A7-ADCA-315E57A6BEBB}"/>
    <hyperlink ref="F7194" r:id="rId22220" xr:uid="{A363EAA0-A553-482B-AC88-67AC52E7AEBC}"/>
    <hyperlink ref="O7194" r:id="rId22221" display="https://pbs.twimg.com/profile_images/627949001179037696/skEBkS05_normal.jpg" xr:uid="{1C4B1EB9-5695-45E5-AD6B-FAA1CA1552AD}"/>
    <hyperlink ref="B7195" r:id="rId22222" display="https://twitter.com/APursanidu" xr:uid="{E395C242-604B-41A6-B501-D4DAF118E8E9}"/>
    <hyperlink ref="E7195" r:id="rId22223" display="https://twitter.com/APursanidu/status/724209415482707968" xr:uid="{2BCD0F3A-8C8C-464F-B959-043AA4B9F77B}"/>
    <hyperlink ref="O7195" r:id="rId22224" display="https://pbs.twimg.com/profile_images/699632550373945344/CUA_buIN_normal.jpg" xr:uid="{991A8E0C-B838-4DB2-94BD-F61CCB630963}"/>
    <hyperlink ref="B7196" r:id="rId22225" display="https://twitter.com/GoodGarageGroup" xr:uid="{1B0EAB09-D28A-4E84-A4CF-3ACFA94066E2}"/>
    <hyperlink ref="E7196" r:id="rId22226" display="https://twitter.com/GoodGarageGroup/status/724210530941079552" xr:uid="{4C439468-3C0E-49FE-B152-5E6469B379B2}"/>
    <hyperlink ref="O7196" r:id="rId22227" display="https://pbs.twimg.com/profile_images/697021927953719296/tTyDaZfQ_normal.png" xr:uid="{081AF10E-2A94-4564-BF0F-988D30EF6F2F}"/>
    <hyperlink ref="B7197" r:id="rId22228" display="https://twitter.com/dapper013" xr:uid="{BC607A0D-E283-4A85-970D-836FC5D5DA72}"/>
    <hyperlink ref="E7197" r:id="rId22229" display="https://twitter.com/dapper013/status/724210533172436992" xr:uid="{E54D412E-9098-4C1A-BE6C-EB32BD4600CE}"/>
    <hyperlink ref="O7197" r:id="rId22230" display="https://pbs.twimg.com/profile_images/704424786777280513/YQVkJF57_normal.jpg" xr:uid="{8742FD16-A0B5-4381-8EF8-04E718960CF8}"/>
    <hyperlink ref="B7198" r:id="rId22231" display="https://twitter.com/FuscaWorld" xr:uid="{97E5757F-A15D-4BEC-9745-222C2A0153E0}"/>
    <hyperlink ref="E7198" r:id="rId22232" display="https://twitter.com/FuscaWorld/status/724210612654489600" xr:uid="{1E704DF9-1407-456E-AF96-14D94484F3C0}"/>
    <hyperlink ref="O7198" r:id="rId22233" display="https://pbs.twimg.com/profile_images/705780107844067328/e7O4UBNb_normal.jpg" xr:uid="{E71FC7C3-2B12-49C9-AB06-E652D75A2577}"/>
    <hyperlink ref="B7199" r:id="rId22234" display="https://twitter.com/B13Rugby" xr:uid="{95A5FEC8-D191-49A9-84EC-7D119F8DEBBF}"/>
    <hyperlink ref="E7199" r:id="rId22235" display="https://twitter.com/B13Rugby/status/724210661073494016" xr:uid="{D8CF3A33-E433-4BB6-9990-E11842FAFE1F}"/>
    <hyperlink ref="O7199" r:id="rId22236" display="https://pbs.twimg.com/profile_images/378800000392900576/498f2cc9b5c02349ba506e52930454cf_normal.jpeg" xr:uid="{9163F218-7506-4221-A350-D42AADDEDB2A}"/>
    <hyperlink ref="B7200" r:id="rId22237" display="https://twitter.com/VWBeetleSales" xr:uid="{1FD1925D-605F-4C5D-B3E2-A85B4A61863B}"/>
    <hyperlink ref="E7200" r:id="rId22238" display="https://twitter.com/VWBeetleSales/status/724210818347212802" xr:uid="{99FDAD9D-01FD-49D9-B4B7-027EE3D062DB}"/>
    <hyperlink ref="F7200" r:id="rId22239" xr:uid="{5082DA69-B25A-4A26-B9FC-AB7CAE690226}"/>
    <hyperlink ref="O7200" r:id="rId22240" display="https://pbs.twimg.com/profile_images/703294545195307008/qeCvrX86_normal.jpg" xr:uid="{FB3E45F9-FC01-4EA0-B08F-4A4BBB7F215A}"/>
    <hyperlink ref="B7201" r:id="rId22241" display="https://twitter.com/MJJENNINGS1987" xr:uid="{711AF338-F5BF-432F-BA7D-3C46AB4C4776}"/>
    <hyperlink ref="E7201" r:id="rId22242" display="https://twitter.com/MJJENNINGS1987/status/724211073189056513" xr:uid="{AE973B69-4B9E-4BB4-86C8-AEFFB3687E72}"/>
    <hyperlink ref="O7201" r:id="rId22243" display="https://pbs.twimg.com/profile_images/693572579727130624/6g1279ui_normal.jpg" xr:uid="{E7A5644B-9AD4-4768-9874-72FCE1DF01B8}"/>
    <hyperlink ref="B7202" r:id="rId22244" display="https://twitter.com/plenum_vf" xr:uid="{8DBC9D58-6056-4866-956F-8D54CA3BB54B}"/>
    <hyperlink ref="E7202" r:id="rId22245" display="https://twitter.com/plenum_vf/status/724211204709867520" xr:uid="{5B7F9500-1659-49CB-9579-01C90B62FC28}"/>
    <hyperlink ref="O7202" r:id="rId22246" display="https://pbs.twimg.com/profile_images/441878356892475392/gyegJ20H_normal.png" xr:uid="{D862E224-BAB2-4119-9F31-9AC3BB361F7A}"/>
    <hyperlink ref="B7203" r:id="rId22247" display="https://twitter.com/Andy4x4Richards" xr:uid="{33811408-792C-4E6B-B69B-19A84CD2AA9E}"/>
    <hyperlink ref="E7203" r:id="rId22248" display="https://twitter.com/Andy4x4Richards/status/724211497879113728" xr:uid="{AF862648-AB13-4069-9118-45F97ECCADED}"/>
    <hyperlink ref="O7203" r:id="rId22249" display="https://pbs.twimg.com/profile_images/378800000788533559/d7b863b3897162fa5ec8d3216d541b0d_normal.jpeg" xr:uid="{79FF9801-82B1-4B41-AF55-DCA715097960}"/>
    <hyperlink ref="B7204" r:id="rId22250" display="https://twitter.com/naprisi" xr:uid="{231503E7-8AF3-425A-8983-0371F0EB04AB}"/>
    <hyperlink ref="E7204" r:id="rId22251" display="https://twitter.com/naprisi/status/724211505743319044" xr:uid="{2B40C6D8-1A10-4CA6-90F4-8560984B0154}"/>
    <hyperlink ref="O7204" r:id="rId22252" display="https://pbs.twimg.com/profile_images/605109420893347841/kYw1rfwB_normal.jpg" xr:uid="{CD04F577-B615-4CD3-85D4-BEDF442D9799}"/>
    <hyperlink ref="P7204" r:id="rId22253" location="54.33333333,10.13333333" display="http://ctrlq.org/maps/address/ - 54.33333333,10.13333333" xr:uid="{3F607D29-E659-4870-9A51-2D4AD95DB730}"/>
    <hyperlink ref="B7205" r:id="rId22254" display="https://twitter.com/TheNestJR" xr:uid="{3AC891FC-E6CE-4ADD-BE7E-3AD975927187}"/>
    <hyperlink ref="E7205" r:id="rId22255" display="https://twitter.com/TheNestJR/status/724211641114603520" xr:uid="{3ACFFD33-9A9A-4DC1-A99B-A9F4D9F833E9}"/>
    <hyperlink ref="O7205" r:id="rId22256" display="https://pbs.twimg.com/profile_images/2381647126/welcomearea-55-w_ekm_208x230_ekm__normal.jpg" xr:uid="{751815BF-3A41-498B-86A6-5B96F5BD3668}"/>
    <hyperlink ref="B7206" r:id="rId22257" display="https://twitter.com/CDUBiblis" xr:uid="{37B1DD17-9FC4-40C7-B7AC-E3D18D476904}"/>
    <hyperlink ref="E7206" r:id="rId22258" display="https://twitter.com/CDUBiblis/status/724211863811178496" xr:uid="{A89A6686-18C5-4C51-BF7B-974E2F82FF1D}"/>
    <hyperlink ref="O7206" r:id="rId22259" display="https://abs.twimg.com/sticky/default_profile_images/default_profile_2_normal.png" xr:uid="{99FB2BC8-4EC2-48C3-941B-69F3BF358E7C}"/>
    <hyperlink ref="B7207" r:id="rId22260" display="https://twitter.com/Scirocco_Tuning" xr:uid="{4449DF96-0A3A-42B7-BE1B-35747B8C4F1D}"/>
    <hyperlink ref="E7207" r:id="rId22261" display="https://twitter.com/Scirocco_Tuning/status/724211975056723968" xr:uid="{408B22C1-E0C0-42CD-85A5-AD55D7F24421}"/>
    <hyperlink ref="O7207" r:id="rId22262" display="https://pbs.twimg.com/profile_images/1610421423/Image2_normal.jpg" xr:uid="{5AFB92FF-BB5E-4138-AA55-7355EF5BBDD5}"/>
    <hyperlink ref="B7208" r:id="rId22263" display="https://twitter.com/farouktackie" xr:uid="{00E61875-C6C6-4EC1-80B1-2DCB355E46B0}"/>
    <hyperlink ref="E7208" r:id="rId22264" display="https://twitter.com/farouktackie/status/724212005389918208" xr:uid="{58774060-A28B-4348-B369-348492D53E26}"/>
    <hyperlink ref="O7208" r:id="rId22265" display="https://pbs.twimg.com/profile_images/676389713952010240/ei75kZkW_normal.jpg" xr:uid="{8C42E1D8-76F3-433B-A84B-E568954277C4}"/>
    <hyperlink ref="B7209" r:id="rId22266" display="https://twitter.com/Konneh_21" xr:uid="{DF15F329-3B20-47FB-B72E-1C01205B71A6}"/>
    <hyperlink ref="E7209" r:id="rId22267" display="https://twitter.com/Konneh_21/status/724212012759277571" xr:uid="{91E7B408-33DD-4C43-B6EB-AF4F271D5B32}"/>
    <hyperlink ref="O7209" r:id="rId22268" display="https://pbs.twimg.com/profile_images/721733413024186368/cw2Gz1sV_normal.jpg" xr:uid="{91FE3384-8F60-48F2-8BB2-268DD673581E}"/>
    <hyperlink ref="B7210" r:id="rId22269" display="https://twitter.com/St0psch1ld" xr:uid="{99310BA1-67A5-4C1B-ABFA-29618CB183CF}"/>
    <hyperlink ref="E7210" r:id="rId22270" display="https://twitter.com/St0psch1ld/status/724212312140292096" xr:uid="{B1F33924-0CD3-4CB9-8838-97016228EF80}"/>
    <hyperlink ref="O7210" r:id="rId22271" display="https://pbs.twimg.com/profile_images/695663013412630535/XgD9AbrJ_normal.jpg" xr:uid="{DEA758E1-A2E0-484F-A604-EA59B4D3AA8E}"/>
    <hyperlink ref="B7211" r:id="rId22272" display="https://twitter.com/VWCamperSales" xr:uid="{F0513001-8712-4595-9764-FA5EFEA9DE8D}"/>
    <hyperlink ref="E7211" r:id="rId22273" display="https://twitter.com/VWCamperSales/status/724212589496918017" xr:uid="{8B6124EE-DE7F-429A-B82F-8D8E7B43D6F3}"/>
    <hyperlink ref="F7211" r:id="rId22274" xr:uid="{26792456-9AEB-406B-A37A-C049708AD905}"/>
    <hyperlink ref="O7211" r:id="rId22275" display="https://pbs.twimg.com/profile_images/627949001179037696/skEBkS05_normal.jpg" xr:uid="{DDC9CF5D-1F0D-4056-B14A-7BD6A95CB587}"/>
    <hyperlink ref="B7212" r:id="rId22276" display="https://twitter.com/hddoger" xr:uid="{DC5F4C9B-3439-4C26-9FA6-FE339D3887A3}"/>
    <hyperlink ref="E7212" r:id="rId22277" display="https://twitter.com/hddoger/status/724212887040847873" xr:uid="{1809D74B-B68E-4EDE-8EE9-14F4818863DA}"/>
    <hyperlink ref="O7212" r:id="rId22278" display="https://pbs.twimg.com/profile_images/3296258792/7852b77f95bc153cf32db2ba07fb879c_normal.jpeg" xr:uid="{6C0BFB40-A1B8-4D18-A0C3-78AC0A13777A}"/>
    <hyperlink ref="B7213" r:id="rId22279" display="https://twitter.com/checo621" xr:uid="{0B34B881-6B75-4CE2-882D-A4D1CB90B488}"/>
    <hyperlink ref="E7213" r:id="rId22280" display="https://twitter.com/checo621/status/724213015353155584" xr:uid="{85625D45-94A0-4194-AE2B-7C09614F3CAF}"/>
    <hyperlink ref="O7213" r:id="rId22281" display="https://pbs.twimg.com/profile_images/721531130650841088/goNcbhzJ_normal.jpg" xr:uid="{7C00A102-2E25-4898-8DDA-FBB4ACE27E25}"/>
    <hyperlink ref="B7214" r:id="rId22282" display="https://twitter.com/RETROPOT" xr:uid="{BDE3E735-6657-49C6-94FF-F9009BB14858}"/>
    <hyperlink ref="E7214" r:id="rId22283" display="https://twitter.com/RETROPOT/status/724213191065083905" xr:uid="{3F0B6705-1C80-4ECC-AD52-3C5124E14AEF}"/>
    <hyperlink ref="O7214" r:id="rId22284" display="https://pbs.twimg.com/profile_images/664095102885879808/9XJjykPM_normal.png" xr:uid="{A8281FA5-565F-4857-BD91-C9A9CD061DEF}"/>
    <hyperlink ref="B7215" r:id="rId22285" display="https://twitter.com/oldcar_photo" xr:uid="{7A41F02F-532E-4927-A9FF-289CDF370C79}"/>
    <hyperlink ref="E7215" r:id="rId22286" display="https://twitter.com/oldcar_photo/status/724213332593500162" xr:uid="{E02D8660-2856-4F74-8639-AE36945EB134}"/>
    <hyperlink ref="O7215" r:id="rId22287" display="https://pbs.twimg.com/profile_images/615493650785660928/XHUh6HOk_normal.jpg" xr:uid="{B3CE7142-240F-4998-ACB4-1410F87688CA}"/>
    <hyperlink ref="B7216" r:id="rId22288" display="https://twitter.com/Insta_VWT" xr:uid="{BA39E64D-D764-45FB-84A5-E3DCC5684204}"/>
    <hyperlink ref="E7216" r:id="rId22289" display="https://twitter.com/Insta_VWT/status/724213370413568000" xr:uid="{4237E27C-0E44-4BCC-B555-7BC40B4B9100}"/>
    <hyperlink ref="O7216" r:id="rId22290" display="https://pbs.twimg.com/profile_images/424893967197433858/iQ86NktX_normal.jpeg" xr:uid="{79A897BD-4A34-4904-9F47-3F0A5AC94AF5}"/>
    <hyperlink ref="B7217" r:id="rId22291" display="https://twitter.com/Insta_VWT" xr:uid="{166B1B76-69A3-45C5-A1DF-EDA5B4693818}"/>
    <hyperlink ref="E7217" r:id="rId22292" display="https://twitter.com/Insta_VWT/status/724213387455016960" xr:uid="{0BDD2FCB-C296-43CE-AE50-A836CE971E19}"/>
    <hyperlink ref="O7217" r:id="rId22293" display="https://pbs.twimg.com/profile_images/424893967197433858/iQ86NktX_normal.jpeg" xr:uid="{DEA8438E-37F0-427F-9957-F2EB29B32C6F}"/>
    <hyperlink ref="B7218" r:id="rId22294" display="https://twitter.com/FuscaWorld" xr:uid="{C8F1A9B9-965F-4E1D-A535-FD9ABB28D9FC}"/>
    <hyperlink ref="E7218" r:id="rId22295" display="https://twitter.com/FuscaWorld/status/724213442534584320" xr:uid="{8F83366D-99DB-42DE-AFB5-1DF52084CF35}"/>
    <hyperlink ref="O7218" r:id="rId22296" display="https://pbs.twimg.com/profile_images/705780107844067328/e7O4UBNb_normal.jpg" xr:uid="{9E8F7103-F1AE-46E5-B52E-0D4203072A0F}"/>
    <hyperlink ref="B7219" r:id="rId22297" display="https://twitter.com/VeeDubMk1_" xr:uid="{57DDE4D7-C8B1-439E-A95C-1DA7DA871A8B}"/>
    <hyperlink ref="E7219" r:id="rId22298" display="https://twitter.com/VeeDubMk1_/status/724213520892612608" xr:uid="{631E2609-AE06-4CB1-B152-779EFBF06860}"/>
    <hyperlink ref="O7219" r:id="rId22299" display="https://pbs.twimg.com/profile_images/672878354127839232/M7OYc-zx_normal.jpg" xr:uid="{825404E7-5540-42DF-8583-4000215A49BE}"/>
    <hyperlink ref="B7220" r:id="rId22300" display="https://twitter.com/VeeDubMk1_" xr:uid="{773309A5-061A-4E15-B05C-F6893074F47B}"/>
    <hyperlink ref="E7220" r:id="rId22301" display="https://twitter.com/VeeDubMk1_/status/724213534977081344" xr:uid="{845BA331-2093-440B-BBE4-B3A7F0303B05}"/>
    <hyperlink ref="O7220" r:id="rId22302" display="https://pbs.twimg.com/profile_images/672878354127839232/M7OYc-zx_normal.jpg" xr:uid="{BE23E1FB-12E1-4BC6-B010-F5CD0F54709E}"/>
    <hyperlink ref="B7221" r:id="rId22303" display="https://twitter.com/Hoots_mon" xr:uid="{762319CC-1014-4424-958E-A092D9B37C97}"/>
    <hyperlink ref="E7221" r:id="rId22304" display="https://twitter.com/Hoots_mon/status/724213538898739200" xr:uid="{953AB93E-DF20-4313-AC44-31829256E9CD}"/>
    <hyperlink ref="O7221" r:id="rId22305" display="https://pbs.twimg.com/profile_images/709087090550689792/ICYFENhR_normal.jpg" xr:uid="{E5566BDF-5CF3-47E6-A723-92C770696B07}"/>
    <hyperlink ref="B7222" r:id="rId22306" display="https://twitter.com/VCT_Tweets" xr:uid="{B38731B1-3C3D-4B57-A9A9-42698E201765}"/>
    <hyperlink ref="E7222" r:id="rId22307" display="https://twitter.com/VCT_Tweets/status/724213933553410048" xr:uid="{44637C9D-D912-42EC-8E09-1FA96F791699}"/>
    <hyperlink ref="O7222" r:id="rId22308" display="https://pbs.twimg.com/profile_images/569800899141177344/nVFLMSdb_normal.png" xr:uid="{28ED3AB1-6841-4A90-A18B-2A7735043DB8}"/>
    <hyperlink ref="B7223" r:id="rId22309" display="https://twitter.com/VCT_Tweets" xr:uid="{020AECF0-25B4-4DE2-A094-F8BC6C503B39}"/>
    <hyperlink ref="E7223" r:id="rId22310" display="https://twitter.com/VCT_Tweets/status/724213959084089344" xr:uid="{EF719DBA-064E-4C87-AB63-0D582D9A108F}"/>
    <hyperlink ref="O7223" r:id="rId22311" display="https://pbs.twimg.com/profile_images/569800899141177344/nVFLMSdb_normal.png" xr:uid="{5729190B-E76E-40E8-A2FE-7D77A8112927}"/>
    <hyperlink ref="B7224" r:id="rId22312" display="https://twitter.com/MorSvinka_83" xr:uid="{2AE64271-4100-48B8-96E3-301C86A11D33}"/>
    <hyperlink ref="E7224" r:id="rId22313" display="https://twitter.com/MorSvinka_83/status/724214001018781696" xr:uid="{F48CF08A-C7E8-4357-9AF9-61B73B11A735}"/>
    <hyperlink ref="O7224" r:id="rId22314" display="https://pbs.twimg.com/profile_images/2208847688/Untitled-2_normal.jpg" xr:uid="{97A0ABF7-65C3-4113-8101-485E6EC50037}"/>
    <hyperlink ref="B7225" r:id="rId22315" display="https://twitter.com/anjelicasjogren" xr:uid="{3AC3D884-4BD4-4316-AD92-93CE036F3F23}"/>
    <hyperlink ref="E7225" r:id="rId22316" display="https://twitter.com/anjelicasjogren/status/724214045910425600" xr:uid="{6952033B-AB0C-494F-A964-2FC5CD1C3E25}"/>
    <hyperlink ref="O7225" r:id="rId22317" display="https://pbs.twimg.com/profile_images/639825675428478976/lYkKqb5E_normal.jpg" xr:uid="{D7F5801E-776A-468F-85F9-3C00F5833E36}"/>
    <hyperlink ref="B7226" r:id="rId22318" display="https://twitter.com/TotallyVans" xr:uid="{30F6F928-5FF5-477B-98BE-D943C4B9CFC3}"/>
    <hyperlink ref="E7226" r:id="rId22319" display="https://twitter.com/TotallyVans/status/724214074515578880" xr:uid="{07AF753D-9841-408D-8B3F-8DC1F601E53F}"/>
    <hyperlink ref="O7226" r:id="rId22320" display="https://pbs.twimg.com/profile_images/464452649283096576/83OCnlKc_normal.jpeg" xr:uid="{6BBA003E-1DE1-426F-A358-EC7EC6E5A69F}"/>
    <hyperlink ref="B7227" r:id="rId22321" display="https://twitter.com/dayterj75" xr:uid="{E35E166C-0EC7-442D-80E9-2B90CFF4BC99}"/>
    <hyperlink ref="E7227" r:id="rId22322" display="https://twitter.com/dayterj75/status/724214187090546688" xr:uid="{E758C451-0354-4D2C-9303-7F18750B1D9E}"/>
    <hyperlink ref="O7227" r:id="rId22323" display="https://pbs.twimg.com/profile_images/718937486722932736/Id4XiFFI_normal.jpg" xr:uid="{701259A1-0D2D-4A8E-A43E-EDF3F9054BC7}"/>
    <hyperlink ref="B7228" r:id="rId22324" display="https://twitter.com/anjelicasjogren" xr:uid="{3F250174-5B5B-4040-A704-3576AF872A84}"/>
    <hyperlink ref="E7228" r:id="rId22325" display="https://twitter.com/anjelicasjogren/status/724214491353886720" xr:uid="{D9BECACE-C43D-45F3-AB30-03698278D67D}"/>
    <hyperlink ref="O7228" r:id="rId22326" display="https://pbs.twimg.com/profile_images/639825675428478976/lYkKqb5E_normal.jpg" xr:uid="{28330367-155D-473B-A2A3-AF510B00A188}"/>
    <hyperlink ref="B7229" r:id="rId22327" display="https://twitter.com/DominiqueVanpee" xr:uid="{7B5C19CF-4220-42FC-B237-0587D951241A}"/>
    <hyperlink ref="E7229" r:id="rId22328" display="https://twitter.com/DominiqueVanpee/status/724215112748404736" xr:uid="{79596453-5071-4782-BCC8-FA670CC10874}"/>
    <hyperlink ref="O7229" r:id="rId22329" display="https://pbs.twimg.com/profile_images/3187379824/d5042982950c153c9ef96bc42e851fab_normal.jpeg" xr:uid="{E182AA3B-D28F-4D53-8406-564D882E8705}"/>
    <hyperlink ref="B7230" r:id="rId22330" display="https://twitter.com/VWCamperSales" xr:uid="{B11B313F-8855-45F7-80CC-5C29C5ED3D22}"/>
    <hyperlink ref="E7230" r:id="rId22331" display="https://twitter.com/VWCamperSales/status/724216116134858752" xr:uid="{037CFE49-9324-4D63-88EB-A463E0D6BD65}"/>
    <hyperlink ref="F7230" r:id="rId22332" xr:uid="{184BA123-7140-40BD-AC02-45E6DDCDB735}"/>
    <hyperlink ref="O7230" r:id="rId22333" display="https://pbs.twimg.com/profile_images/627949001179037696/skEBkS05_normal.jpg" xr:uid="{446E8831-D819-4B1F-A633-2CD56F1A0C85}"/>
    <hyperlink ref="B7231" r:id="rId22334" display="https://twitter.com/moujkash" xr:uid="{D9FD5816-BF1B-4BFB-A592-8FE9697C9621}"/>
    <hyperlink ref="E7231" r:id="rId22335" display="https://twitter.com/moujkash/status/724216814771691520" xr:uid="{B4A6FC00-C0DC-465C-AA13-0BDBAC51FB5F}"/>
    <hyperlink ref="O7231" r:id="rId22336" display="https://pbs.twimg.com/profile_images/724191040970711040/Tcg-aQ6t_normal.jpg" xr:uid="{B521E0DC-5665-4955-9A0D-4342A043CCD1}"/>
    <hyperlink ref="B7232" r:id="rId22337" display="https://twitter.com/OnlineCarReview" xr:uid="{CBA892DF-14FF-402C-9226-0DFAF73E9ACD}"/>
    <hyperlink ref="E7232" r:id="rId22338" display="https://twitter.com/OnlineCarReview/status/724217239507898369" xr:uid="{A9AC400B-A6A9-4CA6-A1BB-E360F8B404FD}"/>
    <hyperlink ref="O7232" r:id="rId22339" display="https://pbs.twimg.com/profile_images/652871584131092480/QA_B6SBO_normal.jpg" xr:uid="{BB9D13D1-2D30-4347-9EB2-87BFE756C055}"/>
    <hyperlink ref="B7233" r:id="rId22340" display="https://twitter.com/OnlineCarReview" xr:uid="{8E43796A-2EEF-446C-9B9A-68F599A976CA}"/>
    <hyperlink ref="E7233" r:id="rId22341" display="https://twitter.com/OnlineCarReview/status/724217240380276736" xr:uid="{43F9FEAF-FFB9-4994-B121-702250BE5A37}"/>
    <hyperlink ref="O7233" r:id="rId22342" display="https://pbs.twimg.com/profile_images/652871584131092480/QA_B6SBO_normal.jpg" xr:uid="{A818F5BE-32B3-40CE-960D-F01A0B156F81}"/>
    <hyperlink ref="B7234" r:id="rId22343" display="https://twitter.com/OnlineCarReview" xr:uid="{1271C2BF-0A0B-4C46-9372-51C0DDD64B83}"/>
    <hyperlink ref="E7234" r:id="rId22344" display="https://twitter.com/OnlineCarReview/status/724217241269506049" xr:uid="{FD0731AE-0285-4089-BC4E-FF1C26E80FF8}"/>
    <hyperlink ref="O7234" r:id="rId22345" display="https://pbs.twimg.com/profile_images/652871584131092480/QA_B6SBO_normal.jpg" xr:uid="{30E165E5-2766-4C26-9347-F50076862B80}"/>
    <hyperlink ref="B7235" r:id="rId22346" display="https://twitter.com/Mphilpot1" xr:uid="{1499F72A-6E22-43AC-96E0-66789A6F86CA}"/>
    <hyperlink ref="E7235" r:id="rId22347" display="https://twitter.com/Mphilpot1/status/724217410199281665" xr:uid="{F25F2DC0-CF17-4F11-AA8D-0958C004EA94}"/>
    <hyperlink ref="O7235" r:id="rId22348" display="https://pbs.twimg.com/profile_images/422164778639839234/LVnS1q1c_normal.jpeg" xr:uid="{FCFAE1C0-8519-4114-BA37-D92E55E89B43}"/>
    <hyperlink ref="B7236" r:id="rId22349" display="https://twitter.com/SouthVW" xr:uid="{A953C828-7D25-4868-AD9C-302496D9DC25}"/>
    <hyperlink ref="E7236" r:id="rId22350" display="https://twitter.com/SouthVW/status/724217671319846912" xr:uid="{1C42AA23-0410-4D77-869D-B2763FA21C2A}"/>
    <hyperlink ref="O7236" r:id="rId22351" display="https://pbs.twimg.com/profile_images/657560747271032833/Q4Z58w0-_normal.jpg" xr:uid="{B928BD52-21DD-42FB-81E4-7A85CBDA9125}"/>
    <hyperlink ref="B7237" r:id="rId22352" display="https://twitter.com/feralf" xr:uid="{0374C4FB-2757-4CB8-8ED3-7414D837A5F3}"/>
    <hyperlink ref="E7237" r:id="rId22353" display="https://twitter.com/feralf/status/724217981585252352" xr:uid="{A85B5BAC-00E3-4A68-9237-BD58AE3655BB}"/>
    <hyperlink ref="O7237" r:id="rId22354" display="https://pbs.twimg.com/profile_images/458731293581144064/-4p5an2D_normal.png" xr:uid="{04875472-B484-4FC6-8C20-859057E2D052}"/>
    <hyperlink ref="B7238" r:id="rId22355" display="https://twitter.com/kis_sanya" xr:uid="{0E48C722-6E3A-4692-8696-3549B20C13CF}"/>
    <hyperlink ref="E7238" r:id="rId22356" display="https://twitter.com/kis_sanya/status/724218619241095168" xr:uid="{E2D230F5-CC95-4894-B8F0-E292E4051073}"/>
    <hyperlink ref="O7238" r:id="rId22357" display="https://pbs.twimg.com/profile_images/724176400018755584/lZYHpzyJ_normal.jpg" xr:uid="{53369B4E-B386-4F52-B53F-EB40BAED1EB8}"/>
    <hyperlink ref="B7239" r:id="rId22358" display="https://twitter.com/yhoalex132103" xr:uid="{69D49C42-B670-4514-95FC-AD0DA8240E22}"/>
    <hyperlink ref="E7239" r:id="rId22359" display="https://twitter.com/yhoalex132103/status/724219582345433089" xr:uid="{87EA74EF-CCF3-40D6-9376-C7CC1874F346}"/>
    <hyperlink ref="O7239" r:id="rId22360" display="https://pbs.twimg.com/profile_images/722178941201461248/8ZiuimyH_normal.jpg" xr:uid="{820D2B80-3A48-4490-B9D3-451ADF8EBE48}"/>
    <hyperlink ref="B7240" r:id="rId22361" display="https://twitter.com/xboxat" xr:uid="{24FD5AE2-B5D8-4163-B2EE-73B076697AE5}"/>
    <hyperlink ref="E7240" r:id="rId22362" display="https://twitter.com/xboxat/status/724219696921362432" xr:uid="{B253F1F1-5057-4268-AE87-3CAA2DC541CF}"/>
    <hyperlink ref="O7240" r:id="rId22363" display="https://pbs.twimg.com/profile_images/587578640772292608/wW-wFGSi_normal.jpg" xr:uid="{82DE8822-415B-4A86-B43E-FBE65FC407B6}"/>
    <hyperlink ref="B7241" r:id="rId22364" display="https://twitter.com/VWBeetleSales" xr:uid="{ABB229F9-59F8-4292-BA41-0629E6026939}"/>
    <hyperlink ref="E7241" r:id="rId22365" display="https://twitter.com/VWBeetleSales/status/724219866534682624" xr:uid="{EC4FDF30-4B97-47D1-B3B7-740660FBA84D}"/>
    <hyperlink ref="F7241" r:id="rId22366" xr:uid="{8674EAB3-9BAB-488F-8473-2793B28BC15B}"/>
    <hyperlink ref="O7241" r:id="rId22367" display="https://pbs.twimg.com/profile_images/703294545195307008/qeCvrX86_normal.jpg" xr:uid="{613A2F41-9E8A-4B92-A947-33A1BE0DE457}"/>
    <hyperlink ref="B7242" r:id="rId22368" display="https://twitter.com/BruckPelon" xr:uid="{9DCAA8D2-9B2B-4802-9CB6-CE754AA71426}"/>
    <hyperlink ref="E7242" r:id="rId22369" display="https://twitter.com/BruckPelon/status/724219880006782976" xr:uid="{19809156-66F4-4AA5-9171-E5B2E7E5852C}"/>
    <hyperlink ref="O7242" r:id="rId22370" display="https://pbs.twimg.com/profile_images/712320572143697922/020UzVD1_normal.jpg" xr:uid="{52CEADFA-ABB0-4081-8CE8-F7FF0F920D66}"/>
    <hyperlink ref="B7243" r:id="rId22371" display="https://twitter.com/JRs_partsonline" xr:uid="{4330D136-E4F5-4D99-8A6B-B06869FA8ADF}"/>
    <hyperlink ref="E7243" r:id="rId22372" display="https://twitter.com/JRs_partsonline/status/724220190024708096" xr:uid="{70E139E3-EC29-411C-ADD4-EEBECEF94144}"/>
    <hyperlink ref="O7243" r:id="rId22373" display="https://pbs.twimg.com/profile_images/534741942119051264/SmovSGTN_normal.png" xr:uid="{227AE342-BF18-4F40-A48B-A573F9A71C91}"/>
    <hyperlink ref="B7244" r:id="rId22374" display="https://twitter.com/Oscar_Patillo" xr:uid="{B9A54A7E-F98F-4B75-A7A7-D9263373F995}"/>
    <hyperlink ref="E7244" r:id="rId22375" display="https://twitter.com/Oscar_Patillo/status/724220191794667520" xr:uid="{1140640A-BB64-4F8B-90B5-572AB9B15CA2}"/>
    <hyperlink ref="O7244" r:id="rId22376" display="https://pbs.twimg.com/profile_images/1353856007/92386578442_normal.jpg" xr:uid="{FB5CD400-491D-437A-951F-EE321FA02253}"/>
    <hyperlink ref="B7245" r:id="rId22377" display="https://twitter.com/HSchulz50" xr:uid="{D71744B3-E79F-415F-826D-2F3B914CC9D1}"/>
    <hyperlink ref="E7245" r:id="rId22378" display="https://twitter.com/HSchulz50/status/724220404915691521" xr:uid="{81568662-4168-42EB-8FF8-940DF0FBD181}"/>
    <hyperlink ref="O7245" r:id="rId22379" display="https://pbs.twimg.com/profile_images/662933534638792704/Dksc_Ut9_normal.jpg" xr:uid="{32D686F8-12E0-471B-AF02-F66A7C7D4029}"/>
    <hyperlink ref="B7246" r:id="rId22380" display="https://twitter.com/keithpp" xr:uid="{2F7C2A3E-1D2C-4D8A-8F72-779E839638A6}"/>
    <hyperlink ref="E7246" r:id="rId22381" display="https://twitter.com/keithpp/status/724220831572873216" xr:uid="{38F23417-728E-4834-8BB5-33BEFA660F66}"/>
    <hyperlink ref="O7246" r:id="rId22382" display="https://pbs.twimg.com/profile_images/378800000718898779/cd0ae7e67c37cf4fa245a7aeeb0082dc_normal.jpeg" xr:uid="{7EEBB5CD-C59D-4662-894D-6081693CBAF0}"/>
    <hyperlink ref="B7247" r:id="rId22383" display="https://twitter.com/VWBeetleSales" xr:uid="{9803F6A6-6993-4F35-ABD9-77E7ACB4B57B}"/>
    <hyperlink ref="E7247" r:id="rId22384" display="https://twitter.com/VWBeetleSales/status/724221134200180737" xr:uid="{9912549D-8F1B-4BD9-99B3-A84BDD4E6D8A}"/>
    <hyperlink ref="F7247" r:id="rId22385" xr:uid="{977F67D7-51E7-4137-8BF2-357CF43BC60E}"/>
    <hyperlink ref="O7247" r:id="rId22386" display="https://pbs.twimg.com/profile_images/703294545195307008/qeCvrX86_normal.jpg" xr:uid="{658018A9-86BD-43F1-B717-6A70BB78EE03}"/>
    <hyperlink ref="B7248" r:id="rId22387" display="https://twitter.com/ElroyWonder" xr:uid="{77909E79-2A0C-4AD1-8153-61C0C024FF61}"/>
    <hyperlink ref="E7248" r:id="rId22388" display="https://twitter.com/ElroyWonder/status/724221278169739264" xr:uid="{BCEBA9CC-C795-44B2-A295-359D71D11BA0}"/>
    <hyperlink ref="O7248" r:id="rId22389" display="https://pbs.twimg.com/profile_images/710998412557213696/35ck8XjS_normal.jpg" xr:uid="{FA20835A-C65C-41C3-996D-84D26AF330C1}"/>
    <hyperlink ref="B7249" r:id="rId22390" display="https://twitter.com/marytheluckyone" xr:uid="{6F8F9C10-A105-4DC8-B1F2-F5A4E9A8B9BD}"/>
    <hyperlink ref="E7249" r:id="rId22391" display="https://twitter.com/marytheluckyone/status/724221538275328000" xr:uid="{D974CAAB-7170-4283-8BC1-CA3FA106FB1E}"/>
    <hyperlink ref="O7249" r:id="rId22392" display="https://pbs.twimg.com/profile_images/378800000303960070/4a5ba62938f3b770f0c5eb9a78252397_normal.jpeg" xr:uid="{B00DD839-7925-4233-8CE8-39BACBD18551}"/>
    <hyperlink ref="B7250" r:id="rId22393" display="https://twitter.com/XclusivModz" xr:uid="{3EE6F95D-DD07-4C0A-BF4C-0B3C7B53F51A}"/>
    <hyperlink ref="E7250" r:id="rId22394" display="https://twitter.com/XclusivModz/status/724221571305447424" xr:uid="{8B88075F-3819-4294-8BE5-971D9F8BD24B}"/>
    <hyperlink ref="O7250" r:id="rId22395" display="https://pbs.twimg.com/profile_images/544963587069214720/A_lRrcY4_normal.jpeg" xr:uid="{B0BA1D55-CFDE-407B-A23B-A5853C1ADA3A}"/>
    <hyperlink ref="B7251" r:id="rId22396" display="https://twitter.com/mvdweyer" xr:uid="{FA613D08-F0A2-47AE-B440-E0C9E89B4419}"/>
    <hyperlink ref="E7251" r:id="rId22397" display="https://twitter.com/mvdweyer/status/724221645867589633" xr:uid="{3EB4D92D-A9E1-49DF-AE83-4878E7FEDCE0}"/>
    <hyperlink ref="O7251" r:id="rId22398" display="https://pbs.twimg.com/profile_images/489747056584445953/3tvslEko_normal.jpeg" xr:uid="{7799D980-C13C-4311-97D6-442F09F1149C}"/>
    <hyperlink ref="B7252" r:id="rId22399" display="https://twitter.com/seiya_tomtom" xr:uid="{2FB38B61-A104-48EB-B9F4-616DFA9FE245}"/>
    <hyperlink ref="E7252" r:id="rId22400" display="https://twitter.com/seiya_tomtom/status/724221973019000833" xr:uid="{EE5CD952-9057-4F02-B30C-B49ED5E570D9}"/>
    <hyperlink ref="O7252" r:id="rId22401" display="https://pbs.twimg.com/profile_images/570885814364553216/Yk9sK-t4_normal.jpeg" xr:uid="{88598374-80FD-4186-897A-08504C3027D1}"/>
    <hyperlink ref="B7253" r:id="rId22402" display="https://twitter.com/Teresaribera" xr:uid="{506955FD-49C8-44E0-AEDD-CE7A7F139B1C}"/>
    <hyperlink ref="E7253" r:id="rId22403" display="https://twitter.com/Teresaribera/status/724222246357741568" xr:uid="{55688AF6-3118-4D92-939A-9587A8FE47DE}"/>
    <hyperlink ref="O7253" r:id="rId22404" display="https://pbs.twimg.com/profile_images/501028605162303490/2Y0djTtn_normal.jpeg" xr:uid="{750D6F35-E601-493D-B2A2-0745EBE29D74}"/>
    <hyperlink ref="B7254" r:id="rId22405" display="https://twitter.com/EHcars" xr:uid="{7898441C-4569-41BF-B865-74CC41DB9311}"/>
    <hyperlink ref="E7254" r:id="rId22406" display="https://twitter.com/EHcars/status/724222774227677184" xr:uid="{3AD91776-B7CC-4465-AEC7-DC46D2DC5D7C}"/>
    <hyperlink ref="O7254" r:id="rId22407" display="https://pbs.twimg.com/profile_images/619590752906149888/gOJBR12k_normal.jpg" xr:uid="{CD502160-D220-4C03-8DBC-5DBF379F420C}"/>
    <hyperlink ref="B7255" r:id="rId22408" display="https://twitter.com/AbelLosada" xr:uid="{2ADEB480-6AD5-4ADD-9604-B0754DF8789B}"/>
    <hyperlink ref="E7255" r:id="rId22409" display="https://twitter.com/AbelLosada/status/724222784793137152" xr:uid="{0CB6C68E-672E-48F9-91CB-D084659E896A}"/>
    <hyperlink ref="O7255" r:id="rId22410" display="https://pbs.twimg.com/profile_images/700662806656344065/PINWDNIg_normal.jpg" xr:uid="{6FA8C4B3-7E60-4A2C-B947-B8CC34D127B2}"/>
    <hyperlink ref="B7256" r:id="rId22411" display="https://twitter.com/VWBeetleSales" xr:uid="{48F05C7D-42DA-444B-8CC7-84C9125208F0}"/>
    <hyperlink ref="E7256" r:id="rId22412" display="https://twitter.com/VWBeetleSales/status/724222998287245314" xr:uid="{A25A7B54-F2A1-4150-8CCC-DAECE40E5504}"/>
    <hyperlink ref="F7256" r:id="rId22413" xr:uid="{90781EAB-BEB9-446F-8F7E-16E75B83ACED}"/>
    <hyperlink ref="O7256" r:id="rId22414" display="https://pbs.twimg.com/profile_images/703294545195307008/qeCvrX86_normal.jpg" xr:uid="{6063397C-04CC-4359-B627-32838C69AEE8}"/>
    <hyperlink ref="B7257" r:id="rId22415" display="https://twitter.com/eduperero" xr:uid="{038FAE00-7E2C-4BA0-BA4E-42059176E9A6}"/>
    <hyperlink ref="E7257" r:id="rId22416" display="https://twitter.com/eduperero/status/724223053232758784" xr:uid="{DA02037D-3B13-47E4-8E6A-94CDD574E8E3}"/>
    <hyperlink ref="O7257" r:id="rId22417" display="https://pbs.twimg.com/profile_images/704989553413771264/csCZ3zqj_normal.jpg" xr:uid="{1107D92C-4D3A-404E-8467-88E50D6AE25C}"/>
    <hyperlink ref="B7258" r:id="rId22418" display="https://twitter.com/vwgroup_de" xr:uid="{463DD7C7-B42D-4DA4-9437-906CAE9BA699}"/>
    <hyperlink ref="E7258" r:id="rId22419" display="https://twitter.com/vwgroup_de/status/724223228424626176" xr:uid="{05579C3A-5D49-461C-A1A0-354DDE76046E}"/>
    <hyperlink ref="O7258" r:id="rId22420" display="https://pbs.twimg.com/profile_images/666952128108363777/FL78g9n-_normal.png" xr:uid="{F7B72DCD-4243-4686-B58E-2591B1F4EB4B}"/>
    <hyperlink ref="B7259" r:id="rId22421" display="https://twitter.com/seannosoul" xr:uid="{3274A2D4-341A-4177-A23C-3F0C416455AF}"/>
    <hyperlink ref="E7259" r:id="rId22422" display="https://twitter.com/seannosoul/status/724223542045335552" xr:uid="{8AFEEEBA-0148-43DD-8069-37C8A74A04F9}"/>
    <hyperlink ref="O7259" r:id="rId22423" display="https://pbs.twimg.com/profile_images/709074217153777664/rZPD8L8m_normal.jpg" xr:uid="{F38CAD0C-3F51-48CE-9ED8-2A0BCD7467C5}"/>
    <hyperlink ref="B7260" r:id="rId22424" display="https://twitter.com/MarcosPalacio_" xr:uid="{486CF5A5-2B3A-4F5E-8A77-E7D611770A01}"/>
    <hyperlink ref="E7260" r:id="rId22425" display="https://twitter.com/MarcosPalacio_/status/724223620864724992" xr:uid="{87218040-1B2D-481B-99E6-AD24BB772372}"/>
    <hyperlink ref="O7260" r:id="rId22426" display="https://pbs.twimg.com/profile_images/722514260392296449/uQ4hgq6N_normal.jpg" xr:uid="{25787872-01DB-4865-AE03-FB50980648F7}"/>
    <hyperlink ref="B7261" r:id="rId22427" display="https://twitter.com/enormgruen" xr:uid="{BF551A74-5D11-45C2-87E3-CFA8DA5D3EF0}"/>
    <hyperlink ref="E7261" r:id="rId22428" display="https://twitter.com/enormgruen/status/724223673033461760" xr:uid="{3204495C-52D8-4B92-A762-64ACA887CDA3}"/>
    <hyperlink ref="O7261" r:id="rId22429" display="https://pbs.twimg.com/profile_images/3314186245/f45276fa4db865a49c10f61c9208d980_normal.jpeg" xr:uid="{2A279A4A-7DC6-4257-A132-0CABC7BB4B4F}"/>
    <hyperlink ref="B7262" r:id="rId22430" display="https://twitter.com/OliverJMMueller" xr:uid="{DB9FE2B3-A2B4-46BF-81B3-4DCF8177293C}"/>
    <hyperlink ref="E7262" r:id="rId22431" display="https://twitter.com/OliverJMMueller/status/724223859700936704" xr:uid="{7D798CEA-CB87-4404-BD0B-4BBF00923E31}"/>
    <hyperlink ref="O7262" r:id="rId22432" display="https://pbs.twimg.com/profile_images/636979078311079937/tyjaaFSL_normal.jpg" xr:uid="{7E1C6B6E-D3F5-42CB-9B4A-07F1D2505301}"/>
    <hyperlink ref="B7263" r:id="rId22433" display="https://twitter.com/DiscoverHaku" xr:uid="{5B119130-C481-4E1D-959D-58E0C2EAE37A}"/>
    <hyperlink ref="E7263" r:id="rId22434" display="https://twitter.com/DiscoverHaku/status/724223894584975360" xr:uid="{91F3C744-44B3-4134-AAA2-298567FAAF3B}"/>
    <hyperlink ref="O7263" r:id="rId22435" display="https://pbs.twimg.com/profile_images/598032084771348480/ycXInumA_normal.png" xr:uid="{F52224A8-F600-4AD0-B571-68CA3483C8E2}"/>
    <hyperlink ref="B7264" r:id="rId22436" display="https://twitter.com/beetlebug1938" xr:uid="{4981434D-9B78-4C9A-873E-81F29DE5634C}"/>
    <hyperlink ref="E7264" r:id="rId22437" display="https://twitter.com/beetlebug1938/status/724223955905712128" xr:uid="{DDFF6A20-F3FD-4341-8D1C-EAAF25240FB9}"/>
    <hyperlink ref="O7264" r:id="rId22438" display="https://pbs.twimg.com/profile_images/718820712757215233/LXXndPTS_normal.jpg" xr:uid="{84EA1B33-87CF-4DAB-B793-F8AEC30E296A}"/>
    <hyperlink ref="B7265" r:id="rId22439" display="https://twitter.com/beetlebug1938" xr:uid="{0C5BF3B2-D742-4B4C-A86C-1468A3A2DE85}"/>
    <hyperlink ref="E7265" r:id="rId22440" display="https://twitter.com/beetlebug1938/status/724224006333845504" xr:uid="{D6488725-9219-4D29-ADE3-84CA1002241C}"/>
    <hyperlink ref="O7265" r:id="rId22441" display="https://pbs.twimg.com/profile_images/718820712757215233/LXXndPTS_normal.jpg" xr:uid="{063EC9E0-043F-4A82-B2C7-BE656DA74ACF}"/>
    <hyperlink ref="B7266" r:id="rId22442" display="https://twitter.com/beetlebug1938" xr:uid="{D9E24002-A380-4095-8BAD-9716AAAB5D97}"/>
    <hyperlink ref="E7266" r:id="rId22443" display="https://twitter.com/beetlebug1938/status/724224018744791040" xr:uid="{069E7A81-FADB-4FBA-AB5C-53E0B173EE91}"/>
    <hyperlink ref="O7266" r:id="rId22444" display="https://pbs.twimg.com/profile_images/718820712757215233/LXXndPTS_normal.jpg" xr:uid="{D1A042D6-BDBC-4FF6-8916-D347889E8D28}"/>
    <hyperlink ref="B7267" r:id="rId22445" display="https://twitter.com/vwgroup_en" xr:uid="{38354769-45E9-4D51-B34C-916CC652DF68}"/>
    <hyperlink ref="E7267" r:id="rId22446" display="https://twitter.com/vwgroup_en/status/724224177159450625" xr:uid="{2B71D7C9-C1CF-49CC-A962-C9A9C8677BCA}"/>
    <hyperlink ref="O7267" r:id="rId22447" display="https://pbs.twimg.com/profile_images/666952430177935362/T46eVne2_normal.png" xr:uid="{15D4281D-532C-451D-9171-0CC3D39333E0}"/>
    <hyperlink ref="B7268" r:id="rId22448" display="https://twitter.com/dubbusses" xr:uid="{F90A96DF-1D9A-4F50-8E10-20E35880C88E}"/>
    <hyperlink ref="E7268" r:id="rId22449" display="https://twitter.com/dubbusses/status/724224221224833024" xr:uid="{813BC59F-CD3D-40C4-9249-5E7EED82E266}"/>
    <hyperlink ref="O7268" r:id="rId22450" display="https://pbs.twimg.com/profile_images/718835727027580928/1ssyQ67y_normal.jpg" xr:uid="{1726CD2D-52C8-4D3F-A656-373D353D866B}"/>
    <hyperlink ref="B7269" r:id="rId22451" display="https://twitter.com/dubbusses" xr:uid="{A5D32207-34FC-49C4-9BCE-D5E2A5D1003C}"/>
    <hyperlink ref="E7269" r:id="rId22452" display="https://twitter.com/dubbusses/status/724224251503493120" xr:uid="{B29F6B8C-C77A-4B23-A966-5EB7A3CBE597}"/>
    <hyperlink ref="O7269" r:id="rId22453" display="https://pbs.twimg.com/profile_images/718835727027580928/1ssyQ67y_normal.jpg" xr:uid="{34D0668D-4E7A-47BE-A192-FD37DE06BF86}"/>
    <hyperlink ref="B7270" r:id="rId22454" display="https://twitter.com/dubbusses" xr:uid="{71357193-9F4B-4659-8ED3-3EC641B93376}"/>
    <hyperlink ref="E7270" r:id="rId22455" display="https://twitter.com/dubbusses/status/724224264719749120" xr:uid="{108C0E14-BEC0-4EBC-A0CB-E725CB7CFEC8}"/>
    <hyperlink ref="O7270" r:id="rId22456" display="https://pbs.twimg.com/profile_images/718835727027580928/1ssyQ67y_normal.jpg" xr:uid="{2019FC6C-C8BE-4CC5-BA2E-11EAE1EC35E5}"/>
    <hyperlink ref="B7271" r:id="rId22457" display="https://twitter.com/dubbusses" xr:uid="{27F0712E-7973-4D7A-AD1F-A3C4EE1A4A36}"/>
    <hyperlink ref="E7271" r:id="rId22458" display="https://twitter.com/dubbusses/status/724224292058214401" xr:uid="{11C9F3A6-0B38-4BB3-9920-C43931FA5DD3}"/>
    <hyperlink ref="O7271" r:id="rId22459" display="https://pbs.twimg.com/profile_images/718835727027580928/1ssyQ67y_normal.jpg" xr:uid="{CF638AED-BC22-4BA1-930B-E1E541C7F0C9}"/>
    <hyperlink ref="B7272" r:id="rId22460" display="https://twitter.com/LacleGreg" xr:uid="{29D93F15-BE5E-4DF0-B702-BAD0C6860E12}"/>
    <hyperlink ref="E7272" r:id="rId22461" display="https://twitter.com/LacleGreg/status/724224303181389824" xr:uid="{1346408E-A0E5-44E1-A844-C52C461F96AC}"/>
    <hyperlink ref="O7272" r:id="rId22462" display="https://pbs.twimg.com/profile_images/691814425100161026/Jz7LqTSj_normal.jpg" xr:uid="{7BFAEA90-D739-4BE1-87FA-F5CA6FCF7FDF}"/>
    <hyperlink ref="B7273" r:id="rId22463" display="https://twitter.com/TandyLi5" xr:uid="{38D41046-978C-4283-9A3F-D1A55984754D}"/>
    <hyperlink ref="E7273" r:id="rId22464" display="https://twitter.com/TandyLi5/status/724224428079353858" xr:uid="{1E60BAEB-B6F9-45D0-8BA1-944A323A74E8}"/>
    <hyperlink ref="O7273" r:id="rId22465" display="https://pbs.twimg.com/profile_images/697363853978574848/XBdyYrTi_normal.jpg" xr:uid="{C6459CD5-75BE-47BA-B364-8CAA6AC727E2}"/>
    <hyperlink ref="B7274" r:id="rId22466" display="https://twitter.com/FuscaWorld" xr:uid="{25EF49E3-F335-414D-A5C6-D7E23265E764}"/>
    <hyperlink ref="E7274" r:id="rId22467" display="https://twitter.com/FuscaWorld/status/724224445217398784" xr:uid="{6A548726-0C78-4500-B73B-234BC165332A}"/>
    <hyperlink ref="O7274" r:id="rId22468" display="https://pbs.twimg.com/profile_images/705780107844067328/e7O4UBNb_normal.jpg" xr:uid="{53654A47-C758-47CB-A573-C71EF58C01A9}"/>
    <hyperlink ref="B7275" r:id="rId22469" display="https://twitter.com/VWCamperSales" xr:uid="{6AF66B17-9431-49E7-B216-6C98853ACEDB}"/>
    <hyperlink ref="E7275" r:id="rId22470" display="https://twitter.com/VWCamperSales/status/724224509876686849" xr:uid="{75737F49-8384-47B0-B0F8-7573656A33DB}"/>
    <hyperlink ref="F7275" r:id="rId22471" xr:uid="{66B733E7-0EA3-4F21-8115-4A1EDBDB32B9}"/>
    <hyperlink ref="O7275" r:id="rId22472" display="https://pbs.twimg.com/profile_images/627949001179037696/skEBkS05_normal.jpg" xr:uid="{A0840374-426F-4CC2-9B4D-5D072E9AA413}"/>
    <hyperlink ref="B7276" r:id="rId22473" display="https://twitter.com/MichaelNdri" xr:uid="{A37C2A25-1A86-47DE-AF36-A51806FB199D}"/>
    <hyperlink ref="E7276" r:id="rId22474" display="https://twitter.com/MichaelNdri/status/724224667796512768" xr:uid="{0AA231F2-6886-43D7-B84D-8C236736689A}"/>
    <hyperlink ref="O7276" r:id="rId22475" display="https://pbs.twimg.com/profile_images/2275736241/0wxdwpqqkero82c7tj5z_normal.jpeg" xr:uid="{38F6B418-FAEC-4D0A-9F6E-6042252CF405}"/>
    <hyperlink ref="B7277" r:id="rId22476" display="https://twitter.com/0p0wTn" xr:uid="{0CFD4A49-C597-4C70-9D98-0E06498E2A4D}"/>
    <hyperlink ref="E7277" r:id="rId22477" display="https://twitter.com/0p0wTn/status/724224781789188096" xr:uid="{274500D4-25B7-4188-9F68-D88B5B6273A0}"/>
    <hyperlink ref="O7277" r:id="rId22478" display="https://pbs.twimg.com/profile_images/721399752613466114/PygDotOX_normal.jpg" xr:uid="{9BDC3F40-84C5-4D90-AF37-4864D6AE325E}"/>
    <hyperlink ref="B7278" r:id="rId22479" display="https://twitter.com/kan2121" xr:uid="{3C1C616E-C7EF-4577-8E87-33BD38C0B3CB}"/>
    <hyperlink ref="E7278" r:id="rId22480" display="https://twitter.com/kan2121/status/724224975008190464" xr:uid="{9EB4A83E-9877-43D4-ACAD-FE22B14F3714}"/>
    <hyperlink ref="O7278" r:id="rId22481" display="https://pbs.twimg.com/profile_images/722579397442535424/syR-FFVF_normal.jpg" xr:uid="{532B8A3D-5D91-4352-B4AE-15ADF198303F}"/>
    <hyperlink ref="B7279" r:id="rId22482" display="https://twitter.com/itzokazbocrafts" xr:uid="{E3F3C835-6BB2-45B4-9FA1-A7FE8860DCC8}"/>
    <hyperlink ref="E7279" r:id="rId22483" display="https://twitter.com/itzokazbocrafts/status/724225198283616256" xr:uid="{1E5F5446-061B-4807-A226-A2965A63BD9C}"/>
    <hyperlink ref="O7279" r:id="rId22484" display="https://pbs.twimg.com/profile_images/711669875094192130/rEQzJ6iw_normal.jpg" xr:uid="{94225EED-C2E6-42BC-ACD2-92C6DF1253F4}"/>
    <hyperlink ref="B7280" r:id="rId22485" display="https://twitter.com/morewirralcusts" xr:uid="{46E5A9EC-E152-4D41-A6DB-C6FC00C55ADA}"/>
    <hyperlink ref="E7280" r:id="rId22486" display="https://twitter.com/morewirralcusts/status/724225597925384192" xr:uid="{147AE76B-B47F-407D-B79E-E88CFB89E8D2}"/>
    <hyperlink ref="O7280" r:id="rId22487" display="https://pbs.twimg.com/profile_images/698654679564165125/_vTuPOJN_normal.jpg" xr:uid="{1FCF6A9D-109D-4AB8-91A8-07C1FAD7C1B8}"/>
    <hyperlink ref="B7281" r:id="rId22488" display="https://twitter.com/andreascseh" xr:uid="{AFDF80D1-9CD1-47B9-9405-5B62A871C667}"/>
    <hyperlink ref="E7281" r:id="rId22489" display="https://twitter.com/andreascseh/status/724225715181252608" xr:uid="{3FB8C194-A418-45D4-8698-F105EFF4F067}"/>
    <hyperlink ref="O7281" r:id="rId22490" display="https://pbs.twimg.com/profile_images/378800000774067942/b9d3d12e3eaf41d9ded5745b4f419902_normal.jpeg" xr:uid="{8CC48170-B579-46EF-93F6-392FE9D04E25}"/>
    <hyperlink ref="B7282" r:id="rId22491" display="https://twitter.com/VWCamperSales" xr:uid="{50A4080E-52B9-4621-9A50-80F8769934B3}"/>
    <hyperlink ref="E7282" r:id="rId22492" display="https://twitter.com/VWCamperSales/status/724226034875293696" xr:uid="{BF95FF60-8739-4D0A-A773-AC7F1D2965A8}"/>
    <hyperlink ref="F7282" r:id="rId22493" xr:uid="{E23562C3-53B0-4BD3-88F8-7F6BF16C66D6}"/>
    <hyperlink ref="O7282" r:id="rId22494" display="https://pbs.twimg.com/profile_images/627949001179037696/skEBkS05_normal.jpg" xr:uid="{A1F8A633-A622-4133-8AAD-6722681696A3}"/>
    <hyperlink ref="B7283" r:id="rId22495" display="https://twitter.com/cherubimu" xr:uid="{1CC6A775-4C76-450E-A4DC-46F9D2D3D10B}"/>
    <hyperlink ref="E7283" r:id="rId22496" display="https://twitter.com/cherubimu/status/724226066869530624" xr:uid="{68C03CF6-B5EF-42D7-8412-CAC7A2E24746}"/>
    <hyperlink ref="O7283" r:id="rId22497" display="https://pbs.twimg.com/profile_images/630675955007270912/iceoiWn7_normal.jpg" xr:uid="{5CDED676-5747-44E2-BFEE-5AF0AA7B4FA1}"/>
    <hyperlink ref="B7284" r:id="rId22498" display="https://twitter.com/Volkswagen_T25" xr:uid="{F04B12C0-20F0-40F3-ADCF-9E803186FA65}"/>
    <hyperlink ref="C7284" r:id="rId22499" xr:uid="{CCB5C6D1-3E46-4A27-8925-9C228ADF2DD7}"/>
    <hyperlink ref="E7284" r:id="rId22500" display="https://twitter.com/Volkswagen_T25/status/724226111211745280" xr:uid="{7C586CD7-1465-48BE-B47F-A83AFDBFCFFD}"/>
    <hyperlink ref="O7284" r:id="rId22501" display="https://pbs.twimg.com/profile_images/522805756736057344/m7B0nHpz_normal.jpeg" xr:uid="{21E0F8B6-7619-4B7A-A73B-917D79955D22}"/>
    <hyperlink ref="B7285" r:id="rId22502" display="https://twitter.com/vintagevwdita" xr:uid="{E5970F2C-40D2-42DB-8436-47D34EB68C31}"/>
    <hyperlink ref="E7285" r:id="rId22503" display="https://twitter.com/vintagevwdita/status/724226837300256768" xr:uid="{7EA35A89-3351-44DF-868F-5E2E7653D3A5}"/>
    <hyperlink ref="O7285" r:id="rId22504" display="https://pbs.twimg.com/profile_images/687419637429080064/YhD1MggI_normal.jpg" xr:uid="{6564B00A-AFAC-49C4-BCB8-69C95978D5AD}"/>
    <hyperlink ref="B7286" r:id="rId22505" display="https://twitter.com/urosenhagen" xr:uid="{EA3F07A9-52E0-493E-91F4-DF93CC4302D5}"/>
    <hyperlink ref="E7286" r:id="rId22506" display="https://twitter.com/urosenhagen/status/724227001494736896" xr:uid="{301B9743-1E6C-4E91-A45D-1E5EF3FEF8B0}"/>
    <hyperlink ref="O7286" r:id="rId22507" display="https://pbs.twimg.com/profile_images/1270146087/Schildkr_te_normal.jpg" xr:uid="{7B2C7B52-084C-4C25-A996-BF32E97F2E44}"/>
    <hyperlink ref="B7287" r:id="rId22508" display="https://twitter.com/tywcc" xr:uid="{24224249-C622-40FD-B7BB-9FBBC5359A60}"/>
    <hyperlink ref="E7287" r:id="rId22509" display="https://twitter.com/tywcc/status/724227168616747008" xr:uid="{A91F314F-DE62-4B06-BE89-5724CE888C08}"/>
    <hyperlink ref="O7287" r:id="rId22510" display="https://pbs.twimg.com/profile_images/702271663644286976/bOsxJtiK_normal.png" xr:uid="{1DD65E5E-6B07-4C8E-A692-FFEE5BC8A23F}"/>
    <hyperlink ref="B7288" r:id="rId22511" display="https://twitter.com/J_Welham" xr:uid="{92CAE0E0-69D8-4BCF-B460-BD5372E014C2}"/>
    <hyperlink ref="E7288" r:id="rId22512" display="https://twitter.com/J_Welham/status/724227182793465856" xr:uid="{BFA22E2D-2552-4DF4-85BF-8C9F8CBAE51C}"/>
    <hyperlink ref="O7288" r:id="rId22513" display="https://pbs.twimg.com/profile_images/695665402865704961/9AltnGUD_normal.jpg" xr:uid="{82C0342F-4E5A-49D7-8A4B-ADC2E4B363E8}"/>
    <hyperlink ref="B7289" r:id="rId22514" display="https://twitter.com/Kaestorfer" xr:uid="{2883E026-DF0A-4FA9-B09E-A23DB1610D26}"/>
    <hyperlink ref="E7289" r:id="rId22515" display="https://twitter.com/Kaestorfer/status/724227299990757377" xr:uid="{8DEDDF42-043B-4FDB-BDB4-375902D55200}"/>
    <hyperlink ref="O7289" r:id="rId22516" display="https://pbs.twimg.com/profile_images/717329980175335424/rLkhccu9_normal.jpg" xr:uid="{9E85A41E-F642-44DE-A3B4-0DEF4DFD457E}"/>
    <hyperlink ref="B7290" r:id="rId22517" display="https://twitter.com/sergiomarijr" xr:uid="{B20D2551-16C6-43C0-996F-ACB0C745EB63}"/>
    <hyperlink ref="E7290" r:id="rId22518" display="https://twitter.com/sergiomarijr/status/724227412209336321" xr:uid="{024F6849-9839-4B13-BA29-51D7513666DD}"/>
    <hyperlink ref="O7290" r:id="rId22519" display="https://pbs.twimg.com/profile_images/483960464880046081/sro2iCnd_normal.jpeg" xr:uid="{2C5F9325-84B0-4653-863F-F3E84616CDB4}"/>
    <hyperlink ref="B7291" r:id="rId22520" display="https://twitter.com/VWCamperSales" xr:uid="{0B117EFC-EF7C-41BB-8E01-53A81F2EAABC}"/>
    <hyperlink ref="E7291" r:id="rId22521" display="https://twitter.com/VWCamperSales/status/724227658851094528" xr:uid="{6D59AF6D-F848-4C76-8706-52BEB2813DA2}"/>
    <hyperlink ref="F7291" r:id="rId22522" xr:uid="{E928822E-69EB-4E58-BD61-4BAEBEB82C0F}"/>
    <hyperlink ref="O7291" r:id="rId22523" display="https://pbs.twimg.com/profile_images/627949001179037696/skEBkS05_normal.jpg" xr:uid="{17F440C6-5B2D-4562-9639-C4CCCFBA5310}"/>
    <hyperlink ref="B7292" r:id="rId22524" display="https://twitter.com/VWBeetleSales" xr:uid="{92A4EA24-3DF7-4BF5-8B4C-198BB064CFDA}"/>
    <hyperlink ref="E7292" r:id="rId22525" display="https://twitter.com/VWBeetleSales/status/724227672151216128" xr:uid="{D6CCB1CF-D2A3-426C-817E-00CDC02E1629}"/>
    <hyperlink ref="F7292" r:id="rId22526" xr:uid="{31295721-80F9-45DD-803F-D46E35979560}"/>
    <hyperlink ref="O7292" r:id="rId22527" display="https://pbs.twimg.com/profile_images/703294545195307008/qeCvrX86_normal.jpg" xr:uid="{864D2741-B99F-430A-8773-AA0169AA9537}"/>
    <hyperlink ref="B7293" r:id="rId22528" display="https://twitter.com/VWBeetleSales" xr:uid="{303D56A4-B04E-4FCB-970F-F6BAE84C8A6A}"/>
    <hyperlink ref="E7293" r:id="rId22529" display="https://twitter.com/VWBeetleSales/status/724227678983741440" xr:uid="{E8030676-E78F-4D70-8941-89F35399633F}"/>
    <hyperlink ref="F7293" r:id="rId22530" xr:uid="{7CCB8F8F-BA7A-47C8-A7A8-6337FFF7863F}"/>
    <hyperlink ref="O7293" r:id="rId22531" display="https://pbs.twimg.com/profile_images/703294545195307008/qeCvrX86_normal.jpg" xr:uid="{9633C22B-DB0A-4DAB-8C66-55E7134118D5}"/>
    <hyperlink ref="B7294" r:id="rId22532" display="https://twitter.com/Rodrigocana" xr:uid="{9F39F297-57FE-49EF-ABC9-26FDC75BCD71}"/>
    <hyperlink ref="E7294" r:id="rId22533" display="https://twitter.com/Rodrigocana/status/724227854737641473" xr:uid="{7C517973-2901-45A3-B798-5A61A5DF3400}"/>
    <hyperlink ref="O7294" r:id="rId22534" display="https://pbs.twimg.com/profile_images/3747860790/99e931940b0cf7de296cc59871742be6_normal.jpeg" xr:uid="{0F388D2C-B9F8-46F3-BCCA-882572366A1C}"/>
    <hyperlink ref="B7295" r:id="rId22535" display="https://twitter.com/CoryBarrios" xr:uid="{15F9FE1F-B8B1-4612-9A4A-4EEAEA1FCAF3}"/>
    <hyperlink ref="E7295" r:id="rId22536" display="https://twitter.com/CoryBarrios/status/724227994701709313" xr:uid="{6714398A-53DE-4B0D-AACF-B1D2DBD5B4BE}"/>
    <hyperlink ref="O7295" r:id="rId22537" display="https://pbs.twimg.com/profile_images/623965518270038016/EUAbTsHF_normal.jpg" xr:uid="{3080182B-7F08-4B88-8B3E-8D71302D586F}"/>
    <hyperlink ref="B7296" r:id="rId22538" display="https://twitter.com/VeeDubMk1_" xr:uid="{6081D13E-F0A2-4717-AE9A-7A2B2C9454B9}"/>
    <hyperlink ref="E7296" r:id="rId22539" display="https://twitter.com/VeeDubMk1_/status/724228617752981507" xr:uid="{039DCA09-2FA0-4157-A668-245165D0BB3A}"/>
    <hyperlink ref="O7296" r:id="rId22540" display="https://pbs.twimg.com/profile_images/672878354127839232/M7OYc-zx_normal.jpg" xr:uid="{EAFF0EE8-0851-4A90-A769-B3391D90F6DC}"/>
    <hyperlink ref="B7297" r:id="rId22541" display="https://twitter.com/VeeDubMk1_" xr:uid="{984A6BBF-1B22-4B3B-B813-BA3C2CFC08EE}"/>
    <hyperlink ref="E7297" r:id="rId22542" display="https://twitter.com/VeeDubMk1_/status/724228643560525824" xr:uid="{ABA0D3AB-3AF4-46D5-9263-9D7D587CBD6C}"/>
    <hyperlink ref="O7297" r:id="rId22543" display="https://pbs.twimg.com/profile_images/672878354127839232/M7OYc-zx_normal.jpg" xr:uid="{780B02EA-1537-4551-B09A-A97C46703619}"/>
    <hyperlink ref="B7298" r:id="rId22544" display="https://twitter.com/notyourcountry" xr:uid="{0DECAB0C-21F0-46E8-982C-BD3B0FC8F0F8}"/>
    <hyperlink ref="E7298" r:id="rId22545" display="https://twitter.com/notyourcountry/status/724229098365550592" xr:uid="{09676112-07EE-426F-9D28-9EDCC4EEB5E8}"/>
    <hyperlink ref="O7298" r:id="rId22546" display="https://pbs.twimg.com/profile_images/644097845818068992/PHIi32Pe_normal.png" xr:uid="{38C6C096-24A0-4C97-9D36-17EAE5EEC2E3}"/>
    <hyperlink ref="B7299" r:id="rId22547" display="https://twitter.com/brlarl" xr:uid="{E3BBCA57-EA03-47A5-8129-BBA16F293965}"/>
    <hyperlink ref="E7299" r:id="rId22548" display="https://twitter.com/brlarl/status/724229189088468992" xr:uid="{F7E983A6-B01D-4B9E-AC78-8243A05BF7F2}"/>
    <hyperlink ref="O7299" r:id="rId22549" display="https://pbs.twimg.com/profile_images/712960098419781632/emPcLJU-_normal.jpg" xr:uid="{539CEF20-CEEB-4033-8A44-59CC6BB7AEFC}"/>
    <hyperlink ref="B7300" r:id="rId22550" display="https://twitter.com/VWDRC" xr:uid="{94B6EA7B-CA66-4F67-A50A-4802165802BB}"/>
    <hyperlink ref="E7300" r:id="rId22551" display="https://twitter.com/VWDRC/status/724229229508853760" xr:uid="{2585B1CC-63E9-490B-85B8-65D5504BE7ED}"/>
    <hyperlink ref="O7300" r:id="rId22552" display="https://pbs.twimg.com/profile_images/1120599693/vwdrc-new-logo_normal.jpg" xr:uid="{A0494457-7421-4DAE-A770-6C0B6614135C}"/>
    <hyperlink ref="B7301" r:id="rId22553" display="https://twitter.com/genenano" xr:uid="{58B2B9F6-BA22-439D-B44E-35139E0EF939}"/>
    <hyperlink ref="E7301" r:id="rId22554" display="https://twitter.com/genenano/status/724229486510743552" xr:uid="{02E687F0-06F1-407E-8838-8EACF83B6957}"/>
    <hyperlink ref="O7301" r:id="rId22555" display="https://pbs.twimg.com/profile_images/1610695149/peace4_normal.PNG" xr:uid="{227E2EC8-DA9A-4946-8404-66E434B08DC2}"/>
    <hyperlink ref="B7302" r:id="rId22556" display="https://twitter.com/VWDRC" xr:uid="{CEF2CA7B-0A38-452B-917B-E6021D0C73D4}"/>
    <hyperlink ref="E7302" r:id="rId22557" display="https://twitter.com/VWDRC/status/724230179128676352" xr:uid="{29D975B9-CD4E-44F5-8F0A-F15020322562}"/>
    <hyperlink ref="O7302" r:id="rId22558" display="https://pbs.twimg.com/profile_images/1120599693/vwdrc-new-logo_normal.jpg" xr:uid="{2BB5089E-1AFB-499F-853F-EE734CD9DC1F}"/>
    <hyperlink ref="B7303" r:id="rId22559" display="https://twitter.com/AleGomezFabio" xr:uid="{803B7988-18B8-4570-9A45-859D3D0FC4BC}"/>
    <hyperlink ref="E7303" r:id="rId22560" display="https://twitter.com/AleGomezFabio/status/724230584013303808" xr:uid="{BAE24B94-8185-44FF-9E87-895931D64396}"/>
    <hyperlink ref="O7303" r:id="rId22561" display="https://pbs.twimg.com/profile_images/677190735326797824/thtg9vaL_normal.jpg" xr:uid="{822A369A-D677-48AC-BBD4-A3C82446E97C}"/>
    <hyperlink ref="B7304" r:id="rId22562" display="https://twitter.com/Iraundi" xr:uid="{9E9C6E0B-CDF2-45FB-B76A-BD9F554FB824}"/>
    <hyperlink ref="E7304" r:id="rId22563" display="https://twitter.com/Iraundi/status/724230966126981120" xr:uid="{67287471-F32A-4DBB-BAF7-787FC34DD93B}"/>
    <hyperlink ref="O7304" r:id="rId22564" display="https://pbs.twimg.com/profile_images/581826255793844224/DFks9pj4_normal.jpg" xr:uid="{D4182727-844F-46AD-846F-71DA2FAE94BD}"/>
    <hyperlink ref="B7305" r:id="rId22565" display="https://twitter.com/aavecj" xr:uid="{53BC6D98-2BDF-4F31-9D11-935D1DC6705C}"/>
    <hyperlink ref="E7305" r:id="rId22566" display="https://twitter.com/aavecj/status/724231164454670336" xr:uid="{88B08B34-C665-4AEB-974D-0B983F4D03BA}"/>
    <hyperlink ref="O7305" r:id="rId22567" display="https://pbs.twimg.com/profile_images/378800000048088338/cda7871d412e8d3fa4c08876abfe3478_normal.jpeg" xr:uid="{23BBE350-AF84-41A3-9C9D-F748E0168559}"/>
    <hyperlink ref="B7306" r:id="rId22568" display="https://twitter.com/VWBeetleSales" xr:uid="{6730394D-EE16-4582-80E7-24B946EBFDF4}"/>
    <hyperlink ref="E7306" r:id="rId22569" display="https://twitter.com/VWBeetleSales/status/724231182708154368" xr:uid="{A7EB8493-1369-4784-8C40-059241BF0E2B}"/>
    <hyperlink ref="F7306" r:id="rId22570" xr:uid="{84EE7650-0618-4C9D-AD30-D128D46EEABE}"/>
    <hyperlink ref="O7306" r:id="rId22571" display="https://pbs.twimg.com/profile_images/703294545195307008/qeCvrX86_normal.jpg" xr:uid="{66EC36F3-1331-49EE-B1A7-16949D5A0B04}"/>
    <hyperlink ref="B7307" r:id="rId22572" display="https://twitter.com/VWBeetleSales" xr:uid="{59916575-A71C-4057-9FB3-D0B809C5DCF3}"/>
    <hyperlink ref="E7307" r:id="rId22573" display="https://twitter.com/VWBeetleSales/status/724231188244647940" xr:uid="{6ADDDDA6-AD58-476D-96BA-12D18B8B6A16}"/>
    <hyperlink ref="F7307" r:id="rId22574" xr:uid="{1CCFE514-DF9C-4A8F-9864-0A2CFAC7C666}"/>
    <hyperlink ref="O7307" r:id="rId22575" display="https://pbs.twimg.com/profile_images/703294545195307008/qeCvrX86_normal.jpg" xr:uid="{36C82559-451F-4D62-991C-76D122862FF5}"/>
    <hyperlink ref="B7308" r:id="rId22576" display="https://twitter.com/VWBeetleSales" xr:uid="{87A755BC-91BD-4305-94F2-80D3460254CA}"/>
    <hyperlink ref="E7308" r:id="rId22577" display="https://twitter.com/VWBeetleSales/status/724231193407852544" xr:uid="{C14D87DF-48C5-485C-91DC-C8C2C167532C}"/>
    <hyperlink ref="F7308" r:id="rId22578" xr:uid="{76D3DBBD-6F8F-4D0B-B4F6-C07EC6E543FB}"/>
    <hyperlink ref="O7308" r:id="rId22579" display="https://pbs.twimg.com/profile_images/703294545195307008/qeCvrX86_normal.jpg" xr:uid="{EAA29381-0C0A-4C3F-96AE-1A3BFE7932DA}"/>
    <hyperlink ref="B7309" r:id="rId22580" display="https://twitter.com/rajesh12june" xr:uid="{A1E01F3A-3852-425F-9DC5-83B1030DC9C5}"/>
    <hyperlink ref="E7309" r:id="rId22581" display="https://twitter.com/rajesh12june/status/724231814567571456" xr:uid="{95F05F65-06F1-4F71-8BEA-B1BE02F18404}"/>
    <hyperlink ref="O7309" r:id="rId22582" display="https://pbs.twimg.com/profile_images/621995740177379328/YJAQstq5_normal.jpg" xr:uid="{A100F999-1694-42ED-85F6-4B4532813EA5}"/>
    <hyperlink ref="B7310" r:id="rId22583" display="https://twitter.com/ducachris" xr:uid="{40070AD7-F8DF-47DA-BCFB-1410AEF882BF}"/>
    <hyperlink ref="E7310" r:id="rId22584" display="https://twitter.com/ducachris/status/724232004707975168" xr:uid="{28ADBC3E-556E-454A-87F7-951482B3BB9B}"/>
    <hyperlink ref="O7310" r:id="rId22585" display="https://pbs.twimg.com/profile_images/695998335979806721/Qc2z46Px_normal.jpg" xr:uid="{B3E7E686-95FF-408A-9484-1C38BA9B988B}"/>
    <hyperlink ref="B7311" r:id="rId22586" display="https://twitter.com/fabulousvw" xr:uid="{B217DF4C-CA12-47F8-B398-BFEDC662C0BB}"/>
    <hyperlink ref="E7311" r:id="rId22587" display="https://twitter.com/fabulousvw/status/724232026560311296" xr:uid="{3C68C3DD-A30F-463D-A2B4-83C205165AE5}"/>
    <hyperlink ref="O7311" r:id="rId22588" display="https://pbs.twimg.com/profile_images/571073734903996416/gnQg4gB-_normal.png" xr:uid="{6F2F1A4C-8817-4D20-9A09-493A7278A51F}"/>
    <hyperlink ref="B7312" r:id="rId22589" display="https://twitter.com/FussballTheke" xr:uid="{2800AC5E-C7B0-4AAE-9338-6F164422C81C}"/>
    <hyperlink ref="E7312" r:id="rId22590" display="https://twitter.com/FussballTheke/status/724232364654731264" xr:uid="{9EC0ED8B-7FC6-4018-8B0E-5395F53C2B3B}"/>
    <hyperlink ref="O7312" r:id="rId22591" display="https://pbs.twimg.com/profile_images/475985801822863360/iBVkZA_H_normal.jpeg" xr:uid="{7B972905-1A60-42ED-823C-9C139A17EE1F}"/>
    <hyperlink ref="B7313" r:id="rId22592" display="https://twitter.com/VWCamperSales" xr:uid="{49277ED7-8D5A-4163-B293-8D89C3CC655C}"/>
    <hyperlink ref="E7313" r:id="rId22593" display="https://twitter.com/VWCamperSales/status/724232470783094784" xr:uid="{0553FF24-FA3B-4DB5-BF16-3F854E9DFCC3}"/>
    <hyperlink ref="F7313" r:id="rId22594" xr:uid="{E3AEB8FC-9006-4DE3-A751-84008B9F7D30}"/>
    <hyperlink ref="O7313" r:id="rId22595" display="https://pbs.twimg.com/profile_images/627949001179037696/skEBkS05_normal.jpg" xr:uid="{F9245EB6-45EF-4F36-829B-92D1C5F8414B}"/>
    <hyperlink ref="B7314" r:id="rId22596" display="https://twitter.com/vw8valve" xr:uid="{CED0EDE8-A346-4517-A5A2-56037139641F}"/>
    <hyperlink ref="E7314" r:id="rId22597" display="https://twitter.com/vw8valve/status/724232921712721920" xr:uid="{62BEF93F-4204-41F8-8E3B-A144E8359E4B}"/>
    <hyperlink ref="O7314" r:id="rId22598" display="https://pbs.twimg.com/profile_images/614981295773384708/sXMDZxDO_normal.jpg" xr:uid="{BE1E21C2-C178-4722-B5C8-A69CB7BA7C88}"/>
    <hyperlink ref="B7315" r:id="rId22599" display="https://twitter.com/3811015" xr:uid="{0F2BE8CF-0C68-44E3-861D-4CA16BD65206}"/>
    <hyperlink ref="E7315" r:id="rId22600" display="https://twitter.com/3811015/status/724233722137051136" xr:uid="{AE187E58-B5CA-4A25-9C7A-818603024F14}"/>
    <hyperlink ref="O7315" r:id="rId22601" display="https://pbs.twimg.com/profile_images/1512061476/44759775-9ed0-42ef-a7d9-33d35f66877d_normal.png" xr:uid="{DDB38FB0-0EE3-43DC-A3C3-E4373A29C951}"/>
    <hyperlink ref="B7316" r:id="rId22602" display="https://twitter.com/vwgroup_en" xr:uid="{7F846C2C-CDCD-4928-9D9D-A7CA1D9345E3}"/>
    <hyperlink ref="E7316" r:id="rId22603" display="https://twitter.com/vwgroup_en/status/724234055416446977" xr:uid="{A469BBA9-82CD-4E0E-BCD6-B8A4F2DAF9C6}"/>
    <hyperlink ref="O7316" r:id="rId22604" display="https://pbs.twimg.com/profile_images/666952430177935362/T46eVne2_normal.png" xr:uid="{60060B5F-9651-428A-932B-5877BA8DA497}"/>
    <hyperlink ref="B7317" r:id="rId22605" display="https://twitter.com/vwgroup_de" xr:uid="{2A5D4DED-B3B9-4E76-81C5-06E3C041AB40}"/>
    <hyperlink ref="E7317" r:id="rId22606" display="https://twitter.com/vwgroup_de/status/724234600462077953" xr:uid="{7E5B145A-2ACE-4ABB-8F4C-FEEF44B87650}"/>
    <hyperlink ref="O7317" r:id="rId22607" display="https://pbs.twimg.com/profile_images/666952128108363777/FL78g9n-_normal.png" xr:uid="{F5835045-55C7-48F7-BB76-91DBCDE5340A}"/>
    <hyperlink ref="B7318" r:id="rId22608" display="https://twitter.com/fantigos" xr:uid="{5783F841-6D82-4126-94F2-05801DA39202}"/>
    <hyperlink ref="E7318" r:id="rId22609" display="https://twitter.com/fantigos/status/724234620527620096" xr:uid="{D626D387-AE54-490F-872C-13330275D2F1}"/>
    <hyperlink ref="O7318" r:id="rId22610" display="https://pbs.twimg.com/profile_images/638947231144509440/iP1-exrN_normal.jpg" xr:uid="{5D2D6AF8-BCA6-4208-A841-BED2B9FEF907}"/>
    <hyperlink ref="B7319" r:id="rId22611" display="https://twitter.com/caryelluk" xr:uid="{BD5AF18C-438F-4F4F-9B93-0B03F6BCB59D}"/>
    <hyperlink ref="E7319" r:id="rId22612" display="https://twitter.com/caryelluk/status/724234648155381760" xr:uid="{B068FF90-39F4-484D-8A17-C93FB0A035EE}"/>
    <hyperlink ref="O7319" r:id="rId22613" display="https://pbs.twimg.com/profile_images/715332329019994114/CunHJsKm_normal.jpg" xr:uid="{936E4995-953E-4BC0-83DD-90161380AD17}"/>
    <hyperlink ref="B7320" r:id="rId22614" display="https://twitter.com/tayf10" xr:uid="{7ACC1B88-0D72-42EB-B225-DEFCD5F65018}"/>
    <hyperlink ref="E7320" r:id="rId22615" display="https://twitter.com/tayf10/status/724234906398777344" xr:uid="{FA6803AE-A34D-45BB-8ECA-928407B20B28}"/>
    <hyperlink ref="O7320" r:id="rId22616" display="https://pbs.twimg.com/profile_images/718154420916252673/qZLiNPrZ_normal.jpg" xr:uid="{5B0A578D-11A4-437E-B2F0-76BC03F8CCEB}"/>
    <hyperlink ref="B7321" r:id="rId22617" display="https://twitter.com/DubLuvTuning" xr:uid="{EF6D0A68-3709-4DDE-9C6B-CFE25D27B79C}"/>
    <hyperlink ref="E7321" r:id="rId22618" display="https://twitter.com/DubLuvTuning/status/724234925528985600" xr:uid="{1AA42F79-683D-45EC-82BF-74EDC93E1A55}"/>
    <hyperlink ref="O7321" r:id="rId22619" display="https://pbs.twimg.com/profile_images/378800000572104796/1de43e1cf23efb3f4101c02afad0d3b6_normal.png" xr:uid="{9768C9D4-FA42-4A8F-AF36-13445C7322D3}"/>
    <hyperlink ref="B7322" r:id="rId22620" display="https://twitter.com/EHcars" xr:uid="{0756E9C6-E99B-4751-9F57-DC466BF40D35}"/>
    <hyperlink ref="E7322" r:id="rId22621" display="https://twitter.com/EHcars/status/724235040780115969" xr:uid="{A1CFB4F0-1633-4E63-A868-B5E5290CEB57}"/>
    <hyperlink ref="O7322" r:id="rId22622" display="https://pbs.twimg.com/profile_images/619590752906149888/gOJBR12k_normal.jpg" xr:uid="{0179CF6D-3588-4C4A-8B67-F953DF5AE73A}"/>
    <hyperlink ref="B7323" r:id="rId22623" display="https://twitter.com/EHcars" xr:uid="{09977B59-809E-4116-8845-2E675AE1D34D}"/>
    <hyperlink ref="E7323" r:id="rId22624" display="https://twitter.com/EHcars/status/724235103229095937" xr:uid="{6CBCEC85-0B6C-459B-A28E-D28A7B92158F}"/>
    <hyperlink ref="O7323" r:id="rId22625" display="https://pbs.twimg.com/profile_images/619590752906149888/gOJBR12k_normal.jpg" xr:uid="{3F1FEA85-68DC-4B84-A8DD-C4EE269C020A}"/>
    <hyperlink ref="B7324" r:id="rId22626" display="https://twitter.com/singhvaibhav361" xr:uid="{B17FA435-89B1-4068-B1F5-34B402EECBF1}"/>
    <hyperlink ref="E7324" r:id="rId22627" display="https://twitter.com/singhvaibhav361/status/724235427264122882" xr:uid="{469CB822-77CF-4ADC-9F66-A66408677F39}"/>
    <hyperlink ref="O7324" r:id="rId22628" display="https://pbs.twimg.com/profile_images/719492454529904640/NVvwO7d6_normal.jpg" xr:uid="{6229F458-401D-4C8E-B0E6-44E3127B20A6}"/>
    <hyperlink ref="B7325" r:id="rId22629" display="https://twitter.com/VWCamperSales" xr:uid="{F8B84FD5-CC0C-4A9A-99A6-FF436D7FD528}"/>
    <hyperlink ref="E7325" r:id="rId22630" display="https://twitter.com/VWCamperSales/status/724235840734400512" xr:uid="{730F1926-C30B-4FF7-B188-7FC7E1AAC7A7}"/>
    <hyperlink ref="F7325" r:id="rId22631" xr:uid="{CF343E68-BC50-4C99-991B-3FFA61B2F670}"/>
    <hyperlink ref="O7325" r:id="rId22632" display="https://pbs.twimg.com/profile_images/627949001179037696/skEBkS05_normal.jpg" xr:uid="{6E94879C-34A3-4297-BC06-94DB2FE826A7}"/>
    <hyperlink ref="B7326" r:id="rId22633" display="https://twitter.com/gabryjoint" xr:uid="{186A0272-A533-4D2F-8F90-6018E3B8B47E}"/>
    <hyperlink ref="E7326" r:id="rId22634" display="https://twitter.com/gabryjoint/status/724235900956319746" xr:uid="{77FF8495-76FA-4775-BD42-7F3C6B77FF45}"/>
    <hyperlink ref="O7326" r:id="rId22635" display="https://pbs.twimg.com/profile_images/3037533242/c034e8ffe53c4c7397584d9c1d1cac38_normal.jpeg" xr:uid="{DFF20DC8-31E1-4D35-A198-333204D3609D}"/>
    <hyperlink ref="B7327" r:id="rId22636" display="https://twitter.com/82Reddy" xr:uid="{7667F3DF-F7E9-4419-86BE-EC6F8B71E0D9}"/>
    <hyperlink ref="E7327" r:id="rId22637" display="https://twitter.com/82Reddy/status/724236413340884992" xr:uid="{1C4BC200-3116-4BE7-99EF-F436D15C39C4}"/>
    <hyperlink ref="O7327" r:id="rId22638" display="https://pbs.twimg.com/profile_images/574616214644920322/_F1UYMq8_normal.jpeg" xr:uid="{1DD4A8CD-0E9A-4C2A-A00A-7959B83B73C6}"/>
    <hyperlink ref="B7328" r:id="rId22639" display="https://twitter.com/napletonvolksu1" xr:uid="{37BEA9A7-57D5-4647-B926-573017C68E62}"/>
    <hyperlink ref="E7328" r:id="rId22640" display="https://twitter.com/napletonvolksu1/status/724236537748180992" xr:uid="{078E5C8E-1F84-4A61-9F1E-4C82330CEBB6}"/>
    <hyperlink ref="O7328" r:id="rId22641" display="https://pbs.twimg.com/profile_images/661203197172649984/8NlJaRzL_normal.png" xr:uid="{D0864A32-7631-475D-A273-FD87DD85C14B}"/>
    <hyperlink ref="B7329" r:id="rId22642" display="https://twitter.com/whats_live" xr:uid="{B367B36B-ABB3-48C7-9F60-7A732A31D807}"/>
    <hyperlink ref="E7329" r:id="rId22643" display="https://twitter.com/whats_live/status/724236713552437248" xr:uid="{DB222A36-171C-4B92-B57D-994E5FA3F1A1}"/>
    <hyperlink ref="O7329" r:id="rId22644" display="https://pbs.twimg.com/profile_images/600965523518566400/l0bcJH8l_normal.jpg" xr:uid="{8D9BA4F0-491E-492E-9E51-FE46FA4B99A1}"/>
    <hyperlink ref="B7330" r:id="rId22645" display="https://twitter.com/motosniper" xr:uid="{64D5CE35-4F59-4E41-A99C-9DEFAF6345B6}"/>
    <hyperlink ref="E7330" r:id="rId22646" display="https://twitter.com/motosniper/status/724237262674878464" xr:uid="{A5C757CF-0037-4E88-9145-E8D54874B8AB}"/>
    <hyperlink ref="O7330" r:id="rId22647" display="https://pbs.twimg.com/profile_images/693965251730079744/d4IR05bx_normal.jpg" xr:uid="{6FE10335-0A86-49C3-9B99-C16896210FD5}"/>
    <hyperlink ref="B7331" r:id="rId22648" display="https://twitter.com/daichidayo27" xr:uid="{10CB7A32-FF34-4BAF-AC72-94CDB6FC1B4F}"/>
    <hyperlink ref="E7331" r:id="rId22649" display="https://twitter.com/daichidayo27/status/724237312687673347" xr:uid="{EF6200F0-3E2C-427D-BB3D-0FBCFB330B8E}"/>
    <hyperlink ref="O7331" r:id="rId22650" display="https://pbs.twimg.com/profile_images/718803328122007553/V4Kw56ln_normal.jpg" xr:uid="{7FCBEC9D-F1A8-4CCF-AD13-663AE03F21F7}"/>
    <hyperlink ref="B7332" r:id="rId22651" display="https://twitter.com/Steve_WL7YQ" xr:uid="{CC23C4FC-9731-4B1A-9063-72F9D3296C06}"/>
    <hyperlink ref="E7332" r:id="rId22652" display="https://twitter.com/Steve_WL7YQ/status/724237451074646016" xr:uid="{0549C766-1ACD-425F-8B39-362D9A7A44BB}"/>
    <hyperlink ref="O7332" r:id="rId22653" display="https://pbs.twimg.com/profile_images/295471774/2009-06-24_18.04.24_normal.jpg" xr:uid="{31102F24-BF83-41B4-86DA-D23B502F0D14}"/>
    <hyperlink ref="B7333" r:id="rId22654" display="https://twitter.com/Imtweetingtoo" xr:uid="{5B421A82-CC80-4D1C-8662-EAF6972804AF}"/>
    <hyperlink ref="E7333" r:id="rId22655" display="https://twitter.com/Imtweetingtoo/status/724237509631332352" xr:uid="{4D36C4D8-ECFC-413C-8D65-EF306C897F2A}"/>
    <hyperlink ref="O7333" r:id="rId22656" display="https://pbs.twimg.com/profile_images/1566466190/socialmedia07_100_normal.jpg" xr:uid="{405BAFE2-F7B5-47E8-AEA5-34AF2ADF4B6C}"/>
    <hyperlink ref="B7334" r:id="rId22657" display="https://twitter.com/uwkakeru14" xr:uid="{11D45826-8616-4812-8C92-9338D9B9C754}"/>
    <hyperlink ref="E7334" r:id="rId22658" display="https://twitter.com/uwkakeru14/status/724237716192370688" xr:uid="{F2B4F85A-BC5A-4781-9E0D-352B3C5AE355}"/>
    <hyperlink ref="O7334" r:id="rId22659" display="https://pbs.twimg.com/profile_images/720624990727450625/fuZyPQz5_normal.jpg" xr:uid="{60A7F26C-4A15-46FF-B667-A394AC7D6274}"/>
    <hyperlink ref="B7335" r:id="rId22660" display="https://twitter.com/KarlRennison" xr:uid="{EB5AB656-C900-48AC-B112-6E4E836E8DB5}"/>
    <hyperlink ref="E7335" r:id="rId22661" display="https://twitter.com/KarlRennison/status/724237762635943936" xr:uid="{3207B184-BD67-456E-90CF-FE7024865DCE}"/>
    <hyperlink ref="O7335" r:id="rId22662" display="https://pbs.twimg.com/profile_images/722326876560232450/OO8bJXZX_normal.jpg" xr:uid="{3303A5FB-6D91-45E4-93D8-1BD288222148}"/>
    <hyperlink ref="B7336" r:id="rId22663" display="https://twitter.com/Scirocco_Tuning" xr:uid="{6B871112-EF92-4BE1-985C-D3F70B95B261}"/>
    <hyperlink ref="E7336" r:id="rId22664" display="https://twitter.com/Scirocco_Tuning/status/724238643670450177" xr:uid="{AB8653D7-EF8A-445A-8DB3-1AC29E0CC957}"/>
    <hyperlink ref="O7336" r:id="rId22665" display="https://pbs.twimg.com/profile_images/1610421423/Image2_normal.jpg" xr:uid="{75C6A6D7-0DAC-42BB-9FA8-AC62330E75EF}"/>
    <hyperlink ref="B7337" r:id="rId22666" display="https://twitter.com/beetlebug1938" xr:uid="{CEE9EB5D-EA63-4BE7-B76E-09BE08E9B7D8}"/>
    <hyperlink ref="E7337" r:id="rId22667" display="https://twitter.com/beetlebug1938/status/724238886159917056" xr:uid="{495EAE47-AD67-4EE3-A113-6CA4937CF482}"/>
    <hyperlink ref="O7337" r:id="rId22668" display="https://pbs.twimg.com/profile_images/718820712757215233/LXXndPTS_normal.jpg" xr:uid="{5E805A52-8ADC-4727-A850-59B835A17B63}"/>
    <hyperlink ref="B7338" r:id="rId22669" display="https://twitter.com/beetlebug1938" xr:uid="{1FAD5DD2-5523-4FC6-A2D9-496734A78A35}"/>
    <hyperlink ref="E7338" r:id="rId22670" display="https://twitter.com/beetlebug1938/status/724238895186083841" xr:uid="{1DA9F004-E24C-4CE9-96AC-CCB36C4AB1AE}"/>
    <hyperlink ref="O7338" r:id="rId22671" display="https://pbs.twimg.com/profile_images/718820712757215233/LXXndPTS_normal.jpg" xr:uid="{357838D1-7E11-49A1-A8A3-07FCBA8F6B7A}"/>
    <hyperlink ref="B7339" r:id="rId22672" display="https://twitter.com/beetlebug1938" xr:uid="{A17B1668-3E8D-4D54-AF27-10B045516527}"/>
    <hyperlink ref="E7339" r:id="rId22673" display="https://twitter.com/beetlebug1938/status/724238910423990272" xr:uid="{FBCB325B-EE6E-469A-9999-B59A9194D653}"/>
    <hyperlink ref="O7339" r:id="rId22674" display="https://pbs.twimg.com/profile_images/718820712757215233/LXXndPTS_normal.jpg" xr:uid="{487E7A4B-F4EC-41C5-B299-214DFD920ED0}"/>
    <hyperlink ref="B7340" r:id="rId22675" display="https://twitter.com/beetlebug1938" xr:uid="{8C29C237-94C3-4D01-9067-138FC376F07E}"/>
    <hyperlink ref="E7340" r:id="rId22676" display="https://twitter.com/beetlebug1938/status/724238933341667329" xr:uid="{6BA6C7F0-B5CC-4A59-94F2-3F4861F6C08D}"/>
    <hyperlink ref="O7340" r:id="rId22677" display="https://pbs.twimg.com/profile_images/718820712757215233/LXXndPTS_normal.jpg" xr:uid="{6D39EE37-A58D-4610-BEDE-4E39CD9B22B8}"/>
    <hyperlink ref="B7341" r:id="rId22678" display="https://twitter.com/CoryBarrios" xr:uid="{7D009916-4CEA-46A8-AE19-AF89F5EC12EB}"/>
    <hyperlink ref="E7341" r:id="rId22679" display="https://twitter.com/CoryBarrios/status/724239005966020614" xr:uid="{54C87B84-6A81-46FE-A2CC-B2FD17833DBA}"/>
    <hyperlink ref="O7341" r:id="rId22680" display="https://pbs.twimg.com/profile_images/623965518270038016/EUAbTsHF_normal.jpg" xr:uid="{C0EF38E5-28AB-415A-A42C-F57FE93EA709}"/>
    <hyperlink ref="P7341" r:id="rId22681" location="37.70838744,-121.51727673" display="http://ctrlq.org/maps/address/ - 37.70838744,-121.51727673" xr:uid="{89BB129E-E4AA-41BE-A78B-37B79370C771}"/>
    <hyperlink ref="B7342" r:id="rId22682" display="https://twitter.com/paulpollinger" xr:uid="{9D916CE6-F611-4ED2-92BA-C6DDA25589FB}"/>
    <hyperlink ref="E7342" r:id="rId22683" display="https://twitter.com/paulpollinger/status/724239140380876800" xr:uid="{FF695B35-3C8C-461B-A954-2CA090F94BF9}"/>
    <hyperlink ref="O7342" r:id="rId22684" display="https://pbs.twimg.com/profile_images/705456759306067972/k_ohXzmN_normal.jpg" xr:uid="{471FB6C1-9DFE-4D57-A377-97C6FE64D4A8}"/>
    <hyperlink ref="B7343" r:id="rId22685" display="https://twitter.com/westy_nl" xr:uid="{59D76A18-005D-44AA-B73F-095A06CC9DB0}"/>
    <hyperlink ref="E7343" r:id="rId22686" display="https://twitter.com/westy_nl/status/724239198941790208" xr:uid="{096D1876-FFB5-4D98-BB98-95306F123C91}"/>
    <hyperlink ref="O7343" r:id="rId22687" display="https://pbs.twimg.com/profile_images/591160837198503936/SBlrZoW0_normal.jpg" xr:uid="{3CA70D75-EFA5-48E4-8EC6-0887BF8A1845}"/>
    <hyperlink ref="B7344" r:id="rId22688" display="https://twitter.com/walkabilityasia" xr:uid="{AB1766C9-C5E9-4349-8019-269B11A59548}"/>
    <hyperlink ref="E7344" r:id="rId22689" display="https://twitter.com/walkabilityasia/status/724239251743735808" xr:uid="{001863B7-CEEA-48E6-AD11-3B77639852C6}"/>
    <hyperlink ref="O7344" r:id="rId22690" display="https://pbs.twimg.com/profile_images/538662241122271232/ESZSuIqL_normal.png" xr:uid="{384AC082-4FE5-4649-8F62-D6E98B89E000}"/>
    <hyperlink ref="B7345" r:id="rId22691" display="https://twitter.com/dubbusses" xr:uid="{E52F9F7F-7670-48EE-A44B-8A6AF91C0372}"/>
    <hyperlink ref="E7345" r:id="rId22692" display="https://twitter.com/dubbusses/status/724239291900137472" xr:uid="{D918A59D-E7E1-42E4-9BA4-34E339F28F69}"/>
    <hyperlink ref="O7345" r:id="rId22693" display="https://pbs.twimg.com/profile_images/718835727027580928/1ssyQ67y_normal.jpg" xr:uid="{B1513830-9EEF-4B2B-89AA-65342C3F9CA6}"/>
    <hyperlink ref="B7346" r:id="rId22694" display="https://twitter.com/dubbusses" xr:uid="{EE4FD301-BC80-48FC-A3D8-9F10ABED6DC1}"/>
    <hyperlink ref="E7346" r:id="rId22695" display="https://twitter.com/dubbusses/status/724239356454682625" xr:uid="{41D22AF9-D642-4A86-8B9C-6FF43622F470}"/>
    <hyperlink ref="O7346" r:id="rId22696" display="https://pbs.twimg.com/profile_images/718835727027580928/1ssyQ67y_normal.jpg" xr:uid="{538D4451-E780-4F6B-81FD-04845E38D2CD}"/>
    <hyperlink ref="B7347" r:id="rId22697" display="https://twitter.com/ReturnBuyer_CA" xr:uid="{4DE89D95-0A82-49C0-A91F-9E51FC8369D8}"/>
    <hyperlink ref="E7347" r:id="rId22698" display="https://twitter.com/ReturnBuyer_CA/status/724239435781431296" xr:uid="{DB313C44-3291-487F-A7BF-B03F2100D1E4}"/>
    <hyperlink ref="O7347" r:id="rId22699" display="https://pbs.twimg.com/profile_images/710258286151335937/kINPaBuM_normal.jpg" xr:uid="{C8AE1A27-46CD-41CF-8704-57E2535B9E3A}"/>
    <hyperlink ref="B7348" r:id="rId22700" display="https://twitter.com/AdgmanA" xr:uid="{4E4D2723-B699-4F31-919D-3E9AAC502096}"/>
    <hyperlink ref="E7348" r:id="rId22701" display="https://twitter.com/AdgmanA/status/724239464575451137" xr:uid="{9726DEDF-5D12-49E4-A2E0-6D3593503911}"/>
    <hyperlink ref="O7348" r:id="rId22702" display="https://pbs.twimg.com/profile_images/717472604702052357/yTPUaVAZ_normal.jpg" xr:uid="{A97F2FCF-F277-436B-A516-67AC33088581}"/>
    <hyperlink ref="B7349" r:id="rId22703" display="https://twitter.com/MarcDigruber" xr:uid="{B8C25D0D-C530-4087-8126-7DA93E34EA9D}"/>
    <hyperlink ref="E7349" r:id="rId22704" display="https://twitter.com/MarcDigruber/status/724239484318035968" xr:uid="{305C9A7F-BE92-42A4-91B8-BB385569D0D6}"/>
    <hyperlink ref="O7349" r:id="rId22705" display="https://pbs.twimg.com/profile_images/613241652002574336/qoq_ha57_normal.jpg" xr:uid="{A3841195-6296-44FC-B74C-5E5C58D689F6}"/>
    <hyperlink ref="B7350" r:id="rId22706" display="https://twitter.com/used4x4parts" xr:uid="{977AADDC-AD7E-480F-A8EE-B4731A7018DA}"/>
    <hyperlink ref="E7350" r:id="rId22707" display="https://twitter.com/used4x4parts/status/724240738645598208" xr:uid="{86CFE056-42BC-4B92-A96D-D911CE9946CD}"/>
    <hyperlink ref="O7350" r:id="rId22708" display="https://abs.twimg.com/sticky/default_profile_images/default_profile_5_normal.png" xr:uid="{AFC9F633-B49F-4A34-AD8E-896CCD164C8F}"/>
    <hyperlink ref="B7351" r:id="rId22709" display="https://twitter.com/JanelleRBlu" xr:uid="{FF1B702D-2E07-4688-B8DC-BBBE3D1D3905}"/>
    <hyperlink ref="E7351" r:id="rId22710" display="https://twitter.com/JanelleRBlu/status/724240817074896896" xr:uid="{58D870F7-5E49-4361-88C0-7BDF6126A008}"/>
    <hyperlink ref="O7351" r:id="rId22711" display="https://pbs.twimg.com/profile_images/638911107629846528/gS1Qt39M_normal.jpg" xr:uid="{37E1269E-CFEE-42DF-AB64-3943B1762175}"/>
    <hyperlink ref="P7351" r:id="rId22712" location="42.35938518,-71.06475855" display="http://ctrlq.org/maps/address/ - 42.35938518,-71.06475855" xr:uid="{925E986A-E179-4C12-B214-2C270EF7A44E}"/>
    <hyperlink ref="B7352" r:id="rId22713" display="https://twitter.com/used4x4parts" xr:uid="{61E2773F-A7F2-430F-974B-EAF33A00A6D2}"/>
    <hyperlink ref="E7352" r:id="rId22714" display="https://twitter.com/used4x4parts/status/724240845864624130" xr:uid="{86AC1A52-4673-4277-A772-92082248A9E3}"/>
    <hyperlink ref="O7352" r:id="rId22715" display="https://abs.twimg.com/sticky/default_profile_images/default_profile_5_normal.png" xr:uid="{2BD7B596-CA94-485D-9858-1A4FBE806BBD}"/>
    <hyperlink ref="B7353" r:id="rId22716" display="https://twitter.com/TommyWolff" xr:uid="{6A6C90F0-07AE-4675-95AE-82DE25C5BABD}"/>
    <hyperlink ref="E7353" r:id="rId22717" display="https://twitter.com/TommyWolff/status/724240967948075009" xr:uid="{38E1F788-74D4-4CDB-BD97-CBDF92571EA9}"/>
    <hyperlink ref="O7353" r:id="rId22718" display="https://pbs.twimg.com/profile_images/714624729546637312/sXuLHNCU_normal.jpg" xr:uid="{CAE534A4-32F5-4971-99AA-5E828C4FED15}"/>
    <hyperlink ref="P7353" r:id="rId22719" location="40.4414,-79.9773" display="http://ctrlq.org/maps/address/ - 40.4414,-79.9773" xr:uid="{1AEFF1BC-63F7-4FB1-B483-D895721FD4E7}"/>
    <hyperlink ref="B7354" r:id="rId22720" display="https://twitter.com/FuscaWorld" xr:uid="{257B7FE3-DD28-40A7-A893-D4A38F62A385}"/>
    <hyperlink ref="E7354" r:id="rId22721" display="https://twitter.com/FuscaWorld/status/724241016044269568" xr:uid="{85138A12-8213-4A82-B43E-9980638A1268}"/>
    <hyperlink ref="O7354" r:id="rId22722" display="https://pbs.twimg.com/profile_images/705780107844067328/e7O4UBNb_normal.jpg" xr:uid="{CB2EFF4F-D677-4AE2-B4F3-6222E434895B}"/>
    <hyperlink ref="B7355" r:id="rId22723" display="https://twitter.com/calzonzote" xr:uid="{371B067C-A9F3-46D5-B001-D7B2FE9A4C06}"/>
    <hyperlink ref="E7355" r:id="rId22724" display="https://twitter.com/calzonzote/status/724242342706733056" xr:uid="{56FAA9E4-D68F-4F05-83A5-BD19A3955CBE}"/>
    <hyperlink ref="O7355" r:id="rId22725" display="https://pbs.twimg.com/profile_images/619400852994830336/LUUrV3-k_normal.jpg" xr:uid="{2361490D-20A2-4629-B615-CB35533E1400}"/>
    <hyperlink ref="B7356" r:id="rId22726" display="https://twitter.com/VDubkollective" xr:uid="{C2EAA4A1-E596-499F-B464-086802C0E5DE}"/>
    <hyperlink ref="E7356" r:id="rId22727" display="https://twitter.com/VDubkollective/status/724242511741349892" xr:uid="{4D3B3BD1-0486-4D1C-AA13-6576A0EC8B7C}"/>
    <hyperlink ref="O7356" r:id="rId22728" display="https://pbs.twimg.com/profile_images/685828508128555008/VZgbemtZ_normal.jpg" xr:uid="{23311E9B-D8EC-4DD9-ACF5-381D0A2A99BA}"/>
    <hyperlink ref="B7357" r:id="rId22729" display="https://twitter.com/wbednarski" xr:uid="{DCCCA2EE-F5D7-4CC6-9359-E9D88F48A052}"/>
    <hyperlink ref="E7357" r:id="rId22730" display="https://twitter.com/wbednarski/status/724243253801963520" xr:uid="{5560C9E4-73A4-415D-8A0A-910666282CD2}"/>
    <hyperlink ref="O7357" r:id="rId22731" display="https://pbs.twimg.com/profile_images/2701944186/644516f611721f03f016f84ed773aac2_normal.png" xr:uid="{D00D4DDE-6059-43AA-8B97-CDFEEF270198}"/>
    <hyperlink ref="B7358" r:id="rId22732" display="https://twitter.com/javper27" xr:uid="{9BF9F5A3-5880-4A6F-BC68-9CD865A50DB3}"/>
    <hyperlink ref="E7358" r:id="rId22733" display="https://twitter.com/javper27/status/724243285674348547" xr:uid="{D8EBFB07-B45B-4FC4-B7CB-E9032DB7F58E}"/>
    <hyperlink ref="O7358" r:id="rId22734" display="https://pbs.twimg.com/profile_images/701457964675117057/Qh4IaxxH_normal.jpg" xr:uid="{6DD01428-7371-40CB-9A46-EF15041F7872}"/>
    <hyperlink ref="B7359" r:id="rId22735" display="https://twitter.com/chrisrealeg7" xr:uid="{FE88F011-73D6-4302-B848-F357F5EE0232}"/>
    <hyperlink ref="E7359" r:id="rId22736" display="https://twitter.com/chrisrealeg7/status/724243419279822848" xr:uid="{3E9E4C52-8BE9-4299-B3C2-650FD1A8E68F}"/>
    <hyperlink ref="O7359" r:id="rId22737" display="https://pbs.twimg.com/profile_images/686724675376918528/DRvuZ57Q_normal.jpg" xr:uid="{BE874D34-7AD1-4D24-AD32-FEFB1B997AAA}"/>
    <hyperlink ref="B7360" r:id="rId22738" display="https://twitter.com/Lindsay_VW" xr:uid="{D2ED627C-49E0-4FF8-BA58-3C5A90C7BABC}"/>
    <hyperlink ref="E7360" r:id="rId22739" display="https://twitter.com/Lindsay_VW/status/724243537634705408" xr:uid="{C134474B-B76F-4C89-91E6-056D69FE6495}"/>
    <hyperlink ref="O7360" r:id="rId22740" display="https://pbs.twimg.com/profile_images/716020780899807232/fnaRfVpE_normal.jpg" xr:uid="{9902C2B8-C6CB-4852-A61E-C868ECD5588C}"/>
    <hyperlink ref="B7361" r:id="rId22741" display="https://twitter.com/VeeDubMk1_" xr:uid="{D52269E9-FE9D-4E6B-80BA-702170BB1359}"/>
    <hyperlink ref="E7361" r:id="rId22742" display="https://twitter.com/VeeDubMk1_/status/724243630215565312" xr:uid="{BCD3F023-6DDC-4D71-9382-D1CB3FFE039B}"/>
    <hyperlink ref="O7361" r:id="rId22743" display="https://pbs.twimg.com/profile_images/672878354127839232/M7OYc-zx_normal.jpg" xr:uid="{566264B7-EF92-4E98-AFD4-AD85CE038625}"/>
    <hyperlink ref="B7362" r:id="rId22744" display="https://twitter.com/Insta_VWT" xr:uid="{1DC0D046-D3FB-45E6-9975-BAC863A65CF7}"/>
    <hyperlink ref="E7362" r:id="rId22745" display="https://twitter.com/Insta_VWT/status/724243652801863682" xr:uid="{2877C660-B212-46D0-A0BD-1EBE65C83D16}"/>
    <hyperlink ref="O7362" r:id="rId22746" display="https://pbs.twimg.com/profile_images/424893967197433858/iQ86NktX_normal.jpeg" xr:uid="{E7602EE7-6191-4CE5-9379-F3896078DE65}"/>
    <hyperlink ref="B7363" r:id="rId22747" display="https://twitter.com/jake_maves" xr:uid="{B0A0E104-0763-48D3-AD0A-483D714E6AA7}"/>
    <hyperlink ref="E7363" r:id="rId22748" display="https://twitter.com/jake_maves/status/724243732875350016" xr:uid="{BDDD705F-05FC-491F-A06B-C6CB973996DE}"/>
    <hyperlink ref="O7363" r:id="rId22749" display="https://pbs.twimg.com/profile_images/724114800272355328/PbhxROt4_normal.jpg" xr:uid="{F036CF86-ABDF-4917-9A6E-9F7E5AFEDB22}"/>
    <hyperlink ref="B7364" r:id="rId22750" display="https://twitter.com/VCT_Tweets" xr:uid="{8F4FF33D-2B87-40C4-A3D9-88EFED11B777}"/>
    <hyperlink ref="E7364" r:id="rId22751" display="https://twitter.com/VCT_Tweets/status/724244346304901120" xr:uid="{038EBCB9-2456-42B2-A4DA-673DCB50EBB1}"/>
    <hyperlink ref="O7364" r:id="rId22752" display="https://pbs.twimg.com/profile_images/569800899141177344/nVFLMSdb_normal.png" xr:uid="{9755BAE7-90EF-4322-807B-35E05892FD3F}"/>
    <hyperlink ref="B7365" r:id="rId22753" display="https://twitter.com/AlexWitzleben" xr:uid="{DB6DD73F-7698-4B6D-982F-C8BEE3784876}"/>
    <hyperlink ref="E7365" r:id="rId22754" display="https://twitter.com/AlexWitzleben/status/724244863240286208" xr:uid="{90B0F18E-8BBD-4B73-BBE6-FCE4D31EC3BB}"/>
    <hyperlink ref="O7365" r:id="rId22755" display="https://pbs.twimg.com/profile_images/1913087124/AvW_website_normal.jpg" xr:uid="{BAFDDAA0-7C6D-4016-97D1-060ACEA80C1C}"/>
    <hyperlink ref="B7366" r:id="rId22756" display="https://twitter.com/VolkswagenPost" xr:uid="{D3A7479A-69A8-464C-B5E7-3FE089C6A9EA}"/>
    <hyperlink ref="E7366" r:id="rId22757" display="https://twitter.com/VolkswagenPost/status/724244924158357504" xr:uid="{1ED6FFDC-2248-4DEF-8277-10B131EAD366}"/>
    <hyperlink ref="O7366" r:id="rId22758" display="https://pbs.twimg.com/profile_images/530071272881803264/a_jcCmPZ_normal.png" xr:uid="{193BC7EA-FDD8-4C24-B3CD-6BF4CE2D6370}"/>
    <hyperlink ref="B7367" r:id="rId22759" display="https://twitter.com/sayurioyamada" xr:uid="{7EDB0E31-ED51-4364-999F-544A2DE314C1}"/>
    <hyperlink ref="E7367" r:id="rId22760" display="https://twitter.com/sayurioyamada/status/724245044392136704" xr:uid="{D866F4D3-F69A-4623-9B8A-18641D432944}"/>
    <hyperlink ref="O7367" r:id="rId22761" display="https://pbs.twimg.com/profile_images/527495390544027648/bqmMS5Ap_normal.jpeg" xr:uid="{F9DFD064-E960-4BEE-B4C4-ADF3F3E9B207}"/>
    <hyperlink ref="P7367" r:id="rId22762" location="20.9167,-100.75" display="http://ctrlq.org/maps/address/ - 20.9167,-100.75" xr:uid="{FAB0AA1D-9053-4E63-BD9F-A7A0EB0FE49A}"/>
    <hyperlink ref="B7368" r:id="rId22763" display="https://twitter.com/SanRMaadhwa" xr:uid="{08BAA483-3916-4BBD-A92A-24620127C16F}"/>
    <hyperlink ref="E7368" r:id="rId22764" display="https://twitter.com/SanRMaadhwa/status/724245059776987137" xr:uid="{CB0A5262-271D-4158-B44D-8AA6604BA061}"/>
    <hyperlink ref="O7368" r:id="rId22765" display="https://pbs.twimg.com/profile_images/679504135125778432/O4eV8Rwx_normal.jpg" xr:uid="{48FAB4A7-0409-4A3F-B2CC-46C862DAE56C}"/>
    <hyperlink ref="B7369" r:id="rId22766" display="https://twitter.com/AlexWitzleben" xr:uid="{00DF7212-2F77-4A6D-8E3D-111D7308A708}"/>
    <hyperlink ref="E7369" r:id="rId22767" display="https://twitter.com/AlexWitzleben/status/724245289817772033" xr:uid="{28FB0CD7-4AED-4985-AA65-5318DFAA883F}"/>
    <hyperlink ref="O7369" r:id="rId22768" display="https://pbs.twimg.com/profile_images/1913087124/AvW_website_normal.jpg" xr:uid="{45BE733B-45A5-4B43-B25F-54BC8890AF32}"/>
    <hyperlink ref="B7370" r:id="rId22769" display="https://twitter.com/fly2wales" xr:uid="{A75069DE-F60A-478B-B2FA-0E75A8A21644}"/>
    <hyperlink ref="E7370" r:id="rId22770" display="https://twitter.com/fly2wales/status/724245435712417792" xr:uid="{4874402F-2AA9-4F3D-A0B9-6E27780974B4}"/>
    <hyperlink ref="O7370" r:id="rId22771" display="https://pbs.twimg.com/profile_images/559005884701896705/MAhIDrux_normal.png" xr:uid="{CA73CC02-E3CF-4D8B-AA76-77D8D7A9BDB0}"/>
    <hyperlink ref="B7371" r:id="rId22772" display="https://twitter.com/SanRMaadhwa" xr:uid="{130CF741-E283-408D-A497-5F6AF5CEF6FB}"/>
    <hyperlink ref="E7371" r:id="rId22773" display="https://twitter.com/SanRMaadhwa/status/724245446743461890" xr:uid="{39CD1D6A-56C3-4DDA-A0FE-27CAFA91162D}"/>
    <hyperlink ref="O7371" r:id="rId22774" display="https://pbs.twimg.com/profile_images/679504135125778432/O4eV8Rwx_normal.jpg" xr:uid="{3DB7EDD6-295C-4E40-B0F8-3867E4F741BC}"/>
    <hyperlink ref="B7372" r:id="rId22775" display="https://twitter.com/VWBeetleSales" xr:uid="{36F570D2-26BD-4AFA-8A7A-A173BDA1C8DD}"/>
    <hyperlink ref="E7372" r:id="rId22776" display="https://twitter.com/VWBeetleSales/status/724245546244825089" xr:uid="{CF0A028B-AC1E-40F4-A036-882FA60D0FD6}"/>
    <hyperlink ref="F7372" r:id="rId22777" xr:uid="{37856A2D-2CAB-4FBB-A10E-250B66743720}"/>
    <hyperlink ref="O7372" r:id="rId22778" display="https://pbs.twimg.com/profile_images/703294545195307008/qeCvrX86_normal.jpg" xr:uid="{0C0AB5F2-0427-4F6A-9BEA-944FB0B4D800}"/>
    <hyperlink ref="B7373" r:id="rId22779" display="https://twitter.com/VWBeetleSales" xr:uid="{E880F91A-BDB3-4825-A069-885CC51F5948}"/>
    <hyperlink ref="E7373" r:id="rId22780" display="https://twitter.com/VWBeetleSales/status/724245556776685568" xr:uid="{548C37BF-9F1B-4980-AFE9-F437D25E4579}"/>
    <hyperlink ref="F7373" r:id="rId22781" xr:uid="{CF68669E-A743-49B7-B75B-A2B6DB002DE0}"/>
    <hyperlink ref="O7373" r:id="rId22782" display="https://pbs.twimg.com/profile_images/703294545195307008/qeCvrX86_normal.jpg" xr:uid="{DAF82105-8BD7-47E9-A5E5-702D66ADE490}"/>
    <hyperlink ref="B7374" r:id="rId22783" display="https://twitter.com/VWCamperSales" xr:uid="{DCBE3BE2-482D-4C63-972B-052077FF5055}"/>
    <hyperlink ref="E7374" r:id="rId22784" display="https://twitter.com/VWCamperSales/status/724245559687553024" xr:uid="{1BBDD041-3D3D-4F86-A5D8-983CA89A0086}"/>
    <hyperlink ref="F7374" r:id="rId22785" xr:uid="{806351CF-47E2-47B2-B58C-E7EFDBF636E4}"/>
    <hyperlink ref="O7374" r:id="rId22786" display="https://pbs.twimg.com/profile_images/627949001179037696/skEBkS05_normal.jpg" xr:uid="{7614F7E1-29F9-4379-94DD-B97800012D8F}"/>
    <hyperlink ref="B7375" r:id="rId22787" display="https://twitter.com/mannrazz" xr:uid="{FDFB02C9-989E-425F-A6DF-8A75E2E495AF}"/>
    <hyperlink ref="E7375" r:id="rId22788" display="https://twitter.com/mannrazz/status/724246098450083841" xr:uid="{1B8E2EA9-0330-4C7C-AB38-9434AA5B060A}"/>
    <hyperlink ref="O7375" r:id="rId22789" display="https://pbs.twimg.com/profile_images/707112971344850944/VU3IzLzb_normal.jpg" xr:uid="{43ED4DFD-7DE0-4787-BC9E-17AA559CADE2}"/>
    <hyperlink ref="B7376" r:id="rId22790" display="https://twitter.com/Mosyo_" xr:uid="{C2D591CB-FB3D-408E-B236-F9DCE435CAB3}"/>
    <hyperlink ref="E7376" r:id="rId22791" display="https://twitter.com/Mosyo_/status/724246181329686528" xr:uid="{30F87D1E-E9FD-4809-9A0B-56E202BE01EE}"/>
    <hyperlink ref="O7376" r:id="rId22792" display="https://pbs.twimg.com/profile_images/718756731644428288/wy5uodN3_normal.jpg" xr:uid="{ADAE5FCD-3279-4804-A98E-7677BA752CEC}"/>
    <hyperlink ref="B7377" r:id="rId22793" display="https://twitter.com/techhippie" xr:uid="{B5602A79-61F3-46F9-98DB-CCB9F75C10F2}"/>
    <hyperlink ref="E7377" r:id="rId22794" display="https://twitter.com/techhippie/status/724247258552754177" xr:uid="{344241CA-0EF5-4798-9209-5519F9F6F9E7}"/>
    <hyperlink ref="O7377" r:id="rId22795" display="https://pbs.twimg.com/profile_images/702511217793863680/lty8h9vE_normal.jpg" xr:uid="{13AB0E5F-5420-4244-9B98-79C3A4AE182F}"/>
    <hyperlink ref="B7378" r:id="rId22796" display="https://twitter.com/techhippie" xr:uid="{B88D589B-02D4-4AB6-9AA1-A998E2B3E27C}"/>
    <hyperlink ref="E7378" r:id="rId22797" display="https://twitter.com/techhippie/status/724247268103192576" xr:uid="{F4853698-B744-4A5F-BB2F-8C12CD4A881B}"/>
    <hyperlink ref="O7378" r:id="rId22798" display="https://pbs.twimg.com/profile_images/702511217793863680/lty8h9vE_normal.jpg" xr:uid="{315C8EDE-D0B8-4A60-91FF-EF8124A3EF99}"/>
    <hyperlink ref="B7379" r:id="rId22799" display="https://twitter.com/techhippie" xr:uid="{81933E47-0780-494E-978A-665CEB50F61D}"/>
    <hyperlink ref="E7379" r:id="rId22800" display="https://twitter.com/techhippie/status/724247324239761409" xr:uid="{6319C5DD-D17B-4BD2-8728-EC3D42392282}"/>
    <hyperlink ref="O7379" r:id="rId22801" display="https://pbs.twimg.com/profile_images/702511217793863680/lty8h9vE_normal.jpg" xr:uid="{A7326A3A-92EE-4F00-A5FF-B58BE3E0F228}"/>
    <hyperlink ref="B7380" r:id="rId22802" display="https://twitter.com/VWCamperSales" xr:uid="{2DE0A0A7-D07D-403F-A04F-3DDD64CA7BFA}"/>
    <hyperlink ref="E7380" r:id="rId22803" display="https://twitter.com/VWCamperSales/status/724247341285314560" xr:uid="{0C913660-7912-4BE6-A1B4-8792FF4099BC}"/>
    <hyperlink ref="F7380" r:id="rId22804" xr:uid="{69983BAC-F31A-490F-9876-22F9627BADC3}"/>
    <hyperlink ref="O7380" r:id="rId22805" display="https://pbs.twimg.com/profile_images/627949001179037696/skEBkS05_normal.jpg" xr:uid="{25136C4C-A303-4E66-824A-D18D0E6CA6E1}"/>
    <hyperlink ref="B7381" r:id="rId22806" display="https://twitter.com/DogLimo" xr:uid="{5E7B2E62-C823-404C-9DD2-2D07D659C591}"/>
    <hyperlink ref="E7381" r:id="rId22807" display="https://twitter.com/DogLimo/status/724247399665823744" xr:uid="{592D480D-F9FE-4D17-A6D5-D60783FFC44D}"/>
    <hyperlink ref="O7381" r:id="rId22808" display="https://pbs.twimg.com/profile_images/412780199835889664/rOfKo2jD_normal.jpeg" xr:uid="{DFBE71FD-530B-4B9D-B9E4-5DF8BCBF9E50}"/>
    <hyperlink ref="P7381" r:id="rId22809" location="35.95481926,-79.7290148" display="http://ctrlq.org/maps/address/ - 35.95481926,-79.7290148" xr:uid="{DDD6351D-2966-4498-B729-121654BD5DFF}"/>
    <hyperlink ref="B7382" r:id="rId22810" display="https://twitter.com/kramer_angii" xr:uid="{209F615E-5BBD-4193-A140-C7DFEEA01A21}"/>
    <hyperlink ref="E7382" r:id="rId22811" display="https://twitter.com/kramer_angii/status/724247657196191744" xr:uid="{B15D3FE6-149C-48BC-82FC-ECFEEE453725}"/>
    <hyperlink ref="O7382" r:id="rId22812" display="https://pbs.twimg.com/profile_images/684088200898416640/nkRGYXq6_normal.jpg" xr:uid="{142F9B47-8004-44D5-B23A-E521D1C4522B}"/>
    <hyperlink ref="B7383" r:id="rId22813" display="https://twitter.com/keithtdarcy" xr:uid="{7B3968EE-E36D-4154-A843-86EB60A31E19}"/>
    <hyperlink ref="E7383" r:id="rId22814" display="https://twitter.com/keithtdarcy/status/724247774615748608" xr:uid="{CB856C92-35AD-4EEA-BD73-E706452A14BE}"/>
    <hyperlink ref="O7383" r:id="rId22815" display="https://abs.twimg.com/sticky/default_profile_images/default_profile_6_normal.png" xr:uid="{DABC5D7F-2B6D-498B-A741-2553844DB5BB}"/>
    <hyperlink ref="B7384" r:id="rId22816" display="https://twitter.com/RyanTietz" xr:uid="{A67E80E4-FE97-49C7-A1E0-573FBBC2F3E5}"/>
    <hyperlink ref="E7384" r:id="rId22817" display="https://twitter.com/RyanTietz/status/724248541586198528" xr:uid="{0AF6045A-0705-4B14-93ED-8834B4E0AC8D}"/>
    <hyperlink ref="O7384" r:id="rId22818" display="https://pbs.twimg.com/profile_images/457158059664482304/g2mkGjis_normal.jpeg" xr:uid="{8E35E0AF-BBED-47FD-9185-41A1CF1FA2F5}"/>
    <hyperlink ref="B7385" r:id="rId22819" display="https://twitter.com/luchygonzalez7" xr:uid="{F3C560F9-DAFD-4198-B9DD-105223F14F8E}"/>
    <hyperlink ref="E7385" r:id="rId22820" display="https://twitter.com/luchygonzalez7/status/724248701997322241" xr:uid="{10A17206-7D31-44CC-BC39-69C10AEB1435}"/>
    <hyperlink ref="O7385" r:id="rId22821" display="https://pbs.twimg.com/profile_images/486691396855025665/ObwudZ61_normal.jpeg" xr:uid="{77488957-20BC-4AF8-800A-15B45FA8FA4F}"/>
    <hyperlink ref="B7386" r:id="rId22822" display="https://twitter.com/OnlineCarReview" xr:uid="{962E6E79-37EE-47B3-B861-E76B2203906A}"/>
    <hyperlink ref="E7386" r:id="rId22823" display="https://twitter.com/OnlineCarReview/status/724249415855144960" xr:uid="{FA2EF81E-CC77-40FD-95E7-C774E97E9A88}"/>
    <hyperlink ref="O7386" r:id="rId22824" display="https://pbs.twimg.com/profile_images/652871584131092480/QA_B6SBO_normal.jpg" xr:uid="{FD1DB6E9-B1FB-4504-9A88-36869DA226A2}"/>
    <hyperlink ref="B7387" r:id="rId22825" display="https://twitter.com/DubworthVW" xr:uid="{31C28A5C-6A3C-4A46-BC97-D975C0587A07}"/>
    <hyperlink ref="E7387" r:id="rId22826" display="https://twitter.com/DubworthVW/status/724250226878480384" xr:uid="{6F75B0C9-8E69-40C5-8933-A1D04046E4A2}"/>
    <hyperlink ref="O7387" r:id="rId22827" display="https://pbs.twimg.com/profile_images/692006041874231296/RwvqFBw6_normal.jpg" xr:uid="{52640FCA-C628-4490-962D-FCF87FD38526}"/>
    <hyperlink ref="B7388" r:id="rId22828" display="https://twitter.com/LuLaRoeJackieP" xr:uid="{B5416BDC-6EA4-467E-B23E-A4BE34EBECE8}"/>
    <hyperlink ref="E7388" r:id="rId22829" display="https://twitter.com/LuLaRoeJackieP/status/724250544970326016" xr:uid="{F7B65A62-9215-4B2A-9779-0198F39FA2B6}"/>
    <hyperlink ref="O7388" r:id="rId22830" display="https://pbs.twimg.com/profile_images/703561992246788097/LHkSvlz-_normal.jpg" xr:uid="{C8ED44C5-3EF1-41F4-94B9-DE751C63060E}"/>
    <hyperlink ref="B7389" r:id="rId22831" display="https://twitter.com/weare_van" xr:uid="{7BD69052-C2BB-4551-9AA2-C634DF2752A7}"/>
    <hyperlink ref="E7389" r:id="rId22832" display="https://twitter.com/weare_van/status/724250777368272896" xr:uid="{8D3E327C-9EE5-4A50-9DA6-6B0E8FE8393E}"/>
    <hyperlink ref="O7389" r:id="rId22833" display="https://pbs.twimg.com/profile_images/707176643509538817/-s_VKgK4_normal.jpg" xr:uid="{0DA04D71-1D3F-4C28-A2D8-1FF31B3B5BAC}"/>
    <hyperlink ref="B7390" r:id="rId22834" display="https://twitter.com/RusselMSVW" xr:uid="{91653BEC-9694-492C-BC8C-E6996779A614}"/>
    <hyperlink ref="E7390" r:id="rId22835" display="https://twitter.com/RusselMSVW/status/724251650681085952" xr:uid="{6FEC75EF-A6B1-41C5-A75C-1036C087B5D5}"/>
    <hyperlink ref="O7390" r:id="rId22836" display="https://pbs.twimg.com/profile_images/1858400192/Russel_Logo_rgb__normal.png" xr:uid="{0E7D3500-6E93-47A1-BDB4-61C4F1D4A42D}"/>
    <hyperlink ref="B7391" r:id="rId22837" display="https://twitter.com/RusselVWMD" xr:uid="{7090797E-AF51-4A35-9FB3-8B1A1F035F7F}"/>
    <hyperlink ref="E7391" r:id="rId22838" display="https://twitter.com/RusselVWMD/status/724251700140322817" xr:uid="{515B5199-EC7C-4FF6-BE83-F66B96349E17}"/>
    <hyperlink ref="O7391" r:id="rId22839" display="https://pbs.twimg.com/profile_images/474992711737409536/2oObMl2q_normal.jpeg" xr:uid="{A5C2E526-23CE-4DF9-9751-F504C1877938}"/>
    <hyperlink ref="B7392" r:id="rId22840" display="https://twitter.com/TracyVolkswagen" xr:uid="{63D31EF5-BB11-4FC7-AA84-08FE523C7576}"/>
    <hyperlink ref="E7392" r:id="rId22841" display="https://twitter.com/TracyVolkswagen/status/724251851986624513" xr:uid="{E26E9EEB-F80F-4B88-B36D-DAF6670370FD}"/>
    <hyperlink ref="O7392" r:id="rId22842" display="https://pbs.twimg.com/profile_images/2999079371/5adcf496151b433e7ec531a4841b2fa8_normal.jpeg" xr:uid="{9F2149A7-A8AB-4C61-9CB2-B3FA2C53C61B}"/>
    <hyperlink ref="B7393" r:id="rId22843" display="https://twitter.com/CaravanFinder" xr:uid="{62E19904-4962-4503-85D5-7033CD9230DB}"/>
    <hyperlink ref="E7393" r:id="rId22844" display="https://twitter.com/CaravanFinder/status/724251901911556096" xr:uid="{92C61D92-3F03-4B6D-8DBD-72D9CC38166C}"/>
    <hyperlink ref="O7393" r:id="rId22845" display="https://pbs.twimg.com/profile_images/1745657213/twitter_profilev3png_normal.jpg" xr:uid="{BD798422-0F6D-49FE-B593-0D8308D68C72}"/>
    <hyperlink ref="B7394" r:id="rId22846" display="https://twitter.com/njerynganga" xr:uid="{24A835E9-0045-4811-BB78-E20F0E04B588}"/>
    <hyperlink ref="E7394" r:id="rId22847" display="https://twitter.com/njerynganga/status/724251976150704128" xr:uid="{2F67E6E8-85F6-4A49-ABAD-EC315B89BC28}"/>
    <hyperlink ref="O7394" r:id="rId22848" display="https://pbs.twimg.com/profile_images/715942097308659712/v1p0GZU1_normal.jpg" xr:uid="{30562600-9DA3-4BE8-B49A-3DBD1C208353}"/>
    <hyperlink ref="B7395" r:id="rId22849" display="https://twitter.com/benzeetme" xr:uid="{2A97C4B6-C01E-4873-B55D-7AA3B401368C}"/>
    <hyperlink ref="E7395" r:id="rId22850" display="https://twitter.com/benzeetme/status/724252056761077762" xr:uid="{8AFE65CA-E302-4ADE-A9C4-9A4C28D12E1D}"/>
    <hyperlink ref="O7395" r:id="rId22851" display="https://pbs.twimg.com/profile_images/2845102212/e6d00c6536a63753d987c7b2b263053a_normal.jpeg" xr:uid="{8FF76A47-3094-4211-9D26-605C82CCF6D1}"/>
    <hyperlink ref="P7395" r:id="rId22852" location="13.69387236,100.65084488" display="http://ctrlq.org/maps/address/ - 13.69387236,100.65084488" xr:uid="{070DCE20-B5B0-4770-BD5B-72E81F17188A}"/>
    <hyperlink ref="B7396" r:id="rId22853" display="https://twitter.com/KMDTuning" xr:uid="{CF34A1AB-3386-4A0C-92A2-AD31949EF18F}"/>
    <hyperlink ref="E7396" r:id="rId22854" display="https://twitter.com/KMDTuning/status/724252065577488385" xr:uid="{897BA69D-8025-484E-9E1F-D7F89198ACBF}"/>
    <hyperlink ref="O7396" r:id="rId22855" display="https://pbs.twimg.com/profile_images/561260741269811200/T_HN8Plv_normal.jpeg" xr:uid="{2B54B165-AEAE-4D68-8DEF-8ADAEF1032CA}"/>
    <hyperlink ref="B7397" r:id="rId22856" display="https://twitter.com/melo_57" xr:uid="{7BD5C17C-85CE-44DA-872D-649A5B7E491D}"/>
    <hyperlink ref="E7397" r:id="rId22857" display="https://twitter.com/melo_57/status/724252431115276288" xr:uid="{7FF9C252-07AA-4FBD-9407-71F4C5622A38}"/>
    <hyperlink ref="O7397" r:id="rId22858" display="https://pbs.twimg.com/profile_images/378800000087185118/677683a2ae791d494526a938cd5100ed_normal.jpeg" xr:uid="{E5BC1EEE-48AD-4630-9B92-C209FD5EDF89}"/>
    <hyperlink ref="B7398" r:id="rId22859" display="https://twitter.com/VolkswagenPost" xr:uid="{8E23A842-0EF5-4380-B2B3-2EFA5DF3A6CF}"/>
    <hyperlink ref="E7398" r:id="rId22860" display="https://twitter.com/VolkswagenPost/status/724252612330029056" xr:uid="{65051566-3669-4960-B12E-98C6A2313B3B}"/>
    <hyperlink ref="O7398" r:id="rId22861" display="https://pbs.twimg.com/profile_images/530071272881803264/a_jcCmPZ_normal.png" xr:uid="{8CA2B0F7-1C7D-46A8-A004-53229B2A8BC3}"/>
    <hyperlink ref="B7399" r:id="rId22862" display="https://twitter.com/victoria118" xr:uid="{C7EDF9AA-5A96-4A1F-9FA6-0A4F69D5C772}"/>
    <hyperlink ref="E7399" r:id="rId22863" display="https://twitter.com/victoria118/status/724252951448047621" xr:uid="{1EF6D29E-8322-41D1-A31A-05A96350E98D}"/>
    <hyperlink ref="O7399" r:id="rId22864" display="https://pbs.twimg.com/profile_images/691243542904184832/ynvpDVtb_normal.jpg" xr:uid="{D311CE14-B282-49A9-B25D-7D12E2A4367F}"/>
    <hyperlink ref="B7400" r:id="rId22865" display="https://twitter.com/PorscheOfficApp" xr:uid="{01230C85-7B24-4335-BDFE-8FAEB74E7909}"/>
    <hyperlink ref="E7400" r:id="rId22866" display="https://twitter.com/PorscheOfficApp/status/724253419037437952" xr:uid="{24A9DDF2-6A58-48BC-9B20-01C5E6F40C89}"/>
    <hyperlink ref="O7400" r:id="rId22867" display="https://pbs.twimg.com/profile_images/684716541322072065/eXpLts42_normal.jpg" xr:uid="{A6206936-BFF1-4FCC-BF2D-BAF5A4EAD750}"/>
    <hyperlink ref="B7401" r:id="rId22868" display="https://twitter.com/kan2121" xr:uid="{DCECA1BA-64D4-40F5-B3C1-AC32AACBE811}"/>
    <hyperlink ref="E7401" r:id="rId22869" display="https://twitter.com/kan2121/status/724253539963281408" xr:uid="{A1E5D09F-A3E1-491E-9A8C-C8D4908EF361}"/>
    <hyperlink ref="O7401" r:id="rId22870" display="https://pbs.twimg.com/profile_images/722579397442535424/syR-FFVF_normal.jpg" xr:uid="{FF8829BB-63F1-4237-ABEF-93E93F04F62E}"/>
    <hyperlink ref="B7402" r:id="rId22871" display="https://twitter.com/CaffeTiraMiSu" xr:uid="{5DC6E1A3-3949-4A6E-91BA-159542A743DD}"/>
    <hyperlink ref="E7402" r:id="rId22872" display="https://twitter.com/CaffeTiraMiSu/status/724253761623986177" xr:uid="{3F7BDB89-1065-4D07-8CE7-F79BAB87A7F7}"/>
    <hyperlink ref="O7402" r:id="rId22873" display="https://pbs.twimg.com/profile_images/455487722975526912/Pmh2rIfj_normal.jpeg" xr:uid="{0BAF44A2-B9CC-41B5-9C40-145D6FB6A6BF}"/>
    <hyperlink ref="B7403" r:id="rId22874" display="https://twitter.com/TheCarCentre" xr:uid="{DCBD72E6-0666-48D1-B7B6-24EED758E8D3}"/>
    <hyperlink ref="E7403" r:id="rId22875" display="https://twitter.com/TheCarCentre/status/724253776056582144" xr:uid="{9711DBAF-7658-4625-8AF3-83294C9FBC95}"/>
    <hyperlink ref="O7403" r:id="rId22876" display="https://pbs.twimg.com/profile_images/470231671434772480/xlDH2t7D_normal.png" xr:uid="{F5797ADC-7DDD-4DB5-90CE-783E491F1B1F}"/>
    <hyperlink ref="B7404" r:id="rId22877" display="https://twitter.com/beetlebug1938" xr:uid="{44CB8D18-FD03-4005-8943-F6C84E8ABE63}"/>
    <hyperlink ref="E7404" r:id="rId22878" display="https://twitter.com/beetlebug1938/status/724253972178018304" xr:uid="{77E147DD-66DD-4185-A48B-6679F1FF4F06}"/>
    <hyperlink ref="O7404" r:id="rId22879" display="https://pbs.twimg.com/profile_images/718820712757215233/LXXndPTS_normal.jpg" xr:uid="{B1107A7C-60E0-49CD-9EC9-2C8E90D30AC5}"/>
    <hyperlink ref="B7405" r:id="rId22880" display="https://twitter.com/beetlebug1938" xr:uid="{93E4B56D-BBAF-4E36-9E25-5115DE51FA73}"/>
    <hyperlink ref="E7405" r:id="rId22881" display="https://twitter.com/beetlebug1938/status/724253979023138816" xr:uid="{1FC9FD2E-8061-41EE-8E2E-84E885E7433F}"/>
    <hyperlink ref="O7405" r:id="rId22882" display="https://pbs.twimg.com/profile_images/718820712757215233/LXXndPTS_normal.jpg" xr:uid="{D41BEBC8-3CE7-4568-BB1F-E4346FBCBFDD}"/>
    <hyperlink ref="B7406" r:id="rId22883" display="https://twitter.com/HomeMckee" xr:uid="{99E99919-779E-4D10-A7BD-1D95AC358D2E}"/>
    <hyperlink ref="E7406" r:id="rId22884" display="https://twitter.com/HomeMckee/status/724254345030717440" xr:uid="{D82EE856-1070-4DEB-BF05-4438AA59F4B3}"/>
    <hyperlink ref="O7406" r:id="rId22885" display="https://pbs.twimg.com/profile_images/723576155173957632/q_TORr6w_normal.jpg" xr:uid="{70101028-8FE6-49FE-9152-740C6804562D}"/>
    <hyperlink ref="B7407" r:id="rId22886" display="https://twitter.com/dubbusses" xr:uid="{E6C3FDE1-E8AF-4DE9-B285-7C727E795160}"/>
    <hyperlink ref="E7407" r:id="rId22887" display="https://twitter.com/dubbusses/status/724254351154384905" xr:uid="{96F3C6CC-E9A2-45DF-958C-283F77135311}"/>
    <hyperlink ref="O7407" r:id="rId22888" display="https://pbs.twimg.com/profile_images/718835727027580928/1ssyQ67y_normal.jpg" xr:uid="{677745E9-C49A-460E-A8B8-3FBAF12AEDDE}"/>
    <hyperlink ref="B7408" r:id="rId22889" display="https://twitter.com/dubbusses" xr:uid="{C0DFB8DB-F7B7-468F-9C30-9256FC33EC61}"/>
    <hyperlink ref="E7408" r:id="rId22890" display="https://twitter.com/dubbusses/status/724254370431418368" xr:uid="{2AACDB8D-45ED-445A-A2D9-9CF202BFB9E2}"/>
    <hyperlink ref="O7408" r:id="rId22891" display="https://pbs.twimg.com/profile_images/718835727027580928/1ssyQ67y_normal.jpg" xr:uid="{C07497F5-7B4C-4E88-A09C-B5D12E8154C4}"/>
    <hyperlink ref="B7409" r:id="rId22892" display="https://twitter.com/HomeMckee" xr:uid="{BDF00FC0-146B-4E7A-9755-3EAB4A746E4F}"/>
    <hyperlink ref="E7409" r:id="rId22893" display="https://twitter.com/HomeMckee/status/724254376332812288" xr:uid="{9096E832-12D1-488F-95AB-6636FD472F25}"/>
    <hyperlink ref="O7409" r:id="rId22894" display="https://pbs.twimg.com/profile_images/723576155173957632/q_TORr6w_normal.jpg" xr:uid="{D577221E-902A-46C3-B38E-3BCAC49D809C}"/>
    <hyperlink ref="B7410" r:id="rId22895" display="https://twitter.com/dubbusses" xr:uid="{DEA795F9-6774-47DA-B496-C62F13D3E3FE}"/>
    <hyperlink ref="E7410" r:id="rId22896" display="https://twitter.com/dubbusses/status/724254380078301184" xr:uid="{8FC81C0F-B9B4-42A5-9575-C62A73442FDF}"/>
    <hyperlink ref="O7410" r:id="rId22897" display="https://pbs.twimg.com/profile_images/718835727027580928/1ssyQ67y_normal.jpg" xr:uid="{A26764A1-E1DF-439B-9A92-D38DA94A6893}"/>
    <hyperlink ref="B7411" r:id="rId22898" display="https://twitter.com/dubbusses" xr:uid="{D49406D1-90B2-41AE-A4C1-829F48FDFE04}"/>
    <hyperlink ref="E7411" r:id="rId22899" display="https://twitter.com/dubbusses/status/724254439259906048" xr:uid="{77E05261-8273-4F9B-A3F1-BA2CC2454097}"/>
    <hyperlink ref="O7411" r:id="rId22900" display="https://pbs.twimg.com/profile_images/718835727027580928/1ssyQ67y_normal.jpg" xr:uid="{9AE8160A-5A06-4455-ABE4-6FCC57B02FF5}"/>
    <hyperlink ref="B7412" r:id="rId22901" display="https://twitter.com/Mphilpot1" xr:uid="{2BAE28A9-C3FF-4D08-9786-654878BE17B7}"/>
    <hyperlink ref="E7412" r:id="rId22902" display="https://twitter.com/Mphilpot1/status/724254535267422209" xr:uid="{43C2D962-FDBF-467A-838A-86BD26EF1C9F}"/>
    <hyperlink ref="O7412" r:id="rId22903" display="https://pbs.twimg.com/profile_images/422164778639839234/LVnS1q1c_normal.jpeg" xr:uid="{2E16A660-A7C3-4F3A-A998-68F9BFE8D19C}"/>
    <hyperlink ref="B7413" r:id="rId22904" display="https://twitter.com/VWBeetleSales" xr:uid="{04E2DF7B-D6FC-4BEE-AE49-DDD525C93E7D}"/>
    <hyperlink ref="E7413" r:id="rId22905" display="https://twitter.com/VWBeetleSales/status/724255334613667841" xr:uid="{DE0F61C3-D853-4727-BEA5-7364B53365DA}"/>
    <hyperlink ref="F7413" r:id="rId22906" xr:uid="{8C53B4F0-353D-46ED-B66F-98D4B493C64B}"/>
    <hyperlink ref="O7413" r:id="rId22907" display="https://pbs.twimg.com/profile_images/703294545195307008/qeCvrX86_normal.jpg" xr:uid="{281F98AD-90CC-4971-895E-36516C6F2A98}"/>
    <hyperlink ref="B7414" r:id="rId22908" display="https://twitter.com/acvwpassion" xr:uid="{7EAF90AB-7A26-4C06-9EA5-3EB2D8E468D3}"/>
    <hyperlink ref="E7414" r:id="rId22909" display="https://twitter.com/acvwpassion/status/724255643885002752" xr:uid="{BD933E7D-B94C-450F-96C3-40DB08CD5C45}"/>
    <hyperlink ref="O7414" r:id="rId22910" display="https://pbs.twimg.com/profile_images/545688359964651520/SF3sJ7lv_normal.jpeg" xr:uid="{E6B6029B-0A71-407B-B189-DFE8985ABAD0}"/>
    <hyperlink ref="B7415" r:id="rId22911" display="https://twitter.com/johnwhalvin" xr:uid="{91B8F490-6CB0-4903-90E7-77386F60E415}"/>
    <hyperlink ref="E7415" r:id="rId22912" display="https://twitter.com/johnwhalvin/status/724255656249856000" xr:uid="{5ED31C52-5205-4305-B03D-5F5C0E92DA2C}"/>
    <hyperlink ref="O7415" r:id="rId22913" display="https://pbs.twimg.com/profile_images/691267260758020096/6YkrhJsd_normal.jpg" xr:uid="{BA27EB79-CC57-429D-8775-E61ED450BEA0}"/>
    <hyperlink ref="B7416" r:id="rId22914" display="https://twitter.com/BillJacobsVW" xr:uid="{E3525342-A7DA-43A1-AA59-9E214095C20D}"/>
    <hyperlink ref="E7416" r:id="rId22915" display="https://twitter.com/BillJacobsVW/status/724256336251232256" xr:uid="{4C9A8D87-D516-4AC6-B8C9-A69013E9A322}"/>
    <hyperlink ref="O7416" r:id="rId22916" display="https://pbs.twimg.com/profile_images/709477803851325440/SYpI9NJ7_normal.jpg" xr:uid="{98547CE2-28B1-4126-8E8C-37D675133F98}"/>
    <hyperlink ref="B7417" r:id="rId22917" display="https://twitter.com/Aloj_do_Zezere" xr:uid="{6B3029AE-3841-44DC-9BA5-6DCA76B6734A}"/>
    <hyperlink ref="E7417" r:id="rId22918" display="https://twitter.com/Aloj_do_Zezere/status/724256406770208768" xr:uid="{C96A469E-AC2E-4815-9875-AE66919C00DA}"/>
    <hyperlink ref="O7417" r:id="rId22919" display="https://pbs.twimg.com/profile_images/714205045705871361/tVpb5bGw_normal.jpg" xr:uid="{2D8411BF-0D36-4839-B30F-DB231D2EBF49}"/>
    <hyperlink ref="B7418" r:id="rId22920" display="https://twitter.com/jd_clementsgk" xr:uid="{5CEF3434-C5F2-4210-A045-A35B3FC24AA4}"/>
    <hyperlink ref="E7418" r:id="rId22921" display="https://twitter.com/jd_clementsgk/status/724256930349350912" xr:uid="{55766F58-A186-4D17-A459-160429AC8164}"/>
    <hyperlink ref="O7418" r:id="rId22922" display="https://pbs.twimg.com/profile_images/720356638968954882/13kg9uoz_normal.jpg" xr:uid="{1A1839E3-142C-4686-A051-3C444B4DA869}"/>
    <hyperlink ref="B7419" r:id="rId22923" display="https://twitter.com/VWCamperSales" xr:uid="{45CA8D3C-8D90-4624-AB19-9ACB9C7EC824}"/>
    <hyperlink ref="E7419" r:id="rId22924" display="https://twitter.com/VWCamperSales/status/724257365973856257" xr:uid="{3555F150-F84A-4C93-854E-427FFA675E8D}"/>
    <hyperlink ref="F7419" r:id="rId22925" xr:uid="{BB58D3E4-02CD-4E84-956D-5DF05C2E0FE8}"/>
    <hyperlink ref="O7419" r:id="rId22926" display="https://pbs.twimg.com/profile_images/627949001179037696/skEBkS05_normal.jpg" xr:uid="{A784156E-26C0-4245-A85E-AF232399CA0D}"/>
    <hyperlink ref="B7420" r:id="rId22927" display="https://twitter.com/robb757" xr:uid="{8A745E4B-B995-439E-AABB-29719EDB2467}"/>
    <hyperlink ref="E7420" r:id="rId22928" display="https://twitter.com/robb757/status/724258186006552576" xr:uid="{F6A69ACE-FB83-4416-956E-068B4EC5A48E}"/>
    <hyperlink ref="O7420" r:id="rId22929" display="https://pbs.twimg.com/profile_images/720014913909956608/PVJqKwk1_normal.jpg" xr:uid="{43801A6E-9C89-4C86-95C2-64FE6164678D}"/>
    <hyperlink ref="P7420" r:id="rId22930" location="36.62097,-76.04977" display="http://ctrlq.org/maps/address/ - 36.62097,-76.04977" xr:uid="{B76A2FA4-8B97-47AF-B528-6EE28B785593}"/>
    <hyperlink ref="B7421" r:id="rId22931" display="https://twitter.com/marco_paschoal" xr:uid="{9C262EB9-4D6A-4777-9824-A1B5146B58A2}"/>
    <hyperlink ref="E7421" r:id="rId22932" display="https://twitter.com/marco_paschoal/status/724258491766992900" xr:uid="{FBEB3E05-424F-4661-8F74-8EBAAF04EB29}"/>
    <hyperlink ref="O7421" r:id="rId22933" display="https://pbs.twimg.com/profile_images/650829645584203776/k6XBEc2l_normal.jpg" xr:uid="{0BAFCE88-D8D1-406D-B68A-8A45545D70F4}"/>
    <hyperlink ref="B7422" r:id="rId22934" display="https://twitter.com/Shinra1st" xr:uid="{9D16E761-D83E-40C9-A79A-F1F56A53AE27}"/>
    <hyperlink ref="E7422" r:id="rId22935" display="https://twitter.com/Shinra1st/status/724258626714644481" xr:uid="{A654B9A7-AC4C-4A83-B132-6C3FC613EFB7}"/>
    <hyperlink ref="O7422" r:id="rId22936" display="https://pbs.twimg.com/profile_images/667364942685872128/mralhzrn_normal.jpg" xr:uid="{974A59A1-4AFF-4815-83DF-0A945B5D398E}"/>
    <hyperlink ref="B7423" r:id="rId22937" display="https://twitter.com/TattooHeroine" xr:uid="{78E504BC-0DE5-4326-80A9-B4293BA89790}"/>
    <hyperlink ref="E7423" r:id="rId22938" display="https://twitter.com/TattooHeroine/status/724258862547800064" xr:uid="{3BBA6773-6BC2-4231-9CA7-9E3C77665A64}"/>
    <hyperlink ref="O7423" r:id="rId22939" display="https://pbs.twimg.com/profile_images/695193312362434560/dYJRPH8f_normal.jpg" xr:uid="{F492DC78-5D9B-48F8-805F-7E634E1368E1}"/>
    <hyperlink ref="B7424" r:id="rId22940" display="https://twitter.com/VWBeetleSales" xr:uid="{A2A3C0EA-F641-4B08-AE46-65061F4118C3}"/>
    <hyperlink ref="E7424" r:id="rId22941" display="https://twitter.com/VWBeetleSales/status/724258875520606209" xr:uid="{EF114327-34F4-4D43-993E-95C3B66E52F6}"/>
    <hyperlink ref="F7424" r:id="rId22942" xr:uid="{9E336B5A-6279-41FE-B1EB-BB7451457C59}"/>
    <hyperlink ref="O7424" r:id="rId22943" display="https://pbs.twimg.com/profile_images/703294545195307008/qeCvrX86_normal.jpg" xr:uid="{DFD749F3-D1A9-4B9B-A59F-4C543E7DDEC4}"/>
    <hyperlink ref="B7425" r:id="rId22944" display="https://twitter.com/VeeDubMk1_" xr:uid="{23B86649-2AA3-48EA-804D-FAA7EE2C15C7}"/>
    <hyperlink ref="E7425" r:id="rId22945" display="https://twitter.com/VeeDubMk1_/status/724258930201907200" xr:uid="{74533F63-A6BF-4BA5-AAE9-77A0FB877E83}"/>
    <hyperlink ref="O7425" r:id="rId22946" display="https://pbs.twimg.com/profile_images/672878354127839232/M7OYc-zx_normal.jpg" xr:uid="{4D12DBC6-8507-490D-BF26-1938079A9B90}"/>
    <hyperlink ref="B7426" r:id="rId22947" display="https://twitter.com/VWCamperSales" xr:uid="{2D2C7DBE-20D5-4DB4-BB92-23B0D932F952}"/>
    <hyperlink ref="E7426" r:id="rId22948" display="https://twitter.com/VWCamperSales/status/724259136909664256" xr:uid="{B763AE6D-B215-47EC-B46F-0B4AE8A509CD}"/>
    <hyperlink ref="F7426" r:id="rId22949" xr:uid="{4C23B458-B0A9-4F20-90D2-CDABFF52FE9C}"/>
    <hyperlink ref="O7426" r:id="rId22950" display="https://pbs.twimg.com/profile_images/627949001179037696/skEBkS05_normal.jpg" xr:uid="{0071FF47-E5A8-40CD-8635-77D29BFD8A89}"/>
    <hyperlink ref="B7427" r:id="rId22951" display="https://twitter.com/jaysmitty17" xr:uid="{A967279A-0745-4FAE-A96C-9B79D124DE1D}"/>
    <hyperlink ref="E7427" r:id="rId22952" display="https://twitter.com/jaysmitty17/status/724259579891077121" xr:uid="{537D568B-F6D8-4DCC-83B1-80C9437BC43C}"/>
    <hyperlink ref="O7427" r:id="rId22953" display="https://pbs.twimg.com/profile_images/699154032271749120/uW3i74ul_normal.jpg" xr:uid="{E659E90E-8827-4DA9-A404-35575270A906}"/>
    <hyperlink ref="B7428" r:id="rId22954" display="https://twitter.com/InstaTaganrog" xr:uid="{96BF3834-DAA8-47DE-833B-87C1EDB5E7F5}"/>
    <hyperlink ref="E7428" r:id="rId22955" display="https://twitter.com/InstaTaganrog/status/724259689488330752" xr:uid="{2984BB07-C1E7-4ACC-862C-98A499028357}"/>
    <hyperlink ref="O7428" r:id="rId22956" display="https://pbs.twimg.com/profile_images/437502252345872384/-ArFfvcS_normal.png" xr:uid="{F63FE7C3-E352-4E5A-BF79-F8B71121D032}"/>
    <hyperlink ref="B7429" r:id="rId22957" display="https://twitter.com/MorSvinka_83" xr:uid="{B4927A7B-BCF3-4CE1-B90F-E7E7BB260AF9}"/>
    <hyperlink ref="E7429" r:id="rId22958" display="https://twitter.com/MorSvinka_83/status/724260175205507073" xr:uid="{D6EDD573-9CA5-40CC-8201-6FFAE3D3A208}"/>
    <hyperlink ref="O7429" r:id="rId22959" display="https://pbs.twimg.com/profile_images/2208847688/Untitled-2_normal.jpg" xr:uid="{69DBCB09-1B00-4E3F-BA69-3A91D2B2C9AB}"/>
    <hyperlink ref="B7430" r:id="rId22960" display="https://twitter.com/VWCamperSales" xr:uid="{5EEFC574-7F39-4AC6-8C89-326C9E76FA71}"/>
    <hyperlink ref="E7430" r:id="rId22961" display="https://twitter.com/VWCamperSales/status/724260634762731524" xr:uid="{D601C299-E8C2-4C7C-8F13-BB54F2FB428B}"/>
    <hyperlink ref="F7430" r:id="rId22962" xr:uid="{2D2DF744-9042-449D-9E24-98FDD13B8204}"/>
    <hyperlink ref="O7430" r:id="rId22963" display="https://pbs.twimg.com/profile_images/627949001179037696/skEBkS05_normal.jpg" xr:uid="{E031AD26-71B0-45A7-90DE-292CAD05B7BD}"/>
    <hyperlink ref="B7431" r:id="rId22964" display="https://twitter.com/VWBeetleSales" xr:uid="{EA0C0F64-824A-4300-BCB3-2967A8684749}"/>
    <hyperlink ref="E7431" r:id="rId22965" display="https://twitter.com/VWBeetleSales/status/724260639821041664" xr:uid="{F6EAFDDA-3D44-4AB9-BBFB-55FCE0D62F52}"/>
    <hyperlink ref="F7431" r:id="rId22966" xr:uid="{0F0E50F1-F2B7-4962-BDD0-0DD92DB181DC}"/>
    <hyperlink ref="O7431" r:id="rId22967" display="https://pbs.twimg.com/profile_images/703294545195307008/qeCvrX86_normal.jpg" xr:uid="{AB021196-3DE4-4FFE-9C7F-BEE7C2BFEAF6}"/>
    <hyperlink ref="B7432" r:id="rId22968" display="https://twitter.com/VWBeetleSales" xr:uid="{C99BBB09-E378-414E-A84E-3AC0DBA77275}"/>
    <hyperlink ref="E7432" r:id="rId22969" display="https://twitter.com/VWBeetleSales/status/724260644837453825" xr:uid="{0F5B4DC3-95C6-48A5-886C-DE6B312816BF}"/>
    <hyperlink ref="F7432" r:id="rId22970" xr:uid="{D6774A41-6FD9-4EA9-989C-8667AD158F27}"/>
    <hyperlink ref="O7432" r:id="rId22971" display="https://pbs.twimg.com/profile_images/703294545195307008/qeCvrX86_normal.jpg" xr:uid="{7D845DF8-D9BB-4E4B-B295-F887DC8F3311}"/>
    <hyperlink ref="B7433" r:id="rId22972" display="https://twitter.com/skodaportal" xr:uid="{F4E1C92E-77E6-41C4-8B00-3B6EC2107242}"/>
    <hyperlink ref="E7433" r:id="rId22973" display="https://twitter.com/skodaportal/status/724261493919899648" xr:uid="{85BB42E3-DD87-4632-BE9F-42CB9B3EC601}"/>
    <hyperlink ref="O7433" r:id="rId22974" display="https://pbs.twimg.com/profile_images/647121901115047937/0qUdbU3T_normal.jpg" xr:uid="{CA82BEDB-01CD-4EEE-A940-B3E936596532}"/>
    <hyperlink ref="B7434" r:id="rId22975" display="https://twitter.com/dantefactor" xr:uid="{114CEDBC-8169-4137-9DA6-21108FD57EAA}"/>
    <hyperlink ref="E7434" r:id="rId22976" display="https://twitter.com/dantefactor/status/724261961039515648" xr:uid="{9775D6D2-69C8-480D-AF24-F33A391E64A5}"/>
    <hyperlink ref="O7434" r:id="rId22977" display="https://pbs.twimg.com/profile_images/681235768312991744/ETCplp9D_normal.jpg" xr:uid="{CDC19381-BDB1-49A6-A4B8-E8E7A3FBDB00}"/>
    <hyperlink ref="B7435" r:id="rId22978" display="https://twitter.com/SocialAutos" xr:uid="{F38B0CE6-A388-4E29-B298-E646BF29BBA5}"/>
    <hyperlink ref="E7435" r:id="rId22979" display="https://twitter.com/SocialAutos/status/724262002521153536" xr:uid="{0CA7FFF6-356F-4330-B045-56748B611C16}"/>
    <hyperlink ref="F7435" r:id="rId22980" xr:uid="{F6B77EFE-9C50-4F5A-BB6F-858F38A99900}"/>
    <hyperlink ref="O7435" r:id="rId22981" display="https://pbs.twimg.com/profile_images/378800000830360955/5fb295e74c438beb9dd7777a56295953_normal.jpeg" xr:uid="{DE6F7666-B3BC-428F-B3E1-95247DD18CE3}"/>
    <hyperlink ref="B7436" r:id="rId22982" display="https://twitter.com/SocialNewsCorp" xr:uid="{0AB71CA8-E704-4D51-AE42-019D5FFA3205}"/>
    <hyperlink ref="E7436" r:id="rId22983" display="https://twitter.com/SocialNewsCorp/status/724262091431923712" xr:uid="{1602AC9C-9290-4F83-A9AD-7D4020836580}"/>
    <hyperlink ref="O7436" r:id="rId22984" display="https://pbs.twimg.com/profile_images/550590325530439680/nRnvKc45_normal.jpeg" xr:uid="{B28DC87F-7E87-4962-9A01-88A7CD65C660}"/>
    <hyperlink ref="B7437" r:id="rId22985" display="https://twitter.com/arasmusKTVU" xr:uid="{9A233056-1398-4C2B-B794-AC315CB4368C}"/>
    <hyperlink ref="E7437" r:id="rId22986" display="https://twitter.com/arasmusKTVU/status/724262922411593728" xr:uid="{D975CDCC-F4C6-4AAD-8BA5-7430A6F9D9B0}"/>
    <hyperlink ref="O7437" r:id="rId22987" display="https://pbs.twimg.com/profile_images/630760607495491584/aI1UDD2r_normal.jpg" xr:uid="{98F30D94-E203-4828-B517-14C4BC753A50}"/>
    <hyperlink ref="B7438" r:id="rId22988" display="https://twitter.com/alves28000" xr:uid="{27BA7216-EADF-4B5A-A5C7-38EF4D1849A1}"/>
    <hyperlink ref="E7438" r:id="rId22989" display="https://twitter.com/alves28000/status/724263096701837312" xr:uid="{21202BF0-2D72-41A8-A0C1-9EB67BEAECBA}"/>
    <hyperlink ref="O7438" r:id="rId22990" display="https://pbs.twimg.com/profile_images/711340116552368128/bG7us_KA_normal.jpg" xr:uid="{A88618EF-9006-4C5C-AEB2-F272D5F667C1}"/>
    <hyperlink ref="B7439" r:id="rId22991" display="https://twitter.com/funkia35" xr:uid="{EC2A6A5B-D407-4FE8-B03B-E6829F8FD495}"/>
    <hyperlink ref="E7439" r:id="rId22992" display="https://twitter.com/funkia35/status/724263434003570690" xr:uid="{2DF7BA15-025C-4C9A-B96E-F7447AEA64A0}"/>
    <hyperlink ref="O7439" r:id="rId22993" display="https://pbs.twimg.com/profile_images/723983143783555072/DmILdSd6_normal.jpg" xr:uid="{EFFD5801-AE9D-43B0-B00D-1EB163CE5E26}"/>
    <hyperlink ref="B7440" r:id="rId22994" display="https://twitter.com/ebaycampervans" xr:uid="{2DD31772-9BE2-4DC8-AF0C-7B9285B8FB0F}"/>
    <hyperlink ref="E7440" r:id="rId22995" display="https://twitter.com/ebaycampervans/status/724263969158897666" xr:uid="{29F458F9-379A-4AB1-9E56-11B7EEF2C54E}"/>
    <hyperlink ref="O7440" r:id="rId22996" display="https://pbs.twimg.com/profile_images/599357023407464449/BL9Bpo6T_normal.jpg" xr:uid="{353C7BA9-FDFA-4717-BD65-3F7B321015CF}"/>
    <hyperlink ref="B7441" r:id="rId22997" display="https://twitter.com/GrandeCaio" xr:uid="{47361E84-71A1-416E-B83B-3B5672B13B33}"/>
    <hyperlink ref="E7441" r:id="rId22998" display="https://twitter.com/GrandeCaio/status/724264109827563521" xr:uid="{7F138652-D5AC-46FA-B782-1B365D7BE8ED}"/>
    <hyperlink ref="O7441" r:id="rId22999" display="https://pbs.twimg.com/profile_images/378800000679711368/01f722f2d137a9dbc403e775c39d5cb3_normal.jpeg" xr:uid="{3C42FBFC-15DB-4AED-81BA-1EF1D9E2844E}"/>
    <hyperlink ref="B7442" r:id="rId23000" display="https://twitter.com/TracingKaro" xr:uid="{B3940C53-9E52-40CF-AFCB-5641110DD567}"/>
    <hyperlink ref="E7442" r:id="rId23001" display="https://twitter.com/TracingKaro/status/724264180870725633" xr:uid="{C9AC2B5A-38CD-46B7-A732-CAF9FCC398FA}"/>
    <hyperlink ref="O7442" r:id="rId23002" display="https://pbs.twimg.com/profile_images/668555991357747201/lXj39M9o_normal.jpg" xr:uid="{2CEA06CB-580B-4DD6-A2C3-613586356C7F}"/>
    <hyperlink ref="B7443" r:id="rId23003" display="https://twitter.com/BEVENUTO" xr:uid="{08D0195F-59E2-4781-BA93-CF57F1D6B0B2}"/>
    <hyperlink ref="E7443" r:id="rId23004" display="https://twitter.com/BEVENUTO/status/724264337712537601" xr:uid="{C8946B49-EEC1-4A2A-B36C-BAB6B3AAA196}"/>
    <hyperlink ref="O7443" r:id="rId23005" display="https://pbs.twimg.com/profile_images/1372304064/DSC04986_normal.JPG" xr:uid="{ED2A1A83-F696-4C60-81BB-E44B4B21BAC2}"/>
    <hyperlink ref="B7444" r:id="rId23006" display="https://twitter.com/BEVENUTO" xr:uid="{B4A87B37-2472-4EC2-B524-1274B9143B72}"/>
    <hyperlink ref="E7444" r:id="rId23007" display="https://twitter.com/BEVENUTO/status/724264380775444480" xr:uid="{B78EF2E4-8F94-4C75-8255-3B44C81079F9}"/>
    <hyperlink ref="O7444" r:id="rId23008" display="https://pbs.twimg.com/profile_images/1372304064/DSC04986_normal.JPG" xr:uid="{29B1B392-F4FD-4F25-970D-68BDA3F4B950}"/>
    <hyperlink ref="B7445" r:id="rId23009" display="https://twitter.com/BEVENUTO" xr:uid="{1ACC7BCD-6F5C-4D39-B7AE-8064CD642AA3}"/>
    <hyperlink ref="E7445" r:id="rId23010" display="https://twitter.com/BEVENUTO/status/724264447133532160" xr:uid="{B2C60AD4-AECF-4CD5-BFCE-B8EFF72D0302}"/>
    <hyperlink ref="O7445" r:id="rId23011" display="https://pbs.twimg.com/profile_images/1372304064/DSC04986_normal.JPG" xr:uid="{B88D1238-5E8E-4898-B980-B4F7A37FAB47}"/>
    <hyperlink ref="B7446" r:id="rId23012" display="https://twitter.com/masayukiokita" xr:uid="{D168E1A4-9B70-48BF-A44C-EEA0F1244209}"/>
    <hyperlink ref="E7446" r:id="rId23013" display="https://twitter.com/masayukiokita/status/724264642730708992" xr:uid="{8F524F8D-64A9-4D05-84B5-390AD6004618}"/>
    <hyperlink ref="O7446" r:id="rId23014" display="https://pbs.twimg.com/profile_images/706919896832204800/XldtjPLx_normal.jpg" xr:uid="{6B2C567C-7BCC-48EA-B3F6-97A1E34C99A0}"/>
    <hyperlink ref="B7447" r:id="rId23015" display="https://twitter.com/snoopedselby" xr:uid="{FEF8B0E7-6B9D-4CFF-880F-6CFAE6A99CFC}"/>
    <hyperlink ref="E7447" r:id="rId23016" display="https://twitter.com/snoopedselby/status/724264647055020033" xr:uid="{13D73D88-301A-460F-8727-3C0CD0F4B8F2}"/>
    <hyperlink ref="O7447" r:id="rId23017" display="https://pbs.twimg.com/profile_images/563739481019523072/H04-VqIx_normal.jpeg" xr:uid="{499B8AC1-014B-418C-9C30-35EBA40E2ECF}"/>
    <hyperlink ref="B7448" r:id="rId23018" display="https://twitter.com/ToyneLee" xr:uid="{DFD98C8F-1536-4CFE-A187-7CDA0E84DD07}"/>
    <hyperlink ref="E7448" r:id="rId23019" display="https://twitter.com/ToyneLee/status/724264665757409281" xr:uid="{6EE8E126-447C-45F7-B6B3-1EFC631DCA87}"/>
    <hyperlink ref="O7448" r:id="rId23020" display="https://pbs.twimg.com/profile_images/454543285798047744/98uU9pnt_normal.jpeg" xr:uid="{35FE41FE-325E-4FB0-B795-CB0C57DCF71A}"/>
    <hyperlink ref="B7449" r:id="rId23021" display="https://twitter.com/CheeperSteeper" xr:uid="{F6743BCF-44B6-46FF-8CEE-5CEEF111123D}"/>
    <hyperlink ref="E7449" r:id="rId23022" display="https://twitter.com/CheeperSteeper/status/724265096810213376" xr:uid="{0979B81D-26CC-4649-9325-3FBC12089B85}"/>
    <hyperlink ref="O7449" r:id="rId23023" display="https://pbs.twimg.com/profile_images/624975670062485505/I4cAFaj7_normal.jpg" xr:uid="{15853D92-1DBC-4BCE-996B-B2FC92110827}"/>
    <hyperlink ref="B7450" r:id="rId23024" display="https://twitter.com/fredcheto" xr:uid="{2B364DA6-CAAD-4DFE-BA75-77EB6743EE36}"/>
    <hyperlink ref="E7450" r:id="rId23025" display="https://twitter.com/fredcheto/status/724265293682454528" xr:uid="{5ED1D138-6EDB-4EBF-901D-63ECB9F75559}"/>
    <hyperlink ref="O7450" r:id="rId23026" display="https://pbs.twimg.com/profile_images/640215565626408960/x7QB9VjV_normal.jpg" xr:uid="{172CF92E-1E5A-4A01-B254-A1F4CEA41848}"/>
    <hyperlink ref="B7451" r:id="rId23027" display="https://twitter.com/abhcarwash" xr:uid="{7B38BAE8-6405-43D6-9B82-A36B2C00EA13}"/>
    <hyperlink ref="E7451" r:id="rId23028" display="https://twitter.com/abhcarwash/status/724265598469869568" xr:uid="{5C37504B-EA0B-4122-88D4-08C97A42B2D1}"/>
    <hyperlink ref="O7451" r:id="rId23029" display="https://pbs.twimg.com/profile_images/549930093045235712/wfignIg1_normal.png" xr:uid="{61533169-AA49-4E30-A7A8-0C27AF5A35B3}"/>
    <hyperlink ref="B7452" r:id="rId23030" display="https://twitter.com/hddoger" xr:uid="{03888330-E6BB-4556-A0AC-580CB4E54B87}"/>
    <hyperlink ref="E7452" r:id="rId23031" display="https://twitter.com/hddoger/status/724265828670136321" xr:uid="{1D4F5709-726D-4756-BC55-1FEEACDDE546}"/>
    <hyperlink ref="O7452" r:id="rId23032" display="https://pbs.twimg.com/profile_images/3296258792/7852b77f95bc153cf32db2ba07fb879c_normal.jpeg" xr:uid="{34D1A52D-1A7D-42D3-A9BA-E174C9B72AC9}"/>
    <hyperlink ref="B7453" r:id="rId23033" display="https://twitter.com/tinytyff" xr:uid="{6ACC0C55-02EE-4E30-894C-EC39EB3BF1F6}"/>
    <hyperlink ref="E7453" r:id="rId23034" display="https://twitter.com/tinytyff/status/724265906407411712" xr:uid="{E978F90D-F1B1-4125-B462-D46483B3C407}"/>
    <hyperlink ref="O7453" r:id="rId23035" display="https://pbs.twimg.com/profile_images/709157033375879168/XfYenddt_normal.jpg" xr:uid="{2EF5126A-4321-4EA6-BCA4-EE2132C836B1}"/>
    <hyperlink ref="B7454" r:id="rId23036" display="https://twitter.com/VWBeetleSales" xr:uid="{4B056D32-8FA7-4D55-AEB8-2A64B1415D44}"/>
    <hyperlink ref="E7454" r:id="rId23037" display="https://twitter.com/VWBeetleSales/status/724265909351665665" xr:uid="{ABF823C2-507F-4D5B-A050-A459934AA5FB}"/>
    <hyperlink ref="F7454" r:id="rId23038" xr:uid="{9E5BE2BC-D336-48E2-80B2-6B52A819DA11}"/>
    <hyperlink ref="O7454" r:id="rId23039" display="https://pbs.twimg.com/profile_images/703294545195307008/qeCvrX86_normal.jpg" xr:uid="{82CDE4C0-9551-4269-B07C-0F4A3B7286A8}"/>
    <hyperlink ref="B7455" r:id="rId23040" display="https://twitter.com/Fernspieler" xr:uid="{65F0050E-1DF5-431D-BA41-35AFC0E8E601}"/>
    <hyperlink ref="E7455" r:id="rId23041" display="https://twitter.com/Fernspieler/status/724266473531805697" xr:uid="{AA1A6049-9107-4809-BA96-A59743EAE4B8}"/>
    <hyperlink ref="O7455" r:id="rId23042" display="https://pbs.twimg.com/profile_images/722423202585174016/CLPDkHMN_normal.jpg" xr:uid="{CA340E98-781E-46D3-BF2A-0C5FB62E0884}"/>
    <hyperlink ref="B7456" r:id="rId23043" display="https://twitter.com/3pPodium" xr:uid="{A9C03252-2165-410A-B996-4F599FEA8A3A}"/>
    <hyperlink ref="E7456" r:id="rId23044" display="https://twitter.com/3pPodium/status/724266570332143616" xr:uid="{17E98C5B-4D01-49C7-BB2C-4E91D19062AB}"/>
    <hyperlink ref="O7456" r:id="rId23045" display="https://pbs.twimg.com/profile_images/682646422584348672/rXCx5v4o_normal.png" xr:uid="{268B2612-8EE9-4432-9109-0C6B402A2A74}"/>
    <hyperlink ref="B7457" r:id="rId23046" display="https://twitter.com/Auto2day_gr" xr:uid="{4B8DC426-95D8-41E8-994F-80825EBD9DCC}"/>
    <hyperlink ref="E7457" r:id="rId23047" display="https://twitter.com/Auto2day_gr/status/724266746207555584" xr:uid="{EC3248FA-3F6E-456D-8E33-7963F693C44F}"/>
    <hyperlink ref="O7457" r:id="rId23048" display="https://pbs.twimg.com/profile_images/684439034580570112/xeZrDF8k_normal.jpg" xr:uid="{F2020233-3246-45E2-AB38-BC7C5F652E0F}"/>
    <hyperlink ref="B7458" r:id="rId23049" display="https://twitter.com/RVSalesJC" xr:uid="{B6F9109E-1BB7-4D83-8732-48535A7415F5}"/>
    <hyperlink ref="E7458" r:id="rId23050" display="https://twitter.com/RVSalesJC/status/724266785336352768" xr:uid="{BE794F8C-0982-42FC-A23A-B80EF808DE51}"/>
    <hyperlink ref="O7458" r:id="rId23051" display="https://pbs.twimg.com/profile_images/656112868358647809/WydpU-kc_normal.jpg" xr:uid="{245B29EC-191F-411A-A03B-7EBA0E6F0185}"/>
    <hyperlink ref="B7459" r:id="rId23052" display="https://twitter.com/VWCamperz" xr:uid="{1740B9DF-9399-447F-BB42-DF1441F472C5}"/>
    <hyperlink ref="E7459" r:id="rId23053" display="https://twitter.com/VWCamperz/status/724266997123563520" xr:uid="{6F9E0B80-742B-4490-8753-FE848D848B52}"/>
    <hyperlink ref="O7459" r:id="rId23054" display="https://pbs.twimg.com/profile_images/722172141303631872/p8wQTeNf_normal.jpg" xr:uid="{848DF97E-ED7D-48F0-8BEE-8BAB0408B7B7}"/>
    <hyperlink ref="B7460" r:id="rId23055" display="https://twitter.com/SeniorOnline" xr:uid="{799A4549-1066-46A8-9899-AE051533C991}"/>
    <hyperlink ref="C7460" r:id="rId23056" xr:uid="{78EEFF2B-D2B4-48B2-B7D4-2666A506FE3D}"/>
    <hyperlink ref="E7460" r:id="rId23057" display="https://twitter.com/SeniorOnline/status/724267161745809408" xr:uid="{A94EFE37-8518-4E10-9563-5EC30CC063C1}"/>
    <hyperlink ref="O7460" r:id="rId23058" display="https://pbs.twimg.com/profile_images/578974562836054016/ma2syHxK_normal.jpeg" xr:uid="{A187D9E6-2068-4808-B618-2078A2B9B862}"/>
    <hyperlink ref="B7461" r:id="rId23059" display="https://twitter.com/TheVasstechTeam" xr:uid="{52E674E4-425D-4EDC-A9A9-6237B1011982}"/>
    <hyperlink ref="E7461" r:id="rId23060" display="https://twitter.com/TheVasstechTeam/status/724267196793413632" xr:uid="{9E199681-F653-498D-994C-EDC6A97691F1}"/>
    <hyperlink ref="O7461" r:id="rId23061" display="https://pbs.twimg.com/profile_images/1566697429/Tim_Twitter_normal.jpg" xr:uid="{F2D23075-6B26-4CBF-B5F7-47B4BA9156BA}"/>
    <hyperlink ref="B7462" r:id="rId23062" display="https://twitter.com/VWBeetleSales" xr:uid="{151B16CE-4A86-419F-AE07-38E4E051C317}"/>
    <hyperlink ref="E7462" r:id="rId23063" display="https://twitter.com/VWBeetleSales/status/724267541934141441" xr:uid="{9AC10515-3772-43C2-A918-F9470E86F61C}"/>
    <hyperlink ref="F7462" r:id="rId23064" xr:uid="{6513C6E3-2486-4470-B3CF-63E96EAFE3DC}"/>
    <hyperlink ref="O7462" r:id="rId23065" display="https://pbs.twimg.com/profile_images/703294545195307008/qeCvrX86_normal.jpg" xr:uid="{45D4F536-540B-4B2E-802F-03098D35E212}"/>
    <hyperlink ref="B7463" r:id="rId23066" display="https://twitter.com/VWCamperSales" xr:uid="{41D68013-5A14-428C-B849-91C36E6F02FE}"/>
    <hyperlink ref="E7463" r:id="rId23067" display="https://twitter.com/VWCamperSales/status/724267562767278080" xr:uid="{63D13B1F-BC66-4286-AD62-6C994AA51E7C}"/>
    <hyperlink ref="F7463" r:id="rId23068" xr:uid="{AC9C1FD7-1A10-46E9-8B76-9DB1E031E8EA}"/>
    <hyperlink ref="O7463" r:id="rId23069" display="https://pbs.twimg.com/profile_images/627949001179037696/skEBkS05_normal.jpg" xr:uid="{A478E5EA-63E1-489D-8B20-F83CC0124B22}"/>
    <hyperlink ref="B7464" r:id="rId23070" display="https://twitter.com/paulachuter" xr:uid="{1FD10869-61EC-41B1-86CD-DA8B5252C6C0}"/>
    <hyperlink ref="E7464" r:id="rId23071" display="https://twitter.com/paulachuter/status/724267575794884608" xr:uid="{CA8FF520-C572-459C-9511-93A16832D144}"/>
    <hyperlink ref="O7464" r:id="rId23072" display="https://pbs.twimg.com/profile_images/704757606351572993/F8cQ-_EW_normal.jpg" xr:uid="{794667A0-8FDC-4070-9F68-04753F64420C}"/>
    <hyperlink ref="B7465" r:id="rId23073" display="https://twitter.com/TobiMuelhauser" xr:uid="{83A94B51-DCDC-43C8-917D-036D12372A5A}"/>
    <hyperlink ref="E7465" r:id="rId23074" display="https://twitter.com/TobiMuelhauser/status/724267775234052096" xr:uid="{EBB2A3FF-0456-4AE0-B833-1D19CB748C4F}"/>
    <hyperlink ref="O7465" r:id="rId23075" display="https://pbs.twimg.com/profile_images/637574744427102208/5hvsHkS-_normal.jpg" xr:uid="{05105C2F-9D90-49B5-A4FB-3235E526949D}"/>
    <hyperlink ref="B7466" r:id="rId23076" display="https://twitter.com/BlackWolfSynd" xr:uid="{5C1A9D91-D1AC-4C06-878A-28AA88034F14}"/>
    <hyperlink ref="E7466" r:id="rId23077" display="https://twitter.com/BlackWolfSynd/status/724267788915879941" xr:uid="{BF9A6E92-DED4-41DD-9A42-F7AB8BE57EBC}"/>
    <hyperlink ref="O7466" r:id="rId23078" display="https://pbs.twimg.com/profile_images/633622741858582528/BjU2vVYq_normal.jpg" xr:uid="{D5F0801D-9035-401C-A62C-1C48BB0C94EB}"/>
    <hyperlink ref="B7467" r:id="rId23079" display="https://twitter.com/Scirocco_Tuning" xr:uid="{78BC1761-2E30-4435-A1E9-ED24113D0B15}"/>
    <hyperlink ref="E7467" r:id="rId23080" display="https://twitter.com/Scirocco_Tuning/status/724268180336680963" xr:uid="{CC47B356-1380-44F4-8E4A-E951BC7807A8}"/>
    <hyperlink ref="O7467" r:id="rId23081" display="https://pbs.twimg.com/profile_images/1610421423/Image2_normal.jpg" xr:uid="{FF78E93D-C0BE-4C23-A0D5-9569F74CC30F}"/>
    <hyperlink ref="B7468" r:id="rId23082" display="https://twitter.com/chintanmajithia" xr:uid="{75739C53-1602-4EF2-9A94-55AC79EF693E}"/>
    <hyperlink ref="E7468" r:id="rId23083" display="https://twitter.com/chintanmajithia/status/724268210795646976" xr:uid="{03A7C3DE-F779-4432-862E-138653EC6D84}"/>
    <hyperlink ref="O7468" r:id="rId23084" display="https://pbs.twimg.com/profile_images/603652757984161792/DTx6yUtK_normal.jpg" xr:uid="{93C25CE5-B46A-4DDF-AEAC-D54E97868B98}"/>
    <hyperlink ref="B7469" r:id="rId23085" display="https://twitter.com/KarlRennison" xr:uid="{EEAB253E-092B-4F4A-A99C-89C156C01AB7}"/>
    <hyperlink ref="E7469" r:id="rId23086" display="https://twitter.com/KarlRennison/status/724268267465019392" xr:uid="{692A16E1-524D-42E4-B584-FF24440AED79}"/>
    <hyperlink ref="O7469" r:id="rId23087" display="https://pbs.twimg.com/profile_images/722326876560232450/OO8bJXZX_normal.jpg" xr:uid="{2BE8FB4B-7BD2-4F7E-A905-AB4D2F49766C}"/>
    <hyperlink ref="B7470" r:id="rId23088" display="https://twitter.com/_C4productions_" xr:uid="{520CA67A-DC10-471D-A1E1-85C1A6C64DDC}"/>
    <hyperlink ref="E7470" r:id="rId23089" display="https://twitter.com/_C4productions_/status/724268312322932737" xr:uid="{E670C7C7-D0F5-4A32-A6BB-174F9D8C785A}"/>
    <hyperlink ref="O7470" r:id="rId23090" display="https://pbs.twimg.com/profile_images/722863508832985088/NKyewnNu_normal.jpg" xr:uid="{BDACD264-B410-4D39-B23D-F27671D6587C}"/>
    <hyperlink ref="B7471" r:id="rId23091" display="https://twitter.com/DogLimo" xr:uid="{C8AE3B09-D758-4D4E-8E43-0F482FA481D6}"/>
    <hyperlink ref="E7471" r:id="rId23092" display="https://twitter.com/DogLimo/status/724268461862477825" xr:uid="{8FC2510C-8F9F-4C05-98BF-FCBDA36DFC6E}"/>
    <hyperlink ref="O7471" r:id="rId23093" display="https://pbs.twimg.com/profile_images/412780199835889664/rOfKo2jD_normal.jpeg" xr:uid="{88BCAC36-291A-4283-8DC3-40159384AEE5}"/>
    <hyperlink ref="P7471" r:id="rId23094" location="36.998291,-79.8925629" display="http://ctrlq.org/maps/address/ - 36.998291,-79.8925629" xr:uid="{F212CB35-3D8F-40D3-8435-4847256D05F0}"/>
    <hyperlink ref="B7472" r:id="rId23095" display="https://twitter.com/abcollar" xr:uid="{ADB09EAA-B70A-4983-BCE7-B9EDC1C510D5}"/>
    <hyperlink ref="C7472" r:id="rId23096" xr:uid="{148D4DD7-20C0-413D-9419-06D428D7B2C9}"/>
    <hyperlink ref="E7472" r:id="rId23097" display="https://twitter.com/abcollar/status/724268696961601537" xr:uid="{415A0983-1854-4755-A34B-0BC7E982C870}"/>
    <hyperlink ref="O7472" r:id="rId23098" display="https://pbs.twimg.com/profile_images/1261120279/Abcollar-Logo-small_normal.jpg" xr:uid="{B0C068BD-673D-4795-8E1D-7DBB5B4E89BA}"/>
    <hyperlink ref="B7473" r:id="rId23099" display="https://twitter.com/beetlebug1938" xr:uid="{2DB89C26-4175-484A-8A10-376D96A88214}"/>
    <hyperlink ref="E7473" r:id="rId23100" display="https://twitter.com/beetlebug1938/status/724269049803321344" xr:uid="{A0C6CEBD-A566-4EAF-A3CC-08AD9C27DB8F}"/>
    <hyperlink ref="O7473" r:id="rId23101" display="https://pbs.twimg.com/profile_images/718820712757215233/LXXndPTS_normal.jpg" xr:uid="{66F797C2-480C-44E7-A968-348497899F22}"/>
    <hyperlink ref="B7474" r:id="rId23102" display="https://twitter.com/beetlebug1938" xr:uid="{9D2FA1D3-143D-4C52-92B8-BDA544F0FDD4}"/>
    <hyperlink ref="E7474" r:id="rId23103" display="https://twitter.com/beetlebug1938/status/724269061014736897" xr:uid="{2871A581-C5A2-4B24-BF15-E4D827F874B6}"/>
    <hyperlink ref="O7474" r:id="rId23104" display="https://pbs.twimg.com/profile_images/718820712757215233/LXXndPTS_normal.jpg" xr:uid="{2C653C72-A410-4752-A509-0CFF09CD73B1}"/>
    <hyperlink ref="B7475" r:id="rId23105" display="https://twitter.com/beetlebug1938" xr:uid="{F2D29ACE-37FC-47C9-8CE5-8E25F0039B8B}"/>
    <hyperlink ref="E7475" r:id="rId23106" display="https://twitter.com/beetlebug1938/status/724269065536188417" xr:uid="{2ED63B69-7783-420F-8365-EB8F9C8F8023}"/>
    <hyperlink ref="O7475" r:id="rId23107" display="https://pbs.twimg.com/profile_images/718820712757215233/LXXndPTS_normal.jpg" xr:uid="{7B0FAE8A-300E-4841-BB65-B60C980487EA}"/>
    <hyperlink ref="B7476" r:id="rId23108" display="https://twitter.com/beetlebug1938" xr:uid="{F16A7333-BB44-480D-94AC-580242844224}"/>
    <hyperlink ref="E7476" r:id="rId23109" display="https://twitter.com/beetlebug1938/status/724269076227473408" xr:uid="{AE60CDAC-B7ED-4CAA-B363-DE32F1C7F9D8}"/>
    <hyperlink ref="O7476" r:id="rId23110" display="https://pbs.twimg.com/profile_images/718820712757215233/LXXndPTS_normal.jpg" xr:uid="{705F4FB5-B2A8-4CA4-BF76-01505A7EC724}"/>
    <hyperlink ref="B7477" r:id="rId23111" display="https://twitter.com/beetlebug1938" xr:uid="{BABC1B6C-5B09-4F1F-B734-241946FC9D75}"/>
    <hyperlink ref="E7477" r:id="rId23112" display="https://twitter.com/beetlebug1938/status/724269083265523712" xr:uid="{D82DBF65-8797-4B03-8D83-6093FB19AEB0}"/>
    <hyperlink ref="O7477" r:id="rId23113" display="https://pbs.twimg.com/profile_images/718820712757215233/LXXndPTS_normal.jpg" xr:uid="{7C386CAA-BCCA-4E72-BD7D-9EA9331A8C69}"/>
    <hyperlink ref="B7478" r:id="rId23114" display="https://twitter.com/VWCamperSales" xr:uid="{0F3E3BD3-7311-462C-9116-BA621AE8CA3E}"/>
    <hyperlink ref="E7478" r:id="rId23115" display="https://twitter.com/VWCamperSales/status/724269184587161605" xr:uid="{4B10AE2D-D633-4464-A528-05B03BEE1D77}"/>
    <hyperlink ref="F7478" r:id="rId23116" xr:uid="{1691DAE2-9959-44D7-9D05-76741A7902DE}"/>
    <hyperlink ref="O7478" r:id="rId23117" display="https://pbs.twimg.com/profile_images/627949001179037696/skEBkS05_normal.jpg" xr:uid="{372B147F-E280-474B-9917-49DC8A00DB9E}"/>
    <hyperlink ref="B7479" r:id="rId23118" display="https://twitter.com/dubbusses" xr:uid="{21970DAD-533C-43EC-B73F-3B4EDFBAE65D}"/>
    <hyperlink ref="E7479" r:id="rId23119" display="https://twitter.com/dubbusses/status/724269617477226496" xr:uid="{FC513489-AB9F-4F34-87A9-C862875846B8}"/>
    <hyperlink ref="O7479" r:id="rId23120" display="https://pbs.twimg.com/profile_images/718835727027580928/1ssyQ67y_normal.jpg" xr:uid="{D19DD78A-3B6E-4213-A9A7-62D376D048C0}"/>
    <hyperlink ref="B7480" r:id="rId23121" display="https://twitter.com/hannogroth" xr:uid="{72717FF9-7D5E-441F-8371-59E72588976E}"/>
    <hyperlink ref="E7480" r:id="rId23122" display="https://twitter.com/hannogroth/status/724269676881170432" xr:uid="{8EAB8432-1E01-431F-BD4A-1E3C7CA8A5AA}"/>
    <hyperlink ref="O7480" r:id="rId23123" display="https://pbs.twimg.com/profile_images/594510536907345923/2ywkaaJN_normal.jpg" xr:uid="{69035464-0A89-4DBD-B744-3AC02F0B3C70}"/>
    <hyperlink ref="B7481" r:id="rId23124" display="https://twitter.com/greenpeace_de" xr:uid="{7922711E-F88B-4CEF-AD14-EBEAA7C8BB6B}"/>
    <hyperlink ref="E7481" r:id="rId23125" display="https://twitter.com/greenpeace_de/status/724269677124395012" xr:uid="{6EA0672D-7466-4864-9620-F83D486179C5}"/>
    <hyperlink ref="O7481" r:id="rId23126" display="https://pbs.twimg.com/profile_images/721995664054489088/aeQdvryV_normal.jpg" xr:uid="{39D18C14-BE4E-4D57-A58C-B5A38BBBECAD}"/>
    <hyperlink ref="B7482" r:id="rId23127" display="https://twitter.com/dubbusses" xr:uid="{26DAEEF2-93B6-4890-AA0C-CEB32D04F2A7}"/>
    <hyperlink ref="E7482" r:id="rId23128" display="https://twitter.com/dubbusses/status/724269686683238400" xr:uid="{C5475079-DE36-4F3E-BF3E-63AE4596BDF6}"/>
    <hyperlink ref="O7482" r:id="rId23129" display="https://pbs.twimg.com/profile_images/718835727027580928/1ssyQ67y_normal.jpg" xr:uid="{AF55BD08-C502-46BC-B1D3-987F4FE3BD14}"/>
    <hyperlink ref="B7483" r:id="rId23130" display="https://twitter.com/dubbusses" xr:uid="{67133BCC-6CE0-4AF5-AED7-94DFCBD95A54}"/>
    <hyperlink ref="E7483" r:id="rId23131" display="https://twitter.com/dubbusses/status/724269705528283136" xr:uid="{C8845709-8469-48E5-8AB8-677D46868CD9}"/>
    <hyperlink ref="O7483" r:id="rId23132" display="https://pbs.twimg.com/profile_images/718835727027580928/1ssyQ67y_normal.jpg" xr:uid="{920032E3-9B43-4D74-863D-358FD180DA0F}"/>
    <hyperlink ref="B7484" r:id="rId23133" display="https://twitter.com/dubbusses" xr:uid="{E47A2326-4BB8-4F60-BB39-745E3A9F2BEF}"/>
    <hyperlink ref="E7484" r:id="rId23134" display="https://twitter.com/dubbusses/status/724269749601996801" xr:uid="{D1EB50B4-8976-482F-9E7A-17E610E1ED92}"/>
    <hyperlink ref="O7484" r:id="rId23135" display="https://pbs.twimg.com/profile_images/718835727027580928/1ssyQ67y_normal.jpg" xr:uid="{BBD19E41-F59E-4BBF-92E5-E0CFE253B3FA}"/>
    <hyperlink ref="B7485" r:id="rId23136" display="https://twitter.com/tomacell" xr:uid="{3DCE6574-82C4-4090-9E5F-0A2A5C66B6CA}"/>
    <hyperlink ref="E7485" r:id="rId23137" display="https://twitter.com/tomacell/status/724269919085449216" xr:uid="{928DA0BA-6D37-4EEC-B148-7B954C6E9FE5}"/>
    <hyperlink ref="O7485" r:id="rId23138" display="https://pbs.twimg.com/profile_images/703192389951709184/Ng389iI4_normal.jpg" xr:uid="{5A3F5028-AACD-449D-B880-286DDE66EEE1}"/>
    <hyperlink ref="B7486" r:id="rId23139" display="https://twitter.com/CarterVW" xr:uid="{85618E8D-1721-413C-A129-E4034847069D}"/>
    <hyperlink ref="E7486" r:id="rId23140" display="https://twitter.com/CarterVW/status/724270179874562048" xr:uid="{D26B5241-2BF7-40E4-B71F-5AE0F6D20FA4}"/>
    <hyperlink ref="O7486" r:id="rId23141" display="https://pbs.twimg.com/profile_images/693260133237809152/JUVeKYdq_normal.jpg" xr:uid="{395BF978-CC16-48BC-B354-3651775C294A}"/>
    <hyperlink ref="B7487" r:id="rId23142" display="https://twitter.com/2662a7" xr:uid="{78840E2F-F7CB-4F9E-B8B3-63F942BD140E}"/>
    <hyperlink ref="E7487" r:id="rId23143" display="https://twitter.com/2662a7/status/724270186237452288" xr:uid="{749CD99A-8370-42EB-9813-705CA449F5D7}"/>
    <hyperlink ref="O7487" r:id="rId23144" display="https://pbs.twimg.com/profile_images/705354502669340672/-6lVjHiv_normal.jpg" xr:uid="{4BBACC16-EE93-4C4D-BBF3-FDBE3A887A74}"/>
    <hyperlink ref="B7488" r:id="rId23145" display="https://twitter.com/copeyphoto" xr:uid="{8C410048-F643-42EA-A64F-0C00268D6734}"/>
    <hyperlink ref="E7488" r:id="rId23146" display="https://twitter.com/copeyphoto/status/724270549283692544" xr:uid="{8F3BC1A4-E8C0-4E4C-B192-703BEF23E69A}"/>
    <hyperlink ref="O7488" r:id="rId23147" display="https://pbs.twimg.com/profile_images/471360227137163264/w2Gvricp_normal.png" xr:uid="{C0C8103E-DAAD-40CF-B640-0FB821A07850}"/>
    <hyperlink ref="B7489" r:id="rId23148" display="https://twitter.com/mathyaszalazar" xr:uid="{E6414C5A-3F1C-4542-A205-0ADAF2856EC3}"/>
    <hyperlink ref="E7489" r:id="rId23149" display="https://twitter.com/mathyaszalazar/status/724270743220019200" xr:uid="{EFA46D20-CE34-4323-9F08-F8B7B029200A}"/>
    <hyperlink ref="O7489" r:id="rId23150" display="https://pbs.twimg.com/profile_images/714426326028050432/bdmtFVZx_normal.jpg" xr:uid="{D7F4BA8F-C168-456E-8F18-B7039CDA1EE8}"/>
    <hyperlink ref="B7490" r:id="rId23151" display="https://twitter.com/VWCamperSales" xr:uid="{4670C70D-ABDE-443D-9A1B-7DF84227A45F}"/>
    <hyperlink ref="E7490" r:id="rId23152" display="https://twitter.com/VWCamperSales/status/724270823570186240" xr:uid="{59F7BC64-1EB6-497C-A582-9476EE911237}"/>
    <hyperlink ref="F7490" r:id="rId23153" xr:uid="{16CD58F7-AFB0-4156-8CF3-206850A91144}"/>
    <hyperlink ref="O7490" r:id="rId23154" display="https://pbs.twimg.com/profile_images/627949001179037696/skEBkS05_normal.jpg" xr:uid="{652334E4-23DA-4C56-8578-E4E5CA1583E4}"/>
    <hyperlink ref="B7491" r:id="rId23155" display="https://twitter.com/vagmenhq" xr:uid="{A8C51125-E74D-462E-BED1-0534EC96C4DE}"/>
    <hyperlink ref="E7491" r:id="rId23156" display="https://twitter.com/vagmenhq/status/724271344179916800" xr:uid="{02819BB3-73CF-47B6-B5B2-6054BD0D022A}"/>
    <hyperlink ref="O7491" r:id="rId23157" display="https://pbs.twimg.com/profile_images/446781974452371456/rqBZF-KN_normal.jpeg" xr:uid="{08345D36-5FC6-43D3-A16B-1755A55188F5}"/>
    <hyperlink ref="B7492" r:id="rId23158" display="https://twitter.com/EpicDubs" xr:uid="{82B86E38-A846-4584-9819-DCA5D86B5E6F}"/>
    <hyperlink ref="E7492" r:id="rId23159" display="https://twitter.com/EpicDubs/status/724271517702447104" xr:uid="{0F10B3E1-38CC-4A83-9929-585743A02060}"/>
    <hyperlink ref="O7492" r:id="rId23160" display="https://pbs.twimg.com/profile_images/378800000561125590/774aef16fb42fd8d8fd3233c77313b21_normal.jpeg" xr:uid="{E3460FCF-8DCF-4C52-8D33-89348C7BBED0}"/>
    <hyperlink ref="B7493" r:id="rId23161" display="https://twitter.com/FuscaWorld" xr:uid="{6B2204EE-D482-4523-BD3A-00128AEABCAC}"/>
    <hyperlink ref="E7493" r:id="rId23162" display="https://twitter.com/FuscaWorld/status/724271583376891904" xr:uid="{E4376F2C-E454-4116-BB9A-2FFBB60F9638}"/>
    <hyperlink ref="O7493" r:id="rId23163" display="https://pbs.twimg.com/profile_images/705780107844067328/e7O4UBNb_normal.jpg" xr:uid="{87B13CC5-7B5C-4BAA-89CD-212CB50BCCE8}"/>
    <hyperlink ref="B7494" r:id="rId23164" display="https://twitter.com/copeyphoto" xr:uid="{DF28B242-D977-40EC-8870-40D53A5A4BA7}"/>
    <hyperlink ref="E7494" r:id="rId23165" display="https://twitter.com/copeyphoto/status/724271716143259650" xr:uid="{950DBFC8-C060-4BA7-AB6D-E6C7B3F417C7}"/>
    <hyperlink ref="O7494" r:id="rId23166" display="https://pbs.twimg.com/profile_images/471360227137163264/w2Gvricp_normal.png" xr:uid="{E8F62A4E-F73A-482F-BD24-C25C3A43A3B1}"/>
    <hyperlink ref="B7495" r:id="rId23167" display="https://twitter.com/DonBag101" xr:uid="{034DFBE4-115D-4C6F-90E9-62E2A12131D4}"/>
    <hyperlink ref="E7495" r:id="rId23168" display="https://twitter.com/DonBag101/status/724271924633829377" xr:uid="{3B486EE5-7CAE-4100-B64F-15627BABE583}"/>
    <hyperlink ref="O7495" r:id="rId23169" display="https://pbs.twimg.com/profile_images/680659598722871296/zzw1jD1__normal.jpg" xr:uid="{D434C35E-F711-4D20-BE42-1E578A734FFB}"/>
    <hyperlink ref="B7496" r:id="rId23170" display="https://twitter.com/What_Danni_Did" xr:uid="{4F6AC97D-C65F-4522-A3D7-CF39189E5C62}"/>
    <hyperlink ref="E7496" r:id="rId23171" display="https://twitter.com/What_Danni_Did/status/724272341493141504" xr:uid="{52E1546F-6ADE-4906-9B72-D9197F0F79E2}"/>
    <hyperlink ref="O7496" r:id="rId23172" display="https://pbs.twimg.com/profile_images/709485835813560320/7Hvw2dTv_normal.jpg" xr:uid="{F1E63A78-DC01-410A-811B-7CAD6AEC0FB9}"/>
    <hyperlink ref="B7497" r:id="rId23173" display="https://twitter.com/MartinMosel" xr:uid="{92ABAD6F-1855-434B-8C4B-04C1592C49CB}"/>
    <hyperlink ref="E7497" r:id="rId23174" display="https://twitter.com/MartinMosel/status/724272510209019905" xr:uid="{35926C72-75EA-4981-80FF-783120555760}"/>
    <hyperlink ref="O7497" r:id="rId23175" display="https://pbs.twimg.com/profile_images/704407814253445121/0tv5-Ca7_normal.jpg" xr:uid="{96DF2146-D5F4-46C6-9948-4C3369BF6C58}"/>
    <hyperlink ref="B7498" r:id="rId23176" display="https://twitter.com/CllrLyleDavy" xr:uid="{18941191-4866-460C-9457-7AEF0E450243}"/>
    <hyperlink ref="E7498" r:id="rId23177" display="https://twitter.com/CllrLyleDavy/status/724272536607948800" xr:uid="{A12E1490-8DA2-438B-BD05-AD925868E56F}"/>
    <hyperlink ref="O7498" r:id="rId23178" display="https://pbs.twimg.com/profile_images/468362889070669825/IlNQlb0P_normal.jpeg" xr:uid="{BCFFCD82-C5D6-485B-B2AE-8ED4E9BFBD6E}"/>
    <hyperlink ref="B7499" r:id="rId23179" display="https://twitter.com/refineddetails" xr:uid="{784C320D-E951-428F-B92F-4ED4348A0960}"/>
    <hyperlink ref="E7499" r:id="rId23180" display="https://twitter.com/refineddetails/status/724272585140264960" xr:uid="{6023054F-4EC1-4C94-91E5-347AB104B9B6}"/>
    <hyperlink ref="O7499" r:id="rId23181" display="https://pbs.twimg.com/profile_images/662007239872544768/aWzAWz_v_normal.jpg" xr:uid="{4EB5F995-FF7A-48A6-856C-326A6789466C}"/>
    <hyperlink ref="B7500" r:id="rId23182" display="https://twitter.com/bruno90alvarez" xr:uid="{71121976-9E8B-483B-AD6A-8C3EECCF7BC1}"/>
    <hyperlink ref="E7500" r:id="rId23183" display="https://twitter.com/bruno90alvarez/status/724272622364712960" xr:uid="{46C4AE01-E7F0-4E4A-8142-FB10F2CEFE86}"/>
    <hyperlink ref="O7500" r:id="rId23184" display="https://pbs.twimg.com/profile_images/567103567228837888/ptxVAeYZ_normal.jpeg" xr:uid="{6B607DFB-07CD-45F8-B305-9B0F08E05258}"/>
    <hyperlink ref="B7501" r:id="rId23185" display="https://twitter.com/WonSicily" xr:uid="{7C547D7F-2442-4A11-BE71-6306257A727F}"/>
    <hyperlink ref="E7501" r:id="rId23186" display="https://twitter.com/WonSicily/status/724272699069980673" xr:uid="{29CDAFB4-6EC4-4F15-BF3A-266EB8372233}"/>
    <hyperlink ref="O7501" r:id="rId23187" display="https://pbs.twimg.com/profile_images/513341022080741376/Z3RBKtcd_normal.jpeg" xr:uid="{E0EFEEDA-6D6A-4098-BD4D-54D53DAEB373}"/>
    <hyperlink ref="B7502" r:id="rId23188" display="https://twitter.com/bruno90alvarez" xr:uid="{4E73C77A-7B80-4C40-A216-9BB1BE0C7B71}"/>
    <hyperlink ref="E7502" r:id="rId23189" display="https://twitter.com/bruno90alvarez/status/724272708679290880" xr:uid="{87B3BFFE-05A6-45C6-A70F-FC03CE7D2C05}"/>
    <hyperlink ref="O7502" r:id="rId23190" display="https://pbs.twimg.com/profile_images/567103567228837888/ptxVAeYZ_normal.jpeg" xr:uid="{83E31DB2-F9E9-44BD-BF2E-29EAEB8EE459}"/>
    <hyperlink ref="B7503" r:id="rId23191" display="https://twitter.com/VWBeetleSales" xr:uid="{6F4C45DC-72A8-4AAA-AC47-598822730E8E}"/>
    <hyperlink ref="E7503" r:id="rId23192" display="https://twitter.com/VWBeetleSales/status/724272711355113474" xr:uid="{45CBA03E-924F-481F-96E6-930892DD6ACA}"/>
    <hyperlink ref="F7503" r:id="rId23193" xr:uid="{C53FC35E-2400-4EC3-9AA1-B15F280344C2}"/>
    <hyperlink ref="O7503" r:id="rId23194" display="https://pbs.twimg.com/profile_images/703294545195307008/qeCvrX86_normal.jpg" xr:uid="{8AAF0116-A3C0-4052-B223-58BD19812EEB}"/>
    <hyperlink ref="B7504" r:id="rId23195" display="https://twitter.com/VWCamperSales" xr:uid="{10284714-19C3-4939-96FF-9351533FD2A9}"/>
    <hyperlink ref="E7504" r:id="rId23196" display="https://twitter.com/VWCamperSales/status/724272717810147328" xr:uid="{C71D84C0-A5D1-4B52-AF86-34705B57D986}"/>
    <hyperlink ref="F7504" r:id="rId23197" xr:uid="{84B5B7C0-651B-4D5C-B33B-EEC7D001F7CE}"/>
    <hyperlink ref="O7504" r:id="rId23198" display="https://pbs.twimg.com/profile_images/627949001179037696/skEBkS05_normal.jpg" xr:uid="{C9C063F2-BF7D-4A43-94DE-59E97CBC3164}"/>
    <hyperlink ref="B7505" r:id="rId23199" display="https://twitter.com/Mainman777" xr:uid="{6EE692E2-67C6-4952-B5D5-82E923DA7B04}"/>
    <hyperlink ref="E7505" r:id="rId23200" display="https://twitter.com/Mainman777/status/724272961230872576" xr:uid="{83E49DCA-1CF0-4D16-A4BE-3A1F41229EE8}"/>
    <hyperlink ref="O7505" r:id="rId23201" display="https://pbs.twimg.com/profile_images/656901526691164160/13lJ2NC6_normal.jpg" xr:uid="{D025F6A3-2A0C-46C2-AAC3-3B5637F4C354}"/>
    <hyperlink ref="B7506" r:id="rId23202" display="https://twitter.com/bruno90alvarez" xr:uid="{87406367-74AC-45B0-BD75-9A437FEB5410}"/>
    <hyperlink ref="E7506" r:id="rId23203" display="https://twitter.com/bruno90alvarez/status/724273065249656833" xr:uid="{B3DC8DA8-9CFB-4C2A-A435-7C4CD6D71A21}"/>
    <hyperlink ref="O7506" r:id="rId23204" display="https://pbs.twimg.com/profile_images/567103567228837888/ptxVAeYZ_normal.jpeg" xr:uid="{93CF160C-4CD2-40AB-8172-C4B7F1E4D2F0}"/>
    <hyperlink ref="B7507" r:id="rId23205" display="https://twitter.com/shoptigerseye" xr:uid="{8AA69659-2716-47B8-9299-C801FE2DB85B}"/>
    <hyperlink ref="E7507" r:id="rId23206" display="https://twitter.com/shoptigerseye/status/724273075722838017" xr:uid="{D59DBCC4-0939-421E-949E-4A838F2DF224}"/>
    <hyperlink ref="O7507" r:id="rId23207" display="https://pbs.twimg.com/profile_images/649590259324465152/5USqchYh_normal.jpg" xr:uid="{5F3841DC-109E-4CF1-81D0-AF1781C2AE94}"/>
    <hyperlink ref="B7508" r:id="rId23208" display="https://twitter.com/LangeNase" xr:uid="{18438DA8-E495-4E56-A6D5-75D9D291441F}"/>
    <hyperlink ref="E7508" r:id="rId23209" display="https://twitter.com/LangeNase/status/724273296477421569" xr:uid="{E74E1068-9BD8-4F1E-964C-FABCBB9F781E}"/>
    <hyperlink ref="O7508" r:id="rId23210" display="https://pbs.twimg.com/profile_images/648457480897474560/ONIr8l8L_normal.jpg" xr:uid="{556D9456-F951-4E68-8FB8-5F811F7B9106}"/>
    <hyperlink ref="B7509" r:id="rId23211" display="https://twitter.com/bruno90alvarez" xr:uid="{AC6DAAF6-9D0B-440D-B188-A52254DDB145}"/>
    <hyperlink ref="E7509" r:id="rId23212" display="https://twitter.com/bruno90alvarez/status/724273502786846721" xr:uid="{12CE6BD0-050A-4156-8327-705853D03392}"/>
    <hyperlink ref="O7509" r:id="rId23213" display="https://pbs.twimg.com/profile_images/567103567228837888/ptxVAeYZ_normal.jpeg" xr:uid="{318A5E22-DFB5-453B-8927-CAC0A8406137}"/>
    <hyperlink ref="B7510" r:id="rId23214" display="https://twitter.com/naturewilds" xr:uid="{C1294AE7-3801-494C-8DF2-8BCD14BDCCB7}"/>
    <hyperlink ref="E7510" r:id="rId23215" display="https://twitter.com/naturewilds/status/724273663147696128" xr:uid="{883F061B-142E-4E58-A5B4-DCFA5483FFF4}"/>
    <hyperlink ref="O7510" r:id="rId23216" display="https://pbs.twimg.com/profile_images/480637453779230720/TlrOqVmO_normal.jpeg" xr:uid="{E01AB6A6-613B-4269-960C-3825B1D5B06D}"/>
    <hyperlink ref="B7511" r:id="rId23217" display="https://twitter.com/BAW_Fluglaerm" xr:uid="{EE6763FC-5597-4625-8CAC-D9199AA6E54D}"/>
    <hyperlink ref="E7511" r:id="rId23218" display="https://twitter.com/BAW_Fluglaerm/status/724273687227187200" xr:uid="{2DDACA0C-4B7A-4AEB-B7FA-BB0906C63F62}"/>
    <hyperlink ref="O7511" r:id="rId23219" display="https://pbs.twimg.com/profile_images/590917594745548800/JOO5l23M_normal.jpg" xr:uid="{EB30A9A7-9979-4F2F-8112-B58879B579F5}"/>
    <hyperlink ref="B7512" r:id="rId23220" display="https://twitter.com/mrlazarou1" xr:uid="{CEB9C3DB-CC82-4C10-BBF3-F1C31412CE5F}"/>
    <hyperlink ref="E7512" r:id="rId23221" display="https://twitter.com/mrlazarou1/status/724273975820464128" xr:uid="{6D243F66-FEE6-42FB-AF10-89CB50DF47B4}"/>
    <hyperlink ref="O7512" r:id="rId23222" display="https://pbs.twimg.com/profile_images/714903470189445120/7K-_DI2m_normal.jpg" xr:uid="{98C0DAE9-B1B4-460C-8D76-20621DC275A7}"/>
    <hyperlink ref="P7512" r:id="rId23223" location="51.4821358,-3.2081373" display="http://ctrlq.org/maps/address/ - 51.4821358,-3.2081373" xr:uid="{B1249E04-0459-444D-8AEE-6A6255FE5E2A}"/>
    <hyperlink ref="B7513" r:id="rId23224" display="https://twitter.com/LifeAtWarpSpeed" xr:uid="{5FE611D5-0AD4-4107-BF26-40F370122653}"/>
    <hyperlink ref="E7513" r:id="rId23225" display="https://twitter.com/LifeAtWarpSpeed/status/724274033794138112" xr:uid="{6BDE76AB-22B4-4869-BDD0-97E8D0276CB1}"/>
    <hyperlink ref="O7513" r:id="rId23226" display="https://pbs.twimg.com/profile_images/689725910224805889/9N3BPvYo_normal.jpg" xr:uid="{068B08BB-E4D9-4D61-B660-46F10BF1E75B}"/>
    <hyperlink ref="B7514" r:id="rId23227" display="https://twitter.com/srqstockpicker" xr:uid="{B62B1B0A-296F-423C-B138-01562D597C65}"/>
    <hyperlink ref="E7514" r:id="rId23228" display="https://twitter.com/srqstockpicker/status/724274051015950344" xr:uid="{FBE64D39-3541-4E1B-90DB-7666253DBC3D}"/>
    <hyperlink ref="O7514" r:id="rId23229" display="https://pbs.twimg.com/profile_images/711359756766547970/HXjKioao_normal.jpg" xr:uid="{40A0F012-7EC8-4A90-9352-1D17AD99DA76}"/>
    <hyperlink ref="B7515" r:id="rId23230" display="https://twitter.com/VWCamperSales" xr:uid="{1C3FAC69-99C9-4A5D-B67F-6A31FA5450B3}"/>
    <hyperlink ref="E7515" r:id="rId23231" display="https://twitter.com/VWCamperSales/status/724274596770287616" xr:uid="{C2827D93-317B-4EAD-97F0-6038A238816A}"/>
    <hyperlink ref="F7515" r:id="rId23232" xr:uid="{345408B3-74B7-4722-992E-0773E979E2CA}"/>
    <hyperlink ref="O7515" r:id="rId23233" display="https://pbs.twimg.com/profile_images/627949001179037696/skEBkS05_normal.jpg" xr:uid="{121B78F5-1B21-4213-9DC9-11BC401811E5}"/>
    <hyperlink ref="B7516" r:id="rId23234" display="https://twitter.com/IslandVW" xr:uid="{2EC3F85D-F62F-49EB-AFBA-7D833EADD9B5}"/>
    <hyperlink ref="E7516" r:id="rId23235" display="https://twitter.com/IslandVW/status/724274711438483462" xr:uid="{486E0706-9361-4E06-8824-3F4D333B333F}"/>
    <hyperlink ref="O7516" r:id="rId23236" display="https://pbs.twimg.com/profile_images/648518284703195136/ss9Prwk-_normal.jpg" xr:uid="{E7A9DF73-FFAD-4D76-A0FE-B611EE22CB08}"/>
    <hyperlink ref="B7517" r:id="rId23237" display="https://twitter.com/copeyphoto" xr:uid="{5006D36E-05DA-4B1C-8998-8CDA6C4E4C68}"/>
    <hyperlink ref="E7517" r:id="rId23238" display="https://twitter.com/copeyphoto/status/724274841306710016" xr:uid="{7F90A1D4-9324-4944-B896-D1FF1FD0B1BE}"/>
    <hyperlink ref="O7517" r:id="rId23239" display="https://pbs.twimg.com/profile_images/471360227137163264/w2Gvricp_normal.png" xr:uid="{90B03C4D-0F99-4160-AA43-52B360E7C8EF}"/>
    <hyperlink ref="B7518" r:id="rId23240" display="https://twitter.com/ZzaPina" xr:uid="{47F3A02A-3189-4CFF-A0C4-68A442F9DBF8}"/>
    <hyperlink ref="E7518" r:id="rId23241" display="https://twitter.com/ZzaPina/status/724274996546248704" xr:uid="{C86D1361-841F-48CE-8BAD-B03886E18784}"/>
    <hyperlink ref="O7518" r:id="rId23242" display="https://pbs.twimg.com/profile_images/723151513737154560/LHEcz2RO_normal.jpg" xr:uid="{C6C90B67-7BA3-4814-B4D0-2F8BA55D3178}"/>
    <hyperlink ref="B7519" r:id="rId23243" display="https://twitter.com/cmsGOMEX" xr:uid="{17D2D127-E611-4FD6-B180-770E47667DAE}"/>
    <hyperlink ref="E7519" r:id="rId23244" display="https://twitter.com/cmsGOMEX/status/724275541189267457" xr:uid="{783DE305-6118-4D67-85E8-009BECD4F233}"/>
    <hyperlink ref="O7519" r:id="rId23245" display="https://pbs.twimg.com/profile_images/472298206483607552/UogAMiRI_normal.png" xr:uid="{B354FD34-0490-4F02-A389-CFE487BD0136}"/>
    <hyperlink ref="B7520" r:id="rId23246" display="https://twitter.com/CheckeredFlagVW" xr:uid="{3452FE54-4C7A-46CC-9579-1F2856619C93}"/>
    <hyperlink ref="E7520" r:id="rId23247" display="https://twitter.com/CheckeredFlagVW/status/724275592171016192" xr:uid="{DCD919BF-9360-4704-92CA-4BF88ED7B9A5}"/>
    <hyperlink ref="O7520" r:id="rId23248" display="https://pbs.twimg.com/profile_images/559752996410507264/2Wfh6T_a_normal.jpeg" xr:uid="{060BBE31-8335-4ACD-B82E-912EB0D8E1C4}"/>
    <hyperlink ref="B7521" r:id="rId23249" display="https://twitter.com/cmsGOMEX" xr:uid="{66CC03FC-33C1-4330-B611-7087F997D6B0}"/>
    <hyperlink ref="E7521" r:id="rId23250" display="https://twitter.com/cmsGOMEX/status/724275665520959488" xr:uid="{77BBCE72-5478-4F13-B6FA-B592A5557D57}"/>
    <hyperlink ref="O7521" r:id="rId23251" display="https://pbs.twimg.com/profile_images/472298206483607552/UogAMiRI_normal.png" xr:uid="{0FA9DDF2-DC88-4029-972C-39A463C85E7D}"/>
    <hyperlink ref="B7522" r:id="rId23252" display="https://twitter.com/vwdepo" xr:uid="{970E1640-6AB3-4EA2-BDCD-2E4ED0F13D04}"/>
    <hyperlink ref="E7522" r:id="rId23253" display="https://twitter.com/vwdepo/status/724276192870715392" xr:uid="{053366B3-CBE0-4DFC-96F9-E25E2607C3C3}"/>
    <hyperlink ref="O7522" r:id="rId23254" display="https://pbs.twimg.com/profile_images/3378184537/c20ae9a7a410821b4f189c34a63380f7_normal.png" xr:uid="{A5E232AE-F888-4B35-8515-47A64A63E7E2}"/>
    <hyperlink ref="B7523" r:id="rId23255" display="https://twitter.com/KholodovSl" xr:uid="{D3FF1B30-78AB-4C3A-8AE8-92D12EB846D8}"/>
    <hyperlink ref="E7523" r:id="rId23256" display="https://twitter.com/KholodovSl/status/724276263213477889" xr:uid="{3B5D5C06-873A-4F27-BC97-66A86E8076F4}"/>
    <hyperlink ref="O7523" r:id="rId23257" display="https://pbs.twimg.com/profile_images/604245029486489601/bZRfHsq9_normal.jpg" xr:uid="{F625F3F1-368D-4A52-A1AF-F8AC5615CBC5}"/>
    <hyperlink ref="P7523" r:id="rId23258" location="51.7906041,39.20615585" display="http://ctrlq.org/maps/address/ - 51.7906041,39.20615585" xr:uid="{D978D452-1031-4753-83EE-270A079734AC}"/>
    <hyperlink ref="B7524" r:id="rId23259" display="https://twitter.com/Its_Master_Q" xr:uid="{668C58E5-C0D0-48E1-A36B-B257AC21C998}"/>
    <hyperlink ref="E7524" r:id="rId23260" display="https://twitter.com/Its_Master_Q/status/724276407468195840" xr:uid="{D19DB1AF-DE52-4619-9BD1-2FD0652F8C81}"/>
    <hyperlink ref="O7524" r:id="rId23261" display="https://pbs.twimg.com/profile_images/715829733720723456/q_UQUrtB_normal.jpg" xr:uid="{7CAC3568-D6D6-44BA-AB5F-7F62B3EA49B1}"/>
    <hyperlink ref="B7525" r:id="rId23262" display="https://twitter.com/Lostforlive15" xr:uid="{A7C27256-CFB9-459E-9817-20041BF4828B}"/>
    <hyperlink ref="E7525" r:id="rId23263" display="https://twitter.com/Lostforlive15/status/724276450375950337" xr:uid="{936103CB-B7DE-4064-8448-648B5E72282A}"/>
    <hyperlink ref="O7525" r:id="rId23264" display="https://pbs.twimg.com/profile_images/697894625302941696/tZHvGLVU_normal.jpg" xr:uid="{65638121-B2D1-4D6A-A198-A1B278EF06B8}"/>
    <hyperlink ref="B7526" r:id="rId23265" display="https://twitter.com/wildcat_real" xr:uid="{269E1885-DB0F-4944-A700-FF3EF1540A63}"/>
    <hyperlink ref="E7526" r:id="rId23266" display="https://twitter.com/wildcat_real/status/724276712029196288" xr:uid="{F210C585-85FA-4EF0-87CC-005698C74EBD}"/>
    <hyperlink ref="O7526" r:id="rId23267" display="https://pbs.twimg.com/profile_images/724205141289754624/w_OmdCHD_normal.jpg" xr:uid="{4D058496-B925-444E-A249-D87A7E58780C}"/>
    <hyperlink ref="B7527" r:id="rId23268" display="https://twitter.com/saimisim_pasta" xr:uid="{B3262CFF-74FB-48A5-A7FA-7288126DEEAB}"/>
    <hyperlink ref="E7527" r:id="rId23269" display="https://twitter.com/saimisim_pasta/status/724277041302888448" xr:uid="{FF566CDB-F8FB-413D-BF54-416E2D50F6A7}"/>
    <hyperlink ref="O7527" r:id="rId23270" display="https://pbs.twimg.com/profile_images/3495443611/f8d62116cc5175519399d65e25f834e2_normal.jpeg" xr:uid="{38BC4035-0F1F-4F5C-8F99-3C01C06006A4}"/>
    <hyperlink ref="B7528" r:id="rId23271" display="https://twitter.com/SantaPodRaceway" xr:uid="{7E5169BA-4385-45EE-820B-582C086092D9}"/>
    <hyperlink ref="E7528" r:id="rId23272" display="https://twitter.com/SantaPodRaceway/status/724277415179083777" xr:uid="{2FD49C3F-8ABA-4D82-8462-31226FFADB44}"/>
    <hyperlink ref="O7528" r:id="rId23273" display="https://pbs.twimg.com/profile_images/378800000801365829/e9f28f8996ff7f098d9b8a1840e76f50_normal.png" xr:uid="{C7269B4D-D1D9-445A-B898-FE4E7624A0C2}"/>
    <hyperlink ref="B7529" r:id="rId23274" display="https://twitter.com/saimisim_pasta" xr:uid="{687D03D2-0E6B-4927-A7D6-49E2F4498F03}"/>
    <hyperlink ref="E7529" r:id="rId23275" display="https://twitter.com/saimisim_pasta/status/724277478215176192" xr:uid="{70723A40-C200-4B35-803B-A7CA4012FF4C}"/>
    <hyperlink ref="O7529" r:id="rId23276" display="https://pbs.twimg.com/profile_images/3495443611/f8d62116cc5175519399d65e25f834e2_normal.jpeg" xr:uid="{32CBD27E-F095-4F3C-9CD0-978CEDE359A6}"/>
    <hyperlink ref="B7530" r:id="rId23277" display="https://twitter.com/VWCamperSales" xr:uid="{037C86E4-01B1-4470-9B47-64F012BFB9BA}"/>
    <hyperlink ref="E7530" r:id="rId23278" display="https://twitter.com/VWCamperSales/status/724277618455924740" xr:uid="{53890023-5BCE-4A99-9F62-66F3B0A44B54}"/>
    <hyperlink ref="F7530" r:id="rId23279" xr:uid="{2033FE30-E366-4C35-8736-A4E35041C52A}"/>
    <hyperlink ref="O7530" r:id="rId23280" display="https://pbs.twimg.com/profile_images/627949001179037696/skEBkS05_normal.jpg" xr:uid="{B348779A-54B1-4483-916A-656B7C3959BE}"/>
    <hyperlink ref="B7531" r:id="rId23281" display="https://twitter.com/saimisim_pasta" xr:uid="{B5B546E2-3168-45E1-A0F7-1FD4F591E70A}"/>
    <hyperlink ref="E7531" r:id="rId23282" display="https://twitter.com/saimisim_pasta/status/724277940154818560" xr:uid="{4A088D3E-A25B-434D-BF00-58FE8A1A6CBE}"/>
    <hyperlink ref="O7531" r:id="rId23283" display="https://pbs.twimg.com/profile_images/3495443611/f8d62116cc5175519399d65e25f834e2_normal.jpeg" xr:uid="{77E9AE29-3ACE-4182-9D2D-1BB25146DE01}"/>
    <hyperlink ref="B7532" r:id="rId23284" display="https://twitter.com/saimisim_pasta" xr:uid="{3CBA3F2F-03C8-4B71-9027-C2B9EE7DCDFC}"/>
    <hyperlink ref="E7532" r:id="rId23285" display="https://twitter.com/saimisim_pasta/status/724278152168505345" xr:uid="{42DAF65B-C6EF-4E9E-BB54-8F33B08D03AB}"/>
    <hyperlink ref="O7532" r:id="rId23286" display="https://pbs.twimg.com/profile_images/3495443611/f8d62116cc5175519399d65e25f834e2_normal.jpeg" xr:uid="{FD57FED8-4CA6-421D-9149-B4AC4EC9E826}"/>
    <hyperlink ref="B7533" r:id="rId23287" display="https://twitter.com/BulliundClyde" xr:uid="{ED117F17-9C47-4C04-BBFE-20281B1F9DA4}"/>
    <hyperlink ref="E7533" r:id="rId23288" display="https://twitter.com/BulliundClyde/status/724278310134505474" xr:uid="{255FB2FD-4289-4E56-B074-75B8CAB5A217}"/>
    <hyperlink ref="O7533" r:id="rId23289" display="https://pbs.twimg.com/profile_images/578486872965570560/5dIQvBah_normal.jpeg" xr:uid="{DE718B9E-BAC7-42E1-9563-DAAC6DD7098E}"/>
    <hyperlink ref="B7534" r:id="rId23290" display="https://twitter.com/_C4productions_" xr:uid="{10A74B3F-CDE7-4FA6-87AD-18E42D733FFD}"/>
    <hyperlink ref="E7534" r:id="rId23291" display="https://twitter.com/_C4productions_/status/724278372591800321" xr:uid="{3635FC37-4887-49ED-AE06-E013E23ACDA6}"/>
    <hyperlink ref="O7534" r:id="rId23292" display="https://pbs.twimg.com/profile_images/722863508832985088/NKyewnNu_normal.jpg" xr:uid="{B01DF2A0-FB45-43ED-9CBB-0FA293719E60}"/>
    <hyperlink ref="B7535" r:id="rId23293" display="https://twitter.com/hydronavitas1" xr:uid="{BE76A0D2-EBEA-433B-AFDA-A5420A2DCD13}"/>
    <hyperlink ref="E7535" r:id="rId23294" display="https://twitter.com/hydronavitas1/status/724278461733453824" xr:uid="{9611952C-0B46-4A34-8206-FA69AAC5D17B}"/>
    <hyperlink ref="O7535" r:id="rId23295" display="https://pbs.twimg.com/profile_images/482299890509578240/8vKC9fS-_normal.jpeg" xr:uid="{46757B72-EE06-4AAE-B9AC-C2196D8CD7EC}"/>
    <hyperlink ref="B7536" r:id="rId23296" display="https://twitter.com/oldcar_photo" xr:uid="{38800236-B23D-4960-9B7A-C99B6573996A}"/>
    <hyperlink ref="E7536" r:id="rId23297" display="https://twitter.com/oldcar_photo/status/724278773336694784" xr:uid="{ED72E519-8EC5-4D49-A9D5-938A8FC6C5F9}"/>
    <hyperlink ref="O7536" r:id="rId23298" display="https://pbs.twimg.com/profile_images/615493650785660928/XHUh6HOk_normal.jpg" xr:uid="{594944A4-0204-43BF-94E1-0E52049BE186}"/>
    <hyperlink ref="B7537" r:id="rId23299" display="https://twitter.com/PiratchenLukai" xr:uid="{47860133-DA54-4F3A-8F4D-C39BAE4B29EA}"/>
    <hyperlink ref="E7537" r:id="rId23300" display="https://twitter.com/PiratchenLukai/status/724278865443622912" xr:uid="{E679B02A-3C73-421C-AD3F-B6457110022B}"/>
    <hyperlink ref="O7537" r:id="rId23301" display="https://pbs.twimg.com/profile_images/2980701149/1e99eebe286037564b8c6b96d36c4b6d_normal.png" xr:uid="{B35DAE8F-7ACB-484C-AE07-4F73A90D5B33}"/>
    <hyperlink ref="B7538" r:id="rId23302" display="https://twitter.com/lucioogo" xr:uid="{3A624902-5B77-4C84-A5EA-7C35BB6A9C06}"/>
    <hyperlink ref="E7538" r:id="rId23303" display="https://twitter.com/lucioogo/status/724278986575110144" xr:uid="{A056B5A1-2EB4-4095-8614-8F2AAAE325FD}"/>
    <hyperlink ref="O7538" r:id="rId23304" display="https://pbs.twimg.com/profile_images/699747254790451200/XG8v3Sw1_normal.jpg" xr:uid="{7CA110D6-2CCD-43AD-9A80-5EEEB5DF4694}"/>
    <hyperlink ref="B7539" r:id="rId23305" display="https://twitter.com/joannemariol" xr:uid="{1A5FF399-9BE1-4E47-A3B1-AD6D9A0124AF}"/>
    <hyperlink ref="E7539" r:id="rId23306" display="https://twitter.com/joannemariol/status/724279017919123456" xr:uid="{45987363-46B4-4DC1-ACB2-A71CF8EFC2AB}"/>
    <hyperlink ref="O7539" r:id="rId23307" display="https://pbs.twimg.com/profile_images/470615666496532480/Su1-rkIN_normal.jpeg" xr:uid="{4EE2C6B7-21D1-4C05-B80D-972675A5F537}"/>
    <hyperlink ref="B7540" r:id="rId23308" display="https://twitter.com/VeeDubMk1_" xr:uid="{9786A8D2-9986-4B97-A6A2-E496C3B5353C}"/>
    <hyperlink ref="E7540" r:id="rId23309" display="https://twitter.com/VeeDubMk1_/status/724279081911619585" xr:uid="{E9945085-A198-4C4A-8D99-44AA86037526}"/>
    <hyperlink ref="O7540" r:id="rId23310" display="https://pbs.twimg.com/profile_images/672878354127839232/M7OYc-zx_normal.jpg" xr:uid="{18970F2A-16EB-4E25-B92B-DE4409203614}"/>
    <hyperlink ref="B7541" r:id="rId23311" display="https://twitter.com/VeeDubMk1_" xr:uid="{EF035271-685A-471E-8B54-59ED0CFAD562}"/>
    <hyperlink ref="E7541" r:id="rId23312" display="https://twitter.com/VeeDubMk1_/status/724279111062020096" xr:uid="{2F9BE3C9-444B-4332-9A11-B422FA286688}"/>
    <hyperlink ref="O7541" r:id="rId23313" display="https://pbs.twimg.com/profile_images/672878354127839232/M7OYc-zx_normal.jpg" xr:uid="{2998878E-19F9-4CC7-941D-9F7E6DC1DF51}"/>
    <hyperlink ref="B7542" r:id="rId23314" display="https://twitter.com/dara1980" xr:uid="{8E598752-499B-4AB9-A8C4-52A803FFE155}"/>
    <hyperlink ref="E7542" r:id="rId23315" display="https://twitter.com/dara1980/status/724279511714521088" xr:uid="{BBA05BA5-CAF8-4952-8A6A-195CB8212C6A}"/>
    <hyperlink ref="O7542" r:id="rId23316" display="https://pbs.twimg.com/profile_images/3009905788/c20827ae909b5b9adb79478e60b878d3_normal.jpeg" xr:uid="{EA0293A3-F7C5-4309-9A39-3EA01CEF399B}"/>
    <hyperlink ref="B7543" r:id="rId23317" display="https://twitter.com/ziromr" xr:uid="{67BFA587-6519-48B2-9450-C332658694EC}"/>
    <hyperlink ref="E7543" r:id="rId23318" display="https://twitter.com/ziromr/status/724279565896523776" xr:uid="{40FCDE58-D4B8-497B-83F8-185FC92AA7C6}"/>
    <hyperlink ref="O7543" r:id="rId23319" display="https://pbs.twimg.com/profile_images/666755495747825664/juRDyfXs_normal.png" xr:uid="{29183AFB-750A-4467-9BB7-18E8A907032B}"/>
    <hyperlink ref="B7544" r:id="rId23320" display="https://twitter.com/DoodleGmail" xr:uid="{9D320E98-669C-4F8A-8863-DCE846EB52FD}"/>
    <hyperlink ref="E7544" r:id="rId23321" display="https://twitter.com/DoodleGmail/status/724279912648065024" xr:uid="{CF82922B-F8FE-4872-8752-A7BACA4AE4ED}"/>
    <hyperlink ref="O7544" r:id="rId23322" display="https://pbs.twimg.com/profile_images/718382288556441601/l-vZ89O-_normal.jpg" xr:uid="{3A2516D4-90CB-40C5-9AE1-631FE7197075}"/>
    <hyperlink ref="B7545" r:id="rId23323" display="https://twitter.com/SantaPodRaceway" xr:uid="{16B81CB8-53CF-4487-B4DC-3ED0B81BAA13}"/>
    <hyperlink ref="E7545" r:id="rId23324" display="https://twitter.com/SantaPodRaceway/status/724280012577357824" xr:uid="{B0407378-1AFC-47D3-90E3-9A63DDC82CC7}"/>
    <hyperlink ref="O7545" r:id="rId23325" display="https://pbs.twimg.com/profile_images/378800000801365829/e9f28f8996ff7f098d9b8a1840e76f50_normal.png" xr:uid="{D889E03F-E7BC-42C1-AE09-9C76113FB886}"/>
    <hyperlink ref="B7546" r:id="rId23326" display="https://twitter.com/Scirocco_Tuning" xr:uid="{08AFD0E0-5C95-48E4-B268-B14635A1B27D}"/>
    <hyperlink ref="E7546" r:id="rId23327" display="https://twitter.com/Scirocco_Tuning/status/724280249110933504" xr:uid="{F556E942-69E6-4D5D-9FE1-3020EB5F80E2}"/>
    <hyperlink ref="O7546" r:id="rId23328" display="https://pbs.twimg.com/profile_images/1610421423/Image2_normal.jpg" xr:uid="{C729ACD6-2D34-4017-9AEF-57E0702059DD}"/>
    <hyperlink ref="B7547" r:id="rId23329" display="https://twitter.com/OnlineCarReview" xr:uid="{38410BD3-E4FF-4A1B-B13F-21A044A7B950}"/>
    <hyperlink ref="E7547" r:id="rId23330" display="https://twitter.com/OnlineCarReview/status/724280287027322880" xr:uid="{30EEB388-837F-493D-A13F-83BE58884567}"/>
    <hyperlink ref="O7547" r:id="rId23331" display="https://pbs.twimg.com/profile_images/652871584131092480/QA_B6SBO_normal.jpg" xr:uid="{2AAB91DA-BFCD-4118-9C87-1D8D794CC7E0}"/>
    <hyperlink ref="B7548" r:id="rId23332" display="https://twitter.com/druidznonwo" xr:uid="{473C749B-ACAC-4E7E-8A3B-7D3400C7F8FB}"/>
    <hyperlink ref="E7548" r:id="rId23333" display="https://twitter.com/druidznonwo/status/724280478124126213" xr:uid="{6EA6FB58-E770-4C83-9E37-239818946E2F}"/>
    <hyperlink ref="O7548" r:id="rId23334" display="https://pbs.twimg.com/profile_images/566251827340279808/an78GGmh_normal.jpeg" xr:uid="{2E2C6FDD-2507-48A8-9FB0-BBD54DF471BC}"/>
    <hyperlink ref="B7549" r:id="rId23335" display="https://twitter.com/NetzwerkggS21" xr:uid="{4647B07C-D7AE-4DA2-8900-741F5FEE19ED}"/>
    <hyperlink ref="E7549" r:id="rId23336" display="https://twitter.com/NetzwerkggS21/status/724280672110678018" xr:uid="{E5BC88FB-B242-4AF8-9473-339ACF6BDF41}"/>
    <hyperlink ref="M7549" r:id="rId23337" xr:uid="{568B9172-1E40-4F47-AD26-EAD399DD4A3B}"/>
    <hyperlink ref="O7549" r:id="rId23338" display="https://pbs.twimg.com/profile_images/378800000528765970/3ab9f2a00010e9cac08d5ca1638926e9_normal.png" xr:uid="{9027D9A1-756A-4A28-8655-E8B048603ED0}"/>
    <hyperlink ref="B7550" r:id="rId23339" display="https://twitter.com/SantaPodRaceway" xr:uid="{13306F31-442E-430D-853C-C3270218A4A9}"/>
    <hyperlink ref="E7550" r:id="rId23340" display="https://twitter.com/SantaPodRaceway/status/724280854990733312" xr:uid="{9E91E135-5A33-46F7-805C-9319AB1BDBEB}"/>
    <hyperlink ref="O7550" r:id="rId23341" display="https://pbs.twimg.com/profile_images/378800000801365829/e9f28f8996ff7f098d9b8a1840e76f50_normal.png" xr:uid="{0FC25179-70B8-47ED-8C99-985F16ED3BB5}"/>
    <hyperlink ref="B7551" r:id="rId23342" display="https://twitter.com/LizzysNewsDude" xr:uid="{F14B3AFE-32BA-4869-BC95-1DFD75AC3DB5}"/>
    <hyperlink ref="E7551" r:id="rId23343" display="https://twitter.com/LizzysNewsDude/status/724281838613762050" xr:uid="{5D9E6D03-B45F-445E-B83C-AD6AE91D5328}"/>
    <hyperlink ref="O7551" r:id="rId23344" display="https://pbs.twimg.com/profile_images/551452378595987456/j1ydC16c_normal.jpeg" xr:uid="{313C39B8-1AC4-4BF7-8B7A-3C3CDA17B76D}"/>
    <hyperlink ref="B7552" r:id="rId23345" display="https://twitter.com/PaulbrooksAMG" xr:uid="{472FACBD-94E8-4912-A6DD-E9F07B22926C}"/>
    <hyperlink ref="E7552" r:id="rId23346" display="https://twitter.com/PaulbrooksAMG/status/724282089361780736" xr:uid="{54A8480B-6FBE-469D-87E8-8143D3BE7613}"/>
    <hyperlink ref="O7552" r:id="rId23347" display="https://pbs.twimg.com/profile_images/622455357219176448/1ysvnVP5_normal.jpg" xr:uid="{A0576076-A95F-4B28-AFE6-4A1E48C01BA5}"/>
    <hyperlink ref="B7553" r:id="rId23348" display="https://twitter.com/HireVw" xr:uid="{6E88E9F2-2CDF-4551-8196-FCA23F2038CD}"/>
    <hyperlink ref="E7553" r:id="rId23349" display="https://twitter.com/HireVw/status/724282248002977795" xr:uid="{A7555F07-D968-43A0-9561-6B07077A0FD2}"/>
    <hyperlink ref="O7553" r:id="rId23350" display="https://pbs.twimg.com/profile_images/651741743885484033/cqMKQO9J_normal.jpg" xr:uid="{B8996C76-4A99-40A6-8319-B9AB79D4F3F8}"/>
    <hyperlink ref="B7554" r:id="rId23351" display="https://twitter.com/AutoExpress" xr:uid="{E5C08E6C-3045-4556-930D-7E862C6FDAE2}"/>
    <hyperlink ref="E7554" r:id="rId23352" display="https://twitter.com/AutoExpress/status/724282516790611968" xr:uid="{A5ED7EE5-EFBA-4407-85C0-0D4BFB2FD5EF}"/>
    <hyperlink ref="O7554" r:id="rId23353" display="https://pbs.twimg.com/profile_images/378800000673633859/9729e4c280465095c6f835c9f6b36378_normal.jpeg" xr:uid="{D4FBE0E0-C7BE-4264-A710-1621C73A4563}"/>
    <hyperlink ref="B7555" r:id="rId23354" display="https://twitter.com/skellydesign" xr:uid="{0B1A28B5-E713-4282-B3A4-110A9E3BF328}"/>
    <hyperlink ref="E7555" r:id="rId23355" display="https://twitter.com/skellydesign/status/724282739273261056" xr:uid="{351BF0C9-4600-442F-AE6C-37FE49B7D060}"/>
    <hyperlink ref="O7555" r:id="rId23356" display="https://pbs.twimg.com/profile_images/80593537/skd_id_normal.jpg" xr:uid="{4D56D006-35FE-4801-8C38-AC363234EEBB}"/>
    <hyperlink ref="B7556" r:id="rId23357" display="https://twitter.com/RTLRally" xr:uid="{9B2D5F15-519E-4E28-8A99-EFCEC6FCADD4}"/>
    <hyperlink ref="E7556" r:id="rId23358" display="https://twitter.com/RTLRally/status/724283074180210693" xr:uid="{778C0734-AC81-4C57-A998-A2A7366D9A52}"/>
    <hyperlink ref="O7556" r:id="rId23359" display="https://pbs.twimg.com/profile_images/711506516294041600/1fr0IryT_normal.jpg" xr:uid="{7EC40C04-7D05-4258-8015-D5FCFFC8EE98}"/>
    <hyperlink ref="B7557" r:id="rId23360" display="https://twitter.com/RainerLoveiam" xr:uid="{AE0697C6-4A85-40AC-A4E2-D5A784D7A020}"/>
    <hyperlink ref="E7557" r:id="rId23361" display="https://twitter.com/RainerLoveiam/status/724283362668646400" xr:uid="{06B4E58E-4435-4DE2-B2CA-E612405F4F98}"/>
    <hyperlink ref="O7557" r:id="rId23362" display="https://pbs.twimg.com/profile_images/663496534898667520/iU7N9Oso_normal.jpg" xr:uid="{68CEE51F-2091-4DCF-A319-E616C17CA812}"/>
    <hyperlink ref="B7558" r:id="rId23363" display="https://twitter.com/LoDijoTito" xr:uid="{D38C6793-0D79-4398-98B3-D9489B5DED5B}"/>
    <hyperlink ref="E7558" r:id="rId23364" display="https://twitter.com/LoDijoTito/status/724283505904066560" xr:uid="{C32CE4FF-1A2F-4D74-A362-3DC24B68708F}"/>
    <hyperlink ref="O7558" r:id="rId23365" display="https://pbs.twimg.com/profile_images/378800000080536808/27d73bf18de691ed686410d5b0d71bac_normal.jpeg" xr:uid="{3227D4D3-0BA4-4E9B-AA7E-CBC4810AA9B9}"/>
    <hyperlink ref="B7559" r:id="rId23366" display="https://twitter.com/RTLRally" xr:uid="{8479A5DF-0A3B-4FE3-8A21-57FAA1FD9F23}"/>
    <hyperlink ref="E7559" r:id="rId23367" display="https://twitter.com/RTLRally/status/724283611164348416" xr:uid="{8E5EA7DD-D6B7-40F9-A447-A97BF393C42E}"/>
    <hyperlink ref="O7559" r:id="rId23368" display="https://pbs.twimg.com/profile_images/711506516294041600/1fr0IryT_normal.jpg" xr:uid="{A978DB86-B413-46BB-8EB9-D4A3A380EB42}"/>
    <hyperlink ref="B7560" r:id="rId23369" display="https://twitter.com/hameles" xr:uid="{1155E79A-D03E-4D7E-8399-EBAF883658E6}"/>
    <hyperlink ref="E7560" r:id="rId23370" display="https://twitter.com/hameles/status/724283798758789122" xr:uid="{984307FF-2315-4B1B-857D-D13F78C5BCE7}"/>
    <hyperlink ref="O7560" r:id="rId23371" display="https://pbs.twimg.com/profile_images/720884007152394240/OWYVobwN_normal.jpg" xr:uid="{192F4D1E-1E7D-4BC0-B9D6-4A5DA53F9F1B}"/>
    <hyperlink ref="B7561" r:id="rId23372" display="https://twitter.com/VWBeetleSales" xr:uid="{6D3DBA84-BAE1-4679-8344-8A735BA39F17}"/>
    <hyperlink ref="E7561" r:id="rId23373" display="https://twitter.com/VWBeetleSales/status/724284543922896897" xr:uid="{6413D577-D6A4-42E7-981C-0E0E6079183D}"/>
    <hyperlink ref="F7561" r:id="rId23374" xr:uid="{3693FB66-E740-4A4F-B4C7-B9950BDA961A}"/>
    <hyperlink ref="O7561" r:id="rId23375" display="https://pbs.twimg.com/profile_images/703294545195307008/qeCvrX86_normal.jpg" xr:uid="{9C2A87CB-EB92-4D91-A491-0088BB45C56A}"/>
    <hyperlink ref="B7562" r:id="rId23376" display="https://twitter.com/VWBeetleSales" xr:uid="{BDA6B304-DFBD-40CA-A7B7-7324B9A1FA19}"/>
    <hyperlink ref="E7562" r:id="rId23377" display="https://twitter.com/VWBeetleSales/status/724284549375492096" xr:uid="{F3C4CBF4-0B89-40A4-9C98-93D140F676F2}"/>
    <hyperlink ref="F7562" r:id="rId23378" xr:uid="{61C61C16-F438-4DF0-909A-70BB00275052}"/>
    <hyperlink ref="O7562" r:id="rId23379" display="https://pbs.twimg.com/profile_images/703294545195307008/qeCvrX86_normal.jpg" xr:uid="{42FC9E6B-CB36-471D-9529-899A297CFC58}"/>
    <hyperlink ref="B7563" r:id="rId23380" display="https://twitter.com/VWBeetleSales" xr:uid="{161195FE-68FA-4674-977A-60182A604F0C}"/>
    <hyperlink ref="E7563" r:id="rId23381" display="https://twitter.com/VWBeetleSales/status/724284553196527616" xr:uid="{7A937F60-58BF-4757-9839-D0FE8A5EF538}"/>
    <hyperlink ref="F7563" r:id="rId23382" xr:uid="{7F61E95E-F3DE-4880-8510-ED1486B5F7AF}"/>
    <hyperlink ref="O7563" r:id="rId23383" display="https://pbs.twimg.com/profile_images/703294545195307008/qeCvrX86_normal.jpg" xr:uid="{DF1B6792-754D-4B12-85A9-9C2A44F79AB6}"/>
    <hyperlink ref="B7564" r:id="rId23384" display="https://twitter.com/VWCamperSales" xr:uid="{BA30B332-B89B-4689-84B0-E2C5004014DB}"/>
    <hyperlink ref="E7564" r:id="rId23385" display="https://twitter.com/VWCamperSales/status/724284553712398336" xr:uid="{0A3D6169-2E4D-4778-9975-941437C14BF5}"/>
    <hyperlink ref="F7564" r:id="rId23386" xr:uid="{91193992-B879-4172-97EF-69570E2D48CD}"/>
    <hyperlink ref="O7564" r:id="rId23387" display="https://pbs.twimg.com/profile_images/627949001179037696/skEBkS05_normal.jpg" xr:uid="{13A9B73C-3711-4F1B-B358-405EA424A932}"/>
    <hyperlink ref="B7565" r:id="rId23388" display="https://twitter.com/JanaHeykDesign" xr:uid="{F9EF2566-9E2A-48E0-AF46-0802CC7B8CCA}"/>
    <hyperlink ref="E7565" r:id="rId23389" display="https://twitter.com/JanaHeykDesign/status/724285223203147781" xr:uid="{1D2F38A1-C2C3-41A5-8F14-B482B5E05CEB}"/>
    <hyperlink ref="O7565" r:id="rId23390" display="https://pbs.twimg.com/profile_images/474214996038000641/KcxS-Yts_normal.png" xr:uid="{1B879A5A-9A86-4FFF-B0C9-6481AC2B66B3}"/>
    <hyperlink ref="B7566" r:id="rId23391" display="https://twitter.com/acvwpassion" xr:uid="{31149E94-2E7C-4F64-9F22-CE9AE56E9EC8}"/>
    <hyperlink ref="E7566" r:id="rId23392" display="https://twitter.com/acvwpassion/status/724285555668860928" xr:uid="{31DCAA10-1172-4352-A99B-FFC53F37CCD6}"/>
    <hyperlink ref="O7566" r:id="rId23393" display="https://pbs.twimg.com/profile_images/545688359964651520/SF3sJ7lv_normal.jpeg" xr:uid="{1A85FD6C-3DAC-44A1-BB86-10E3815241D0}"/>
    <hyperlink ref="B7567" r:id="rId23394" display="https://twitter.com/leofloreste" xr:uid="{A098D4DB-5567-4EC4-A548-1E9A7A30A9E7}"/>
    <hyperlink ref="E7567" r:id="rId23395" display="https://twitter.com/leofloreste/status/724285567081435137" xr:uid="{05B60395-C64C-4FD3-9BA5-42B7FD9ECF7D}"/>
    <hyperlink ref="O7567" r:id="rId23396" display="https://pbs.twimg.com/profile_images/524019859764822018/Vd7XM8iP_normal.jpeg" xr:uid="{61EBB646-8999-417B-A843-0DB759BB6BBC}"/>
    <hyperlink ref="B7568" r:id="rId23397" display="https://twitter.com/LulubelleLimoVW" xr:uid="{5D761F09-F2CE-4D3B-8F10-9855886075E6}"/>
    <hyperlink ref="E7568" r:id="rId23398" display="https://twitter.com/LulubelleLimoVW/status/724286750907052033" xr:uid="{047811DE-8A54-487E-90AD-501413EC9805}"/>
    <hyperlink ref="O7568" r:id="rId23399" display="https://pbs.twimg.com/profile_images/697539834840268800/fIANhnLA_normal.jpg" xr:uid="{722087F7-E251-46B6-8D29-2F6132DAE073}"/>
    <hyperlink ref="B7569" r:id="rId23400" display="https://twitter.com/Hard_Stance" xr:uid="{E5970760-538F-4FE9-9440-CC93F779E42F}"/>
    <hyperlink ref="E7569" r:id="rId23401" display="https://twitter.com/Hard_Stance/status/724286870570565632" xr:uid="{EC5767B0-436F-4089-B588-6B5396B3C65D}"/>
    <hyperlink ref="O7569" r:id="rId23402" display="https://pbs.twimg.com/profile_images/642798649760743424/Ky_zidvM_normal.jpg" xr:uid="{D392B0EB-341D-4D98-AE74-66F81FC4EBD6}"/>
    <hyperlink ref="B7570" r:id="rId23403" display="https://twitter.com/LulubelleLimoVW" xr:uid="{ACF7D737-AB12-43EE-B96B-0D47C6C4EDFF}"/>
    <hyperlink ref="E7570" r:id="rId23404" display="https://twitter.com/LulubelleLimoVW/status/724286992608047104" xr:uid="{21341C28-F391-4DC2-A44B-64361E91B444}"/>
    <hyperlink ref="O7570" r:id="rId23405" display="https://pbs.twimg.com/profile_images/697539834840268800/fIANhnLA_normal.jpg" xr:uid="{6DD6DD0D-E093-4351-A577-3E7D386C3DFE}"/>
    <hyperlink ref="B7571" r:id="rId23406" display="https://twitter.com/NorthWestDubs" xr:uid="{2A2585D8-9FD5-4BD7-9204-DACBDB81E7EC}"/>
    <hyperlink ref="E7571" r:id="rId23407" display="https://twitter.com/NorthWestDubs/status/724287125512921089" xr:uid="{195C9427-C415-4B2F-982E-C8F756CAADA7}"/>
    <hyperlink ref="O7571" r:id="rId23408" display="https://pbs.twimg.com/profile_images/3325520037/cf2027069deae5dc44e82172d33a6683_normal.jpeg" xr:uid="{04256705-BF92-43B1-A728-C61987D7E8C4}"/>
    <hyperlink ref="B7572" r:id="rId23409" display="https://twitter.com/DieselTech_Jobs" xr:uid="{8C5CE628-352E-4C77-BF6D-177A5ABF1A4D}"/>
    <hyperlink ref="E7572" r:id="rId23410" display="https://twitter.com/DieselTech_Jobs/status/724287288260304896" xr:uid="{BB677F42-9E72-4C81-9CC9-405B5F1BA00D}"/>
    <hyperlink ref="O7572" r:id="rId23411" display="https://pbs.twimg.com/profile_images/630822635031494660/c2UrU8oi_normal.jpg" xr:uid="{6C3A58F3-2F95-47C0-929D-9F796D78FFCC}"/>
    <hyperlink ref="B7573" r:id="rId23412" display="https://twitter.com/berlinhabercom" xr:uid="{7EA1B1CE-1608-4251-AA21-26C4E055908D}"/>
    <hyperlink ref="C7573" r:id="rId23413" xr:uid="{0A79FBD3-1670-4000-9C3C-2E0FA1A3B531}"/>
    <hyperlink ref="E7573" r:id="rId23414" display="https://twitter.com/berlinhabercom/status/724287715659943936" xr:uid="{C8F65044-191B-4C9E-A598-DE2DD4B42E6D}"/>
    <hyperlink ref="O7573" r:id="rId23415" display="https://pbs.twimg.com/profile_images/473555745741344768/83uhhxQy_normal.jpeg" xr:uid="{CC10B100-22A1-43D1-9D31-8206845F4E33}"/>
    <hyperlink ref="B7574" r:id="rId23416" display="https://twitter.com/VWCamperSales" xr:uid="{CE7EF0A1-1133-44AC-8B41-9936E714CAEF}"/>
    <hyperlink ref="E7574" r:id="rId23417" display="https://twitter.com/VWCamperSales/status/724287818889977857" xr:uid="{41D6D678-4D4A-4A41-8F46-77F2AD79AE4A}"/>
    <hyperlink ref="F7574" r:id="rId23418" xr:uid="{08B0E23C-431C-4B4B-8F34-6AEF8D0F4D61}"/>
    <hyperlink ref="O7574" r:id="rId23419" display="https://pbs.twimg.com/profile_images/627949001179037696/skEBkS05_normal.jpg" xr:uid="{E54E24D2-60DC-42A4-A3DD-80CC6C6CCC63}"/>
    <hyperlink ref="B7575" r:id="rId23420" display="https://twitter.com/William24442835" xr:uid="{A2C04116-42EB-4F76-AE39-27857B927D32}"/>
    <hyperlink ref="E7575" r:id="rId23421" display="https://twitter.com/William24442835/status/724287902830735364" xr:uid="{4E7012C1-FE46-4505-A434-C1E53BE15D10}"/>
    <hyperlink ref="O7575" r:id="rId23422" display="https://pbs.twimg.com/profile_images/724246833908867073/ZHG0-icg_normal.jpg" xr:uid="{5BD0DA33-D05E-4BAF-BFAA-CAB10C54D01C}"/>
    <hyperlink ref="B7576" r:id="rId23423" display="https://twitter.com/StageFrightAmps" xr:uid="{D773BD81-2CD5-4544-8BC1-A9D5CA512A88}"/>
    <hyperlink ref="E7576" r:id="rId23424" display="https://twitter.com/StageFrightAmps/status/724288115087544320" xr:uid="{ED2CED8C-00E7-4883-8A59-8BCCF3E9C29A}"/>
    <hyperlink ref="O7576" r:id="rId23425" display="https://pbs.twimg.com/profile_images/502830767638990848/J_G3puyt_normal.jpeg" xr:uid="{A6B4A970-9B27-46A1-BB79-E485C55B5B2A}"/>
    <hyperlink ref="B7577" r:id="rId23426" display="https://twitter.com/Mister_Ka" xr:uid="{5F66C470-0AF7-405C-B538-693B5B6ADDC5}"/>
    <hyperlink ref="E7577" r:id="rId23427" display="https://twitter.com/Mister_Ka/status/724288131424505856" xr:uid="{3FACC397-3EA3-4CD1-8946-0772024FA11E}"/>
    <hyperlink ref="O7577" r:id="rId23428" display="https://pbs.twimg.com/profile_images/471317709280776192/aJ3LGXof_normal.jpeg" xr:uid="{128D78AA-72B2-49E4-8A66-A01B0880B627}"/>
    <hyperlink ref="B7578" r:id="rId23429" display="https://twitter.com/shanicebarnes_" xr:uid="{7589E132-BEDE-4458-9EA0-7FA65795076F}"/>
    <hyperlink ref="E7578" r:id="rId23430" display="https://twitter.com/shanicebarnes_/status/724288421288652800" xr:uid="{839062F8-A6DA-443D-9DC9-279EB5AFFF6E}"/>
    <hyperlink ref="O7578" r:id="rId23431" display="https://pbs.twimg.com/profile_images/721685831166111744/HWnVj-Yd_normal.jpg" xr:uid="{90808DE5-5830-4AB4-B6D7-8CB1CA7BD3E4}"/>
    <hyperlink ref="B7579" r:id="rId23432" display="https://twitter.com/shannonspraytan" xr:uid="{CA273267-9046-4C98-9B15-388B537C44D0}"/>
    <hyperlink ref="E7579" r:id="rId23433" display="https://twitter.com/shannonspraytan/status/724288478402371588" xr:uid="{C1C64AA5-C324-48A7-8201-41F50806E6DE}"/>
    <hyperlink ref="O7579" r:id="rId23434" display="https://pbs.twimg.com/profile_images/714524596377092096/PkKj4kV9_normal.jpg" xr:uid="{241D5530-4A21-4C87-916C-44468D62C45D}"/>
    <hyperlink ref="B7580" r:id="rId23435" display="https://twitter.com/Campervan_Andy" xr:uid="{02A16EB6-9A11-4457-B525-FC7739AE5663}"/>
    <hyperlink ref="E7580" r:id="rId23436" display="https://twitter.com/Campervan_Andy/status/724288752269574144" xr:uid="{70552F89-3999-47FE-9263-6826F2E67187}"/>
    <hyperlink ref="O7580" r:id="rId23437" display="https://pbs.twimg.com/profile_images/612945932951388160/rufK4V2A_normal.jpg" xr:uid="{12EAC871-73CB-4F5C-9C0E-85BA91672497}"/>
    <hyperlink ref="B7581" r:id="rId23438" display="https://twitter.com/Adamnoble81" xr:uid="{63B763E3-73A6-48EB-8FB2-473BCDB11D68}"/>
    <hyperlink ref="E7581" r:id="rId23439" display="https://twitter.com/Adamnoble81/status/724288822499008513" xr:uid="{54F46E88-08C0-4148-95A1-FA21003CB66B}"/>
    <hyperlink ref="O7581" r:id="rId23440" display="https://pbs.twimg.com/profile_images/722914832924688384/aGUfJV7g_normal.jpg" xr:uid="{49D9122A-8579-4860-AA38-2FF62714A94E}"/>
    <hyperlink ref="B7582" r:id="rId23441" display="https://twitter.com/a_cologne" xr:uid="{36F3BDCB-61CC-4CD3-8154-FFE16AD135D4}"/>
    <hyperlink ref="E7582" r:id="rId23442" display="https://twitter.com/a_cologne/status/724289510893301760" xr:uid="{D3B0B3A3-7417-4C0D-9755-01CF4CA761EB}"/>
    <hyperlink ref="O7582" r:id="rId23443" display="https://pbs.twimg.com/profile_images/665794155369668608/801u7DY1_normal.png" xr:uid="{05E17792-F069-4A9D-8459-F88BDD92C216}"/>
    <hyperlink ref="B7583" r:id="rId23444" display="https://twitter.com/ThreeCountyVW" xr:uid="{F391A877-656D-4070-8526-BE40B96C5995}"/>
    <hyperlink ref="E7583" r:id="rId23445" display="https://twitter.com/ThreeCountyVW/status/724289806688116736" xr:uid="{957DE818-6D86-4FB7-92F8-FBFB499EA675}"/>
    <hyperlink ref="O7583" r:id="rId23446" display="https://pbs.twimg.com/profile_images/510134807351672832/NEa_-oCU_normal.jpeg" xr:uid="{F38884A6-BCEA-4AF5-B2A5-2F8F05B0EAED}"/>
    <hyperlink ref="B7584" r:id="rId23447" display="https://twitter.com/whats_live_de" xr:uid="{0C486830-3E76-4414-8234-5415D8907524}"/>
    <hyperlink ref="E7584" r:id="rId23448" display="https://twitter.com/whats_live_de/status/724289892235264003" xr:uid="{B982A4A8-7B2D-461C-8A01-BAB8BFA12D63}"/>
    <hyperlink ref="O7584" r:id="rId23449" display="https://pbs.twimg.com/profile_images/661836271137005568/Yw0EzI1R_normal.jpg" xr:uid="{9B73FE7E-04F2-4F48-9210-8621CB1A2041}"/>
    <hyperlink ref="B7585" r:id="rId23450" display="https://twitter.com/dapper013" xr:uid="{32A2B877-5AD5-4737-8122-78F51497E18C}"/>
    <hyperlink ref="E7585" r:id="rId23451" display="https://twitter.com/dapper013/status/724289917623390209" xr:uid="{2A9F09A1-712E-4A9A-A82C-2C38AF7FCC43}"/>
    <hyperlink ref="O7585" r:id="rId23452" display="https://pbs.twimg.com/profile_images/704424786777280513/YQVkJF57_normal.jpg" xr:uid="{AC8C8829-53EB-4AE8-B6C8-86DF7A2EA1E0}"/>
    <hyperlink ref="B7586" r:id="rId23453" display="https://twitter.com/coccicab71" xr:uid="{A21916B4-3345-4A2D-B097-4324E7BA55AB}"/>
    <hyperlink ref="E7586" r:id="rId23454" display="https://twitter.com/coccicab71/status/724289939756716032" xr:uid="{BE24823F-237C-4846-9EE8-F23BD6D67D63}"/>
    <hyperlink ref="O7586" r:id="rId23455" display="https://pbs.twimg.com/profile_images/3728536184/f8618f162b51e72519303cccedbec92b_normal.jpeg" xr:uid="{8D420448-5CA7-41C0-A594-7638BD055438}"/>
    <hyperlink ref="B7587" r:id="rId23456" display="https://twitter.com/ConfitesUK" xr:uid="{A6D71247-AC7E-4D48-B9EB-B7CBB0295771}"/>
    <hyperlink ref="E7587" r:id="rId23457" display="https://twitter.com/ConfitesUK/status/724290216912162817" xr:uid="{F28860B5-DA52-4FF5-B9ED-CC889F7DDD1F}"/>
    <hyperlink ref="O7587" r:id="rId23458" display="https://pbs.twimg.com/profile_images/678914229802504192/IMKzgGkJ_normal.jpg" xr:uid="{4E1D417B-BEBF-4542-816B-2B429859CCCE}"/>
    <hyperlink ref="B7588" r:id="rId23459" display="https://twitter.com/linaiolanda" xr:uid="{A9F7047C-4999-4F05-950E-BC1A6D9C8220}"/>
    <hyperlink ref="E7588" r:id="rId23460" display="https://twitter.com/linaiolanda/status/724290809714061312" xr:uid="{C28D7337-7BF4-4655-A996-D040902B7AD9}"/>
    <hyperlink ref="N7588" r:id="rId23461" xr:uid="{12CE354D-D410-44A1-B545-820332703C6E}"/>
    <hyperlink ref="O7588" r:id="rId23462" display="https://pbs.twimg.com/profile_images/720219516639322112/irnAQT4-_normal.jpg" xr:uid="{0B04580B-C581-4E47-A569-95AC4A8ACF40}"/>
    <hyperlink ref="B7589" r:id="rId23463" display="https://twitter.com/PaulMIllerVW" xr:uid="{20C65185-E19D-4037-AFD8-A952CE498BF0}"/>
    <hyperlink ref="E7589" r:id="rId23464" display="https://twitter.com/PaulMIllerVW/status/724290813375598593" xr:uid="{7DFBBC64-0C0D-446C-815C-A9E57A703CFE}"/>
    <hyperlink ref="O7589" r:id="rId23465" display="https://pbs.twimg.com/profile_images/606538524934807552/brKPBufq_normal.jpg" xr:uid="{34373D8F-A6CA-422C-B0E7-376B7294E6F1}"/>
    <hyperlink ref="B7590" r:id="rId23466" display="https://twitter.com/coccicab71" xr:uid="{A1DCF5C2-0CE0-44D3-A621-350F93777784}"/>
    <hyperlink ref="E7590" r:id="rId23467" display="https://twitter.com/coccicab71/status/724291056322400256" xr:uid="{939787E0-71C1-43AC-884B-AFDF5908DB05}"/>
    <hyperlink ref="O7590" r:id="rId23468" display="https://pbs.twimg.com/profile_images/3728536184/f8618f162b51e72519303cccedbec92b_normal.jpeg" xr:uid="{89DAF3EA-4457-4DC1-B033-0D859170A64A}"/>
    <hyperlink ref="B7591" r:id="rId23469" display="https://twitter.com/DeichCruiser" xr:uid="{11BF2FF8-B90D-4671-BB31-DBBCA8298501}"/>
    <hyperlink ref="E7591" r:id="rId23470" display="https://twitter.com/DeichCruiser/status/724291233816948737" xr:uid="{C9009C4C-20B5-47FB-8141-9718D2121AA1}"/>
    <hyperlink ref="O7591" r:id="rId23471" display="https://pbs.twimg.com/profile_images/723915126089371648/AfcVwe8r_normal.jpg" xr:uid="{62E65947-4869-4429-9998-F15B1B4FF9CB}"/>
    <hyperlink ref="B7592" r:id="rId23472" display="https://twitter.com/Tschompot" xr:uid="{AFD0CC8F-BB25-42EC-B6BB-3A726B349F99}"/>
    <hyperlink ref="E7592" r:id="rId23473" display="https://twitter.com/Tschompot/status/724291428269043712" xr:uid="{3A2BF1A7-66F6-47CE-81B3-230C674452FE}"/>
    <hyperlink ref="O7592" r:id="rId23474" display="https://pbs.twimg.com/profile_images/577149877454397440/aD-cSKzv_normal.jpeg" xr:uid="{8F7E11F0-4505-4437-80EA-EF392B4AC292}"/>
    <hyperlink ref="B7593" r:id="rId23475" display="https://twitter.com/luchiGarello" xr:uid="{F87A928D-577E-4C81-8739-76DFA3B4CCD2}"/>
    <hyperlink ref="E7593" r:id="rId23476" display="https://twitter.com/luchiGarello/status/724291717344702467" xr:uid="{B225078E-1888-472E-B0F1-A4D7681662C0}"/>
    <hyperlink ref="O7593" r:id="rId23477" display="https://pbs.twimg.com/profile_images/720728361371365376/q5nNqU7Q_normal.jpg" xr:uid="{D82F5E06-ABB8-4F9C-B3E1-BF09B8FB8135}"/>
    <hyperlink ref="P7593" r:id="rId23478" location="-31.4,-64.1833" display="http://ctrlq.org/maps/address/ - -31.4,-64.1833" xr:uid="{843EC388-EAE7-43B4-88F8-67D0065ADC7B}"/>
    <hyperlink ref="B7594" r:id="rId23479" display="https://twitter.com/ldnsecuritysynd" xr:uid="{F5391135-292C-47A0-903B-007ABB809CC0}"/>
    <hyperlink ref="E7594" r:id="rId23480" display="https://twitter.com/ldnsecuritysynd/status/724291784327729153" xr:uid="{77A8E9C2-5E64-4D23-946D-4572CE52A448}"/>
    <hyperlink ref="O7594" r:id="rId23481" display="https://pbs.twimg.com/profile_images/593454474041102336/YZAKB69P_normal.jpg" xr:uid="{9ACD8BBE-92DD-40F5-B273-8BE1995D754E}"/>
    <hyperlink ref="B7595" r:id="rId23482" display="https://twitter.com/ThomasEngst" xr:uid="{EDB6628A-D83E-4A36-BAFE-E2E9A7DB57DB}"/>
    <hyperlink ref="E7595" r:id="rId23483" display="https://twitter.com/ThomasEngst/status/724292033343590401" xr:uid="{BECD649D-22F0-474E-923F-09AB17A7B991}"/>
    <hyperlink ref="O7595" r:id="rId23484" display="https://pbs.twimg.com/profile_images/694190122397474816/NBlk8fLo_normal.jpg" xr:uid="{1EC969B7-A496-4355-AB04-E5C358C19D91}"/>
    <hyperlink ref="B7596" r:id="rId23485" display="https://twitter.com/ldnsecuritysynd" xr:uid="{4EDAF756-4075-4032-B196-CA4D9E8615A3}"/>
    <hyperlink ref="E7596" r:id="rId23486" display="https://twitter.com/ldnsecuritysynd/status/724292038036992000" xr:uid="{A681B680-90A8-42E4-B02E-C460E9CECA19}"/>
    <hyperlink ref="O7596" r:id="rId23487" display="https://pbs.twimg.com/profile_images/593454474041102336/YZAKB69P_normal.jpg" xr:uid="{3D4D8BE6-BFC8-4180-9908-0612B4503D7F}"/>
    <hyperlink ref="B7597" r:id="rId23488" display="https://twitter.com/writing_roach" xr:uid="{31C1119D-BE89-4E45-BBBE-57C22ABE89B1}"/>
    <hyperlink ref="E7597" r:id="rId23489" display="https://twitter.com/writing_roach/status/724292216278159360" xr:uid="{CDE4F68A-CC48-4D7C-BBCB-2D9970454274}"/>
    <hyperlink ref="O7597" r:id="rId23490" display="https://pbs.twimg.com/profile_images/723251063491571712/mNQ_28rk_normal.jpg" xr:uid="{3D41D477-549C-4481-9513-046E21983E84}"/>
    <hyperlink ref="B7598" r:id="rId23491" display="https://twitter.com/VWCamperSales" xr:uid="{8E5A7AF1-AD99-4AAE-9FD7-B5B5BB748146}"/>
    <hyperlink ref="E7598" r:id="rId23492" display="https://twitter.com/VWCamperSales/status/724292344845991936" xr:uid="{7061C71D-8231-469C-B940-5C607C4C6666}"/>
    <hyperlink ref="F7598" r:id="rId23493" xr:uid="{6EF37250-9828-4D0D-9C98-F1DD65226779}"/>
    <hyperlink ref="O7598" r:id="rId23494" display="https://pbs.twimg.com/profile_images/627949001179037696/skEBkS05_normal.jpg" xr:uid="{5BB78D5D-1E69-4DD6-9BE5-338CDF180413}"/>
    <hyperlink ref="B7599" r:id="rId23495" display="https://twitter.com/vinylwarning" xr:uid="{AE536B94-B898-45DC-ACB5-4483F088E2DF}"/>
    <hyperlink ref="E7599" r:id="rId23496" display="https://twitter.com/vinylwarning/status/724292530758639617" xr:uid="{71821072-2933-4D11-894A-905B50A710E9}"/>
    <hyperlink ref="O7599" r:id="rId23497" display="https://pbs.twimg.com/profile_images/579675590736941057/YOzPSpaE_normal.jpg" xr:uid="{2BD36182-35F5-4F06-8832-44AF3E8A4256}"/>
    <hyperlink ref="B7600" r:id="rId23498" display="https://twitter.com/ldnsecuritysynd" xr:uid="{FB49FDA1-1811-4FA9-8F21-59FA3C0F91C6}"/>
    <hyperlink ref="E7600" r:id="rId23499" display="https://twitter.com/ldnsecuritysynd/status/724292979750481924" xr:uid="{580043AF-A382-495F-9865-8C2C72E113ED}"/>
    <hyperlink ref="O7600" r:id="rId23500" display="https://pbs.twimg.com/profile_images/593454474041102336/YZAKB69P_normal.jpg" xr:uid="{C573A212-0C32-42A8-835C-69088EE6CB01}"/>
    <hyperlink ref="B7601" r:id="rId23501" display="https://twitter.com/DubLuvTuning" xr:uid="{B32F3A15-88D6-4AD3-8B45-5151A3973957}"/>
    <hyperlink ref="E7601" r:id="rId23502" display="https://twitter.com/DubLuvTuning/status/724293965009305601" xr:uid="{9B394352-7BB1-4AAE-910D-C24BAB17F290}"/>
    <hyperlink ref="O7601" r:id="rId23503" display="https://pbs.twimg.com/profile_images/378800000572104796/1de43e1cf23efb3f4101c02afad0d3b6_normal.png" xr:uid="{73F889E2-3BC5-45C2-A25E-D5CFD017763A}"/>
    <hyperlink ref="B7602" r:id="rId23504" display="https://twitter.com/VWBeetleSales" xr:uid="{E13D7107-93B9-4447-8417-C7548F22ECDE}"/>
    <hyperlink ref="E7602" r:id="rId23505" display="https://twitter.com/VWBeetleSales/status/724294099633725440" xr:uid="{A48C2B1D-C175-4980-B57B-E625754FF1D4}"/>
    <hyperlink ref="F7602" r:id="rId23506" xr:uid="{53D60A97-7B6D-4CC4-80B9-F7932B2C3CE5}"/>
    <hyperlink ref="O7602" r:id="rId23507" display="https://pbs.twimg.com/profile_images/703294545195307008/qeCvrX86_normal.jpg" xr:uid="{B2486502-3D06-48FC-95C6-F7AB9954C4C2}"/>
    <hyperlink ref="B7603" r:id="rId23508" display="https://twitter.com/thesecretcaddie" xr:uid="{2B14AC77-DECA-4FC8-91D8-D96D61493CFF}"/>
    <hyperlink ref="E7603" r:id="rId23509" display="https://twitter.com/thesecretcaddie/status/724294177887014912" xr:uid="{B97AD1E4-CDC0-44C8-9059-E1E32ABE9EE8}"/>
    <hyperlink ref="O7603" r:id="rId23510" display="https://pbs.twimg.com/profile_images/657274911854055424/lvaVj9jL_normal.jpg" xr:uid="{435D5112-207D-473F-B657-683A19983BAB}"/>
    <hyperlink ref="B7604" r:id="rId23511" display="https://twitter.com/sandysola34" xr:uid="{B0DE98C7-DE68-4043-91BE-204397AE3BAB}"/>
    <hyperlink ref="E7604" r:id="rId23512" display="https://twitter.com/sandysola34/status/724294441125580800" xr:uid="{B0E8A50B-1026-4FF1-914F-97A9C34298DE}"/>
    <hyperlink ref="O7604" r:id="rId23513" display="https://pbs.twimg.com/profile_images/715943872820559872/KYDnlJMX_normal.jpg" xr:uid="{203ED99F-B7E7-444E-AE4F-B28B9421AF1F}"/>
    <hyperlink ref="B7605" r:id="rId23514" display="https://twitter.com/bigbobblehats" xr:uid="{7ACF0D6A-51C5-4307-A975-D97FD2784A9C}"/>
    <hyperlink ref="E7605" r:id="rId23515" display="https://twitter.com/bigbobblehats/status/724294977619169280" xr:uid="{EED8AF21-31AD-47AA-BD4F-2597963CF3FC}"/>
    <hyperlink ref="O7605" r:id="rId23516" display="https://pbs.twimg.com/profile_images/1147531135/Bus_Card_Logo_normal.jpg" xr:uid="{08CF71D2-C8AA-4DD8-9AA0-903F3BC8583A}"/>
    <hyperlink ref="B7606" r:id="rId23517" display="https://twitter.com/VWCamperSales" xr:uid="{4471E12C-D022-4765-AB9B-758FD5FBE769}"/>
    <hyperlink ref="E7606" r:id="rId23518" display="https://twitter.com/VWCamperSales/status/724295641485078528" xr:uid="{FA8B44DC-4720-42FA-AFC8-2652D5156040}"/>
    <hyperlink ref="F7606" r:id="rId23519" xr:uid="{A0889534-144F-48EE-965B-3DADD99D93F7}"/>
    <hyperlink ref="O7606" r:id="rId23520" display="https://pbs.twimg.com/profile_images/627949001179037696/skEBkS05_normal.jpg" xr:uid="{5835D6BD-1703-4667-BB28-A7CC20CFB703}"/>
    <hyperlink ref="B7607" r:id="rId23521" display="https://twitter.com/mascoche" xr:uid="{67A48668-0998-480F-A11F-D707946E25C3}"/>
    <hyperlink ref="C7607" r:id="rId23522" xr:uid="{E251873E-F66A-4B83-AB20-40C3FD8F2B24}"/>
    <hyperlink ref="E7607" r:id="rId23523" display="https://twitter.com/mascoche/status/724295667108220928" xr:uid="{FC29023F-F206-4E0B-8EBA-92DD8A562872}"/>
    <hyperlink ref="O7607" r:id="rId23524" display="https://pbs.twimg.com/profile_images/707577871758446592/VNnESF65_normal.png" xr:uid="{5F659FDE-6E55-4E88-A88E-A6313631F74A}"/>
    <hyperlink ref="B7608" r:id="rId23525" display="https://twitter.com/DivolVW" xr:uid="{367F0FE8-6CF7-4548-A42F-14C9CDC9279C}"/>
    <hyperlink ref="E7608" r:id="rId23526" display="https://twitter.com/DivolVW/status/724295866257956864" xr:uid="{D841E72F-7D2F-4FBA-AF23-BD2E92C36CD6}"/>
    <hyperlink ref="O7608" r:id="rId23527" display="https://pbs.twimg.com/profile_images/436160266900754432/pou9Jilw_normal.jpeg" xr:uid="{929D77A4-2F35-4256-84D9-D73330155847}"/>
    <hyperlink ref="B7609" r:id="rId23528" display="https://twitter.com/Sebodacious" xr:uid="{D3FD6969-417D-4A8F-957C-7DE9FD99EA18}"/>
    <hyperlink ref="E7609" r:id="rId23529" display="https://twitter.com/Sebodacious/status/724296207162548224" xr:uid="{8FA4349F-9D56-4947-8218-61E479DEE70C}"/>
    <hyperlink ref="O7609" r:id="rId23530" display="https://pbs.twimg.com/profile_images/721584519963418624/ibxhV96N_normal.jpg" xr:uid="{EA9B1510-777A-47AE-AD4F-7403F3A46A94}"/>
    <hyperlink ref="B7610" r:id="rId23531" display="https://twitter.com/Scirocco_Tuning" xr:uid="{748F84B1-7A23-4CE9-B816-1BB9B1F76424}"/>
    <hyperlink ref="E7610" r:id="rId23532" display="https://twitter.com/Scirocco_Tuning/status/724296301135958017" xr:uid="{576D5F0B-CF8B-4C59-A30F-191E88052B87}"/>
    <hyperlink ref="O7610" r:id="rId23533" display="https://pbs.twimg.com/profile_images/1610421423/Image2_normal.jpg" xr:uid="{AD5F4B5A-F590-4F75-8708-09F6634B53EE}"/>
    <hyperlink ref="B7611" r:id="rId23534" display="https://twitter.com/SOLDintl" xr:uid="{9697BD22-ED77-4EAF-A2C4-11A62C2DAA58}"/>
    <hyperlink ref="E7611" r:id="rId23535" display="https://twitter.com/SOLDintl/status/724296321528651777" xr:uid="{C256FF0D-FCA2-4DA3-A5E3-4955D151B10C}"/>
    <hyperlink ref="O7611" r:id="rId23536" display="https://pbs.twimg.com/profile_images/418964142821617665/IPKVoet9_normal.jpeg" xr:uid="{A43CACBD-54BB-4748-83F2-041454C62B2E}"/>
    <hyperlink ref="B7612" r:id="rId23537" display="https://twitter.com/EvvoNewBeetles" xr:uid="{996C71EE-B8F7-47D8-A78C-F8F447DAD3A7}"/>
    <hyperlink ref="E7612" r:id="rId23538" display="https://twitter.com/EvvoNewBeetles/status/724296393532268544" xr:uid="{17B23B2F-1F72-4E6D-B7E1-56770309B593}"/>
    <hyperlink ref="O7612" r:id="rId23539" display="https://pbs.twimg.com/profile_images/633346486823190529/bN4Fxs99_normal.jpg" xr:uid="{D841345A-A5E8-4433-A305-7C3BE11A4C7A}"/>
    <hyperlink ref="B7613" r:id="rId23540" display="https://twitter.com/sandysola34" xr:uid="{9ECEA817-082E-4D70-8606-514C0FFF5B22}"/>
    <hyperlink ref="E7613" r:id="rId23541" display="https://twitter.com/sandysola34/status/724296394261954560" xr:uid="{863E8460-F65E-4AD9-AEB6-3E4639B82F9D}"/>
    <hyperlink ref="O7613" r:id="rId23542" display="https://pbs.twimg.com/profile_images/715943872820559872/KYDnlJMX_normal.jpg" xr:uid="{B13BE46B-F2E7-4BCF-8454-E0A8924369CD}"/>
    <hyperlink ref="B7614" r:id="rId23543" display="https://twitter.com/RachelArac" xr:uid="{4E83EE42-752B-49B8-8F16-9479F215917E}"/>
    <hyperlink ref="E7614" r:id="rId23544" display="https://twitter.com/RachelArac/status/724296507365703685" xr:uid="{F90B3611-C7AF-4FD1-988F-54E4139958F5}"/>
    <hyperlink ref="O7614" r:id="rId23545" display="https://pbs.twimg.com/profile_images/694291235704537089/iwXOtusm_normal.jpg" xr:uid="{06001F44-2464-4E98-9F50-C2E19EFA3051}"/>
    <hyperlink ref="B7615" r:id="rId23546" display="https://twitter.com/bingo_patb" xr:uid="{957E75C9-12A7-4CB7-A386-FB400444EB61}"/>
    <hyperlink ref="E7615" r:id="rId23547" display="https://twitter.com/bingo_patb/status/724296601389289472" xr:uid="{CE472D43-9B30-48DC-AF3D-6A8C13CB3478}"/>
    <hyperlink ref="O7615" r:id="rId23548" display="https://pbs.twimg.com/profile_images/1798965425/FacebookHomescreenImage_normal.jpg" xr:uid="{6BA1C813-8B7D-4B47-A36F-8707C5791E50}"/>
    <hyperlink ref="B7616" r:id="rId23549" display="https://twitter.com/sandysola34" xr:uid="{14CBDA5D-C5E1-495E-B3AB-F46829E8286D}"/>
    <hyperlink ref="E7616" r:id="rId23550" display="https://twitter.com/sandysola34/status/724297231252119554" xr:uid="{72235483-5E0A-4EAC-98A3-D21EC76316E0}"/>
    <hyperlink ref="O7616" r:id="rId23551" display="https://pbs.twimg.com/profile_images/715943872820559872/KYDnlJMX_normal.jpg" xr:uid="{8F043A4A-A73D-4881-AC8F-DCDA10989E16}"/>
    <hyperlink ref="B7617" r:id="rId23552" display="https://twitter.com/VWBeetleSales" xr:uid="{57775F5F-1BB9-49AB-82A8-CE55FB6CD9B9}"/>
    <hyperlink ref="E7617" r:id="rId23553" display="https://twitter.com/VWBeetleSales/status/724297251695132672" xr:uid="{D86B8696-318C-45CC-A324-1B8B24C9F06C}"/>
    <hyperlink ref="F7617" r:id="rId23554" xr:uid="{824057A2-71DA-4217-B3BA-903F1FC88F50}"/>
    <hyperlink ref="O7617" r:id="rId23555" display="https://pbs.twimg.com/profile_images/703294545195307008/qeCvrX86_normal.jpg" xr:uid="{839A4066-34AE-49AC-A199-848DC056EEDA}"/>
    <hyperlink ref="B7618" r:id="rId23556" display="https://twitter.com/VWBeetleSales" xr:uid="{EF74889B-53D3-46EF-955A-8039BB5ACD2A}"/>
    <hyperlink ref="E7618" r:id="rId23557" display="https://twitter.com/VWBeetleSales/status/724297254891220992" xr:uid="{BF3452C6-A07D-4CA0-8E97-4EDF2F667882}"/>
    <hyperlink ref="F7618" r:id="rId23558" xr:uid="{A167BEE0-3558-4D91-8479-F1086868E419}"/>
    <hyperlink ref="O7618" r:id="rId23559" display="https://pbs.twimg.com/profile_images/703294545195307008/qeCvrX86_normal.jpg" xr:uid="{404737AB-0B94-4DC4-B16A-6BE3EFBE2725}"/>
    <hyperlink ref="B7619" r:id="rId23560" display="https://twitter.com/techhippie" xr:uid="{647F4876-842D-4941-BB54-B0DA8F9B6873}"/>
    <hyperlink ref="E7619" r:id="rId23561" display="https://twitter.com/techhippie/status/724297257214947328" xr:uid="{6BC4F59E-7DF9-4C6E-8909-4A6CFDC3091D}"/>
    <hyperlink ref="O7619" r:id="rId23562" display="https://pbs.twimg.com/profile_images/702511217793863680/lty8h9vE_normal.jpg" xr:uid="{27ED45D8-3D1C-4447-91DC-BF7C66FCFCB0}"/>
    <hyperlink ref="B7620" r:id="rId23563" display="https://twitter.com/VWCamperSales" xr:uid="{DB7ECE29-8E04-4415-B859-68E278D4D3C3}"/>
    <hyperlink ref="E7620" r:id="rId23564" display="https://twitter.com/VWCamperSales/status/724297274772185090" xr:uid="{B1B2618C-A01E-4354-A4B3-B8D4AFC5384A}"/>
    <hyperlink ref="F7620" r:id="rId23565" xr:uid="{CCA25221-27B2-48C2-8B1D-1DA8A2599CDA}"/>
    <hyperlink ref="O7620" r:id="rId23566" display="https://pbs.twimg.com/profile_images/627949001179037696/skEBkS05_normal.jpg" xr:uid="{2CD91750-4631-4C8B-A1A7-7821FB653EE0}"/>
    <hyperlink ref="B7621" r:id="rId23567" display="https://twitter.com/VWCamperSales" xr:uid="{76667E86-1B5A-47A2-A8F5-6C49F6A28280}"/>
    <hyperlink ref="E7621" r:id="rId23568" display="https://twitter.com/VWCamperSales/status/724297276940673024" xr:uid="{CEF47447-A651-49C2-85B6-3C5587F5D3B2}"/>
    <hyperlink ref="F7621" r:id="rId23569" xr:uid="{B6918E67-D422-4B6A-8BC4-1584B7BEA467}"/>
    <hyperlink ref="O7621" r:id="rId23570" display="https://pbs.twimg.com/profile_images/627949001179037696/skEBkS05_normal.jpg" xr:uid="{B8B7DE93-29C6-46FD-9E40-5DF97A172F76}"/>
    <hyperlink ref="B7622" r:id="rId23571" display="https://twitter.com/techhippie" xr:uid="{6ECC82F7-C31C-4982-81BB-E4704B48EDF9}"/>
    <hyperlink ref="E7622" r:id="rId23572" display="https://twitter.com/techhippie/status/724297357228158976" xr:uid="{38686A97-BAA5-4F88-BDE3-047A3B76B329}"/>
    <hyperlink ref="O7622" r:id="rId23573" display="https://pbs.twimg.com/profile_images/702511217793863680/lty8h9vE_normal.jpg" xr:uid="{1A497C6C-AC23-4078-9395-AE40353F353D}"/>
    <hyperlink ref="B7623" r:id="rId23574" display="https://twitter.com/mamulavaca" xr:uid="{A1EFDB09-A3E3-403B-A755-87BB39B725BA}"/>
    <hyperlink ref="E7623" r:id="rId23575" display="https://twitter.com/mamulavaca/status/724298046226325504" xr:uid="{8D8A6CC1-A032-47B2-8E04-7149576C9F9B}"/>
    <hyperlink ref="O7623" r:id="rId23576" display="https://pbs.twimg.com/profile_images/710122631236681728/ii4WJ1om_normal.jpg" xr:uid="{A6C3CF34-CF7B-487E-ADD0-E1667947907F}"/>
    <hyperlink ref="B7624" r:id="rId23577" display="https://twitter.com/kapitao" xr:uid="{CB6853B4-B7DF-4062-98EB-AB995B43BC3F}"/>
    <hyperlink ref="E7624" r:id="rId23578" display="https://twitter.com/kapitao/status/724298048667553792" xr:uid="{E8900329-38DE-4DC6-AA8D-ED25BC4039A0}"/>
    <hyperlink ref="O7624" r:id="rId23579" display="https://pbs.twimg.com/profile_images/2886113716/f2da1f1adf432acf9e6bfc8f660169ac_normal.jpeg" xr:uid="{C5282AD1-668B-48EA-8922-2C330D84065F}"/>
    <hyperlink ref="B7625" r:id="rId23580" display="https://twitter.com/mamulavaca" xr:uid="{4BF54DBA-6700-408F-ADED-46D0B5FE15FA}"/>
    <hyperlink ref="E7625" r:id="rId23581" display="https://twitter.com/mamulavaca/status/724298098940366848" xr:uid="{59756C99-DE49-4A0C-9903-5468A370A5F2}"/>
    <hyperlink ref="O7625" r:id="rId23582" display="https://pbs.twimg.com/profile_images/710122631236681728/ii4WJ1om_normal.jpg" xr:uid="{E64D43EE-57A0-4765-9B0F-96633AC690F2}"/>
    <hyperlink ref="B7626" r:id="rId23583" display="https://twitter.com/Mphilpot1" xr:uid="{D0F72405-8C31-4504-B4FE-FA8B637CB2CB}"/>
    <hyperlink ref="E7626" r:id="rId23584" display="https://twitter.com/Mphilpot1/status/724298115310714880" xr:uid="{AFB0C956-0438-4B50-8C28-ABDC14C6268C}"/>
    <hyperlink ref="O7626" r:id="rId23585" display="https://pbs.twimg.com/profile_images/422164778639839234/LVnS1q1c_normal.jpeg" xr:uid="{6BA1591C-EC37-4532-A4F4-45F19863790D}"/>
    <hyperlink ref="B7627" r:id="rId23586" display="https://twitter.com/mamulavaca" xr:uid="{F081EE62-4362-4093-9E17-62A333B42421}"/>
    <hyperlink ref="E7627" r:id="rId23587" display="https://twitter.com/mamulavaca/status/724298122633977856" xr:uid="{83F5C5AB-2755-4644-AFF1-56468D9EAC03}"/>
    <hyperlink ref="O7627" r:id="rId23588" display="https://pbs.twimg.com/profile_images/710122631236681728/ii4WJ1om_normal.jpg" xr:uid="{A7E3D396-1205-4EDC-BF11-28088DC2C3EB}"/>
    <hyperlink ref="B7628" r:id="rId23589" display="https://twitter.com/sandysola34" xr:uid="{97B82070-2E75-41A4-9203-46DA6FA78388}"/>
    <hyperlink ref="E7628" r:id="rId23590" display="https://twitter.com/sandysola34/status/724298217580429312" xr:uid="{9FF3D3C5-F456-481C-997E-63ABA5D78029}"/>
    <hyperlink ref="O7628" r:id="rId23591" display="https://pbs.twimg.com/profile_images/715943872820559872/KYDnlJMX_normal.jpg" xr:uid="{E82D7D4E-8BEA-4D69-9D5C-5197D7B18165}"/>
    <hyperlink ref="B7629" r:id="rId23592" display="https://twitter.com/Insta_VWT" xr:uid="{1379BA77-1F05-496B-99C9-158965EB3912}"/>
    <hyperlink ref="E7629" r:id="rId23593" display="https://twitter.com/Insta_VWT/status/724298429313232896" xr:uid="{113AE23B-36F3-4DDC-B243-C5C7B566989D}"/>
    <hyperlink ref="O7629" r:id="rId23594" display="https://pbs.twimg.com/profile_images/424893967197433858/iQ86NktX_normal.jpeg" xr:uid="{59EC086A-9AA1-4536-BB60-58B9A8FDCE0F}"/>
    <hyperlink ref="B7630" r:id="rId23595" display="https://twitter.com/mamulavaca" xr:uid="{D0D1828B-3866-471B-A2CA-E8552096E8A5}"/>
    <hyperlink ref="E7630" r:id="rId23596" display="https://twitter.com/mamulavaca/status/724298441837268992" xr:uid="{56E454B6-6835-4630-94DF-77F2AB093697}"/>
    <hyperlink ref="O7630" r:id="rId23597" display="https://pbs.twimg.com/profile_images/710122631236681728/ii4WJ1om_normal.jpg" xr:uid="{EA55DB4C-CAA7-458A-936F-255982CE17B5}"/>
    <hyperlink ref="B7631" r:id="rId23598" display="https://twitter.com/mamulavaca" xr:uid="{EC95C169-6F35-40DE-B255-16B8FBE93171}"/>
    <hyperlink ref="E7631" r:id="rId23599" display="https://twitter.com/mamulavaca/status/724298484405297155" xr:uid="{8704160F-6067-4917-A0ED-596A6D62DA0C}"/>
    <hyperlink ref="O7631" r:id="rId23600" display="https://pbs.twimg.com/profile_images/710122631236681728/ii4WJ1om_normal.jpg" xr:uid="{422210C9-2CA0-4E39-BDF7-F9CFC3F3A9D4}"/>
    <hyperlink ref="B7632" r:id="rId23601" display="https://twitter.com/mamulavaca" xr:uid="{D64CB5D2-2DF3-43C6-8073-3CB600246FBA}"/>
    <hyperlink ref="E7632" r:id="rId23602" display="https://twitter.com/mamulavaca/status/724298588067483648" xr:uid="{2F1FC4B6-5C31-4D80-B568-55CD5F0ED042}"/>
    <hyperlink ref="O7632" r:id="rId23603" display="https://pbs.twimg.com/profile_images/710122631236681728/ii4WJ1om_normal.jpg" xr:uid="{11EB9922-5A67-4F62-8F20-C01144B558B5}"/>
    <hyperlink ref="B7633" r:id="rId23604" display="https://twitter.com/Jack_Griffin94" xr:uid="{49F28DDE-A2E9-4795-A5FB-3B18F2AE8CC8}"/>
    <hyperlink ref="E7633" r:id="rId23605" display="https://twitter.com/Jack_Griffin94/status/724299052066738177" xr:uid="{279B6070-23BC-42D2-B27C-4E9854BD5A1F}"/>
    <hyperlink ref="O7633" r:id="rId23606" display="https://pbs.twimg.com/profile_images/610902055033573376/xRMB8BVQ_normal.jpg" xr:uid="{34F58B98-2386-4404-A593-7BC368F553D1}"/>
    <hyperlink ref="B7634" r:id="rId23607" display="https://twitter.com/andrespirincho" xr:uid="{39C2E664-A6D5-4010-8D5A-D3669656B258}"/>
    <hyperlink ref="E7634" r:id="rId23608" display="https://twitter.com/andrespirincho/status/724299083943403520" xr:uid="{D235AA6D-088D-49BE-9E23-1D9431A33192}"/>
    <hyperlink ref="O7634" r:id="rId23609" display="https://pbs.twimg.com/profile_images/412598299099529217/EVA-sZ93_normal.jpeg" xr:uid="{3802203E-ABED-49F1-A36D-A4A93C796108}"/>
    <hyperlink ref="B7635" r:id="rId23610" display="https://twitter.com/calhounhampton" xr:uid="{59AF7F15-93A3-4358-BE11-22C59AEFC197}"/>
    <hyperlink ref="E7635" r:id="rId23611" display="https://twitter.com/calhounhampton/status/724299209386512384" xr:uid="{B2C0D32D-EE17-49C8-9C06-49AD459BA4B6}"/>
    <hyperlink ref="O7635" r:id="rId23612" display="https://pbs.twimg.com/profile_images/320518467/f100_edited_normal.jpg" xr:uid="{9F0FD785-A75D-47D5-8F44-0FB25269DB5D}"/>
    <hyperlink ref="B7636" r:id="rId23613" display="https://twitter.com/Speak_EV" xr:uid="{BDD61697-945E-44C7-BB7D-B3AFED7FD2EF}"/>
    <hyperlink ref="E7636" r:id="rId23614" display="https://twitter.com/Speak_EV/status/724299435266707456" xr:uid="{AF67BFDD-2C97-40D7-BECE-260844918FED}"/>
    <hyperlink ref="O7636" r:id="rId23615" display="https://pbs.twimg.com/profile_images/378800000383656962/389f4a2062ec3c75e130fd84590d969c_normal.png" xr:uid="{3A893B0E-4E5E-428F-93AF-7143047664A4}"/>
    <hyperlink ref="B7637" r:id="rId23616" display="https://twitter.com/POLITROSO" xr:uid="{C642AF67-CFC5-49B2-B4CB-13B0914F0716}"/>
    <hyperlink ref="E7637" r:id="rId23617" display="https://twitter.com/POLITROSO/status/724299842831421440" xr:uid="{93F61C87-1C6E-4BAC-87F9-5552BF60CEA1}"/>
    <hyperlink ref="O7637" r:id="rId23618" display="https://pbs.twimg.com/profile_images/709094810204938241/urgAFsxo_normal.jpg" xr:uid="{A780D5E0-DA16-41B4-92B2-147B128FC2DD}"/>
    <hyperlink ref="B7638" r:id="rId23619" display="https://twitter.com/briancitoo25" xr:uid="{F3EAED1C-F337-48C0-B26E-1FBB9C30514D}"/>
    <hyperlink ref="E7638" r:id="rId23620" display="https://twitter.com/briancitoo25/status/724299854864736256" xr:uid="{42EFDFCB-A4C3-4FF1-B958-0BD5D97ED866}"/>
    <hyperlink ref="O7638" r:id="rId23621" display="https://pbs.twimg.com/profile_images/683132002170634240/NzGEIxqn_normal.jpg" xr:uid="{B08BB0F7-C44D-4936-BA74-189C127D96A7}"/>
    <hyperlink ref="B7639" r:id="rId23622" display="https://twitter.com/VWBeetleSales" xr:uid="{25C3D154-77FD-4D42-B80D-5D42644F8D1C}"/>
    <hyperlink ref="E7639" r:id="rId23623" display="https://twitter.com/VWBeetleSales/status/724300657159589888" xr:uid="{40E2D317-0F8C-4B47-AE4A-6DD61C69DED5}"/>
    <hyperlink ref="F7639" r:id="rId23624" xr:uid="{033372F5-0D32-4DE2-A74F-378BFCA52FEF}"/>
    <hyperlink ref="O7639" r:id="rId23625" display="https://pbs.twimg.com/profile_images/703294545195307008/qeCvrX86_normal.jpg" xr:uid="{7D386077-89B2-4E25-9492-05982715DAEF}"/>
    <hyperlink ref="B7640" r:id="rId23626" display="https://twitter.com/VWCamperSales" xr:uid="{8A656AC0-7E9D-41B2-9FD8-F01A6C6E123E}"/>
    <hyperlink ref="E7640" r:id="rId23627" display="https://twitter.com/VWCamperSales/status/724300673815187456" xr:uid="{8EE615F2-1862-4CB0-9CED-8375B4D92F8D}"/>
    <hyperlink ref="F7640" r:id="rId23628" xr:uid="{A14B5B70-62F6-4BB7-BF6C-3E7D4CE61114}"/>
    <hyperlink ref="O7640" r:id="rId23629" display="https://pbs.twimg.com/profile_images/627949001179037696/skEBkS05_normal.jpg" xr:uid="{AB75ECCF-4962-4C26-85E8-56EE4C86E873}"/>
    <hyperlink ref="B7641" r:id="rId23630" display="https://twitter.com/Hexgazauto" xr:uid="{A1EA8F56-2ACD-4EEC-95F9-696B61BD5A7A}"/>
    <hyperlink ref="E7641" r:id="rId23631" display="https://twitter.com/Hexgazauto/status/724300675824410624" xr:uid="{948F2407-BE97-433A-9486-AA0C6D9765F0}"/>
    <hyperlink ref="O7641" r:id="rId23632" display="https://abs.twimg.com/sticky/default_profile_images/default_profile_3_normal.png" xr:uid="{D9E080AD-78C0-4E9A-96A3-46FDE390B663}"/>
    <hyperlink ref="B7642" r:id="rId23633" display="https://twitter.com/Fernand24650964" xr:uid="{D0AEE261-930F-495B-B93C-799DE01D15E1}"/>
    <hyperlink ref="E7642" r:id="rId23634" display="https://twitter.com/Fernand24650964/status/724301702686511104" xr:uid="{940D2B5E-CB32-4D03-B42C-DC93BE6892B0}"/>
    <hyperlink ref="O7642" r:id="rId23635" display="https://pbs.twimg.com/profile_images/699715384635686912/YiGLmuR9_normal.jpg" xr:uid="{FCE85208-2BF1-49A9-8428-2CD23F345BEE}"/>
    <hyperlink ref="B7643" r:id="rId23636" display="https://twitter.com/brettmcneil" xr:uid="{B39C89B1-78FE-4045-BCEB-DF41B7E1AF6B}"/>
    <hyperlink ref="E7643" r:id="rId23637" display="https://twitter.com/brettmcneil/status/724301886032109569" xr:uid="{83DD351C-5D4B-481C-AEEF-FC971F436BA3}"/>
    <hyperlink ref="O7643" r:id="rId23638" display="https://pbs.twimg.com/profile_images/65596539/Brett_with_football_normal.jpg" xr:uid="{A20DADC6-2434-4A84-9F22-FA45D4A96EFE}"/>
    <hyperlink ref="B7644" r:id="rId23639" display="https://twitter.com/clubVAGVzla" xr:uid="{DAA8F12F-F463-4BDF-A866-CC27DE499105}"/>
    <hyperlink ref="E7644" r:id="rId23640" display="https://twitter.com/clubVAGVzla/status/724302487977623552" xr:uid="{1310ADF4-1276-4715-9241-2619ABCFCF29}"/>
    <hyperlink ref="O7644" r:id="rId23641" display="https://pbs.twimg.com/profile_images/621145253261770756/SJdc3xVG_normal.jpg" xr:uid="{24097FBC-351B-4616-A441-002036C7E5D8}"/>
    <hyperlink ref="B7645" r:id="rId23642" display="https://twitter.com/clubVAGVzla" xr:uid="{DCCB1D08-7EC2-4E0C-9868-BAD743073792}"/>
    <hyperlink ref="E7645" r:id="rId23643" display="https://twitter.com/clubVAGVzla/status/724302701555798020" xr:uid="{B3DD6756-D528-4965-B12F-D5D3A56A68E6}"/>
    <hyperlink ref="O7645" r:id="rId23644" display="https://pbs.twimg.com/profile_images/621145253261770756/SJdc3xVG_normal.jpg" xr:uid="{C8E2EC1E-151F-4C57-83B6-A30801473651}"/>
    <hyperlink ref="B7646" r:id="rId23645" display="https://twitter.com/CoryBarrios" xr:uid="{D0087C4A-9827-4D8D-ACD2-4FB6ABF74620}"/>
    <hyperlink ref="E7646" r:id="rId23646" display="https://twitter.com/CoryBarrios/status/724303006863376384" xr:uid="{AA0CC5AC-52A0-44AC-BBF3-4BB25A88A667}"/>
    <hyperlink ref="O7646" r:id="rId23647" display="https://pbs.twimg.com/profile_images/623965518270038016/EUAbTsHF_normal.jpg" xr:uid="{F3B4CB65-23E2-4AEB-A05A-F818FFFC4EE7}"/>
    <hyperlink ref="P7646" r:id="rId23648" location="36.971588,-120.079589" display="http://ctrlq.org/maps/address/ - 36.971588,-120.079589" xr:uid="{65A4D449-C979-4F69-81D9-00DE7435A1F3}"/>
    <hyperlink ref="B7647" r:id="rId23649" display="https://twitter.com/VWCamperSales" xr:uid="{50B6E292-98C0-4A1B-8185-14E6C3DF354C}"/>
    <hyperlink ref="E7647" r:id="rId23650" display="https://twitter.com/VWCamperSales/status/724303670414692352" xr:uid="{BA161AA7-73B8-41E9-AE05-7220AF4D80C9}"/>
    <hyperlink ref="F7647" r:id="rId23651" xr:uid="{8D42FB22-4562-448E-8314-9DEB368B927A}"/>
    <hyperlink ref="O7647" r:id="rId23652" display="https://pbs.twimg.com/profile_images/627949001179037696/skEBkS05_normal.jpg" xr:uid="{33F16D75-3333-4C2F-8294-DC1A2F790BA6}"/>
    <hyperlink ref="B7648" r:id="rId23653" display="https://twitter.com/VWCamperSales" xr:uid="{0048A6D1-9774-44A0-88FA-2A7B8A6917F2}"/>
    <hyperlink ref="E7648" r:id="rId23654" display="https://twitter.com/VWCamperSales/status/724303674411913216" xr:uid="{96059EEB-2B0F-44CF-A12A-1D606E05D30C}"/>
    <hyperlink ref="F7648" r:id="rId23655" xr:uid="{AD10E951-9854-4DE8-B197-DB3CC45FFF39}"/>
    <hyperlink ref="O7648" r:id="rId23656" display="https://pbs.twimg.com/profile_images/627949001179037696/skEBkS05_normal.jpg" xr:uid="{FBD20B26-ACCF-440A-8FE3-DFCEA145C2FE}"/>
    <hyperlink ref="B7649" r:id="rId23657" display="https://twitter.com/stevenyouidiot" xr:uid="{A3A00FBD-D75E-46F2-8E11-390751DBA184}"/>
    <hyperlink ref="E7649" r:id="rId23658" display="https://twitter.com/stevenyouidiot/status/724304684316418048" xr:uid="{C30E0213-07D3-409D-B5F4-5F193E0AC534}"/>
    <hyperlink ref="O7649" r:id="rId23659" display="https://pbs.twimg.com/profile_images/708157436872380416/k7nkGBH6_normal.jpg" xr:uid="{D722BCD8-404A-45D6-AFF3-9B67A7AA7A89}"/>
    <hyperlink ref="B7650" r:id="rId23660" display="https://twitter.com/VWBeetleSales" xr:uid="{88F1AF90-0B66-416B-808D-4FC36096B608}"/>
    <hyperlink ref="E7650" r:id="rId23661" display="https://twitter.com/VWBeetleSales/status/724305298186334208" xr:uid="{DA626B81-D188-4FBE-A3A1-E3543B2643E1}"/>
    <hyperlink ref="F7650" r:id="rId23662" xr:uid="{7A6E2139-0308-4EB6-825E-597B92369E47}"/>
    <hyperlink ref="O7650" r:id="rId23663" display="https://pbs.twimg.com/profile_images/703294545195307008/qeCvrX86_normal.jpg" xr:uid="{B40FC884-D10D-4BE1-AA14-872E6954DB06}"/>
    <hyperlink ref="B7651" r:id="rId23664" display="https://twitter.com/VWBeetleSales" xr:uid="{23DC9FD1-F189-45EF-8FF1-E6310779E3FC}"/>
    <hyperlink ref="E7651" r:id="rId23665" display="https://twitter.com/VWBeetleSales/status/724305300958797824" xr:uid="{67BA6FEE-CEFA-45F3-A865-3F6C46786580}"/>
    <hyperlink ref="F7651" r:id="rId23666" xr:uid="{9F00B8DA-0D46-4486-A55C-A0E7E8479FC7}"/>
    <hyperlink ref="O7651" r:id="rId23667" display="https://pbs.twimg.com/profile_images/703294545195307008/qeCvrX86_normal.jpg" xr:uid="{48E2108F-99D7-4312-8BB5-6B3BDAD1F126}"/>
    <hyperlink ref="B7652" r:id="rId23668" display="https://twitter.com/bird_liam" xr:uid="{0362D71E-CF74-4104-8C41-6E182E178449}"/>
    <hyperlink ref="E7652" r:id="rId23669" display="https://twitter.com/bird_liam/status/724305312904294403" xr:uid="{FE376371-243E-4698-9B5F-80496AFD901F}"/>
    <hyperlink ref="O7652" r:id="rId23670" display="https://pbs.twimg.com/profile_images/692450375845187585/7GddY3aS_normal.jpg" xr:uid="{847A4626-8B55-4890-A04A-5DA39C7B47A7}"/>
    <hyperlink ref="B7653" r:id="rId23671" display="https://twitter.com/_thomicastillo" xr:uid="{A776B4C4-396D-420A-8A90-E639188B90A4}"/>
    <hyperlink ref="E7653" r:id="rId23672" display="https://twitter.com/_thomicastillo/status/724305669499830275" xr:uid="{275523C8-B95C-46C1-9923-837E45094B93}"/>
    <hyperlink ref="O7653" r:id="rId23673" display="https://pbs.twimg.com/profile_images/723764027063672832/KQ90tMnI_normal.jpg" xr:uid="{31979F50-8D1C-4EE1-B8FA-277F32F180F1}"/>
    <hyperlink ref="B7654" r:id="rId23674" display="https://twitter.com/TriplePundit" xr:uid="{866CFDD8-D4D3-4853-BFFA-D53248FA9CDE}"/>
    <hyperlink ref="C7654" r:id="rId23675" xr:uid="{6B8A8853-D318-436A-86EA-7BCAB5E5A685}"/>
    <hyperlink ref="E7654" r:id="rId23676" display="https://twitter.com/TriplePundit/status/724305683064213504" xr:uid="{498BB5F4-0C09-4B47-AF10-E3CF3FEBF321}"/>
    <hyperlink ref="O7654" r:id="rId23677" display="https://pbs.twimg.com/profile_images/465609811220889600/F7o-Mot7_normal.png" xr:uid="{1302B084-8DE6-48C3-9BBA-FA1F6D969B9C}"/>
    <hyperlink ref="B7655" r:id="rId23678" display="https://twitter.com/SvenMascha" xr:uid="{B5DF9CA4-37DE-41A8-B0B7-FC86028F049E}"/>
    <hyperlink ref="E7655" r:id="rId23679" display="https://twitter.com/SvenMascha/status/724305764211412992" xr:uid="{5A82B5D2-A7F1-493D-8701-FA13C0B8CEAD}"/>
    <hyperlink ref="O7655" r:id="rId23680" display="https://pbs.twimg.com/profile_images/554022334466887680/KlFv5SoO_normal.jpeg" xr:uid="{DA062318-C6B6-4E73-B47B-6E8A9EB94C7C}"/>
    <hyperlink ref="B7656" r:id="rId23681" display="https://twitter.com/daniel_beye" xr:uid="{6131F27B-B651-455C-879A-A9CF8699B89A}"/>
    <hyperlink ref="E7656" r:id="rId23682" display="https://twitter.com/daniel_beye/status/724306100737191936" xr:uid="{B3B22617-B1E7-4033-8C7F-B22CF4BD2E96}"/>
    <hyperlink ref="O7656" r:id="rId23683" display="https://pbs.twimg.com/profile_images/378800000324279257/969738a224b608b0a6a28a59642fe9e1_normal.jpeg" xr:uid="{3DD8864D-4800-4915-92ED-ABA716A3492F}"/>
    <hyperlink ref="B7657" r:id="rId23684" display="https://twitter.com/Fernandez_Diego" xr:uid="{5D2B0EA6-680D-4B74-AF55-49D3C576A65C}"/>
    <hyperlink ref="E7657" r:id="rId23685" display="https://twitter.com/Fernandez_Diego/status/724306128897753088" xr:uid="{F7409745-328F-4A48-BCB4-EEF37EC35B64}"/>
    <hyperlink ref="O7657" r:id="rId23686" display="https://pbs.twimg.com/profile_images/556255417714503681/B78CvKEX_normal.jpeg" xr:uid="{43EF4B85-1093-42BB-8A0D-DA406EF03948}"/>
    <hyperlink ref="B7658" r:id="rId23687" display="https://twitter.com/william_willia2" xr:uid="{91051278-7C69-4426-A8B7-12A5843354BA}"/>
    <hyperlink ref="E7658" r:id="rId23688" display="https://twitter.com/william_willia2/status/724306366140166144" xr:uid="{05BAFE92-D124-4F4E-B9AA-877B09EDE914}"/>
    <hyperlink ref="O7658" r:id="rId23689" display="https://pbs.twimg.com/profile_images/469860056075231232/hUz3Q4v2_normal.jpeg" xr:uid="{07D66C47-78B4-4727-A07D-59B6BD2DD9B8}"/>
    <hyperlink ref="B7659" r:id="rId23690" display="https://twitter.com/MickeyS1977" xr:uid="{4157C9C6-923D-4991-AE9F-9EF2EFAD7851}"/>
    <hyperlink ref="E7659" r:id="rId23691" display="https://twitter.com/MickeyS1977/status/724306431747457024" xr:uid="{25F424E7-623B-4745-8FC8-C4910E4ACAA8}"/>
    <hyperlink ref="O7659" r:id="rId23692" display="https://pbs.twimg.com/profile_images/704280881679241216/gww9ZJUj_normal.jpg" xr:uid="{5B66B240-D8E4-490C-ACC7-883136B3C394}"/>
    <hyperlink ref="B7660" r:id="rId23693" display="https://twitter.com/beetlebug1938" xr:uid="{D780A56D-1918-483B-872E-36AC2EE47E49}"/>
    <hyperlink ref="E7660" r:id="rId23694" display="https://twitter.com/beetlebug1938/status/724306722165272576" xr:uid="{E1E421E5-5303-4B80-A563-7AC9B565F553}"/>
    <hyperlink ref="O7660" r:id="rId23695" display="https://pbs.twimg.com/profile_images/718820712757215233/LXXndPTS_normal.jpg" xr:uid="{022176F6-9789-467B-AFD7-42E8B6E28696}"/>
    <hyperlink ref="B7661" r:id="rId23696" display="https://twitter.com/beetlebug1938" xr:uid="{AFEF4FA7-BB1C-4AAC-900E-C4E8AF8C454F}"/>
    <hyperlink ref="E7661" r:id="rId23697" display="https://twitter.com/beetlebug1938/status/724306737193488384" xr:uid="{FFAC32DF-403C-42BD-8914-972E100FAC5A}"/>
    <hyperlink ref="O7661" r:id="rId23698" display="https://pbs.twimg.com/profile_images/718820712757215233/LXXndPTS_normal.jpg" xr:uid="{A543FDE6-B7D8-4811-8615-977A3691CF65}"/>
    <hyperlink ref="B7662" r:id="rId23699" display="https://twitter.com/beetlebug1938" xr:uid="{6540D956-C3AE-4D62-BE78-A15E9EB4A382}"/>
    <hyperlink ref="E7662" r:id="rId23700" display="https://twitter.com/beetlebug1938/status/724306755539361796" xr:uid="{4F69D576-7EBE-432C-A294-881229035147}"/>
    <hyperlink ref="O7662" r:id="rId23701" display="https://pbs.twimg.com/profile_images/718820712757215233/LXXndPTS_normal.jpg" xr:uid="{ABDE10BF-6101-494B-8CEB-5D78C1476714}"/>
    <hyperlink ref="B7663" r:id="rId23702" display="https://twitter.com/beetlebug1938" xr:uid="{3F422739-66AD-4DB4-BE17-9B970407FD6C}"/>
    <hyperlink ref="E7663" r:id="rId23703" display="https://twitter.com/beetlebug1938/status/724306768415887360" xr:uid="{87FB6967-E4D0-407B-AD05-D4C2C6EDCCEF}"/>
    <hyperlink ref="O7663" r:id="rId23704" display="https://pbs.twimg.com/profile_images/718820712757215233/LXXndPTS_normal.jpg" xr:uid="{9D264CC8-E00E-42BF-86EC-F939C79B570C}"/>
    <hyperlink ref="B7664" r:id="rId23705" display="https://twitter.com/beetlebug1938" xr:uid="{99B26743-ED86-455F-A2D5-D2D170B7AD6A}"/>
    <hyperlink ref="E7664" r:id="rId23706" display="https://twitter.com/beetlebug1938/status/724306781409824768" xr:uid="{93B0C891-D96B-4B73-8053-7282D9011E44}"/>
    <hyperlink ref="O7664" r:id="rId23707" display="https://pbs.twimg.com/profile_images/718820712757215233/LXXndPTS_normal.jpg" xr:uid="{886D7B51-D600-4500-83DB-5A417DD38911}"/>
    <hyperlink ref="B7665" r:id="rId23708" display="https://twitter.com/dubbusses" xr:uid="{A726D8E8-263E-4A83-88A9-9F9304198B62}"/>
    <hyperlink ref="E7665" r:id="rId23709" display="https://twitter.com/dubbusses/status/724306794751897601" xr:uid="{EF4E680A-A871-4C28-8363-8ABC7A89F259}"/>
    <hyperlink ref="O7665" r:id="rId23710" display="https://pbs.twimg.com/profile_images/718835727027580928/1ssyQ67y_normal.jpg" xr:uid="{BF0810EF-A884-40BB-B3EA-664EA0C22A98}"/>
    <hyperlink ref="B7666" r:id="rId23711" display="https://twitter.com/dubbusses" xr:uid="{29E0D3F6-0199-468C-BA03-ECF7E98675F0}"/>
    <hyperlink ref="E7666" r:id="rId23712" display="https://twitter.com/dubbusses/status/724306803341795330" xr:uid="{0F402DAD-A334-4891-AD08-2EBAE60E5FE1}"/>
    <hyperlink ref="O7666" r:id="rId23713" display="https://pbs.twimg.com/profile_images/718835727027580928/1ssyQ67y_normal.jpg" xr:uid="{E44A172D-EEE7-4376-94D3-7CBFA2F4B450}"/>
    <hyperlink ref="B7667" r:id="rId23714" display="https://twitter.com/dubbusses" xr:uid="{0D80C16C-E363-4DD5-AE87-6F83F64D1E7C}"/>
    <hyperlink ref="E7667" r:id="rId23715" display="https://twitter.com/dubbusses/status/724306828763488258" xr:uid="{2C063297-7037-4A24-900A-5FE2EA9B7330}"/>
    <hyperlink ref="O7667" r:id="rId23716" display="https://pbs.twimg.com/profile_images/718835727027580928/1ssyQ67y_normal.jpg" xr:uid="{98657E48-37F7-4F9E-ACC4-0359A97FCEC5}"/>
    <hyperlink ref="B7668" r:id="rId23717" display="https://twitter.com/dubbusses" xr:uid="{698EE98A-0AF9-46F5-8D01-3B6A323EEF0B}"/>
    <hyperlink ref="E7668" r:id="rId23718" display="https://twitter.com/dubbusses/status/724306841950412800" xr:uid="{4C225313-9A0D-49EA-924D-F7156362DB40}"/>
    <hyperlink ref="O7668" r:id="rId23719" display="https://pbs.twimg.com/profile_images/718835727027580928/1ssyQ67y_normal.jpg" xr:uid="{CCDA4183-4D01-4447-9A4E-83BAC469E33E}"/>
    <hyperlink ref="B7669" r:id="rId23720" display="https://twitter.com/dubbusses" xr:uid="{EAB61F72-13C8-43E5-BCCE-D54548C09A4A}"/>
    <hyperlink ref="E7669" r:id="rId23721" display="https://twitter.com/dubbusses/status/724306867317514241" xr:uid="{1A79EA37-899F-4DF2-A3A2-ED9388925CEE}"/>
    <hyperlink ref="O7669" r:id="rId23722" display="https://pbs.twimg.com/profile_images/718835727027580928/1ssyQ67y_normal.jpg" xr:uid="{4A091637-42B5-4782-8122-A5D54F26CBC8}"/>
    <hyperlink ref="B7670" r:id="rId23723" display="https://twitter.com/dubbusses" xr:uid="{8CFAFE48-488B-4F94-834A-D9A7B8BAD3D3}"/>
    <hyperlink ref="E7670" r:id="rId23724" display="https://twitter.com/dubbusses/status/724306874816974848" xr:uid="{05BE8CFB-7976-452E-870F-27C90B504970}"/>
    <hyperlink ref="O7670" r:id="rId23725" display="https://pbs.twimg.com/profile_images/718835727027580928/1ssyQ67y_normal.jpg" xr:uid="{E79A64E5-6B85-46A0-A37D-A3FC6B28A1A9}"/>
    <hyperlink ref="B7671" r:id="rId23726" display="https://twitter.com/Fernandez_Diego" xr:uid="{77C18E1F-2BE3-43D3-BC2A-52FC9C99EEA5}"/>
    <hyperlink ref="E7671" r:id="rId23727" display="https://twitter.com/Fernandez_Diego/status/724306900502888448" xr:uid="{6AEDE98A-E3E3-4B26-BADD-5C6B695365A9}"/>
    <hyperlink ref="O7671" r:id="rId23728" display="https://pbs.twimg.com/profile_images/556255417714503681/B78CvKEX_normal.jpeg" xr:uid="{39BF0CAD-B739-4EB5-AB59-04DD5A8FD13C}"/>
    <hyperlink ref="B7672" r:id="rId23729" display="https://twitter.com/VWBeetleSales" xr:uid="{9DE555CC-3225-4CB5-9D2A-1D674105FA2B}"/>
    <hyperlink ref="E7672" r:id="rId23730" display="https://twitter.com/VWBeetleSales/status/724306935386791936" xr:uid="{4B6813B4-DDA5-48F7-9334-794B3F51176C}"/>
    <hyperlink ref="F7672" r:id="rId23731" xr:uid="{1F0D2057-FF94-48F0-939E-01A0291879A8}"/>
    <hyperlink ref="O7672" r:id="rId23732" display="https://pbs.twimg.com/profile_images/703294545195307008/qeCvrX86_normal.jpg" xr:uid="{B8624C85-118E-4D6F-A326-FFDD5CBC9557}"/>
    <hyperlink ref="B7673" r:id="rId23733" display="https://twitter.com/VWCamperSales" xr:uid="{8DB4550A-866D-4CFC-9A31-B8D938557390}"/>
    <hyperlink ref="E7673" r:id="rId23734" display="https://twitter.com/VWCamperSales/status/724306939266494464" xr:uid="{E5886CC8-76FB-4D6A-9B8D-75B7E47E3EE9}"/>
    <hyperlink ref="F7673" r:id="rId23735" xr:uid="{A0BA4ECA-13AE-4629-B3FE-473C053601AF}"/>
    <hyperlink ref="O7673" r:id="rId23736" display="https://pbs.twimg.com/profile_images/627949001179037696/skEBkS05_normal.jpg" xr:uid="{EF1E387C-D7C3-4E63-8DD7-75A23F31609A}"/>
    <hyperlink ref="B7674" r:id="rId23737" display="https://twitter.com/VWCamperSales" xr:uid="{1CE74D73-54A8-439D-951B-054C04962EBC}"/>
    <hyperlink ref="E7674" r:id="rId23738" display="https://twitter.com/VWCamperSales/status/724306943284670465" xr:uid="{CB3605F4-8A51-4F2D-81BD-1D34F5701AF8}"/>
    <hyperlink ref="F7674" r:id="rId23739" xr:uid="{23D294B9-2350-4C0D-91D8-E15DE0E9E98C}"/>
    <hyperlink ref="O7674" r:id="rId23740" display="https://pbs.twimg.com/profile_images/627949001179037696/skEBkS05_normal.jpg" xr:uid="{21BE76B7-3053-4E2C-BF1B-D58AC3030C4A}"/>
    <hyperlink ref="B7675" r:id="rId23741" display="https://twitter.com/significaRSE" xr:uid="{A474FB53-2CBF-4723-B4A6-F2781A54A396}"/>
    <hyperlink ref="E7675" r:id="rId23742" display="https://twitter.com/significaRSE/status/724307476900921344" xr:uid="{5190A5E8-9E9D-4B39-B458-6DD853C2272A}"/>
    <hyperlink ref="O7675" r:id="rId23743" display="https://pbs.twimg.com/profile_images/516145080701157376/5tDzLNt2_normal.png" xr:uid="{7CCA46AB-6192-4548-8E3E-6495B64D34DA}"/>
    <hyperlink ref="B7676" r:id="rId23744" display="https://twitter.com/CSRDispatch" xr:uid="{C32666E9-F99C-4EEB-BC0B-312964CA87E9}"/>
    <hyperlink ref="E7676" r:id="rId23745" display="https://twitter.com/CSRDispatch/status/724308216885161984" xr:uid="{F8909015-0966-42FE-AA78-ACBF93DB9A90}"/>
    <hyperlink ref="O7676" r:id="rId23746" display="https://pbs.twimg.com/profile_images/1321640419/csr_normal.jpeg" xr:uid="{D7489F1B-D79A-4901-A899-2B80D26BB8C4}"/>
    <hyperlink ref="B7677" r:id="rId23747" display="https://twitter.com/suplitas" xr:uid="{23DD8D2E-BC00-4741-8B6B-B237CE5964CB}"/>
    <hyperlink ref="E7677" r:id="rId23748" display="https://twitter.com/suplitas/status/724308347294486528" xr:uid="{674B845C-33B4-4372-9406-D2A95A886F98}"/>
    <hyperlink ref="O7677" r:id="rId23749" display="https://pbs.twimg.com/profile_images/1059691456/twitter_normal.png" xr:uid="{8E027BAA-B875-4075-8522-086F10B05AF2}"/>
    <hyperlink ref="B7678" r:id="rId23750" display="https://twitter.com/armandoh_8" xr:uid="{C9EEE8D2-F625-45E6-9E92-96AA81C1C099}"/>
    <hyperlink ref="E7678" r:id="rId23751" display="https://twitter.com/armandoh_8/status/724308496536113152" xr:uid="{71D9C1AD-2AAA-46B1-AB46-1CCB26243BD4}"/>
    <hyperlink ref="O7678" r:id="rId23752" display="https://pbs.twimg.com/profile_images/705187561182928896/xgmxzzBU_normal.jpg" xr:uid="{D1ADEA83-EEE4-4A8D-8CB6-7165BD7713AA}"/>
    <hyperlink ref="B7679" r:id="rId23753" display="https://twitter.com/2002_juana" xr:uid="{953F2CF2-5871-4149-B7EF-3F4EA47979F6}"/>
    <hyperlink ref="E7679" r:id="rId23754" display="https://twitter.com/2002_juana/status/724308633622818816" xr:uid="{5BD5CD2A-EAAA-4A28-8BC6-F4C60238D2B1}"/>
    <hyperlink ref="O7679" r:id="rId23755" display="https://pbs.twimg.com/profile_images/722075082542182401/K00rlFJm_normal.jpg" xr:uid="{81B59F70-05B7-48E9-91F6-C38FCC81F746}"/>
    <hyperlink ref="B7680" r:id="rId23756" display="https://twitter.com/MeMyselfAndGeek" xr:uid="{D5B2F369-A586-4E9F-967C-F3097050B390}"/>
    <hyperlink ref="E7680" r:id="rId23757" display="https://twitter.com/MeMyselfAndGeek/status/724308764090728448" xr:uid="{B9A106A7-27B1-44BC-9052-B3398481F40D}"/>
    <hyperlink ref="O7680" r:id="rId23758" display="https://pbs.twimg.com/profile_images/1712203432/Icon_512x512_normal.gif" xr:uid="{230A410F-53AB-4190-8C40-11137A02374F}"/>
    <hyperlink ref="B7681" r:id="rId23759" display="https://twitter.com/vwdepo" xr:uid="{AEFA8051-7C55-47CC-8980-0E5E86DBB31F}"/>
    <hyperlink ref="E7681" r:id="rId23760" display="https://twitter.com/vwdepo/status/724309444356513792" xr:uid="{75110A07-3B9B-49BF-98C7-573063CF1CBA}"/>
    <hyperlink ref="O7681" r:id="rId23761" display="https://pbs.twimg.com/profile_images/3378184537/c20ae9a7a410821b4f189c34a63380f7_normal.png" xr:uid="{D163546F-2A99-4EEE-BB7E-5E29F6789C93}"/>
    <hyperlink ref="B7682" r:id="rId23762" display="https://twitter.com/suprmotoronline" xr:uid="{15120466-3789-42DF-BBA7-7494906BDA1B}"/>
    <hyperlink ref="E7682" r:id="rId23763" display="https://twitter.com/suprmotoronline/status/724309464598368256" xr:uid="{E91A2A97-BB03-46AD-85B1-3409A670E7C0}"/>
    <hyperlink ref="O7682" r:id="rId23764" display="https://pbs.twimg.com/profile_images/684370452295237636/Uvq9YXez_normal.jpg" xr:uid="{53EF767F-5A24-4A63-8446-88B153539D1A}"/>
    <hyperlink ref="B7683" r:id="rId23765" display="https://twitter.com/caryelluk" xr:uid="{679D2F5E-B518-4E90-B4B3-31B2E31B98F6}"/>
    <hyperlink ref="E7683" r:id="rId23766" display="https://twitter.com/caryelluk/status/724310551052984320" xr:uid="{B4260052-5117-43C3-91F4-65B488258324}"/>
    <hyperlink ref="O7683" r:id="rId23767" display="https://pbs.twimg.com/profile_images/715332329019994114/CunHJsKm_normal.jpg" xr:uid="{C445BC26-CEB1-4DB8-8438-1044A0A9CE6A}"/>
    <hyperlink ref="B7684" r:id="rId23768" display="https://twitter.com/MedAgness" xr:uid="{26297891-A481-41EE-A1F4-7C0C0693AE3E}"/>
    <hyperlink ref="E7684" r:id="rId23769" display="https://twitter.com/MedAgness/status/724310868897488898" xr:uid="{8CCB7981-A6AB-4A42-A5BE-04AF91ACEA9E}"/>
    <hyperlink ref="O7684" r:id="rId23770" display="https://pbs.twimg.com/profile_images/631084316802482176/y_wtMQWR_normal.png" xr:uid="{C3846C37-D461-4AA9-9D84-3F2F5B3FDEEC}"/>
    <hyperlink ref="B7685" r:id="rId23771" display="https://twitter.com/Insta_VWT" xr:uid="{95CFEEB5-564F-488F-8E02-2DAA30A79531}"/>
    <hyperlink ref="E7685" r:id="rId23772" display="https://twitter.com/Insta_VWT/status/724310968969342976" xr:uid="{8170147F-3634-4F7A-8DEE-70A21667D16C}"/>
    <hyperlink ref="O7685" r:id="rId23773" display="https://pbs.twimg.com/profile_images/424893967197433858/iQ86NktX_normal.jpeg" xr:uid="{1FA52D86-39EA-40B4-8F1B-B332AFFA2B95}"/>
    <hyperlink ref="B7686" r:id="rId23774" display="https://twitter.com/maryyfrias" xr:uid="{67D3ED63-0AFE-44B4-809C-DDA4521EFBD3}"/>
    <hyperlink ref="E7686" r:id="rId23775" display="https://twitter.com/maryyfrias/status/724310974589722624" xr:uid="{F2FA0075-ACCF-47CD-822A-D0096CB5A29E}"/>
    <hyperlink ref="O7686" r:id="rId23776" display="https://pbs.twimg.com/profile_images/724282552991813633/A5epRSpU_normal.jpg" xr:uid="{E96BF3EA-047A-4E70-A747-579B413F69A4}"/>
    <hyperlink ref="B7687" r:id="rId23777" display="https://twitter.com/VeeDubMk1_" xr:uid="{6A1525EE-D7C6-436F-9012-EDEE757590C5}"/>
    <hyperlink ref="E7687" r:id="rId23778" display="https://twitter.com/VeeDubMk1_/status/724311100443992064" xr:uid="{6326BB9D-33A1-4869-A8B4-EFC9F5B1AE52}"/>
    <hyperlink ref="O7687" r:id="rId23779" display="https://pbs.twimg.com/profile_images/672878354127839232/M7OYc-zx_normal.jpg" xr:uid="{4ED3E3D8-CDCD-4632-B380-601C3DD45D21}"/>
    <hyperlink ref="B7688" r:id="rId23780" display="https://twitter.com/VeeDubMk1_" xr:uid="{63DBB1D6-3D30-447C-B541-DA81E6E3DCD1}"/>
    <hyperlink ref="E7688" r:id="rId23781" display="https://twitter.com/VeeDubMk1_/status/724311127530807296" xr:uid="{AB5BFFF4-6FB5-4F9E-AB99-3AEBA10C13CA}"/>
    <hyperlink ref="O7688" r:id="rId23782" display="https://pbs.twimg.com/profile_images/672878354127839232/M7OYc-zx_normal.jpg" xr:uid="{2C1B0A11-8C04-4BF1-8824-469CC039568C}"/>
    <hyperlink ref="B7689" r:id="rId23783" display="https://twitter.com/VeeDubMk1_" xr:uid="{83B00E87-6E1F-4189-BE73-E60F25FFE908}"/>
    <hyperlink ref="E7689" r:id="rId23784" display="https://twitter.com/VeeDubMk1_/status/724311138318598144" xr:uid="{3012F174-B401-41A7-B60B-532731A634F3}"/>
    <hyperlink ref="O7689" r:id="rId23785" display="https://pbs.twimg.com/profile_images/672878354127839232/M7OYc-zx_normal.jpg" xr:uid="{448EF5B1-3EB1-4165-86B7-9D2ABD2B1A45}"/>
    <hyperlink ref="B7690" r:id="rId23786" display="https://twitter.com/VeeDubMk1_" xr:uid="{E80AC240-9AAD-4AEA-A620-5583FA5F733F}"/>
    <hyperlink ref="E7690" r:id="rId23787" display="https://twitter.com/VeeDubMk1_/status/724311143599214592" xr:uid="{EAC4133E-6F35-47D8-BD02-62AC6B787364}"/>
    <hyperlink ref="O7690" r:id="rId23788" display="https://pbs.twimg.com/profile_images/672878354127839232/M7OYc-zx_normal.jpg" xr:uid="{1334AC6D-7426-441F-AA72-667FECEC4AC6}"/>
    <hyperlink ref="B7691" r:id="rId23789" display="https://twitter.com/Gina_Festa" xr:uid="{F399051B-A378-44F2-8507-50D40D9A218B}"/>
    <hyperlink ref="E7691" r:id="rId23790" display="https://twitter.com/Gina_Festa/status/724311458801045505" xr:uid="{DF8BB1D5-29F0-48E3-B561-BA0616BAB8DD}"/>
    <hyperlink ref="O7691" r:id="rId23791" display="https://pbs.twimg.com/profile_images/538904414485250048/5Ura1aCS_normal.jpeg" xr:uid="{99994C28-F445-49E9-B0A6-46381C899C46}"/>
    <hyperlink ref="B7692" r:id="rId23792" display="https://twitter.com/Insta_VWT" xr:uid="{4EAAAA71-7FF9-457C-86D2-0A76438B0677}"/>
    <hyperlink ref="E7692" r:id="rId23793" display="https://twitter.com/Insta_VWT/status/724311509271228417" xr:uid="{CFC32B60-2183-404A-A32F-F0F2A23DD107}"/>
    <hyperlink ref="O7692" r:id="rId23794" display="https://pbs.twimg.com/profile_images/424893967197433858/iQ86NktX_normal.jpeg" xr:uid="{366F33F6-781F-482C-A639-0C1333B34199}"/>
    <hyperlink ref="B7693" r:id="rId23795" display="https://twitter.com/Vagowners" xr:uid="{4E183D87-740D-4C69-BD3E-C35023C29662}"/>
    <hyperlink ref="E7693" r:id="rId23796" display="https://twitter.com/Vagowners/status/724311888205623296" xr:uid="{2F3414CA-EEAE-43D3-92FA-71926AF48AFB}"/>
    <hyperlink ref="O7693" r:id="rId23797" display="https://pbs.twimg.com/profile_images/718839998531903489/eXyeGppJ_normal.jpg" xr:uid="{38D12B09-064D-4C77-8965-081CE0566E9C}"/>
    <hyperlink ref="B7694" r:id="rId23798" display="https://twitter.com/Vagowners" xr:uid="{F36AF390-E1E7-42E0-B542-F3DB45D7FBAD}"/>
    <hyperlink ref="E7694" r:id="rId23799" display="https://twitter.com/Vagowners/status/724312461680193537" xr:uid="{44307B75-2E1E-45AF-9FB7-699D4213D5A6}"/>
    <hyperlink ref="O7694" r:id="rId23800" display="https://pbs.twimg.com/profile_images/718839998531903489/eXyeGppJ_normal.jpg" xr:uid="{58180F4D-9925-46F5-AD39-357973607E67}"/>
    <hyperlink ref="B7695" r:id="rId23801" display="https://twitter.com/Curious_Ewe" xr:uid="{56697B1E-DD0C-4920-B843-448D6A3CCEAC}"/>
    <hyperlink ref="E7695" r:id="rId23802" display="https://twitter.com/Curious_Ewe/status/724313046710124545" xr:uid="{CED5E0B1-F1A2-4A63-8884-7BEBCB6979E8}"/>
    <hyperlink ref="O7695" r:id="rId23803" display="https://pbs.twimg.com/profile_images/1082918340/logo_-_square_normal.PNG" xr:uid="{1A1328F6-5576-455E-9632-441D6C3BF48D}"/>
    <hyperlink ref="B7696" r:id="rId23804" display="https://twitter.com/VWBeetleSales" xr:uid="{3A6942F3-2765-4555-B5DA-1989713572A6}"/>
    <hyperlink ref="E7696" r:id="rId23805" display="https://twitter.com/VWBeetleSales/status/724313231242616832" xr:uid="{7686FFB0-5E69-4392-ACF5-DB60D9696B31}"/>
    <hyperlink ref="F7696" r:id="rId23806" xr:uid="{5D03DDCE-5843-42E3-B033-2A8E04275F6F}"/>
    <hyperlink ref="O7696" r:id="rId23807" display="https://pbs.twimg.com/profile_images/703294545195307008/qeCvrX86_normal.jpg" xr:uid="{494236CF-5523-4442-8019-4BEA4927409A}"/>
    <hyperlink ref="B7697" r:id="rId23808" display="https://twitter.com/Insta_VWT" xr:uid="{67DB4805-858E-4B29-9033-59205000DB9F}"/>
    <hyperlink ref="E7697" r:id="rId23809" display="https://twitter.com/Insta_VWT/status/724313232681406464" xr:uid="{A08E01DB-6073-46EC-902D-A5EB31D75625}"/>
    <hyperlink ref="O7697" r:id="rId23810" display="https://pbs.twimg.com/profile_images/424893967197433858/iQ86NktX_normal.jpeg" xr:uid="{C02A4452-E25B-48F6-ADC2-7174AE253B7C}"/>
    <hyperlink ref="B7698" r:id="rId23811" display="https://twitter.com/VWCamperSales" xr:uid="{17424581-0DB1-4B00-B59F-98900F10B59A}"/>
    <hyperlink ref="E7698" r:id="rId23812" display="https://twitter.com/VWCamperSales/status/724313233406857217" xr:uid="{8B94184E-57C6-48AE-8D5E-572FB426D4F7}"/>
    <hyperlink ref="F7698" r:id="rId23813" xr:uid="{2D37AB04-BC0D-43C3-92BF-507455A584AB}"/>
    <hyperlink ref="O7698" r:id="rId23814" display="https://pbs.twimg.com/profile_images/627949001179037696/skEBkS05_normal.jpg" xr:uid="{09CC460B-0F05-4529-AED0-5767730273B4}"/>
    <hyperlink ref="B7699" r:id="rId23815" display="https://twitter.com/VWBeetleSales" xr:uid="{3FE07ACC-5A78-4583-9DD0-2DE7D3A5A8A5}"/>
    <hyperlink ref="E7699" r:id="rId23816" display="https://twitter.com/VWBeetleSales/status/724313234275082242" xr:uid="{15CBEF93-868E-4C2D-A160-73311BF2CE75}"/>
    <hyperlink ref="F7699" r:id="rId23817" xr:uid="{B4246E4A-A713-47B2-9DFC-D44405C60100}"/>
    <hyperlink ref="O7699" r:id="rId23818" display="https://pbs.twimg.com/profile_images/703294545195307008/qeCvrX86_normal.jpg" xr:uid="{B2DBF116-F370-42C3-BAF4-4DC685ACF2EE}"/>
    <hyperlink ref="B7700" r:id="rId23819" display="https://twitter.com/Chuurraaa" xr:uid="{A244BE8D-20F7-43D9-9980-D5D0D6A25E91}"/>
    <hyperlink ref="E7700" r:id="rId23820" display="https://twitter.com/Chuurraaa/status/724313365506482177" xr:uid="{9ECEB03C-A7E8-4C73-9759-F484B7A3D2B3}"/>
    <hyperlink ref="O7700" r:id="rId23821" display="https://pbs.twimg.com/profile_images/649906344330416128/2rNR_pGy_normal.jpg" xr:uid="{09543CAA-5037-48CD-A59F-F9B0238CD2C7}"/>
    <hyperlink ref="B7701" r:id="rId23822" display="https://twitter.com/angelfire_2769" xr:uid="{0A61FDFF-B81D-4ADE-9897-9E6631C23BF0}"/>
    <hyperlink ref="E7701" r:id="rId23823" display="https://twitter.com/angelfire_2769/status/724313724400615425" xr:uid="{BA32639F-FE57-486C-80B9-226AD1F0DD1F}"/>
    <hyperlink ref="O7701" r:id="rId23824" display="https://pbs.twimg.com/profile_images/2769239639/8dc6d3b0d2aafd6b43885eb66c0340a5_normal.jpeg" xr:uid="{C9DD5DD7-7867-424C-86E3-57E02B431B4D}"/>
    <hyperlink ref="P7701" r:id="rId23825" location="39.2728869,-84.4115186" display="http://ctrlq.org/maps/address/ - 39.2728869,-84.4115186" xr:uid="{E7660288-3331-4080-B4FE-8709A5BC6DB4}"/>
    <hyperlink ref="B7702" r:id="rId23826" display="https://twitter.com/hashtagvanlife" xr:uid="{EA524D18-8160-46E2-BED6-48DA557A2FBA}"/>
    <hyperlink ref="E7702" r:id="rId23827" display="https://twitter.com/hashtagvanlife/status/724314576406339584" xr:uid="{231B583C-79D1-4973-BE4F-9180BF35B452}"/>
    <hyperlink ref="O7702" r:id="rId23828" display="https://pbs.twimg.com/profile_images/653637535545995264/gHuXQ5Bt_normal.jpg" xr:uid="{AAA9F9B8-AB27-4007-904D-E1AE483DCDCB}"/>
    <hyperlink ref="B7703" r:id="rId23829" display="https://twitter.com/Insta_VWT" xr:uid="{39CCAAFA-5420-4AF3-A4B2-B32CEFB47D24}"/>
    <hyperlink ref="E7703" r:id="rId23830" display="https://twitter.com/Insta_VWT/status/724314603618996224" xr:uid="{FCD87A19-487F-4BA2-801C-5DE7E75F9778}"/>
    <hyperlink ref="O7703" r:id="rId23831" display="https://pbs.twimg.com/profile_images/424893967197433858/iQ86NktX_normal.jpeg" xr:uid="{3E4B9CB0-8506-4FCD-852D-778AD112B1C1}"/>
    <hyperlink ref="B7704" r:id="rId23832" display="https://twitter.com/Insta_VWT" xr:uid="{AC503637-87A7-47B5-8B56-1E672E482447}"/>
    <hyperlink ref="E7704" r:id="rId23833" display="https://twitter.com/Insta_VWT/status/724314610250190850" xr:uid="{1C2C1D56-31AC-465B-BC79-68B277008E98}"/>
    <hyperlink ref="O7704" r:id="rId23834" display="https://pbs.twimg.com/profile_images/424893967197433858/iQ86NktX_normal.jpeg" xr:uid="{F015E212-294F-4041-A8E8-8B696F265080}"/>
    <hyperlink ref="B7705" r:id="rId23835" display="https://twitter.com/Insta_VWT" xr:uid="{519F3D92-D019-4C1D-885E-CAC9DE53573F}"/>
    <hyperlink ref="E7705" r:id="rId23836" display="https://twitter.com/Insta_VWT/status/724314639916523520" xr:uid="{28F134B5-AFA4-4D44-8A27-4E116FF43ADC}"/>
    <hyperlink ref="O7705" r:id="rId23837" display="https://pbs.twimg.com/profile_images/424893967197433858/iQ86NktX_normal.jpeg" xr:uid="{93F6CDA1-F384-47EC-8BB2-A67BB312A038}"/>
    <hyperlink ref="B7706" r:id="rId23838" display="https://twitter.com/masterhrules" xr:uid="{FECF59AA-C535-4212-A3A8-CEDF44B80E9B}"/>
    <hyperlink ref="E7706" r:id="rId23839" display="https://twitter.com/masterhrules/status/724314893126647808" xr:uid="{1C55E601-6261-436F-BBD8-AED2E515C341}"/>
    <hyperlink ref="O7706" r:id="rId23840" display="https://pbs.twimg.com/profile_images/702254024741916672/aYHsBFb4_normal.jpg" xr:uid="{F9B19D5F-E202-4317-ABC9-7CCAC80FCB02}"/>
    <hyperlink ref="B7707" r:id="rId23841" display="https://twitter.com/WakefieldLovers" xr:uid="{97386082-B296-454A-8A8A-B84DBDDFB952}"/>
    <hyperlink ref="E7707" r:id="rId23842" display="https://twitter.com/WakefieldLovers/status/724315024827752448" xr:uid="{17B72BF1-E6B3-44D1-BC82-FDA6261DDE94}"/>
    <hyperlink ref="O7707" r:id="rId23843" display="https://pbs.twimg.com/profile_images/619103605270933504/yq7GKMTs_normal.jpg" xr:uid="{015BEE49-DDD4-418A-8190-1E199341BDD7}"/>
    <hyperlink ref="B7708" r:id="rId23844" display="https://twitter.com/VWCamperSales" xr:uid="{5A21D5BE-0114-4C16-AB66-2D01B2DFC153}"/>
    <hyperlink ref="E7708" r:id="rId23845" display="https://twitter.com/VWCamperSales/status/724315109900738560" xr:uid="{286DC8A9-B7CA-4A81-B538-5503A1FB6D75}"/>
    <hyperlink ref="F7708" r:id="rId23846" xr:uid="{3D4BB2EF-214D-406E-BEF8-AE402E26E82A}"/>
    <hyperlink ref="O7708" r:id="rId23847" display="https://pbs.twimg.com/profile_images/627949001179037696/skEBkS05_normal.jpg" xr:uid="{B784F10B-59E7-4FEF-B402-885ADF3EF878}"/>
    <hyperlink ref="B7709" r:id="rId23848" display="https://twitter.com/VWBeetleSales" xr:uid="{39EBEF94-DD51-41C9-A7AB-A83FC3DD3341}"/>
    <hyperlink ref="E7709" r:id="rId23849" display="https://twitter.com/VWBeetleSales/status/724315110961872896" xr:uid="{349DBB6D-A73E-4096-B4F6-E7C92B6711B1}"/>
    <hyperlink ref="F7709" r:id="rId23850" xr:uid="{9EC4E5D6-F555-49C2-A013-E51E70D5395D}"/>
    <hyperlink ref="O7709" r:id="rId23851" display="https://pbs.twimg.com/profile_images/703294545195307008/qeCvrX86_normal.jpg" xr:uid="{06204581-4310-4BD1-9315-F2EEC06A7D57}"/>
    <hyperlink ref="B7710" r:id="rId23852" display="https://twitter.com/VWCamperSales" xr:uid="{4BC07D12-3D37-4BB3-B992-44ABA2428A0E}"/>
    <hyperlink ref="E7710" r:id="rId23853" display="https://twitter.com/VWCamperSales/status/724315113277149184" xr:uid="{B61C845A-DE16-4C2C-AD28-06BBAF36BAE0}"/>
    <hyperlink ref="F7710" r:id="rId23854" xr:uid="{177674F0-0058-48C7-9384-046ACE1AFD0D}"/>
    <hyperlink ref="O7710" r:id="rId23855" display="https://pbs.twimg.com/profile_images/627949001179037696/skEBkS05_normal.jpg" xr:uid="{59EC1D63-1E16-4A7A-B0BE-1F94E8D4F92C}"/>
    <hyperlink ref="B7711" r:id="rId23856" display="https://twitter.com/ProClipUSA" xr:uid="{7AF3EACE-BEB0-4C92-8BCB-FB64DCB6EF1E}"/>
    <hyperlink ref="E7711" r:id="rId23857" display="https://twitter.com/ProClipUSA/status/724315732092149760" xr:uid="{7D6BD21E-699E-4189-8BA4-244A459EED24}"/>
    <hyperlink ref="O7711" r:id="rId23858" display="https://pbs.twimg.com/profile_images/459073369661399040/NmPzTH6B_normal.png" xr:uid="{144E1434-4229-46B5-91BD-8D64A0FC8035}"/>
    <hyperlink ref="B7712" r:id="rId23859" display="https://twitter.com/acvwpassion" xr:uid="{F2FBE6B6-A847-42A1-ABBC-E54C22516F4D}"/>
    <hyperlink ref="E7712" r:id="rId23860" display="https://twitter.com/acvwpassion/status/724315759179096064" xr:uid="{DFE3E83C-D6E9-4E21-AEF4-AD35C24ACBC1}"/>
    <hyperlink ref="O7712" r:id="rId23861" display="https://pbs.twimg.com/profile_images/545688359964651520/SF3sJ7lv_normal.jpeg" xr:uid="{5B4102EA-DB0E-417F-BD07-D0B42E149C44}"/>
    <hyperlink ref="B7713" r:id="rId23862" display="https://twitter.com/universenme" xr:uid="{8FA48CCD-23D3-4D7B-8918-0D20AF92D9DD}"/>
    <hyperlink ref="E7713" r:id="rId23863" display="https://twitter.com/universenme/status/724316268543660032" xr:uid="{18F3C4B1-64D4-485B-B317-371F85DD5494}"/>
    <hyperlink ref="O7713" r:id="rId23864" display="https://pbs.twimg.com/profile_images/445716623010197504/HUskTY6O_normal.jpeg" xr:uid="{0236D8EE-3CDD-4FE2-96C8-5F6F96557310}"/>
    <hyperlink ref="B7714" r:id="rId23865" display="https://twitter.com/Tamara_DeCaluwe" xr:uid="{7B5E6F6E-38C0-4A38-9B5D-107DEFAE1CE6}"/>
    <hyperlink ref="E7714" r:id="rId23866" display="https://twitter.com/Tamara_DeCaluwe/status/724316340845158401" xr:uid="{C87095A4-53E1-4976-8278-27C3C0D2572C}"/>
    <hyperlink ref="O7714" r:id="rId23867" display="https://pbs.twimg.com/profile_images/602768406224441344/37bYfus9_normal.jpg" xr:uid="{D1C8646C-2FD5-4192-88B6-3D9E1610855E}"/>
    <hyperlink ref="B7715" r:id="rId23868" display="https://twitter.com/Scirocco_Tuning" xr:uid="{2C9A59AB-6060-44DA-A41E-16C902872937}"/>
    <hyperlink ref="E7715" r:id="rId23869" display="https://twitter.com/Scirocco_Tuning/status/724316392078618624" xr:uid="{71FD00E8-5941-417D-A66E-FA4E7EF152A5}"/>
    <hyperlink ref="O7715" r:id="rId23870" display="https://pbs.twimg.com/profile_images/1610421423/Image2_normal.jpg" xr:uid="{4D844565-A368-479F-944F-CC8E3BAD5A19}"/>
    <hyperlink ref="B7716" r:id="rId23871" display="https://twitter.com/PistonKafalar" xr:uid="{FEF07B35-2EC4-4BB3-92BE-AAE468B80BE9}"/>
    <hyperlink ref="E7716" r:id="rId23872" display="https://twitter.com/PistonKafalar/status/724317429376102402" xr:uid="{02A58679-A372-41C2-A913-AE843771531D}"/>
    <hyperlink ref="O7716" r:id="rId23873" display="https://pbs.twimg.com/profile_images/1606013134/PistonKafalar_logo_normal.jpg" xr:uid="{04602FEC-E750-4F8E-9EC1-5A17AA707F92}"/>
    <hyperlink ref="B7717" r:id="rId23874" display="https://twitter.com/Luko8525" xr:uid="{5B7A11E7-1B38-4153-99C7-812DB13882AE}"/>
    <hyperlink ref="E7717" r:id="rId23875" display="https://twitter.com/Luko8525/status/724317438045753344" xr:uid="{62CB4615-8DFA-496D-BDD4-1A99D0164BF3}"/>
    <hyperlink ref="O7717" r:id="rId23876" display="https://pbs.twimg.com/profile_images/511618472971730944/Kvi3OOwG_normal.jpeg" xr:uid="{B5779EBC-5AD7-4585-A64B-A7DBE04ABAC4}"/>
    <hyperlink ref="B7718" r:id="rId23877" display="https://twitter.com/Jazzybam" xr:uid="{07004D17-EA90-4DC3-B86F-BB308CCA71E4}"/>
    <hyperlink ref="E7718" r:id="rId23878" display="https://twitter.com/Jazzybam/status/724317870625284096" xr:uid="{6E80F92A-0186-44F4-AF9B-21A60BF9D838}"/>
    <hyperlink ref="O7718" r:id="rId23879" display="https://pbs.twimg.com/profile_images/709506642883256323/WAGmegiM_normal.jpg" xr:uid="{A4EF871F-E0B9-4A1C-B1D1-32F85AF25240}"/>
    <hyperlink ref="B7719" r:id="rId23880" display="https://twitter.com/VWCamperSales" xr:uid="{0B89D006-CAA6-4FB6-9C5D-B1083F0CDE4B}"/>
    <hyperlink ref="E7719" r:id="rId23881" display="https://twitter.com/VWCamperSales/status/724318384704262145" xr:uid="{D2E967B2-47DB-4181-81BD-41CD45669E71}"/>
    <hyperlink ref="F7719" r:id="rId23882" xr:uid="{7729D97E-982A-4695-8815-009BE08464E7}"/>
    <hyperlink ref="O7719" r:id="rId23883" display="https://pbs.twimg.com/profile_images/627949001179037696/skEBkS05_normal.jpg" xr:uid="{6C3FA335-32B3-4ABE-A86B-CCD30DD187EE}"/>
    <hyperlink ref="B7720" r:id="rId23884" display="https://twitter.com/OnlineCarReview" xr:uid="{21C1D36B-6372-473C-A33B-6E5EECCAA8E0}"/>
    <hyperlink ref="E7720" r:id="rId23885" display="https://twitter.com/OnlineCarReview/status/724318667157069825" xr:uid="{FAB0AB32-9A0E-4E11-B6C8-F5508E66C5DD}"/>
    <hyperlink ref="O7720" r:id="rId23886" display="https://pbs.twimg.com/profile_images/652871584131092480/QA_B6SBO_normal.jpg" xr:uid="{F2ED5A9A-E415-49F3-94C6-727B0D776B86}"/>
    <hyperlink ref="B7721" r:id="rId23887" display="https://twitter.com/minornews" xr:uid="{110904A9-AAD2-4D7A-83E0-B6E814C86CBB}"/>
    <hyperlink ref="E7721" r:id="rId23888" display="https://twitter.com/minornews/status/724318847575138308" xr:uid="{E3E7E6EA-EABA-42A8-802E-96CBA70F4743}"/>
    <hyperlink ref="O7721" r:id="rId23889" display="https://pbs.twimg.com/profile_images/692450304059645952/aRBxMbSI_normal.png" xr:uid="{F75521D8-91CD-48F6-A893-450EE3C7F122}"/>
    <hyperlink ref="B7722" r:id="rId23890" display="https://twitter.com/MakarenaFra" xr:uid="{38F3707C-EC90-426F-AB12-9A326E032159}"/>
    <hyperlink ref="E7722" r:id="rId23891" display="https://twitter.com/MakarenaFra/status/724319144586416128" xr:uid="{EF8569FA-32B4-461E-A4E5-D7C541E5BCE8}"/>
    <hyperlink ref="O7722" r:id="rId23892" display="https://pbs.twimg.com/profile_images/715670762955403264/29LKzfpL_normal.jpg" xr:uid="{FAD8DAB3-AA2E-45D5-8DC7-B81C0E649463}"/>
    <hyperlink ref="B7723" r:id="rId23893" display="https://twitter.com/VWCamperSales" xr:uid="{ACF7AFBE-9DE3-4ABA-B8D6-B55414CE3AF8}"/>
    <hyperlink ref="E7723" r:id="rId23894" display="https://twitter.com/VWCamperSales/status/724319893479280640" xr:uid="{04E235BB-125A-4D9D-B762-9ACE945E6184}"/>
    <hyperlink ref="F7723" r:id="rId23895" xr:uid="{F27891BE-F7B8-4716-BF41-FDB8DCEBCDBB}"/>
    <hyperlink ref="O7723" r:id="rId23896" display="https://pbs.twimg.com/profile_images/627949001179037696/skEBkS05_normal.jpg" xr:uid="{CC338442-A093-4059-9288-5042389539C9}"/>
    <hyperlink ref="B7724" r:id="rId23897" display="https://twitter.com/xxVickyThomasxx" xr:uid="{01004A07-810B-4C50-8AF8-910E79E255F9}"/>
    <hyperlink ref="E7724" r:id="rId23898" display="https://twitter.com/xxVickyThomasxx/status/724320270266327040" xr:uid="{EC0237E6-4BDD-40B6-BDB7-EEB6C2335E47}"/>
    <hyperlink ref="O7724" r:id="rId23899" display="https://pbs.twimg.com/profile_images/704751474425860098/YaW2hfRN_normal.jpg" xr:uid="{EC023FE7-20C8-4091-B2DA-3D21BF358B5E}"/>
    <hyperlink ref="B7725" r:id="rId23900" display="https://twitter.com/thesecretcaddie" xr:uid="{09D26D98-F002-4BF0-AD52-1F6FCC0122B0}"/>
    <hyperlink ref="E7725" r:id="rId23901" display="https://twitter.com/thesecretcaddie/status/724320324892893187" xr:uid="{78DA5494-4475-4E70-9BBD-F55B0B8CE291}"/>
    <hyperlink ref="O7725" r:id="rId23902" display="https://pbs.twimg.com/profile_images/657274911854055424/lvaVj9jL_normal.jpg" xr:uid="{74373003-8017-437A-9D1B-86F17837D676}"/>
    <hyperlink ref="B7726" r:id="rId23903" display="https://twitter.com/HeelTo3" xr:uid="{8D7E7179-CC21-40C8-A7DA-7F948620D21D}"/>
    <hyperlink ref="E7726" r:id="rId23904" display="https://twitter.com/HeelTo3/status/724320466794614784" xr:uid="{A339EDE0-0A16-4E69-BCB7-0C99EB9B6A8D}"/>
    <hyperlink ref="O7726" r:id="rId23905" display="https://pbs.twimg.com/profile_images/555481120612315136/U0HzM9IZ_normal.jpeg" xr:uid="{E160E76D-4DF2-4DA5-B659-1FED8020AD56}"/>
    <hyperlink ref="B7727" r:id="rId23906" display="https://twitter.com/FennellMarcus" xr:uid="{1A81CB2D-E30B-4859-A1CE-520DB8F0DA02}"/>
    <hyperlink ref="E7727" r:id="rId23907" display="https://twitter.com/FennellMarcus/status/724320767048056833" xr:uid="{A4575EFF-233E-4C85-BEE9-DF485F5AD6CB}"/>
    <hyperlink ref="O7727" r:id="rId23908" display="https://pbs.twimg.com/profile_images/689135486544293889/vPAeUEzo_normal.jpg" xr:uid="{B5652B13-9809-43CD-95A1-BF3CDDFF80AE}"/>
    <hyperlink ref="B7728" r:id="rId23909" display="https://twitter.com/FennellMarcus" xr:uid="{B709E497-B100-40AF-8085-9AF2BE46C111}"/>
    <hyperlink ref="E7728" r:id="rId23910" display="https://twitter.com/FennellMarcus/status/724320810475855874" xr:uid="{4E534D78-D208-4F4E-9D55-7EAFADAC5C23}"/>
    <hyperlink ref="O7728" r:id="rId23911" display="https://pbs.twimg.com/profile_images/689135486544293889/vPAeUEzo_normal.jpg" xr:uid="{AF6D4F8A-A667-4AFD-8AB0-56AC83D2D3F1}"/>
    <hyperlink ref="B7729" r:id="rId23912" display="https://twitter.com/Rosenow" xr:uid="{9EAB9B5E-E8F5-498F-91A4-90610DC19CA6}"/>
    <hyperlink ref="E7729" r:id="rId23913" display="https://twitter.com/Rosenow/status/724321235547623425" xr:uid="{A4A093C6-BB7F-4CA1-8A6F-C3ACE20599BA}"/>
    <hyperlink ref="O7729" r:id="rId23914" display="https://pbs.twimg.com/profile_images/254756335/Head_normal.jpg" xr:uid="{FEF96410-E0B8-4933-A4B4-AF3A24CE04F1}"/>
    <hyperlink ref="B7730" r:id="rId23915" display="https://twitter.com/beetlebug1938" xr:uid="{7B4A7833-CB90-4E31-BA5E-F4961942073C}"/>
    <hyperlink ref="E7730" r:id="rId23916" display="https://twitter.com/beetlebug1938/status/724321380657946624" xr:uid="{641F93CA-5730-4943-B691-449CB3483DF4}"/>
    <hyperlink ref="O7730" r:id="rId23917" display="https://pbs.twimg.com/profile_images/718820712757215233/LXXndPTS_normal.jpg" xr:uid="{59ADA5BF-B2A9-4A6E-86C0-3F841408E4CC}"/>
    <hyperlink ref="B7731" r:id="rId23918" display="https://twitter.com/beetlebug1938" xr:uid="{314A6C23-A0D2-4012-A490-FC5B8CE96E5A}"/>
    <hyperlink ref="E7731" r:id="rId23919" display="https://twitter.com/beetlebug1938/status/724321387993792513" xr:uid="{D4CEF61C-94BC-4520-B4DC-BD3F4D778D76}"/>
    <hyperlink ref="O7731" r:id="rId23920" display="https://pbs.twimg.com/profile_images/718820712757215233/LXXndPTS_normal.jpg" xr:uid="{C2633183-D984-41C9-AACB-A2F4BC87A740}"/>
    <hyperlink ref="B7732" r:id="rId23921" display="https://twitter.com/beetlebug1938" xr:uid="{56685D21-1260-4558-8976-D340D4697B86}"/>
    <hyperlink ref="E7732" r:id="rId23922" display="https://twitter.com/beetlebug1938/status/724321397011558400" xr:uid="{B7C5D040-53FC-4130-A761-D69D548E9499}"/>
    <hyperlink ref="O7732" r:id="rId23923" display="https://pbs.twimg.com/profile_images/718820712757215233/LXXndPTS_normal.jpg" xr:uid="{81E3E9E3-CAB0-4E9D-895D-268B9E10F709}"/>
    <hyperlink ref="B7733" r:id="rId23924" display="https://twitter.com/beetlebug1938" xr:uid="{59BEDF5E-04E5-4D13-8A96-F376991C051A}"/>
    <hyperlink ref="E7733" r:id="rId23925" display="https://twitter.com/beetlebug1938/status/724321409875480578" xr:uid="{C8AB65F1-AA7F-4447-A378-91E6108F5019}"/>
    <hyperlink ref="O7733" r:id="rId23926" display="https://pbs.twimg.com/profile_images/718820712757215233/LXXndPTS_normal.jpg" xr:uid="{AAA4296A-E2CC-4748-B8D7-E5D397627950}"/>
    <hyperlink ref="B7734" r:id="rId23927" display="https://twitter.com/beetlebug1938" xr:uid="{5A51FF84-C716-4186-9DC9-4F10514912D4}"/>
    <hyperlink ref="E7734" r:id="rId23928" display="https://twitter.com/beetlebug1938/status/724321419690139652" xr:uid="{11088284-3F18-4FBB-915B-A7E42168DABB}"/>
    <hyperlink ref="O7734" r:id="rId23929" display="https://pbs.twimg.com/profile_images/718820712757215233/LXXndPTS_normal.jpg" xr:uid="{5411B61D-1432-4E5C-B127-401152136F68}"/>
    <hyperlink ref="B7735" r:id="rId23930" display="https://twitter.com/beetlebug1938" xr:uid="{84BC0759-4125-4BA5-85AF-DE91D488634C}"/>
    <hyperlink ref="E7735" r:id="rId23931" display="https://twitter.com/beetlebug1938/status/724321430230450176" xr:uid="{BB3240F2-2259-42C6-8260-CBAE79E8B503}"/>
    <hyperlink ref="O7735" r:id="rId23932" display="https://pbs.twimg.com/profile_images/718820712757215233/LXXndPTS_normal.jpg" xr:uid="{2EAC3E3E-F3E2-4361-978F-AB0474DE0740}"/>
    <hyperlink ref="B7736" r:id="rId23933" display="https://twitter.com/dubbusses" xr:uid="{29349166-0611-4BAF-A7FD-7453E94A3C3F}"/>
    <hyperlink ref="E7736" r:id="rId23934" display="https://twitter.com/dubbusses/status/724321628113481728" xr:uid="{1E5567AE-F01A-40AE-B821-189928ADF4A3}"/>
    <hyperlink ref="O7736" r:id="rId23935" display="https://pbs.twimg.com/profile_images/718835727027580928/1ssyQ67y_normal.jpg" xr:uid="{4B43DCC2-DF11-4AD5-8A03-5B5206DFA022}"/>
    <hyperlink ref="B7737" r:id="rId23936" display="https://twitter.com/dubbusses" xr:uid="{63A3726E-7848-4813-97E6-56BE536D087D}"/>
    <hyperlink ref="E7737" r:id="rId23937" display="https://twitter.com/dubbusses/status/724321647935782913" xr:uid="{DAA23A79-66CB-4C04-B08F-77F6E214B92F}"/>
    <hyperlink ref="O7737" r:id="rId23938" display="https://pbs.twimg.com/profile_images/718835727027580928/1ssyQ67y_normal.jpg" xr:uid="{0864B005-F11C-406F-8D0A-25C097F024FF}"/>
    <hyperlink ref="B7738" r:id="rId23939" display="https://twitter.com/dubbusses" xr:uid="{A687A9CF-B061-4F0E-97D9-FC8AB7A53E7B}"/>
    <hyperlink ref="E7738" r:id="rId23940" display="https://twitter.com/dubbusses/status/724321662750085121" xr:uid="{31655BFA-95D1-405C-B012-EBEB18997714}"/>
    <hyperlink ref="O7738" r:id="rId23941" display="https://pbs.twimg.com/profile_images/718835727027580928/1ssyQ67y_normal.jpg" xr:uid="{681003DE-773B-4DB8-94B8-707F9BB9707A}"/>
    <hyperlink ref="B7739" r:id="rId23942" display="https://twitter.com/dubbusses" xr:uid="{4231D16E-C97F-4E0C-9573-5F8969901EBA}"/>
    <hyperlink ref="E7739" r:id="rId23943" display="https://twitter.com/dubbusses/status/724321671973212164" xr:uid="{DA2F94DB-41B5-4FE6-8264-835FA4BD4978}"/>
    <hyperlink ref="O7739" r:id="rId23944" display="https://pbs.twimg.com/profile_images/718835727027580928/1ssyQ67y_normal.jpg" xr:uid="{1D5A530F-F234-43D1-97D7-6EAE6A44B92A}"/>
    <hyperlink ref="B7740" r:id="rId23945" display="https://twitter.com/dubbusses" xr:uid="{80CF6F91-F20D-4D0E-81BF-4B7EA5031AA2}"/>
    <hyperlink ref="E7740" r:id="rId23946" display="https://twitter.com/dubbusses/status/724321675882446848" xr:uid="{5BEF0AD0-E219-4DEB-B840-22D60DDA1CA5}"/>
    <hyperlink ref="O7740" r:id="rId23947" display="https://pbs.twimg.com/profile_images/718835727027580928/1ssyQ67y_normal.jpg" xr:uid="{0928EC38-CDC3-48B4-AF73-884F8093D75C}"/>
    <hyperlink ref="B7741" r:id="rId23948" display="https://twitter.com/dubbusses" xr:uid="{1F5C2EED-D49A-4482-BD67-D57B48A67415}"/>
    <hyperlink ref="E7741" r:id="rId23949" display="https://twitter.com/dubbusses/status/724321679485353984" xr:uid="{CBC712D8-486B-486A-B3A1-96329E3552A8}"/>
    <hyperlink ref="O7741" r:id="rId23950" display="https://pbs.twimg.com/profile_images/718835727027580928/1ssyQ67y_normal.jpg" xr:uid="{6324C8FC-207E-4D99-9B30-6E40760C9E5C}"/>
    <hyperlink ref="B7742" r:id="rId23951" display="https://twitter.com/VWCamperSales" xr:uid="{20F99772-8FA3-4BD5-A301-AAF48DA52C66}"/>
    <hyperlink ref="E7742" r:id="rId23952" display="https://twitter.com/VWCamperSales/status/724321803393372160" xr:uid="{AEA6E074-CC8F-4E5C-8BB0-EA523BF58C4E}"/>
    <hyperlink ref="F7742" r:id="rId23953" xr:uid="{337D5A79-4458-4709-968F-A766247A59F3}"/>
    <hyperlink ref="O7742" r:id="rId23954" display="https://pbs.twimg.com/profile_images/627949001179037696/skEBkS05_normal.jpg" xr:uid="{AEEA1061-72D9-4BDA-92BF-E90F3323B43A}"/>
    <hyperlink ref="B7743" r:id="rId23955" display="https://twitter.com/Mphilpot1" xr:uid="{CDE23B60-6A8F-4601-AC35-7D86B7CD117D}"/>
    <hyperlink ref="E7743" r:id="rId23956" display="https://twitter.com/Mphilpot1/status/724323198645342209" xr:uid="{1D677593-AC13-4EB4-B80E-6DBC7E35101C}"/>
    <hyperlink ref="O7743" r:id="rId23957" display="https://pbs.twimg.com/profile_images/422164778639839234/LVnS1q1c_normal.jpeg" xr:uid="{08F560AF-B1DE-4F88-ABAB-9172481EBDDA}"/>
    <hyperlink ref="B7744" r:id="rId23958" display="https://twitter.com/Mphilpot1" xr:uid="{E7B6F7DB-6A99-4790-B11C-B308E452FE04}"/>
    <hyperlink ref="E7744" r:id="rId23959" display="https://twitter.com/Mphilpot1/status/724323199555530752" xr:uid="{89668A00-EEF0-4852-ACBB-174F1CD1924C}"/>
    <hyperlink ref="O7744" r:id="rId23960" display="https://pbs.twimg.com/profile_images/422164778639839234/LVnS1q1c_normal.jpeg" xr:uid="{DCD069CB-5415-4B1D-A9C0-8354F81A831F}"/>
    <hyperlink ref="B7745" r:id="rId23961" display="https://twitter.com/Mphilpot1" xr:uid="{6D8B2B85-2CF2-49B0-A49E-C6AF7E4B249A}"/>
    <hyperlink ref="E7745" r:id="rId23962" display="https://twitter.com/Mphilpot1/status/724323200239169536" xr:uid="{FE7C6A9F-D2EF-45B4-80C4-B934AF6B2027}"/>
    <hyperlink ref="O7745" r:id="rId23963" display="https://pbs.twimg.com/profile_images/422164778639839234/LVnS1q1c_normal.jpeg" xr:uid="{4726AA46-ACD2-4AC2-AC7B-A2A96B7F63E4}"/>
    <hyperlink ref="B7746" r:id="rId23964" display="https://twitter.com/Yellow_Car_Shop" xr:uid="{74439000-5727-4DA0-A9D7-2FE485F553D7}"/>
    <hyperlink ref="E7746" r:id="rId23965" display="https://twitter.com/Yellow_Car_Shop/status/724323565319888903" xr:uid="{FE5E652D-7ABA-4190-AF2B-A9157297E0E3}"/>
    <hyperlink ref="O7746" r:id="rId23966" display="https://pbs.twimg.com/profile_images/696469407200059395/ymFpE9mj_normal.jpg" xr:uid="{739E994A-7874-40A1-A966-0F9AEDBB062E}"/>
    <hyperlink ref="B7747" r:id="rId23967" display="https://twitter.com/beadstormdesign" xr:uid="{F2C7072C-E1EB-4E2A-B278-CFCD9B2ED229}"/>
    <hyperlink ref="E7747" r:id="rId23968" display="https://twitter.com/beadstormdesign/status/724324058154819584" xr:uid="{F223CC9F-C00A-44CD-B802-936DF54C37C7}"/>
    <hyperlink ref="O7747" r:id="rId23969" display="https://pbs.twimg.com/profile_images/657481901180133376/Un2dlh2n_normal.jpg" xr:uid="{DF54C7C6-E0BA-4CF3-950A-1EB67212EA09}"/>
    <hyperlink ref="B7748" r:id="rId23970" display="https://twitter.com/francodonelli" xr:uid="{317661B8-F568-4FB4-965B-14624D56C3C5}"/>
    <hyperlink ref="E7748" r:id="rId23971" display="https://twitter.com/francodonelli/status/724324301583863808" xr:uid="{359B1318-1606-45FE-9F2D-5C71B95BCB3A}"/>
    <hyperlink ref="O7748" r:id="rId23972" display="https://pbs.twimg.com/profile_images/702710715556229121/I8xXaX4Q_normal.jpg" xr:uid="{0C66B999-E343-4333-9602-8B4D43FB6D74}"/>
    <hyperlink ref="B7749" r:id="rId23973" display="https://twitter.com/CARLOSATOLOSA" xr:uid="{EB4CAF14-141B-4165-92AE-EEFB75B2FC1C}"/>
    <hyperlink ref="E7749" r:id="rId23974" display="https://twitter.com/CARLOSATOLOSA/status/724324705965084674" xr:uid="{16A71214-D67B-45AC-BCDB-99040851B1F8}"/>
    <hyperlink ref="O7749" r:id="rId23975" display="https://pbs.twimg.com/profile_images/557545389797421057/MluIzFgl_normal.jpeg" xr:uid="{F6848214-2621-4CB2-8A73-FF5FFB1B2F4D}"/>
    <hyperlink ref="B7750" r:id="rId23976" display="https://twitter.com/VWBeetleSales" xr:uid="{AA35C4C1-52D9-45A7-A766-DA4CA3F4C74F}"/>
    <hyperlink ref="E7750" r:id="rId23977" display="https://twitter.com/VWBeetleSales/status/724324807966224385" xr:uid="{AB420B2A-4F60-4807-9126-79A25668DD19}"/>
    <hyperlink ref="F7750" r:id="rId23978" xr:uid="{CBA7796D-C7CA-423D-B523-3E1930E14308}"/>
    <hyperlink ref="O7750" r:id="rId23979" display="https://pbs.twimg.com/profile_images/703294545195307008/qeCvrX86_normal.jpg" xr:uid="{6D0C2888-6CF6-4919-A5E9-F791581A463A}"/>
    <hyperlink ref="B7751" r:id="rId23980" display="https://twitter.com/VWBeetleSales" xr:uid="{7A694C23-77ED-47DA-BC48-ED42A8C6C6E8}"/>
    <hyperlink ref="E7751" r:id="rId23981" display="https://twitter.com/VWBeetleSales/status/724324814308012032" xr:uid="{66B068DD-F477-4806-8F4E-7D82F7D43A6E}"/>
    <hyperlink ref="F7751" r:id="rId23982" xr:uid="{394978E0-3F1C-407F-B637-CD51996B4200}"/>
    <hyperlink ref="O7751" r:id="rId23983" display="https://pbs.twimg.com/profile_images/703294545195307008/qeCvrX86_normal.jpg" xr:uid="{BD47825C-F778-4853-93D3-72F464EB5C94}"/>
    <hyperlink ref="B7752" r:id="rId23984" display="https://twitter.com/VWCamperSales" xr:uid="{65FDF95E-F2D5-4146-BFFA-C523820C7674}"/>
    <hyperlink ref="E7752" r:id="rId23985" display="https://twitter.com/VWCamperSales/status/724324820909838336" xr:uid="{A70D3CFD-42E7-47DA-816F-8EFE3B678068}"/>
    <hyperlink ref="F7752" r:id="rId23986" xr:uid="{C505BC11-E87D-43EC-914E-B4C767FC74F3}"/>
    <hyperlink ref="O7752" r:id="rId23987" display="https://pbs.twimg.com/profile_images/627949001179037696/skEBkS05_normal.jpg" xr:uid="{5792A0A1-D0AD-4E96-A807-0024F9650AF8}"/>
    <hyperlink ref="B7753" r:id="rId23988" display="https://twitter.com/ebaycampervans" xr:uid="{4DD4AFAD-B4F7-4728-BB5C-A117F96AAB8E}"/>
    <hyperlink ref="E7753" r:id="rId23989" display="https://twitter.com/ebaycampervans/status/724324910789586944" xr:uid="{7752E07B-7FCC-48A8-80F3-B71E805D452C}"/>
    <hyperlink ref="O7753" r:id="rId23990" display="https://pbs.twimg.com/profile_images/599357023407464449/BL9Bpo6T_normal.jpg" xr:uid="{EADF6415-5CEA-49BA-80EE-780BEA3AC25F}"/>
    <hyperlink ref="B7754" r:id="rId23991" display="https://twitter.com/CameronGruntman" xr:uid="{0FC7795B-2744-4561-BB41-6FCB9306F458}"/>
    <hyperlink ref="E7754" r:id="rId23992" display="https://twitter.com/CameronGruntman/status/724325119900958725" xr:uid="{2F4FBECE-0D1B-409D-9609-237E024DB5C7}"/>
    <hyperlink ref="O7754" r:id="rId23993" display="https://pbs.twimg.com/profile_images/693569434494111744/7BLhzYeh_normal.jpg" xr:uid="{BECC8DF1-8C73-4820-9900-A895F6B92098}"/>
    <hyperlink ref="B7755" r:id="rId23994" display="https://twitter.com/rajesh12june" xr:uid="{0967E762-805C-4C14-9C14-A514D42AFD8F}"/>
    <hyperlink ref="E7755" r:id="rId23995" display="https://twitter.com/rajesh12june/status/724325418975793153" xr:uid="{91F01238-71BD-4D0F-A221-E47D670BF0C2}"/>
    <hyperlink ref="O7755" r:id="rId23996" display="https://pbs.twimg.com/profile_images/621995740177379328/YJAQstq5_normal.jpg" xr:uid="{7B590E91-AD76-4A2A-95DD-3B16D7B72352}"/>
    <hyperlink ref="B7756" r:id="rId23997" display="https://twitter.com/rajesh12june" xr:uid="{0F4BFF56-6393-4B46-97DE-1F0A7D34101F}"/>
    <hyperlink ref="E7756" r:id="rId23998" display="https://twitter.com/rajesh12june/status/724325437120385024" xr:uid="{A8956BB6-54C1-4535-BF8D-01F9613381D1}"/>
    <hyperlink ref="O7756" r:id="rId23999" display="https://pbs.twimg.com/profile_images/621995740177379328/YJAQstq5_normal.jpg" xr:uid="{B302D477-0834-4D2F-B884-3551F9F87F7C}"/>
    <hyperlink ref="B7757" r:id="rId24000" display="https://twitter.com/VeeDubMk1_" xr:uid="{8AB0BA2D-12C6-49D6-805C-CC4DD845A410}"/>
    <hyperlink ref="E7757" r:id="rId24001" display="https://twitter.com/VeeDubMk1_/status/724326202148790274" xr:uid="{CADCA9B0-0862-4682-B3C7-44FB01D3A29E}"/>
    <hyperlink ref="O7757" r:id="rId24002" display="https://pbs.twimg.com/profile_images/672878354127839232/M7OYc-zx_normal.jpg" xr:uid="{DB731397-3E7D-4446-A31E-C2633EE8F1BE}"/>
    <hyperlink ref="B7758" r:id="rId24003" display="https://twitter.com/VeeDubMk1_" xr:uid="{1DCD8A1A-C87E-4460-AE3F-1EEF16C326DD}"/>
    <hyperlink ref="E7758" r:id="rId24004" display="https://twitter.com/VeeDubMk1_/status/724326225116815360" xr:uid="{8179BA57-A996-4E92-B4E2-EF1AC610BE28}"/>
    <hyperlink ref="O7758" r:id="rId24005" display="https://pbs.twimg.com/profile_images/672878354127839232/M7OYc-zx_normal.jpg" xr:uid="{F1020EBC-5EF0-4BDD-B53E-6CFD2548F3C0}"/>
    <hyperlink ref="B7759" r:id="rId24006" display="https://twitter.com/VWCamperSales" xr:uid="{D7F44439-1DC2-4FB9-B9D6-F249B1A66056}"/>
    <hyperlink ref="E7759" r:id="rId24007" display="https://twitter.com/VWCamperSales/status/724326434290831361" xr:uid="{6907A0AF-D013-4894-B96C-3C8DDEF8C322}"/>
    <hyperlink ref="F7759" r:id="rId24008" xr:uid="{86391B75-FEFA-49BC-AE40-D28F0B4C2565}"/>
    <hyperlink ref="O7759" r:id="rId24009" display="https://pbs.twimg.com/profile_images/627949001179037696/skEBkS05_normal.jpg" xr:uid="{CFF76EC9-E774-48A7-96E3-2A935BA90035}"/>
    <hyperlink ref="B7760" r:id="rId24010" display="https://twitter.com/HR_Nicki" xr:uid="{638FB345-4DA7-46BE-96EA-6B14AE1D977A}"/>
    <hyperlink ref="E7760" r:id="rId24011" display="https://twitter.com/HR_Nicki/status/724326713560322048" xr:uid="{573CA635-4852-4999-8DD7-CAF5935C29BF}"/>
    <hyperlink ref="O7760" r:id="rId24012" display="https://pbs.twimg.com/profile_images/684698231989776386/GlZdMxZ__normal.jpg" xr:uid="{6E3A21B7-7C00-4D06-9253-325B08A26858}"/>
    <hyperlink ref="B7761" r:id="rId24013" display="https://twitter.com/LimandoElPisoPM" xr:uid="{462EE6F5-1E8A-4E8E-AD4D-9E7056E1EF34}"/>
    <hyperlink ref="E7761" r:id="rId24014" display="https://twitter.com/LimandoElPisoPM/status/724326906074652673" xr:uid="{D01A27CA-FB7D-4BFE-B644-EDF01A6195E4}"/>
    <hyperlink ref="O7761" r:id="rId24015" display="https://pbs.twimg.com/profile_images/710591486228766720/8dYGKdNm_normal.jpg" xr:uid="{A669C1A6-ED32-4DE6-B45F-5997034732ED}"/>
    <hyperlink ref="B7762" r:id="rId24016" display="https://twitter.com/Tumberito01" xr:uid="{BD947FE7-0B90-4CDE-997C-57DDF1D6A057}"/>
    <hyperlink ref="E7762" r:id="rId24017" display="https://twitter.com/Tumberito01/status/724327200879710209" xr:uid="{B72808BC-9964-47A6-83F4-0B603F82F8C5}"/>
    <hyperlink ref="O7762" r:id="rId24018" display="https://pbs.twimg.com/profile_images/705279221048942592/LKMhQOa-_normal.jpg" xr:uid="{1AE6AE08-F1A4-46AE-9F55-B0B46A8954C4}"/>
    <hyperlink ref="B7763" r:id="rId24019" display="https://twitter.com/SaantiagoCorbal" xr:uid="{1489DFC5-8F2F-4DE5-BD08-02593B32E91C}"/>
    <hyperlink ref="E7763" r:id="rId24020" display="https://twitter.com/SaantiagoCorbal/status/724327323575701507" xr:uid="{1F9AC063-818F-4180-8B88-EF8DB42C6FF6}"/>
    <hyperlink ref="O7763" r:id="rId24021" display="https://pbs.twimg.com/profile_images/713918530954113024/pj1osFIf_normal.jpg" xr:uid="{29F455F9-DF55-41DB-9C52-FC7632607CF3}"/>
    <hyperlink ref="B7764" r:id="rId24022" display="https://twitter.com/MalikCandelaria" xr:uid="{10D56305-C7A6-43E5-AEC5-F17FE7C46BCC}"/>
    <hyperlink ref="E7764" r:id="rId24023" display="https://twitter.com/MalikCandelaria/status/724327330710167552" xr:uid="{CB0A68A7-3133-4803-8236-9CF8F78AFABE}"/>
    <hyperlink ref="O7764" r:id="rId24024" display="https://pbs.twimg.com/profile_images/714232920647581697/ve_Jd5Zg_normal.jpg" xr:uid="{29D24F6B-8E12-4698-9B83-DF99F46E2E80}"/>
    <hyperlink ref="B7765" r:id="rId24025" display="https://twitter.com/ClassActionsLaw" xr:uid="{D400ADD3-4EF6-4279-AB3C-6C92ED053636}"/>
    <hyperlink ref="E7765" r:id="rId24026" display="https://twitter.com/ClassActionsLaw/status/724327369985667076" xr:uid="{FECD329A-8002-4DB0-A3B4-54BD30EA0741}"/>
    <hyperlink ref="O7765" r:id="rId24027" display="https://pbs.twimg.com/profile_images/471351230212501504/x8Z0ncVJ_normal.jpeg" xr:uid="{6363DB92-677C-4EF4-86C5-401BA335925C}"/>
    <hyperlink ref="B7766" r:id="rId24028" display="https://twitter.com/marcus_philipp1" xr:uid="{59767E93-7395-443E-8ADC-987CE857B1EF}"/>
    <hyperlink ref="E7766" r:id="rId24029" display="https://twitter.com/marcus_philipp1/status/724327386825678848" xr:uid="{A9A9F6F4-4950-4C49-8533-7EA9E3A85BEE}"/>
    <hyperlink ref="O7766" r:id="rId24030" display="https://pbs.twimg.com/profile_images/715030110844362754/PC9gDSCU_normal.jpg" xr:uid="{2F60B3D4-A7E4-4C15-ACAF-92605A2DB4C5}"/>
    <hyperlink ref="B7767" r:id="rId24031" display="https://twitter.com/leanolmed0" xr:uid="{247A5403-1C85-48CE-8871-72DC648F911B}"/>
    <hyperlink ref="E7767" r:id="rId24032" display="https://twitter.com/leanolmed0/status/724327830935490563" xr:uid="{F651DCAC-403F-4115-9B77-3ED65E1F3F4F}"/>
    <hyperlink ref="O7767" r:id="rId24033" display="https://pbs.twimg.com/profile_images/690461324556529665/H8MMdfDB_normal.jpg" xr:uid="{68BF61AA-6085-453F-BC2B-36FEA4DD962C}"/>
    <hyperlink ref="B7768" r:id="rId24034" display="https://twitter.com/VWCamperSales" xr:uid="{251F7BA4-8147-460D-81A0-696F0C30FC09}"/>
    <hyperlink ref="E7768" r:id="rId24035" display="https://twitter.com/VWCamperSales/status/724328196972273664" xr:uid="{D56E3F01-241D-44A3-904B-225F34317602}"/>
    <hyperlink ref="F7768" r:id="rId24036" xr:uid="{EDB3C973-824D-429B-929E-FBCBD63299FD}"/>
    <hyperlink ref="O7768" r:id="rId24037" display="https://pbs.twimg.com/profile_images/627949001179037696/skEBkS05_normal.jpg" xr:uid="{682CE00C-DD8D-4A44-BCB3-49171E7C4CE2}"/>
    <hyperlink ref="B7769" r:id="rId24038" display="https://twitter.com/VWBeetleSales" xr:uid="{91C0F0FD-7B7A-4CBC-A116-3A733EC2707A}"/>
    <hyperlink ref="E7769" r:id="rId24039" display="https://twitter.com/VWBeetleSales/status/724328198763212800" xr:uid="{5E85B527-E4C0-41A1-ACC1-8E790D155A5C}"/>
    <hyperlink ref="F7769" r:id="rId24040" xr:uid="{2496C9C5-571A-4F0E-A532-E4BB90BD7CA2}"/>
    <hyperlink ref="O7769" r:id="rId24041" display="https://pbs.twimg.com/profile_images/703294545195307008/qeCvrX86_normal.jpg" xr:uid="{7AECF287-09B3-4AAC-8DA7-4029A169DEC9}"/>
    <hyperlink ref="B7770" r:id="rId24042" display="https://twitter.com/VWCamperSales" xr:uid="{D80CBA01-2179-4137-8B07-5EE7FEBA3E97}"/>
    <hyperlink ref="E7770" r:id="rId24043" display="https://twitter.com/VWCamperSales/status/724328200306708486" xr:uid="{F72D1D01-6CB7-4371-8455-3A0E716A01A8}"/>
    <hyperlink ref="F7770" r:id="rId24044" xr:uid="{EE9ECE07-59F6-47EF-B161-683961BE7D44}"/>
    <hyperlink ref="O7770" r:id="rId24045" display="https://pbs.twimg.com/profile_images/627949001179037696/skEBkS05_normal.jpg" xr:uid="{90B32A0D-052B-4ECE-AE20-76D9DFA0E305}"/>
    <hyperlink ref="B7771" r:id="rId24046" display="https://twitter.com/VWBeetleSales" xr:uid="{00254363-7574-4232-962F-769DE76ABBAB}"/>
    <hyperlink ref="E7771" r:id="rId24047" display="https://twitter.com/VWBeetleSales/status/724328201548242944" xr:uid="{2B39604C-5E7F-42E9-8280-A9976A938D0F}"/>
    <hyperlink ref="F7771" r:id="rId24048" xr:uid="{E67CC1BD-C67E-4B6D-AEBC-57C04FB6B497}"/>
    <hyperlink ref="O7771" r:id="rId24049" display="https://pbs.twimg.com/profile_images/703294545195307008/qeCvrX86_normal.jpg" xr:uid="{ECD2ED4A-87CC-4AF5-BB41-0A4B5C579FF8}"/>
    <hyperlink ref="B7772" r:id="rId24050" display="https://twitter.com/lukeyrb13" xr:uid="{E210C785-AF8B-459C-8176-38DA042D71C6}"/>
    <hyperlink ref="E7772" r:id="rId24051" display="https://twitter.com/lukeyrb13/status/724328226923925504" xr:uid="{AF2C950E-1F44-42AD-8B6E-2663BABF6765}"/>
    <hyperlink ref="O7772" r:id="rId24052" display="https://pbs.twimg.com/profile_images/430814909316988928/ISRaptjz_normal.jpeg" xr:uid="{F2E483BF-7FC8-4CE4-94C9-F7260ED2DD71}"/>
    <hyperlink ref="B7773" r:id="rId24053" display="https://twitter.com/federic93054929" xr:uid="{CAC03DCB-850C-4A3C-9E99-21BCDDD20E09}"/>
    <hyperlink ref="E7773" r:id="rId24054" display="https://twitter.com/federic93054929/status/724328661567049729" xr:uid="{0D67E969-8FCE-4978-A82A-FCDDF2C2C707}"/>
    <hyperlink ref="O7773" r:id="rId24055" display="https://pbs.twimg.com/profile_images/684053218163318784/nUK_sgFE_normal.jpg" xr:uid="{338BE734-7DF7-4CA5-9EC9-626B2BDD4698}"/>
    <hyperlink ref="B7774" r:id="rId24056" display="https://twitter.com/mydorsetpark" xr:uid="{5F2C10F2-5C6C-4394-88FA-765C7C170BB1}"/>
    <hyperlink ref="E7774" r:id="rId24057" display="https://twitter.com/mydorsetpark/status/724328939884257281" xr:uid="{C8BF629A-1AAE-433A-AE66-1DFB354836A9}"/>
    <hyperlink ref="O7774" r:id="rId24058" display="https://pbs.twimg.com/profile_images/378800000867203791/cP6lbxsc_normal.jpeg" xr:uid="{DDAD37B6-7BA8-4A66-A180-B5782A18C397}"/>
    <hyperlink ref="B7775" r:id="rId24059" display="https://twitter.com/andrealbarello" xr:uid="{ADC643C3-63F5-4C17-81D2-FD8937D43006}"/>
    <hyperlink ref="E7775" r:id="rId24060" display="https://twitter.com/andrealbarello/status/724329306554556420" xr:uid="{566736A1-D864-41DA-88A0-824036D3DF35}"/>
    <hyperlink ref="O7775" r:id="rId24061" display="https://pbs.twimg.com/profile_images/724234252292894720/sGzStXgw_normal.jpg" xr:uid="{D530EA6D-B23D-427B-9EEF-37E8D9FA2C43}"/>
    <hyperlink ref="B7776" r:id="rId24062" display="https://twitter.com/NervTobbe" xr:uid="{BE3A8002-3EF3-4798-8DE7-3A9B8AAAA8D7}"/>
    <hyperlink ref="E7776" r:id="rId24063" display="https://twitter.com/NervTobbe/status/724329772206161921" xr:uid="{F2096DB2-5406-4C48-B96B-2DC2CAC12430}"/>
    <hyperlink ref="O7776" r:id="rId24064" display="https://pbs.twimg.com/profile_images/500267821667192833/zm9HpgHt_normal.jpeg" xr:uid="{EDD41515-1D18-462B-8D4E-D7106CBBEAD6}"/>
    <hyperlink ref="B7777" r:id="rId24065" display="https://twitter.com/VWCamperSales" xr:uid="{3330B160-4D14-4472-9826-FE27EED16B57}"/>
    <hyperlink ref="E7777" r:id="rId24066" display="https://twitter.com/VWCamperSales/status/724330119184048129" xr:uid="{8EB802F7-6865-4360-86C6-0099B0B32367}"/>
    <hyperlink ref="F7777" r:id="rId24067" xr:uid="{10B8F239-4CA2-472F-BC74-914AC383DC00}"/>
    <hyperlink ref="O7777" r:id="rId24068" display="https://pbs.twimg.com/profile_images/627949001179037696/skEBkS05_normal.jpg" xr:uid="{042EDD24-779F-4302-AD8C-4D0F1A59EDB4}"/>
    <hyperlink ref="B7778" r:id="rId24069" display="https://twitter.com/VWCamperSales" xr:uid="{F5074C8D-47F7-40B7-A854-39DC12B52DBB}"/>
    <hyperlink ref="E7778" r:id="rId24070" display="https://twitter.com/VWCamperSales/status/724330125932683264" xr:uid="{C2AFDA84-39FB-4103-81D8-197E4A224371}"/>
    <hyperlink ref="F7778" r:id="rId24071" xr:uid="{7D339DB8-252C-45B9-A06B-6A26A4503F82}"/>
    <hyperlink ref="O7778" r:id="rId24072" display="https://pbs.twimg.com/profile_images/627949001179037696/skEBkS05_normal.jpg" xr:uid="{24272337-7DA7-4186-84A7-BC89D0CB7A04}"/>
    <hyperlink ref="B7779" r:id="rId24073" display="https://twitter.com/gelmocz" xr:uid="{F525F8EA-A834-4825-BA19-C35E9BADC0CD}"/>
    <hyperlink ref="E7779" r:id="rId24074" display="https://twitter.com/gelmocz/status/724330425779286017" xr:uid="{DC036B57-7445-400E-A1F2-B67B8FF26AE2}"/>
    <hyperlink ref="O7779" r:id="rId24075" display="https://pbs.twimg.com/profile_images/591464863592894465/NqqnPA98_normal.jpg" xr:uid="{1220ABE1-6408-4D1C-987F-90A6B9CE55BD}"/>
    <hyperlink ref="B7780" r:id="rId24076" display="https://twitter.com/dazvw" xr:uid="{86326AEE-5671-47EA-989B-99BE4B348FF0}"/>
    <hyperlink ref="E7780" r:id="rId24077" display="https://twitter.com/dazvw/status/724330939493527552" xr:uid="{85CBF3F9-8D6C-404E-826D-764A9E51C0ED}"/>
    <hyperlink ref="O7780" r:id="rId24078" display="https://pbs.twimg.com/profile_images/3095803063/6d0b0cd10bd2f076a374a11a88bb7c2e_normal.jpeg" xr:uid="{D9BFA2DB-ED20-484D-8CF6-7946E69B8394}"/>
    <hyperlink ref="B7781" r:id="rId24079" display="https://twitter.com/cosasdeautos" xr:uid="{53587F94-9C2B-4B8E-8BA2-8A45A185830A}"/>
    <hyperlink ref="E7781" r:id="rId24080" display="https://twitter.com/cosasdeautos/status/724331454155517952" xr:uid="{864CD4B5-9780-41A6-9626-958D6AF74368}"/>
    <hyperlink ref="O7781" r:id="rId24081" display="https://pbs.twimg.com/profile_images/474019501403406336/_4Ns_zdP_normal.jpeg" xr:uid="{109CBFBF-B376-436D-B227-B835DEA7BADD}"/>
    <hyperlink ref="B7782" r:id="rId24082" display="https://twitter.com/nosuitablename" xr:uid="{C02A8ECC-9EF0-445C-9F1F-5626E7C4FDE4}"/>
    <hyperlink ref="E7782" r:id="rId24083" display="https://twitter.com/nosuitablename/status/724331475856953345" xr:uid="{E81D72FC-2C46-42DF-9974-175F822AA232}"/>
    <hyperlink ref="O7782" r:id="rId24084" display="https://pbs.twimg.com/profile_images/1380159784/aja_normal.png" xr:uid="{41FE2E31-92FC-4E84-9298-76A0AF22CAE8}"/>
    <hyperlink ref="B7783" r:id="rId24085" display="https://twitter.com/McDonaldWorley" xr:uid="{BCD42235-2905-4FD3-9AE1-B57E312EB7AE}"/>
    <hyperlink ref="C7783" r:id="rId24086" xr:uid="{959ABF93-E47E-4560-8C82-B4ECA55B3B76}"/>
    <hyperlink ref="E7783" r:id="rId24087" display="https://twitter.com/McDonaldWorley/status/724331585084903424" xr:uid="{3EC2D172-95DE-4DAB-B416-931D234F7E99}"/>
    <hyperlink ref="O7783" r:id="rId24088" display="https://pbs.twimg.com/profile_images/3050374987/37c2ee36858877b4f96f51050c3786d7_normal.jpeg" xr:uid="{0698E34C-DA14-4438-9848-8C6BA2875029}"/>
    <hyperlink ref="B7784" r:id="rId24089" display="https://twitter.com/gdman76" xr:uid="{8E6741DB-7044-4198-A1E3-5CDE9F0CE99C}"/>
    <hyperlink ref="E7784" r:id="rId24090" display="https://twitter.com/gdman76/status/724331643696111616" xr:uid="{1CE76B24-41EB-41BE-B1FC-83A03684E5AC}"/>
    <hyperlink ref="O7784" r:id="rId24091" display="https://pbs.twimg.com/profile_images/3101432433/4c5dd9107600b4b9539827327d846eee_normal.jpeg" xr:uid="{F910A644-DE38-4095-B15E-C05DDF3676AD}"/>
    <hyperlink ref="B7785" r:id="rId24092" display="https://twitter.com/AdamoAdamos" xr:uid="{E0BC5A1F-4448-49B8-8EBD-39D0423FE426}"/>
    <hyperlink ref="E7785" r:id="rId24093" display="https://twitter.com/AdamoAdamos/status/724331763074473984" xr:uid="{FB88607C-8118-405F-B029-EE2C31188823}"/>
    <hyperlink ref="O7785" r:id="rId24094" display="https://pbs.twimg.com/profile_images/696222010008072192/atC5rM5P_normal.jpg" xr:uid="{AF42A3E8-7713-4E57-A19E-114F71D8AD38}"/>
    <hyperlink ref="B7786" r:id="rId24095" display="https://twitter.com/VWBeetleSales" xr:uid="{9F3270FF-6C7D-425D-A72E-4845DEF64FEC}"/>
    <hyperlink ref="E7786" r:id="rId24096" display="https://twitter.com/VWBeetleSales/status/724331845777657857" xr:uid="{081BF1C9-E9E5-44A7-883B-C7CC44C6A306}"/>
    <hyperlink ref="F7786" r:id="rId24097" xr:uid="{C1F804D1-81B3-457E-A255-0E0931872B3C}"/>
    <hyperlink ref="O7786" r:id="rId24098" display="https://pbs.twimg.com/profile_images/703294545195307008/qeCvrX86_normal.jpg" xr:uid="{BC9518A6-0063-4B00-9441-0B6334A1C933}"/>
    <hyperlink ref="B7787" r:id="rId24099" display="https://twitter.com/jennyalban63" xr:uid="{33CA5ED7-8D85-404F-A149-A773434A9746}"/>
    <hyperlink ref="E7787" r:id="rId24100" display="https://twitter.com/jennyalban63/status/724331978502344705" xr:uid="{434AB621-0007-40F1-A2D2-5D7E831E6D16}"/>
    <hyperlink ref="O7787" r:id="rId24101" display="https://abs.twimg.com/sticky/default_profile_images/default_profile_6_normal.png" xr:uid="{B53E6CA9-FB0F-41A5-B12A-3F1AC15C720F}"/>
    <hyperlink ref="B7788" r:id="rId24102" display="https://twitter.com/jennyalban63" xr:uid="{7908A2E1-5551-4DB4-9FA2-00168DB5038E}"/>
    <hyperlink ref="E7788" r:id="rId24103" display="https://twitter.com/jennyalban63/status/724331998282715137" xr:uid="{9C89BE0D-9EA1-4DC5-A1BC-4D822EEC7B86}"/>
    <hyperlink ref="O7788" r:id="rId24104" display="https://abs.twimg.com/sticky/default_profile_images/default_profile_6_normal.png" xr:uid="{C2288629-63E3-4A64-9AF5-8A312643F230}"/>
    <hyperlink ref="B7789" r:id="rId24105" display="https://twitter.com/TheTipsyPigs" xr:uid="{13408A14-668A-49CA-A117-A2B8D04DDC2F}"/>
    <hyperlink ref="E7789" r:id="rId24106" display="https://twitter.com/TheTipsyPigs/status/724332161692786689" xr:uid="{0BD824E2-F663-4247-8272-192BD9F99565}"/>
    <hyperlink ref="O7789" r:id="rId24107" display="https://pbs.twimg.com/profile_images/552512883746037760/_KeSTf9E_normal.png" xr:uid="{9EB3E32B-1BB9-4A43-8F42-5B81DEF5C996}"/>
    <hyperlink ref="B7790" r:id="rId24108" display="https://twitter.com/Amylovell11" xr:uid="{62923DD7-52B5-49B3-B55E-F37BA7D18095}"/>
    <hyperlink ref="E7790" r:id="rId24109" display="https://twitter.com/Amylovell11/status/724332540232908800" xr:uid="{AD0D1B9D-FDCE-477C-9B7B-BC68CB9EB795}"/>
    <hyperlink ref="O7790" r:id="rId24110" display="https://pbs.twimg.com/profile_images/3208320839/82b1ccbb77c4cd0fc3437260bfdb7f74_normal.jpeg" xr:uid="{02B65489-55A2-4686-AFA3-EA86BE913D77}"/>
    <hyperlink ref="B7791" r:id="rId24111" display="https://twitter.com/jennyalban63" xr:uid="{5D18830C-3AA9-42F1-AF9D-FA6C0FD04919}"/>
    <hyperlink ref="E7791" r:id="rId24112" display="https://twitter.com/jennyalban63/status/724332962272169985" xr:uid="{0CCAB494-5E78-48D7-B8B3-57B876D48704}"/>
    <hyperlink ref="O7791" r:id="rId24113" display="https://abs.twimg.com/sticky/default_profile_images/default_profile_6_normal.png" xr:uid="{E8416372-5C1E-4807-967E-EF48559FF91F}"/>
    <hyperlink ref="B7792" r:id="rId24114" display="https://twitter.com/espritdesign" xr:uid="{AFEB68C6-7F10-4B7F-A8E5-D4DABE6B238C}"/>
    <hyperlink ref="E7792" r:id="rId24115" display="https://twitter.com/espritdesign/status/724333090714341377" xr:uid="{448A432A-66DC-463A-AEF7-C111DECC38C2}"/>
    <hyperlink ref="O7792" r:id="rId24116" display="https://pbs.twimg.com/profile_images/458985684917682176/jIexkUqa_normal.jpeg" xr:uid="{24C1F69C-EAA2-4BF7-8F9C-23CC0636EB2C}"/>
    <hyperlink ref="B7793" r:id="rId24117" display="https://twitter.com/TonyLemale" xr:uid="{2BE1166D-DBE3-441B-96F7-2CC5EB6F3AC2}"/>
    <hyperlink ref="E7793" r:id="rId24118" display="https://twitter.com/TonyLemale/status/724333418796867585" xr:uid="{D5FB42B3-3ED8-4474-BA85-20276244E06F}"/>
    <hyperlink ref="O7793" r:id="rId24119" display="https://pbs.twimg.com/profile_images/669859956863197184/cosIgz1Z_normal.jpg" xr:uid="{B05D35B5-6FBF-4F5F-91B6-7ED88FB0A509}"/>
    <hyperlink ref="B7794" r:id="rId24120" display="https://twitter.com/VWCamperSales" xr:uid="{263F6A88-0127-4E39-859D-F89A41892673}"/>
    <hyperlink ref="E7794" r:id="rId24121" display="https://twitter.com/VWCamperSales/status/724333553941549056" xr:uid="{294AD8FB-0448-4C02-A83B-6E84FF7F21F8}"/>
    <hyperlink ref="F7794" r:id="rId24122" xr:uid="{FB91B626-CAF6-4E4B-8599-AF96142F6EB3}"/>
    <hyperlink ref="O7794" r:id="rId24123" display="https://pbs.twimg.com/profile_images/627949001179037696/skEBkS05_normal.jpg" xr:uid="{77657E95-1B6C-4AEC-AE5A-1B05819F319C}"/>
    <hyperlink ref="B7795" r:id="rId24124" display="https://twitter.com/nomadartdesign" xr:uid="{DC81A419-F1F0-4BD1-9D7D-7817E5785AD3}"/>
    <hyperlink ref="E7795" r:id="rId24125" display="https://twitter.com/nomadartdesign/status/724333670979514368" xr:uid="{27FCF505-CA87-4955-B85B-48C5EA879FD1}"/>
    <hyperlink ref="O7795" r:id="rId24126" display="https://pbs.twimg.com/profile_images/471225993034620928/uvrpaB6T_normal.jpeg" xr:uid="{AE75CA6A-BE4A-493B-8632-F6B08A47CBBD}"/>
    <hyperlink ref="B7796" r:id="rId24127" display="https://twitter.com/WholeBoardDev" xr:uid="{E39C0D4E-6F74-4621-BC21-F2EC84F1B1CA}"/>
    <hyperlink ref="E7796" r:id="rId24128" display="https://twitter.com/WholeBoardDev/status/724333827921944581" xr:uid="{4048C199-C2EE-4460-82D3-D54379CE8E07}"/>
    <hyperlink ref="O7796" r:id="rId24129" display="https://pbs.twimg.com/profile_images/378800000579233793/f15ee730284d492efb956f07b9b1e01f_normal.jpeg" xr:uid="{9CEFD055-A89A-416B-B859-F05773F5C9FF}"/>
    <hyperlink ref="B7797" r:id="rId24130" display="https://twitter.com/mouadennadir" xr:uid="{CE3F1473-EB29-4B23-807B-1B778D655D8F}"/>
    <hyperlink ref="E7797" r:id="rId24131" display="https://twitter.com/mouadennadir/status/724334019077394432" xr:uid="{B11E1D96-2A18-4125-9E31-8A0864896EFD}"/>
    <hyperlink ref="O7797" r:id="rId24132" display="https://pbs.twimg.com/profile_images/714466531078483968/I1HTDlJU_normal.jpg" xr:uid="{B5024731-2FF8-417C-BB49-3CC53634EC30}"/>
    <hyperlink ref="B7798" r:id="rId24133" display="https://twitter.com/Allluvdub" xr:uid="{4EEF7F34-9E69-4764-9E71-FA0ACBF7F05E}"/>
    <hyperlink ref="E7798" r:id="rId24134" display="https://twitter.com/Allluvdub/status/724334282013995008" xr:uid="{D3F9670D-933C-4B82-9470-E959FBFF1C0D}"/>
    <hyperlink ref="O7798" r:id="rId24135" display="https://pbs.twimg.com/profile_images/603296786904719362/zocXeDpf_normal.jpg" xr:uid="{0C0F50BC-A5D9-4C2D-ABBB-B60F688F263E}"/>
    <hyperlink ref="B7799" r:id="rId24136" display="https://twitter.com/cotswoldcamper" xr:uid="{475E00DA-13B3-494F-99FE-0B48F227A8D4}"/>
    <hyperlink ref="E7799" r:id="rId24137" display="https://twitter.com/cotswoldcamper/status/724334291229007872" xr:uid="{A169D241-ACB7-4896-A392-3C1F38329D38}"/>
    <hyperlink ref="O7799" r:id="rId24138" display="https://pbs.twimg.com/profile_images/522821606993715200/dGTrMnJ5_normal.jpeg" xr:uid="{D7332198-795C-4BE5-B69D-FBA625683BA5}"/>
    <hyperlink ref="B7800" r:id="rId24139" display="https://twitter.com/ProjectCarsUK" xr:uid="{BBFB3B8C-D74B-4A5D-91E6-CE0FC4A98B78}"/>
    <hyperlink ref="E7800" r:id="rId24140" display="https://twitter.com/ProjectCarsUK/status/724334660646518784" xr:uid="{8E974FB2-076B-484C-AD6F-1183A52E018D}"/>
    <hyperlink ref="O7800" r:id="rId24141" display="https://pbs.twimg.com/profile_images/706833390725681152/IaXMLicB_normal.jpg" xr:uid="{962F7786-22FE-4D00-A063-B423A7E32F42}"/>
    <hyperlink ref="B7801" r:id="rId24142" display="https://twitter.com/OnlineCarReview" xr:uid="{83160750-D803-4A72-8A0C-7A6A71A9FFCC}"/>
    <hyperlink ref="E7801" r:id="rId24143" display="https://twitter.com/OnlineCarReview/status/724335233802227713" xr:uid="{87509BE5-4902-414F-8659-7AB1E5359A05}"/>
    <hyperlink ref="O7801" r:id="rId24144" display="https://pbs.twimg.com/profile_images/652871584131092480/QA_B6SBO_normal.jpg" xr:uid="{ED6FDD26-4B45-4F9D-A8E2-3A0BC06BB017}"/>
    <hyperlink ref="B7802" r:id="rId24145" display="https://twitter.com/weKitesurf" xr:uid="{A3B76460-B7C6-49B7-9DBB-9E4494DDC3AF}"/>
    <hyperlink ref="E7802" r:id="rId24146" display="https://twitter.com/weKitesurf/status/724335306548338689" xr:uid="{56D35A68-595D-4321-9EF5-E70A8C842F4B}"/>
    <hyperlink ref="O7802" r:id="rId24147" display="https://pbs.twimg.com/profile_images/636161307826368512/hvccmb9X_normal.jpg" xr:uid="{6382BA4E-1E04-4179-84C7-045474547D52}"/>
    <hyperlink ref="B7803" r:id="rId24148" display="https://twitter.com/VWCamperSales" xr:uid="{5B0AFBF0-B794-4621-8B9A-97DA3E5E32D2}"/>
    <hyperlink ref="E7803" r:id="rId24149" display="https://twitter.com/VWCamperSales/status/724335390543351808" xr:uid="{3A76380D-94E0-4A50-AFE6-E3580E0588DA}"/>
    <hyperlink ref="F7803" r:id="rId24150" xr:uid="{D9B62FC7-52FF-4C4D-AFC8-8E2D51D85F9B}"/>
    <hyperlink ref="O7803" r:id="rId24151" display="https://pbs.twimg.com/profile_images/627949001179037696/skEBkS05_normal.jpg" xr:uid="{2AFC7476-6EE0-4405-AF13-6E7BEDC1E3E0}"/>
    <hyperlink ref="B7804" r:id="rId24152" display="https://twitter.com/dazvw" xr:uid="{25B99114-A3E8-447E-8695-45250DCAE18A}"/>
    <hyperlink ref="E7804" r:id="rId24153" display="https://twitter.com/dazvw/status/724335658844733440" xr:uid="{948DB1FE-BAAC-45C3-A1A0-E153127277A4}"/>
    <hyperlink ref="O7804" r:id="rId24154" display="https://pbs.twimg.com/profile_images/3095803063/6d0b0cd10bd2f076a374a11a88bb7c2e_normal.jpeg" xr:uid="{15C01585-696A-4B32-9D7A-231CFF36FB15}"/>
    <hyperlink ref="B7805" r:id="rId24155" display="https://twitter.com/BvdRides" xr:uid="{F1741386-1E5D-46F2-8EE4-A0814FFC7E5D}"/>
    <hyperlink ref="E7805" r:id="rId24156" display="https://twitter.com/BvdRides/status/724335952710275072" xr:uid="{770893F9-A5D4-4833-A080-ED1858A161B0}"/>
    <hyperlink ref="O7805" r:id="rId24157" display="https://pbs.twimg.com/profile_images/699707841108643840/BOjan7o1_normal.jpg" xr:uid="{0E52D7D2-93F0-4C5D-B5EB-8079BA657928}"/>
    <hyperlink ref="B7806" r:id="rId24158" display="https://twitter.com/emado3d" xr:uid="{4E113412-501E-459F-9A3B-AF4526077219}"/>
    <hyperlink ref="E7806" r:id="rId24159" display="https://twitter.com/emado3d/status/724336355627700226" xr:uid="{7760A8C7-CDCD-4D07-9C6C-21B4337AB527}"/>
    <hyperlink ref="O7806" r:id="rId24160" display="https://pbs.twimg.com/profile_images/580714481447129089/wRVQvK_X_normal.jpg" xr:uid="{60414F77-B3B7-4318-B611-B73F5B813427}"/>
    <hyperlink ref="B7807" r:id="rId24161" display="https://twitter.com/philfritzhelm" xr:uid="{11AFDA38-FB0B-4DAA-885E-9BC96C9E59FB}"/>
    <hyperlink ref="E7807" r:id="rId24162" display="https://twitter.com/philfritzhelm/status/724336394282373121" xr:uid="{D256E8FC-E71C-4112-A387-D024D7525AF1}"/>
    <hyperlink ref="O7807" r:id="rId24163" display="https://pbs.twimg.com/profile_images/417530116156432384/_mFhSwvP_normal.jpeg" xr:uid="{3B9E9D12-468B-42A5-AD1D-4BB92297D49B}"/>
    <hyperlink ref="B7808" r:id="rId24164" display="https://twitter.com/beetlebug1938" xr:uid="{4BE11FBF-3A26-40D2-8560-9915C4438364}"/>
    <hyperlink ref="E7808" r:id="rId24165" display="https://twitter.com/beetlebug1938/status/724336426867908608" xr:uid="{A9E7502B-DC97-48EA-9B3C-924948F8C200}"/>
    <hyperlink ref="O7808" r:id="rId24166" display="https://pbs.twimg.com/profile_images/718820712757215233/LXXndPTS_normal.jpg" xr:uid="{278FEDCD-CC75-48C1-A4B5-6EA8DDF3DD9C}"/>
    <hyperlink ref="B7809" r:id="rId24167" display="https://twitter.com/beetlebug1938" xr:uid="{2F10FFB6-04D9-4F4A-B040-71CAFF9EE765}"/>
    <hyperlink ref="E7809" r:id="rId24168" display="https://twitter.com/beetlebug1938/status/724336457779953664" xr:uid="{6B380D11-0C3C-42A1-94A4-473B819614D8}"/>
    <hyperlink ref="O7809" r:id="rId24169" display="https://pbs.twimg.com/profile_images/718820712757215233/LXXndPTS_normal.jpg" xr:uid="{06F4A384-9F08-4B0C-B217-A6967A07D8F1}"/>
    <hyperlink ref="B7810" r:id="rId24170" display="https://twitter.com/beetlebug1938" xr:uid="{F5B6787A-8D7E-4EDB-947B-BB74FA480EF7}"/>
    <hyperlink ref="E7810" r:id="rId24171" display="https://twitter.com/beetlebug1938/status/724336505720836096" xr:uid="{2099F3B2-5B31-4562-BDEB-654410E5420D}"/>
    <hyperlink ref="O7810" r:id="rId24172" display="https://pbs.twimg.com/profile_images/718820712757215233/LXXndPTS_normal.jpg" xr:uid="{C2F26DA4-8B5B-433E-817A-354A4C12F53A}"/>
    <hyperlink ref="B7811" r:id="rId24173" display="https://twitter.com/beetlebug1938" xr:uid="{2F69828D-2F51-40A4-A450-CB6148C774A9}"/>
    <hyperlink ref="E7811" r:id="rId24174" display="https://twitter.com/beetlebug1938/status/724336517985013762" xr:uid="{0A6951B2-73C8-4B56-ACAF-A8B8E2E95304}"/>
    <hyperlink ref="O7811" r:id="rId24175" display="https://pbs.twimg.com/profile_images/718820712757215233/LXXndPTS_normal.jpg" xr:uid="{059831C1-BB26-4DF2-BBB1-7A26F696995C}"/>
    <hyperlink ref="B7812" r:id="rId24176" display="https://twitter.com/VWCamperSales" xr:uid="{F1384D0D-1014-4C3C-BD87-8A31C9A51053}"/>
    <hyperlink ref="E7812" r:id="rId24177" display="https://twitter.com/VWCamperSales/status/724336889923166209" xr:uid="{9FD31663-2675-481F-B24B-3A4AA27FC324}"/>
    <hyperlink ref="F7812" r:id="rId24178" xr:uid="{DB424D7C-C3D6-418C-904D-139802B74329}"/>
    <hyperlink ref="O7812" r:id="rId24179" display="https://pbs.twimg.com/profile_images/627949001179037696/skEBkS05_normal.jpg" xr:uid="{BE2D67D4-D54C-4C8B-AB0F-DC4AA78F770E}"/>
    <hyperlink ref="B7813" r:id="rId24180" display="https://twitter.com/dubbusses" xr:uid="{ACE370B2-2424-4F2E-B135-C6EE06ADBD92}"/>
    <hyperlink ref="E7813" r:id="rId24181" display="https://twitter.com/dubbusses/status/724337137907318792" xr:uid="{91ED622A-5EEB-47AC-8C0F-DAB7B9054DE9}"/>
    <hyperlink ref="O7813" r:id="rId24182" display="https://pbs.twimg.com/profile_images/718835727027580928/1ssyQ67y_normal.jpg" xr:uid="{841685F1-FE89-4835-9FFB-EDAA3B3A72CD}"/>
    <hyperlink ref="B7814" r:id="rId24183" display="https://twitter.com/dubbusses" xr:uid="{25805F6B-7562-470A-ABC7-6AFF2DBD798C}"/>
    <hyperlink ref="E7814" r:id="rId24184" display="https://twitter.com/dubbusses/status/724337174947217410" xr:uid="{E260993B-65F2-4EF6-9306-FA74DDE9F553}"/>
    <hyperlink ref="O7814" r:id="rId24185" display="https://pbs.twimg.com/profile_images/718835727027580928/1ssyQ67y_normal.jpg" xr:uid="{D216AFFA-16D6-4E07-B8E3-44B8739C8FFE}"/>
    <hyperlink ref="B7815" r:id="rId24186" display="https://twitter.com/dubbusses" xr:uid="{C3A818F0-67D8-4445-8DAD-32B18BE205D3}"/>
    <hyperlink ref="E7815" r:id="rId24187" display="https://twitter.com/dubbusses/status/724337199156727809" xr:uid="{A9FB2570-7157-43FC-967D-CE9DFD9A0A72}"/>
    <hyperlink ref="O7815" r:id="rId24188" display="https://pbs.twimg.com/profile_images/718835727027580928/1ssyQ67y_normal.jpg" xr:uid="{90D4BF21-834D-4065-9083-7AB8BF5EA520}"/>
    <hyperlink ref="B7816" r:id="rId24189" display="https://twitter.com/dubbusses" xr:uid="{F886C1AE-6786-4474-B6BB-089C1DA5593C}"/>
    <hyperlink ref="E7816" r:id="rId24190" display="https://twitter.com/dubbusses/status/724337214927298560" xr:uid="{93C969F5-35A3-4318-A18B-83AF0A758228}"/>
    <hyperlink ref="O7816" r:id="rId24191" display="https://pbs.twimg.com/profile_images/718835727027580928/1ssyQ67y_normal.jpg" xr:uid="{8175B1C1-CBFC-46B0-A243-2175A6E6A616}"/>
    <hyperlink ref="B7817" r:id="rId24192" display="https://twitter.com/BvdRides" xr:uid="{1365A7F6-F4C6-48C7-805D-4CDE493E0FD6}"/>
    <hyperlink ref="E7817" r:id="rId24193" display="https://twitter.com/BvdRides/status/724337366178119680" xr:uid="{D562C582-39B6-4361-B0B5-B6AEA7CF20CF}"/>
    <hyperlink ref="O7817" r:id="rId24194" display="https://pbs.twimg.com/profile_images/699707841108643840/BOjan7o1_normal.jpg" xr:uid="{5BE7FB8D-D058-43C5-A6F6-893F681DCA49}"/>
    <hyperlink ref="B7818" r:id="rId24195" display="https://twitter.com/VinniesVVV" xr:uid="{B8849A51-87B4-434A-90C7-B0BBD8F26CCC}"/>
    <hyperlink ref="E7818" r:id="rId24196" display="https://twitter.com/VinniesVVV/status/724337520251678722" xr:uid="{04B87B97-467D-48C0-97A5-6A4618755DBF}"/>
    <hyperlink ref="O7818" r:id="rId24197" display="https://pbs.twimg.com/profile_images/549553130539450370/dyUuqEk-_normal.png" xr:uid="{83FA05E4-8E4D-45A9-930F-8F2DB535C919}"/>
    <hyperlink ref="B7819" r:id="rId24198" display="https://twitter.com/nata_sale" xr:uid="{1314D0D9-147B-474E-A028-82A869A64FCC}"/>
    <hyperlink ref="E7819" r:id="rId24199" display="https://twitter.com/nata_sale/status/724337548034711552" xr:uid="{A8B39BAA-C949-416E-BD85-F079E1B1E428}"/>
    <hyperlink ref="O7819" r:id="rId24200" display="https://pbs.twimg.com/profile_images/712338804879790080/NZD5MPUU_normal.jpg" xr:uid="{DB3879BB-486C-4D17-B827-4159A853AA21}"/>
    <hyperlink ref="B7820" r:id="rId24201" display="https://twitter.com/VolkswagenPost" xr:uid="{5FB8C6EB-1E54-44E7-BA23-9EEF3E1F6525}"/>
    <hyperlink ref="E7820" r:id="rId24202" display="https://twitter.com/VolkswagenPost/status/724338146851229696" xr:uid="{98371FD2-F8CB-4A46-B571-CFC3E94E5EB9}"/>
    <hyperlink ref="O7820" r:id="rId24203" display="https://pbs.twimg.com/profile_images/530071272881803264/a_jcCmPZ_normal.png" xr:uid="{C23852CC-13D5-4A7F-9F44-505E9628BA19}"/>
    <hyperlink ref="B7821" r:id="rId24204" display="https://twitter.com/FuscaWorld" xr:uid="{A75BD2AA-6F7A-4A18-A497-672AF450678C}"/>
    <hyperlink ref="E7821" r:id="rId24205" display="https://twitter.com/FuscaWorld/status/724338164622626817" xr:uid="{7ABCDDE2-F9CA-44E1-955D-00B7DBDACC37}"/>
    <hyperlink ref="O7821" r:id="rId24206" display="https://pbs.twimg.com/profile_images/705780107844067328/e7O4UBNb_normal.jpg" xr:uid="{0FBC5D43-2EB1-409D-A0D0-38351D52E89F}"/>
    <hyperlink ref="B7822" r:id="rId24207" display="https://twitter.com/FuscaWorld" xr:uid="{1AF2CDAE-D2F4-4DF7-8B3C-F0C2E7102A8A}"/>
    <hyperlink ref="E7822" r:id="rId24208" display="https://twitter.com/FuscaWorld/status/724338166606532608" xr:uid="{FE10D54B-7BC7-4DD8-8831-6856AA8EFDAF}"/>
    <hyperlink ref="O7822" r:id="rId24209" display="https://pbs.twimg.com/profile_images/705780107844067328/e7O4UBNb_normal.jpg" xr:uid="{259EA54A-70E1-45EC-B10F-F94A16F06CD5}"/>
    <hyperlink ref="B7823" r:id="rId24210" display="https://twitter.com/phindo_N" xr:uid="{3CEE7882-8DDD-4223-877F-BCF320C42137}"/>
    <hyperlink ref="E7823" r:id="rId24211" display="https://twitter.com/phindo_N/status/724338280939044866" xr:uid="{DACD98EB-C5BC-4C1C-A75C-F7B0038FCC26}"/>
    <hyperlink ref="O7823" r:id="rId24212" display="https://pbs.twimg.com/profile_images/708972808471187456/v1Wlagi4_normal.jpg" xr:uid="{2AE50DA7-FF14-4533-A641-468EFF359BC4}"/>
    <hyperlink ref="B7824" r:id="rId24213" display="https://twitter.com/VinniesVVV" xr:uid="{FCC7DFF3-2AF4-4397-B940-975A2CDC998D}"/>
    <hyperlink ref="E7824" r:id="rId24214" display="https://twitter.com/VinniesVVV/status/724338452939067393" xr:uid="{7EC9FBEA-60BE-4AF9-80AA-41866F1979BE}"/>
    <hyperlink ref="O7824" r:id="rId24215" display="https://pbs.twimg.com/profile_images/549553130539450370/dyUuqEk-_normal.png" xr:uid="{510FA63D-3529-4E9A-BC52-5A23B0A858E0}"/>
    <hyperlink ref="B7825" r:id="rId24216" display="https://twitter.com/bBOLDbLONG" xr:uid="{40466080-340E-450B-8D68-41B9764D025A}"/>
    <hyperlink ref="E7825" r:id="rId24217" display="https://twitter.com/bBOLDbLONG/status/724338846964563968" xr:uid="{EA055337-7F50-4D2C-BE4E-3DC5955070B0}"/>
    <hyperlink ref="O7825" r:id="rId24218" display="https://pbs.twimg.com/profile_images/708353303667671040/p6l9LTSb_normal.jpg" xr:uid="{7C3193AF-068B-4AE6-A251-45F79CE3AC77}"/>
    <hyperlink ref="B7826" r:id="rId24219" display="https://twitter.com/freddiezblogs" xr:uid="{8A0D875D-0D33-42B5-80FA-14F59A7DB5FA}"/>
    <hyperlink ref="E7826" r:id="rId24220" display="https://twitter.com/freddiezblogs/status/724339044205867008" xr:uid="{B11EABCC-28BC-4EAE-9BD8-82F57E7A8FB9}"/>
    <hyperlink ref="O7826" r:id="rId24221" display="https://pbs.twimg.com/profile_images/480741315341459456/dzsCO_A6_normal.jpeg" xr:uid="{C616C53B-275F-4C77-929A-A60BA8F27DED}"/>
    <hyperlink ref="B7827" r:id="rId24222" display="https://twitter.com/LulubelleLimoVW" xr:uid="{8AFBFB5C-1B0A-414D-AE02-5F9E806B174D}"/>
    <hyperlink ref="E7827" r:id="rId24223" display="https://twitter.com/LulubelleLimoVW/status/724339188812898306" xr:uid="{B0D00485-62F2-4B85-B641-440048D800A6}"/>
    <hyperlink ref="O7827" r:id="rId24224" display="https://pbs.twimg.com/profile_images/697539834840268800/fIANhnLA_normal.jpg" xr:uid="{54A2FB74-A587-4818-B016-9FD15E855DDB}"/>
    <hyperlink ref="B7828" r:id="rId24225" display="https://twitter.com/bBOLDbLONG" xr:uid="{236BB5ED-5895-4EF8-83B3-811902243C57}"/>
    <hyperlink ref="E7828" r:id="rId24226" display="https://twitter.com/bBOLDbLONG/status/724339436989886465" xr:uid="{BFBECEFC-9899-478F-836C-8FC957D9C350}"/>
    <hyperlink ref="O7828" r:id="rId24227" display="https://pbs.twimg.com/profile_images/708353303667671040/p6l9LTSb_normal.jpg" xr:uid="{D65F8102-E38C-4B0E-96A5-E601CA91B318}"/>
    <hyperlink ref="B7829" r:id="rId24228" display="https://twitter.com/mickjohan" xr:uid="{ECB44C12-E224-4214-A799-99870430A094}"/>
    <hyperlink ref="E7829" r:id="rId24229" display="https://twitter.com/mickjohan/status/724339476101771264" xr:uid="{628978C5-8F04-488E-8F9C-BD61696EE9D3}"/>
    <hyperlink ref="O7829" r:id="rId24230" display="https://pbs.twimg.com/profile_images/470842509212389376/fWSC321M_normal.jpeg" xr:uid="{03098722-2E44-4F6A-8A02-0225565CAE17}"/>
    <hyperlink ref="B7830" r:id="rId24231" display="https://twitter.com/Mphilpot1" xr:uid="{54A9AE82-28A1-473B-884E-7FA6FA781219}"/>
    <hyperlink ref="E7830" r:id="rId24232" display="https://twitter.com/Mphilpot1/status/724339595639287808" xr:uid="{FA94E3C3-8132-4ADC-A708-A9735027E507}"/>
    <hyperlink ref="O7830" r:id="rId24233" display="https://pbs.twimg.com/profile_images/422164778639839234/LVnS1q1c_normal.jpeg" xr:uid="{7B3EC6F4-3158-490C-B576-EB9608187DDA}"/>
    <hyperlink ref="B7831" r:id="rId24234" display="https://twitter.com/Mphilpot1" xr:uid="{50E1201C-2D03-40EA-972D-76BC2A0C7C1E}"/>
    <hyperlink ref="E7831" r:id="rId24235" display="https://twitter.com/Mphilpot1/status/724339596432035841" xr:uid="{ADDDF274-A9A4-4C59-9424-AEFDFB537018}"/>
    <hyperlink ref="O7831" r:id="rId24236" display="https://pbs.twimg.com/profile_images/422164778639839234/LVnS1q1c_normal.jpeg" xr:uid="{9D059DD4-AE84-4F02-825A-72411150E012}"/>
    <hyperlink ref="B7832" r:id="rId24237" display="https://twitter.com/DrDCameron" xr:uid="{7AE5C793-126C-4F91-AA82-B57E064B4536}"/>
    <hyperlink ref="E7832" r:id="rId24238" display="https://twitter.com/DrDCameron/status/724339796177502208" xr:uid="{7CCE9AD6-9718-4F1F-BAD3-6FEC85EA0F0C}"/>
    <hyperlink ref="O7832" r:id="rId24239" display="https://pbs.twimg.com/profile_images/696636009489027074/-Wvt8k6B_normal.jpg" xr:uid="{E9315C28-9EEB-47E1-9A81-A1209BD0B0A0}"/>
    <hyperlink ref="B7833" r:id="rId24240" display="https://twitter.com/eobz" xr:uid="{DF1E23C1-A5AB-4415-B5D8-D2C25407599A}"/>
    <hyperlink ref="E7833" r:id="rId24241" display="https://twitter.com/eobz/status/724339909046210560" xr:uid="{A9502DE2-11C1-4353-9773-0A5023AF0E40}"/>
    <hyperlink ref="O7833" r:id="rId24242" display="https://pbs.twimg.com/profile_images/378800000766386331/f04375b1d8e1812af51469e131f0542c_normal.png" xr:uid="{06CF474B-3F25-4B32-8620-60CDB4263A09}"/>
    <hyperlink ref="B7834" r:id="rId24243" display="https://twitter.com/CharleneMeiring" xr:uid="{0CC55C30-1984-41E3-99D0-A0E45727592E}"/>
    <hyperlink ref="E7834" r:id="rId24244" display="https://twitter.com/CharleneMeiring/status/724339926834241538" xr:uid="{18E7062D-68BD-4A4D-8E12-A86D00FF3551}"/>
    <hyperlink ref="O7834" r:id="rId24245" display="https://pbs.twimg.com/profile_images/720880019296296960/f-rN3NZq_normal.jpg" xr:uid="{F377558D-201E-4C06-BCDF-6E0AD894F182}"/>
    <hyperlink ref="B7835" r:id="rId24246" display="https://twitter.com/I_Am_Golden07" xr:uid="{B9B2C128-0DDF-466A-9549-C7B9C712D12D}"/>
    <hyperlink ref="E7835" r:id="rId24247" display="https://twitter.com/I_Am_Golden07/status/724339983667093504" xr:uid="{26EF5184-1201-418B-8088-BB8E70359BF1}"/>
    <hyperlink ref="O7835" r:id="rId24248" display="https://pbs.twimg.com/profile_images/655302243806265344/V6UKksnQ_normal.jpg" xr:uid="{983C1065-431A-49C7-AE89-A84365BEF5A6}"/>
    <hyperlink ref="B7836" r:id="rId24249" display="https://twitter.com/VWCamperSales" xr:uid="{B2981BCF-47E9-4F08-BE4B-EF739A43DB4E}"/>
    <hyperlink ref="E7836" r:id="rId24250" display="https://twitter.com/VWCamperSales/status/724340665857888257" xr:uid="{E8B63848-232B-456C-A38F-E9F0B7ADA3A3}"/>
    <hyperlink ref="F7836" r:id="rId24251" xr:uid="{E7C9AECF-0B1E-4AFD-921B-000EE37FF1F3}"/>
    <hyperlink ref="O7836" r:id="rId24252" display="https://pbs.twimg.com/profile_images/627949001179037696/skEBkS05_normal.jpg" xr:uid="{217ED90F-A05B-48E2-906E-B8B32EEC51DE}"/>
    <hyperlink ref="B7837" r:id="rId24253" display="https://twitter.com/Supa_cdq_dj" xr:uid="{0C3D4651-3F96-4F08-9927-D365AE12B16B}"/>
    <hyperlink ref="E7837" r:id="rId24254" display="https://twitter.com/Supa_cdq_dj/status/724340701744508928" xr:uid="{502C9598-6EA8-48C0-893C-ED6072256BD4}"/>
    <hyperlink ref="O7837" r:id="rId24255" display="https://pbs.twimg.com/profile_images/723212795840479232/6xUJeaP1_normal.jpg" xr:uid="{CBE34273-3E8E-4429-A223-1C829FFAE1A5}"/>
    <hyperlink ref="B7838" r:id="rId24256" display="https://twitter.com/Scirocco_Tuning" xr:uid="{05383A9D-EC82-498C-95DB-780F0B6FDA43}"/>
    <hyperlink ref="E7838" r:id="rId24257" display="https://twitter.com/Scirocco_Tuning/status/724340782631653376" xr:uid="{927C8171-7D99-417D-BA65-C25AA103788D}"/>
    <hyperlink ref="O7838" r:id="rId24258" display="https://pbs.twimg.com/profile_images/1610421423/Image2_normal.jpg" xr:uid="{38D5E829-4EB2-4E3D-8CFE-DDBE136ED54A}"/>
    <hyperlink ref="B7839" r:id="rId24259" display="https://twitter.com/Parisien2base" xr:uid="{7D423ADC-1540-4B03-823F-6D50C0460BFF}"/>
    <hyperlink ref="E7839" r:id="rId24260" display="https://twitter.com/Parisien2base/status/724341329258536960" xr:uid="{097B5124-717D-46AF-98FD-48B0A588C294}"/>
    <hyperlink ref="O7839" r:id="rId24261" display="https://pbs.twimg.com/profile_images/714088281739276288/gp__i-eN_normal.jpg" xr:uid="{B718321C-12E3-4210-A4A3-AFD2AA78F171}"/>
    <hyperlink ref="B7840" r:id="rId24262" display="https://twitter.com/VWBeetleSales" xr:uid="{1B982FC8-F0A7-476E-90FD-BA136E3C7E5E}"/>
    <hyperlink ref="E7840" r:id="rId24263" display="https://twitter.com/VWBeetleSales/status/724341783975448577" xr:uid="{0D575FAF-D5C3-496C-B9E0-98E91ED5892D}"/>
    <hyperlink ref="F7840" r:id="rId24264" xr:uid="{D1E4AD4C-C13E-416B-970E-5B7E5A8BA941}"/>
    <hyperlink ref="O7840" r:id="rId24265" display="https://pbs.twimg.com/profile_images/703294545195307008/qeCvrX86_normal.jpg" xr:uid="{EFC5857F-844F-44D1-B0E5-40DAE5D75FCC}"/>
    <hyperlink ref="B7841" r:id="rId24266" display="https://twitter.com/VeeDubMk1_" xr:uid="{267F7531-C574-48A5-8D4F-611B5EF06B44}"/>
    <hyperlink ref="E7841" r:id="rId24267" display="https://twitter.com/VeeDubMk1_/status/724341982387122177" xr:uid="{CECCFA5F-7C86-43DF-AD4B-BAAEC69D754B}"/>
    <hyperlink ref="O7841" r:id="rId24268" display="https://pbs.twimg.com/profile_images/672878354127839232/M7OYc-zx_normal.jpg" xr:uid="{3909119C-7D5D-4498-8E6F-4794DC23201A}"/>
    <hyperlink ref="B7842" r:id="rId24269" display="https://twitter.com/AMERMUSCLE289" xr:uid="{96A8F64E-365A-4C81-996E-87C969F10A66}"/>
    <hyperlink ref="E7842" r:id="rId24270" display="https://twitter.com/AMERMUSCLE289/status/724342473963642880" xr:uid="{4717D082-B58D-4242-A8FA-C27360D4046C}"/>
    <hyperlink ref="O7842" r:id="rId24271" display="https://pbs.twimg.com/profile_images/675534584336007169/U_CrS130_normal.jpg" xr:uid="{A793B254-E474-410D-9B8B-850A9C95708B}"/>
    <hyperlink ref="B7843" r:id="rId24272" display="https://twitter.com/VCT_Tweets" xr:uid="{70E3C1E8-CFB2-4529-BE4B-DAD3795AD00E}"/>
    <hyperlink ref="E7843" r:id="rId24273" display="https://twitter.com/VCT_Tweets/status/724342731368202241" xr:uid="{07B35936-4E02-4B88-BE19-D38B41427551}"/>
    <hyperlink ref="O7843" r:id="rId24274" display="https://pbs.twimg.com/profile_images/569800899141177344/nVFLMSdb_normal.png" xr:uid="{D837B240-2240-4CC4-9E6E-C664AE20FEC7}"/>
    <hyperlink ref="B7844" r:id="rId24275" display="https://twitter.com/VWBeetleSales" xr:uid="{EA1BA1E1-21AF-49FB-8FBD-E7673DB3149A}"/>
    <hyperlink ref="E7844" r:id="rId24276" display="https://twitter.com/VWBeetleSales/status/724343178820640768" xr:uid="{E9751249-2660-4A43-8120-6C08472C8415}"/>
    <hyperlink ref="F7844" r:id="rId24277" xr:uid="{F3554ACB-1CD4-476B-ACAB-F88E7B54A5D1}"/>
    <hyperlink ref="O7844" r:id="rId24278" display="https://pbs.twimg.com/profile_images/703294545195307008/qeCvrX86_normal.jpg" xr:uid="{14E6132D-6CEA-4676-B8ED-FE0DCBB98383}"/>
    <hyperlink ref="B7845" r:id="rId24279" display="https://twitter.com/Cheungy86" xr:uid="{636B04E8-0B12-4F4D-88F8-07E166691FB8}"/>
    <hyperlink ref="E7845" r:id="rId24280" display="https://twitter.com/Cheungy86/status/724345219395780608" xr:uid="{4D963353-80C9-410B-806F-FDCC60C910FF}"/>
    <hyperlink ref="O7845" r:id="rId24281" display="https://pbs.twimg.com/profile_images/535173250201165824/tSEsAL8Z_normal.jpeg" xr:uid="{705F79F3-8068-480D-B409-BE18B41C891C}"/>
    <hyperlink ref="B7846" r:id="rId24282" display="https://twitter.com/VWCamperSales" xr:uid="{1B37CD1F-A8D4-416E-A9CE-ECF11DAC1F8A}"/>
    <hyperlink ref="E7846" r:id="rId24283" display="https://twitter.com/VWCamperSales/status/724345451923656704" xr:uid="{012BC151-D771-4054-9C6B-71E6CCD4975A}"/>
    <hyperlink ref="F7846" r:id="rId24284" xr:uid="{B1A0D002-2E6D-49F1-850A-D60B8B3AB024}"/>
    <hyperlink ref="O7846" r:id="rId24285" display="https://pbs.twimg.com/profile_images/627949001179037696/skEBkS05_normal.jpg" xr:uid="{3567575C-A609-4499-A560-46563063FD6A}"/>
    <hyperlink ref="B7847" r:id="rId24286" display="https://twitter.com/drivingsales" xr:uid="{5DCA4F38-5104-4F0A-9C4E-E5D4CB67DAE0}"/>
    <hyperlink ref="E7847" r:id="rId24287" display="https://twitter.com/drivingsales/status/724345923200008192" xr:uid="{74C3F8B1-9D9D-48EE-A63A-1EB3DBD7C25B}"/>
    <hyperlink ref="O7847" r:id="rId24288" display="https://pbs.twimg.com/profile_images/654794006421856256/WvLcZ_Wx_normal.png" xr:uid="{FFFD4F01-5E99-4E45-9FC8-68CEEF1CD084}"/>
    <hyperlink ref="B7848" r:id="rId24289" display="https://twitter.com/acvwpassion" xr:uid="{EF9FEFC9-9780-40FC-B9B5-DFDD1514A398}"/>
    <hyperlink ref="E7848" r:id="rId24290" display="https://twitter.com/acvwpassion/status/724345961699520512" xr:uid="{5B0E0E93-F2CE-42B4-A127-4114D72CF4B2}"/>
    <hyperlink ref="O7848" r:id="rId24291" display="https://pbs.twimg.com/profile_images/545688359964651520/SF3sJ7lv_normal.jpeg" xr:uid="{286EBFCD-962D-4079-9596-6518231EBDFB}"/>
    <hyperlink ref="B7849" r:id="rId24292" display="https://twitter.com/klassikautos" xr:uid="{A908D216-1BEF-4700-9D72-6FD96125AE71}"/>
    <hyperlink ref="E7849" r:id="rId24293" display="https://twitter.com/klassikautos/status/724345975045758976" xr:uid="{7FE109D7-8203-464D-A1F5-DF6684024738}"/>
    <hyperlink ref="O7849" r:id="rId24294" display="https://pbs.twimg.com/profile_images/531363470009057281/FJGMIqtq_normal.jpeg" xr:uid="{46AD5CF1-B15D-4846-A283-DB71DD13E7B0}"/>
    <hyperlink ref="B7850" r:id="rId24295" display="https://twitter.com/dronodromo" xr:uid="{FE01A325-373C-4F16-B858-8E06D53B0A26}"/>
    <hyperlink ref="C7850" r:id="rId24296" xr:uid="{EE9ACAF5-6DF8-442F-8A91-B0694F3D7F6B}"/>
    <hyperlink ref="E7850" r:id="rId24297" display="https://twitter.com/dronodromo/status/724346009917247488" xr:uid="{3F4182A3-1ABC-4033-876F-11AAB344D1B6}"/>
    <hyperlink ref="O7850" r:id="rId24298" display="https://pbs.twimg.com/profile_images/573778930378743808/Yb08OLOA_normal.jpeg" xr:uid="{2DDD6009-2500-441C-B69F-CB07A82899D8}"/>
    <hyperlink ref="B7851" r:id="rId24299" display="https://twitter.com/VistaVW" xr:uid="{9E7FD943-2987-4E21-926A-2DFF50C1DB73}"/>
    <hyperlink ref="E7851" r:id="rId24300" display="https://twitter.com/VistaVW/status/724346048181768192" xr:uid="{A879FC3D-3D0F-4B6D-9A4E-796FF4CB9DA0}"/>
    <hyperlink ref="O7851" r:id="rId24301" display="https://pbs.twimg.com/profile_images/657564593817059328/VJEmun5T_normal.jpg" xr:uid="{F9AC7FF2-7E30-477C-9FF0-8E2D75546B25}"/>
    <hyperlink ref="B7852" r:id="rId24302" display="https://twitter.com/JanTiborLelley" xr:uid="{66671851-D534-427A-825D-7C46CCAE8919}"/>
    <hyperlink ref="E7852" r:id="rId24303" display="https://twitter.com/JanTiborLelley/status/724346244869447680" xr:uid="{A70E21C5-17A0-480D-849E-F48C8566A3E0}"/>
    <hyperlink ref="O7852" r:id="rId24304" display="https://pbs.twimg.com/profile_images/378800000430951783/0ce25846ceb65087d31e2d52427a241e_normal.jpeg" xr:uid="{6FF056B4-3410-46EB-951E-B41851DDCBD1}"/>
    <hyperlink ref="B7853" r:id="rId24305" display="https://twitter.com/Insta_VWT" xr:uid="{DEFBB6FE-CEC8-4A33-929A-8AC507AD8008}"/>
    <hyperlink ref="E7853" r:id="rId24306" display="https://twitter.com/Insta_VWT/status/724346554895753216" xr:uid="{071FCE69-94FA-439A-8190-2C08DF5FF06B}"/>
    <hyperlink ref="O7853" r:id="rId24307" display="https://pbs.twimg.com/profile_images/424893967197433858/iQ86NktX_normal.jpeg" xr:uid="{3308A2D0-4647-41BF-BDDD-09437B4A0A07}"/>
    <hyperlink ref="B7854" r:id="rId24308" display="https://twitter.com/Insta_VWT" xr:uid="{869BF32E-BE87-406B-B7FD-8D69332969B4}"/>
    <hyperlink ref="E7854" r:id="rId24309" display="https://twitter.com/Insta_VWT/status/724346625594937344" xr:uid="{312E0B68-E4CE-40F5-B674-80F754C15F7B}"/>
    <hyperlink ref="O7854" r:id="rId24310" display="https://pbs.twimg.com/profile_images/424893967197433858/iQ86NktX_normal.jpeg" xr:uid="{872B1F90-22AA-4B13-AFE5-64030384E09D}"/>
    <hyperlink ref="B7855" r:id="rId24311" display="https://twitter.com/VWCamperSales" xr:uid="{3C9692BD-1DFE-4340-A64E-9658779301F9}"/>
    <hyperlink ref="E7855" r:id="rId24312" display="https://twitter.com/VWCamperSales/status/724346951194439682" xr:uid="{CD5BA402-27F6-4094-B764-50D3FC73C472}"/>
    <hyperlink ref="F7855" r:id="rId24313" xr:uid="{B61B245A-9254-4D58-9D33-9F93B1F2AE78}"/>
    <hyperlink ref="O7855" r:id="rId24314" display="https://pbs.twimg.com/profile_images/627949001179037696/skEBkS05_normal.jpg" xr:uid="{281560A4-78E0-4885-97ED-98B9DEFF0AC7}"/>
    <hyperlink ref="B7856" r:id="rId24315" display="https://twitter.com/Vagowners" xr:uid="{95470DEF-DA02-469D-8AAD-778BCDE63DC2}"/>
    <hyperlink ref="E7856" r:id="rId24316" display="https://twitter.com/Vagowners/status/724347064952467456" xr:uid="{31914069-FD3F-4D54-8115-829668CE25DB}"/>
    <hyperlink ref="O7856" r:id="rId24317" display="https://pbs.twimg.com/profile_images/718839998531903489/eXyeGppJ_normal.jpg" xr:uid="{11221526-F428-4377-88BF-52FA9B80D9AB}"/>
    <hyperlink ref="B7857" r:id="rId24318" display="https://twitter.com/dedecasanti" xr:uid="{AE2F2857-B103-4A5A-8031-C5766FF90B7B}"/>
    <hyperlink ref="E7857" r:id="rId24319" display="https://twitter.com/dedecasanti/status/724347146712002562" xr:uid="{17BFAA70-19B4-4F52-9943-04D49A40DE38}"/>
    <hyperlink ref="O7857" r:id="rId24320" display="https://pbs.twimg.com/profile_images/524355034013007872/20dLVcUJ_normal.jpeg" xr:uid="{9AF8A174-D10B-4207-8689-92E2087D5CF8}"/>
    <hyperlink ref="P7857" r:id="rId24321" location="-23.3333,-52.0833" display="http://ctrlq.org/maps/address/ - -23.3333,-52.0833" xr:uid="{51EB2F38-F5E6-4E65-AAFC-8F9EA15A67F7}"/>
    <hyperlink ref="B7858" r:id="rId24322" display="https://twitter.com/PizzaMoto" xr:uid="{B3DD10CD-0FD8-4DC5-9818-C4002A08DA92}"/>
    <hyperlink ref="E7858" r:id="rId24323" display="https://twitter.com/PizzaMoto/status/724347911253942273" xr:uid="{9A3B5268-C8DC-436A-B433-BD5F80906B1A}"/>
    <hyperlink ref="O7858" r:id="rId24324" display="https://pbs.twimg.com/profile_images/459754327150972928/X6V7wHEO_normal.jpeg" xr:uid="{5C635FFD-67EE-490C-B6D6-1713C2D0B7CD}"/>
    <hyperlink ref="B7859" r:id="rId24325" display="https://twitter.com/VWBeetleSales" xr:uid="{74EB3FB3-8DF1-48E0-803E-35DBF3E03377}"/>
    <hyperlink ref="E7859" r:id="rId24326" display="https://twitter.com/VWBeetleSales/status/724347962990551041" xr:uid="{84071FFF-29B1-43FF-93B5-97B886E0DD00}"/>
    <hyperlink ref="F7859" r:id="rId24327" xr:uid="{6EC70EE7-32FD-43AF-9F40-F30F5C79A4AD}"/>
    <hyperlink ref="O7859" r:id="rId24328" display="https://pbs.twimg.com/profile_images/703294545195307008/qeCvrX86_normal.jpg" xr:uid="{D38DB089-84E2-45A0-A049-FD289BE51A38}"/>
    <hyperlink ref="B7860" r:id="rId24329" display="https://twitter.com/Horsa44Shoki" xr:uid="{62A0686A-ED84-4A5C-99F3-D224351C86C9}"/>
    <hyperlink ref="E7860" r:id="rId24330" display="https://twitter.com/Horsa44Shoki/status/724348223939186688" xr:uid="{69F56A5F-81CB-4AC6-A3B9-CD13D540BB17}"/>
    <hyperlink ref="O7860" r:id="rId24331" display="https://pbs.twimg.com/profile_images/687009895862812672/_-RTvAQT_normal.jpg" xr:uid="{1941B38A-C310-425F-8471-ECC247149540}"/>
    <hyperlink ref="B7861" r:id="rId24332" display="https://twitter.com/wohsracrepus" xr:uid="{B6E97AD6-48D4-4FF6-BBA3-197494881048}"/>
    <hyperlink ref="E7861" r:id="rId24333" display="https://twitter.com/wohsracrepus/status/724348250749329412" xr:uid="{D11E9E06-3689-4B8A-8D19-884B9398FD8A}"/>
    <hyperlink ref="O7861" r:id="rId24334" display="https://pbs.twimg.com/profile_images/711681874674974720/4UyhprOo_normal.jpg" xr:uid="{1B98B7FD-EA85-4436-A45A-92C986D5E7A8}"/>
    <hyperlink ref="B7862" r:id="rId24335" display="https://twitter.com/InstaNskAkadem" xr:uid="{62B1387A-D9EC-4918-817E-986B96B28B55}"/>
    <hyperlink ref="E7862" r:id="rId24336" display="https://twitter.com/InstaNskAkadem/status/724348293724180481" xr:uid="{6F3091FF-9DD1-4669-A4CD-487A2E7B17D7}"/>
    <hyperlink ref="O7862" r:id="rId24337" display="https://pbs.twimg.com/profile_images/438143958833590272/UAfqZp01_normal.png" xr:uid="{07F24C52-0346-4E37-9847-70252C87737F}"/>
    <hyperlink ref="B7863" r:id="rId24338" display="https://twitter.com/JamieFlinton" xr:uid="{5673A488-EE90-4EEA-9158-8F0D477EABF8}"/>
    <hyperlink ref="E7863" r:id="rId24339" display="https://twitter.com/JamieFlinton/status/724348762659950592" xr:uid="{D4718851-F305-4D12-B486-9D15FAECECFA}"/>
    <hyperlink ref="O7863" r:id="rId24340" display="https://pbs.twimg.com/profile_images/650680852427468800/3m6-Nu2C_normal.png" xr:uid="{616EA3C7-A4A9-4D1C-A220-942F47685FFF}"/>
    <hyperlink ref="B7864" r:id="rId24341" display="https://twitter.com/klassikautos" xr:uid="{BB8E7C35-CC2C-494D-8889-0658A15BCD2D}"/>
    <hyperlink ref="E7864" r:id="rId24342" display="https://twitter.com/klassikautos/status/724348988359585797" xr:uid="{11F57205-C9EA-4AFF-ACE0-1C3997D25FDF}"/>
    <hyperlink ref="O7864" r:id="rId24343" display="https://pbs.twimg.com/profile_images/531363470009057281/FJGMIqtq_normal.jpeg" xr:uid="{70D28A2E-030F-462B-B272-2B3A8AEE9458}"/>
    <hyperlink ref="B7865" r:id="rId24344" display="https://twitter.com/klassikautos" xr:uid="{AB696CEE-803D-4F3B-B663-D167C58FAC7B}"/>
    <hyperlink ref="E7865" r:id="rId24345" display="https://twitter.com/klassikautos/status/724349023734370304" xr:uid="{A5DBBBC6-2DFD-441F-8FFD-F8505BC94E5C}"/>
    <hyperlink ref="O7865" r:id="rId24346" display="https://pbs.twimg.com/profile_images/531363470009057281/FJGMIqtq_normal.jpeg" xr:uid="{75FEF113-DDFA-44D0-A47C-3906E682378F}"/>
    <hyperlink ref="B7866" r:id="rId24347" display="https://twitter.com/DenglerW" xr:uid="{56E919F5-199F-45F4-928E-59F1C47F2768}"/>
    <hyperlink ref="E7866" r:id="rId24348" display="https://twitter.com/DenglerW/status/724349477843292160" xr:uid="{5389FF5B-576F-40E1-B4C8-1E22D54EDD0E}"/>
    <hyperlink ref="O7866" r:id="rId24349" display="https://pbs.twimg.com/profile_images/713260959322808320/ioT5R9zp_normal.jpg" xr:uid="{3E5573D9-1DC4-4629-B1C7-4C8EEBF1F934}"/>
    <hyperlink ref="B7867" r:id="rId24350" display="https://twitter.com/FDP_Bottrop" xr:uid="{2EE56BD4-0706-4F33-835A-3BCF47843843}"/>
    <hyperlink ref="E7867" r:id="rId24351" display="https://twitter.com/FDP_Bottrop/status/724349521359187968" xr:uid="{74C47738-063F-4ED3-B851-0D1F8ABBA501}"/>
    <hyperlink ref="O7867" r:id="rId24352" display="https://pbs.twimg.com/profile_images/719111702093111296/JRoEGteR_normal.jpg" xr:uid="{B35923B3-69CB-4EB0-84BE-93DDA0A53D1B}"/>
    <hyperlink ref="B7868" r:id="rId24353" display="https://twitter.com/hashtagvanlife" xr:uid="{C8AB7015-DC37-4948-AA6B-BC0AA4719834}"/>
    <hyperlink ref="E7868" r:id="rId24354" display="https://twitter.com/hashtagvanlife/status/724350051238182912" xr:uid="{1F835D4A-76C0-460D-8BC6-9B401E19A962}"/>
    <hyperlink ref="O7868" r:id="rId24355" display="https://pbs.twimg.com/profile_images/653637535545995264/gHuXQ5Bt_normal.jpg" xr:uid="{3E1C5CBB-D73E-433A-A8DE-89936AB71E2E}"/>
    <hyperlink ref="B7869" r:id="rId24356" display="https://twitter.com/TheBeatlesHub" xr:uid="{7D574CF2-A911-4272-A578-380B9244C45F}"/>
    <hyperlink ref="E7869" r:id="rId24357" display="https://twitter.com/TheBeatlesHub/status/724350113276133376" xr:uid="{7B019D1C-4016-4257-9E65-6A0953FB75FD}"/>
    <hyperlink ref="O7869" r:id="rId24358" display="https://pbs.twimg.com/profile_images/713881327737634816/9Tw74fe7_normal.jpg" xr:uid="{3907C7E2-F67D-4EEB-A121-561A51D88B45}"/>
    <hyperlink ref="B7870" r:id="rId24359" display="https://twitter.com/herbie53rides" xr:uid="{F8B49F38-ACA9-4CA9-BEC3-5C85E1D2E8C4}"/>
    <hyperlink ref="E7870" r:id="rId24360" display="https://twitter.com/herbie53rides/status/724350847904309248" xr:uid="{EC6A2FE4-CD6C-4667-9488-0CA830C0DC60}"/>
    <hyperlink ref="O7870" r:id="rId24361" display="https://pbs.twimg.com/profile_images/715133504149917698/cUazsqBS_normal.jpg" xr:uid="{6A499534-0558-4656-B68F-BBE693416B51}"/>
    <hyperlink ref="B7871" r:id="rId24362" display="https://twitter.com/frecklesfairy" xr:uid="{5AC2F24E-CF41-453A-AEFA-2E048AD193C6}"/>
    <hyperlink ref="E7871" r:id="rId24363" display="https://twitter.com/frecklesfairy/status/724351098983747585" xr:uid="{9BECC541-AD6C-4941-8742-85DBACB64560}"/>
    <hyperlink ref="O7871" r:id="rId24364" display="https://pbs.twimg.com/profile_images/708572497663361024/dsJB1dwv_normal.jpg" xr:uid="{3FEA39ED-4FDC-434F-8761-F9A07F8AF9CA}"/>
    <hyperlink ref="B7872" r:id="rId24365" display="https://twitter.com/Ramzilla" xr:uid="{BA3D2442-889E-46A6-AC7A-DEFFB3B8C105}"/>
    <hyperlink ref="E7872" r:id="rId24366" display="https://twitter.com/Ramzilla/status/724351538379022336" xr:uid="{7F363DA3-3EE0-44ED-A6A9-F3DD863435E2}"/>
    <hyperlink ref="O7872" r:id="rId24367" display="https://pbs.twimg.com/profile_images/707672823209271298/m9ChKBzC_normal.jpg" xr:uid="{CCBCE2CC-6877-4476-AE74-44A76ED0C26B}"/>
    <hyperlink ref="B7873" r:id="rId24368" display="https://twitter.com/jorgej98" xr:uid="{24EB53A3-A49C-4B96-9E25-AE4CE27CBA6D}"/>
    <hyperlink ref="E7873" r:id="rId24369" display="https://twitter.com/jorgej98/status/724351659594395653" xr:uid="{90E88EED-28BE-400A-8BAB-BE2D879E9225}"/>
    <hyperlink ref="O7873" r:id="rId24370" display="https://pbs.twimg.com/profile_images/593370265461067776/kPS_IiMg_normal.jpg" xr:uid="{B49CACDB-14B4-4A62-B4B8-85E99E816799}"/>
    <hyperlink ref="B7874" r:id="rId24371" display="https://twitter.com/beetlebug1938" xr:uid="{9F67A636-AA5F-4B26-A25A-B3891F74C23B}"/>
    <hyperlink ref="E7874" r:id="rId24372" display="https://twitter.com/beetlebug1938/status/724352749052289026" xr:uid="{5D1825F3-71D6-4029-BFF3-23DF956F9326}"/>
    <hyperlink ref="O7874" r:id="rId24373" display="https://pbs.twimg.com/profile_images/718820712757215233/LXXndPTS_normal.jpg" xr:uid="{6B31D4CD-E3B2-4543-AC13-BFC3D2B4262E}"/>
    <hyperlink ref="B7875" r:id="rId24374" display="https://twitter.com/dubbusses" xr:uid="{8CD128EB-FA59-4AAD-9983-7386C562A7B0}"/>
    <hyperlink ref="E7875" r:id="rId24375" display="https://twitter.com/dubbusses/status/724352892908503040" xr:uid="{2B26705D-7B04-4487-A0BC-793793282A3A}"/>
    <hyperlink ref="O7875" r:id="rId24376" display="https://pbs.twimg.com/profile_images/718835727027580928/1ssyQ67y_normal.jpg" xr:uid="{843A2C14-AA89-4CBE-A8AF-6C09E6A9B330}"/>
    <hyperlink ref="B7876" r:id="rId24377" display="https://twitter.com/dubbusses" xr:uid="{32A87F71-5C35-460B-AE37-AAA3920F2681}"/>
    <hyperlink ref="E7876" r:id="rId24378" display="https://twitter.com/dubbusses/status/724352902513463296" xr:uid="{F89EC669-2767-4828-8313-F2693BF503D2}"/>
    <hyperlink ref="O7876" r:id="rId24379" display="https://pbs.twimg.com/profile_images/718835727027580928/1ssyQ67y_normal.jpg" xr:uid="{8A26A90A-9700-4AB4-9F0A-7A8462A35BD9}"/>
    <hyperlink ref="B7877" r:id="rId24380" display="https://twitter.com/dubbusses" xr:uid="{EEDFF1DA-4166-4D61-B038-202D6B7DFC52}"/>
    <hyperlink ref="E7877" r:id="rId24381" display="https://twitter.com/dubbusses/status/724352917550014464" xr:uid="{9DEC6FA8-B6DF-42C1-9F38-3C627C0B10BC}"/>
    <hyperlink ref="O7877" r:id="rId24382" display="https://pbs.twimg.com/profile_images/718835727027580928/1ssyQ67y_normal.jpg" xr:uid="{264DA900-8C94-45C8-BCE4-9412E5D3EBE0}"/>
    <hyperlink ref="B7878" r:id="rId24383" display="https://twitter.com/dubbusses" xr:uid="{E35E2C42-6A8F-4626-B071-D2FB5230AD2E}"/>
    <hyperlink ref="E7878" r:id="rId24384" display="https://twitter.com/dubbusses/status/724353006532210689" xr:uid="{002102A7-91D5-4FA3-950F-7395D2F4A0C9}"/>
    <hyperlink ref="O7878" r:id="rId24385" display="https://pbs.twimg.com/profile_images/718835727027580928/1ssyQ67y_normal.jpg" xr:uid="{8B48E34A-8974-4837-BB29-24474D1DF47C}"/>
    <hyperlink ref="B7879" r:id="rId24386" display="https://twitter.com/xicosantos99" xr:uid="{FAE579F8-32DD-4E19-A19C-B36D8FFC58B1}"/>
    <hyperlink ref="E7879" r:id="rId24387" display="https://twitter.com/xicosantos99/status/724353173985566720" xr:uid="{E8BCD472-1ED0-4019-8B52-9BE8172CD89C}"/>
    <hyperlink ref="O7879" r:id="rId24388" display="https://pbs.twimg.com/profile_images/683800402396102656/9K5xzNgK_normal.jpg" xr:uid="{9863F63A-B11E-4E3E-8459-B71D2BC9FF40}"/>
    <hyperlink ref="B7880" r:id="rId24389" display="https://twitter.com/VWCamperSales" xr:uid="{9684CB15-A616-4487-ADBE-D3A946D3115C}"/>
    <hyperlink ref="E7880" r:id="rId24390" display="https://twitter.com/VWCamperSales/status/724353619324067840" xr:uid="{F0A9856F-A31A-4688-B002-D9B55E8D23CE}"/>
    <hyperlink ref="F7880" r:id="rId24391" xr:uid="{45E8062F-B9A5-4991-AC89-1C7E2CEB8F3A}"/>
    <hyperlink ref="O7880" r:id="rId24392" display="https://pbs.twimg.com/profile_images/627949001179037696/skEBkS05_normal.jpg" xr:uid="{585D38DB-360D-4E5F-B620-A458641FB4BF}"/>
    <hyperlink ref="B7881" r:id="rId24393" display="https://twitter.com/VWCamperSales" xr:uid="{9B02B07A-8473-4A62-BCEB-B3C07A8B524B}"/>
    <hyperlink ref="E7881" r:id="rId24394" display="https://twitter.com/VWCamperSales/status/724353622536904708" xr:uid="{2F6785DA-5180-4994-BEAD-B62CD29E03A5}"/>
    <hyperlink ref="F7881" r:id="rId24395" xr:uid="{5CE73314-BE8F-4FDD-9937-DF9720811B9D}"/>
    <hyperlink ref="O7881" r:id="rId24396" display="https://pbs.twimg.com/profile_images/627949001179037696/skEBkS05_normal.jpg" xr:uid="{4EC70C51-DAFB-4CB4-A58C-2C97E1C3642E}"/>
    <hyperlink ref="B7882" r:id="rId24397" display="https://twitter.com/tweets_scotland" xr:uid="{2CA24353-96FB-474D-BA19-6D90D44C01B4}"/>
    <hyperlink ref="E7882" r:id="rId24398" display="https://twitter.com/tweets_scotland/status/724353630673973250" xr:uid="{265272DD-7EE0-4AE4-826B-70F675E6327B}"/>
    <hyperlink ref="O7882" r:id="rId24399" display="https://pbs.twimg.com/profile_images/682653672208207872/9g6PB7Bf_normal.jpg" xr:uid="{749ED695-DD3F-4A33-8B3D-44ABCA78EF86}"/>
    <hyperlink ref="B7883" r:id="rId24400" display="https://twitter.com/BleyJennifer" xr:uid="{818AC44C-7953-4D52-8A2C-2EB13B3AB8B8}"/>
    <hyperlink ref="E7883" r:id="rId24401" display="https://twitter.com/BleyJennifer/status/724353916733906946" xr:uid="{242A0BE9-670B-472A-A783-6A1ADFDCA3D2}"/>
    <hyperlink ref="O7883" r:id="rId24402" display="https://pbs.twimg.com/profile_images/533000676540809217/pGxIlBsM_normal.jpeg" xr:uid="{15A24F28-658B-438C-8EF9-3F277A4E0DF6}"/>
    <hyperlink ref="B7884" r:id="rId24403" display="https://twitter.com/pjl1015" xr:uid="{50FFBB78-5E7A-4172-B088-4CFC6FB7700F}"/>
    <hyperlink ref="E7884" r:id="rId24404" display="https://twitter.com/pjl1015/status/724354018940715008" xr:uid="{85A445BC-E6EE-4BFC-816F-6DD00AD3FF0C}"/>
    <hyperlink ref="O7884" r:id="rId24405" display="https://pbs.twimg.com/profile_images/1505035884/SYF2_normal.jpg" xr:uid="{C46A21D3-8FE8-4635-832D-98B5F0DCFEB7}"/>
    <hyperlink ref="B7885" r:id="rId24406" display="https://twitter.com/N1Visual" xr:uid="{AB822EA4-DFE8-4847-AA22-06462905915E}"/>
    <hyperlink ref="E7885" r:id="rId24407" display="https://twitter.com/N1Visual/status/724354583942803456" xr:uid="{87E568FE-A319-43EF-AD62-EFD5AF4647CB}"/>
    <hyperlink ref="O7885" r:id="rId24408" display="https://pbs.twimg.com/profile_images/3573077542/e52ed1aa9eddad3504a09bfe0c590f29_normal.jpeg" xr:uid="{6EF3E727-8246-43A6-8B2A-E9C9BD3C7465}"/>
    <hyperlink ref="B7886" r:id="rId24409" display="https://twitter.com/voelker_FDP" xr:uid="{F901A941-8DAC-4735-8BAA-C127D2094DDA}"/>
    <hyperlink ref="E7886" r:id="rId24410" display="https://twitter.com/voelker_FDP/status/724354930564325377" xr:uid="{518BB3DF-E946-4CC2-95C4-5CD46F78A229}"/>
    <hyperlink ref="O7886" r:id="rId24411" display="https://pbs.twimg.com/profile_images/666960980535025665/JuwRTAXG_normal.jpg" xr:uid="{4006C24B-57D1-4A57-BDED-415F1190B491}"/>
    <hyperlink ref="B7887" r:id="rId24412" display="https://twitter.com/thevdubhub" xr:uid="{16929A01-A93B-4A02-8AE2-19AFA529AA8C}"/>
    <hyperlink ref="E7887" r:id="rId24413" display="https://twitter.com/thevdubhub/status/724355132008206336" xr:uid="{5B9225DD-EE78-4436-A9F2-5F811AE66113}"/>
    <hyperlink ref="O7887" r:id="rId24414" display="https://pbs.twimg.com/profile_images/698987523918295040/M7NDbszi_normal.jpg" xr:uid="{65407F09-7AEE-41FF-9648-920165CB1AD0}"/>
    <hyperlink ref="B7888" r:id="rId24415" display="https://twitter.com/MlleD" xr:uid="{29162CD2-F1D6-42EF-877D-ADF391E6BC43}"/>
    <hyperlink ref="E7888" r:id="rId24416" display="https://twitter.com/MlleD/status/724355570623500293" xr:uid="{1AC0D7AB-E130-44A9-B5B7-0AD257EB74A9}"/>
    <hyperlink ref="O7888" r:id="rId24417" display="https://pbs.twimg.com/profile_images/378800000696049513/e66c8406113b01b265417af6dae63ca9_normal.jpeg" xr:uid="{1C6CF507-5D74-4885-BA19-13F87B742A6E}"/>
    <hyperlink ref="P7888" r:id="rId24418" location="46.5664291,13.9100199" display="http://ctrlq.org/maps/address/ - 46.5664291,13.9100199" xr:uid="{32557B43-7F51-4D38-8F37-B9FE912E3B0B}"/>
    <hyperlink ref="B7889" r:id="rId24419" display="https://twitter.com/VWCamperSales" xr:uid="{1DAC4D24-7010-4F00-85C1-E2024530DC33}"/>
    <hyperlink ref="E7889" r:id="rId24420" display="https://twitter.com/VWCamperSales/status/724356756223057921" xr:uid="{EEE72A89-E588-446B-97E2-31AD5AE59C29}"/>
    <hyperlink ref="F7889" r:id="rId24421" xr:uid="{BE768884-74BF-47BB-B1DB-2C7646782A9D}"/>
    <hyperlink ref="O7889" r:id="rId24422" display="https://pbs.twimg.com/profile_images/627949001179037696/skEBkS05_normal.jpg" xr:uid="{4FB989D0-E23B-408D-9AF7-67F9674E3CB1}"/>
    <hyperlink ref="B7890" r:id="rId24423" display="https://twitter.com/oldcar_photo" xr:uid="{F47A6DC0-6F16-4045-8F7E-712B1087260B}"/>
    <hyperlink ref="E7890" r:id="rId24424" display="https://twitter.com/oldcar_photo/status/724357033470902272" xr:uid="{583FF76C-AFEE-456B-A6E2-BAEFEC984700}"/>
    <hyperlink ref="O7890" r:id="rId24425" display="https://pbs.twimg.com/profile_images/615493650785660928/XHUh6HOk_normal.jpg" xr:uid="{6F5A9DD1-B975-4480-BA62-1F0B588B46BF}"/>
    <hyperlink ref="B7891" r:id="rId24426" display="https://twitter.com/oldcar_photo" xr:uid="{22DA2C34-349E-43F9-9E91-41A5598F6D22}"/>
    <hyperlink ref="E7891" r:id="rId24427" display="https://twitter.com/oldcar_photo/status/724357124697010177" xr:uid="{F870DD51-D895-45B9-AD9A-DC2BF0D436E3}"/>
    <hyperlink ref="O7891" r:id="rId24428" display="https://pbs.twimg.com/profile_images/615493650785660928/XHUh6HOk_normal.jpg" xr:uid="{E0084D65-91B1-4FE7-A310-D58A582AC6A0}"/>
    <hyperlink ref="B7892" r:id="rId24429" display="https://twitter.com/VeeDubMk1_" xr:uid="{90D3DAF4-9572-42ED-A62E-332DC22E6270}"/>
    <hyperlink ref="E7892" r:id="rId24430" display="https://twitter.com/VeeDubMk1_/status/724357457930280961" xr:uid="{CDCF18C3-9DE7-44B1-9CE6-15B1C422D1E9}"/>
    <hyperlink ref="O7892" r:id="rId24431" display="https://pbs.twimg.com/profile_images/672878354127839232/M7OYc-zx_normal.jpg" xr:uid="{CE60134B-8DDD-4A14-AC09-AF73E3D2E73B}"/>
    <hyperlink ref="B7893" r:id="rId24432" display="https://twitter.com/VeeDubMk1_" xr:uid="{5E63F9C9-A753-40DA-A8EC-4FEEFC419F45}"/>
    <hyperlink ref="E7893" r:id="rId24433" display="https://twitter.com/VeeDubMk1_/status/724357469431062528" xr:uid="{E0FD1C09-95CF-4B51-A0A3-9F1564BB7EC6}"/>
    <hyperlink ref="O7893" r:id="rId24434" display="https://pbs.twimg.com/profile_images/672878354127839232/M7OYc-zx_normal.jpg" xr:uid="{2BD75A63-8203-49DD-B570-85AE8DC5000E}"/>
    <hyperlink ref="B7894" r:id="rId24435" display="https://twitter.com/VeeDubMk1_" xr:uid="{68956373-8735-4300-93D6-EC417A541F73}"/>
    <hyperlink ref="E7894" r:id="rId24436" display="https://twitter.com/VeeDubMk1_/status/724357491409190912" xr:uid="{0216511D-8D5E-44E5-97B3-774C86125BEE}"/>
    <hyperlink ref="O7894" r:id="rId24437" display="https://pbs.twimg.com/profile_images/672878354127839232/M7OYc-zx_normal.jpg" xr:uid="{742E0855-6BA3-4638-9E39-E31B5DC018E9}"/>
    <hyperlink ref="B7895" r:id="rId24438" display="https://twitter.com/FuscaWorld" xr:uid="{A3DCB551-A4D9-48F5-93AF-FCAFD864228A}"/>
    <hyperlink ref="E7895" r:id="rId24439" display="https://twitter.com/FuscaWorld/status/724357509532803075" xr:uid="{34541A21-85D0-4699-BD3C-5721C3DA3652}"/>
    <hyperlink ref="O7895" r:id="rId24440" display="https://pbs.twimg.com/profile_images/705780107844067328/e7O4UBNb_normal.jpg" xr:uid="{765E9466-8B75-477A-9E8E-91EE79B42B23}"/>
    <hyperlink ref="B7896" r:id="rId24441" display="https://twitter.com/Scirocco_Tuning" xr:uid="{812179B6-F44A-47BA-A2BB-CDD35619B296}"/>
    <hyperlink ref="E7896" r:id="rId24442" display="https://twitter.com/Scirocco_Tuning/status/724358071510818816" xr:uid="{950C555A-8BFB-43A3-91AF-7BFEB0411587}"/>
    <hyperlink ref="O7896" r:id="rId24443" display="https://pbs.twimg.com/profile_images/1610421423/Image2_normal.jpg" xr:uid="{AA7B9311-EC7D-48D7-A3A5-FEF5D4634F26}"/>
    <hyperlink ref="B7897" r:id="rId24444" display="https://twitter.com/turnepf" xr:uid="{111D83C0-1E3F-48D7-94F9-DC7C82A417F3}"/>
    <hyperlink ref="E7897" r:id="rId24445" display="https://twitter.com/turnepf/status/724359293366095872" xr:uid="{0302C90C-E2F1-4E56-85B9-C223993F84B9}"/>
    <hyperlink ref="O7897" r:id="rId24446" display="https://pbs.twimg.com/profile_images/627133965678284801/iTZJ7h3G_normal.jpg" xr:uid="{4275FC73-DFA8-48DC-AFAA-0B2093A9C504}"/>
    <hyperlink ref="B7898" r:id="rId24447" display="https://twitter.com/Vintage_Cars" xr:uid="{D6C6AF2D-7D5C-46DD-80E6-67AB2FA0C436}"/>
    <hyperlink ref="E7898" r:id="rId24448" display="https://twitter.com/Vintage_Cars/status/724359499524505602" xr:uid="{7485EFF0-423C-4AED-B47B-57A456908394}"/>
    <hyperlink ref="O7898" r:id="rId24449" display="https://pbs.twimg.com/profile_images/531375225204523009/W9b_bjxt_normal.jpeg" xr:uid="{284BFE81-C2A8-4205-B75D-864F95EE077D}"/>
    <hyperlink ref="B7899" r:id="rId24450" display="https://twitter.com/M5marketing" xr:uid="{601E9744-957C-441E-A2B8-B0D5895B0140}"/>
    <hyperlink ref="E7899" r:id="rId24451" display="https://twitter.com/M5marketing/status/724360908726632452" xr:uid="{03C9B2BD-F0CA-4C40-8462-59C95C6AB61F}"/>
    <hyperlink ref="O7899" r:id="rId24452" display="https://pbs.twimg.com/profile_images/378800000441508182/196c5631db61b24b35e4854fccc27321_normal.png" xr:uid="{1DB6CB09-8576-4FD5-86DA-F929BCA00595}"/>
    <hyperlink ref="B7900" r:id="rId24453" display="https://twitter.com/Zayhrasg" xr:uid="{8192EAEB-7DB7-425D-8340-7AACB2BB02DB}"/>
    <hyperlink ref="E7900" r:id="rId24454" display="https://twitter.com/Zayhrasg/status/724360909246730240" xr:uid="{ADFB6B87-5C46-4FD2-8207-EC809271DAFA}"/>
    <hyperlink ref="O7900" r:id="rId24455" display="https://pbs.twimg.com/profile_images/657419934218088448/ZjlPsCDs_normal.jpg" xr:uid="{9F00380F-813E-4D34-AA8C-CEDF8B1A7E06}"/>
    <hyperlink ref="B7901" r:id="rId24456" display="https://twitter.com/academ_foto" xr:uid="{AE8149FC-AAD4-4B02-95F4-C80C8BF1EE21}"/>
    <hyperlink ref="E7901" r:id="rId24457" display="https://twitter.com/academ_foto/status/724361000917540866" xr:uid="{8512F4A4-65EB-4FF0-A004-B3C26DCE0E64}"/>
    <hyperlink ref="O7901" r:id="rId24458" display="https://pbs.twimg.com/profile_images/416907873638432768/CnO25nKp_normal.jpeg" xr:uid="{8788F116-50E2-494E-B0E6-59834BECA762}"/>
    <hyperlink ref="B7902" r:id="rId24459" display="https://twitter.com/Luizesl" xr:uid="{B90BB2EC-46C9-4B49-AC66-512B8C9EE713}"/>
    <hyperlink ref="E7902" r:id="rId24460" display="https://twitter.com/Luizesl/status/724361276718223361" xr:uid="{E5054937-E7F3-4F41-9F3B-108C8339D164}"/>
    <hyperlink ref="O7902" r:id="rId24461" display="https://pbs.twimg.com/profile_images/676169510861348865/EqdTIKd2_normal.jpg" xr:uid="{A81D89AF-4D3A-47A3-921F-EFF08389667B}"/>
    <hyperlink ref="B7903" r:id="rId24462" display="https://twitter.com/VWBeetleSales" xr:uid="{C89541A2-252F-4889-A865-DBEEDE998044}"/>
    <hyperlink ref="E7903" r:id="rId24463" display="https://twitter.com/VWBeetleSales/status/724361804835524609" xr:uid="{B06DF5B2-17A2-4E19-BAE1-DD3C68A6F45E}"/>
    <hyperlink ref="F7903" r:id="rId24464" xr:uid="{87F294E3-FC6C-4034-ABB3-3E732D71F343}"/>
    <hyperlink ref="O7903" r:id="rId24465" display="https://pbs.twimg.com/profile_images/703294545195307008/qeCvrX86_normal.jpg" xr:uid="{13EE3671-1D5A-41A2-A0DB-3AEF8C676A0F}"/>
    <hyperlink ref="B7904" r:id="rId24466" display="https://twitter.com/TetsuoHojo" xr:uid="{1ECCB263-15F8-4D65-ACBF-AA60935BD80E}"/>
    <hyperlink ref="E7904" r:id="rId24467" display="https://twitter.com/TetsuoHojo/status/724362285104271360" xr:uid="{5A61B0EB-2167-45E3-9D4D-AD93CBF3FC5E}"/>
    <hyperlink ref="O7904" r:id="rId24468" display="https://pbs.twimg.com/profile_images/2646835465/aa5823578b01b04b7e91d58e8ca88691_normal.jpeg" xr:uid="{BC5D9ABB-3A1B-4381-934F-C5DDA458CB8C}"/>
    <hyperlink ref="B7905" r:id="rId24469" display="https://twitter.com/TetsuoHojo" xr:uid="{A5BFD07C-4654-4542-B03A-91A9A64021E5}"/>
    <hyperlink ref="E7905" r:id="rId24470" display="https://twitter.com/TetsuoHojo/status/724362299985653760" xr:uid="{E5D75699-092F-4E67-90C7-782BDDA7AE33}"/>
    <hyperlink ref="O7905" r:id="rId24471" display="https://pbs.twimg.com/profile_images/2646835465/aa5823578b01b04b7e91d58e8ca88691_normal.jpeg" xr:uid="{18E280B7-4763-4501-A93A-CA80DEF6D261}"/>
    <hyperlink ref="B7906" r:id="rId24472" display="https://twitter.com/TetsuoHojo" xr:uid="{4C27BF54-E28E-48E0-AB28-F362F1598665}"/>
    <hyperlink ref="E7906" r:id="rId24473" display="https://twitter.com/TetsuoHojo/status/724362650444926977" xr:uid="{35A65CA5-D6BC-45DE-86E6-B71CB33EB020}"/>
    <hyperlink ref="O7906" r:id="rId24474" display="https://pbs.twimg.com/profile_images/2646835465/aa5823578b01b04b7e91d58e8ca88691_normal.jpeg" xr:uid="{37DE67C0-DC3A-4BCA-85B3-C481B44DECF8}"/>
    <hyperlink ref="B7907" r:id="rId24475" display="https://twitter.com/BagOfPeanuts" xr:uid="{89E3344E-AE60-4B03-AD6A-5924A8E53B92}"/>
    <hyperlink ref="E7907" r:id="rId24476" display="https://twitter.com/BagOfPeanuts/status/724363010031099904" xr:uid="{1AC9789A-B2C6-4FB9-B35C-EC4C154A9AD6}"/>
    <hyperlink ref="O7907" r:id="rId24477" display="https://pbs.twimg.com/profile_images/1333987626/squir_normal.jpg" xr:uid="{B404F440-D509-42DF-9889-4DEA5845994E}"/>
    <hyperlink ref="B7908" r:id="rId24478" display="https://twitter.com/deanomsport" xr:uid="{A3731C19-FBA4-434D-A08E-5E6D4FA412EA}"/>
    <hyperlink ref="E7908" r:id="rId24479" display="https://twitter.com/deanomsport/status/724363600471724032" xr:uid="{7D9532F3-FE52-4AFD-A303-412F6592457C}"/>
    <hyperlink ref="O7908" r:id="rId24480" display="https://pbs.twimg.com/profile_images/653310353653297153/bYVyhn8J_normal.jpg" xr:uid="{9A9C9907-B484-41F0-AA86-2710CE96D3F4}"/>
    <hyperlink ref="B7909" r:id="rId24481" display="https://twitter.com/YesItsSHAWTY" xr:uid="{48BDF3DE-B04C-4AD7-9626-F1C9EE77EDB6}"/>
    <hyperlink ref="E7909" r:id="rId24482" display="https://twitter.com/YesItsSHAWTY/status/724364118015225857" xr:uid="{A63A55B9-03BB-4E92-824D-DA953D2CEE1B}"/>
    <hyperlink ref="O7909" r:id="rId24483" display="https://pbs.twimg.com/profile_images/717481408357384192/HFJkJ88L_normal.jpg" xr:uid="{B4BA5994-314A-4460-B892-953CDE83A59C}"/>
    <hyperlink ref="B7910" r:id="rId24484" display="https://twitter.com/gzellf" xr:uid="{C65541C1-E43F-471A-97FE-2710BF13163E}"/>
    <hyperlink ref="E7910" r:id="rId24485" display="https://twitter.com/gzellf/status/724364875162513408" xr:uid="{D7B5A50E-1F28-4A3A-A260-1A418025AA72}"/>
    <hyperlink ref="O7910" r:id="rId24486" display="https://pbs.twimg.com/profile_images/720579071994916866/hamyRzr2_normal.jpg" xr:uid="{9235738F-7BA3-477D-B60C-C02EB1035959}"/>
    <hyperlink ref="B7911" r:id="rId24487" display="https://twitter.com/TheFashionPoet" xr:uid="{46147BBA-4CCC-4FE2-8442-3A9DD895C9D5}"/>
    <hyperlink ref="E7911" r:id="rId24488" display="https://twitter.com/TheFashionPoet/status/724365181875314689" xr:uid="{F7ACD4DF-D90E-4785-B556-E170976AA4FF}"/>
    <hyperlink ref="O7911" r:id="rId24489" display="https://pbs.twimg.com/profile_images/709719402346717184/TEYAKQfg_normal.jpg" xr:uid="{84B9FE88-A1F4-47D9-9521-BA9D78E0D7D3}"/>
    <hyperlink ref="P7911" r:id="rId24490" location="24.55951596,-81.80607155" display="http://ctrlq.org/maps/address/ - 24.55951596,-81.80607155" xr:uid="{B258030A-D947-4402-BB75-883067138BAE}"/>
    <hyperlink ref="B7912" r:id="rId24491" display="https://twitter.com/VWCamperSales" xr:uid="{3FF56918-53BE-4B7E-A88D-1198BAD7EAA3}"/>
    <hyperlink ref="E7912" r:id="rId24492" display="https://twitter.com/VWCamperSales/status/724365195259191296" xr:uid="{3FA95FA5-E67A-40AA-AA79-A44176488784}"/>
    <hyperlink ref="F7912" r:id="rId24493" xr:uid="{F1A62594-EA7D-48BC-919E-00A4EA7E0D23}"/>
    <hyperlink ref="O7912" r:id="rId24494" display="https://pbs.twimg.com/profile_images/627949001179037696/skEBkS05_normal.jpg" xr:uid="{728F1C7F-C7F7-48ED-B17C-962BCB0B1548}"/>
    <hyperlink ref="B7913" r:id="rId24495" display="https://twitter.com/OnlineCarReview" xr:uid="{813AEA31-5657-4A53-A6FF-239FB1478139}"/>
    <hyperlink ref="E7913" r:id="rId24496" display="https://twitter.com/OnlineCarReview/status/724366276978565120" xr:uid="{A95B0195-AAB3-405F-AFFB-7360F7C70624}"/>
    <hyperlink ref="O7913" r:id="rId24497" display="https://pbs.twimg.com/profile_images/652871584131092480/QA_B6SBO_normal.jpg" xr:uid="{E8A5603F-CFD4-4535-A2C9-ED2908A7DA63}"/>
    <hyperlink ref="B7914" r:id="rId24498" display="https://twitter.com/OnlineCarReview" xr:uid="{2B3A4638-8D08-4C61-AC9A-EC5A7CC0DFA3}"/>
    <hyperlink ref="E7914" r:id="rId24499" display="https://twitter.com/OnlineCarReview/status/724366277830017024" xr:uid="{4EB9DE17-E889-46BF-ABBF-AEFE6086B640}"/>
    <hyperlink ref="O7914" r:id="rId24500" display="https://pbs.twimg.com/profile_images/652871584131092480/QA_B6SBO_normal.jpg" xr:uid="{084C6529-2D06-4AEE-9E50-73D0E515F368}"/>
    <hyperlink ref="B7915" r:id="rId24501" display="https://twitter.com/RebeccaChast_16" xr:uid="{35E85B56-CFE2-4D50-94EB-6BD8A6B8556C}"/>
    <hyperlink ref="E7915" r:id="rId24502" display="https://twitter.com/RebeccaChast_16/status/724367025385168897" xr:uid="{5D19C8A9-79E0-43A4-897D-3A270D009BA4}"/>
    <hyperlink ref="O7915" r:id="rId24503" display="https://pbs.twimg.com/profile_images/710155496238350336/xMgum-ps_normal.jpg" xr:uid="{3B190AE1-B306-4B12-AEC7-0A8D3921452F}"/>
    <hyperlink ref="B7916" r:id="rId24504" display="https://twitter.com/beetlebug1938" xr:uid="{B66250D9-E239-4C52-B12D-5CB1FAD85554}"/>
    <hyperlink ref="E7916" r:id="rId24505" display="https://twitter.com/beetlebug1938/status/724367636121956352" xr:uid="{318ECE4B-E68A-49E9-B4B1-F082B74A90DD}"/>
    <hyperlink ref="O7916" r:id="rId24506" display="https://pbs.twimg.com/profile_images/718820712757215233/LXXndPTS_normal.jpg" xr:uid="{0E7C0A2A-BA94-4471-9723-1B5AEC648078}"/>
    <hyperlink ref="B7917" r:id="rId24507" display="https://twitter.com/beetlebug1938" xr:uid="{11019DBA-F51B-4FC6-B29A-FAB966729203}"/>
    <hyperlink ref="E7917" r:id="rId24508" display="https://twitter.com/beetlebug1938/status/724367655617105920" xr:uid="{B305EB20-5BC6-4BAC-9421-DC973F3229C3}"/>
    <hyperlink ref="O7917" r:id="rId24509" display="https://pbs.twimg.com/profile_images/718820712757215233/LXXndPTS_normal.jpg" xr:uid="{F28B9EF1-55F8-4902-83EF-76664B5E7687}"/>
    <hyperlink ref="B7918" r:id="rId24510" display="https://twitter.com/beetlebug1938" xr:uid="{BD9CFE60-9B43-425D-92EC-3FD10085EB8C}"/>
    <hyperlink ref="E7918" r:id="rId24511" display="https://twitter.com/beetlebug1938/status/724367664026664960" xr:uid="{A8258F5B-24C3-49B5-842F-9773BADEE26E}"/>
    <hyperlink ref="O7918" r:id="rId24512" display="https://pbs.twimg.com/profile_images/718820712757215233/LXXndPTS_normal.jpg" xr:uid="{44CCE627-35BA-4162-97F1-193FDBB0E3BD}"/>
    <hyperlink ref="B7919" r:id="rId24513" display="https://twitter.com/beetlebug1938" xr:uid="{7B1315C0-C348-4232-976B-9914BF64DB4C}"/>
    <hyperlink ref="E7919" r:id="rId24514" display="https://twitter.com/beetlebug1938/status/724367673061199872" xr:uid="{9D4B9D03-1022-4768-AC81-814598773DE2}"/>
    <hyperlink ref="O7919" r:id="rId24515" display="https://pbs.twimg.com/profile_images/718820712757215233/LXXndPTS_normal.jpg" xr:uid="{26D54C8B-C17E-4F0D-9A53-84A51A50A2F5}"/>
    <hyperlink ref="B7920" r:id="rId24516" display="https://twitter.com/beetlebug1938" xr:uid="{13FD91DE-8F1D-4012-ACF3-1B8544652E7E}"/>
    <hyperlink ref="E7920" r:id="rId24517" display="https://twitter.com/beetlebug1938/status/724367682028638208" xr:uid="{BAD5593A-11AD-46E2-9B0B-B26C7583733A}"/>
    <hyperlink ref="O7920" r:id="rId24518" display="https://pbs.twimg.com/profile_images/718820712757215233/LXXndPTS_normal.jpg" xr:uid="{741AA607-08E5-4DEB-9031-BD9683F5CD05}"/>
    <hyperlink ref="B7921" r:id="rId24519" display="https://twitter.com/beetlebug1938" xr:uid="{C671BB6C-6B2A-4D3D-AE6C-21529F39B482}"/>
    <hyperlink ref="E7921" r:id="rId24520" display="https://twitter.com/beetlebug1938/status/724367689490247680" xr:uid="{8963AAC7-3E4A-4D2F-8204-2B3E100499F3}"/>
    <hyperlink ref="O7921" r:id="rId24521" display="https://pbs.twimg.com/profile_images/718820712757215233/LXXndPTS_normal.jpg" xr:uid="{83ABE1E1-29F1-4C1B-BFDE-FA2EDF072C48}"/>
    <hyperlink ref="B7922" r:id="rId24522" display="https://twitter.com/Costamagna_C" xr:uid="{C84D7A78-D350-48A0-AB6E-B3B319E1DFA7}"/>
    <hyperlink ref="E7922" r:id="rId24523" display="https://twitter.com/Costamagna_C/status/724367729998729216" xr:uid="{8E17B1E8-20EF-4475-95D9-43481FAA8472}"/>
    <hyperlink ref="O7922" r:id="rId24524" display="https://pbs.twimg.com/profile_images/718085827461513217/HsFXp9G6_normal.jpg" xr:uid="{9A186D5E-FD49-4B8C-8EEF-F792BE8BE9DF}"/>
    <hyperlink ref="B7923" r:id="rId24525" display="https://twitter.com/dubbusses" xr:uid="{963AED53-0936-4035-9F4A-B5B9FD195F65}"/>
    <hyperlink ref="E7923" r:id="rId24526" display="https://twitter.com/dubbusses/status/724367935591075841" xr:uid="{D3F9ED8D-289F-471B-9592-35DF3B84B5BD}"/>
    <hyperlink ref="O7923" r:id="rId24527" display="https://pbs.twimg.com/profile_images/718835727027580928/1ssyQ67y_normal.jpg" xr:uid="{48781651-3997-4F41-A983-7D3E9065D953}"/>
    <hyperlink ref="B7924" r:id="rId24528" display="https://twitter.com/dubbusses" xr:uid="{3376723A-257B-4C29-B815-D9EB30075D71}"/>
    <hyperlink ref="E7924" r:id="rId24529" display="https://twitter.com/dubbusses/status/724367942369062912" xr:uid="{091BF4FC-22BC-4403-A682-CE8711D20D36}"/>
    <hyperlink ref="O7924" r:id="rId24530" display="https://pbs.twimg.com/profile_images/718835727027580928/1ssyQ67y_normal.jpg" xr:uid="{F9D63BF0-4C5F-42C3-B6FD-04D7DA0DB595}"/>
    <hyperlink ref="B7925" r:id="rId24531" display="https://twitter.com/dubbusses" xr:uid="{8D8A2917-DD12-4A8F-9E29-9275311F8C21}"/>
    <hyperlink ref="E7925" r:id="rId24532" display="https://twitter.com/dubbusses/status/724367946244567040" xr:uid="{BEE3D4E7-E664-4CFA-A476-0B9A54E21BA3}"/>
    <hyperlink ref="O7925" r:id="rId24533" display="https://pbs.twimg.com/profile_images/718835727027580928/1ssyQ67y_normal.jpg" xr:uid="{F38FAB1A-71DA-48FC-AFBA-DA093001CC96}"/>
    <hyperlink ref="B7926" r:id="rId24534" display="https://twitter.com/LaneRussellVW" xr:uid="{71E6D7E4-7C02-4008-8944-FBA0EC92A9D4}"/>
    <hyperlink ref="E7926" r:id="rId24535" display="https://twitter.com/LaneRussellVW/status/724368191045115904" xr:uid="{625F93C2-D6DA-4D6B-B073-7C061B004504}"/>
    <hyperlink ref="O7926" r:id="rId24536" display="https://pbs.twimg.com/profile_images/446414147329073152/EeQNRdY4_normal.png" xr:uid="{A93C5DF1-3201-464A-A1F3-FBAF0DAAC4F6}"/>
    <hyperlink ref="B7927" r:id="rId24537" display="https://twitter.com/fejise" xr:uid="{E0EEC073-AE77-42F4-8748-43952CFE6095}"/>
    <hyperlink ref="E7927" r:id="rId24538" display="https://twitter.com/fejise/status/724368243419320321" xr:uid="{BAFC3510-058D-4BDD-8330-00B788E6C432}"/>
    <hyperlink ref="O7927" r:id="rId24539" display="https://pbs.twimg.com/profile_images/698387375949373440/mvzpWN6H_normal.jpg" xr:uid="{822F7752-08A2-4F2F-A0F1-D9D15BD9682D}"/>
    <hyperlink ref="B7928" r:id="rId24540" display="https://twitter.com/LaneRussellVW" xr:uid="{8C3560EF-E88C-42F1-BA78-89FA8FE9DD01}"/>
    <hyperlink ref="E7928" r:id="rId24541" display="https://twitter.com/LaneRussellVW/status/724368421425692672" xr:uid="{0AD90BF5-9F85-4CD2-993C-7C6D571AF30C}"/>
    <hyperlink ref="O7928" r:id="rId24542" display="https://pbs.twimg.com/profile_images/446414147329073152/EeQNRdY4_normal.png" xr:uid="{1F71F0F2-033A-4B2F-A029-85812C6DC2B9}"/>
    <hyperlink ref="B7929" r:id="rId24543" display="https://twitter.com/FuscaWorld" xr:uid="{04558431-2378-4025-B26A-E02B0F026971}"/>
    <hyperlink ref="E7929" r:id="rId24544" display="https://twitter.com/FuscaWorld/status/724368547904933889" xr:uid="{4F89BA6B-1441-4567-8233-AEC643CD4BAC}"/>
    <hyperlink ref="O7929" r:id="rId24545" display="https://pbs.twimg.com/profile_images/705780107844067328/e7O4UBNb_normal.jpg" xr:uid="{98697492-44FE-4789-A9A1-29B335FBF596}"/>
    <hyperlink ref="B7930" r:id="rId24546" display="https://twitter.com/JesusittoLZS" xr:uid="{E747B9F3-2CFC-45F5-B635-124CDE194594}"/>
    <hyperlink ref="E7930" r:id="rId24547" display="https://twitter.com/JesusittoLZS/status/724368792952942592" xr:uid="{A6A97C83-691C-412D-B876-98F93841143D}"/>
    <hyperlink ref="O7930" r:id="rId24548" display="https://pbs.twimg.com/profile_images/681196623205154817/jNfWQKj__normal.jpg" xr:uid="{4DBC7D2B-6F03-4F18-BC52-12FE2E49F610}"/>
    <hyperlink ref="B7931" r:id="rId24549" display="https://twitter.com/DJHeero" xr:uid="{6B27DE32-6991-4456-81A4-781B4D7D45E3}"/>
    <hyperlink ref="E7931" r:id="rId24550" display="https://twitter.com/DJHeero/status/724369600310169600" xr:uid="{0F121C22-13A1-4BF8-A1E3-21420626B809}"/>
    <hyperlink ref="O7931" r:id="rId24551" display="https://pbs.twimg.com/profile_images/378800000831377746/fe01a6e29b89375295455e2af7055554_normal.jpeg" xr:uid="{42E286D4-FCB2-4A73-A173-884B4E73BCAC}"/>
    <hyperlink ref="B7932" r:id="rId24552" display="https://twitter.com/I_Am_Golden07" xr:uid="{528D68AA-35B4-4579-8F3B-3C7F20D73502}"/>
    <hyperlink ref="E7932" r:id="rId24553" display="https://twitter.com/I_Am_Golden07/status/724370274217545729" xr:uid="{82795C81-BCA9-4932-B087-6AD5163547EF}"/>
    <hyperlink ref="O7932" r:id="rId24554" display="https://pbs.twimg.com/profile_images/655302243806265344/V6UKksnQ_normal.jpg" xr:uid="{D170DCBB-6565-4F2E-8A85-6E423CDA41D9}"/>
    <hyperlink ref="B7933" r:id="rId24555" display="https://twitter.com/RCVolkswagen" xr:uid="{DFE50503-3043-419C-8707-215E51FBE888}"/>
    <hyperlink ref="E7933" r:id="rId24556" display="https://twitter.com/RCVolkswagen/status/724370915438518272" xr:uid="{9D721517-7D19-4C5C-B64C-52A04BF1203A}"/>
    <hyperlink ref="O7933" r:id="rId24557" display="https://pbs.twimg.com/profile_images/464510596256264192/jlJphn9d_normal.jpeg" xr:uid="{A6020072-93DE-442B-B02D-91405E511E98}"/>
    <hyperlink ref="B7934" r:id="rId24558" display="https://twitter.com/KathrynDowling" xr:uid="{1411BEDA-8B5E-48CA-84DC-A46F96930D33}"/>
    <hyperlink ref="E7934" r:id="rId24559" display="https://twitter.com/KathrynDowling/status/724372015797420034" xr:uid="{A7097BC7-651B-47C5-8DCE-7FD73D012A0F}"/>
    <hyperlink ref="O7934" r:id="rId24560" display="https://pbs.twimg.com/profile_images/1659423025/kat2_normal.jpg" xr:uid="{0FA7C21C-9585-48B6-A0A6-F2C46F77DD57}"/>
    <hyperlink ref="B7935" r:id="rId24561" display="https://twitter.com/oldcar_photo" xr:uid="{B6593EB6-DFFC-470D-B632-0575D60028B1}"/>
    <hyperlink ref="E7935" r:id="rId24562" display="https://twitter.com/oldcar_photo/status/724372199503716352" xr:uid="{67A2F7AD-E9C7-486C-8780-838F90A0459B}"/>
    <hyperlink ref="O7935" r:id="rId24563" display="https://pbs.twimg.com/profile_images/615493650785660928/XHUh6HOk_normal.jpg" xr:uid="{FB002CC5-C7D7-492D-87FD-AB7504342BEA}"/>
    <hyperlink ref="B7936" r:id="rId24564" display="https://twitter.com/MiltonKeyn_es" xr:uid="{BC078D37-0EBE-4169-8F08-1759854197C5}"/>
    <hyperlink ref="E7936" r:id="rId24565" display="https://twitter.com/MiltonKeyn_es/status/724372316038266881" xr:uid="{F9159C3B-28F9-4899-88BF-40B715DABD53}"/>
    <hyperlink ref="O7936" r:id="rId24566" display="https://pbs.twimg.com/profile_images/2998353133/f894c36e6a0e46f416e2290de4e3d9f8_normal.png" xr:uid="{03BB2EB8-8373-4933-B101-405FA036E645}"/>
    <hyperlink ref="B7937" r:id="rId24567" display="https://twitter.com/VeeDubMk1_" xr:uid="{9B3B3634-2758-4561-94A5-4AB346E0449B}"/>
    <hyperlink ref="E7937" r:id="rId24568" display="https://twitter.com/VeeDubMk1_/status/724372492396183553" xr:uid="{EC612054-697A-4C36-A45D-6BD494EA66A3}"/>
    <hyperlink ref="O7937" r:id="rId24569" display="https://pbs.twimg.com/profile_images/672878354127839232/M7OYc-zx_normal.jpg" xr:uid="{52FB7769-AF9F-483B-BBA0-B2111AB84210}"/>
    <hyperlink ref="B7938" r:id="rId24570" display="https://twitter.com/VeeDubMk1_" xr:uid="{90CE3449-F3B3-49F6-9A29-66DAE4D54295}"/>
    <hyperlink ref="E7938" r:id="rId24571" display="https://twitter.com/VeeDubMk1_/status/724372504790355968" xr:uid="{92820EBD-CF85-4527-94B7-24FA6C3B73A2}"/>
    <hyperlink ref="O7938" r:id="rId24572" display="https://pbs.twimg.com/profile_images/672878354127839232/M7OYc-zx_normal.jpg" xr:uid="{8ABA906B-5100-4F42-8FB2-242A175A836F}"/>
    <hyperlink ref="B7939" r:id="rId24573" display="https://twitter.com/GolfitIt" xr:uid="{55B1C5AB-9AB9-4041-8A01-EB3D372429F7}"/>
    <hyperlink ref="E7939" r:id="rId24574" display="https://twitter.com/GolfitIt/status/724372670733635584" xr:uid="{E29E0428-3E1E-44DF-B994-628A897C1300}"/>
    <hyperlink ref="O7939" r:id="rId24575" display="https://pbs.twimg.com/profile_images/465845159607824386/C2TZw1k6_normal.jpeg" xr:uid="{F4F0ED13-B953-4D86-9B69-2122AA94DCAB}"/>
    <hyperlink ref="B7940" r:id="rId24576" display="https://twitter.com/VCT_Tweets" xr:uid="{5776BBBB-1852-4DFC-B89E-50F0266F8161}"/>
    <hyperlink ref="E7940" r:id="rId24577" display="https://twitter.com/VCT_Tweets/status/724373020756860928" xr:uid="{665E41B1-C24D-4432-9A78-73E150818E08}"/>
    <hyperlink ref="O7940" r:id="rId24578" display="https://pbs.twimg.com/profile_images/569800899141177344/nVFLMSdb_normal.png" xr:uid="{F2F417A2-4215-4A42-BAC5-2D9190A876D7}"/>
    <hyperlink ref="B7941" r:id="rId24579" display="https://twitter.com/Braulio_Urresti" xr:uid="{23F5BD08-3F4D-4ABD-9BEC-13BBB0BCC1A0}"/>
    <hyperlink ref="E7941" r:id="rId24580" display="https://twitter.com/Braulio_Urresti/status/724374000521109504" xr:uid="{5BBBA653-3515-40D8-B2A3-21094C33B60B}"/>
    <hyperlink ref="O7941" r:id="rId24581" display="https://abs.twimg.com/sticky/default_profile_images/default_profile_5_normal.png" xr:uid="{7AB8CB17-C674-42D3-8415-D2215E288FF2}"/>
    <hyperlink ref="B7942" r:id="rId24582" display="https://twitter.com/JenniPii" xr:uid="{6ACA97DA-2A35-4307-B364-3C437C3216CA}"/>
    <hyperlink ref="E7942" r:id="rId24583" display="https://twitter.com/JenniPii/status/724374012386770945" xr:uid="{D43DA8DD-82FA-4E4F-A8AC-9B915EBCBEFD}"/>
    <hyperlink ref="O7942" r:id="rId24584" display="https://pbs.twimg.com/profile_images/722101790431260672/0vYDkuAk_normal.jpg" xr:uid="{9AC3A8A6-676F-49BF-A02C-0FF5536FEFB3}"/>
    <hyperlink ref="B7943" r:id="rId24585" display="https://twitter.com/FuscaWorld" xr:uid="{44C3DF9D-BFCC-43FE-AA49-222423429B88}"/>
    <hyperlink ref="E7943" r:id="rId24586" display="https://twitter.com/FuscaWorld/status/724374041541398528" xr:uid="{D8882D23-4893-4279-8FBF-15A616762497}"/>
    <hyperlink ref="O7943" r:id="rId24587" display="https://pbs.twimg.com/profile_images/705780107844067328/e7O4UBNb_normal.jpg" xr:uid="{D8191A73-F539-436A-8752-ACA2739996A9}"/>
    <hyperlink ref="B7944" r:id="rId24588" display="https://twitter.com/Immortaliized" xr:uid="{73511A4F-144C-4D62-9425-B7598582E9F0}"/>
    <hyperlink ref="E7944" r:id="rId24589" display="https://twitter.com/Immortaliized/status/724374214031994880" xr:uid="{9DF3F0C1-7C14-465F-90FA-34787B3D002F}"/>
    <hyperlink ref="O7944" r:id="rId24590" display="https://pbs.twimg.com/profile_images/705621568781570048/95--t7AT_normal.jpg" xr:uid="{84A588B3-0C2F-4BCF-B91E-AE0B31E00CB0}"/>
    <hyperlink ref="B7945" r:id="rId24591" display="https://twitter.com/ohioantique" xr:uid="{3059865D-F00B-4874-A06C-91CD28918394}"/>
    <hyperlink ref="E7945" r:id="rId24592" display="https://twitter.com/ohioantique/status/724374348077903872" xr:uid="{E1F4F964-7AE2-49B4-8667-683C92A31D06}"/>
    <hyperlink ref="O7945" r:id="rId24593" display="https://pbs.twimg.com/profile_images/1771451657/il_570xN.291650220_normal.jpg" xr:uid="{FE58979D-144E-4EA2-9ED6-48A6C2AB5688}"/>
    <hyperlink ref="B7946" r:id="rId24594" display="https://twitter.com/Belva_5713" xr:uid="{DC0D2A39-B8FF-4735-89CA-5AF69928079F}"/>
    <hyperlink ref="E7946" r:id="rId24595" display="https://twitter.com/Belva_5713/status/724374615909343232" xr:uid="{320B5332-A365-49B9-8F91-BC8B60F7B519}"/>
    <hyperlink ref="O7946" r:id="rId24596" display="https://pbs.twimg.com/profile_images/545423988545949696/tn6NWMAh_normal.jpeg" xr:uid="{F8C2772E-19DF-4218-9709-B585EB9BC579}"/>
    <hyperlink ref="B7947" r:id="rId24597" display="https://twitter.com/maustal" xr:uid="{48E99CD5-2B6D-4A17-B640-34D54F6C45DC}"/>
    <hyperlink ref="E7947" r:id="rId24598" display="https://twitter.com/maustal/status/724375038602797062" xr:uid="{4B7856A0-A7AA-4E31-A1BF-F358A905EA49}"/>
    <hyperlink ref="O7947" r:id="rId24599" display="https://pbs.twimg.com/profile_images/1176034618/euCC_normal.jpg" xr:uid="{FCDF2FC7-B16B-47AF-B88A-9975410ADC87}"/>
    <hyperlink ref="B7948" r:id="rId24600" display="https://twitter.com/Fabio_gonzalezs" xr:uid="{DDCE0608-7332-47C3-972D-C6BE449B1251}"/>
    <hyperlink ref="E7948" r:id="rId24601" display="https://twitter.com/Fabio_gonzalezs/status/724375509828796416" xr:uid="{93111FA5-CC04-49AD-A9AD-EFEE3896DBB8}"/>
    <hyperlink ref="O7948" r:id="rId24602" display="https://pbs.twimg.com/profile_images/700934646029279232/ZBynIyxT_normal.jpg" xr:uid="{6368EF4E-A1B4-490E-9098-E58B6B899EEB}"/>
    <hyperlink ref="B7949" r:id="rId24603" display="https://twitter.com/quantlabs" xr:uid="{5FA000FF-A074-445C-AA29-EA685B2B0D73}"/>
    <hyperlink ref="E7949" r:id="rId24604" display="https://twitter.com/quantlabs/status/724375668839030784" xr:uid="{1D4DDCF8-1D3A-4390-A78E-1A449712B5DC}"/>
    <hyperlink ref="O7949" r:id="rId24605" display="https://pbs.twimg.com/profile_images/1217919246/quantlabs-square_normal.jpg" xr:uid="{26317667-C631-4985-BDBB-4428BA3BE4D4}"/>
    <hyperlink ref="B7950" r:id="rId24606" display="https://twitter.com/acvwpassion" xr:uid="{B6B6A124-DC07-4F24-A987-F4E43AC56A47}"/>
    <hyperlink ref="E7950" r:id="rId24607" display="https://twitter.com/acvwpassion/status/724376164500922368" xr:uid="{821F009E-2059-4C85-931A-FF6463F5DE7D}"/>
    <hyperlink ref="O7950" r:id="rId24608" display="https://pbs.twimg.com/profile_images/545688359964651520/SF3sJ7lv_normal.jpeg" xr:uid="{D5638B39-89B4-4E49-935D-22673414349B}"/>
    <hyperlink ref="B7951" r:id="rId24609" display="https://twitter.com/carguideph" xr:uid="{4E6789E6-5DE4-4CFC-BE97-2D7CBEB4E128}"/>
    <hyperlink ref="E7951" r:id="rId24610" display="https://twitter.com/carguideph/status/724376266833539073" xr:uid="{6AA72040-FBA5-433A-961D-431D092E09B2}"/>
    <hyperlink ref="O7951" r:id="rId24611" display="https://pbs.twimg.com/profile_images/624784481761660928/2H3mAXZc_normal.jpg" xr:uid="{189D5097-2AB9-4B14-8C7B-C411A639BD3D}"/>
    <hyperlink ref="B7952" r:id="rId24612" display="https://twitter.com/israel_artismo" xr:uid="{6EADB38B-1C5F-48C7-B437-30907BA1D1CC}"/>
    <hyperlink ref="E7952" r:id="rId24613" display="https://twitter.com/israel_artismo/status/724377153018728448" xr:uid="{ED6ABA06-EAB7-4C31-B45B-76C071EF891F}"/>
    <hyperlink ref="O7952" r:id="rId24614" display="https://pbs.twimg.com/profile_images/691326144151425024/VVpJBz_v_normal.jpg" xr:uid="{3723B8F5-49C5-458C-83FE-9BCFA42F7B68}"/>
    <hyperlink ref="P7952" r:id="rId24615" location="-28.39330131,-49.54910563" display="http://ctrlq.org/maps/address/ - -28.39330131,-49.54910563" xr:uid="{DA7F4232-CA4C-4038-8F56-A286D5C15A2A}"/>
    <hyperlink ref="B7953" r:id="rId24616" display="https://twitter.com/rajesh877" xr:uid="{D451C082-4880-4135-A500-7B57F6598798}"/>
    <hyperlink ref="E7953" r:id="rId24617" display="https://twitter.com/rajesh877/status/724377647984324609" xr:uid="{9C84A8B8-E2F4-4445-B50B-9DCE96BA17CA}"/>
    <hyperlink ref="O7953" r:id="rId24618" display="https://pbs.twimg.com/profile_images/690068229562241028/dtAFj2bm_normal.jpg" xr:uid="{9444EE7E-6002-44E5-AC91-C5716585A3A6}"/>
    <hyperlink ref="B7954" r:id="rId24619" display="https://twitter.com/dapper013" xr:uid="{AF073093-15F3-4F46-AB76-0D4179D4C007}"/>
    <hyperlink ref="E7954" r:id="rId24620" display="https://twitter.com/dapper013/status/724378036431388674" xr:uid="{55BCC923-479E-40BB-8CFA-12E905AB763F}"/>
    <hyperlink ref="O7954" r:id="rId24621" display="https://pbs.twimg.com/profile_images/704424786777280513/YQVkJF57_normal.jpg" xr:uid="{A1BF33F9-BB19-4F73-86DD-9DE398DEAFBF}"/>
    <hyperlink ref="B7955" r:id="rId24622" display="https://twitter.com/moteking25" xr:uid="{8E5E12DD-D144-4074-AEB4-F7F38C89C858}"/>
    <hyperlink ref="E7955" r:id="rId24623" display="https://twitter.com/moteking25/status/724378470646579202" xr:uid="{1B5BA8D1-C267-4C1E-9A0F-77A68B23EB4F}"/>
    <hyperlink ref="O7955" r:id="rId24624" display="https://pbs.twimg.com/profile_images/695836169418899456/Z9ohOFD9_normal.jpg" xr:uid="{EC00C6B0-7F50-4D16-92EF-224AC3F239C4}"/>
    <hyperlink ref="B7956" r:id="rId24625" display="https://twitter.com/ebaycampervans" xr:uid="{5B2A47C6-924E-40C0-A598-8670E3363384}"/>
    <hyperlink ref="E7956" r:id="rId24626" display="https://twitter.com/ebaycampervans/status/724378638183882752" xr:uid="{58D7AC1B-5869-46A5-A541-DB6AB3AAD821}"/>
    <hyperlink ref="O7956" r:id="rId24627" display="https://pbs.twimg.com/profile_images/599357023407464449/BL9Bpo6T_normal.jpg" xr:uid="{BB9EABD4-4C0F-4C84-8176-38AD4BC3C739}"/>
    <hyperlink ref="B7957" r:id="rId24628" display="https://twitter.com/BeluuGuzmaan" xr:uid="{88341D13-40DD-43C9-8ED1-81C41494C3A9}"/>
    <hyperlink ref="E7957" r:id="rId24629" display="https://twitter.com/BeluuGuzmaan/status/724379174652260353" xr:uid="{00940A08-1615-4918-88A9-C77723F2D69A}"/>
    <hyperlink ref="O7957" r:id="rId24630" display="https://pbs.twimg.com/profile_images/724335174008320001/vc3eG6JX_normal.jpg" xr:uid="{166B5CA1-3EB0-4390-9743-9D3A8884F320}"/>
    <hyperlink ref="B7958" r:id="rId24631" display="https://twitter.com/dejbanlaw" xr:uid="{1126BD5D-2FE5-4B2F-AB83-FD9533FAC2F1}"/>
    <hyperlink ref="E7958" r:id="rId24632" display="https://twitter.com/dejbanlaw/status/724379965723041794" xr:uid="{70FC20D8-252B-4532-85D1-E8729BFFAFAE}"/>
    <hyperlink ref="O7958" r:id="rId24633" display="https://pbs.twimg.com/profile_images/676465930424082432/zT-RyXf4_normal.jpg" xr:uid="{4FA64814-2F15-486B-B633-DA4CA9C7C390}"/>
    <hyperlink ref="B7959" r:id="rId24634" display="https://twitter.com/DubLuvTuning" xr:uid="{789D4CD9-B053-44C8-BE9D-13856D148DF8}"/>
    <hyperlink ref="E7959" r:id="rId24635" display="https://twitter.com/DubLuvTuning/status/724380455743700993" xr:uid="{4D12183D-ED41-416F-A673-A274D2C7E628}"/>
    <hyperlink ref="O7959" r:id="rId24636" display="https://pbs.twimg.com/profile_images/378800000572104796/1de43e1cf23efb3f4101c02afad0d3b6_normal.png" xr:uid="{4F644407-100B-4829-8464-4CA4ACDB3C8C}"/>
    <hyperlink ref="B7960" r:id="rId24637" display="https://twitter.com/dejbanlaw" xr:uid="{AAD52AC2-0F8A-4E88-A5C0-D7A98C6387E7}"/>
    <hyperlink ref="E7960" r:id="rId24638" display="https://twitter.com/dejbanlaw/status/724381698968809474" xr:uid="{943AC615-9B22-455E-A6E9-B1C3587F3A2C}"/>
    <hyperlink ref="O7960" r:id="rId24639" display="https://pbs.twimg.com/profile_images/676465930424082432/zT-RyXf4_normal.jpg" xr:uid="{9BAA279F-E24C-4C4B-AAF0-85E06BF4947E}"/>
    <hyperlink ref="B7961" r:id="rId24640" display="https://twitter.com/JackShayier" xr:uid="{38858FC5-4575-4794-B3C0-FFCEE89CD1D6}"/>
    <hyperlink ref="E7961" r:id="rId24641" display="https://twitter.com/JackShayier/status/724382350050791424" xr:uid="{7C473EFF-DB15-46E4-B6D5-C2950338E8A2}"/>
    <hyperlink ref="O7961" r:id="rId24642" display="https://pbs.twimg.com/profile_images/541574743334617088/IJ-jRaF4_normal.jpeg" xr:uid="{52DA9BDC-93AF-4DF4-8650-ADEC6A8A32E9}"/>
    <hyperlink ref="B7962" r:id="rId24643" display="https://twitter.com/SimonJMale" xr:uid="{2C043429-75A1-49F0-8100-31EC3EF3BB00}"/>
    <hyperlink ref="E7962" r:id="rId24644" display="https://twitter.com/SimonJMale/status/724382351749472261" xr:uid="{4F609596-B4D4-49F7-8984-DA8A8A38C0BF}"/>
    <hyperlink ref="O7962" r:id="rId24645" display="https://pbs.twimg.com/profile_images/460936755387310080/wMC9yHRR_normal.jpeg" xr:uid="{DAA2BB3F-82C2-403E-8937-0C6E785C0138}"/>
    <hyperlink ref="B7963" r:id="rId24646" display="https://twitter.com/SimonJMale" xr:uid="{0B2CEFF4-0739-4671-94DF-C3DA60C021AC}"/>
    <hyperlink ref="E7963" r:id="rId24647" display="https://twitter.com/SimonJMale/status/724382374105100289" xr:uid="{37C7C256-5427-4D4C-8E0C-56C1E0C2B6DF}"/>
    <hyperlink ref="O7963" r:id="rId24648" display="https://pbs.twimg.com/profile_images/460936755387310080/wMC9yHRR_normal.jpeg" xr:uid="{B1387565-2266-4772-B23D-D09B733D6117}"/>
    <hyperlink ref="B7964" r:id="rId24649" display="https://twitter.com/willkinton247" xr:uid="{9082274B-A5DC-46AA-BB76-C3A1CADECB5A}"/>
    <hyperlink ref="E7964" r:id="rId24650" display="https://twitter.com/willkinton247/status/724382456028258304" xr:uid="{4960E12E-1523-45A0-96F5-BAD70F63E155}"/>
    <hyperlink ref="O7964" r:id="rId24651" display="https://pbs.twimg.com/profile_images/500414221709213696/nWSfoogh_normal.jpeg" xr:uid="{878423E3-443C-4044-A80C-F3A040040EB2}"/>
    <hyperlink ref="B7965" r:id="rId24652" display="https://twitter.com/beetlebug1938" xr:uid="{4037E964-95DA-49F3-8BFE-7C592ABE60C1}"/>
    <hyperlink ref="E7965" r:id="rId24653" display="https://twitter.com/beetlebug1938/status/724382870958149632" xr:uid="{1706C6EA-4D2A-4A69-9A9E-18378979AE50}"/>
    <hyperlink ref="O7965" r:id="rId24654" display="https://pbs.twimg.com/profile_images/718820712757215233/LXXndPTS_normal.jpg" xr:uid="{9A12FF16-A980-46FA-87B7-13A76AE19B62}"/>
    <hyperlink ref="B7966" r:id="rId24655" display="https://twitter.com/beetlebug1938" xr:uid="{6DAD8E1E-3A07-4DCA-ACA1-29FEC69F1529}"/>
    <hyperlink ref="E7966" r:id="rId24656" display="https://twitter.com/beetlebug1938/status/724382919825997824" xr:uid="{9E0AD76A-E315-46A3-98B3-D37E9ECE6F39}"/>
    <hyperlink ref="O7966" r:id="rId24657" display="https://pbs.twimg.com/profile_images/718820712757215233/LXXndPTS_normal.jpg" xr:uid="{8835AD13-2EE7-4D9F-A81E-41A031430267}"/>
    <hyperlink ref="B7967" r:id="rId24658" display="https://twitter.com/beetlebug1938" xr:uid="{0B69AA6C-4336-4ECD-8EA1-799BC23BBD2C}"/>
    <hyperlink ref="E7967" r:id="rId24659" display="https://twitter.com/beetlebug1938/status/724382935009337345" xr:uid="{502EB9CE-C09F-4AA8-815B-BE6E0BE3FC5C}"/>
    <hyperlink ref="O7967" r:id="rId24660" display="https://pbs.twimg.com/profile_images/718820712757215233/LXXndPTS_normal.jpg" xr:uid="{EAC4270B-1026-493F-A054-F6BA24649AAD}"/>
    <hyperlink ref="B7968" r:id="rId24661" display="https://twitter.com/beetlebug1938" xr:uid="{2A65A1F2-E8CD-4B22-8D4A-5B388C9BF944}"/>
    <hyperlink ref="E7968" r:id="rId24662" display="https://twitter.com/beetlebug1938/status/724382947487416321" xr:uid="{0A8556C7-2125-4861-9FF1-EA7271A9844B}"/>
    <hyperlink ref="O7968" r:id="rId24663" display="https://pbs.twimg.com/profile_images/718820712757215233/LXXndPTS_normal.jpg" xr:uid="{82896B25-8179-496A-8431-08C03CCED22F}"/>
    <hyperlink ref="B7969" r:id="rId24664" display="https://twitter.com/beetlebug1938" xr:uid="{609FAB47-10C6-49EA-8762-7CD14547A70B}"/>
    <hyperlink ref="E7969" r:id="rId24665" display="https://twitter.com/beetlebug1938/status/724382959055286272" xr:uid="{83850105-ADD8-44B2-9FAD-9C0D99814AC6}"/>
    <hyperlink ref="O7969" r:id="rId24666" display="https://pbs.twimg.com/profile_images/718820712757215233/LXXndPTS_normal.jpg" xr:uid="{FB1493CF-433D-49D1-A97E-3841FF8CFC14}"/>
    <hyperlink ref="B7970" r:id="rId24667" display="https://twitter.com/beetlebug1938" xr:uid="{6A4E7554-41B3-43C1-B6F3-215B6E4780B9}"/>
    <hyperlink ref="E7970" r:id="rId24668" display="https://twitter.com/beetlebug1938/status/724382970354741249" xr:uid="{088CFA91-8D2D-4123-B55A-CD6D5A2DF369}"/>
    <hyperlink ref="O7970" r:id="rId24669" display="https://pbs.twimg.com/profile_images/718820712757215233/LXXndPTS_normal.jpg" xr:uid="{B04F508E-4C77-4E38-9142-6D57DA28FA8D}"/>
    <hyperlink ref="B7971" r:id="rId24670" display="https://twitter.com/beetlebug1938" xr:uid="{A47425FE-B025-4D59-936E-3E56D741D4C6}"/>
    <hyperlink ref="E7971" r:id="rId24671" display="https://twitter.com/beetlebug1938/status/724382982291767297" xr:uid="{24D00C72-A441-4B3D-9DFD-28B558667EDA}"/>
    <hyperlink ref="O7971" r:id="rId24672" display="https://pbs.twimg.com/profile_images/718820712757215233/LXXndPTS_normal.jpg" xr:uid="{C8BBC91A-5483-4541-BC1A-0ABEE50F65AF}"/>
    <hyperlink ref="B7972" r:id="rId24673" display="https://twitter.com/mskellycool" xr:uid="{F1B10021-F8E8-433F-A541-3E3B97DE8914}"/>
    <hyperlink ref="E7972" r:id="rId24674" display="https://twitter.com/mskellycool/status/724383019394588673" xr:uid="{C8D75B98-A40B-446A-84E8-0BB7F43D8EDF}"/>
    <hyperlink ref="O7972" r:id="rId24675" display="https://pbs.twimg.com/profile_images/704832644085899264/obiqL4bk_normal.jpg" xr:uid="{D8F9DC8B-CCEB-4CEC-AB1D-6AFBA8060CF0}"/>
    <hyperlink ref="B7973" r:id="rId24676" display="https://twitter.com/8mP0tatoFTWl2" xr:uid="{FC4F84A5-13F2-4FC2-9B8A-8850D2502536}"/>
    <hyperlink ref="E7973" r:id="rId24677" display="https://twitter.com/8mP0tatoFTWl2/status/724383257182257155" xr:uid="{375FBFC0-2069-4E2E-81CC-66C75C9C72A7}"/>
    <hyperlink ref="O7973" r:id="rId24678" display="https://pbs.twimg.com/profile_images/575831024665395200/WCpJ6HjH_normal.jpeg" xr:uid="{4BC91384-7029-4B3B-A3C6-392C3BCB833F}"/>
    <hyperlink ref="B7974" r:id="rId24679" display="https://twitter.com/llvmariejones" xr:uid="{D6E295D1-3924-4FFE-AA68-47E64F622EFD}"/>
    <hyperlink ref="E7974" r:id="rId24680" display="https://twitter.com/llvmariejones/status/724383260965482497" xr:uid="{B4558F27-324E-458D-9568-FA8FD0E6C779}"/>
    <hyperlink ref="O7974" r:id="rId24681" display="https://pbs.twimg.com/profile_images/541554892754935808/tLOssIdg_normal.jpeg" xr:uid="{50A22F1D-50BB-4AA9-B930-C257671C2230}"/>
    <hyperlink ref="B7975" r:id="rId24682" display="https://twitter.com/gemphotos" xr:uid="{7C3024A6-CD62-4D6F-89B4-B55B9C7F8F2C}"/>
    <hyperlink ref="E7975" r:id="rId24683" display="https://twitter.com/gemphotos/status/724383482688987136" xr:uid="{C4D10B8F-0989-4004-B7F3-69D72B74EC00}"/>
    <hyperlink ref="O7975" r:id="rId24684" display="https://pbs.twimg.com/profile_images/504507709480501248/nAFBJZ84_normal.jpeg" xr:uid="{22BD755B-23F4-4A98-B21D-1EDD232AD483}"/>
    <hyperlink ref="B7976" r:id="rId24685" display="https://twitter.com/Scirocco_Tuning" xr:uid="{6015EAF3-2F3B-4898-8BE2-EA7385B24304}"/>
    <hyperlink ref="E7976" r:id="rId24686" display="https://twitter.com/Scirocco_Tuning/status/724383566851915776" xr:uid="{79AC593E-1002-41F0-89A0-57BCF0BA0E6E}"/>
    <hyperlink ref="O7976" r:id="rId24687" display="https://pbs.twimg.com/profile_images/1610421423/Image2_normal.jpg" xr:uid="{18A76442-BD65-4FFE-B9CB-556C88C752CE}"/>
    <hyperlink ref="B7977" r:id="rId24688" display="https://twitter.com/zwear9" xr:uid="{E77AE0DD-F19C-44CB-990A-E371C0721889}"/>
    <hyperlink ref="E7977" r:id="rId24689" display="https://twitter.com/zwear9/status/724383905382432768" xr:uid="{744870C5-5533-4D51-8175-241BE2F487FE}"/>
    <hyperlink ref="O7977" r:id="rId24690" display="https://pbs.twimg.com/profile_images/594593983973720064/WZGmwh2y_normal.jpg" xr:uid="{A792C573-8ED5-41F9-88E2-1545FC58B072}"/>
    <hyperlink ref="B7978" r:id="rId24691" display="https://twitter.com/BLNlearning" xr:uid="{3976B897-FDF3-420D-85D5-8E7C9A0C540C}"/>
    <hyperlink ref="E7978" r:id="rId24692" display="https://twitter.com/BLNlearning/status/724384108093255681" xr:uid="{EACDBCFD-A7FB-48D9-96EB-838F990ABA63}"/>
    <hyperlink ref="O7978" r:id="rId24693" display="https://pbs.twimg.com/profile_images/567542387505762304/oWUcdRMT_normal.png" xr:uid="{2C289ABB-2ACB-46C7-94C0-5F54A47A737E}"/>
    <hyperlink ref="B7979" r:id="rId24694" display="https://twitter.com/VWBeetleSales" xr:uid="{DFD42751-963A-4A1D-8D29-50022FF0214E}"/>
    <hyperlink ref="E7979" r:id="rId24695" display="https://twitter.com/VWBeetleSales/status/724384442412732417" xr:uid="{2B49A3CF-F40E-4022-ACB4-A7F86499243A}"/>
    <hyperlink ref="F7979" r:id="rId24696" xr:uid="{06ED923E-6B04-4139-B93D-F3AE2F4C5A11}"/>
    <hyperlink ref="O7979" r:id="rId24697" display="https://pbs.twimg.com/profile_images/703294545195307008/qeCvrX86_normal.jpg" xr:uid="{99DA7075-4521-4C7A-8A0E-24B8CCA7642E}"/>
    <hyperlink ref="B7980" r:id="rId24698" display="https://twitter.com/SrtaSaiaburu" xr:uid="{442333B4-6E17-4F52-84EE-E0763C8F7E6A}"/>
    <hyperlink ref="E7980" r:id="rId24699" display="https://twitter.com/SrtaSaiaburu/status/724384852259299328" xr:uid="{40E140FE-610B-4E02-B1EC-D5A4EF16CAD2}"/>
    <hyperlink ref="O7980" r:id="rId24700" display="https://pbs.twimg.com/profile_images/539607030433316864/MQ3-maTx_normal.png" xr:uid="{EE9CD6F3-8899-4B8D-A1EB-6A56B4FE7846}"/>
    <hyperlink ref="B7981" r:id="rId24701" display="https://twitter.com/FuscaWorld" xr:uid="{FB2A98AE-BEFC-471C-9403-BFDC9BA1E7C3}"/>
    <hyperlink ref="E7981" r:id="rId24702" display="https://twitter.com/FuscaWorld/status/724385076327383040" xr:uid="{95741004-557B-4BE3-8475-7FA96E2EF4B9}"/>
    <hyperlink ref="O7981" r:id="rId24703" display="https://pbs.twimg.com/profile_images/705780107844067328/e7O4UBNb_normal.jpg" xr:uid="{8E3FF44C-1CF3-44CA-8AF6-83D0524526F7}"/>
    <hyperlink ref="B7982" r:id="rId24704" display="https://twitter.com/FuscaWorld" xr:uid="{7BAC5ECE-DAEE-4D88-BE73-58CCF9B8D4BD}"/>
    <hyperlink ref="E7982" r:id="rId24705" display="https://twitter.com/FuscaWorld/status/724385078353211392" xr:uid="{F01A31B7-5D99-4750-81DB-7C8673703BFE}"/>
    <hyperlink ref="O7982" r:id="rId24706" display="https://pbs.twimg.com/profile_images/705780107844067328/e7O4UBNb_normal.jpg" xr:uid="{AC410AD7-75D0-45FE-8246-D93E7B4EA24D}"/>
    <hyperlink ref="B7983" r:id="rId24707" display="https://twitter.com/FuscaWorld" xr:uid="{A26D205D-08EC-414F-8DB7-55A2D3B9B8E7}"/>
    <hyperlink ref="E7983" r:id="rId24708" display="https://twitter.com/FuscaWorld/status/724385080370683904" xr:uid="{574E7083-779A-4F70-A9DE-36E0F2760FF5}"/>
    <hyperlink ref="O7983" r:id="rId24709" display="https://pbs.twimg.com/profile_images/705780107844067328/e7O4UBNb_normal.jpg" xr:uid="{898E4082-782B-4BFD-810F-5F3EE8721954}"/>
    <hyperlink ref="B7984" r:id="rId24710" display="https://twitter.com/FuscaWorld" xr:uid="{0E8BBDDC-ADFD-4738-B968-280CE36EF91C}"/>
    <hyperlink ref="E7984" r:id="rId24711" display="https://twitter.com/FuscaWorld/status/724385082404929536" xr:uid="{4BE19863-2B48-4EF4-B01D-CC1561A8375E}"/>
    <hyperlink ref="O7984" r:id="rId24712" display="https://pbs.twimg.com/profile_images/705780107844067328/e7O4UBNb_normal.jpg" xr:uid="{5B7E9DB9-7BF5-4665-BBF7-477BBE91C8D3}"/>
    <hyperlink ref="B7985" r:id="rId24713" display="https://twitter.com/FuscaWorld" xr:uid="{643D52F9-59FF-429F-9667-E88C7465ADEC}"/>
    <hyperlink ref="E7985" r:id="rId24714" display="https://twitter.com/FuscaWorld/status/724385084242046976" xr:uid="{B5963DFD-8076-4B96-A5DD-CEBF695C979D}"/>
    <hyperlink ref="O7985" r:id="rId24715" display="https://pbs.twimg.com/profile_images/705780107844067328/e7O4UBNb_normal.jpg" xr:uid="{87911324-F1C2-4735-A4E7-A1F227B3FEAA}"/>
    <hyperlink ref="B7986" r:id="rId24716" display="https://twitter.com/FuscaWorld" xr:uid="{8D0F7BE8-970C-46FD-BF20-38D36C498FF3}"/>
    <hyperlink ref="E7986" r:id="rId24717" display="https://twitter.com/FuscaWorld/status/724385086204948480" xr:uid="{C0698DD6-6B22-4981-8ACB-EB1CA64B6FD4}"/>
    <hyperlink ref="O7986" r:id="rId24718" display="https://pbs.twimg.com/profile_images/705780107844067328/e7O4UBNb_normal.jpg" xr:uid="{EDC0C0F5-CABD-4D78-B328-51C868BD1691}"/>
    <hyperlink ref="B7987" r:id="rId24719" display="https://twitter.com/alklssyaz" xr:uid="{17467D82-2655-48BB-BE70-5E4E27429B36}"/>
    <hyperlink ref="E7987" r:id="rId24720" display="https://twitter.com/alklssyaz/status/724385326337236992" xr:uid="{B09C6DEE-3E5E-4876-BA7A-887060A2C86F}"/>
    <hyperlink ref="O7987" r:id="rId24721" display="https://pbs.twimg.com/profile_images/539528196002418688/-iS6i8lN_normal.jpeg" xr:uid="{0EE5AC39-C84F-44D5-847C-91389F3AE49B}"/>
    <hyperlink ref="B7988" r:id="rId24722" display="https://twitter.com/Mrfloyd36" xr:uid="{68C89653-CD78-478D-89ED-D4803AB67526}"/>
    <hyperlink ref="E7988" r:id="rId24723" display="https://twitter.com/Mrfloyd36/status/724385533447778308" xr:uid="{12091429-C08C-4584-8A40-BAA739A802E9}"/>
    <hyperlink ref="O7988" r:id="rId24724" display="https://pbs.twimg.com/profile_images/534255724994387969/00d0F_xN_normal.jpeg" xr:uid="{EC14DF31-0963-4705-8788-7CD9FAE9030A}"/>
    <hyperlink ref="B7989" r:id="rId24725" display="https://twitter.com/ZaFaDo72" xr:uid="{5828D10E-9B11-4A99-A862-F24B7884A64D}"/>
    <hyperlink ref="E7989" r:id="rId24726" display="https://twitter.com/ZaFaDo72/status/724385702239035393" xr:uid="{C42703A4-9101-4968-983B-ED841DA11DD0}"/>
    <hyperlink ref="O7989" r:id="rId24727" display="https://pbs.twimg.com/profile_images/719187646812000256/9vfkUwCi_normal.jpg" xr:uid="{EC4FDD8E-4F5F-453B-951A-D0C9019E30C3}"/>
    <hyperlink ref="B7990" r:id="rId24728" display="https://twitter.com/rellxmanl" xr:uid="{6063150B-208C-45AB-8C75-3E74136F292D}"/>
    <hyperlink ref="E7990" r:id="rId24729" display="https://twitter.com/rellxmanl/status/724385983232368640" xr:uid="{C0BA4C89-DFED-4E19-B0F1-573D91CFE3FD}"/>
    <hyperlink ref="O7990" r:id="rId24730" display="https://pbs.twimg.com/profile_images/534272359490809856/A0oyx93f_normal.jpeg" xr:uid="{164B0D7C-6E53-4592-90D3-DB640961BD2C}"/>
    <hyperlink ref="B7991" r:id="rId24731" display="https://twitter.com/SJeanWrites" xr:uid="{F579C12D-3CE9-4C27-8147-F6CEDEA93397}"/>
    <hyperlink ref="E7991" r:id="rId24732" display="https://twitter.com/SJeanWrites/status/724386119148658689" xr:uid="{F53F581D-808F-4B28-82B1-85D30E4F67CF}"/>
    <hyperlink ref="O7991" r:id="rId24733" display="https://pbs.twimg.com/profile_images/696171758877999104/iAcEEMnX_normal.jpg" xr:uid="{ADA45FC3-B243-4CB0-B1D2-635E8CD3D48A}"/>
    <hyperlink ref="B7992" r:id="rId24734" display="https://twitter.com/VWBeetleSales" xr:uid="{640C0C78-A12C-47CA-B666-9CE5BCD296E9}"/>
    <hyperlink ref="E7992" r:id="rId24735" display="https://twitter.com/VWBeetleSales/status/724386333691506688" xr:uid="{906A0942-1C89-4F10-A359-C90767706BF3}"/>
    <hyperlink ref="F7992" r:id="rId24736" xr:uid="{1D13DBB2-D311-45AF-952D-4EC2E75BE002}"/>
    <hyperlink ref="O7992" r:id="rId24737" display="https://pbs.twimg.com/profile_images/703294545195307008/qeCvrX86_normal.jpg" xr:uid="{4D669B4A-ED0C-4475-8DCC-8E3ED5774EA4}"/>
    <hyperlink ref="B7993" r:id="rId24738" display="https://twitter.com/VictinhoRG" xr:uid="{671E8E29-4F87-4095-B7BD-49D5E13D4C2B}"/>
    <hyperlink ref="E7993" r:id="rId24739" display="https://twitter.com/VictinhoRG/status/724386372321050625" xr:uid="{14E2FD04-6AE7-413A-84B3-91E0F450754D}"/>
    <hyperlink ref="O7993" r:id="rId24740" display="https://pbs.twimg.com/profile_images/690547073096114176/1IV0sQqb_normal.jpg" xr:uid="{97DF04BF-D136-4A16-B570-9CF03249BA08}"/>
    <hyperlink ref="P7993" r:id="rId24741" location="-22.8972,-43.2967" display="http://ctrlq.org/maps/address/ - -22.8972,-43.2967" xr:uid="{1AA41DD5-104C-4CDB-A1F1-6B5BEEC2C935}"/>
    <hyperlink ref="B7994" r:id="rId24742" display="https://twitter.com/speedhappens" xr:uid="{4DCAA475-9C68-48DC-9F41-7E5A20B318F7}"/>
    <hyperlink ref="E7994" r:id="rId24743" display="https://twitter.com/speedhappens/status/724386409507770370" xr:uid="{533BDEAB-0E8B-4ADC-A41B-C7B1F0294CA8}"/>
    <hyperlink ref="O7994" r:id="rId24744" display="https://pbs.twimg.com/profile_images/502826615660085248/9nrGwV7O_normal.jpeg" xr:uid="{5690E56F-04FA-4FB1-8E6A-FEF7C407CA30}"/>
    <hyperlink ref="B7995" r:id="rId24745" display="https://twitter.com/alexxaannddrrla" xr:uid="{F131009B-047E-4B37-AC5E-AEEB87081BA1}"/>
    <hyperlink ref="E7995" r:id="rId24746" display="https://twitter.com/alexxaannddrrla/status/724386550121914368" xr:uid="{589AA598-8A23-47F8-82AB-DF7D51A42E22}"/>
    <hyperlink ref="O7995" r:id="rId24747" display="https://pbs.twimg.com/profile_images/540380309192454144/r0XL6iH9_normal.jpeg" xr:uid="{A80BA91D-71EE-440F-AE2A-63BD75FB559C}"/>
    <hyperlink ref="B7996" r:id="rId24748" display="https://twitter.com/bioOody_roses" xr:uid="{C558D365-E697-455E-9316-2CBD8192BE28}"/>
    <hyperlink ref="E7996" r:id="rId24749" display="https://twitter.com/bioOody_roses/status/724386569935806465" xr:uid="{7ADE4305-FE97-45AA-91B2-3AA333507E5F}"/>
    <hyperlink ref="O7996" r:id="rId24750" display="https://pbs.twimg.com/profile_images/539530989836697600/5d5311Kp_normal.jpeg" xr:uid="{7295058E-0CC3-4A9A-8CD5-0951227CFA74}"/>
    <hyperlink ref="B7997" r:id="rId24751" display="https://twitter.com/lbrahim_has" xr:uid="{C192F0F1-5B1E-40A2-A3DB-09634BFBBC62}"/>
    <hyperlink ref="E7997" r:id="rId24752" display="https://twitter.com/lbrahim_has/status/724386593654607873" xr:uid="{4BCCCEFA-5EC4-43D8-A479-4C8F00710322}"/>
    <hyperlink ref="O7997" r:id="rId24753" display="https://pbs.twimg.com/profile_images/539569267461861376/PKZ9WOlz_normal.jpeg" xr:uid="{9A9F4A27-BC00-4612-904F-DA005EC5BA01}"/>
    <hyperlink ref="B7998" r:id="rId24754" display="https://twitter.com/serglolevin" xr:uid="{06E11FB4-4CFD-4343-81B1-32ABF6B6380A}"/>
    <hyperlink ref="E7998" r:id="rId24755" display="https://twitter.com/serglolevin/status/724386834797588480" xr:uid="{EB2F23B0-1981-4796-93F2-067783CAB291}"/>
    <hyperlink ref="O7998" r:id="rId24756" display="https://pbs.twimg.com/profile_images/539574770438660096/rMmiOBwV_normal.jpeg" xr:uid="{5984EEF8-C0F7-46F6-92AF-16EF855910E8}"/>
    <hyperlink ref="B7999" r:id="rId24757" display="https://twitter.com/VWCamperSales" xr:uid="{716C23FE-CFA9-42B3-9562-001A557CCD84}"/>
    <hyperlink ref="E7999" r:id="rId24758" display="https://twitter.com/VWCamperSales/status/724386837477748737" xr:uid="{B843146B-2DE6-4BFF-8551-E61B6F42DCF8}"/>
    <hyperlink ref="F7999" r:id="rId24759" xr:uid="{3DB17526-2EDA-43F5-AD44-E283AE93CFE0}"/>
    <hyperlink ref="O7999" r:id="rId24760" display="https://pbs.twimg.com/profile_images/627949001179037696/skEBkS05_normal.jpg" xr:uid="{57257368-41EE-41CD-8DF0-C7035DCAF1BC}"/>
    <hyperlink ref="B8000" r:id="rId24761" display="https://twitter.com/VWCamperSales" xr:uid="{939499D7-0EA0-41D1-9EAC-CC17F5B7F36B}"/>
    <hyperlink ref="E8000" r:id="rId24762" display="https://twitter.com/VWCamperSales/status/724386843521753088" xr:uid="{60F00D04-7847-4E32-B3A4-294916B83C49}"/>
    <hyperlink ref="F8000" r:id="rId24763" xr:uid="{B2FC5221-E740-428B-8377-2ECC7169A5D7}"/>
    <hyperlink ref="O8000" r:id="rId24764" display="https://pbs.twimg.com/profile_images/627949001179037696/skEBkS05_normal.jpg" xr:uid="{3C31D029-0482-4ACE-A53B-23DFBBCF084A}"/>
    <hyperlink ref="B8001" r:id="rId24765" display="https://twitter.com/AutosMarktDE" xr:uid="{F9AFB5C5-9FFE-479C-A154-D1B456458B0E}"/>
    <hyperlink ref="E8001" r:id="rId24766" display="https://twitter.com/AutosMarktDE/status/724386889340444672" xr:uid="{D1D9FECA-7C39-4F89-AAD5-81200A0ADCB5}"/>
    <hyperlink ref="O8001" r:id="rId24767" display="https://pbs.twimg.com/profile_images/483619947524796416/8hRc-uSD_normal.png" xr:uid="{C113C4A0-D681-4E5E-8CB1-C6DC5DB0B520}"/>
    <hyperlink ref="B8002" r:id="rId24768" display="https://twitter.com/vamp_kris2102" xr:uid="{0025B949-A354-44D6-A848-1F2B76C65ECF}"/>
    <hyperlink ref="E8002" r:id="rId24769" display="https://twitter.com/vamp_kris2102/status/724386893635424258" xr:uid="{D4F51F04-DE42-4A37-95F5-2E9CDE5690F2}"/>
    <hyperlink ref="O8002" r:id="rId24770" display="https://pbs.twimg.com/profile_images/506828098864558080/mVheZCwt_normal.jpeg" xr:uid="{0519C044-0DA0-411C-920F-76DF04212455}"/>
    <hyperlink ref="B8003" r:id="rId24771" display="https://twitter.com/synyalex" xr:uid="{AA43E03E-703E-405B-8CD9-177719DD17D7}"/>
    <hyperlink ref="E8003" r:id="rId24772" display="https://twitter.com/synyalex/status/724386912279076864" xr:uid="{B27F3C95-400E-4348-BDB2-81247D836BAB}"/>
    <hyperlink ref="O8003" r:id="rId24773" display="https://pbs.twimg.com/profile_images/1689585897/______normal.jpg" xr:uid="{833AAB10-22A5-4F44-890A-DC5133772D60}"/>
    <hyperlink ref="B8004" r:id="rId24774" display="https://twitter.com/SULTA46N" xr:uid="{0B5207D8-746A-4AE4-B254-87A89E30E46A}"/>
    <hyperlink ref="E8004" r:id="rId24775" display="https://twitter.com/SULTA46N/status/724387076528037888" xr:uid="{CDA21D78-59A5-4672-BD37-A829FDAC60C3}"/>
    <hyperlink ref="O8004" r:id="rId24776" display="https://pbs.twimg.com/profile_images/539527472778608640/RdeRNr1S_normal.jpeg" xr:uid="{87E39B49-ACBA-4ECD-9350-E0B3692B87B2}"/>
    <hyperlink ref="B8005" r:id="rId24777" display="https://twitter.com/oldcar_photo" xr:uid="{EE48F494-AF57-4DE6-9922-81918FEB5545}"/>
    <hyperlink ref="E8005" r:id="rId24778" display="https://twitter.com/oldcar_photo/status/724387194148937728" xr:uid="{13E318F4-A357-464F-8A5F-C903168A1EAB}"/>
    <hyperlink ref="O8005" r:id="rId24779" display="https://pbs.twimg.com/profile_images/615493650785660928/XHUh6HOk_normal.jpg" xr:uid="{E3040061-C6C8-4703-8815-E91772C0C2E9}"/>
    <hyperlink ref="B8006" r:id="rId24780" display="https://twitter.com/oldcar_photo" xr:uid="{59952F1D-3548-4C79-8433-D84463E0F63E}"/>
    <hyperlink ref="E8006" r:id="rId24781" display="https://twitter.com/oldcar_photo/status/724387250700726272" xr:uid="{A54D7703-2066-4A7B-BB9F-711E9044217C}"/>
    <hyperlink ref="O8006" r:id="rId24782" display="https://pbs.twimg.com/profile_images/615493650785660928/XHUh6HOk_normal.jpg" xr:uid="{9751D421-A682-48AD-A3D6-02577C942032}"/>
    <hyperlink ref="B8007" r:id="rId24783" display="https://twitter.com/FuscaWorld" xr:uid="{1E98D7DD-1F28-4AA6-868D-E5E03B23C149}"/>
    <hyperlink ref="E8007" r:id="rId24784" display="https://twitter.com/FuscaWorld/status/724387805535866880" xr:uid="{FF342432-0E41-4DCF-BB6F-B5E7402BD78D}"/>
    <hyperlink ref="O8007" r:id="rId24785" display="https://pbs.twimg.com/profile_images/705780107844067328/e7O4UBNb_normal.jpg" xr:uid="{8147621C-28B4-4FC9-A1F5-FC0775509DB0}"/>
    <hyperlink ref="B8008" r:id="rId24786" display="https://twitter.com/FuscaWorld" xr:uid="{0E27A0D9-90F1-466B-BE3A-18AD16916878}"/>
    <hyperlink ref="E8008" r:id="rId24787" display="https://twitter.com/FuscaWorld/status/724387807586856964" xr:uid="{CC3B90FD-6D40-477F-86AA-332DDE8CF8D9}"/>
    <hyperlink ref="O8008" r:id="rId24788" display="https://pbs.twimg.com/profile_images/705780107844067328/e7O4UBNb_normal.jpg" xr:uid="{294AFC2D-E342-434D-B55A-FCC09B656312}"/>
    <hyperlink ref="B8009" r:id="rId24789" display="https://twitter.com/Blissalonia" xr:uid="{D9A90E74-C41E-409B-A533-A0EBF75C2C7B}"/>
    <hyperlink ref="E8009" r:id="rId24790" display="https://twitter.com/Blissalonia/status/724387822526828544" xr:uid="{037FD943-E0EE-48B2-B5BF-5FE82A0B69A7}"/>
    <hyperlink ref="O8009" r:id="rId24791" display="https://pbs.twimg.com/profile_images/723310007136059396/5UXgVQzj_normal.jpg" xr:uid="{F88A8112-0275-4849-9C7D-E7B98637CA62}"/>
    <hyperlink ref="B8010" r:id="rId24792" display="https://twitter.com/VWBeetleSales" xr:uid="{A2A6FB82-C730-40F9-A437-24CFD3882229}"/>
    <hyperlink ref="E8010" r:id="rId24793" display="https://twitter.com/VWBeetleSales/status/724387839551533056" xr:uid="{4ADC0661-4927-483B-923F-9F27B2FFF69A}"/>
    <hyperlink ref="F8010" r:id="rId24794" xr:uid="{7F44B876-8869-4A65-B337-0C35D594E79C}"/>
    <hyperlink ref="O8010" r:id="rId24795" display="https://pbs.twimg.com/profile_images/703294545195307008/qeCvrX86_normal.jpg" xr:uid="{D05B472D-3D3E-47CE-97FC-AC37AED7F02F}"/>
    <hyperlink ref="B8011" r:id="rId24796" display="https://twitter.com/Maha311Www" xr:uid="{82CD2D6E-3A21-4B11-BD97-BE23B85DE017}"/>
    <hyperlink ref="E8011" r:id="rId24797" display="https://twitter.com/Maha311Www/status/724388090857578496" xr:uid="{6F7DA1F9-5772-4306-A300-5B0ECE5A3A89}"/>
    <hyperlink ref="O8011" r:id="rId24798" display="https://pbs.twimg.com/profile_images/539526077962792960/x1KyV7Gz_normal.jpeg" xr:uid="{084FA668-CF56-4CCB-9BA4-24C78B6C210E}"/>
    <hyperlink ref="B8012" r:id="rId24799" display="https://twitter.com/ManuelA30652972" xr:uid="{7AF0498F-0F5A-41E2-A6A6-38F9FE968688}"/>
    <hyperlink ref="E8012" r:id="rId24800" display="https://twitter.com/ManuelA30652972/status/724388243010117633" xr:uid="{7F991FF9-6DAD-439F-8167-5A94DCB9DCB6}"/>
    <hyperlink ref="O8012" r:id="rId24801" display="https://pbs.twimg.com/profile_images/724349488605847552/CHTQnVGi_normal.jpg" xr:uid="{10F947FF-7F5E-4561-AE0D-3792308750F4}"/>
    <hyperlink ref="B8013" r:id="rId24802" display="https://twitter.com/684Frhano" xr:uid="{1329679F-FBA2-48CA-B70A-3F4B5DC1B021}"/>
    <hyperlink ref="E8013" r:id="rId24803" display="https://twitter.com/684Frhano/status/724388686255804416" xr:uid="{06386173-F857-460A-B996-CA383D5B7306}"/>
    <hyperlink ref="O8013" r:id="rId24804" display="https://pbs.twimg.com/profile_images/539553710125645824/uivme1dn_normal.jpeg" xr:uid="{7783219C-0C5D-4BBB-BD01-7B5E7A627C81}"/>
    <hyperlink ref="B8014" r:id="rId24805" display="https://twitter.com/Ailan_wm" xr:uid="{28999000-6472-412E-B271-F413AFE191F6}"/>
    <hyperlink ref="E8014" r:id="rId24806" display="https://twitter.com/Ailan_wm/status/724388698498977792" xr:uid="{6C99CE2E-E348-4F37-BD54-04ACA53DA61A}"/>
    <hyperlink ref="O8014" r:id="rId24807" display="https://pbs.twimg.com/profile_images/539622088207007744/dwzlui_A_normal.jpeg" xr:uid="{B3D74873-02C2-4762-8776-D8BB0EFEAFA0}"/>
    <hyperlink ref="B8015" r:id="rId24808" display="https://twitter.com/its_tressx8" xr:uid="{48366236-4954-4E66-B716-993D358B203D}"/>
    <hyperlink ref="E8015" r:id="rId24809" display="https://twitter.com/its_tressx8/status/724388964896018432" xr:uid="{7678C26D-C342-4C43-B471-534F07D432C5}"/>
    <hyperlink ref="O8015" r:id="rId24810" display="https://pbs.twimg.com/profile_images/534291690027487232/alLDRpbF_normal.jpeg" xr:uid="{5098AFCC-5802-485A-BA37-E7437633E92A}"/>
    <hyperlink ref="B8016" r:id="rId24811" display="https://twitter.com/hanan4788804" xr:uid="{ECFBECF2-AE72-4C62-8CC6-1BF3161C39E2}"/>
    <hyperlink ref="E8016" r:id="rId24812" display="https://twitter.com/hanan4788804/status/724389186418184192" xr:uid="{3E74C4F4-70D0-44CC-8E84-FC3FEC9E3489}"/>
    <hyperlink ref="O8016" r:id="rId24813" display="https://pbs.twimg.com/profile_images/539534088613670913/gO3BghJX_normal.jpeg" xr:uid="{9CE8B884-6EFE-4BB9-8AD0-17DB12330FB4}"/>
    <hyperlink ref="B8017" r:id="rId24814" display="https://twitter.com/MllesNewlove" xr:uid="{60E377B4-24BB-40CD-AAAF-5929EB625E1D}"/>
    <hyperlink ref="E8017" r:id="rId24815" display="https://twitter.com/MllesNewlove/status/724389498860232704" xr:uid="{BB23AB8C-029A-4BA6-94DB-B8162B3D389E}"/>
    <hyperlink ref="O8017" r:id="rId24816" display="https://pbs.twimg.com/profile_images/541550824435232770/Ie5CUPar_normal.jpeg" xr:uid="{7A0A9B9D-54ED-4BBB-8376-1139A2CD6784}"/>
    <hyperlink ref="B8018" r:id="rId24817" display="https://twitter.com/LifeBlab" xr:uid="{E2A767F6-3501-49A0-9620-5D4962F31F74}"/>
    <hyperlink ref="E8018" r:id="rId24818" display="https://twitter.com/LifeBlab/status/724389656301854720" xr:uid="{192C7541-4D96-4FDA-A439-A81B3AD7F85C}"/>
    <hyperlink ref="O8018" r:id="rId24819" display="https://pbs.twimg.com/profile_images/1247253854/lifeblab-icon6_normal.png" xr:uid="{09D1A852-7946-46B2-94EB-02B41B8FFE64}"/>
    <hyperlink ref="B8019" r:id="rId24820" display="https://twitter.com/Swazlque" xr:uid="{C9C51A90-3664-484B-BE69-7AD568233FAA}"/>
    <hyperlink ref="E8019" r:id="rId24821" display="https://twitter.com/Swazlque/status/724389665919406081" xr:uid="{9FAC5BA0-0EB4-490B-8A20-BD2EE8E3B97F}"/>
    <hyperlink ref="O8019" r:id="rId24822" display="https://pbs.twimg.com/profile_images/541572416309592064/Itsc2-DW_normal.jpeg" xr:uid="{8013FEF7-A3F6-4C0A-AF8B-F3BC1C125847}"/>
    <hyperlink ref="B8020" r:id="rId24823" display="https://twitter.com/dan_stange" xr:uid="{21A69860-301F-463F-928D-439DE706D51A}"/>
    <hyperlink ref="E8020" r:id="rId24824" display="https://twitter.com/dan_stange/status/724390502179737600" xr:uid="{6FDBF2B5-4971-4757-940F-8C29B2B1F394}"/>
    <hyperlink ref="O8020" r:id="rId24825" display="https://pbs.twimg.com/profile_images/464482966409068544/-gzay6sr_normal.jpeg" xr:uid="{FC88B2B1-6583-41B1-95B5-716428EAA992}"/>
    <hyperlink ref="B8021" r:id="rId24826" display="https://twitter.com/Oriandoee_RNdL" xr:uid="{279C4563-3462-4710-A6DF-F3DFF59A8DFB}"/>
    <hyperlink ref="E8021" r:id="rId24827" display="https://twitter.com/Oriandoee_RNdL/status/724390506013155328" xr:uid="{65F70677-7736-4956-AF23-B3E6A4CE7A04}"/>
    <hyperlink ref="O8021" r:id="rId24828" display="https://pbs.twimg.com/profile_images/594571673698865152/Tz1sTKX4_normal.jpg" xr:uid="{E7A8B573-3965-45E2-A6CB-DECBFA6811A2}"/>
    <hyperlink ref="B8022" r:id="rId24829" display="https://twitter.com/Ur_marlia" xr:uid="{CA210A6E-65C7-483F-8CDE-46A84AE4F570}"/>
    <hyperlink ref="E8022" r:id="rId24830" display="https://twitter.com/Ur_marlia/status/724390624254898176" xr:uid="{80397136-0D41-4385-BF70-A0B137AE0F83}"/>
    <hyperlink ref="O8022" r:id="rId24831" display="https://pbs.twimg.com/profile_images/539526910968356864/bO_WyqhX_normal.jpeg" xr:uid="{46CEF5D3-EDC8-4040-8DA9-42CDCC845348}"/>
    <hyperlink ref="B8023" r:id="rId24832" display="https://twitter.com/dan_stange" xr:uid="{B1992A8B-D1B3-4740-8F74-5CC846F7FE90}"/>
    <hyperlink ref="E8023" r:id="rId24833" display="https://twitter.com/dan_stange/status/724390729733300224" xr:uid="{A39A72A2-9995-47ED-BAFF-ECD57BD18E89}"/>
    <hyperlink ref="O8023" r:id="rId24834" display="https://pbs.twimg.com/profile_images/464482966409068544/-gzay6sr_normal.jpeg" xr:uid="{35EA3CC5-1DF5-49E6-9967-D50D56D53ED5}"/>
    <hyperlink ref="B8024" r:id="rId24835" display="https://twitter.com/patrlckjkeane" xr:uid="{1C871551-2284-4EC0-8BFD-D261A80B1800}"/>
    <hyperlink ref="E8024" r:id="rId24836" display="https://twitter.com/patrlckjkeane/status/724390847656169472" xr:uid="{86E24EB3-0366-4859-B029-FE372109887C}"/>
    <hyperlink ref="O8024" r:id="rId24837" display="https://pbs.twimg.com/profile_images/541547000769306624/4ytud69w_normal.jpeg" xr:uid="{3D163552-AA89-448C-836F-4EE505F0B80F}"/>
    <hyperlink ref="B8025" r:id="rId24838" display="https://twitter.com/t0ptoff" xr:uid="{CC32B45F-862F-48A6-A556-622576733923}"/>
    <hyperlink ref="E8025" r:id="rId24839" display="https://twitter.com/t0ptoff/status/724391019479982083" xr:uid="{3EDAD731-C165-45E1-AA7B-AA2B5717B9AF}"/>
    <hyperlink ref="O8025" r:id="rId24840" display="https://pbs.twimg.com/profile_images/541525777461039104/tObHjndd_normal.jpeg" xr:uid="{1189BB1F-B2E2-436C-8CB5-DA6A8CC72FA9}"/>
    <hyperlink ref="B8026" r:id="rId24841" display="https://twitter.com/VWBeetleSales" xr:uid="{1781CA16-3F5E-41FD-908D-6667BEB429AC}"/>
    <hyperlink ref="E8026" r:id="rId24842" display="https://twitter.com/VWBeetleSales/status/724391358874558464" xr:uid="{64359AFB-40C8-4895-9059-16B7C158FD31}"/>
    <hyperlink ref="F8026" r:id="rId24843" xr:uid="{54820513-93BD-49B8-936F-243BB7F04810}"/>
    <hyperlink ref="O8026" r:id="rId24844" display="https://pbs.twimg.com/profile_images/703294545195307008/qeCvrX86_normal.jpg" xr:uid="{3A22F09C-0957-41ED-A34E-7C51CA970F1D}"/>
    <hyperlink ref="B8027" r:id="rId24845" display="https://twitter.com/VGTG12" xr:uid="{28E6DC23-24DE-48DE-B205-9F220472A0DA}"/>
    <hyperlink ref="E8027" r:id="rId24846" display="https://twitter.com/VGTG12/status/724391484573634561" xr:uid="{3DBAD9B5-8C7C-4CCB-8550-1847E97DC8CA}"/>
    <hyperlink ref="O8027" r:id="rId24847" display="https://pbs.twimg.com/profile_images/723000661034426368/4TOAb3D8_normal.jpg" xr:uid="{90E302A3-F0EC-4EF2-A67C-707D14AE96DB}"/>
    <hyperlink ref="B8028" r:id="rId24848" display="https://twitter.com/alizaki94" xr:uid="{D76115B8-F627-4051-97A4-DAFDF046B294}"/>
    <hyperlink ref="E8028" r:id="rId24849" display="https://twitter.com/alizaki94/status/724391997193199616" xr:uid="{D4F09BB4-085E-45E4-9918-766BA913B958}"/>
    <hyperlink ref="O8028" r:id="rId24850" display="https://pbs.twimg.com/profile_images/539560928036270080/aaG5qeSa_normal.jpeg" xr:uid="{4D07DD32-EEEC-47EA-B671-F0D5D3B65721}"/>
    <hyperlink ref="B8029" r:id="rId24851" display="https://twitter.com/flerceflyerxo" xr:uid="{B2BD7755-1060-42A8-B4C5-9DE0E7E38F4A}"/>
    <hyperlink ref="E8029" r:id="rId24852" display="https://twitter.com/flerceflyerxo/status/724392164986392576" xr:uid="{26AE0838-06F0-4D58-8687-54CC82B7D7EA}"/>
    <hyperlink ref="O8029" r:id="rId24853" display="https://pbs.twimg.com/profile_images/534257866077913089/ViYX_Z8-_normal.jpeg" xr:uid="{97EC2BC1-86B7-41CB-B874-D9A0B45C1743}"/>
    <hyperlink ref="B8030" r:id="rId24854" display="https://twitter.com/rajesh877" xr:uid="{77C5B42E-D434-41CE-A8E6-0B34041574F3}"/>
    <hyperlink ref="E8030" r:id="rId24855" display="https://twitter.com/rajesh877/status/724392765912715264" xr:uid="{D55788FD-9FC2-4D73-A4A0-4F381C40ACBD}"/>
    <hyperlink ref="O8030" r:id="rId24856" display="https://pbs.twimg.com/profile_images/690068229562241028/dtAFj2bm_normal.jpg" xr:uid="{4E1AD228-FC19-4EA0-813E-D80FDC7320AC}"/>
    <hyperlink ref="B8031" r:id="rId24857" display="https://twitter.com/moteking25" xr:uid="{6DDEE118-95FF-4399-A527-B77CA40625F5}"/>
    <hyperlink ref="E8031" r:id="rId24858" display="https://twitter.com/moteking25/status/724393603036893184" xr:uid="{69C5FBCF-66F4-4458-8F82-D5AB073CC150}"/>
    <hyperlink ref="O8031" r:id="rId24859" display="https://pbs.twimg.com/profile_images/695836169418899456/Z9ohOFD9_normal.jpg" xr:uid="{B58F6B5A-45DE-48C1-A28F-164AFF65B75C}"/>
    <hyperlink ref="B8032" r:id="rId24860" display="https://twitter.com/DubLuvTuning" xr:uid="{F7A298DA-0F98-453A-98CE-AA728A03A6F3}"/>
    <hyperlink ref="E8032" r:id="rId24861" display="https://twitter.com/DubLuvTuning/status/724393710667096064" xr:uid="{3E4553B9-586D-4ABF-A2A2-6B12C16093C0}"/>
    <hyperlink ref="O8032" r:id="rId24862" display="https://pbs.twimg.com/profile_images/378800000572104796/1de43e1cf23efb3f4101c02afad0d3b6_normal.png" xr:uid="{FB4DEF29-BD0F-41C6-B1D0-4455DB90C485}"/>
    <hyperlink ref="B8033" r:id="rId24863" display="https://twitter.com/EeZeEpEe" xr:uid="{9FBDEB36-49C3-4D70-BA22-079928D8B6E5}"/>
    <hyperlink ref="E8033" r:id="rId24864" display="https://twitter.com/EeZeEpEe/status/724393934710013952" xr:uid="{5890CF87-B0CA-45C8-9D50-1A5E7060D0DB}"/>
    <hyperlink ref="O8033" r:id="rId24865" display="https://pbs.twimg.com/profile_images/714087468795052032/p06V7TfP_normal.jpg" xr:uid="{E1F65DC1-60C2-4954-8DFB-50E9B534F07D}"/>
    <hyperlink ref="B8034" r:id="rId24866" display="https://twitter.com/steve_ath" xr:uid="{AC75C8A2-276A-4153-8AE9-4C52E3047E6B}"/>
    <hyperlink ref="E8034" r:id="rId24867" display="https://twitter.com/steve_ath/status/724394154814504960" xr:uid="{DF4671DD-8264-41BC-9E21-BB94A6BBE47F}"/>
    <hyperlink ref="O8034" r:id="rId24868" display="https://pbs.twimg.com/profile_images/723903812457664512/Zj1vl7TD_normal.jpg" xr:uid="{50956223-0E94-446A-8F69-68A4558FF545}"/>
    <hyperlink ref="B8035" r:id="rId24869" display="https://twitter.com/steve_ath" xr:uid="{D6927D70-ACAA-4472-800E-4A193B134A34}"/>
    <hyperlink ref="E8035" r:id="rId24870" display="https://twitter.com/steve_ath/status/724395388367720448" xr:uid="{DC6EDC68-2998-460C-9DE9-3FF5DD95FCE8}"/>
    <hyperlink ref="O8035" r:id="rId24871" display="https://pbs.twimg.com/profile_images/723903812457664512/Zj1vl7TD_normal.jpg" xr:uid="{DFC274D2-6B0E-4452-88FE-9A5EAA7E1DF6}"/>
    <hyperlink ref="B8036" r:id="rId24872" display="https://twitter.com/EulalioMRomero" xr:uid="{BD89282D-F563-46F4-91A9-22FE746A6538}"/>
    <hyperlink ref="E8036" r:id="rId24873" display="https://twitter.com/EulalioMRomero/status/724395749077823490" xr:uid="{FC893E79-7E47-4FF9-A64C-3A855B55F4A1}"/>
    <hyperlink ref="O8036" r:id="rId24874" display="https://abs.twimg.com/sticky/default_profile_images/default_profile_3_normal.png" xr:uid="{FC87436F-B0C0-4656-9986-825FF19A3BEE}"/>
    <hyperlink ref="B8037" r:id="rId24875" display="https://twitter.com/nexus_line" xr:uid="{362F16FE-2843-4884-8A50-78F4D9F647D6}"/>
    <hyperlink ref="E8037" r:id="rId24876" display="https://twitter.com/nexus_line/status/724395934797410305" xr:uid="{3A921AC1-91F4-49A0-AE4E-897C24E72947}"/>
    <hyperlink ref="O8037" r:id="rId24877" display="https://pbs.twimg.com/profile_images/580379355055968256/ucfbeQU7_normal.png" xr:uid="{F6C08C74-044E-485D-A5BF-627C61646E8B}"/>
    <hyperlink ref="B8038" r:id="rId24878" display="https://twitter.com/VWBeetleSales" xr:uid="{0AAF1579-839A-4F97-BBB8-8EC2863185C7}"/>
    <hyperlink ref="E8038" r:id="rId24879" display="https://twitter.com/VWBeetleSales/status/724396145561083904" xr:uid="{86423612-EE57-4851-BE38-2EA415F46F8B}"/>
    <hyperlink ref="F8038" r:id="rId24880" xr:uid="{1B747481-7872-4BC7-A260-DCE1A8091FAF}"/>
    <hyperlink ref="O8038" r:id="rId24881" display="https://pbs.twimg.com/profile_images/703294545195307008/qeCvrX86_normal.jpg" xr:uid="{B8C32C2D-5A17-43DF-A2C6-8DA6ED09EFA4}"/>
    <hyperlink ref="B8039" r:id="rId24882" display="https://twitter.com/VWUKNews" xr:uid="{E91BCBD6-2751-476C-A894-06392F494A01}"/>
    <hyperlink ref="E8039" r:id="rId24883" display="https://twitter.com/VWUKNews/status/724396700392148993" xr:uid="{BE365988-A3B2-4248-B349-4DFBB25390F9}"/>
    <hyperlink ref="O8039" r:id="rId24884" display="https://pbs.twimg.com/profile_images/688107349786005504/DSMVMTDE_normal.jpg" xr:uid="{8306B1B0-8764-4BE3-93DC-8033EBD82F17}"/>
    <hyperlink ref="B8040" r:id="rId24885" display="https://twitter.com/ManuelA30652972" xr:uid="{27A347AE-3702-4B45-A49F-CB523149A9B5}"/>
    <hyperlink ref="E8040" r:id="rId24886" display="https://twitter.com/ManuelA30652972/status/724397001610280962" xr:uid="{0622DE1C-A57F-4402-BC92-286ABB107AE7}"/>
    <hyperlink ref="O8040" r:id="rId24887" display="https://pbs.twimg.com/profile_images/724349488605847552/CHTQnVGi_normal.jpg" xr:uid="{20962DCE-F9C3-449B-8B6E-DCA295B1ADE5}"/>
    <hyperlink ref="B8041" r:id="rId24888" display="https://twitter.com/MalibuMoms" xr:uid="{3E0A3C6F-B75F-42A8-8370-25314E521641}"/>
    <hyperlink ref="E8041" r:id="rId24889" display="https://twitter.com/MalibuMoms/status/724397576095571968" xr:uid="{414B0AD3-CA0D-49C6-A76E-4C292EEE71C6}"/>
    <hyperlink ref="O8041" r:id="rId24890" display="https://pbs.twimg.com/profile_images/632371610276622336/i9dfhe5Q_normal.jpg" xr:uid="{88833D88-F391-455D-8D0A-9C91CEF49781}"/>
    <hyperlink ref="B8042" r:id="rId24891" display="https://twitter.com/beetlebug1938" xr:uid="{4BD1B794-FAE0-4005-BDEE-F703FA685E0A}"/>
    <hyperlink ref="E8042" r:id="rId24892" display="https://twitter.com/beetlebug1938/status/724397647965069312" xr:uid="{D6BB3A20-E57D-460D-A999-292203A623E4}"/>
    <hyperlink ref="O8042" r:id="rId24893" display="https://pbs.twimg.com/profile_images/718820712757215233/LXXndPTS_normal.jpg" xr:uid="{AE7B9F64-16F4-4C60-8000-B9BAFDE782B0}"/>
    <hyperlink ref="B8043" r:id="rId24894" display="https://twitter.com/dubbusses" xr:uid="{A1B453DC-C1C1-4E23-8572-F13A9884EAA3}"/>
    <hyperlink ref="E8043" r:id="rId24895" display="https://twitter.com/dubbusses/status/724397775564247040" xr:uid="{5E6A03B8-6F04-415F-95A3-17BF6883A116}"/>
    <hyperlink ref="O8043" r:id="rId24896" display="https://pbs.twimg.com/profile_images/718835727027580928/1ssyQ67y_normal.jpg" xr:uid="{D22761A9-9CE0-4858-BF9A-F48AF8A1762E}"/>
    <hyperlink ref="B8044" r:id="rId24897" display="https://twitter.com/MaureLuciana" xr:uid="{B85CC5AB-A7C9-479C-B3E0-717158D03D3F}"/>
    <hyperlink ref="E8044" r:id="rId24898" display="https://twitter.com/MaureLuciana/status/724397791573905408" xr:uid="{07E902FC-C66E-4EBF-B61E-9B47BDD511EE}"/>
    <hyperlink ref="O8044" r:id="rId24899" display="https://pbs.twimg.com/profile_images/717031050162147328/4QJQUgaE_normal.jpg" xr:uid="{70EE888F-4711-4304-B0A7-1FBA15A2AA22}"/>
    <hyperlink ref="B8045" r:id="rId24900" display="https://twitter.com/dubbusses" xr:uid="{1E6B71D2-070C-4F5D-BC92-1F84CB34C895}"/>
    <hyperlink ref="E8045" r:id="rId24901" display="https://twitter.com/dubbusses/status/724397810754433026" xr:uid="{173CA4BA-382A-4764-9A07-98467F8882A6}"/>
    <hyperlink ref="O8045" r:id="rId24902" display="https://pbs.twimg.com/profile_images/718835727027580928/1ssyQ67y_normal.jpg" xr:uid="{27A07BB0-617F-450D-B265-4A8B2DA9059F}"/>
    <hyperlink ref="B8046" r:id="rId24903" display="https://twitter.com/dubbusses" xr:uid="{79B3C668-8960-4A24-A6E3-DC5971C93C2C}"/>
    <hyperlink ref="E8046" r:id="rId24904" display="https://twitter.com/dubbusses/status/724397821428948994" xr:uid="{704FDF83-ADD2-401D-ACEB-355BA832691F}"/>
    <hyperlink ref="O8046" r:id="rId24905" display="https://pbs.twimg.com/profile_images/718835727027580928/1ssyQ67y_normal.jpg" xr:uid="{57BB6A57-13B4-4B35-8B65-A89D84C84EC4}"/>
    <hyperlink ref="B8047" r:id="rId24906" display="https://twitter.com/FuscaWorld" xr:uid="{18DD6B2F-29EB-44FF-BDB6-5054A246C59D}"/>
    <hyperlink ref="E8047" r:id="rId24907" display="https://twitter.com/FuscaWorld/status/724398753290027008" xr:uid="{AB24E0CB-3EEB-4AE8-A1EE-6B69488FFAA5}"/>
    <hyperlink ref="O8047" r:id="rId24908" display="https://pbs.twimg.com/profile_images/705780107844067328/e7O4UBNb_normal.jpg" xr:uid="{176E681D-1DF7-4CA4-9BDD-CFD8E232E462}"/>
    <hyperlink ref="B8048" r:id="rId24909" display="https://twitter.com/Scirocco_Tuning" xr:uid="{71843951-293F-40B2-84F2-9EA20C4ED89E}"/>
    <hyperlink ref="E8048" r:id="rId24910" display="https://twitter.com/Scirocco_Tuning/status/724399589642645505" xr:uid="{9E48615E-90F4-4A58-B906-7E55FB1DFF78}"/>
    <hyperlink ref="O8048" r:id="rId24911" display="https://pbs.twimg.com/profile_images/1610421423/Image2_normal.jpg" xr:uid="{5B26F2A5-F405-45B4-838F-BC59B66A3E80}"/>
    <hyperlink ref="B8049" r:id="rId24912" display="https://twitter.com/VolkswagenPost" xr:uid="{BC1AB6A9-CF92-4DC1-AC0C-697C4AF98FB5}"/>
    <hyperlink ref="E8049" r:id="rId24913" display="https://twitter.com/VolkswagenPost/status/724400916384731137" xr:uid="{B8836358-B1FE-4046-BA93-55A50065201B}"/>
    <hyperlink ref="O8049" r:id="rId24914" display="https://pbs.twimg.com/profile_images/530071272881803264/a_jcCmPZ_normal.png" xr:uid="{2C53E466-63A0-4817-BC0E-87C17412FA41}"/>
    <hyperlink ref="B8050" r:id="rId24915" display="https://twitter.com/luuuzcastillo" xr:uid="{BAA75259-2EEF-4F9A-877D-826E7D5E1CA7}"/>
    <hyperlink ref="E8050" r:id="rId24916" display="https://twitter.com/luuuzcastillo/status/724401054209740802" xr:uid="{65F66A77-5946-40BF-A41D-78CB798A4710}"/>
    <hyperlink ref="O8050" r:id="rId24917" display="https://pbs.twimg.com/profile_images/722904363627319296/ShKAzyQI_normal.jpg" xr:uid="{CBA64ACF-7F97-44E9-8CB4-578272A8CBEE}"/>
    <hyperlink ref="B8051" r:id="rId24918" display="https://twitter.com/misspetrolhead" xr:uid="{7E5918CE-D9FD-4D43-8ECE-CE31A687FE03}"/>
    <hyperlink ref="E8051" r:id="rId24919" display="https://twitter.com/misspetrolhead/status/724401638342049793" xr:uid="{27DF57ED-EC90-4E98-94F6-156D5BD49375}"/>
    <hyperlink ref="O8051" r:id="rId24920" display="https://pbs.twimg.com/profile_images/521790805837901824/LRCzW4Fj_normal.jpeg" xr:uid="{323D3D48-BA21-416E-ADC0-11F53AE147EA}"/>
    <hyperlink ref="B8052" r:id="rId24921" display="https://twitter.com/VR_Porn" xr:uid="{75811F50-E73D-4DE4-BB6B-D3DCF5A87256}"/>
    <hyperlink ref="E8052" r:id="rId24922" display="https://twitter.com/VR_Porn/status/724402573076246528" xr:uid="{AC9C612C-1632-4D39-8F5B-0BE4FF01D252}"/>
    <hyperlink ref="O8052" r:id="rId24923" display="https://pbs.twimg.com/profile_images/664191126077751296/NPJyKOS9_normal.png" xr:uid="{CF66AE57-5EB4-4B0A-BAB8-78A319225604}"/>
    <hyperlink ref="B8053" r:id="rId24924" display="https://twitter.com/autophorie" xr:uid="{01529877-3C04-40A3-A56B-FB21FBE8C612}"/>
    <hyperlink ref="E8053" r:id="rId24925" display="https://twitter.com/autophorie/status/724402853780004866" xr:uid="{F6AF6ECA-C11D-4ADF-AB7E-877B2A962C2E}"/>
    <hyperlink ref="F8053" r:id="rId24926" xr:uid="{C2F5EC1E-9BAF-4AC3-9B49-0222B3193F51}"/>
    <hyperlink ref="O8053" r:id="rId24927" display="https://pbs.twimg.com/profile_images/2269087994/755ehw3lcmgqvtspt5js_normal.jpeg" xr:uid="{6F91E640-9685-4287-A30F-BD3BCE47B8C9}"/>
    <hyperlink ref="B8054" r:id="rId24928" display="https://twitter.com/VCT_Tweets" xr:uid="{A7C3CAD4-A5E2-4925-8971-84A08FE2B14C}"/>
    <hyperlink ref="E8054" r:id="rId24929" display="https://twitter.com/VCT_Tweets/status/724402943064182784" xr:uid="{A9B34AE0-7A02-4D6D-B697-6D9DD0C9414F}"/>
    <hyperlink ref="O8054" r:id="rId24930" display="https://pbs.twimg.com/profile_images/569800899141177344/nVFLMSdb_normal.png" xr:uid="{9AC665F6-A51D-442C-B2FF-9DAB84DA4E4C}"/>
    <hyperlink ref="B8055" r:id="rId24931" display="https://twitter.com/VWCamperSales" xr:uid="{C0A0D9F7-72E5-4CDC-9D6C-9050A998B552}"/>
    <hyperlink ref="E8055" r:id="rId24932" display="https://twitter.com/VWCamperSales/status/724402990317084672" xr:uid="{0A47A2D3-0D3F-4732-95D5-D572D2CE2DB6}"/>
    <hyperlink ref="F8055" r:id="rId24933" xr:uid="{3BB8A2A0-413B-416B-B516-AB98DA7DF732}"/>
    <hyperlink ref="O8055" r:id="rId24934" display="https://pbs.twimg.com/profile_images/627949001179037696/skEBkS05_normal.jpg" xr:uid="{23D71C8B-A29D-4EF3-8332-C548DE1C44D6}"/>
    <hyperlink ref="B8056" r:id="rId24935" display="https://twitter.com/VWCamperSales" xr:uid="{CF87133E-0E80-4844-91D5-B626C9F2280D}"/>
    <hyperlink ref="E8056" r:id="rId24936" display="https://twitter.com/VWCamperSales/status/724402993286643712" xr:uid="{76C2D7C2-7961-4DFB-88EA-C9B5D8A6FE77}"/>
    <hyperlink ref="F8056" r:id="rId24937" xr:uid="{64FF5763-3D51-4C0B-877A-5A7477E4C5AA}"/>
    <hyperlink ref="O8056" r:id="rId24938" display="https://pbs.twimg.com/profile_images/627949001179037696/skEBkS05_normal.jpg" xr:uid="{EA769199-D715-4FA6-8586-80A221C70632}"/>
    <hyperlink ref="B8057" r:id="rId24939" display="https://twitter.com/erikcunningham" xr:uid="{C4135B2E-0344-4423-A8AD-D163A1A8C9C1}"/>
    <hyperlink ref="E8057" r:id="rId24940" display="https://twitter.com/erikcunningham/status/724403678644326400" xr:uid="{C1F65324-1DEE-48CB-989E-267EF7B46B73}"/>
    <hyperlink ref="O8057" r:id="rId24941" display="https://pbs.twimg.com/profile_images/592866632957042688/Ic1cU_W7_normal.jpg" xr:uid="{1401D3BB-E01B-46DA-BEFD-991F9BE59F3A}"/>
    <hyperlink ref="B8058" r:id="rId24942" display="https://twitter.com/bryancarguy" xr:uid="{2A2254A3-6496-4A6C-8CC6-8ED5846671FC}"/>
    <hyperlink ref="E8058" r:id="rId24943" display="https://twitter.com/bryancarguy/status/724404227947171842" xr:uid="{F7965DCE-EDB3-47CF-8C8E-6D0C6BC42445}"/>
    <hyperlink ref="O8058" r:id="rId24944" display="https://pbs.twimg.com/profile_images/1843235822/Bryan_Armstrong_normal.jpg" xr:uid="{524D0E5B-8FC3-4A77-B40B-824E883F7930}"/>
    <hyperlink ref="B8059" r:id="rId24945" display="https://twitter.com/smartaura" xr:uid="{3852315C-E7B4-4381-9EB1-2FD15B76A771}"/>
    <hyperlink ref="E8059" r:id="rId24946" display="https://twitter.com/smartaura/status/724404975216947200" xr:uid="{6E0AD24F-AEEB-4D1D-9717-C71A973E70B4}"/>
    <hyperlink ref="O8059" r:id="rId24947" display="https://pbs.twimg.com/profile_images/681928593199386624/U3Oel9bD_normal.jpg" xr:uid="{FE07C6F5-3BA3-4F63-9684-79C27C7076E1}"/>
    <hyperlink ref="B8060" r:id="rId24948" display="https://twitter.com/CollectHW" xr:uid="{240A6D7E-08D3-45FD-87C1-359AA454C5CF}"/>
    <hyperlink ref="E8060" r:id="rId24949" display="https://twitter.com/CollectHW/status/724405284316299264" xr:uid="{88E6853C-EC2A-4265-856C-F6D7EC21ECAD}"/>
    <hyperlink ref="O8060" r:id="rId24950" display="https://pbs.twimg.com/profile_images/522469771573350400/e5WjUwRr_normal.png" xr:uid="{7B49B945-D170-4053-BE45-894287BF22EF}"/>
    <hyperlink ref="B8061" r:id="rId24951" display="https://twitter.com/lawrencemodern" xr:uid="{A0360148-28FF-4153-B209-48E68375D437}"/>
    <hyperlink ref="E8061" r:id="rId24952" display="https://twitter.com/lawrencemodern/status/724405796138835969" xr:uid="{C7CF7F9A-B3CB-4AFD-BB4D-D852C559813E}"/>
    <hyperlink ref="O8061" r:id="rId24953" display="https://pbs.twimg.com/profile_images/1414928122/21stal3_normal.jpg" xr:uid="{93F6DBB5-C9EE-4EC2-8155-F46895E473F4}"/>
    <hyperlink ref="B8062" r:id="rId24954" display="https://twitter.com/fabian_messner" xr:uid="{5A1DBA56-5BAF-4959-B85D-EA3161BD1509}"/>
    <hyperlink ref="E8062" r:id="rId24955" display="https://twitter.com/fabian_messner/status/724405988988735490" xr:uid="{55967212-E6F4-4D4C-A868-A363DC1283B8}"/>
    <hyperlink ref="O8062" r:id="rId24956" display="https://pbs.twimg.com/profile_images/628549846924984320/o4kQgFPg_normal.jpg" xr:uid="{8B5291B3-6DC2-4711-A68C-1AA5FA1167BE}"/>
    <hyperlink ref="B8063" r:id="rId24957" display="https://twitter.com/VAGFanArg" xr:uid="{DAD7E6B7-7535-4EA5-8453-C145E84B1E2D}"/>
    <hyperlink ref="E8063" r:id="rId24958" display="https://twitter.com/VAGFanArg/status/724406339238264832" xr:uid="{E9745358-0F47-4C8F-8A3E-EBB1D80282B7}"/>
    <hyperlink ref="O8063" r:id="rId24959" display="https://pbs.twimg.com/profile_images/667876096088653825/FOW14Ke4_normal.jpg" xr:uid="{2F97F30C-3A28-40B2-BCC1-5BF398A34B27}"/>
    <hyperlink ref="B8064" r:id="rId24960" display="https://twitter.com/TommyWolff" xr:uid="{6710F1CF-7A78-483D-8427-504ED21F0645}"/>
    <hyperlink ref="E8064" r:id="rId24961" display="https://twitter.com/TommyWolff/status/724406456859009024" xr:uid="{01BB9F0A-AD75-402B-AD48-41AA6B4BFABA}"/>
    <hyperlink ref="O8064" r:id="rId24962" display="https://pbs.twimg.com/profile_images/714624729546637312/sXuLHNCU_normal.jpg" xr:uid="{45540C18-1A96-4ED4-BB78-65DAF69CAA14}"/>
    <hyperlink ref="P8064" r:id="rId24963" location="32.87588,-80.00199" display="http://ctrlq.org/maps/address/ - 32.87588,-80.00199" xr:uid="{0B42B0FE-BEDB-4402-9BB8-3E5A849AAFFD}"/>
    <hyperlink ref="B8065" r:id="rId24964" display="https://twitter.com/VAGFanArg" xr:uid="{9602A663-D459-4942-AB75-9C49B99DE573}"/>
    <hyperlink ref="E8065" r:id="rId24965" display="https://twitter.com/VAGFanArg/status/724406692239282176" xr:uid="{8986B267-0D9D-4885-AE62-7B637B152E86}"/>
    <hyperlink ref="O8065" r:id="rId24966" display="https://pbs.twimg.com/profile_images/667876096088653825/FOW14Ke4_normal.jpg" xr:uid="{03102713-4B67-4C03-B6A1-9A2C4A3D2456}"/>
    <hyperlink ref="B8066" r:id="rId24967" display="https://twitter.com/VAGFanArg" xr:uid="{26D246F6-50C3-41D2-9E6B-E9E10B976F49}"/>
    <hyperlink ref="E8066" r:id="rId24968" display="https://twitter.com/VAGFanArg/status/724407174059950080" xr:uid="{4FB7B455-6F16-41E5-A1C3-63A197CFB623}"/>
    <hyperlink ref="O8066" r:id="rId24969" display="https://pbs.twimg.com/profile_images/667876096088653825/FOW14Ke4_normal.jpg" xr:uid="{F13C6D15-9FDA-478A-8AAC-3CBADB70BA46}"/>
    <hyperlink ref="B8067" r:id="rId24970" display="https://twitter.com/ajtdesign" xr:uid="{6D5794FE-A827-4D8F-B892-8984C5800035}"/>
    <hyperlink ref="E8067" r:id="rId24971" display="https://twitter.com/ajtdesign/status/724407524510691329" xr:uid="{8087C83B-9971-4F15-A665-B2143CF97CCD}"/>
    <hyperlink ref="O8067" r:id="rId24972" display="https://pbs.twimg.com/profile_images/652670623580323841/Q1F5n9jI_normal.jpg" xr:uid="{18DCCE88-C8AB-44AE-8649-10DD1DCEFB24}"/>
    <hyperlink ref="B8068" r:id="rId24973" display="https://twitter.com/VAGFanArg" xr:uid="{A262CAAB-6B0A-4C90-A73B-582BACF9900E}"/>
    <hyperlink ref="E8068" r:id="rId24974" display="https://twitter.com/VAGFanArg/status/724407532584861696" xr:uid="{E338AA11-42D3-4363-8C7F-E5082A909118}"/>
    <hyperlink ref="O8068" r:id="rId24975" display="https://pbs.twimg.com/profile_images/667876096088653825/FOW14Ke4_normal.jpg" xr:uid="{751FCDB0-0E46-4BD4-B903-7970547DD179}"/>
    <hyperlink ref="B8069" r:id="rId24976" display="https://twitter.com/OhKeviinG" xr:uid="{C347703F-3A0E-45D3-85AF-602335640D3C}"/>
    <hyperlink ref="E8069" r:id="rId24977" display="https://twitter.com/OhKeviinG/status/724407688025792513" xr:uid="{89190734-E2D0-4BF2-B700-7218BA2E3350}"/>
    <hyperlink ref="O8069" r:id="rId24978" display="https://pbs.twimg.com/profile_images/555636866926399488/a_mPemOU_normal.jpeg" xr:uid="{2D95E721-F70C-4C8F-B442-24A4310E83E5}"/>
    <hyperlink ref="B8070" r:id="rId24979" display="https://twitter.com/VAGFanArg" xr:uid="{07173C87-D1FC-4F9D-B837-CED6D56B2763}"/>
    <hyperlink ref="E8070" r:id="rId24980" display="https://twitter.com/VAGFanArg/status/724407913096318977" xr:uid="{A5BB6000-3FAB-44E8-B6CE-62C7D40ACE00}"/>
    <hyperlink ref="O8070" r:id="rId24981" display="https://pbs.twimg.com/profile_images/667876096088653825/FOW14Ke4_normal.jpg" xr:uid="{327B502F-F4AF-4F30-B294-40A10AAD88E1}"/>
    <hyperlink ref="B8071" r:id="rId24982" display="https://twitter.com/iamsalimali" xr:uid="{0B8583CF-EC70-434B-A264-88811055F263}"/>
    <hyperlink ref="E8071" r:id="rId24983" display="https://twitter.com/iamsalimali/status/724408230856822785" xr:uid="{003B6704-5772-40CE-B810-6D6216CEA550}"/>
    <hyperlink ref="O8071" r:id="rId24984" display="https://pbs.twimg.com/profile_images/649956232673947649/sXDhUyad_normal.jpg" xr:uid="{7D668649-F29A-4439-A7FA-57938D658FF4}"/>
    <hyperlink ref="B8072" r:id="rId24985" display="https://twitter.com/SuranClub" xr:uid="{9C73FEC5-A099-4712-91D9-CBF49F3C8FFF}"/>
    <hyperlink ref="E8072" r:id="rId24986" display="https://twitter.com/SuranClub/status/724408338264535040" xr:uid="{945E7FFD-CA7B-4EF6-AAD7-89D49E15A336}"/>
    <hyperlink ref="O8072" r:id="rId24987" display="https://pbs.twimg.com/profile_images/634021831364747264/5vPrL2JH_normal.jpg" xr:uid="{4B2D8C6D-E7C2-404C-B939-1C1F5F65C0BC}"/>
    <hyperlink ref="B8073" r:id="rId24988" display="https://twitter.com/SuranClub" xr:uid="{ECA4D8C0-793B-4E8D-B951-72A1905987A9}"/>
    <hyperlink ref="E8073" r:id="rId24989" display="https://twitter.com/SuranClub/status/724408349039669248" xr:uid="{F738BF48-1228-4E79-B8F3-23586920D191}"/>
    <hyperlink ref="O8073" r:id="rId24990" display="https://pbs.twimg.com/profile_images/634021831364747264/5vPrL2JH_normal.jpg" xr:uid="{21FE7C72-77F6-4536-A6E3-DF498A0924E2}"/>
    <hyperlink ref="B8074" r:id="rId24991" display="https://twitter.com/FastRevolver" xr:uid="{B67EE7E4-6EB2-41AF-BD6D-C376ABC1797B}"/>
    <hyperlink ref="E8074" r:id="rId24992" display="https://twitter.com/FastRevolver/status/724408382636077056" xr:uid="{D3F866C2-5D02-469F-85B0-50C6C524FCFE}"/>
    <hyperlink ref="O8074" r:id="rId24993" display="https://pbs.twimg.com/profile_images/3130536670/fa4363a3244fc89e7853dd376e364528_normal.jpeg" xr:uid="{C4F22AB2-927B-4B3E-A315-D43137D8CA00}"/>
    <hyperlink ref="B8075" r:id="rId24994" display="https://twitter.com/SuranClub" xr:uid="{A757C3C3-C3F0-42AF-8AAA-5552641F60CF}"/>
    <hyperlink ref="E8075" r:id="rId24995" display="https://twitter.com/SuranClub/status/724408558947819521" xr:uid="{D2303619-8BEF-494B-9EC5-2503F7146F71}"/>
    <hyperlink ref="O8075" r:id="rId24996" display="https://pbs.twimg.com/profile_images/634021831364747264/5vPrL2JH_normal.jpg" xr:uid="{B0AA5C4D-8E91-42FF-AF33-C8D1C443FD3D}"/>
    <hyperlink ref="B8076" r:id="rId24997" display="https://twitter.com/SuranClub" xr:uid="{FFF728DA-89C7-431C-9B98-1EC2A1848A8E}"/>
    <hyperlink ref="E8076" r:id="rId24998" display="https://twitter.com/SuranClub/status/724408570251497473" xr:uid="{EF911610-1E00-4456-9213-7E95E1D2ABB1}"/>
    <hyperlink ref="O8076" r:id="rId24999" display="https://pbs.twimg.com/profile_images/634021831364747264/5vPrL2JH_normal.jpg" xr:uid="{9A56302A-865D-41F4-81A4-249AC7B66B3B}"/>
    <hyperlink ref="B8077" r:id="rId25000" display="https://twitter.com/SuranClub" xr:uid="{8A208377-A527-4281-BA52-8258AE69C4D4}"/>
    <hyperlink ref="E8077" r:id="rId25001" display="https://twitter.com/SuranClub/status/724408823029616640" xr:uid="{DA76EFB8-6ACC-43FA-9725-676C0CF22568}"/>
    <hyperlink ref="O8077" r:id="rId25002" display="https://pbs.twimg.com/profile_images/634021831364747264/5vPrL2JH_normal.jpg" xr:uid="{B671E73A-E653-4F11-8008-91BF8F0FC3D6}"/>
    <hyperlink ref="B8078" r:id="rId25003" display="https://twitter.com/SuranClub" xr:uid="{B89F24F7-5FAE-403C-A019-5A50F51CC7CF}"/>
    <hyperlink ref="E8078" r:id="rId25004" display="https://twitter.com/SuranClub/status/724408831132983296" xr:uid="{4308ADEB-1BD7-4D88-8F34-E33C684E1521}"/>
    <hyperlink ref="O8078" r:id="rId25005" display="https://pbs.twimg.com/profile_images/634021831364747264/5vPrL2JH_normal.jpg" xr:uid="{071DD26B-971B-4ACB-B02D-47AB0B340B96}"/>
    <hyperlink ref="B8079" r:id="rId25006" display="https://twitter.com/wagonation616" xr:uid="{12329A8E-4B52-4E5F-B24C-4BAE9161E0FF}"/>
    <hyperlink ref="E8079" r:id="rId25007" display="https://twitter.com/wagonation616/status/724409099677499393" xr:uid="{D0B8C64D-9FD6-49DB-828B-92E2F59F8571}"/>
    <hyperlink ref="O8079" r:id="rId25008" display="https://pbs.twimg.com/profile_images/477500940014989312/nriL3nwv_normal.png" xr:uid="{A394A04A-FE69-4E3A-B5A6-6B328CF08E4C}"/>
    <hyperlink ref="B8080" r:id="rId25009" display="https://twitter.com/SuranClub" xr:uid="{2F7D7763-74C5-4667-BB4C-B36FEBA0F6C6}"/>
    <hyperlink ref="E8080" r:id="rId25010" display="https://twitter.com/SuranClub/status/724409128655958017" xr:uid="{B30307E5-99E3-4D5A-BB27-DF54191F00B8}"/>
    <hyperlink ref="O8080" r:id="rId25011" display="https://pbs.twimg.com/profile_images/634021831364747264/5vPrL2JH_normal.jpg" xr:uid="{5A2227CA-BF97-4E9A-B0BF-3084A442908C}"/>
    <hyperlink ref="B8081" r:id="rId25012" display="https://twitter.com/SuranClub" xr:uid="{377BC56B-7BCA-4B3C-9952-B0B8BB7FC69A}"/>
    <hyperlink ref="E8081" r:id="rId25013" display="https://twitter.com/SuranClub/status/724409142664933376" xr:uid="{77383736-829F-458C-B038-0AE80F2CBB9C}"/>
    <hyperlink ref="O8081" r:id="rId25014" display="https://pbs.twimg.com/profile_images/634021831364747264/5vPrL2JH_normal.jpg" xr:uid="{9F75EAB5-1C79-4AD4-B079-54EBD1EC235A}"/>
    <hyperlink ref="B8082" r:id="rId25015" display="https://twitter.com/bertinosr" xr:uid="{1D94DFAB-A87F-4B5A-A1A5-585C243FCB1B}"/>
    <hyperlink ref="E8082" r:id="rId25016" display="https://twitter.com/bertinosr/status/724409416531873792" xr:uid="{7F1DE1D6-CADE-494E-8D84-4B7E39EC0B1E}"/>
    <hyperlink ref="O8082" r:id="rId25017" display="https://pbs.twimg.com/profile_images/666453014614446080/7wESjl0P_normal.jpg" xr:uid="{C7B34BF6-1123-4F30-B11D-B82D62821610}"/>
    <hyperlink ref="B8083" r:id="rId25018" display="https://twitter.com/bertinosr" xr:uid="{F5F605D5-7F5A-4B9B-948B-78E3CAF9B691}"/>
    <hyperlink ref="E8083" r:id="rId25019" display="https://twitter.com/bertinosr/status/724410787658244096" xr:uid="{5FD2CBEE-8855-4856-B707-F24C17BBFBC5}"/>
    <hyperlink ref="O8083" r:id="rId25020" display="https://pbs.twimg.com/profile_images/666453014614446080/7wESjl0P_normal.jpg" xr:uid="{949F2441-7AE4-4E0D-B648-41553B7A4E73}"/>
    <hyperlink ref="B8084" r:id="rId25021" display="https://twitter.com/BruceMirken" xr:uid="{B6913D17-BACC-483B-A2B6-F0471B7EAFC5}"/>
    <hyperlink ref="E8084" r:id="rId25022" display="https://twitter.com/BruceMirken/status/724411605430083584" xr:uid="{9E8DB471-5D2A-453E-BCF9-CE40EC21174D}"/>
    <hyperlink ref="O8084" r:id="rId25023" display="https://pbs.twimg.com/profile_images/653621507772387328/4qVOe7Hn_normal.jpg" xr:uid="{E4614665-7DDA-40DA-A487-25765833ED25}"/>
    <hyperlink ref="B8085" r:id="rId25024" display="https://twitter.com/Lil_Lorii" xr:uid="{16CD21D4-7F5B-4362-9A4B-4886A807D262}"/>
    <hyperlink ref="E8085" r:id="rId25025" display="https://twitter.com/Lil_Lorii/status/724412302355619841" xr:uid="{50DCC856-9FB6-4796-A449-49401BBF4D54}"/>
    <hyperlink ref="O8085" r:id="rId25026" display="https://pbs.twimg.com/profile_images/721367110065127424/QmjA60l4_normal.jpg" xr:uid="{421D60F5-EC14-488A-AD45-86FC50D0ADF6}"/>
    <hyperlink ref="B8086" r:id="rId25027" display="https://twitter.com/bertinosr" xr:uid="{89131DD3-9B02-47F7-A8D1-CC69AA63543D}"/>
    <hyperlink ref="E8086" r:id="rId25028" display="https://twitter.com/bertinosr/status/724412348044169216" xr:uid="{AE88D1DD-56F2-4C4D-AB45-D989803150EB}"/>
    <hyperlink ref="O8086" r:id="rId25029" display="https://pbs.twimg.com/profile_images/666453014614446080/7wESjl0P_normal.jpg" xr:uid="{48898562-FB58-452A-8674-7D2E53E64C7E}"/>
    <hyperlink ref="B8087" r:id="rId25030" display="https://twitter.com/Lil_Lorii" xr:uid="{4DBB52F0-ADEF-47A9-B731-4FE4C860A14D}"/>
    <hyperlink ref="E8087" r:id="rId25031" display="https://twitter.com/Lil_Lorii/status/724412817571377153" xr:uid="{9F152674-F8F1-4A77-8A7A-F4EC1DC5A9D6}"/>
    <hyperlink ref="O8087" r:id="rId25032" display="https://pbs.twimg.com/profile_images/721367110065127424/QmjA60l4_normal.jpg" xr:uid="{5B8EB85E-95CE-4D87-BE77-D65D1A5A4D59}"/>
    <hyperlink ref="B8088" r:id="rId25033" display="https://twitter.com/dubbusses" xr:uid="{740D538C-D129-45DF-B286-BAB8F13AE835}"/>
    <hyperlink ref="E8088" r:id="rId25034" display="https://twitter.com/dubbusses/status/724412887842873344" xr:uid="{0F61AF9F-7D97-48C4-9CDA-74A2B3D20FFD}"/>
    <hyperlink ref="O8088" r:id="rId25035" display="https://pbs.twimg.com/profile_images/718835727027580928/1ssyQ67y_normal.jpg" xr:uid="{19A7BDD5-0FE1-49A7-9E0A-949EB0BDB50A}"/>
    <hyperlink ref="B8089" r:id="rId25036" display="https://twitter.com/dubbusses" xr:uid="{EAB8429B-076C-442E-9547-5909DD703300}"/>
    <hyperlink ref="E8089" r:id="rId25037" display="https://twitter.com/dubbusses/status/724412900555763712" xr:uid="{D093C815-51A9-47E8-9A4B-5864B6D4D5B4}"/>
    <hyperlink ref="O8089" r:id="rId25038" display="https://pbs.twimg.com/profile_images/718835727027580928/1ssyQ67y_normal.jpg" xr:uid="{816987B8-CCB3-4DF5-AB16-AAA980DED025}"/>
    <hyperlink ref="B8090" r:id="rId25039" display="https://twitter.com/bertinosr" xr:uid="{6C94227E-44B5-4E16-A748-F76D80FFDC36}"/>
    <hyperlink ref="E8090" r:id="rId25040" display="https://twitter.com/bertinosr/status/724413008919842816" xr:uid="{22DD62D5-A479-4B73-A148-F8DEDF112B53}"/>
    <hyperlink ref="O8090" r:id="rId25041" display="https://pbs.twimg.com/profile_images/666453014614446080/7wESjl0P_normal.jpg" xr:uid="{CDD78B59-A604-4A3D-A76E-C873EBF06ADA}"/>
    <hyperlink ref="B8091" r:id="rId25042" display="https://twitter.com/OnlyCarrera" xr:uid="{6C898038-1244-4DC5-BBC1-B71EDE7A51A6}"/>
    <hyperlink ref="E8091" r:id="rId25043" display="https://twitter.com/OnlyCarrera/status/724413041123725312" xr:uid="{6597FC0D-3FA3-4BB3-8B86-2F04238F9789}"/>
    <hyperlink ref="O8091" r:id="rId25044" display="https://pbs.twimg.com/profile_images/542918171158511617/A72BLdkG_normal.png" xr:uid="{0E788DA8-09EC-4193-AEEE-D1183E5D0AC0}"/>
    <hyperlink ref="B8092" r:id="rId25045" display="https://twitter.com/bertinosr" xr:uid="{E2B862B1-44DB-4EC6-BA14-1BA9E619C9AE}"/>
    <hyperlink ref="E8092" r:id="rId25046" display="https://twitter.com/bertinosr/status/724413383924051968" xr:uid="{16ED2266-C18F-44CC-9A09-6155D3949473}"/>
    <hyperlink ref="O8092" r:id="rId25047" display="https://pbs.twimg.com/profile_images/666453014614446080/7wESjl0P_normal.jpg" xr:uid="{67717F0F-34ED-49A5-A2F2-6BF9B34C22C8}"/>
    <hyperlink ref="B8093" r:id="rId25048" display="https://twitter.com/OnlineCarReview" xr:uid="{29D5C56C-5E4E-498A-AEBE-3D9BA9592785}"/>
    <hyperlink ref="E8093" r:id="rId25049" display="https://twitter.com/OnlineCarReview/status/724413499015749633" xr:uid="{467D0F3D-6462-4328-9614-76ADDFA70FCA}"/>
    <hyperlink ref="O8093" r:id="rId25050" display="https://pbs.twimg.com/profile_images/652871584131092480/QA_B6SBO_normal.jpg" xr:uid="{CE8F33A7-E473-47BE-BA30-21A4F6A5F2A6}"/>
    <hyperlink ref="B8094" r:id="rId25051" display="https://twitter.com/OnlineCarReview" xr:uid="{DC99A9D7-7A24-4C11-9DA3-7047412DCF89}"/>
    <hyperlink ref="E8094" r:id="rId25052" display="https://twitter.com/OnlineCarReview/status/724413499892359169" xr:uid="{85CED1C0-EDE5-4F50-9D8C-E1C3208FAFCB}"/>
    <hyperlink ref="O8094" r:id="rId25053" display="https://pbs.twimg.com/profile_images/652871584131092480/QA_B6SBO_normal.jpg" xr:uid="{0AF012C2-14DF-4B68-829E-42994387DA66}"/>
    <hyperlink ref="B8095" r:id="rId25054" display="https://twitter.com/TriplePundit" xr:uid="{AA3C90CA-A12B-4B4B-B73C-75C34D487C46}"/>
    <hyperlink ref="C8095" r:id="rId25055" xr:uid="{7C952C34-5B1D-47CC-AC0C-E314FECB60B6}"/>
    <hyperlink ref="E8095" r:id="rId25056" display="https://twitter.com/TriplePundit/status/724414849418178560" xr:uid="{374528FE-93A2-4699-8AF0-9C2B3604DF9E}"/>
    <hyperlink ref="O8095" r:id="rId25057" display="https://pbs.twimg.com/profile_images/465609811220889600/F7o-Mot7_normal.png" xr:uid="{FCC3A7A4-523B-499E-9904-C3FD590B3A81}"/>
    <hyperlink ref="B8096" r:id="rId25058" display="https://twitter.com/skakurega" xr:uid="{5F683DB1-08F0-4DD3-932D-C834084B06A5}"/>
    <hyperlink ref="E8096" r:id="rId25059" display="https://twitter.com/skakurega/status/724414926589038592" xr:uid="{C28F7C11-860F-4238-B274-85986E62A9EE}"/>
    <hyperlink ref="O8096" r:id="rId25060" display="https://pbs.twimg.com/profile_images/3518634490/a7db4179a4b0e8afcae487f17f254681_normal.jpeg" xr:uid="{E9E2BA06-9469-4DD0-81AF-0F87F8E00765}"/>
    <hyperlink ref="B8097" r:id="rId25061" display="https://twitter.com/memlopes" xr:uid="{33DD35D3-A7A6-4AA1-BB96-B587E4D6F812}"/>
    <hyperlink ref="E8097" r:id="rId25062" display="https://twitter.com/memlopes/status/724414950861594624" xr:uid="{AEE1C132-15AE-4523-94E3-5F28081041EB}"/>
    <hyperlink ref="O8097" r:id="rId25063" display="https://pbs.twimg.com/profile_images/615595547915849728/59myu3d6_normal.jpg" xr:uid="{22BF8152-B78D-4D3C-99A7-EAD47F191E85}"/>
    <hyperlink ref="B8098" r:id="rId25064" display="https://twitter.com/FuscaWorld" xr:uid="{9D419D5A-420D-4B30-850B-B71DB449625F}"/>
    <hyperlink ref="E8098" r:id="rId25065" display="https://twitter.com/FuscaWorld/status/724415251735826433" xr:uid="{AC8E2F31-A9A0-419E-9968-855BF5F8BA05}"/>
    <hyperlink ref="O8098" r:id="rId25066" display="https://pbs.twimg.com/profile_images/705780107844067328/e7O4UBNb_normal.jpg" xr:uid="{E2A6BF63-148B-4268-A774-8FE94D36CA79}"/>
    <hyperlink ref="B8099" r:id="rId25067" display="https://twitter.com/xiimv" xr:uid="{F4555E34-4325-4051-B21C-E3688592B7C9}"/>
    <hyperlink ref="E8099" r:id="rId25068" display="https://twitter.com/xiimv/status/724415877169467392" xr:uid="{8BCBB344-2DF4-4BFB-9968-7289EB2528CE}"/>
    <hyperlink ref="O8099" r:id="rId25069" display="https://pbs.twimg.com/profile_images/463414773837598720/VGGoEDTp_normal.jpeg" xr:uid="{F565A6A4-ED3E-4543-995B-B3B0F21E70DA}"/>
    <hyperlink ref="B8100" r:id="rId25070" display="https://twitter.com/VolkswagenPost" xr:uid="{C144F8C2-ACA5-4CEF-9F22-5F989D3B76D8}"/>
    <hyperlink ref="E8100" r:id="rId25071" display="https://twitter.com/VolkswagenPost/status/724417032410660864" xr:uid="{2C4F05BE-9C90-4CE9-B41C-D91F19067A26}"/>
    <hyperlink ref="O8100" r:id="rId25072" display="https://pbs.twimg.com/profile_images/530071272881803264/a_jcCmPZ_normal.png" xr:uid="{D67BF688-7A2D-4768-A840-3ABD692AD459}"/>
    <hyperlink ref="B8101" r:id="rId25073" display="https://twitter.com/oldcar_photo" xr:uid="{66F4744A-59F3-41F0-BCB0-6050E174F408}"/>
    <hyperlink ref="E8101" r:id="rId25074" display="https://twitter.com/oldcar_photo/status/724417243711438848" xr:uid="{5F664613-5EF9-4479-BF0A-B63053B03A59}"/>
    <hyperlink ref="O8101" r:id="rId25075" display="https://pbs.twimg.com/profile_images/615493650785660928/XHUh6HOk_normal.jpg" xr:uid="{A360858C-0E54-408C-94CF-026FD1E8D6E8}"/>
    <hyperlink ref="B8102" r:id="rId25076" display="https://twitter.com/FuscaWorld" xr:uid="{7BF73D03-DCDB-4502-B77F-B1C5C52F3AFD}"/>
    <hyperlink ref="E8102" r:id="rId25077" display="https://twitter.com/FuscaWorld/status/724417942935461889" xr:uid="{1CA0C572-FD17-47BA-AED7-B86BA287944E}"/>
    <hyperlink ref="O8102" r:id="rId25078" display="https://pbs.twimg.com/profile_images/705780107844067328/e7O4UBNb_normal.jpg" xr:uid="{03834271-82DC-4540-8054-CC38B8C20613}"/>
    <hyperlink ref="B8103" r:id="rId25079" display="https://twitter.com/ActorRglover" xr:uid="{D6F2F086-E7C3-4F52-BD6C-B9BA9ABCBDB6}"/>
    <hyperlink ref="E8103" r:id="rId25080" display="https://twitter.com/ActorRglover/status/724418194421604352" xr:uid="{CF99541A-4224-427D-85F5-A44DE086C037}"/>
    <hyperlink ref="O8103" r:id="rId25081" display="https://pbs.twimg.com/profile_images/574252580101976064/ScPGXllt_normal.jpeg" xr:uid="{5F6809FE-68A6-438B-8671-F93E8CBEFF71}"/>
    <hyperlink ref="B8104" r:id="rId25082" display="https://twitter.com/cmsGOMEX" xr:uid="{401ECD2E-AA6C-410F-9BEA-D4DFB583E2E1}"/>
    <hyperlink ref="E8104" r:id="rId25083" display="https://twitter.com/cmsGOMEX/status/724418291058499584" xr:uid="{096293A4-73E0-446F-99B0-6BA883C54482}"/>
    <hyperlink ref="O8104" r:id="rId25084" display="https://pbs.twimg.com/profile_images/472298206483607552/UogAMiRI_normal.png" xr:uid="{D520B4C8-AB91-4A69-883A-DAC01A6B7A5E}"/>
    <hyperlink ref="B8105" r:id="rId25085" display="https://twitter.com/whats_live" xr:uid="{8389E4DF-1DF1-44BD-A3FB-9B1BAA7083CF}"/>
    <hyperlink ref="E8105" r:id="rId25086" display="https://twitter.com/whats_live/status/724418325791531008" xr:uid="{09ED4394-2033-4FE1-BD01-8CDD90DE2945}"/>
    <hyperlink ref="O8105" r:id="rId25087" display="https://pbs.twimg.com/profile_images/600965523518566400/l0bcJH8l_normal.jpg" xr:uid="{A071661C-7884-495F-9CD1-EA2B7B14CE5A}"/>
    <hyperlink ref="B8106" r:id="rId25088" display="https://twitter.com/WRaamos" xr:uid="{09C3172C-32E9-42A0-BCCB-626C99914946}"/>
    <hyperlink ref="E8106" r:id="rId25089" display="https://twitter.com/WRaamos/status/724418874607853568" xr:uid="{8E2CECBC-5A4F-46C0-AD25-8407E4E90EEA}"/>
    <hyperlink ref="O8106" r:id="rId25090" display="https://pbs.twimg.com/profile_images/724280031296524288/JddOCRxB_normal.jpg" xr:uid="{ADE59F5B-964F-4690-A634-655C3A01C364}"/>
    <hyperlink ref="B8107" r:id="rId25091" display="https://twitter.com/GrupoAlden" xr:uid="{C4EF478B-C5D0-4D77-A24E-9153830A5D5B}"/>
    <hyperlink ref="E8107" r:id="rId25092" display="https://twitter.com/GrupoAlden/status/724418956530987008" xr:uid="{18BF26EE-8EFB-4009-B154-2D40B073F197}"/>
    <hyperlink ref="M8107" r:id="rId25093" xr:uid="{BB2AA5FC-BF42-4B8C-8AD4-559B0D78234B}"/>
    <hyperlink ref="O8107" r:id="rId25094" display="https://pbs.twimg.com/profile_images/685175443654246401/92R4InX-_normal.png" xr:uid="{E5B2F30A-05DC-45A9-BEEA-62F46EE4C4B9}"/>
    <hyperlink ref="B8108" r:id="rId25095" display="https://twitter.com/cmsGOMEX" xr:uid="{518B2EB1-4E2A-4945-BCDB-92B67807F7C5}"/>
    <hyperlink ref="E8108" r:id="rId25096" display="https://twitter.com/cmsGOMEX/status/724419347951833092" xr:uid="{D5DC523D-B884-43EB-B70F-67C273C077E2}"/>
    <hyperlink ref="O8108" r:id="rId25097" display="https://pbs.twimg.com/profile_images/472298206483607552/UogAMiRI_normal.png" xr:uid="{0EE1DD50-ADC1-4460-8755-3642032676FF}"/>
    <hyperlink ref="B8109" r:id="rId25098" display="https://twitter.com/tweetexperte" xr:uid="{FBF3F4E8-F8F5-48BE-9044-55E6FB058CBA}"/>
    <hyperlink ref="E8109" r:id="rId25099" display="https://twitter.com/tweetexperte/status/724419783542890496" xr:uid="{FE97E390-691C-4F4A-B88D-0F5AB0DB56D5}"/>
    <hyperlink ref="O8109" r:id="rId25100" display="https://pbs.twimg.com/profile_images/1097159230/logo_normal.jpg" xr:uid="{F43AFE11-1174-4EE3-9141-24F5EBD90CB9}"/>
    <hyperlink ref="B8110" r:id="rId25101" display="https://twitter.com/cmsGOMEX" xr:uid="{4DDF67EE-A946-47CF-A87E-10E108F59C62}"/>
    <hyperlink ref="E8110" r:id="rId25102" display="https://twitter.com/cmsGOMEX/status/724420031950532609" xr:uid="{BAB61B92-B659-4230-999B-A086C2C8BE4A}"/>
    <hyperlink ref="O8110" r:id="rId25103" display="https://pbs.twimg.com/profile_images/472298206483607552/UogAMiRI_normal.png" xr:uid="{BACCE142-EC66-490B-A498-7FA92A7F8969}"/>
    <hyperlink ref="B8111" r:id="rId25104" display="https://twitter.com/psipika" xr:uid="{933B319B-50F1-4FE6-A952-C9A0CB97BC1F}"/>
    <hyperlink ref="E8111" r:id="rId25105" display="https://twitter.com/psipika/status/724420103345938432" xr:uid="{83A31994-48E3-4ED0-8A72-E2DE029122D8}"/>
    <hyperlink ref="O8111" r:id="rId25106" display="https://pbs.twimg.com/profile_images/598250988458377216/Sa3Qm-0G_normal.jpg" xr:uid="{7F4C6C81-B2A9-4A17-B1C7-617DC858C160}"/>
    <hyperlink ref="B8112" r:id="rId25107" display="https://twitter.com/AutoGuide" xr:uid="{9A50D8C5-7C35-4986-B6F3-854891F8A402}"/>
    <hyperlink ref="C8112" r:id="rId25108" xr:uid="{D3D8CF25-F67D-4A0F-B221-67DAE099A803}"/>
    <hyperlink ref="E8112" r:id="rId25109" display="https://twitter.com/AutoGuide/status/724420201970851840" xr:uid="{E68BE896-7CB3-4703-8545-732EE738395C}"/>
    <hyperlink ref="O8112" r:id="rId25110" display="https://pbs.twimg.com/profile_images/473874771399024640/wZCIFr9T_normal.png" xr:uid="{B76F160F-4D6D-461B-BF62-3AF32F663AB3}"/>
    <hyperlink ref="B8113" r:id="rId25111" display="https://twitter.com/SaryAliLasheen" xr:uid="{6D784EB9-EAC5-4685-BEC9-9986DD93F2BA}"/>
    <hyperlink ref="E8113" r:id="rId25112" display="https://twitter.com/SaryAliLasheen/status/724420550131630080" xr:uid="{C700726C-07A2-41D3-914B-5A2B6D106F16}"/>
    <hyperlink ref="O8113" r:id="rId25113" display="https://pbs.twimg.com/profile_images/670100002354700288/alUCl1Z-_normal.jpg" xr:uid="{0B007390-FCF7-4AA8-9788-247BC428B27D}"/>
    <hyperlink ref="B8114" r:id="rId25114" display="https://twitter.com/SolidStateMonk" xr:uid="{884E773C-EB4E-4AE5-9864-07FFD2FC5790}"/>
    <hyperlink ref="E8114" r:id="rId25115" display="https://twitter.com/SolidStateMonk/status/724420598831570945" xr:uid="{FFC01CC6-B854-4CBE-838D-6D71EDA68880}"/>
    <hyperlink ref="O8114" r:id="rId25116" display="https://pbs.twimg.com/profile_images/1574591925/image_normal.jpg" xr:uid="{0A413CE2-F6B1-472E-B236-6FE001E15673}"/>
    <hyperlink ref="B8115" r:id="rId25117" display="https://twitter.com/whats_live" xr:uid="{AC4C866C-132D-4023-82E9-240980642A00}"/>
    <hyperlink ref="E8115" r:id="rId25118" display="https://twitter.com/whats_live/status/724420834329268224" xr:uid="{6C5AFF41-F3FC-4305-9D30-F495BC53A7CA}"/>
    <hyperlink ref="O8115" r:id="rId25119" display="https://pbs.twimg.com/profile_images/600965523518566400/l0bcJH8l_normal.jpg" xr:uid="{0A52F8A8-573D-40BD-A808-72170AB10A28}"/>
    <hyperlink ref="B8116" r:id="rId25120" display="https://twitter.com/cmsGOMEX" xr:uid="{B0CFB4A7-4B01-4C8F-86E4-2BE7AFE33003}"/>
    <hyperlink ref="E8116" r:id="rId25121" display="https://twitter.com/cmsGOMEX/status/724421212001173504" xr:uid="{5B2DFF15-9E42-4544-963E-140B990AD08E}"/>
    <hyperlink ref="O8116" r:id="rId25122" display="https://pbs.twimg.com/profile_images/472298206483607552/UogAMiRI_normal.png" xr:uid="{2CF08318-3F2C-4823-AF0F-22595E5A445D}"/>
    <hyperlink ref="B8117" r:id="rId25123" display="https://twitter.com/fakundo_diaz" xr:uid="{431CDD2C-42EF-403C-A115-CF7056E85238}"/>
    <hyperlink ref="E8117" r:id="rId25124" display="https://twitter.com/fakundo_diaz/status/724422394392248320" xr:uid="{1DC8A67A-FA3C-4295-821C-12E294C58845}"/>
    <hyperlink ref="O8117" r:id="rId25125" display="https://pbs.twimg.com/profile_images/669521930270167040/XVOJdTfV_normal.jpg" xr:uid="{13F41102-4D42-4A2C-8EAF-C99CA96F0D74}"/>
    <hyperlink ref="B8118" r:id="rId25126" display="https://twitter.com/Automotive_News" xr:uid="{6EAE8BBE-DAE3-4F62-B9E9-D971C48B4669}"/>
    <hyperlink ref="E8118" r:id="rId25127" display="https://twitter.com/Automotive_News/status/724422715302666241" xr:uid="{16E27B57-9EEC-49B8-A678-5E5F3CAF235F}"/>
    <hyperlink ref="O8118" r:id="rId25128" display="https://pbs.twimg.com/profile_images/378800000534775382/4bec857571a11a945880576a81c8720e_normal.jpeg" xr:uid="{803D7F9C-B0EF-4E01-BA70-EA480ED81056}"/>
    <hyperlink ref="B8119" r:id="rId25129" display="https://twitter.com/fowwow" xr:uid="{4B956F72-050A-4C46-8F74-368A2CA94F63}"/>
    <hyperlink ref="E8119" r:id="rId25130" display="https://twitter.com/fowwow/status/724423045591367681" xr:uid="{C92D4E0F-77CF-4EF6-B7BB-E1A5B6267C23}"/>
    <hyperlink ref="O8119" r:id="rId25131" display="https://pbs.twimg.com/profile_images/719182919592325120/IBGd05b6_normal.jpg" xr:uid="{D95F0999-1C18-4933-9879-EE668A774636}"/>
    <hyperlink ref="B8120" r:id="rId25132" display="https://twitter.com/Floppii_Chiara" xr:uid="{A8E4399D-2C24-46B4-B288-725F04FFA1F4}"/>
    <hyperlink ref="E8120" r:id="rId25133" display="https://twitter.com/Floppii_Chiara/status/724423128470925312" xr:uid="{0BC7A5FE-3577-40C8-8489-86CF33758D67}"/>
    <hyperlink ref="O8120" r:id="rId25134" display="https://pbs.twimg.com/profile_images/721334921982296065/-8sj1MgA_normal.jpg" xr:uid="{09B59386-E13C-4111-936D-B9F245CA1D16}"/>
    <hyperlink ref="B8121" r:id="rId25135" display="https://twitter.com/enano_81" xr:uid="{D9F0CBDA-1B33-4393-B75D-69EED52E73B1}"/>
    <hyperlink ref="E8121" r:id="rId25136" display="https://twitter.com/enano_81/status/724423171726671872" xr:uid="{8C1FA9B7-B981-4DCB-B24B-20C8C4A12056}"/>
    <hyperlink ref="O8121" r:id="rId25137" display="https://pbs.twimg.com/profile_images/689509767400820737/RMJYtaTw_normal.jpg" xr:uid="{5DADDB36-2836-4FDE-84D8-72F9D4E41776}"/>
    <hyperlink ref="B8122" r:id="rId25138" display="https://twitter.com/cmsGOMEX" xr:uid="{77B0AA88-4208-442D-9B5C-A5884EA88C71}"/>
    <hyperlink ref="E8122" r:id="rId25139" display="https://twitter.com/cmsGOMEX/status/724423290027163648" xr:uid="{40F49D02-E814-4665-98C9-BF46880C1D53}"/>
    <hyperlink ref="O8122" r:id="rId25140" display="https://pbs.twimg.com/profile_images/472298206483607552/UogAMiRI_normal.png" xr:uid="{5F1E864A-DAE9-45F3-B737-DE12E6B9EC90}"/>
    <hyperlink ref="B8123" r:id="rId25141" display="https://twitter.com/elipruelas" xr:uid="{6827CB8D-CA63-46E4-96E7-52FE733DAC4F}"/>
    <hyperlink ref="E8123" r:id="rId25142" display="https://twitter.com/elipruelas/status/724423306653265920" xr:uid="{AAE8FE94-973C-4B28-A6A1-932D9DF6C60A}"/>
    <hyperlink ref="O8123" r:id="rId25143" display="https://pbs.twimg.com/profile_images/463092391977562112/EHmmwsgC_normal.jpeg" xr:uid="{749901F0-EC3E-4887-BB8C-96064C619205}"/>
    <hyperlink ref="B8124" r:id="rId25144" display="https://twitter.com/Floppii_Chiara" xr:uid="{78177450-720F-49C6-9CA2-169C49CE2F42}"/>
    <hyperlink ref="E8124" r:id="rId25145" display="https://twitter.com/Floppii_Chiara/status/724423579488641025" xr:uid="{3F0EE5B2-A8A0-40A6-9477-7B0C09A74593}"/>
    <hyperlink ref="O8124" r:id="rId25146" display="https://pbs.twimg.com/profile_images/721334921982296065/-8sj1MgA_normal.jpg" xr:uid="{4FA4DA85-C085-4F7A-98A1-A1483D58676F}"/>
    <hyperlink ref="B8125" r:id="rId25147" display="https://twitter.com/HotRidesDaily1" xr:uid="{F3D823E4-BF26-4CC4-8524-BC6E88D8F883}"/>
    <hyperlink ref="E8125" r:id="rId25148" display="https://twitter.com/HotRidesDaily1/status/724423680000970752" xr:uid="{AF844C1B-7BDC-44A7-8BA1-24F4DD187EDB}"/>
    <hyperlink ref="O8125" r:id="rId25149" display="https://pbs.twimg.com/profile_images/578040776237588480/ExmIRu0n_normal.jpeg" xr:uid="{503926A9-2700-4FC5-8361-515ACB2E4FE7}"/>
    <hyperlink ref="B8126" r:id="rId25150" display="https://twitter.com/cxc4155" xr:uid="{99A9057D-EE94-4942-8573-7329AC889FBB}"/>
    <hyperlink ref="E8126" r:id="rId25151" display="https://twitter.com/cxc4155/status/724423727178358784" xr:uid="{EE0ED66E-925A-4B01-84FA-43C6A9B73254}"/>
    <hyperlink ref="O8126" r:id="rId25152" display="https://abs.twimg.com/sticky/default_profile_images/default_profile_0_normal.png" xr:uid="{EFFB7CBF-2655-40DB-85A2-93090FB63A04}"/>
    <hyperlink ref="B8127" r:id="rId25153" display="https://twitter.com/DeeZeeX" xr:uid="{0AF58D04-DA4F-4929-8587-06282ED50C04}"/>
    <hyperlink ref="E8127" r:id="rId25154" display="https://twitter.com/DeeZeeX/status/724424092225433600" xr:uid="{489BA33F-68F5-4B4F-A9D9-BDC5337C088A}"/>
    <hyperlink ref="O8127" r:id="rId25155" display="https://pbs.twimg.com/profile_images/720623345029423104/TUxoNGEM_normal.jpg" xr:uid="{72FE641A-4BDE-43AE-ABE9-D732736E45F1}"/>
    <hyperlink ref="B8128" r:id="rId25156" display="https://twitter.com/Lil_Lorii" xr:uid="{F33A9A04-79DD-4749-A562-9365D09D0FBC}"/>
    <hyperlink ref="E8128" r:id="rId25157" display="https://twitter.com/Lil_Lorii/status/724424431615922176" xr:uid="{F46ED08A-5364-4F3D-8C89-C08BF66AACF8}"/>
    <hyperlink ref="O8128" r:id="rId25158" display="https://pbs.twimg.com/profile_images/721367110065127424/QmjA60l4_normal.jpg" xr:uid="{16096251-ED2B-4128-B572-1029D098BF0F}"/>
    <hyperlink ref="B8129" r:id="rId25159" display="https://twitter.com/DeeZeeX" xr:uid="{E203B511-958A-4032-A99A-3E1759414056}"/>
    <hyperlink ref="E8129" r:id="rId25160" display="https://twitter.com/DeeZeeX/status/724424522141593600" xr:uid="{1D520C87-CEF4-46BE-9716-7E36B7F395DF}"/>
    <hyperlink ref="O8129" r:id="rId25161" display="https://pbs.twimg.com/profile_images/720623345029423104/TUxoNGEM_normal.jpg" xr:uid="{D2471664-C404-482E-AE10-94B8E7F35754}"/>
    <hyperlink ref="B8130" r:id="rId25162" display="https://twitter.com/Nanno2033" xr:uid="{4A5AA1F2-141B-4A00-BE1B-743DA242A787}"/>
    <hyperlink ref="E8130" r:id="rId25163" display="https://twitter.com/Nanno2033/status/724424606292021248" xr:uid="{9C69F1A0-1CC5-4C02-B606-DCFA10C6D690}"/>
    <hyperlink ref="O8130" r:id="rId25164" display="https://pbs.twimg.com/profile_images/690000045916229633/htjgPesK_normal.jpg" xr:uid="{3974AE0A-8DA8-461D-941C-99C2A458C1E4}"/>
    <hyperlink ref="B8131" r:id="rId25165" display="https://twitter.com/dougyfresh_79" xr:uid="{816D64AF-02C2-4BBC-AA78-7289EE0F6150}"/>
    <hyperlink ref="E8131" r:id="rId25166" display="https://twitter.com/dougyfresh_79/status/724424704350507009" xr:uid="{E781A3F0-024D-4B47-BB94-7DA9EE59C6D9}"/>
    <hyperlink ref="O8131" r:id="rId25167" display="https://pbs.twimg.com/profile_images/645778032838492167/ootRftiU_normal.jpg" xr:uid="{9AAD1C3C-0D70-4E7B-97DE-1A339FDAA22A}"/>
    <hyperlink ref="B8132" r:id="rId25168" display="https://twitter.com/cmsGOMEX" xr:uid="{1FFF73A1-A554-4F19-B3FF-BB52E821B5C1}"/>
    <hyperlink ref="E8132" r:id="rId25169" display="https://twitter.com/cmsGOMEX/status/724424717143269376" xr:uid="{A6A315DD-2B6C-42BE-87BF-06A40CEF3A23}"/>
    <hyperlink ref="O8132" r:id="rId25170" display="https://pbs.twimg.com/profile_images/472298206483607552/UogAMiRI_normal.png" xr:uid="{5617CB45-0636-428C-A98B-A2B7EAAABE36}"/>
    <hyperlink ref="B8133" r:id="rId25171" display="https://twitter.com/DeeZeeX" xr:uid="{99D088B9-CDFA-4330-BE5B-629F7E4345D9}"/>
    <hyperlink ref="E8133" r:id="rId25172" display="https://twitter.com/DeeZeeX/status/724425006197788672" xr:uid="{BDBED30A-132F-4F1B-9B59-EBC0FCE7D227}"/>
    <hyperlink ref="O8133" r:id="rId25173" display="https://pbs.twimg.com/profile_images/720623345029423104/TUxoNGEM_normal.jpg" xr:uid="{5FE6297A-0C0F-4B53-B0F0-3996F2FED0DE}"/>
    <hyperlink ref="B8134" r:id="rId25174" display="https://twitter.com/dougyfresh_79" xr:uid="{723C60A5-6357-4DF5-8E34-B2CC34A51974}"/>
    <hyperlink ref="E8134" r:id="rId25175" display="https://twitter.com/dougyfresh_79/status/724425066771935232" xr:uid="{5D7D299D-F1A3-444A-BAD4-552250D12430}"/>
    <hyperlink ref="O8134" r:id="rId25176" display="https://pbs.twimg.com/profile_images/645778032838492167/ootRftiU_normal.jpg" xr:uid="{F23F51DB-B5CE-49FF-87EF-20A4BF38DAC0}"/>
    <hyperlink ref="B8135" r:id="rId25177" display="https://twitter.com/DeeZeeX" xr:uid="{033B9451-4570-4269-B82C-46DC42163393}"/>
    <hyperlink ref="E8135" r:id="rId25178" display="https://twitter.com/DeeZeeX/status/724425476828090368" xr:uid="{33D17BBC-FFAB-4C1C-BFD8-03BE70DA7AD9}"/>
    <hyperlink ref="O8135" r:id="rId25179" display="https://pbs.twimg.com/profile_images/720623345029423104/TUxoNGEM_normal.jpg" xr:uid="{E9E158A7-E311-4326-B985-2B1ADCB5EF2B}"/>
    <hyperlink ref="B8136" r:id="rId25180" display="https://twitter.com/AutostyleCoZa" xr:uid="{82169BBC-15B2-485B-9656-C0ACDB2B6C9D}"/>
    <hyperlink ref="E8136" r:id="rId25181" display="https://twitter.com/AutostyleCoZa/status/724425652305334272" xr:uid="{C4057259-BFB8-45BE-A577-2832EB2DD42B}"/>
    <hyperlink ref="O8136" r:id="rId25182" display="https://pbs.twimg.com/profile_images/404564714/n219535500723_1136_normal.jpg" xr:uid="{9BEC9F71-7755-4062-A006-F5F3A7376A63}"/>
    <hyperlink ref="B8137" r:id="rId25183" display="https://twitter.com/vwpress_en" xr:uid="{AC695E0B-78DA-45E4-AA51-647722647D97}"/>
    <hyperlink ref="E8137" r:id="rId25184" display="https://twitter.com/vwpress_en/status/724425675533357056" xr:uid="{B29B74F8-691E-4FA8-82C7-F046980D8F87}"/>
    <hyperlink ref="O8137" r:id="rId25185" display="https://pbs.twimg.com/profile_images/682117963349135360/IUfZQy35_normal.png" xr:uid="{FED865E9-9BC4-4C8F-8F5E-E6389D06E124}"/>
    <hyperlink ref="B8138" r:id="rId25186" display="https://twitter.com/SUPERFMELECTRO" xr:uid="{CED8AE11-DE68-4EBD-B4F9-A42BF4A2A129}"/>
    <hyperlink ref="E8138" r:id="rId25187" display="https://twitter.com/SUPERFMELECTRO/status/724425723683938304" xr:uid="{6D91D0B7-DF2F-4B43-8C5B-952AB7C0B471}"/>
    <hyperlink ref="O8138" r:id="rId25188" display="https://pbs.twimg.com/profile_images/592727746888998913/J4Qy4a3J_normal.png" xr:uid="{46B18326-4377-4B6F-B79E-D6F777E8010D}"/>
    <hyperlink ref="B8139" r:id="rId25189" display="https://twitter.com/allandvd7" xr:uid="{78267AC0-86AA-4EA0-A64D-49ED9A67A30A}"/>
    <hyperlink ref="E8139" r:id="rId25190" display="https://twitter.com/allandvd7/status/724425886808809472" xr:uid="{BCBA79F9-38EB-418A-B1D3-17A16B315D97}"/>
    <hyperlink ref="O8139" r:id="rId25191" display="https://pbs.twimg.com/profile_images/687722541268471808/zj-L4Cfy_normal.jpg" xr:uid="{CC3F37C7-2AB8-4D87-9DD0-47428903D77C}"/>
    <hyperlink ref="B8140" r:id="rId25192" display="https://twitter.com/1Feedom" xr:uid="{A787C786-65B8-4C2C-A804-02B8DF24632B}"/>
    <hyperlink ref="C8140" r:id="rId25193" xr:uid="{62ED3B5D-A3F9-4D52-8A23-602133D2C0B4}"/>
    <hyperlink ref="E8140" r:id="rId25194" display="https://twitter.com/1Feedom/status/724425901711208449" xr:uid="{5363AD31-1EAF-40EF-9B02-FA56357AC236}"/>
    <hyperlink ref="O8140" r:id="rId25195" display="https://pbs.twimg.com/profile_images/603357236874850304/6etULKc2_normal.jpg" xr:uid="{056B647F-ECA6-4020-8988-62304B2E3395}"/>
    <hyperlink ref="B8141" r:id="rId25196" display="https://twitter.com/dougyfresh_79" xr:uid="{53340E8B-8063-42DF-9853-378F8B119AED}"/>
    <hyperlink ref="E8141" r:id="rId25197" display="https://twitter.com/dougyfresh_79/status/724426040530051072" xr:uid="{079D672C-5EFB-4569-BCA2-43CA7A5B3B1E}"/>
    <hyperlink ref="O8141" r:id="rId25198" display="https://pbs.twimg.com/profile_images/645778032838492167/ootRftiU_normal.jpg" xr:uid="{423C9AA1-C049-4640-9357-2AF7C02473FA}"/>
    <hyperlink ref="B8142" r:id="rId25199" display="https://twitter.com/DeeZeeX" xr:uid="{5E3C962A-A7C3-4A1E-B8D3-1D7915BAD8F8}"/>
    <hyperlink ref="E8142" r:id="rId25200" display="https://twitter.com/DeeZeeX/status/724426157009952768" xr:uid="{298E6395-7BC4-4B0C-ABC6-73D1EC16A372}"/>
    <hyperlink ref="O8142" r:id="rId25201" display="https://pbs.twimg.com/profile_images/720623345029423104/TUxoNGEM_normal.jpg" xr:uid="{058FFED3-9114-4CD2-890D-2E2904EA229D}"/>
    <hyperlink ref="B8143" r:id="rId25202" display="https://twitter.com/OMoreano" xr:uid="{E991EECA-9549-4A64-BAE0-84B8124EF4C4}"/>
    <hyperlink ref="E8143" r:id="rId25203" display="https://twitter.com/OMoreano/status/724426200110780425" xr:uid="{64D00BAA-4419-4ABE-ABC9-16E80AEF23B9}"/>
    <hyperlink ref="O8143" r:id="rId25204" display="https://pbs.twimg.com/profile_images/671429217708613632/liLbMQTu_normal.jpg" xr:uid="{9314DDBF-723B-4B80-A48F-64959C897A96}"/>
    <hyperlink ref="B8144" r:id="rId25205" display="https://twitter.com/vwpress_en" xr:uid="{E8C0C3AA-0A54-4E07-943A-EFD16ABFCD61}"/>
    <hyperlink ref="E8144" r:id="rId25206" display="https://twitter.com/vwpress_en/status/724426278879789056" xr:uid="{E34925E4-D16A-47FA-AA66-02B4F7BE659A}"/>
    <hyperlink ref="O8144" r:id="rId25207" display="https://pbs.twimg.com/profile_images/682117963349135360/IUfZQy35_normal.png" xr:uid="{9F878579-73D2-44DA-B1C5-FAC97187FF51}"/>
    <hyperlink ref="B8145" r:id="rId25208" display="https://twitter.com/VWCamperSales" xr:uid="{583099AD-0BF7-41F1-A2C0-D49E083FD816}"/>
    <hyperlink ref="E8145" r:id="rId25209" display="https://twitter.com/VWCamperSales/status/724426350950408192" xr:uid="{92E12685-42DE-41EB-8095-A85EB6BE2BF9}"/>
    <hyperlink ref="F8145" r:id="rId25210" xr:uid="{65ABD036-450F-4E50-B5B8-A1493EE4136C}"/>
    <hyperlink ref="O8145" r:id="rId25211" display="https://pbs.twimg.com/profile_images/627949001179037696/skEBkS05_normal.jpg" xr:uid="{D2585550-4E73-4305-9E03-D08DBB5B43BE}"/>
    <hyperlink ref="B8146" r:id="rId25212" display="https://twitter.com/DeeZeeX" xr:uid="{CEA7540C-19D4-482B-BC00-4DC6B2FD553D}"/>
    <hyperlink ref="E8146" r:id="rId25213" display="https://twitter.com/DeeZeeX/status/724426850546520065" xr:uid="{528E7BC1-40BF-4F25-B606-6B1D6A2AE8C8}"/>
    <hyperlink ref="O8146" r:id="rId25214" display="https://pbs.twimg.com/profile_images/720623345029423104/TUxoNGEM_normal.jpg" xr:uid="{0EA80C96-3C76-4BF3-9F9F-1FDCF2CA306D}"/>
    <hyperlink ref="B8147" r:id="rId25215" display="https://twitter.com/randyskilz" xr:uid="{67E4E1C5-3C16-4A30-9644-A0C7080F4860}"/>
    <hyperlink ref="E8147" r:id="rId25216" display="https://twitter.com/randyskilz/status/724427150678331392" xr:uid="{833BEE14-2494-4A04-811C-D565B992FBE2}"/>
    <hyperlink ref="O8147" r:id="rId25217" display="https://pbs.twimg.com/profile_images/1308524846/IMG_0316_normal.PNG" xr:uid="{EBB17ACA-A23E-41B2-A3B6-1CD528756658}"/>
    <hyperlink ref="B8148" r:id="rId25218" display="https://twitter.com/DeeZeeX" xr:uid="{8DD30FB7-1154-4A0F-94A8-2D145D1A759F}"/>
    <hyperlink ref="E8148" r:id="rId25219" display="https://twitter.com/DeeZeeX/status/724427267049283585" xr:uid="{98907B30-BABC-4828-B2CC-75F279BC6338}"/>
    <hyperlink ref="O8148" r:id="rId25220" display="https://pbs.twimg.com/profile_images/720623345029423104/TUxoNGEM_normal.jpg" xr:uid="{8CD158DD-E2AC-4038-984E-B719DF79007F}"/>
    <hyperlink ref="B8149" r:id="rId25221" display="https://twitter.com/DeeZeeX" xr:uid="{BB626129-FAE3-4595-9F64-C470B2DE66BE}"/>
    <hyperlink ref="E8149" r:id="rId25222" display="https://twitter.com/DeeZeeX/status/724427732554108928" xr:uid="{ED7E754D-9D99-4FC9-9684-BFCDFD904E96}"/>
    <hyperlink ref="O8149" r:id="rId25223" display="https://pbs.twimg.com/profile_images/720623345029423104/TUxoNGEM_normal.jpg" xr:uid="{C8545A0F-438A-433A-95ED-ED5B3757ABCC}"/>
    <hyperlink ref="B8150" r:id="rId25224" display="https://twitter.com/CHUCHOZ" xr:uid="{7ABBE5D3-EBF9-4D01-8F8A-4DE943A24C8A}"/>
    <hyperlink ref="E8150" r:id="rId25225" display="https://twitter.com/CHUCHOZ/status/724427749243404289" xr:uid="{BBC8B661-DCBD-4E79-83B5-34D5B08E3D28}"/>
    <hyperlink ref="O8150" r:id="rId25226" display="https://pbs.twimg.com/profile_images/687586264434884608/SvvnYdWR_normal.jpg" xr:uid="{216B24A5-1588-40D8-A08A-EE60501D5602}"/>
    <hyperlink ref="P8150" r:id="rId25227" location="20.6229858,-87.0789108" display="http://ctrlq.org/maps/address/ - 20.6229858,-87.0789108" xr:uid="{09B66356-1515-46AB-BC86-29EB3DCEDF69}"/>
    <hyperlink ref="B8151" r:id="rId25228" display="https://twitter.com/cmsGOMEX" xr:uid="{E1E3B80C-CF8F-446D-B74D-95444C823060}"/>
    <hyperlink ref="E8151" r:id="rId25229" display="https://twitter.com/cmsGOMEX/status/724427848593903618" xr:uid="{CA452B83-6873-41AF-A957-371FC4B53340}"/>
    <hyperlink ref="O8151" r:id="rId25230" display="https://pbs.twimg.com/profile_images/472298206483607552/UogAMiRI_normal.png" xr:uid="{6F3830E7-1DE5-4E72-8D71-5DF43841D7C1}"/>
    <hyperlink ref="B8152" r:id="rId25231" display="https://twitter.com/dubbusses" xr:uid="{7F35F82C-141F-4D5C-A021-006D378922D9}"/>
    <hyperlink ref="E8152" r:id="rId25232" display="https://twitter.com/dubbusses/status/724428032245637121" xr:uid="{5C8C687F-1D56-484F-ACB1-09EDD992F5F8}"/>
    <hyperlink ref="O8152" r:id="rId25233" display="https://pbs.twimg.com/profile_images/718835727027580928/1ssyQ67y_normal.jpg" xr:uid="{4C0BDFFA-CA6A-4D6F-BF26-45C5A9361D1C}"/>
    <hyperlink ref="B8153" r:id="rId25234" display="https://twitter.com/_grajeda" xr:uid="{85CC8254-11A0-40A8-95D1-1B97C2230734}"/>
    <hyperlink ref="E8153" r:id="rId25235" display="https://twitter.com/_grajeda/status/724428037815717888" xr:uid="{1E2E774E-52F3-4F2E-9109-B99F694EA2A4}"/>
    <hyperlink ref="O8153" r:id="rId25236" display="https://pbs.twimg.com/profile_images/705814859577843712/lBAyAr3I_normal.jpg" xr:uid="{95D64C5D-F6AE-40E7-A182-B804E7091EFE}"/>
    <hyperlink ref="B8154" r:id="rId25237" display="https://twitter.com/dubbusses" xr:uid="{7BDFDBFE-714B-4DEC-904E-AE1407AC6159}"/>
    <hyperlink ref="E8154" r:id="rId25238" display="https://twitter.com/dubbusses/status/724428059856756736" xr:uid="{0DB407F5-945C-403D-8630-83A66DB71644}"/>
    <hyperlink ref="O8154" r:id="rId25239" display="https://pbs.twimg.com/profile_images/718835727027580928/1ssyQ67y_normal.jpg" xr:uid="{185A8E61-C6B1-470B-AE67-875FF55D7DC7}"/>
    <hyperlink ref="B8155" r:id="rId25240" display="https://twitter.com/DeeZeeX" xr:uid="{CCBEF687-3720-4820-9368-B66E879178FE}"/>
    <hyperlink ref="E8155" r:id="rId25241" display="https://twitter.com/DeeZeeX/status/724428088734437376" xr:uid="{FDE11ECE-43D5-49EE-97F5-BD75F5CA241B}"/>
    <hyperlink ref="O8155" r:id="rId25242" display="https://pbs.twimg.com/profile_images/720623345029423104/TUxoNGEM_normal.jpg" xr:uid="{B4D4BD57-A88C-4502-90D7-C25510BA820F}"/>
    <hyperlink ref="B8156" r:id="rId25243" display="https://twitter.com/DeeZeeX" xr:uid="{886654C9-BA76-41A2-BF4F-1BC57CFE90D0}"/>
    <hyperlink ref="E8156" r:id="rId25244" display="https://twitter.com/DeeZeeX/status/724428442196807680" xr:uid="{98C3D00A-8E99-4C41-B0A3-28460A03CC77}"/>
    <hyperlink ref="O8156" r:id="rId25245" display="https://pbs.twimg.com/profile_images/720623345029423104/TUxoNGEM_normal.jpg" xr:uid="{7BE794C7-24CB-4EDC-993A-7595E14C90F4}"/>
    <hyperlink ref="B8157" r:id="rId25246" display="https://twitter.com/vwpress_en" xr:uid="{979DF55A-00AE-41CE-8A74-5B70153AD12A}"/>
    <hyperlink ref="E8157" r:id="rId25247" display="https://twitter.com/vwpress_en/status/724428514817089541" xr:uid="{E363E8DB-AD18-493B-8ECC-9E13F63BEE8D}"/>
    <hyperlink ref="O8157" r:id="rId25248" display="https://pbs.twimg.com/profile_images/682117963349135360/IUfZQy35_normal.png" xr:uid="{36C07212-6C3C-480F-A031-D52F900D3A6E}"/>
    <hyperlink ref="B8158" r:id="rId25249" display="https://twitter.com/machminer" xr:uid="{06D0155D-21E6-4BDC-A021-3FEA7062E50A}"/>
    <hyperlink ref="E8158" r:id="rId25250" display="https://twitter.com/machminer/status/724428592524996608" xr:uid="{53D7EBCD-A93A-496C-8A12-00FD08E1A51E}"/>
    <hyperlink ref="O8158" r:id="rId25251" display="https://pbs.twimg.com/profile_images/696314114033979392/RqPOdnmB_normal.jpg" xr:uid="{C56AD0B3-0352-4F1A-91AC-E735691E285D}"/>
    <hyperlink ref="B8159" r:id="rId25252" display="https://twitter.com/Scirocco_Tuning" xr:uid="{753FD8BB-E4B0-476C-A0D4-4239A873CEA3}"/>
    <hyperlink ref="E8159" r:id="rId25253" display="https://twitter.com/Scirocco_Tuning/status/724428692273926144" xr:uid="{2D2B53E1-71F8-4D19-9508-C619C894B98A}"/>
    <hyperlink ref="O8159" r:id="rId25254" display="https://pbs.twimg.com/profile_images/1610421423/Image2_normal.jpg" xr:uid="{593E49C7-83D1-4C51-B5F7-9ED0C5E7128B}"/>
    <hyperlink ref="B8160" r:id="rId25255" display="https://twitter.com/WestCoastAuto16" xr:uid="{DBE9689E-0333-4D90-98A8-6A62C53C825C}"/>
    <hyperlink ref="E8160" r:id="rId25256" display="https://twitter.com/WestCoastAuto16/status/724428737513574402" xr:uid="{96C34CC9-24FD-4298-B897-25E47A3EBFB3}"/>
    <hyperlink ref="O8160" r:id="rId25257" display="https://pbs.twimg.com/profile_images/721557150284132352/uKRC8h7s_normal.jpg" xr:uid="{24E77D1C-42A0-4DA7-B03F-26E51E40A6BE}"/>
    <hyperlink ref="B8161" r:id="rId25258" display="https://twitter.com/perks_tre" xr:uid="{3B2927ED-ED16-4408-B4A3-3596423A2AC2}"/>
    <hyperlink ref="E8161" r:id="rId25259" display="https://twitter.com/perks_tre/status/724428756861870080" xr:uid="{ED743419-E6DE-4112-8FCB-E2CCC678BAE0}"/>
    <hyperlink ref="O8161" r:id="rId25260" display="https://pbs.twimg.com/profile_images/701569180869349376/3qWAAPJX_normal.jpg" xr:uid="{3B958071-0057-4BA0-92F2-A27D6C2C5792}"/>
    <hyperlink ref="B8162" r:id="rId25261" display="https://twitter.com/david_scholz" xr:uid="{0725D4EB-9761-4E09-ADFD-7449E7E87488}"/>
    <hyperlink ref="E8162" r:id="rId25262" display="https://twitter.com/david_scholz/status/724428791335014401" xr:uid="{58503A83-83BA-4B9D-8B20-1123C66D5314}"/>
    <hyperlink ref="O8162" r:id="rId25263" display="https://pbs.twimg.com/profile_images/685265504013922310/d6RU8CX__normal.jpg" xr:uid="{8B680CF6-4CCD-4A90-BBD0-E35F93F18B2E}"/>
    <hyperlink ref="B8163" r:id="rId25264" display="https://twitter.com/DeeZeeX" xr:uid="{B4E6AB93-9F84-4F5E-9CDF-DC4B0510B10E}"/>
    <hyperlink ref="E8163" r:id="rId25265" display="https://twitter.com/DeeZeeX/status/724428791796244482" xr:uid="{99807E2D-445A-4A78-A423-7FB41FF67D21}"/>
    <hyperlink ref="O8163" r:id="rId25266" display="https://pbs.twimg.com/profile_images/720623345029423104/TUxoNGEM_normal.jpg" xr:uid="{6527B405-3007-4F79-8A0E-B3DD1BE8BC54}"/>
    <hyperlink ref="B8164" r:id="rId25267" display="https://twitter.com/VAGMotorsportSA" xr:uid="{9D95DE21-C820-4E40-82BC-C67A2C38A022}"/>
    <hyperlink ref="E8164" r:id="rId25268" display="https://twitter.com/VAGMotorsportSA/status/724429000169381888" xr:uid="{1A4C6E08-EC70-479F-B98B-BAB493D3DC9F}"/>
    <hyperlink ref="O8164" r:id="rId25269" display="https://pbs.twimg.com/profile_images/538524613073178624/Zs-tGYIs_normal.jpeg" xr:uid="{A8D62753-1E49-4920-AB77-3AAD1C2F87B5}"/>
    <hyperlink ref="B8165" r:id="rId25270" display="https://twitter.com/Henry_Ruiz684" xr:uid="{DF5E789E-ED3C-4531-85A6-AE393E705F2E}"/>
    <hyperlink ref="E8165" r:id="rId25271" display="https://twitter.com/Henry_Ruiz684/status/724429116859019265" xr:uid="{0E798515-13D4-4E2D-A8C7-0BD15382F2FF}"/>
    <hyperlink ref="O8165" r:id="rId25272" display="https://pbs.twimg.com/profile_images/717792856149078016/yRMIDscz_normal.jpg" xr:uid="{06DF1BA5-88A4-4ED5-80D6-DADF3789F7F7}"/>
    <hyperlink ref="B8166" r:id="rId25273" display="https://twitter.com/Iamasad92" xr:uid="{DD762277-5DA3-4444-B534-2A79C6595FFA}"/>
    <hyperlink ref="E8166" r:id="rId25274" display="https://twitter.com/Iamasad92/status/724429330873458688" xr:uid="{1109F779-DF1A-467F-8CD7-64EEE39C17E7}"/>
    <hyperlink ref="O8166" r:id="rId25275" display="https://pbs.twimg.com/profile_images/722372035364655104/mEwVpWTn_normal.jpg" xr:uid="{28FB61A9-2882-4BDA-ABB3-33FB9EA4BD78}"/>
    <hyperlink ref="B8167" r:id="rId25276" display="https://twitter.com/GiererIleana" xr:uid="{1E12AEF2-7FD7-48F1-B80D-934D55BA40D5}"/>
    <hyperlink ref="E8167" r:id="rId25277" display="https://twitter.com/GiererIleana/status/724429405708271616" xr:uid="{9AE9D85A-5110-4FE9-9631-F4CD5399EC4E}"/>
    <hyperlink ref="O8167" r:id="rId25278" display="https://pbs.twimg.com/profile_images/617431372093894656/hugBtv85_normal.jpg" xr:uid="{0E4822C9-F74C-48B9-B07A-C0DE9C9955EC}"/>
    <hyperlink ref="B8168" r:id="rId25279" display="https://twitter.com/vwpress_en" xr:uid="{F3A39D0E-9395-48BE-AE6A-CF82B49369A2}"/>
    <hyperlink ref="E8168" r:id="rId25280" display="https://twitter.com/vwpress_en/status/724429434082725888" xr:uid="{8B8C4819-3CC2-48A5-8E82-2703CAD01FD1}"/>
    <hyperlink ref="O8168" r:id="rId25281" display="https://pbs.twimg.com/profile_images/682117963349135360/IUfZQy35_normal.png" xr:uid="{CC4050D7-2378-4CA9-B34B-46B361533C0E}"/>
    <hyperlink ref="B8169" r:id="rId25282" display="https://twitter.com/feedeb94" xr:uid="{D3648EFC-286C-4F12-8C75-2228AF4C608F}"/>
    <hyperlink ref="E8169" r:id="rId25283" display="https://twitter.com/feedeb94/status/724429606019862528" xr:uid="{633C8E64-C5A5-4DCE-A3F2-BEFF266B5B2B}"/>
    <hyperlink ref="O8169" r:id="rId25284" display="https://pbs.twimg.com/profile_images/694394292006195201/Qa7B-MvI_normal.jpg" xr:uid="{8545298D-E500-472A-8417-7B7CDBD99DE1}"/>
    <hyperlink ref="B8170" r:id="rId25285" display="https://twitter.com/HunkyAlley" xr:uid="{849649E1-FAB7-43E2-9912-8163977B13A3}"/>
    <hyperlink ref="E8170" r:id="rId25286" display="https://twitter.com/HunkyAlley/status/724429612789424128" xr:uid="{719324FE-F20D-41BE-94F6-A693B6670738}"/>
    <hyperlink ref="O8170" r:id="rId25287" display="https://pbs.twimg.com/profile_images/617967865413525504/y9t3axe3_normal.jpg" xr:uid="{455FA2EF-E968-40B5-8153-F918DC9D9EE1}"/>
    <hyperlink ref="P8170" r:id="rId25288" location="34.089323,-118.350243" display="http://ctrlq.org/maps/address/ - 34.089323,-118.350243" xr:uid="{84AF3565-7660-4906-886D-66466070BEF3}"/>
    <hyperlink ref="B8171" r:id="rId25289" display="https://twitter.com/OnlineCarReview" xr:uid="{E13BE04E-2EBA-4CC1-8934-56869F31FC3F}"/>
    <hyperlink ref="E8171" r:id="rId25290" display="https://twitter.com/OnlineCarReview/status/724429805261721601" xr:uid="{21F5A5EE-7E07-4556-A33F-FD6EA2A40A73}"/>
    <hyperlink ref="O8171" r:id="rId25291" display="https://pbs.twimg.com/profile_images/652871584131092480/QA_B6SBO_normal.jpg" xr:uid="{353DCCF6-7930-46AA-96CA-43AFBF20395C}"/>
    <hyperlink ref="B8172" r:id="rId25292" display="https://twitter.com/OnlineCarReview" xr:uid="{E98725FE-767B-484F-AA7D-BCAF8B2873E3}"/>
    <hyperlink ref="E8172" r:id="rId25293" display="https://twitter.com/OnlineCarReview/status/724429808160018432" xr:uid="{C5BFAF45-EB91-4EEF-B7C6-8029EFD89C95}"/>
    <hyperlink ref="O8172" r:id="rId25294" display="https://pbs.twimg.com/profile_images/652871584131092480/QA_B6SBO_normal.jpg" xr:uid="{F8606133-2DF8-413C-BDDF-3B844EC8B905}"/>
    <hyperlink ref="B8173" r:id="rId25295" display="https://twitter.com/OnlineCarReview" xr:uid="{59B3E8EB-345F-4079-96E5-035E3EDECC64}"/>
    <hyperlink ref="E8173" r:id="rId25296" display="https://twitter.com/OnlineCarReview/status/724429810324262912" xr:uid="{FC81B307-B343-4AFE-B202-665F59828D29}"/>
    <hyperlink ref="O8173" r:id="rId25297" display="https://pbs.twimg.com/profile_images/652871584131092480/QA_B6SBO_normal.jpg" xr:uid="{0DC7783C-F141-4BE1-A2A3-600D2371F1AD}"/>
    <hyperlink ref="B8174" r:id="rId25298" display="https://twitter.com/vwpress_en" xr:uid="{89117B21-7C8E-4CF7-B0D6-8C5BC82D769E}"/>
    <hyperlink ref="E8174" r:id="rId25299" display="https://twitter.com/vwpress_en/status/724429823263825921" xr:uid="{FB6434CB-7C85-4C8A-830C-F5B928A5A2F4}"/>
    <hyperlink ref="O8174" r:id="rId25300" display="https://pbs.twimg.com/profile_images/682117963349135360/IUfZQy35_normal.png" xr:uid="{4C6762D6-BB06-4EAC-996A-A7FF788CBE33}"/>
    <hyperlink ref="B8175" r:id="rId25301" display="https://twitter.com/DeeZeeX" xr:uid="{A212E285-1DFA-485E-BBD9-91A302A50544}"/>
    <hyperlink ref="E8175" r:id="rId25302" display="https://twitter.com/DeeZeeX/status/724429984580792320" xr:uid="{F5E9B8EB-8DCC-4D8D-9C70-401A1EB05E1F}"/>
    <hyperlink ref="O8175" r:id="rId25303" display="https://pbs.twimg.com/profile_images/720623345029423104/TUxoNGEM_normal.jpg" xr:uid="{DF22BEDD-BA78-4D4F-B840-2934B010367A}"/>
    <hyperlink ref="B8176" r:id="rId25304" display="https://twitter.com/jforcadilla61" xr:uid="{AB9EE3E2-291F-4B4E-B821-040068F9BA75}"/>
    <hyperlink ref="E8176" r:id="rId25305" display="https://twitter.com/jforcadilla61/status/724430398587985920" xr:uid="{4DD95FAA-E707-4815-9706-19B47A717E18}"/>
    <hyperlink ref="O8176" r:id="rId25306" display="https://pbs.twimg.com/profile_images/684583266519625729/imvZo5au_normal.jpg" xr:uid="{62CE8DFE-658C-45F8-A8EC-497D07F3E022}"/>
    <hyperlink ref="B8177" r:id="rId25307" display="https://twitter.com/momma_rocker" xr:uid="{64254EB0-EA3F-4627-B264-BC92D3F352D0}"/>
    <hyperlink ref="E8177" r:id="rId25308" display="https://twitter.com/momma_rocker/status/724430447028101120" xr:uid="{36CAD62A-3CF9-4FF0-A89F-379E0A4CD40A}"/>
    <hyperlink ref="O8177" r:id="rId25309" display="https://pbs.twimg.com/profile_images/600477454831120384/fBVmrZou_normal.jpg" xr:uid="{12F8BC8B-1A11-4C25-A154-45E532BD4126}"/>
    <hyperlink ref="B8178" r:id="rId25310" display="https://twitter.com/vwpress_en" xr:uid="{FDEF7404-3524-41CC-848D-04DCDBFBC4F7}"/>
    <hyperlink ref="E8178" r:id="rId25311" display="https://twitter.com/vwpress_en/status/724430467848609792" xr:uid="{1E49C42A-5414-495A-8BB7-5AF209128879}"/>
    <hyperlink ref="O8178" r:id="rId25312" display="https://pbs.twimg.com/profile_images/682117963349135360/IUfZQy35_normal.png" xr:uid="{66D50B60-5FC5-473F-BA31-7E18A5FE995F}"/>
    <hyperlink ref="B8179" r:id="rId25313" display="https://twitter.com/SUPERFMELECTRO" xr:uid="{0D7D00EB-1399-4A4A-9268-6F61D7FB0CFA}"/>
    <hyperlink ref="E8179" r:id="rId25314" display="https://twitter.com/SUPERFMELECTRO/status/724430681460359168" xr:uid="{A6E0EC66-09E7-45A7-ACEF-5671291DEF77}"/>
    <hyperlink ref="O8179" r:id="rId25315" display="https://pbs.twimg.com/profile_images/592727746888998913/J4Qy4a3J_normal.png" xr:uid="{6B135297-8BD6-429F-8E18-32EE17F0C87A}"/>
    <hyperlink ref="B8180" r:id="rId25316" display="https://twitter.com/GiererIleana" xr:uid="{0B4978DE-2D38-4F0B-8C08-BBAAD78DC4C3}"/>
    <hyperlink ref="E8180" r:id="rId25317" display="https://twitter.com/GiererIleana/status/724430813635481602" xr:uid="{348882B3-9843-4188-9CE7-90D7FCAAC128}"/>
    <hyperlink ref="O8180" r:id="rId25318" display="https://pbs.twimg.com/profile_images/617431372093894656/hugBtv85_normal.jpg" xr:uid="{DDA450CC-8FB3-46FB-8071-4536021F9153}"/>
    <hyperlink ref="B8181" r:id="rId25319" display="https://twitter.com/DeeZeeX" xr:uid="{BA071F24-5FD6-49E0-BEA0-00FC6A37E0CE}"/>
    <hyperlink ref="E8181" r:id="rId25320" display="https://twitter.com/DeeZeeX/status/724430841108013058" xr:uid="{98169B4D-4DD5-4289-9F29-3398590D4069}"/>
    <hyperlink ref="O8181" r:id="rId25321" display="https://pbs.twimg.com/profile_images/720623345029423104/TUxoNGEM_normal.jpg" xr:uid="{44821516-B6C0-49A9-B104-2D98067B876C}"/>
    <hyperlink ref="B8182" r:id="rId25322" display="https://twitter.com/Eric_SFAR" xr:uid="{967AB311-DA96-4642-B021-FDD533221BFB}"/>
    <hyperlink ref="E8182" r:id="rId25323" display="https://twitter.com/Eric_SFAR/status/724430931482816512" xr:uid="{FBDB1D95-008C-4C6E-BBAB-EB9018C02BA4}"/>
    <hyperlink ref="O8182" r:id="rId25324" display="https://pbs.twimg.com/profile_images/716074183000793088/STBF0Kla_normal.jpg" xr:uid="{E1C4333B-CEED-4410-944B-A64E77FCC145}"/>
    <hyperlink ref="B8183" r:id="rId25325" display="https://twitter.com/vwpress_en" xr:uid="{CD0563D0-8744-4073-A7EA-770D7554BFB4}"/>
    <hyperlink ref="E8183" r:id="rId25326" display="https://twitter.com/vwpress_en/status/724431184114139139" xr:uid="{0BA9BB72-867E-45A4-9C87-65395EEB6402}"/>
    <hyperlink ref="O8183" r:id="rId25327" display="https://pbs.twimg.com/profile_images/682117963349135360/IUfZQy35_normal.png" xr:uid="{0E4A0648-2BA9-4A86-8207-68FCEEF34748}"/>
    <hyperlink ref="B8184" r:id="rId25328" display="https://twitter.com/vwpress_en" xr:uid="{8D065079-BD98-45DD-9E57-EDC9BA5A70AE}"/>
    <hyperlink ref="E8184" r:id="rId25329" display="https://twitter.com/vwpress_en/status/724431488658345984" xr:uid="{AA7330A6-6F3D-4CF6-A59A-031EC6D01162}"/>
    <hyperlink ref="O8184" r:id="rId25330" display="https://pbs.twimg.com/profile_images/682117963349135360/IUfZQy35_normal.png" xr:uid="{83071A45-EF7F-4374-9C2B-EEB6E8083D5E}"/>
    <hyperlink ref="B8185" r:id="rId25331" display="https://twitter.com/DeeZeeX" xr:uid="{F8D40594-A1A0-4C17-BE8D-D6BCA51B5769}"/>
    <hyperlink ref="E8185" r:id="rId25332" display="https://twitter.com/DeeZeeX/status/724431505808707588" xr:uid="{CAA279BD-C175-4A50-88BD-517B2EF7D1FD}"/>
    <hyperlink ref="O8185" r:id="rId25333" display="https://pbs.twimg.com/profile_images/720623345029423104/TUxoNGEM_normal.jpg" xr:uid="{0BC43411-5716-4DC8-8F11-2097BB4D6CE2}"/>
    <hyperlink ref="B8186" r:id="rId25334" display="https://twitter.com/cmsGOMEX" xr:uid="{1A4323F7-36CE-47D8-897D-85D749A4B849}"/>
    <hyperlink ref="E8186" r:id="rId25335" display="https://twitter.com/cmsGOMEX/status/724431647471505408" xr:uid="{535FB0E8-63F1-4C30-BBF6-D2884410A6CC}"/>
    <hyperlink ref="O8186" r:id="rId25336" display="https://pbs.twimg.com/profile_images/472298206483607552/UogAMiRI_normal.png" xr:uid="{6F54EBE1-1324-421C-8112-64D1CDAEB18B}"/>
    <hyperlink ref="B8187" r:id="rId25337" display="https://twitter.com/Carscoop" xr:uid="{DD395F80-7F12-43BE-B84E-0D9CFFEB07FE}"/>
    <hyperlink ref="E8187" r:id="rId25338" display="https://twitter.com/Carscoop/status/724432059628834817" xr:uid="{F476DDB9-42A4-4541-8B0B-20FA067F44B7}"/>
    <hyperlink ref="F8187" r:id="rId25339" xr:uid="{06EC196E-04F7-4217-A36C-645001015763}"/>
    <hyperlink ref="O8187" r:id="rId25340" display="https://pbs.twimg.com/profile_images/599709666017435648/r0vhT_9C_normal.png" xr:uid="{BB9274CA-FB41-4C9B-B668-4C5DDDD0AAC4}"/>
    <hyperlink ref="B8188" r:id="rId25341" display="https://twitter.com/miguelhgo" xr:uid="{56891611-1B68-41D6-A5D0-E5461EAA0759}"/>
    <hyperlink ref="E8188" r:id="rId25342" display="https://twitter.com/miguelhgo/status/724432087479148544" xr:uid="{618870DF-CD23-4C76-8912-9B76F9EA2828}"/>
    <hyperlink ref="O8188" r:id="rId25343" display="https://pbs.twimg.com/profile_images/543080167674216449/54KKcJ2w_normal.jpeg" xr:uid="{0EE709D7-48AA-42C9-B8D8-B58A8DCB5BF8}"/>
    <hyperlink ref="B8189" r:id="rId25344" display="https://twitter.com/Casperventer" xr:uid="{7395FCD0-B64A-4999-90A6-C8CEEC1F6944}"/>
    <hyperlink ref="E8189" r:id="rId25345" display="https://twitter.com/Casperventer/status/724432164507385856" xr:uid="{FC12A9D5-44C6-47D2-829F-922A3D03D497}"/>
    <hyperlink ref="O8189" r:id="rId25346" display="https://pbs.twimg.com/profile_images/706713339523526656/Tyt-dFPK_normal.jpg" xr:uid="{698FE947-04AA-43BA-BEE7-87F2B4C15081}"/>
    <hyperlink ref="B8190" r:id="rId25347" display="https://twitter.com/RobertoGarciaV_" xr:uid="{E87E41CF-BFA0-4D47-8A2C-0D2FC3590DF7}"/>
    <hyperlink ref="E8190" r:id="rId25348" display="https://twitter.com/RobertoGarciaV_/status/724432302873432065" xr:uid="{14778C27-D008-43E5-9478-4BD580BA220E}"/>
    <hyperlink ref="O8190" r:id="rId25349" display="https://abs.twimg.com/sticky/default_profile_images/default_profile_3_normal.png" xr:uid="{70D7F2A0-2D2C-4EBF-826E-8AF715184C13}"/>
    <hyperlink ref="B8191" r:id="rId25350" display="https://twitter.com/ebaycampervans" xr:uid="{FA3B5EF3-692A-41A2-865C-EEE4599736B5}"/>
    <hyperlink ref="E8191" r:id="rId25351" display="https://twitter.com/ebaycampervans/status/724432327636443138" xr:uid="{103E291C-CC19-45BA-8794-D785FDECF919}"/>
    <hyperlink ref="O8191" r:id="rId25352" display="https://pbs.twimg.com/profile_images/599357023407464449/BL9Bpo6T_normal.jpg" xr:uid="{7F8239DA-2E83-4061-B85F-00F985CA00E2}"/>
    <hyperlink ref="B8192" r:id="rId25353" display="https://twitter.com/Insta_VWT" xr:uid="{70A461DC-D00E-44C3-A37C-D0A7600754D4}"/>
    <hyperlink ref="E8192" r:id="rId25354" display="https://twitter.com/Insta_VWT/status/724432359819481088" xr:uid="{463F5866-44BB-410C-BEDD-74BD3DD1BA74}"/>
    <hyperlink ref="O8192" r:id="rId25355" display="https://pbs.twimg.com/profile_images/424893967197433858/iQ86NktX_normal.jpeg" xr:uid="{842E850E-1C0F-4A68-B3A8-0C415337E02D}"/>
    <hyperlink ref="B8193" r:id="rId25356" display="https://twitter.com/VeeDubMk1_" xr:uid="{666F367B-2CA0-4A1F-993D-443980DE33C1}"/>
    <hyperlink ref="E8193" r:id="rId25357" display="https://twitter.com/VeeDubMk1_/status/724432714657599489" xr:uid="{2594EAA6-533C-4722-9B0D-5C53FD9FCA81}"/>
    <hyperlink ref="O8193" r:id="rId25358" display="https://pbs.twimg.com/profile_images/672878354127839232/M7OYc-zx_normal.jpg" xr:uid="{B75E0E45-572F-4522-AAEE-AFC4E188B51C}"/>
    <hyperlink ref="B8194" r:id="rId25359" display="https://twitter.com/VolkswagenPost" xr:uid="{65304593-D5CD-430E-9F12-9365D2481883}"/>
    <hyperlink ref="E8194" r:id="rId25360" display="https://twitter.com/VolkswagenPost/status/724432732864946178" xr:uid="{2A763F28-3DCA-4923-849F-907CB62A06AD}"/>
    <hyperlink ref="O8194" r:id="rId25361" display="https://pbs.twimg.com/profile_images/530071272881803264/a_jcCmPZ_normal.png" xr:uid="{D8461726-B3FE-4220-8C5C-A1F5B96E824E}"/>
    <hyperlink ref="B8195" r:id="rId25362" display="https://twitter.com/VolkswagenPost" xr:uid="{3EBD0727-2A9A-480C-A339-C106E6729934}"/>
    <hyperlink ref="E8195" r:id="rId25363" display="https://twitter.com/VolkswagenPost/status/724432735503179776" xr:uid="{8535ADD6-2DD8-4CC1-9DF9-2E4F4404D53D}"/>
    <hyperlink ref="O8195" r:id="rId25364" display="https://pbs.twimg.com/profile_images/530071272881803264/a_jcCmPZ_normal.png" xr:uid="{2C56A269-ED51-4A33-BAC9-223D4DFD0B3A}"/>
    <hyperlink ref="B8196" r:id="rId25365" display="https://twitter.com/VolkswagenPost" xr:uid="{78655F97-DD07-4965-8EAB-CE9DAD90DC0B}"/>
    <hyperlink ref="E8196" r:id="rId25366" display="https://twitter.com/VolkswagenPost/status/724432739332591616" xr:uid="{075738B0-6B14-4F75-A1E5-AE2638565967}"/>
    <hyperlink ref="O8196" r:id="rId25367" display="https://pbs.twimg.com/profile_images/530071272881803264/a_jcCmPZ_normal.png" xr:uid="{7CFE2515-B18D-4402-82F6-A532A80B09B9}"/>
    <hyperlink ref="B8197" r:id="rId25368" display="https://twitter.com/VCT_Tweets" xr:uid="{3CDB6C53-D996-43F4-8C16-A7754749F169}"/>
    <hyperlink ref="E8197" r:id="rId25369" display="https://twitter.com/VCT_Tweets/status/724433156808519680" xr:uid="{1B19BE75-6F39-4517-AA1D-24C8E4244915}"/>
    <hyperlink ref="O8197" r:id="rId25370" display="https://pbs.twimg.com/profile_images/569800899141177344/nVFLMSdb_normal.png" xr:uid="{37AED3CD-8092-4316-97B7-A8EABC4FA673}"/>
    <hyperlink ref="B8198" r:id="rId25371" display="https://twitter.com/VCT_Tweets" xr:uid="{597E10C7-7D73-4283-9D40-B00EC8F27A95}"/>
    <hyperlink ref="E8198" r:id="rId25372" display="https://twitter.com/VCT_Tweets/status/724433168468684800" xr:uid="{99FF8A78-40ED-437E-AA61-9C35A2ECBC03}"/>
    <hyperlink ref="O8198" r:id="rId25373" display="https://pbs.twimg.com/profile_images/569800899141177344/nVFLMSdb_normal.png" xr:uid="{A0C15B36-717C-4E13-9ED2-8B497CD3837F}"/>
    <hyperlink ref="B8199" r:id="rId25374" display="https://twitter.com/VCT_Tweets" xr:uid="{B4359FF5-8841-42BC-9DE7-DAA7E9147EE4}"/>
    <hyperlink ref="E8199" r:id="rId25375" display="https://twitter.com/VCT_Tweets/status/724433182398025728" xr:uid="{BF86CB37-0451-44CB-88D3-15B2CC85E4A5}"/>
    <hyperlink ref="O8199" r:id="rId25376" display="https://pbs.twimg.com/profile_images/569800899141177344/nVFLMSdb_normal.png" xr:uid="{D5D2CBF2-01E7-4C54-96CF-1129B7C3FF15}"/>
    <hyperlink ref="B8200" r:id="rId25377" display="https://twitter.com/vwpress_en" xr:uid="{BE778D8B-EB47-49D7-B61B-2A1BA67EB59A}"/>
    <hyperlink ref="E8200" r:id="rId25378" display="https://twitter.com/vwpress_en/status/724433842224914432" xr:uid="{57AC1ABA-1153-4F9D-B1DB-0A69C0554437}"/>
    <hyperlink ref="O8200" r:id="rId25379" display="https://pbs.twimg.com/profile_images/682117963349135360/IUfZQy35_normal.png" xr:uid="{1542C6E4-4CE4-4E37-8718-A05366BD3F68}"/>
    <hyperlink ref="B8201" r:id="rId25380" display="https://twitter.com/Fernandez_Diego" xr:uid="{281776C8-B926-4919-B139-3C046F2AA632}"/>
    <hyperlink ref="E8201" r:id="rId25381" display="https://twitter.com/Fernandez_Diego/status/724433897950457856" xr:uid="{A8AEBB2C-E4AE-4682-9045-C4B1830ECE99}"/>
    <hyperlink ref="O8201" r:id="rId25382" display="https://pbs.twimg.com/profile_images/556255417714503681/B78CvKEX_normal.jpeg" xr:uid="{341EDAE9-8C77-423D-AA17-917E382B682F}"/>
    <hyperlink ref="B8202" r:id="rId25383" display="https://twitter.com/maddymaddog_" xr:uid="{1B2E3CD7-93D9-4182-92AD-603BB8B0C5A7}"/>
    <hyperlink ref="E8202" r:id="rId25384" display="https://twitter.com/maddymaddog_/status/724434081371533312" xr:uid="{47F6103E-825B-47CC-8E85-EF14E62434B0}"/>
    <hyperlink ref="O8202" r:id="rId25385" display="https://pbs.twimg.com/profile_images/724362925813669888/g6JWjh4-_normal.jpg" xr:uid="{FDACD273-4A36-412F-A74D-B998A5034C3A}"/>
    <hyperlink ref="B8203" r:id="rId25386" display="https://twitter.com/adhishalawani" xr:uid="{18210426-539A-41EF-872D-0AC514DADC98}"/>
    <hyperlink ref="E8203" r:id="rId25387" display="https://twitter.com/adhishalawani/status/724434103848685568" xr:uid="{0A1BC1A4-2490-4833-8522-E95735C60E15}"/>
    <hyperlink ref="O8203" r:id="rId25388" display="https://pbs.twimg.com/profile_images/657931694347976704/I421d4nC_normal.jpg" xr:uid="{F4B7EF11-1A47-4663-B960-3BC0A33A5E28}"/>
    <hyperlink ref="B8204" r:id="rId25389" display="https://twitter.com/FuscaWorld" xr:uid="{80D947B0-4670-4F44-B823-AF586BCC6563}"/>
    <hyperlink ref="E8204" r:id="rId25390" display="https://twitter.com/FuscaWorld/status/724434355876192256" xr:uid="{838EB086-05D7-4819-8D84-7C1E68BA4158}"/>
    <hyperlink ref="O8204" r:id="rId25391" display="https://pbs.twimg.com/profile_images/705780107844067328/e7O4UBNb_normal.jpg" xr:uid="{D4299CF9-A3AA-44C7-BFC7-9292C7581624}"/>
    <hyperlink ref="B8205" r:id="rId25392" display="https://twitter.com/Mr_Fanta_Pants" xr:uid="{6E40C13F-B767-4BC4-8E7F-2BEFD41666C3}"/>
    <hyperlink ref="E8205" r:id="rId25393" display="https://twitter.com/Mr_Fanta_Pants/status/724435062570127361" xr:uid="{D65FFCF0-FDB7-4E63-8B33-4822AF700412}"/>
    <hyperlink ref="O8205" r:id="rId25394" display="https://pbs.twimg.com/profile_images/698071617818132481/U7NE7DWc_normal.jpg" xr:uid="{5268C24C-B2DD-4186-AF6C-526A19FE7C86}"/>
    <hyperlink ref="B8206" r:id="rId25395" display="https://twitter.com/iam_saurabh_" xr:uid="{E74959F2-B04D-40AC-AE36-5C3B8BB99F36}"/>
    <hyperlink ref="E8206" r:id="rId25396" display="https://twitter.com/iam_saurabh_/status/724435171571802113" xr:uid="{52AD3871-4327-49C0-9EDE-976D3942C232}"/>
    <hyperlink ref="O8206" r:id="rId25397" display="https://pbs.twimg.com/profile_images/719154753108725760/jrVMRlZp_normal.jpg" xr:uid="{1F91784F-6E69-419E-BB80-0BE0BD26E075}"/>
    <hyperlink ref="B8207" r:id="rId25398" display="https://twitter.com/claudia_mtzs" xr:uid="{C34C5F80-9C5F-410A-A0BF-7B3EEF8894EE}"/>
    <hyperlink ref="E8207" r:id="rId25399" display="https://twitter.com/claudia_mtzs/status/724435556667523072" xr:uid="{AD413CBC-1CB1-4E36-9242-4A30A9FC758D}"/>
    <hyperlink ref="O8207" r:id="rId25400" display="https://pbs.twimg.com/profile_images/709162212259008512/y7mmMD-g_normal.jpg" xr:uid="{AB2F3572-264E-4988-8F06-FB8F470C86F4}"/>
    <hyperlink ref="B8208" r:id="rId25401" display="https://twitter.com/nuestrotransito" xr:uid="{BFF9CD13-3422-430B-B798-529726A76C70}"/>
    <hyperlink ref="E8208" r:id="rId25402" display="https://twitter.com/nuestrotransito/status/724435638473232384" xr:uid="{37E22207-C8E7-43D8-9C5A-1DE6CC9EC6C7}"/>
    <hyperlink ref="O8208" r:id="rId25403" display="https://pbs.twimg.com/profile_images/1328237586/288994539_normal.jpg" xr:uid="{D77DF79F-AFB8-4594-8A1B-BB20BDCE9200}"/>
    <hyperlink ref="B8209" r:id="rId25404" display="https://twitter.com/VWCamperSales" xr:uid="{591113B4-C20C-422F-8E80-7098D5E68D98}"/>
    <hyperlink ref="E8209" r:id="rId25405" display="https://twitter.com/VWCamperSales/status/724436041222901760" xr:uid="{6ADD28DD-C38A-4B16-9F18-C9682336898C}"/>
    <hyperlink ref="F8209" r:id="rId25406" xr:uid="{47AF664D-0293-4E27-B83F-44E89B114760}"/>
    <hyperlink ref="O8209" r:id="rId25407" display="https://pbs.twimg.com/profile_images/627949001179037696/skEBkS05_normal.jpg" xr:uid="{B6596469-207F-4F84-A77D-95176CE10E7C}"/>
    <hyperlink ref="B8210" r:id="rId25408" display="https://twitter.com/Alanadrieel" xr:uid="{92227446-C08C-416A-A193-70E94C55C0D9}"/>
    <hyperlink ref="E8210" r:id="rId25409" display="https://twitter.com/Alanadrieel/status/724436736374411264" xr:uid="{5598CBA6-8678-40A4-88C6-EB659A30853D}"/>
    <hyperlink ref="O8210" r:id="rId25410" display="https://pbs.twimg.com/profile_images/722329162137145344/HC1Y1jgh_normal.jpg" xr:uid="{DBA71A6C-10BA-4FEB-B0F9-4F654EED9FF4}"/>
    <hyperlink ref="B8211" r:id="rId25411" display="https://twitter.com/vickymotorserv1" xr:uid="{5426346D-3F0B-41BD-B1E6-E38560C46A00}"/>
    <hyperlink ref="E8211" r:id="rId25412" display="https://twitter.com/vickymotorserv1/status/724438006560489472" xr:uid="{B2E142D6-D14A-46FF-A17A-7A4733973B97}"/>
    <hyperlink ref="O8211" r:id="rId25413" display="https://pbs.twimg.com/profile_images/613134211919187968/P_pW7EHj_normal.jpg" xr:uid="{6B114A43-02F9-4B0D-912C-53ED65D9CF4A}"/>
    <hyperlink ref="B8212" r:id="rId25414" display="https://twitter.com/vickymotorserv1" xr:uid="{F73F51D7-F817-4B30-A17E-F9A322951FA5}"/>
    <hyperlink ref="E8212" r:id="rId25415" display="https://twitter.com/vickymotorserv1/status/724438067860246528" xr:uid="{721EA843-9250-47F3-A55F-17774C1AD264}"/>
    <hyperlink ref="O8212" r:id="rId25416" display="https://pbs.twimg.com/profile_images/613134211919187968/P_pW7EHj_normal.jpg" xr:uid="{10F1E2B1-FB03-4C2F-8E7B-0EBD9998FEB8}"/>
    <hyperlink ref="B8213" r:id="rId25417" display="https://twitter.com/vickymotorserv1" xr:uid="{CFCE5A81-0CAF-4B87-AB84-D1DBFA324039}"/>
    <hyperlink ref="E8213" r:id="rId25418" display="https://twitter.com/vickymotorserv1/status/724438166829060096" xr:uid="{2CAB2B23-840C-4DDE-AB28-24C7F2D0D390}"/>
    <hyperlink ref="O8213" r:id="rId25419" display="https://pbs.twimg.com/profile_images/613134211919187968/P_pW7EHj_normal.jpg" xr:uid="{574BA8BA-EF1C-4EBD-980D-7D65EC75825F}"/>
    <hyperlink ref="B8214" r:id="rId25420" display="https://twitter.com/vickymotorserv1" xr:uid="{09E6B091-1372-48C3-95E2-8AD3882D715E}"/>
    <hyperlink ref="E8214" r:id="rId25421" display="https://twitter.com/vickymotorserv1/status/724438184449306625" xr:uid="{472B1535-0818-4B15-ACDC-0F8AB67627B0}"/>
    <hyperlink ref="O8214" r:id="rId25422" display="https://pbs.twimg.com/profile_images/613134211919187968/P_pW7EHj_normal.jpg" xr:uid="{FE2F5A76-2D2D-4E08-8CD3-757D14759A45}"/>
    <hyperlink ref="B8215" r:id="rId25423" display="https://twitter.com/vickymotorserv1" xr:uid="{CA925A88-5E3A-4E9A-BD9B-077177A40C2F}"/>
    <hyperlink ref="E8215" r:id="rId25424" display="https://twitter.com/vickymotorserv1/status/724438209615134720" xr:uid="{518C7622-6217-450B-BFC1-5AB731868CDB}"/>
    <hyperlink ref="O8215" r:id="rId25425" display="https://pbs.twimg.com/profile_images/613134211919187968/P_pW7EHj_normal.jpg" xr:uid="{6D2026DA-72D0-4DE0-9232-AB68738C5F10}"/>
    <hyperlink ref="B8216" r:id="rId25426" display="https://twitter.com/vickymotorserv1" xr:uid="{9773F9A5-8ABE-48B3-A7EE-4807870EB2CC}"/>
    <hyperlink ref="E8216" r:id="rId25427" display="https://twitter.com/vickymotorserv1/status/724438237305950208" xr:uid="{60260311-C947-4EAC-889F-C67D577BD6AA}"/>
    <hyperlink ref="O8216" r:id="rId25428" display="https://pbs.twimg.com/profile_images/613134211919187968/P_pW7EHj_normal.jpg" xr:uid="{471A6445-CD83-4CF4-9F2B-0E2D0D6D240F}"/>
    <hyperlink ref="B8217" r:id="rId25429" display="https://twitter.com/vickymotorserv1" xr:uid="{A7D09A23-6BA2-421E-9AD9-3D7760342296}"/>
    <hyperlink ref="E8217" r:id="rId25430" display="https://twitter.com/vickymotorserv1/status/724438272525492225" xr:uid="{B81D102C-52B6-4CC2-881F-1C180BA256CF}"/>
    <hyperlink ref="O8217" r:id="rId25431" display="https://pbs.twimg.com/profile_images/613134211919187968/P_pW7EHj_normal.jpg" xr:uid="{C6EABDA0-85E1-4C71-855E-763FA333AAB3}"/>
    <hyperlink ref="B8218" r:id="rId25432" display="https://twitter.com/vickymotorserv1" xr:uid="{85274EB0-110C-454A-899F-89A2A4A581B8}"/>
    <hyperlink ref="E8218" r:id="rId25433" display="https://twitter.com/vickymotorserv1/status/724438285955698688" xr:uid="{CB7E86E0-59E8-4DCB-A65E-3B3978DC2024}"/>
    <hyperlink ref="O8218" r:id="rId25434" display="https://pbs.twimg.com/profile_images/613134211919187968/P_pW7EHj_normal.jpg" xr:uid="{4579D75C-AD91-477F-AE47-53E2416241A8}"/>
    <hyperlink ref="B8219" r:id="rId25435" display="https://twitter.com/vickymotorserv1" xr:uid="{541361F4-AD1E-4106-9460-521ED8F5884C}"/>
    <hyperlink ref="E8219" r:id="rId25436" display="https://twitter.com/vickymotorserv1/status/724438404432302080" xr:uid="{6D1EAE42-2847-4F69-972C-8DDCA33512F4}"/>
    <hyperlink ref="O8219" r:id="rId25437" display="https://pbs.twimg.com/profile_images/613134211919187968/P_pW7EHj_normal.jpg" xr:uid="{E8B0C041-6B8E-4ED1-B127-1EC731E98FEF}"/>
    <hyperlink ref="B8220" r:id="rId25438" display="https://twitter.com/AmazingChevVolt" xr:uid="{69A88307-EDCB-4F82-9651-F806AB111AED}"/>
    <hyperlink ref="E8220" r:id="rId25439" display="https://twitter.com/AmazingChevVolt/status/724438508799156224" xr:uid="{FE3C878F-E601-4EBA-BB7C-E2C47295D4EC}"/>
    <hyperlink ref="O8220" r:id="rId25440" display="https://pbs.twimg.com/profile_images/1708625808/Motor_City_Volt_normal.jpg" xr:uid="{2B44BDBB-B7BC-4D24-8CE3-163947B912E8}"/>
    <hyperlink ref="B8221" r:id="rId25441" display="https://twitter.com/ari_budiman307" xr:uid="{0FE6A9E6-BBFE-4FA4-AEB7-F91CBB8F2862}"/>
    <hyperlink ref="E8221" r:id="rId25442" display="https://twitter.com/ari_budiman307/status/724438793483243521" xr:uid="{304AA407-1C97-411B-8150-4BCBBA2D7EC0}"/>
    <hyperlink ref="O8221" r:id="rId25443" display="https://pbs.twimg.com/profile_images/540469645304557568/uSe3ub5V_normal.jpeg" xr:uid="{AB03BEC5-EA30-45A6-BABA-FB39560EB99B}"/>
    <hyperlink ref="B8222" r:id="rId25444" display="https://twitter.com/augustinpeilla2" xr:uid="{3E7049E3-9F65-4987-AA42-CD0F2E44DC0A}"/>
    <hyperlink ref="E8222" r:id="rId25445" display="https://twitter.com/augustinpeilla2/status/724439173155958785" xr:uid="{BDD87BA0-A06B-4008-92A5-DAF7E8DC38F5}"/>
    <hyperlink ref="O8222" r:id="rId25446" display="https://pbs.twimg.com/profile_images/721832729315307520/pbETf38K_normal.jpg" xr:uid="{F2B6C815-4F2D-4135-8D46-B78AC168F080}"/>
    <hyperlink ref="B8223" r:id="rId25447" display="https://twitter.com/MarketScan1" xr:uid="{B67AAB99-07C6-45A1-B309-1FF1B32D9D51}"/>
    <hyperlink ref="E8223" r:id="rId25448" display="https://twitter.com/MarketScan1/status/724439723247210496" xr:uid="{824116B1-C9B5-496E-A87F-D65807E7E1D9}"/>
    <hyperlink ref="O8223" r:id="rId25449" display="https://pbs.twimg.com/profile_images/639811780269572096/jg3ztkQP_normal.png" xr:uid="{69FCA18F-569E-4F93-907B-152B2A87EC31}"/>
    <hyperlink ref="B8224" r:id="rId25450" display="https://twitter.com/TheHippieVanMan" xr:uid="{CCDD219F-9411-4DBD-8E56-95B05E22BCCB}"/>
    <hyperlink ref="E8224" r:id="rId25451" display="https://twitter.com/TheHippieVanMan/status/724439769934127104" xr:uid="{B3943A6E-B10F-4FDD-9653-970E6418314D}"/>
    <hyperlink ref="O8224" r:id="rId25452" display="https://pbs.twimg.com/profile_images/3247035045/9844e9d67157e05905c827333dbfa0ee_normal.jpeg" xr:uid="{7CC84985-5E6A-468E-BDFE-DE3A5FFEEE74}"/>
    <hyperlink ref="B8225" r:id="rId25453" display="https://twitter.com/TheHippieVanMan" xr:uid="{E4E50842-A623-445C-9437-F2EC4CD85F61}"/>
    <hyperlink ref="E8225" r:id="rId25454" display="https://twitter.com/TheHippieVanMan/status/724440000113303553" xr:uid="{5E89FAD4-2BD2-47C8-9160-AC615910A3BF}"/>
    <hyperlink ref="O8225" r:id="rId25455" display="https://pbs.twimg.com/profile_images/3247035045/9844e9d67157e05905c827333dbfa0ee_normal.jpeg" xr:uid="{F7C4ECB2-55F6-4C52-AB57-E29D0ACEE5C6}"/>
    <hyperlink ref="B8226" r:id="rId25456" display="https://twitter.com/luc4m4rtin" xr:uid="{F4172662-F52A-4DA9-A05C-EA807853331F}"/>
    <hyperlink ref="E8226" r:id="rId25457" display="https://twitter.com/luc4m4rtin/status/724440064038559744" xr:uid="{F7EC0B21-9981-48B8-9DC5-1E42B90D62F7}"/>
    <hyperlink ref="O8226" r:id="rId25458" display="https://pbs.twimg.com/profile_images/547805290783965184/4nzuRtK-_normal.jpeg" xr:uid="{CD4041A0-66B3-406A-988F-A3B2EC495A1F}"/>
    <hyperlink ref="B8227" r:id="rId25459" display="https://twitter.com/TheHippieVanMan" xr:uid="{2E002E27-0D02-4A08-B50E-7BBFB62AEE2B}"/>
    <hyperlink ref="E8227" r:id="rId25460" display="https://twitter.com/TheHippieVanMan/status/724440669050253312" xr:uid="{A1367E85-1E88-403C-913F-32232F6F7DCB}"/>
    <hyperlink ref="O8227" r:id="rId25461" display="https://pbs.twimg.com/profile_images/3247035045/9844e9d67157e05905c827333dbfa0ee_normal.jpeg" xr:uid="{82331624-5AE3-45B8-BB70-ACFB1922CA14}"/>
    <hyperlink ref="B8228" r:id="rId25462" display="https://twitter.com/betycue" xr:uid="{0FD241F7-0B50-47AD-99F6-92F3C9683267}"/>
    <hyperlink ref="E8228" r:id="rId25463" display="https://twitter.com/betycue/status/724440696128577536" xr:uid="{2B7612DA-2064-41FE-BEFB-3E111E3A7EBA}"/>
    <hyperlink ref="O8228" r:id="rId25464" display="https://pbs.twimg.com/profile_images/716756633997541376/KQjHyHpX_normal.jpg" xr:uid="{A44BEC7A-B66E-4FBE-A746-809C3C44D24D}"/>
    <hyperlink ref="B8229" r:id="rId25465" display="https://twitter.com/AutoVerdict" xr:uid="{92CBD701-F3E7-44C5-A856-43BFB47EADE3}"/>
    <hyperlink ref="E8229" r:id="rId25466" display="https://twitter.com/AutoVerdict/status/724441888854519808" xr:uid="{B4C50090-10A9-49F6-9749-C703D07FB986}"/>
    <hyperlink ref="O8229" r:id="rId25467" display="https://pbs.twimg.com/profile_images/599226705513820160/hFySz3DC_normal.jpg" xr:uid="{EBD02213-AA58-47E4-A7EF-434EB3DE5A2A}"/>
    <hyperlink ref="B8230" r:id="rId25468" display="https://twitter.com/ausrutherford" xr:uid="{B0F4C885-1C96-41B7-B5CD-D5F62C227967}"/>
    <hyperlink ref="E8230" r:id="rId25469" display="https://twitter.com/ausrutherford/status/724441905325551616" xr:uid="{B3C04DE0-F2BF-43D7-81CF-BCEAC6982DEF}"/>
    <hyperlink ref="O8230" r:id="rId25470" display="https://pbs.twimg.com/profile_images/709058129393291264/47ZDCq7j_normal.jpg" xr:uid="{EC6317DB-3B36-4F1C-9607-71AD5B8C3076}"/>
    <hyperlink ref="B8231" r:id="rId25471" display="https://twitter.com/nomkhita12" xr:uid="{11156D03-1951-4287-8FAB-7BE44A472EF5}"/>
    <hyperlink ref="E8231" r:id="rId25472" display="https://twitter.com/nomkhita12/status/724442377532878848" xr:uid="{01D89713-B30C-4C99-9DE0-3D347275F43A}"/>
    <hyperlink ref="O8231" r:id="rId25473" display="https://pbs.twimg.com/profile_images/378800000341166778/f53681e83985bbd49e5ff4ae1267bf66_normal.jpeg" xr:uid="{4841E7F1-94A8-4FDE-879F-A2FCBF970E48}"/>
    <hyperlink ref="B8232" r:id="rId25474" display="https://twitter.com/DubLuvTuning" xr:uid="{8786D6DF-92F7-4A1E-8ABF-55B9AA8BAACC}"/>
    <hyperlink ref="E8232" r:id="rId25475" display="https://twitter.com/DubLuvTuning/status/724442629346304001" xr:uid="{6781141A-0E94-4296-8B48-4A2ADE391E7B}"/>
    <hyperlink ref="O8232" r:id="rId25476" display="https://pbs.twimg.com/profile_images/378800000572104796/1de43e1cf23efb3f4101c02afad0d3b6_normal.png" xr:uid="{8134DD67-112E-4CD5-A2CA-FD44ED891001}"/>
    <hyperlink ref="B8233" r:id="rId25477" display="https://twitter.com/DubLuvTuning" xr:uid="{EB3EC772-F418-4E14-8EE0-773DC55B47D6}"/>
    <hyperlink ref="E8233" r:id="rId25478" display="https://twitter.com/DubLuvTuning/status/724442630319407105" xr:uid="{FCAF4CCF-8E75-4D3C-93D3-6A117CE8EFDC}"/>
    <hyperlink ref="O8233" r:id="rId25479" display="https://pbs.twimg.com/profile_images/378800000572104796/1de43e1cf23efb3f4101c02afad0d3b6_normal.png" xr:uid="{AA5D888A-1F8D-471B-B5CE-C848B389976E}"/>
    <hyperlink ref="B8234" r:id="rId25480" display="https://twitter.com/DubLuvTuning" xr:uid="{A8577FDE-9491-40BF-B07E-229E8C963C9C}"/>
    <hyperlink ref="E8234" r:id="rId25481" display="https://twitter.com/DubLuvTuning/status/724442631103733761" xr:uid="{CF13B636-A186-4015-A385-4D4C4BD3C098}"/>
    <hyperlink ref="O8234" r:id="rId25482" display="https://pbs.twimg.com/profile_images/378800000572104796/1de43e1cf23efb3f4101c02afad0d3b6_normal.png" xr:uid="{4FD40589-8749-46C9-8846-3393DB9C617B}"/>
    <hyperlink ref="B8235" r:id="rId25483" display="https://twitter.com/brhodes1997" xr:uid="{3AE075D8-022D-4F98-A600-CC29340BCDC4}"/>
    <hyperlink ref="E8235" r:id="rId25484" display="https://twitter.com/brhodes1997/status/724442938642694144" xr:uid="{5069EA52-5368-4F71-90BD-38479273AA37}"/>
    <hyperlink ref="O8235" r:id="rId25485" display="https://pbs.twimg.com/profile_images/684898279880929280/ygGjNMH2_normal.jpg" xr:uid="{5D55F186-C4C8-481E-9681-019772A4BEC5}"/>
    <hyperlink ref="B8236" r:id="rId25486" display="https://twitter.com/cmsGOMEX" xr:uid="{A8757E9A-EE1E-4687-8083-885AFB4DD591}"/>
    <hyperlink ref="E8236" r:id="rId25487" display="https://twitter.com/cmsGOMEX/status/724443079546179585" xr:uid="{A09C5521-B1C1-490E-9BF1-574BC6160BA0}"/>
    <hyperlink ref="O8236" r:id="rId25488" display="https://pbs.twimg.com/profile_images/472298206483607552/UogAMiRI_normal.png" xr:uid="{8DE8310E-1507-4A47-87AE-94BF3EF4F125}"/>
    <hyperlink ref="B8237" r:id="rId25489" display="https://twitter.com/LoveeMarinaaa" xr:uid="{8991E232-3940-4B1D-A549-B636438C0785}"/>
    <hyperlink ref="E8237" r:id="rId25490" display="https://twitter.com/LoveeMarinaaa/status/724444273156960256" xr:uid="{2E1BB732-4A66-4C6C-9F84-8E4755B76615}"/>
    <hyperlink ref="O8237" r:id="rId25491" display="https://pbs.twimg.com/profile_images/679892976064139264/V141zEM-_normal.jpg" xr:uid="{26C650C0-A8A9-4D04-9CCD-904795DBD073}"/>
    <hyperlink ref="B8238" r:id="rId25492" display="https://twitter.com/Tarq66262692" xr:uid="{434ED543-0C98-495E-8B1E-C09E145A2AFB}"/>
    <hyperlink ref="E8238" r:id="rId25493" display="https://twitter.com/Tarq66262692/status/724444428400734208" xr:uid="{D5C67D8E-B6A4-478F-B48A-573A5DD3C375}"/>
    <hyperlink ref="O8238" r:id="rId25494" display="https://pbs.twimg.com/profile_images/713408596722245633/A4Y2og2-_normal.jpg" xr:uid="{55CD1A98-1F9F-4476-B8C0-211C7ECB5545}"/>
    <hyperlink ref="B8239" r:id="rId25495" display="https://twitter.com/sami19981" xr:uid="{8B742668-FFE3-47DD-8791-EC6ED85146A2}"/>
    <hyperlink ref="E8239" r:id="rId25496" display="https://twitter.com/sami19981/status/724444562677202945" xr:uid="{5BC53420-5DAD-47D2-893A-9673D941FBAF}"/>
    <hyperlink ref="O8239" r:id="rId25497" display="https://pbs.twimg.com/profile_images/697165847840698370/-u-vLqUa_normal.jpg" xr:uid="{FAA0DC98-B3C7-44FE-8064-53507A94555F}"/>
    <hyperlink ref="B8240" r:id="rId25498" display="https://twitter.com/jgitaum" xr:uid="{55ED9A44-A153-48A1-97CD-1CF91CA40098}"/>
    <hyperlink ref="E8240" r:id="rId25499" display="https://twitter.com/jgitaum/status/724444615529603072" xr:uid="{AD1C1E43-94DA-4BD2-A660-5D673C430220}"/>
    <hyperlink ref="O8240" r:id="rId25500" display="https://pbs.twimg.com/profile_images/700587743210934272/ur76yK6Z_normal.jpg" xr:uid="{F0D20251-ED05-41B5-BABA-A2D44D572C55}"/>
    <hyperlink ref="B8241" r:id="rId25501" display="https://twitter.com/nomkhita12" xr:uid="{60EB658D-83C3-44F5-86E4-727DE6A288E7}"/>
    <hyperlink ref="E8241" r:id="rId25502" display="https://twitter.com/nomkhita12/status/724444691572371456" xr:uid="{6979F8B9-833D-473C-AD4C-5E2DD0770F8F}"/>
    <hyperlink ref="O8241" r:id="rId25503" display="https://pbs.twimg.com/profile_images/378800000341166778/f53681e83985bbd49e5ff4ae1267bf66_normal.jpeg" xr:uid="{A7E07273-E30C-4BFB-8F8A-223DB4CBC142}"/>
    <hyperlink ref="B8242" r:id="rId25504" display="https://twitter.com/DubLuvTuning" xr:uid="{A74EDC19-105C-4B68-80AD-D2B1ACE0013A}"/>
    <hyperlink ref="E8242" r:id="rId25505" display="https://twitter.com/DubLuvTuning/status/724444859399045121" xr:uid="{0553B5A5-CF65-4583-9F6D-5E34EE457590}"/>
    <hyperlink ref="O8242" r:id="rId25506" display="https://pbs.twimg.com/profile_images/378800000572104796/1de43e1cf23efb3f4101c02afad0d3b6_normal.png" xr:uid="{1ADEA94B-8BE5-434F-90F2-34C1F3611745}"/>
    <hyperlink ref="B8243" r:id="rId25507" display="https://twitter.com/nomkhita12" xr:uid="{FE8CFAB3-265C-4243-94D2-498D5680BA6B}"/>
    <hyperlink ref="E8243" r:id="rId25508" display="https://twitter.com/nomkhita12/status/724445007923560452" xr:uid="{57DA485C-7E5B-49B9-8585-C16CD0D57D91}"/>
    <hyperlink ref="O8243" r:id="rId25509" display="https://pbs.twimg.com/profile_images/378800000341166778/f53681e83985bbd49e5ff4ae1267bf66_normal.jpeg" xr:uid="{D3EE995B-C8B1-493C-8660-9024C2C7464C}"/>
    <hyperlink ref="B8244" r:id="rId25510" display="https://twitter.com/nomkhita12" xr:uid="{5A7258B9-C840-48E7-BC39-FAA8558CA81A}"/>
    <hyperlink ref="E8244" r:id="rId25511" display="https://twitter.com/nomkhita12/status/724445084830314496" xr:uid="{21A3DF59-C20F-47F9-A3B5-7E7193856495}"/>
    <hyperlink ref="O8244" r:id="rId25512" display="https://pbs.twimg.com/profile_images/378800000341166778/f53681e83985bbd49e5ff4ae1267bf66_normal.jpeg" xr:uid="{938D732E-4D94-42A4-A23D-B18FF207A681}"/>
    <hyperlink ref="B8245" r:id="rId25513" display="https://twitter.com/nomkhita12" xr:uid="{DC34002E-C4FF-4E7C-AB66-31B4FCFA0EDE}"/>
    <hyperlink ref="E8245" r:id="rId25514" display="https://twitter.com/nomkhita12/status/724445175792152576" xr:uid="{B1033CAB-11C2-45AA-B8E6-0BE2E14BE0A8}"/>
    <hyperlink ref="O8245" r:id="rId25515" display="https://pbs.twimg.com/profile_images/378800000341166778/f53681e83985bbd49e5ff4ae1267bf66_normal.jpeg" xr:uid="{D4D18994-8A52-4E0F-B760-6FA6C8348F5E}"/>
    <hyperlink ref="B8246" r:id="rId25516" display="https://twitter.com/OnlineCarReview" xr:uid="{39B20269-B3DA-44ED-ADF5-221595D82455}"/>
    <hyperlink ref="E8246" r:id="rId25517" display="https://twitter.com/OnlineCarReview/status/724445298769039360" xr:uid="{38932117-1D6D-4C28-BE06-58908AC5C06A}"/>
    <hyperlink ref="O8246" r:id="rId25518" display="https://pbs.twimg.com/profile_images/652871584131092480/QA_B6SBO_normal.jpg" xr:uid="{33157D2E-7981-404A-B3FF-BA22328823EC}"/>
    <hyperlink ref="B8247" r:id="rId25519" display="https://twitter.com/OnlineCarReview" xr:uid="{3FE5DAF3-B4FE-43A9-90D8-971DFBC94B62}"/>
    <hyperlink ref="E8247" r:id="rId25520" display="https://twitter.com/OnlineCarReview/status/724445299675000833" xr:uid="{480A7179-6352-49ED-962A-2F26D926D7B1}"/>
    <hyperlink ref="O8247" r:id="rId25521" display="https://pbs.twimg.com/profile_images/652871584131092480/QA_B6SBO_normal.jpg" xr:uid="{149BECD3-C0D7-45FC-BDD2-9B68F24E4E33}"/>
    <hyperlink ref="B8248" r:id="rId25522" display="https://twitter.com/OnlineCarReview" xr:uid="{7C218447-CAE0-4FEF-BE23-5FAA32192D48}"/>
    <hyperlink ref="E8248" r:id="rId25523" display="https://twitter.com/OnlineCarReview/status/724445301738610688" xr:uid="{2579CD24-5586-4032-9351-B9A7664E911A}"/>
    <hyperlink ref="O8248" r:id="rId25524" display="https://pbs.twimg.com/profile_images/652871584131092480/QA_B6SBO_normal.jpg" xr:uid="{E263F93A-453C-4130-A337-B8672A4F02B1}"/>
    <hyperlink ref="B8249" r:id="rId25525" display="https://twitter.com/axelneuhaus" xr:uid="{07EAB974-3E9F-4ED3-B46F-E38AC4C5559B}"/>
    <hyperlink ref="E8249" r:id="rId25526" display="https://twitter.com/axelneuhaus/status/724445488313974789" xr:uid="{7B2238E6-0185-4F90-AB0E-016754991A78}"/>
    <hyperlink ref="O8249" r:id="rId25527" display="https://pbs.twimg.com/profile_images/601746963160240128/I5CRQlMA_normal.jpg" xr:uid="{01849700-6D6A-462F-806C-272A3724B61C}"/>
    <hyperlink ref="B8250" r:id="rId25528" display="https://twitter.com/KayeMenner" xr:uid="{7DE001E9-A756-4352-AAED-6FD52B529111}"/>
    <hyperlink ref="E8250" r:id="rId25529" display="https://twitter.com/KayeMenner/status/724445636368584705" xr:uid="{75D2AD7C-FEBC-4899-8C8D-643C7478686D}"/>
    <hyperlink ref="O8250" r:id="rId25530" display="https://pbs.twimg.com/profile_images/459250339607105536/MuRs5avU_normal.jpeg" xr:uid="{D110C017-E4BF-4D5C-AB61-AB296EC95A3B}"/>
    <hyperlink ref="B8251" r:id="rId25531" display="https://twitter.com/axelneuhaus" xr:uid="{7E3B1005-9505-4865-8103-D3F001167B01}"/>
    <hyperlink ref="E8251" r:id="rId25532" display="https://twitter.com/axelneuhaus/status/724445697383256065" xr:uid="{9E2E374A-8310-486B-8A0A-40E4B452F09E}"/>
    <hyperlink ref="O8251" r:id="rId25533" display="https://pbs.twimg.com/profile_images/601746963160240128/I5CRQlMA_normal.jpg" xr:uid="{70392A7F-7DCC-4654-8A2E-274D9F829921}"/>
    <hyperlink ref="B8252" r:id="rId25534" display="https://twitter.com/BohemianBound" xr:uid="{CC8DDE43-6F8F-4830-A392-77933514A624}"/>
    <hyperlink ref="E8252" r:id="rId25535" display="https://twitter.com/BohemianBound/status/724446558377369600" xr:uid="{04C16038-DB40-4757-A12F-B9F9E2216583}"/>
    <hyperlink ref="O8252" r:id="rId25536" display="https://pbs.twimg.com/profile_images/608057018268663810/c6gpbrUA_normal.png" xr:uid="{548B8A05-0C90-47A2-B1BA-45E271AA32BF}"/>
    <hyperlink ref="B8253" r:id="rId25537" display="https://twitter.com/BOSSSIWELL" xr:uid="{BAF0F875-EF2F-4D4E-AA58-C786F7A469DE}"/>
    <hyperlink ref="E8253" r:id="rId25538" display="https://twitter.com/BOSSSIWELL/status/724446695715684352" xr:uid="{8D51EB59-17B3-4631-946F-AC7F632F213F}"/>
    <hyperlink ref="O8253" r:id="rId25539" display="https://pbs.twimg.com/profile_images/438395067510697984/O1RO1BuY_normal.jpeg" xr:uid="{58202A84-4DEA-4E3C-B104-A631B20C296F}"/>
    <hyperlink ref="P8253" r:id="rId25540" location="13.09237074,99.94823228" display="http://ctrlq.org/maps/address/ - 13.09237074,99.94823228" xr:uid="{9A2C9B75-9B0B-47C2-9A4B-795F0CF3B692}"/>
    <hyperlink ref="B8254" r:id="rId25541" display="https://twitter.com/PhotosAndArt" xr:uid="{3B0949E9-2140-44A2-85FB-19523D6F622D}"/>
    <hyperlink ref="E8254" r:id="rId25542" display="https://twitter.com/PhotosAndArt/status/724446710546706432" xr:uid="{8D319448-1631-4D95-B08E-35E8BBF9E84E}"/>
    <hyperlink ref="O8254" r:id="rId25543" display="https://pbs.twimg.com/profile_images/457945677918515200/buTVXicj_normal.jpeg" xr:uid="{688AA995-1C3C-4DA3-9B51-F9095159513A}"/>
    <hyperlink ref="B8255" r:id="rId25544" display="https://twitter.com/breedveldusa" xr:uid="{17A2F2EC-4025-4F50-A7DF-28F2DF6DC6E2}"/>
    <hyperlink ref="E8255" r:id="rId25545" display="https://twitter.com/breedveldusa/status/724446749620887552" xr:uid="{E034C2DB-9E31-4183-8F78-9CB7915F4732}"/>
    <hyperlink ref="O8255" r:id="rId25546" display="https://pbs.twimg.com/profile_images/674866085213130752/qAlZEGhV_normal.jpg" xr:uid="{F3A3D7AF-771D-4AE0-9005-CFA9285C29A1}"/>
    <hyperlink ref="B8256" r:id="rId25547" display="https://twitter.com/TheTequilaWorms" xr:uid="{CCD90649-D4E4-4EDF-84B8-6A8D59BA0ABA}"/>
    <hyperlink ref="E8256" r:id="rId25548" display="https://twitter.com/TheTequilaWorms/status/724446806319370242" xr:uid="{2CC4404A-8147-4353-A653-AF82C0D82A08}"/>
    <hyperlink ref="O8256" r:id="rId25549" display="https://pbs.twimg.com/profile_images/699701088769822720/-twnv0Ox_normal.jpg" xr:uid="{0CFBCF29-1F42-440A-A012-45BA69A904AE}"/>
    <hyperlink ref="B8257" r:id="rId25550" display="https://twitter.com/steven_soshea" xr:uid="{483F011F-C947-45F9-A59D-FC69D7D31A87}"/>
    <hyperlink ref="E8257" r:id="rId25551" display="https://twitter.com/steven_soshea/status/724447157143613440" xr:uid="{54F52508-DBEA-41F6-A925-8A816A4D2597}"/>
    <hyperlink ref="O8257" r:id="rId25552" display="https://pbs.twimg.com/profile_images/706220927973879808/hzV98Nkg_normal.jpg" xr:uid="{A20B61EB-5B7B-49F6-BBDD-3C7448755470}"/>
    <hyperlink ref="B8258" r:id="rId25553" display="https://twitter.com/OrneCalamante" xr:uid="{3FE458E7-F444-4068-B03D-96DA3D6BC64E}"/>
    <hyperlink ref="E8258" r:id="rId25554" display="https://twitter.com/OrneCalamante/status/724447918074286080" xr:uid="{D5EACEB7-32EE-4424-B73A-F78914593C19}"/>
    <hyperlink ref="O8258" r:id="rId25555" display="https://pbs.twimg.com/profile_images/714132167471837184/zo4AQ9-0_normal.jpg" xr:uid="{64392689-478E-4AFF-ABA3-6720DD3F347D}"/>
    <hyperlink ref="B8259" r:id="rId25556" display="https://twitter.com/almaleal" xr:uid="{BC18C740-F1FD-4F52-B812-3A6D97A76E23}"/>
    <hyperlink ref="E8259" r:id="rId25557" display="https://twitter.com/almaleal/status/724448103567372288" xr:uid="{A1337817-E033-4EFC-A602-04180305FAD8}"/>
    <hyperlink ref="O8259" r:id="rId25558" display="https://pbs.twimg.com/profile_images/596481469213642752/WXOMBpxe_normal.jpg" xr:uid="{A312BA75-30C9-41E7-BCC3-0AE1F4252650}"/>
    <hyperlink ref="B8260" r:id="rId25559" display="https://twitter.com/bundes_car" xr:uid="{DE6C3C28-B098-45F4-8026-2A226CC95277}"/>
    <hyperlink ref="E8260" r:id="rId25560" display="https://twitter.com/bundes_car/status/724448148370952195" xr:uid="{59C9C4F1-B181-41EC-8173-DF8CA4575E84}"/>
    <hyperlink ref="O8260" r:id="rId25561" display="https://pbs.twimg.com/profile_images/707127715581849600/zPs3f0nI_normal.jpg" xr:uid="{CEA37CE5-A6D4-44D5-8626-6FC44D6DE156}"/>
    <hyperlink ref="B8261" r:id="rId25562" display="https://twitter.com/VolkswagenPost" xr:uid="{9150025E-E167-4E63-B4C8-0EDBE19026B3}"/>
    <hyperlink ref="E8261" r:id="rId25563" display="https://twitter.com/VolkswagenPost/status/724448315706732545" xr:uid="{31343E7D-34D5-41DC-A635-F9BB1B1C0DFE}"/>
    <hyperlink ref="O8261" r:id="rId25564" display="https://pbs.twimg.com/profile_images/530071272881803264/a_jcCmPZ_normal.png" xr:uid="{21197219-E906-4EA7-AC1E-CF3C75652465}"/>
    <hyperlink ref="B8262" r:id="rId25565" display="https://twitter.com/DubLuvTuning" xr:uid="{DD6F2A1F-B5FB-4868-A6D7-E0B8F0CECE36}"/>
    <hyperlink ref="E8262" r:id="rId25566" display="https://twitter.com/DubLuvTuning/status/724448798857150464" xr:uid="{03956738-F91C-4ED2-B5AA-2B27A20E2AA3}"/>
    <hyperlink ref="O8262" r:id="rId25567" display="https://pbs.twimg.com/profile_images/378800000572104796/1de43e1cf23efb3f4101c02afad0d3b6_normal.png" xr:uid="{01B2AA71-E4AF-450A-B3F3-6F015D3A31DF}"/>
    <hyperlink ref="B8263" r:id="rId25568" display="https://twitter.com/VolkswagenPost" xr:uid="{70D05F74-BD7F-4D76-85E8-96AFF8A2EB90}"/>
    <hyperlink ref="E8263" r:id="rId25569" display="https://twitter.com/VolkswagenPost/status/724448848983298049" xr:uid="{5A5F3436-2A6B-4FEA-B0CA-77867D02F7F0}"/>
    <hyperlink ref="O8263" r:id="rId25570" display="https://pbs.twimg.com/profile_images/530071272881803264/a_jcCmPZ_normal.png" xr:uid="{65E3F2ED-7CC8-418C-86F8-18AF9D94DF43}"/>
    <hyperlink ref="B8264" r:id="rId25571" display="https://twitter.com/Scirocco_Tuning" xr:uid="{69B09EA9-E22C-48F9-B232-6CFA8334035D}"/>
    <hyperlink ref="E8264" r:id="rId25572" display="https://twitter.com/Scirocco_Tuning/status/724448938741342209" xr:uid="{F874298A-6239-480F-9AA7-1B41FB2AF136}"/>
    <hyperlink ref="O8264" r:id="rId25573" display="https://pbs.twimg.com/profile_images/1610421423/Image2_normal.jpg" xr:uid="{187AEB37-8E0D-4CB4-BCE4-6ABA1BCA73FC}"/>
    <hyperlink ref="B8265" r:id="rId25574" display="https://twitter.com/PicadasArg" xr:uid="{60BCE699-A726-464D-AC28-1567F443E08E}"/>
    <hyperlink ref="E8265" r:id="rId25575" display="https://twitter.com/PicadasArg/status/724449405340921858" xr:uid="{D8BFDB38-97C8-46EE-AE6F-CB7FC8778993}"/>
    <hyperlink ref="O8265" r:id="rId25576" display="https://pbs.twimg.com/profile_images/713573399386259456/JwmrbkVy_normal.jpg" xr:uid="{DBE638AC-CE43-4BDD-A288-70E99D15C1D8}"/>
    <hyperlink ref="B8266" r:id="rId25577" display="https://twitter.com/LuuliLuuli" xr:uid="{85A29906-62D3-4328-B220-28AC38831657}"/>
    <hyperlink ref="E8266" r:id="rId25578" display="https://twitter.com/LuuliLuuli/status/724449424685056000" xr:uid="{7DD7CB21-BD2A-4D2D-BD5D-715CAC82EF2C}"/>
    <hyperlink ref="O8266" r:id="rId25579" display="https://pbs.twimg.com/profile_images/714978246358646785/thHgZO20_normal.jpg" xr:uid="{F058CE88-431A-4AE8-B098-EF34EAE66365}"/>
    <hyperlink ref="B8267" r:id="rId25580" display="https://twitter.com/Duambyth" xr:uid="{363BA5D8-4D3C-45E6-95FD-0A05A3E91F41}"/>
    <hyperlink ref="E8267" r:id="rId25581" display="https://twitter.com/Duambyth/status/724449580629299202" xr:uid="{4A008FC0-94F3-4860-BAAF-78870C9EC957}"/>
    <hyperlink ref="O8267" r:id="rId25582" display="https://pbs.twimg.com/profile_images/714558560936529920/fOUFpJYx_normal.jpg" xr:uid="{D8AF2D35-FAE2-42A3-9921-191CB83CE85E}"/>
    <hyperlink ref="B8268" r:id="rId25583" display="https://twitter.com/GabyMollaret" xr:uid="{1959530B-31DC-4683-9605-5F12B8DC1EA2}"/>
    <hyperlink ref="E8268" r:id="rId25584" display="https://twitter.com/GabyMollaret/status/724449654574841856" xr:uid="{9020A5DA-84B9-415F-83BF-DF8F35F4EF88}"/>
    <hyperlink ref="O8268" r:id="rId25585" display="https://pbs.twimg.com/profile_images/720787210778316800/szlhwBwO_normal.jpg" xr:uid="{B5D184BF-4B23-4304-B790-87E8B5BBEA47}"/>
    <hyperlink ref="B8269" r:id="rId25586" display="https://twitter.com/gregrose" xr:uid="{C041C768-02E8-4090-9FB0-8272264E92AA}"/>
    <hyperlink ref="E8269" r:id="rId25587" display="https://twitter.com/gregrose/status/724449957122564097" xr:uid="{2DC468DE-E094-4D32-A128-3C16023E2436}"/>
    <hyperlink ref="O8269" r:id="rId25588" display="https://pbs.twimg.com/profile_images/718587719580913668/vPZpdW4U_normal.jpg" xr:uid="{E3A8CDDE-F2CE-4136-B7C7-1BC37A56814D}"/>
    <hyperlink ref="B8270" r:id="rId25589" display="https://twitter.com/LuchiAltamira" xr:uid="{13E7033E-C336-424F-9B4A-9E923AF7919D}"/>
    <hyperlink ref="E8270" r:id="rId25590" display="https://twitter.com/LuchiAltamira/status/724449996679057408" xr:uid="{569FD84C-09C1-4496-AEC9-C2E437FCF091}"/>
    <hyperlink ref="O8270" r:id="rId25591" display="https://pbs.twimg.com/profile_images/723368545099210752/DJxfm_Ok_normal.jpg" xr:uid="{22A5C57E-0B4F-481F-80EB-42F59B3B8E4B}"/>
    <hyperlink ref="B8271" r:id="rId25592" display="https://twitter.com/George_Rey4" xr:uid="{964E3B49-3145-4009-938E-97664B3A6884}"/>
    <hyperlink ref="E8271" r:id="rId25593" display="https://twitter.com/George_Rey4/status/724450325147459585" xr:uid="{E4254333-1523-47F4-B11F-E14CDF2AEDB2}"/>
    <hyperlink ref="O8271" r:id="rId25594" display="https://pbs.twimg.com/profile_images/716495110725246976/aZNUJl0F_normal.jpg" xr:uid="{DD418CDF-96DD-4A61-A6DF-274273DB5E6B}"/>
    <hyperlink ref="B8272" r:id="rId25595" display="https://twitter.com/FrankfurtFinanz" xr:uid="{D2CAC1E0-8C24-4EA6-B8A4-1196A58AD799}"/>
    <hyperlink ref="E8272" r:id="rId25596" display="https://twitter.com/FrankfurtFinanz/status/724450509030064128" xr:uid="{4DC0482B-D799-4B20-A3C3-95699093C1A2}"/>
    <hyperlink ref="O8272" r:id="rId25597" display="https://pbs.twimg.com/profile_images/439793745223892992/B7ZjnRlV_normal.jpeg" xr:uid="{E6CC0C62-7A39-427D-B0FE-7101887D89C3}"/>
    <hyperlink ref="B8273" r:id="rId25598" display="https://twitter.com/breedveldusa" xr:uid="{84CEA89B-8919-4F3F-A70F-65FFD17E1AE3}"/>
    <hyperlink ref="E8273" r:id="rId25599" display="https://twitter.com/breedveldusa/status/724450757345468416" xr:uid="{BB1C2AF7-7947-42ED-BE64-1E6E9355ED0E}"/>
    <hyperlink ref="O8273" r:id="rId25600" display="https://pbs.twimg.com/profile_images/674866085213130752/qAlZEGhV_normal.jpg" xr:uid="{9D4EACC6-A25F-4835-9C09-2E428D86C901}"/>
    <hyperlink ref="B8274" r:id="rId25601" display="https://twitter.com/DubLuvTuning" xr:uid="{5F384EE3-39C6-4908-A7D3-937B4CBED881}"/>
    <hyperlink ref="E8274" r:id="rId25602" display="https://twitter.com/DubLuvTuning/status/724451032042995712" xr:uid="{168E651A-EADA-41D7-9F5C-66CC2712C7E9}"/>
    <hyperlink ref="O8274" r:id="rId25603" display="https://pbs.twimg.com/profile_images/378800000572104796/1de43e1cf23efb3f4101c02afad0d3b6_normal.png" xr:uid="{E68AA7D3-3F60-4648-87F6-048D805DF8A1}"/>
    <hyperlink ref="B8275" r:id="rId25604" display="https://twitter.com/VolkswagenPost" xr:uid="{BF5ECDFA-F925-4176-B940-E0D22B0A83FD}"/>
    <hyperlink ref="E8275" r:id="rId25605" display="https://twitter.com/VolkswagenPost/status/724451128423907328" xr:uid="{2A8C70A3-88D7-4763-894C-832D750C39CB}"/>
    <hyperlink ref="O8275" r:id="rId25606" display="https://pbs.twimg.com/profile_images/530071272881803264/a_jcCmPZ_normal.png" xr:uid="{85208910-D68A-483B-B3F9-12F89C60CC0D}"/>
    <hyperlink ref="B8276" r:id="rId25607" display="https://twitter.com/breedveldusa" xr:uid="{A3E9876A-2E46-4DFF-8068-81D6FBD5816F}"/>
    <hyperlink ref="E8276" r:id="rId25608" display="https://twitter.com/breedveldusa/status/724451273764929536" xr:uid="{C20F90C2-9222-49B5-A8C8-3126984852F5}"/>
    <hyperlink ref="O8276" r:id="rId25609" display="https://pbs.twimg.com/profile_images/674866085213130752/qAlZEGhV_normal.jpg" xr:uid="{0B75FE38-D926-4BC0-A9B6-A08CA234D510}"/>
    <hyperlink ref="B8277" r:id="rId25610" display="https://twitter.com/nikoparedes4" xr:uid="{0537AB9D-7147-4298-90FF-134D308A6325}"/>
    <hyperlink ref="E8277" r:id="rId25611" display="https://twitter.com/nikoparedes4/status/724451689751805953" xr:uid="{6169A112-BD14-4097-A18F-F4AF0EA2BF58}"/>
    <hyperlink ref="O8277" r:id="rId25612" display="https://pbs.twimg.com/profile_images/637793934845046785/xyVgpucG_normal.jpg" xr:uid="{06D28C83-87CC-4C1D-BF73-4AE06A5E58B6}"/>
    <hyperlink ref="B8278" r:id="rId25613" display="https://twitter.com/George_Rey4" xr:uid="{0F84641F-1DB0-46EC-97D0-E3240A087A58}"/>
    <hyperlink ref="E8278" r:id="rId25614" display="https://twitter.com/George_Rey4/status/724451960259141633" xr:uid="{36124F44-3F0F-4A44-9FBF-199AB71A64E6}"/>
    <hyperlink ref="O8278" r:id="rId25615" display="https://pbs.twimg.com/profile_images/716495110725246976/aZNUJl0F_normal.jpg" xr:uid="{C2769919-40CD-48CC-9104-5FB9C70A1861}"/>
    <hyperlink ref="B8279" r:id="rId25616" display="https://twitter.com/VWCamperSales" xr:uid="{91C9C9CD-8694-40A5-BFE5-0C2B41B9A5D2}"/>
    <hyperlink ref="E8279" r:id="rId25617" display="https://twitter.com/VWCamperSales/status/724452152848994304" xr:uid="{059BF8C2-51D7-426A-B92B-FB61F4951F41}"/>
    <hyperlink ref="F8279" r:id="rId25618" xr:uid="{1F936125-2EC7-48FB-95FE-8A3B4DBBB2D4}"/>
    <hyperlink ref="O8279" r:id="rId25619" display="https://pbs.twimg.com/profile_images/627949001179037696/skEBkS05_normal.jpg" xr:uid="{4E694842-E5A1-4A09-ABC0-BB129479BC14}"/>
    <hyperlink ref="B8280" r:id="rId25620" display="https://twitter.com/Flor_Lopezc" xr:uid="{5B5AA066-4ABF-4269-BA68-1556791E872F}"/>
    <hyperlink ref="E8280" r:id="rId25621" display="https://twitter.com/Flor_Lopezc/status/724452337964703744" xr:uid="{85D47BC4-9C1B-4D3D-9D7E-EE1E668BC4EC}"/>
    <hyperlink ref="O8280" r:id="rId25622" display="https://pbs.twimg.com/profile_images/723884843508084739/vk1neEZZ_normal.jpg" xr:uid="{CB2BE1F2-C181-4449-839E-7F594F771525}"/>
    <hyperlink ref="B8281" r:id="rId25623" display="https://twitter.com/edyrivera74" xr:uid="{3F6C1BDE-1150-4FCF-A482-01137E119E74}"/>
    <hyperlink ref="E8281" r:id="rId25624" display="https://twitter.com/edyrivera74/status/724452410077405184" xr:uid="{3B06B00B-4017-4DD6-8DB3-FDBFF89B9C7C}"/>
    <hyperlink ref="O8281" r:id="rId25625" display="https://pbs.twimg.com/profile_images/721901030309552129/YXZz-ruu_normal.jpg" xr:uid="{3B000959-CB89-439B-A03F-7F87818C9ECB}"/>
    <hyperlink ref="B8282" r:id="rId25626" display="https://twitter.com/HuntingtonPicks" xr:uid="{C831B47A-D047-4982-A8BB-9C032EE4C67A}"/>
    <hyperlink ref="E8282" r:id="rId25627" display="https://twitter.com/HuntingtonPicks/status/724452473797144576" xr:uid="{6505A524-9111-45C5-98AC-64371B8568CF}"/>
    <hyperlink ref="O8282" r:id="rId25628" display="https://pbs.twimg.com/profile_images/1398251675/picks-logo-huntingtonbeach_normal.png" xr:uid="{660E5E2E-C038-42C9-95BD-F02AE9FC947B}"/>
    <hyperlink ref="B8283" r:id="rId25629" display="https://twitter.com/techislet" xr:uid="{9DE29D81-9139-47F4-9CCF-9E467094F2AE}"/>
    <hyperlink ref="E8283" r:id="rId25630" display="https://twitter.com/techislet/status/724452732262821888" xr:uid="{47CD7C0F-F4AB-4000-B064-85998C6B20DE}"/>
    <hyperlink ref="O8283" r:id="rId25631" display="https://pbs.twimg.com/profile_images/640893185158352896/TMGmsF0r_normal.png" xr:uid="{8F35909E-4040-4C04-9CB4-244F4933EBC7}"/>
    <hyperlink ref="B8284" r:id="rId25632" display="https://twitter.com/DubLuvTuning" xr:uid="{DE798737-15FC-424E-8BC2-826348D19BFE}"/>
    <hyperlink ref="E8284" r:id="rId25633" display="https://twitter.com/DubLuvTuning/status/724453056713232384" xr:uid="{10A150FF-A93A-4FAD-B176-E87CDA39645C}"/>
    <hyperlink ref="O8284" r:id="rId25634" display="https://pbs.twimg.com/profile_images/378800000572104796/1de43e1cf23efb3f4101c02afad0d3b6_normal.png" xr:uid="{5EDDC58E-6121-429D-8B25-553C310FB537}"/>
    <hyperlink ref="B8285" r:id="rId25635" display="https://twitter.com/VolkswagenPost" xr:uid="{15C50E06-4BEE-4976-A482-D58778A431B3}"/>
    <hyperlink ref="E8285" r:id="rId25636" display="https://twitter.com/VolkswagenPost/status/724453327027712000" xr:uid="{24C944A6-8D74-48C0-9B68-4F2B2B430C01}"/>
    <hyperlink ref="O8285" r:id="rId25637" display="https://pbs.twimg.com/profile_images/530071272881803264/a_jcCmPZ_normal.png" xr:uid="{23DCEFBF-5B56-4513-9076-C0F110B11BDE}"/>
    <hyperlink ref="B8286" r:id="rId25638" display="https://twitter.com/Mankool_Mumbai" xr:uid="{C8EF43BA-12BF-4C55-801D-A351D80C807E}"/>
    <hyperlink ref="E8286" r:id="rId25639" display="https://twitter.com/Mankool_Mumbai/status/724454032841035776" xr:uid="{F391C603-5F74-483D-81E7-A4D8701FB8B8}"/>
    <hyperlink ref="O8286" r:id="rId25640" display="https://pbs.twimg.com/profile_images/722873847901368322/RNCtrBPj_normal.jpg" xr:uid="{3A8F40F3-0FD3-4F88-A4C3-C6F0AE3993F4}"/>
    <hyperlink ref="B8287" r:id="rId25641" display="https://twitter.com/TheRemixStudio" xr:uid="{8F703732-11C5-4887-AB18-41EE90B84A89}"/>
    <hyperlink ref="E8287" r:id="rId25642" display="https://twitter.com/TheRemixStudio/status/724454795751227393" xr:uid="{5541A68B-BE67-4B91-8832-F9911C7B3C18}"/>
    <hyperlink ref="O8287" r:id="rId25643" display="https://pbs.twimg.com/profile_images/723725278611034112/4Fd5AYQP_normal.jpg" xr:uid="{88E6E0AA-FAAE-46E2-8797-CA9D07F410E4}"/>
    <hyperlink ref="B8288" r:id="rId25644" display="https://twitter.com/camiilarommero" xr:uid="{5163D0CA-7382-4E60-9A03-B30FF4B6C250}"/>
    <hyperlink ref="E8288" r:id="rId25645" display="https://twitter.com/camiilarommero/status/724454893126324225" xr:uid="{843A1A0A-7299-4628-851C-B87AFF3AC882}"/>
    <hyperlink ref="O8288" r:id="rId25646" display="https://pbs.twimg.com/profile_images/712842542241484800/fYAhmTUq_normal.jpg" xr:uid="{09CB6ECA-EF36-4635-9942-AF14626CBB2C}"/>
    <hyperlink ref="B8289" r:id="rId25647" display="https://twitter.com/TheRemixStudio" xr:uid="{B59FFFDA-E774-4C0B-9B9F-CC8DE30D816B}"/>
    <hyperlink ref="E8289" r:id="rId25648" display="https://twitter.com/TheRemixStudio/status/724454971748417536" xr:uid="{276798B0-0B3A-4641-9914-AAD7FFC1E11E}"/>
    <hyperlink ref="O8289" r:id="rId25649" display="https://pbs.twimg.com/profile_images/723725278611034112/4Fd5AYQP_normal.jpg" xr:uid="{DA8620CF-83D5-4A63-B14F-3699641EF574}"/>
    <hyperlink ref="B8290" r:id="rId25650" display="https://twitter.com/alanakuhn" xr:uid="{D2884C69-ECB4-4DD0-96DD-8C9CBD3833A9}"/>
    <hyperlink ref="E8290" r:id="rId25651" display="https://twitter.com/alanakuhn/status/724456117938475008" xr:uid="{A7CA97F2-BA16-4ED1-9780-5FB459D2631D}"/>
    <hyperlink ref="O8290" r:id="rId25652" display="https://pbs.twimg.com/profile_images/724455779646869505/S7sln-95_normal.jpg" xr:uid="{E77B2AF4-5662-4D32-801F-FB224DBA32CE}"/>
    <hyperlink ref="B8291" r:id="rId25653" display="https://twitter.com/_NicoOlmedo_" xr:uid="{79DCA811-DB40-4820-82F3-F80A410A0296}"/>
    <hyperlink ref="E8291" r:id="rId25654" display="https://twitter.com/_NicoOlmedo_/status/724456615089414144" xr:uid="{48B637C7-0FF2-4253-A037-D3F04B8AEE48}"/>
    <hyperlink ref="O8291" r:id="rId25655" display="https://pbs.twimg.com/profile_images/717597480981020672/yN59Cz_5_normal.jpg" xr:uid="{CB0A2665-11A6-4D7D-AF43-7C2F6B567CE9}"/>
    <hyperlink ref="B8292" r:id="rId25656" display="https://twitter.com/80230e4f9e424a1" xr:uid="{0A7FE9EE-D566-464E-B7F9-C64817F310D7}"/>
    <hyperlink ref="E8292" r:id="rId25657" display="https://twitter.com/80230e4f9e424a1/status/724456637419933696" xr:uid="{88F99E26-6DFC-4629-BB4A-E3EEC1147F05}"/>
    <hyperlink ref="O8292" r:id="rId25658" display="https://pbs.twimg.com/profile_images/715865125589221377/LL-u_qje_normal.jpg" xr:uid="{D5EFB736-4EE6-4796-B057-557405DEE72B}"/>
    <hyperlink ref="B8293" r:id="rId25659" display="https://twitter.com/tomaszapata2" xr:uid="{7133D178-3D78-4305-B2F3-31605044C208}"/>
    <hyperlink ref="E8293" r:id="rId25660" display="https://twitter.com/tomaszapata2/status/724456772044365824" xr:uid="{9A01E46E-53E7-49D3-87D5-64DF1E4AC5F0}"/>
    <hyperlink ref="O8293" r:id="rId25661" display="https://pbs.twimg.com/profile_images/700437504231604224/W4It-QsY_normal.jpg" xr:uid="{A53590BC-4707-42E0-BFB2-3D0773E72BB5}"/>
    <hyperlink ref="B8294" r:id="rId25662" display="https://twitter.com/80230e4f9e424a1" xr:uid="{14DC2D17-C5A6-4291-BBD9-E8E6014EBF44}"/>
    <hyperlink ref="E8294" r:id="rId25663" display="https://twitter.com/80230e4f9e424a1/status/724457037036400640" xr:uid="{108C2E32-748C-4342-96B2-D09A6501E4FD}"/>
    <hyperlink ref="O8294" r:id="rId25664" display="https://pbs.twimg.com/profile_images/715865125589221377/LL-u_qje_normal.jpg" xr:uid="{00B487D8-B573-4E11-9F94-163CEA76ABBB}"/>
    <hyperlink ref="B8295" r:id="rId25665" display="https://twitter.com/80230e4f9e424a1" xr:uid="{22F8BBE9-09C5-467F-974D-245A56DE31CF}"/>
    <hyperlink ref="E8295" r:id="rId25666" display="https://twitter.com/80230e4f9e424a1/status/724457067101184000" xr:uid="{65DB7065-DED7-4D3A-B50F-E37248E6084F}"/>
    <hyperlink ref="O8295" r:id="rId25667" display="https://pbs.twimg.com/profile_images/715865125589221377/LL-u_qje_normal.jpg" xr:uid="{454F8260-8C8C-4852-95EB-307E5F6AEA32}"/>
    <hyperlink ref="B8296" r:id="rId25668" display="https://twitter.com/saskretweeter" xr:uid="{6A29AD53-A529-4AA2-B55D-3B3E6D7F6A84}"/>
    <hyperlink ref="E8296" r:id="rId25669" display="https://twitter.com/saskretweeter/status/724457535462342656" xr:uid="{D92FD54F-3658-4DB6-AD31-A122CFAFEF3B}"/>
    <hyperlink ref="O8296" r:id="rId25670" display="https://pbs.twimg.com/profile_images/474295817772490752/fti9g4Cj_normal.jpeg" xr:uid="{AF962DB3-2197-4041-A25A-B5D43B2C3D3C}"/>
    <hyperlink ref="B8297" r:id="rId25671" display="https://twitter.com/lovepeace1009" xr:uid="{FA0C207C-C653-4D0C-AC89-4381FFE4FE4B}"/>
    <hyperlink ref="E8297" r:id="rId25672" display="https://twitter.com/lovepeace1009/status/724458355301847040" xr:uid="{0006EF8C-2A77-4818-9BE9-AC1C44D6AE75}"/>
    <hyperlink ref="O8297" r:id="rId25673" display="https://pbs.twimg.com/profile_images/646875510249684993/JrL2aKF-_normal.jpg" xr:uid="{DEDF80FA-F921-4F05-8DD8-1EDB72ACD35F}"/>
    <hyperlink ref="B8298" r:id="rId25674" display="https://twitter.com/vwmaniacs" xr:uid="{4913B4C4-1236-4B20-8662-96B3E0F5E714}"/>
    <hyperlink ref="E8298" r:id="rId25675" display="https://twitter.com/vwmaniacs/status/724458857196490752" xr:uid="{8547E617-5159-40AF-BB7C-BB727B718169}"/>
    <hyperlink ref="O8298" r:id="rId25676" display="https://pbs.twimg.com/profile_images/2188709653/420231_385567048140178_106973562666196_1378230_25473722_n_normal.jpg" xr:uid="{60AAF416-1300-469C-8A1A-5747C4C34AB4}"/>
    <hyperlink ref="B8299" r:id="rId25677" display="https://twitter.com/OnlineCarReview" xr:uid="{0E344044-12A3-488E-9764-9DDEC466CD50}"/>
    <hyperlink ref="E8299" r:id="rId25678" display="https://twitter.com/OnlineCarReview/status/724460621685645313" xr:uid="{C411AE65-DF55-4568-A2DC-2619C8042F80}"/>
    <hyperlink ref="O8299" r:id="rId25679" display="https://pbs.twimg.com/profile_images/652871584131092480/QA_B6SBO_normal.jpg" xr:uid="{00FD225A-F948-43F9-AAB1-25CFE32BB870}"/>
    <hyperlink ref="B8300" r:id="rId25680" display="https://twitter.com/OnlineCarReview" xr:uid="{E93CCA01-0476-4446-8A35-5195E3996AE4}"/>
    <hyperlink ref="E8300" r:id="rId25681" display="https://twitter.com/OnlineCarReview/status/724460622469951489" xr:uid="{8B3E6B1C-4EE4-4D6C-9DE7-1DB62A92C03B}"/>
    <hyperlink ref="O8300" r:id="rId25682" display="https://pbs.twimg.com/profile_images/652871584131092480/QA_B6SBO_normal.jpg" xr:uid="{CD1D7B5F-B385-45D1-9A22-C96953086C4A}"/>
    <hyperlink ref="B8301" r:id="rId25683" display="https://twitter.com/OnlineCarReview" xr:uid="{0C200C1C-90F2-4666-BAA4-B672B79BE189}"/>
    <hyperlink ref="E8301" r:id="rId25684" display="https://twitter.com/OnlineCarReview/status/724460623258505216" xr:uid="{245838D0-5159-49D0-9200-2BBE71968CBE}"/>
    <hyperlink ref="O8301" r:id="rId25685" display="https://pbs.twimg.com/profile_images/652871584131092480/QA_B6SBO_normal.jpg" xr:uid="{08D3DF13-77D9-4792-BC92-CD85DF3BBF8B}"/>
    <hyperlink ref="B8302" r:id="rId25686" display="https://twitter.com/KeithDMcMurdo" xr:uid="{D55F84BB-2BB2-4D9A-954E-6E9C3939379C}"/>
    <hyperlink ref="E8302" r:id="rId25687" display="https://twitter.com/KeithDMcMurdo/status/724461782736101378" xr:uid="{04C80747-61D8-4052-9AC1-DB53387958FB}"/>
    <hyperlink ref="O8302" r:id="rId25688" display="https://pbs.twimg.com/profile_images/461938832338731008/ilnQ_LK-_normal.jpeg" xr:uid="{283FF07D-459B-46C5-8F7B-A60847412C74}"/>
    <hyperlink ref="B8303" r:id="rId25689" display="https://twitter.com/Vantigosf" xr:uid="{B5382BC7-EE04-41C9-8CEF-7E54BE8D746B}"/>
    <hyperlink ref="E8303" r:id="rId25690" display="https://twitter.com/Vantigosf/status/724463239065563136" xr:uid="{207A7D9E-E55B-43CE-ABED-6A81568E1064}"/>
    <hyperlink ref="O8303" r:id="rId25691" display="https://pbs.twimg.com/profile_images/378800000324328510/d07282df6f49ca608372edd52852d8f3_normal.jpeg" xr:uid="{B2DF0285-22B1-4E03-8215-45D6A2B1ACF7}"/>
    <hyperlink ref="B8304" r:id="rId25692" display="https://twitter.com/Vital_Hydro" xr:uid="{E8C69443-0066-4B24-B652-39589E4F009D}"/>
    <hyperlink ref="E8304" r:id="rId25693" display="https://twitter.com/Vital_Hydro/status/724463281260367872" xr:uid="{0F0056F6-4E48-4522-9406-8C91CD856AD8}"/>
    <hyperlink ref="O8304" r:id="rId25694" display="https://pbs.twimg.com/profile_images/527543470005964800/j2iA1fA8_normal.jpeg" xr:uid="{5FE6369F-E78F-43AB-ACBA-9016C829C989}"/>
    <hyperlink ref="B8305" r:id="rId25695" display="https://twitter.com/cmsGOMEX" xr:uid="{2528C8B1-934F-4F02-B95E-D12D041316D9}"/>
    <hyperlink ref="E8305" r:id="rId25696" display="https://twitter.com/cmsGOMEX/status/724463543282741248" xr:uid="{AFA9FE82-203D-4E56-9695-72E1CA92ABA6}"/>
    <hyperlink ref="O8305" r:id="rId25697" display="https://pbs.twimg.com/profile_images/472298206483607552/UogAMiRI_normal.png" xr:uid="{C5B39A93-4B19-4323-A78A-03C830E8E8CF}"/>
    <hyperlink ref="B8306" r:id="rId25698" display="https://twitter.com/VolkswagenPost" xr:uid="{3BC76196-0E44-4EA9-9766-A514D575912E}"/>
    <hyperlink ref="E8306" r:id="rId25699" display="https://twitter.com/VolkswagenPost/status/724463847281565696" xr:uid="{A07ECB46-0106-416D-9954-90260CE319A0}"/>
    <hyperlink ref="O8306" r:id="rId25700" display="https://pbs.twimg.com/profile_images/530071272881803264/a_jcCmPZ_normal.png" xr:uid="{E6F97CE1-5C60-47F1-8B08-66679776518E}"/>
    <hyperlink ref="B8307" r:id="rId25701" display="https://twitter.com/AS_AppleDaily" xr:uid="{99651E0F-8065-4838-9931-B660E92F1439}"/>
    <hyperlink ref="E8307" r:id="rId25702" display="https://twitter.com/AS_AppleDaily/status/724464093269123072" xr:uid="{394C58D6-9783-4DF3-9536-06ABCB9DCED0}"/>
    <hyperlink ref="O8307" r:id="rId25703" display="https://pbs.twimg.com/profile_images/711534498765115392/I7LaS622_normal.jpg" xr:uid="{CCFB4DC3-CF77-4476-9281-225C65E689DF}"/>
    <hyperlink ref="B8308" r:id="rId25704" display="https://twitter.com/stevehui" xr:uid="{9A1915B9-BCF0-4C11-80BF-B674631EBBEA}"/>
    <hyperlink ref="E8308" r:id="rId25705" display="https://twitter.com/stevehui/status/724464115129802753" xr:uid="{99A236FC-D610-4236-86AD-B18443A744BF}"/>
    <hyperlink ref="O8308" r:id="rId25706" display="https://pbs.twimg.com/profile_images/1254660487/P2243919_normal.jpg" xr:uid="{D61E5292-23EB-40E4-9F6C-42796FC6CC00}"/>
    <hyperlink ref="B8309" r:id="rId25707" display="https://twitter.com/hashtagvanlife" xr:uid="{DAFA8AC3-83FD-4C11-94E0-6F44FD8F3021}"/>
    <hyperlink ref="E8309" r:id="rId25708" display="https://twitter.com/hashtagvanlife/status/724465370099257344" xr:uid="{BC100AD7-26EB-4F34-B122-61E45D1DF844}"/>
    <hyperlink ref="O8309" r:id="rId25709" display="https://pbs.twimg.com/profile_images/653637535545995264/gHuXQ5Bt_normal.jpg" xr:uid="{53AB61FF-1697-4562-8448-C47D88C5491C}"/>
    <hyperlink ref="B8310" r:id="rId25710" display="https://twitter.com/mario_skater" xr:uid="{496FC161-44A9-4343-B16C-919E446BD71F}"/>
    <hyperlink ref="E8310" r:id="rId25711" display="https://twitter.com/mario_skater/status/724465477850902528" xr:uid="{F26071F8-4E3E-432F-827F-95311BDF1E8F}"/>
    <hyperlink ref="O8310" r:id="rId25712" display="https://pbs.twimg.com/profile_images/718430597354532864/PZG1fgJb_normal.jpg" xr:uid="{99DA72D6-18A0-4044-824D-64CD30696A06}"/>
    <hyperlink ref="B8311" r:id="rId25713" display="https://twitter.com/mario_skater" xr:uid="{8B7BF6D6-E96C-4480-8EC6-EC6C57E232A1}"/>
    <hyperlink ref="E8311" r:id="rId25714" display="https://twitter.com/mario_skater/status/724465499690643457" xr:uid="{8A94F149-DF8A-4E75-96BD-13DB5199C912}"/>
    <hyperlink ref="O8311" r:id="rId25715" display="https://pbs.twimg.com/profile_images/718430597354532864/PZG1fgJb_normal.jpg" xr:uid="{94E61B9B-640A-4851-9924-A7819C1B3B96}"/>
    <hyperlink ref="B8312" r:id="rId25716" display="https://twitter.com/Fulch87" xr:uid="{D566DF86-ABE2-4D74-8B24-FBBBAEB175F6}"/>
    <hyperlink ref="E8312" r:id="rId25717" display="https://twitter.com/Fulch87/status/724466275045486592" xr:uid="{2F562492-7A65-4017-91C2-E686AE32BF04}"/>
    <hyperlink ref="O8312" r:id="rId25718" display="https://pbs.twimg.com/profile_images/523189174565105664/-77bYbwO_normal.jpeg" xr:uid="{7777177D-2CB6-4847-ACB8-1DF1A8E17530}"/>
    <hyperlink ref="B8313" r:id="rId25719" display="https://twitter.com/vwgroup_en" xr:uid="{579E35CD-F286-4467-854D-D2BC11847DB6}"/>
    <hyperlink ref="E8313" r:id="rId25720" display="https://twitter.com/vwgroup_en/status/724467275273801728" xr:uid="{BA58AF24-8DBC-4D59-91EF-A2849C4CB819}"/>
    <hyperlink ref="O8313" r:id="rId25721" display="https://pbs.twimg.com/profile_images/666952430177935362/T46eVne2_normal.png" xr:uid="{3043005C-EC71-4F4D-AF34-E72C1A2E8710}"/>
    <hyperlink ref="B8314" r:id="rId25722" display="https://twitter.com/ATHOSMONT" xr:uid="{751465E0-DB49-4BB1-A74E-A89678419076}"/>
    <hyperlink ref="E8314" r:id="rId25723" display="https://twitter.com/ATHOSMONT/status/724467892230574081" xr:uid="{747BD9FD-4367-42DE-A809-B04673D179CC}"/>
    <hyperlink ref="O8314" r:id="rId25724" display="https://pbs.twimg.com/profile_images/640063278882799616/UlUr00Sr_normal.jpg" xr:uid="{1815B599-AE15-4698-961E-0DC18A4EE3AB}"/>
    <hyperlink ref="B8315" r:id="rId25725" display="https://twitter.com/andrew_amanya" xr:uid="{DFB8D253-6A6B-4F55-8EF2-D2CC56A89AE3}"/>
    <hyperlink ref="E8315" r:id="rId25726" display="https://twitter.com/andrew_amanya/status/724467979455442944" xr:uid="{357809D3-6FE8-475A-A5BA-96477729527A}"/>
    <hyperlink ref="O8315" r:id="rId25727" display="https://pbs.twimg.com/profile_images/687590151506235392/LImmacKS_normal.jpg" xr:uid="{055BC079-A3B4-423E-8430-3F6C4B96A272}"/>
    <hyperlink ref="B8316" r:id="rId25728" display="https://twitter.com/MonogamieRockt" xr:uid="{1A1710F3-5080-4F1F-9374-2AAA7767051B}"/>
    <hyperlink ref="E8316" r:id="rId25729" display="https://twitter.com/MonogamieRockt/status/724468259815350272" xr:uid="{B549D06D-93C2-4B3A-BBD3-51EA818FDB45}"/>
    <hyperlink ref="O8316" r:id="rId25730" display="https://pbs.twimg.com/profile_images/602761581538222080/_uT8yozJ_normal.jpg" xr:uid="{9D0B0466-E4E8-4F9C-9AEC-6CB952EA1170}"/>
    <hyperlink ref="B8317" r:id="rId25731" display="https://twitter.com/BriardSebastien" xr:uid="{2256FB91-0277-4DBB-AD97-BB7C2D167168}"/>
    <hyperlink ref="E8317" r:id="rId25732" display="https://twitter.com/BriardSebastien/status/724469016761405442" xr:uid="{B64BC457-8F35-482A-A8C3-2C68B6DFB344}"/>
    <hyperlink ref="O8317" r:id="rId25733" display="https://pbs.twimg.com/profile_images/692720660016136193/iach6pOV_normal.jpg" xr:uid="{D1864B88-A977-4BFD-96AA-347736F3ED74}"/>
    <hyperlink ref="B8318" r:id="rId25734" display="https://twitter.com/vwpress_de" xr:uid="{9B54BE74-7E46-4C9C-8145-ECD44467C2EB}"/>
    <hyperlink ref="E8318" r:id="rId25735" display="https://twitter.com/vwpress_de/status/724469156091969537" xr:uid="{124C1982-C8FD-46AB-83A6-01BEB76A4606}"/>
    <hyperlink ref="O8318" r:id="rId25736" display="https://pbs.twimg.com/profile_images/682117656502222848/Ge7YeAF3_normal.png" xr:uid="{CFF52F42-1C51-493E-819A-4F3EC26A1D26}"/>
    <hyperlink ref="B8319" r:id="rId25737" display="https://twitter.com/chi78932907" xr:uid="{C900407A-DFA2-4719-884F-AA2B59BB7EFE}"/>
    <hyperlink ref="E8319" r:id="rId25738" display="https://twitter.com/chi78932907/status/724469246701375492" xr:uid="{1BC311AD-C50D-4061-88F5-EA022048D8F6}"/>
    <hyperlink ref="O8319" r:id="rId25739" display="https://pbs.twimg.com/profile_images/720865866548514817/5u1sM5YS_normal.jpg" xr:uid="{3B43EBF2-BB01-43F0-AC18-A6066AF042C3}"/>
    <hyperlink ref="B8320" r:id="rId25740" display="https://twitter.com/GO_ShengExhaust" xr:uid="{B96EEB03-406D-4B0A-B80D-843964217004}"/>
    <hyperlink ref="E8320" r:id="rId25741" display="https://twitter.com/GO_ShengExhaust/status/724469646112387073" xr:uid="{AF23959A-A8B4-4243-AD91-09B59C88B3F8}"/>
    <hyperlink ref="O8320" r:id="rId25742" display="https://pbs.twimg.com/profile_images/639281846556069892/c78Gg9SX_normal.jpg" xr:uid="{30B39E7A-6E8E-4064-A9D3-EEBACA9960FB}"/>
    <hyperlink ref="B8321" r:id="rId25743" display="https://twitter.com/nitindas284" xr:uid="{58559DC5-5125-422D-A884-0C6A15D60591}"/>
    <hyperlink ref="E8321" r:id="rId25744" display="https://twitter.com/nitindas284/status/724469804757700608" xr:uid="{8EB31EC9-09F2-4798-B6FD-D028E62176C7}"/>
    <hyperlink ref="O8321" r:id="rId25745" display="https://pbs.twimg.com/profile_images/706903756676276224/pQh_XehM_normal.jpg" xr:uid="{110F3B08-9308-45EA-A752-795214020528}"/>
    <hyperlink ref="B8322" r:id="rId25746" display="https://twitter.com/JamilMamedov" xr:uid="{60517EBE-B212-4A24-88F2-3AF3A3418DC8}"/>
    <hyperlink ref="E8322" r:id="rId25747" display="https://twitter.com/JamilMamedov/status/724469835699236865" xr:uid="{3B2F3FE7-A7A8-45FC-9302-C169BACBF5A3}"/>
    <hyperlink ref="O8322" r:id="rId25748" display="https://pbs.twimg.com/profile_images/687887984222449665/wZPB7e4r_normal.jpg" xr:uid="{B9695401-1A43-42A6-B135-98FC56CF431D}"/>
    <hyperlink ref="B8323" r:id="rId25749" display="https://twitter.com/mannyWHU" xr:uid="{CECE7E00-77F5-4158-8C31-05B040E54484}"/>
    <hyperlink ref="E8323" r:id="rId25750" display="https://twitter.com/mannyWHU/status/724469855353724930" xr:uid="{9A77778F-0B7E-4C73-AEB3-274F284DEEC8}"/>
    <hyperlink ref="O8323" r:id="rId25751" display="https://pbs.twimg.com/profile_images/699785904299380740/oGNOYCc5_normal.jpg" xr:uid="{5B58E75F-F8E4-43A2-A14E-E5AC24AA3539}"/>
    <hyperlink ref="B8324" r:id="rId25752" display="https://twitter.com/vwpress_de" xr:uid="{8EC835F7-D2C1-46BA-91E1-BBB8134CC294}"/>
    <hyperlink ref="E8324" r:id="rId25753" display="https://twitter.com/vwpress_de/status/724469955622785024" xr:uid="{805C5E6E-8F4B-4C55-90C1-5FCFD0C5971B}"/>
    <hyperlink ref="O8324" r:id="rId25754" display="https://pbs.twimg.com/profile_images/682117656502222848/Ge7YeAF3_normal.png" xr:uid="{36A7F4FE-3AD1-4127-A5BA-9875C1DF705B}"/>
    <hyperlink ref="B8325" r:id="rId25755" display="https://twitter.com/vwpress_de" xr:uid="{5FD7F37A-FBA0-4E59-8C2E-A58305B6381B}"/>
    <hyperlink ref="E8325" r:id="rId25756" display="https://twitter.com/vwpress_de/status/724470249345716224" xr:uid="{595FC3C7-2442-4011-A175-6C054B134AD3}"/>
    <hyperlink ref="O8325" r:id="rId25757" display="https://pbs.twimg.com/profile_images/682117656502222848/Ge7YeAF3_normal.png" xr:uid="{6468AC7D-A147-4363-9899-C94127F33AA7}"/>
    <hyperlink ref="B8326" r:id="rId25758" display="https://twitter.com/BriardSebastien" xr:uid="{DBEF9840-7BC8-44A2-81C4-81C2C73CEBC6}"/>
    <hyperlink ref="E8326" r:id="rId25759" display="https://twitter.com/BriardSebastien/status/724470337115721729" xr:uid="{874DB479-F265-4151-8B27-1868A31CF1A9}"/>
    <hyperlink ref="O8326" r:id="rId25760" display="https://pbs.twimg.com/profile_images/692720660016136193/iach6pOV_normal.jpg" xr:uid="{2F830C62-A9CE-4756-A2DC-F262B93367A6}"/>
    <hyperlink ref="B8327" r:id="rId25761" display="https://twitter.com/RSTOKAR" xr:uid="{319D7095-AAE0-48F9-B5A7-A3A29AEA8A41}"/>
    <hyperlink ref="E8327" r:id="rId25762" display="https://twitter.com/RSTOKAR/status/724470377959817216" xr:uid="{0A9BBC97-08C8-4029-82EA-205621E03F04}"/>
    <hyperlink ref="O8327" r:id="rId25763" display="https://pbs.twimg.com/profile_images/3282181310/09912193e3b2ecc229b9028eb0f19def_normal.jpeg" xr:uid="{5D0D2746-034F-4BBD-9C0F-5A7FC057263E}"/>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#vw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Mathias Engel</dc:creator>
  <cp:lastModifiedBy>Mathias Engel</cp:lastModifiedBy>
  <dcterms:created xsi:type="dcterms:W3CDTF">2024-04-04T06:01:53Z</dcterms:created>
  <dcterms:modified xsi:type="dcterms:W3CDTF">2024-04-04T06:02:32Z</dcterms:modified>
</cp:coreProperties>
</file>